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9.xml" ContentType="application/vnd.openxmlformats-officedocument.drawing+xml"/>
  <Override PartName="/xl/tables/table3.xml" ContentType="application/vnd.openxmlformats-officedocument.spreadsheetml.table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1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 codeName="EstaPastaDe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lexandre\Desktop\Pasta\Pessoal\FinanceiroAPP\"/>
    </mc:Choice>
  </mc:AlternateContent>
  <xr:revisionPtr revIDLastSave="0" documentId="13_ncr:1_{18ABE263-D2DE-428B-B6C7-C26E4994448F}" xr6:coauthVersionLast="47" xr6:coauthVersionMax="47" xr10:uidLastSave="{00000000-0000-0000-0000-000000000000}"/>
  <bookViews>
    <workbookView xWindow="-120" yWindow="-120" windowWidth="29040" windowHeight="15720" tabRatio="953" firstSheet="169" activeTab="170" xr2:uid="{00000000-000D-0000-FFFF-FFFF00000000}"/>
  </bookViews>
  <sheets>
    <sheet name="Janeiro 13" sheetId="35" r:id="rId1"/>
    <sheet name="Fevereiro 13" sheetId="37" r:id="rId2"/>
    <sheet name="Março 13" sheetId="40" r:id="rId3"/>
    <sheet name="Abril 13" sheetId="41" r:id="rId4"/>
    <sheet name="Maio 13" sheetId="42" r:id="rId5"/>
    <sheet name="Junho 13" sheetId="44" r:id="rId6"/>
    <sheet name="Julho 13" sheetId="46" r:id="rId7"/>
    <sheet name="Agosto 13" sheetId="47" r:id="rId8"/>
    <sheet name="Setembro 13" sheetId="52" r:id="rId9"/>
    <sheet name="Outubro-13" sheetId="53" r:id="rId10"/>
    <sheet name="Novembro-13" sheetId="55" r:id="rId11"/>
    <sheet name="Dezembro-13" sheetId="56" r:id="rId12"/>
    <sheet name="Acumulado 2013" sheetId="36" r:id="rId13"/>
    <sheet name="Janeiro-14" sheetId="57" r:id="rId14"/>
    <sheet name="Fevereiro-14" sheetId="59" r:id="rId15"/>
    <sheet name="Março-14" sheetId="60" r:id="rId16"/>
    <sheet name="Abril-14" sheetId="61" r:id="rId17"/>
    <sheet name="Maio-14" sheetId="62" r:id="rId18"/>
    <sheet name="Junho-2014" sheetId="65" r:id="rId19"/>
    <sheet name="Julho-14" sheetId="66" r:id="rId20"/>
    <sheet name="Agosto-14" sheetId="67" r:id="rId21"/>
    <sheet name="Setembro-14" sheetId="68" r:id="rId22"/>
    <sheet name="Outubro-14" sheetId="71" r:id="rId23"/>
    <sheet name="Novembro-14" sheetId="72" r:id="rId24"/>
    <sheet name="Dezembro-14" sheetId="74" r:id="rId25"/>
    <sheet name="Acumulado 2014" sheetId="58" r:id="rId26"/>
    <sheet name="Bella" sheetId="69" r:id="rId27"/>
    <sheet name="Quarto" sheetId="73" r:id="rId28"/>
    <sheet name="Janeiro-15" sheetId="75" r:id="rId29"/>
    <sheet name="Fevereiro-15" sheetId="77" r:id="rId30"/>
    <sheet name="Março-15" sheetId="78" r:id="rId31"/>
    <sheet name="Abril-15" sheetId="79" r:id="rId32"/>
    <sheet name="Maio-15" sheetId="80" r:id="rId33"/>
    <sheet name="Junho-15" sheetId="81" r:id="rId34"/>
    <sheet name="Julho-15" sheetId="83" r:id="rId35"/>
    <sheet name="Agosto-15" sheetId="84" r:id="rId36"/>
    <sheet name="Setembro-15" sheetId="85" r:id="rId37"/>
    <sheet name="Outubro-15" sheetId="86" r:id="rId38"/>
    <sheet name="Novembro-15" sheetId="87" r:id="rId39"/>
    <sheet name="Junho-14" sheetId="63" state="hidden" r:id="rId40"/>
    <sheet name="Dezembro-15" sheetId="89" r:id="rId41"/>
    <sheet name="Acumulado 2015" sheetId="76" r:id="rId42"/>
    <sheet name="Janeiro-16" sheetId="90" r:id="rId43"/>
    <sheet name="Fevereiro-16" sheetId="93" r:id="rId44"/>
    <sheet name="Março-16" sheetId="94" r:id="rId45"/>
    <sheet name="Abril-16" sheetId="95" r:id="rId46"/>
    <sheet name="Maio-16" sheetId="96" r:id="rId47"/>
    <sheet name="Junho-16" sheetId="97" r:id="rId48"/>
    <sheet name="Julho-16" sheetId="98" r:id="rId49"/>
    <sheet name="Agosto-16" sheetId="100" r:id="rId50"/>
    <sheet name="Setembro-16" sheetId="101" r:id="rId51"/>
    <sheet name="Outubro-16" sheetId="102" r:id="rId52"/>
    <sheet name="Novembro-16" sheetId="103" r:id="rId53"/>
    <sheet name="Dezembro-16" sheetId="104" r:id="rId54"/>
    <sheet name="Acumulado 2016" sheetId="92" r:id="rId55"/>
    <sheet name="Janeiro-17" sheetId="105" r:id="rId56"/>
    <sheet name="Fevereiro-17" sheetId="107" r:id="rId57"/>
    <sheet name="Março-17" sheetId="108" r:id="rId58"/>
    <sheet name="Abril-17" sheetId="109" r:id="rId59"/>
    <sheet name="Maio-17" sheetId="110" r:id="rId60"/>
    <sheet name="Junho-17" sheetId="112" r:id="rId61"/>
    <sheet name="Julho-17" sheetId="113" r:id="rId62"/>
    <sheet name="Agosto-17" sheetId="114" r:id="rId63"/>
    <sheet name="Setembro-17" sheetId="116" r:id="rId64"/>
    <sheet name="Outubro-17" sheetId="117" r:id="rId65"/>
    <sheet name="Novembro-17" sheetId="119" r:id="rId66"/>
    <sheet name="Dezembro-17" sheetId="120" r:id="rId67"/>
    <sheet name="Acumulado 2017" sheetId="106" r:id="rId68"/>
    <sheet name="Janeiro-2018" sheetId="121" r:id="rId69"/>
    <sheet name="Fevereiro-18" sheetId="123" r:id="rId70"/>
    <sheet name="Março-18" sheetId="124" r:id="rId71"/>
    <sheet name="Abril-18" sheetId="125" r:id="rId72"/>
    <sheet name="Maio-18" sheetId="126" r:id="rId73"/>
    <sheet name="Junho-18" sheetId="127" r:id="rId74"/>
    <sheet name="Julho-18" sheetId="128" r:id="rId75"/>
    <sheet name="Agosto-18" sheetId="129" r:id="rId76"/>
    <sheet name="Setembro-18" sheetId="130" r:id="rId77"/>
    <sheet name="Outubro-18" sheetId="131" r:id="rId78"/>
    <sheet name="Novembro-18" sheetId="132" r:id="rId79"/>
    <sheet name="Dezembro-18" sheetId="133" r:id="rId80"/>
    <sheet name="Acumulado 2018" sheetId="122" r:id="rId81"/>
    <sheet name="Janeiro-19" sheetId="134" r:id="rId82"/>
    <sheet name="Fevereiro-19" sheetId="136" r:id="rId83"/>
    <sheet name="Março-19" sheetId="139" r:id="rId84"/>
    <sheet name="Abril-19" sheetId="140" r:id="rId85"/>
    <sheet name="Maio-19" sheetId="141" r:id="rId86"/>
    <sheet name="Junho-19" sheetId="144" r:id="rId87"/>
    <sheet name="Julho-19" sheetId="145" r:id="rId88"/>
    <sheet name="Agosto-19" sheetId="146" r:id="rId89"/>
    <sheet name="Setembro-19" sheetId="148" r:id="rId90"/>
    <sheet name="Outubro-19" sheetId="149" r:id="rId91"/>
    <sheet name="Novembro-19" sheetId="152" r:id="rId92"/>
    <sheet name="Dezembro-19" sheetId="153" r:id="rId93"/>
    <sheet name="Acumulado 2019" sheetId="135" r:id="rId94"/>
    <sheet name="Janeiro-20" sheetId="154" r:id="rId95"/>
    <sheet name="Fevereiro-20" sheetId="157" r:id="rId96"/>
    <sheet name="Março-20" sheetId="159" r:id="rId97"/>
    <sheet name="Abril-20" sheetId="160" r:id="rId98"/>
    <sheet name="Maio-20" sheetId="161" r:id="rId99"/>
    <sheet name="Junho-20" sheetId="162" r:id="rId100"/>
    <sheet name="Julho-20" sheetId="163" r:id="rId101"/>
    <sheet name="Agosto-20" sheetId="164" r:id="rId102"/>
    <sheet name="Setembro-20" sheetId="165" r:id="rId103"/>
    <sheet name="Outubro-20" sheetId="167" r:id="rId104"/>
    <sheet name="Novembro-20" sheetId="168" r:id="rId105"/>
    <sheet name="Dezembro-20" sheetId="169" r:id="rId106"/>
    <sheet name="Acumulado 2020" sheetId="155" r:id="rId107"/>
    <sheet name="Janeiro-21" sheetId="171" r:id="rId108"/>
    <sheet name="Fevereiro-21" sheetId="173" r:id="rId109"/>
    <sheet name="Março-21" sheetId="175" r:id="rId110"/>
    <sheet name="Abril-21" sheetId="177" r:id="rId111"/>
    <sheet name="Maio-21" sheetId="178" r:id="rId112"/>
    <sheet name="Junho-21" sheetId="179" r:id="rId113"/>
    <sheet name="Julho-21" sheetId="180" r:id="rId114"/>
    <sheet name="Agosto-21" sheetId="181" r:id="rId115"/>
    <sheet name="Setembro-21" sheetId="182" r:id="rId116"/>
    <sheet name="Outubro-21" sheetId="183" r:id="rId117"/>
    <sheet name="Novembro-21" sheetId="184" r:id="rId118"/>
    <sheet name="Dezembro-21" sheetId="185" r:id="rId119"/>
    <sheet name="Acumulado 2021" sheetId="172" r:id="rId120"/>
    <sheet name="Janeiro-22" sheetId="186" r:id="rId121"/>
    <sheet name="Fevereiro-22" sheetId="188" r:id="rId122"/>
    <sheet name="Março-22" sheetId="189" r:id="rId123"/>
    <sheet name="Abril-22" sheetId="193" r:id="rId124"/>
    <sheet name="Maio-22" sheetId="194" r:id="rId125"/>
    <sheet name="Junho-22" sheetId="195" r:id="rId126"/>
    <sheet name="Julho-22" sheetId="196" r:id="rId127"/>
    <sheet name="Agosto-22" sheetId="197" r:id="rId128"/>
    <sheet name="Setembro-22" sheetId="198" r:id="rId129"/>
    <sheet name="Outubro-22" sheetId="200" r:id="rId130"/>
    <sheet name="Novembro-22" sheetId="202" r:id="rId131"/>
    <sheet name="Dezembro-22" sheetId="205" r:id="rId132"/>
    <sheet name="Acumulado 2022" sheetId="187" r:id="rId133"/>
    <sheet name="Janeiro-23" sheetId="204" r:id="rId134"/>
    <sheet name="Fevereiro-23" sheetId="208" r:id="rId135"/>
    <sheet name="Março-23" sheetId="209" r:id="rId136"/>
    <sheet name="Abril-23" sheetId="215" r:id="rId137"/>
    <sheet name="Maio-23" sheetId="216" r:id="rId138"/>
    <sheet name="Junho-23" sheetId="218" r:id="rId139"/>
    <sheet name="Julho-23" sheetId="220" r:id="rId140"/>
    <sheet name="Agosto-23" sheetId="221" r:id="rId141"/>
    <sheet name="Setembro-23" sheetId="222" r:id="rId142"/>
    <sheet name="Outubro-23" sheetId="223" r:id="rId143"/>
    <sheet name="Novembro-23" sheetId="224" r:id="rId144"/>
    <sheet name="Dezembro-23" sheetId="225" r:id="rId145"/>
    <sheet name="Acumulado 2023" sheetId="207" r:id="rId146"/>
    <sheet name="Janeiro-24" sheetId="226" r:id="rId147"/>
    <sheet name="Fevereiro-24" sheetId="227" r:id="rId148"/>
    <sheet name="Março-24" sheetId="229" r:id="rId149"/>
    <sheet name="Abril-24" sheetId="233" r:id="rId150"/>
    <sheet name="Maio-24" sheetId="236" r:id="rId151"/>
    <sheet name="Junho-24" sheetId="239" r:id="rId152"/>
    <sheet name="Julho-24" sheetId="241" r:id="rId153"/>
    <sheet name="Agosto-24" sheetId="242" r:id="rId154"/>
    <sheet name="Setembro-24" sheetId="245" r:id="rId155"/>
    <sheet name="Outubro-24" sheetId="246" r:id="rId156"/>
    <sheet name="Novembro-24" sheetId="248" r:id="rId157"/>
    <sheet name="Dezembro-24" sheetId="249" r:id="rId158"/>
    <sheet name="Janeiro-25" sheetId="250" r:id="rId159"/>
    <sheet name="Fevereiro-25" sheetId="252" r:id="rId160"/>
    <sheet name="Março-25" sheetId="255" r:id="rId161"/>
    <sheet name="Abril-25" sheetId="254" r:id="rId162"/>
    <sheet name="Maio-25" sheetId="256" r:id="rId163"/>
    <sheet name="Junho-25" sheetId="257" r:id="rId164"/>
    <sheet name="Julho-25" sheetId="258" r:id="rId165"/>
    <sheet name="Agosto-25" sheetId="261" r:id="rId166"/>
    <sheet name="Setembro-25" sheetId="264" r:id="rId167"/>
    <sheet name="Outubro-25" sheetId="265" r:id="rId168"/>
    <sheet name="Novembro-25" sheetId="266" r:id="rId169"/>
    <sheet name="Dezembro-25" sheetId="267" r:id="rId170"/>
    <sheet name="Janeiro-26" sheetId="268" r:id="rId171"/>
    <sheet name="Fevereiro-26" sheetId="269" r:id="rId172"/>
    <sheet name="Programação Pagtos." sheetId="4" r:id="rId173"/>
    <sheet name="Fatura Cartão" sheetId="206" r:id="rId174"/>
    <sheet name="Fundo construção" sheetId="234" r:id="rId175"/>
    <sheet name="Pintura" sheetId="262" r:id="rId176"/>
    <sheet name="Elétrica-Hidraulica" sheetId="247" r:id="rId177"/>
    <sheet name="Móveis+Acessórios" sheetId="263" r:id="rId178"/>
    <sheet name="Acumulado 2026" sheetId="270" r:id="rId179"/>
    <sheet name="Acumulado 2025" sheetId="251" r:id="rId180"/>
    <sheet name="Acumulado 2024" sheetId="228" r:id="rId181"/>
    <sheet name="Acumulado por ano" sheetId="43" r:id="rId182"/>
    <sheet name="PJ" sheetId="214" r:id="rId183"/>
    <sheet name="Revestimento" sheetId="259" r:id="rId184"/>
    <sheet name="Janelas Portas+Contra piso" sheetId="260" r:id="rId185"/>
    <sheet name="Reboco+Forro" sheetId="253" r:id="rId186"/>
    <sheet name="Paredes casa" sheetId="238" r:id="rId187"/>
    <sheet name="Paredes + telhamento garagem" sheetId="243" r:id="rId188"/>
    <sheet name="Porão+Escada+lavanderia" sheetId="235" r:id="rId189"/>
    <sheet name="Lajes" sheetId="240" r:id="rId190"/>
    <sheet name="Pensão" sheetId="230" r:id="rId191"/>
    <sheet name="Investimentos" sheetId="115" r:id="rId192"/>
    <sheet name="Onix 2014" sheetId="192" r:id="rId193"/>
    <sheet name="Astra 05" sheetId="91" r:id="rId194"/>
    <sheet name="Corsa 97" sheetId="1" r:id="rId195"/>
    <sheet name="Motos" sheetId="176" r:id="rId196"/>
    <sheet name="Laje 2010 + Telhamento" sheetId="2" r:id="rId197"/>
    <sheet name="Eventos" sheetId="51" r:id="rId198"/>
    <sheet name="Plan1" sheetId="201" r:id="rId199"/>
    <sheet name="Filhas" sheetId="231" r:id="rId200"/>
  </sheets>
  <definedNames>
    <definedName name="_xlnm._FilterDatabase" localSheetId="3" hidden="1">'Abril 13'!$A$2:$H$81</definedName>
    <definedName name="_xlnm._FilterDatabase" localSheetId="16" hidden="1">'Abril-14'!$A$2:$H$102</definedName>
    <definedName name="_xlnm._FilterDatabase" localSheetId="31" hidden="1">'Abril-15'!$A$2:$H$95</definedName>
    <definedName name="_xlnm._FilterDatabase" localSheetId="45" hidden="1">'Abril-16'!$A$2:$H$106</definedName>
    <definedName name="_xlnm._FilterDatabase" localSheetId="58" hidden="1">'Abril-17'!$A$2:$I$106</definedName>
    <definedName name="_xlnm._FilterDatabase" localSheetId="71" hidden="1">'Abril-18'!$A$2:$I$120</definedName>
    <definedName name="_xlnm._FilterDatabase" localSheetId="84" hidden="1">'Abril-19'!$A$2:$I$112</definedName>
    <definedName name="_xlnm._FilterDatabase" localSheetId="97" hidden="1">'Abril-20'!$A$2:$I$109</definedName>
    <definedName name="_xlnm._FilterDatabase" localSheetId="110" hidden="1">'Abril-21'!$A$2:$I$131</definedName>
    <definedName name="_xlnm._FilterDatabase" localSheetId="123" hidden="1">'Abril-22'!$A$2:$M$123</definedName>
    <definedName name="_xlnm._FilterDatabase" localSheetId="136" hidden="1">'Abril-23'!$A$2:$I$142</definedName>
    <definedName name="_xlnm._FilterDatabase" localSheetId="149" hidden="1">'Abril-24'!$A$2:$S$151</definedName>
    <definedName name="_xlnm._FilterDatabase" localSheetId="161" hidden="1">'Abril-25'!$A$2:$I$186</definedName>
    <definedName name="_xlnm._FilterDatabase" localSheetId="7" hidden="1">'Agosto 13'!$A$2:$H$74</definedName>
    <definedName name="_xlnm._FilterDatabase" localSheetId="20" hidden="1">'Agosto-14'!$A$2:$H$100</definedName>
    <definedName name="_xlnm._FilterDatabase" localSheetId="35" hidden="1">'Agosto-15'!$A$2:$H$105</definedName>
    <definedName name="_xlnm._FilterDatabase" localSheetId="49" hidden="1">'Agosto-16'!$A$2:$H$106</definedName>
    <definedName name="_xlnm._FilterDatabase" localSheetId="62" hidden="1">'Agosto-17'!$A$2:$I$115</definedName>
    <definedName name="_xlnm._FilterDatabase" localSheetId="75" hidden="1">'Agosto-18'!$A$2:$I$120</definedName>
    <definedName name="_xlnm._FilterDatabase" localSheetId="88" hidden="1">'Agosto-19'!$A$2:$I$120</definedName>
    <definedName name="_xlnm._FilterDatabase" localSheetId="101" hidden="1">'Agosto-20'!$A$2:$I$113</definedName>
    <definedName name="_xlnm._FilterDatabase" localSheetId="114" hidden="1">'Agosto-21'!$A$2:$I$132</definedName>
    <definedName name="_xlnm._FilterDatabase" localSheetId="127" hidden="1">'Agosto-22'!$A$2:$I$112</definedName>
    <definedName name="_xlnm._FilterDatabase" localSheetId="140" hidden="1">'Agosto-23'!$A$2:$I$143</definedName>
    <definedName name="_xlnm._FilterDatabase" localSheetId="153" hidden="1">'Agosto-24'!$A$2:$I$169</definedName>
    <definedName name="_xlnm._FilterDatabase" localSheetId="165" hidden="1">'Agosto-25'!$A$2:$I$192</definedName>
    <definedName name="_xlnm._FilterDatabase" localSheetId="11" hidden="1">'Dezembro-13'!$A$2:$H$91</definedName>
    <definedName name="_xlnm._FilterDatabase" localSheetId="24" hidden="1">'Dezembro-14'!$A$2:$H$120</definedName>
    <definedName name="_xlnm._FilterDatabase" localSheetId="40" hidden="1">'Dezembro-15'!$A$2:$H$104</definedName>
    <definedName name="_xlnm._FilterDatabase" localSheetId="53" hidden="1">'Dezembro-16'!$A$2:$H$114</definedName>
    <definedName name="_xlnm._FilterDatabase" localSheetId="66" hidden="1">'Dezembro-17'!$A$2:$I$129</definedName>
    <definedName name="_xlnm._FilterDatabase" localSheetId="79" hidden="1">'Dezembro-18'!$A$2:$I$135</definedName>
    <definedName name="_xlnm._FilterDatabase" localSheetId="92" hidden="1">'Dezembro-19'!$A$2:$I$144</definedName>
    <definedName name="_xlnm._FilterDatabase" localSheetId="105" hidden="1">'Dezembro-20'!$A$2:$I$139</definedName>
    <definedName name="_xlnm._FilterDatabase" localSheetId="118" hidden="1">'Dezembro-21'!$A$2:$I$125</definedName>
    <definedName name="_xlnm._FilterDatabase" localSheetId="131" hidden="1">'Dezembro-22'!$A$2:$I$151</definedName>
    <definedName name="_xlnm._FilterDatabase" localSheetId="144" hidden="1">'Dezembro-23'!$A$2:$I$155</definedName>
    <definedName name="_xlnm._FilterDatabase" localSheetId="157" hidden="1">'Dezembro-24'!$A$2:$I$206</definedName>
    <definedName name="_xlnm._FilterDatabase" localSheetId="169" hidden="1">'Dezembro-25'!$A$2:$I$220</definedName>
    <definedName name="_xlnm._FilterDatabase" localSheetId="197" hidden="1">Eventos!$A$2:$H$15</definedName>
    <definedName name="_xlnm._FilterDatabase" localSheetId="173" hidden="1">'Fatura Cartão'!$A$54:$K$78</definedName>
    <definedName name="_xlnm._FilterDatabase" localSheetId="1" hidden="1">'Fevereiro 13'!$A$2:$H$78</definedName>
    <definedName name="_xlnm._FilterDatabase" localSheetId="14" hidden="1">'Fevereiro-14'!$A$2:$H$84</definedName>
    <definedName name="_xlnm._FilterDatabase" localSheetId="29" hidden="1">'Fevereiro-15'!$A$2:$H$98</definedName>
    <definedName name="_xlnm._FilterDatabase" localSheetId="43" hidden="1">'Fevereiro-16'!$A$2:$H$95</definedName>
    <definedName name="_xlnm._FilterDatabase" localSheetId="56" hidden="1">'Fevereiro-17'!$A$2:$I$109</definedName>
    <definedName name="_xlnm._FilterDatabase" localSheetId="69" hidden="1">'Fevereiro-18'!$A$2:$I$89</definedName>
    <definedName name="_xlnm._FilterDatabase" localSheetId="82" hidden="1">'Fevereiro-19'!$A$2:$I$116</definedName>
    <definedName name="_xlnm._FilterDatabase" localSheetId="95" hidden="1">'Fevereiro-20'!$A$2:$I$148</definedName>
    <definedName name="_xlnm._FilterDatabase" localSheetId="108" hidden="1">'Fevereiro-21'!$A$2:$I$120</definedName>
    <definedName name="_xlnm._FilterDatabase" localSheetId="121" hidden="1">'Fevereiro-22'!$A$2:$I$124</definedName>
    <definedName name="_xlnm._FilterDatabase" localSheetId="134" hidden="1">'Fevereiro-23'!$A$2:$I$141</definedName>
    <definedName name="_xlnm._FilterDatabase" localSheetId="147" hidden="1">'Fevereiro-24'!$A$2:$I$130</definedName>
    <definedName name="_xlnm._FilterDatabase" localSheetId="159" hidden="1">'Fevereiro-25'!$A$2:$I$174</definedName>
    <definedName name="_xlnm._FilterDatabase" localSheetId="171" hidden="1">'Fevereiro-26'!$A$2:$I$84</definedName>
    <definedName name="_xlnm._FilterDatabase" localSheetId="174" hidden="1">'Fundo construção'!$H$523:$J$539</definedName>
    <definedName name="_xlnm._FilterDatabase" localSheetId="191" hidden="1">Investimentos!$A$140:$P$144</definedName>
    <definedName name="_xlnm._FilterDatabase" localSheetId="0" hidden="1">'Janeiro 13'!$A$2:$H$75</definedName>
    <definedName name="_xlnm._FilterDatabase" localSheetId="13" hidden="1">'Janeiro-14'!$A$2:$H$90</definedName>
    <definedName name="_xlnm._FilterDatabase" localSheetId="28" hidden="1">'Janeiro-15'!$A$2:$H$111</definedName>
    <definedName name="_xlnm._FilterDatabase" localSheetId="42" hidden="1">'Janeiro-16'!$A$2:$H$92</definedName>
    <definedName name="_xlnm._FilterDatabase" localSheetId="55" hidden="1">'Janeiro-17'!$A$2:$I$112</definedName>
    <definedName name="_xlnm._FilterDatabase" localSheetId="81" hidden="1">'Janeiro-19'!$A$2:$I$122</definedName>
    <definedName name="_xlnm._FilterDatabase" localSheetId="94" hidden="1">'Janeiro-20'!$A$2:$I$144</definedName>
    <definedName name="_xlnm._FilterDatabase" localSheetId="68" hidden="1">'Janeiro-2018'!$A$2:$I$115</definedName>
    <definedName name="_xlnm._FilterDatabase" localSheetId="107" hidden="1">'Janeiro-21'!$A$2:$I$140</definedName>
    <definedName name="_xlnm._FilterDatabase" localSheetId="120" hidden="1">'Janeiro-22'!$A$2:$I$129</definedName>
    <definedName name="_xlnm._FilterDatabase" localSheetId="133" hidden="1">'Janeiro-23'!$A$2:$I$140</definedName>
    <definedName name="_xlnm._FilterDatabase" localSheetId="146" hidden="1">'Janeiro-24'!$A$2:$I$141</definedName>
    <definedName name="_xlnm._FilterDatabase" localSheetId="158" hidden="1">'Janeiro-25'!$A$2:$I$198</definedName>
    <definedName name="_xlnm._FilterDatabase" localSheetId="170" hidden="1">'Janeiro-26'!$A$4:$Q$224</definedName>
    <definedName name="_xlnm._FilterDatabase" localSheetId="6" hidden="1">'Julho 13'!$A$2:$H$84</definedName>
    <definedName name="_xlnm._FilterDatabase" localSheetId="19" hidden="1">'Julho-14'!$A$2:$H$105</definedName>
    <definedName name="_xlnm._FilterDatabase" localSheetId="34" hidden="1">'Julho-15'!$A$2:$H$103</definedName>
    <definedName name="_xlnm._FilterDatabase" localSheetId="48" hidden="1">'Julho-16'!$A$2:$H$109</definedName>
    <definedName name="_xlnm._FilterDatabase" localSheetId="61" hidden="1">'Julho-17'!$A$2:$I$114</definedName>
    <definedName name="_xlnm._FilterDatabase" localSheetId="74" hidden="1">'Julho-18'!$A$2:$I$119</definedName>
    <definedName name="_xlnm._FilterDatabase" localSheetId="87" hidden="1">'Julho-19'!$A$2:$I$126</definedName>
    <definedName name="_xlnm._FilterDatabase" localSheetId="100" hidden="1">'Julho-20'!$A$2:$I$122</definedName>
    <definedName name="_xlnm._FilterDatabase" localSheetId="113" hidden="1">'Julho-21'!$A$2:$I$125</definedName>
    <definedName name="_xlnm._FilterDatabase" localSheetId="126" hidden="1">'Julho-22'!$A$2:$I$136</definedName>
    <definedName name="_xlnm._FilterDatabase" localSheetId="139" hidden="1">'Julho-23'!$A$2:$I$134</definedName>
    <definedName name="_xlnm._FilterDatabase" localSheetId="152" hidden="1">'Julho-24'!$A$2:$I$163</definedName>
    <definedName name="_xlnm._FilterDatabase" localSheetId="164" hidden="1">'Julho-25'!$A$2:$I$207</definedName>
    <definedName name="_xlnm._FilterDatabase" localSheetId="5" hidden="1">'Junho 13'!$A$2:$H$71</definedName>
    <definedName name="_xlnm._FilterDatabase" localSheetId="39" hidden="1">'Junho-14'!$A$2:$H$59</definedName>
    <definedName name="_xlnm._FilterDatabase" localSheetId="33" hidden="1">'Junho-15'!$A$2:$H$108</definedName>
    <definedName name="_xlnm._FilterDatabase" localSheetId="47" hidden="1">'Junho-16'!$A$2:$H$104</definedName>
    <definedName name="_xlnm._FilterDatabase" localSheetId="60" hidden="1">'Junho-17'!$A$2:$I$114</definedName>
    <definedName name="_xlnm._FilterDatabase" localSheetId="73" hidden="1">'Junho-18'!$A$2:$I$115</definedName>
    <definedName name="_xlnm._FilterDatabase" localSheetId="86" hidden="1">'Junho-19'!$A$2:$I$117</definedName>
    <definedName name="_xlnm._FilterDatabase" localSheetId="99" hidden="1">'Junho-20'!$A$2:$I$117</definedName>
    <definedName name="_xlnm._FilterDatabase" localSheetId="18" hidden="1">'Junho-2014'!$A$2:$H$108</definedName>
    <definedName name="_xlnm._FilterDatabase" localSheetId="112" hidden="1">'Junho-21'!$A$2:$I$140</definedName>
    <definedName name="_xlnm._FilterDatabase" localSheetId="125" hidden="1">'Junho-22'!$A$2:$I$128</definedName>
    <definedName name="_xlnm._FilterDatabase" localSheetId="138" hidden="1">'Junho-23'!$A$2:$I$137</definedName>
    <definedName name="_xlnm._FilterDatabase" localSheetId="151" hidden="1">'Junho-24'!$A$2:$I$168</definedName>
    <definedName name="_xlnm._FilterDatabase" localSheetId="163" hidden="1">'Junho-25'!$A$2:$I$188</definedName>
    <definedName name="_xlnm._FilterDatabase" localSheetId="189" hidden="1">Lajes!$A$3:$J$107</definedName>
    <definedName name="_xlnm._FilterDatabase" localSheetId="4" hidden="1">'Maio 13'!$A$2:$H$80</definedName>
    <definedName name="_xlnm._FilterDatabase" localSheetId="17" hidden="1">'Maio-14'!$A$2:$H$91</definedName>
    <definedName name="_xlnm._FilterDatabase" localSheetId="32" hidden="1">'Maio-15'!$A$2:$H$116</definedName>
    <definedName name="_xlnm._FilterDatabase" localSheetId="46" hidden="1">'Maio-16'!$A$2:$H$93</definedName>
    <definedName name="_xlnm._FilterDatabase" localSheetId="59" hidden="1">'Maio-17'!$A$2:$I$115</definedName>
    <definedName name="_xlnm._FilterDatabase" localSheetId="72" hidden="1">'Maio-18'!$A$2:$I$116</definedName>
    <definedName name="_xlnm._FilterDatabase" localSheetId="85" hidden="1">'Maio-19'!$A$2:$I$131</definedName>
    <definedName name="_xlnm._FilterDatabase" localSheetId="98" hidden="1">'Maio-20'!$A$2:$I$128</definedName>
    <definedName name="_xlnm._FilterDatabase" localSheetId="111" hidden="1">'Maio-21'!$A$2:$I$148</definedName>
    <definedName name="_xlnm._FilterDatabase" localSheetId="124" hidden="1">'Maio-22'!$A$2:$I$120</definedName>
    <definedName name="_xlnm._FilterDatabase" localSheetId="137" hidden="1">'Maio-23'!$A$2:$S$162</definedName>
    <definedName name="_xlnm._FilterDatabase" localSheetId="150" hidden="1">'Maio-24'!$A$2:$I$166</definedName>
    <definedName name="_xlnm._FilterDatabase" localSheetId="162" hidden="1">'Maio-25'!$A$2:$I$199</definedName>
    <definedName name="_xlnm._FilterDatabase" localSheetId="2" hidden="1">'Março 13'!$A$2:$H$72</definedName>
    <definedName name="_xlnm._FilterDatabase" localSheetId="15" hidden="1">'Março-14'!$A$2:$H$95</definedName>
    <definedName name="_xlnm._FilterDatabase" localSheetId="30" hidden="1">'Março-15'!$A$2:$H$94</definedName>
    <definedName name="_xlnm._FilterDatabase" localSheetId="44" hidden="1">'Março-16'!$A$2:$H$108</definedName>
    <definedName name="_xlnm._FilterDatabase" localSheetId="57" hidden="1">'Março-17'!$A$2:$I$114</definedName>
    <definedName name="_xlnm._FilterDatabase" localSheetId="70" hidden="1">'Março-18'!$A$2:$I$111</definedName>
    <definedName name="_xlnm._FilterDatabase" localSheetId="83" hidden="1">'Março-19'!$A$2:$I$120</definedName>
    <definedName name="_xlnm._FilterDatabase" localSheetId="96" hidden="1">'Março-20'!$A$2:$I$126</definedName>
    <definedName name="_xlnm._FilterDatabase" localSheetId="109" hidden="1">'Março-21'!$A$2:$I$137</definedName>
    <definedName name="_xlnm._FilterDatabase" localSheetId="122" hidden="1">'Março-22'!$A$2:$I$130</definedName>
    <definedName name="_xlnm._FilterDatabase" localSheetId="135" hidden="1">'Março-23'!$A$2:$I$142</definedName>
    <definedName name="_xlnm._FilterDatabase" localSheetId="148" hidden="1">'Março-24'!$A$2:$E$170</definedName>
    <definedName name="_xlnm._FilterDatabase" localSheetId="160" hidden="1">'Março-25'!$A$2:$I$209</definedName>
    <definedName name="_xlnm._FilterDatabase" localSheetId="10" hidden="1">'Novembro-13'!$A$2:$H$76</definedName>
    <definedName name="_xlnm._FilterDatabase" localSheetId="23" hidden="1">'Novembro-14'!$A$2:$H$91</definedName>
    <definedName name="_xlnm._FilterDatabase" localSheetId="38" hidden="1">'Novembro-15'!$A$2:$H$105</definedName>
    <definedName name="_xlnm._FilterDatabase" localSheetId="52" hidden="1">'Novembro-16'!$A$2:$H$114</definedName>
    <definedName name="_xlnm._FilterDatabase" localSheetId="65" hidden="1">'Novembro-17'!$A$2:$I$110</definedName>
    <definedName name="_xlnm._FilterDatabase" localSheetId="78" hidden="1">'Novembro-18'!$A$2:$I$107</definedName>
    <definedName name="_xlnm._FilterDatabase" localSheetId="91" hidden="1">'Novembro-19'!$A$2:$I$130</definedName>
    <definedName name="_xlnm._FilterDatabase" localSheetId="104" hidden="1">'Novembro-20'!$A$2:$I$120</definedName>
    <definedName name="_xlnm._FilterDatabase" localSheetId="117" hidden="1">'Novembro-21'!$A$2:$I$136</definedName>
    <definedName name="_xlnm._FilterDatabase" localSheetId="130" hidden="1">'Novembro-22'!$A$2:$I$143</definedName>
    <definedName name="_xlnm._FilterDatabase" localSheetId="143" hidden="1">'Novembro-23'!$A$2:$I$121</definedName>
    <definedName name="_xlnm._FilterDatabase" localSheetId="156" hidden="1">'Novembro-24'!$A$2:$I$205</definedName>
    <definedName name="_xlnm._FilterDatabase" localSheetId="168" hidden="1">'Novembro-25'!$A$2:$I$191</definedName>
    <definedName name="_xlnm._FilterDatabase" localSheetId="192" hidden="1">'Onix 2014'!$A$27:$C$51</definedName>
    <definedName name="_xlnm._FilterDatabase" localSheetId="9" hidden="1">'Outubro-13'!$A$2:$H$94</definedName>
    <definedName name="_xlnm._FilterDatabase" localSheetId="22" hidden="1">'Outubro-14'!$A$2:$H$98</definedName>
    <definedName name="_xlnm._FilterDatabase" localSheetId="37" hidden="1">'Outubro-15'!$A$2:$H$116</definedName>
    <definedName name="_xlnm._FilterDatabase" localSheetId="51" hidden="1">'Outubro-16'!$A$2:$H$111</definedName>
    <definedName name="_xlnm._FilterDatabase" localSheetId="64" hidden="1">'Outubro-17'!$A$2:$I$128</definedName>
    <definedName name="_xlnm._FilterDatabase" localSheetId="77" hidden="1">'Outubro-18'!$A$2:$I$110</definedName>
    <definedName name="_xlnm._FilterDatabase" localSheetId="90" hidden="1">'Outubro-19'!$A$2:$I$124</definedName>
    <definedName name="_xlnm._FilterDatabase" localSheetId="103" hidden="1">'Outubro-20'!$A$2:$I$132</definedName>
    <definedName name="_xlnm._FilterDatabase" localSheetId="116" hidden="1">'Outubro-21'!$A$2:$I$129</definedName>
    <definedName name="_xlnm._FilterDatabase" localSheetId="129" hidden="1">'Outubro-22'!$A$2:$I$140</definedName>
    <definedName name="_xlnm._FilterDatabase" localSheetId="142" hidden="1">'Outubro-23'!$A$2:$I$131</definedName>
    <definedName name="_xlnm._FilterDatabase" localSheetId="155" hidden="1">'Outubro-24'!$A$2:$I$187</definedName>
    <definedName name="_xlnm._FilterDatabase" localSheetId="167" hidden="1">'Outubro-25'!$A$2:$I$204</definedName>
    <definedName name="_xlnm._FilterDatabase" localSheetId="187" hidden="1">'Paredes + telhamento garagem'!$A$2:$J$2</definedName>
    <definedName name="_xlnm._FilterDatabase" localSheetId="186" hidden="1">'Paredes casa'!$A$2:$J$8</definedName>
    <definedName name="_xlnm._FilterDatabase" localSheetId="182" hidden="1">PJ!$B$2:$F$5</definedName>
    <definedName name="_xlnm._FilterDatabase" localSheetId="188" hidden="1">'Porão+Escada+lavanderia'!$A$82:$J$144</definedName>
    <definedName name="_xlnm._FilterDatabase" localSheetId="185" hidden="1">'Reboco+Forro'!$A$2:$J$59</definedName>
    <definedName name="_xlnm._FilterDatabase" localSheetId="8" hidden="1">'Setembro 13'!$A$2:$H$81</definedName>
    <definedName name="_xlnm._FilterDatabase" localSheetId="21" hidden="1">'Setembro-14'!$A$2:$H$88</definedName>
    <definedName name="_xlnm._FilterDatabase" localSheetId="36" hidden="1">'Setembro-15'!$A$2:$H$108</definedName>
    <definedName name="_xlnm._FilterDatabase" localSheetId="50" hidden="1">'Setembro-16'!$A$2:$H$107</definedName>
    <definedName name="_xlnm._FilterDatabase" localSheetId="63" hidden="1">'Setembro-17'!$A$2:$I$115</definedName>
    <definedName name="_xlnm._FilterDatabase" localSheetId="76" hidden="1">'Setembro-18'!$A$2:$I$117</definedName>
    <definedName name="_xlnm._FilterDatabase" localSheetId="89" hidden="1">'Setembro-19'!$A$2:$I$125</definedName>
    <definedName name="_xlnm._FilterDatabase" localSheetId="102" hidden="1">'Setembro-20'!$A$2:$I$129</definedName>
    <definedName name="_xlnm._FilterDatabase" localSheetId="115" hidden="1">'Setembro-21'!$A$2:$I$122</definedName>
    <definedName name="_xlnm._FilterDatabase" localSheetId="128" hidden="1">'Setembro-22'!$A$2:$I$135</definedName>
    <definedName name="_xlnm._FilterDatabase" localSheetId="141" hidden="1">'Setembro-23'!$A$2:$I$140</definedName>
    <definedName name="_xlnm._FilterDatabase" localSheetId="154" hidden="1">'Setembro-24'!$A$2:$I$167</definedName>
    <definedName name="_xlnm._FilterDatabase" localSheetId="166" hidden="1">'Setembro-25'!$A$2:$I$181</definedName>
    <definedName name="_xlcn.WorksheetConnection_Formulário.xlsxTabela1" hidden="1">Tabela1[]</definedName>
    <definedName name="Almoço">'Abril-22'!$C$71:$F$71</definedName>
    <definedName name="C_">'Abril-22'!$D$61:$D$73</definedName>
    <definedName name="Café">'Abril-22'!$C$61:$F$73</definedName>
    <definedName name="débito">'Abril-22'!$E$61:$E$73</definedName>
    <definedName name="Detergente">'Abril-22'!$C$65:$F$65</definedName>
    <definedName name="Esfihas">'Abril-22'!$C$69:$F$69</definedName>
    <definedName name="Estopa">'Abril-22'!$C$73:$F$73</definedName>
    <definedName name="Filial_Turno_Trab._Centro_Custo_Matricula_Nome" localSheetId="110">#REF!</definedName>
    <definedName name="Filial_Turno_Trab._Centro_Custo_Matricula_Nome" localSheetId="123">#REF!</definedName>
    <definedName name="Filial_Turno_Trab._Centro_Custo_Matricula_Nome" localSheetId="136">#REF!</definedName>
    <definedName name="Filial_Turno_Trab._Centro_Custo_Matricula_Nome" localSheetId="149">#REF!</definedName>
    <definedName name="Filial_Turno_Trab._Centro_Custo_Matricula_Nome" localSheetId="161">#REF!</definedName>
    <definedName name="Filial_Turno_Trab._Centro_Custo_Matricula_Nome" localSheetId="119">#REF!</definedName>
    <definedName name="Filial_Turno_Trab._Centro_Custo_Matricula_Nome" localSheetId="132">#REF!</definedName>
    <definedName name="Filial_Turno_Trab._Centro_Custo_Matricula_Nome" localSheetId="145">#REF!</definedName>
    <definedName name="Filial_Turno_Trab._Centro_Custo_Matricula_Nome" localSheetId="180">#REF!</definedName>
    <definedName name="Filial_Turno_Trab._Centro_Custo_Matricula_Nome" localSheetId="179">#REF!</definedName>
    <definedName name="Filial_Turno_Trab._Centro_Custo_Matricula_Nome" localSheetId="178">#REF!</definedName>
    <definedName name="Filial_Turno_Trab._Centro_Custo_Matricula_Nome" localSheetId="114">#REF!</definedName>
    <definedName name="Filial_Turno_Trab._Centro_Custo_Matricula_Nome" localSheetId="127">#REF!</definedName>
    <definedName name="Filial_Turno_Trab._Centro_Custo_Matricula_Nome" localSheetId="140">#REF!</definedName>
    <definedName name="Filial_Turno_Trab._Centro_Custo_Matricula_Nome" localSheetId="153">#REF!</definedName>
    <definedName name="Filial_Turno_Trab._Centro_Custo_Matricula_Nome" localSheetId="165">#REF!</definedName>
    <definedName name="Filial_Turno_Trab._Centro_Custo_Matricula_Nome" localSheetId="105">#REF!</definedName>
    <definedName name="Filial_Turno_Trab._Centro_Custo_Matricula_Nome" localSheetId="118">#REF!</definedName>
    <definedName name="Filial_Turno_Trab._Centro_Custo_Matricula_Nome" localSheetId="131">#REF!</definedName>
    <definedName name="Filial_Turno_Trab._Centro_Custo_Matricula_Nome" localSheetId="144">#REF!</definedName>
    <definedName name="Filial_Turno_Trab._Centro_Custo_Matricula_Nome" localSheetId="157">#REF!</definedName>
    <definedName name="Filial_Turno_Trab._Centro_Custo_Matricula_Nome" localSheetId="169">#REF!</definedName>
    <definedName name="Filial_Turno_Trab._Centro_Custo_Matricula_Nome" localSheetId="173">#REF!</definedName>
    <definedName name="Filial_Turno_Trab._Centro_Custo_Matricula_Nome" localSheetId="108">#REF!</definedName>
    <definedName name="Filial_Turno_Trab._Centro_Custo_Matricula_Nome" localSheetId="121">#REF!</definedName>
    <definedName name="Filial_Turno_Trab._Centro_Custo_Matricula_Nome" localSheetId="134">#REF!</definedName>
    <definedName name="Filial_Turno_Trab._Centro_Custo_Matricula_Nome" localSheetId="147">#REF!</definedName>
    <definedName name="Filial_Turno_Trab._Centro_Custo_Matricula_Nome" localSheetId="159">#REF!</definedName>
    <definedName name="Filial_Turno_Trab._Centro_Custo_Matricula_Nome" localSheetId="171">#REF!</definedName>
    <definedName name="Filial_Turno_Trab._Centro_Custo_Matricula_Nome" localSheetId="107">#REF!</definedName>
    <definedName name="Filial_Turno_Trab._Centro_Custo_Matricula_Nome" localSheetId="120">#REF!</definedName>
    <definedName name="Filial_Turno_Trab._Centro_Custo_Matricula_Nome" localSheetId="133">#REF!</definedName>
    <definedName name="Filial_Turno_Trab._Centro_Custo_Matricula_Nome" localSheetId="146">#REF!</definedName>
    <definedName name="Filial_Turno_Trab._Centro_Custo_Matricula_Nome" localSheetId="158">#REF!</definedName>
    <definedName name="Filial_Turno_Trab._Centro_Custo_Matricula_Nome" localSheetId="170">#REF!</definedName>
    <definedName name="Filial_Turno_Trab._Centro_Custo_Matricula_Nome" localSheetId="113">#REF!</definedName>
    <definedName name="Filial_Turno_Trab._Centro_Custo_Matricula_Nome" localSheetId="126">#REF!</definedName>
    <definedName name="Filial_Turno_Trab._Centro_Custo_Matricula_Nome" localSheetId="139">#REF!</definedName>
    <definedName name="Filial_Turno_Trab._Centro_Custo_Matricula_Nome" localSheetId="152">#REF!</definedName>
    <definedName name="Filial_Turno_Trab._Centro_Custo_Matricula_Nome" localSheetId="164">#REF!</definedName>
    <definedName name="Filial_Turno_Trab._Centro_Custo_Matricula_Nome" localSheetId="112">#REF!</definedName>
    <definedName name="Filial_Turno_Trab._Centro_Custo_Matricula_Nome" localSheetId="125">#REF!</definedName>
    <definedName name="Filial_Turno_Trab._Centro_Custo_Matricula_Nome" localSheetId="138">#REF!</definedName>
    <definedName name="Filial_Turno_Trab._Centro_Custo_Matricula_Nome" localSheetId="151">#REF!</definedName>
    <definedName name="Filial_Turno_Trab._Centro_Custo_Matricula_Nome" localSheetId="163">#REF!</definedName>
    <definedName name="Filial_Turno_Trab._Centro_Custo_Matricula_Nome" localSheetId="111">#REF!</definedName>
    <definedName name="Filial_Turno_Trab._Centro_Custo_Matricula_Nome" localSheetId="124">#REF!</definedName>
    <definedName name="Filial_Turno_Trab._Centro_Custo_Matricula_Nome" localSheetId="137">#REF!</definedName>
    <definedName name="Filial_Turno_Trab._Centro_Custo_Matricula_Nome" localSheetId="150">#REF!</definedName>
    <definedName name="Filial_Turno_Trab._Centro_Custo_Matricula_Nome" localSheetId="162">#REF!</definedName>
    <definedName name="Filial_Turno_Trab._Centro_Custo_Matricula_Nome" localSheetId="109">#REF!</definedName>
    <definedName name="Filial_Turno_Trab._Centro_Custo_Matricula_Nome" localSheetId="122">#REF!</definedName>
    <definedName name="Filial_Turno_Trab._Centro_Custo_Matricula_Nome" localSheetId="135">#REF!</definedName>
    <definedName name="Filial_Turno_Trab._Centro_Custo_Matricula_Nome" localSheetId="148">#REF!</definedName>
    <definedName name="Filial_Turno_Trab._Centro_Custo_Matricula_Nome" localSheetId="160">#REF!</definedName>
    <definedName name="Filial_Turno_Trab._Centro_Custo_Matricula_Nome" localSheetId="195">#REF!</definedName>
    <definedName name="Filial_Turno_Trab._Centro_Custo_Matricula_Nome" localSheetId="104">#REF!</definedName>
    <definedName name="Filial_Turno_Trab._Centro_Custo_Matricula_Nome" localSheetId="117">#REF!</definedName>
    <definedName name="Filial_Turno_Trab._Centro_Custo_Matricula_Nome" localSheetId="130">#REF!</definedName>
    <definedName name="Filial_Turno_Trab._Centro_Custo_Matricula_Nome" localSheetId="143">#REF!</definedName>
    <definedName name="Filial_Turno_Trab._Centro_Custo_Matricula_Nome" localSheetId="156">#REF!</definedName>
    <definedName name="Filial_Turno_Trab._Centro_Custo_Matricula_Nome" localSheetId="168">#REF!</definedName>
    <definedName name="Filial_Turno_Trab._Centro_Custo_Matricula_Nome" localSheetId="192">#REF!</definedName>
    <definedName name="Filial_Turno_Trab._Centro_Custo_Matricula_Nome" localSheetId="103">#REF!</definedName>
    <definedName name="Filial_Turno_Trab._Centro_Custo_Matricula_Nome" localSheetId="116">#REF!</definedName>
    <definedName name="Filial_Turno_Trab._Centro_Custo_Matricula_Nome" localSheetId="129">#REF!</definedName>
    <definedName name="Filial_Turno_Trab._Centro_Custo_Matricula_Nome" localSheetId="142">#REF!</definedName>
    <definedName name="Filial_Turno_Trab._Centro_Custo_Matricula_Nome" localSheetId="155">#REF!</definedName>
    <definedName name="Filial_Turno_Trab._Centro_Custo_Matricula_Nome" localSheetId="167">#REF!</definedName>
    <definedName name="Filial_Turno_Trab._Centro_Custo_Matricula_Nome" localSheetId="115">#REF!</definedName>
    <definedName name="Filial_Turno_Trab._Centro_Custo_Matricula_Nome" localSheetId="128">#REF!</definedName>
    <definedName name="Filial_Turno_Trab._Centro_Custo_Matricula_Nome" localSheetId="141">#REF!</definedName>
    <definedName name="Filial_Turno_Trab._Centro_Custo_Matricula_Nome" localSheetId="154">#REF!</definedName>
    <definedName name="Filial_Turno_Trab._Centro_Custo_Matricula_Nome" localSheetId="166">#REF!</definedName>
    <definedName name="Filial_Turno_Trab._Centro_Custo_Matricula_Nome">#REF!</definedName>
    <definedName name="Intervalo" localSheetId="93" hidden="1">'Acumulado 2019'!#REF!</definedName>
    <definedName name="não">'Abril-22'!$C$61:$C$73</definedName>
    <definedName name="Pizza">'Abril-22'!$C$67:$F$67</definedName>
    <definedName name="Rifa_ovo_páscoa_Zeza">'Abril-22'!$C$63:$F$63</definedName>
    <definedName name="SegmentaçãodeDados_Despesas_2025">#N/A</definedName>
    <definedName name="SegmentaçãodeDados_Despesas_20251">#N/A</definedName>
    <definedName name="Shampoo">'Abril-22'!$C$72:$F$72</definedName>
    <definedName name="_xlnm.Print_Titles" localSheetId="174">'Fundo construção'!$1:$2</definedName>
    <definedName name="_xlnm.Print_Titles" localSheetId="186">'Paredes casa'!#REF!</definedName>
    <definedName name="_xlnm.Print_Titles" localSheetId="188">'Porão+Escada+lavanderia'!$1:$2</definedName>
  </definedNames>
  <calcPr calcId="191029"/>
  <pivotCaches>
    <pivotCache cacheId="0" r:id="rId201"/>
    <pivotCache cacheId="1" r:id="rId202"/>
    <pivotCache cacheId="2" r:id="rId203"/>
  </pivotCaches>
  <fileRecoveryPr autoRecover="0"/>
  <extLst>
    <ext xmlns:x14="http://schemas.microsoft.com/office/spreadsheetml/2009/9/main" uri="{876F7934-8845-4945-9796-88D515C7AA90}">
      <x14:pivotCaches>
        <pivotCache cacheId="3" r:id="rId204"/>
        <pivotCache cacheId="4" r:id="rId205"/>
      </x14:pivotCaches>
    </ext>
    <ext xmlns:x14="http://schemas.microsoft.com/office/spreadsheetml/2009/9/main" uri="{BBE1A952-AA13-448e-AADC-164F8A28A991}">
      <x14:slicerCaches>
        <x14:slicerCache r:id="rId206"/>
        <x14:slicerCache r:id="rId20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5" r:id="rId208"/>
        <pivotCache cacheId="6" r:id="rId209"/>
      </x15:pivotCaches>
    </ext>
    <ext xmlns:x15="http://schemas.microsoft.com/office/spreadsheetml/2010/11/main" uri="{983426D0-5260-488c-9760-48F4B6AC55F4}">
      <x15:pivotTableReferences>
        <x15:pivotTableReference r:id="rId210"/>
        <x15:pivotTableReference r:id="rId21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" name="Tabela1" connection="WorksheetConnection_Formulário.xlsx!Tabe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6" i="268" l="1"/>
  <c r="E206" i="268" s="1"/>
  <c r="F206" i="268" s="1"/>
  <c r="K49" i="206"/>
  <c r="J49" i="206"/>
  <c r="H49" i="206"/>
  <c r="I49" i="206"/>
  <c r="M8" i="4"/>
  <c r="M9" i="4" s="1"/>
  <c r="I39" i="214"/>
  <c r="D212" i="268" l="1"/>
  <c r="M77" i="206"/>
  <c r="E10" i="214"/>
  <c r="D221" i="268"/>
  <c r="D197" i="265"/>
  <c r="D198" i="265"/>
  <c r="D199" i="265"/>
  <c r="D200" i="265"/>
  <c r="D201" i="265"/>
  <c r="D202" i="265"/>
  <c r="D187" i="265"/>
  <c r="D188" i="265"/>
  <c r="D189" i="265"/>
  <c r="D190" i="265"/>
  <c r="D191" i="265"/>
  <c r="D192" i="265"/>
  <c r="D193" i="265"/>
  <c r="D194" i="265"/>
  <c r="D195" i="265"/>
  <c r="D196" i="265"/>
  <c r="D186" i="265"/>
  <c r="F182" i="265"/>
  <c r="K6" i="206" l="1"/>
  <c r="I6" i="206"/>
  <c r="J6" i="206" s="1"/>
  <c r="K32" i="206"/>
  <c r="J32" i="206"/>
  <c r="I32" i="206"/>
  <c r="K59" i="206"/>
  <c r="I59" i="206"/>
  <c r="J59" i="206" s="1"/>
  <c r="O8" i="214"/>
  <c r="I10" i="214"/>
  <c r="E57" i="214"/>
  <c r="E56" i="214"/>
  <c r="E48" i="214"/>
  <c r="E47" i="214"/>
  <c r="E39" i="214" l="1"/>
  <c r="E38" i="214"/>
  <c r="E52" i="214" l="1"/>
  <c r="P57" i="214" s="1"/>
  <c r="E43" i="214"/>
  <c r="P48" i="214" s="1"/>
  <c r="E34" i="214"/>
  <c r="E17" i="4"/>
  <c r="E18" i="4"/>
  <c r="T8" i="4"/>
  <c r="U8" i="4" s="1"/>
  <c r="U20" i="4"/>
  <c r="W17" i="4"/>
  <c r="W18" i="4"/>
  <c r="W19" i="4"/>
  <c r="W16" i="4"/>
  <c r="M5" i="4"/>
  <c r="M6" i="4"/>
  <c r="M7" i="4"/>
  <c r="P8" i="4" l="1"/>
  <c r="R4" i="4" s="1"/>
  <c r="Q17" i="4"/>
  <c r="L39" i="214"/>
  <c r="N37" i="214" s="1"/>
  <c r="I54" i="214"/>
  <c r="P39" i="214"/>
  <c r="Q39" i="214" s="1"/>
  <c r="Q48" i="214"/>
  <c r="I48" i="214"/>
  <c r="W20" i="4"/>
  <c r="L48" i="214"/>
  <c r="I57" i="214"/>
  <c r="L57" i="214" s="1"/>
  <c r="N54" i="214" s="1"/>
  <c r="Q57" i="214"/>
  <c r="I37" i="214"/>
  <c r="I45" i="214"/>
  <c r="I47" i="214"/>
  <c r="I55" i="214"/>
  <c r="I56" i="214"/>
  <c r="I46" i="214"/>
  <c r="I36" i="214"/>
  <c r="I38" i="214"/>
  <c r="M10" i="4"/>
  <c r="B6" i="4"/>
  <c r="U29" i="214"/>
  <c r="U28" i="214"/>
  <c r="E29" i="214"/>
  <c r="E28" i="214"/>
  <c r="K61" i="206"/>
  <c r="C62" i="270"/>
  <c r="B62" i="270" s="1"/>
  <c r="C61" i="270"/>
  <c r="B61" i="270" s="1"/>
  <c r="C60" i="270"/>
  <c r="B60" i="270" s="1"/>
  <c r="C59" i="270"/>
  <c r="B59" i="270" s="1"/>
  <c r="C57" i="270"/>
  <c r="B57" i="270" s="1"/>
  <c r="C56" i="270"/>
  <c r="B56" i="270" s="1"/>
  <c r="O63" i="270"/>
  <c r="K63" i="270"/>
  <c r="G63" i="270"/>
  <c r="C54" i="270"/>
  <c r="B54" i="270" s="1"/>
  <c r="C53" i="270"/>
  <c r="B53" i="270" s="1"/>
  <c r="C52" i="270"/>
  <c r="B52" i="270" s="1"/>
  <c r="P24" i="270" a="1"/>
  <c r="P24" i="270" s="1"/>
  <c r="N63" i="270"/>
  <c r="M63" i="270"/>
  <c r="L63" i="270"/>
  <c r="J63" i="270"/>
  <c r="I63" i="270"/>
  <c r="H63" i="270"/>
  <c r="F63" i="270"/>
  <c r="E63" i="270"/>
  <c r="O20" i="270"/>
  <c r="J20" i="270"/>
  <c r="H20" i="270"/>
  <c r="G20" i="270"/>
  <c r="N20" i="270"/>
  <c r="M20" i="270"/>
  <c r="L20" i="270"/>
  <c r="I20" i="270"/>
  <c r="F20" i="270"/>
  <c r="I19" i="192"/>
  <c r="J19" i="192"/>
  <c r="G29" i="214" l="1"/>
  <c r="G28" i="214"/>
  <c r="N53" i="214"/>
  <c r="N56" i="214"/>
  <c r="P56" i="214" s="1"/>
  <c r="P58" i="214" s="1"/>
  <c r="N55" i="214"/>
  <c r="N35" i="214"/>
  <c r="N38" i="214"/>
  <c r="G27" i="214"/>
  <c r="N36" i="214"/>
  <c r="C55" i="270"/>
  <c r="B55" i="270" s="1"/>
  <c r="E20" i="270"/>
  <c r="K18" i="206"/>
  <c r="H18" i="206"/>
  <c r="I18" i="206" s="1"/>
  <c r="J18" i="206" s="1"/>
  <c r="K48" i="206"/>
  <c r="H48" i="206"/>
  <c r="I48" i="206" s="1"/>
  <c r="J48" i="206" s="1"/>
  <c r="D224" i="268"/>
  <c r="D58" i="270" s="1"/>
  <c r="C58" i="270" s="1"/>
  <c r="D223" i="268"/>
  <c r="D22" i="270" s="1"/>
  <c r="C22" i="270" s="1"/>
  <c r="H82" i="206"/>
  <c r="I82" i="206" s="1"/>
  <c r="J82" i="206" s="1"/>
  <c r="K82" i="206"/>
  <c r="D503" i="234"/>
  <c r="D482" i="234"/>
  <c r="H81" i="206"/>
  <c r="I81" i="206" s="1"/>
  <c r="J81" i="206" s="1"/>
  <c r="H80" i="206"/>
  <c r="I80" i="206" s="1"/>
  <c r="J80" i="206" s="1"/>
  <c r="D207" i="268"/>
  <c r="D208" i="268"/>
  <c r="D5" i="270" s="1"/>
  <c r="Q5" i="270" s="1"/>
  <c r="D209" i="268"/>
  <c r="D6" i="270" s="1"/>
  <c r="Q6" i="270" s="1"/>
  <c r="D210" i="268"/>
  <c r="D7" i="270" s="1"/>
  <c r="Q7" i="270" s="1"/>
  <c r="D211" i="268"/>
  <c r="D8" i="270" s="1"/>
  <c r="Q8" i="270" s="1"/>
  <c r="D9" i="270"/>
  <c r="Q9" i="270" s="1"/>
  <c r="D213" i="268"/>
  <c r="D10" i="270" s="1"/>
  <c r="Q10" i="270" s="1"/>
  <c r="D214" i="268"/>
  <c r="D11" i="270" s="1"/>
  <c r="Q11" i="270" s="1"/>
  <c r="D215" i="268"/>
  <c r="D12" i="270" s="1"/>
  <c r="Q12" i="270" s="1"/>
  <c r="D216" i="268"/>
  <c r="D13" i="270" s="1"/>
  <c r="Q13" i="270" s="1"/>
  <c r="D217" i="268"/>
  <c r="D14" i="270" s="1"/>
  <c r="Q14" i="270" s="1"/>
  <c r="D218" i="268"/>
  <c r="D15" i="270" s="1"/>
  <c r="Q15" i="270" s="1"/>
  <c r="D219" i="268"/>
  <c r="D16" i="270" s="1"/>
  <c r="Q16" i="270" s="1"/>
  <c r="D220" i="268"/>
  <c r="D17" i="270" s="1"/>
  <c r="Q17" i="270" s="1"/>
  <c r="D18" i="270"/>
  <c r="Q18" i="270" s="1"/>
  <c r="D222" i="268"/>
  <c r="D19" i="270" s="1"/>
  <c r="Q19" i="270" s="1"/>
  <c r="D3" i="270"/>
  <c r="Q3" i="270" s="1"/>
  <c r="D93" i="269"/>
  <c r="E89" i="269"/>
  <c r="D86" i="269"/>
  <c r="E86" i="269" s="1"/>
  <c r="D85" i="269"/>
  <c r="E85" i="269" s="1"/>
  <c r="D84" i="269"/>
  <c r="E84" i="269" s="1"/>
  <c r="D83" i="269"/>
  <c r="E83" i="269" s="1"/>
  <c r="D82" i="269"/>
  <c r="E82" i="269" s="1"/>
  <c r="D81" i="269"/>
  <c r="E81" i="269" s="1"/>
  <c r="D80" i="269"/>
  <c r="E80" i="269" s="1"/>
  <c r="D79" i="269"/>
  <c r="E79" i="269" s="1"/>
  <c r="F79" i="269" s="1"/>
  <c r="D78" i="269"/>
  <c r="E78" i="269" s="1"/>
  <c r="D77" i="269"/>
  <c r="D76" i="269"/>
  <c r="E76" i="269" s="1"/>
  <c r="D75" i="269"/>
  <c r="E75" i="269" s="1"/>
  <c r="D74" i="269"/>
  <c r="E74" i="269" s="1"/>
  <c r="D73" i="269"/>
  <c r="E73" i="269" s="1"/>
  <c r="D72" i="269"/>
  <c r="E72" i="269" s="1"/>
  <c r="D71" i="269"/>
  <c r="E71" i="269" s="1"/>
  <c r="D70" i="269"/>
  <c r="E70" i="269" s="1"/>
  <c r="D69" i="269"/>
  <c r="E69" i="269" s="1"/>
  <c r="D68" i="269"/>
  <c r="P64" i="269"/>
  <c r="N64" i="269"/>
  <c r="L64" i="269"/>
  <c r="J64" i="269"/>
  <c r="H64" i="269"/>
  <c r="F64" i="269"/>
  <c r="R63" i="269"/>
  <c r="R196" i="268"/>
  <c r="D4" i="270" l="1"/>
  <c r="Q4" i="270" s="1"/>
  <c r="E207" i="268"/>
  <c r="P38" i="214"/>
  <c r="P40" i="214" s="1"/>
  <c r="I27" i="214" s="1"/>
  <c r="M27" i="214" s="1"/>
  <c r="N27" i="214" s="1"/>
  <c r="H29" i="214"/>
  <c r="F71" i="269"/>
  <c r="N47" i="214"/>
  <c r="Q56" i="214"/>
  <c r="Q38" i="214"/>
  <c r="D20" i="270"/>
  <c r="Q20" i="270" s="1"/>
  <c r="B22" i="270"/>
  <c r="S24" i="43"/>
  <c r="B58" i="270"/>
  <c r="B63" i="270" s="1"/>
  <c r="A68" i="270" s="1"/>
  <c r="S25" i="43"/>
  <c r="D63" i="270"/>
  <c r="C63" i="270"/>
  <c r="F82" i="269"/>
  <c r="F72" i="269"/>
  <c r="F75" i="269"/>
  <c r="F83" i="269"/>
  <c r="J88" i="269"/>
  <c r="J89" i="269" s="1"/>
  <c r="M88" i="269" s="1"/>
  <c r="F76" i="269"/>
  <c r="F84" i="269"/>
  <c r="F69" i="269"/>
  <c r="F70" i="269"/>
  <c r="F78" i="269"/>
  <c r="D94" i="269"/>
  <c r="D95" i="269" s="1"/>
  <c r="F73" i="269"/>
  <c r="F80" i="269"/>
  <c r="F74" i="269"/>
  <c r="F81" i="269"/>
  <c r="E77" i="269"/>
  <c r="F77" i="269" s="1"/>
  <c r="E68" i="269"/>
  <c r="F68" i="269" s="1"/>
  <c r="K17" i="206"/>
  <c r="H17" i="206"/>
  <c r="I17" i="206" s="1"/>
  <c r="J17" i="206" s="1"/>
  <c r="K47" i="206"/>
  <c r="H47" i="206"/>
  <c r="I47" i="206" s="1"/>
  <c r="J47" i="206" s="1"/>
  <c r="O23" i="206"/>
  <c r="K16" i="206"/>
  <c r="H16" i="206"/>
  <c r="I16" i="206" s="1"/>
  <c r="J16" i="206" s="1"/>
  <c r="K15" i="206"/>
  <c r="H15" i="206"/>
  <c r="I15" i="206" s="1"/>
  <c r="J15" i="206" s="1"/>
  <c r="K14" i="206"/>
  <c r="H14" i="206"/>
  <c r="I14" i="206" s="1"/>
  <c r="J14" i="206" s="1"/>
  <c r="K13" i="206"/>
  <c r="H13" i="206"/>
  <c r="I13" i="206" s="1"/>
  <c r="J13" i="206" s="1"/>
  <c r="K12" i="206"/>
  <c r="H12" i="206"/>
  <c r="I12" i="206" s="1"/>
  <c r="J12" i="206" s="1"/>
  <c r="K11" i="206"/>
  <c r="H11" i="206"/>
  <c r="I11" i="206" s="1"/>
  <c r="J11" i="206" s="1"/>
  <c r="K10" i="206"/>
  <c r="H10" i="206"/>
  <c r="I10" i="206" s="1"/>
  <c r="J10" i="206" s="1"/>
  <c r="K9" i="206"/>
  <c r="H9" i="206"/>
  <c r="I9" i="206" s="1"/>
  <c r="J9" i="206" s="1"/>
  <c r="K8" i="206"/>
  <c r="M6" i="206" s="1"/>
  <c r="H8" i="206"/>
  <c r="I8" i="206" s="1"/>
  <c r="J8" i="206" s="1"/>
  <c r="K7" i="206"/>
  <c r="I7" i="206"/>
  <c r="J7" i="206" s="1"/>
  <c r="K5" i="206"/>
  <c r="I5" i="206"/>
  <c r="J5" i="206" s="1"/>
  <c r="K4" i="206"/>
  <c r="I4" i="206"/>
  <c r="J4" i="206" s="1"/>
  <c r="K3" i="206"/>
  <c r="I3" i="206"/>
  <c r="J3" i="206" s="1"/>
  <c r="P47" i="214" l="1"/>
  <c r="Q47" i="214" s="1"/>
  <c r="E88" i="269"/>
  <c r="F91" i="269" s="1"/>
  <c r="N46" i="214"/>
  <c r="N44" i="214"/>
  <c r="N45" i="214"/>
  <c r="P49" i="214"/>
  <c r="I28" i="214" s="1"/>
  <c r="Q58" i="214"/>
  <c r="I29" i="214"/>
  <c r="M29" i="214" s="1"/>
  <c r="N29" i="214" s="1"/>
  <c r="O27" i="214"/>
  <c r="F85" i="269"/>
  <c r="O19" i="206"/>
  <c r="M23" i="206"/>
  <c r="M14" i="206"/>
  <c r="M10" i="206" s="1"/>
  <c r="O14" i="206"/>
  <c r="O6" i="206"/>
  <c r="M19" i="206"/>
  <c r="H79" i="206"/>
  <c r="I79" i="206" s="1"/>
  <c r="J79" i="206" s="1"/>
  <c r="Q49" i="214" l="1"/>
  <c r="E91" i="269"/>
  <c r="V29" i="214"/>
  <c r="J29" i="214"/>
  <c r="M28" i="214"/>
  <c r="N28" i="214" s="1"/>
  <c r="V28" i="214"/>
  <c r="O10" i="206"/>
  <c r="K46" i="206"/>
  <c r="H46" i="206"/>
  <c r="I46" i="206" s="1"/>
  <c r="J46" i="206" s="1"/>
  <c r="K45" i="206"/>
  <c r="H45" i="206"/>
  <c r="I45" i="206" s="1"/>
  <c r="J45" i="206" s="1"/>
  <c r="H76" i="206"/>
  <c r="I76" i="206" s="1"/>
  <c r="J76" i="206" s="1"/>
  <c r="H78" i="206"/>
  <c r="I78" i="206" s="1"/>
  <c r="J78" i="206" s="1"/>
  <c r="H77" i="206"/>
  <c r="I77" i="206" s="1"/>
  <c r="J77" i="206" s="1"/>
  <c r="D211" i="267"/>
  <c r="K118" i="206"/>
  <c r="K119" i="206"/>
  <c r="K120" i="206"/>
  <c r="H120" i="206" l="1"/>
  <c r="I120" i="206" s="1"/>
  <c r="J120" i="206" s="1"/>
  <c r="H119" i="206"/>
  <c r="I119" i="206" s="1"/>
  <c r="J119" i="206" s="1"/>
  <c r="H118" i="206"/>
  <c r="I118" i="206" s="1"/>
  <c r="J118" i="206" s="1"/>
  <c r="K117" i="206" l="1"/>
  <c r="H117" i="206"/>
  <c r="I117" i="206" s="1"/>
  <c r="J117" i="206" s="1"/>
  <c r="O108" i="206"/>
  <c r="K116" i="206"/>
  <c r="H116" i="206"/>
  <c r="I116" i="206" s="1"/>
  <c r="J116" i="206" s="1"/>
  <c r="O49" i="206" l="1"/>
  <c r="K44" i="206"/>
  <c r="H44" i="206"/>
  <c r="I44" i="206" s="1"/>
  <c r="J44" i="206" s="1"/>
  <c r="K43" i="206"/>
  <c r="H43" i="206"/>
  <c r="I43" i="206" s="1"/>
  <c r="J43" i="206" s="1"/>
  <c r="K42" i="206"/>
  <c r="H42" i="206"/>
  <c r="I42" i="206" s="1"/>
  <c r="J42" i="206" s="1"/>
  <c r="K41" i="206"/>
  <c r="H41" i="206"/>
  <c r="I41" i="206" s="1"/>
  <c r="J41" i="206" s="1"/>
  <c r="K40" i="206"/>
  <c r="H40" i="206"/>
  <c r="I40" i="206" s="1"/>
  <c r="J40" i="206" s="1"/>
  <c r="K39" i="206"/>
  <c r="H39" i="206"/>
  <c r="I39" i="206" s="1"/>
  <c r="J39" i="206" s="1"/>
  <c r="K38" i="206"/>
  <c r="H38" i="206"/>
  <c r="I38" i="206" s="1"/>
  <c r="J38" i="206" s="1"/>
  <c r="K37" i="206"/>
  <c r="M49" i="206" s="1"/>
  <c r="H37" i="206"/>
  <c r="I37" i="206" s="1"/>
  <c r="J37" i="206" s="1"/>
  <c r="K36" i="206"/>
  <c r="H36" i="206"/>
  <c r="I36" i="206" s="1"/>
  <c r="J36" i="206" s="1"/>
  <c r="K35" i="206"/>
  <c r="H35" i="206"/>
  <c r="I35" i="206" s="1"/>
  <c r="J35" i="206" s="1"/>
  <c r="K34" i="206"/>
  <c r="H34" i="206"/>
  <c r="I34" i="206" s="1"/>
  <c r="K33" i="206"/>
  <c r="I33" i="206"/>
  <c r="J33" i="206" s="1"/>
  <c r="K31" i="206"/>
  <c r="I31" i="206"/>
  <c r="J31" i="206" s="1"/>
  <c r="K30" i="206"/>
  <c r="I30" i="206"/>
  <c r="J30" i="206" s="1"/>
  <c r="K29" i="206"/>
  <c r="I29" i="206"/>
  <c r="J29" i="206" s="1"/>
  <c r="M32" i="206" l="1"/>
  <c r="M40" i="206"/>
  <c r="O45" i="206"/>
  <c r="M45" i="206"/>
  <c r="J34" i="206"/>
  <c r="O32" i="206"/>
  <c r="O40" i="206"/>
  <c r="D220" i="267"/>
  <c r="M36" i="206" l="1"/>
  <c r="O36" i="206"/>
  <c r="R197" i="267"/>
  <c r="P24" i="251" a="1"/>
  <c r="P24" i="251" s="1"/>
  <c r="D471" i="234"/>
  <c r="D203" i="267"/>
  <c r="D204" i="267"/>
  <c r="D205" i="267"/>
  <c r="D206" i="267"/>
  <c r="D207" i="267"/>
  <c r="D208" i="267"/>
  <c r="D209" i="267"/>
  <c r="D210" i="267"/>
  <c r="O12" i="251"/>
  <c r="D212" i="267"/>
  <c r="D213" i="267"/>
  <c r="D214" i="267"/>
  <c r="D215" i="267"/>
  <c r="D216" i="267"/>
  <c r="D217" i="267"/>
  <c r="D218" i="267"/>
  <c r="D202" i="267"/>
  <c r="K115" i="206"/>
  <c r="K114" i="206"/>
  <c r="K113" i="206"/>
  <c r="K110" i="206"/>
  <c r="H113" i="206"/>
  <c r="I113" i="206" s="1"/>
  <c r="J113" i="206" s="1"/>
  <c r="H114" i="206"/>
  <c r="I114" i="206" s="1"/>
  <c r="J114" i="206" s="1"/>
  <c r="H115" i="206"/>
  <c r="I115" i="206" s="1"/>
  <c r="J115" i="206" s="1"/>
  <c r="D231" i="268" l="1"/>
  <c r="E227" i="268"/>
  <c r="E224" i="268"/>
  <c r="E223" i="268"/>
  <c r="E222" i="268"/>
  <c r="E221" i="268"/>
  <c r="E220" i="268"/>
  <c r="E219" i="268"/>
  <c r="E218" i="268"/>
  <c r="E217" i="268"/>
  <c r="E216" i="268"/>
  <c r="E214" i="268"/>
  <c r="E213" i="268"/>
  <c r="E212" i="268"/>
  <c r="E211" i="268"/>
  <c r="E210" i="268"/>
  <c r="E209" i="268"/>
  <c r="E208" i="268"/>
  <c r="P197" i="268"/>
  <c r="N197" i="268"/>
  <c r="L197" i="268"/>
  <c r="J197" i="268"/>
  <c r="H197" i="268"/>
  <c r="F197" i="268"/>
  <c r="H112" i="206"/>
  <c r="I112" i="206" s="1"/>
  <c r="J112" i="206" s="1"/>
  <c r="H111" i="206"/>
  <c r="I111" i="206" s="1"/>
  <c r="J111" i="206" s="1"/>
  <c r="F209" i="268" l="1"/>
  <c r="F217" i="268"/>
  <c r="F218" i="268"/>
  <c r="F211" i="268"/>
  <c r="F219" i="268"/>
  <c r="F212" i="268"/>
  <c r="F220" i="268"/>
  <c r="F222" i="268"/>
  <c r="F210" i="268"/>
  <c r="F213" i="268"/>
  <c r="F214" i="268"/>
  <c r="F207" i="268"/>
  <c r="F208" i="268"/>
  <c r="F216" i="268"/>
  <c r="D232" i="268"/>
  <c r="D233" i="268" s="1"/>
  <c r="E215" i="268"/>
  <c r="F215" i="268" s="1"/>
  <c r="J226" i="268"/>
  <c r="E226" i="268" s="1"/>
  <c r="F229" i="268" s="1"/>
  <c r="F221" i="268"/>
  <c r="D211" i="265"/>
  <c r="D191" i="266"/>
  <c r="F223" i="268" l="1"/>
  <c r="J227" i="268"/>
  <c r="L226" i="268" s="1"/>
  <c r="E229" i="268"/>
  <c r="K75" i="206" l="1"/>
  <c r="H75" i="206"/>
  <c r="I75" i="206" s="1"/>
  <c r="J75" i="206" s="1"/>
  <c r="H110" i="206" l="1"/>
  <c r="I110" i="206" s="1"/>
  <c r="J110" i="206" s="1"/>
  <c r="K146" i="206"/>
  <c r="H73" i="206" l="1"/>
  <c r="I73" i="206" s="1"/>
  <c r="J73" i="206" s="1"/>
  <c r="K108" i="206"/>
  <c r="H108" i="206"/>
  <c r="I108" i="206" s="1"/>
  <c r="J108" i="206" s="1"/>
  <c r="D169" i="264"/>
  <c r="D175" i="264"/>
  <c r="K74" i="206"/>
  <c r="H74" i="206"/>
  <c r="I74" i="206" s="1"/>
  <c r="J74" i="206" s="1"/>
  <c r="K109" i="206"/>
  <c r="H109" i="206"/>
  <c r="I109" i="206" s="1"/>
  <c r="J109" i="206" s="1"/>
  <c r="H161" i="206" l="1"/>
  <c r="I161" i="206" s="1"/>
  <c r="J161" i="206" s="1"/>
  <c r="K161" i="206"/>
  <c r="E197" i="266" l="1"/>
  <c r="K158" i="206"/>
  <c r="H160" i="206"/>
  <c r="I160" i="206" s="1"/>
  <c r="J160" i="206" s="1"/>
  <c r="K160" i="206"/>
  <c r="K159" i="206" l="1"/>
  <c r="H159" i="206"/>
  <c r="I159" i="206" s="1"/>
  <c r="J159" i="206" s="1"/>
  <c r="J18" i="192" l="1"/>
  <c r="H18" i="192"/>
  <c r="O81" i="206"/>
  <c r="K72" i="206"/>
  <c r="H72" i="206"/>
  <c r="I72" i="206" s="1"/>
  <c r="J72" i="206" s="1"/>
  <c r="K71" i="206"/>
  <c r="H71" i="206"/>
  <c r="I71" i="206" s="1"/>
  <c r="J71" i="206" s="1"/>
  <c r="H70" i="206"/>
  <c r="I70" i="206" s="1"/>
  <c r="J70" i="206" s="1"/>
  <c r="K69" i="206"/>
  <c r="H69" i="206"/>
  <c r="I69" i="206" s="1"/>
  <c r="J69" i="206" s="1"/>
  <c r="K68" i="206"/>
  <c r="H68" i="206"/>
  <c r="I68" i="206" s="1"/>
  <c r="J68" i="206" s="1"/>
  <c r="H67" i="206"/>
  <c r="I67" i="206" s="1"/>
  <c r="J67" i="206" s="1"/>
  <c r="H66" i="206"/>
  <c r="I66" i="206" s="1"/>
  <c r="J66" i="206" s="1"/>
  <c r="K65" i="206"/>
  <c r="H65" i="206"/>
  <c r="I65" i="206" s="1"/>
  <c r="J65" i="206" s="1"/>
  <c r="K64" i="206"/>
  <c r="H64" i="206"/>
  <c r="I64" i="206" s="1"/>
  <c r="J64" i="206" s="1"/>
  <c r="K63" i="206"/>
  <c r="H63" i="206"/>
  <c r="I63" i="206" s="1"/>
  <c r="J63" i="206" s="1"/>
  <c r="K62" i="206"/>
  <c r="H62" i="206"/>
  <c r="I62" i="206" s="1"/>
  <c r="J62" i="206" s="1"/>
  <c r="H61" i="206"/>
  <c r="I61" i="206" s="1"/>
  <c r="I60" i="206"/>
  <c r="J60" i="206" s="1"/>
  <c r="I58" i="206"/>
  <c r="J58" i="206" s="1"/>
  <c r="I57" i="206"/>
  <c r="J57" i="206" s="1"/>
  <c r="I56" i="206"/>
  <c r="J56" i="206" s="1"/>
  <c r="I55" i="206"/>
  <c r="J55" i="206" s="1"/>
  <c r="M81" i="206" l="1"/>
  <c r="M58" i="206"/>
  <c r="O77" i="206"/>
  <c r="O66" i="206"/>
  <c r="J61" i="206"/>
  <c r="O58" i="206"/>
  <c r="M66" i="206"/>
  <c r="O62" i="206" l="1"/>
  <c r="M62" i="206"/>
  <c r="K107" i="206"/>
  <c r="H107" i="206"/>
  <c r="I107" i="206" s="1"/>
  <c r="J107" i="206" s="1"/>
  <c r="H158" i="206"/>
  <c r="I158" i="206" s="1"/>
  <c r="J158" i="206" s="1"/>
  <c r="H156" i="206" l="1"/>
  <c r="I156" i="206" s="1"/>
  <c r="J156" i="206" s="1"/>
  <c r="K156" i="206"/>
  <c r="H157" i="206"/>
  <c r="I157" i="206" s="1"/>
  <c r="J157" i="206" s="1"/>
  <c r="K157" i="206"/>
  <c r="J182" i="265" l="1"/>
  <c r="D227" i="267"/>
  <c r="E223" i="267"/>
  <c r="E220" i="267"/>
  <c r="D219" i="267"/>
  <c r="O3" i="251"/>
  <c r="P198" i="267"/>
  <c r="N198" i="267"/>
  <c r="L198" i="267"/>
  <c r="J198" i="267"/>
  <c r="H198" i="267"/>
  <c r="F198" i="267"/>
  <c r="K153" i="206"/>
  <c r="K154" i="206"/>
  <c r="K155" i="206"/>
  <c r="K131" i="206"/>
  <c r="E210" i="258"/>
  <c r="K106" i="206"/>
  <c r="H106" i="206"/>
  <c r="I106" i="206" s="1"/>
  <c r="J106" i="206" s="1"/>
  <c r="H155" i="206"/>
  <c r="I155" i="206" s="1"/>
  <c r="J155" i="206" s="1"/>
  <c r="H154" i="206"/>
  <c r="I154" i="206" s="1"/>
  <c r="J154" i="206" s="1"/>
  <c r="H153" i="206"/>
  <c r="I153" i="206" s="1"/>
  <c r="J153" i="206" s="1"/>
  <c r="R180" i="265"/>
  <c r="R181" i="265"/>
  <c r="K141" i="206"/>
  <c r="H151" i="206"/>
  <c r="I151" i="206" s="1"/>
  <c r="J151" i="206" s="1"/>
  <c r="E219" i="267" l="1"/>
  <c r="O22" i="251"/>
  <c r="O55" i="251" s="1"/>
  <c r="E213" i="267"/>
  <c r="F213" i="267" s="1"/>
  <c r="O14" i="251"/>
  <c r="E215" i="267"/>
  <c r="F215" i="267" s="1"/>
  <c r="O16" i="251"/>
  <c r="E210" i="267"/>
  <c r="F210" i="267" s="1"/>
  <c r="O11" i="251"/>
  <c r="E216" i="267"/>
  <c r="F216" i="267" s="1"/>
  <c r="O17" i="251"/>
  <c r="E204" i="267"/>
  <c r="F204" i="267" s="1"/>
  <c r="O5" i="251"/>
  <c r="E212" i="267"/>
  <c r="F212" i="267" s="1"/>
  <c r="O13" i="251"/>
  <c r="E209" i="267"/>
  <c r="F209" i="267" s="1"/>
  <c r="O10" i="251"/>
  <c r="E206" i="267"/>
  <c r="F206" i="267" s="1"/>
  <c r="O7" i="251"/>
  <c r="E217" i="267"/>
  <c r="F217" i="267" s="1"/>
  <c r="O18" i="251"/>
  <c r="E208" i="267"/>
  <c r="F208" i="267" s="1"/>
  <c r="O9" i="251"/>
  <c r="E205" i="267"/>
  <c r="F205" i="267" s="1"/>
  <c r="O6" i="251"/>
  <c r="E211" i="267"/>
  <c r="F211" i="267" s="1"/>
  <c r="E218" i="267"/>
  <c r="F218" i="267" s="1"/>
  <c r="O19" i="251"/>
  <c r="E214" i="267"/>
  <c r="F214" i="267" s="1"/>
  <c r="O15" i="251"/>
  <c r="E207" i="267"/>
  <c r="F207" i="267" s="1"/>
  <c r="O8" i="251"/>
  <c r="E203" i="267"/>
  <c r="F203" i="267" s="1"/>
  <c r="O4" i="251"/>
  <c r="O58" i="251"/>
  <c r="J222" i="267"/>
  <c r="J223" i="267" s="1"/>
  <c r="L222" i="267" s="1"/>
  <c r="E202" i="267"/>
  <c r="F202" i="267" s="1"/>
  <c r="D228" i="267"/>
  <c r="D229" i="267" s="1"/>
  <c r="Q186" i="265"/>
  <c r="K105" i="206"/>
  <c r="H105" i="206"/>
  <c r="I105" i="206" s="1"/>
  <c r="J105" i="206" s="1"/>
  <c r="K104" i="206"/>
  <c r="H104" i="206"/>
  <c r="I104" i="206" s="1"/>
  <c r="J104" i="206" s="1"/>
  <c r="K103" i="206"/>
  <c r="H103" i="206"/>
  <c r="I103" i="206" s="1"/>
  <c r="J103" i="206" s="1"/>
  <c r="K102" i="206"/>
  <c r="H102" i="206"/>
  <c r="I102" i="206" s="1"/>
  <c r="J102" i="206" s="1"/>
  <c r="H101" i="206"/>
  <c r="I101" i="206" s="1"/>
  <c r="J101" i="206" s="1"/>
  <c r="K100" i="206"/>
  <c r="H100" i="206"/>
  <c r="I100" i="206" s="1"/>
  <c r="J100" i="206" s="1"/>
  <c r="K99" i="206"/>
  <c r="H99" i="206"/>
  <c r="I99" i="206" s="1"/>
  <c r="J99" i="206" s="1"/>
  <c r="K98" i="206"/>
  <c r="H98" i="206"/>
  <c r="I98" i="206" s="1"/>
  <c r="J98" i="206" s="1"/>
  <c r="K97" i="206"/>
  <c r="H97" i="206"/>
  <c r="I97" i="206" s="1"/>
  <c r="J97" i="206" s="1"/>
  <c r="K96" i="206"/>
  <c r="H96" i="206"/>
  <c r="I96" i="206" s="1"/>
  <c r="J96" i="206" s="1"/>
  <c r="K95" i="206"/>
  <c r="H95" i="206"/>
  <c r="I95" i="206" s="1"/>
  <c r="J95" i="206" s="1"/>
  <c r="K94" i="206"/>
  <c r="H94" i="206"/>
  <c r="I94" i="206" s="1"/>
  <c r="J94" i="206" s="1"/>
  <c r="K93" i="206"/>
  <c r="H93" i="206"/>
  <c r="I93" i="206" s="1"/>
  <c r="J93" i="206" s="1"/>
  <c r="K92" i="206"/>
  <c r="I92" i="206"/>
  <c r="J92" i="206" s="1"/>
  <c r="K91" i="206"/>
  <c r="I91" i="206"/>
  <c r="J91" i="206" s="1"/>
  <c r="K90" i="206"/>
  <c r="I90" i="206"/>
  <c r="J90" i="206" s="1"/>
  <c r="K89" i="206"/>
  <c r="I89" i="206"/>
  <c r="J89" i="206" s="1"/>
  <c r="K88" i="206"/>
  <c r="I88" i="206"/>
  <c r="F219" i="267" l="1"/>
  <c r="O20" i="251"/>
  <c r="E222" i="267"/>
  <c r="M91" i="206"/>
  <c r="O104" i="206"/>
  <c r="M108" i="206"/>
  <c r="M104" i="206"/>
  <c r="O99" i="206"/>
  <c r="O91" i="206"/>
  <c r="M99" i="206"/>
  <c r="J88" i="206"/>
  <c r="M95" i="206" l="1"/>
  <c r="E225" i="267"/>
  <c r="F225" i="267"/>
  <c r="O95" i="206"/>
  <c r="K179" i="206" l="1"/>
  <c r="K180" i="206"/>
  <c r="K181" i="206"/>
  <c r="K182" i="206"/>
  <c r="K183" i="206"/>
  <c r="K184" i="206"/>
  <c r="K185" i="206"/>
  <c r="K188" i="206"/>
  <c r="K189" i="206"/>
  <c r="K191" i="206"/>
  <c r="K193" i="206"/>
  <c r="K194" i="206"/>
  <c r="K196" i="206"/>
  <c r="K197" i="206"/>
  <c r="K198" i="206"/>
  <c r="K199" i="206"/>
  <c r="K200" i="206"/>
  <c r="K178" i="206"/>
  <c r="H179" i="206"/>
  <c r="I179" i="206" s="1"/>
  <c r="J179" i="206" s="1"/>
  <c r="H180" i="206"/>
  <c r="I180" i="206" s="1"/>
  <c r="J180" i="206" s="1"/>
  <c r="H207" i="206"/>
  <c r="I207" i="206" s="1"/>
  <c r="J207" i="206" s="1"/>
  <c r="K207" i="206"/>
  <c r="G577" i="234"/>
  <c r="D521" i="234"/>
  <c r="O189" i="206" l="1"/>
  <c r="D457" i="234"/>
  <c r="D458" i="234"/>
  <c r="K145" i="206"/>
  <c r="H152" i="206"/>
  <c r="I152" i="206" s="1"/>
  <c r="J152" i="206" s="1"/>
  <c r="K150" i="206"/>
  <c r="H150" i="206"/>
  <c r="I150" i="206" s="1"/>
  <c r="J150" i="206" s="1"/>
  <c r="K149" i="206"/>
  <c r="H149" i="206"/>
  <c r="I149" i="206" s="1"/>
  <c r="J149" i="206" s="1"/>
  <c r="H148" i="206"/>
  <c r="I148" i="206" s="1"/>
  <c r="J148" i="206" s="1"/>
  <c r="H147" i="206"/>
  <c r="I147" i="206" s="1"/>
  <c r="J147" i="206" s="1"/>
  <c r="O147" i="206"/>
  <c r="H146" i="206"/>
  <c r="I146" i="206" s="1"/>
  <c r="J146" i="206" s="1"/>
  <c r="H145" i="206"/>
  <c r="I145" i="206" s="1"/>
  <c r="J145" i="206" s="1"/>
  <c r="K144" i="206"/>
  <c r="H144" i="206"/>
  <c r="I144" i="206" s="1"/>
  <c r="J144" i="206" s="1"/>
  <c r="H143" i="206"/>
  <c r="I143" i="206" s="1"/>
  <c r="J143" i="206" s="1"/>
  <c r="K142" i="206"/>
  <c r="H142" i="206"/>
  <c r="I142" i="206" s="1"/>
  <c r="J142" i="206" s="1"/>
  <c r="H141" i="206"/>
  <c r="I141" i="206" s="1"/>
  <c r="J141" i="206" s="1"/>
  <c r="K140" i="206"/>
  <c r="H140" i="206"/>
  <c r="I140" i="206" s="1"/>
  <c r="J140" i="206" s="1"/>
  <c r="H139" i="206"/>
  <c r="I139" i="206" s="1"/>
  <c r="J139" i="206" s="1"/>
  <c r="K138" i="206"/>
  <c r="H138" i="206"/>
  <c r="I138" i="206" s="1"/>
  <c r="J138" i="206" s="1"/>
  <c r="K137" i="206"/>
  <c r="H137" i="206"/>
  <c r="I137" i="206" s="1"/>
  <c r="J137" i="206" s="1"/>
  <c r="K136" i="206"/>
  <c r="H136" i="206"/>
  <c r="I136" i="206" s="1"/>
  <c r="J136" i="206" s="1"/>
  <c r="K135" i="206"/>
  <c r="H135" i="206"/>
  <c r="I135" i="206" s="1"/>
  <c r="J135" i="206" s="1"/>
  <c r="K134" i="206"/>
  <c r="H134" i="206"/>
  <c r="I134" i="206" s="1"/>
  <c r="J134" i="206" s="1"/>
  <c r="K133" i="206"/>
  <c r="H133" i="206"/>
  <c r="I133" i="206" s="1"/>
  <c r="J133" i="206" s="1"/>
  <c r="K132" i="206"/>
  <c r="H132" i="206"/>
  <c r="I132" i="206" s="1"/>
  <c r="J132" i="206" s="1"/>
  <c r="H131" i="206"/>
  <c r="I131" i="206" s="1"/>
  <c r="I130" i="206"/>
  <c r="J130" i="206" s="1"/>
  <c r="I129" i="206"/>
  <c r="J129" i="206" s="1"/>
  <c r="I128" i="206"/>
  <c r="J128" i="206" s="1"/>
  <c r="I127" i="206"/>
  <c r="J127" i="206" s="1"/>
  <c r="I126" i="206"/>
  <c r="M129" i="206" l="1"/>
  <c r="J126" i="206"/>
  <c r="O137" i="206"/>
  <c r="O143" i="206"/>
  <c r="M137" i="206"/>
  <c r="M143" i="206"/>
  <c r="M147" i="206"/>
  <c r="J131" i="206"/>
  <c r="O129" i="206"/>
  <c r="M133" i="206" l="1"/>
  <c r="O133" i="206"/>
  <c r="L20" i="234" l="1"/>
  <c r="I20" i="234" l="1"/>
  <c r="I5" i="234"/>
  <c r="I21" i="234" l="1"/>
  <c r="H178" i="206"/>
  <c r="H181" i="206"/>
  <c r="H182" i="206"/>
  <c r="L21" i="234" l="1"/>
  <c r="I22" i="234" l="1"/>
  <c r="M195" i="265"/>
  <c r="M192" i="265"/>
  <c r="M191" i="265"/>
  <c r="M190" i="265"/>
  <c r="M189" i="265"/>
  <c r="M188" i="265"/>
  <c r="L22" i="234" l="1"/>
  <c r="I23" i="234" s="1"/>
  <c r="K205" i="206"/>
  <c r="K206" i="206"/>
  <c r="I174" i="206" l="1"/>
  <c r="J174" i="206" s="1"/>
  <c r="I175" i="206"/>
  <c r="J175" i="206" s="1"/>
  <c r="I176" i="206"/>
  <c r="J176" i="206" s="1"/>
  <c r="I173" i="206"/>
  <c r="J173" i="206" s="1"/>
  <c r="I172" i="206"/>
  <c r="J172" i="206" s="1"/>
  <c r="I178" i="206"/>
  <c r="J178" i="206" s="1"/>
  <c r="I181" i="206"/>
  <c r="J181" i="206" s="1"/>
  <c r="I182" i="206"/>
  <c r="J182" i="206" s="1"/>
  <c r="H183" i="206"/>
  <c r="I183" i="206" s="1"/>
  <c r="J183" i="206" s="1"/>
  <c r="H184" i="206"/>
  <c r="I184" i="206" s="1"/>
  <c r="J184" i="206" s="1"/>
  <c r="H185" i="206"/>
  <c r="I185" i="206" s="1"/>
  <c r="J185" i="206" s="1"/>
  <c r="H186" i="206"/>
  <c r="I186" i="206" s="1"/>
  <c r="J186" i="206" s="1"/>
  <c r="H187" i="206"/>
  <c r="I187" i="206" s="1"/>
  <c r="J187" i="206" s="1"/>
  <c r="H188" i="206"/>
  <c r="I188" i="206" s="1"/>
  <c r="J188" i="206" s="1"/>
  <c r="H189" i="206"/>
  <c r="I189" i="206" s="1"/>
  <c r="J189" i="206" s="1"/>
  <c r="H190" i="206"/>
  <c r="I190" i="206" s="1"/>
  <c r="J190" i="206" s="1"/>
  <c r="H191" i="206"/>
  <c r="I191" i="206" s="1"/>
  <c r="J191" i="206" s="1"/>
  <c r="H192" i="206"/>
  <c r="I192" i="206" s="1"/>
  <c r="J192" i="206" s="1"/>
  <c r="H193" i="206"/>
  <c r="I193" i="206" s="1"/>
  <c r="J193" i="206" s="1"/>
  <c r="H194" i="206"/>
  <c r="I194" i="206" s="1"/>
  <c r="J194" i="206" s="1"/>
  <c r="H195" i="206"/>
  <c r="I195" i="206" s="1"/>
  <c r="J195" i="206" s="1"/>
  <c r="H196" i="206"/>
  <c r="I196" i="206" s="1"/>
  <c r="J196" i="206" s="1"/>
  <c r="H197" i="206"/>
  <c r="I197" i="206" s="1"/>
  <c r="J197" i="206" s="1"/>
  <c r="H198" i="206"/>
  <c r="I198" i="206" s="1"/>
  <c r="J198" i="206" s="1"/>
  <c r="H199" i="206"/>
  <c r="I199" i="206" s="1"/>
  <c r="J199" i="206" s="1"/>
  <c r="H200" i="206"/>
  <c r="I200" i="206" s="1"/>
  <c r="J200" i="206" s="1"/>
  <c r="H201" i="206"/>
  <c r="I201" i="206" s="1"/>
  <c r="J201" i="206" s="1"/>
  <c r="H202" i="206"/>
  <c r="I202" i="206" s="1"/>
  <c r="J202" i="206" s="1"/>
  <c r="H203" i="206"/>
  <c r="I203" i="206" s="1"/>
  <c r="J203" i="206" s="1"/>
  <c r="H204" i="206"/>
  <c r="I204" i="206" s="1"/>
  <c r="J204" i="206" s="1"/>
  <c r="H205" i="206"/>
  <c r="I205" i="206" s="1"/>
  <c r="J205" i="206" s="1"/>
  <c r="H206" i="206"/>
  <c r="I206" i="206" s="1"/>
  <c r="J206" i="206" s="1"/>
  <c r="H177" i="206"/>
  <c r="I177" i="206" s="1"/>
  <c r="J177" i="206" s="1"/>
  <c r="C23" i="4"/>
  <c r="L23" i="234" l="1"/>
  <c r="I24" i="234" s="1"/>
  <c r="O175" i="206"/>
  <c r="O183" i="206"/>
  <c r="L24" i="234" l="1"/>
  <c r="I25" i="234" s="1"/>
  <c r="L25" i="234" s="1"/>
  <c r="O179" i="206"/>
  <c r="B4" i="4"/>
  <c r="F18" i="4" s="1"/>
  <c r="I26" i="234" l="1"/>
  <c r="L26" i="234" s="1"/>
  <c r="M193" i="206"/>
  <c r="I27" i="234" l="1"/>
  <c r="L27" i="234" s="1"/>
  <c r="D437" i="234"/>
  <c r="K176" i="206"/>
  <c r="D204" i="265"/>
  <c r="L28" i="234" l="1"/>
  <c r="K31" i="234" s="1"/>
  <c r="M194" i="265"/>
  <c r="M193" i="265"/>
  <c r="M58" i="251"/>
  <c r="M13" i="251"/>
  <c r="K202" i="206"/>
  <c r="O193" i="206" s="1"/>
  <c r="F32" i="4"/>
  <c r="E194" i="266"/>
  <c r="D190" i="266"/>
  <c r="D189" i="266"/>
  <c r="E189" i="266" s="1"/>
  <c r="D188" i="266"/>
  <c r="D187" i="266"/>
  <c r="D186" i="266"/>
  <c r="D185" i="266"/>
  <c r="E185" i="266" s="1"/>
  <c r="D184" i="266"/>
  <c r="D183" i="266"/>
  <c r="D182" i="266"/>
  <c r="N12" i="251" s="1"/>
  <c r="D181" i="266"/>
  <c r="D180" i="266"/>
  <c r="D179" i="266"/>
  <c r="D178" i="266"/>
  <c r="D177" i="266"/>
  <c r="D176" i="266"/>
  <c r="D175" i="266"/>
  <c r="D174" i="266"/>
  <c r="D173" i="266"/>
  <c r="P169" i="266"/>
  <c r="N169" i="266"/>
  <c r="L169" i="266"/>
  <c r="J169" i="266"/>
  <c r="H169" i="266"/>
  <c r="F169" i="266"/>
  <c r="R168" i="266"/>
  <c r="M7" i="251"/>
  <c r="M8" i="251"/>
  <c r="M9" i="251"/>
  <c r="M14" i="251"/>
  <c r="M15" i="251"/>
  <c r="M16" i="251"/>
  <c r="M17" i="251"/>
  <c r="M18" i="251"/>
  <c r="M19" i="251"/>
  <c r="D172" i="264"/>
  <c r="D188" i="264"/>
  <c r="D164" i="264"/>
  <c r="D212" i="265" l="1"/>
  <c r="D213" i="265" s="1"/>
  <c r="J193" i="266"/>
  <c r="E193" i="266" s="1"/>
  <c r="F196" i="266" s="1"/>
  <c r="N3" i="251"/>
  <c r="E173" i="266"/>
  <c r="F173" i="266" s="1"/>
  <c r="E191" i="266"/>
  <c r="N58" i="251"/>
  <c r="F189" i="266"/>
  <c r="N19" i="251"/>
  <c r="E175" i="266"/>
  <c r="F175" i="266" s="1"/>
  <c r="N5" i="251"/>
  <c r="E184" i="266"/>
  <c r="F184" i="266" s="1"/>
  <c r="N14" i="251"/>
  <c r="E190" i="266"/>
  <c r="N22" i="251"/>
  <c r="N55" i="251" s="1"/>
  <c r="E179" i="266"/>
  <c r="F179" i="266" s="1"/>
  <c r="N9" i="251"/>
  <c r="E176" i="266"/>
  <c r="F176" i="266" s="1"/>
  <c r="N6" i="251"/>
  <c r="F185" i="266"/>
  <c r="N15" i="251"/>
  <c r="E186" i="266"/>
  <c r="F186" i="266" s="1"/>
  <c r="N16" i="251"/>
  <c r="E188" i="266"/>
  <c r="F188" i="266" s="1"/>
  <c r="N18" i="251"/>
  <c r="E178" i="266"/>
  <c r="F178" i="266" s="1"/>
  <c r="N8" i="251"/>
  <c r="E174" i="266"/>
  <c r="F174" i="266" s="1"/>
  <c r="N4" i="251"/>
  <c r="E183" i="266"/>
  <c r="F183" i="266" s="1"/>
  <c r="N13" i="251"/>
  <c r="E180" i="266"/>
  <c r="F180" i="266" s="1"/>
  <c r="N10" i="251"/>
  <c r="E177" i="266"/>
  <c r="F177" i="266" s="1"/>
  <c r="N7" i="251"/>
  <c r="E181" i="266"/>
  <c r="F181" i="266" s="1"/>
  <c r="N11" i="251"/>
  <c r="E187" i="266"/>
  <c r="F187" i="266" s="1"/>
  <c r="N17" i="251"/>
  <c r="M3" i="251"/>
  <c r="E186" i="265"/>
  <c r="M5" i="251"/>
  <c r="E188" i="265"/>
  <c r="M11" i="251"/>
  <c r="E194" i="265"/>
  <c r="M12" i="251"/>
  <c r="E195" i="265"/>
  <c r="M4" i="251"/>
  <c r="E187" i="265"/>
  <c r="M10" i="251"/>
  <c r="E193" i="265"/>
  <c r="M6" i="251"/>
  <c r="E189" i="265"/>
  <c r="E198" i="266"/>
  <c r="E199" i="266" s="1"/>
  <c r="E182" i="266"/>
  <c r="F182" i="266" s="1"/>
  <c r="M196" i="265"/>
  <c r="D514" i="234"/>
  <c r="D515" i="234"/>
  <c r="D517" i="234"/>
  <c r="D518" i="234"/>
  <c r="D516" i="234"/>
  <c r="H84" i="192"/>
  <c r="B84" i="192"/>
  <c r="C510" i="234"/>
  <c r="F190" i="266" l="1"/>
  <c r="E196" i="266"/>
  <c r="J194" i="266"/>
  <c r="L193" i="266" s="1"/>
  <c r="D84" i="192"/>
  <c r="H17" i="192" l="1"/>
  <c r="J17" i="192"/>
  <c r="D590" i="234"/>
  <c r="H121" i="247" l="1"/>
  <c r="H122" i="247"/>
  <c r="H120" i="247"/>
  <c r="I118" i="247"/>
  <c r="I127" i="247" l="1"/>
  <c r="G240" i="206" l="1"/>
  <c r="G238" i="206"/>
  <c r="G239" i="206"/>
  <c r="G237" i="206"/>
  <c r="D419" i="234" l="1"/>
  <c r="D181" i="264"/>
  <c r="D165" i="264"/>
  <c r="D166" i="264"/>
  <c r="D167" i="264"/>
  <c r="D168" i="264"/>
  <c r="D170" i="264"/>
  <c r="D171" i="264"/>
  <c r="L12" i="251"/>
  <c r="D173" i="264"/>
  <c r="D174" i="264"/>
  <c r="D176" i="264"/>
  <c r="D177" i="264"/>
  <c r="D178" i="264"/>
  <c r="D179" i="264"/>
  <c r="D163" i="264"/>
  <c r="E207" i="265"/>
  <c r="D203" i="265"/>
  <c r="E202" i="265"/>
  <c r="E201" i="265"/>
  <c r="E200" i="265"/>
  <c r="E199" i="265"/>
  <c r="E198" i="265"/>
  <c r="E197" i="265"/>
  <c r="E196" i="265"/>
  <c r="E192" i="265"/>
  <c r="E191" i="265"/>
  <c r="E190" i="265"/>
  <c r="P182" i="265"/>
  <c r="N182" i="265"/>
  <c r="L182" i="265"/>
  <c r="H182" i="265"/>
  <c r="D180" i="264"/>
  <c r="L22" i="251" s="1"/>
  <c r="L55" i="251" s="1"/>
  <c r="L58" i="251" l="1"/>
  <c r="E163" i="264"/>
  <c r="L3" i="251"/>
  <c r="E203" i="265"/>
  <c r="M22" i="251"/>
  <c r="M55" i="251" s="1"/>
  <c r="E204" i="265"/>
  <c r="F190" i="265"/>
  <c r="F198" i="265"/>
  <c r="J183" i="264"/>
  <c r="F189" i="265"/>
  <c r="F197" i="265"/>
  <c r="F191" i="265"/>
  <c r="F199" i="265"/>
  <c r="F192" i="265"/>
  <c r="F200" i="265"/>
  <c r="F193" i="265"/>
  <c r="F201" i="265"/>
  <c r="F194" i="265"/>
  <c r="F202" i="265"/>
  <c r="F187" i="265"/>
  <c r="F188" i="265"/>
  <c r="F196" i="265"/>
  <c r="J206" i="265"/>
  <c r="E206" i="265" s="1"/>
  <c r="F195" i="265"/>
  <c r="F186" i="265"/>
  <c r="G236" i="206"/>
  <c r="D190" i="261"/>
  <c r="C19" i="270" s="1"/>
  <c r="S21" i="43" s="1"/>
  <c r="I11" i="263"/>
  <c r="I12" i="263"/>
  <c r="N79" i="259"/>
  <c r="N81" i="259" s="1"/>
  <c r="G266" i="206"/>
  <c r="G267" i="206"/>
  <c r="G235" i="206"/>
  <c r="G280" i="206"/>
  <c r="D192" i="261"/>
  <c r="I110" i="247"/>
  <c r="G279" i="206"/>
  <c r="G275" i="206"/>
  <c r="D191" i="261"/>
  <c r="K22" i="251" s="1"/>
  <c r="K55" i="251" s="1"/>
  <c r="C31" i="4"/>
  <c r="C33" i="4" s="1"/>
  <c r="Q40" i="214" l="1"/>
  <c r="B19" i="270"/>
  <c r="C84" i="270" s="1"/>
  <c r="D84" i="270" s="1"/>
  <c r="E209" i="265"/>
  <c r="F209" i="265"/>
  <c r="F203" i="265"/>
  <c r="J207" i="265"/>
  <c r="M206" i="265" s="1"/>
  <c r="D188" i="261"/>
  <c r="E184" i="264"/>
  <c r="E181" i="264"/>
  <c r="E180" i="264"/>
  <c r="P159" i="264"/>
  <c r="N159" i="264"/>
  <c r="L159" i="264"/>
  <c r="J159" i="264"/>
  <c r="H159" i="264"/>
  <c r="F159" i="264"/>
  <c r="R158" i="264"/>
  <c r="G233" i="206"/>
  <c r="I10" i="263"/>
  <c r="I9" i="263"/>
  <c r="G278" i="206"/>
  <c r="D203" i="258"/>
  <c r="J17" i="251" s="1"/>
  <c r="D204" i="258"/>
  <c r="D205" i="258"/>
  <c r="D190" i="258"/>
  <c r="D191" i="258"/>
  <c r="D192" i="258"/>
  <c r="D193" i="258"/>
  <c r="D194" i="258"/>
  <c r="D195" i="258"/>
  <c r="J9" i="251" s="1"/>
  <c r="D196" i="258"/>
  <c r="D197" i="258"/>
  <c r="D198" i="258"/>
  <c r="J12" i="251" s="1"/>
  <c r="D199" i="258"/>
  <c r="D200" i="258"/>
  <c r="D201" i="258"/>
  <c r="D202" i="258"/>
  <c r="D189" i="258"/>
  <c r="C38" i="4"/>
  <c r="C40" i="4" s="1"/>
  <c r="C42" i="4" s="1"/>
  <c r="C35" i="4"/>
  <c r="G44" i="4"/>
  <c r="C17" i="270" l="1"/>
  <c r="S19" i="43" s="1"/>
  <c r="E171" i="264"/>
  <c r="F171" i="264" s="1"/>
  <c r="L11" i="251"/>
  <c r="E179" i="264"/>
  <c r="F179" i="264" s="1"/>
  <c r="L19" i="251"/>
  <c r="E164" i="264"/>
  <c r="F164" i="264" s="1"/>
  <c r="L4" i="251"/>
  <c r="E165" i="264"/>
  <c r="F165" i="264" s="1"/>
  <c r="L5" i="251"/>
  <c r="E173" i="264"/>
  <c r="F173" i="264" s="1"/>
  <c r="L13" i="251"/>
  <c r="E166" i="264"/>
  <c r="F166" i="264" s="1"/>
  <c r="L6" i="251"/>
  <c r="E167" i="264"/>
  <c r="F167" i="264" s="1"/>
  <c r="L7" i="251"/>
  <c r="E168" i="264"/>
  <c r="F168" i="264" s="1"/>
  <c r="L8" i="251"/>
  <c r="E177" i="264"/>
  <c r="F177" i="264" s="1"/>
  <c r="L17" i="251"/>
  <c r="E174" i="264"/>
  <c r="F174" i="264" s="1"/>
  <c r="L14" i="251"/>
  <c r="E175" i="264"/>
  <c r="F175" i="264" s="1"/>
  <c r="L15" i="251"/>
  <c r="E176" i="264"/>
  <c r="F176" i="264" s="1"/>
  <c r="L16" i="251"/>
  <c r="E169" i="264"/>
  <c r="F169" i="264" s="1"/>
  <c r="L9" i="251"/>
  <c r="E170" i="264"/>
  <c r="F170" i="264" s="1"/>
  <c r="L10" i="251"/>
  <c r="E178" i="264"/>
  <c r="F178" i="264" s="1"/>
  <c r="L18" i="251"/>
  <c r="D189" i="264"/>
  <c r="D190" i="264" s="1"/>
  <c r="E183" i="264"/>
  <c r="E172" i="264"/>
  <c r="F172" i="264" s="1"/>
  <c r="F163" i="264"/>
  <c r="J27" i="214"/>
  <c r="H27" i="214"/>
  <c r="B17" i="270" l="1"/>
  <c r="C82" i="270" s="1"/>
  <c r="D82" i="270" s="1"/>
  <c r="E186" i="264"/>
  <c r="F186" i="264"/>
  <c r="J184" i="264"/>
  <c r="M183" i="264" s="1"/>
  <c r="R97" i="4"/>
  <c r="L97" i="4"/>
  <c r="C45" i="4"/>
  <c r="D542" i="234"/>
  <c r="K177" i="206"/>
  <c r="D22" i="43"/>
  <c r="I31" i="263"/>
  <c r="G231" i="206"/>
  <c r="G276" i="206"/>
  <c r="O30" i="4"/>
  <c r="I10" i="262"/>
  <c r="H33" i="262" s="1"/>
  <c r="I34" i="263"/>
  <c r="I33" i="263"/>
  <c r="I32" i="263"/>
  <c r="I30" i="263"/>
  <c r="I29" i="263"/>
  <c r="I28" i="263"/>
  <c r="I27" i="263"/>
  <c r="I26" i="263"/>
  <c r="I25" i="263"/>
  <c r="I8" i="263"/>
  <c r="I7" i="263"/>
  <c r="I6" i="263"/>
  <c r="I5" i="263"/>
  <c r="I4" i="263"/>
  <c r="H30" i="262"/>
  <c r="I6" i="262"/>
  <c r="H32" i="262" s="1"/>
  <c r="I5" i="262"/>
  <c r="I4" i="262"/>
  <c r="H28" i="262" s="1"/>
  <c r="D194" i="259"/>
  <c r="N148" i="259"/>
  <c r="N150" i="259" s="1"/>
  <c r="M148" i="259"/>
  <c r="L148" i="259"/>
  <c r="L150" i="259" s="1"/>
  <c r="K148" i="259"/>
  <c r="J148" i="259"/>
  <c r="J150" i="259" s="1"/>
  <c r="I148" i="259"/>
  <c r="H148" i="259"/>
  <c r="H150" i="259" s="1"/>
  <c r="F148" i="259"/>
  <c r="E148" i="259"/>
  <c r="E150" i="259" s="1"/>
  <c r="D148" i="259"/>
  <c r="C148" i="259"/>
  <c r="K146" i="259"/>
  <c r="I146" i="259"/>
  <c r="F146" i="259"/>
  <c r="D146" i="259"/>
  <c r="C146" i="259"/>
  <c r="M144" i="259"/>
  <c r="K144" i="259"/>
  <c r="I144" i="259"/>
  <c r="F144" i="259"/>
  <c r="D144" i="259"/>
  <c r="C144" i="259"/>
  <c r="O142" i="259"/>
  <c r="O138" i="259"/>
  <c r="M175" i="206" l="1"/>
  <c r="M189" i="206"/>
  <c r="M183" i="206"/>
  <c r="F150" i="259"/>
  <c r="I18" i="263"/>
  <c r="H29" i="262"/>
  <c r="I7" i="262"/>
  <c r="I25" i="262" s="1"/>
  <c r="I150" i="259"/>
  <c r="K150" i="259"/>
  <c r="M150" i="259"/>
  <c r="I36" i="263"/>
  <c r="O144" i="259"/>
  <c r="O146" i="259"/>
  <c r="D150" i="259"/>
  <c r="O148" i="259"/>
  <c r="C150" i="259"/>
  <c r="C53" i="251"/>
  <c r="B53" i="251" s="1"/>
  <c r="C54" i="251"/>
  <c r="B54" i="251" s="1"/>
  <c r="C56" i="251"/>
  <c r="B56" i="251" s="1"/>
  <c r="C57" i="251"/>
  <c r="B57" i="251" s="1"/>
  <c r="C59" i="251"/>
  <c r="B59" i="251" s="1"/>
  <c r="C60" i="251"/>
  <c r="B60" i="251" s="1"/>
  <c r="C61" i="251"/>
  <c r="B61" i="251" s="1"/>
  <c r="C62" i="251"/>
  <c r="B62" i="251" s="1"/>
  <c r="C63" i="251"/>
  <c r="B63" i="251" s="1"/>
  <c r="C52" i="251"/>
  <c r="B52" i="251" s="1"/>
  <c r="G298" i="206"/>
  <c r="G299" i="206"/>
  <c r="G300" i="206"/>
  <c r="G301" i="206"/>
  <c r="G302" i="206"/>
  <c r="G303" i="206"/>
  <c r="G304" i="206"/>
  <c r="G305" i="206"/>
  <c r="G306" i="206"/>
  <c r="G230" i="206"/>
  <c r="G274" i="206"/>
  <c r="G328" i="206"/>
  <c r="I92" i="259"/>
  <c r="M179" i="206" l="1"/>
  <c r="H31" i="262"/>
  <c r="H34" i="262"/>
  <c r="I33" i="262" s="1"/>
  <c r="O150" i="259"/>
  <c r="R184" i="258"/>
  <c r="I34" i="262" l="1"/>
  <c r="I32" i="262"/>
  <c r="I29" i="262"/>
  <c r="I28" i="262"/>
  <c r="I30" i="262"/>
  <c r="I31" i="262"/>
  <c r="N83" i="259"/>
  <c r="I84" i="259"/>
  <c r="I86" i="259"/>
  <c r="D215" i="258" l="1"/>
  <c r="G329" i="206"/>
  <c r="I82" i="259"/>
  <c r="G273" i="206"/>
  <c r="G229" i="206"/>
  <c r="G327" i="206"/>
  <c r="G228" i="206" l="1"/>
  <c r="G272" i="206"/>
  <c r="G324" i="206" l="1"/>
  <c r="G326" i="206"/>
  <c r="G325" i="206"/>
  <c r="D206" i="258"/>
  <c r="G227" i="206"/>
  <c r="G271" i="206"/>
  <c r="E206" i="258" l="1"/>
  <c r="J22" i="251"/>
  <c r="G226" i="206"/>
  <c r="G225" i="206"/>
  <c r="G269" i="206"/>
  <c r="G270" i="206"/>
  <c r="I76" i="259" l="1"/>
  <c r="I78" i="259"/>
  <c r="G323" i="206" l="1"/>
  <c r="D362" i="234"/>
  <c r="D398" i="234"/>
  <c r="D207" i="258"/>
  <c r="E195" i="261"/>
  <c r="E191" i="261"/>
  <c r="D189" i="261"/>
  <c r="D187" i="261"/>
  <c r="D186" i="261"/>
  <c r="D185" i="261"/>
  <c r="D184" i="261"/>
  <c r="D183" i="261"/>
  <c r="D182" i="261"/>
  <c r="D181" i="261"/>
  <c r="D180" i="261"/>
  <c r="D179" i="261"/>
  <c r="D178" i="261"/>
  <c r="D177" i="261"/>
  <c r="D176" i="261"/>
  <c r="D175" i="261"/>
  <c r="D174" i="261"/>
  <c r="P170" i="261"/>
  <c r="N170" i="261"/>
  <c r="L170" i="261"/>
  <c r="J170" i="261"/>
  <c r="I170" i="261"/>
  <c r="H170" i="261"/>
  <c r="F170" i="261"/>
  <c r="R169" i="261"/>
  <c r="O31" i="4"/>
  <c r="Q30" i="4" s="1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D188" i="257"/>
  <c r="C16" i="270" l="1"/>
  <c r="S18" i="43" s="1"/>
  <c r="C10" i="270"/>
  <c r="S12" i="43" s="1"/>
  <c r="C3" i="270"/>
  <c r="C11" i="270"/>
  <c r="S13" i="43" s="1"/>
  <c r="K4" i="251"/>
  <c r="O26" i="270" a="1"/>
  <c r="O26" i="270" s="1"/>
  <c r="K12" i="251"/>
  <c r="K9" i="251"/>
  <c r="C5" i="270"/>
  <c r="S5" i="43" s="1"/>
  <c r="C6" i="270"/>
  <c r="S6" i="43" s="1"/>
  <c r="C14" i="270"/>
  <c r="S16" i="43" s="1"/>
  <c r="C8" i="270"/>
  <c r="S8" i="43" s="1"/>
  <c r="C18" i="270"/>
  <c r="S20" i="43" s="1"/>
  <c r="C13" i="270"/>
  <c r="S15" i="43" s="1"/>
  <c r="C7" i="270"/>
  <c r="S7" i="43" s="1"/>
  <c r="C15" i="270"/>
  <c r="S17" i="43" s="1"/>
  <c r="E207" i="258"/>
  <c r="J194" i="261"/>
  <c r="E194" i="261" s="1"/>
  <c r="J58" i="251"/>
  <c r="K3" i="251"/>
  <c r="E192" i="261"/>
  <c r="K58" i="251"/>
  <c r="E184" i="261"/>
  <c r="F184" i="261" s="1"/>
  <c r="K13" i="251"/>
  <c r="E185" i="261"/>
  <c r="F185" i="261" s="1"/>
  <c r="K14" i="251"/>
  <c r="E186" i="261"/>
  <c r="F186" i="261" s="1"/>
  <c r="K15" i="251"/>
  <c r="E179" i="261"/>
  <c r="F179" i="261" s="1"/>
  <c r="K8" i="251"/>
  <c r="E187" i="261"/>
  <c r="F187" i="261" s="1"/>
  <c r="K16" i="251"/>
  <c r="E180" i="261"/>
  <c r="F180" i="261" s="1"/>
  <c r="E188" i="261"/>
  <c r="F188" i="261" s="1"/>
  <c r="K17" i="251"/>
  <c r="E181" i="261"/>
  <c r="F181" i="261" s="1"/>
  <c r="K10" i="251"/>
  <c r="E189" i="261"/>
  <c r="F189" i="261" s="1"/>
  <c r="K18" i="251"/>
  <c r="E175" i="261"/>
  <c r="F175" i="261" s="1"/>
  <c r="E176" i="261"/>
  <c r="F176" i="261" s="1"/>
  <c r="K5" i="251"/>
  <c r="E177" i="261"/>
  <c r="F177" i="261" s="1"/>
  <c r="K6" i="251"/>
  <c r="E178" i="261"/>
  <c r="F178" i="261" s="1"/>
  <c r="K7" i="251"/>
  <c r="E182" i="261"/>
  <c r="F182" i="261" s="1"/>
  <c r="K11" i="251"/>
  <c r="E190" i="261"/>
  <c r="F190" i="261" s="1"/>
  <c r="K19" i="251"/>
  <c r="Q43" i="4"/>
  <c r="P41" i="4"/>
  <c r="Q38" i="4"/>
  <c r="P30" i="4"/>
  <c r="P40" i="4"/>
  <c r="Q40" i="4"/>
  <c r="Q37" i="4"/>
  <c r="Q36" i="4"/>
  <c r="P43" i="4"/>
  <c r="P35" i="4"/>
  <c r="Q35" i="4"/>
  <c r="P42" i="4"/>
  <c r="P34" i="4"/>
  <c r="Q34" i="4"/>
  <c r="Q41" i="4"/>
  <c r="Q33" i="4"/>
  <c r="P33" i="4"/>
  <c r="Q32" i="4"/>
  <c r="P39" i="4"/>
  <c r="P31" i="4"/>
  <c r="I171" i="261"/>
  <c r="Q39" i="4"/>
  <c r="Q31" i="4"/>
  <c r="P37" i="4"/>
  <c r="P38" i="4"/>
  <c r="P36" i="4"/>
  <c r="Q42" i="4"/>
  <c r="P32" i="4"/>
  <c r="D200" i="261"/>
  <c r="E183" i="261"/>
  <c r="F183" i="261" s="1"/>
  <c r="E174" i="261"/>
  <c r="F174" i="261" s="1"/>
  <c r="I70" i="259"/>
  <c r="G321" i="206"/>
  <c r="D175" i="257"/>
  <c r="D172" i="257"/>
  <c r="D177" i="257"/>
  <c r="G364" i="206"/>
  <c r="I364" i="206" s="1"/>
  <c r="I52" i="259"/>
  <c r="I50" i="259"/>
  <c r="E249" i="206"/>
  <c r="E248" i="206"/>
  <c r="G244" i="206"/>
  <c r="G224" i="206"/>
  <c r="G223" i="206"/>
  <c r="G222" i="206"/>
  <c r="G221" i="206"/>
  <c r="G220" i="206"/>
  <c r="G219" i="206"/>
  <c r="G218" i="206"/>
  <c r="G217" i="206"/>
  <c r="G216" i="206"/>
  <c r="B3" i="270" l="1"/>
  <c r="S2" i="43"/>
  <c r="B8" i="270"/>
  <c r="C73" i="270" s="1"/>
  <c r="D73" i="270" s="1"/>
  <c r="B11" i="270"/>
  <c r="C76" i="270" s="1"/>
  <c r="D76" i="270" s="1"/>
  <c r="B13" i="270"/>
  <c r="C78" i="270" s="1"/>
  <c r="D78" i="270" s="1"/>
  <c r="B14" i="270"/>
  <c r="C79" i="270" s="1"/>
  <c r="D79" i="270" s="1"/>
  <c r="B15" i="270"/>
  <c r="C80" i="270" s="1"/>
  <c r="D80" i="270" s="1"/>
  <c r="B7" i="270"/>
  <c r="C72" i="270" s="1"/>
  <c r="D72" i="270" s="1"/>
  <c r="B6" i="270"/>
  <c r="C71" i="270" s="1"/>
  <c r="D71" i="270" s="1"/>
  <c r="B10" i="270"/>
  <c r="C75" i="270" s="1"/>
  <c r="D75" i="270" s="1"/>
  <c r="B18" i="270"/>
  <c r="C83" i="270" s="1"/>
  <c r="D83" i="270" s="1"/>
  <c r="B5" i="270"/>
  <c r="C70" i="270" s="1"/>
  <c r="D70" i="270" s="1"/>
  <c r="B16" i="270"/>
  <c r="C81" i="270" s="1"/>
  <c r="D81" i="270" s="1"/>
  <c r="O33" i="270" a="1"/>
  <c r="O33" i="270" s="1"/>
  <c r="Q31" i="270" a="1"/>
  <c r="Q31" i="270" s="1"/>
  <c r="Q25" i="270" a="1"/>
  <c r="Q25" i="270" s="1"/>
  <c r="O29" i="270" a="1"/>
  <c r="O29" i="270" s="1"/>
  <c r="O39" i="270" a="1"/>
  <c r="O39" i="270" s="1"/>
  <c r="Q24" i="270" a="1"/>
  <c r="Q24" i="270" s="1"/>
  <c r="O31" i="270" a="1"/>
  <c r="O31" i="270" s="1"/>
  <c r="O35" i="270" a="1"/>
  <c r="O35" i="270" s="1"/>
  <c r="Q34" i="270" a="1"/>
  <c r="Q34" i="270" s="1"/>
  <c r="O27" i="270" a="1"/>
  <c r="O27" i="270" s="1"/>
  <c r="O30" i="270" a="1"/>
  <c r="O30" i="270" s="1"/>
  <c r="C12" i="270"/>
  <c r="O40" i="270" a="1"/>
  <c r="O40" i="270" s="1"/>
  <c r="Q40" i="270" a="1"/>
  <c r="Q40" i="270" s="1"/>
  <c r="Q30" i="270" a="1"/>
  <c r="Q30" i="270" s="1"/>
  <c r="Q28" i="270" a="1"/>
  <c r="Q28" i="270" s="1"/>
  <c r="Q37" i="270" a="1"/>
  <c r="Q37" i="270" s="1"/>
  <c r="O24" i="270" a="1"/>
  <c r="O24" i="270" s="1"/>
  <c r="Q27" i="270" a="1"/>
  <c r="Q27" i="270" s="1"/>
  <c r="O34" i="270" a="1"/>
  <c r="O34" i="270" s="1"/>
  <c r="C4" i="270"/>
  <c r="S3" i="43" s="1"/>
  <c r="Q26" i="270" a="1"/>
  <c r="Q26" i="270" s="1"/>
  <c r="O36" i="270" a="1"/>
  <c r="O36" i="270" s="1"/>
  <c r="Q29" i="270" a="1"/>
  <c r="Q29" i="270" s="1"/>
  <c r="Q32" i="270" a="1"/>
  <c r="Q32" i="270" s="1"/>
  <c r="K20" i="270"/>
  <c r="P34" i="270" s="1" a="1"/>
  <c r="P34" i="270" s="1"/>
  <c r="O32" i="270" a="1"/>
  <c r="O32" i="270" s="1"/>
  <c r="Q39" i="270" a="1"/>
  <c r="Q39" i="270" s="1"/>
  <c r="Q38" i="270" a="1"/>
  <c r="Q38" i="270" s="1"/>
  <c r="Q36" i="270" a="1"/>
  <c r="Q36" i="270" s="1"/>
  <c r="O28" i="270" a="1"/>
  <c r="O28" i="270" s="1"/>
  <c r="Q33" i="270" a="1"/>
  <c r="Q33" i="270" s="1"/>
  <c r="C9" i="270"/>
  <c r="S9" i="43" s="1"/>
  <c r="O37" i="270" a="1"/>
  <c r="O37" i="270" s="1"/>
  <c r="O38" i="270" a="1"/>
  <c r="O38" i="270" s="1"/>
  <c r="Q35" i="270" a="1"/>
  <c r="Q35" i="270" s="1"/>
  <c r="O25" i="270" a="1"/>
  <c r="O25" i="270" s="1"/>
  <c r="I5" i="266"/>
  <c r="I169" i="266" s="1"/>
  <c r="I170" i="266" s="1"/>
  <c r="I5" i="267"/>
  <c r="I198" i="267" s="1"/>
  <c r="I199" i="267" s="1"/>
  <c r="G246" i="206"/>
  <c r="G248" i="206" s="1"/>
  <c r="I5" i="264"/>
  <c r="I159" i="264" s="1"/>
  <c r="I160" i="264" s="1"/>
  <c r="I5" i="265"/>
  <c r="I182" i="265" s="1"/>
  <c r="I183" i="265" s="1"/>
  <c r="I217" i="206"/>
  <c r="J195" i="261"/>
  <c r="F197" i="261"/>
  <c r="G250" i="206"/>
  <c r="H250" i="206" s="1"/>
  <c r="G251" i="206"/>
  <c r="H251" i="206" s="1"/>
  <c r="G245" i="206"/>
  <c r="G247" i="206" s="1"/>
  <c r="G249" i="206" s="1"/>
  <c r="I63" i="260"/>
  <c r="I62" i="260"/>
  <c r="I61" i="260"/>
  <c r="I60" i="260"/>
  <c r="I59" i="260"/>
  <c r="I58" i="260"/>
  <c r="I57" i="260"/>
  <c r="I54" i="260"/>
  <c r="I53" i="260"/>
  <c r="I52" i="260"/>
  <c r="I49" i="260"/>
  <c r="I48" i="260"/>
  <c r="I46" i="260"/>
  <c r="I44" i="260"/>
  <c r="I42" i="260"/>
  <c r="I39" i="260"/>
  <c r="I38" i="260"/>
  <c r="I35" i="260"/>
  <c r="I34" i="260"/>
  <c r="I33" i="260"/>
  <c r="I32" i="260"/>
  <c r="I31" i="260"/>
  <c r="I30" i="260"/>
  <c r="I29" i="260"/>
  <c r="I28" i="260"/>
  <c r="I19" i="260"/>
  <c r="I17" i="260"/>
  <c r="O13" i="260"/>
  <c r="I13" i="260"/>
  <c r="I12" i="260"/>
  <c r="I11" i="260"/>
  <c r="O9" i="260"/>
  <c r="I7" i="260"/>
  <c r="I6" i="260"/>
  <c r="I5" i="260"/>
  <c r="I4" i="260"/>
  <c r="I67" i="259"/>
  <c r="I66" i="259"/>
  <c r="I65" i="259"/>
  <c r="I64" i="259"/>
  <c r="I58" i="259"/>
  <c r="I54" i="259"/>
  <c r="I46" i="259"/>
  <c r="I42" i="259"/>
  <c r="I44" i="259" s="1"/>
  <c r="I40" i="259"/>
  <c r="I38" i="259"/>
  <c r="I36" i="259"/>
  <c r="I32" i="259"/>
  <c r="I31" i="259"/>
  <c r="I30" i="259"/>
  <c r="I29" i="259"/>
  <c r="I23" i="259"/>
  <c r="I21" i="259"/>
  <c r="I19" i="259"/>
  <c r="I17" i="259"/>
  <c r="I14" i="259"/>
  <c r="I13" i="259"/>
  <c r="I11" i="259"/>
  <c r="I9" i="259"/>
  <c r="I6" i="259"/>
  <c r="H100" i="259" s="1"/>
  <c r="I5" i="259"/>
  <c r="I4" i="259"/>
  <c r="S14" i="43" l="1"/>
  <c r="S11" i="43"/>
  <c r="P31" i="270" a="1"/>
  <c r="P31" i="270" s="1"/>
  <c r="B9" i="270"/>
  <c r="C74" i="270" s="1"/>
  <c r="D74" i="270" s="1"/>
  <c r="B12" i="270"/>
  <c r="C77" i="270" s="1"/>
  <c r="D77" i="270" s="1"/>
  <c r="B4" i="270"/>
  <c r="P30" i="270" a="1"/>
  <c r="P30" i="270" s="1"/>
  <c r="C20" i="270"/>
  <c r="P28" i="270" a="1"/>
  <c r="P28" i="270" s="1"/>
  <c r="C68" i="270"/>
  <c r="P37" i="270" a="1"/>
  <c r="P37" i="270" s="1"/>
  <c r="P33" i="270" a="1"/>
  <c r="P33" i="270" s="1"/>
  <c r="P38" i="270" a="1"/>
  <c r="P38" i="270" s="1"/>
  <c r="P32" i="270" a="1"/>
  <c r="P32" i="270" s="1"/>
  <c r="P35" i="270" a="1"/>
  <c r="P35" i="270" s="1"/>
  <c r="P36" i="270" a="1"/>
  <c r="P36" i="270" s="1"/>
  <c r="P29" i="270" a="1"/>
  <c r="P29" i="270" s="1"/>
  <c r="P25" i="270" a="1"/>
  <c r="P25" i="270" s="1"/>
  <c r="P39" i="270" a="1"/>
  <c r="P39" i="270" s="1"/>
  <c r="P40" i="270" a="1"/>
  <c r="P40" i="270" s="1"/>
  <c r="P27" i="270" a="1"/>
  <c r="P27" i="270" s="1"/>
  <c r="P26" i="270" a="1"/>
  <c r="P26" i="270" s="1"/>
  <c r="I5" i="268"/>
  <c r="I197" i="268" s="1"/>
  <c r="I198" i="268" s="1"/>
  <c r="I5" i="269"/>
  <c r="I64" i="269" s="1"/>
  <c r="I65" i="269" s="1"/>
  <c r="H98" i="259"/>
  <c r="I15" i="260"/>
  <c r="M194" i="261"/>
  <c r="E197" i="261"/>
  <c r="F244" i="206"/>
  <c r="I218" i="206" s="1"/>
  <c r="H101" i="259"/>
  <c r="G252" i="206"/>
  <c r="H97" i="259"/>
  <c r="H96" i="259"/>
  <c r="I34" i="259"/>
  <c r="I60" i="259" s="1"/>
  <c r="I15" i="259"/>
  <c r="I7" i="259"/>
  <c r="I68" i="259"/>
  <c r="I94" i="259" s="1"/>
  <c r="I36" i="260"/>
  <c r="I40" i="260"/>
  <c r="I64" i="260"/>
  <c r="I55" i="260"/>
  <c r="I50" i="260"/>
  <c r="I9" i="260"/>
  <c r="S22" i="43" l="1"/>
  <c r="B20" i="270"/>
  <c r="C69" i="270"/>
  <c r="D69" i="270" s="1"/>
  <c r="D68" i="270"/>
  <c r="I23" i="260"/>
  <c r="I66" i="260"/>
  <c r="F245" i="206"/>
  <c r="F246" i="206" s="1"/>
  <c r="I25" i="259"/>
  <c r="H99" i="259" s="1"/>
  <c r="H102" i="259" s="1"/>
  <c r="D86" i="270" l="1"/>
  <c r="C86" i="270"/>
  <c r="F247" i="206"/>
  <c r="F248" i="206" s="1"/>
  <c r="I99" i="259"/>
  <c r="G320" i="206"/>
  <c r="G268" i="206"/>
  <c r="G319" i="206"/>
  <c r="F249" i="206" l="1"/>
  <c r="I102" i="259"/>
  <c r="I101" i="259"/>
  <c r="I100" i="259"/>
  <c r="I98" i="259"/>
  <c r="I97" i="259"/>
  <c r="I96" i="259"/>
  <c r="R165" i="257"/>
  <c r="L28" i="230"/>
  <c r="I17" i="230"/>
  <c r="I18" i="230"/>
  <c r="I19" i="230"/>
  <c r="I20" i="230"/>
  <c r="I21" i="230"/>
  <c r="I22" i="230"/>
  <c r="I23" i="230"/>
  <c r="I24" i="230"/>
  <c r="I25" i="230"/>
  <c r="I26" i="230"/>
  <c r="I27" i="230"/>
  <c r="I16" i="230"/>
  <c r="B5" i="230"/>
  <c r="B8" i="230"/>
  <c r="D180" i="257"/>
  <c r="D181" i="257"/>
  <c r="D182" i="257"/>
  <c r="D183" i="257"/>
  <c r="D184" i="257"/>
  <c r="D185" i="257"/>
  <c r="D186" i="257"/>
  <c r="I19" i="251" s="1"/>
  <c r="D171" i="257"/>
  <c r="D173" i="257"/>
  <c r="D174" i="257"/>
  <c r="D176" i="257"/>
  <c r="I9" i="251" s="1"/>
  <c r="D178" i="257"/>
  <c r="D179" i="257"/>
  <c r="I12" i="251" s="1"/>
  <c r="D170" i="257"/>
  <c r="B4" i="230" l="1"/>
  <c r="J19" i="230" s="1"/>
  <c r="B17" i="230" l="1"/>
  <c r="J21" i="230"/>
  <c r="J22" i="230"/>
  <c r="B24" i="230"/>
  <c r="B16" i="230"/>
  <c r="B18" i="230"/>
  <c r="J23" i="230"/>
  <c r="B21" i="230"/>
  <c r="J29" i="230"/>
  <c r="B25" i="230"/>
  <c r="B23" i="230"/>
  <c r="J25" i="230"/>
  <c r="B29" i="230"/>
  <c r="B22" i="230"/>
  <c r="J16" i="230"/>
  <c r="B20" i="230"/>
  <c r="J26" i="230"/>
  <c r="J24" i="230"/>
  <c r="J27" i="230"/>
  <c r="J28" i="230" s="1"/>
  <c r="J17" i="230"/>
  <c r="B19" i="230"/>
  <c r="B27" i="230"/>
  <c r="B28" i="230" s="1"/>
  <c r="B26" i="230"/>
  <c r="J20" i="230"/>
  <c r="J18" i="230"/>
  <c r="G318" i="206"/>
  <c r="G372" i="206"/>
  <c r="B30" i="230" l="1"/>
  <c r="E191" i="257"/>
  <c r="G316" i="206" l="1"/>
  <c r="G370" i="206"/>
  <c r="I58" i="251" l="1"/>
  <c r="D187" i="257"/>
  <c r="I22" i="251" s="1"/>
  <c r="I55" i="251" s="1"/>
  <c r="D195" i="257"/>
  <c r="J3" i="251"/>
  <c r="P185" i="258"/>
  <c r="N185" i="258"/>
  <c r="L185" i="258"/>
  <c r="J185" i="258"/>
  <c r="H185" i="258"/>
  <c r="F185" i="258"/>
  <c r="I185" i="258"/>
  <c r="I4" i="251"/>
  <c r="I5" i="251"/>
  <c r="I6" i="251"/>
  <c r="I7" i="251"/>
  <c r="I8" i="251"/>
  <c r="I10" i="251"/>
  <c r="I11" i="251"/>
  <c r="I13" i="251"/>
  <c r="I14" i="251"/>
  <c r="I15" i="251"/>
  <c r="I16" i="251"/>
  <c r="I17" i="251"/>
  <c r="I18" i="251"/>
  <c r="J55" i="251" l="1"/>
  <c r="E203" i="258"/>
  <c r="F203" i="258" s="1"/>
  <c r="E199" i="258"/>
  <c r="F199" i="258" s="1"/>
  <c r="J13" i="251"/>
  <c r="E193" i="258"/>
  <c r="F193" i="258" s="1"/>
  <c r="J7" i="251"/>
  <c r="E194" i="258"/>
  <c r="F194" i="258" s="1"/>
  <c r="J8" i="251"/>
  <c r="E195" i="258"/>
  <c r="F195" i="258" s="1"/>
  <c r="E196" i="258"/>
  <c r="F196" i="258" s="1"/>
  <c r="J10" i="251"/>
  <c r="E204" i="258"/>
  <c r="F204" i="258" s="1"/>
  <c r="J18" i="251"/>
  <c r="E191" i="258"/>
  <c r="F191" i="258" s="1"/>
  <c r="J5" i="251"/>
  <c r="E192" i="258"/>
  <c r="F192" i="258" s="1"/>
  <c r="J6" i="251"/>
  <c r="E201" i="258"/>
  <c r="F201" i="258" s="1"/>
  <c r="J15" i="251"/>
  <c r="E197" i="258"/>
  <c r="F197" i="258" s="1"/>
  <c r="J11" i="251"/>
  <c r="E205" i="258"/>
  <c r="F205" i="258" s="1"/>
  <c r="J19" i="251"/>
  <c r="E200" i="258"/>
  <c r="F200" i="258" s="1"/>
  <c r="J14" i="251"/>
  <c r="E202" i="258"/>
  <c r="F202" i="258" s="1"/>
  <c r="J16" i="251"/>
  <c r="E190" i="258"/>
  <c r="F190" i="258" s="1"/>
  <c r="J4" i="251"/>
  <c r="I186" i="258"/>
  <c r="I3" i="251"/>
  <c r="E170" i="257"/>
  <c r="D216" i="258"/>
  <c r="D217" i="258" s="1"/>
  <c r="J209" i="258"/>
  <c r="E209" i="258" s="1"/>
  <c r="E212" i="258" s="1"/>
  <c r="E198" i="258"/>
  <c r="F198" i="258" s="1"/>
  <c r="E189" i="258"/>
  <c r="F189" i="258" s="1"/>
  <c r="J190" i="257"/>
  <c r="E190" i="257" s="1"/>
  <c r="L185" i="256"/>
  <c r="D197" i="256"/>
  <c r="J20" i="251" l="1"/>
  <c r="J64" i="251"/>
  <c r="J210" i="258"/>
  <c r="M209" i="258" s="1"/>
  <c r="F212" i="258"/>
  <c r="J191" i="257"/>
  <c r="L190" i="257" s="1"/>
  <c r="E193" i="257"/>
  <c r="G265" i="206"/>
  <c r="G315" i="206"/>
  <c r="G369" i="206"/>
  <c r="G264" i="206" l="1"/>
  <c r="G263" i="206"/>
  <c r="G262" i="206"/>
  <c r="G261" i="206"/>
  <c r="G314" i="206"/>
  <c r="G313" i="206"/>
  <c r="G312" i="206"/>
  <c r="G311" i="206"/>
  <c r="G368" i="206"/>
  <c r="G367" i="206"/>
  <c r="G366" i="206"/>
  <c r="G365" i="206" l="1"/>
  <c r="D206" i="256"/>
  <c r="G363" i="206"/>
  <c r="G410" i="206"/>
  <c r="E287" i="206" l="1"/>
  <c r="E286" i="206"/>
  <c r="G282" i="206"/>
  <c r="G260" i="206"/>
  <c r="G259" i="206"/>
  <c r="G288" i="206"/>
  <c r="G416" i="206"/>
  <c r="G411" i="206"/>
  <c r="G284" i="206" l="1"/>
  <c r="G286" i="206" s="1"/>
  <c r="I257" i="206"/>
  <c r="G289" i="206"/>
  <c r="H289" i="206" s="1"/>
  <c r="G283" i="206"/>
  <c r="G285" i="206" s="1"/>
  <c r="G287" i="206" s="1"/>
  <c r="H288" i="206"/>
  <c r="F282" i="206" l="1"/>
  <c r="I258" i="206" s="1"/>
  <c r="G290" i="206"/>
  <c r="F283" i="206" l="1"/>
  <c r="F284" i="206" s="1"/>
  <c r="F285" i="206" l="1"/>
  <c r="F286" i="206" s="1"/>
  <c r="F287" i="206" s="1"/>
  <c r="G418" i="206"/>
  <c r="G419" i="206"/>
  <c r="G309" i="206" l="1"/>
  <c r="G308" i="206"/>
  <c r="G361" i="206"/>
  <c r="G417" i="206"/>
  <c r="I297" i="206" l="1"/>
  <c r="G415" i="206"/>
  <c r="G413" i="206" l="1"/>
  <c r="G414" i="206"/>
  <c r="D333" i="234" l="1"/>
  <c r="D299" i="234"/>
  <c r="D181" i="256"/>
  <c r="E181" i="256" s="1"/>
  <c r="D182" i="256"/>
  <c r="D183" i="256"/>
  <c r="D184" i="256"/>
  <c r="D185" i="256"/>
  <c r="D186" i="256"/>
  <c r="D187" i="256"/>
  <c r="H9" i="251" s="1"/>
  <c r="D188" i="256"/>
  <c r="D189" i="256"/>
  <c r="D190" i="256"/>
  <c r="H12" i="251" s="1"/>
  <c r="D191" i="256"/>
  <c r="D192" i="256"/>
  <c r="D193" i="256"/>
  <c r="D194" i="256"/>
  <c r="D195" i="256"/>
  <c r="D196" i="256"/>
  <c r="E197" i="256"/>
  <c r="D199" i="256" l="1"/>
  <c r="D198" i="256"/>
  <c r="E198" i="256" l="1"/>
  <c r="H22" i="251"/>
  <c r="H58" i="251"/>
  <c r="E199" i="256"/>
  <c r="H55" i="251" l="1"/>
  <c r="E188" i="257"/>
  <c r="E187" i="257"/>
  <c r="E186" i="257"/>
  <c r="F186" i="257" s="1"/>
  <c r="E185" i="257"/>
  <c r="F185" i="257" s="1"/>
  <c r="E184" i="257"/>
  <c r="E183" i="257"/>
  <c r="E182" i="257"/>
  <c r="E181" i="257"/>
  <c r="F181" i="257" s="1"/>
  <c r="E180" i="257"/>
  <c r="F180" i="257" s="1"/>
  <c r="E179" i="257"/>
  <c r="F179" i="257" s="1"/>
  <c r="E178" i="257"/>
  <c r="F178" i="257" s="1"/>
  <c r="E177" i="257"/>
  <c r="F177" i="257" s="1"/>
  <c r="E176" i="257"/>
  <c r="F176" i="257" s="1"/>
  <c r="E175" i="257"/>
  <c r="E174" i="257"/>
  <c r="E173" i="257"/>
  <c r="F173" i="257" s="1"/>
  <c r="E172" i="257"/>
  <c r="F172" i="257" s="1"/>
  <c r="E171" i="257"/>
  <c r="F171" i="257" s="1"/>
  <c r="P166" i="257"/>
  <c r="N166" i="257"/>
  <c r="L166" i="257"/>
  <c r="J166" i="257"/>
  <c r="H166" i="257"/>
  <c r="F166" i="257"/>
  <c r="H64" i="251" l="1"/>
  <c r="F174" i="257"/>
  <c r="F182" i="257"/>
  <c r="F175" i="257"/>
  <c r="F183" i="257"/>
  <c r="F184" i="257"/>
  <c r="D196" i="257"/>
  <c r="D197" i="257" s="1"/>
  <c r="F170" i="257"/>
  <c r="I44" i="43"/>
  <c r="F44" i="43"/>
  <c r="I43" i="43"/>
  <c r="E43" i="43"/>
  <c r="F43" i="43" s="1"/>
  <c r="H15" i="251"/>
  <c r="H16" i="251"/>
  <c r="H17" i="251"/>
  <c r="H18" i="251"/>
  <c r="H19" i="251"/>
  <c r="H4" i="251"/>
  <c r="H5" i="251"/>
  <c r="H6" i="251"/>
  <c r="H7" i="251"/>
  <c r="H8" i="251"/>
  <c r="H10" i="251"/>
  <c r="H11" i="251"/>
  <c r="H13" i="251"/>
  <c r="H14" i="251"/>
  <c r="H3" i="251"/>
  <c r="J43" i="43" l="1"/>
  <c r="F193" i="257"/>
  <c r="J44" i="43"/>
  <c r="K43" i="43" l="1"/>
  <c r="F164" i="254"/>
  <c r="I97" i="253" l="1"/>
  <c r="I99" i="253"/>
  <c r="G356" i="206" l="1"/>
  <c r="G412" i="206"/>
  <c r="D177" i="254" l="1"/>
  <c r="G12" i="251" s="1"/>
  <c r="D183" i="254"/>
  <c r="D184" i="254"/>
  <c r="D169" i="254"/>
  <c r="D170" i="254"/>
  <c r="G5" i="251" s="1"/>
  <c r="D171" i="254"/>
  <c r="D172" i="254"/>
  <c r="D173" i="254"/>
  <c r="D174" i="254"/>
  <c r="G9" i="251" s="1"/>
  <c r="D175" i="254"/>
  <c r="D176" i="254"/>
  <c r="D178" i="254"/>
  <c r="D179" i="254"/>
  <c r="D180" i="254"/>
  <c r="D181" i="254"/>
  <c r="D182" i="254"/>
  <c r="D168" i="254"/>
  <c r="I87" i="253" l="1"/>
  <c r="I85" i="253"/>
  <c r="E337" i="206"/>
  <c r="E336" i="206"/>
  <c r="G332" i="206"/>
  <c r="G338" i="206"/>
  <c r="E378" i="206"/>
  <c r="E377" i="206"/>
  <c r="G373" i="206"/>
  <c r="G355" i="206"/>
  <c r="G354" i="206"/>
  <c r="G353" i="206"/>
  <c r="G352" i="206"/>
  <c r="G351" i="206"/>
  <c r="G350" i="206"/>
  <c r="G349" i="206"/>
  <c r="G348" i="206"/>
  <c r="G407" i="206"/>
  <c r="G426" i="206" s="1"/>
  <c r="I86" i="253"/>
  <c r="I81" i="253"/>
  <c r="I77" i="253"/>
  <c r="I80" i="253"/>
  <c r="I79" i="253"/>
  <c r="I82" i="253"/>
  <c r="I78" i="253"/>
  <c r="I76" i="253"/>
  <c r="G334" i="206" l="1"/>
  <c r="G336" i="206" s="1"/>
  <c r="G375" i="206"/>
  <c r="G377" i="206" s="1"/>
  <c r="G380" i="206"/>
  <c r="H380" i="206" s="1"/>
  <c r="I347" i="206"/>
  <c r="I89" i="253"/>
  <c r="G379" i="206"/>
  <c r="H379" i="206" s="1"/>
  <c r="G339" i="206"/>
  <c r="H339" i="206" s="1"/>
  <c r="G333" i="206"/>
  <c r="G335" i="206" s="1"/>
  <c r="G337" i="206" s="1"/>
  <c r="H338" i="206"/>
  <c r="G374" i="206"/>
  <c r="G376" i="206" s="1"/>
  <c r="G378" i="206" s="1"/>
  <c r="I83" i="253"/>
  <c r="G453" i="206"/>
  <c r="G454" i="206"/>
  <c r="F332" i="206" l="1"/>
  <c r="F373" i="206"/>
  <c r="I348" i="206" s="1"/>
  <c r="G340" i="206"/>
  <c r="G381" i="206"/>
  <c r="I92" i="253"/>
  <c r="F333" i="206" l="1"/>
  <c r="F334" i="206" s="1"/>
  <c r="F335" i="206" s="1"/>
  <c r="I298" i="206"/>
  <c r="F374" i="206"/>
  <c r="F375" i="206" s="1"/>
  <c r="F376" i="206" l="1"/>
  <c r="F377" i="206" s="1"/>
  <c r="F378" i="206" s="1"/>
  <c r="F336" i="206"/>
  <c r="F337" i="206" s="1"/>
  <c r="O9" i="214"/>
  <c r="E507" i="234"/>
  <c r="I93" i="253" l="1"/>
  <c r="I91" i="253"/>
  <c r="I72" i="253"/>
  <c r="I71" i="253"/>
  <c r="I70" i="253"/>
  <c r="I69" i="253"/>
  <c r="R96" i="4"/>
  <c r="G452" i="206"/>
  <c r="I74" i="253" l="1"/>
  <c r="I95" i="253"/>
  <c r="I101" i="253" s="1"/>
  <c r="R163" i="254"/>
  <c r="D519" i="234" l="1"/>
  <c r="D523" i="234" s="1"/>
  <c r="D522" i="234" s="1"/>
  <c r="C522" i="234" s="1"/>
  <c r="G451" i="206" l="1"/>
  <c r="E519" i="234" l="1"/>
  <c r="D193" i="254"/>
  <c r="G450" i="206"/>
  <c r="D186" i="254" l="1"/>
  <c r="I106" i="247"/>
  <c r="G10" i="251"/>
  <c r="G11" i="251"/>
  <c r="G13" i="251"/>
  <c r="G14" i="251"/>
  <c r="G15" i="251"/>
  <c r="G16" i="251"/>
  <c r="G17" i="251"/>
  <c r="G18" i="251"/>
  <c r="G19" i="251"/>
  <c r="G4" i="251"/>
  <c r="G6" i="251"/>
  <c r="G7" i="251"/>
  <c r="G8" i="251"/>
  <c r="G3" i="251"/>
  <c r="D185" i="254"/>
  <c r="G22" i="251" l="1"/>
  <c r="G55" i="251" s="1"/>
  <c r="E185" i="254"/>
  <c r="D194" i="254"/>
  <c r="I108" i="247"/>
  <c r="G58" i="251"/>
  <c r="E202" i="256"/>
  <c r="E196" i="256"/>
  <c r="E195" i="256"/>
  <c r="E194" i="256"/>
  <c r="E193" i="256"/>
  <c r="E192" i="256"/>
  <c r="E191" i="256"/>
  <c r="E189" i="256"/>
  <c r="E188" i="256"/>
  <c r="E187" i="256"/>
  <c r="E186" i="256"/>
  <c r="E185" i="256"/>
  <c r="E184" i="256"/>
  <c r="E183" i="256"/>
  <c r="E182" i="256"/>
  <c r="P177" i="256"/>
  <c r="N177" i="256"/>
  <c r="L177" i="256"/>
  <c r="J177" i="256"/>
  <c r="H177" i="256"/>
  <c r="R176" i="256"/>
  <c r="F192" i="256" l="1"/>
  <c r="F183" i="256"/>
  <c r="F191" i="256"/>
  <c r="F193" i="256"/>
  <c r="F197" i="256"/>
  <c r="F185" i="256"/>
  <c r="F184" i="256"/>
  <c r="F187" i="256"/>
  <c r="F195" i="256"/>
  <c r="F188" i="256"/>
  <c r="F196" i="256"/>
  <c r="F186" i="256"/>
  <c r="F194" i="256"/>
  <c r="F189" i="256"/>
  <c r="F182" i="256"/>
  <c r="F181" i="256" l="1"/>
  <c r="G449" i="206" l="1"/>
  <c r="I104" i="247" l="1"/>
  <c r="G448" i="206"/>
  <c r="G398" i="206"/>
  <c r="G447" i="206"/>
  <c r="I101" i="247"/>
  <c r="I100" i="247"/>
  <c r="I112" i="247"/>
  <c r="I97" i="247"/>
  <c r="I96" i="247"/>
  <c r="I95" i="247"/>
  <c r="I94" i="247"/>
  <c r="I93" i="247"/>
  <c r="I92" i="247"/>
  <c r="I91" i="247"/>
  <c r="I90" i="247"/>
  <c r="I89" i="247"/>
  <c r="I88" i="247"/>
  <c r="I87" i="247"/>
  <c r="I86" i="247"/>
  <c r="I102" i="247" l="1"/>
  <c r="I98" i="247"/>
  <c r="I114" i="247" l="1"/>
  <c r="D262" i="234"/>
  <c r="D506" i="234" s="1"/>
  <c r="F508" i="234" s="1"/>
  <c r="I53" i="253"/>
  <c r="I55" i="253"/>
  <c r="E460" i="206"/>
  <c r="E459" i="206"/>
  <c r="G508" i="234" l="1"/>
  <c r="E529" i="234"/>
  <c r="I51" i="253"/>
  <c r="E530" i="234" l="1"/>
  <c r="E531" i="234" s="1"/>
  <c r="E532" i="234" s="1"/>
  <c r="E533" i="234" s="1"/>
  <c r="E534" i="234" s="1"/>
  <c r="E535" i="234" s="1"/>
  <c r="E536" i="234" s="1"/>
  <c r="C541" i="234"/>
  <c r="E543" i="234" s="1"/>
  <c r="P6" i="240"/>
  <c r="I47" i="253" l="1"/>
  <c r="I46" i="253"/>
  <c r="E425" i="206"/>
  <c r="E424" i="206"/>
  <c r="G420" i="206"/>
  <c r="G397" i="206"/>
  <c r="G396" i="206"/>
  <c r="G395" i="206"/>
  <c r="G394" i="206"/>
  <c r="G393" i="206"/>
  <c r="G392" i="206"/>
  <c r="G391" i="206"/>
  <c r="G390" i="206"/>
  <c r="G422" i="206" l="1"/>
  <c r="G424" i="206" s="1"/>
  <c r="G427" i="206"/>
  <c r="G428" i="206" s="1"/>
  <c r="I393" i="206"/>
  <c r="H426" i="206"/>
  <c r="I49" i="253"/>
  <c r="G421" i="206"/>
  <c r="G423" i="206" s="1"/>
  <c r="G425" i="206" s="1"/>
  <c r="I42" i="253"/>
  <c r="G440" i="206"/>
  <c r="G441" i="206"/>
  <c r="G442" i="206"/>
  <c r="G443" i="206"/>
  <c r="G444" i="206"/>
  <c r="G445" i="206"/>
  <c r="G446" i="206"/>
  <c r="G439" i="206"/>
  <c r="I39" i="253"/>
  <c r="I38" i="253"/>
  <c r="I44" i="253"/>
  <c r="I26" i="253"/>
  <c r="I35" i="253"/>
  <c r="I34" i="253"/>
  <c r="I31" i="253"/>
  <c r="I30" i="253"/>
  <c r="D200" i="255"/>
  <c r="F12" i="251" s="1"/>
  <c r="J201" i="256" l="1"/>
  <c r="E201" i="256" s="1"/>
  <c r="D207" i="256"/>
  <c r="D208" i="256" s="1"/>
  <c r="E190" i="256"/>
  <c r="F190" i="256" s="1"/>
  <c r="F204" i="256" s="1"/>
  <c r="H427" i="206"/>
  <c r="F420" i="206" s="1"/>
  <c r="I394" i="206" s="1"/>
  <c r="I32" i="253"/>
  <c r="I40" i="253"/>
  <c r="E204" i="256" l="1"/>
  <c r="J202" i="256"/>
  <c r="M201" i="256" s="1"/>
  <c r="F421" i="206"/>
  <c r="F422" i="206" s="1"/>
  <c r="F423" i="206" s="1"/>
  <c r="F424" i="206" s="1"/>
  <c r="F425" i="206" s="1"/>
  <c r="F177" i="256"/>
  <c r="I157" i="235"/>
  <c r="I28" i="253"/>
  <c r="I61" i="253" s="1"/>
  <c r="D181" i="252"/>
  <c r="D216" i="255"/>
  <c r="R186" i="255" l="1"/>
  <c r="I24" i="253" l="1"/>
  <c r="N47" i="253"/>
  <c r="N42" i="253"/>
  <c r="G479" i="206" l="1"/>
  <c r="I20" i="253" l="1"/>
  <c r="I18" i="253"/>
  <c r="I19" i="253"/>
  <c r="I17" i="253"/>
  <c r="I22" i="253" l="1"/>
  <c r="I154" i="235"/>
  <c r="I153" i="235"/>
  <c r="I152" i="235"/>
  <c r="I151" i="235"/>
  <c r="I13" i="253"/>
  <c r="I11" i="253"/>
  <c r="I12" i="253"/>
  <c r="I10" i="253"/>
  <c r="I9" i="253"/>
  <c r="G474" i="206"/>
  <c r="G476" i="206"/>
  <c r="G477" i="206"/>
  <c r="G478" i="206"/>
  <c r="G475" i="206"/>
  <c r="I155" i="235" l="1"/>
  <c r="I15" i="253"/>
  <c r="W27" i="214"/>
  <c r="U27" i="214"/>
  <c r="V27" i="214" s="1"/>
  <c r="L27" i="214"/>
  <c r="E189" i="254"/>
  <c r="E212" i="255"/>
  <c r="D207" i="255"/>
  <c r="E207" i="255" s="1"/>
  <c r="D206" i="255"/>
  <c r="F18" i="251" s="1"/>
  <c r="D205" i="255"/>
  <c r="F17" i="251" s="1"/>
  <c r="D204" i="255"/>
  <c r="F16" i="251" s="1"/>
  <c r="D203" i="255"/>
  <c r="F15" i="251" s="1"/>
  <c r="D202" i="255"/>
  <c r="F14" i="251" s="1"/>
  <c r="D201" i="255"/>
  <c r="E201" i="255" s="1"/>
  <c r="D199" i="255"/>
  <c r="E199" i="255" s="1"/>
  <c r="D198" i="255"/>
  <c r="E198" i="255" s="1"/>
  <c r="D197" i="255"/>
  <c r="F9" i="251" s="1"/>
  <c r="D196" i="255"/>
  <c r="D195" i="255"/>
  <c r="D194" i="255"/>
  <c r="E194" i="255" s="1"/>
  <c r="D193" i="255"/>
  <c r="F5" i="251" s="1"/>
  <c r="D192" i="255"/>
  <c r="D209" i="255"/>
  <c r="D208" i="255"/>
  <c r="E208" i="255" s="1"/>
  <c r="I5" i="253"/>
  <c r="G462" i="206"/>
  <c r="G473" i="206"/>
  <c r="D191" i="255"/>
  <c r="P187" i="255"/>
  <c r="N187" i="255"/>
  <c r="L187" i="255"/>
  <c r="J187" i="255"/>
  <c r="H187" i="255"/>
  <c r="F187" i="255"/>
  <c r="D167" i="252"/>
  <c r="E14" i="251" s="1"/>
  <c r="E177" i="252"/>
  <c r="I140" i="235"/>
  <c r="I132" i="235"/>
  <c r="I149" i="235"/>
  <c r="I161" i="235" s="1"/>
  <c r="B67" i="4"/>
  <c r="B12" i="4" s="1"/>
  <c r="C66" i="4"/>
  <c r="C65" i="4"/>
  <c r="C64" i="4"/>
  <c r="C63" i="4"/>
  <c r="C62" i="4"/>
  <c r="C61" i="4"/>
  <c r="G466" i="206"/>
  <c r="G467" i="206"/>
  <c r="G470" i="206"/>
  <c r="G461" i="206"/>
  <c r="H461" i="206" s="1"/>
  <c r="G455" i="206"/>
  <c r="G456" i="206" s="1"/>
  <c r="I126" i="235"/>
  <c r="I125" i="235"/>
  <c r="I124" i="235"/>
  <c r="I123" i="235"/>
  <c r="I122" i="235"/>
  <c r="I121" i="235"/>
  <c r="D157" i="252"/>
  <c r="E4" i="251" s="1"/>
  <c r="I131" i="235"/>
  <c r="I130" i="235"/>
  <c r="D165" i="252"/>
  <c r="E12" i="251" s="1"/>
  <c r="I117" i="235"/>
  <c r="I118" i="235"/>
  <c r="I116" i="235"/>
  <c r="D174" i="252"/>
  <c r="I142" i="235"/>
  <c r="I113" i="235"/>
  <c r="I112" i="235"/>
  <c r="I111" i="235"/>
  <c r="G505" i="206"/>
  <c r="I505" i="206" s="1"/>
  <c r="E195" i="255" l="1"/>
  <c r="F7" i="251"/>
  <c r="F22" i="251"/>
  <c r="F55" i="251" s="1"/>
  <c r="E58" i="251"/>
  <c r="E209" i="255"/>
  <c r="F3" i="251"/>
  <c r="J211" i="255"/>
  <c r="E211" i="255" s="1"/>
  <c r="F194" i="255"/>
  <c r="J164" i="235"/>
  <c r="H462" i="206"/>
  <c r="F455" i="206" s="1"/>
  <c r="F58" i="251"/>
  <c r="F13" i="251"/>
  <c r="E203" i="255"/>
  <c r="E192" i="255"/>
  <c r="F4" i="251"/>
  <c r="E193" i="255"/>
  <c r="F6" i="251"/>
  <c r="E202" i="255"/>
  <c r="E204" i="255"/>
  <c r="F8" i="251"/>
  <c r="E196" i="255"/>
  <c r="E205" i="255"/>
  <c r="F19" i="251"/>
  <c r="F11" i="251"/>
  <c r="E197" i="255"/>
  <c r="E206" i="255"/>
  <c r="F10" i="251"/>
  <c r="F195" i="255"/>
  <c r="F199" i="255"/>
  <c r="F207" i="255"/>
  <c r="F201" i="255"/>
  <c r="F198" i="255"/>
  <c r="D217" i="255"/>
  <c r="D218" i="255" s="1"/>
  <c r="E200" i="255"/>
  <c r="E191" i="255"/>
  <c r="F191" i="255" s="1"/>
  <c r="I134" i="235"/>
  <c r="I128" i="235"/>
  <c r="C67" i="4"/>
  <c r="G457" i="206"/>
  <c r="I119" i="235"/>
  <c r="E174" i="252"/>
  <c r="I114" i="235"/>
  <c r="I108" i="235"/>
  <c r="I107" i="235"/>
  <c r="S27" i="214" l="1"/>
  <c r="F64" i="251"/>
  <c r="F456" i="206"/>
  <c r="F457" i="206" s="1"/>
  <c r="J212" i="255"/>
  <c r="M211" i="255" s="1"/>
  <c r="E214" i="255"/>
  <c r="G463" i="206"/>
  <c r="F192" i="255"/>
  <c r="F203" i="255"/>
  <c r="F197" i="255"/>
  <c r="F193" i="255"/>
  <c r="F204" i="255"/>
  <c r="F202" i="255"/>
  <c r="F206" i="255"/>
  <c r="F196" i="255"/>
  <c r="F205" i="255"/>
  <c r="F200" i="255"/>
  <c r="G458" i="206"/>
  <c r="I109" i="235"/>
  <c r="F214" i="255" l="1"/>
  <c r="F458" i="206"/>
  <c r="F459" i="206" s="1"/>
  <c r="G459" i="206"/>
  <c r="G460" i="206" s="1"/>
  <c r="I100" i="235"/>
  <c r="I99" i="235"/>
  <c r="I88" i="235"/>
  <c r="I87" i="235"/>
  <c r="I98" i="235"/>
  <c r="N91" i="235"/>
  <c r="F460" i="206" l="1"/>
  <c r="I89" i="235"/>
  <c r="I101" i="235"/>
  <c r="I103" i="235"/>
  <c r="I105" i="235"/>
  <c r="I95" i="235"/>
  <c r="I94" i="235"/>
  <c r="I93" i="235"/>
  <c r="I92" i="235"/>
  <c r="I91" i="235"/>
  <c r="O91" i="235" s="1"/>
  <c r="I96" i="235" l="1"/>
  <c r="G504" i="206"/>
  <c r="D161" i="252"/>
  <c r="E8" i="251" s="1"/>
  <c r="I181" i="243"/>
  <c r="D173" i="252"/>
  <c r="E186" i="254"/>
  <c r="E184" i="254"/>
  <c r="E183" i="254"/>
  <c r="E182" i="254"/>
  <c r="E181" i="254"/>
  <c r="E180" i="254"/>
  <c r="E179" i="254"/>
  <c r="E178" i="254"/>
  <c r="E176" i="254"/>
  <c r="E175" i="254"/>
  <c r="E174" i="254"/>
  <c r="E173" i="254"/>
  <c r="E172" i="254"/>
  <c r="E171" i="254"/>
  <c r="E170" i="254"/>
  <c r="E169" i="254"/>
  <c r="P164" i="254"/>
  <c r="N164" i="254"/>
  <c r="L164" i="254"/>
  <c r="J164" i="254"/>
  <c r="H164" i="254"/>
  <c r="F179" i="254" l="1"/>
  <c r="F180" i="254"/>
  <c r="F178" i="254"/>
  <c r="F181" i="254"/>
  <c r="F182" i="254"/>
  <c r="F170" i="254"/>
  <c r="F172" i="254"/>
  <c r="F183" i="254"/>
  <c r="F169" i="254"/>
  <c r="F171" i="254"/>
  <c r="F173" i="254"/>
  <c r="F174" i="254"/>
  <c r="F175" i="254"/>
  <c r="F176" i="254"/>
  <c r="F184" i="254"/>
  <c r="E22" i="251"/>
  <c r="E55" i="251" s="1"/>
  <c r="E173" i="252"/>
  <c r="D195" i="254"/>
  <c r="J188" i="254"/>
  <c r="E188" i="254" s="1"/>
  <c r="E177" i="254"/>
  <c r="E168" i="254"/>
  <c r="D172" i="252"/>
  <c r="E19" i="251" s="1"/>
  <c r="D163" i="252"/>
  <c r="E10" i="251" s="1"/>
  <c r="D162" i="252"/>
  <c r="E9" i="251" s="1"/>
  <c r="D160" i="252"/>
  <c r="E7" i="251" s="1"/>
  <c r="D159" i="252"/>
  <c r="E6" i="251" s="1"/>
  <c r="D158" i="252"/>
  <c r="E5" i="251" s="1"/>
  <c r="D156" i="252"/>
  <c r="E3" i="251" s="1"/>
  <c r="I4" i="253"/>
  <c r="I84" i="235"/>
  <c r="I83" i="235"/>
  <c r="I3" i="253"/>
  <c r="I184" i="243"/>
  <c r="I180" i="243"/>
  <c r="I179" i="243"/>
  <c r="R151" i="252"/>
  <c r="R175" i="250"/>
  <c r="R182" i="248"/>
  <c r="R183" i="249"/>
  <c r="E201" i="250"/>
  <c r="G472" i="206"/>
  <c r="G506" i="206"/>
  <c r="N10" i="192"/>
  <c r="F177" i="254" l="1"/>
  <c r="F168" i="254"/>
  <c r="J189" i="254"/>
  <c r="M188" i="254" s="1"/>
  <c r="I7" i="253"/>
  <c r="I59" i="253" s="1"/>
  <c r="I85" i="235"/>
  <c r="I144" i="235" s="1"/>
  <c r="I182" i="243"/>
  <c r="I186" i="243" s="1"/>
  <c r="I21" i="192"/>
  <c r="I16" i="192"/>
  <c r="J16" i="192"/>
  <c r="E191" i="254" l="1"/>
  <c r="F191" i="254"/>
  <c r="I62" i="253"/>
  <c r="J165" i="235"/>
  <c r="D183" i="250"/>
  <c r="D186" i="250"/>
  <c r="D9" i="251" s="1"/>
  <c r="I73" i="247"/>
  <c r="J166" i="235" l="1"/>
  <c r="K164" i="235" s="1"/>
  <c r="I63" i="253"/>
  <c r="G471" i="206"/>
  <c r="G503" i="206"/>
  <c r="I71" i="247"/>
  <c r="L96" i="4"/>
  <c r="L95" i="4"/>
  <c r="M97" i="4"/>
  <c r="C9" i="251"/>
  <c r="B9" i="251" s="1"/>
  <c r="D189" i="250"/>
  <c r="G486" i="206"/>
  <c r="H486" i="206" s="1"/>
  <c r="E485" i="206"/>
  <c r="E484" i="206"/>
  <c r="G480" i="206"/>
  <c r="G481" i="206" s="1"/>
  <c r="G469" i="206"/>
  <c r="G468" i="206"/>
  <c r="D188" i="250"/>
  <c r="G502" i="206"/>
  <c r="C9" i="4"/>
  <c r="C8" i="4"/>
  <c r="R20" i="4"/>
  <c r="R19" i="4"/>
  <c r="Q15" i="4"/>
  <c r="R16" i="4"/>
  <c r="N66" i="247"/>
  <c r="I66" i="247"/>
  <c r="D196" i="248"/>
  <c r="G537" i="206"/>
  <c r="G538" i="206"/>
  <c r="G539" i="206"/>
  <c r="N54" i="247"/>
  <c r="N55" i="247"/>
  <c r="N56" i="247"/>
  <c r="N57" i="247"/>
  <c r="N58" i="247"/>
  <c r="N59" i="247"/>
  <c r="N60" i="247"/>
  <c r="N61" i="247"/>
  <c r="N62" i="247"/>
  <c r="N63" i="247"/>
  <c r="N64" i="247"/>
  <c r="N65" i="247"/>
  <c r="N53" i="247"/>
  <c r="B103" i="192"/>
  <c r="D12" i="251" l="1"/>
  <c r="C12" i="251" s="1"/>
  <c r="R14" i="43" s="1"/>
  <c r="R15" i="4"/>
  <c r="E196" i="248"/>
  <c r="N12" i="228"/>
  <c r="K165" i="235"/>
  <c r="K166" i="235" s="1"/>
  <c r="J61" i="253"/>
  <c r="J62" i="253"/>
  <c r="G487" i="206"/>
  <c r="N67" i="247"/>
  <c r="G482" i="206"/>
  <c r="I55" i="247"/>
  <c r="I56" i="247"/>
  <c r="I57" i="247"/>
  <c r="I58" i="247"/>
  <c r="I59" i="247"/>
  <c r="I62" i="247"/>
  <c r="I65" i="247"/>
  <c r="I64" i="247"/>
  <c r="I63" i="247"/>
  <c r="I60" i="247"/>
  <c r="I61" i="247"/>
  <c r="I54" i="247"/>
  <c r="I53" i="247"/>
  <c r="I169" i="243"/>
  <c r="I168" i="243"/>
  <c r="C511" i="234"/>
  <c r="E64" i="251"/>
  <c r="I165" i="243"/>
  <c r="I164" i="243"/>
  <c r="G536" i="206"/>
  <c r="G535" i="206"/>
  <c r="G534" i="206"/>
  <c r="G533" i="206"/>
  <c r="G532" i="206"/>
  <c r="G513" i="206"/>
  <c r="E512" i="206"/>
  <c r="E511" i="206"/>
  <c r="G507" i="206"/>
  <c r="G508" i="206" s="1"/>
  <c r="G496" i="206"/>
  <c r="I496" i="206" s="1"/>
  <c r="E172" i="252"/>
  <c r="D171" i="252"/>
  <c r="E18" i="251" s="1"/>
  <c r="D170" i="252"/>
  <c r="E17" i="251" s="1"/>
  <c r="D169" i="252"/>
  <c r="E16" i="251" s="1"/>
  <c r="D168" i="252"/>
  <c r="E15" i="251" s="1"/>
  <c r="E167" i="252"/>
  <c r="D166" i="252"/>
  <c r="E13" i="251" s="1"/>
  <c r="E165" i="252"/>
  <c r="D164" i="252"/>
  <c r="E11" i="251" s="1"/>
  <c r="E163" i="252"/>
  <c r="E162" i="252"/>
  <c r="E160" i="252"/>
  <c r="E159" i="252"/>
  <c r="E158" i="252"/>
  <c r="E156" i="252"/>
  <c r="P152" i="252"/>
  <c r="N152" i="252"/>
  <c r="L152" i="252"/>
  <c r="J152" i="252"/>
  <c r="H152" i="252"/>
  <c r="F152" i="252"/>
  <c r="I64" i="251"/>
  <c r="G64" i="251"/>
  <c r="O64" i="251"/>
  <c r="N64" i="251"/>
  <c r="M64" i="251"/>
  <c r="L64" i="251"/>
  <c r="B12" i="251" l="1"/>
  <c r="G514" i="206"/>
  <c r="H514" i="206" s="1"/>
  <c r="I81" i="247"/>
  <c r="I69" i="247"/>
  <c r="I79" i="247" s="1"/>
  <c r="C512" i="234"/>
  <c r="D510" i="234" s="1"/>
  <c r="H487" i="206"/>
  <c r="F480" i="206" s="1"/>
  <c r="F481" i="206" s="1"/>
  <c r="D182" i="252"/>
  <c r="D183" i="252" s="1"/>
  <c r="J176" i="252"/>
  <c r="E170" i="252"/>
  <c r="F159" i="252"/>
  <c r="F167" i="252"/>
  <c r="F165" i="252"/>
  <c r="F158" i="252"/>
  <c r="E168" i="252"/>
  <c r="E171" i="252"/>
  <c r="F156" i="252"/>
  <c r="E164" i="252"/>
  <c r="F172" i="252"/>
  <c r="E166" i="252"/>
  <c r="E161" i="252"/>
  <c r="E169" i="252"/>
  <c r="E157" i="252"/>
  <c r="I170" i="243"/>
  <c r="F162" i="252"/>
  <c r="F160" i="252"/>
  <c r="F163" i="252"/>
  <c r="G488" i="206"/>
  <c r="G483" i="206"/>
  <c r="I166" i="243"/>
  <c r="G509" i="206"/>
  <c r="M20" i="251"/>
  <c r="N20" i="251"/>
  <c r="K64" i="251"/>
  <c r="I172" i="243"/>
  <c r="I161" i="243"/>
  <c r="I160" i="243"/>
  <c r="I150" i="243"/>
  <c r="D180" i="250"/>
  <c r="R8" i="250"/>
  <c r="D511" i="234" l="1"/>
  <c r="D512" i="234" s="1"/>
  <c r="G515" i="206"/>
  <c r="I82" i="247"/>
  <c r="R9" i="43"/>
  <c r="C75" i="251"/>
  <c r="F168" i="252"/>
  <c r="E20" i="251"/>
  <c r="F161" i="252"/>
  <c r="F171" i="252"/>
  <c r="F169" i="252"/>
  <c r="F170" i="252"/>
  <c r="F166" i="252"/>
  <c r="F157" i="252"/>
  <c r="F164" i="252"/>
  <c r="F507" i="206"/>
  <c r="F508" i="206" s="1"/>
  <c r="D3" i="251"/>
  <c r="F482" i="206"/>
  <c r="G484" i="206"/>
  <c r="G485" i="206" s="1"/>
  <c r="G510" i="206"/>
  <c r="G511" i="206" s="1"/>
  <c r="E176" i="252"/>
  <c r="E179" i="252" s="1"/>
  <c r="J177" i="252"/>
  <c r="M176" i="252" s="1"/>
  <c r="I162" i="243"/>
  <c r="I175" i="243" s="1"/>
  <c r="J15" i="192"/>
  <c r="I15" i="192"/>
  <c r="I147" i="243"/>
  <c r="I146" i="243"/>
  <c r="I145" i="243"/>
  <c r="I144" i="243"/>
  <c r="I143" i="243"/>
  <c r="E209" i="249"/>
  <c r="D213" i="249"/>
  <c r="I139" i="243"/>
  <c r="I138" i="243"/>
  <c r="I133" i="243"/>
  <c r="I137" i="243"/>
  <c r="I140" i="243"/>
  <c r="I136" i="243"/>
  <c r="I127" i="243"/>
  <c r="I126" i="243"/>
  <c r="I125" i="243"/>
  <c r="I121" i="243"/>
  <c r="I122" i="243"/>
  <c r="I120" i="243"/>
  <c r="I119" i="243"/>
  <c r="I116" i="243"/>
  <c r="I130" i="243"/>
  <c r="I154" i="243" s="1"/>
  <c r="I115" i="243"/>
  <c r="I114" i="243"/>
  <c r="G568" i="206"/>
  <c r="G523" i="206"/>
  <c r="I523" i="206" s="1"/>
  <c r="G563" i="206"/>
  <c r="I563" i="206" s="1"/>
  <c r="G575" i="206"/>
  <c r="H575" i="206" s="1"/>
  <c r="D204" i="249"/>
  <c r="O19" i="228" s="1"/>
  <c r="D205" i="250"/>
  <c r="D198" i="250"/>
  <c r="D197" i="250"/>
  <c r="D196" i="250"/>
  <c r="D19" i="251" s="1"/>
  <c r="C19" i="251" s="1"/>
  <c r="B19" i="251" s="1"/>
  <c r="D195" i="250"/>
  <c r="D194" i="250"/>
  <c r="D193" i="250"/>
  <c r="D192" i="250"/>
  <c r="D191" i="250"/>
  <c r="D14" i="251" s="1"/>
  <c r="C14" i="251" s="1"/>
  <c r="B14" i="251" s="1"/>
  <c r="D190" i="250"/>
  <c r="D13" i="251" s="1"/>
  <c r="C13" i="251" s="1"/>
  <c r="B13" i="251" s="1"/>
  <c r="D187" i="250"/>
  <c r="E186" i="250"/>
  <c r="D185" i="250"/>
  <c r="D184" i="250"/>
  <c r="D182" i="250"/>
  <c r="D5" i="251" s="1"/>
  <c r="D181" i="250"/>
  <c r="D4" i="251" s="1"/>
  <c r="C4" i="251" s="1"/>
  <c r="B4" i="251" s="1"/>
  <c r="E180" i="250"/>
  <c r="P176" i="250"/>
  <c r="N176" i="250"/>
  <c r="L176" i="250"/>
  <c r="J176" i="250"/>
  <c r="H176" i="250"/>
  <c r="F176" i="250"/>
  <c r="D191" i="249"/>
  <c r="O6" i="228" s="1"/>
  <c r="D190" i="249"/>
  <c r="E190" i="249" s="1"/>
  <c r="D196" i="249"/>
  <c r="O11" i="228" s="1"/>
  <c r="G546" i="206"/>
  <c r="E545" i="206"/>
  <c r="E544" i="206"/>
  <c r="G540" i="206"/>
  <c r="G541" i="206" s="1"/>
  <c r="G522" i="206"/>
  <c r="I522" i="206" s="1"/>
  <c r="D190" i="248"/>
  <c r="O95" i="243"/>
  <c r="O96" i="243"/>
  <c r="O94" i="243"/>
  <c r="N105" i="243"/>
  <c r="N106" i="243" s="1"/>
  <c r="N97" i="243"/>
  <c r="N98" i="243" s="1"/>
  <c r="I103" i="243"/>
  <c r="I101" i="243"/>
  <c r="E22" i="43"/>
  <c r="I94" i="243"/>
  <c r="I93" i="243"/>
  <c r="I98" i="243"/>
  <c r="I90" i="243"/>
  <c r="I89" i="243"/>
  <c r="G597" i="206"/>
  <c r="I597" i="206" s="1"/>
  <c r="D212" i="248"/>
  <c r="D203" i="248"/>
  <c r="E203" i="248" s="1"/>
  <c r="D187" i="248"/>
  <c r="E187" i="248" s="1"/>
  <c r="D204" i="248"/>
  <c r="N22" i="228" s="1"/>
  <c r="N54" i="228" s="1"/>
  <c r="D172" i="246"/>
  <c r="M6" i="228" s="1"/>
  <c r="D192" i="249"/>
  <c r="O7" i="228" s="1"/>
  <c r="D189" i="249"/>
  <c r="E189" i="249" s="1"/>
  <c r="D193" i="249"/>
  <c r="E193" i="249" s="1"/>
  <c r="D194" i="249"/>
  <c r="O9" i="228" s="1"/>
  <c r="D195" i="249"/>
  <c r="E195" i="249" s="1"/>
  <c r="D197" i="249"/>
  <c r="O12" i="228" s="1"/>
  <c r="D198" i="249"/>
  <c r="O13" i="228" s="1"/>
  <c r="D199" i="249"/>
  <c r="O14" i="228" s="1"/>
  <c r="D200" i="249"/>
  <c r="O15" i="228" s="1"/>
  <c r="D201" i="249"/>
  <c r="E201" i="249" s="1"/>
  <c r="D202" i="249"/>
  <c r="E202" i="249" s="1"/>
  <c r="D203" i="249"/>
  <c r="E203" i="249" s="1"/>
  <c r="D188" i="249"/>
  <c r="O3" i="228" s="1"/>
  <c r="D188" i="248"/>
  <c r="E188" i="248" s="1"/>
  <c r="D189" i="248"/>
  <c r="N5" i="228" s="1"/>
  <c r="D191" i="248"/>
  <c r="N7" i="228" s="1"/>
  <c r="D192" i="248"/>
  <c r="E192" i="248" s="1"/>
  <c r="D193" i="248"/>
  <c r="E193" i="248" s="1"/>
  <c r="N32" i="228" s="1"/>
  <c r="D194" i="248"/>
  <c r="E194" i="248" s="1"/>
  <c r="N33" i="228" s="1"/>
  <c r="D195" i="248"/>
  <c r="D197" i="248"/>
  <c r="N13" i="228" s="1"/>
  <c r="D198" i="248"/>
  <c r="D199" i="248"/>
  <c r="N15" i="228" s="1"/>
  <c r="D200" i="248"/>
  <c r="E200" i="248" s="1"/>
  <c r="N39" i="228" s="1"/>
  <c r="D201" i="248"/>
  <c r="N17" i="228" s="1"/>
  <c r="D202" i="248"/>
  <c r="N18" i="228" s="1"/>
  <c r="D170" i="246"/>
  <c r="E170" i="246" s="1"/>
  <c r="M27" i="228" s="1"/>
  <c r="D171" i="246"/>
  <c r="M5" i="228" s="1"/>
  <c r="D173" i="246"/>
  <c r="M7" i="228" s="1"/>
  <c r="D174" i="246"/>
  <c r="M8" i="228" s="1"/>
  <c r="D175" i="246"/>
  <c r="E175" i="246" s="1"/>
  <c r="M32" i="228" s="1"/>
  <c r="D176" i="246"/>
  <c r="E176" i="246" s="1"/>
  <c r="M33" i="228" s="1"/>
  <c r="D177" i="246"/>
  <c r="M11" i="228" s="1"/>
  <c r="D178" i="246"/>
  <c r="M12" i="228" s="1"/>
  <c r="D179" i="246"/>
  <c r="M13" i="228" s="1"/>
  <c r="D180" i="246"/>
  <c r="D181" i="246"/>
  <c r="E181" i="246" s="1"/>
  <c r="M38" i="228" s="1"/>
  <c r="D182" i="246"/>
  <c r="E182" i="246" s="1"/>
  <c r="D183" i="246"/>
  <c r="E183" i="246" s="1"/>
  <c r="D184" i="246"/>
  <c r="E184" i="246" s="1"/>
  <c r="D185" i="246"/>
  <c r="M19" i="228" s="1"/>
  <c r="D169" i="246"/>
  <c r="M3" i="228" s="1"/>
  <c r="D194" i="246"/>
  <c r="E190" i="246"/>
  <c r="G63" i="228"/>
  <c r="D206" i="249"/>
  <c r="D205" i="249"/>
  <c r="O22" i="228" s="1"/>
  <c r="P184" i="249"/>
  <c r="N184" i="249"/>
  <c r="L184" i="249"/>
  <c r="J184" i="249"/>
  <c r="H184" i="249"/>
  <c r="F184" i="249"/>
  <c r="G596" i="206"/>
  <c r="I86" i="243"/>
  <c r="C61" i="228"/>
  <c r="B61" i="228" s="1"/>
  <c r="L313" i="234"/>
  <c r="L314" i="234" s="1"/>
  <c r="L315" i="234" s="1"/>
  <c r="L316" i="234" s="1"/>
  <c r="L317" i="234" s="1"/>
  <c r="L318" i="234" s="1"/>
  <c r="L319" i="234" s="1"/>
  <c r="L320" i="234" s="1"/>
  <c r="E574" i="206"/>
  <c r="E573" i="206"/>
  <c r="G569" i="206"/>
  <c r="G570" i="206" s="1"/>
  <c r="G558" i="206"/>
  <c r="I558" i="206" s="1"/>
  <c r="G557" i="206"/>
  <c r="I557" i="206" s="1"/>
  <c r="G556" i="206"/>
  <c r="I556" i="206" s="1"/>
  <c r="D174" i="245"/>
  <c r="G590" i="206"/>
  <c r="I590" i="206" s="1"/>
  <c r="G589" i="206"/>
  <c r="I589" i="206" s="1"/>
  <c r="G587" i="206"/>
  <c r="I587" i="206" s="1"/>
  <c r="G586" i="206"/>
  <c r="I586" i="206" s="1"/>
  <c r="K106" i="234"/>
  <c r="J106" i="234"/>
  <c r="L105" i="234"/>
  <c r="L104" i="234"/>
  <c r="L103" i="234"/>
  <c r="L102" i="234"/>
  <c r="L101" i="234"/>
  <c r="L100" i="234"/>
  <c r="L99" i="234"/>
  <c r="L98" i="234"/>
  <c r="L97" i="234"/>
  <c r="L96" i="234"/>
  <c r="I93" i="234"/>
  <c r="H93" i="234"/>
  <c r="I83" i="243"/>
  <c r="I82" i="243"/>
  <c r="I81" i="243"/>
  <c r="M137" i="240"/>
  <c r="T135" i="240"/>
  <c r="T137" i="240" s="1"/>
  <c r="S135" i="240"/>
  <c r="S137" i="240" s="1"/>
  <c r="R135" i="240"/>
  <c r="Q135" i="240"/>
  <c r="P135" i="240"/>
  <c r="O135" i="240"/>
  <c r="R134" i="240"/>
  <c r="Q134" i="240"/>
  <c r="P134" i="240"/>
  <c r="O134" i="240"/>
  <c r="O133" i="240"/>
  <c r="O132" i="240"/>
  <c r="O125" i="240"/>
  <c r="M116" i="240"/>
  <c r="Q114" i="240"/>
  <c r="Q116" i="240" s="1"/>
  <c r="Q117" i="240" s="1"/>
  <c r="Q118" i="240" s="1"/>
  <c r="P114" i="240"/>
  <c r="P116" i="240" s="1"/>
  <c r="O114" i="240"/>
  <c r="O116" i="240" s="1"/>
  <c r="R91" i="4"/>
  <c r="R92" i="4"/>
  <c r="R93" i="4"/>
  <c r="R94" i="4"/>
  <c r="R95" i="4"/>
  <c r="R90" i="4"/>
  <c r="R88" i="4"/>
  <c r="M96" i="4"/>
  <c r="G631" i="206"/>
  <c r="I631" i="206" s="1"/>
  <c r="E208" i="248"/>
  <c r="D205" i="248"/>
  <c r="P183" i="248"/>
  <c r="N183" i="248"/>
  <c r="L183" i="248"/>
  <c r="J183" i="248"/>
  <c r="H183" i="248"/>
  <c r="F183" i="248"/>
  <c r="D186" i="246"/>
  <c r="E186" i="246" s="1"/>
  <c r="I39" i="247"/>
  <c r="I40" i="247" s="1"/>
  <c r="I36" i="247"/>
  <c r="I35" i="247"/>
  <c r="D187" i="246"/>
  <c r="E187" i="246" s="1"/>
  <c r="G630" i="206"/>
  <c r="D150" i="245"/>
  <c r="E150" i="245" s="1"/>
  <c r="J22" i="228"/>
  <c r="I22" i="228"/>
  <c r="H22" i="228"/>
  <c r="G22" i="228"/>
  <c r="F22" i="228"/>
  <c r="E22" i="228"/>
  <c r="D22" i="228"/>
  <c r="D167" i="245"/>
  <c r="E167" i="245" s="1"/>
  <c r="E637" i="206"/>
  <c r="G606" i="206"/>
  <c r="E605" i="206"/>
  <c r="E604" i="206"/>
  <c r="G600" i="206"/>
  <c r="G602" i="206" s="1"/>
  <c r="G604" i="206" s="1"/>
  <c r="G599" i="206"/>
  <c r="I599" i="206" s="1"/>
  <c r="G584" i="206"/>
  <c r="I584" i="206" s="1"/>
  <c r="E201" i="248"/>
  <c r="G623" i="206"/>
  <c r="G624" i="206"/>
  <c r="G625" i="206"/>
  <c r="G626" i="206"/>
  <c r="G627" i="206"/>
  <c r="G628" i="206"/>
  <c r="G629" i="206"/>
  <c r="I24" i="247"/>
  <c r="I29" i="247"/>
  <c r="I28" i="247"/>
  <c r="I27" i="247"/>
  <c r="I26" i="247"/>
  <c r="I32" i="247"/>
  <c r="I33" i="247" s="1"/>
  <c r="I25" i="247"/>
  <c r="I23" i="247"/>
  <c r="G632" i="206"/>
  <c r="I632" i="206" s="1"/>
  <c r="G622" i="206"/>
  <c r="G621" i="206"/>
  <c r="G620" i="206"/>
  <c r="G619" i="206"/>
  <c r="I19" i="247"/>
  <c r="I18" i="247"/>
  <c r="I20" i="247"/>
  <c r="I17" i="247"/>
  <c r="E660" i="206"/>
  <c r="J10" i="192"/>
  <c r="I9" i="192"/>
  <c r="I11" i="192"/>
  <c r="I7" i="192"/>
  <c r="I6" i="192"/>
  <c r="I8" i="192"/>
  <c r="I12" i="192"/>
  <c r="I13" i="192"/>
  <c r="I14" i="192"/>
  <c r="I5" i="192"/>
  <c r="I3" i="192"/>
  <c r="J21" i="192"/>
  <c r="J14" i="192"/>
  <c r="G654" i="206"/>
  <c r="G653" i="206"/>
  <c r="I8" i="247"/>
  <c r="I7" i="247"/>
  <c r="I4" i="247"/>
  <c r="I11" i="247"/>
  <c r="I46" i="247" s="1"/>
  <c r="I3" i="247"/>
  <c r="G618" i="206"/>
  <c r="G652" i="206"/>
  <c r="D158" i="245"/>
  <c r="L12" i="228" s="1"/>
  <c r="D159" i="245"/>
  <c r="D157" i="245"/>
  <c r="E157" i="245" s="1"/>
  <c r="D155" i="245"/>
  <c r="E155" i="245" s="1"/>
  <c r="L32" i="228" s="1"/>
  <c r="D166" i="245"/>
  <c r="L22" i="228" s="1"/>
  <c r="L54" i="228" s="1"/>
  <c r="L63" i="228" s="1"/>
  <c r="D152" i="245"/>
  <c r="L6" i="228" s="1"/>
  <c r="P165" i="246"/>
  <c r="N165" i="246"/>
  <c r="L165" i="246"/>
  <c r="J165" i="246"/>
  <c r="H165" i="246"/>
  <c r="F165" i="246"/>
  <c r="H45" i="43"/>
  <c r="G45" i="43"/>
  <c r="I42" i="43"/>
  <c r="F42" i="43"/>
  <c r="I41" i="43"/>
  <c r="E41" i="43"/>
  <c r="F41" i="43" s="1"/>
  <c r="I40" i="43"/>
  <c r="F40" i="43"/>
  <c r="I39" i="43"/>
  <c r="E39" i="43"/>
  <c r="F39" i="43" s="1"/>
  <c r="I38" i="43"/>
  <c r="F38" i="43"/>
  <c r="I37" i="43"/>
  <c r="E37" i="43"/>
  <c r="F37" i="43" s="1"/>
  <c r="I36" i="43"/>
  <c r="F36" i="43"/>
  <c r="I35" i="43"/>
  <c r="E35" i="43"/>
  <c r="F35" i="43" s="1"/>
  <c r="I34" i="43"/>
  <c r="F34" i="43"/>
  <c r="I33" i="43"/>
  <c r="E33" i="43"/>
  <c r="F33" i="43" s="1"/>
  <c r="I32" i="43"/>
  <c r="F32" i="43"/>
  <c r="I31" i="43"/>
  <c r="E31" i="43"/>
  <c r="F31" i="43" s="1"/>
  <c r="I30" i="43"/>
  <c r="F30" i="43"/>
  <c r="I29" i="43"/>
  <c r="E29" i="43"/>
  <c r="F29" i="43" s="1"/>
  <c r="I28" i="43"/>
  <c r="F28" i="43"/>
  <c r="I27" i="43"/>
  <c r="E27" i="43"/>
  <c r="F27" i="43" s="1"/>
  <c r="D161" i="242"/>
  <c r="K12" i="228" s="1"/>
  <c r="G655" i="206"/>
  <c r="I655" i="206" s="1"/>
  <c r="E638" i="206"/>
  <c r="G633" i="206"/>
  <c r="G634" i="206" s="1"/>
  <c r="G636" i="206" s="1"/>
  <c r="G638" i="206" s="1"/>
  <c r="G617" i="206"/>
  <c r="G614" i="206"/>
  <c r="G616" i="206"/>
  <c r="I616" i="206" s="1"/>
  <c r="G615" i="206"/>
  <c r="I615" i="206" s="1"/>
  <c r="G613" i="206"/>
  <c r="G611" i="206"/>
  <c r="G646" i="206"/>
  <c r="E170" i="245"/>
  <c r="D165" i="245"/>
  <c r="E165" i="245" s="1"/>
  <c r="D164" i="245"/>
  <c r="L18" i="228" s="1"/>
  <c r="D163" i="245"/>
  <c r="L17" i="228" s="1"/>
  <c r="D162" i="245"/>
  <c r="D161" i="245"/>
  <c r="E161" i="245" s="1"/>
  <c r="L38" i="228" s="1"/>
  <c r="D160" i="245"/>
  <c r="L14" i="228" s="1"/>
  <c r="D156" i="245"/>
  <c r="D154" i="245"/>
  <c r="L8" i="228" s="1"/>
  <c r="D153" i="245"/>
  <c r="E153" i="245" s="1"/>
  <c r="L30" i="228" s="1"/>
  <c r="D151" i="245"/>
  <c r="D149" i="245"/>
  <c r="R145" i="245"/>
  <c r="P145" i="245"/>
  <c r="N145" i="245"/>
  <c r="L145" i="245"/>
  <c r="J145" i="245"/>
  <c r="H145" i="245"/>
  <c r="F145" i="245"/>
  <c r="D169" i="242"/>
  <c r="K22" i="228" s="1"/>
  <c r="K54" i="228" s="1"/>
  <c r="K63" i="228" s="1"/>
  <c r="E172" i="242"/>
  <c r="D176" i="242"/>
  <c r="G675" i="206"/>
  <c r="G673" i="206"/>
  <c r="G674" i="206"/>
  <c r="G667" i="206"/>
  <c r="I669" i="206"/>
  <c r="I101" i="240"/>
  <c r="G682" i="206"/>
  <c r="I682" i="206" s="1"/>
  <c r="I69" i="243"/>
  <c r="I66" i="243"/>
  <c r="I67" i="243"/>
  <c r="I70" i="243"/>
  <c r="I68" i="243"/>
  <c r="D154" i="242"/>
  <c r="K5" i="228" s="1"/>
  <c r="L24" i="214"/>
  <c r="W29" i="214"/>
  <c r="M24" i="214"/>
  <c r="O24" i="214" s="1"/>
  <c r="W24" i="214"/>
  <c r="U24" i="214"/>
  <c r="V24" i="214" s="1"/>
  <c r="J24" i="214"/>
  <c r="H24" i="214"/>
  <c r="E63" i="228"/>
  <c r="F63" i="228"/>
  <c r="H63" i="228"/>
  <c r="I63" i="228"/>
  <c r="J63" i="228"/>
  <c r="D63" i="228"/>
  <c r="C53" i="228"/>
  <c r="B53" i="228" s="1"/>
  <c r="B77" i="4"/>
  <c r="C75" i="4"/>
  <c r="C74" i="4"/>
  <c r="C73" i="4"/>
  <c r="C72" i="4"/>
  <c r="C71" i="4"/>
  <c r="I73" i="243"/>
  <c r="I63" i="243"/>
  <c r="I62" i="243"/>
  <c r="G651" i="206"/>
  <c r="G680" i="206"/>
  <c r="I99" i="240"/>
  <c r="I52" i="243"/>
  <c r="W28" i="214"/>
  <c r="L28" i="214"/>
  <c r="J28" i="214"/>
  <c r="H28" i="214"/>
  <c r="D152" i="242"/>
  <c r="K3" i="228" s="1"/>
  <c r="D168" i="242"/>
  <c r="E168" i="242" s="1"/>
  <c r="D163" i="242"/>
  <c r="K14" i="228" s="1"/>
  <c r="I50" i="243"/>
  <c r="G677" i="206"/>
  <c r="G679" i="206"/>
  <c r="G678" i="206"/>
  <c r="D153" i="242"/>
  <c r="K4" i="228" s="1"/>
  <c r="D162" i="242"/>
  <c r="E162" i="242" s="1"/>
  <c r="K36" i="228" s="1"/>
  <c r="D158" i="241"/>
  <c r="E688" i="206"/>
  <c r="I46" i="243"/>
  <c r="I47" i="243"/>
  <c r="I45" i="243"/>
  <c r="I43" i="243"/>
  <c r="D156" i="241"/>
  <c r="J12" i="228" s="1"/>
  <c r="H26" i="214"/>
  <c r="H4" i="214"/>
  <c r="J4" i="214"/>
  <c r="H96" i="240"/>
  <c r="H95" i="240"/>
  <c r="I92" i="240"/>
  <c r="I91" i="240"/>
  <c r="H90" i="240"/>
  <c r="I40" i="243"/>
  <c r="I39" i="243"/>
  <c r="I37" i="243"/>
  <c r="I35" i="243"/>
  <c r="E661" i="206"/>
  <c r="G656" i="206"/>
  <c r="G657" i="206" s="1"/>
  <c r="G659" i="206" s="1"/>
  <c r="G661" i="206" s="1"/>
  <c r="G647" i="206"/>
  <c r="G650" i="206"/>
  <c r="I650" i="206" s="1"/>
  <c r="G649" i="206"/>
  <c r="I649" i="206" s="1"/>
  <c r="G648" i="206"/>
  <c r="G662" i="206" s="1"/>
  <c r="G644" i="206"/>
  <c r="D170" i="241"/>
  <c r="G676" i="206"/>
  <c r="I32" i="243"/>
  <c r="O31" i="243"/>
  <c r="I31" i="243"/>
  <c r="I30" i="243"/>
  <c r="I26" i="243"/>
  <c r="I24" i="243"/>
  <c r="I23" i="243"/>
  <c r="I27" i="243"/>
  <c r="I20" i="243"/>
  <c r="I25" i="243"/>
  <c r="I22" i="243"/>
  <c r="I21" i="243"/>
  <c r="I19" i="243"/>
  <c r="I18" i="243"/>
  <c r="J143" i="241"/>
  <c r="M26" i="214"/>
  <c r="N26" i="214" s="1"/>
  <c r="T28" i="230"/>
  <c r="T30" i="230" s="1"/>
  <c r="R28" i="230"/>
  <c r="R30" i="230" s="1"/>
  <c r="M12" i="230"/>
  <c r="U22" i="230" s="1"/>
  <c r="M8" i="230"/>
  <c r="N8" i="230" s="1"/>
  <c r="O8" i="230" s="1"/>
  <c r="P8" i="230" s="1"/>
  <c r="J30" i="230"/>
  <c r="N4" i="230"/>
  <c r="O4" i="230" s="1"/>
  <c r="P4" i="230" s="1"/>
  <c r="F30" i="230"/>
  <c r="I13" i="243"/>
  <c r="I12" i="243"/>
  <c r="I16" i="243"/>
  <c r="I8" i="243"/>
  <c r="J13" i="192"/>
  <c r="J12" i="192"/>
  <c r="O5" i="192"/>
  <c r="O4" i="192"/>
  <c r="P4" i="192" s="1"/>
  <c r="S4" i="192" s="1"/>
  <c r="T4" i="192" s="1"/>
  <c r="I88" i="240"/>
  <c r="I11" i="243"/>
  <c r="I5" i="243"/>
  <c r="I3" i="243"/>
  <c r="I4" i="243"/>
  <c r="I10" i="243"/>
  <c r="I86" i="240"/>
  <c r="D167" i="242"/>
  <c r="K18" i="228" s="1"/>
  <c r="D166" i="242"/>
  <c r="E166" i="242" s="1"/>
  <c r="D165" i="242"/>
  <c r="D164" i="242"/>
  <c r="E164" i="242" s="1"/>
  <c r="D160" i="242"/>
  <c r="D159" i="242"/>
  <c r="D158" i="242"/>
  <c r="E158" i="242" s="1"/>
  <c r="D157" i="242"/>
  <c r="D156" i="242"/>
  <c r="E156" i="242" s="1"/>
  <c r="D155" i="242"/>
  <c r="K6" i="228" s="1"/>
  <c r="R148" i="242"/>
  <c r="P148" i="242"/>
  <c r="N148" i="242"/>
  <c r="L148" i="242"/>
  <c r="J148" i="242"/>
  <c r="H148" i="242"/>
  <c r="F148" i="242"/>
  <c r="H82" i="240"/>
  <c r="I76" i="240"/>
  <c r="I79" i="240"/>
  <c r="I78" i="240"/>
  <c r="I84" i="240"/>
  <c r="I73" i="240"/>
  <c r="I72" i="240"/>
  <c r="H60" i="240"/>
  <c r="H55" i="240"/>
  <c r="I56" i="240"/>
  <c r="I57" i="240"/>
  <c r="G671" i="206"/>
  <c r="G672" i="206"/>
  <c r="I672" i="206" s="1"/>
  <c r="G702" i="206"/>
  <c r="I702" i="206" s="1"/>
  <c r="G701" i="206"/>
  <c r="I701" i="206" s="1"/>
  <c r="O66" i="240"/>
  <c r="I70" i="240"/>
  <c r="I68" i="240"/>
  <c r="E687" i="206"/>
  <c r="G683" i="206"/>
  <c r="G684" i="206" s="1"/>
  <c r="G686" i="206" s="1"/>
  <c r="G688" i="206" s="1"/>
  <c r="G670" i="206"/>
  <c r="G668" i="206"/>
  <c r="I668" i="206" s="1"/>
  <c r="N86" i="240"/>
  <c r="N87" i="240" s="1"/>
  <c r="N88" i="240" s="1"/>
  <c r="N89" i="240" s="1"/>
  <c r="N90" i="240" s="1"/>
  <c r="N91" i="240" s="1"/>
  <c r="N92" i="240" s="1"/>
  <c r="N93" i="240" s="1"/>
  <c r="N94" i="240" s="1"/>
  <c r="N95" i="240" s="1"/>
  <c r="N96" i="240" s="1"/>
  <c r="N97" i="240" s="1"/>
  <c r="N98" i="240" s="1"/>
  <c r="N99" i="240" s="1"/>
  <c r="N100" i="240" s="1"/>
  <c r="N101" i="240" s="1"/>
  <c r="N102" i="240" s="1"/>
  <c r="N103" i="240" s="1"/>
  <c r="N106" i="240" s="1"/>
  <c r="I65" i="240"/>
  <c r="I64" i="240"/>
  <c r="I63" i="240"/>
  <c r="I49" i="240"/>
  <c r="I50" i="240"/>
  <c r="I51" i="240"/>
  <c r="I48" i="240"/>
  <c r="I46" i="240"/>
  <c r="I43" i="240"/>
  <c r="I40" i="240"/>
  <c r="G697" i="206"/>
  <c r="I697" i="206" s="1"/>
  <c r="G698" i="206"/>
  <c r="I698" i="206" s="1"/>
  <c r="P9" i="240"/>
  <c r="P8" i="240"/>
  <c r="P7" i="240"/>
  <c r="O11" i="240"/>
  <c r="I42" i="240"/>
  <c r="I38" i="240"/>
  <c r="J21" i="231"/>
  <c r="I21" i="231"/>
  <c r="H21" i="231"/>
  <c r="D163" i="241"/>
  <c r="J19" i="228" s="1"/>
  <c r="D162" i="241"/>
  <c r="E162" i="241" s="1"/>
  <c r="F162" i="241" s="1"/>
  <c r="D161" i="241"/>
  <c r="D160" i="241"/>
  <c r="E160" i="241" s="1"/>
  <c r="D159" i="241"/>
  <c r="E159" i="241" s="1"/>
  <c r="J38" i="228" s="1"/>
  <c r="D157" i="241"/>
  <c r="J13" i="228" s="1"/>
  <c r="D155" i="241"/>
  <c r="E155" i="241" s="1"/>
  <c r="F155" i="241" s="1"/>
  <c r="D154" i="241"/>
  <c r="D153" i="241"/>
  <c r="D152" i="241"/>
  <c r="E152" i="241" s="1"/>
  <c r="D151" i="241"/>
  <c r="J7" i="228" s="1"/>
  <c r="D150" i="241"/>
  <c r="E150" i="241" s="1"/>
  <c r="D149" i="241"/>
  <c r="J5" i="228" s="1"/>
  <c r="D148" i="241"/>
  <c r="E148" i="241" s="1"/>
  <c r="F148" i="241" s="1"/>
  <c r="D147" i="241"/>
  <c r="E147" i="241" s="1"/>
  <c r="R143" i="241"/>
  <c r="P143" i="241"/>
  <c r="N143" i="241"/>
  <c r="L143" i="241"/>
  <c r="H143" i="241"/>
  <c r="F143" i="241"/>
  <c r="I36" i="240"/>
  <c r="I34" i="240"/>
  <c r="G699" i="206"/>
  <c r="G721" i="206"/>
  <c r="I30" i="240"/>
  <c r="I32" i="240"/>
  <c r="D158" i="233"/>
  <c r="D172" i="229"/>
  <c r="D137" i="227"/>
  <c r="D148" i="226"/>
  <c r="D173" i="236"/>
  <c r="I28" i="240"/>
  <c r="D168" i="239"/>
  <c r="E168" i="239" s="1"/>
  <c r="D164" i="239"/>
  <c r="E164" i="239" s="1"/>
  <c r="D162" i="239"/>
  <c r="I12" i="228" s="1"/>
  <c r="D159" i="239"/>
  <c r="E159" i="239" s="1"/>
  <c r="D157" i="239"/>
  <c r="I7" i="228" s="1"/>
  <c r="D156" i="239"/>
  <c r="E156" i="239" s="1"/>
  <c r="I29" i="228" s="1"/>
  <c r="D155" i="239"/>
  <c r="D154" i="239"/>
  <c r="E154" i="239" s="1"/>
  <c r="D153" i="239"/>
  <c r="I3" i="228" s="1"/>
  <c r="I25" i="240"/>
  <c r="I24" i="240"/>
  <c r="I23" i="240"/>
  <c r="I21" i="240"/>
  <c r="I19" i="240"/>
  <c r="I18" i="240"/>
  <c r="D162" i="236"/>
  <c r="H14" i="228" s="1"/>
  <c r="E726" i="206"/>
  <c r="G718" i="206"/>
  <c r="G720" i="206"/>
  <c r="I720" i="206" s="1"/>
  <c r="I12" i="240"/>
  <c r="I13" i="240"/>
  <c r="I14" i="240"/>
  <c r="I15" i="240"/>
  <c r="I11" i="240"/>
  <c r="H9" i="240"/>
  <c r="I9" i="240" s="1"/>
  <c r="G703" i="206"/>
  <c r="G705" i="206" s="1"/>
  <c r="G707" i="206" s="1"/>
  <c r="G696" i="206"/>
  <c r="G695" i="206"/>
  <c r="I695" i="206" s="1"/>
  <c r="G694" i="206"/>
  <c r="E708" i="206"/>
  <c r="E707" i="206"/>
  <c r="I42" i="238"/>
  <c r="I46" i="238" s="1"/>
  <c r="I6" i="240"/>
  <c r="G719" i="206"/>
  <c r="I719" i="206" s="1"/>
  <c r="I40" i="238"/>
  <c r="I5" i="240"/>
  <c r="G741" i="206"/>
  <c r="K154" i="239"/>
  <c r="I38" i="238"/>
  <c r="H33" i="238"/>
  <c r="I32" i="238"/>
  <c r="I34" i="238" s="1"/>
  <c r="I30" i="238"/>
  <c r="I4" i="240"/>
  <c r="I28" i="238"/>
  <c r="D151" i="236"/>
  <c r="H3" i="228" s="1"/>
  <c r="D160" i="236"/>
  <c r="H12" i="228" s="1"/>
  <c r="D166" i="236"/>
  <c r="D155" i="236"/>
  <c r="E155" i="236" s="1"/>
  <c r="G717" i="206"/>
  <c r="G716" i="206"/>
  <c r="I716" i="206" s="1"/>
  <c r="I24" i="238"/>
  <c r="D153" i="236"/>
  <c r="E153" i="236" s="1"/>
  <c r="D152" i="236"/>
  <c r="H4" i="228" s="1"/>
  <c r="D154" i="236"/>
  <c r="I20" i="238"/>
  <c r="I18" i="238"/>
  <c r="I11" i="238"/>
  <c r="I13" i="238"/>
  <c r="I12" i="238"/>
  <c r="I10" i="238"/>
  <c r="I16" i="238"/>
  <c r="G740" i="206"/>
  <c r="D167" i="239"/>
  <c r="D166" i="239"/>
  <c r="E166" i="239" s="1"/>
  <c r="D165" i="239"/>
  <c r="E165" i="239" s="1"/>
  <c r="D163" i="239"/>
  <c r="I13" i="228" s="1"/>
  <c r="D161" i="239"/>
  <c r="E161" i="239" s="1"/>
  <c r="D160" i="239"/>
  <c r="D158" i="239"/>
  <c r="I8" i="228" s="1"/>
  <c r="R149" i="239"/>
  <c r="P149" i="239"/>
  <c r="N149" i="239"/>
  <c r="L149" i="239"/>
  <c r="J149" i="239"/>
  <c r="H149" i="239"/>
  <c r="F149" i="239"/>
  <c r="D145" i="233"/>
  <c r="G12" i="228" s="1"/>
  <c r="G739" i="206"/>
  <c r="I739" i="206" s="1"/>
  <c r="G738" i="206"/>
  <c r="I6" i="238"/>
  <c r="I5" i="238"/>
  <c r="I4" i="238"/>
  <c r="I3" i="238"/>
  <c r="G722" i="206"/>
  <c r="G724" i="206" s="1"/>
  <c r="G726" i="206" s="1"/>
  <c r="G715" i="206"/>
  <c r="G714" i="206"/>
  <c r="F3" i="234"/>
  <c r="F4" i="234" s="1"/>
  <c r="F5" i="234" s="1"/>
  <c r="F6" i="234" s="1"/>
  <c r="F7" i="234" s="1"/>
  <c r="F8" i="234" s="1"/>
  <c r="F9" i="234" s="1"/>
  <c r="F10" i="234" s="1"/>
  <c r="F11" i="234" s="1"/>
  <c r="F12" i="234" s="1"/>
  <c r="F13" i="234" s="1"/>
  <c r="F14" i="234" s="1"/>
  <c r="F15" i="234" s="1"/>
  <c r="F16" i="234" s="1"/>
  <c r="F17" i="234" s="1"/>
  <c r="F18" i="234" s="1"/>
  <c r="F19" i="234" s="1"/>
  <c r="F20" i="234" s="1"/>
  <c r="F21" i="234" s="1"/>
  <c r="F22" i="234" s="1"/>
  <c r="F23" i="234" s="1"/>
  <c r="F24" i="234" s="1"/>
  <c r="F25" i="234" s="1"/>
  <c r="F26" i="234" s="1"/>
  <c r="F27" i="234" s="1"/>
  <c r="F28" i="234" s="1"/>
  <c r="F29" i="234" s="1"/>
  <c r="F30" i="234" s="1"/>
  <c r="F31" i="234" s="1"/>
  <c r="F32" i="234" s="1"/>
  <c r="F33" i="234" s="1"/>
  <c r="F34" i="234" s="1"/>
  <c r="F35" i="234" s="1"/>
  <c r="F36" i="234" s="1"/>
  <c r="F37" i="234" s="1"/>
  <c r="F38" i="234" s="1"/>
  <c r="F39" i="234" s="1"/>
  <c r="F40" i="234" s="1"/>
  <c r="F41" i="234" s="1"/>
  <c r="F42" i="234" s="1"/>
  <c r="K152" i="236"/>
  <c r="E727" i="206"/>
  <c r="E763" i="206"/>
  <c r="E765" i="206" s="1"/>
  <c r="I71" i="235"/>
  <c r="G734" i="206"/>
  <c r="I69" i="235"/>
  <c r="I66" i="235"/>
  <c r="I65" i="235"/>
  <c r="I64" i="235"/>
  <c r="D138" i="233"/>
  <c r="G5" i="228" s="1"/>
  <c r="I62" i="235"/>
  <c r="I60" i="235"/>
  <c r="D139" i="233"/>
  <c r="G6" i="228" s="1"/>
  <c r="I58" i="235"/>
  <c r="K137" i="233"/>
  <c r="D137" i="233"/>
  <c r="E137" i="233" s="1"/>
  <c r="K152" i="229"/>
  <c r="D136" i="233"/>
  <c r="G3" i="228" s="1"/>
  <c r="I56" i="235"/>
  <c r="D165" i="236"/>
  <c r="E165" i="236" s="1"/>
  <c r="D164" i="236"/>
  <c r="E164" i="236" s="1"/>
  <c r="D163" i="236"/>
  <c r="E163" i="236" s="1"/>
  <c r="F163" i="236" s="1"/>
  <c r="D161" i="236"/>
  <c r="E161" i="236" s="1"/>
  <c r="D159" i="236"/>
  <c r="E159" i="236" s="1"/>
  <c r="D158" i="236"/>
  <c r="D157" i="236"/>
  <c r="E157" i="236" s="1"/>
  <c r="D156" i="236"/>
  <c r="E156" i="236" s="1"/>
  <c r="R147" i="236"/>
  <c r="P147" i="236"/>
  <c r="N147" i="236"/>
  <c r="L147" i="236"/>
  <c r="J147" i="236"/>
  <c r="H147" i="236"/>
  <c r="F147" i="236"/>
  <c r="I53" i="235"/>
  <c r="I52" i="235"/>
  <c r="I51" i="235"/>
  <c r="I48" i="235"/>
  <c r="I47" i="235"/>
  <c r="I46" i="235"/>
  <c r="I45" i="235"/>
  <c r="G737" i="206"/>
  <c r="I737" i="206" s="1"/>
  <c r="G760" i="206"/>
  <c r="O67" i="235"/>
  <c r="Q63" i="235"/>
  <c r="Q67" i="235" s="1"/>
  <c r="Q68" i="235" s="1"/>
  <c r="P63" i="235"/>
  <c r="P67" i="235" s="1"/>
  <c r="P68" i="235" s="1"/>
  <c r="O69" i="235"/>
  <c r="I38" i="235"/>
  <c r="G742" i="206"/>
  <c r="G743" i="206" s="1"/>
  <c r="G745" i="206" s="1"/>
  <c r="G747" i="206" s="1"/>
  <c r="G761" i="206"/>
  <c r="G763" i="206" s="1"/>
  <c r="G765" i="206" s="1"/>
  <c r="B95" i="192"/>
  <c r="B101" i="192"/>
  <c r="I42" i="235"/>
  <c r="I41" i="235"/>
  <c r="I40" i="235"/>
  <c r="G736" i="206"/>
  <c r="I736" i="206" s="1"/>
  <c r="G735" i="206"/>
  <c r="G733" i="206"/>
  <c r="G759" i="206"/>
  <c r="I759" i="206" s="1"/>
  <c r="I35" i="235"/>
  <c r="I34" i="235"/>
  <c r="G758" i="206"/>
  <c r="G757" i="206"/>
  <c r="Q73" i="229"/>
  <c r="I30" i="235"/>
  <c r="I29" i="235"/>
  <c r="L12" i="235"/>
  <c r="L10" i="235"/>
  <c r="L11" i="235"/>
  <c r="L9" i="235"/>
  <c r="E747" i="206"/>
  <c r="O68" i="235"/>
  <c r="G756" i="206"/>
  <c r="G755" i="206"/>
  <c r="I755" i="206" s="1"/>
  <c r="G754" i="206"/>
  <c r="I754" i="206" s="1"/>
  <c r="C73" i="230"/>
  <c r="G777" i="206"/>
  <c r="G776" i="206"/>
  <c r="I776" i="206" s="1"/>
  <c r="G775" i="206"/>
  <c r="I775" i="206" s="1"/>
  <c r="I23" i="235"/>
  <c r="I24" i="235"/>
  <c r="I27" i="235"/>
  <c r="I33" i="235"/>
  <c r="I22" i="235"/>
  <c r="I18" i="235"/>
  <c r="I19" i="235"/>
  <c r="M10" i="235" s="1"/>
  <c r="O10" i="235" s="1"/>
  <c r="I17" i="235"/>
  <c r="I16" i="235"/>
  <c r="J132" i="233"/>
  <c r="R36" i="229"/>
  <c r="R146" i="229" s="1"/>
  <c r="G772" i="206"/>
  <c r="G774" i="206"/>
  <c r="I774" i="206" s="1"/>
  <c r="J146" i="229"/>
  <c r="L13" i="234"/>
  <c r="N13" i="234"/>
  <c r="I13" i="235"/>
  <c r="I12" i="235"/>
  <c r="I3" i="235"/>
  <c r="I9" i="235"/>
  <c r="I8" i="235"/>
  <c r="I7" i="235"/>
  <c r="I6" i="235"/>
  <c r="I5" i="235"/>
  <c r="I4" i="235"/>
  <c r="D165" i="229"/>
  <c r="E165" i="229" s="1"/>
  <c r="F165" i="229" s="1"/>
  <c r="D161" i="229"/>
  <c r="E161" i="229" s="1"/>
  <c r="F38" i="228" s="1"/>
  <c r="D158" i="229"/>
  <c r="F11" i="228" s="1"/>
  <c r="J5" i="234"/>
  <c r="L5" i="234" s="1"/>
  <c r="I6" i="234" s="1"/>
  <c r="J6" i="234" s="1"/>
  <c r="L6" i="234" s="1"/>
  <c r="D152" i="229"/>
  <c r="D153" i="229"/>
  <c r="E153" i="229" s="1"/>
  <c r="D150" i="229"/>
  <c r="D151" i="233"/>
  <c r="G19" i="228" s="1"/>
  <c r="D150" i="233"/>
  <c r="G18" i="228" s="1"/>
  <c r="D149" i="233"/>
  <c r="G17" i="228" s="1"/>
  <c r="D148" i="233"/>
  <c r="G16" i="228" s="1"/>
  <c r="D147" i="233"/>
  <c r="G14" i="228" s="1"/>
  <c r="D146" i="233"/>
  <c r="D144" i="233"/>
  <c r="G11" i="228" s="1"/>
  <c r="D143" i="233"/>
  <c r="D142" i="233"/>
  <c r="E142" i="233" s="1"/>
  <c r="G32" i="228" s="1"/>
  <c r="D141" i="233"/>
  <c r="G8" i="228" s="1"/>
  <c r="D140" i="233"/>
  <c r="E140" i="233" s="1"/>
  <c r="G30" i="228" s="1"/>
  <c r="R132" i="233"/>
  <c r="P132" i="233"/>
  <c r="N132" i="233"/>
  <c r="L132" i="233"/>
  <c r="H132" i="233"/>
  <c r="F132" i="233"/>
  <c r="D157" i="229"/>
  <c r="G753" i="206"/>
  <c r="D121" i="227"/>
  <c r="D129" i="227"/>
  <c r="E18" i="228" s="1"/>
  <c r="B87" i="4"/>
  <c r="C85" i="4"/>
  <c r="C84" i="4"/>
  <c r="C83" i="4"/>
  <c r="C82" i="4"/>
  <c r="C81" i="4"/>
  <c r="V16" i="230"/>
  <c r="D21" i="231"/>
  <c r="C21" i="231"/>
  <c r="B21" i="231"/>
  <c r="E198" i="73"/>
  <c r="E199" i="73"/>
  <c r="E200" i="73"/>
  <c r="E201" i="73"/>
  <c r="E202" i="73"/>
  <c r="A37" i="230"/>
  <c r="A38" i="230" s="1"/>
  <c r="S30" i="230"/>
  <c r="V29" i="230"/>
  <c r="V27" i="230"/>
  <c r="V26" i="230"/>
  <c r="V25" i="230"/>
  <c r="V24" i="230"/>
  <c r="V23" i="230"/>
  <c r="V22" i="230"/>
  <c r="V21" i="230"/>
  <c r="V20" i="230"/>
  <c r="V19" i="230"/>
  <c r="V18" i="230"/>
  <c r="V17" i="230"/>
  <c r="E8" i="230"/>
  <c r="D8" i="230" s="1"/>
  <c r="G8" i="230" s="1"/>
  <c r="C8" i="230"/>
  <c r="D7" i="230"/>
  <c r="G7" i="230" s="1"/>
  <c r="D6" i="230"/>
  <c r="G6" i="230" s="1"/>
  <c r="G5" i="230"/>
  <c r="C5" i="230"/>
  <c r="C4" i="230"/>
  <c r="O10" i="214"/>
  <c r="C55" i="4"/>
  <c r="C57" i="4" s="1"/>
  <c r="C47" i="4"/>
  <c r="C50" i="4"/>
  <c r="C52" i="4" s="1"/>
  <c r="G791" i="206"/>
  <c r="J28" i="192"/>
  <c r="M28" i="192" s="1"/>
  <c r="J27" i="192"/>
  <c r="M27" i="192" s="1"/>
  <c r="D141" i="226"/>
  <c r="D19" i="228" s="1"/>
  <c r="D115" i="227"/>
  <c r="E3" i="228" s="1"/>
  <c r="J26" i="192"/>
  <c r="M26" i="192" s="1"/>
  <c r="G789" i="206"/>
  <c r="G847" i="206"/>
  <c r="G851" i="206" s="1"/>
  <c r="J25" i="192"/>
  <c r="M25" i="192" s="1"/>
  <c r="D164" i="229"/>
  <c r="F18" i="228" s="1"/>
  <c r="D163" i="229"/>
  <c r="E163" i="229" s="1"/>
  <c r="D162" i="229"/>
  <c r="E162" i="229" s="1"/>
  <c r="D160" i="229"/>
  <c r="F13" i="228" s="1"/>
  <c r="D159" i="229"/>
  <c r="D156" i="229"/>
  <c r="E156" i="229" s="1"/>
  <c r="D155" i="229"/>
  <c r="E155" i="229" s="1"/>
  <c r="D154" i="229"/>
  <c r="F7" i="228" s="1"/>
  <c r="D151" i="229"/>
  <c r="E151" i="229" s="1"/>
  <c r="P146" i="229"/>
  <c r="N146" i="229"/>
  <c r="L146" i="229"/>
  <c r="H146" i="229"/>
  <c r="F146" i="229"/>
  <c r="D145" i="225"/>
  <c r="O10" i="207" s="1"/>
  <c r="E782" i="206"/>
  <c r="C62" i="228"/>
  <c r="B62" i="228" s="1"/>
  <c r="C60" i="228"/>
  <c r="B60" i="228" s="1"/>
  <c r="C59" i="228"/>
  <c r="B59" i="228" s="1"/>
  <c r="C58" i="228"/>
  <c r="B58" i="228" s="1"/>
  <c r="C56" i="228"/>
  <c r="B56" i="228" s="1"/>
  <c r="C55" i="228"/>
  <c r="B55" i="228" s="1"/>
  <c r="C52" i="228"/>
  <c r="B52" i="228" s="1"/>
  <c r="C51" i="228"/>
  <c r="B51" i="228" s="1"/>
  <c r="G806" i="206"/>
  <c r="G807" i="206"/>
  <c r="D134" i="226"/>
  <c r="D11" i="228" s="1"/>
  <c r="D133" i="226"/>
  <c r="D130" i="227"/>
  <c r="E130" i="227" s="1"/>
  <c r="E42" i="228" s="1"/>
  <c r="D128" i="227"/>
  <c r="E17" i="228" s="1"/>
  <c r="D127" i="227"/>
  <c r="E16" i="228" s="1"/>
  <c r="D126" i="227"/>
  <c r="E126" i="227" s="1"/>
  <c r="D125" i="227"/>
  <c r="E13" i="228" s="1"/>
  <c r="D124" i="227"/>
  <c r="E12" i="228" s="1"/>
  <c r="D123" i="227"/>
  <c r="E11" i="228" s="1"/>
  <c r="D122" i="227"/>
  <c r="D120" i="227"/>
  <c r="E120" i="227" s="1"/>
  <c r="F120" i="227" s="1"/>
  <c r="D119" i="227"/>
  <c r="E119" i="227" s="1"/>
  <c r="E30" i="228" s="1"/>
  <c r="D118" i="227"/>
  <c r="E118" i="227" s="1"/>
  <c r="E29" i="228" s="1"/>
  <c r="D117" i="227"/>
  <c r="E117" i="227" s="1"/>
  <c r="F117" i="227" s="1"/>
  <c r="D116" i="227"/>
  <c r="E116" i="227" s="1"/>
  <c r="F116" i="227" s="1"/>
  <c r="P111" i="227"/>
  <c r="N111" i="227"/>
  <c r="L111" i="227"/>
  <c r="J111" i="227"/>
  <c r="H111" i="227"/>
  <c r="F111" i="227"/>
  <c r="G788" i="206"/>
  <c r="G787" i="206"/>
  <c r="G804" i="206"/>
  <c r="G803" i="206"/>
  <c r="E796" i="206"/>
  <c r="G786" i="206"/>
  <c r="G785" i="206"/>
  <c r="G802" i="206"/>
  <c r="O60" i="207"/>
  <c r="C59" i="207"/>
  <c r="B59" i="207" s="1"/>
  <c r="G822" i="206"/>
  <c r="G821" i="206"/>
  <c r="G820" i="206"/>
  <c r="M95" i="4"/>
  <c r="R89" i="4"/>
  <c r="M94" i="4"/>
  <c r="D148" i="225"/>
  <c r="E148" i="225" s="1"/>
  <c r="F148" i="225" s="1"/>
  <c r="D155" i="225"/>
  <c r="E155" i="225" s="1"/>
  <c r="F155" i="225" s="1"/>
  <c r="D147" i="225"/>
  <c r="E147" i="225" s="1"/>
  <c r="D151" i="225"/>
  <c r="E151" i="225" s="1"/>
  <c r="O38" i="207" s="1"/>
  <c r="D138" i="225"/>
  <c r="O3" i="207" s="1"/>
  <c r="G801" i="206"/>
  <c r="O167" i="225"/>
  <c r="D140" i="226"/>
  <c r="D18" i="228" s="1"/>
  <c r="D139" i="226"/>
  <c r="E139" i="226" s="1"/>
  <c r="F139" i="226" s="1"/>
  <c r="D138" i="226"/>
  <c r="E138" i="226" s="1"/>
  <c r="F138" i="226" s="1"/>
  <c r="D137" i="226"/>
  <c r="D15" i="228" s="1"/>
  <c r="D136" i="226"/>
  <c r="D13" i="228" s="1"/>
  <c r="D135" i="226"/>
  <c r="D12" i="228" s="1"/>
  <c r="D132" i="226"/>
  <c r="D9" i="228" s="1"/>
  <c r="D131" i="226"/>
  <c r="D8" i="228" s="1"/>
  <c r="D130" i="226"/>
  <c r="E130" i="226" s="1"/>
  <c r="F130" i="226" s="1"/>
  <c r="D129" i="226"/>
  <c r="E129" i="226" s="1"/>
  <c r="F129" i="226" s="1"/>
  <c r="D128" i="226"/>
  <c r="E128" i="226" s="1"/>
  <c r="F128" i="226" s="1"/>
  <c r="D127" i="226"/>
  <c r="D126" i="226"/>
  <c r="D3" i="228" s="1"/>
  <c r="P122" i="226"/>
  <c r="N122" i="226"/>
  <c r="L122" i="226"/>
  <c r="J122" i="226"/>
  <c r="H122" i="226"/>
  <c r="F122" i="226"/>
  <c r="D105" i="224"/>
  <c r="E105" i="224" s="1"/>
  <c r="N26" i="207" s="1"/>
  <c r="D114" i="224"/>
  <c r="N13" i="207" s="1"/>
  <c r="D107" i="224"/>
  <c r="N6" i="207" s="1"/>
  <c r="D121" i="224"/>
  <c r="E121" i="224" s="1"/>
  <c r="D104" i="224"/>
  <c r="E104" i="224" s="1"/>
  <c r="F104" i="224" s="1"/>
  <c r="M123" i="223"/>
  <c r="D121" i="223"/>
  <c r="M10" i="207" s="1"/>
  <c r="D130" i="223"/>
  <c r="M19" i="207" s="1"/>
  <c r="D154" i="225"/>
  <c r="D153" i="225"/>
  <c r="E153" i="225" s="1"/>
  <c r="F153" i="225" s="1"/>
  <c r="D152" i="225"/>
  <c r="E152" i="225" s="1"/>
  <c r="F152" i="225" s="1"/>
  <c r="D150" i="225"/>
  <c r="E150" i="225" s="1"/>
  <c r="F150" i="225" s="1"/>
  <c r="D149" i="225"/>
  <c r="E149" i="225" s="1"/>
  <c r="F149" i="225" s="1"/>
  <c r="D146" i="225"/>
  <c r="E146" i="225" s="1"/>
  <c r="O33" i="207" s="1"/>
  <c r="D144" i="225"/>
  <c r="E144" i="225" s="1"/>
  <c r="O31" i="207" s="1"/>
  <c r="D143" i="225"/>
  <c r="E143" i="225" s="1"/>
  <c r="F143" i="225" s="1"/>
  <c r="D142" i="225"/>
  <c r="O7" i="207" s="1"/>
  <c r="D141" i="225"/>
  <c r="E141" i="225" s="1"/>
  <c r="O28" i="207" s="1"/>
  <c r="D140" i="225"/>
  <c r="E140" i="225" s="1"/>
  <c r="O27" i="207" s="1"/>
  <c r="D139" i="225"/>
  <c r="E139" i="225" s="1"/>
  <c r="O26" i="207" s="1"/>
  <c r="P134" i="225"/>
  <c r="N134" i="225"/>
  <c r="L134" i="225"/>
  <c r="J134" i="225"/>
  <c r="H134" i="225"/>
  <c r="F134" i="225"/>
  <c r="J11" i="192"/>
  <c r="K23" i="223"/>
  <c r="E812" i="206"/>
  <c r="G800" i="206"/>
  <c r="G799" i="206"/>
  <c r="E827" i="206"/>
  <c r="D124" i="223"/>
  <c r="M13" i="207" s="1"/>
  <c r="D120" i="224"/>
  <c r="N19" i="207" s="1"/>
  <c r="D119" i="224"/>
  <c r="E119" i="224" s="1"/>
  <c r="F119" i="224" s="1"/>
  <c r="D118" i="224"/>
  <c r="D117" i="224"/>
  <c r="E117" i="224" s="1"/>
  <c r="F117" i="224" s="1"/>
  <c r="D116" i="224"/>
  <c r="D115" i="224"/>
  <c r="E115" i="224" s="1"/>
  <c r="F115" i="224" s="1"/>
  <c r="D113" i="224"/>
  <c r="N12" i="207" s="1"/>
  <c r="D112" i="224"/>
  <c r="E112" i="224" s="1"/>
  <c r="F112" i="224" s="1"/>
  <c r="D111" i="224"/>
  <c r="N10" i="207" s="1"/>
  <c r="D110" i="224"/>
  <c r="E110" i="224" s="1"/>
  <c r="N31" i="207" s="1"/>
  <c r="D109" i="224"/>
  <c r="N8" i="207" s="1"/>
  <c r="D108" i="224"/>
  <c r="E108" i="224" s="1"/>
  <c r="D106" i="224"/>
  <c r="E106" i="224" s="1"/>
  <c r="N27" i="207" s="1"/>
  <c r="P100" i="224"/>
  <c r="N100" i="224"/>
  <c r="L100" i="224"/>
  <c r="J100" i="224"/>
  <c r="H100" i="224"/>
  <c r="F100" i="224"/>
  <c r="D118" i="223"/>
  <c r="M7" i="207" s="1"/>
  <c r="D117" i="223"/>
  <c r="E117" i="223" s="1"/>
  <c r="F117" i="223" s="1"/>
  <c r="D115" i="223"/>
  <c r="E115" i="223" s="1"/>
  <c r="D130" i="222"/>
  <c r="L10" i="207" s="1"/>
  <c r="G790" i="206"/>
  <c r="N149" i="221"/>
  <c r="D140" i="222"/>
  <c r="L20" i="207" s="1"/>
  <c r="D127" i="222"/>
  <c r="E127" i="222" s="1"/>
  <c r="F127" i="222" s="1"/>
  <c r="D126" i="222"/>
  <c r="L6" i="207" s="1"/>
  <c r="E837" i="206"/>
  <c r="G831" i="206"/>
  <c r="G836" i="206" s="1"/>
  <c r="G868" i="206"/>
  <c r="G867" i="206"/>
  <c r="D133" i="222"/>
  <c r="E133" i="222" s="1"/>
  <c r="F133" i="222" s="1"/>
  <c r="D133" i="221"/>
  <c r="K10" i="207" s="1"/>
  <c r="D124" i="222"/>
  <c r="E124" i="222" s="1"/>
  <c r="L26" i="207" s="1"/>
  <c r="D136" i="222"/>
  <c r="L16" i="207" s="1"/>
  <c r="F119" i="222"/>
  <c r="D131" i="223"/>
  <c r="E131" i="223" s="1"/>
  <c r="M42" i="207" s="1"/>
  <c r="D129" i="223"/>
  <c r="D128" i="223"/>
  <c r="E128" i="223" s="1"/>
  <c r="F128" i="223" s="1"/>
  <c r="D127" i="223"/>
  <c r="M16" i="207" s="1"/>
  <c r="D126" i="223"/>
  <c r="M15" i="207" s="1"/>
  <c r="D125" i="223"/>
  <c r="E125" i="223" s="1"/>
  <c r="M36" i="207" s="1"/>
  <c r="D123" i="223"/>
  <c r="D122" i="223"/>
  <c r="M11" i="207" s="1"/>
  <c r="D120" i="223"/>
  <c r="E120" i="223" s="1"/>
  <c r="F120" i="223" s="1"/>
  <c r="D119" i="223"/>
  <c r="M8" i="207" s="1"/>
  <c r="D116" i="223"/>
  <c r="E116" i="223" s="1"/>
  <c r="D114" i="223"/>
  <c r="E114" i="223" s="1"/>
  <c r="F114" i="223" s="1"/>
  <c r="P110" i="223"/>
  <c r="N110" i="223"/>
  <c r="L110" i="223"/>
  <c r="J110" i="223"/>
  <c r="H110" i="223"/>
  <c r="F110" i="223"/>
  <c r="D123" i="222"/>
  <c r="E123" i="222" s="1"/>
  <c r="F123" i="222" s="1"/>
  <c r="G864" i="206"/>
  <c r="N135" i="221"/>
  <c r="N139" i="221" s="1"/>
  <c r="O139" i="221" s="1"/>
  <c r="D130" i="221"/>
  <c r="E130" i="221" s="1"/>
  <c r="F130" i="221" s="1"/>
  <c r="F122" i="221"/>
  <c r="N1322" i="206"/>
  <c r="N1325" i="206" s="1"/>
  <c r="O1313" i="206"/>
  <c r="O1312" i="206"/>
  <c r="O1311" i="206"/>
  <c r="O1310" i="206"/>
  <c r="O1324" i="206" s="1"/>
  <c r="N1306" i="206"/>
  <c r="O1297" i="206"/>
  <c r="O1296" i="206"/>
  <c r="O1295" i="206"/>
  <c r="O1294" i="206"/>
  <c r="O1305" i="206" s="1"/>
  <c r="N1290" i="206"/>
  <c r="O1285" i="206"/>
  <c r="O1284" i="206"/>
  <c r="O1283" i="206"/>
  <c r="O1289" i="206" s="1"/>
  <c r="N1279" i="206"/>
  <c r="O1270" i="206"/>
  <c r="O1269" i="206"/>
  <c r="O1268" i="206"/>
  <c r="O1267" i="206"/>
  <c r="O1278" i="206" s="1"/>
  <c r="N1242" i="206"/>
  <c r="O1236" i="206"/>
  <c r="O1225" i="206"/>
  <c r="O1141" i="206"/>
  <c r="O1123" i="206"/>
  <c r="O1022" i="206"/>
  <c r="O1003" i="206"/>
  <c r="D8" i="115"/>
  <c r="R6" i="115"/>
  <c r="L6" i="115"/>
  <c r="N6" i="115" s="1"/>
  <c r="E852" i="206"/>
  <c r="D126" i="221"/>
  <c r="K3" i="207" s="1"/>
  <c r="D143" i="221"/>
  <c r="E143" i="221" s="1"/>
  <c r="F143" i="221" s="1"/>
  <c r="D129" i="221"/>
  <c r="E129" i="221" s="1"/>
  <c r="F129" i="221" s="1"/>
  <c r="H60" i="207"/>
  <c r="I60" i="207"/>
  <c r="J60" i="207"/>
  <c r="H4" i="192"/>
  <c r="H10" i="192"/>
  <c r="G863" i="206"/>
  <c r="G885" i="206"/>
  <c r="E137" i="220"/>
  <c r="F136" i="115"/>
  <c r="D127" i="221"/>
  <c r="K4" i="207" s="1"/>
  <c r="D139" i="222"/>
  <c r="L19" i="207" s="1"/>
  <c r="D138" i="222"/>
  <c r="L18" i="207" s="1"/>
  <c r="D137" i="222"/>
  <c r="E137" i="222" s="1"/>
  <c r="F137" i="222" s="1"/>
  <c r="D135" i="222"/>
  <c r="E135" i="222" s="1"/>
  <c r="L37" i="207" s="1"/>
  <c r="D134" i="222"/>
  <c r="E134" i="222" s="1"/>
  <c r="F134" i="222" s="1"/>
  <c r="D132" i="222"/>
  <c r="D131" i="222"/>
  <c r="E131" i="222" s="1"/>
  <c r="F131" i="222" s="1"/>
  <c r="D129" i="222"/>
  <c r="E129" i="222" s="1"/>
  <c r="L31" i="207" s="1"/>
  <c r="D128" i="222"/>
  <c r="E128" i="222" s="1"/>
  <c r="L30" i="207" s="1"/>
  <c r="D125" i="222"/>
  <c r="E125" i="222" s="1"/>
  <c r="L27" i="207" s="1"/>
  <c r="P119" i="222"/>
  <c r="N119" i="222"/>
  <c r="L119" i="222"/>
  <c r="J119" i="222"/>
  <c r="H119" i="222"/>
  <c r="G883" i="206"/>
  <c r="G882" i="206"/>
  <c r="G881" i="206"/>
  <c r="G880" i="206"/>
  <c r="E873" i="206"/>
  <c r="M143" i="115"/>
  <c r="G901" i="206"/>
  <c r="I901" i="206" s="1"/>
  <c r="D122" i="220"/>
  <c r="J8" i="207" s="1"/>
  <c r="D117" i="220"/>
  <c r="E117" i="220" s="1"/>
  <c r="D121" i="220"/>
  <c r="J7" i="207" s="1"/>
  <c r="F113" i="220"/>
  <c r="D129" i="220"/>
  <c r="D134" i="220"/>
  <c r="J20" i="207" s="1"/>
  <c r="D142" i="221"/>
  <c r="K19" i="207" s="1"/>
  <c r="D141" i="221"/>
  <c r="E141" i="221" s="1"/>
  <c r="D140" i="221"/>
  <c r="K17" i="207" s="1"/>
  <c r="D139" i="221"/>
  <c r="E139" i="221" s="1"/>
  <c r="F139" i="221" s="1"/>
  <c r="D138" i="221"/>
  <c r="E138" i="221" s="1"/>
  <c r="K37" i="207" s="1"/>
  <c r="D137" i="221"/>
  <c r="E137" i="221" s="1"/>
  <c r="K36" i="207" s="1"/>
  <c r="D136" i="221"/>
  <c r="K13" i="207" s="1"/>
  <c r="D135" i="221"/>
  <c r="D134" i="221"/>
  <c r="E134" i="221" s="1"/>
  <c r="F134" i="221" s="1"/>
  <c r="D132" i="221"/>
  <c r="K9" i="207" s="1"/>
  <c r="D131" i="221"/>
  <c r="K8" i="207" s="1"/>
  <c r="D128" i="221"/>
  <c r="E128" i="221" s="1"/>
  <c r="K27" i="207" s="1"/>
  <c r="P122" i="221"/>
  <c r="N122" i="221"/>
  <c r="L122" i="221"/>
  <c r="J122" i="221"/>
  <c r="H122" i="221"/>
  <c r="G902" i="206"/>
  <c r="I902" i="206" s="1"/>
  <c r="N143" i="218"/>
  <c r="G884" i="206"/>
  <c r="G900" i="206"/>
  <c r="E890" i="206"/>
  <c r="G878" i="206"/>
  <c r="G877" i="206"/>
  <c r="G876" i="206"/>
  <c r="G899" i="206"/>
  <c r="N143" i="115"/>
  <c r="G910" i="206"/>
  <c r="G911" i="206"/>
  <c r="G912" i="206"/>
  <c r="G920" i="206"/>
  <c r="G918" i="206"/>
  <c r="G919" i="206"/>
  <c r="G917" i="206"/>
  <c r="D137" i="218"/>
  <c r="E137" i="218" s="1"/>
  <c r="I42" i="207" s="1"/>
  <c r="M136" i="115"/>
  <c r="I133" i="115"/>
  <c r="G133" i="115"/>
  <c r="H133" i="115" s="1"/>
  <c r="H136" i="115" s="1"/>
  <c r="E133" i="115"/>
  <c r="E136" i="115" s="1"/>
  <c r="C5" i="4"/>
  <c r="C4" i="4"/>
  <c r="D133" i="220"/>
  <c r="J19" i="207" s="1"/>
  <c r="D132" i="220"/>
  <c r="E132" i="220" s="1"/>
  <c r="J40" i="207" s="1"/>
  <c r="D131" i="220"/>
  <c r="E131" i="220" s="1"/>
  <c r="D130" i="220"/>
  <c r="J16" i="207" s="1"/>
  <c r="D128" i="220"/>
  <c r="E128" i="220" s="1"/>
  <c r="J36" i="207" s="1"/>
  <c r="D127" i="220"/>
  <c r="D126" i="220"/>
  <c r="J12" i="207" s="1"/>
  <c r="D125" i="220"/>
  <c r="E125" i="220" s="1"/>
  <c r="D124" i="220"/>
  <c r="J10" i="207" s="1"/>
  <c r="D123" i="220"/>
  <c r="J9" i="207" s="1"/>
  <c r="D120" i="220"/>
  <c r="J6" i="207" s="1"/>
  <c r="D119" i="220"/>
  <c r="E119" i="220" s="1"/>
  <c r="D118" i="220"/>
  <c r="J4" i="207" s="1"/>
  <c r="R113" i="220"/>
  <c r="P113" i="220"/>
  <c r="N113" i="220"/>
  <c r="L113" i="220"/>
  <c r="J113" i="220"/>
  <c r="H113" i="220"/>
  <c r="E121" i="220"/>
  <c r="J29" i="207" s="1"/>
  <c r="G898" i="206"/>
  <c r="F145" i="115"/>
  <c r="I145" i="115" s="1"/>
  <c r="O95" i="216"/>
  <c r="E145" i="115"/>
  <c r="E147" i="115"/>
  <c r="D142" i="115" s="1"/>
  <c r="E907" i="206"/>
  <c r="G896" i="206"/>
  <c r="G895" i="206"/>
  <c r="D153" i="216"/>
  <c r="E153" i="216" s="1"/>
  <c r="F153" i="216" s="1"/>
  <c r="D148" i="216"/>
  <c r="E148" i="216" s="1"/>
  <c r="H37" i="207" s="1"/>
  <c r="D137" i="216"/>
  <c r="H4" i="207" s="1"/>
  <c r="G937" i="206"/>
  <c r="G913" i="206"/>
  <c r="G914" i="206"/>
  <c r="G928" i="206"/>
  <c r="E128" i="115"/>
  <c r="E123" i="115"/>
  <c r="I127" i="115"/>
  <c r="G127" i="115"/>
  <c r="H127" i="115" s="1"/>
  <c r="E127" i="115"/>
  <c r="D145" i="216"/>
  <c r="N144" i="115"/>
  <c r="M122" i="115"/>
  <c r="G934" i="206"/>
  <c r="G933" i="206"/>
  <c r="G939" i="206"/>
  <c r="G940" i="206"/>
  <c r="Q153" i="216"/>
  <c r="R153" i="216" s="1"/>
  <c r="O150" i="216"/>
  <c r="Q150" i="216" s="1"/>
  <c r="O151" i="216"/>
  <c r="O152" i="216"/>
  <c r="Q152" i="216" s="1"/>
  <c r="O149" i="216"/>
  <c r="Q149" i="216" s="1"/>
  <c r="R149" i="216" s="1"/>
  <c r="O162" i="216"/>
  <c r="Q161" i="216"/>
  <c r="R161" i="216" s="1"/>
  <c r="Q160" i="216"/>
  <c r="R160" i="216" s="1"/>
  <c r="O158" i="216"/>
  <c r="Q158" i="216" s="1"/>
  <c r="R158" i="216" s="1"/>
  <c r="Q156" i="216"/>
  <c r="R156" i="216" s="1"/>
  <c r="Q155" i="216"/>
  <c r="R155" i="216" s="1"/>
  <c r="Q146" i="216"/>
  <c r="R146" i="216" s="1"/>
  <c r="Q145" i="216"/>
  <c r="R145" i="216" s="1"/>
  <c r="Q144" i="216"/>
  <c r="R144" i="216" s="1"/>
  <c r="Q143" i="216"/>
  <c r="R143" i="216" s="1"/>
  <c r="D136" i="218"/>
  <c r="I19" i="207" s="1"/>
  <c r="D135" i="218"/>
  <c r="E135" i="218" s="1"/>
  <c r="F135" i="218" s="1"/>
  <c r="D134" i="218"/>
  <c r="E134" i="218" s="1"/>
  <c r="F134" i="218" s="1"/>
  <c r="D133" i="218"/>
  <c r="E133" i="218" s="1"/>
  <c r="F133" i="218" s="1"/>
  <c r="D132" i="218"/>
  <c r="I15" i="207" s="1"/>
  <c r="D131" i="218"/>
  <c r="D130" i="218"/>
  <c r="D129" i="218"/>
  <c r="I12" i="207" s="1"/>
  <c r="D128" i="218"/>
  <c r="I11" i="207" s="1"/>
  <c r="D127" i="218"/>
  <c r="I10" i="207" s="1"/>
  <c r="D126" i="218"/>
  <c r="I9" i="207" s="1"/>
  <c r="D125" i="218"/>
  <c r="I8" i="207" s="1"/>
  <c r="D124" i="218"/>
  <c r="I7" i="207" s="1"/>
  <c r="D123" i="218"/>
  <c r="E123" i="218" s="1"/>
  <c r="F123" i="218" s="1"/>
  <c r="D122" i="218"/>
  <c r="I5" i="207" s="1"/>
  <c r="D121" i="218"/>
  <c r="E121" i="218" s="1"/>
  <c r="D120" i="218"/>
  <c r="I3" i="207" s="1"/>
  <c r="R116" i="218"/>
  <c r="P116" i="218"/>
  <c r="N116" i="218"/>
  <c r="L116" i="218"/>
  <c r="J116" i="218"/>
  <c r="H116" i="218"/>
  <c r="F116" i="218"/>
  <c r="B97" i="4"/>
  <c r="C51" i="207"/>
  <c r="B51" i="207" s="1"/>
  <c r="G60" i="207"/>
  <c r="E925" i="206"/>
  <c r="G144" i="115"/>
  <c r="H144" i="115" s="1"/>
  <c r="C59" i="187"/>
  <c r="B59" i="187" s="1"/>
  <c r="B107" i="4"/>
  <c r="W26" i="214"/>
  <c r="W25" i="214"/>
  <c r="L26" i="214"/>
  <c r="L25" i="214"/>
  <c r="L29" i="214"/>
  <c r="J26" i="214"/>
  <c r="J25" i="214"/>
  <c r="H25" i="214"/>
  <c r="D129" i="215"/>
  <c r="E129" i="215" s="1"/>
  <c r="F129" i="215" s="1"/>
  <c r="G936" i="206"/>
  <c r="J9" i="192"/>
  <c r="G935" i="206"/>
  <c r="G932" i="206"/>
  <c r="N60" i="215"/>
  <c r="N121" i="215" s="1"/>
  <c r="E118" i="115"/>
  <c r="G931" i="206"/>
  <c r="G954" i="206"/>
  <c r="G953" i="206"/>
  <c r="G952" i="206"/>
  <c r="I117" i="115"/>
  <c r="R13" i="115"/>
  <c r="Q14" i="115" s="1"/>
  <c r="R14" i="115" s="1"/>
  <c r="N142" i="115"/>
  <c r="M142" i="115"/>
  <c r="N117" i="115"/>
  <c r="G948" i="206"/>
  <c r="D135" i="215"/>
  <c r="E135" i="215" s="1"/>
  <c r="F135" i="215" s="1"/>
  <c r="D152" i="216"/>
  <c r="H19" i="207" s="1"/>
  <c r="D151" i="216"/>
  <c r="E151" i="216" s="1"/>
  <c r="F151" i="216" s="1"/>
  <c r="D149" i="216"/>
  <c r="E149" i="216" s="1"/>
  <c r="F149" i="216" s="1"/>
  <c r="D147" i="216"/>
  <c r="E147" i="216" s="1"/>
  <c r="F147" i="216" s="1"/>
  <c r="D144" i="216"/>
  <c r="E144" i="216" s="1"/>
  <c r="H33" i="207" s="1"/>
  <c r="D143" i="216"/>
  <c r="H10" i="207" s="1"/>
  <c r="D142" i="216"/>
  <c r="E142" i="216" s="1"/>
  <c r="H31" i="207" s="1"/>
  <c r="D141" i="216"/>
  <c r="E141" i="216" s="1"/>
  <c r="F141" i="216" s="1"/>
  <c r="D140" i="216"/>
  <c r="D139" i="216"/>
  <c r="H6" i="207" s="1"/>
  <c r="D138" i="216"/>
  <c r="E138" i="216" s="1"/>
  <c r="D136" i="216"/>
  <c r="H3" i="207" s="1"/>
  <c r="R132" i="216"/>
  <c r="P132" i="216"/>
  <c r="N132" i="216"/>
  <c r="L132" i="216"/>
  <c r="J132" i="216"/>
  <c r="H132" i="216"/>
  <c r="F132" i="216"/>
  <c r="D150" i="216"/>
  <c r="E150" i="216" s="1"/>
  <c r="H39" i="207" s="1"/>
  <c r="F121" i="209"/>
  <c r="D146" i="216"/>
  <c r="E146" i="216" s="1"/>
  <c r="H35" i="207" s="1"/>
  <c r="U26" i="214"/>
  <c r="V26" i="214" s="1"/>
  <c r="U25" i="214"/>
  <c r="V25" i="214" s="1"/>
  <c r="M25" i="214"/>
  <c r="N25" i="214" s="1"/>
  <c r="C58" i="207"/>
  <c r="B58" i="207" s="1"/>
  <c r="C58" i="187"/>
  <c r="B58" i="187" s="1"/>
  <c r="B36" i="172"/>
  <c r="D126" i="209"/>
  <c r="E126" i="209" s="1"/>
  <c r="F126" i="209" s="1"/>
  <c r="M117" i="115"/>
  <c r="M144" i="115"/>
  <c r="K138" i="115"/>
  <c r="J144" i="115" s="1"/>
  <c r="E945" i="206"/>
  <c r="G930" i="206"/>
  <c r="G929" i="206"/>
  <c r="K88" i="4"/>
  <c r="L88" i="4" s="1"/>
  <c r="M88" i="4"/>
  <c r="K94" i="4"/>
  <c r="L94" i="4" s="1"/>
  <c r="D139" i="209"/>
  <c r="E139" i="209" s="1"/>
  <c r="F139" i="209" s="1"/>
  <c r="I141" i="115"/>
  <c r="I143" i="115"/>
  <c r="I122" i="115"/>
  <c r="I144" i="115"/>
  <c r="G117" i="115"/>
  <c r="H117" i="115" s="1"/>
  <c r="D131" i="208"/>
  <c r="E10" i="207" s="1"/>
  <c r="D140" i="208"/>
  <c r="E19" i="207" s="1"/>
  <c r="C52" i="207"/>
  <c r="B52" i="207" s="1"/>
  <c r="E60" i="207"/>
  <c r="K28" i="209"/>
  <c r="D142" i="215"/>
  <c r="E142" i="215" s="1"/>
  <c r="G42" i="207" s="1"/>
  <c r="D141" i="215"/>
  <c r="E141" i="215" s="1"/>
  <c r="F141" i="215" s="1"/>
  <c r="D140" i="215"/>
  <c r="G18" i="207" s="1"/>
  <c r="D138" i="215"/>
  <c r="G16" i="207" s="1"/>
  <c r="D136" i="215"/>
  <c r="E136" i="215" s="1"/>
  <c r="G36" i="207" s="1"/>
  <c r="D134" i="215"/>
  <c r="D133" i="215"/>
  <c r="E133" i="215" s="1"/>
  <c r="F133" i="215" s="1"/>
  <c r="D131" i="215"/>
  <c r="E131" i="215" s="1"/>
  <c r="F131" i="215" s="1"/>
  <c r="D128" i="215"/>
  <c r="G6" i="207" s="1"/>
  <c r="D127" i="215"/>
  <c r="E127" i="215" s="1"/>
  <c r="F127" i="215" s="1"/>
  <c r="D126" i="215"/>
  <c r="G4" i="207" s="1"/>
  <c r="D125" i="215"/>
  <c r="E125" i="215" s="1"/>
  <c r="F125" i="215" s="1"/>
  <c r="R121" i="215"/>
  <c r="P121" i="215"/>
  <c r="L121" i="215"/>
  <c r="J121" i="215"/>
  <c r="H121" i="215"/>
  <c r="F121" i="215"/>
  <c r="R7" i="115"/>
  <c r="E15" i="115" s="1"/>
  <c r="E17" i="115" s="1"/>
  <c r="G141" i="115"/>
  <c r="H141" i="115" s="1"/>
  <c r="G143" i="115"/>
  <c r="H143" i="115" s="1"/>
  <c r="G122" i="115"/>
  <c r="H122" i="115" s="1"/>
  <c r="D128" i="209"/>
  <c r="E128" i="209" s="1"/>
  <c r="F28" i="207" s="1"/>
  <c r="D132" i="215"/>
  <c r="G10" i="207" s="1"/>
  <c r="D137" i="215"/>
  <c r="E137" i="215" s="1"/>
  <c r="F137" i="215" s="1"/>
  <c r="D129" i="209"/>
  <c r="E129" i="209" s="1"/>
  <c r="F29" i="207" s="1"/>
  <c r="D139" i="215"/>
  <c r="E139" i="215" s="1"/>
  <c r="F139" i="215" s="1"/>
  <c r="D130" i="215"/>
  <c r="G8" i="207" s="1"/>
  <c r="G968" i="206"/>
  <c r="J8" i="192"/>
  <c r="E959" i="206"/>
  <c r="G951" i="206"/>
  <c r="G950" i="206"/>
  <c r="G949" i="206"/>
  <c r="G982" i="206"/>
  <c r="E141" i="115"/>
  <c r="O81" i="208"/>
  <c r="T136" i="208"/>
  <c r="E122" i="115"/>
  <c r="O64" i="208"/>
  <c r="B30" i="172"/>
  <c r="G967" i="206"/>
  <c r="G966" i="206"/>
  <c r="D142" i="209"/>
  <c r="E142" i="209" s="1"/>
  <c r="F142" i="209" s="1"/>
  <c r="D141" i="209"/>
  <c r="F19" i="207" s="1"/>
  <c r="D140" i="209"/>
  <c r="F18" i="207" s="1"/>
  <c r="D138" i="209"/>
  <c r="F16" i="207" s="1"/>
  <c r="D137" i="209"/>
  <c r="F15" i="207" s="1"/>
  <c r="D136" i="209"/>
  <c r="F14" i="207" s="1"/>
  <c r="D135" i="209"/>
  <c r="F13" i="207" s="1"/>
  <c r="D134" i="209"/>
  <c r="F12" i="207" s="1"/>
  <c r="D133" i="209"/>
  <c r="E133" i="209" s="1"/>
  <c r="F133" i="209" s="1"/>
  <c r="D132" i="209"/>
  <c r="F10" i="207" s="1"/>
  <c r="D131" i="209"/>
  <c r="E131" i="209" s="1"/>
  <c r="F31" i="207" s="1"/>
  <c r="D130" i="209"/>
  <c r="E130" i="209" s="1"/>
  <c r="F30" i="207" s="1"/>
  <c r="D127" i="209"/>
  <c r="D125" i="209"/>
  <c r="E125" i="209" s="1"/>
  <c r="F125" i="209" s="1"/>
  <c r="R121" i="209"/>
  <c r="P121" i="209"/>
  <c r="N121" i="209"/>
  <c r="L121" i="209"/>
  <c r="J121" i="209"/>
  <c r="H121" i="209"/>
  <c r="E143" i="115"/>
  <c r="O43" i="208"/>
  <c r="E144" i="115"/>
  <c r="E117" i="115"/>
  <c r="L7" i="115"/>
  <c r="I7" i="115" s="1"/>
  <c r="M7" i="115" s="1"/>
  <c r="O7" i="115" s="1"/>
  <c r="O37" i="208"/>
  <c r="O36" i="208"/>
  <c r="O35" i="208"/>
  <c r="N120" i="208"/>
  <c r="G986" i="206"/>
  <c r="G965" i="206"/>
  <c r="D124" i="208"/>
  <c r="E3" i="207" s="1"/>
  <c r="D135" i="208"/>
  <c r="E135" i="208" s="1"/>
  <c r="F135" i="208" s="1"/>
  <c r="D125" i="208"/>
  <c r="E125" i="208" s="1"/>
  <c r="F125" i="208" s="1"/>
  <c r="G984" i="206"/>
  <c r="G981" i="206"/>
  <c r="G983" i="206"/>
  <c r="E973" i="206"/>
  <c r="G964" i="206"/>
  <c r="G1005" i="206"/>
  <c r="D141" i="208"/>
  <c r="E141" i="208" s="1"/>
  <c r="F141" i="208" s="1"/>
  <c r="D139" i="208"/>
  <c r="E18" i="207" s="1"/>
  <c r="D138" i="208"/>
  <c r="E17" i="207" s="1"/>
  <c r="D137" i="208"/>
  <c r="E137" i="208" s="1"/>
  <c r="F137" i="208" s="1"/>
  <c r="D136" i="208"/>
  <c r="E15" i="207" s="1"/>
  <c r="D134" i="208"/>
  <c r="E134" i="208" s="1"/>
  <c r="F134" i="208" s="1"/>
  <c r="D133" i="208"/>
  <c r="D132" i="208"/>
  <c r="E132" i="208" s="1"/>
  <c r="F132" i="208" s="1"/>
  <c r="D130" i="208"/>
  <c r="E130" i="208" s="1"/>
  <c r="E31" i="207" s="1"/>
  <c r="D129" i="208"/>
  <c r="E129" i="208" s="1"/>
  <c r="F129" i="208" s="1"/>
  <c r="D128" i="208"/>
  <c r="E7" i="207" s="1"/>
  <c r="D127" i="208"/>
  <c r="E6" i="207" s="1"/>
  <c r="D126" i="208"/>
  <c r="E5" i="207" s="1"/>
  <c r="R120" i="208"/>
  <c r="P120" i="208"/>
  <c r="J120" i="208"/>
  <c r="L120" i="208"/>
  <c r="H120" i="208"/>
  <c r="F120" i="208"/>
  <c r="N60" i="207"/>
  <c r="M60" i="207"/>
  <c r="L60" i="207"/>
  <c r="K60" i="207"/>
  <c r="F60" i="207"/>
  <c r="D60" i="207"/>
  <c r="C57" i="207"/>
  <c r="B57" i="207" s="1"/>
  <c r="C56" i="207"/>
  <c r="B56" i="207" s="1"/>
  <c r="C55" i="207"/>
  <c r="B55" i="207" s="1"/>
  <c r="C54" i="207"/>
  <c r="B54" i="207" s="1"/>
  <c r="C53" i="207"/>
  <c r="B53" i="207" s="1"/>
  <c r="J7" i="192"/>
  <c r="G980" i="206"/>
  <c r="G976" i="206"/>
  <c r="E991" i="206"/>
  <c r="G979" i="206"/>
  <c r="G978" i="206"/>
  <c r="G977" i="206"/>
  <c r="I977" i="206" s="1"/>
  <c r="G1004" i="206"/>
  <c r="I1004" i="206" s="1"/>
  <c r="D127" i="204"/>
  <c r="E127" i="204" s="1"/>
  <c r="D29" i="207" s="1"/>
  <c r="D130" i="204"/>
  <c r="D10" i="207" s="1"/>
  <c r="G1001" i="206"/>
  <c r="E2948" i="206"/>
  <c r="G2945" i="206"/>
  <c r="G2944" i="206"/>
  <c r="G2943" i="206"/>
  <c r="G2942" i="206"/>
  <c r="E2933" i="206"/>
  <c r="G2930" i="206"/>
  <c r="G2929" i="206"/>
  <c r="G2927" i="206"/>
  <c r="G2926" i="206"/>
  <c r="E2917" i="206"/>
  <c r="G2914" i="206"/>
  <c r="G2913" i="206"/>
  <c r="G2912" i="206"/>
  <c r="G2911" i="206"/>
  <c r="G2910" i="206"/>
  <c r="G2908" i="206"/>
  <c r="G2907" i="206"/>
  <c r="E2898" i="206"/>
  <c r="E2901" i="206" s="1"/>
  <c r="G2895" i="206"/>
  <c r="G2894" i="206"/>
  <c r="G2893" i="206"/>
  <c r="G2892" i="206"/>
  <c r="G2891" i="206"/>
  <c r="G2890" i="206"/>
  <c r="G2889" i="206"/>
  <c r="G2888" i="206"/>
  <c r="G2887" i="206"/>
  <c r="G2886" i="206"/>
  <c r="E2880" i="206"/>
  <c r="G2874" i="206"/>
  <c r="G2873" i="206"/>
  <c r="G2872" i="206"/>
  <c r="G2871" i="206"/>
  <c r="G2870" i="206"/>
  <c r="G2869" i="206"/>
  <c r="G2868" i="206"/>
  <c r="G2867" i="206"/>
  <c r="E2861" i="206"/>
  <c r="G2854" i="206"/>
  <c r="G2853" i="206"/>
  <c r="G2852" i="206"/>
  <c r="E2847" i="206"/>
  <c r="G2841" i="206"/>
  <c r="G2840" i="206"/>
  <c r="G2839" i="206"/>
  <c r="G2838" i="206"/>
  <c r="G2836" i="206"/>
  <c r="G2835" i="206"/>
  <c r="E2830" i="206"/>
  <c r="G2824" i="206"/>
  <c r="G2823" i="206"/>
  <c r="G2822" i="206"/>
  <c r="G2821" i="206"/>
  <c r="G2820" i="206"/>
  <c r="G2819" i="206"/>
  <c r="E2814" i="206"/>
  <c r="G2808" i="206"/>
  <c r="G2807" i="206"/>
  <c r="G2806" i="206"/>
  <c r="G2805" i="206"/>
  <c r="E2800" i="206"/>
  <c r="G2794" i="206"/>
  <c r="G2793" i="206"/>
  <c r="G2792" i="206"/>
  <c r="E2787" i="206"/>
  <c r="G2781" i="206"/>
  <c r="G2780" i="206"/>
  <c r="G2779" i="206"/>
  <c r="G2778" i="206"/>
  <c r="G2777" i="206"/>
  <c r="G2776" i="206"/>
  <c r="E2771" i="206"/>
  <c r="G2765" i="206"/>
  <c r="G2764" i="206"/>
  <c r="G2763" i="206"/>
  <c r="G2762" i="206"/>
  <c r="E2757" i="206"/>
  <c r="G2751" i="206"/>
  <c r="G2750" i="206"/>
  <c r="G2749" i="206"/>
  <c r="G2748" i="206"/>
  <c r="G2747" i="206"/>
  <c r="E2742" i="206"/>
  <c r="G2736" i="206"/>
  <c r="G2735" i="206"/>
  <c r="G2733" i="206"/>
  <c r="G2732" i="206"/>
  <c r="G2731" i="206"/>
  <c r="G2730" i="206"/>
  <c r="E2725" i="206"/>
  <c r="G2718" i="206"/>
  <c r="G2717" i="206"/>
  <c r="G2715" i="206"/>
  <c r="G2713" i="206"/>
  <c r="G2712" i="206"/>
  <c r="E2707" i="206"/>
  <c r="G2700" i="206"/>
  <c r="G2699" i="206"/>
  <c r="G2698" i="206"/>
  <c r="G2697" i="206"/>
  <c r="G2695" i="206"/>
  <c r="G2694" i="206"/>
  <c r="E2689" i="206"/>
  <c r="G2683" i="206"/>
  <c r="G2682" i="206"/>
  <c r="G2681" i="206"/>
  <c r="G2680" i="206"/>
  <c r="G2679" i="206"/>
  <c r="G2678" i="206"/>
  <c r="E2673" i="206"/>
  <c r="G2667" i="206"/>
  <c r="G2666" i="206"/>
  <c r="G2665" i="206"/>
  <c r="G2664" i="206"/>
  <c r="E2659" i="206"/>
  <c r="G2653" i="206"/>
  <c r="G2652" i="206"/>
  <c r="G2648" i="206"/>
  <c r="G2647" i="206"/>
  <c r="G2646" i="206"/>
  <c r="G2645" i="206"/>
  <c r="E2640" i="206"/>
  <c r="G2634" i="206"/>
  <c r="G2633" i="206"/>
  <c r="G2632" i="206"/>
  <c r="G2631" i="206"/>
  <c r="E2626" i="206"/>
  <c r="G2620" i="206"/>
  <c r="G2619" i="206"/>
  <c r="G2618" i="206"/>
  <c r="G2617" i="206"/>
  <c r="G2616" i="206"/>
  <c r="E2611" i="206"/>
  <c r="G2605" i="206"/>
  <c r="G2604" i="206"/>
  <c r="G2603" i="206"/>
  <c r="G2602" i="206"/>
  <c r="G2601" i="206"/>
  <c r="G2600" i="206"/>
  <c r="E2595" i="206"/>
  <c r="G2589" i="206"/>
  <c r="G2588" i="206"/>
  <c r="G2587" i="206"/>
  <c r="E2582" i="206"/>
  <c r="G2576" i="206"/>
  <c r="G2575" i="206"/>
  <c r="G2574" i="206"/>
  <c r="G2573" i="206"/>
  <c r="E2568" i="206"/>
  <c r="G2559" i="206"/>
  <c r="G2558" i="206"/>
  <c r="G2557" i="206"/>
  <c r="G2556" i="206"/>
  <c r="G2555" i="206"/>
  <c r="G2554" i="206"/>
  <c r="G2553" i="206"/>
  <c r="E2548" i="206"/>
  <c r="G2542" i="206"/>
  <c r="G2541" i="206"/>
  <c r="G2540" i="206"/>
  <c r="G2539" i="206"/>
  <c r="G2538" i="206"/>
  <c r="E2533" i="206"/>
  <c r="G2524" i="206"/>
  <c r="G2523" i="206"/>
  <c r="G2522" i="206"/>
  <c r="G2521" i="206"/>
  <c r="G2520" i="206"/>
  <c r="G2519" i="206"/>
  <c r="E2514" i="206"/>
  <c r="G2508" i="206"/>
  <c r="G2507" i="206"/>
  <c r="G2506" i="206"/>
  <c r="G2505" i="206"/>
  <c r="G2504" i="206"/>
  <c r="G2503" i="206"/>
  <c r="G2502" i="206"/>
  <c r="G2500" i="206"/>
  <c r="E2495" i="206"/>
  <c r="G2489" i="206"/>
  <c r="G2488" i="206"/>
  <c r="G2487" i="206"/>
  <c r="G2486" i="206"/>
  <c r="G2485" i="206"/>
  <c r="G2484" i="206"/>
  <c r="G2483" i="206"/>
  <c r="E2478" i="206"/>
  <c r="G2472" i="206"/>
  <c r="G2471" i="206"/>
  <c r="G2470" i="206"/>
  <c r="G2469" i="206"/>
  <c r="G2468" i="206"/>
  <c r="G2467" i="206"/>
  <c r="E2462" i="206"/>
  <c r="G2456" i="206"/>
  <c r="G2455" i="206"/>
  <c r="G2454" i="206"/>
  <c r="G2453" i="206"/>
  <c r="G2452" i="206"/>
  <c r="G2451" i="206"/>
  <c r="G2450" i="206"/>
  <c r="G2449" i="206"/>
  <c r="E2444" i="206"/>
  <c r="G2437" i="206"/>
  <c r="G2443" i="206" s="1"/>
  <c r="G2436" i="206"/>
  <c r="G2435" i="206"/>
  <c r="G2434" i="206"/>
  <c r="G2433" i="206"/>
  <c r="G2432" i="206"/>
  <c r="E2428" i="206"/>
  <c r="G2422" i="206"/>
  <c r="G2421" i="206"/>
  <c r="G2420" i="206"/>
  <c r="G2419" i="206"/>
  <c r="G2418" i="206"/>
  <c r="G2417" i="206"/>
  <c r="G2416" i="206"/>
  <c r="G2415" i="206"/>
  <c r="E2411" i="206"/>
  <c r="G2405" i="206"/>
  <c r="G2404" i="206"/>
  <c r="G2403" i="206"/>
  <c r="E2399" i="206"/>
  <c r="G2393" i="206"/>
  <c r="G2392" i="206"/>
  <c r="G2391" i="206"/>
  <c r="G2390" i="206"/>
  <c r="E2386" i="206"/>
  <c r="G2380" i="206"/>
  <c r="G2379" i="206"/>
  <c r="G2378" i="206"/>
  <c r="G2377" i="206"/>
  <c r="G2376" i="206"/>
  <c r="G2375" i="206"/>
  <c r="E2371" i="206"/>
  <c r="G2365" i="206"/>
  <c r="G2364" i="206"/>
  <c r="G2363" i="206"/>
  <c r="G2362" i="206"/>
  <c r="G2361" i="206"/>
  <c r="G2360" i="206"/>
  <c r="G2359" i="206"/>
  <c r="E2355" i="206"/>
  <c r="G2349" i="206"/>
  <c r="G2348" i="206"/>
  <c r="G2347" i="206"/>
  <c r="G2346" i="206"/>
  <c r="E2342" i="206"/>
  <c r="G2336" i="206"/>
  <c r="G2335" i="206"/>
  <c r="G2334" i="206"/>
  <c r="G2333" i="206"/>
  <c r="G2332" i="206"/>
  <c r="G2331" i="206"/>
  <c r="E2327" i="206"/>
  <c r="G2321" i="206"/>
  <c r="G2320" i="206"/>
  <c r="G2319" i="206"/>
  <c r="G2318" i="206"/>
  <c r="G2317" i="206"/>
  <c r="E2313" i="206"/>
  <c r="G2307" i="206"/>
  <c r="G2306" i="206"/>
  <c r="G2305" i="206"/>
  <c r="G2302" i="206"/>
  <c r="E2298" i="206"/>
  <c r="G2292" i="206"/>
  <c r="G2291" i="206"/>
  <c r="G2290" i="206"/>
  <c r="G2289" i="206"/>
  <c r="E2285" i="206"/>
  <c r="G2279" i="206"/>
  <c r="G2278" i="206"/>
  <c r="G2277" i="206"/>
  <c r="G2276" i="206"/>
  <c r="G2275" i="206"/>
  <c r="E2271" i="206"/>
  <c r="G2265" i="206"/>
  <c r="G2264" i="206"/>
  <c r="G2263" i="206"/>
  <c r="G2262" i="206"/>
  <c r="G2261" i="206"/>
  <c r="G2260" i="206"/>
  <c r="G2259" i="206"/>
  <c r="G2258" i="206"/>
  <c r="E2254" i="206"/>
  <c r="G2248" i="206"/>
  <c r="G2247" i="206"/>
  <c r="G2246" i="206"/>
  <c r="G2245" i="206"/>
  <c r="G2244" i="206"/>
  <c r="G2243" i="206"/>
  <c r="G2242" i="206"/>
  <c r="G2241" i="206"/>
  <c r="E2237" i="206"/>
  <c r="G2231" i="206"/>
  <c r="G2230" i="206"/>
  <c r="G2229" i="206"/>
  <c r="G2228" i="206"/>
  <c r="G2227" i="206"/>
  <c r="E2223" i="206"/>
  <c r="G2217" i="206"/>
  <c r="G2216" i="206"/>
  <c r="G2215" i="206"/>
  <c r="G2214" i="206"/>
  <c r="G2213" i="206"/>
  <c r="G2212" i="206"/>
  <c r="E2208" i="206"/>
  <c r="G2202" i="206"/>
  <c r="G2201" i="206"/>
  <c r="G2200" i="206"/>
  <c r="E2196" i="206"/>
  <c r="G2190" i="206"/>
  <c r="G2188" i="206"/>
  <c r="G2187" i="206"/>
  <c r="E2183" i="206"/>
  <c r="G2177" i="206"/>
  <c r="G2176" i="206"/>
  <c r="G2175" i="206"/>
  <c r="G2174" i="206"/>
  <c r="E2170" i="206"/>
  <c r="G2164" i="206"/>
  <c r="G2163" i="206"/>
  <c r="G2162" i="206"/>
  <c r="G2161" i="206"/>
  <c r="G2160" i="206"/>
  <c r="G2157" i="206"/>
  <c r="G2156" i="206"/>
  <c r="G2155" i="206"/>
  <c r="E2151" i="206"/>
  <c r="G2146" i="206"/>
  <c r="G2145" i="206"/>
  <c r="G2144" i="206"/>
  <c r="G2143" i="206"/>
  <c r="G2142" i="206"/>
  <c r="G2141" i="206"/>
  <c r="G2140" i="206"/>
  <c r="G2139" i="206"/>
  <c r="E2135" i="206"/>
  <c r="G2130" i="206"/>
  <c r="G2129" i="206"/>
  <c r="G2128" i="206"/>
  <c r="G2127" i="206"/>
  <c r="G2126" i="206"/>
  <c r="G2125" i="206"/>
  <c r="G2124" i="206"/>
  <c r="G2123" i="206"/>
  <c r="G2122" i="206"/>
  <c r="E2118" i="206"/>
  <c r="G2113" i="206"/>
  <c r="G2112" i="206"/>
  <c r="G2111" i="206"/>
  <c r="G2110" i="206"/>
  <c r="G2109" i="206"/>
  <c r="G2108" i="206"/>
  <c r="G2107" i="206"/>
  <c r="E2103" i="206"/>
  <c r="G2097" i="206"/>
  <c r="G2096" i="206"/>
  <c r="G2095" i="206"/>
  <c r="G2094" i="206"/>
  <c r="G2093" i="206"/>
  <c r="G2091" i="206"/>
  <c r="G2090" i="206"/>
  <c r="E2086" i="206"/>
  <c r="G2080" i="206"/>
  <c r="G2079" i="206"/>
  <c r="G2078" i="206"/>
  <c r="G2077" i="206"/>
  <c r="G2076" i="206"/>
  <c r="G2074" i="206"/>
  <c r="E2070" i="206"/>
  <c r="G2064" i="206"/>
  <c r="G2063" i="206"/>
  <c r="G2062" i="206"/>
  <c r="G2061" i="206"/>
  <c r="G2060" i="206"/>
  <c r="G2059" i="206"/>
  <c r="E2054" i="206"/>
  <c r="G2048" i="206"/>
  <c r="G2047" i="206"/>
  <c r="G2046" i="206"/>
  <c r="G2045" i="206"/>
  <c r="G2044" i="206"/>
  <c r="G2043" i="206"/>
  <c r="G2042" i="206"/>
  <c r="E2038" i="206"/>
  <c r="G2031" i="206"/>
  <c r="G2030" i="206"/>
  <c r="G2029" i="206"/>
  <c r="G2028" i="206"/>
  <c r="G2027" i="206"/>
  <c r="G2026" i="206"/>
  <c r="G2025" i="206"/>
  <c r="G2024" i="206"/>
  <c r="E2020" i="206"/>
  <c r="G2014" i="206"/>
  <c r="G2013" i="206"/>
  <c r="G2012" i="206"/>
  <c r="G2011" i="206"/>
  <c r="G2010" i="206"/>
  <c r="G2009" i="206"/>
  <c r="E2005" i="206"/>
  <c r="G1999" i="206"/>
  <c r="G1998" i="206"/>
  <c r="G1997" i="206"/>
  <c r="G1996" i="206"/>
  <c r="G1995" i="206"/>
  <c r="G1994" i="206"/>
  <c r="G1993" i="206"/>
  <c r="E1989" i="206"/>
  <c r="G1983" i="206"/>
  <c r="G1982" i="206"/>
  <c r="G1981" i="206"/>
  <c r="G1980" i="206"/>
  <c r="G1979" i="206"/>
  <c r="G1978" i="206"/>
  <c r="G1977" i="206"/>
  <c r="G1976" i="206"/>
  <c r="E1972" i="206"/>
  <c r="G1966" i="206"/>
  <c r="G1961" i="206"/>
  <c r="G1960" i="206"/>
  <c r="G1959" i="206"/>
  <c r="G1958" i="206"/>
  <c r="G1957" i="206"/>
  <c r="G1956" i="206"/>
  <c r="G1955" i="206"/>
  <c r="E1951" i="206"/>
  <c r="G1945" i="206"/>
  <c r="G1944" i="206"/>
  <c r="G1943" i="206"/>
  <c r="G1942" i="206"/>
  <c r="G1941" i="206"/>
  <c r="G1940" i="206"/>
  <c r="G1939" i="206"/>
  <c r="G1938" i="206"/>
  <c r="G1937" i="206"/>
  <c r="E1933" i="206"/>
  <c r="G1927" i="206"/>
  <c r="G1926" i="206"/>
  <c r="G1925" i="206"/>
  <c r="I1925" i="206" s="1"/>
  <c r="G1924" i="206"/>
  <c r="G1923" i="206"/>
  <c r="G1922" i="206"/>
  <c r="G1921" i="206"/>
  <c r="G1920" i="206"/>
  <c r="G1919" i="206"/>
  <c r="G1918" i="206"/>
  <c r="G1917" i="206"/>
  <c r="G1916" i="206"/>
  <c r="E1912" i="206"/>
  <c r="G1906" i="206"/>
  <c r="G1905" i="206"/>
  <c r="G1904" i="206"/>
  <c r="G1903" i="206"/>
  <c r="G1902" i="206"/>
  <c r="I1902" i="206" s="1"/>
  <c r="G1901" i="206"/>
  <c r="G1900" i="206"/>
  <c r="G1899" i="206"/>
  <c r="G1898" i="206"/>
  <c r="E1894" i="206"/>
  <c r="G1888" i="206"/>
  <c r="G1886" i="206"/>
  <c r="G1885" i="206"/>
  <c r="G1884" i="206"/>
  <c r="G1883" i="206"/>
  <c r="G1882" i="206"/>
  <c r="I1882" i="206" s="1"/>
  <c r="G1881" i="206"/>
  <c r="G1880" i="206"/>
  <c r="G1879" i="206"/>
  <c r="G1878" i="206"/>
  <c r="E1874" i="206"/>
  <c r="G1868" i="206"/>
  <c r="G1867" i="206"/>
  <c r="G1866" i="206"/>
  <c r="G1865" i="206"/>
  <c r="G1864" i="206"/>
  <c r="G1863" i="206"/>
  <c r="G1862" i="206"/>
  <c r="G1860" i="206"/>
  <c r="G1859" i="206"/>
  <c r="G1857" i="206"/>
  <c r="G1856" i="206"/>
  <c r="I1856" i="206" s="1"/>
  <c r="G1855" i="206"/>
  <c r="G1854" i="206"/>
  <c r="G1853" i="206"/>
  <c r="E1849" i="206"/>
  <c r="G1843" i="206"/>
  <c r="G1842" i="206"/>
  <c r="G1841" i="206"/>
  <c r="G1840" i="206"/>
  <c r="G1839" i="206"/>
  <c r="G1838" i="206"/>
  <c r="G1837" i="206"/>
  <c r="G1836" i="206"/>
  <c r="G1835" i="206"/>
  <c r="G1834" i="206"/>
  <c r="G1833" i="206"/>
  <c r="G1832" i="206"/>
  <c r="G1831" i="206"/>
  <c r="G1830" i="206"/>
  <c r="G1829" i="206"/>
  <c r="G1828" i="206"/>
  <c r="E1824" i="206"/>
  <c r="G1818" i="206"/>
  <c r="I1818" i="206" s="1"/>
  <c r="G1817" i="206"/>
  <c r="G1816" i="206"/>
  <c r="G1815" i="206"/>
  <c r="G1814" i="206"/>
  <c r="G1813" i="206"/>
  <c r="G1812" i="206"/>
  <c r="G1811" i="206"/>
  <c r="G1810" i="206"/>
  <c r="E1806" i="206"/>
  <c r="G1800" i="206"/>
  <c r="G1799" i="206"/>
  <c r="I1799" i="206" s="1"/>
  <c r="G1798" i="206"/>
  <c r="I1798" i="206" s="1"/>
  <c r="G1797" i="206"/>
  <c r="I1797" i="206" s="1"/>
  <c r="G1796" i="206"/>
  <c r="I1796" i="206" s="1"/>
  <c r="G1795" i="206"/>
  <c r="I1795" i="206" s="1"/>
  <c r="G1794" i="206"/>
  <c r="G1793" i="206"/>
  <c r="G1792" i="206"/>
  <c r="G1791" i="206"/>
  <c r="G1790" i="206"/>
  <c r="G1789" i="206"/>
  <c r="G1788" i="206"/>
  <c r="E1784" i="206"/>
  <c r="G1778" i="206"/>
  <c r="G1777" i="206"/>
  <c r="I1777" i="206" s="1"/>
  <c r="G1776" i="206"/>
  <c r="I1776" i="206" s="1"/>
  <c r="G1775" i="206"/>
  <c r="I1775" i="206" s="1"/>
  <c r="G1774" i="206"/>
  <c r="G1773" i="206"/>
  <c r="E1769" i="206"/>
  <c r="G1764" i="206"/>
  <c r="G1763" i="206"/>
  <c r="G1762" i="206"/>
  <c r="G1761" i="206"/>
  <c r="G1760" i="206"/>
  <c r="G1759" i="206"/>
  <c r="I1759" i="206" s="1"/>
  <c r="G1758" i="206"/>
  <c r="E1754" i="206"/>
  <c r="G1749" i="206"/>
  <c r="G1748" i="206"/>
  <c r="G1747" i="206"/>
  <c r="G1746" i="206"/>
  <c r="G1745" i="206"/>
  <c r="G1744" i="206"/>
  <c r="G1743" i="206"/>
  <c r="G1742" i="206"/>
  <c r="G1741" i="206"/>
  <c r="E1737" i="206"/>
  <c r="G1732" i="206"/>
  <c r="G1731" i="206"/>
  <c r="G1730" i="206"/>
  <c r="G1729" i="206"/>
  <c r="G1728" i="206"/>
  <c r="G1727" i="206"/>
  <c r="G1726" i="206"/>
  <c r="G1725" i="206"/>
  <c r="G1724" i="206"/>
  <c r="G1723" i="206"/>
  <c r="E1719" i="206"/>
  <c r="G1714" i="206"/>
  <c r="G1713" i="206"/>
  <c r="G1712" i="206"/>
  <c r="I1712" i="206" s="1"/>
  <c r="G1711" i="206"/>
  <c r="G1710" i="206"/>
  <c r="G1709" i="206"/>
  <c r="G1708" i="206"/>
  <c r="G1707" i="206"/>
  <c r="G1706" i="206"/>
  <c r="E1702" i="206"/>
  <c r="G1697" i="206"/>
  <c r="G1696" i="206"/>
  <c r="G1695" i="206"/>
  <c r="G1694" i="206"/>
  <c r="G1693" i="206"/>
  <c r="G1692" i="206"/>
  <c r="E1688" i="206"/>
  <c r="G1683" i="206"/>
  <c r="G1682" i="206"/>
  <c r="G1681" i="206"/>
  <c r="G1680" i="206"/>
  <c r="G1679" i="206"/>
  <c r="G1678" i="206"/>
  <c r="G1677" i="206"/>
  <c r="G1676" i="206"/>
  <c r="E1672" i="206"/>
  <c r="G1667" i="206"/>
  <c r="G1666" i="206"/>
  <c r="G1665" i="206"/>
  <c r="G1664" i="206"/>
  <c r="G1663" i="206"/>
  <c r="G1662" i="206"/>
  <c r="G1661" i="206"/>
  <c r="G1660" i="206"/>
  <c r="G1659" i="206"/>
  <c r="E1655" i="206"/>
  <c r="G1650" i="206"/>
  <c r="G1649" i="206"/>
  <c r="G1648" i="206"/>
  <c r="G1647" i="206"/>
  <c r="G1646" i="206"/>
  <c r="G1645" i="206"/>
  <c r="G1644" i="206"/>
  <c r="G1643" i="206"/>
  <c r="G1642" i="206"/>
  <c r="G1641" i="206"/>
  <c r="E1637" i="206"/>
  <c r="G1632" i="206"/>
  <c r="G1631" i="206"/>
  <c r="G1630" i="206"/>
  <c r="G1629" i="206"/>
  <c r="G1628" i="206"/>
  <c r="G1627" i="206"/>
  <c r="G1626" i="206"/>
  <c r="G1625" i="206"/>
  <c r="G1624" i="206"/>
  <c r="G1623" i="206"/>
  <c r="G1622" i="206"/>
  <c r="E1618" i="206"/>
  <c r="G1613" i="206"/>
  <c r="G1612" i="206"/>
  <c r="G1611" i="206"/>
  <c r="G1610" i="206"/>
  <c r="G1609" i="206"/>
  <c r="G1608" i="206"/>
  <c r="G1607" i="206"/>
  <c r="G1606" i="206"/>
  <c r="G1605" i="206"/>
  <c r="G1604" i="206"/>
  <c r="G1603" i="206"/>
  <c r="G1602" i="206"/>
  <c r="G1601" i="206"/>
  <c r="E1597" i="206"/>
  <c r="G1592" i="206"/>
  <c r="G1591" i="206"/>
  <c r="G1590" i="206"/>
  <c r="G1589" i="206"/>
  <c r="G1588" i="206"/>
  <c r="G1587" i="206"/>
  <c r="G1586" i="206"/>
  <c r="G1585" i="206"/>
  <c r="G1584" i="206"/>
  <c r="G1583" i="206"/>
  <c r="E1579" i="206"/>
  <c r="G1574" i="206"/>
  <c r="G1573" i="206"/>
  <c r="G1572" i="206"/>
  <c r="G1571" i="206"/>
  <c r="G1570" i="206"/>
  <c r="G1569" i="206"/>
  <c r="G1568" i="206"/>
  <c r="G1567" i="206"/>
  <c r="G1566" i="206"/>
  <c r="E1562" i="206"/>
  <c r="G1557" i="206"/>
  <c r="G1556" i="206"/>
  <c r="G1555" i="206"/>
  <c r="G1554" i="206"/>
  <c r="E1550" i="206"/>
  <c r="G1543" i="206"/>
  <c r="G1542" i="206"/>
  <c r="G1541" i="206"/>
  <c r="G1540" i="206"/>
  <c r="G1537" i="206"/>
  <c r="G1536" i="206"/>
  <c r="G1535" i="206"/>
  <c r="G1534" i="206"/>
  <c r="E1530" i="206"/>
  <c r="G1525" i="206"/>
  <c r="G1524" i="206"/>
  <c r="I1523" i="206"/>
  <c r="G1522" i="206"/>
  <c r="I1522" i="206" s="1"/>
  <c r="G1521" i="206"/>
  <c r="I1521" i="206" s="1"/>
  <c r="E1513" i="206"/>
  <c r="G1508" i="206"/>
  <c r="G1507" i="206"/>
  <c r="G1504" i="206"/>
  <c r="G1503" i="206"/>
  <c r="G1502" i="206"/>
  <c r="I1502" i="206" s="1"/>
  <c r="G1501" i="206"/>
  <c r="I1501" i="206" s="1"/>
  <c r="E1497" i="206"/>
  <c r="G1490" i="206"/>
  <c r="G1489" i="206"/>
  <c r="G1488" i="206"/>
  <c r="G1487" i="206"/>
  <c r="G1486" i="206"/>
  <c r="G1485" i="206"/>
  <c r="G1484" i="206"/>
  <c r="I1484" i="206" s="1"/>
  <c r="E1480" i="206"/>
  <c r="G1475" i="206"/>
  <c r="G1474" i="206"/>
  <c r="G1473" i="206"/>
  <c r="G1472" i="206"/>
  <c r="G1471" i="206"/>
  <c r="G1470" i="206"/>
  <c r="G1469" i="206"/>
  <c r="G1468" i="206"/>
  <c r="I1468" i="206" s="1"/>
  <c r="E1464" i="206"/>
  <c r="G1459" i="206"/>
  <c r="G1458" i="206"/>
  <c r="I1458" i="206" s="1"/>
  <c r="G1457" i="206"/>
  <c r="G1456" i="206"/>
  <c r="G1455" i="206"/>
  <c r="G1454" i="206"/>
  <c r="E1450" i="206"/>
  <c r="G1445" i="206"/>
  <c r="G1444" i="206"/>
  <c r="G1443" i="206"/>
  <c r="G1442" i="206"/>
  <c r="G1441" i="206"/>
  <c r="G1440" i="206"/>
  <c r="G1439" i="206"/>
  <c r="G1438" i="206"/>
  <c r="G1437" i="206"/>
  <c r="G1436" i="206"/>
  <c r="I1436" i="206" s="1"/>
  <c r="G1435" i="206"/>
  <c r="I1435" i="206" s="1"/>
  <c r="G1434" i="206"/>
  <c r="G1433" i="206"/>
  <c r="G1432" i="206"/>
  <c r="G1431" i="206"/>
  <c r="E1427" i="206"/>
  <c r="G1422" i="206"/>
  <c r="G1421" i="206"/>
  <c r="I1421" i="206" s="1"/>
  <c r="G1420" i="206"/>
  <c r="G1419" i="206"/>
  <c r="G1418" i="206"/>
  <c r="G1417" i="206"/>
  <c r="G1416" i="206"/>
  <c r="G1415" i="206"/>
  <c r="G1414" i="206"/>
  <c r="G1413" i="206"/>
  <c r="G1412" i="206"/>
  <c r="G1411" i="206"/>
  <c r="G1410" i="206"/>
  <c r="G1409" i="206"/>
  <c r="I1409" i="206" s="1"/>
  <c r="E1405" i="206"/>
  <c r="G1400" i="206"/>
  <c r="G1399" i="206"/>
  <c r="G1398" i="206"/>
  <c r="G1397" i="206"/>
  <c r="G1396" i="206"/>
  <c r="G1395" i="206"/>
  <c r="G1394" i="206"/>
  <c r="G1393" i="206"/>
  <c r="G1392" i="206"/>
  <c r="G1391" i="206"/>
  <c r="I1391" i="206" s="1"/>
  <c r="E1387" i="206"/>
  <c r="G1381" i="206"/>
  <c r="G1380" i="206"/>
  <c r="I1380" i="206" s="1"/>
  <c r="G1379" i="206"/>
  <c r="G1378" i="206"/>
  <c r="G1377" i="206"/>
  <c r="G1376" i="206"/>
  <c r="G1375" i="206"/>
  <c r="G1374" i="206"/>
  <c r="G1373" i="206"/>
  <c r="G1372" i="206"/>
  <c r="G1371" i="206"/>
  <c r="G1370" i="206"/>
  <c r="I1370" i="206" s="1"/>
  <c r="E1366" i="206"/>
  <c r="G1360" i="206"/>
  <c r="G1359" i="206"/>
  <c r="G1358" i="206"/>
  <c r="G1357" i="206"/>
  <c r="G1356" i="206"/>
  <c r="G1355" i="206"/>
  <c r="G1354" i="206"/>
  <c r="G1353" i="206"/>
  <c r="G1352" i="206"/>
  <c r="G1351" i="206"/>
  <c r="G1350" i="206"/>
  <c r="E1346" i="206"/>
  <c r="G1340" i="206"/>
  <c r="G1339" i="206"/>
  <c r="G1338" i="206"/>
  <c r="I1338" i="206" s="1"/>
  <c r="G1337" i="206"/>
  <c r="G1336" i="206"/>
  <c r="I1336" i="206" s="1"/>
  <c r="G1335" i="206"/>
  <c r="G1334" i="206"/>
  <c r="G1333" i="206"/>
  <c r="G1332" i="206"/>
  <c r="G1331" i="206"/>
  <c r="G1330" i="206"/>
  <c r="G1329" i="206"/>
  <c r="E1325" i="206"/>
  <c r="K1322" i="206"/>
  <c r="K1325" i="206" s="1"/>
  <c r="G1319" i="206"/>
  <c r="G1318" i="206"/>
  <c r="I1318" i="206" s="1"/>
  <c r="G1317" i="206"/>
  <c r="I1317" i="206" s="1"/>
  <c r="G1316" i="206"/>
  <c r="G1315" i="206"/>
  <c r="G1314" i="206"/>
  <c r="M1313" i="206"/>
  <c r="G1313" i="206"/>
  <c r="I1313" i="206" s="1"/>
  <c r="M1312" i="206"/>
  <c r="G1312" i="206"/>
  <c r="I1312" i="206" s="1"/>
  <c r="M1311" i="206"/>
  <c r="G1311" i="206"/>
  <c r="M1310" i="206"/>
  <c r="M1324" i="206" s="1"/>
  <c r="G1310" i="206"/>
  <c r="K1306" i="206"/>
  <c r="E1306" i="206"/>
  <c r="G1300" i="206"/>
  <c r="G1299" i="206"/>
  <c r="I1299" i="206" s="1"/>
  <c r="G1298" i="206"/>
  <c r="M1297" i="206"/>
  <c r="G1297" i="206"/>
  <c r="I1297" i="206" s="1"/>
  <c r="M1296" i="206"/>
  <c r="G1296" i="206"/>
  <c r="M1295" i="206"/>
  <c r="G1295" i="206"/>
  <c r="M1294" i="206"/>
  <c r="M1305" i="206" s="1"/>
  <c r="G1294" i="206"/>
  <c r="I1294" i="206" s="1"/>
  <c r="K1290" i="206"/>
  <c r="E1290" i="206"/>
  <c r="M1285" i="206"/>
  <c r="G1285" i="206"/>
  <c r="M1284" i="206"/>
  <c r="G1284" i="206"/>
  <c r="M1283" i="206"/>
  <c r="M1289" i="206" s="1"/>
  <c r="G1283" i="206"/>
  <c r="I1283" i="206" s="1"/>
  <c r="K1279" i="206"/>
  <c r="E1279" i="206"/>
  <c r="G1274" i="206"/>
  <c r="G1273" i="206"/>
  <c r="G1272" i="206"/>
  <c r="G1271" i="206"/>
  <c r="M1270" i="206"/>
  <c r="G1270" i="206"/>
  <c r="M1269" i="206"/>
  <c r="G1269" i="206"/>
  <c r="M1268" i="206"/>
  <c r="G1268" i="206"/>
  <c r="M1267" i="206"/>
  <c r="M1278" i="206" s="1"/>
  <c r="G1267" i="206"/>
  <c r="I1267" i="206" s="1"/>
  <c r="E1263" i="206"/>
  <c r="G1257" i="206"/>
  <c r="G1256" i="206"/>
  <c r="G1255" i="206"/>
  <c r="G1254" i="206"/>
  <c r="G1253" i="206"/>
  <c r="G1252" i="206"/>
  <c r="G1251" i="206"/>
  <c r="G1250" i="206"/>
  <c r="E1246" i="206"/>
  <c r="K1242" i="206"/>
  <c r="G1241" i="206"/>
  <c r="G1240" i="206"/>
  <c r="G1239" i="206"/>
  <c r="I1239" i="206" s="1"/>
  <c r="G1238" i="206"/>
  <c r="G1237" i="206"/>
  <c r="M1236" i="206"/>
  <c r="G1236" i="206"/>
  <c r="E1232" i="206"/>
  <c r="G1227" i="206"/>
  <c r="G1226" i="206"/>
  <c r="I1226" i="206" s="1"/>
  <c r="M1225" i="206"/>
  <c r="G1225" i="206"/>
  <c r="I1225" i="206" s="1"/>
  <c r="G1223" i="206"/>
  <c r="G1221" i="206"/>
  <c r="G1220" i="206"/>
  <c r="G1219" i="206"/>
  <c r="I1219" i="206" s="1"/>
  <c r="E1213" i="206"/>
  <c r="G1208" i="206"/>
  <c r="G1207" i="206"/>
  <c r="G1206" i="206"/>
  <c r="G1205" i="206"/>
  <c r="I1205" i="206" s="1"/>
  <c r="G1204" i="206"/>
  <c r="I1204" i="206" s="1"/>
  <c r="G1203" i="206"/>
  <c r="G1202" i="206"/>
  <c r="G1201" i="206"/>
  <c r="I1201" i="206" s="1"/>
  <c r="E1197" i="206"/>
  <c r="G1192" i="206"/>
  <c r="G1191" i="206"/>
  <c r="G1190" i="206"/>
  <c r="G1189" i="206"/>
  <c r="E1185" i="206"/>
  <c r="G1180" i="206"/>
  <c r="G1179" i="206"/>
  <c r="I1179" i="206" s="1"/>
  <c r="G1178" i="206"/>
  <c r="G1177" i="206"/>
  <c r="G1176" i="206"/>
  <c r="G1175" i="206"/>
  <c r="I1175" i="206" s="1"/>
  <c r="G1174" i="206"/>
  <c r="G1173" i="206"/>
  <c r="G1172" i="206"/>
  <c r="E1168" i="206"/>
  <c r="G1158" i="206"/>
  <c r="G1154" i="206"/>
  <c r="G1153" i="206"/>
  <c r="E1148" i="206"/>
  <c r="M1141" i="206"/>
  <c r="G1138" i="206"/>
  <c r="G1137" i="206"/>
  <c r="G1135" i="206"/>
  <c r="I1135" i="206" s="1"/>
  <c r="E1131" i="206"/>
  <c r="G1126" i="206"/>
  <c r="G1125" i="206"/>
  <c r="G1124" i="206"/>
  <c r="M1123" i="206"/>
  <c r="G1123" i="206"/>
  <c r="G1122" i="206"/>
  <c r="G1121" i="206"/>
  <c r="G1120" i="206"/>
  <c r="E1110" i="206"/>
  <c r="G1105" i="206"/>
  <c r="G1104" i="206"/>
  <c r="G1102" i="206"/>
  <c r="G1101" i="206"/>
  <c r="G1098" i="206"/>
  <c r="E1094" i="206"/>
  <c r="G1088" i="206"/>
  <c r="G1087" i="206"/>
  <c r="G1086" i="206"/>
  <c r="G1085" i="206"/>
  <c r="G1084" i="206"/>
  <c r="G1083" i="206"/>
  <c r="G1082" i="206"/>
  <c r="G1081" i="206"/>
  <c r="E1074" i="206"/>
  <c r="G1069" i="206"/>
  <c r="G1068" i="206"/>
  <c r="G1067" i="206"/>
  <c r="E1052" i="206"/>
  <c r="G1047" i="206"/>
  <c r="G1046" i="206"/>
  <c r="G1045" i="206"/>
  <c r="G1044" i="206"/>
  <c r="G1043" i="206"/>
  <c r="G1042" i="206"/>
  <c r="E1033" i="206"/>
  <c r="G1027" i="206"/>
  <c r="G1026" i="206"/>
  <c r="G1025" i="206"/>
  <c r="G1023" i="206"/>
  <c r="M1022" i="206"/>
  <c r="J1022" i="206"/>
  <c r="G1021" i="206"/>
  <c r="G1020" i="206"/>
  <c r="I1020" i="206" s="1"/>
  <c r="G1019" i="206"/>
  <c r="E1010" i="206"/>
  <c r="M1003" i="206"/>
  <c r="G1000" i="206"/>
  <c r="G999" i="206"/>
  <c r="G998" i="206"/>
  <c r="G997" i="206"/>
  <c r="I997" i="206" s="1"/>
  <c r="D151" i="205"/>
  <c r="O20" i="187" s="1"/>
  <c r="D150" i="205"/>
  <c r="D149" i="205"/>
  <c r="E149" i="205" s="1"/>
  <c r="O40" i="187" s="1"/>
  <c r="D148" i="205"/>
  <c r="E148" i="205" s="1"/>
  <c r="O39" i="187" s="1"/>
  <c r="D147" i="205"/>
  <c r="E147" i="205" s="1"/>
  <c r="F147" i="205" s="1"/>
  <c r="D146" i="205"/>
  <c r="E146" i="205" s="1"/>
  <c r="D145" i="205"/>
  <c r="O14" i="187" s="1"/>
  <c r="D144" i="205"/>
  <c r="E144" i="205" s="1"/>
  <c r="F144" i="205" s="1"/>
  <c r="D143" i="205"/>
  <c r="D142" i="205"/>
  <c r="D141" i="205"/>
  <c r="D140" i="205"/>
  <c r="E140" i="205" s="1"/>
  <c r="O31" i="187" s="1"/>
  <c r="D139" i="205"/>
  <c r="E139" i="205" s="1"/>
  <c r="O30" i="187" s="1"/>
  <c r="D138" i="205"/>
  <c r="O7" i="187" s="1"/>
  <c r="D137" i="205"/>
  <c r="D136" i="205"/>
  <c r="E136" i="205" s="1"/>
  <c r="O27" i="187" s="1"/>
  <c r="D135" i="205"/>
  <c r="E135" i="205" s="1"/>
  <c r="D134" i="205"/>
  <c r="O3" i="187" s="1"/>
  <c r="P130" i="205"/>
  <c r="N130" i="205"/>
  <c r="L130" i="205"/>
  <c r="J130" i="205"/>
  <c r="H130" i="205"/>
  <c r="F130" i="205"/>
  <c r="Q130" i="205"/>
  <c r="O130" i="205"/>
  <c r="M130" i="205"/>
  <c r="K130" i="205"/>
  <c r="I130" i="205"/>
  <c r="G130" i="205"/>
  <c r="D140" i="204"/>
  <c r="E140" i="204" s="1"/>
  <c r="D42" i="207" s="1"/>
  <c r="D139" i="204"/>
  <c r="D138" i="204"/>
  <c r="E138" i="204" s="1"/>
  <c r="F138" i="204" s="1"/>
  <c r="D137" i="204"/>
  <c r="E137" i="204" s="1"/>
  <c r="D39" i="207" s="1"/>
  <c r="D136" i="204"/>
  <c r="D16" i="207" s="1"/>
  <c r="D135" i="204"/>
  <c r="E135" i="204" s="1"/>
  <c r="D37" i="207" s="1"/>
  <c r="D134" i="204"/>
  <c r="D14" i="207" s="1"/>
  <c r="D133" i="204"/>
  <c r="E133" i="204" s="1"/>
  <c r="D35" i="207" s="1"/>
  <c r="D132" i="204"/>
  <c r="D12" i="207" s="1"/>
  <c r="D131" i="204"/>
  <c r="E131" i="204" s="1"/>
  <c r="D33" i="207" s="1"/>
  <c r="D129" i="204"/>
  <c r="E129" i="204" s="1"/>
  <c r="D31" i="207" s="1"/>
  <c r="D128" i="204"/>
  <c r="E128" i="204" s="1"/>
  <c r="D30" i="207" s="1"/>
  <c r="D126" i="204"/>
  <c r="E126" i="204" s="1"/>
  <c r="F126" i="204" s="1"/>
  <c r="D125" i="204"/>
  <c r="E125" i="204" s="1"/>
  <c r="F125" i="204" s="1"/>
  <c r="D124" i="204"/>
  <c r="E124" i="204" s="1"/>
  <c r="F124" i="204" s="1"/>
  <c r="D123" i="204"/>
  <c r="E123" i="204" s="1"/>
  <c r="D25" i="207" s="1"/>
  <c r="P119" i="204"/>
  <c r="N119" i="204"/>
  <c r="L119" i="204"/>
  <c r="J119" i="204"/>
  <c r="H119" i="204"/>
  <c r="F119" i="204"/>
  <c r="D135" i="202"/>
  <c r="E135" i="202" s="1"/>
  <c r="D126" i="202"/>
  <c r="N3" i="187" s="1"/>
  <c r="D136" i="202"/>
  <c r="N13" i="187" s="1"/>
  <c r="D127" i="202"/>
  <c r="E127" i="202" s="1"/>
  <c r="F127" i="202" s="1"/>
  <c r="D139" i="200"/>
  <c r="M19" i="187" s="1"/>
  <c r="J4" i="192"/>
  <c r="J5" i="192"/>
  <c r="J6" i="192"/>
  <c r="J3" i="192"/>
  <c r="D135" i="200"/>
  <c r="M15" i="187" s="1"/>
  <c r="F51" i="201"/>
  <c r="J47" i="201"/>
  <c r="D61" i="187"/>
  <c r="D143" i="202"/>
  <c r="E143" i="202" s="1"/>
  <c r="D142" i="202"/>
  <c r="N19" i="187" s="1"/>
  <c r="D141" i="202"/>
  <c r="E141" i="202" s="1"/>
  <c r="F141" i="202" s="1"/>
  <c r="D140" i="202"/>
  <c r="D139" i="202"/>
  <c r="N16" i="187" s="1"/>
  <c r="D138" i="202"/>
  <c r="N15" i="187" s="1"/>
  <c r="D137" i="202"/>
  <c r="E137" i="202" s="1"/>
  <c r="D134" i="202"/>
  <c r="D133" i="202"/>
  <c r="N10" i="187" s="1"/>
  <c r="D132" i="202"/>
  <c r="E132" i="202" s="1"/>
  <c r="N31" i="187" s="1"/>
  <c r="D131" i="202"/>
  <c r="E131" i="202" s="1"/>
  <c r="N30" i="187" s="1"/>
  <c r="D130" i="202"/>
  <c r="E130" i="202" s="1"/>
  <c r="F130" i="202" s="1"/>
  <c r="D129" i="202"/>
  <c r="E129" i="202" s="1"/>
  <c r="F129" i="202" s="1"/>
  <c r="D128" i="202"/>
  <c r="E128" i="202" s="1"/>
  <c r="N27" i="187" s="1"/>
  <c r="P122" i="202"/>
  <c r="N122" i="202"/>
  <c r="L122" i="202"/>
  <c r="J122" i="202"/>
  <c r="H122" i="202"/>
  <c r="F122" i="202"/>
  <c r="D137" i="200"/>
  <c r="M17" i="187" s="1"/>
  <c r="D133" i="200"/>
  <c r="M13" i="187" s="1"/>
  <c r="D123" i="200"/>
  <c r="M3" i="187" s="1"/>
  <c r="D136" i="200"/>
  <c r="E136" i="200" s="1"/>
  <c r="F136" i="200" s="1"/>
  <c r="M14" i="200"/>
  <c r="P13" i="200"/>
  <c r="P119" i="200" s="1"/>
  <c r="C54" i="187"/>
  <c r="B54" i="187" s="1"/>
  <c r="C55" i="187"/>
  <c r="B55" i="187" s="1"/>
  <c r="C56" i="187"/>
  <c r="B56" i="187" s="1"/>
  <c r="C57" i="187"/>
  <c r="B57" i="187" s="1"/>
  <c r="C60" i="187"/>
  <c r="B60" i="187" s="1"/>
  <c r="A51" i="201"/>
  <c r="D150" i="198"/>
  <c r="E150" i="198" s="1"/>
  <c r="F150" i="198" s="1"/>
  <c r="M22" i="201"/>
  <c r="L22" i="201"/>
  <c r="C7" i="201"/>
  <c r="C22" i="201" s="1"/>
  <c r="H22" i="201"/>
  <c r="A59" i="201"/>
  <c r="D140" i="200"/>
  <c r="E140" i="200" s="1"/>
  <c r="F140" i="200" s="1"/>
  <c r="D138" i="200"/>
  <c r="M18" i="187" s="1"/>
  <c r="D134" i="200"/>
  <c r="E134" i="200" s="1"/>
  <c r="D132" i="200"/>
  <c r="D131" i="200"/>
  <c r="E131" i="200" s="1"/>
  <c r="F131" i="200" s="1"/>
  <c r="D130" i="200"/>
  <c r="E130" i="200" s="1"/>
  <c r="F130" i="200" s="1"/>
  <c r="D129" i="200"/>
  <c r="M9" i="187" s="1"/>
  <c r="D128" i="200"/>
  <c r="E128" i="200" s="1"/>
  <c r="F128" i="200" s="1"/>
  <c r="D127" i="200"/>
  <c r="M7" i="187" s="1"/>
  <c r="D126" i="200"/>
  <c r="D125" i="200"/>
  <c r="E125" i="200" s="1"/>
  <c r="M27" i="187" s="1"/>
  <c r="D124" i="200"/>
  <c r="E124" i="200" s="1"/>
  <c r="F124" i="200" s="1"/>
  <c r="N119" i="200"/>
  <c r="L119" i="200"/>
  <c r="J119" i="200"/>
  <c r="H119" i="200"/>
  <c r="F119" i="200"/>
  <c r="D144" i="198"/>
  <c r="L9" i="187" s="1"/>
  <c r="D145" i="198"/>
  <c r="E145" i="198" s="1"/>
  <c r="F145" i="198" s="1"/>
  <c r="D115" i="197"/>
  <c r="D155" i="198"/>
  <c r="E155" i="198" s="1"/>
  <c r="L42" i="187" s="1"/>
  <c r="D154" i="198"/>
  <c r="L19" i="187" s="1"/>
  <c r="D153" i="198"/>
  <c r="L18" i="187" s="1"/>
  <c r="D152" i="198"/>
  <c r="E152" i="198" s="1"/>
  <c r="D151" i="198"/>
  <c r="E151" i="198" s="1"/>
  <c r="L38" i="187" s="1"/>
  <c r="D149" i="198"/>
  <c r="L14" i="187" s="1"/>
  <c r="D148" i="198"/>
  <c r="E148" i="198" s="1"/>
  <c r="F148" i="198" s="1"/>
  <c r="D147" i="198"/>
  <c r="E147" i="198" s="1"/>
  <c r="D146" i="198"/>
  <c r="L11" i="187" s="1"/>
  <c r="D143" i="198"/>
  <c r="E143" i="198" s="1"/>
  <c r="F143" i="198" s="1"/>
  <c r="D142" i="198"/>
  <c r="L7" i="187" s="1"/>
  <c r="D141" i="198"/>
  <c r="E141" i="198" s="1"/>
  <c r="F141" i="198" s="1"/>
  <c r="D140" i="198"/>
  <c r="E140" i="198" s="1"/>
  <c r="F140" i="198" s="1"/>
  <c r="D139" i="198"/>
  <c r="L4" i="187" s="1"/>
  <c r="D138" i="198"/>
  <c r="E138" i="198" s="1"/>
  <c r="L25" i="187" s="1"/>
  <c r="P134" i="198"/>
  <c r="N134" i="198"/>
  <c r="L134" i="198"/>
  <c r="J134" i="198"/>
  <c r="H134" i="198"/>
  <c r="F134" i="198"/>
  <c r="D136" i="194"/>
  <c r="H16" i="187" s="1"/>
  <c r="D118" i="197"/>
  <c r="E118" i="197" s="1"/>
  <c r="K28" i="187" s="1"/>
  <c r="D126" i="197"/>
  <c r="K14" i="187" s="1"/>
  <c r="D140" i="196"/>
  <c r="J4" i="187" s="1"/>
  <c r="D132" i="197"/>
  <c r="E132" i="197" s="1"/>
  <c r="D131" i="197"/>
  <c r="E131" i="197" s="1"/>
  <c r="K41" i="187" s="1"/>
  <c r="D130" i="197"/>
  <c r="K18" i="187" s="1"/>
  <c r="D129" i="197"/>
  <c r="K17" i="187" s="1"/>
  <c r="D128" i="197"/>
  <c r="E128" i="197" s="1"/>
  <c r="F128" i="197" s="1"/>
  <c r="D127" i="197"/>
  <c r="K15" i="187" s="1"/>
  <c r="D125" i="197"/>
  <c r="E125" i="197" s="1"/>
  <c r="F125" i="197" s="1"/>
  <c r="D124" i="197"/>
  <c r="K12" i="187" s="1"/>
  <c r="D123" i="197"/>
  <c r="K11" i="187" s="1"/>
  <c r="D122" i="197"/>
  <c r="E122" i="197" s="1"/>
  <c r="K32" i="187" s="1"/>
  <c r="D121" i="197"/>
  <c r="K9" i="187" s="1"/>
  <c r="D120" i="197"/>
  <c r="K8" i="187" s="1"/>
  <c r="D119" i="197"/>
  <c r="E119" i="197" s="1"/>
  <c r="K29" i="187" s="1"/>
  <c r="D117" i="197"/>
  <c r="E117" i="197" s="1"/>
  <c r="K27" i="187" s="1"/>
  <c r="D116" i="197"/>
  <c r="E116" i="197" s="1"/>
  <c r="F116" i="197" s="1"/>
  <c r="P111" i="197"/>
  <c r="N111" i="197"/>
  <c r="L111" i="197"/>
  <c r="J111" i="197"/>
  <c r="H111" i="197"/>
  <c r="F111" i="197"/>
  <c r="D156" i="196"/>
  <c r="D143" i="196"/>
  <c r="E143" i="196" s="1"/>
  <c r="D139" i="196"/>
  <c r="J3" i="187" s="1"/>
  <c r="N135" i="196"/>
  <c r="O64" i="195"/>
  <c r="O127" i="195" s="1"/>
  <c r="L127" i="195"/>
  <c r="D141" i="195"/>
  <c r="I13" i="187" s="1"/>
  <c r="D148" i="195"/>
  <c r="E148" i="195" s="1"/>
  <c r="F148" i="195" s="1"/>
  <c r="D155" i="196"/>
  <c r="E155" i="196" s="1"/>
  <c r="F155" i="196" s="1"/>
  <c r="D154" i="196"/>
  <c r="E154" i="196" s="1"/>
  <c r="J40" i="187" s="1"/>
  <c r="D153" i="196"/>
  <c r="E153" i="196" s="1"/>
  <c r="F153" i="196" s="1"/>
  <c r="D152" i="196"/>
  <c r="D151" i="196"/>
  <c r="E151" i="196" s="1"/>
  <c r="F151" i="196" s="1"/>
  <c r="D150" i="196"/>
  <c r="E150" i="196" s="1"/>
  <c r="J36" i="187" s="1"/>
  <c r="D149" i="196"/>
  <c r="E149" i="196" s="1"/>
  <c r="D148" i="196"/>
  <c r="E148" i="196" s="1"/>
  <c r="D147" i="196"/>
  <c r="E147" i="196" s="1"/>
  <c r="J33" i="187" s="1"/>
  <c r="D146" i="196"/>
  <c r="J10" i="187" s="1"/>
  <c r="D145" i="196"/>
  <c r="E145" i="196" s="1"/>
  <c r="F145" i="196" s="1"/>
  <c r="D144" i="196"/>
  <c r="J8" i="187" s="1"/>
  <c r="D142" i="196"/>
  <c r="E142" i="196" s="1"/>
  <c r="J28" i="187" s="1"/>
  <c r="D141" i="196"/>
  <c r="E141" i="196" s="1"/>
  <c r="P135" i="196"/>
  <c r="L135" i="196"/>
  <c r="J135" i="196"/>
  <c r="H135" i="196"/>
  <c r="F135" i="196"/>
  <c r="D144" i="195"/>
  <c r="I16" i="187" s="1"/>
  <c r="D132" i="195"/>
  <c r="E132" i="195" s="1"/>
  <c r="I26" i="187" s="1"/>
  <c r="D139" i="195"/>
  <c r="E139" i="195" s="1"/>
  <c r="F139" i="195" s="1"/>
  <c r="D131" i="195"/>
  <c r="E131" i="195" s="1"/>
  <c r="F131" i="195" s="1"/>
  <c r="K8" i="115"/>
  <c r="G111" i="115"/>
  <c r="N119" i="194"/>
  <c r="P127" i="195"/>
  <c r="O51" i="194"/>
  <c r="O119" i="194" s="1"/>
  <c r="D135" i="194"/>
  <c r="H15" i="187" s="1"/>
  <c r="D138" i="195"/>
  <c r="I10" i="187" s="1"/>
  <c r="D135" i="195"/>
  <c r="E135" i="195" s="1"/>
  <c r="D137" i="195"/>
  <c r="E137" i="195" s="1"/>
  <c r="F137" i="195" s="1"/>
  <c r="D142" i="195"/>
  <c r="I14" i="187" s="1"/>
  <c r="D128" i="194"/>
  <c r="H8" i="187" s="1"/>
  <c r="D140" i="194"/>
  <c r="E140" i="194" s="1"/>
  <c r="F140" i="194" s="1"/>
  <c r="D137" i="193"/>
  <c r="E137" i="193" s="1"/>
  <c r="F137" i="193" s="1"/>
  <c r="D139" i="193"/>
  <c r="D126" i="193"/>
  <c r="E126" i="193" s="1"/>
  <c r="F126" i="193" s="1"/>
  <c r="D140" i="189"/>
  <c r="F10" i="187" s="1"/>
  <c r="D142" i="193"/>
  <c r="G19" i="187" s="1"/>
  <c r="D147" i="195"/>
  <c r="E147" i="195" s="1"/>
  <c r="I41" i="187" s="1"/>
  <c r="D146" i="195"/>
  <c r="E146" i="195" s="1"/>
  <c r="D145" i="195"/>
  <c r="E145" i="195" s="1"/>
  <c r="D143" i="195"/>
  <c r="I15" i="187" s="1"/>
  <c r="D140" i="195"/>
  <c r="E140" i="195" s="1"/>
  <c r="D136" i="195"/>
  <c r="E136" i="195" s="1"/>
  <c r="I30" i="187" s="1"/>
  <c r="D134" i="195"/>
  <c r="D133" i="195"/>
  <c r="I5" i="187" s="1"/>
  <c r="N127" i="195"/>
  <c r="J127" i="195"/>
  <c r="H127" i="195"/>
  <c r="F127" i="195"/>
  <c r="F61" i="187"/>
  <c r="E61" i="187"/>
  <c r="M32" i="193"/>
  <c r="D139" i="194"/>
  <c r="H19" i="187" s="1"/>
  <c r="D138" i="194"/>
  <c r="H18" i="187" s="1"/>
  <c r="D137" i="194"/>
  <c r="H17" i="187" s="1"/>
  <c r="D134" i="194"/>
  <c r="E134" i="194" s="1"/>
  <c r="F134" i="194" s="1"/>
  <c r="D133" i="194"/>
  <c r="E133" i="194" s="1"/>
  <c r="F133" i="194" s="1"/>
  <c r="D132" i="194"/>
  <c r="E132" i="194" s="1"/>
  <c r="D131" i="194"/>
  <c r="D130" i="194"/>
  <c r="D129" i="194"/>
  <c r="H9" i="187" s="1"/>
  <c r="D127" i="194"/>
  <c r="H7" i="187" s="1"/>
  <c r="D126" i="194"/>
  <c r="H6" i="187" s="1"/>
  <c r="D125" i="194"/>
  <c r="H5" i="187" s="1"/>
  <c r="D124" i="194"/>
  <c r="H4" i="187" s="1"/>
  <c r="D123" i="194"/>
  <c r="E123" i="194" s="1"/>
  <c r="F123" i="194" s="1"/>
  <c r="L119" i="194"/>
  <c r="J119" i="194"/>
  <c r="H119" i="194"/>
  <c r="F119" i="194"/>
  <c r="D127" i="193"/>
  <c r="G4" i="187" s="1"/>
  <c r="D133" i="193"/>
  <c r="E133" i="193" s="1"/>
  <c r="G32" i="187" s="1"/>
  <c r="M89" i="4"/>
  <c r="M90" i="4"/>
  <c r="M91" i="4"/>
  <c r="M92" i="4"/>
  <c r="M93" i="4"/>
  <c r="K89" i="4"/>
  <c r="L89" i="4" s="1"/>
  <c r="K90" i="4"/>
  <c r="L90" i="4" s="1"/>
  <c r="K91" i="4"/>
  <c r="L91" i="4" s="1"/>
  <c r="K92" i="4"/>
  <c r="L92" i="4" s="1"/>
  <c r="K93" i="4"/>
  <c r="L93" i="4" s="1"/>
  <c r="D139" i="189"/>
  <c r="F9" i="187" s="1"/>
  <c r="D147" i="189"/>
  <c r="D148" i="189"/>
  <c r="F18" i="187" s="1"/>
  <c r="D149" i="189"/>
  <c r="F19" i="187" s="1"/>
  <c r="D150" i="189"/>
  <c r="E150" i="189" s="1"/>
  <c r="F150" i="189" s="1"/>
  <c r="D146" i="189"/>
  <c r="F16" i="187" s="1"/>
  <c r="D145" i="189"/>
  <c r="E145" i="189" s="1"/>
  <c r="F37" i="187" s="1"/>
  <c r="D144" i="189"/>
  <c r="D143" i="189"/>
  <c r="F13" i="187" s="1"/>
  <c r="D142" i="189"/>
  <c r="F12" i="187" s="1"/>
  <c r="D138" i="189"/>
  <c r="F8" i="187" s="1"/>
  <c r="D137" i="189"/>
  <c r="E137" i="189" s="1"/>
  <c r="F137" i="189" s="1"/>
  <c r="D136" i="189"/>
  <c r="F6" i="187" s="1"/>
  <c r="D134" i="189"/>
  <c r="F4" i="187" s="1"/>
  <c r="D135" i="189"/>
  <c r="D141" i="189"/>
  <c r="D143" i="193"/>
  <c r="G20" i="187" s="1"/>
  <c r="D141" i="193"/>
  <c r="E141" i="193" s="1"/>
  <c r="G40" i="187" s="1"/>
  <c r="D140" i="193"/>
  <c r="G17" i="187" s="1"/>
  <c r="D138" i="193"/>
  <c r="G15" i="187" s="1"/>
  <c r="D136" i="193"/>
  <c r="E136" i="193" s="1"/>
  <c r="G35" i="187" s="1"/>
  <c r="D135" i="193"/>
  <c r="E135" i="193" s="1"/>
  <c r="D134" i="193"/>
  <c r="G11" i="187" s="1"/>
  <c r="D132" i="193"/>
  <c r="G9" i="187" s="1"/>
  <c r="D131" i="193"/>
  <c r="G8" i="187" s="1"/>
  <c r="D130" i="193"/>
  <c r="G7" i="187" s="1"/>
  <c r="D129" i="193"/>
  <c r="G6" i="187" s="1"/>
  <c r="D128" i="193"/>
  <c r="G5" i="187" s="1"/>
  <c r="L122" i="193"/>
  <c r="J122" i="193"/>
  <c r="H122" i="193"/>
  <c r="F122" i="193"/>
  <c r="A12" i="192"/>
  <c r="A5" i="192"/>
  <c r="A17" i="192"/>
  <c r="L98" i="115"/>
  <c r="N98" i="115" s="1"/>
  <c r="D133" i="189"/>
  <c r="F3" i="187" s="1"/>
  <c r="G101" i="91"/>
  <c r="D134" i="188"/>
  <c r="E134" i="188" s="1"/>
  <c r="F134" i="188" s="1"/>
  <c r="D141" i="188"/>
  <c r="E141" i="188" s="1"/>
  <c r="E39" i="187" s="1"/>
  <c r="D130" i="188"/>
  <c r="D128" i="188"/>
  <c r="E4" i="187" s="1"/>
  <c r="D127" i="188"/>
  <c r="E3" i="187" s="1"/>
  <c r="L129" i="189"/>
  <c r="J129" i="189"/>
  <c r="H129" i="189"/>
  <c r="F129" i="189"/>
  <c r="E315" i="2"/>
  <c r="E314" i="2"/>
  <c r="E306" i="2"/>
  <c r="E305" i="2"/>
  <c r="E304" i="2"/>
  <c r="E295" i="2"/>
  <c r="E294" i="2"/>
  <c r="E293" i="2"/>
  <c r="E292" i="2"/>
  <c r="E284" i="2"/>
  <c r="E283" i="2"/>
  <c r="E282" i="2"/>
  <c r="E281" i="2"/>
  <c r="E273" i="2"/>
  <c r="E272" i="2"/>
  <c r="E271" i="2"/>
  <c r="E270" i="2"/>
  <c r="E269" i="2"/>
  <c r="E268" i="2"/>
  <c r="E254" i="2"/>
  <c r="E253" i="2"/>
  <c r="E252" i="2"/>
  <c r="E251" i="2"/>
  <c r="E250" i="2"/>
  <c r="E249" i="2"/>
  <c r="E248" i="2"/>
  <c r="E247" i="2"/>
  <c r="E246" i="2"/>
  <c r="E245" i="2"/>
  <c r="E244" i="2"/>
  <c r="E233" i="2"/>
  <c r="E232" i="2"/>
  <c r="E231" i="2"/>
  <c r="E230" i="2"/>
  <c r="E229" i="2"/>
  <c r="E228" i="2"/>
  <c r="E227" i="2"/>
  <c r="E226" i="2"/>
  <c r="E225" i="2"/>
  <c r="E224" i="2"/>
  <c r="E223" i="2"/>
  <c r="E207" i="2"/>
  <c r="E196" i="2"/>
  <c r="E195" i="2"/>
  <c r="E194" i="2"/>
  <c r="E178" i="2"/>
  <c r="E177" i="2"/>
  <c r="E176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M45" i="176"/>
  <c r="H44" i="176"/>
  <c r="D43" i="176"/>
  <c r="B43" i="176"/>
  <c r="E42" i="176"/>
  <c r="E41" i="176"/>
  <c r="E40" i="176"/>
  <c r="E39" i="176"/>
  <c r="H38" i="176"/>
  <c r="E38" i="176"/>
  <c r="E37" i="176"/>
  <c r="E36" i="176"/>
  <c r="E35" i="176"/>
  <c r="B35" i="172"/>
  <c r="L102" i="115"/>
  <c r="N102" i="115" s="1"/>
  <c r="D144" i="188"/>
  <c r="E144" i="188" s="1"/>
  <c r="E42" i="187" s="1"/>
  <c r="D143" i="188"/>
  <c r="E19" i="187" s="1"/>
  <c r="D142" i="188"/>
  <c r="E18" i="187" s="1"/>
  <c r="D140" i="188"/>
  <c r="E16" i="187" s="1"/>
  <c r="D139" i="188"/>
  <c r="E15" i="187" s="1"/>
  <c r="D138" i="188"/>
  <c r="E14" i="187" s="1"/>
  <c r="D137" i="188"/>
  <c r="D136" i="188"/>
  <c r="E136" i="188" s="1"/>
  <c r="D135" i="188"/>
  <c r="E11" i="187" s="1"/>
  <c r="D133" i="188"/>
  <c r="E9" i="187" s="1"/>
  <c r="D132" i="188"/>
  <c r="D131" i="188"/>
  <c r="E7" i="187" s="1"/>
  <c r="D129" i="188"/>
  <c r="E5" i="187" s="1"/>
  <c r="L123" i="188"/>
  <c r="J123" i="188"/>
  <c r="H123" i="188"/>
  <c r="F123" i="188"/>
  <c r="M46" i="186"/>
  <c r="M128" i="186" s="1"/>
  <c r="L128" i="186"/>
  <c r="O61" i="187"/>
  <c r="N61" i="187"/>
  <c r="M61" i="187"/>
  <c r="L61" i="187"/>
  <c r="K61" i="187"/>
  <c r="J61" i="187"/>
  <c r="I61" i="187"/>
  <c r="G61" i="187"/>
  <c r="C53" i="187"/>
  <c r="B53" i="187" s="1"/>
  <c r="C52" i="187"/>
  <c r="B52" i="187" s="1"/>
  <c r="C51" i="187"/>
  <c r="H61" i="187"/>
  <c r="D141" i="186"/>
  <c r="E141" i="186" s="1"/>
  <c r="D136" i="186"/>
  <c r="E136" i="186" s="1"/>
  <c r="D29" i="187" s="1"/>
  <c r="D134" i="186"/>
  <c r="D5" i="187" s="1"/>
  <c r="D145" i="186"/>
  <c r="D16" i="187" s="1"/>
  <c r="D142" i="186"/>
  <c r="D13" i="187" s="1"/>
  <c r="D130" i="185"/>
  <c r="O5" i="172" s="1"/>
  <c r="D129" i="185"/>
  <c r="O4" i="172" s="1"/>
  <c r="D149" i="186"/>
  <c r="E149" i="186" s="1"/>
  <c r="F149" i="186" s="1"/>
  <c r="D148" i="186"/>
  <c r="E148" i="186" s="1"/>
  <c r="D41" i="187" s="1"/>
  <c r="D147" i="186"/>
  <c r="E147" i="186" s="1"/>
  <c r="D146" i="186"/>
  <c r="E146" i="186" s="1"/>
  <c r="D39" i="187" s="1"/>
  <c r="D144" i="186"/>
  <c r="D15" i="187" s="1"/>
  <c r="D143" i="186"/>
  <c r="D14" i="187" s="1"/>
  <c r="D140" i="186"/>
  <c r="E140" i="186" s="1"/>
  <c r="F140" i="186" s="1"/>
  <c r="D139" i="186"/>
  <c r="D10" i="187" s="1"/>
  <c r="D138" i="186"/>
  <c r="D9" i="187" s="1"/>
  <c r="D137" i="186"/>
  <c r="D8" i="187" s="1"/>
  <c r="D135" i="186"/>
  <c r="D6" i="187" s="1"/>
  <c r="D133" i="186"/>
  <c r="D4" i="187" s="1"/>
  <c r="D132" i="186"/>
  <c r="D3" i="187" s="1"/>
  <c r="J128" i="186"/>
  <c r="H128" i="186"/>
  <c r="F128" i="186"/>
  <c r="D145" i="184"/>
  <c r="N9" i="172" s="1"/>
  <c r="D145" i="185"/>
  <c r="O20" i="172" s="1"/>
  <c r="D144" i="185"/>
  <c r="O19" i="172" s="1"/>
  <c r="D143" i="185"/>
  <c r="O18" i="172" s="1"/>
  <c r="D142" i="185"/>
  <c r="O17" i="172" s="1"/>
  <c r="D141" i="185"/>
  <c r="O16" i="172" s="1"/>
  <c r="D140" i="185"/>
  <c r="O15" i="172" s="1"/>
  <c r="D139" i="185"/>
  <c r="O14" i="172" s="1"/>
  <c r="D138" i="185"/>
  <c r="O13" i="172" s="1"/>
  <c r="D137" i="185"/>
  <c r="O12" i="172" s="1"/>
  <c r="D136" i="185"/>
  <c r="O11" i="172" s="1"/>
  <c r="D135" i="185"/>
  <c r="O10" i="172" s="1"/>
  <c r="D134" i="185"/>
  <c r="O9" i="172" s="1"/>
  <c r="D133" i="185"/>
  <c r="O8" i="172" s="1"/>
  <c r="D132" i="185"/>
  <c r="O7" i="172" s="1"/>
  <c r="D131" i="185"/>
  <c r="O6" i="172" s="1"/>
  <c r="D128" i="185"/>
  <c r="O3" i="172" s="1"/>
  <c r="J124" i="185"/>
  <c r="H124" i="185"/>
  <c r="F124" i="185"/>
  <c r="D139" i="184"/>
  <c r="N3" i="172" s="1"/>
  <c r="D148" i="183"/>
  <c r="M19" i="172" s="1"/>
  <c r="L38" i="172"/>
  <c r="G18" i="4"/>
  <c r="Q3" i="115"/>
  <c r="G4" i="115" s="1"/>
  <c r="J8" i="115"/>
  <c r="B8" i="115"/>
  <c r="L101" i="115"/>
  <c r="I101" i="115" s="1"/>
  <c r="M101" i="115" s="1"/>
  <c r="O101" i="115" s="1"/>
  <c r="L5" i="115"/>
  <c r="N5" i="115" s="1"/>
  <c r="L4" i="115"/>
  <c r="N4" i="115" s="1"/>
  <c r="L3" i="115"/>
  <c r="N3" i="115" s="1"/>
  <c r="L100" i="115"/>
  <c r="N100" i="115" s="1"/>
  <c r="L99" i="115"/>
  <c r="N99" i="115" s="1"/>
  <c r="D156" i="184"/>
  <c r="N20" i="172" s="1"/>
  <c r="D155" i="184"/>
  <c r="N19" i="172" s="1"/>
  <c r="D154" i="184"/>
  <c r="N18" i="172" s="1"/>
  <c r="D153" i="184"/>
  <c r="N17" i="172" s="1"/>
  <c r="D152" i="184"/>
  <c r="N16" i="172" s="1"/>
  <c r="D151" i="184"/>
  <c r="N15" i="172" s="1"/>
  <c r="D150" i="184"/>
  <c r="N14" i="172" s="1"/>
  <c r="D149" i="184"/>
  <c r="N13" i="172" s="1"/>
  <c r="D148" i="184"/>
  <c r="N12" i="172" s="1"/>
  <c r="D147" i="184"/>
  <c r="N11" i="172" s="1"/>
  <c r="D146" i="184"/>
  <c r="N10" i="172" s="1"/>
  <c r="D144" i="184"/>
  <c r="N8" i="172" s="1"/>
  <c r="D143" i="184"/>
  <c r="N7" i="172" s="1"/>
  <c r="D142" i="184"/>
  <c r="N6" i="172" s="1"/>
  <c r="D141" i="184"/>
  <c r="N5" i="172" s="1"/>
  <c r="D140" i="184"/>
  <c r="N4" i="172" s="1"/>
  <c r="J135" i="184"/>
  <c r="H135" i="184"/>
  <c r="F135" i="184"/>
  <c r="D141" i="183"/>
  <c r="D139" i="183"/>
  <c r="M10" i="172" s="1"/>
  <c r="D141" i="182"/>
  <c r="L19" i="172" s="1"/>
  <c r="J38" i="172"/>
  <c r="D149" i="183"/>
  <c r="M20" i="172" s="1"/>
  <c r="D147" i="183"/>
  <c r="M18" i="172" s="1"/>
  <c r="D146" i="183"/>
  <c r="M17" i="172" s="1"/>
  <c r="D145" i="183"/>
  <c r="M16" i="172" s="1"/>
  <c r="D144" i="183"/>
  <c r="M15" i="172" s="1"/>
  <c r="D143" i="183"/>
  <c r="M14" i="172" s="1"/>
  <c r="D142" i="183"/>
  <c r="M13" i="172" s="1"/>
  <c r="D140" i="183"/>
  <c r="M11" i="172" s="1"/>
  <c r="D138" i="183"/>
  <c r="M9" i="172" s="1"/>
  <c r="D137" i="183"/>
  <c r="M8" i="172" s="1"/>
  <c r="D136" i="183"/>
  <c r="M7" i="172" s="1"/>
  <c r="D135" i="183"/>
  <c r="M6" i="172" s="1"/>
  <c r="D134" i="183"/>
  <c r="M5" i="172" s="1"/>
  <c r="D133" i="183"/>
  <c r="M4" i="172" s="1"/>
  <c r="D132" i="183"/>
  <c r="M3" i="172" s="1"/>
  <c r="J128" i="183"/>
  <c r="H128" i="183"/>
  <c r="F128" i="183"/>
  <c r="B35" i="155"/>
  <c r="B31" i="155"/>
  <c r="B32" i="155"/>
  <c r="B33" i="155"/>
  <c r="B34" i="155"/>
  <c r="B36" i="155"/>
  <c r="B30" i="155"/>
  <c r="B31" i="172"/>
  <c r="B32" i="172"/>
  <c r="B33" i="172"/>
  <c r="B34" i="172"/>
  <c r="B37" i="172"/>
  <c r="H38" i="172"/>
  <c r="I38" i="172"/>
  <c r="D147" i="181"/>
  <c r="K15" i="172" s="1"/>
  <c r="D151" i="181"/>
  <c r="K19" i="172" s="1"/>
  <c r="D148" i="181"/>
  <c r="K16" i="172" s="1"/>
  <c r="B30" i="122"/>
  <c r="C38" i="172"/>
  <c r="D152" i="181"/>
  <c r="K20" i="172" s="1"/>
  <c r="D142" i="182"/>
  <c r="L20" i="172" s="1"/>
  <c r="D140" i="182"/>
  <c r="L18" i="172" s="1"/>
  <c r="D139" i="182"/>
  <c r="L17" i="172" s="1"/>
  <c r="D138" i="182"/>
  <c r="L16" i="172" s="1"/>
  <c r="D137" i="182"/>
  <c r="L15" i="172" s="1"/>
  <c r="D136" i="182"/>
  <c r="L14" i="172" s="1"/>
  <c r="D135" i="182"/>
  <c r="L13" i="172" s="1"/>
  <c r="D134" i="182"/>
  <c r="L12" i="172" s="1"/>
  <c r="D133" i="182"/>
  <c r="L11" i="172" s="1"/>
  <c r="D132" i="182"/>
  <c r="L10" i="172" s="1"/>
  <c r="D131" i="182"/>
  <c r="L9" i="172" s="1"/>
  <c r="D130" i="182"/>
  <c r="L8" i="172" s="1"/>
  <c r="D129" i="182"/>
  <c r="L7" i="172" s="1"/>
  <c r="D128" i="182"/>
  <c r="L6" i="172" s="1"/>
  <c r="D127" i="182"/>
  <c r="L5" i="172" s="1"/>
  <c r="D126" i="182"/>
  <c r="D125" i="182"/>
  <c r="L3" i="172" s="1"/>
  <c r="J121" i="182"/>
  <c r="H121" i="182"/>
  <c r="F121" i="182"/>
  <c r="D138" i="181"/>
  <c r="K6" i="172" s="1"/>
  <c r="D137" i="181"/>
  <c r="K5" i="172" s="1"/>
  <c r="D150" i="181"/>
  <c r="K18" i="172" s="1"/>
  <c r="D135" i="181"/>
  <c r="K3" i="172" s="1"/>
  <c r="D139" i="181"/>
  <c r="K7" i="172" s="1"/>
  <c r="D145" i="181"/>
  <c r="K13" i="172" s="1"/>
  <c r="D128" i="180"/>
  <c r="J3" i="172" s="1"/>
  <c r="D136" i="181"/>
  <c r="K4" i="172" s="1"/>
  <c r="D144" i="180"/>
  <c r="J19" i="172" s="1"/>
  <c r="D149" i="181"/>
  <c r="K17" i="172" s="1"/>
  <c r="D146" i="181"/>
  <c r="K14" i="172" s="1"/>
  <c r="D144" i="181"/>
  <c r="K12" i="172" s="1"/>
  <c r="D143" i="181"/>
  <c r="K11" i="172" s="1"/>
  <c r="D142" i="181"/>
  <c r="K10" i="172" s="1"/>
  <c r="D141" i="181"/>
  <c r="K9" i="172" s="1"/>
  <c r="D140" i="181"/>
  <c r="K8" i="172" s="1"/>
  <c r="J131" i="181"/>
  <c r="H131" i="181"/>
  <c r="F131" i="181"/>
  <c r="D130" i="180"/>
  <c r="J5" i="172" s="1"/>
  <c r="D129" i="180"/>
  <c r="J4" i="172" s="1"/>
  <c r="D145" i="180"/>
  <c r="J20" i="172" s="1"/>
  <c r="D143" i="180"/>
  <c r="J18" i="172" s="1"/>
  <c r="D142" i="180"/>
  <c r="J17" i="172" s="1"/>
  <c r="D141" i="180"/>
  <c r="J16" i="172" s="1"/>
  <c r="D140" i="180"/>
  <c r="J15" i="172" s="1"/>
  <c r="D139" i="180"/>
  <c r="J14" i="172" s="1"/>
  <c r="D138" i="180"/>
  <c r="J13" i="172" s="1"/>
  <c r="D137" i="180"/>
  <c r="J12" i="172" s="1"/>
  <c r="D136" i="180"/>
  <c r="J11" i="172" s="1"/>
  <c r="D135" i="180"/>
  <c r="J10" i="172" s="1"/>
  <c r="D134" i="180"/>
  <c r="J9" i="172" s="1"/>
  <c r="D133" i="180"/>
  <c r="J8" i="172" s="1"/>
  <c r="D132" i="180"/>
  <c r="J7" i="172" s="1"/>
  <c r="D131" i="180"/>
  <c r="J6" i="172" s="1"/>
  <c r="J124" i="180"/>
  <c r="H124" i="180"/>
  <c r="F124" i="180"/>
  <c r="D144" i="179"/>
  <c r="I4" i="172" s="1"/>
  <c r="D159" i="179"/>
  <c r="I20" i="172" s="1"/>
  <c r="D146" i="179"/>
  <c r="I6" i="172" s="1"/>
  <c r="D143" i="179"/>
  <c r="I3" i="172" s="1"/>
  <c r="B117" i="4"/>
  <c r="D148" i="178"/>
  <c r="H20" i="172" s="1"/>
  <c r="D158" i="179"/>
  <c r="I18" i="172" s="1"/>
  <c r="D157" i="179"/>
  <c r="D156" i="179"/>
  <c r="I16" i="172" s="1"/>
  <c r="D155" i="179"/>
  <c r="I15" i="172" s="1"/>
  <c r="D154" i="179"/>
  <c r="I14" i="172" s="1"/>
  <c r="D153" i="179"/>
  <c r="I13" i="172" s="1"/>
  <c r="D152" i="179"/>
  <c r="I12" i="172" s="1"/>
  <c r="D151" i="179"/>
  <c r="I11" i="172" s="1"/>
  <c r="D150" i="179"/>
  <c r="I10" i="172" s="1"/>
  <c r="D149" i="179"/>
  <c r="I9" i="172" s="1"/>
  <c r="D148" i="179"/>
  <c r="I8" i="172" s="1"/>
  <c r="D147" i="179"/>
  <c r="I7" i="172" s="1"/>
  <c r="D145" i="179"/>
  <c r="I5" i="172" s="1"/>
  <c r="J139" i="179"/>
  <c r="H139" i="179"/>
  <c r="F139" i="179"/>
  <c r="D142" i="178"/>
  <c r="H13" i="172" s="1"/>
  <c r="D135" i="178"/>
  <c r="H6" i="172" s="1"/>
  <c r="D136" i="178"/>
  <c r="H7" i="172" s="1"/>
  <c r="D134" i="177"/>
  <c r="G3" i="172" s="1"/>
  <c r="D141" i="177"/>
  <c r="G10" i="172" s="1"/>
  <c r="D142" i="177"/>
  <c r="G11" i="172" s="1"/>
  <c r="D135" i="177"/>
  <c r="G4" i="172" s="1"/>
  <c r="D136" i="177"/>
  <c r="G5" i="172" s="1"/>
  <c r="D147" i="178"/>
  <c r="H18" i="172" s="1"/>
  <c r="D146" i="178"/>
  <c r="H17" i="172" s="1"/>
  <c r="D145" i="178"/>
  <c r="H16" i="172" s="1"/>
  <c r="D144" i="178"/>
  <c r="H15" i="172" s="1"/>
  <c r="D143" i="178"/>
  <c r="H14" i="172" s="1"/>
  <c r="D141" i="178"/>
  <c r="H12" i="172" s="1"/>
  <c r="D140" i="178"/>
  <c r="H11" i="172" s="1"/>
  <c r="D139" i="178"/>
  <c r="H10" i="172" s="1"/>
  <c r="D138" i="178"/>
  <c r="H9" i="172" s="1"/>
  <c r="D137" i="178"/>
  <c r="H8" i="172" s="1"/>
  <c r="D134" i="178"/>
  <c r="H5" i="172" s="1"/>
  <c r="D133" i="178"/>
  <c r="H4" i="172" s="1"/>
  <c r="D132" i="178"/>
  <c r="H3" i="172" s="1"/>
  <c r="J128" i="178"/>
  <c r="H128" i="178"/>
  <c r="F128" i="178"/>
  <c r="D150" i="177"/>
  <c r="G20" i="172" s="1"/>
  <c r="D146" i="177"/>
  <c r="G15" i="172" s="1"/>
  <c r="D143" i="177"/>
  <c r="G12" i="172" s="1"/>
  <c r="D149" i="177"/>
  <c r="G18" i="172" s="1"/>
  <c r="D148" i="177"/>
  <c r="G17" i="172" s="1"/>
  <c r="D147" i="177"/>
  <c r="G16" i="172" s="1"/>
  <c r="D145" i="177"/>
  <c r="D144" i="177"/>
  <c r="G13" i="172" s="1"/>
  <c r="D140" i="177"/>
  <c r="G9" i="172" s="1"/>
  <c r="D139" i="177"/>
  <c r="G8" i="172" s="1"/>
  <c r="D138" i="177"/>
  <c r="G7" i="172" s="1"/>
  <c r="D137" i="177"/>
  <c r="G6" i="172" s="1"/>
  <c r="J130" i="177"/>
  <c r="H130" i="177"/>
  <c r="F130" i="177"/>
  <c r="D140" i="175"/>
  <c r="F3" i="172" s="1"/>
  <c r="B34" i="135"/>
  <c r="B31" i="135"/>
  <c r="B32" i="135"/>
  <c r="B33" i="135"/>
  <c r="I37" i="155"/>
  <c r="D38" i="172"/>
  <c r="E38" i="172"/>
  <c r="F38" i="172"/>
  <c r="G38" i="172"/>
  <c r="K38" i="172"/>
  <c r="M38" i="172"/>
  <c r="N38" i="172"/>
  <c r="D6" i="2"/>
  <c r="D8" i="2" s="1"/>
  <c r="D12" i="2"/>
  <c r="D13" i="2"/>
  <c r="D14" i="2"/>
  <c r="D15" i="2"/>
  <c r="D16" i="2"/>
  <c r="D22" i="2"/>
  <c r="D23" i="2"/>
  <c r="D24" i="2"/>
  <c r="D30" i="2"/>
  <c r="D31" i="2"/>
  <c r="D37" i="2"/>
  <c r="D38" i="2"/>
  <c r="D39" i="2"/>
  <c r="D47" i="2"/>
  <c r="D49" i="2" s="1"/>
  <c r="D59" i="2"/>
  <c r="D60" i="2"/>
  <c r="D61" i="2"/>
  <c r="D82" i="2"/>
  <c r="D84" i="2" s="1"/>
  <c r="D115" i="2"/>
  <c r="H11" i="176"/>
  <c r="D12" i="176"/>
  <c r="B12" i="176"/>
  <c r="H4" i="176"/>
  <c r="D148" i="175"/>
  <c r="F11" i="172" s="1"/>
  <c r="D143" i="175"/>
  <c r="F6" i="172" s="1"/>
  <c r="D150" i="175"/>
  <c r="F13" i="172" s="1"/>
  <c r="D144" i="175"/>
  <c r="F7" i="172" s="1"/>
  <c r="D154" i="169"/>
  <c r="O15" i="155" s="1"/>
  <c r="D156" i="175"/>
  <c r="D155" i="175"/>
  <c r="F18" i="172" s="1"/>
  <c r="D154" i="175"/>
  <c r="F17" i="172" s="1"/>
  <c r="D153" i="175"/>
  <c r="F16" i="172" s="1"/>
  <c r="D152" i="175"/>
  <c r="F15" i="172" s="1"/>
  <c r="D151" i="175"/>
  <c r="F14" i="172" s="1"/>
  <c r="D149" i="175"/>
  <c r="F12" i="172" s="1"/>
  <c r="D147" i="175"/>
  <c r="F10" i="172" s="1"/>
  <c r="D146" i="175"/>
  <c r="F9" i="172" s="1"/>
  <c r="D145" i="175"/>
  <c r="F8" i="172" s="1"/>
  <c r="D142" i="175"/>
  <c r="F5" i="172" s="1"/>
  <c r="D141" i="175"/>
  <c r="F4" i="172" s="1"/>
  <c r="J136" i="175"/>
  <c r="H136" i="175"/>
  <c r="F136" i="175"/>
  <c r="D129" i="173"/>
  <c r="E9" i="172" s="1"/>
  <c r="D123" i="173"/>
  <c r="E3" i="172" s="1"/>
  <c r="D160" i="154"/>
  <c r="D16" i="155" s="1"/>
  <c r="D154" i="154"/>
  <c r="D10" i="155" s="1"/>
  <c r="D155" i="154"/>
  <c r="D11" i="155" s="1"/>
  <c r="D150" i="171"/>
  <c r="D10" i="172" s="1"/>
  <c r="D151" i="171"/>
  <c r="D11" i="172" s="1"/>
  <c r="D139" i="173"/>
  <c r="E20" i="172" s="1"/>
  <c r="D138" i="173"/>
  <c r="E18" i="172" s="1"/>
  <c r="D137" i="173"/>
  <c r="E17" i="172" s="1"/>
  <c r="D136" i="173"/>
  <c r="E16" i="172" s="1"/>
  <c r="D135" i="173"/>
  <c r="E15" i="172" s="1"/>
  <c r="D134" i="173"/>
  <c r="E14" i="172" s="1"/>
  <c r="D133" i="173"/>
  <c r="E13" i="172" s="1"/>
  <c r="D132" i="173"/>
  <c r="E12" i="172" s="1"/>
  <c r="D131" i="173"/>
  <c r="E11" i="172" s="1"/>
  <c r="D130" i="173"/>
  <c r="E10" i="172" s="1"/>
  <c r="D128" i="173"/>
  <c r="E8" i="172" s="1"/>
  <c r="D127" i="173"/>
  <c r="E7" i="172" s="1"/>
  <c r="D126" i="173"/>
  <c r="E6" i="172" s="1"/>
  <c r="D125" i="173"/>
  <c r="D124" i="173"/>
  <c r="E4" i="172" s="1"/>
  <c r="J119" i="173"/>
  <c r="H119" i="173"/>
  <c r="F119" i="173"/>
  <c r="K24" i="171"/>
  <c r="D159" i="171"/>
  <c r="D20" i="172" s="1"/>
  <c r="D157" i="171"/>
  <c r="D17" i="172" s="1"/>
  <c r="D147" i="171"/>
  <c r="D7" i="172" s="1"/>
  <c r="D146" i="171"/>
  <c r="D6" i="172" s="1"/>
  <c r="D145" i="171"/>
  <c r="D5" i="172" s="1"/>
  <c r="D144" i="171"/>
  <c r="D143" i="171"/>
  <c r="D3" i="172" s="1"/>
  <c r="E11" i="135"/>
  <c r="D158" i="171"/>
  <c r="D18" i="172" s="1"/>
  <c r="D156" i="171"/>
  <c r="D16" i="172" s="1"/>
  <c r="D155" i="171"/>
  <c r="D15" i="172" s="1"/>
  <c r="D154" i="171"/>
  <c r="D14" i="172" s="1"/>
  <c r="D153" i="171"/>
  <c r="D13" i="172" s="1"/>
  <c r="D152" i="171"/>
  <c r="D12" i="172" s="1"/>
  <c r="D149" i="171"/>
  <c r="D9" i="172" s="1"/>
  <c r="D148" i="171"/>
  <c r="D8" i="172" s="1"/>
  <c r="J139" i="171"/>
  <c r="H139" i="171"/>
  <c r="F139" i="171"/>
  <c r="D153" i="169"/>
  <c r="O14" i="155" s="1"/>
  <c r="D146" i="169"/>
  <c r="O7" i="155" s="1"/>
  <c r="D142" i="169"/>
  <c r="O3" i="155" s="1"/>
  <c r="D158" i="169"/>
  <c r="O19" i="155" s="1"/>
  <c r="D157" i="169"/>
  <c r="O18" i="155" s="1"/>
  <c r="D156" i="169"/>
  <c r="O17" i="155" s="1"/>
  <c r="D155" i="169"/>
  <c r="O16" i="155" s="1"/>
  <c r="D152" i="169"/>
  <c r="O13" i="155" s="1"/>
  <c r="D151" i="169"/>
  <c r="O12" i="155" s="1"/>
  <c r="D150" i="169"/>
  <c r="O11" i="155" s="1"/>
  <c r="D149" i="169"/>
  <c r="O10" i="155" s="1"/>
  <c r="D148" i="169"/>
  <c r="D147" i="169"/>
  <c r="O8" i="155" s="1"/>
  <c r="D145" i="169"/>
  <c r="O6" i="155" s="1"/>
  <c r="D144" i="169"/>
  <c r="O5" i="155" s="1"/>
  <c r="D143" i="169"/>
  <c r="O4" i="155" s="1"/>
  <c r="J138" i="169"/>
  <c r="H138" i="169"/>
  <c r="F138" i="169"/>
  <c r="C37" i="155"/>
  <c r="D123" i="168"/>
  <c r="N3" i="155" s="1"/>
  <c r="D139" i="168"/>
  <c r="N19" i="155" s="1"/>
  <c r="D138" i="168"/>
  <c r="N18" i="155" s="1"/>
  <c r="D137" i="168"/>
  <c r="N17" i="155" s="1"/>
  <c r="D136" i="168"/>
  <c r="N16" i="155" s="1"/>
  <c r="D135" i="168"/>
  <c r="N15" i="155" s="1"/>
  <c r="D134" i="168"/>
  <c r="N14" i="155" s="1"/>
  <c r="D133" i="168"/>
  <c r="N13" i="155" s="1"/>
  <c r="D132" i="168"/>
  <c r="N12" i="155" s="1"/>
  <c r="D131" i="168"/>
  <c r="N11" i="155" s="1"/>
  <c r="D130" i="168"/>
  <c r="N10" i="155" s="1"/>
  <c r="D129" i="168"/>
  <c r="N9" i="155" s="1"/>
  <c r="D128" i="168"/>
  <c r="N8" i="155" s="1"/>
  <c r="D127" i="168"/>
  <c r="N7" i="155" s="1"/>
  <c r="D126" i="168"/>
  <c r="N6" i="155" s="1"/>
  <c r="D125" i="168"/>
  <c r="N5" i="155" s="1"/>
  <c r="D124" i="168"/>
  <c r="N4" i="155" s="1"/>
  <c r="J119" i="168"/>
  <c r="H119" i="168"/>
  <c r="F119" i="168"/>
  <c r="D151" i="167"/>
  <c r="M19" i="155" s="1"/>
  <c r="G37" i="155"/>
  <c r="D145" i="167"/>
  <c r="M13" i="155" s="1"/>
  <c r="D144" i="167"/>
  <c r="M12" i="155" s="1"/>
  <c r="M37" i="155"/>
  <c r="L37" i="155"/>
  <c r="K37" i="155"/>
  <c r="C43" i="155"/>
  <c r="J43" i="155"/>
  <c r="K43" i="155"/>
  <c r="L43" i="155"/>
  <c r="L210" i="115"/>
  <c r="I210" i="115" s="1"/>
  <c r="M210" i="115" s="1"/>
  <c r="O210" i="115" s="1"/>
  <c r="G210" i="115"/>
  <c r="D150" i="167"/>
  <c r="M18" i="155" s="1"/>
  <c r="D149" i="167"/>
  <c r="M17" i="155" s="1"/>
  <c r="D148" i="167"/>
  <c r="M16" i="155" s="1"/>
  <c r="D147" i="167"/>
  <c r="M15" i="155" s="1"/>
  <c r="D146" i="167"/>
  <c r="M14" i="155" s="1"/>
  <c r="D143" i="167"/>
  <c r="M11" i="155" s="1"/>
  <c r="D142" i="167"/>
  <c r="M10" i="155" s="1"/>
  <c r="D141" i="167"/>
  <c r="M9" i="155" s="1"/>
  <c r="D140" i="167"/>
  <c r="M8" i="155" s="1"/>
  <c r="D139" i="167"/>
  <c r="M7" i="155" s="1"/>
  <c r="D138" i="167"/>
  <c r="M6" i="155" s="1"/>
  <c r="D137" i="167"/>
  <c r="M5" i="155" s="1"/>
  <c r="D136" i="167"/>
  <c r="D135" i="167"/>
  <c r="M3" i="155" s="1"/>
  <c r="J131" i="167"/>
  <c r="H131" i="167"/>
  <c r="F131" i="167"/>
  <c r="N37" i="155"/>
  <c r="J37" i="155"/>
  <c r="D122" i="164"/>
  <c r="K9" i="155" s="1"/>
  <c r="F112" i="164"/>
  <c r="D148" i="165"/>
  <c r="L19" i="155" s="1"/>
  <c r="D147" i="165"/>
  <c r="L18" i="155" s="1"/>
  <c r="D146" i="165"/>
  <c r="L17" i="155" s="1"/>
  <c r="D145" i="165"/>
  <c r="L16" i="155" s="1"/>
  <c r="D144" i="165"/>
  <c r="D143" i="165"/>
  <c r="L14" i="155" s="1"/>
  <c r="D142" i="165"/>
  <c r="L13" i="155" s="1"/>
  <c r="D141" i="165"/>
  <c r="L12" i="155" s="1"/>
  <c r="D140" i="165"/>
  <c r="L11" i="155" s="1"/>
  <c r="D139" i="165"/>
  <c r="L10" i="155" s="1"/>
  <c r="D138" i="165"/>
  <c r="L9" i="155" s="1"/>
  <c r="D137" i="165"/>
  <c r="L8" i="155" s="1"/>
  <c r="D136" i="165"/>
  <c r="L7" i="155" s="1"/>
  <c r="D135" i="165"/>
  <c r="L6" i="155" s="1"/>
  <c r="D134" i="165"/>
  <c r="L5" i="155" s="1"/>
  <c r="D133" i="165"/>
  <c r="L4" i="155" s="1"/>
  <c r="D132" i="165"/>
  <c r="L3" i="155" s="1"/>
  <c r="J128" i="165"/>
  <c r="H128" i="165"/>
  <c r="F128" i="165"/>
  <c r="D132" i="164"/>
  <c r="K19" i="155" s="1"/>
  <c r="D117" i="164"/>
  <c r="K4" i="155" s="1"/>
  <c r="F121" i="163"/>
  <c r="H121" i="163"/>
  <c r="J121" i="163"/>
  <c r="H37" i="155"/>
  <c r="D131" i="164"/>
  <c r="K18" i="155" s="1"/>
  <c r="D130" i="164"/>
  <c r="K17" i="155" s="1"/>
  <c r="D129" i="164"/>
  <c r="K16" i="155" s="1"/>
  <c r="D128" i="164"/>
  <c r="K15" i="155" s="1"/>
  <c r="D127" i="164"/>
  <c r="K14" i="155" s="1"/>
  <c r="D126" i="164"/>
  <c r="K13" i="155" s="1"/>
  <c r="D125" i="164"/>
  <c r="K12" i="155" s="1"/>
  <c r="D124" i="164"/>
  <c r="K11" i="155" s="1"/>
  <c r="D123" i="164"/>
  <c r="K10" i="155" s="1"/>
  <c r="D121" i="164"/>
  <c r="K8" i="155" s="1"/>
  <c r="D120" i="164"/>
  <c r="D119" i="164"/>
  <c r="K6" i="155" s="1"/>
  <c r="D118" i="164"/>
  <c r="K5" i="155" s="1"/>
  <c r="D116" i="164"/>
  <c r="K3" i="155" s="1"/>
  <c r="J112" i="164"/>
  <c r="H112" i="164"/>
  <c r="D137" i="163"/>
  <c r="J15" i="155" s="1"/>
  <c r="D128" i="163"/>
  <c r="J6" i="155" s="1"/>
  <c r="D139" i="163"/>
  <c r="J17" i="155" s="1"/>
  <c r="D141" i="163"/>
  <c r="J19" i="155" s="1"/>
  <c r="D140" i="163"/>
  <c r="J18" i="155" s="1"/>
  <c r="D138" i="163"/>
  <c r="J16" i="155" s="1"/>
  <c r="D136" i="163"/>
  <c r="J14" i="155" s="1"/>
  <c r="D135" i="163"/>
  <c r="J13" i="155" s="1"/>
  <c r="D134" i="163"/>
  <c r="J12" i="155" s="1"/>
  <c r="D133" i="163"/>
  <c r="J11" i="155" s="1"/>
  <c r="D132" i="163"/>
  <c r="J10" i="155" s="1"/>
  <c r="D131" i="163"/>
  <c r="J9" i="155" s="1"/>
  <c r="D130" i="163"/>
  <c r="J8" i="155" s="1"/>
  <c r="D129" i="163"/>
  <c r="J7" i="155" s="1"/>
  <c r="D127" i="163"/>
  <c r="J5" i="155" s="1"/>
  <c r="D126" i="163"/>
  <c r="J4" i="155" s="1"/>
  <c r="D125" i="163"/>
  <c r="J3" i="155" s="1"/>
  <c r="D123" i="162"/>
  <c r="I6" i="155" s="1"/>
  <c r="D124" i="162"/>
  <c r="I7" i="155" s="1"/>
  <c r="D120" i="162"/>
  <c r="I3" i="155" s="1"/>
  <c r="D136" i="162"/>
  <c r="I19" i="155" s="1"/>
  <c r="D135" i="162"/>
  <c r="I18" i="155" s="1"/>
  <c r="D134" i="162"/>
  <c r="I17" i="155" s="1"/>
  <c r="D133" i="162"/>
  <c r="I16" i="155" s="1"/>
  <c r="D132" i="162"/>
  <c r="I15" i="155" s="1"/>
  <c r="D131" i="162"/>
  <c r="I14" i="155" s="1"/>
  <c r="D130" i="162"/>
  <c r="I13" i="155" s="1"/>
  <c r="D129" i="162"/>
  <c r="I12" i="155" s="1"/>
  <c r="D128" i="162"/>
  <c r="I11" i="155" s="1"/>
  <c r="D127" i="162"/>
  <c r="I10" i="155" s="1"/>
  <c r="D126" i="162"/>
  <c r="I9" i="155" s="1"/>
  <c r="D125" i="162"/>
  <c r="I8" i="155" s="1"/>
  <c r="D122" i="162"/>
  <c r="I5" i="155" s="1"/>
  <c r="D121" i="162"/>
  <c r="I4" i="155" s="1"/>
  <c r="J116" i="162"/>
  <c r="H116" i="162"/>
  <c r="F116" i="162"/>
  <c r="D128" i="161"/>
  <c r="H19" i="155" s="1"/>
  <c r="D163" i="154"/>
  <c r="D19" i="155" s="1"/>
  <c r="D148" i="157"/>
  <c r="E19" i="155" s="1"/>
  <c r="D145" i="159"/>
  <c r="F19" i="155" s="1"/>
  <c r="D128" i="160"/>
  <c r="G19" i="155" s="1"/>
  <c r="D127" i="161"/>
  <c r="H18" i="155" s="1"/>
  <c r="D162" i="154"/>
  <c r="D18" i="155" s="1"/>
  <c r="D147" i="157"/>
  <c r="E18" i="155" s="1"/>
  <c r="D144" i="159"/>
  <c r="F18" i="155" s="1"/>
  <c r="D127" i="160"/>
  <c r="G18" i="155" s="1"/>
  <c r="D126" i="161"/>
  <c r="H17" i="155" s="1"/>
  <c r="D161" i="154"/>
  <c r="D17" i="155" s="1"/>
  <c r="D146" i="157"/>
  <c r="E17" i="155" s="1"/>
  <c r="D143" i="159"/>
  <c r="F17" i="155" s="1"/>
  <c r="D126" i="160"/>
  <c r="G17" i="155" s="1"/>
  <c r="D125" i="161"/>
  <c r="H16" i="155" s="1"/>
  <c r="D145" i="157"/>
  <c r="E16" i="155" s="1"/>
  <c r="D142" i="159"/>
  <c r="F16" i="155" s="1"/>
  <c r="D125" i="160"/>
  <c r="G16" i="155" s="1"/>
  <c r="D15" i="76"/>
  <c r="E15" i="76"/>
  <c r="F15" i="76"/>
  <c r="G15" i="76"/>
  <c r="H15" i="76"/>
  <c r="I15" i="76"/>
  <c r="J15" i="76"/>
  <c r="K15" i="76"/>
  <c r="L15" i="76"/>
  <c r="M15" i="76"/>
  <c r="N15" i="76"/>
  <c r="O15" i="76"/>
  <c r="D15" i="92"/>
  <c r="E15" i="92"/>
  <c r="F15" i="92"/>
  <c r="G15" i="92"/>
  <c r="H15" i="92"/>
  <c r="I15" i="92"/>
  <c r="J15" i="92"/>
  <c r="K15" i="92"/>
  <c r="L15" i="92"/>
  <c r="M15" i="92"/>
  <c r="N15" i="92"/>
  <c r="O15" i="92"/>
  <c r="D15" i="106"/>
  <c r="E15" i="106"/>
  <c r="F15" i="106"/>
  <c r="H15" i="106"/>
  <c r="I15" i="106"/>
  <c r="J15" i="106"/>
  <c r="K15" i="106"/>
  <c r="L15" i="106"/>
  <c r="M15" i="106"/>
  <c r="N15" i="106"/>
  <c r="O15" i="106"/>
  <c r="D15" i="122"/>
  <c r="E15" i="122"/>
  <c r="F15" i="122"/>
  <c r="G15" i="122"/>
  <c r="H15" i="122"/>
  <c r="I15" i="122"/>
  <c r="J15" i="122"/>
  <c r="K15" i="122"/>
  <c r="L15" i="122"/>
  <c r="M15" i="122"/>
  <c r="N15" i="122"/>
  <c r="O15" i="122"/>
  <c r="D16" i="135"/>
  <c r="E16" i="135"/>
  <c r="F16" i="135"/>
  <c r="G16" i="135"/>
  <c r="H16" i="135"/>
  <c r="I16" i="135"/>
  <c r="J16" i="135"/>
  <c r="K16" i="135"/>
  <c r="D141" i="148"/>
  <c r="L16" i="135" s="1"/>
  <c r="D140" i="149"/>
  <c r="M16" i="135" s="1"/>
  <c r="D146" i="152"/>
  <c r="N16" i="135" s="1"/>
  <c r="D160" i="153"/>
  <c r="O16" i="135" s="1"/>
  <c r="D124" i="161"/>
  <c r="H15" i="155" s="1"/>
  <c r="D159" i="154"/>
  <c r="D15" i="155" s="1"/>
  <c r="D144" i="157"/>
  <c r="E15" i="155" s="1"/>
  <c r="D141" i="159"/>
  <c r="F15" i="155" s="1"/>
  <c r="D124" i="160"/>
  <c r="G15" i="155" s="1"/>
  <c r="D123" i="161"/>
  <c r="H14" i="155" s="1"/>
  <c r="D158" i="154"/>
  <c r="D14" i="155" s="1"/>
  <c r="D143" i="157"/>
  <c r="E14" i="155" s="1"/>
  <c r="D140" i="159"/>
  <c r="F14" i="155" s="1"/>
  <c r="D123" i="160"/>
  <c r="G14" i="155" s="1"/>
  <c r="D122" i="161"/>
  <c r="H13" i="155" s="1"/>
  <c r="D157" i="154"/>
  <c r="D13" i="155" s="1"/>
  <c r="D142" i="157"/>
  <c r="E13" i="155" s="1"/>
  <c r="D139" i="159"/>
  <c r="F13" i="155" s="1"/>
  <c r="D122" i="160"/>
  <c r="G13" i="155" s="1"/>
  <c r="D121" i="161"/>
  <c r="H12" i="155" s="1"/>
  <c r="D156" i="154"/>
  <c r="D12" i="155" s="1"/>
  <c r="D141" i="157"/>
  <c r="E12" i="155" s="1"/>
  <c r="D138" i="159"/>
  <c r="F12" i="155" s="1"/>
  <c r="D121" i="160"/>
  <c r="G12" i="155" s="1"/>
  <c r="D12" i="36"/>
  <c r="E12" i="36"/>
  <c r="F12" i="36"/>
  <c r="G12" i="36"/>
  <c r="H12" i="36"/>
  <c r="I12" i="36"/>
  <c r="J12" i="36"/>
  <c r="K12" i="36"/>
  <c r="L12" i="36"/>
  <c r="M12" i="36"/>
  <c r="N12" i="36"/>
  <c r="O12" i="36"/>
  <c r="D10" i="58"/>
  <c r="E10" i="58"/>
  <c r="F10" i="58"/>
  <c r="G10" i="58"/>
  <c r="H10" i="58"/>
  <c r="I10" i="58"/>
  <c r="J10" i="58"/>
  <c r="K10" i="58"/>
  <c r="L10" i="58"/>
  <c r="M10" i="58"/>
  <c r="N10" i="58"/>
  <c r="O10" i="58"/>
  <c r="I3" i="58"/>
  <c r="I4" i="58"/>
  <c r="I5" i="58"/>
  <c r="I6" i="58"/>
  <c r="I7" i="58"/>
  <c r="I8" i="58"/>
  <c r="I9" i="58"/>
  <c r="I11" i="58"/>
  <c r="I13" i="58"/>
  <c r="D10" i="76"/>
  <c r="E10" i="76"/>
  <c r="F10" i="76"/>
  <c r="G10" i="76"/>
  <c r="H10" i="76"/>
  <c r="I10" i="76"/>
  <c r="J10" i="76"/>
  <c r="K10" i="76"/>
  <c r="L10" i="76"/>
  <c r="M10" i="76"/>
  <c r="N10" i="76"/>
  <c r="O10" i="76"/>
  <c r="D11" i="92"/>
  <c r="E11" i="92"/>
  <c r="F11" i="92"/>
  <c r="G11" i="92"/>
  <c r="H11" i="92"/>
  <c r="I11" i="92"/>
  <c r="I3" i="92"/>
  <c r="I4" i="92"/>
  <c r="I5" i="92"/>
  <c r="I6" i="92"/>
  <c r="I7" i="92"/>
  <c r="I8" i="92"/>
  <c r="I9" i="92"/>
  <c r="I10" i="92"/>
  <c r="I12" i="92"/>
  <c r="I13" i="92"/>
  <c r="I14" i="92"/>
  <c r="J11" i="92"/>
  <c r="K11" i="92"/>
  <c r="L11" i="92"/>
  <c r="M11" i="92"/>
  <c r="N11" i="92"/>
  <c r="O11" i="92"/>
  <c r="D11" i="106"/>
  <c r="E11" i="106"/>
  <c r="F11" i="106"/>
  <c r="G11" i="106"/>
  <c r="H11" i="106"/>
  <c r="I11" i="106"/>
  <c r="J11" i="106"/>
  <c r="K11" i="106"/>
  <c r="L11" i="106"/>
  <c r="M11" i="106"/>
  <c r="N11" i="106"/>
  <c r="O11" i="106"/>
  <c r="D11" i="122"/>
  <c r="E11" i="122"/>
  <c r="F11" i="122"/>
  <c r="G11" i="122"/>
  <c r="H11" i="122"/>
  <c r="I11" i="122"/>
  <c r="J11" i="122"/>
  <c r="K11" i="122"/>
  <c r="L11" i="122"/>
  <c r="M11" i="122"/>
  <c r="N11" i="122"/>
  <c r="O11" i="122"/>
  <c r="D12" i="135"/>
  <c r="E12" i="135"/>
  <c r="F12" i="135"/>
  <c r="G12" i="135"/>
  <c r="H12" i="135"/>
  <c r="I12" i="135"/>
  <c r="J12" i="135"/>
  <c r="K12" i="135"/>
  <c r="D137" i="148"/>
  <c r="L12" i="135" s="1"/>
  <c r="D136" i="149"/>
  <c r="M12" i="135" s="1"/>
  <c r="D142" i="152"/>
  <c r="N12" i="135" s="1"/>
  <c r="D156" i="153"/>
  <c r="O12" i="135" s="1"/>
  <c r="D120" i="161"/>
  <c r="H11" i="155" s="1"/>
  <c r="D140" i="157"/>
  <c r="E11" i="155" s="1"/>
  <c r="D137" i="159"/>
  <c r="F11" i="155" s="1"/>
  <c r="D120" i="160"/>
  <c r="G11" i="155" s="1"/>
  <c r="D119" i="161"/>
  <c r="H10" i="155" s="1"/>
  <c r="D139" i="157"/>
  <c r="E10" i="155" s="1"/>
  <c r="D136" i="159"/>
  <c r="F10" i="155" s="1"/>
  <c r="D119" i="160"/>
  <c r="G10" i="155" s="1"/>
  <c r="D118" i="161"/>
  <c r="H9" i="155" s="1"/>
  <c r="D153" i="154"/>
  <c r="D9" i="155" s="1"/>
  <c r="D138" i="157"/>
  <c r="D135" i="159"/>
  <c r="F9" i="155" s="1"/>
  <c r="D118" i="160"/>
  <c r="G9" i="155" s="1"/>
  <c r="D117" i="161"/>
  <c r="H8" i="155" s="1"/>
  <c r="D152" i="154"/>
  <c r="D8" i="155" s="1"/>
  <c r="D137" i="157"/>
  <c r="E8" i="155" s="1"/>
  <c r="D134" i="159"/>
  <c r="F8" i="155" s="1"/>
  <c r="D117" i="160"/>
  <c r="G8" i="155" s="1"/>
  <c r="D116" i="161"/>
  <c r="D151" i="154"/>
  <c r="D7" i="155" s="1"/>
  <c r="D136" i="157"/>
  <c r="E7" i="155" s="1"/>
  <c r="D133" i="159"/>
  <c r="F7" i="155" s="1"/>
  <c r="D116" i="160"/>
  <c r="G7" i="155" s="1"/>
  <c r="D115" i="161"/>
  <c r="H6" i="155" s="1"/>
  <c r="D150" i="154"/>
  <c r="D6" i="155" s="1"/>
  <c r="D135" i="157"/>
  <c r="E6" i="155" s="1"/>
  <c r="D132" i="159"/>
  <c r="F6" i="155" s="1"/>
  <c r="D115" i="160"/>
  <c r="G6" i="155" s="1"/>
  <c r="D114" i="161"/>
  <c r="H5" i="155" s="1"/>
  <c r="D149" i="154"/>
  <c r="D5" i="155" s="1"/>
  <c r="D134" i="157"/>
  <c r="E5" i="155" s="1"/>
  <c r="D131" i="159"/>
  <c r="F5" i="155" s="1"/>
  <c r="D114" i="160"/>
  <c r="G5" i="155" s="1"/>
  <c r="D113" i="161"/>
  <c r="H4" i="155" s="1"/>
  <c r="D148" i="154"/>
  <c r="D4" i="155" s="1"/>
  <c r="D133" i="157"/>
  <c r="E4" i="155" s="1"/>
  <c r="D130" i="159"/>
  <c r="F4" i="155" s="1"/>
  <c r="D113" i="160"/>
  <c r="G4" i="155" s="1"/>
  <c r="D4" i="36"/>
  <c r="E4" i="36"/>
  <c r="F4" i="36"/>
  <c r="G4" i="36"/>
  <c r="H4" i="36"/>
  <c r="H3" i="36"/>
  <c r="H5" i="36"/>
  <c r="H6" i="36"/>
  <c r="H7" i="36"/>
  <c r="H8" i="36"/>
  <c r="H9" i="36"/>
  <c r="H10" i="36"/>
  <c r="H13" i="36"/>
  <c r="I4" i="36"/>
  <c r="J4" i="36"/>
  <c r="K4" i="36"/>
  <c r="L4" i="36"/>
  <c r="M4" i="36"/>
  <c r="N4" i="36"/>
  <c r="O4" i="36"/>
  <c r="D4" i="58"/>
  <c r="E4" i="58"/>
  <c r="F4" i="58"/>
  <c r="G4" i="58"/>
  <c r="H4" i="58"/>
  <c r="J4" i="58"/>
  <c r="K4" i="58"/>
  <c r="L4" i="58"/>
  <c r="M4" i="58"/>
  <c r="N4" i="58"/>
  <c r="O4" i="58"/>
  <c r="D4" i="76"/>
  <c r="E4" i="76"/>
  <c r="F4" i="76"/>
  <c r="G4" i="76"/>
  <c r="H4" i="76"/>
  <c r="H3" i="76"/>
  <c r="H5" i="76"/>
  <c r="H6" i="76"/>
  <c r="H7" i="76"/>
  <c r="H8" i="76"/>
  <c r="H9" i="76"/>
  <c r="H11" i="76"/>
  <c r="H13" i="76"/>
  <c r="H14" i="76"/>
  <c r="I4" i="76"/>
  <c r="I3" i="76"/>
  <c r="I5" i="76"/>
  <c r="I6" i="76"/>
  <c r="I7" i="76"/>
  <c r="I8" i="76"/>
  <c r="I9" i="76"/>
  <c r="I11" i="76"/>
  <c r="I13" i="76"/>
  <c r="I14" i="76"/>
  <c r="J4" i="76"/>
  <c r="K4" i="76"/>
  <c r="L4" i="76"/>
  <c r="M4" i="76"/>
  <c r="N4" i="76"/>
  <c r="O4" i="76"/>
  <c r="D4" i="92"/>
  <c r="D3" i="92"/>
  <c r="D5" i="92"/>
  <c r="D6" i="92"/>
  <c r="D7" i="92"/>
  <c r="D8" i="92"/>
  <c r="D9" i="92"/>
  <c r="C101" i="90"/>
  <c r="D10" i="92" s="1"/>
  <c r="D12" i="92"/>
  <c r="D13" i="92"/>
  <c r="D14" i="92"/>
  <c r="E4" i="92"/>
  <c r="F4" i="92"/>
  <c r="G4" i="92"/>
  <c r="H4" i="92"/>
  <c r="J4" i="92"/>
  <c r="K4" i="92"/>
  <c r="L4" i="92"/>
  <c r="M4" i="92"/>
  <c r="N4" i="92"/>
  <c r="O4" i="92"/>
  <c r="D4" i="106"/>
  <c r="E4" i="106"/>
  <c r="F4" i="106"/>
  <c r="G4" i="106"/>
  <c r="H4" i="106"/>
  <c r="I4" i="106"/>
  <c r="I3" i="106"/>
  <c r="I5" i="106"/>
  <c r="I6" i="106"/>
  <c r="I7" i="106"/>
  <c r="I8" i="106"/>
  <c r="I9" i="106"/>
  <c r="I10" i="106"/>
  <c r="I12" i="106"/>
  <c r="I13" i="106"/>
  <c r="I14" i="106"/>
  <c r="I16" i="106"/>
  <c r="I17" i="106"/>
  <c r="J4" i="106"/>
  <c r="K4" i="106"/>
  <c r="L4" i="106"/>
  <c r="M4" i="106"/>
  <c r="N4" i="106"/>
  <c r="O4" i="106"/>
  <c r="D4" i="122"/>
  <c r="E4" i="122"/>
  <c r="F4" i="122"/>
  <c r="G4" i="122"/>
  <c r="H4" i="122"/>
  <c r="I4" i="122"/>
  <c r="J4" i="122"/>
  <c r="K4" i="122"/>
  <c r="L4" i="122"/>
  <c r="M4" i="122"/>
  <c r="N4" i="122"/>
  <c r="O4" i="122"/>
  <c r="D4" i="135"/>
  <c r="E4" i="135"/>
  <c r="F4" i="135"/>
  <c r="G4" i="135"/>
  <c r="H4" i="135"/>
  <c r="I4" i="135"/>
  <c r="J4" i="135"/>
  <c r="K4" i="135"/>
  <c r="D129" i="148"/>
  <c r="D128" i="149"/>
  <c r="M4" i="135" s="1"/>
  <c r="D134" i="152"/>
  <c r="N4" i="135" s="1"/>
  <c r="D148" i="153"/>
  <c r="O4" i="135" s="1"/>
  <c r="D112" i="161"/>
  <c r="H3" i="155" s="1"/>
  <c r="J108" i="161"/>
  <c r="H108" i="161"/>
  <c r="F108" i="161"/>
  <c r="D112" i="160"/>
  <c r="G3" i="155" s="1"/>
  <c r="J108" i="160"/>
  <c r="H108" i="160"/>
  <c r="F108" i="160"/>
  <c r="R110" i="157"/>
  <c r="R111" i="157"/>
  <c r="D129" i="159"/>
  <c r="F3" i="155" s="1"/>
  <c r="J125" i="159"/>
  <c r="H125" i="159"/>
  <c r="F125" i="159"/>
  <c r="D132" i="157"/>
  <c r="E3" i="155" s="1"/>
  <c r="J128" i="157"/>
  <c r="H128" i="157"/>
  <c r="F128" i="157"/>
  <c r="N43" i="155"/>
  <c r="I43" i="155"/>
  <c r="H43" i="155"/>
  <c r="G43" i="155"/>
  <c r="F43" i="155"/>
  <c r="E43" i="155"/>
  <c r="D43" i="155"/>
  <c r="B42" i="155"/>
  <c r="B41" i="155"/>
  <c r="F37" i="155"/>
  <c r="E37" i="155"/>
  <c r="D37" i="155"/>
  <c r="B40" i="155"/>
  <c r="M43" i="155"/>
  <c r="F143" i="154"/>
  <c r="N35" i="135"/>
  <c r="D147" i="154"/>
  <c r="D3" i="155" s="1"/>
  <c r="J143" i="154"/>
  <c r="H143" i="154"/>
  <c r="D35" i="135"/>
  <c r="F143" i="153"/>
  <c r="D157" i="153"/>
  <c r="O13" i="135" s="1"/>
  <c r="D152" i="153"/>
  <c r="O8" i="135" s="1"/>
  <c r="D149" i="153"/>
  <c r="O5" i="135" s="1"/>
  <c r="D163" i="153"/>
  <c r="O19" i="135" s="1"/>
  <c r="D159" i="153"/>
  <c r="O15" i="135" s="1"/>
  <c r="D150" i="153"/>
  <c r="O6" i="135" s="1"/>
  <c r="D147" i="153"/>
  <c r="O3" i="135" s="1"/>
  <c r="D151" i="153"/>
  <c r="O7" i="135" s="1"/>
  <c r="D161" i="153"/>
  <c r="O17" i="135" s="1"/>
  <c r="F129" i="152"/>
  <c r="D140" i="152"/>
  <c r="N10" i="135" s="1"/>
  <c r="D162" i="153"/>
  <c r="O18" i="135" s="1"/>
  <c r="D158" i="153"/>
  <c r="O14" i="135" s="1"/>
  <c r="D155" i="153"/>
  <c r="O11" i="135" s="1"/>
  <c r="D154" i="153"/>
  <c r="O10" i="135" s="1"/>
  <c r="D153" i="153"/>
  <c r="O9" i="135" s="1"/>
  <c r="L143" i="153"/>
  <c r="J143" i="153"/>
  <c r="H143" i="153"/>
  <c r="E8" i="91"/>
  <c r="E9" i="91"/>
  <c r="E10" i="91"/>
  <c r="E11" i="91"/>
  <c r="E4" i="91"/>
  <c r="F5" i="135"/>
  <c r="G5" i="135"/>
  <c r="H5" i="135"/>
  <c r="I5" i="135"/>
  <c r="J5" i="135"/>
  <c r="K5" i="135"/>
  <c r="L129" i="152"/>
  <c r="K18" i="135"/>
  <c r="D133" i="152"/>
  <c r="N3" i="135" s="1"/>
  <c r="L123" i="149"/>
  <c r="M5" i="149"/>
  <c r="M123" i="149" s="1"/>
  <c r="D149" i="152"/>
  <c r="N19" i="135" s="1"/>
  <c r="D148" i="152"/>
  <c r="N18" i="135" s="1"/>
  <c r="D147" i="152"/>
  <c r="N17" i="135" s="1"/>
  <c r="D145" i="152"/>
  <c r="N15" i="135" s="1"/>
  <c r="D144" i="152"/>
  <c r="N14" i="135" s="1"/>
  <c r="D143" i="152"/>
  <c r="N13" i="135" s="1"/>
  <c r="D141" i="152"/>
  <c r="N11" i="135" s="1"/>
  <c r="D139" i="152"/>
  <c r="N9" i="135" s="1"/>
  <c r="D138" i="152"/>
  <c r="D137" i="152"/>
  <c r="N7" i="135" s="1"/>
  <c r="D136" i="152"/>
  <c r="N6" i="135" s="1"/>
  <c r="D135" i="152"/>
  <c r="N5" i="135" s="1"/>
  <c r="J129" i="152"/>
  <c r="H129" i="152"/>
  <c r="E111" i="115"/>
  <c r="E114" i="115" s="1"/>
  <c r="B114" i="115"/>
  <c r="K114" i="115"/>
  <c r="J114" i="115"/>
  <c r="C114" i="115"/>
  <c r="D127" i="149"/>
  <c r="M3" i="135" s="1"/>
  <c r="D133" i="149"/>
  <c r="M9" i="135" s="1"/>
  <c r="D131" i="149"/>
  <c r="M7" i="135" s="1"/>
  <c r="D130" i="149"/>
  <c r="M6" i="135" s="1"/>
  <c r="F123" i="149"/>
  <c r="D129" i="149"/>
  <c r="M5" i="135" s="1"/>
  <c r="F124" i="148"/>
  <c r="F41" i="135"/>
  <c r="J123" i="149"/>
  <c r="H123" i="149"/>
  <c r="D141" i="149"/>
  <c r="M17" i="135" s="1"/>
  <c r="D134" i="149"/>
  <c r="M10" i="135" s="1"/>
  <c r="D138" i="149"/>
  <c r="M14" i="135" s="1"/>
  <c r="D142" i="149"/>
  <c r="M18" i="135" s="1"/>
  <c r="D135" i="149"/>
  <c r="M11" i="135" s="1"/>
  <c r="D132" i="149"/>
  <c r="M8" i="135" s="1"/>
  <c r="D137" i="149"/>
  <c r="M13" i="135" s="1"/>
  <c r="D139" i="149"/>
  <c r="M15" i="135" s="1"/>
  <c r="D143" i="149"/>
  <c r="M19" i="135" s="1"/>
  <c r="D143" i="148"/>
  <c r="L18" i="135" s="1"/>
  <c r="D135" i="148"/>
  <c r="L10" i="135" s="1"/>
  <c r="D136" i="148"/>
  <c r="L11" i="135" s="1"/>
  <c r="L7" i="135"/>
  <c r="D134" i="148"/>
  <c r="L9" i="135" s="1"/>
  <c r="D128" i="148"/>
  <c r="L3" i="135" s="1"/>
  <c r="D139" i="148"/>
  <c r="L14" i="135" s="1"/>
  <c r="D130" i="148"/>
  <c r="L5" i="135" s="1"/>
  <c r="D133" i="148"/>
  <c r="L8" i="135" s="1"/>
  <c r="D138" i="148"/>
  <c r="L13" i="135" s="1"/>
  <c r="D142" i="148"/>
  <c r="L17" i="135" s="1"/>
  <c r="D131" i="148"/>
  <c r="L6" i="135" s="1"/>
  <c r="D140" i="148"/>
  <c r="L15" i="135" s="1"/>
  <c r="D144" i="148"/>
  <c r="L19" i="135" s="1"/>
  <c r="E216" i="115"/>
  <c r="M216" i="115" s="1"/>
  <c r="O216" i="115" s="1"/>
  <c r="J124" i="148"/>
  <c r="H124" i="148"/>
  <c r="K17" i="135"/>
  <c r="H141" i="146"/>
  <c r="C141" i="146" s="1"/>
  <c r="K6" i="135"/>
  <c r="K7" i="135"/>
  <c r="K8" i="135"/>
  <c r="K9" i="135"/>
  <c r="K10" i="135"/>
  <c r="K11" i="135"/>
  <c r="K13" i="135"/>
  <c r="K14" i="135"/>
  <c r="K15" i="135"/>
  <c r="K19" i="135"/>
  <c r="K3" i="135"/>
  <c r="J3" i="135"/>
  <c r="H146" i="145"/>
  <c r="C146" i="145" s="1"/>
  <c r="J119" i="146"/>
  <c r="H119" i="146"/>
  <c r="F119" i="146"/>
  <c r="J8" i="135"/>
  <c r="E35" i="135"/>
  <c r="C41" i="135"/>
  <c r="J7" i="135"/>
  <c r="J9" i="135"/>
  <c r="F125" i="145"/>
  <c r="D17" i="122"/>
  <c r="J14" i="135"/>
  <c r="D14" i="135"/>
  <c r="E14" i="135"/>
  <c r="F14" i="135"/>
  <c r="G14" i="135"/>
  <c r="H14" i="135"/>
  <c r="I14" i="135"/>
  <c r="D19" i="135"/>
  <c r="J6" i="135"/>
  <c r="J10" i="135"/>
  <c r="J11" i="135"/>
  <c r="J13" i="135"/>
  <c r="J15" i="135"/>
  <c r="J17" i="135"/>
  <c r="J19" i="135"/>
  <c r="F116" i="144"/>
  <c r="J125" i="145"/>
  <c r="H125" i="145"/>
  <c r="I6" i="135"/>
  <c r="I7" i="135"/>
  <c r="I8" i="135"/>
  <c r="I9" i="135"/>
  <c r="I10" i="135"/>
  <c r="I11" i="135"/>
  <c r="I13" i="135"/>
  <c r="I15" i="135"/>
  <c r="I17" i="135"/>
  <c r="I19" i="135"/>
  <c r="I3" i="135"/>
  <c r="H3" i="135"/>
  <c r="F130" i="141"/>
  <c r="Q37" i="141"/>
  <c r="H151" i="141"/>
  <c r="C151" i="141" s="1"/>
  <c r="P37" i="141"/>
  <c r="D7" i="122"/>
  <c r="E7" i="122"/>
  <c r="F7" i="122"/>
  <c r="G7" i="122"/>
  <c r="H7" i="122"/>
  <c r="I7" i="122"/>
  <c r="J7" i="122"/>
  <c r="K7" i="122"/>
  <c r="L7" i="122"/>
  <c r="M7" i="122"/>
  <c r="N7" i="122"/>
  <c r="O7" i="122"/>
  <c r="K40" i="122"/>
  <c r="K48" i="122" s="1"/>
  <c r="H40" i="122"/>
  <c r="H48" i="122" s="1"/>
  <c r="H137" i="144"/>
  <c r="C137" i="144" s="1"/>
  <c r="J116" i="144"/>
  <c r="H116" i="144"/>
  <c r="G15" i="135"/>
  <c r="G17" i="135"/>
  <c r="G19" i="135"/>
  <c r="H6" i="135"/>
  <c r="H7" i="135"/>
  <c r="H8" i="135"/>
  <c r="H9" i="135"/>
  <c r="H10" i="135"/>
  <c r="H11" i="135"/>
  <c r="H13" i="135"/>
  <c r="H15" i="135"/>
  <c r="H17" i="135"/>
  <c r="H19" i="135"/>
  <c r="D8" i="135"/>
  <c r="J130" i="141"/>
  <c r="H130" i="141"/>
  <c r="G6" i="135"/>
  <c r="G7" i="135"/>
  <c r="G8" i="135"/>
  <c r="E8" i="135"/>
  <c r="F8" i="135"/>
  <c r="G9" i="135"/>
  <c r="G10" i="135"/>
  <c r="G11" i="135"/>
  <c r="G13" i="135"/>
  <c r="G3" i="135"/>
  <c r="H132" i="140"/>
  <c r="C132" i="140" s="1"/>
  <c r="J111" i="140"/>
  <c r="H111" i="140"/>
  <c r="F111" i="140"/>
  <c r="E3" i="135"/>
  <c r="F11" i="135"/>
  <c r="F6" i="135"/>
  <c r="F3" i="135"/>
  <c r="F7" i="135"/>
  <c r="F9" i="135"/>
  <c r="F10" i="135"/>
  <c r="F13" i="135"/>
  <c r="F15" i="135"/>
  <c r="F17" i="135"/>
  <c r="F19" i="135"/>
  <c r="H140" i="139"/>
  <c r="C140" i="139" s="1"/>
  <c r="J119" i="139"/>
  <c r="H119" i="139"/>
  <c r="F119" i="139"/>
  <c r="G85" i="115"/>
  <c r="L90" i="115"/>
  <c r="I90" i="115" s="1"/>
  <c r="M90" i="115" s="1"/>
  <c r="O90" i="115" s="1"/>
  <c r="L83" i="115"/>
  <c r="I83" i="115" s="1"/>
  <c r="M83" i="115" s="1"/>
  <c r="O83" i="115" s="1"/>
  <c r="L84" i="115"/>
  <c r="L85" i="115"/>
  <c r="L86" i="115"/>
  <c r="N86" i="115" s="1"/>
  <c r="L87" i="115"/>
  <c r="N87" i="115" s="1"/>
  <c r="L88" i="115"/>
  <c r="N88" i="115" s="1"/>
  <c r="L89" i="115"/>
  <c r="K92" i="115"/>
  <c r="J92" i="115"/>
  <c r="B92" i="115"/>
  <c r="D92" i="115"/>
  <c r="E7" i="135"/>
  <c r="E9" i="135"/>
  <c r="E10" i="135"/>
  <c r="E13" i="135"/>
  <c r="E15" i="135"/>
  <c r="E17" i="135"/>
  <c r="E19" i="135"/>
  <c r="E6" i="135"/>
  <c r="J115" i="136"/>
  <c r="D3" i="135"/>
  <c r="O9" i="76"/>
  <c r="D3" i="122"/>
  <c r="H135" i="136"/>
  <c r="H137" i="136" s="1"/>
  <c r="H115" i="136"/>
  <c r="F115" i="136"/>
  <c r="H141" i="134"/>
  <c r="C141" i="134" s="1"/>
  <c r="D6" i="135"/>
  <c r="D7" i="135"/>
  <c r="D9" i="135"/>
  <c r="D10" i="135"/>
  <c r="D11" i="135"/>
  <c r="D13" i="135"/>
  <c r="D15" i="135"/>
  <c r="D17" i="135"/>
  <c r="N53" i="135"/>
  <c r="M53" i="135"/>
  <c r="L53" i="135"/>
  <c r="K53" i="135"/>
  <c r="J53" i="135"/>
  <c r="I53" i="135"/>
  <c r="H53" i="135"/>
  <c r="G53" i="135"/>
  <c r="E53" i="135"/>
  <c r="D53" i="135"/>
  <c r="B52" i="135"/>
  <c r="B51" i="135"/>
  <c r="B50" i="135"/>
  <c r="B49" i="135"/>
  <c r="B48" i="135"/>
  <c r="B47" i="135"/>
  <c r="B46" i="135"/>
  <c r="F53" i="135"/>
  <c r="N41" i="135"/>
  <c r="L41" i="135"/>
  <c r="K41" i="135"/>
  <c r="J41" i="135"/>
  <c r="I41" i="135"/>
  <c r="H41" i="135"/>
  <c r="G41" i="135"/>
  <c r="E41" i="135"/>
  <c r="D41" i="135"/>
  <c r="B40" i="135"/>
  <c r="B39" i="135"/>
  <c r="M35" i="135"/>
  <c r="M38" i="135" s="1"/>
  <c r="B38" i="135" s="1"/>
  <c r="L35" i="135"/>
  <c r="K35" i="135"/>
  <c r="J35" i="135"/>
  <c r="I35" i="135"/>
  <c r="H35" i="135"/>
  <c r="G35" i="135"/>
  <c r="F35" i="135"/>
  <c r="C35" i="135"/>
  <c r="B30" i="135"/>
  <c r="B45" i="135"/>
  <c r="C53" i="135"/>
  <c r="H121" i="134"/>
  <c r="F121" i="134"/>
  <c r="H154" i="133"/>
  <c r="C154" i="133" s="1"/>
  <c r="O5" i="122"/>
  <c r="O6" i="122"/>
  <c r="O8" i="122"/>
  <c r="O9" i="122"/>
  <c r="O10" i="122"/>
  <c r="O3" i="122"/>
  <c r="O12" i="122"/>
  <c r="O13" i="122"/>
  <c r="O14" i="122"/>
  <c r="O16" i="122"/>
  <c r="O17" i="122"/>
  <c r="N3" i="122"/>
  <c r="N5" i="122"/>
  <c r="N6" i="122"/>
  <c r="N8" i="122"/>
  <c r="N9" i="122"/>
  <c r="N10" i="122"/>
  <c r="N12" i="122"/>
  <c r="N13" i="122"/>
  <c r="N14" i="122"/>
  <c r="N16" i="122"/>
  <c r="N17" i="122"/>
  <c r="H134" i="133"/>
  <c r="F134" i="133"/>
  <c r="F109" i="131"/>
  <c r="H109" i="131"/>
  <c r="H126" i="132"/>
  <c r="C126" i="132" s="1"/>
  <c r="H106" i="132"/>
  <c r="F106" i="132"/>
  <c r="M17" i="122"/>
  <c r="D48" i="122"/>
  <c r="E48" i="122"/>
  <c r="G48" i="122"/>
  <c r="I48" i="122"/>
  <c r="J48" i="122"/>
  <c r="L48" i="122"/>
  <c r="M48" i="122"/>
  <c r="N48" i="122"/>
  <c r="B43" i="122"/>
  <c r="M5" i="122"/>
  <c r="M6" i="122"/>
  <c r="M8" i="122"/>
  <c r="M9" i="122"/>
  <c r="M10" i="122"/>
  <c r="M12" i="122"/>
  <c r="M13" i="122"/>
  <c r="M14" i="122"/>
  <c r="M16" i="122"/>
  <c r="M3" i="122"/>
  <c r="H129" i="131"/>
  <c r="C129" i="131" s="1"/>
  <c r="L5" i="122"/>
  <c r="L6" i="122"/>
  <c r="L8" i="122"/>
  <c r="L9" i="122"/>
  <c r="L10" i="122"/>
  <c r="L12" i="122"/>
  <c r="L13" i="122"/>
  <c r="L14" i="122"/>
  <c r="L16" i="122"/>
  <c r="L17" i="122"/>
  <c r="L3" i="122"/>
  <c r="H136" i="130"/>
  <c r="C136" i="130" s="1"/>
  <c r="H116" i="130"/>
  <c r="F116" i="130"/>
  <c r="B123" i="91"/>
  <c r="B125" i="91" s="1"/>
  <c r="B131" i="91"/>
  <c r="B133" i="91" s="1"/>
  <c r="K5" i="122"/>
  <c r="K6" i="122"/>
  <c r="K8" i="122"/>
  <c r="K9" i="122"/>
  <c r="K10" i="122"/>
  <c r="K12" i="122"/>
  <c r="K13" i="122"/>
  <c r="K14" i="122"/>
  <c r="K16" i="122"/>
  <c r="K17" i="122"/>
  <c r="K3" i="122"/>
  <c r="H139" i="129"/>
  <c r="C139" i="129" s="1"/>
  <c r="H119" i="129"/>
  <c r="F119" i="129"/>
  <c r="M215" i="115"/>
  <c r="J215" i="115" s="1"/>
  <c r="N215" i="115" s="1"/>
  <c r="J5" i="122"/>
  <c r="J6" i="122"/>
  <c r="J8" i="122"/>
  <c r="J9" i="122"/>
  <c r="J10" i="122"/>
  <c r="J12" i="122"/>
  <c r="J13" i="122"/>
  <c r="J14" i="122"/>
  <c r="J16" i="122"/>
  <c r="J17" i="122"/>
  <c r="J3" i="122"/>
  <c r="H138" i="128"/>
  <c r="C138" i="128" s="1"/>
  <c r="H118" i="128"/>
  <c r="F118" i="128"/>
  <c r="I3" i="122"/>
  <c r="I5" i="122"/>
  <c r="I6" i="122"/>
  <c r="I8" i="122"/>
  <c r="I9" i="122"/>
  <c r="I10" i="122"/>
  <c r="I12" i="122"/>
  <c r="I13" i="122"/>
  <c r="I14" i="122"/>
  <c r="I16" i="122"/>
  <c r="I17" i="122"/>
  <c r="H13" i="122"/>
  <c r="H134" i="127"/>
  <c r="C134" i="127" s="1"/>
  <c r="H114" i="127"/>
  <c r="F114" i="127"/>
  <c r="H135" i="126"/>
  <c r="C135" i="126" s="1"/>
  <c r="G27" i="122"/>
  <c r="H6" i="122"/>
  <c r="F40" i="122"/>
  <c r="F48" i="122" s="1"/>
  <c r="F34" i="122"/>
  <c r="F36" i="122" s="1"/>
  <c r="H5" i="122"/>
  <c r="H8" i="122"/>
  <c r="H9" i="122"/>
  <c r="H10" i="122"/>
  <c r="H12" i="122"/>
  <c r="D12" i="122"/>
  <c r="E12" i="122"/>
  <c r="F12" i="122"/>
  <c r="G12" i="122"/>
  <c r="H14" i="122"/>
  <c r="H16" i="122"/>
  <c r="H17" i="122"/>
  <c r="H3" i="122"/>
  <c r="D372" i="4"/>
  <c r="C372" i="4"/>
  <c r="D364" i="4"/>
  <c r="D365" i="4" s="1"/>
  <c r="D366" i="4" s="1"/>
  <c r="D367" i="4" s="1"/>
  <c r="D368" i="4" s="1"/>
  <c r="D369" i="4" s="1"/>
  <c r="D370" i="4" s="1"/>
  <c r="D371" i="4" s="1"/>
  <c r="H139" i="125"/>
  <c r="C139" i="125" s="1"/>
  <c r="B138" i="91"/>
  <c r="B140" i="91" s="1"/>
  <c r="H115" i="126"/>
  <c r="F115" i="126"/>
  <c r="B123" i="4"/>
  <c r="B126" i="4" s="1"/>
  <c r="G8" i="122"/>
  <c r="G9" i="122"/>
  <c r="G10" i="122"/>
  <c r="G13" i="122"/>
  <c r="G14" i="122"/>
  <c r="D14" i="122"/>
  <c r="E14" i="122"/>
  <c r="F14" i="122"/>
  <c r="G16" i="122"/>
  <c r="G17" i="122"/>
  <c r="G5" i="122"/>
  <c r="G3" i="122"/>
  <c r="G6" i="122"/>
  <c r="H130" i="124"/>
  <c r="C130" i="124" s="1"/>
  <c r="F3" i="122"/>
  <c r="F5" i="122"/>
  <c r="D5" i="122"/>
  <c r="E5" i="122"/>
  <c r="F6" i="122"/>
  <c r="F8" i="122"/>
  <c r="F9" i="122"/>
  <c r="F10" i="122"/>
  <c r="F13" i="122"/>
  <c r="F16" i="122"/>
  <c r="F17" i="122"/>
  <c r="E17" i="122"/>
  <c r="H119" i="125"/>
  <c r="F119" i="125"/>
  <c r="C40" i="122"/>
  <c r="B377" i="4"/>
  <c r="B378" i="4" s="1"/>
  <c r="C382" i="4" s="1"/>
  <c r="H110" i="124"/>
  <c r="F110" i="124"/>
  <c r="C34" i="122"/>
  <c r="C36" i="122" s="1"/>
  <c r="E6" i="122"/>
  <c r="E8" i="122"/>
  <c r="E9" i="122"/>
  <c r="E10" i="122"/>
  <c r="K11" i="43" s="1"/>
  <c r="E13" i="122"/>
  <c r="E16" i="122"/>
  <c r="E3" i="122"/>
  <c r="H108" i="123"/>
  <c r="C108" i="123" s="1"/>
  <c r="H88" i="123"/>
  <c r="F88" i="123"/>
  <c r="H134" i="121"/>
  <c r="C134" i="121" s="1"/>
  <c r="F10" i="106"/>
  <c r="D10" i="106"/>
  <c r="E10" i="106"/>
  <c r="G10" i="106"/>
  <c r="H10" i="106"/>
  <c r="J10" i="106"/>
  <c r="K10" i="106"/>
  <c r="L10" i="106"/>
  <c r="M10" i="106"/>
  <c r="N10" i="106"/>
  <c r="O10" i="106"/>
  <c r="B133" i="4"/>
  <c r="B136" i="4" s="1"/>
  <c r="D6" i="122"/>
  <c r="D8" i="122"/>
  <c r="D9" i="122"/>
  <c r="D10" i="122"/>
  <c r="D13" i="122"/>
  <c r="D16" i="122"/>
  <c r="B47" i="122"/>
  <c r="B46" i="122"/>
  <c r="B45" i="122"/>
  <c r="B44" i="122"/>
  <c r="B42" i="122"/>
  <c r="B41" i="122"/>
  <c r="N36" i="122"/>
  <c r="L36" i="122"/>
  <c r="K36" i="122"/>
  <c r="J36" i="122"/>
  <c r="I36" i="122"/>
  <c r="H36" i="122"/>
  <c r="G36" i="122"/>
  <c r="E36" i="122"/>
  <c r="D36" i="122"/>
  <c r="B35" i="122"/>
  <c r="N31" i="122"/>
  <c r="M31" i="122"/>
  <c r="L31" i="122"/>
  <c r="K31" i="122"/>
  <c r="J31" i="122"/>
  <c r="I31" i="122"/>
  <c r="H31" i="122"/>
  <c r="F31" i="122"/>
  <c r="E31" i="122"/>
  <c r="D31" i="122"/>
  <c r="C31" i="122"/>
  <c r="B29" i="122"/>
  <c r="B28" i="122"/>
  <c r="M36" i="122"/>
  <c r="H114" i="121"/>
  <c r="F114" i="121"/>
  <c r="K114" i="114"/>
  <c r="J114" i="114"/>
  <c r="H107" i="94"/>
  <c r="G107" i="94"/>
  <c r="G105" i="95"/>
  <c r="G92" i="96"/>
  <c r="G103" i="97"/>
  <c r="G108" i="98"/>
  <c r="G105" i="100"/>
  <c r="G106" i="101"/>
  <c r="G110" i="102"/>
  <c r="G113" i="103"/>
  <c r="G113" i="104"/>
  <c r="H111" i="105"/>
  <c r="H108" i="107"/>
  <c r="H113" i="108"/>
  <c r="H105" i="109"/>
  <c r="H114" i="110"/>
  <c r="H113" i="112"/>
  <c r="H113" i="113"/>
  <c r="H114" i="114"/>
  <c r="H114" i="116"/>
  <c r="H127" i="117"/>
  <c r="H109" i="119"/>
  <c r="H128" i="120"/>
  <c r="F89" i="57"/>
  <c r="E89" i="57"/>
  <c r="E83" i="59"/>
  <c r="E94" i="60"/>
  <c r="E101" i="61"/>
  <c r="E90" i="62"/>
  <c r="E107" i="65"/>
  <c r="E104" i="66"/>
  <c r="E99" i="67"/>
  <c r="E87" i="68"/>
  <c r="E97" i="71"/>
  <c r="E90" i="72"/>
  <c r="E119" i="74"/>
  <c r="E110" i="75"/>
  <c r="E97" i="77"/>
  <c r="E93" i="78"/>
  <c r="E94" i="79"/>
  <c r="E115" i="80"/>
  <c r="E107" i="81"/>
  <c r="E102" i="83"/>
  <c r="E104" i="84"/>
  <c r="E107" i="85"/>
  <c r="E115" i="86"/>
  <c r="E104" i="87"/>
  <c r="E103" i="89"/>
  <c r="E91" i="90"/>
  <c r="E94" i="93"/>
  <c r="E107" i="94"/>
  <c r="E105" i="95"/>
  <c r="E92" i="96"/>
  <c r="E103" i="97"/>
  <c r="E108" i="98"/>
  <c r="E105" i="100"/>
  <c r="E106" i="101"/>
  <c r="E110" i="102"/>
  <c r="E113" i="103"/>
  <c r="E113" i="104"/>
  <c r="F111" i="105"/>
  <c r="F108" i="107"/>
  <c r="F113" i="108"/>
  <c r="F105" i="109"/>
  <c r="F114" i="110"/>
  <c r="F113" i="112"/>
  <c r="F113" i="113"/>
  <c r="F114" i="114"/>
  <c r="F114" i="116"/>
  <c r="F127" i="117"/>
  <c r="F109" i="119"/>
  <c r="M42" i="106"/>
  <c r="B42" i="106" s="1"/>
  <c r="O5" i="106"/>
  <c r="O6" i="106"/>
  <c r="O7" i="106"/>
  <c r="O8" i="106"/>
  <c r="O9" i="106"/>
  <c r="O3" i="106"/>
  <c r="O12" i="106"/>
  <c r="O13" i="106"/>
  <c r="O14" i="106"/>
  <c r="O16" i="106"/>
  <c r="O17" i="106"/>
  <c r="N3" i="106"/>
  <c r="C148" i="120"/>
  <c r="F128" i="120"/>
  <c r="B141" i="4"/>
  <c r="B145" i="4" s="1"/>
  <c r="A58" i="92" s="1"/>
  <c r="N5" i="106"/>
  <c r="N6" i="106"/>
  <c r="N7" i="106"/>
  <c r="D7" i="106"/>
  <c r="E7" i="106"/>
  <c r="F7" i="106"/>
  <c r="F3" i="106"/>
  <c r="F5" i="106"/>
  <c r="F6" i="106"/>
  <c r="F8" i="106"/>
  <c r="F9" i="106"/>
  <c r="F12" i="106"/>
  <c r="F13" i="106"/>
  <c r="F14" i="106"/>
  <c r="F16" i="106"/>
  <c r="F17" i="106"/>
  <c r="G7" i="106"/>
  <c r="H7" i="106"/>
  <c r="J7" i="106"/>
  <c r="K7" i="106"/>
  <c r="L7" i="106"/>
  <c r="M7" i="106"/>
  <c r="N8" i="106"/>
  <c r="N9" i="106"/>
  <c r="N12" i="106"/>
  <c r="N13" i="106"/>
  <c r="N14" i="106"/>
  <c r="N16" i="106"/>
  <c r="N17" i="106"/>
  <c r="C129" i="119"/>
  <c r="M9" i="106"/>
  <c r="J9" i="106"/>
  <c r="D9" i="106"/>
  <c r="E9" i="106"/>
  <c r="G9" i="106"/>
  <c r="H9" i="106"/>
  <c r="K9" i="106"/>
  <c r="L9" i="106"/>
  <c r="M3" i="106"/>
  <c r="M5" i="106"/>
  <c r="M6" i="106"/>
  <c r="M8" i="106"/>
  <c r="M12" i="106"/>
  <c r="M13" i="106"/>
  <c r="M14" i="106"/>
  <c r="D14" i="106"/>
  <c r="E14" i="106"/>
  <c r="G14" i="106"/>
  <c r="H14" i="106"/>
  <c r="J14" i="106"/>
  <c r="K14" i="106"/>
  <c r="L14" i="106"/>
  <c r="K3" i="106"/>
  <c r="K5" i="106"/>
  <c r="K6" i="106"/>
  <c r="K8" i="106"/>
  <c r="K12" i="106"/>
  <c r="K13" i="106"/>
  <c r="K16" i="106"/>
  <c r="K17" i="106"/>
  <c r="M16" i="106"/>
  <c r="M17" i="106"/>
  <c r="D13" i="106"/>
  <c r="E13" i="106"/>
  <c r="G13" i="106"/>
  <c r="H13" i="106"/>
  <c r="J13" i="106"/>
  <c r="L13" i="106"/>
  <c r="O3" i="92"/>
  <c r="C147" i="117"/>
  <c r="L5" i="106"/>
  <c r="L6" i="106"/>
  <c r="L3" i="106"/>
  <c r="L8" i="106"/>
  <c r="L12" i="106"/>
  <c r="L16" i="106"/>
  <c r="L17" i="106"/>
  <c r="C134" i="116"/>
  <c r="B176" i="91"/>
  <c r="E175" i="91"/>
  <c r="E174" i="91"/>
  <c r="E173" i="91"/>
  <c r="E172" i="91"/>
  <c r="E171" i="91"/>
  <c r="E170" i="91"/>
  <c r="E169" i="91"/>
  <c r="D168" i="91"/>
  <c r="E168" i="91" s="1"/>
  <c r="D167" i="91"/>
  <c r="E167" i="91" s="1"/>
  <c r="D166" i="91"/>
  <c r="E166" i="91" s="1"/>
  <c r="E165" i="91"/>
  <c r="C134" i="114"/>
  <c r="K114" i="113"/>
  <c r="J3" i="106"/>
  <c r="J5" i="106"/>
  <c r="J6" i="106"/>
  <c r="J8" i="106"/>
  <c r="J12" i="106"/>
  <c r="D12" i="106"/>
  <c r="E12" i="106"/>
  <c r="G12" i="106"/>
  <c r="H12" i="106"/>
  <c r="J16" i="106"/>
  <c r="J17" i="106"/>
  <c r="D12" i="91"/>
  <c r="D14" i="58"/>
  <c r="G14" i="58"/>
  <c r="J14" i="58"/>
  <c r="K14" i="58"/>
  <c r="L14" i="58"/>
  <c r="M14" i="58"/>
  <c r="N14" i="58"/>
  <c r="O14" i="58"/>
  <c r="C133" i="113"/>
  <c r="C133" i="112"/>
  <c r="H17" i="106"/>
  <c r="H16" i="106"/>
  <c r="G17" i="106"/>
  <c r="G16" i="106"/>
  <c r="E17" i="106"/>
  <c r="E16" i="106"/>
  <c r="D17" i="106"/>
  <c r="D16" i="106"/>
  <c r="D3" i="106"/>
  <c r="H8" i="106"/>
  <c r="H6" i="106"/>
  <c r="H5" i="106"/>
  <c r="H3" i="106"/>
  <c r="G3" i="106"/>
  <c r="C134" i="110"/>
  <c r="G5" i="106"/>
  <c r="G6" i="106"/>
  <c r="G8" i="106"/>
  <c r="B12" i="91"/>
  <c r="C125" i="109"/>
  <c r="D9" i="36"/>
  <c r="E9" i="36"/>
  <c r="F9" i="36"/>
  <c r="G9" i="36"/>
  <c r="I9" i="36"/>
  <c r="J9" i="36"/>
  <c r="K9" i="36"/>
  <c r="L9" i="36"/>
  <c r="M9" i="36"/>
  <c r="N9" i="36"/>
  <c r="O9" i="36"/>
  <c r="G3" i="36"/>
  <c r="G5" i="36"/>
  <c r="G6" i="36"/>
  <c r="G7" i="36"/>
  <c r="G8" i="36"/>
  <c r="G10" i="36"/>
  <c r="G13" i="36"/>
  <c r="C133" i="108"/>
  <c r="E8" i="106"/>
  <c r="D8" i="106"/>
  <c r="E6" i="106"/>
  <c r="E3" i="106"/>
  <c r="E5" i="106"/>
  <c r="C128" i="107"/>
  <c r="D6" i="106"/>
  <c r="D5" i="106"/>
  <c r="B54" i="106"/>
  <c r="B53" i="106"/>
  <c r="B52" i="106"/>
  <c r="B51" i="106"/>
  <c r="B50" i="106"/>
  <c r="B49" i="106"/>
  <c r="B48" i="106"/>
  <c r="B47" i="106"/>
  <c r="N43" i="106"/>
  <c r="L43" i="106"/>
  <c r="K43" i="106"/>
  <c r="J43" i="106"/>
  <c r="I43" i="106"/>
  <c r="H43" i="106"/>
  <c r="G43" i="106"/>
  <c r="F43" i="106"/>
  <c r="E43" i="106"/>
  <c r="D43" i="106"/>
  <c r="C43" i="106"/>
  <c r="B41" i="106"/>
  <c r="B40" i="106"/>
  <c r="N37" i="106"/>
  <c r="M37" i="106"/>
  <c r="L37" i="106"/>
  <c r="K37" i="106"/>
  <c r="J37" i="106"/>
  <c r="I37" i="106"/>
  <c r="H37" i="106"/>
  <c r="G37" i="106"/>
  <c r="F37" i="106"/>
  <c r="E37" i="106"/>
  <c r="D37" i="106"/>
  <c r="C37" i="106"/>
  <c r="B36" i="106"/>
  <c r="B35" i="106"/>
  <c r="B34" i="106"/>
  <c r="B33" i="106"/>
  <c r="B32" i="106"/>
  <c r="C132" i="105"/>
  <c r="N37" i="92"/>
  <c r="O14" i="92"/>
  <c r="O13" i="92"/>
  <c r="O12" i="92"/>
  <c r="O10" i="92"/>
  <c r="O9" i="92"/>
  <c r="O8" i="92"/>
  <c r="O5" i="92"/>
  <c r="O6" i="92"/>
  <c r="O7" i="92"/>
  <c r="B42" i="92"/>
  <c r="B41" i="92"/>
  <c r="B114" i="91"/>
  <c r="B116" i="91" s="1"/>
  <c r="N9" i="92"/>
  <c r="N10" i="92"/>
  <c r="B36" i="92"/>
  <c r="B35" i="92"/>
  <c r="B34" i="92"/>
  <c r="B32" i="92"/>
  <c r="B33" i="92"/>
  <c r="D37" i="92"/>
  <c r="E37" i="92"/>
  <c r="F37" i="92"/>
  <c r="G37" i="92"/>
  <c r="H37" i="92"/>
  <c r="I37" i="92"/>
  <c r="J37" i="92"/>
  <c r="K37" i="92"/>
  <c r="L37" i="92"/>
  <c r="M37" i="92"/>
  <c r="C37" i="92"/>
  <c r="C130" i="104"/>
  <c r="B98" i="91"/>
  <c r="B100" i="91" s="1"/>
  <c r="E9" i="92"/>
  <c r="N14" i="92"/>
  <c r="N13" i="92"/>
  <c r="N12" i="92"/>
  <c r="N8" i="92"/>
  <c r="N7" i="92"/>
  <c r="N6" i="92"/>
  <c r="N5" i="92"/>
  <c r="N3" i="92"/>
  <c r="H7" i="92"/>
  <c r="C127" i="102"/>
  <c r="E13" i="92"/>
  <c r="M3" i="92"/>
  <c r="M14" i="92"/>
  <c r="M13" i="92"/>
  <c r="M12" i="92"/>
  <c r="M10" i="92"/>
  <c r="M9" i="92"/>
  <c r="M8" i="92"/>
  <c r="M7" i="92"/>
  <c r="M5" i="92"/>
  <c r="M6" i="92"/>
  <c r="C130" i="103"/>
  <c r="F8" i="92"/>
  <c r="E8" i="92"/>
  <c r="G8" i="92"/>
  <c r="H8" i="92"/>
  <c r="J8" i="92"/>
  <c r="K8" i="92"/>
  <c r="L8" i="92"/>
  <c r="F9" i="92"/>
  <c r="G9" i="92"/>
  <c r="H9" i="92"/>
  <c r="J9" i="92"/>
  <c r="K9" i="92"/>
  <c r="L9" i="92"/>
  <c r="L14" i="92"/>
  <c r="L13" i="92"/>
  <c r="L12" i="92"/>
  <c r="L10" i="92"/>
  <c r="L7" i="92"/>
  <c r="L6" i="92"/>
  <c r="L5" i="92"/>
  <c r="L3" i="92"/>
  <c r="K3" i="92"/>
  <c r="B89" i="91"/>
  <c r="B91" i="91" s="1"/>
  <c r="K5" i="92"/>
  <c r="F13" i="76"/>
  <c r="K6" i="92"/>
  <c r="K7" i="92"/>
  <c r="K10" i="92"/>
  <c r="K12" i="92"/>
  <c r="K13" i="92"/>
  <c r="K14" i="92"/>
  <c r="C123" i="101"/>
  <c r="F13" i="92"/>
  <c r="G13" i="92"/>
  <c r="H13" i="92"/>
  <c r="J13" i="92"/>
  <c r="D26" i="91"/>
  <c r="D27" i="91" s="1"/>
  <c r="D28" i="91" s="1"/>
  <c r="D29" i="91" s="1"/>
  <c r="D30" i="91" s="1"/>
  <c r="D31" i="91" s="1"/>
  <c r="D32" i="91" s="1"/>
  <c r="D33" i="91" s="1"/>
  <c r="D34" i="91" s="1"/>
  <c r="D35" i="91" s="1"/>
  <c r="D36" i="91" s="1"/>
  <c r="D37" i="91" s="1"/>
  <c r="D38" i="91" s="1"/>
  <c r="D39" i="91" s="1"/>
  <c r="D40" i="91" s="1"/>
  <c r="D41" i="91" s="1"/>
  <c r="D42" i="91" s="1"/>
  <c r="D43" i="91" s="1"/>
  <c r="D44" i="91" s="1"/>
  <c r="J3" i="92"/>
  <c r="C122" i="100"/>
  <c r="J14" i="92"/>
  <c r="J12" i="92"/>
  <c r="J10" i="92"/>
  <c r="J7" i="92"/>
  <c r="J6" i="92"/>
  <c r="J5" i="92"/>
  <c r="E98" i="73"/>
  <c r="G10" i="91"/>
  <c r="C125" i="98"/>
  <c r="E10" i="92"/>
  <c r="G10" i="92"/>
  <c r="H10" i="92"/>
  <c r="H3" i="92"/>
  <c r="H5" i="92"/>
  <c r="H6" i="92"/>
  <c r="H12" i="92"/>
  <c r="H14" i="92"/>
  <c r="F9" i="91"/>
  <c r="C120" i="97"/>
  <c r="B64" i="91"/>
  <c r="B66" i="91" s="1"/>
  <c r="B79" i="91"/>
  <c r="B81" i="91" s="1"/>
  <c r="B71" i="91"/>
  <c r="B73" i="91" s="1"/>
  <c r="G14" i="92"/>
  <c r="C109" i="96"/>
  <c r="B50" i="92"/>
  <c r="B51" i="92"/>
  <c r="B52" i="92"/>
  <c r="G7" i="92"/>
  <c r="G12" i="92"/>
  <c r="G6" i="92"/>
  <c r="G5" i="92"/>
  <c r="G3" i="92"/>
  <c r="F14" i="92"/>
  <c r="E14" i="92"/>
  <c r="C122" i="95"/>
  <c r="F12" i="92"/>
  <c r="F7" i="92"/>
  <c r="F6" i="92"/>
  <c r="E6" i="92"/>
  <c r="F5" i="92"/>
  <c r="F3" i="92"/>
  <c r="B57" i="91"/>
  <c r="B59" i="91" s="1"/>
  <c r="C124" i="94"/>
  <c r="E12" i="92"/>
  <c r="E7" i="92"/>
  <c r="E5" i="92"/>
  <c r="E3" i="92"/>
  <c r="O3" i="76"/>
  <c r="B150" i="4"/>
  <c r="B154" i="4" s="1"/>
  <c r="A50" i="76" s="1"/>
  <c r="D14" i="76"/>
  <c r="E14" i="76"/>
  <c r="F14" i="76"/>
  <c r="G14" i="76"/>
  <c r="J14" i="76"/>
  <c r="K14" i="76"/>
  <c r="L14" i="76"/>
  <c r="M14" i="76"/>
  <c r="N14" i="76"/>
  <c r="O14" i="76"/>
  <c r="C111" i="93"/>
  <c r="G94" i="93"/>
  <c r="B36" i="76"/>
  <c r="N37" i="76"/>
  <c r="N38" i="76" s="1"/>
  <c r="M37" i="76"/>
  <c r="M38" i="76" s="1"/>
  <c r="B35" i="76"/>
  <c r="C47" i="76"/>
  <c r="D47" i="76"/>
  <c r="E47" i="76"/>
  <c r="F47" i="76"/>
  <c r="G47" i="76"/>
  <c r="H47" i="76"/>
  <c r="I47" i="76"/>
  <c r="J47" i="76"/>
  <c r="K47" i="76"/>
  <c r="L47" i="76"/>
  <c r="M47" i="76"/>
  <c r="N47" i="76"/>
  <c r="B44" i="76"/>
  <c r="B27" i="76"/>
  <c r="B28" i="76"/>
  <c r="B29" i="76"/>
  <c r="B30" i="76"/>
  <c r="B31" i="76"/>
  <c r="F6" i="91"/>
  <c r="B54" i="92"/>
  <c r="B53" i="92"/>
  <c r="B49" i="92"/>
  <c r="B47" i="92"/>
  <c r="B48" i="92"/>
  <c r="M43" i="92"/>
  <c r="L43" i="92"/>
  <c r="K43" i="92"/>
  <c r="J43" i="92"/>
  <c r="I43" i="92"/>
  <c r="H43" i="92"/>
  <c r="G43" i="92"/>
  <c r="F43" i="92"/>
  <c r="E43" i="92"/>
  <c r="D43" i="92"/>
  <c r="C43" i="92"/>
  <c r="E32" i="76"/>
  <c r="D9" i="76"/>
  <c r="E9" i="76"/>
  <c r="F9" i="76"/>
  <c r="G9" i="76"/>
  <c r="J9" i="76"/>
  <c r="K9" i="76"/>
  <c r="L9" i="76"/>
  <c r="M9" i="76"/>
  <c r="N9" i="76"/>
  <c r="B28" i="91"/>
  <c r="B29" i="91" s="1"/>
  <c r="B30" i="91" s="1"/>
  <c r="B31" i="91" s="1"/>
  <c r="B32" i="91" s="1"/>
  <c r="B33" i="91" s="1"/>
  <c r="B34" i="91" s="1"/>
  <c r="B35" i="91" s="1"/>
  <c r="B36" i="91" s="1"/>
  <c r="B23" i="91"/>
  <c r="C108" i="90"/>
  <c r="O13" i="76"/>
  <c r="O11" i="76"/>
  <c r="O8" i="76"/>
  <c r="O7" i="76"/>
  <c r="O6" i="76"/>
  <c r="O5" i="76"/>
  <c r="C119" i="89"/>
  <c r="G103" i="89"/>
  <c r="N13" i="76"/>
  <c r="N11" i="76"/>
  <c r="N8" i="76"/>
  <c r="N7" i="76"/>
  <c r="N6" i="76"/>
  <c r="N3" i="76"/>
  <c r="N5" i="76"/>
  <c r="M3" i="76"/>
  <c r="M5" i="76"/>
  <c r="M6" i="76"/>
  <c r="M7" i="76"/>
  <c r="M8" i="76"/>
  <c r="M11" i="76"/>
  <c r="M13" i="76"/>
  <c r="C120" i="87"/>
  <c r="G104" i="87"/>
  <c r="C131" i="86"/>
  <c r="G115" i="86"/>
  <c r="L13" i="76"/>
  <c r="L11" i="76"/>
  <c r="L8" i="76"/>
  <c r="L3" i="76"/>
  <c r="L5" i="76"/>
  <c r="L6" i="76"/>
  <c r="L7" i="76"/>
  <c r="D3" i="76"/>
  <c r="C123" i="85"/>
  <c r="G107" i="85"/>
  <c r="K13" i="76"/>
  <c r="K11" i="76"/>
  <c r="K8" i="76"/>
  <c r="K7" i="76"/>
  <c r="K6" i="76"/>
  <c r="K5" i="76"/>
  <c r="K3" i="76"/>
  <c r="D8" i="76"/>
  <c r="E8" i="76"/>
  <c r="F8" i="76"/>
  <c r="G8" i="76"/>
  <c r="J8" i="76"/>
  <c r="C120" i="84"/>
  <c r="G104" i="84"/>
  <c r="J13" i="76"/>
  <c r="J11" i="76"/>
  <c r="J7" i="76"/>
  <c r="J6" i="76"/>
  <c r="J5" i="76"/>
  <c r="J3" i="76"/>
  <c r="C118" i="83"/>
  <c r="G102" i="83"/>
  <c r="C123" i="81"/>
  <c r="G107" i="81"/>
  <c r="D13" i="76"/>
  <c r="E13" i="76"/>
  <c r="G13" i="76"/>
  <c r="C312" i="4"/>
  <c r="C357" i="4"/>
  <c r="C131" i="80"/>
  <c r="G115" i="80"/>
  <c r="G94" i="79"/>
  <c r="G11" i="76"/>
  <c r="G7" i="76"/>
  <c r="D7" i="76"/>
  <c r="E7" i="76"/>
  <c r="F7" i="76"/>
  <c r="G6" i="76"/>
  <c r="G3" i="76"/>
  <c r="G5" i="76"/>
  <c r="E3" i="76"/>
  <c r="F3" i="76"/>
  <c r="F5" i="76"/>
  <c r="F6" i="76"/>
  <c r="F11" i="76"/>
  <c r="C110" i="79"/>
  <c r="E85" i="73"/>
  <c r="D6" i="76"/>
  <c r="E6" i="76"/>
  <c r="E149" i="73"/>
  <c r="E148" i="73"/>
  <c r="E150" i="73"/>
  <c r="E145" i="73"/>
  <c r="E144" i="73"/>
  <c r="E143" i="73"/>
  <c r="E132" i="73"/>
  <c r="E133" i="73"/>
  <c r="E130" i="73"/>
  <c r="E129" i="73"/>
  <c r="E131" i="73"/>
  <c r="E146" i="73"/>
  <c r="E142" i="73"/>
  <c r="E141" i="73"/>
  <c r="E139" i="73"/>
  <c r="E138" i="73"/>
  <c r="E137" i="73"/>
  <c r="E136" i="73"/>
  <c r="E135" i="73"/>
  <c r="E134" i="73"/>
  <c r="E147" i="73"/>
  <c r="E140" i="73"/>
  <c r="C109" i="78"/>
  <c r="G93" i="78"/>
  <c r="E128" i="73"/>
  <c r="E127" i="73"/>
  <c r="E151" i="73"/>
  <c r="E83" i="73"/>
  <c r="E82" i="73"/>
  <c r="E11" i="76"/>
  <c r="E5" i="76"/>
  <c r="D5" i="76"/>
  <c r="E164" i="73"/>
  <c r="E121" i="73"/>
  <c r="E176" i="73"/>
  <c r="E165" i="73"/>
  <c r="C113" i="77"/>
  <c r="G97" i="77"/>
  <c r="E118" i="73"/>
  <c r="E117" i="73"/>
  <c r="E116" i="73"/>
  <c r="E51" i="73"/>
  <c r="E50" i="73"/>
  <c r="E49" i="73"/>
  <c r="E46" i="73"/>
  <c r="E45" i="73"/>
  <c r="E84" i="73"/>
  <c r="E187" i="73"/>
  <c r="D11" i="76"/>
  <c r="B46" i="76"/>
  <c r="B42" i="76"/>
  <c r="B43" i="76"/>
  <c r="B45" i="76"/>
  <c r="L38" i="76"/>
  <c r="K38" i="76"/>
  <c r="J38" i="76"/>
  <c r="I38" i="76"/>
  <c r="H38" i="76"/>
  <c r="G38" i="76"/>
  <c r="F38" i="76"/>
  <c r="E38" i="76"/>
  <c r="D38" i="76"/>
  <c r="C38" i="76"/>
  <c r="N32" i="76"/>
  <c r="M32" i="76"/>
  <c r="L32" i="76"/>
  <c r="K32" i="76"/>
  <c r="J32" i="76"/>
  <c r="I32" i="76"/>
  <c r="H32" i="76"/>
  <c r="G32" i="76"/>
  <c r="F32" i="76"/>
  <c r="D32" i="76"/>
  <c r="C32" i="76"/>
  <c r="C12" i="76"/>
  <c r="B12" i="76" s="1"/>
  <c r="C59" i="76" s="1"/>
  <c r="E108" i="73"/>
  <c r="E109" i="73"/>
  <c r="E110" i="73"/>
  <c r="E111" i="73"/>
  <c r="E112" i="73"/>
  <c r="E48" i="73"/>
  <c r="E47" i="73"/>
  <c r="E44" i="73"/>
  <c r="E43" i="73"/>
  <c r="E42" i="73"/>
  <c r="E80" i="73"/>
  <c r="E107" i="73"/>
  <c r="E102" i="73"/>
  <c r="E79" i="73"/>
  <c r="E37" i="73"/>
  <c r="O13" i="58"/>
  <c r="C126" i="75"/>
  <c r="G110" i="75"/>
  <c r="C12" i="58"/>
  <c r="B12" i="58" s="1"/>
  <c r="C58" i="58" s="1"/>
  <c r="O11" i="58"/>
  <c r="O9" i="58"/>
  <c r="O7" i="58"/>
  <c r="O6" i="58"/>
  <c r="O5" i="58"/>
  <c r="O3" i="58"/>
  <c r="D3" i="58"/>
  <c r="E3" i="58"/>
  <c r="F3" i="58"/>
  <c r="G3" i="58"/>
  <c r="H3" i="58"/>
  <c r="J3" i="58"/>
  <c r="K3" i="58"/>
  <c r="L3" i="58"/>
  <c r="M3" i="58"/>
  <c r="N3" i="58"/>
  <c r="M5" i="58"/>
  <c r="M6" i="58"/>
  <c r="M7" i="58"/>
  <c r="M8" i="58"/>
  <c r="M9" i="58"/>
  <c r="M11" i="58"/>
  <c r="M13" i="58"/>
  <c r="B28" i="58"/>
  <c r="B29" i="58"/>
  <c r="B30" i="58"/>
  <c r="B43" i="58"/>
  <c r="B42" i="58"/>
  <c r="B41" i="58"/>
  <c r="B44" i="58"/>
  <c r="B45" i="58"/>
  <c r="C31" i="58"/>
  <c r="B34" i="58"/>
  <c r="B27" i="58"/>
  <c r="B26" i="58"/>
  <c r="E41" i="73"/>
  <c r="E126" i="73"/>
  <c r="E120" i="73"/>
  <c r="E119" i="73"/>
  <c r="E115" i="73"/>
  <c r="E114" i="73"/>
  <c r="E113" i="73"/>
  <c r="E106" i="73"/>
  <c r="E105" i="73"/>
  <c r="E104" i="73"/>
  <c r="E103" i="73"/>
  <c r="E101" i="73"/>
  <c r="E100" i="73"/>
  <c r="E99" i="73"/>
  <c r="E97" i="73"/>
  <c r="E95" i="73"/>
  <c r="E96" i="73"/>
  <c r="E40" i="73"/>
  <c r="E75" i="73"/>
  <c r="E74" i="73"/>
  <c r="N31" i="58"/>
  <c r="M31" i="58"/>
  <c r="E76" i="73"/>
  <c r="E73" i="73"/>
  <c r="E71" i="73"/>
  <c r="E70" i="73"/>
  <c r="E69" i="73"/>
  <c r="E63" i="73"/>
  <c r="E64" i="73"/>
  <c r="E65" i="73"/>
  <c r="E66" i="73"/>
  <c r="E67" i="73"/>
  <c r="E68" i="73"/>
  <c r="E72" i="73"/>
  <c r="E77" i="73"/>
  <c r="E78" i="73"/>
  <c r="E81" i="73"/>
  <c r="E62" i="73"/>
  <c r="E61" i="73"/>
  <c r="E39" i="73"/>
  <c r="E36" i="73"/>
  <c r="E38" i="73"/>
  <c r="E35" i="73"/>
  <c r="E16" i="73"/>
  <c r="C134" i="74"/>
  <c r="G119" i="74"/>
  <c r="E27" i="73"/>
  <c r="E28" i="73"/>
  <c r="E29" i="73"/>
  <c r="E30" i="73"/>
  <c r="E31" i="73"/>
  <c r="E32" i="73"/>
  <c r="E33" i="73"/>
  <c r="E34" i="73"/>
  <c r="E26" i="73"/>
  <c r="B159" i="4"/>
  <c r="B162" i="4" s="1"/>
  <c r="A49" i="58" s="1"/>
  <c r="N13" i="58"/>
  <c r="N11" i="58"/>
  <c r="N9" i="58"/>
  <c r="N8" i="58"/>
  <c r="N7" i="58"/>
  <c r="N6" i="58"/>
  <c r="N5" i="58"/>
  <c r="M37" i="71"/>
  <c r="M36" i="71"/>
  <c r="B249" i="1"/>
  <c r="G6" i="58"/>
  <c r="C105" i="72"/>
  <c r="G90" i="72"/>
  <c r="C112" i="71"/>
  <c r="G97" i="71"/>
  <c r="K13" i="58"/>
  <c r="L13" i="58"/>
  <c r="J13" i="58"/>
  <c r="H13" i="58"/>
  <c r="G13" i="58"/>
  <c r="D13" i="58"/>
  <c r="E13" i="58"/>
  <c r="F13" i="58"/>
  <c r="C119" i="66"/>
  <c r="L8" i="58"/>
  <c r="L11" i="58"/>
  <c r="L9" i="58"/>
  <c r="L7" i="58"/>
  <c r="L5" i="58"/>
  <c r="L6" i="58"/>
  <c r="B175" i="4"/>
  <c r="B178" i="4" s="1"/>
  <c r="B167" i="4"/>
  <c r="B170" i="4" s="1"/>
  <c r="C21" i="69"/>
  <c r="D21" i="69"/>
  <c r="B21" i="69"/>
  <c r="K9" i="58"/>
  <c r="K8" i="58"/>
  <c r="K5" i="58"/>
  <c r="K6" i="58"/>
  <c r="K7" i="58"/>
  <c r="K11" i="58"/>
  <c r="C102" i="68"/>
  <c r="G87" i="68"/>
  <c r="J11" i="58"/>
  <c r="J9" i="58"/>
  <c r="J8" i="58"/>
  <c r="J7" i="58"/>
  <c r="J5" i="58"/>
  <c r="J6" i="58"/>
  <c r="C114" i="67"/>
  <c r="G99" i="67"/>
  <c r="C60" i="36"/>
  <c r="B60" i="36" s="1"/>
  <c r="D11" i="58"/>
  <c r="E11" i="58"/>
  <c r="F11" i="58"/>
  <c r="G11" i="58"/>
  <c r="H11" i="58"/>
  <c r="G104" i="66"/>
  <c r="C122" i="65"/>
  <c r="C71" i="63"/>
  <c r="G58" i="63"/>
  <c r="E58" i="63"/>
  <c r="H9" i="58"/>
  <c r="H8" i="58"/>
  <c r="H7" i="58"/>
  <c r="H6" i="58"/>
  <c r="H5" i="58"/>
  <c r="C105" i="62"/>
  <c r="C116" i="61"/>
  <c r="G90" i="62"/>
  <c r="G9" i="58"/>
  <c r="G8" i="58"/>
  <c r="G7" i="58"/>
  <c r="G5" i="58"/>
  <c r="H191" i="4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D11" i="36"/>
  <c r="G101" i="61"/>
  <c r="F9" i="58"/>
  <c r="F8" i="58"/>
  <c r="F7" i="58"/>
  <c r="F6" i="58"/>
  <c r="F5" i="58"/>
  <c r="D5" i="58"/>
  <c r="E5" i="58"/>
  <c r="G94" i="60"/>
  <c r="D343" i="4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E9" i="58"/>
  <c r="E8" i="58"/>
  <c r="E7" i="58"/>
  <c r="E6" i="58"/>
  <c r="C338" i="4"/>
  <c r="N37" i="58"/>
  <c r="M37" i="58"/>
  <c r="L37" i="58"/>
  <c r="K37" i="58"/>
  <c r="J37" i="58"/>
  <c r="I37" i="58"/>
  <c r="H37" i="58"/>
  <c r="G37" i="58"/>
  <c r="F37" i="58"/>
  <c r="E37" i="58"/>
  <c r="D37" i="58"/>
  <c r="C37" i="58"/>
  <c r="L31" i="58"/>
  <c r="K31" i="58"/>
  <c r="J31" i="58"/>
  <c r="I31" i="58"/>
  <c r="H31" i="58"/>
  <c r="G31" i="58"/>
  <c r="F31" i="58"/>
  <c r="E31" i="58"/>
  <c r="D31" i="58"/>
  <c r="B62" i="36"/>
  <c r="B61" i="36"/>
  <c r="N57" i="36"/>
  <c r="D57" i="36"/>
  <c r="E57" i="36"/>
  <c r="F57" i="36"/>
  <c r="G57" i="36"/>
  <c r="C57" i="36"/>
  <c r="H57" i="36"/>
  <c r="I57" i="36"/>
  <c r="J57" i="36"/>
  <c r="K57" i="36"/>
  <c r="L57" i="36"/>
  <c r="M57" i="36"/>
  <c r="N51" i="36"/>
  <c r="C51" i="36"/>
  <c r="M51" i="36"/>
  <c r="G83" i="59"/>
  <c r="D9" i="58"/>
  <c r="D8" i="58"/>
  <c r="D7" i="58"/>
  <c r="D6" i="58"/>
  <c r="D245" i="4"/>
  <c r="D246" i="4" s="1"/>
  <c r="D247" i="4" s="1"/>
  <c r="D248" i="4" s="1"/>
  <c r="G89" i="57"/>
  <c r="O13" i="36"/>
  <c r="O8" i="36"/>
  <c r="O3" i="36"/>
  <c r="O5" i="36"/>
  <c r="O6" i="36"/>
  <c r="O7" i="36"/>
  <c r="B137" i="1"/>
  <c r="B243" i="1"/>
  <c r="N13" i="36"/>
  <c r="N8" i="36"/>
  <c r="N7" i="36"/>
  <c r="N6" i="36"/>
  <c r="N5" i="36"/>
  <c r="N3" i="36"/>
  <c r="G90" i="56"/>
  <c r="E90" i="56"/>
  <c r="H13" i="51"/>
  <c r="H12" i="51"/>
  <c r="G75" i="55"/>
  <c r="E75" i="55"/>
  <c r="M13" i="36"/>
  <c r="M8" i="36"/>
  <c r="M7" i="36"/>
  <c r="M6" i="36"/>
  <c r="M5" i="36"/>
  <c r="M3" i="36"/>
  <c r="H11" i="51"/>
  <c r="H10" i="51"/>
  <c r="I13" i="36"/>
  <c r="G93" i="53"/>
  <c r="E93" i="53"/>
  <c r="H9" i="51"/>
  <c r="H8" i="51"/>
  <c r="L13" i="36"/>
  <c r="L8" i="36"/>
  <c r="L7" i="36"/>
  <c r="L6" i="36"/>
  <c r="L3" i="36"/>
  <c r="L5" i="36"/>
  <c r="H7" i="51"/>
  <c r="H5" i="51"/>
  <c r="H3" i="51"/>
  <c r="H4" i="51"/>
  <c r="H6" i="51"/>
  <c r="F15" i="51"/>
  <c r="K13" i="36"/>
  <c r="K8" i="36"/>
  <c r="K7" i="36"/>
  <c r="K6" i="36"/>
  <c r="K3" i="36"/>
  <c r="K5" i="36"/>
  <c r="H80" i="52"/>
  <c r="G80" i="52"/>
  <c r="E80" i="52"/>
  <c r="G15" i="51"/>
  <c r="D15" i="51"/>
  <c r="E15" i="51"/>
  <c r="C330" i="4"/>
  <c r="D335" i="4"/>
  <c r="D336" i="4" s="1"/>
  <c r="D337" i="4" s="1"/>
  <c r="D338" i="4" s="1"/>
  <c r="J13" i="36"/>
  <c r="J8" i="36"/>
  <c r="J7" i="36"/>
  <c r="J6" i="36"/>
  <c r="J3" i="36"/>
  <c r="J5" i="36"/>
  <c r="H73" i="47"/>
  <c r="G73" i="47"/>
  <c r="E73" i="47"/>
  <c r="I8" i="36"/>
  <c r="D8" i="36"/>
  <c r="E8" i="36"/>
  <c r="F8" i="36"/>
  <c r="I7" i="36"/>
  <c r="I6" i="36"/>
  <c r="D6" i="36"/>
  <c r="E6" i="36"/>
  <c r="F6" i="36"/>
  <c r="I3" i="36"/>
  <c r="D3" i="36"/>
  <c r="E3" i="36"/>
  <c r="F3" i="36"/>
  <c r="I5" i="36"/>
  <c r="B64" i="36"/>
  <c r="G92" i="1"/>
  <c r="H83" i="46"/>
  <c r="G83" i="46"/>
  <c r="E83" i="46"/>
  <c r="D13" i="36"/>
  <c r="E13" i="36"/>
  <c r="F13" i="36"/>
  <c r="D310" i="4"/>
  <c r="D311" i="4" s="1"/>
  <c r="D327" i="4"/>
  <c r="D328" i="4" s="1"/>
  <c r="D329" i="4" s="1"/>
  <c r="D330" i="4" s="1"/>
  <c r="E80" i="41"/>
  <c r="E71" i="40"/>
  <c r="E70" i="44"/>
  <c r="G70" i="44"/>
  <c r="H70" i="44"/>
  <c r="F11" i="36"/>
  <c r="F10" i="36"/>
  <c r="F7" i="36"/>
  <c r="F5" i="36"/>
  <c r="B41" i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G97" i="1" s="1"/>
  <c r="G99" i="1" s="1"/>
  <c r="G90" i="1"/>
  <c r="G91" i="1"/>
  <c r="D299" i="4"/>
  <c r="D300" i="4" s="1"/>
  <c r="D301" i="4" s="1"/>
  <c r="D302" i="4" s="1"/>
  <c r="D303" i="4" s="1"/>
  <c r="D304" i="4" s="1"/>
  <c r="E5" i="36"/>
  <c r="E7" i="36"/>
  <c r="E10" i="36"/>
  <c r="E11" i="36"/>
  <c r="D5" i="36"/>
  <c r="D7" i="36"/>
  <c r="D10" i="36"/>
  <c r="C322" i="4"/>
  <c r="D317" i="4"/>
  <c r="D318" i="4" s="1"/>
  <c r="D319" i="4" s="1"/>
  <c r="D320" i="4" s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D294" i="4"/>
  <c r="D276" i="4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E74" i="35"/>
  <c r="E77" i="37"/>
  <c r="E79" i="42"/>
  <c r="G79" i="42"/>
  <c r="H79" i="42"/>
  <c r="B46" i="36"/>
  <c r="B45" i="36"/>
  <c r="B110" i="1"/>
  <c r="B117" i="1"/>
  <c r="B156" i="1"/>
  <c r="B159" i="1" s="1"/>
  <c r="B177" i="1"/>
  <c r="B179" i="1" s="1"/>
  <c r="B184" i="1"/>
  <c r="B186" i="1" s="1"/>
  <c r="B201" i="1"/>
  <c r="B203" i="1" s="1"/>
  <c r="B218" i="1"/>
  <c r="B220" i="1" s="1"/>
  <c r="B25" i="1"/>
  <c r="B31" i="1" s="1"/>
  <c r="F135" i="1" s="1"/>
  <c r="F137" i="1" s="1"/>
  <c r="G80" i="41"/>
  <c r="H80" i="41"/>
  <c r="G71" i="40"/>
  <c r="H71" i="40"/>
  <c r="G77" i="37"/>
  <c r="H77" i="37"/>
  <c r="D51" i="36"/>
  <c r="E51" i="36"/>
  <c r="F51" i="36"/>
  <c r="G51" i="36"/>
  <c r="H51" i="36"/>
  <c r="I51" i="36"/>
  <c r="J51" i="36"/>
  <c r="K51" i="36"/>
  <c r="L51" i="36"/>
  <c r="B53" i="36"/>
  <c r="B63" i="36"/>
  <c r="D268" i="4"/>
  <c r="D269" i="4" s="1"/>
  <c r="D270" i="4" s="1"/>
  <c r="D271" i="4" s="1"/>
  <c r="C294" i="4"/>
  <c r="D291" i="4"/>
  <c r="D292" i="4" s="1"/>
  <c r="G74" i="35"/>
  <c r="H74" i="35"/>
  <c r="C271" i="4"/>
  <c r="D254" i="4"/>
  <c r="D255" i="4" s="1"/>
  <c r="D256" i="4" s="1"/>
  <c r="D257" i="4" s="1"/>
  <c r="D258" i="4" s="1"/>
  <c r="D259" i="4" s="1"/>
  <c r="D260" i="4" s="1"/>
  <c r="D261" i="4" s="1"/>
  <c r="D262" i="4" s="1"/>
  <c r="D263" i="4" s="1"/>
  <c r="D236" i="4"/>
  <c r="D237" i="4" s="1"/>
  <c r="D238" i="4" s="1"/>
  <c r="D239" i="4" s="1"/>
  <c r="D240" i="4" s="1"/>
  <c r="G137" i="1"/>
  <c r="C240" i="4"/>
  <c r="C249" i="4"/>
  <c r="C286" i="4"/>
  <c r="F5" i="35"/>
  <c r="F74" i="35" s="1"/>
  <c r="C226" i="4"/>
  <c r="D231" i="4" s="1"/>
  <c r="C221" i="4"/>
  <c r="F194" i="4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7" i="4" s="1"/>
  <c r="C263" i="4"/>
  <c r="I205" i="4"/>
  <c r="C305" i="4"/>
  <c r="B194" i="4"/>
  <c r="C194" i="4" s="1"/>
  <c r="B210" i="4"/>
  <c r="D210" i="4"/>
  <c r="D88" i="2"/>
  <c r="D89" i="2"/>
  <c r="D90" i="2"/>
  <c r="D91" i="2"/>
  <c r="D92" i="2"/>
  <c r="D98" i="2"/>
  <c r="D99" i="2"/>
  <c r="D100" i="2"/>
  <c r="D109" i="2"/>
  <c r="D113" i="2"/>
  <c r="D114" i="2"/>
  <c r="G17" i="2"/>
  <c r="F18" i="2" s="1"/>
  <c r="H17" i="2"/>
  <c r="H24" i="2"/>
  <c r="H25" i="2" s="1"/>
  <c r="H7" i="2"/>
  <c r="G7" i="2"/>
  <c r="F8" i="2" s="1"/>
  <c r="H8" i="2" s="1"/>
  <c r="F93" i="1"/>
  <c r="B46" i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G107" i="65"/>
  <c r="G91" i="90"/>
  <c r="N43" i="92"/>
  <c r="B40" i="92"/>
  <c r="B38" i="91"/>
  <c r="B39" i="91" s="1"/>
  <c r="B40" i="91" s="1"/>
  <c r="B41" i="91" s="1"/>
  <c r="B42" i="91" s="1"/>
  <c r="B43" i="91" s="1"/>
  <c r="B44" i="91" s="1"/>
  <c r="E12" i="176"/>
  <c r="G89" i="115"/>
  <c r="G87" i="115"/>
  <c r="G88" i="115"/>
  <c r="G83" i="115"/>
  <c r="G90" i="115"/>
  <c r="G86" i="115"/>
  <c r="G84" i="115"/>
  <c r="H215" i="115"/>
  <c r="H216" i="115"/>
  <c r="E111" i="224"/>
  <c r="N32" i="207" s="1"/>
  <c r="E131" i="218"/>
  <c r="F131" i="218" s="1"/>
  <c r="I14" i="207"/>
  <c r="H20" i="207"/>
  <c r="I6" i="207"/>
  <c r="I28" i="207"/>
  <c r="E146" i="189"/>
  <c r="F38" i="187" s="1"/>
  <c r="F105" i="224"/>
  <c r="M30" i="187"/>
  <c r="M17" i="207"/>
  <c r="E140" i="215"/>
  <c r="E154" i="225"/>
  <c r="O41" i="207" s="1"/>
  <c r="O19" i="207"/>
  <c r="L3" i="207"/>
  <c r="F116" i="223"/>
  <c r="M27" i="207"/>
  <c r="M5" i="207"/>
  <c r="M39" i="207"/>
  <c r="F128" i="222"/>
  <c r="L25" i="207"/>
  <c r="E124" i="227"/>
  <c r="F124" i="227" s="1"/>
  <c r="F137" i="221"/>
  <c r="O6" i="207"/>
  <c r="E137" i="226"/>
  <c r="D38" i="228" s="1"/>
  <c r="E127" i="226"/>
  <c r="D27" i="228" s="1"/>
  <c r="D4" i="228"/>
  <c r="E134" i="226"/>
  <c r="F134" i="226" s="1"/>
  <c r="F144" i="216"/>
  <c r="Q162" i="216"/>
  <c r="R162" i="216" s="1"/>
  <c r="H11" i="207"/>
  <c r="H13" i="207"/>
  <c r="G5" i="207"/>
  <c r="G27" i="207"/>
  <c r="K146" i="229"/>
  <c r="L30" i="230"/>
  <c r="E139" i="186" l="1"/>
  <c r="F139" i="186" s="1"/>
  <c r="K33" i="207"/>
  <c r="F145" i="189"/>
  <c r="E10" i="187"/>
  <c r="E123" i="197"/>
  <c r="K33" i="187" s="1"/>
  <c r="G36" i="187"/>
  <c r="K20" i="187"/>
  <c r="N29" i="187"/>
  <c r="E154" i="198"/>
  <c r="F154" i="198" s="1"/>
  <c r="E32" i="187"/>
  <c r="E35" i="207"/>
  <c r="H35" i="187"/>
  <c r="C3" i="251"/>
  <c r="B3" i="251" s="1"/>
  <c r="E131" i="226"/>
  <c r="F131" i="226" s="1"/>
  <c r="I38" i="207"/>
  <c r="F147" i="195"/>
  <c r="E132" i="215"/>
  <c r="G32" i="207" s="1"/>
  <c r="E121" i="223"/>
  <c r="F121" i="223" s="1"/>
  <c r="E5" i="228"/>
  <c r="M4" i="207"/>
  <c r="E131" i="188"/>
  <c r="E29" i="187" s="1"/>
  <c r="O13" i="207"/>
  <c r="E122" i="220"/>
  <c r="F122" i="220" s="1"/>
  <c r="F118" i="197"/>
  <c r="E142" i="195"/>
  <c r="I36" i="187" s="1"/>
  <c r="G42" i="91"/>
  <c r="G45" i="91" s="1"/>
  <c r="D6" i="228"/>
  <c r="K6" i="187"/>
  <c r="F144" i="225"/>
  <c r="L11" i="207"/>
  <c r="I4" i="115"/>
  <c r="M4" i="115" s="1"/>
  <c r="O4" i="115" s="1"/>
  <c r="E127" i="197"/>
  <c r="K37" i="187" s="1"/>
  <c r="L33" i="207"/>
  <c r="F138" i="198"/>
  <c r="N36" i="207"/>
  <c r="I19" i="187"/>
  <c r="D13" i="207"/>
  <c r="E191" i="248"/>
  <c r="N30" i="228" s="1"/>
  <c r="E11" i="207"/>
  <c r="E138" i="202"/>
  <c r="N37" i="187" s="1"/>
  <c r="I17" i="207"/>
  <c r="E163" i="242"/>
  <c r="K37" i="228" s="1"/>
  <c r="W22" i="230"/>
  <c r="M9" i="228"/>
  <c r="E124" i="115"/>
  <c r="J15" i="187"/>
  <c r="E123" i="227"/>
  <c r="E34" i="228" s="1"/>
  <c r="D7" i="207"/>
  <c r="F15" i="187"/>
  <c r="H9" i="207"/>
  <c r="F127" i="204"/>
  <c r="F123" i="204"/>
  <c r="H25" i="187"/>
  <c r="G3" i="207"/>
  <c r="G29" i="207"/>
  <c r="E140" i="222"/>
  <c r="F140" i="222" s="1"/>
  <c r="E130" i="215"/>
  <c r="F130" i="215" s="1"/>
  <c r="F133" i="204"/>
  <c r="E126" i="202"/>
  <c r="F126" i="202" s="1"/>
  <c r="H3" i="187"/>
  <c r="F148" i="216"/>
  <c r="E138" i="205"/>
  <c r="F138" i="205" s="1"/>
  <c r="E139" i="202"/>
  <c r="N38" i="187" s="1"/>
  <c r="E142" i="198"/>
  <c r="F142" i="198" s="1"/>
  <c r="N28" i="187"/>
  <c r="F122" i="197"/>
  <c r="E115" i="227"/>
  <c r="F115" i="227" s="1"/>
  <c r="F131" i="197"/>
  <c r="E135" i="200"/>
  <c r="M37" i="187" s="1"/>
  <c r="N6" i="187"/>
  <c r="F162" i="242"/>
  <c r="D3" i="207"/>
  <c r="E135" i="209"/>
  <c r="F135" i="209" s="1"/>
  <c r="F133" i="193"/>
  <c r="N210" i="115"/>
  <c r="H42" i="187"/>
  <c r="L111" i="115"/>
  <c r="G10" i="187"/>
  <c r="E134" i="189"/>
  <c r="F134" i="189" s="1"/>
  <c r="D15" i="207"/>
  <c r="H20" i="187"/>
  <c r="H36" i="187"/>
  <c r="E127" i="227"/>
  <c r="F127" i="227" s="1"/>
  <c r="E152" i="216"/>
  <c r="H41" i="207" s="1"/>
  <c r="F117" i="220"/>
  <c r="M28" i="207"/>
  <c r="K10" i="187"/>
  <c r="M16" i="228"/>
  <c r="K7" i="187"/>
  <c r="F125" i="220"/>
  <c r="E142" i="221"/>
  <c r="F142" i="221" s="1"/>
  <c r="J6" i="187"/>
  <c r="E126" i="218"/>
  <c r="I31" i="207" s="1"/>
  <c r="E149" i="198"/>
  <c r="F149" i="198" s="1"/>
  <c r="I39" i="207"/>
  <c r="J37" i="187"/>
  <c r="F142" i="196"/>
  <c r="K19" i="187"/>
  <c r="F132" i="195"/>
  <c r="E30" i="207"/>
  <c r="G33" i="207"/>
  <c r="K28" i="207"/>
  <c r="E174" i="246"/>
  <c r="M31" i="228" s="1"/>
  <c r="G640" i="206"/>
  <c r="H640" i="206" s="1"/>
  <c r="D11" i="207"/>
  <c r="K11" i="207"/>
  <c r="M14" i="207"/>
  <c r="F132" i="202"/>
  <c r="N16" i="207"/>
  <c r="I18" i="207"/>
  <c r="J14" i="187"/>
  <c r="F136" i="215"/>
  <c r="E120" i="220"/>
  <c r="F120" i="220" s="1"/>
  <c r="J33" i="207"/>
  <c r="L36" i="207"/>
  <c r="N25" i="207"/>
  <c r="F141" i="193"/>
  <c r="F128" i="221"/>
  <c r="E125" i="227"/>
  <c r="E36" i="228" s="1"/>
  <c r="E130" i="223"/>
  <c r="M41" i="207" s="1"/>
  <c r="K16" i="207"/>
  <c r="O20" i="207"/>
  <c r="F136" i="193"/>
  <c r="F154" i="196"/>
  <c r="G15" i="207"/>
  <c r="D16" i="228"/>
  <c r="K5" i="207"/>
  <c r="O42" i="207"/>
  <c r="G20" i="207"/>
  <c r="E316" i="2"/>
  <c r="E318" i="2" s="1"/>
  <c r="O8" i="207"/>
  <c r="M4" i="187"/>
  <c r="G37" i="207"/>
  <c r="O30" i="207"/>
  <c r="K38" i="207"/>
  <c r="E4" i="228"/>
  <c r="J3" i="207"/>
  <c r="D5" i="228"/>
  <c r="F127" i="226"/>
  <c r="E128" i="215"/>
  <c r="G28" i="207" s="1"/>
  <c r="D28" i="207"/>
  <c r="H14" i="207"/>
  <c r="G35" i="207"/>
  <c r="K29" i="207"/>
  <c r="M17" i="228"/>
  <c r="E130" i="204"/>
  <c r="F130" i="204" s="1"/>
  <c r="F140" i="204"/>
  <c r="F124" i="222"/>
  <c r="L4" i="207"/>
  <c r="E133" i="200"/>
  <c r="M35" i="187" s="1"/>
  <c r="E109" i="224"/>
  <c r="N30" i="207" s="1"/>
  <c r="E131" i="193"/>
  <c r="F131" i="193" s="1"/>
  <c r="D20" i="207"/>
  <c r="M8" i="187"/>
  <c r="H7" i="228"/>
  <c r="F125" i="223"/>
  <c r="J5" i="187"/>
  <c r="G13" i="207"/>
  <c r="E121" i="197"/>
  <c r="K31" i="187" s="1"/>
  <c r="E128" i="218"/>
  <c r="F128" i="218" s="1"/>
  <c r="L6" i="187"/>
  <c r="G14" i="207"/>
  <c r="F139" i="225"/>
  <c r="L29" i="207"/>
  <c r="E138" i="195"/>
  <c r="I32" i="187" s="1"/>
  <c r="I33" i="187"/>
  <c r="F136" i="195"/>
  <c r="G25" i="187"/>
  <c r="E136" i="202"/>
  <c r="F136" i="202" s="1"/>
  <c r="E33" i="207"/>
  <c r="I8" i="187"/>
  <c r="H30" i="207"/>
  <c r="L7" i="207"/>
  <c r="H8" i="207"/>
  <c r="N90" i="115"/>
  <c r="K7" i="207"/>
  <c r="O4" i="207"/>
  <c r="L28" i="187"/>
  <c r="E145" i="205"/>
  <c r="F145" i="205" s="1"/>
  <c r="E159" i="229"/>
  <c r="F35" i="228" s="1"/>
  <c r="F12" i="228"/>
  <c r="C11" i="36"/>
  <c r="B11" i="36" s="1"/>
  <c r="C76" i="36" s="1"/>
  <c r="I131" i="205"/>
  <c r="I5" i="204" s="1"/>
  <c r="I119" i="204" s="1"/>
  <c r="I120" i="204" s="1"/>
  <c r="I5" i="208" s="1"/>
  <c r="I120" i="208" s="1"/>
  <c r="I121" i="208" s="1"/>
  <c r="I5" i="209" s="1"/>
  <c r="I121" i="209" s="1"/>
  <c r="I122" i="209" s="1"/>
  <c r="I5" i="215" s="1"/>
  <c r="I121" i="215" s="1"/>
  <c r="I122" i="215" s="1"/>
  <c r="I5" i="216" s="1"/>
  <c r="I132" i="216" s="1"/>
  <c r="I133" i="216" s="1"/>
  <c r="I5" i="218" s="1"/>
  <c r="I116" i="218" s="1"/>
  <c r="I117" i="218" s="1"/>
  <c r="I5" i="220" s="1"/>
  <c r="I113" i="220" s="1"/>
  <c r="I114" i="220" s="1"/>
  <c r="I5" i="221" s="1"/>
  <c r="I122" i="221" s="1"/>
  <c r="I123" i="221" s="1"/>
  <c r="I5" i="222" s="1"/>
  <c r="I119" i="222" s="1"/>
  <c r="I120" i="222" s="1"/>
  <c r="I5" i="223" s="1"/>
  <c r="I110" i="223" s="1"/>
  <c r="I111" i="223" s="1"/>
  <c r="I5" i="224" s="1"/>
  <c r="I100" i="224" s="1"/>
  <c r="I101" i="224" s="1"/>
  <c r="I5" i="225" s="1"/>
  <c r="I134" i="225" s="1"/>
  <c r="I135" i="225" s="1"/>
  <c r="I5" i="226" s="1"/>
  <c r="I122" i="226" s="1"/>
  <c r="I123" i="226" s="1"/>
  <c r="I5" i="227" s="1"/>
  <c r="I111" i="227" s="1"/>
  <c r="I112" i="227" s="1"/>
  <c r="I5" i="229" s="1"/>
  <c r="I146" i="229" s="1"/>
  <c r="I147" i="229" s="1"/>
  <c r="I5" i="233" s="1"/>
  <c r="I132" i="233" s="1"/>
  <c r="I133" i="233" s="1"/>
  <c r="I5" i="236" s="1"/>
  <c r="I147" i="236" s="1"/>
  <c r="I148" i="236" s="1"/>
  <c r="I5" i="239" s="1"/>
  <c r="I149" i="239" s="1"/>
  <c r="I150" i="239" s="1"/>
  <c r="I5" i="242" s="1"/>
  <c r="I148" i="242" s="1"/>
  <c r="I149" i="242" s="1"/>
  <c r="I5" i="245" s="1"/>
  <c r="I145" i="245" s="1"/>
  <c r="I146" i="245" s="1"/>
  <c r="I5" i="246" s="1"/>
  <c r="I165" i="246" s="1"/>
  <c r="I166" i="246" s="1"/>
  <c r="I5" i="248" s="1"/>
  <c r="I183" i="248" s="1"/>
  <c r="I184" i="248" s="1"/>
  <c r="N12" i="230"/>
  <c r="O12" i="230" s="1"/>
  <c r="P12" i="230" s="1"/>
  <c r="U16" i="230"/>
  <c r="W16" i="230" s="1"/>
  <c r="S24" i="214"/>
  <c r="T27" i="214" s="1"/>
  <c r="P27" i="214"/>
  <c r="F181" i="246"/>
  <c r="E53" i="73"/>
  <c r="E57" i="73" s="1"/>
  <c r="P10" i="214"/>
  <c r="O11" i="214"/>
  <c r="E197" i="248"/>
  <c r="F197" i="248" s="1"/>
  <c r="O25" i="214"/>
  <c r="P25" i="214" s="1"/>
  <c r="O9" i="207"/>
  <c r="E132" i="221"/>
  <c r="F132" i="221" s="1"/>
  <c r="H71" i="44"/>
  <c r="F144" i="188"/>
  <c r="N14" i="187"/>
  <c r="O35" i="207"/>
  <c r="E124" i="220"/>
  <c r="J32" i="207" s="1"/>
  <c r="I99" i="115"/>
  <c r="M99" i="115" s="1"/>
  <c r="O99" i="115" s="1"/>
  <c r="M20" i="207"/>
  <c r="E127" i="218"/>
  <c r="F127" i="218" s="1"/>
  <c r="M20" i="187"/>
  <c r="O13" i="187"/>
  <c r="M42" i="187"/>
  <c r="O35" i="187"/>
  <c r="O5" i="187"/>
  <c r="E135" i="194"/>
  <c r="F135" i="194" s="1"/>
  <c r="E163" i="239"/>
  <c r="I36" i="228" s="1"/>
  <c r="E133" i="220"/>
  <c r="F133" i="220" s="1"/>
  <c r="D17" i="228"/>
  <c r="F42" i="207"/>
  <c r="I40" i="207"/>
  <c r="F148" i="186"/>
  <c r="O215" i="115"/>
  <c r="E151" i="236"/>
  <c r="H26" i="228" s="1"/>
  <c r="E123" i="200"/>
  <c r="F123" i="200" s="1"/>
  <c r="F131" i="204"/>
  <c r="F136" i="205"/>
  <c r="I36" i="207"/>
  <c r="L14" i="207"/>
  <c r="K18" i="207"/>
  <c r="F131" i="223"/>
  <c r="C135" i="136"/>
  <c r="E168" i="73"/>
  <c r="E171" i="73" s="1"/>
  <c r="E172" i="73" s="1"/>
  <c r="F142" i="215"/>
  <c r="H36" i="207"/>
  <c r="K16" i="187"/>
  <c r="D26" i="207"/>
  <c r="E126" i="221"/>
  <c r="K25" i="207" s="1"/>
  <c r="L37" i="187"/>
  <c r="F20" i="187"/>
  <c r="I17" i="187"/>
  <c r="G25" i="207"/>
  <c r="F141" i="225"/>
  <c r="E128" i="227"/>
  <c r="E40" i="228" s="1"/>
  <c r="J17" i="187"/>
  <c r="E134" i="205"/>
  <c r="O25" i="187" s="1"/>
  <c r="G13" i="187"/>
  <c r="E124" i="218"/>
  <c r="I5" i="115"/>
  <c r="M5" i="115" s="1"/>
  <c r="O5" i="115" s="1"/>
  <c r="F17" i="207"/>
  <c r="I31" i="187"/>
  <c r="E136" i="216"/>
  <c r="H25" i="207" s="1"/>
  <c r="L9" i="207"/>
  <c r="E139" i="198"/>
  <c r="F139" i="198" s="1"/>
  <c r="F125" i="200"/>
  <c r="F42" i="187"/>
  <c r="E131" i="208"/>
  <c r="F131" i="208" s="1"/>
  <c r="E136" i="194"/>
  <c r="H38" i="187" s="1"/>
  <c r="M14" i="187"/>
  <c r="F9" i="207"/>
  <c r="E133" i="195"/>
  <c r="I27" i="187" s="1"/>
  <c r="I20" i="187"/>
  <c r="E120" i="224"/>
  <c r="F120" i="224" s="1"/>
  <c r="F146" i="189"/>
  <c r="O40" i="207"/>
  <c r="E138" i="208"/>
  <c r="F138" i="208" s="1"/>
  <c r="G39" i="207"/>
  <c r="F150" i="216"/>
  <c r="H17" i="207"/>
  <c r="E141" i="226"/>
  <c r="D42" i="228" s="1"/>
  <c r="K38" i="187"/>
  <c r="E129" i="227"/>
  <c r="E41" i="228" s="1"/>
  <c r="D4" i="207"/>
  <c r="L13" i="207"/>
  <c r="E118" i="223"/>
  <c r="F118" i="223" s="1"/>
  <c r="F129" i="222"/>
  <c r="N7" i="187"/>
  <c r="F131" i="209"/>
  <c r="J39" i="187"/>
  <c r="I4" i="207"/>
  <c r="E143" i="186"/>
  <c r="D36" i="187" s="1"/>
  <c r="G18" i="187"/>
  <c r="E142" i="189"/>
  <c r="F142" i="189" s="1"/>
  <c r="M5" i="187"/>
  <c r="I16" i="228"/>
  <c r="E140" i="209"/>
  <c r="F40" i="207" s="1"/>
  <c r="F119" i="197"/>
  <c r="O14" i="207"/>
  <c r="L15" i="187"/>
  <c r="E127" i="193"/>
  <c r="F127" i="193" s="1"/>
  <c r="E128" i="188"/>
  <c r="E26" i="187" s="1"/>
  <c r="E119" i="115"/>
  <c r="H75" i="35"/>
  <c r="E138" i="222"/>
  <c r="J34" i="43"/>
  <c r="E27" i="228"/>
  <c r="F108" i="224"/>
  <c r="N29" i="207"/>
  <c r="E38" i="228"/>
  <c r="F126" i="227"/>
  <c r="E162" i="239"/>
  <c r="I35" i="228" s="1"/>
  <c r="D7" i="228"/>
  <c r="F146" i="225"/>
  <c r="E128" i="194"/>
  <c r="F128" i="194" s="1"/>
  <c r="H74" i="47"/>
  <c r="F128" i="209"/>
  <c r="F146" i="216"/>
  <c r="O11" i="207"/>
  <c r="E136" i="221"/>
  <c r="F136" i="221" s="1"/>
  <c r="E15" i="228"/>
  <c r="N3" i="207"/>
  <c r="N40" i="187"/>
  <c r="E129" i="194"/>
  <c r="H31" i="187" s="1"/>
  <c r="I100" i="115"/>
  <c r="M100" i="115" s="1"/>
  <c r="O100" i="115" s="1"/>
  <c r="E138" i="194"/>
  <c r="H46" i="176"/>
  <c r="A19" i="192"/>
  <c r="E160" i="236"/>
  <c r="H35" i="228" s="1"/>
  <c r="E126" i="208"/>
  <c r="F126" i="208" s="1"/>
  <c r="E122" i="223"/>
  <c r="K35" i="187"/>
  <c r="E35" i="228"/>
  <c r="E137" i="209"/>
  <c r="F137" i="209" s="1"/>
  <c r="E143" i="216"/>
  <c r="H32" i="207" s="1"/>
  <c r="E6" i="228"/>
  <c r="L17" i="207"/>
  <c r="L32" i="187"/>
  <c r="L27" i="187"/>
  <c r="E16" i="207"/>
  <c r="F135" i="222"/>
  <c r="L10" i="187"/>
  <c r="H15" i="207"/>
  <c r="F147" i="196"/>
  <c r="J19" i="187"/>
  <c r="M33" i="187"/>
  <c r="E137" i="194"/>
  <c r="H39" i="187" s="1"/>
  <c r="E38" i="207"/>
  <c r="E127" i="208"/>
  <c r="E136" i="208"/>
  <c r="F136" i="208" s="1"/>
  <c r="E142" i="186"/>
  <c r="F142" i="186" s="1"/>
  <c r="F8" i="207"/>
  <c r="K115" i="114"/>
  <c r="K5" i="116" s="1"/>
  <c r="K115" i="116" s="1"/>
  <c r="K5" i="117" s="1"/>
  <c r="K128" i="117" s="1"/>
  <c r="K5" i="119" s="1"/>
  <c r="K110" i="119" s="1"/>
  <c r="K5" i="120" s="1"/>
  <c r="K129" i="120" s="1"/>
  <c r="K5" i="121" s="1"/>
  <c r="K115" i="121" s="1"/>
  <c r="K5" i="123" s="1"/>
  <c r="K89" i="123" s="1"/>
  <c r="K5" i="124" s="1"/>
  <c r="K111" i="124" s="1"/>
  <c r="K5" i="125" s="1"/>
  <c r="K120" i="125" s="1"/>
  <c r="K5" i="126" s="1"/>
  <c r="K116" i="126" s="1"/>
  <c r="K5" i="127" s="1"/>
  <c r="K115" i="127" s="1"/>
  <c r="K5" i="128" s="1"/>
  <c r="K119" i="128" s="1"/>
  <c r="K5" i="129" s="1"/>
  <c r="K120" i="129" s="1"/>
  <c r="K5" i="130" s="1"/>
  <c r="K117" i="130" s="1"/>
  <c r="K5" i="131" s="1"/>
  <c r="K110" i="131" s="1"/>
  <c r="K5" i="132" s="1"/>
  <c r="K107" i="132" s="1"/>
  <c r="K5" i="133" s="1"/>
  <c r="K135" i="133" s="1"/>
  <c r="K5" i="134" s="1"/>
  <c r="K122" i="134" s="1"/>
  <c r="K5" i="136" s="1"/>
  <c r="K115" i="136" s="1"/>
  <c r="K116" i="136" s="1"/>
  <c r="K5" i="139" s="1"/>
  <c r="K119" i="139" s="1"/>
  <c r="K120" i="139" s="1"/>
  <c r="K5" i="140" s="1"/>
  <c r="K111" i="140" s="1"/>
  <c r="K112" i="140" s="1"/>
  <c r="K5" i="141" s="1"/>
  <c r="K130" i="141" s="1"/>
  <c r="K131" i="141" s="1"/>
  <c r="K5" i="144" s="1"/>
  <c r="K116" i="144" s="1"/>
  <c r="K117" i="144" s="1"/>
  <c r="K5" i="145" s="1"/>
  <c r="K125" i="145" s="1"/>
  <c r="K126" i="145" s="1"/>
  <c r="K5" i="146" s="1"/>
  <c r="K119" i="146" s="1"/>
  <c r="K120" i="146" s="1"/>
  <c r="K5" i="148" s="1"/>
  <c r="K124" i="148" s="1"/>
  <c r="K125" i="148" s="1"/>
  <c r="K5" i="149" s="1"/>
  <c r="K123" i="149" s="1"/>
  <c r="K124" i="149" s="1"/>
  <c r="K5" i="152" s="1"/>
  <c r="K129" i="152" s="1"/>
  <c r="K130" i="152" s="1"/>
  <c r="K5" i="153" s="1"/>
  <c r="K143" i="153" s="1"/>
  <c r="K144" i="153" s="1"/>
  <c r="K5" i="154" s="1"/>
  <c r="K143" i="154" s="1"/>
  <c r="K144" i="154" s="1"/>
  <c r="K5" i="157" s="1"/>
  <c r="K128" i="157" s="1"/>
  <c r="K129" i="157" s="1"/>
  <c r="K5" i="159" s="1"/>
  <c r="K125" i="159" s="1"/>
  <c r="K126" i="159" s="1"/>
  <c r="K5" i="160" s="1"/>
  <c r="K108" i="160" s="1"/>
  <c r="K109" i="160" s="1"/>
  <c r="K5" i="161" s="1"/>
  <c r="K108" i="161" s="1"/>
  <c r="K109" i="161" s="1"/>
  <c r="K5" i="162" s="1"/>
  <c r="K116" i="162" s="1"/>
  <c r="K117" i="162" s="1"/>
  <c r="K5" i="163" s="1"/>
  <c r="K121" i="163" s="1"/>
  <c r="K122" i="163" s="1"/>
  <c r="K5" i="164" s="1"/>
  <c r="K112" i="164" s="1"/>
  <c r="K113" i="164" s="1"/>
  <c r="K5" i="165" s="1"/>
  <c r="K128" i="165" s="1"/>
  <c r="K129" i="165" s="1"/>
  <c r="K5" i="167" s="1"/>
  <c r="K131" i="167" s="1"/>
  <c r="K132" i="167" s="1"/>
  <c r="K5" i="168" s="1"/>
  <c r="K119" i="168" s="1"/>
  <c r="K120" i="168" s="1"/>
  <c r="K5" i="169" s="1"/>
  <c r="K138" i="169" s="1"/>
  <c r="K139" i="169" s="1"/>
  <c r="K5" i="171" s="1"/>
  <c r="K139" i="171" s="1"/>
  <c r="K140" i="171" s="1"/>
  <c r="K5" i="173" s="1"/>
  <c r="K119" i="173" s="1"/>
  <c r="K120" i="173" s="1"/>
  <c r="K5" i="175" s="1"/>
  <c r="K136" i="175" s="1"/>
  <c r="K137" i="175" s="1"/>
  <c r="K5" i="177" s="1"/>
  <c r="K130" i="177" s="1"/>
  <c r="K131" i="177" s="1"/>
  <c r="K5" i="178" s="1"/>
  <c r="K128" i="178" s="1"/>
  <c r="K129" i="178" s="1"/>
  <c r="K5" i="179" s="1"/>
  <c r="K139" i="179" s="1"/>
  <c r="K140" i="179" s="1"/>
  <c r="K5" i="180" s="1"/>
  <c r="K124" i="180" s="1"/>
  <c r="K125" i="180" s="1"/>
  <c r="K5" i="181" s="1"/>
  <c r="K131" i="181" s="1"/>
  <c r="K132" i="181" s="1"/>
  <c r="K4" i="182" s="1"/>
  <c r="K121" i="182" s="1"/>
  <c r="K122" i="182" s="1"/>
  <c r="K5" i="183" s="1"/>
  <c r="K128" i="183" s="1"/>
  <c r="K129" i="183" s="1"/>
  <c r="K5" i="184" s="1"/>
  <c r="K135" i="184" s="1"/>
  <c r="K136" i="184" s="1"/>
  <c r="K5" i="185" s="1"/>
  <c r="K124" i="185" s="1"/>
  <c r="K125" i="185" s="1"/>
  <c r="K5" i="186" s="1"/>
  <c r="K128" i="186" s="1"/>
  <c r="K129" i="186" s="1"/>
  <c r="K5" i="188" s="1"/>
  <c r="K123" i="188" s="1"/>
  <c r="K124" i="188" s="1"/>
  <c r="K5" i="189" s="1"/>
  <c r="K129" i="189" s="1"/>
  <c r="K130" i="189" s="1"/>
  <c r="K5" i="193" s="1"/>
  <c r="K122" i="193" s="1"/>
  <c r="K123" i="193" s="1"/>
  <c r="K5" i="194" s="1"/>
  <c r="K119" i="194" s="1"/>
  <c r="K120" i="194" s="1"/>
  <c r="K5" i="195" s="1"/>
  <c r="K127" i="195" s="1"/>
  <c r="K128" i="195" s="1"/>
  <c r="K5" i="196" s="1"/>
  <c r="K135" i="196" s="1"/>
  <c r="K136" i="196" s="1"/>
  <c r="K5" i="197" s="1"/>
  <c r="K111" i="197" s="1"/>
  <c r="K112" i="197" s="1"/>
  <c r="K5" i="198" s="1"/>
  <c r="K134" i="198" s="1"/>
  <c r="K135" i="198" s="1"/>
  <c r="K5" i="200" s="1"/>
  <c r="K119" i="200" s="1"/>
  <c r="K120" i="200" s="1"/>
  <c r="K5" i="202" s="1"/>
  <c r="K122" i="202" s="1"/>
  <c r="K123" i="202" s="1"/>
  <c r="M11" i="187"/>
  <c r="F4" i="207"/>
  <c r="O36" i="207"/>
  <c r="L13" i="187"/>
  <c r="E134" i="220"/>
  <c r="J42" i="207" s="1"/>
  <c r="N8" i="187"/>
  <c r="G19" i="207"/>
  <c r="G145" i="115"/>
  <c r="H145" i="115" s="1"/>
  <c r="E144" i="186"/>
  <c r="D37" i="187" s="1"/>
  <c r="I98" i="115"/>
  <c r="M98" i="115" s="1"/>
  <c r="O98" i="115" s="1"/>
  <c r="F146" i="186"/>
  <c r="E148" i="189"/>
  <c r="F40" i="187" s="1"/>
  <c r="N7" i="207"/>
  <c r="E4" i="207"/>
  <c r="D27" i="207"/>
  <c r="F7" i="207"/>
  <c r="H15" i="51"/>
  <c r="F129" i="209"/>
  <c r="E137" i="216"/>
  <c r="H26" i="207" s="1"/>
  <c r="E122" i="218"/>
  <c r="I27" i="207" s="1"/>
  <c r="F26" i="207"/>
  <c r="E140" i="226"/>
  <c r="D41" i="228" s="1"/>
  <c r="D6" i="207"/>
  <c r="F135" i="204"/>
  <c r="E126" i="222"/>
  <c r="L28" i="207" s="1"/>
  <c r="L35" i="187"/>
  <c r="N9" i="187"/>
  <c r="N18" i="187"/>
  <c r="K5" i="187"/>
  <c r="F131" i="202"/>
  <c r="E137" i="186"/>
  <c r="F137" i="186" s="1"/>
  <c r="D19" i="187"/>
  <c r="E126" i="197"/>
  <c r="F126" i="197" s="1"/>
  <c r="L3" i="187"/>
  <c r="E138" i="189"/>
  <c r="F138" i="189" s="1"/>
  <c r="F7" i="187"/>
  <c r="F148" i="205"/>
  <c r="F130" i="209"/>
  <c r="E126" i="215"/>
  <c r="F126" i="215" s="1"/>
  <c r="F106" i="224"/>
  <c r="E140" i="193"/>
  <c r="E136" i="218"/>
  <c r="F136" i="218" s="1"/>
  <c r="J11" i="187"/>
  <c r="E132" i="209"/>
  <c r="F32" i="207" s="1"/>
  <c r="F149" i="196"/>
  <c r="J35" i="187"/>
  <c r="E133" i="221"/>
  <c r="K32" i="207" s="1"/>
  <c r="E132" i="193"/>
  <c r="G31" i="187" s="1"/>
  <c r="F141" i="188"/>
  <c r="H16" i="207"/>
  <c r="I6" i="115"/>
  <c r="M6" i="115" s="1"/>
  <c r="O6" i="115" s="1"/>
  <c r="F129" i="204"/>
  <c r="E139" i="222"/>
  <c r="L41" i="207" s="1"/>
  <c r="F151" i="198"/>
  <c r="E139" i="189"/>
  <c r="M41" i="135"/>
  <c r="B34" i="122"/>
  <c r="B36" i="122" s="1"/>
  <c r="H13" i="228"/>
  <c r="H38" i="207"/>
  <c r="L8" i="207"/>
  <c r="J5" i="207"/>
  <c r="E139" i="208"/>
  <c r="E40" i="207" s="1"/>
  <c r="E140" i="189"/>
  <c r="I7" i="187"/>
  <c r="D20" i="187"/>
  <c r="E19" i="228"/>
  <c r="E8" i="228"/>
  <c r="D9" i="207"/>
  <c r="E126" i="223"/>
  <c r="E141" i="209"/>
  <c r="F41" i="207" s="1"/>
  <c r="I3" i="187"/>
  <c r="I25" i="187"/>
  <c r="M38" i="187"/>
  <c r="E138" i="186"/>
  <c r="D31" i="187" s="1"/>
  <c r="J13" i="187"/>
  <c r="B41" i="135"/>
  <c r="F135" i="200"/>
  <c r="O17" i="207"/>
  <c r="Q15" i="115"/>
  <c r="R15" i="115" s="1"/>
  <c r="M102" i="115"/>
  <c r="O102" i="115" s="1"/>
  <c r="D42" i="187"/>
  <c r="F6" i="207"/>
  <c r="N83" i="115"/>
  <c r="C3" i="106"/>
  <c r="B3" i="106" s="1"/>
  <c r="C58" i="106" s="1"/>
  <c r="C13" i="106"/>
  <c r="B13" i="106" s="1"/>
  <c r="C68" i="106" s="1"/>
  <c r="C15" i="92"/>
  <c r="B15" i="92" s="1"/>
  <c r="C70" i="92" s="1"/>
  <c r="D70" i="92" s="1"/>
  <c r="E138" i="225"/>
  <c r="O25" i="207" s="1"/>
  <c r="O39" i="207"/>
  <c r="G31" i="207"/>
  <c r="E135" i="226"/>
  <c r="D35" i="228" s="1"/>
  <c r="N18" i="207"/>
  <c r="O4" i="187"/>
  <c r="I3" i="115"/>
  <c r="M3" i="115" s="1"/>
  <c r="O3" i="115" s="1"/>
  <c r="M124" i="149"/>
  <c r="M5" i="152" s="1"/>
  <c r="M129" i="152" s="1"/>
  <c r="M130" i="152" s="1"/>
  <c r="M5" i="153" s="1"/>
  <c r="M143" i="153" s="1"/>
  <c r="M144" i="153" s="1"/>
  <c r="G14" i="187"/>
  <c r="F138" i="221"/>
  <c r="L16" i="187"/>
  <c r="E8" i="207"/>
  <c r="M16" i="187"/>
  <c r="L5" i="187"/>
  <c r="E130" i="220"/>
  <c r="J38" i="207" s="1"/>
  <c r="E129" i="197"/>
  <c r="E120" i="197"/>
  <c r="F120" i="197" s="1"/>
  <c r="H5" i="207"/>
  <c r="I97" i="240"/>
  <c r="E26" i="207"/>
  <c r="E17" i="187"/>
  <c r="J27" i="187"/>
  <c r="F141" i="196"/>
  <c r="N42" i="187"/>
  <c r="F143" i="202"/>
  <c r="F115" i="223"/>
  <c r="M26" i="207"/>
  <c r="F136" i="186"/>
  <c r="E133" i="189"/>
  <c r="E172" i="246"/>
  <c r="M29" i="228" s="1"/>
  <c r="J33" i="43"/>
  <c r="H42" i="207"/>
  <c r="E129" i="188"/>
  <c r="M43" i="106"/>
  <c r="H81" i="41"/>
  <c r="G3" i="187"/>
  <c r="I11" i="187"/>
  <c r="K131" i="205"/>
  <c r="K5" i="204" s="1"/>
  <c r="K119" i="204" s="1"/>
  <c r="K120" i="204" s="1"/>
  <c r="M5" i="208" s="1"/>
  <c r="M120" i="208" s="1"/>
  <c r="M121" i="208" s="1"/>
  <c r="M5" i="209" s="1"/>
  <c r="E124" i="208"/>
  <c r="O120" i="208"/>
  <c r="O121" i="208" s="1"/>
  <c r="O5" i="209" s="1"/>
  <c r="O121" i="209" s="1"/>
  <c r="O122" i="209" s="1"/>
  <c r="O5" i="215" s="1"/>
  <c r="O121" i="215" s="1"/>
  <c r="O122" i="215" s="1"/>
  <c r="O5" i="216" s="1"/>
  <c r="O132" i="216" s="1"/>
  <c r="O133" i="216" s="1"/>
  <c r="M150" i="115"/>
  <c r="D7" i="187"/>
  <c r="E124" i="194"/>
  <c r="E20" i="187"/>
  <c r="E139" i="188"/>
  <c r="E197" i="2"/>
  <c r="E201" i="2" s="1"/>
  <c r="E202" i="2" s="1"/>
  <c r="E285" i="2"/>
  <c r="E286" i="2" s="1"/>
  <c r="M131" i="205"/>
  <c r="M5" i="204" s="1"/>
  <c r="M119" i="204" s="1"/>
  <c r="M120" i="204" s="1"/>
  <c r="K5" i="208" s="1"/>
  <c r="K120" i="208" s="1"/>
  <c r="K121" i="208" s="1"/>
  <c r="K5" i="209" s="1"/>
  <c r="K121" i="209" s="1"/>
  <c r="K122" i="209" s="1"/>
  <c r="C10" i="172"/>
  <c r="N9" i="43" s="1"/>
  <c r="B37" i="155"/>
  <c r="A48" i="155" s="1"/>
  <c r="N20" i="187"/>
  <c r="E151" i="233"/>
  <c r="G42" i="228" s="1"/>
  <c r="H39" i="228"/>
  <c r="H13" i="187"/>
  <c r="C10" i="36"/>
  <c r="F11" i="43" s="1"/>
  <c r="J18" i="106"/>
  <c r="C4" i="36"/>
  <c r="B4" i="36" s="1"/>
  <c r="C68" i="36" s="1"/>
  <c r="O15" i="187"/>
  <c r="E139" i="233"/>
  <c r="G29" i="228" s="1"/>
  <c r="E136" i="233"/>
  <c r="F136" i="233" s="1"/>
  <c r="H5" i="228"/>
  <c r="E135" i="188"/>
  <c r="C11" i="76"/>
  <c r="B11" i="76" s="1"/>
  <c r="C58" i="76" s="1"/>
  <c r="D58" i="76" s="1"/>
  <c r="B43" i="106"/>
  <c r="E136" i="204"/>
  <c r="E138" i="233"/>
  <c r="G28" i="228" s="1"/>
  <c r="E142" i="115"/>
  <c r="E150" i="115" s="1"/>
  <c r="H150" i="115" s="1"/>
  <c r="I150" i="115" s="1"/>
  <c r="G142" i="115"/>
  <c r="H142" i="115" s="1"/>
  <c r="I142" i="115"/>
  <c r="K42" i="187"/>
  <c r="F132" i="197"/>
  <c r="N36" i="187"/>
  <c r="F137" i="202"/>
  <c r="C3" i="172"/>
  <c r="N2" i="43" s="1"/>
  <c r="F142" i="216"/>
  <c r="E132" i="226"/>
  <c r="D32" i="228" s="1"/>
  <c r="E131" i="221"/>
  <c r="K30" i="207" s="1"/>
  <c r="F132" i="220"/>
  <c r="N26" i="187"/>
  <c r="F110" i="224"/>
  <c r="F29" i="187"/>
  <c r="E120" i="218"/>
  <c r="F120" i="218" s="1"/>
  <c r="D18" i="187"/>
  <c r="J31" i="187"/>
  <c r="E129" i="193"/>
  <c r="G28" i="187" s="1"/>
  <c r="F137" i="226"/>
  <c r="R150" i="216"/>
  <c r="F140" i="225"/>
  <c r="E127" i="221"/>
  <c r="E127" i="223"/>
  <c r="F127" i="223" s="1"/>
  <c r="D8" i="207"/>
  <c r="E128" i="193"/>
  <c r="B37" i="76"/>
  <c r="B38" i="76" s="1"/>
  <c r="E144" i="195"/>
  <c r="D17" i="207"/>
  <c r="E123" i="220"/>
  <c r="D41" i="2"/>
  <c r="D18" i="2"/>
  <c r="B60" i="207"/>
  <c r="A65" i="207" s="1"/>
  <c r="F121" i="220"/>
  <c r="H15" i="228"/>
  <c r="F19" i="228"/>
  <c r="E162" i="236"/>
  <c r="F162" i="236" s="1"/>
  <c r="M25" i="207"/>
  <c r="I20" i="207"/>
  <c r="E133" i="188"/>
  <c r="E13" i="207"/>
  <c r="E143" i="195"/>
  <c r="O18" i="187"/>
  <c r="O120" i="194"/>
  <c r="Q5" i="195" s="1"/>
  <c r="Q127" i="195" s="1"/>
  <c r="Q128" i="195" s="1"/>
  <c r="Q5" i="196" s="1"/>
  <c r="Q135" i="196" s="1"/>
  <c r="Q136" i="196" s="1"/>
  <c r="Q5" i="197" s="1"/>
  <c r="Q111" i="197" s="1"/>
  <c r="Q112" i="197" s="1"/>
  <c r="Q5" i="198" s="1"/>
  <c r="Q134" i="198" s="1"/>
  <c r="Q135" i="198" s="1"/>
  <c r="Q5" i="200" s="1"/>
  <c r="Q119" i="200" s="1"/>
  <c r="Q120" i="200" s="1"/>
  <c r="Q5" i="202" s="1"/>
  <c r="Q122" i="202" s="1"/>
  <c r="Q123" i="202" s="1"/>
  <c r="E140" i="208"/>
  <c r="E141" i="233"/>
  <c r="G31" i="228" s="1"/>
  <c r="F111" i="224"/>
  <c r="E136" i="209"/>
  <c r="F136" i="209" s="1"/>
  <c r="F137" i="218"/>
  <c r="N40" i="207"/>
  <c r="E143" i="188"/>
  <c r="E41" i="187" s="1"/>
  <c r="D40" i="207"/>
  <c r="L35" i="207"/>
  <c r="M3" i="207"/>
  <c r="N9" i="207"/>
  <c r="E127" i="194"/>
  <c r="E145" i="186"/>
  <c r="F145" i="186" s="1"/>
  <c r="E134" i="186"/>
  <c r="F134" i="186" s="1"/>
  <c r="E135" i="186"/>
  <c r="D28" i="187" s="1"/>
  <c r="F3" i="207"/>
  <c r="E136" i="189"/>
  <c r="F28" i="187" s="1"/>
  <c r="E127" i="188"/>
  <c r="L8" i="187"/>
  <c r="E144" i="196"/>
  <c r="J30" i="187" s="1"/>
  <c r="D17" i="187"/>
  <c r="E14" i="36"/>
  <c r="C10" i="207"/>
  <c r="P9" i="43" s="1"/>
  <c r="D40" i="228"/>
  <c r="F25" i="207"/>
  <c r="E7" i="228"/>
  <c r="L30" i="187"/>
  <c r="G17" i="207"/>
  <c r="F140" i="205"/>
  <c r="J25" i="207"/>
  <c r="F39" i="207"/>
  <c r="J18" i="207"/>
  <c r="E149" i="189"/>
  <c r="F41" i="187" s="1"/>
  <c r="E138" i="193"/>
  <c r="G37" i="187" s="1"/>
  <c r="D117" i="2"/>
  <c r="H84" i="46"/>
  <c r="E185" i="246"/>
  <c r="F185" i="246" s="1"/>
  <c r="C61" i="187"/>
  <c r="E186" i="2"/>
  <c r="E188" i="2" s="1"/>
  <c r="E255" i="2"/>
  <c r="E260" i="2" s="1"/>
  <c r="E274" i="2"/>
  <c r="E276" i="2" s="1"/>
  <c r="E296" i="2"/>
  <c r="E298" i="2" s="1"/>
  <c r="E144" i="233"/>
  <c r="F144" i="233" s="1"/>
  <c r="J34" i="228"/>
  <c r="E177" i="246"/>
  <c r="M34" i="228" s="1"/>
  <c r="O37" i="207"/>
  <c r="O5" i="207"/>
  <c r="E140" i="221"/>
  <c r="K39" i="207" s="1"/>
  <c r="U27" i="230"/>
  <c r="U28" i="230" s="1"/>
  <c r="I42" i="187"/>
  <c r="O15" i="207"/>
  <c r="N4" i="187"/>
  <c r="F128" i="202"/>
  <c r="E129" i="200"/>
  <c r="M31" i="187" s="1"/>
  <c r="E139" i="196"/>
  <c r="F139" i="196" s="1"/>
  <c r="E142" i="188"/>
  <c r="E126" i="194"/>
  <c r="F126" i="194" s="1"/>
  <c r="J9" i="187"/>
  <c r="H108" i="94"/>
  <c r="H5" i="95" s="1"/>
  <c r="H105" i="95" s="1"/>
  <c r="H106" i="95" s="1"/>
  <c r="H5" i="96" s="1"/>
  <c r="H92" i="96" s="1"/>
  <c r="H93" i="96" s="1"/>
  <c r="H5" i="97" s="1"/>
  <c r="H103" i="97" s="1"/>
  <c r="H104" i="97" s="1"/>
  <c r="H5" i="98" s="1"/>
  <c r="H108" i="98" s="1"/>
  <c r="H109" i="98" s="1"/>
  <c r="H5" i="100" s="1"/>
  <c r="H105" i="100" s="1"/>
  <c r="H106" i="100" s="1"/>
  <c r="H5" i="101" s="1"/>
  <c r="H106" i="101" s="1"/>
  <c r="H107" i="101" s="1"/>
  <c r="H5" i="102" s="1"/>
  <c r="H110" i="102" s="1"/>
  <c r="H111" i="102" s="1"/>
  <c r="H5" i="103" s="1"/>
  <c r="H113" i="103" s="1"/>
  <c r="H114" i="103" s="1"/>
  <c r="H5" i="104" s="1"/>
  <c r="H113" i="104" s="1"/>
  <c r="H114" i="104" s="1"/>
  <c r="I5" i="105" s="1"/>
  <c r="I111" i="105" s="1"/>
  <c r="I112" i="105" s="1"/>
  <c r="I5" i="107" s="1"/>
  <c r="I108" i="107" s="1"/>
  <c r="I109" i="107" s="1"/>
  <c r="I5" i="108" s="1"/>
  <c r="I113" i="108" s="1"/>
  <c r="I114" i="108" s="1"/>
  <c r="I5" i="109" s="1"/>
  <c r="I105" i="109" s="1"/>
  <c r="I106" i="109" s="1"/>
  <c r="I5" i="110" s="1"/>
  <c r="I114" i="110" s="1"/>
  <c r="I115" i="110" s="1"/>
  <c r="I5" i="112" s="1"/>
  <c r="I113" i="112" s="1"/>
  <c r="I114" i="112" s="1"/>
  <c r="I5" i="113" s="1"/>
  <c r="I113" i="113" s="1"/>
  <c r="I114" i="113" s="1"/>
  <c r="I5" i="114" s="1"/>
  <c r="I114" i="114" s="1"/>
  <c r="I115" i="114" s="1"/>
  <c r="I5" i="116" s="1"/>
  <c r="I114" i="116" s="1"/>
  <c r="I115" i="116" s="1"/>
  <c r="I5" i="117" s="1"/>
  <c r="I127" i="117" s="1"/>
  <c r="I128" i="117" s="1"/>
  <c r="I5" i="119" s="1"/>
  <c r="I109" i="119" s="1"/>
  <c r="I110" i="119" s="1"/>
  <c r="I5" i="120" s="1"/>
  <c r="I128" i="120" s="1"/>
  <c r="I129" i="120" s="1"/>
  <c r="I5" i="121" s="1"/>
  <c r="I114" i="121" s="1"/>
  <c r="I115" i="121" s="1"/>
  <c r="I5" i="123" s="1"/>
  <c r="I88" i="123" s="1"/>
  <c r="I89" i="123" s="1"/>
  <c r="I5" i="124" s="1"/>
  <c r="I110" i="124" s="1"/>
  <c r="I111" i="124" s="1"/>
  <c r="I5" i="125" s="1"/>
  <c r="I119" i="125" s="1"/>
  <c r="I120" i="125" s="1"/>
  <c r="I5" i="126" s="1"/>
  <c r="I115" i="126" s="1"/>
  <c r="I116" i="126" s="1"/>
  <c r="I5" i="127" s="1"/>
  <c r="I114" i="127" s="1"/>
  <c r="I115" i="127" s="1"/>
  <c r="I5" i="128" s="1"/>
  <c r="I118" i="128" s="1"/>
  <c r="I119" i="128" s="1"/>
  <c r="I5" i="129" s="1"/>
  <c r="I119" i="129" s="1"/>
  <c r="I120" i="129" s="1"/>
  <c r="I5" i="130" s="1"/>
  <c r="I116" i="130" s="1"/>
  <c r="I117" i="130" s="1"/>
  <c r="I5" i="131" s="1"/>
  <c r="I109" i="131" s="1"/>
  <c r="I110" i="131" s="1"/>
  <c r="I5" i="132" s="1"/>
  <c r="I106" i="132" s="1"/>
  <c r="I107" i="132" s="1"/>
  <c r="I5" i="133" s="1"/>
  <c r="I134" i="133" s="1"/>
  <c r="I135" i="133" s="1"/>
  <c r="I5" i="134" s="1"/>
  <c r="I121" i="134" s="1"/>
  <c r="I122" i="134" s="1"/>
  <c r="I5" i="136" s="1"/>
  <c r="I115" i="136" s="1"/>
  <c r="I116" i="136" s="1"/>
  <c r="I5" i="139" s="1"/>
  <c r="I119" i="139" s="1"/>
  <c r="I120" i="139" s="1"/>
  <c r="I5" i="140" s="1"/>
  <c r="I111" i="140" s="1"/>
  <c r="I112" i="140" s="1"/>
  <c r="I5" i="141" s="1"/>
  <c r="I130" i="141" s="1"/>
  <c r="I131" i="141" s="1"/>
  <c r="I5" i="144" s="1"/>
  <c r="I116" i="144" s="1"/>
  <c r="I117" i="144" s="1"/>
  <c r="I5" i="145" s="1"/>
  <c r="I125" i="145" s="1"/>
  <c r="I126" i="145" s="1"/>
  <c r="I5" i="146" s="1"/>
  <c r="I119" i="146" s="1"/>
  <c r="I120" i="146" s="1"/>
  <c r="I5" i="148" s="1"/>
  <c r="I124" i="148" s="1"/>
  <c r="I125" i="148" s="1"/>
  <c r="I5" i="149" s="1"/>
  <c r="I123" i="149" s="1"/>
  <c r="I124" i="149" s="1"/>
  <c r="I5" i="152" s="1"/>
  <c r="I129" i="152" s="1"/>
  <c r="I130" i="152" s="1"/>
  <c r="I5" i="153" s="1"/>
  <c r="I143" i="153" s="1"/>
  <c r="I144" i="153" s="1"/>
  <c r="I5" i="154" s="1"/>
  <c r="I143" i="154" s="1"/>
  <c r="I144" i="154" s="1"/>
  <c r="I5" i="157" s="1"/>
  <c r="I128" i="157" s="1"/>
  <c r="I129" i="157" s="1"/>
  <c r="I5" i="159" s="1"/>
  <c r="I125" i="159" s="1"/>
  <c r="I126" i="159" s="1"/>
  <c r="I5" i="160" s="1"/>
  <c r="I108" i="160" s="1"/>
  <c r="I109" i="160" s="1"/>
  <c r="I5" i="161" s="1"/>
  <c r="I108" i="161" s="1"/>
  <c r="I109" i="161" s="1"/>
  <c r="I5" i="162" s="1"/>
  <c r="I116" i="162" s="1"/>
  <c r="I117" i="162" s="1"/>
  <c r="I5" i="163" s="1"/>
  <c r="I121" i="163" s="1"/>
  <c r="I122" i="163" s="1"/>
  <c r="I5" i="164" s="1"/>
  <c r="I112" i="164" s="1"/>
  <c r="I113" i="164" s="1"/>
  <c r="I5" i="165" s="1"/>
  <c r="I128" i="165" s="1"/>
  <c r="I129" i="165" s="1"/>
  <c r="I5" i="167" s="1"/>
  <c r="I131" i="167" s="1"/>
  <c r="I132" i="167" s="1"/>
  <c r="I5" i="168" s="1"/>
  <c r="I119" i="168" s="1"/>
  <c r="I120" i="168" s="1"/>
  <c r="I5" i="169" s="1"/>
  <c r="I138" i="169" s="1"/>
  <c r="I139" i="169" s="1"/>
  <c r="I5" i="171" s="1"/>
  <c r="I139" i="171" s="1"/>
  <c r="I140" i="171" s="1"/>
  <c r="I5" i="173" s="1"/>
  <c r="I119" i="173" s="1"/>
  <c r="I120" i="173" s="1"/>
  <c r="I5" i="175" s="1"/>
  <c r="I136" i="175" s="1"/>
  <c r="I137" i="175" s="1"/>
  <c r="I5" i="177" s="1"/>
  <c r="I130" i="177" s="1"/>
  <c r="I131" i="177" s="1"/>
  <c r="I5" i="178" s="1"/>
  <c r="I128" i="178" s="1"/>
  <c r="I129" i="178" s="1"/>
  <c r="I5" i="179" s="1"/>
  <c r="I139" i="179" s="1"/>
  <c r="I140" i="179" s="1"/>
  <c r="I5" i="180" s="1"/>
  <c r="I124" i="180" s="1"/>
  <c r="I125" i="180" s="1"/>
  <c r="I5" i="181" s="1"/>
  <c r="I131" i="181" s="1"/>
  <c r="I132" i="181" s="1"/>
  <c r="I4" i="182" s="1"/>
  <c r="I121" i="182" s="1"/>
  <c r="I122" i="182" s="1"/>
  <c r="I5" i="183" s="1"/>
  <c r="I128" i="183" s="1"/>
  <c r="I129" i="183" s="1"/>
  <c r="I5" i="184" s="1"/>
  <c r="I135" i="184" s="1"/>
  <c r="I136" i="184" s="1"/>
  <c r="I5" i="185" s="1"/>
  <c r="I124" i="185" s="1"/>
  <c r="I125" i="185" s="1"/>
  <c r="I5" i="186" s="1"/>
  <c r="I128" i="186" s="1"/>
  <c r="I129" i="186" s="1"/>
  <c r="I5" i="188" s="1"/>
  <c r="I123" i="188" s="1"/>
  <c r="I124" i="188" s="1"/>
  <c r="I5" i="189" s="1"/>
  <c r="I129" i="189" s="1"/>
  <c r="I130" i="189" s="1"/>
  <c r="I5" i="193" s="1"/>
  <c r="I122" i="193" s="1"/>
  <c r="I123" i="193" s="1"/>
  <c r="I5" i="194" s="1"/>
  <c r="I119" i="194" s="1"/>
  <c r="I120" i="194" s="1"/>
  <c r="I5" i="195" s="1"/>
  <c r="I127" i="195" s="1"/>
  <c r="I128" i="195" s="1"/>
  <c r="I5" i="196" s="1"/>
  <c r="I135" i="196" s="1"/>
  <c r="I136" i="196" s="1"/>
  <c r="I5" i="197" s="1"/>
  <c r="I111" i="197" s="1"/>
  <c r="I112" i="197" s="1"/>
  <c r="I5" i="198" s="1"/>
  <c r="I134" i="198" s="1"/>
  <c r="I135" i="198" s="1"/>
  <c r="I5" i="200" s="1"/>
  <c r="I119" i="200" s="1"/>
  <c r="I120" i="200" s="1"/>
  <c r="I5" i="202" s="1"/>
  <c r="I122" i="202" s="1"/>
  <c r="I123" i="202" s="1"/>
  <c r="C19" i="172"/>
  <c r="B19" i="172" s="1"/>
  <c r="C59" i="172" s="1"/>
  <c r="B38" i="172"/>
  <c r="A43" i="172" s="1"/>
  <c r="O128" i="195"/>
  <c r="O5" i="196" s="1"/>
  <c r="O135" i="196" s="1"/>
  <c r="O136" i="196" s="1"/>
  <c r="O5" i="197" s="1"/>
  <c r="O111" i="197" s="1"/>
  <c r="O112" i="197" s="1"/>
  <c r="O5" i="198" s="1"/>
  <c r="O134" i="198" s="1"/>
  <c r="O135" i="198" s="1"/>
  <c r="O5" i="200" s="1"/>
  <c r="O119" i="200" s="1"/>
  <c r="O120" i="200" s="1"/>
  <c r="O5" i="202" s="1"/>
  <c r="O122" i="202" s="1"/>
  <c r="O123" i="202" s="1"/>
  <c r="E129" i="115"/>
  <c r="F128" i="220"/>
  <c r="I136" i="115"/>
  <c r="E145" i="225"/>
  <c r="H16" i="228"/>
  <c r="J4" i="228"/>
  <c r="C17" i="135"/>
  <c r="B17" i="135" s="1"/>
  <c r="C70" i="135" s="1"/>
  <c r="F146" i="195"/>
  <c r="I40" i="187"/>
  <c r="F134" i="200"/>
  <c r="M36" i="187"/>
  <c r="J7" i="187"/>
  <c r="E138" i="188"/>
  <c r="F138" i="188" s="1"/>
  <c r="C4" i="122"/>
  <c r="K3" i="43" s="1"/>
  <c r="C4" i="106"/>
  <c r="B4" i="106" s="1"/>
  <c r="C59" i="106" s="1"/>
  <c r="C4" i="92"/>
  <c r="I3" i="43" s="1"/>
  <c r="H16" i="76"/>
  <c r="C8" i="172"/>
  <c r="N7" i="43" s="1"/>
  <c r="U18" i="230"/>
  <c r="W18" i="230" s="1"/>
  <c r="H148" i="180"/>
  <c r="C148" i="180" s="1"/>
  <c r="O8" i="187"/>
  <c r="E9" i="207"/>
  <c r="E137" i="200"/>
  <c r="F137" i="200" s="1"/>
  <c r="U25" i="230"/>
  <c r="W25" i="230" s="1"/>
  <c r="U29" i="230"/>
  <c r="W29" i="230" s="1"/>
  <c r="F123" i="197"/>
  <c r="F151" i="225"/>
  <c r="K42" i="207"/>
  <c r="L39" i="207"/>
  <c r="M31" i="207"/>
  <c r="E130" i="222"/>
  <c r="L32" i="207" s="1"/>
  <c r="L20" i="187"/>
  <c r="O38" i="187"/>
  <c r="N7" i="115"/>
  <c r="N8" i="115" s="1"/>
  <c r="K13" i="187"/>
  <c r="K4" i="187"/>
  <c r="F33" i="207"/>
  <c r="N33" i="207"/>
  <c r="F130" i="208"/>
  <c r="N11" i="207"/>
  <c r="M10" i="187"/>
  <c r="C9" i="135"/>
  <c r="B9" i="135" s="1"/>
  <c r="C62" i="135" s="1"/>
  <c r="C14" i="135"/>
  <c r="B14" i="135" s="1"/>
  <c r="E148" i="233"/>
  <c r="I26" i="240"/>
  <c r="E151" i="241"/>
  <c r="J30" i="228" s="1"/>
  <c r="D176" i="91"/>
  <c r="H18" i="122"/>
  <c r="C7" i="172"/>
  <c r="N6" i="43" s="1"/>
  <c r="I18" i="187"/>
  <c r="J8" i="228"/>
  <c r="F182" i="246"/>
  <c r="E136" i="226"/>
  <c r="F20" i="207"/>
  <c r="J18" i="187"/>
  <c r="U23" i="230"/>
  <c r="W23" i="230" s="1"/>
  <c r="E28" i="228"/>
  <c r="H18" i="207"/>
  <c r="O16" i="207"/>
  <c r="F125" i="222"/>
  <c r="K20" i="207"/>
  <c r="F155" i="198"/>
  <c r="F137" i="204"/>
  <c r="F139" i="205"/>
  <c r="L8" i="115"/>
  <c r="H131" i="160"/>
  <c r="C131" i="160" s="1"/>
  <c r="C7" i="36"/>
  <c r="B7" i="36" s="1"/>
  <c r="C73" i="36" s="1"/>
  <c r="D15" i="58"/>
  <c r="C8" i="76"/>
  <c r="B8" i="76" s="1"/>
  <c r="C55" i="76" s="1"/>
  <c r="D55" i="76" s="1"/>
  <c r="B37" i="106"/>
  <c r="H14" i="187"/>
  <c r="E20" i="207"/>
  <c r="H18" i="228"/>
  <c r="U20" i="230"/>
  <c r="W20" i="230" s="1"/>
  <c r="E36" i="207"/>
  <c r="U19" i="230"/>
  <c r="W19" i="230" s="1"/>
  <c r="D34" i="228"/>
  <c r="J41" i="187"/>
  <c r="B51" i="187"/>
  <c r="B61" i="187" s="1"/>
  <c r="A65" i="187" s="1"/>
  <c r="M9" i="207"/>
  <c r="F11" i="207"/>
  <c r="H154" i="181"/>
  <c r="C154" i="181" s="1"/>
  <c r="E14" i="207"/>
  <c r="B42" i="1"/>
  <c r="G46" i="1" s="1"/>
  <c r="E107" i="224"/>
  <c r="H8" i="228"/>
  <c r="K17" i="228"/>
  <c r="U24" i="230"/>
  <c r="W24" i="230" s="1"/>
  <c r="K26" i="187"/>
  <c r="E124" i="223"/>
  <c r="F124" i="223" s="1"/>
  <c r="K14" i="207"/>
  <c r="O18" i="207"/>
  <c r="E42" i="207"/>
  <c r="N38" i="207"/>
  <c r="G11" i="207"/>
  <c r="M32" i="187"/>
  <c r="J14" i="207"/>
  <c r="I88" i="115"/>
  <c r="M88" i="115" s="1"/>
  <c r="O88" i="115" s="1"/>
  <c r="F90" i="57"/>
  <c r="F5" i="59" s="1"/>
  <c r="F83" i="59" s="1"/>
  <c r="F84" i="59" s="1"/>
  <c r="F5" i="60" s="1"/>
  <c r="F94" i="60" s="1"/>
  <c r="F95" i="60" s="1"/>
  <c r="F5" i="61" s="1"/>
  <c r="F101" i="61" s="1"/>
  <c r="F102" i="61" s="1"/>
  <c r="L15" i="207"/>
  <c r="K6" i="207"/>
  <c r="K9" i="228"/>
  <c r="J36" i="43"/>
  <c r="J40" i="43"/>
  <c r="F128" i="204"/>
  <c r="U26" i="230"/>
  <c r="W26" i="230" s="1"/>
  <c r="U21" i="230"/>
  <c r="W21" i="230" s="1"/>
  <c r="U17" i="230"/>
  <c r="W17" i="230" s="1"/>
  <c r="H40" i="207"/>
  <c r="E139" i="216"/>
  <c r="E126" i="226"/>
  <c r="D26" i="228" s="1"/>
  <c r="E142" i="225"/>
  <c r="L5" i="207"/>
  <c r="E134" i="193"/>
  <c r="E139" i="200"/>
  <c r="E118" i="220"/>
  <c r="E146" i="198"/>
  <c r="L33" i="187" s="1"/>
  <c r="E125" i="218"/>
  <c r="D33" i="187"/>
  <c r="C8" i="155"/>
  <c r="B8" i="155" s="1"/>
  <c r="C53" i="155" s="1"/>
  <c r="C11" i="106"/>
  <c r="J12" i="43" s="1"/>
  <c r="C10" i="76"/>
  <c r="B10" i="76" s="1"/>
  <c r="C57" i="76" s="1"/>
  <c r="D57" i="76" s="1"/>
  <c r="C12" i="36"/>
  <c r="B12" i="36" s="1"/>
  <c r="C77" i="36" s="1"/>
  <c r="J21" i="172"/>
  <c r="H21" i="172"/>
  <c r="F119" i="220"/>
  <c r="J27" i="207"/>
  <c r="J39" i="207"/>
  <c r="F131" i="220"/>
  <c r="F121" i="218"/>
  <c r="I26" i="207"/>
  <c r="F141" i="221"/>
  <c r="K40" i="207"/>
  <c r="F152" i="198"/>
  <c r="L39" i="187"/>
  <c r="C13" i="155"/>
  <c r="B13" i="155" s="1"/>
  <c r="C58" i="155" s="1"/>
  <c r="F145" i="195"/>
  <c r="I39" i="187"/>
  <c r="H27" i="207"/>
  <c r="F138" i="216"/>
  <c r="F118" i="227"/>
  <c r="F130" i="227"/>
  <c r="H146" i="149"/>
  <c r="C146" i="149" s="1"/>
  <c r="B43" i="92"/>
  <c r="F75" i="35"/>
  <c r="F5" i="37" s="1"/>
  <c r="F77" i="37" s="1"/>
  <c r="F78" i="37" s="1"/>
  <c r="F5" i="40" s="1"/>
  <c r="F71" i="40" s="1"/>
  <c r="F72" i="40" s="1"/>
  <c r="F5" i="41" s="1"/>
  <c r="F80" i="41" s="1"/>
  <c r="F81" i="41" s="1"/>
  <c r="F5" i="42" s="1"/>
  <c r="F79" i="42" s="1"/>
  <c r="F80" i="42" s="1"/>
  <c r="F5" i="44" s="1"/>
  <c r="F70" i="44" s="1"/>
  <c r="F71" i="44" s="1"/>
  <c r="F5" i="46" s="1"/>
  <c r="F83" i="46" s="1"/>
  <c r="F84" i="46" s="1"/>
  <c r="F5" i="47" s="1"/>
  <c r="F73" i="47" s="1"/>
  <c r="F74" i="47" s="1"/>
  <c r="F5" i="52" s="1"/>
  <c r="F80" i="52" s="1"/>
  <c r="F81" i="52" s="1"/>
  <c r="F5" i="53" s="1"/>
  <c r="F93" i="53" s="1"/>
  <c r="F94" i="53" s="1"/>
  <c r="F5" i="55" s="1"/>
  <c r="F75" i="55" s="1"/>
  <c r="F76" i="55" s="1"/>
  <c r="F5" i="56" s="1"/>
  <c r="F90" i="56" s="1"/>
  <c r="F91" i="56" s="1"/>
  <c r="B252" i="1"/>
  <c r="F14" i="36"/>
  <c r="I14" i="36"/>
  <c r="K14" i="36"/>
  <c r="M14" i="36"/>
  <c r="N14" i="36"/>
  <c r="O14" i="36"/>
  <c r="B57" i="36"/>
  <c r="C6" i="58"/>
  <c r="F15" i="58"/>
  <c r="O15" i="58"/>
  <c r="J16" i="76"/>
  <c r="J20" i="155"/>
  <c r="F150" i="196"/>
  <c r="H142" i="168"/>
  <c r="C142" i="168" s="1"/>
  <c r="H166" i="154"/>
  <c r="C166" i="154" s="1"/>
  <c r="D102" i="2"/>
  <c r="I16" i="92"/>
  <c r="C19" i="155"/>
  <c r="H13" i="176"/>
  <c r="D26" i="2"/>
  <c r="I9" i="187"/>
  <c r="E167" i="242"/>
  <c r="F167" i="242" s="1"/>
  <c r="F149" i="205"/>
  <c r="M39" i="71"/>
  <c r="D58" i="58"/>
  <c r="E153" i="73"/>
  <c r="E157" i="73" s="1"/>
  <c r="B31" i="58"/>
  <c r="L17" i="187"/>
  <c r="J17" i="207"/>
  <c r="E152" i="236"/>
  <c r="H27" i="228" s="1"/>
  <c r="K7" i="228"/>
  <c r="E18" i="122"/>
  <c r="C11" i="172"/>
  <c r="E43" i="176"/>
  <c r="E163" i="2"/>
  <c r="E168" i="2" s="1"/>
  <c r="E169" i="2" s="1"/>
  <c r="E234" i="2"/>
  <c r="E239" i="2" s="1"/>
  <c r="E140" i="196"/>
  <c r="E114" i="224"/>
  <c r="E157" i="241"/>
  <c r="J36" i="228" s="1"/>
  <c r="I44" i="240"/>
  <c r="E155" i="242"/>
  <c r="I53" i="240"/>
  <c r="M129" i="186"/>
  <c r="M5" i="188" s="1"/>
  <c r="M123" i="188" s="1"/>
  <c r="M124" i="188" s="1"/>
  <c r="M5" i="189" s="1"/>
  <c r="M129" i="189" s="1"/>
  <c r="M130" i="189" s="1"/>
  <c r="M5" i="193" s="1"/>
  <c r="M122" i="193" s="1"/>
  <c r="M123" i="193" s="1"/>
  <c r="M5" i="194" s="1"/>
  <c r="M119" i="194" s="1"/>
  <c r="M120" i="194" s="1"/>
  <c r="M5" i="195" s="1"/>
  <c r="M127" i="195" s="1"/>
  <c r="M128" i="195" s="1"/>
  <c r="M5" i="196" s="1"/>
  <c r="M135" i="196" s="1"/>
  <c r="M136" i="196" s="1"/>
  <c r="M5" i="197" s="1"/>
  <c r="M111" i="197" s="1"/>
  <c r="M112" i="197" s="1"/>
  <c r="M5" i="198" s="1"/>
  <c r="M134" i="198" s="1"/>
  <c r="M135" i="198" s="1"/>
  <c r="M5" i="200" s="1"/>
  <c r="M119" i="200" s="1"/>
  <c r="M120" i="200" s="1"/>
  <c r="M5" i="202" s="1"/>
  <c r="M122" i="202" s="1"/>
  <c r="M123" i="202" s="1"/>
  <c r="E144" i="198"/>
  <c r="E136" i="222"/>
  <c r="N20" i="207"/>
  <c r="C14" i="106"/>
  <c r="J15" i="43" s="1"/>
  <c r="C12" i="135"/>
  <c r="G20" i="155"/>
  <c r="C15" i="172"/>
  <c r="I105" i="240"/>
  <c r="J29" i="43"/>
  <c r="P137" i="240"/>
  <c r="P138" i="240" s="1"/>
  <c r="P139" i="240" s="1"/>
  <c r="H139" i="162"/>
  <c r="C139" i="162" s="1"/>
  <c r="H144" i="163"/>
  <c r="C144" i="163" s="1"/>
  <c r="H81" i="52"/>
  <c r="H5" i="53" s="1"/>
  <c r="H93" i="53" s="1"/>
  <c r="H94" i="53" s="1"/>
  <c r="H5" i="55" s="1"/>
  <c r="H75" i="55" s="1"/>
  <c r="H76" i="55" s="1"/>
  <c r="H5" i="56" s="1"/>
  <c r="H90" i="56" s="1"/>
  <c r="H91" i="56" s="1"/>
  <c r="H5" i="57" s="1"/>
  <c r="H89" i="57" s="1"/>
  <c r="H90" i="57" s="1"/>
  <c r="H5" i="59" s="1"/>
  <c r="H83" i="59" s="1"/>
  <c r="H84" i="59" s="1"/>
  <c r="H5" i="60" s="1"/>
  <c r="H94" i="60" s="1"/>
  <c r="H95" i="60" s="1"/>
  <c r="H5" i="61" s="1"/>
  <c r="H101" i="61" s="1"/>
  <c r="H102" i="61" s="1"/>
  <c r="H5" i="62" s="1"/>
  <c r="H90" i="62" s="1"/>
  <c r="H91" i="62" s="1"/>
  <c r="H5" i="65" s="1"/>
  <c r="H107" i="65" s="1"/>
  <c r="H108" i="65" s="1"/>
  <c r="H5" i="66" s="1"/>
  <c r="H104" i="66" s="1"/>
  <c r="H105" i="66" s="1"/>
  <c r="H5" i="67" s="1"/>
  <c r="H99" i="67" s="1"/>
  <c r="H100" i="67" s="1"/>
  <c r="H5" i="68" s="1"/>
  <c r="H87" i="68" s="1"/>
  <c r="H88" i="68" s="1"/>
  <c r="H5" i="71" s="1"/>
  <c r="H97" i="71" s="1"/>
  <c r="H98" i="71" s="1"/>
  <c r="H5" i="72" s="1"/>
  <c r="H90" i="72" s="1"/>
  <c r="H91" i="72" s="1"/>
  <c r="H5" i="74" s="1"/>
  <c r="H119" i="74" s="1"/>
  <c r="H120" i="74" s="1"/>
  <c r="H5" i="75" s="1"/>
  <c r="H110" i="75" s="1"/>
  <c r="H111" i="75" s="1"/>
  <c r="H5" i="77" s="1"/>
  <c r="H97" i="77" s="1"/>
  <c r="H98" i="77" s="1"/>
  <c r="H5" i="78" s="1"/>
  <c r="H93" i="78" s="1"/>
  <c r="H94" i="78" s="1"/>
  <c r="H5" i="79" s="1"/>
  <c r="H94" i="79" s="1"/>
  <c r="H95" i="79" s="1"/>
  <c r="H5" i="80" s="1"/>
  <c r="H115" i="80" s="1"/>
  <c r="H116" i="80" s="1"/>
  <c r="H5" i="81" s="1"/>
  <c r="H107" i="81" s="1"/>
  <c r="H108" i="81" s="1"/>
  <c r="H5" i="83" s="1"/>
  <c r="H102" i="83" s="1"/>
  <c r="H103" i="83" s="1"/>
  <c r="H5" i="84" s="1"/>
  <c r="H104" i="84" s="1"/>
  <c r="H105" i="84" s="1"/>
  <c r="H5" i="85" s="1"/>
  <c r="H107" i="85" s="1"/>
  <c r="H108" i="85" s="1"/>
  <c r="H5" i="86" s="1"/>
  <c r="H115" i="86" s="1"/>
  <c r="H116" i="86" s="1"/>
  <c r="H5" i="87" s="1"/>
  <c r="H104" i="87" s="1"/>
  <c r="H105" i="87" s="1"/>
  <c r="H5" i="89" s="1"/>
  <c r="H103" i="89" s="1"/>
  <c r="H104" i="89" s="1"/>
  <c r="H5" i="90" s="1"/>
  <c r="H91" i="90" s="1"/>
  <c r="H92" i="90" s="1"/>
  <c r="H5" i="93" s="1"/>
  <c r="H94" i="93" s="1"/>
  <c r="H95" i="93" s="1"/>
  <c r="B37" i="92"/>
  <c r="C130" i="2"/>
  <c r="I66" i="240"/>
  <c r="F117" i="197"/>
  <c r="G41" i="207"/>
  <c r="I20" i="155"/>
  <c r="E163" i="241"/>
  <c r="J42" i="228" s="1"/>
  <c r="D249" i="4"/>
  <c r="P4" i="214"/>
  <c r="Q4" i="214" s="1"/>
  <c r="C3" i="36"/>
  <c r="C5" i="92"/>
  <c r="C3" i="122"/>
  <c r="G18" i="122"/>
  <c r="F150" i="241"/>
  <c r="J29" i="228"/>
  <c r="F160" i="241"/>
  <c r="J39" i="228"/>
  <c r="H151" i="178"/>
  <c r="C151" i="178" s="1"/>
  <c r="H148" i="159"/>
  <c r="C148" i="159" s="1"/>
  <c r="O20" i="135"/>
  <c r="E12" i="91"/>
  <c r="C11" i="122"/>
  <c r="B11" i="122" s="1"/>
  <c r="C59" i="122" s="1"/>
  <c r="K3" i="187"/>
  <c r="E115" i="197"/>
  <c r="J15" i="207"/>
  <c r="E129" i="220"/>
  <c r="J37" i="207" s="1"/>
  <c r="F137" i="233"/>
  <c r="G27" i="228"/>
  <c r="F158" i="242"/>
  <c r="K32" i="228"/>
  <c r="F147" i="186"/>
  <c r="D40" i="187"/>
  <c r="I111" i="115"/>
  <c r="M111" i="115" s="1"/>
  <c r="L114" i="115"/>
  <c r="G14" i="36"/>
  <c r="C9" i="36"/>
  <c r="C16" i="106"/>
  <c r="J18" i="43" s="1"/>
  <c r="C12" i="106"/>
  <c r="B12" i="106" s="1"/>
  <c r="C67" i="106" s="1"/>
  <c r="K18" i="106"/>
  <c r="M18" i="106"/>
  <c r="C9" i="106"/>
  <c r="J9" i="43" s="1"/>
  <c r="C7" i="106"/>
  <c r="J7" i="43" s="1"/>
  <c r="F18" i="106"/>
  <c r="C6" i="122"/>
  <c r="C12" i="122"/>
  <c r="B12" i="122" s="1"/>
  <c r="C60" i="122" s="1"/>
  <c r="C17" i="155"/>
  <c r="D4" i="172"/>
  <c r="D21" i="172" s="1"/>
  <c r="H162" i="171"/>
  <c r="C162" i="171" s="1"/>
  <c r="C9" i="172"/>
  <c r="F135" i="205"/>
  <c r="O26" i="187"/>
  <c r="E142" i="205"/>
  <c r="O11" i="187"/>
  <c r="E130" i="218"/>
  <c r="I13" i="207"/>
  <c r="E118" i="224"/>
  <c r="N17" i="207"/>
  <c r="I16" i="240"/>
  <c r="D28" i="228"/>
  <c r="D30" i="228"/>
  <c r="C7" i="92"/>
  <c r="I7" i="43" s="1"/>
  <c r="N111" i="115"/>
  <c r="N114" i="115" s="1"/>
  <c r="C12" i="92"/>
  <c r="C15" i="122"/>
  <c r="B15" i="122" s="1"/>
  <c r="C63" i="122" s="1"/>
  <c r="F135" i="195"/>
  <c r="I29" i="187"/>
  <c r="H16" i="92"/>
  <c r="I89" i="115"/>
  <c r="M89" i="115" s="1"/>
  <c r="O89" i="115" s="1"/>
  <c r="N89" i="115"/>
  <c r="O37" i="187"/>
  <c r="F146" i="205"/>
  <c r="H7" i="207"/>
  <c r="E140" i="216"/>
  <c r="K15" i="207"/>
  <c r="E165" i="242"/>
  <c r="K16" i="228"/>
  <c r="J15" i="58"/>
  <c r="C6" i="155"/>
  <c r="M5" i="43" s="1"/>
  <c r="E130" i="194"/>
  <c r="H10" i="187"/>
  <c r="E127" i="220"/>
  <c r="J13" i="207"/>
  <c r="E152" i="229"/>
  <c r="F152" i="229" s="1"/>
  <c r="F5" i="228"/>
  <c r="F9" i="2"/>
  <c r="H9" i="2" s="1"/>
  <c r="H10" i="2" s="1"/>
  <c r="H11" i="2" s="1"/>
  <c r="H12" i="2" s="1"/>
  <c r="C3" i="76"/>
  <c r="B51" i="36"/>
  <c r="F16" i="76"/>
  <c r="L16" i="76"/>
  <c r="N16" i="76"/>
  <c r="G16" i="92"/>
  <c r="C14" i="92"/>
  <c r="I15" i="43" s="1"/>
  <c r="C4" i="76"/>
  <c r="E9" i="228"/>
  <c r="E121" i="227"/>
  <c r="E87" i="73"/>
  <c r="E91" i="73" s="1"/>
  <c r="C5" i="76"/>
  <c r="H5" i="43" s="1"/>
  <c r="O16" i="76"/>
  <c r="C14" i="76"/>
  <c r="H15" i="43" s="1"/>
  <c r="C17" i="106"/>
  <c r="D5" i="207"/>
  <c r="O9" i="187"/>
  <c r="G131" i="205"/>
  <c r="G5" i="204" s="1"/>
  <c r="G119" i="204" s="1"/>
  <c r="G120" i="204" s="1"/>
  <c r="G5" i="208" s="1"/>
  <c r="G120" i="208" s="1"/>
  <c r="G121" i="208" s="1"/>
  <c r="G5" i="209" s="1"/>
  <c r="G121" i="209" s="1"/>
  <c r="G122" i="209" s="1"/>
  <c r="G5" i="215" s="1"/>
  <c r="G121" i="215" s="1"/>
  <c r="G122" i="215" s="1"/>
  <c r="G5" i="216" s="1"/>
  <c r="G132" i="216" s="1"/>
  <c r="G133" i="216" s="1"/>
  <c r="G5" i="218" s="1"/>
  <c r="G116" i="218" s="1"/>
  <c r="G117" i="218" s="1"/>
  <c r="G5" i="220" s="1"/>
  <c r="G113" i="220" s="1"/>
  <c r="G114" i="220" s="1"/>
  <c r="G5" i="221" s="1"/>
  <c r="G122" i="221" s="1"/>
  <c r="G123" i="221" s="1"/>
  <c r="G5" i="222" s="1"/>
  <c r="G119" i="222" s="1"/>
  <c r="G120" i="222" s="1"/>
  <c r="G5" i="223" s="1"/>
  <c r="G110" i="223" s="1"/>
  <c r="G111" i="223" s="1"/>
  <c r="G5" i="224" s="1"/>
  <c r="G100" i="224" s="1"/>
  <c r="G101" i="224" s="1"/>
  <c r="G5" i="225" s="1"/>
  <c r="G134" i="225" s="1"/>
  <c r="G135" i="225" s="1"/>
  <c r="G5" i="226" s="1"/>
  <c r="G122" i="226" s="1"/>
  <c r="G123" i="226" s="1"/>
  <c r="G5" i="227" s="1"/>
  <c r="G111" i="227" s="1"/>
  <c r="G112" i="227" s="1"/>
  <c r="G5" i="229" s="1"/>
  <c r="G146" i="229" s="1"/>
  <c r="G147" i="229" s="1"/>
  <c r="G5" i="233" s="1"/>
  <c r="G132" i="233" s="1"/>
  <c r="G133" i="233" s="1"/>
  <c r="G5" i="236" s="1"/>
  <c r="G147" i="236" s="1"/>
  <c r="G148" i="236" s="1"/>
  <c r="G5" i="239" s="1"/>
  <c r="G149" i="239" s="1"/>
  <c r="G150" i="239" s="1"/>
  <c r="G5" i="241" s="1"/>
  <c r="G143" i="241" s="1"/>
  <c r="G144" i="241" s="1"/>
  <c r="G5" i="242" s="1"/>
  <c r="G148" i="242" s="1"/>
  <c r="G149" i="242" s="1"/>
  <c r="G5" i="245" s="1"/>
  <c r="G145" i="245" s="1"/>
  <c r="G146" i="245" s="1"/>
  <c r="G5" i="246" s="1"/>
  <c r="G165" i="246" s="1"/>
  <c r="G166" i="246" s="1"/>
  <c r="G5" i="248" s="1"/>
  <c r="G183" i="248" s="1"/>
  <c r="G184" i="248" s="1"/>
  <c r="G5" i="249" s="1"/>
  <c r="G184" i="249" s="1"/>
  <c r="G185" i="249" s="1"/>
  <c r="E128" i="208"/>
  <c r="F128" i="208" s="1"/>
  <c r="E138" i="209"/>
  <c r="N4" i="207"/>
  <c r="E150" i="233"/>
  <c r="F150" i="233" s="1"/>
  <c r="H17" i="228"/>
  <c r="F166" i="242"/>
  <c r="K19" i="228"/>
  <c r="F150" i="245"/>
  <c r="I87" i="115"/>
  <c r="M87" i="115" s="1"/>
  <c r="O87" i="115" s="1"/>
  <c r="C13" i="76"/>
  <c r="J18" i="122"/>
  <c r="K18" i="122"/>
  <c r="N18" i="122"/>
  <c r="C17" i="122"/>
  <c r="B35" i="135"/>
  <c r="A56" i="135" s="1"/>
  <c r="C15" i="135"/>
  <c r="L15" i="43" s="1"/>
  <c r="C6" i="135"/>
  <c r="C13" i="135"/>
  <c r="B13" i="135" s="1"/>
  <c r="C66" i="135" s="1"/>
  <c r="G20" i="135"/>
  <c r="C11" i="135"/>
  <c r="C7" i="135"/>
  <c r="M20" i="135"/>
  <c r="C7" i="76"/>
  <c r="I15" i="58"/>
  <c r="C12" i="155"/>
  <c r="E130" i="197"/>
  <c r="E134" i="204"/>
  <c r="I16" i="207"/>
  <c r="E149" i="233"/>
  <c r="G40" i="228" s="1"/>
  <c r="A39" i="230"/>
  <c r="H11" i="228"/>
  <c r="I7" i="240"/>
  <c r="E154" i="242"/>
  <c r="F154" i="242" s="1"/>
  <c r="K13" i="228"/>
  <c r="O28" i="214"/>
  <c r="P28" i="214" s="1"/>
  <c r="B65" i="36"/>
  <c r="K15" i="58"/>
  <c r="C7" i="58"/>
  <c r="G7" i="43" s="1"/>
  <c r="N15" i="58"/>
  <c r="B46" i="58"/>
  <c r="B47" i="76"/>
  <c r="D16" i="76"/>
  <c r="M16" i="76"/>
  <c r="C9" i="76"/>
  <c r="B32" i="76"/>
  <c r="B43" i="155"/>
  <c r="K21" i="172"/>
  <c r="O17" i="187"/>
  <c r="K15" i="228"/>
  <c r="C9" i="58"/>
  <c r="H15" i="58"/>
  <c r="E132" i="186"/>
  <c r="E127" i="200"/>
  <c r="N5" i="187"/>
  <c r="O16" i="187"/>
  <c r="E119" i="223"/>
  <c r="F142" i="233"/>
  <c r="E149" i="241"/>
  <c r="F149" i="241" s="1"/>
  <c r="J3" i="228"/>
  <c r="I74" i="240"/>
  <c r="C13" i="172"/>
  <c r="Q137" i="240"/>
  <c r="Q138" i="240" s="1"/>
  <c r="Q139" i="240" s="1"/>
  <c r="N20" i="155"/>
  <c r="C6" i="172"/>
  <c r="C18" i="172"/>
  <c r="E138" i="215"/>
  <c r="E145" i="233"/>
  <c r="N8" i="228"/>
  <c r="N3" i="228"/>
  <c r="C16" i="135"/>
  <c r="C15" i="106"/>
  <c r="B15" i="106" s="1"/>
  <c r="C70" i="106" s="1"/>
  <c r="I61" i="240"/>
  <c r="E153" i="242"/>
  <c r="K27" i="228" s="1"/>
  <c r="N24" i="214"/>
  <c r="F187" i="248"/>
  <c r="N10" i="228"/>
  <c r="D312" i="4"/>
  <c r="J39" i="43"/>
  <c r="J30" i="43"/>
  <c r="J27" i="43"/>
  <c r="J37" i="43"/>
  <c r="J35" i="43"/>
  <c r="J42" i="43"/>
  <c r="L47" i="238"/>
  <c r="R3" i="43"/>
  <c r="C70" i="251"/>
  <c r="E206" i="249"/>
  <c r="I43" i="235"/>
  <c r="F179" i="252"/>
  <c r="M11" i="235"/>
  <c r="P11" i="235" s="1"/>
  <c r="Q11" i="235" s="1"/>
  <c r="I14" i="235"/>
  <c r="M9" i="235" s="1"/>
  <c r="O9" i="235" s="1"/>
  <c r="I49" i="235"/>
  <c r="I67" i="235"/>
  <c r="D58" i="251"/>
  <c r="C58" i="251" s="1"/>
  <c r="B58" i="251" s="1"/>
  <c r="E157" i="239"/>
  <c r="F157" i="239" s="1"/>
  <c r="I4" i="228"/>
  <c r="I19" i="228"/>
  <c r="I11" i="228"/>
  <c r="F168" i="239"/>
  <c r="I42" i="228"/>
  <c r="E153" i="239"/>
  <c r="E178" i="246"/>
  <c r="M15" i="228"/>
  <c r="M39" i="228"/>
  <c r="M10" i="228"/>
  <c r="M22" i="228"/>
  <c r="M54" i="228" s="1"/>
  <c r="M63" i="228" s="1"/>
  <c r="E173" i="246"/>
  <c r="M18" i="228"/>
  <c r="L15" i="228"/>
  <c r="E154" i="245"/>
  <c r="F154" i="245" s="1"/>
  <c r="E152" i="245"/>
  <c r="L29" i="228" s="1"/>
  <c r="F155" i="245"/>
  <c r="E160" i="245"/>
  <c r="L37" i="228" s="1"/>
  <c r="L7" i="228"/>
  <c r="L4" i="228"/>
  <c r="L11" i="228"/>
  <c r="L9" i="228"/>
  <c r="E164" i="229"/>
  <c r="F164" i="229" s="1"/>
  <c r="F16" i="228"/>
  <c r="K147" i="229"/>
  <c r="K5" i="233" s="1"/>
  <c r="K132" i="233" s="1"/>
  <c r="K133" i="233" s="1"/>
  <c r="K5" i="236" s="1"/>
  <c r="K147" i="236" s="1"/>
  <c r="K148" i="236" s="1"/>
  <c r="K5" i="239" s="1"/>
  <c r="K149" i="239" s="1"/>
  <c r="K150" i="239" s="1"/>
  <c r="K5" i="241" s="1"/>
  <c r="K143" i="241" s="1"/>
  <c r="K144" i="241" s="1"/>
  <c r="K5" i="242" s="1"/>
  <c r="K148" i="242" s="1"/>
  <c r="K149" i="242" s="1"/>
  <c r="K5" i="245" s="1"/>
  <c r="K145" i="245" s="1"/>
  <c r="K146" i="245" s="1"/>
  <c r="K5" i="246" s="1"/>
  <c r="K165" i="246" s="1"/>
  <c r="K166" i="246" s="1"/>
  <c r="K5" i="248" s="1"/>
  <c r="K183" i="248" s="1"/>
  <c r="K184" i="248" s="1"/>
  <c r="K5" i="249" s="1"/>
  <c r="K184" i="249" s="1"/>
  <c r="K185" i="249" s="1"/>
  <c r="E158" i="229"/>
  <c r="F158" i="229" s="1"/>
  <c r="E160" i="229"/>
  <c r="F15" i="228"/>
  <c r="F8" i="228"/>
  <c r="E4" i="1"/>
  <c r="C384" i="4"/>
  <c r="C383" i="4"/>
  <c r="B212" i="4"/>
  <c r="C381" i="4"/>
  <c r="D206" i="250"/>
  <c r="D207" i="250" s="1"/>
  <c r="F483" i="206"/>
  <c r="D59" i="76"/>
  <c r="D226" i="4"/>
  <c r="D227" i="4" s="1"/>
  <c r="D228" i="4" s="1"/>
  <c r="D229" i="4" s="1"/>
  <c r="D230" i="4" s="1"/>
  <c r="C231" i="4"/>
  <c r="E19" i="4"/>
  <c r="D196" i="4"/>
  <c r="D197" i="4" s="1"/>
  <c r="C87" i="4"/>
  <c r="E189" i="248"/>
  <c r="F189" i="248" s="1"/>
  <c r="E202" i="248"/>
  <c r="N41" i="228" s="1"/>
  <c r="N31" i="228"/>
  <c r="F192" i="248"/>
  <c r="N4" i="228"/>
  <c r="N16" i="228"/>
  <c r="N9" i="228"/>
  <c r="I37" i="247"/>
  <c r="I5" i="247"/>
  <c r="I21" i="247"/>
  <c r="I9" i="247"/>
  <c r="G1147" i="206"/>
  <c r="H1147" i="206" s="1"/>
  <c r="G601" i="206"/>
  <c r="G603" i="206" s="1"/>
  <c r="G605" i="206" s="1"/>
  <c r="G2410" i="206"/>
  <c r="G2860" i="206"/>
  <c r="G512" i="206"/>
  <c r="G744" i="206"/>
  <c r="G746" i="206" s="1"/>
  <c r="G547" i="206"/>
  <c r="G548" i="206" s="1"/>
  <c r="F509" i="206"/>
  <c r="F510" i="206" s="1"/>
  <c r="E197" i="250"/>
  <c r="D22" i="251"/>
  <c r="E198" i="250"/>
  <c r="E192" i="250"/>
  <c r="D15" i="251"/>
  <c r="C15" i="251" s="1"/>
  <c r="B15" i="251" s="1"/>
  <c r="E183" i="250"/>
  <c r="D6" i="251"/>
  <c r="C6" i="251" s="1"/>
  <c r="B6" i="251" s="1"/>
  <c r="E191" i="250"/>
  <c r="E185" i="250"/>
  <c r="D8" i="251"/>
  <c r="C8" i="251" s="1"/>
  <c r="B8" i="251" s="1"/>
  <c r="E193" i="250"/>
  <c r="D16" i="251"/>
  <c r="C16" i="251" s="1"/>
  <c r="B16" i="251" s="1"/>
  <c r="E194" i="250"/>
  <c r="D17" i="251"/>
  <c r="C17" i="251" s="1"/>
  <c r="B17" i="251" s="1"/>
  <c r="E187" i="250"/>
  <c r="D10" i="251"/>
  <c r="C10" i="251" s="1"/>
  <c r="B10" i="251" s="1"/>
  <c r="E195" i="250"/>
  <c r="D18" i="251"/>
  <c r="C18" i="251" s="1"/>
  <c r="B18" i="251" s="1"/>
  <c r="E188" i="250"/>
  <c r="D11" i="251"/>
  <c r="C11" i="251" s="1"/>
  <c r="B11" i="251" s="1"/>
  <c r="E196" i="250"/>
  <c r="E184" i="250"/>
  <c r="D7" i="251"/>
  <c r="C7" i="251" s="1"/>
  <c r="B7" i="251" s="1"/>
  <c r="E189" i="250"/>
  <c r="E182" i="250"/>
  <c r="C5" i="251"/>
  <c r="B5" i="251" s="1"/>
  <c r="E190" i="250"/>
  <c r="H20" i="251"/>
  <c r="I20" i="251"/>
  <c r="E157" i="229"/>
  <c r="F20" i="251"/>
  <c r="E143" i="233"/>
  <c r="G20" i="251"/>
  <c r="K10" i="228"/>
  <c r="K20" i="251"/>
  <c r="L10" i="228"/>
  <c r="L20" i="251"/>
  <c r="E154" i="241"/>
  <c r="I95" i="243"/>
  <c r="I123" i="243"/>
  <c r="I141" i="243"/>
  <c r="I148" i="243"/>
  <c r="I107" i="243"/>
  <c r="I84" i="115"/>
  <c r="M84" i="115" s="1"/>
  <c r="O84" i="115" s="1"/>
  <c r="L92" i="115"/>
  <c r="N84" i="115"/>
  <c r="H18" i="2"/>
  <c r="F19" i="2"/>
  <c r="L4" i="172"/>
  <c r="H144" i="182"/>
  <c r="C144" i="182" s="1"/>
  <c r="E130" i="188"/>
  <c r="E6" i="187"/>
  <c r="D39" i="228"/>
  <c r="F154" i="225"/>
  <c r="O16" i="92"/>
  <c r="M18" i="122"/>
  <c r="F5" i="207"/>
  <c r="E127" i="209"/>
  <c r="D29" i="228"/>
  <c r="E31" i="228"/>
  <c r="C5" i="122"/>
  <c r="C10" i="92"/>
  <c r="C16" i="155"/>
  <c r="I18" i="122"/>
  <c r="C8" i="122"/>
  <c r="O18" i="122"/>
  <c r="D19" i="207"/>
  <c r="E139" i="204"/>
  <c r="G14" i="172"/>
  <c r="G21" i="172" s="1"/>
  <c r="H153" i="177"/>
  <c r="C153" i="177" s="1"/>
  <c r="G31" i="122"/>
  <c r="B27" i="122"/>
  <c r="B31" i="122" s="1"/>
  <c r="L18" i="122"/>
  <c r="F119" i="227"/>
  <c r="B144" i="91"/>
  <c r="G15" i="58"/>
  <c r="C14" i="58"/>
  <c r="E176" i="91"/>
  <c r="N18" i="106"/>
  <c r="C6" i="106"/>
  <c r="O18" i="106"/>
  <c r="L15" i="155"/>
  <c r="C15" i="155" s="1"/>
  <c r="H151" i="165"/>
  <c r="C151" i="165" s="1"/>
  <c r="C10" i="135"/>
  <c r="K20" i="135"/>
  <c r="M26" i="187"/>
  <c r="C60" i="207"/>
  <c r="F143" i="196"/>
  <c r="J29" i="187"/>
  <c r="C5" i="135"/>
  <c r="H7" i="155"/>
  <c r="H131" i="161"/>
  <c r="C131" i="161" s="1"/>
  <c r="E9" i="155"/>
  <c r="E20" i="155" s="1"/>
  <c r="H151" i="157"/>
  <c r="C151" i="157" s="1"/>
  <c r="K7" i="155"/>
  <c r="K20" i="155" s="1"/>
  <c r="H135" i="164"/>
  <c r="C135" i="164" s="1"/>
  <c r="D94" i="2"/>
  <c r="C8" i="58"/>
  <c r="C11" i="58"/>
  <c r="L15" i="58"/>
  <c r="E15" i="58"/>
  <c r="K16" i="76"/>
  <c r="E16" i="92"/>
  <c r="K16" i="92"/>
  <c r="L16" i="92"/>
  <c r="C9" i="92"/>
  <c r="M16" i="92"/>
  <c r="N16" i="92"/>
  <c r="B55" i="106"/>
  <c r="D18" i="106"/>
  <c r="C5" i="106"/>
  <c r="C18" i="135"/>
  <c r="H166" i="153"/>
  <c r="C166" i="153" s="1"/>
  <c r="I17" i="172"/>
  <c r="C17" i="172" s="1"/>
  <c r="H162" i="179"/>
  <c r="C162" i="179" s="1"/>
  <c r="E134" i="202"/>
  <c r="N11" i="187"/>
  <c r="D14" i="36"/>
  <c r="C6" i="36"/>
  <c r="C8" i="36"/>
  <c r="L14" i="36"/>
  <c r="B37" i="58"/>
  <c r="C5" i="58"/>
  <c r="M15" i="58"/>
  <c r="C3" i="58"/>
  <c r="B53" i="135"/>
  <c r="E20" i="135"/>
  <c r="N85" i="115"/>
  <c r="I85" i="115"/>
  <c r="M85" i="115" s="1"/>
  <c r="O85" i="115" s="1"/>
  <c r="C7" i="122"/>
  <c r="C3" i="135"/>
  <c r="H20" i="135"/>
  <c r="I20" i="135"/>
  <c r="J20" i="135"/>
  <c r="C14" i="155"/>
  <c r="C15" i="76"/>
  <c r="M4" i="155"/>
  <c r="M20" i="155" s="1"/>
  <c r="H154" i="167"/>
  <c r="C154" i="167" s="1"/>
  <c r="H161" i="169"/>
  <c r="C161" i="169" s="1"/>
  <c r="O9" i="155"/>
  <c r="O20" i="155" s="1"/>
  <c r="H142" i="173"/>
  <c r="C142" i="173" s="1"/>
  <c r="E5" i="172"/>
  <c r="C14" i="122"/>
  <c r="C10" i="155"/>
  <c r="C9" i="122"/>
  <c r="C16" i="122"/>
  <c r="J16" i="92"/>
  <c r="C10" i="58"/>
  <c r="C10" i="122"/>
  <c r="B10" i="122" s="1"/>
  <c r="C58" i="122" s="1"/>
  <c r="N8" i="135"/>
  <c r="N20" i="135" s="1"/>
  <c r="H152" i="152"/>
  <c r="C152" i="152" s="1"/>
  <c r="C3" i="155"/>
  <c r="F20" i="155"/>
  <c r="L4" i="135"/>
  <c r="C4" i="135" s="1"/>
  <c r="H147" i="148"/>
  <c r="C147" i="148" s="1"/>
  <c r="D20" i="135"/>
  <c r="L18" i="106"/>
  <c r="C10" i="106"/>
  <c r="H18" i="106"/>
  <c r="D16" i="92"/>
  <c r="C3" i="92"/>
  <c r="I16" i="76"/>
  <c r="C4" i="58"/>
  <c r="H14" i="36"/>
  <c r="C5" i="36"/>
  <c r="C18" i="155"/>
  <c r="F20" i="172"/>
  <c r="H159" i="175"/>
  <c r="C159" i="175" s="1"/>
  <c r="F5" i="187"/>
  <c r="E135" i="189"/>
  <c r="G18" i="106"/>
  <c r="C11" i="155"/>
  <c r="D68" i="2"/>
  <c r="E141" i="189"/>
  <c r="F11" i="187"/>
  <c r="F14" i="187"/>
  <c r="E144" i="189"/>
  <c r="F36" i="187" s="1"/>
  <c r="O19" i="187"/>
  <c r="E150" i="205"/>
  <c r="O41" i="187" s="1"/>
  <c r="H6" i="228"/>
  <c r="E154" i="236"/>
  <c r="E161" i="241"/>
  <c r="J17" i="228"/>
  <c r="K38" i="228"/>
  <c r="F164" i="242"/>
  <c r="L3" i="228"/>
  <c r="E149" i="245"/>
  <c r="F149" i="245" s="1"/>
  <c r="E162" i="245"/>
  <c r="L39" i="228" s="1"/>
  <c r="L16" i="228"/>
  <c r="E204" i="248"/>
  <c r="M14" i="228"/>
  <c r="E180" i="246"/>
  <c r="E195" i="248"/>
  <c r="N11" i="228"/>
  <c r="N27" i="228"/>
  <c r="F188" i="248"/>
  <c r="D20" i="155"/>
  <c r="C13" i="36"/>
  <c r="J14" i="36"/>
  <c r="H11" i="187"/>
  <c r="E131" i="194"/>
  <c r="E142" i="202"/>
  <c r="F155" i="236"/>
  <c r="H30" i="228"/>
  <c r="H34" i="228"/>
  <c r="F159" i="236"/>
  <c r="I34" i="228"/>
  <c r="F161" i="239"/>
  <c r="I5" i="228"/>
  <c r="E155" i="239"/>
  <c r="J31" i="228"/>
  <c r="F152" i="241"/>
  <c r="J9" i="228"/>
  <c r="E153" i="241"/>
  <c r="G16" i="76"/>
  <c r="B55" i="92"/>
  <c r="C16" i="172"/>
  <c r="B16" i="172" s="1"/>
  <c r="C56" i="172" s="1"/>
  <c r="F27" i="228"/>
  <c r="F151" i="229"/>
  <c r="F40" i="228"/>
  <c r="F163" i="229"/>
  <c r="C5" i="155"/>
  <c r="C13" i="58"/>
  <c r="F20" i="135"/>
  <c r="D18" i="122"/>
  <c r="F3" i="228"/>
  <c r="E150" i="229"/>
  <c r="F161" i="236"/>
  <c r="H36" i="228"/>
  <c r="E171" i="246"/>
  <c r="H78" i="37"/>
  <c r="F153" i="229"/>
  <c r="F29" i="228"/>
  <c r="H40" i="228"/>
  <c r="F164" i="236"/>
  <c r="E158" i="241"/>
  <c r="J14" i="228"/>
  <c r="H80" i="42"/>
  <c r="C13" i="122"/>
  <c r="F17" i="187"/>
  <c r="E147" i="189"/>
  <c r="E116" i="224"/>
  <c r="N37" i="207" s="1"/>
  <c r="N15" i="207"/>
  <c r="E146" i="233"/>
  <c r="G13" i="228"/>
  <c r="I25" i="235"/>
  <c r="M12" i="235" s="1"/>
  <c r="P12" i="235" s="1"/>
  <c r="Q12" i="235" s="1"/>
  <c r="C8" i="92"/>
  <c r="E129" i="223"/>
  <c r="M18" i="207"/>
  <c r="F156" i="236"/>
  <c r="H31" i="228"/>
  <c r="E166" i="236"/>
  <c r="F166" i="236" s="1"/>
  <c r="H19" i="228"/>
  <c r="E160" i="242"/>
  <c r="K34" i="228" s="1"/>
  <c r="K11" i="228"/>
  <c r="E190" i="248"/>
  <c r="N6" i="228"/>
  <c r="E133" i="186"/>
  <c r="E140" i="188"/>
  <c r="O131" i="205"/>
  <c r="O5" i="204" s="1"/>
  <c r="O119" i="204" s="1"/>
  <c r="O120" i="204" s="1"/>
  <c r="Q5" i="208" s="1"/>
  <c r="Q120" i="208" s="1"/>
  <c r="Q121" i="208" s="1"/>
  <c r="Q5" i="209" s="1"/>
  <c r="Q121" i="209" s="1"/>
  <c r="Q122" i="209" s="1"/>
  <c r="Q5" i="215" s="1"/>
  <c r="Q121" i="215" s="1"/>
  <c r="Q122" i="215" s="1"/>
  <c r="Q5" i="216" s="1"/>
  <c r="Q132" i="216" s="1"/>
  <c r="Q133" i="216" s="1"/>
  <c r="G2799" i="206"/>
  <c r="G9" i="207"/>
  <c r="N5" i="207"/>
  <c r="F4" i="228"/>
  <c r="E154" i="229"/>
  <c r="I54" i="235"/>
  <c r="E156" i="241"/>
  <c r="F156" i="241" s="1"/>
  <c r="D195" i="246"/>
  <c r="D196" i="246" s="1"/>
  <c r="E307" i="2"/>
  <c r="E309" i="2" s="1"/>
  <c r="E133" i="202"/>
  <c r="D18" i="207"/>
  <c r="R152" i="216"/>
  <c r="F161" i="229"/>
  <c r="G9" i="228"/>
  <c r="I36" i="235"/>
  <c r="M14" i="235" s="1"/>
  <c r="O14" i="235" s="1"/>
  <c r="O17" i="235" s="1"/>
  <c r="B108" i="192"/>
  <c r="E152" i="242"/>
  <c r="F152" i="242" s="1"/>
  <c r="L19" i="228"/>
  <c r="M4" i="228"/>
  <c r="F193" i="248"/>
  <c r="I84" i="243"/>
  <c r="F140" i="233"/>
  <c r="I9" i="228"/>
  <c r="J6" i="228"/>
  <c r="E169" i="246"/>
  <c r="D33" i="2"/>
  <c r="E153" i="198"/>
  <c r="G15" i="228"/>
  <c r="V28" i="230"/>
  <c r="P69" i="235"/>
  <c r="I8" i="238"/>
  <c r="I145" i="221"/>
  <c r="E145" i="221" s="1"/>
  <c r="E148" i="221" s="1"/>
  <c r="F6" i="228"/>
  <c r="F17" i="228"/>
  <c r="I75" i="235"/>
  <c r="I31" i="235"/>
  <c r="M13" i="235" s="1"/>
  <c r="O13" i="235" s="1"/>
  <c r="I47" i="238"/>
  <c r="I48" i="238" s="1"/>
  <c r="J46" i="238" s="1"/>
  <c r="F159" i="241"/>
  <c r="J41" i="228"/>
  <c r="J15" i="228"/>
  <c r="I14" i="243"/>
  <c r="O26" i="214"/>
  <c r="P26" i="214" s="1"/>
  <c r="E179" i="246"/>
  <c r="E166" i="245"/>
  <c r="J28" i="43"/>
  <c r="J38" i="43"/>
  <c r="I30" i="247"/>
  <c r="O137" i="240"/>
  <c r="R137" i="240"/>
  <c r="R138" i="240" s="1"/>
  <c r="R139" i="240" s="1"/>
  <c r="I91" i="243"/>
  <c r="G7" i="207"/>
  <c r="J11" i="207"/>
  <c r="M29" i="192"/>
  <c r="G4" i="228"/>
  <c r="I33" i="243"/>
  <c r="C77" i="4"/>
  <c r="J32" i="43"/>
  <c r="S4" i="214"/>
  <c r="I71" i="243"/>
  <c r="J207" i="248"/>
  <c r="J208" i="248" s="1"/>
  <c r="L207" i="248" s="1"/>
  <c r="E197" i="249"/>
  <c r="F197" i="249" s="1"/>
  <c r="I56" i="243"/>
  <c r="N108" i="243"/>
  <c r="I117" i="243"/>
  <c r="I48" i="243"/>
  <c r="I64" i="243"/>
  <c r="I128" i="243"/>
  <c r="I6" i="243"/>
  <c r="I41" i="243"/>
  <c r="F186" i="250"/>
  <c r="F180" i="250"/>
  <c r="E205" i="249"/>
  <c r="F140" i="215"/>
  <c r="G40" i="207"/>
  <c r="C6" i="92"/>
  <c r="F16" i="92"/>
  <c r="C48" i="122"/>
  <c r="B40" i="122"/>
  <c r="B48" i="122" s="1"/>
  <c r="C19" i="135"/>
  <c r="C13" i="92"/>
  <c r="E18" i="106"/>
  <c r="C8" i="106"/>
  <c r="I86" i="115"/>
  <c r="C11" i="92"/>
  <c r="E8" i="187"/>
  <c r="E132" i="188"/>
  <c r="F18" i="122"/>
  <c r="C6" i="76"/>
  <c r="E16" i="76"/>
  <c r="E134" i="195"/>
  <c r="I6" i="187"/>
  <c r="Q131" i="205"/>
  <c r="J216" i="115"/>
  <c r="N216" i="115" s="1"/>
  <c r="I18" i="106"/>
  <c r="E137" i="188"/>
  <c r="E13" i="187"/>
  <c r="H72" i="40"/>
  <c r="H151" i="183"/>
  <c r="C151" i="183" s="1"/>
  <c r="N101" i="115"/>
  <c r="E130" i="193"/>
  <c r="E142" i="193"/>
  <c r="Q151" i="216"/>
  <c r="R151" i="216" s="1"/>
  <c r="F155" i="229"/>
  <c r="F31" i="228"/>
  <c r="D11" i="187"/>
  <c r="J16" i="187"/>
  <c r="E152" i="196"/>
  <c r="E138" i="200"/>
  <c r="M6" i="187"/>
  <c r="E126" i="200"/>
  <c r="N17" i="187"/>
  <c r="E140" i="202"/>
  <c r="F156" i="229"/>
  <c r="F32" i="228"/>
  <c r="E141" i="205"/>
  <c r="O10" i="187"/>
  <c r="N21" i="172"/>
  <c r="O21" i="172"/>
  <c r="E139" i="194"/>
  <c r="G16" i="187"/>
  <c r="E139" i="193"/>
  <c r="E143" i="193"/>
  <c r="F121" i="224"/>
  <c r="N42" i="207"/>
  <c r="G9" i="230"/>
  <c r="F9" i="230" s="1"/>
  <c r="I4" i="187"/>
  <c r="J20" i="187"/>
  <c r="E156" i="196"/>
  <c r="E137" i="205"/>
  <c r="O6" i="187"/>
  <c r="F162" i="229"/>
  <c r="F39" i="228"/>
  <c r="E146" i="196"/>
  <c r="I142" i="200"/>
  <c r="E142" i="200" s="1"/>
  <c r="E145" i="200" s="1"/>
  <c r="M6" i="207"/>
  <c r="A40" i="230"/>
  <c r="A41" i="230"/>
  <c r="F166" i="239"/>
  <c r="I40" i="228"/>
  <c r="F157" i="245"/>
  <c r="L34" i="228"/>
  <c r="I142" i="222"/>
  <c r="E142" i="222" s="1"/>
  <c r="E145" i="222" s="1"/>
  <c r="F165" i="236"/>
  <c r="H41" i="228"/>
  <c r="I18" i="228"/>
  <c r="E167" i="239"/>
  <c r="F154" i="239"/>
  <c r="I27" i="228"/>
  <c r="E161" i="242"/>
  <c r="M41" i="228"/>
  <c r="F184" i="246"/>
  <c r="N42" i="228"/>
  <c r="F203" i="248"/>
  <c r="E132" i="218"/>
  <c r="I143" i="226"/>
  <c r="E143" i="226" s="1"/>
  <c r="E146" i="226" s="1"/>
  <c r="F9" i="228"/>
  <c r="I20" i="235"/>
  <c r="F157" i="236"/>
  <c r="H32" i="228"/>
  <c r="F159" i="239"/>
  <c r="I32" i="228"/>
  <c r="K8" i="228"/>
  <c r="E157" i="242"/>
  <c r="E205" i="248"/>
  <c r="N57" i="228"/>
  <c r="N63" i="228" s="1"/>
  <c r="I133" i="223"/>
  <c r="E133" i="223" s="1"/>
  <c r="E136" i="223" s="1"/>
  <c r="F153" i="236"/>
  <c r="H28" i="228"/>
  <c r="I37" i="228"/>
  <c r="I38" i="228"/>
  <c r="F164" i="239"/>
  <c r="K42" i="228"/>
  <c r="F168" i="242"/>
  <c r="M40" i="228"/>
  <c r="F183" i="246"/>
  <c r="E125" i="194"/>
  <c r="E151" i="205"/>
  <c r="G1109" i="206"/>
  <c r="E1092" i="206" s="1"/>
  <c r="I155" i="216"/>
  <c r="E155" i="216" s="1"/>
  <c r="E158" i="216" s="1"/>
  <c r="I153" i="205"/>
  <c r="E153" i="205" s="1"/>
  <c r="E156" i="205" s="1"/>
  <c r="N14" i="207"/>
  <c r="F42" i="228"/>
  <c r="I7" i="234"/>
  <c r="E203" i="73"/>
  <c r="E206" i="73" s="1"/>
  <c r="E207" i="73" s="1"/>
  <c r="F147" i="241"/>
  <c r="J26" i="228"/>
  <c r="O29" i="214"/>
  <c r="P29" i="214" s="1"/>
  <c r="L42" i="228"/>
  <c r="F165" i="245"/>
  <c r="I143" i="208"/>
  <c r="E143" i="208" s="1"/>
  <c r="E146" i="208" s="1"/>
  <c r="I144" i="215"/>
  <c r="E144" i="215" s="1"/>
  <c r="E147" i="215" s="1"/>
  <c r="G1538" i="206"/>
  <c r="G2182" i="206"/>
  <c r="G2207" i="206"/>
  <c r="G2312" i="206"/>
  <c r="G2547" i="206"/>
  <c r="G2672" i="206"/>
  <c r="G2756" i="206"/>
  <c r="G2935" i="206"/>
  <c r="E2918" i="206" s="1"/>
  <c r="E2920" i="206" s="1"/>
  <c r="D138" i="227"/>
  <c r="D139" i="227" s="1"/>
  <c r="B37" i="230"/>
  <c r="G7" i="228"/>
  <c r="I76" i="235"/>
  <c r="I10" i="235"/>
  <c r="Q69" i="235"/>
  <c r="F165" i="239"/>
  <c r="I39" i="228"/>
  <c r="I28" i="243"/>
  <c r="I14" i="238"/>
  <c r="K30" i="228"/>
  <c r="F156" i="242"/>
  <c r="F153" i="245"/>
  <c r="E163" i="245"/>
  <c r="I45" i="43"/>
  <c r="P117" i="240"/>
  <c r="P118" i="240" s="1"/>
  <c r="D213" i="248"/>
  <c r="D214" i="248" s="1"/>
  <c r="E147" i="233"/>
  <c r="L46" i="238"/>
  <c r="D176" i="239"/>
  <c r="J11" i="228"/>
  <c r="J16" i="228"/>
  <c r="E159" i="245"/>
  <c r="L13" i="228"/>
  <c r="N35" i="228"/>
  <c r="F196" i="248"/>
  <c r="F201" i="248"/>
  <c r="N40" i="228"/>
  <c r="T138" i="240"/>
  <c r="T139" i="240" s="1"/>
  <c r="L106" i="234"/>
  <c r="I6" i="228"/>
  <c r="I15" i="228"/>
  <c r="I80" i="240"/>
  <c r="J18" i="228"/>
  <c r="K40" i="228"/>
  <c r="F45" i="43"/>
  <c r="E198" i="248"/>
  <c r="N14" i="228"/>
  <c r="H9" i="228"/>
  <c r="D174" i="236"/>
  <c r="D175" i="236" s="1"/>
  <c r="F156" i="239"/>
  <c r="I17" i="228"/>
  <c r="L5" i="228"/>
  <c r="E151" i="245"/>
  <c r="J41" i="43"/>
  <c r="E158" i="239"/>
  <c r="J27" i="228"/>
  <c r="L27" i="228"/>
  <c r="J31" i="43"/>
  <c r="E158" i="245"/>
  <c r="O117" i="240"/>
  <c r="O118" i="240" s="1"/>
  <c r="F176" i="246"/>
  <c r="F175" i="246"/>
  <c r="F170" i="246"/>
  <c r="F200" i="248"/>
  <c r="O126" i="240"/>
  <c r="O127" i="240" s="1"/>
  <c r="E199" i="248"/>
  <c r="N19" i="228"/>
  <c r="E164" i="245"/>
  <c r="J189" i="246"/>
  <c r="F194" i="248"/>
  <c r="S138" i="240"/>
  <c r="S139" i="240" s="1"/>
  <c r="N26" i="228"/>
  <c r="F161" i="245"/>
  <c r="F195" i="249"/>
  <c r="J200" i="250"/>
  <c r="E181" i="250"/>
  <c r="E191" i="249"/>
  <c r="F191" i="249" s="1"/>
  <c r="H851" i="206"/>
  <c r="E764" i="206"/>
  <c r="E766" i="206" s="1"/>
  <c r="G1032" i="206"/>
  <c r="H1032" i="206" s="1"/>
  <c r="G1529" i="206"/>
  <c r="E1511" i="206" s="1"/>
  <c r="G2134" i="206"/>
  <c r="G2567" i="206"/>
  <c r="G2581" i="206"/>
  <c r="G2610" i="206"/>
  <c r="G2625" i="206"/>
  <c r="G2770" i="206"/>
  <c r="G2813" i="206"/>
  <c r="G958" i="206"/>
  <c r="G1783" i="206"/>
  <c r="H1783" i="206" s="1"/>
  <c r="G2019" i="206"/>
  <c r="G2069" i="206"/>
  <c r="G2085" i="206"/>
  <c r="G2195" i="206"/>
  <c r="G2222" i="206"/>
  <c r="G2385" i="206"/>
  <c r="G2398" i="206"/>
  <c r="G795" i="206"/>
  <c r="G1426" i="206"/>
  <c r="H1426" i="206" s="1"/>
  <c r="G1544" i="206"/>
  <c r="G1654" i="206"/>
  <c r="G1687" i="206"/>
  <c r="E1670" i="206" s="1"/>
  <c r="G1009" i="206"/>
  <c r="H1009" i="206" s="1"/>
  <c r="G1184" i="206"/>
  <c r="H1184" i="206" s="1"/>
  <c r="G728" i="206"/>
  <c r="G1231" i="206"/>
  <c r="H1231" i="206" s="1"/>
  <c r="G972" i="206"/>
  <c r="E957" i="206" s="1"/>
  <c r="G704" i="206"/>
  <c r="G706" i="206" s="1"/>
  <c r="G708" i="206" s="1"/>
  <c r="E145" i="216"/>
  <c r="F145" i="216" s="1"/>
  <c r="G749" i="206"/>
  <c r="H749" i="206" s="1"/>
  <c r="G781" i="206"/>
  <c r="H781" i="206" s="1"/>
  <c r="G1278" i="206"/>
  <c r="E1261" i="206" s="1"/>
  <c r="G762" i="206"/>
  <c r="G764" i="206" s="1"/>
  <c r="G766" i="206" s="1"/>
  <c r="G1196" i="206"/>
  <c r="E1183" i="206" s="1"/>
  <c r="G767" i="206"/>
  <c r="H767" i="206" s="1"/>
  <c r="G709" i="206"/>
  <c r="G1167" i="206"/>
  <c r="G1805" i="206"/>
  <c r="H1805" i="206" s="1"/>
  <c r="G1988" i="206"/>
  <c r="G2053" i="206"/>
  <c r="G2297" i="206"/>
  <c r="G2354" i="206"/>
  <c r="G2477" i="206"/>
  <c r="G2494" i="206"/>
  <c r="G2532" i="206"/>
  <c r="G2594" i="206"/>
  <c r="G2658" i="206"/>
  <c r="G2724" i="206"/>
  <c r="G2741" i="206"/>
  <c r="G990" i="206"/>
  <c r="H990" i="206" s="1"/>
  <c r="G944" i="206"/>
  <c r="G924" i="206"/>
  <c r="G889" i="206"/>
  <c r="G1051" i="206"/>
  <c r="E1031" i="206" s="1"/>
  <c r="G1073" i="206"/>
  <c r="E1050" i="206" s="1"/>
  <c r="G1093" i="206"/>
  <c r="E1072" i="206" s="1"/>
  <c r="G1130" i="206"/>
  <c r="E1108" i="206" s="1"/>
  <c r="G826" i="206"/>
  <c r="G768" i="206"/>
  <c r="H151" i="186"/>
  <c r="C151" i="186" s="1"/>
  <c r="C154" i="186" s="1"/>
  <c r="H152" i="189"/>
  <c r="C152" i="189" s="1"/>
  <c r="D155" i="189" s="1"/>
  <c r="D12" i="187"/>
  <c r="E143" i="189"/>
  <c r="F35" i="187" s="1"/>
  <c r="I1153" i="206"/>
  <c r="G1324" i="206"/>
  <c r="H1324" i="206" s="1"/>
  <c r="G1823" i="206"/>
  <c r="H1823" i="206" s="1"/>
  <c r="I715" i="206"/>
  <c r="G635" i="206"/>
  <c r="G637" i="206" s="1"/>
  <c r="G1262" i="206"/>
  <c r="G2919" i="206"/>
  <c r="G2947" i="206"/>
  <c r="E2934" i="206" s="1"/>
  <c r="E2936" i="206" s="1"/>
  <c r="I760" i="206"/>
  <c r="G1245" i="206"/>
  <c r="H1245" i="206" s="1"/>
  <c r="G1950" i="206"/>
  <c r="G1971" i="206"/>
  <c r="G2004" i="206"/>
  <c r="G2037" i="206"/>
  <c r="G2102" i="206"/>
  <c r="G2117" i="206"/>
  <c r="G2150" i="206"/>
  <c r="G2169" i="206"/>
  <c r="G2236" i="206"/>
  <c r="G2253" i="206"/>
  <c r="G2270" i="206"/>
  <c r="G2284" i="206"/>
  <c r="G2326" i="206"/>
  <c r="G2341" i="206"/>
  <c r="G2370" i="206"/>
  <c r="G2427" i="206"/>
  <c r="G2461" i="206"/>
  <c r="G2513" i="206"/>
  <c r="G2639" i="206"/>
  <c r="G2688" i="206"/>
  <c r="G2706" i="206"/>
  <c r="G2786" i="206"/>
  <c r="E2769" i="206" s="1"/>
  <c r="G2829" i="206"/>
  <c r="G2846" i="206"/>
  <c r="G2879" i="206"/>
  <c r="G2900" i="206"/>
  <c r="E2878" i="206" s="1"/>
  <c r="G710" i="206"/>
  <c r="H710" i="206" s="1"/>
  <c r="G1386" i="206"/>
  <c r="E1364" i="206" s="1"/>
  <c r="G1404" i="206"/>
  <c r="E1385" i="206" s="1"/>
  <c r="H1529" i="206"/>
  <c r="G1932" i="206"/>
  <c r="H1932" i="206" s="1"/>
  <c r="G723" i="206"/>
  <c r="G725" i="206" s="1"/>
  <c r="G727" i="206" s="1"/>
  <c r="G576" i="206"/>
  <c r="H576" i="206" s="1"/>
  <c r="F569" i="206" s="1"/>
  <c r="G1365" i="206"/>
  <c r="E1344" i="206" s="1"/>
  <c r="G811" i="206"/>
  <c r="G690" i="206"/>
  <c r="G663" i="206"/>
  <c r="H663" i="206" s="1"/>
  <c r="G689" i="206"/>
  <c r="H689" i="206" s="1"/>
  <c r="G1289" i="206"/>
  <c r="E1277" i="206" s="1"/>
  <c r="G1345" i="206"/>
  <c r="H1345" i="206" s="1"/>
  <c r="G1561" i="206"/>
  <c r="H1561" i="206" s="1"/>
  <c r="G1578" i="206"/>
  <c r="H1578" i="206" s="1"/>
  <c r="G1596" i="206"/>
  <c r="G1617" i="206"/>
  <c r="G1636" i="206"/>
  <c r="G1671" i="206"/>
  <c r="E1653" i="206" s="1"/>
  <c r="G1701" i="206"/>
  <c r="G1718" i="206"/>
  <c r="H1718" i="206" s="1"/>
  <c r="G1736" i="206"/>
  <c r="H1736" i="206" s="1"/>
  <c r="G1753" i="206"/>
  <c r="H1753" i="206" s="1"/>
  <c r="G1768" i="206"/>
  <c r="H1768" i="206" s="1"/>
  <c r="G1893" i="206"/>
  <c r="H1893" i="206" s="1"/>
  <c r="G1449" i="206"/>
  <c r="G1212" i="206"/>
  <c r="H1212" i="206" s="1"/>
  <c r="G1479" i="206"/>
  <c r="G1496" i="206"/>
  <c r="E1478" i="206" s="1"/>
  <c r="G1512" i="206"/>
  <c r="E1495" i="206" s="1"/>
  <c r="G1848" i="206"/>
  <c r="G1873" i="206"/>
  <c r="H1873" i="206" s="1"/>
  <c r="G872" i="206"/>
  <c r="I144" i="209"/>
  <c r="E144" i="209" s="1"/>
  <c r="E147" i="209" s="1"/>
  <c r="E143" i="205"/>
  <c r="F143" i="205" s="1"/>
  <c r="G6" i="115"/>
  <c r="G12" i="187"/>
  <c r="I136" i="220"/>
  <c r="E136" i="220" s="1"/>
  <c r="E139" i="220" s="1"/>
  <c r="E126" i="220"/>
  <c r="J34" i="207" s="1"/>
  <c r="G100" i="115"/>
  <c r="J1803" i="206"/>
  <c r="J1802" i="206"/>
  <c r="I1472" i="206"/>
  <c r="G658" i="206"/>
  <c r="G660" i="206" s="1"/>
  <c r="I648" i="206"/>
  <c r="H662" i="206" s="1"/>
  <c r="G607" i="206"/>
  <c r="E744" i="206"/>
  <c r="E746" i="206" s="1"/>
  <c r="I696" i="206"/>
  <c r="H1512" i="206"/>
  <c r="G1463" i="206"/>
  <c r="G685" i="206"/>
  <c r="G687" i="206" s="1"/>
  <c r="G639" i="206"/>
  <c r="G571" i="206"/>
  <c r="G542" i="206"/>
  <c r="G543" i="206" s="1"/>
  <c r="G906" i="206"/>
  <c r="H906" i="206" s="1"/>
  <c r="G729" i="206"/>
  <c r="H729" i="206" s="1"/>
  <c r="G748" i="206"/>
  <c r="G1911" i="206"/>
  <c r="H1911" i="206" s="1"/>
  <c r="I671" i="206"/>
  <c r="G1305" i="206"/>
  <c r="H146" i="188"/>
  <c r="C146" i="188" s="1"/>
  <c r="C149" i="188" s="1"/>
  <c r="I139" i="218"/>
  <c r="E139" i="218" s="1"/>
  <c r="E142" i="218" s="1"/>
  <c r="E12" i="187"/>
  <c r="E134" i="215"/>
  <c r="F134" i="215" s="1"/>
  <c r="G3" i="115"/>
  <c r="H145" i="193"/>
  <c r="C145" i="193" s="1"/>
  <c r="C148" i="193" s="1"/>
  <c r="I12" i="187"/>
  <c r="E124" i="197"/>
  <c r="F124" i="197" s="1"/>
  <c r="H158" i="184"/>
  <c r="C158" i="184" s="1"/>
  <c r="J133" i="115"/>
  <c r="I134" i="197"/>
  <c r="E134" i="197" s="1"/>
  <c r="E137" i="197" s="1"/>
  <c r="E134" i="209"/>
  <c r="E122" i="227"/>
  <c r="I132" i="227"/>
  <c r="K132" i="227" s="1"/>
  <c r="E10" i="228"/>
  <c r="M12" i="207"/>
  <c r="E196" i="249"/>
  <c r="O34" i="228" s="1"/>
  <c r="E135" i="221"/>
  <c r="F135" i="221" s="1"/>
  <c r="E123" i="223"/>
  <c r="M34" i="207" s="1"/>
  <c r="K12" i="207"/>
  <c r="J143" i="115"/>
  <c r="J127" i="115"/>
  <c r="E132" i="222"/>
  <c r="J117" i="115"/>
  <c r="J142" i="115"/>
  <c r="J145" i="115"/>
  <c r="E194" i="249"/>
  <c r="O32" i="228" s="1"/>
  <c r="J141" i="115"/>
  <c r="J122" i="115"/>
  <c r="L12" i="207"/>
  <c r="I142" i="204"/>
  <c r="E142" i="204" s="1"/>
  <c r="E145" i="204" s="1"/>
  <c r="O12" i="187"/>
  <c r="H12" i="207"/>
  <c r="E132" i="204"/>
  <c r="O8" i="228"/>
  <c r="E198" i="249"/>
  <c r="F198" i="249" s="1"/>
  <c r="E188" i="249"/>
  <c r="F188" i="249" s="1"/>
  <c r="J153" i="233"/>
  <c r="J154" i="233" s="1"/>
  <c r="M153" i="233" s="1"/>
  <c r="O5" i="228"/>
  <c r="E200" i="249"/>
  <c r="O38" i="228" s="1"/>
  <c r="F193" i="249"/>
  <c r="O31" i="228"/>
  <c r="G10" i="228"/>
  <c r="O17" i="228"/>
  <c r="D173" i="229"/>
  <c r="D174" i="229" s="1"/>
  <c r="O10" i="228"/>
  <c r="O18" i="228"/>
  <c r="O57" i="228"/>
  <c r="J170" i="239"/>
  <c r="E170" i="239" s="1"/>
  <c r="E173" i="239" s="1"/>
  <c r="J167" i="229"/>
  <c r="E167" i="229" s="1"/>
  <c r="E170" i="229" s="1"/>
  <c r="D159" i="233"/>
  <c r="D160" i="233" s="1"/>
  <c r="O54" i="228"/>
  <c r="O27" i="228"/>
  <c r="F189" i="249"/>
  <c r="F203" i="249"/>
  <c r="O41" i="228"/>
  <c r="F190" i="249"/>
  <c r="O28" i="228"/>
  <c r="L34" i="187"/>
  <c r="F147" i="198"/>
  <c r="O34" i="207"/>
  <c r="F147" i="225"/>
  <c r="F202" i="249"/>
  <c r="O40" i="228"/>
  <c r="F132" i="194"/>
  <c r="H34" i="187"/>
  <c r="O39" i="228"/>
  <c r="F201" i="249"/>
  <c r="O33" i="228"/>
  <c r="E204" i="249"/>
  <c r="L12" i="187"/>
  <c r="M12" i="172"/>
  <c r="M21" i="172" s="1"/>
  <c r="E113" i="224"/>
  <c r="N34" i="207" s="1"/>
  <c r="O12" i="207"/>
  <c r="E199" i="249"/>
  <c r="E192" i="249"/>
  <c r="H12" i="187"/>
  <c r="J171" i="242"/>
  <c r="G7" i="115"/>
  <c r="I157" i="198"/>
  <c r="E157" i="198" s="1"/>
  <c r="E160" i="198" s="1"/>
  <c r="H147" i="185"/>
  <c r="C147" i="185" s="1"/>
  <c r="G99" i="115"/>
  <c r="G102" i="115"/>
  <c r="J165" i="241"/>
  <c r="E165" i="241" s="1"/>
  <c r="E168" i="241" s="1"/>
  <c r="J208" i="249"/>
  <c r="G5" i="115"/>
  <c r="I142" i="194"/>
  <c r="E142" i="194" s="1"/>
  <c r="E145" i="194" s="1"/>
  <c r="I157" i="225"/>
  <c r="E157" i="225" s="1"/>
  <c r="E160" i="225" s="1"/>
  <c r="N12" i="187"/>
  <c r="G101" i="115"/>
  <c r="O16" i="228"/>
  <c r="I123" i="224"/>
  <c r="E123" i="224" s="1"/>
  <c r="E126" i="224" s="1"/>
  <c r="I10" i="228"/>
  <c r="D214" i="249"/>
  <c r="D215" i="249" s="1"/>
  <c r="G98" i="115"/>
  <c r="E129" i="218"/>
  <c r="I145" i="202"/>
  <c r="E145" i="202" s="1"/>
  <c r="E148" i="202" s="1"/>
  <c r="F10" i="228"/>
  <c r="E160" i="239"/>
  <c r="O4" i="228"/>
  <c r="N34" i="187"/>
  <c r="F135" i="202"/>
  <c r="F148" i="196"/>
  <c r="J34" i="187"/>
  <c r="G34" i="187"/>
  <c r="F135" i="193"/>
  <c r="F136" i="188"/>
  <c r="E34" i="187"/>
  <c r="F140" i="195"/>
  <c r="I34" i="187"/>
  <c r="D34" i="187"/>
  <c r="F141" i="186"/>
  <c r="E133" i="208"/>
  <c r="E141" i="195"/>
  <c r="D10" i="228"/>
  <c r="D171" i="241"/>
  <c r="D172" i="241" s="1"/>
  <c r="M12" i="187"/>
  <c r="E133" i="226"/>
  <c r="D175" i="245"/>
  <c r="D176" i="245" s="1"/>
  <c r="H10" i="228"/>
  <c r="J168" i="236"/>
  <c r="G12" i="207"/>
  <c r="E12" i="207"/>
  <c r="E158" i="236"/>
  <c r="E159" i="242"/>
  <c r="J169" i="245"/>
  <c r="E156" i="245"/>
  <c r="D149" i="226"/>
  <c r="D150" i="226" s="1"/>
  <c r="E132" i="200"/>
  <c r="J10" i="228"/>
  <c r="I150" i="195"/>
  <c r="E150" i="195" s="1"/>
  <c r="E153" i="195" s="1"/>
  <c r="J12" i="187"/>
  <c r="D177" i="242"/>
  <c r="D178" i="242" s="1"/>
  <c r="I158" i="196"/>
  <c r="E158" i="196" s="1"/>
  <c r="E161" i="196" s="1"/>
  <c r="D31" i="228" l="1"/>
  <c r="D32" i="187"/>
  <c r="F126" i="218"/>
  <c r="S28" i="214"/>
  <c r="T28" i="214" s="1"/>
  <c r="L41" i="187"/>
  <c r="O27" i="251" a="1"/>
  <c r="O27" i="251" s="1"/>
  <c r="O35" i="251" a="1"/>
  <c r="O35" i="251" s="1"/>
  <c r="Q33" i="251" a="1"/>
  <c r="Q33" i="251" s="1"/>
  <c r="Q25" i="251" a="1"/>
  <c r="Q25" i="251" s="1"/>
  <c r="Q40" i="251" a="1"/>
  <c r="Q40" i="251" s="1"/>
  <c r="Q27" i="251" a="1"/>
  <c r="Q27" i="251" s="1"/>
  <c r="Q36" i="251" a="1"/>
  <c r="Q36" i="251" s="1"/>
  <c r="Q34" i="251" a="1"/>
  <c r="Q34" i="251" s="1"/>
  <c r="Q32" i="251" a="1"/>
  <c r="Q32" i="251" s="1"/>
  <c r="Q35" i="251" a="1"/>
  <c r="Q35" i="251" s="1"/>
  <c r="Q38" i="251" a="1"/>
  <c r="Q38" i="251" s="1"/>
  <c r="O24" i="251" a="1"/>
  <c r="O24" i="251" s="1"/>
  <c r="Q24" i="251" a="1"/>
  <c r="Q24" i="251" s="1"/>
  <c r="Q28" i="251" a="1"/>
  <c r="Q28" i="251" s="1"/>
  <c r="Q29" i="251" a="1"/>
  <c r="Q29" i="251" s="1"/>
  <c r="Q31" i="251" a="1"/>
  <c r="Q31" i="251" s="1"/>
  <c r="Q39" i="251" a="1"/>
  <c r="Q39" i="251" s="1"/>
  <c r="Q26" i="251" a="1"/>
  <c r="Q26" i="251" s="1"/>
  <c r="Q30" i="251" a="1"/>
  <c r="Q30" i="251" s="1"/>
  <c r="Q37" i="251" a="1"/>
  <c r="Q37" i="251" s="1"/>
  <c r="R2" i="43"/>
  <c r="O33" i="251" a="1"/>
  <c r="O33" i="251" s="1"/>
  <c r="C82" i="251"/>
  <c r="R18" i="43"/>
  <c r="J41" i="207"/>
  <c r="J30" i="207"/>
  <c r="F138" i="202"/>
  <c r="F174" i="246"/>
  <c r="F132" i="215"/>
  <c r="M29" i="207"/>
  <c r="F163" i="242"/>
  <c r="M32" i="207"/>
  <c r="O39" i="251" a="1"/>
  <c r="O39" i="251" s="1"/>
  <c r="O30" i="251" a="1"/>
  <c r="O30" i="251" s="1"/>
  <c r="O28" i="251" a="1"/>
  <c r="O28" i="251" s="1"/>
  <c r="O37" i="251" a="1"/>
  <c r="O37" i="251" s="1"/>
  <c r="O29" i="251" a="1"/>
  <c r="O29" i="251" s="1"/>
  <c r="O26" i="251" a="1"/>
  <c r="O26" i="251" s="1"/>
  <c r="O34" i="251" a="1"/>
  <c r="O34" i="251" s="1"/>
  <c r="O36" i="251" a="1"/>
  <c r="O36" i="251" s="1"/>
  <c r="O38" i="251" a="1"/>
  <c r="O38" i="251" s="1"/>
  <c r="O40" i="251" a="1"/>
  <c r="O40" i="251" s="1"/>
  <c r="O32" i="251" a="1"/>
  <c r="O32" i="251" s="1"/>
  <c r="O25" i="251" a="1"/>
  <c r="O25" i="251" s="1"/>
  <c r="O31" i="251" a="1"/>
  <c r="O31" i="251" s="1"/>
  <c r="C69" i="251"/>
  <c r="N25" i="187"/>
  <c r="K41" i="207"/>
  <c r="L26" i="187"/>
  <c r="F128" i="215"/>
  <c r="F191" i="248"/>
  <c r="F159" i="229"/>
  <c r="E39" i="228"/>
  <c r="F131" i="188"/>
  <c r="D32" i="207"/>
  <c r="F127" i="197"/>
  <c r="F142" i="195"/>
  <c r="N36" i="228"/>
  <c r="F136" i="216"/>
  <c r="H37" i="228"/>
  <c r="E26" i="228"/>
  <c r="F152" i="216"/>
  <c r="O36" i="187"/>
  <c r="O29" i="187"/>
  <c r="C19" i="187"/>
  <c r="B19" i="187" s="1"/>
  <c r="C81" i="187" s="1"/>
  <c r="D81" i="187" s="1"/>
  <c r="L42" i="207"/>
  <c r="C42" i="207" s="1"/>
  <c r="B42" i="207" s="1"/>
  <c r="F125" i="227"/>
  <c r="F109" i="224"/>
  <c r="L29" i="187"/>
  <c r="F123" i="227"/>
  <c r="F26" i="187"/>
  <c r="K31" i="207"/>
  <c r="F139" i="202"/>
  <c r="F129" i="227"/>
  <c r="F121" i="197"/>
  <c r="G26" i="187"/>
  <c r="D56" i="172"/>
  <c r="D70" i="135"/>
  <c r="F35" i="207"/>
  <c r="G30" i="207"/>
  <c r="L36" i="187"/>
  <c r="F163" i="239"/>
  <c r="F160" i="236"/>
  <c r="F30" i="187"/>
  <c r="I33" i="207"/>
  <c r="J28" i="207"/>
  <c r="F137" i="216"/>
  <c r="F136" i="194"/>
  <c r="N35" i="187"/>
  <c r="O8" i="115"/>
  <c r="F133" i="200"/>
  <c r="I41" i="207"/>
  <c r="Q16" i="115"/>
  <c r="R16" i="115" s="1"/>
  <c r="B5" i="76"/>
  <c r="C52" i="76" s="1"/>
  <c r="F138" i="225"/>
  <c r="E287" i="2"/>
  <c r="E321" i="2" s="1"/>
  <c r="E323" i="2" s="1"/>
  <c r="C22" i="251"/>
  <c r="B22" i="251" s="1"/>
  <c r="I32" i="207"/>
  <c r="L18" i="43"/>
  <c r="E37" i="207"/>
  <c r="F143" i="216"/>
  <c r="F146" i="198"/>
  <c r="F134" i="220"/>
  <c r="K36" i="187"/>
  <c r="F134" i="205"/>
  <c r="F126" i="222"/>
  <c r="I8" i="115"/>
  <c r="G30" i="187"/>
  <c r="F151" i="241"/>
  <c r="F130" i="223"/>
  <c r="E36" i="187"/>
  <c r="K39" i="43"/>
  <c r="K35" i="207"/>
  <c r="H13" i="43"/>
  <c r="G34" i="228"/>
  <c r="F141" i="209"/>
  <c r="F162" i="239"/>
  <c r="F143" i="186"/>
  <c r="C15" i="187"/>
  <c r="B15" i="187" s="1"/>
  <c r="C77" i="187" s="1"/>
  <c r="D77" i="187" s="1"/>
  <c r="E32" i="207"/>
  <c r="K33" i="43"/>
  <c r="W28" i="230"/>
  <c r="I114" i="115"/>
  <c r="J20" i="228"/>
  <c r="D35" i="187"/>
  <c r="F144" i="196"/>
  <c r="I17" i="43"/>
  <c r="F148" i="189"/>
  <c r="F138" i="195"/>
  <c r="D38" i="187"/>
  <c r="B10" i="36"/>
  <c r="C69" i="36" s="1"/>
  <c r="M25" i="187"/>
  <c r="K13" i="43"/>
  <c r="C8" i="207"/>
  <c r="B8" i="207" s="1"/>
  <c r="C70" i="207" s="1"/>
  <c r="D70" i="207" s="1"/>
  <c r="F132" i="193"/>
  <c r="B9" i="106"/>
  <c r="C64" i="106" s="1"/>
  <c r="F128" i="188"/>
  <c r="G45" i="1"/>
  <c r="J14" i="43"/>
  <c r="F128" i="227"/>
  <c r="F34" i="187"/>
  <c r="P11" i="214"/>
  <c r="S25" i="214"/>
  <c r="T25" i="214" s="1"/>
  <c r="C20" i="251"/>
  <c r="C85" i="251"/>
  <c r="R21" i="43"/>
  <c r="C78" i="251"/>
  <c r="F124" i="220"/>
  <c r="F126" i="221"/>
  <c r="J2" i="43"/>
  <c r="F136" i="189"/>
  <c r="F151" i="236"/>
  <c r="H12" i="43"/>
  <c r="F3" i="43"/>
  <c r="E39" i="207"/>
  <c r="B10" i="172"/>
  <c r="C50" i="172" s="1"/>
  <c r="D50" i="172" s="1"/>
  <c r="F133" i="195"/>
  <c r="H37" i="187"/>
  <c r="B7" i="58"/>
  <c r="C53" i="58" s="1"/>
  <c r="D53" i="58" s="1"/>
  <c r="F124" i="218"/>
  <c r="I29" i="207"/>
  <c r="F129" i="200"/>
  <c r="B4" i="122"/>
  <c r="C52" i="122" s="1"/>
  <c r="G26" i="207"/>
  <c r="C18" i="187"/>
  <c r="O19" i="43" s="1"/>
  <c r="K30" i="187"/>
  <c r="F139" i="208"/>
  <c r="F135" i="226"/>
  <c r="D123" i="2"/>
  <c r="D125" i="2" s="1"/>
  <c r="K35" i="43"/>
  <c r="F140" i="209"/>
  <c r="B16" i="106"/>
  <c r="C71" i="106" s="1"/>
  <c r="C4" i="207"/>
  <c r="P3" i="43" s="1"/>
  <c r="F132" i="226"/>
  <c r="F141" i="226"/>
  <c r="N41" i="207"/>
  <c r="D105" i="240"/>
  <c r="M103" i="115"/>
  <c r="F133" i="221"/>
  <c r="B14" i="92"/>
  <c r="C69" i="92" s="1"/>
  <c r="D69" i="92" s="1"/>
  <c r="D58" i="155"/>
  <c r="D53" i="155"/>
  <c r="C10" i="187"/>
  <c r="O9" i="43" s="1"/>
  <c r="F36" i="207"/>
  <c r="N28" i="228"/>
  <c r="F177" i="246"/>
  <c r="K29" i="43"/>
  <c r="H38" i="228"/>
  <c r="D27" i="187"/>
  <c r="D30" i="187"/>
  <c r="C11" i="207"/>
  <c r="P10" i="43" s="1"/>
  <c r="F157" i="241"/>
  <c r="F143" i="188"/>
  <c r="F144" i="186"/>
  <c r="K21" i="187"/>
  <c r="F137" i="194"/>
  <c r="F129" i="194"/>
  <c r="B14" i="76"/>
  <c r="C61" i="76" s="1"/>
  <c r="D61" i="76" s="1"/>
  <c r="F139" i="222"/>
  <c r="I25" i="207"/>
  <c r="M42" i="228"/>
  <c r="L40" i="207"/>
  <c r="F138" i="222"/>
  <c r="C6" i="207"/>
  <c r="B6" i="207" s="1"/>
  <c r="C68" i="207" s="1"/>
  <c r="D68" i="207" s="1"/>
  <c r="F138" i="233"/>
  <c r="F129" i="220"/>
  <c r="F151" i="233"/>
  <c r="F122" i="218"/>
  <c r="J3" i="43"/>
  <c r="H30" i="187"/>
  <c r="F7" i="43"/>
  <c r="L21" i="207"/>
  <c r="G26" i="228"/>
  <c r="C7" i="207"/>
  <c r="B7" i="207" s="1"/>
  <c r="C69" i="207" s="1"/>
  <c r="D69" i="207" s="1"/>
  <c r="F172" i="246"/>
  <c r="C9" i="187"/>
  <c r="O8" i="43" s="1"/>
  <c r="C3" i="187"/>
  <c r="G39" i="187"/>
  <c r="F140" i="193"/>
  <c r="C8" i="187"/>
  <c r="O7" i="43" s="1"/>
  <c r="F139" i="233"/>
  <c r="C4" i="187"/>
  <c r="O3" i="43" s="1"/>
  <c r="C13" i="187"/>
  <c r="O13" i="43" s="1"/>
  <c r="L14" i="43"/>
  <c r="B6" i="155"/>
  <c r="C51" i="155" s="1"/>
  <c r="D51" i="155" s="1"/>
  <c r="C19" i="207"/>
  <c r="P20" i="43" s="1"/>
  <c r="M39" i="187"/>
  <c r="K27" i="43"/>
  <c r="L8" i="43"/>
  <c r="H28" i="187"/>
  <c r="D59" i="172"/>
  <c r="F130" i="220"/>
  <c r="E28" i="207"/>
  <c r="F127" i="208"/>
  <c r="F138" i="194"/>
  <c r="H40" i="187"/>
  <c r="L21" i="187"/>
  <c r="C22" i="228"/>
  <c r="B22" i="228" s="1"/>
  <c r="O21" i="207"/>
  <c r="K28" i="228"/>
  <c r="E27" i="207"/>
  <c r="C16" i="207"/>
  <c r="B16" i="207" s="1"/>
  <c r="C78" i="207" s="1"/>
  <c r="D78" i="207" s="1"/>
  <c r="F140" i="226"/>
  <c r="F132" i="209"/>
  <c r="C7" i="187"/>
  <c r="O6" i="43" s="1"/>
  <c r="W27" i="230"/>
  <c r="B3" i="172"/>
  <c r="C43" i="172" s="1"/>
  <c r="D43" i="172" s="1"/>
  <c r="F138" i="193"/>
  <c r="F37" i="207"/>
  <c r="M33" i="207"/>
  <c r="F122" i="223"/>
  <c r="F160" i="242"/>
  <c r="L13" i="43"/>
  <c r="F149" i="233"/>
  <c r="F138" i="186"/>
  <c r="F32" i="187"/>
  <c r="F140" i="189"/>
  <c r="F139" i="189"/>
  <c r="F31" i="187"/>
  <c r="F130" i="222"/>
  <c r="F126" i="223"/>
  <c r="M37" i="207"/>
  <c r="F153" i="242"/>
  <c r="I30" i="228"/>
  <c r="F126" i="226"/>
  <c r="F129" i="197"/>
  <c r="K39" i="187"/>
  <c r="B8" i="172"/>
  <c r="C48" i="172" s="1"/>
  <c r="D48" i="172" s="1"/>
  <c r="F129" i="188"/>
  <c r="E27" i="187"/>
  <c r="F129" i="193"/>
  <c r="N20" i="43"/>
  <c r="H8" i="43"/>
  <c r="B10" i="207"/>
  <c r="C72" i="207" s="1"/>
  <c r="D72" i="207" s="1"/>
  <c r="K21" i="207"/>
  <c r="F135" i="186"/>
  <c r="E25" i="207"/>
  <c r="F124" i="208"/>
  <c r="F135" i="188"/>
  <c r="E33" i="187"/>
  <c r="D51" i="2"/>
  <c r="D53" i="2" s="1"/>
  <c r="D71" i="2" s="1"/>
  <c r="F139" i="188"/>
  <c r="E37" i="187"/>
  <c r="F141" i="233"/>
  <c r="F21" i="207"/>
  <c r="C3" i="207"/>
  <c r="P2" i="43" s="1"/>
  <c r="C13" i="207"/>
  <c r="B13" i="207" s="1"/>
  <c r="C75" i="207" s="1"/>
  <c r="D75" i="207" s="1"/>
  <c r="F136" i="204"/>
  <c r="D38" i="207"/>
  <c r="H26" i="187"/>
  <c r="F124" i="194"/>
  <c r="F25" i="187"/>
  <c r="F133" i="189"/>
  <c r="F131" i="221"/>
  <c r="M38" i="207"/>
  <c r="H5" i="63"/>
  <c r="H58" i="63" s="1"/>
  <c r="H59" i="63" s="1"/>
  <c r="C7" i="155"/>
  <c r="M6" i="43" s="1"/>
  <c r="C20" i="187"/>
  <c r="O21" i="43" s="1"/>
  <c r="C18" i="207"/>
  <c r="B18" i="207" s="1"/>
  <c r="C80" i="207" s="1"/>
  <c r="D80" i="207" s="1"/>
  <c r="F149" i="189"/>
  <c r="H20" i="155"/>
  <c r="B11" i="106"/>
  <c r="C66" i="106" s="1"/>
  <c r="E40" i="187"/>
  <c r="F142" i="188"/>
  <c r="F143" i="195"/>
  <c r="I37" i="187"/>
  <c r="J13" i="43"/>
  <c r="M35" i="207"/>
  <c r="F133" i="188"/>
  <c r="E31" i="187"/>
  <c r="F128" i="193"/>
  <c r="G27" i="187"/>
  <c r="K31" i="43"/>
  <c r="C15" i="207"/>
  <c r="P15" i="43" s="1"/>
  <c r="C17" i="207"/>
  <c r="B17" i="207" s="1"/>
  <c r="C79" i="207" s="1"/>
  <c r="D79" i="207" s="1"/>
  <c r="M7" i="43"/>
  <c r="F127" i="188"/>
  <c r="E25" i="187"/>
  <c r="G41" i="228"/>
  <c r="N17" i="43"/>
  <c r="J25" i="187"/>
  <c r="O32" i="207"/>
  <c r="F145" i="225"/>
  <c r="F140" i="208"/>
  <c r="E41" i="207"/>
  <c r="F123" i="220"/>
  <c r="J31" i="207"/>
  <c r="K26" i="207"/>
  <c r="F127" i="221"/>
  <c r="C14" i="207"/>
  <c r="P14" i="43" s="1"/>
  <c r="B7" i="92"/>
  <c r="C62" i="92" s="1"/>
  <c r="D62" i="92" s="1"/>
  <c r="M151" i="115"/>
  <c r="E20" i="228"/>
  <c r="C14" i="187"/>
  <c r="O14" i="43" s="1"/>
  <c r="F140" i="221"/>
  <c r="F127" i="194"/>
  <c r="H29" i="187"/>
  <c r="F144" i="195"/>
  <c r="I38" i="187"/>
  <c r="I30" i="207"/>
  <c r="F125" i="218"/>
  <c r="G39" i="228"/>
  <c r="F148" i="233"/>
  <c r="K12" i="43"/>
  <c r="B7" i="106"/>
  <c r="C62" i="106" s="1"/>
  <c r="C14" i="172"/>
  <c r="N14" i="43" s="1"/>
  <c r="F12" i="43"/>
  <c r="J21" i="187"/>
  <c r="J28" i="228"/>
  <c r="C17" i="187"/>
  <c r="O18" i="43" s="1"/>
  <c r="B15" i="135"/>
  <c r="C68" i="135" s="1"/>
  <c r="D68" i="135" s="1"/>
  <c r="F118" i="220"/>
  <c r="J26" i="207"/>
  <c r="H28" i="207"/>
  <c r="F139" i="216"/>
  <c r="F107" i="224"/>
  <c r="N28" i="207"/>
  <c r="C5" i="207"/>
  <c r="P4" i="43" s="1"/>
  <c r="F152" i="245"/>
  <c r="J17" i="43"/>
  <c r="C9" i="207"/>
  <c r="B9" i="207" s="1"/>
  <c r="C71" i="207" s="1"/>
  <c r="D71" i="207" s="1"/>
  <c r="F152" i="236"/>
  <c r="M13" i="43"/>
  <c r="M41" i="187"/>
  <c r="F139" i="200"/>
  <c r="D36" i="228"/>
  <c r="F136" i="226"/>
  <c r="B7" i="172"/>
  <c r="C47" i="172" s="1"/>
  <c r="D47" i="172" s="1"/>
  <c r="F134" i="193"/>
  <c r="G33" i="187"/>
  <c r="I21" i="207"/>
  <c r="C9" i="155"/>
  <c r="B9" i="155" s="1"/>
  <c r="G47" i="1"/>
  <c r="G48" i="1"/>
  <c r="C20" i="207"/>
  <c r="P21" i="43" s="1"/>
  <c r="B4" i="92"/>
  <c r="C59" i="92" s="1"/>
  <c r="D59" i="92" s="1"/>
  <c r="F162" i="245"/>
  <c r="U30" i="230"/>
  <c r="V30" i="230"/>
  <c r="I103" i="240"/>
  <c r="F142" i="225"/>
  <c r="O29" i="207"/>
  <c r="H20" i="228"/>
  <c r="D106" i="240"/>
  <c r="K26" i="228"/>
  <c r="L20" i="155"/>
  <c r="K29" i="228"/>
  <c r="F155" i="242"/>
  <c r="H21" i="207"/>
  <c r="K41" i="228"/>
  <c r="F41" i="228"/>
  <c r="F150" i="205"/>
  <c r="R120" i="200"/>
  <c r="M121" i="200" s="1"/>
  <c r="E29" i="207"/>
  <c r="D62" i="135"/>
  <c r="B14" i="106"/>
  <c r="C69" i="106" s="1"/>
  <c r="B11" i="172"/>
  <c r="C51" i="172" s="1"/>
  <c r="D51" i="172" s="1"/>
  <c r="N10" i="43"/>
  <c r="C18" i="228"/>
  <c r="B18" i="228" s="1"/>
  <c r="C83" i="228" s="1"/>
  <c r="I21" i="187"/>
  <c r="I57" i="243"/>
  <c r="I58" i="243" s="1"/>
  <c r="J56" i="243" s="1"/>
  <c r="C5" i="187"/>
  <c r="O4" i="43" s="1"/>
  <c r="E177" i="73"/>
  <c r="E178" i="73" s="1"/>
  <c r="M8" i="115"/>
  <c r="M21" i="187"/>
  <c r="F202" i="248"/>
  <c r="F28" i="228"/>
  <c r="F136" i="222"/>
  <c r="L38" i="207"/>
  <c r="N35" i="207"/>
  <c r="F114" i="224"/>
  <c r="B19" i="155"/>
  <c r="C64" i="155" s="1"/>
  <c r="D64" i="155" s="1"/>
  <c r="M21" i="43"/>
  <c r="B6" i="58"/>
  <c r="C52" i="58" s="1"/>
  <c r="D52" i="58" s="1"/>
  <c r="G6" i="43"/>
  <c r="B15" i="172"/>
  <c r="C55" i="172" s="1"/>
  <c r="D55" i="172" s="1"/>
  <c r="N15" i="43"/>
  <c r="F144" i="198"/>
  <c r="L31" i="187"/>
  <c r="K17" i="43"/>
  <c r="F140" i="196"/>
  <c r="J26" i="187"/>
  <c r="G21" i="207"/>
  <c r="C8" i="228"/>
  <c r="Q8" i="43" s="1"/>
  <c r="D21" i="187"/>
  <c r="L31" i="228"/>
  <c r="F163" i="241"/>
  <c r="D66" i="135"/>
  <c r="B12" i="135"/>
  <c r="C65" i="135" s="1"/>
  <c r="D65" i="135" s="1"/>
  <c r="L12" i="43"/>
  <c r="S26" i="214"/>
  <c r="T26" i="214" s="1"/>
  <c r="L48" i="238"/>
  <c r="O138" i="240"/>
  <c r="O139" i="240" s="1"/>
  <c r="D21" i="207"/>
  <c r="I106" i="240"/>
  <c r="I107" i="240" s="1"/>
  <c r="I108" i="240" s="1"/>
  <c r="C4" i="155"/>
  <c r="M3" i="43" s="1"/>
  <c r="B18" i="172"/>
  <c r="C58" i="172" s="1"/>
  <c r="D58" i="172" s="1"/>
  <c r="N19" i="43"/>
  <c r="H9" i="43"/>
  <c r="B9" i="76"/>
  <c r="C56" i="76" s="1"/>
  <c r="D56" i="76" s="1"/>
  <c r="B17" i="122"/>
  <c r="C65" i="122" s="1"/>
  <c r="K21" i="43"/>
  <c r="B4" i="76"/>
  <c r="C51" i="76" s="1"/>
  <c r="D51" i="76" s="1"/>
  <c r="H3" i="43"/>
  <c r="N8" i="43"/>
  <c r="B9" i="172"/>
  <c r="C49" i="172" s="1"/>
  <c r="D49" i="172" s="1"/>
  <c r="B5" i="92"/>
  <c r="C60" i="92" s="1"/>
  <c r="D60" i="92" s="1"/>
  <c r="I5" i="43"/>
  <c r="H42" i="228"/>
  <c r="C6" i="187"/>
  <c r="B6" i="187" s="1"/>
  <c r="C68" i="187" s="1"/>
  <c r="D68" i="187" s="1"/>
  <c r="C18" i="122"/>
  <c r="N5" i="43"/>
  <c r="B6" i="172"/>
  <c r="C46" i="172" s="1"/>
  <c r="D46" i="172" s="1"/>
  <c r="G9" i="43"/>
  <c r="B9" i="58"/>
  <c r="C55" i="58" s="1"/>
  <c r="D55" i="58" s="1"/>
  <c r="L6" i="43"/>
  <c r="B7" i="135"/>
  <c r="C60" i="135" s="1"/>
  <c r="D60" i="135" s="1"/>
  <c r="J21" i="43"/>
  <c r="B17" i="106"/>
  <c r="C72" i="106" s="1"/>
  <c r="N39" i="207"/>
  <c r="F118" i="224"/>
  <c r="B3" i="36"/>
  <c r="C70" i="36" s="1"/>
  <c r="F2" i="43"/>
  <c r="B16" i="135"/>
  <c r="C69" i="135" s="1"/>
  <c r="D69" i="135" s="1"/>
  <c r="L17" i="43"/>
  <c r="D36" i="207"/>
  <c r="F134" i="204"/>
  <c r="L10" i="43"/>
  <c r="B11" i="135"/>
  <c r="C64" i="135" s="1"/>
  <c r="D64" i="135" s="1"/>
  <c r="F127" i="220"/>
  <c r="J35" i="207"/>
  <c r="M114" i="115"/>
  <c r="O111" i="115"/>
  <c r="O114" i="115" s="1"/>
  <c r="F115" i="197"/>
  <c r="K25" i="187"/>
  <c r="N92" i="115"/>
  <c r="M30" i="207"/>
  <c r="F119" i="223"/>
  <c r="K39" i="228"/>
  <c r="F165" i="242"/>
  <c r="F130" i="218"/>
  <c r="I35" i="207"/>
  <c r="M18" i="43"/>
  <c r="B17" i="155"/>
  <c r="C62" i="155" s="1"/>
  <c r="D62" i="155" s="1"/>
  <c r="F130" i="197"/>
  <c r="K40" i="187"/>
  <c r="H14" i="43"/>
  <c r="B13" i="76"/>
  <c r="C60" i="76" s="1"/>
  <c r="D60" i="76" s="1"/>
  <c r="F138" i="209"/>
  <c r="F38" i="207"/>
  <c r="F130" i="194"/>
  <c r="H32" i="187"/>
  <c r="G21" i="187"/>
  <c r="F116" i="224"/>
  <c r="F34" i="228"/>
  <c r="B13" i="172"/>
  <c r="C53" i="172" s="1"/>
  <c r="D53" i="172" s="1"/>
  <c r="N13" i="43"/>
  <c r="M12" i="43"/>
  <c r="B12" i="155"/>
  <c r="C57" i="155" s="1"/>
  <c r="D57" i="155" s="1"/>
  <c r="B6" i="135"/>
  <c r="C59" i="135" s="1"/>
  <c r="D59" i="135" s="1"/>
  <c r="L5" i="43"/>
  <c r="H29" i="207"/>
  <c r="F140" i="216"/>
  <c r="F142" i="205"/>
  <c r="O33" i="187"/>
  <c r="B6" i="122"/>
  <c r="C54" i="122" s="1"/>
  <c r="K6" i="43"/>
  <c r="G35" i="228"/>
  <c r="F145" i="233"/>
  <c r="M29" i="187"/>
  <c r="F127" i="200"/>
  <c r="E32" i="228"/>
  <c r="F121" i="227"/>
  <c r="C15" i="228"/>
  <c r="B15" i="228" s="1"/>
  <c r="C80" i="228" s="1"/>
  <c r="G38" i="207"/>
  <c r="F138" i="215"/>
  <c r="D25" i="187"/>
  <c r="F132" i="186"/>
  <c r="H7" i="43"/>
  <c r="B7" i="76"/>
  <c r="C54" i="76" s="1"/>
  <c r="D54" i="76" s="1"/>
  <c r="H2" i="43"/>
  <c r="B3" i="76"/>
  <c r="C50" i="76" s="1"/>
  <c r="D50" i="76" s="1"/>
  <c r="B12" i="92"/>
  <c r="C67" i="92" s="1"/>
  <c r="D67" i="92" s="1"/>
  <c r="I13" i="43"/>
  <c r="F5" i="62"/>
  <c r="F90" i="62" s="1"/>
  <c r="F91" i="62" s="1"/>
  <c r="F5" i="65" s="1"/>
  <c r="F107" i="65" s="1"/>
  <c r="F108" i="65" s="1"/>
  <c r="F5" i="66" s="1"/>
  <c r="F104" i="66" s="1"/>
  <c r="F105" i="66" s="1"/>
  <c r="F5" i="67" s="1"/>
  <c r="F99" i="67" s="1"/>
  <c r="F100" i="67" s="1"/>
  <c r="F5" i="68" s="1"/>
  <c r="F87" i="68" s="1"/>
  <c r="F88" i="68" s="1"/>
  <c r="F5" i="71" s="1"/>
  <c r="F97" i="71" s="1"/>
  <c r="F98" i="71" s="1"/>
  <c r="F5" i="72" s="1"/>
  <c r="F90" i="72" s="1"/>
  <c r="F91" i="72" s="1"/>
  <c r="F5" i="74" s="1"/>
  <c r="F119" i="74" s="1"/>
  <c r="F120" i="74" s="1"/>
  <c r="F5" i="75" s="1"/>
  <c r="F110" i="75" s="1"/>
  <c r="F111" i="75" s="1"/>
  <c r="F5" i="77" s="1"/>
  <c r="F97" i="77" s="1"/>
  <c r="F98" i="77" s="1"/>
  <c r="F5" i="78" s="1"/>
  <c r="F93" i="78" s="1"/>
  <c r="F94" i="78" s="1"/>
  <c r="F5" i="79" s="1"/>
  <c r="F94" i="79" s="1"/>
  <c r="F95" i="79" s="1"/>
  <c r="F5" i="80" s="1"/>
  <c r="F115" i="80" s="1"/>
  <c r="F116" i="80" s="1"/>
  <c r="F5" i="81" s="1"/>
  <c r="F107" i="81" s="1"/>
  <c r="F108" i="81" s="1"/>
  <c r="F5" i="83" s="1"/>
  <c r="F102" i="83" s="1"/>
  <c r="F103" i="83" s="1"/>
  <c r="F5" i="84" s="1"/>
  <c r="F104" i="84" s="1"/>
  <c r="F105" i="84" s="1"/>
  <c r="F5" i="85" s="1"/>
  <c r="F107" i="85" s="1"/>
  <c r="F108" i="85" s="1"/>
  <c r="F5" i="86" s="1"/>
  <c r="F115" i="86" s="1"/>
  <c r="F116" i="86" s="1"/>
  <c r="F5" i="87" s="1"/>
  <c r="F104" i="87" s="1"/>
  <c r="F105" i="87" s="1"/>
  <c r="F5" i="89" s="1"/>
  <c r="F103" i="89" s="1"/>
  <c r="F104" i="89" s="1"/>
  <c r="F5" i="90" s="1"/>
  <c r="F91" i="90" s="1"/>
  <c r="F92" i="90" s="1"/>
  <c r="F5" i="93" s="1"/>
  <c r="F94" i="93" s="1"/>
  <c r="F95" i="93" s="1"/>
  <c r="F5" i="94" s="1"/>
  <c r="F107" i="94" s="1"/>
  <c r="F108" i="94" s="1"/>
  <c r="F5" i="95" s="1"/>
  <c r="F105" i="95" s="1"/>
  <c r="F106" i="95" s="1"/>
  <c r="F5" i="96" s="1"/>
  <c r="F92" i="96" s="1"/>
  <c r="F93" i="96" s="1"/>
  <c r="F5" i="97" s="1"/>
  <c r="F103" i="97" s="1"/>
  <c r="F104" i="97" s="1"/>
  <c r="F5" i="98" s="1"/>
  <c r="F108" i="98" s="1"/>
  <c r="F109" i="98" s="1"/>
  <c r="F5" i="100" s="1"/>
  <c r="F105" i="100" s="1"/>
  <c r="F106" i="100" s="1"/>
  <c r="F5" i="101" s="1"/>
  <c r="F106" i="101" s="1"/>
  <c r="F107" i="101" s="1"/>
  <c r="F5" i="102" s="1"/>
  <c r="F110" i="102" s="1"/>
  <c r="F111" i="102" s="1"/>
  <c r="F5" i="103" s="1"/>
  <c r="F113" i="103" s="1"/>
  <c r="F114" i="103" s="1"/>
  <c r="F5" i="104" s="1"/>
  <c r="F113" i="104" s="1"/>
  <c r="F114" i="104" s="1"/>
  <c r="G5" i="105" s="1"/>
  <c r="G111" i="105" s="1"/>
  <c r="G112" i="105" s="1"/>
  <c r="G5" i="107" s="1"/>
  <c r="G108" i="107" s="1"/>
  <c r="G109" i="107" s="1"/>
  <c r="G5" i="108" s="1"/>
  <c r="G113" i="108" s="1"/>
  <c r="G114" i="108" s="1"/>
  <c r="G5" i="109" s="1"/>
  <c r="G105" i="109" s="1"/>
  <c r="G106" i="109" s="1"/>
  <c r="G5" i="110" s="1"/>
  <c r="G114" i="110" s="1"/>
  <c r="G115" i="110" s="1"/>
  <c r="G5" i="112" s="1"/>
  <c r="G113" i="112" s="1"/>
  <c r="G114" i="112" s="1"/>
  <c r="G5" i="113" s="1"/>
  <c r="G113" i="113" s="1"/>
  <c r="G114" i="113" s="1"/>
  <c r="G5" i="114" s="1"/>
  <c r="G114" i="114" s="1"/>
  <c r="G115" i="114" s="1"/>
  <c r="G5" i="116" s="1"/>
  <c r="G114" i="116" s="1"/>
  <c r="G115" i="116" s="1"/>
  <c r="G5" i="117" s="1"/>
  <c r="G127" i="117" s="1"/>
  <c r="G128" i="117" s="1"/>
  <c r="G5" i="119" s="1"/>
  <c r="G109" i="119" s="1"/>
  <c r="G110" i="119" s="1"/>
  <c r="G5" i="120" s="1"/>
  <c r="G128" i="120" s="1"/>
  <c r="G129" i="120" s="1"/>
  <c r="G5" i="121" s="1"/>
  <c r="G114" i="121" s="1"/>
  <c r="G115" i="121" s="1"/>
  <c r="G5" i="123" s="1"/>
  <c r="G88" i="123" s="1"/>
  <c r="G89" i="123" s="1"/>
  <c r="G5" i="124" s="1"/>
  <c r="G110" i="124" s="1"/>
  <c r="G111" i="124" s="1"/>
  <c r="G5" i="125" s="1"/>
  <c r="G119" i="125" s="1"/>
  <c r="G120" i="125" s="1"/>
  <c r="G5" i="126" s="1"/>
  <c r="G115" i="126" s="1"/>
  <c r="G116" i="126" s="1"/>
  <c r="G5" i="127" s="1"/>
  <c r="G114" i="127" s="1"/>
  <c r="G115" i="127" s="1"/>
  <c r="G5" i="128" s="1"/>
  <c r="G118" i="128" s="1"/>
  <c r="G119" i="128" s="1"/>
  <c r="G5" i="129" s="1"/>
  <c r="G119" i="129" s="1"/>
  <c r="G120" i="129" s="1"/>
  <c r="G5" i="130" s="1"/>
  <c r="G116" i="130" s="1"/>
  <c r="G117" i="130" s="1"/>
  <c r="G5" i="131" s="1"/>
  <c r="G109" i="131" s="1"/>
  <c r="G110" i="131" s="1"/>
  <c r="G5" i="132" s="1"/>
  <c r="G106" i="132" s="1"/>
  <c r="G107" i="132" s="1"/>
  <c r="G5" i="133" s="1"/>
  <c r="G134" i="133" s="1"/>
  <c r="G135" i="133" s="1"/>
  <c r="G5" i="134" s="1"/>
  <c r="G121" i="134" s="1"/>
  <c r="G122" i="134" s="1"/>
  <c r="G5" i="136" s="1"/>
  <c r="G115" i="136" s="1"/>
  <c r="G116" i="136" s="1"/>
  <c r="G5" i="139" s="1"/>
  <c r="G119" i="139" s="1"/>
  <c r="G120" i="139" s="1"/>
  <c r="G5" i="140" s="1"/>
  <c r="G111" i="140" s="1"/>
  <c r="G112" i="140" s="1"/>
  <c r="G5" i="141" s="1"/>
  <c r="G130" i="141" s="1"/>
  <c r="G131" i="141" s="1"/>
  <c r="G5" i="144" s="1"/>
  <c r="G116" i="144" s="1"/>
  <c r="G117" i="144" s="1"/>
  <c r="G5" i="145" s="1"/>
  <c r="G125" i="145" s="1"/>
  <c r="G126" i="145" s="1"/>
  <c r="G5" i="146" s="1"/>
  <c r="G119" i="146" s="1"/>
  <c r="G120" i="146" s="1"/>
  <c r="G5" i="148" s="1"/>
  <c r="G124" i="148" s="1"/>
  <c r="G125" i="148" s="1"/>
  <c r="G5" i="149" s="1"/>
  <c r="G123" i="149" s="1"/>
  <c r="G124" i="149" s="1"/>
  <c r="G5" i="152" s="1"/>
  <c r="G129" i="152" s="1"/>
  <c r="G130" i="152" s="1"/>
  <c r="G5" i="153" s="1"/>
  <c r="G143" i="153" s="1"/>
  <c r="G144" i="153" s="1"/>
  <c r="G5" i="154" s="1"/>
  <c r="G143" i="154" s="1"/>
  <c r="G144" i="154" s="1"/>
  <c r="G5" i="157" s="1"/>
  <c r="G128" i="157" s="1"/>
  <c r="G129" i="157" s="1"/>
  <c r="G5" i="159" s="1"/>
  <c r="G125" i="159" s="1"/>
  <c r="G126" i="159" s="1"/>
  <c r="G5" i="160" s="1"/>
  <c r="G108" i="160" s="1"/>
  <c r="G109" i="160" s="1"/>
  <c r="G5" i="161" s="1"/>
  <c r="G108" i="161" s="1"/>
  <c r="G109" i="161" s="1"/>
  <c r="G5" i="162" s="1"/>
  <c r="G116" i="162" s="1"/>
  <c r="G117" i="162" s="1"/>
  <c r="G5" i="163" s="1"/>
  <c r="G121" i="163" s="1"/>
  <c r="G122" i="163" s="1"/>
  <c r="G5" i="164" s="1"/>
  <c r="G112" i="164" s="1"/>
  <c r="G113" i="164" s="1"/>
  <c r="G5" i="165" s="1"/>
  <c r="G128" i="165" s="1"/>
  <c r="G129" i="165" s="1"/>
  <c r="G5" i="167" s="1"/>
  <c r="G131" i="167" s="1"/>
  <c r="G132" i="167" s="1"/>
  <c r="G5" i="168" s="1"/>
  <c r="G119" i="168" s="1"/>
  <c r="G120" i="168" s="1"/>
  <c r="G5" i="169" s="1"/>
  <c r="G138" i="169" s="1"/>
  <c r="G139" i="169" s="1"/>
  <c r="G5" i="171" s="1"/>
  <c r="G139" i="171" s="1"/>
  <c r="G140" i="171" s="1"/>
  <c r="G5" i="173" s="1"/>
  <c r="G119" i="173" s="1"/>
  <c r="G120" i="173" s="1"/>
  <c r="G5" i="175" s="1"/>
  <c r="G136" i="175" s="1"/>
  <c r="G137" i="175" s="1"/>
  <c r="G5" i="177" s="1"/>
  <c r="G130" i="177" s="1"/>
  <c r="G131" i="177" s="1"/>
  <c r="G5" i="178" s="1"/>
  <c r="G128" i="178" s="1"/>
  <c r="G129" i="178" s="1"/>
  <c r="G5" i="179" s="1"/>
  <c r="G139" i="179" s="1"/>
  <c r="G140" i="179" s="1"/>
  <c r="G5" i="180" s="1"/>
  <c r="G124" i="180" s="1"/>
  <c r="G125" i="180" s="1"/>
  <c r="G5" i="181" s="1"/>
  <c r="G131" i="181" s="1"/>
  <c r="G132" i="181" s="1"/>
  <c r="G4" i="182" s="1"/>
  <c r="G121" i="182" s="1"/>
  <c r="G122" i="182" s="1"/>
  <c r="G5" i="183" s="1"/>
  <c r="G128" i="183" s="1"/>
  <c r="G129" i="183" s="1"/>
  <c r="G5" i="184" s="1"/>
  <c r="G135" i="184" s="1"/>
  <c r="G136" i="184" s="1"/>
  <c r="G5" i="185" s="1"/>
  <c r="G124" i="185" s="1"/>
  <c r="G125" i="185" s="1"/>
  <c r="G5" i="186" s="1"/>
  <c r="G128" i="186" s="1"/>
  <c r="G129" i="186" s="1"/>
  <c r="G5" i="188" s="1"/>
  <c r="G123" i="188" s="1"/>
  <c r="G124" i="188" s="1"/>
  <c r="G5" i="189" s="1"/>
  <c r="G129" i="189" s="1"/>
  <c r="G130" i="189" s="1"/>
  <c r="G5" i="193" s="1"/>
  <c r="G122" i="193" s="1"/>
  <c r="G123" i="193" s="1"/>
  <c r="G5" i="194" s="1"/>
  <c r="G119" i="194" s="1"/>
  <c r="G120" i="194" s="1"/>
  <c r="G5" i="195" s="1"/>
  <c r="G127" i="195" s="1"/>
  <c r="G128" i="195" s="1"/>
  <c r="G5" i="196" s="1"/>
  <c r="G135" i="196" s="1"/>
  <c r="G136" i="196" s="1"/>
  <c r="G5" i="197" s="1"/>
  <c r="G111" i="197" s="1"/>
  <c r="G112" i="197" s="1"/>
  <c r="G5" i="198" s="1"/>
  <c r="G134" i="198" s="1"/>
  <c r="G135" i="198" s="1"/>
  <c r="G5" i="200" s="1"/>
  <c r="G119" i="200" s="1"/>
  <c r="G120" i="200" s="1"/>
  <c r="G5" i="202" s="1"/>
  <c r="G122" i="202" s="1"/>
  <c r="G123" i="202" s="1"/>
  <c r="F5" i="63"/>
  <c r="F58" i="63" s="1"/>
  <c r="F59" i="63" s="1"/>
  <c r="B9" i="36"/>
  <c r="C75" i="36" s="1"/>
  <c r="F9" i="43"/>
  <c r="B3" i="122"/>
  <c r="C51" i="122" s="1"/>
  <c r="K2" i="43"/>
  <c r="K37" i="43"/>
  <c r="K41" i="43"/>
  <c r="M43" i="43" s="1"/>
  <c r="D55" i="251"/>
  <c r="C55" i="251" s="1"/>
  <c r="R20" i="43"/>
  <c r="C84" i="251"/>
  <c r="R8" i="43"/>
  <c r="C74" i="251"/>
  <c r="R7" i="43"/>
  <c r="C73" i="251"/>
  <c r="R16" i="43"/>
  <c r="C80" i="251"/>
  <c r="R15" i="43"/>
  <c r="C79" i="251"/>
  <c r="R19" i="43"/>
  <c r="C83" i="251"/>
  <c r="R6" i="43"/>
  <c r="C72" i="251"/>
  <c r="R5" i="43"/>
  <c r="C71" i="251"/>
  <c r="R13" i="43"/>
  <c r="C77" i="251"/>
  <c r="R17" i="43"/>
  <c r="C81" i="251"/>
  <c r="O16" i="235"/>
  <c r="I5" i="241"/>
  <c r="I143" i="241" s="1"/>
  <c r="I144" i="241" s="1"/>
  <c r="C6" i="228"/>
  <c r="Q6" i="43" s="1"/>
  <c r="F153" i="239"/>
  <c r="I26" i="228"/>
  <c r="G769" i="206"/>
  <c r="M35" i="228"/>
  <c r="F178" i="246"/>
  <c r="F173" i="246"/>
  <c r="M30" i="228"/>
  <c r="M20" i="228"/>
  <c r="C7" i="228"/>
  <c r="B7" i="228" s="1"/>
  <c r="C72" i="228" s="1"/>
  <c r="F160" i="245"/>
  <c r="L26" i="228"/>
  <c r="C9" i="228"/>
  <c r="B9" i="228" s="1"/>
  <c r="C74" i="228" s="1"/>
  <c r="C3" i="228"/>
  <c r="Q2" i="43" s="1"/>
  <c r="C13" i="228"/>
  <c r="B13" i="228" s="1"/>
  <c r="C78" i="228" s="1"/>
  <c r="C11" i="228"/>
  <c r="C57" i="228"/>
  <c r="F20" i="228"/>
  <c r="F36" i="228"/>
  <c r="F160" i="229"/>
  <c r="I44" i="247"/>
  <c r="O35" i="228"/>
  <c r="F484" i="206"/>
  <c r="F485" i="206" s="1"/>
  <c r="I13" i="247"/>
  <c r="C16" i="228"/>
  <c r="Q18" i="43" s="1"/>
  <c r="G5" i="250"/>
  <c r="G176" i="250" s="1"/>
  <c r="G177" i="250" s="1"/>
  <c r="K5" i="250"/>
  <c r="K176" i="250" s="1"/>
  <c r="K177" i="250" s="1"/>
  <c r="E207" i="248"/>
  <c r="E210" i="248" s="1"/>
  <c r="I47" i="247"/>
  <c r="I48" i="247" s="1"/>
  <c r="J46" i="247" s="1"/>
  <c r="F189" i="250"/>
  <c r="I105" i="243"/>
  <c r="F185" i="250"/>
  <c r="H728" i="206"/>
  <c r="F722" i="206" s="1"/>
  <c r="F723" i="206" s="1"/>
  <c r="F724" i="206" s="1"/>
  <c r="G664" i="206"/>
  <c r="F656" i="206"/>
  <c r="F657" i="206" s="1"/>
  <c r="F658" i="206" s="1"/>
  <c r="H1404" i="206"/>
  <c r="F184" i="250"/>
  <c r="F195" i="250"/>
  <c r="H1278" i="206"/>
  <c r="F511" i="206"/>
  <c r="F512" i="206" s="1"/>
  <c r="F192" i="250"/>
  <c r="F188" i="250"/>
  <c r="F191" i="250"/>
  <c r="F187" i="250"/>
  <c r="F190" i="250"/>
  <c r="F183" i="250"/>
  <c r="F193" i="250"/>
  <c r="F194" i="250"/>
  <c r="F182" i="250"/>
  <c r="F181" i="250"/>
  <c r="D20" i="251"/>
  <c r="P36" i="251" s="1" a="1"/>
  <c r="P36" i="251" s="1"/>
  <c r="F196" i="250"/>
  <c r="J33" i="228"/>
  <c r="F154" i="241"/>
  <c r="F157" i="229"/>
  <c r="K20" i="228"/>
  <c r="F122" i="227"/>
  <c r="G33" i="228"/>
  <c r="F143" i="233"/>
  <c r="F33" i="228"/>
  <c r="C12" i="228"/>
  <c r="Q14" i="43" s="1"/>
  <c r="I54" i="243"/>
  <c r="N18" i="43"/>
  <c r="B17" i="172"/>
  <c r="C57" i="172" s="1"/>
  <c r="D57" i="172" s="1"/>
  <c r="I11" i="43"/>
  <c r="B10" i="92"/>
  <c r="C65" i="92" s="1"/>
  <c r="D65" i="92" s="1"/>
  <c r="C4" i="172"/>
  <c r="L21" i="172"/>
  <c r="H17" i="43"/>
  <c r="B15" i="76"/>
  <c r="C62" i="76" s="1"/>
  <c r="D62" i="76" s="1"/>
  <c r="L19" i="43"/>
  <c r="B18" i="135"/>
  <c r="C71" i="135" s="1"/>
  <c r="D71" i="135" s="1"/>
  <c r="M17" i="43"/>
  <c r="B16" i="155"/>
  <c r="C61" i="155" s="1"/>
  <c r="D61" i="155" s="1"/>
  <c r="F127" i="209"/>
  <c r="F27" i="207"/>
  <c r="O15" i="235"/>
  <c r="F169" i="246"/>
  <c r="M26" i="228"/>
  <c r="G36" i="228"/>
  <c r="F146" i="233"/>
  <c r="G5" i="43"/>
  <c r="B5" i="58"/>
  <c r="C51" i="58" s="1"/>
  <c r="D51" i="58" s="1"/>
  <c r="N21" i="187"/>
  <c r="C17" i="228"/>
  <c r="B17" i="228" s="1"/>
  <c r="C82" i="228" s="1"/>
  <c r="F144" i="189"/>
  <c r="F30" i="228"/>
  <c r="F154" i="229"/>
  <c r="F26" i="228"/>
  <c r="F150" i="229"/>
  <c r="C14" i="36"/>
  <c r="F5" i="43"/>
  <c r="B5" i="36"/>
  <c r="C5" i="172"/>
  <c r="E21" i="172"/>
  <c r="M14" i="43"/>
  <c r="B14" i="155"/>
  <c r="C59" i="155" s="1"/>
  <c r="D59" i="155" s="1"/>
  <c r="B14" i="58"/>
  <c r="C60" i="58" s="1"/>
  <c r="D60" i="58" s="1"/>
  <c r="G15" i="43"/>
  <c r="K5" i="43"/>
  <c r="B5" i="122"/>
  <c r="F20" i="2"/>
  <c r="H19" i="2"/>
  <c r="H33" i="187"/>
  <c r="F131" i="194"/>
  <c r="F179" i="246"/>
  <c r="M36" i="228"/>
  <c r="F133" i="186"/>
  <c r="D26" i="187"/>
  <c r="F158" i="241"/>
  <c r="J37" i="228"/>
  <c r="M19" i="43"/>
  <c r="B18" i="155"/>
  <c r="C63" i="155" s="1"/>
  <c r="D63" i="155" s="1"/>
  <c r="J11" i="43"/>
  <c r="B10" i="106"/>
  <c r="C65" i="106" s="1"/>
  <c r="J5" i="43"/>
  <c r="B5" i="106"/>
  <c r="C60" i="106" s="1"/>
  <c r="F21" i="187"/>
  <c r="G20" i="228"/>
  <c r="C19" i="228"/>
  <c r="Q21" i="43" s="1"/>
  <c r="J21" i="207"/>
  <c r="I92" i="115"/>
  <c r="C15" i="58"/>
  <c r="F190" i="248"/>
  <c r="N29" i="228"/>
  <c r="M40" i="207"/>
  <c r="F129" i="223"/>
  <c r="F153" i="241"/>
  <c r="J32" i="228"/>
  <c r="F13" i="43"/>
  <c r="B13" i="36"/>
  <c r="C78" i="36" s="1"/>
  <c r="F161" i="241"/>
  <c r="J40" i="228"/>
  <c r="F33" i="187"/>
  <c r="F141" i="189"/>
  <c r="B10" i="58"/>
  <c r="C56" i="58" s="1"/>
  <c r="D56" i="58" s="1"/>
  <c r="G12" i="43"/>
  <c r="B10" i="155"/>
  <c r="C55" i="155" s="1"/>
  <c r="D55" i="155" s="1"/>
  <c r="M9" i="43"/>
  <c r="F134" i="202"/>
  <c r="N33" i="187"/>
  <c r="B5" i="135"/>
  <c r="C58" i="135" s="1"/>
  <c r="D58" i="135" s="1"/>
  <c r="L4" i="43"/>
  <c r="L9" i="43"/>
  <c r="B10" i="135"/>
  <c r="C63" i="135" s="1"/>
  <c r="D63" i="135" s="1"/>
  <c r="B6" i="106"/>
  <c r="C61" i="106" s="1"/>
  <c r="J6" i="43"/>
  <c r="D41" i="207"/>
  <c r="F139" i="204"/>
  <c r="M37" i="228"/>
  <c r="F180" i="246"/>
  <c r="E21" i="187"/>
  <c r="C14" i="228"/>
  <c r="B14" i="228" s="1"/>
  <c r="C79" i="228" s="1"/>
  <c r="I44" i="238"/>
  <c r="J35" i="228"/>
  <c r="B8" i="92"/>
  <c r="C63" i="92" s="1"/>
  <c r="D63" i="92" s="1"/>
  <c r="I8" i="43"/>
  <c r="F147" i="189"/>
  <c r="F39" i="187"/>
  <c r="H29" i="228"/>
  <c r="F154" i="236"/>
  <c r="F27" i="187"/>
  <c r="F135" i="189"/>
  <c r="B4" i="58"/>
  <c r="C50" i="58" s="1"/>
  <c r="D50" i="58" s="1"/>
  <c r="G3" i="43"/>
  <c r="B14" i="122"/>
  <c r="C62" i="122" s="1"/>
  <c r="K15" i="43"/>
  <c r="F8" i="43"/>
  <c r="B8" i="36"/>
  <c r="C74" i="36" s="1"/>
  <c r="E38" i="187"/>
  <c r="F140" i="188"/>
  <c r="I152" i="243"/>
  <c r="F153" i="198"/>
  <c r="L40" i="187"/>
  <c r="N32" i="187"/>
  <c r="F133" i="202"/>
  <c r="M10" i="43"/>
  <c r="B11" i="155"/>
  <c r="C56" i="155" s="1"/>
  <c r="D56" i="155" s="1"/>
  <c r="L3" i="43"/>
  <c r="B4" i="135"/>
  <c r="C57" i="135" s="1"/>
  <c r="D57" i="135" s="1"/>
  <c r="L20" i="135"/>
  <c r="K18" i="43"/>
  <c r="B16" i="122"/>
  <c r="C64" i="122" s="1"/>
  <c r="B3" i="58"/>
  <c r="G2" i="43"/>
  <c r="F6" i="43"/>
  <c r="B6" i="36"/>
  <c r="C71" i="36" s="1"/>
  <c r="B11" i="58"/>
  <c r="C57" i="58" s="1"/>
  <c r="D57" i="58" s="1"/>
  <c r="G13" i="43"/>
  <c r="N34" i="228"/>
  <c r="F195" i="248"/>
  <c r="B7" i="122"/>
  <c r="C55" i="122" s="1"/>
  <c r="K7" i="43"/>
  <c r="I20" i="228"/>
  <c r="I77" i="235"/>
  <c r="I78" i="235" s="1"/>
  <c r="I75" i="243"/>
  <c r="I108" i="243"/>
  <c r="I109" i="243" s="1"/>
  <c r="J107" i="243" s="1"/>
  <c r="K14" i="43"/>
  <c r="B13" i="122"/>
  <c r="C61" i="122" s="1"/>
  <c r="B13" i="58"/>
  <c r="C59" i="58" s="1"/>
  <c r="D59" i="58" s="1"/>
  <c r="G14" i="43"/>
  <c r="B3" i="92"/>
  <c r="C58" i="92" s="1"/>
  <c r="D58" i="92" s="1"/>
  <c r="I2" i="43"/>
  <c r="K9" i="43"/>
  <c r="B9" i="122"/>
  <c r="C57" i="122" s="1"/>
  <c r="I21" i="172"/>
  <c r="I9" i="43"/>
  <c r="B9" i="92"/>
  <c r="C64" i="92" s="1"/>
  <c r="D64" i="92" s="1"/>
  <c r="B8" i="58"/>
  <c r="C54" i="58" s="1"/>
  <c r="D54" i="58" s="1"/>
  <c r="G8" i="43"/>
  <c r="K8" i="43"/>
  <c r="B8" i="122"/>
  <c r="C56" i="122" s="1"/>
  <c r="C8" i="135"/>
  <c r="L7" i="43" s="1"/>
  <c r="H21" i="187"/>
  <c r="C4" i="228"/>
  <c r="B4" i="228" s="1"/>
  <c r="C69" i="228" s="1"/>
  <c r="C27" i="228"/>
  <c r="B27" i="228" s="1"/>
  <c r="O21" i="187"/>
  <c r="M21" i="207"/>
  <c r="L20" i="228"/>
  <c r="C11" i="187"/>
  <c r="B11" i="187" s="1"/>
  <c r="C73" i="187" s="1"/>
  <c r="D73" i="187" s="1"/>
  <c r="M28" i="228"/>
  <c r="F171" i="246"/>
  <c r="B5" i="155"/>
  <c r="C50" i="155" s="1"/>
  <c r="D50" i="155" s="1"/>
  <c r="M4" i="43"/>
  <c r="F155" i="239"/>
  <c r="I28" i="228"/>
  <c r="N41" i="187"/>
  <c r="F142" i="202"/>
  <c r="C20" i="172"/>
  <c r="F21" i="172"/>
  <c r="M2" i="43"/>
  <c r="B3" i="155"/>
  <c r="C48" i="155" s="1"/>
  <c r="D48" i="155" s="1"/>
  <c r="B3" i="135"/>
  <c r="C56" i="135" s="1"/>
  <c r="D56" i="135" s="1"/>
  <c r="L2" i="43"/>
  <c r="M15" i="43"/>
  <c r="B15" i="155"/>
  <c r="C60" i="155" s="1"/>
  <c r="D60" i="155" s="1"/>
  <c r="E28" i="187"/>
  <c r="F130" i="188"/>
  <c r="I155" i="243"/>
  <c r="I156" i="243" s="1"/>
  <c r="J154" i="243" s="1"/>
  <c r="O29" i="228"/>
  <c r="M64" i="235"/>
  <c r="M67" i="235" s="1"/>
  <c r="Q15" i="235"/>
  <c r="G29" i="187"/>
  <c r="F130" i="193"/>
  <c r="K143" i="226"/>
  <c r="C5" i="228"/>
  <c r="Q5" i="43" s="1"/>
  <c r="F151" i="245"/>
  <c r="L28" i="228"/>
  <c r="F159" i="245"/>
  <c r="L36" i="228"/>
  <c r="N21" i="207"/>
  <c r="F138" i="200"/>
  <c r="M40" i="187"/>
  <c r="F142" i="193"/>
  <c r="G41" i="187"/>
  <c r="M86" i="115"/>
  <c r="R123" i="202"/>
  <c r="M124" i="202" s="1"/>
  <c r="F199" i="248"/>
  <c r="N38" i="228"/>
  <c r="N37" i="228"/>
  <c r="F198" i="248"/>
  <c r="F132" i="218"/>
  <c r="I37" i="207"/>
  <c r="G42" i="187"/>
  <c r="F143" i="193"/>
  <c r="H6" i="43"/>
  <c r="B6" i="76"/>
  <c r="C53" i="76" s="1"/>
  <c r="D53" i="76" s="1"/>
  <c r="C16" i="76"/>
  <c r="J8" i="43"/>
  <c r="B8" i="106"/>
  <c r="C63" i="106" s="1"/>
  <c r="C18" i="106"/>
  <c r="C67" i="135"/>
  <c r="G711" i="206"/>
  <c r="G1549" i="206"/>
  <c r="N20" i="228"/>
  <c r="I73" i="235"/>
  <c r="M8" i="235"/>
  <c r="O42" i="187"/>
  <c r="F151" i="205"/>
  <c r="J47" i="238"/>
  <c r="O28" i="187"/>
  <c r="F137" i="205"/>
  <c r="G38" i="187"/>
  <c r="F139" i="193"/>
  <c r="I5" i="249"/>
  <c r="I184" i="249" s="1"/>
  <c r="I185" i="249" s="1"/>
  <c r="F158" i="239"/>
  <c r="I31" i="228"/>
  <c r="L40" i="228"/>
  <c r="F163" i="245"/>
  <c r="H27" i="187"/>
  <c r="F125" i="194"/>
  <c r="I41" i="228"/>
  <c r="F167" i="239"/>
  <c r="F146" i="196"/>
  <c r="J32" i="187"/>
  <c r="J42" i="187"/>
  <c r="F156" i="196"/>
  <c r="C16" i="187"/>
  <c r="F140" i="202"/>
  <c r="N39" i="187"/>
  <c r="Q5" i="204"/>
  <c r="Q119" i="204" s="1"/>
  <c r="Q120" i="204" s="1"/>
  <c r="R131" i="205"/>
  <c r="Q132" i="205" s="1"/>
  <c r="I14" i="43"/>
  <c r="B13" i="92"/>
  <c r="C68" i="92" s="1"/>
  <c r="D68" i="92" s="1"/>
  <c r="T120" i="209"/>
  <c r="M121" i="209"/>
  <c r="M122" i="209" s="1"/>
  <c r="B6" i="92"/>
  <c r="I6" i="43"/>
  <c r="C16" i="92"/>
  <c r="J45" i="43"/>
  <c r="S29" i="214"/>
  <c r="T29" i="214" s="1"/>
  <c r="K31" i="228"/>
  <c r="F157" i="242"/>
  <c r="F139" i="194"/>
  <c r="H41" i="187"/>
  <c r="E30" i="187"/>
  <c r="F132" i="188"/>
  <c r="B19" i="135"/>
  <c r="C72" i="135" s="1"/>
  <c r="D72" i="135" s="1"/>
  <c r="L21" i="43"/>
  <c r="Q5" i="218"/>
  <c r="Q116" i="218" s="1"/>
  <c r="Q117" i="218" s="1"/>
  <c r="O5" i="218"/>
  <c r="O116" i="218" s="1"/>
  <c r="O117" i="218" s="1"/>
  <c r="F147" i="233"/>
  <c r="G38" i="228"/>
  <c r="G37" i="228"/>
  <c r="K5" i="215"/>
  <c r="K121" i="215" s="1"/>
  <c r="K122" i="215" s="1"/>
  <c r="E189" i="246"/>
  <c r="E192" i="246" s="1"/>
  <c r="J190" i="246"/>
  <c r="M189" i="246" s="1"/>
  <c r="F158" i="245"/>
  <c r="L35" i="228"/>
  <c r="J7" i="234"/>
  <c r="L7" i="234" s="1"/>
  <c r="I8" i="234" s="1"/>
  <c r="F161" i="242"/>
  <c r="K35" i="228"/>
  <c r="F126" i="200"/>
  <c r="M28" i="187"/>
  <c r="E35" i="187"/>
  <c r="F137" i="188"/>
  <c r="I28" i="187"/>
  <c r="F134" i="195"/>
  <c r="F152" i="196"/>
  <c r="J38" i="187"/>
  <c r="H709" i="206"/>
  <c r="F703" i="206" s="1"/>
  <c r="F704" i="206" s="1"/>
  <c r="F164" i="245"/>
  <c r="L41" i="228"/>
  <c r="F141" i="205"/>
  <c r="O32" i="187"/>
  <c r="B11" i="92"/>
  <c r="C66" i="92" s="1"/>
  <c r="D66" i="92" s="1"/>
  <c r="I12" i="43"/>
  <c r="J201" i="250"/>
  <c r="L200" i="250" s="1"/>
  <c r="E200" i="250"/>
  <c r="E203" i="250" s="1"/>
  <c r="H34" i="207"/>
  <c r="C155" i="189"/>
  <c r="E1230" i="206"/>
  <c r="H768" i="206"/>
  <c r="F761" i="206" s="1"/>
  <c r="F762" i="206" s="1"/>
  <c r="F763" i="206" s="1"/>
  <c r="H1289" i="206"/>
  <c r="G577" i="206"/>
  <c r="F143" i="189"/>
  <c r="G691" i="206"/>
  <c r="H690" i="206"/>
  <c r="F683" i="206" s="1"/>
  <c r="H1386" i="206"/>
  <c r="E1304" i="206"/>
  <c r="H1479" i="206"/>
  <c r="G730" i="206"/>
  <c r="E1462" i="206"/>
  <c r="H1167" i="206"/>
  <c r="D154" i="186"/>
  <c r="H1449" i="206"/>
  <c r="E1425" i="206"/>
  <c r="H1496" i="206"/>
  <c r="G34" i="207"/>
  <c r="D148" i="193"/>
  <c r="H547" i="206"/>
  <c r="F540" i="206" s="1"/>
  <c r="F541" i="206" s="1"/>
  <c r="O34" i="187"/>
  <c r="F126" i="220"/>
  <c r="D149" i="188"/>
  <c r="H607" i="206"/>
  <c r="F600" i="206" s="1"/>
  <c r="G608" i="206"/>
  <c r="G641" i="206"/>
  <c r="H639" i="206"/>
  <c r="F633" i="206" s="1"/>
  <c r="G544" i="206"/>
  <c r="G545" i="206" s="1"/>
  <c r="G572" i="206"/>
  <c r="E1288" i="206"/>
  <c r="H1305" i="206"/>
  <c r="E1448" i="206"/>
  <c r="H1463" i="206"/>
  <c r="F570" i="206"/>
  <c r="F571" i="206" s="1"/>
  <c r="H748" i="206"/>
  <c r="F742" i="206" s="1"/>
  <c r="G750" i="206"/>
  <c r="K34" i="187"/>
  <c r="F34" i="207"/>
  <c r="F134" i="209"/>
  <c r="E33" i="228"/>
  <c r="E132" i="227"/>
  <c r="E135" i="227" s="1"/>
  <c r="F196" i="249"/>
  <c r="F194" i="249"/>
  <c r="K34" i="207"/>
  <c r="D175" i="239"/>
  <c r="D177" i="239" s="1"/>
  <c r="O26" i="228"/>
  <c r="F123" i="223"/>
  <c r="L34" i="207"/>
  <c r="F132" i="222"/>
  <c r="O36" i="228"/>
  <c r="F132" i="204"/>
  <c r="D34" i="207"/>
  <c r="J168" i="229"/>
  <c r="M167" i="229" s="1"/>
  <c r="E153" i="233"/>
  <c r="E156" i="233" s="1"/>
  <c r="F200" i="249"/>
  <c r="J171" i="239"/>
  <c r="M170" i="239" s="1"/>
  <c r="F113" i="224"/>
  <c r="E171" i="242"/>
  <c r="E174" i="242" s="1"/>
  <c r="J172" i="242"/>
  <c r="M171" i="242" s="1"/>
  <c r="I34" i="207"/>
  <c r="F129" i="218"/>
  <c r="I33" i="228"/>
  <c r="F160" i="239"/>
  <c r="O30" i="228"/>
  <c r="F192" i="249"/>
  <c r="O63" i="228"/>
  <c r="C54" i="228"/>
  <c r="Q24" i="43" s="1"/>
  <c r="J166" i="241"/>
  <c r="M165" i="241" s="1"/>
  <c r="C12" i="172"/>
  <c r="N12" i="43" s="1"/>
  <c r="O20" i="228"/>
  <c r="O37" i="228"/>
  <c r="F199" i="249"/>
  <c r="F204" i="249"/>
  <c r="O42" i="228"/>
  <c r="J209" i="249"/>
  <c r="L208" i="249" s="1"/>
  <c r="E208" i="249"/>
  <c r="E211" i="249" s="1"/>
  <c r="M34" i="187"/>
  <c r="F132" i="200"/>
  <c r="J169" i="236"/>
  <c r="M168" i="236" s="1"/>
  <c r="E168" i="236"/>
  <c r="E171" i="236" s="1"/>
  <c r="F156" i="245"/>
  <c r="L33" i="228"/>
  <c r="J170" i="245"/>
  <c r="M169" i="245" s="1"/>
  <c r="E169" i="245"/>
  <c r="E172" i="245" s="1"/>
  <c r="F141" i="195"/>
  <c r="I35" i="187"/>
  <c r="F159" i="242"/>
  <c r="K33" i="228"/>
  <c r="D20" i="228"/>
  <c r="C10" i="228"/>
  <c r="H33" i="228"/>
  <c r="F158" i="236"/>
  <c r="E21" i="207"/>
  <c r="C12" i="207"/>
  <c r="D33" i="228"/>
  <c r="F133" i="226"/>
  <c r="F133" i="208"/>
  <c r="E34" i="207"/>
  <c r="C12" i="187"/>
  <c r="C31" i="207" l="1"/>
  <c r="B31" i="207" s="1"/>
  <c r="B55" i="251"/>
  <c r="R24" i="43"/>
  <c r="C24" i="43" s="1"/>
  <c r="P31" i="251" a="1"/>
  <c r="P31" i="251" s="1"/>
  <c r="P38" i="251" a="1"/>
  <c r="P38" i="251" s="1"/>
  <c r="P33" i="251" a="1"/>
  <c r="P33" i="251" s="1"/>
  <c r="P37" i="251" a="1"/>
  <c r="P37" i="251" s="1"/>
  <c r="P27" i="251" a="1"/>
  <c r="P27" i="251" s="1"/>
  <c r="P40" i="251" a="1"/>
  <c r="P40" i="251" s="1"/>
  <c r="P28" i="251" a="1"/>
  <c r="P28" i="251" s="1"/>
  <c r="P25" i="251" a="1"/>
  <c r="P25" i="251" s="1"/>
  <c r="P29" i="251" a="1"/>
  <c r="P29" i="251" s="1"/>
  <c r="P26" i="251" a="1"/>
  <c r="P26" i="251" s="1"/>
  <c r="P32" i="251" a="1"/>
  <c r="P32" i="251" s="1"/>
  <c r="P30" i="251" a="1"/>
  <c r="P30" i="251" s="1"/>
  <c r="P39" i="251" a="1"/>
  <c r="P39" i="251" s="1"/>
  <c r="Q121" i="200"/>
  <c r="T2" i="43"/>
  <c r="B11" i="228"/>
  <c r="C76" i="228" s="1"/>
  <c r="Q13" i="43"/>
  <c r="T13" i="43" s="1"/>
  <c r="T21" i="43"/>
  <c r="M12" i="4"/>
  <c r="F147" i="215"/>
  <c r="F146" i="208"/>
  <c r="M8" i="43"/>
  <c r="M22" i="43" s="1"/>
  <c r="P34" i="251" a="1"/>
  <c r="P34" i="251" s="1"/>
  <c r="P35" i="251" a="1"/>
  <c r="P35" i="251" s="1"/>
  <c r="O20" i="43"/>
  <c r="W30" i="230"/>
  <c r="B8" i="187"/>
  <c r="C70" i="187" s="1"/>
  <c r="D70" i="187" s="1"/>
  <c r="B10" i="187"/>
  <c r="C72" i="187" s="1"/>
  <c r="D72" i="187" s="1"/>
  <c r="B18" i="187"/>
  <c r="C80" i="187" s="1"/>
  <c r="D80" i="187" s="1"/>
  <c r="C33" i="207"/>
  <c r="B33" i="207" s="1"/>
  <c r="B4" i="207"/>
  <c r="C66" i="207" s="1"/>
  <c r="D66" i="207" s="1"/>
  <c r="Q17" i="115"/>
  <c r="R17" i="115" s="1"/>
  <c r="Q18" i="115" s="1"/>
  <c r="R18" i="115" s="1"/>
  <c r="Q19" i="115" s="1"/>
  <c r="R19" i="115" s="1"/>
  <c r="Q20" i="115" s="1"/>
  <c r="B20" i="207"/>
  <c r="C82" i="207" s="1"/>
  <c r="D82" i="207" s="1"/>
  <c r="T8" i="43"/>
  <c r="T6" i="43"/>
  <c r="T18" i="43"/>
  <c r="T14" i="43"/>
  <c r="T5" i="43"/>
  <c r="B11" i="207"/>
  <c r="C73" i="207" s="1"/>
  <c r="D73" i="207" s="1"/>
  <c r="L43" i="187"/>
  <c r="B15" i="207"/>
  <c r="C77" i="207" s="1"/>
  <c r="D77" i="207" s="1"/>
  <c r="P6" i="43"/>
  <c r="C6" i="43" s="1"/>
  <c r="B6" i="43" s="1"/>
  <c r="B4" i="187"/>
  <c r="C66" i="187" s="1"/>
  <c r="D66" i="187" s="1"/>
  <c r="C36" i="187"/>
  <c r="B36" i="187" s="1"/>
  <c r="B14" i="187"/>
  <c r="C76" i="187" s="1"/>
  <c r="D76" i="187" s="1"/>
  <c r="B9" i="187"/>
  <c r="C71" i="187" s="1"/>
  <c r="D71" i="187" s="1"/>
  <c r="B17" i="187"/>
  <c r="C79" i="187" s="1"/>
  <c r="D79" i="187" s="1"/>
  <c r="B5" i="207"/>
  <c r="C67" i="207" s="1"/>
  <c r="D67" i="207" s="1"/>
  <c r="C32" i="207"/>
  <c r="B32" i="207" s="1"/>
  <c r="M35" i="43"/>
  <c r="C64" i="251"/>
  <c r="L35" i="43"/>
  <c r="P7" i="43"/>
  <c r="O15" i="43"/>
  <c r="K43" i="207"/>
  <c r="P5" i="43"/>
  <c r="C39" i="228"/>
  <c r="B39" i="228" s="1"/>
  <c r="C34" i="228"/>
  <c r="B34" i="228" s="1"/>
  <c r="B20" i="187"/>
  <c r="C82" i="187" s="1"/>
  <c r="D82" i="187" s="1"/>
  <c r="C41" i="207"/>
  <c r="B41" i="207" s="1"/>
  <c r="P17" i="43"/>
  <c r="L33" i="43"/>
  <c r="M31" i="43"/>
  <c r="C20" i="155"/>
  <c r="C36" i="207"/>
  <c r="B36" i="207" s="1"/>
  <c r="M29" i="43"/>
  <c r="O121" i="200"/>
  <c r="C39" i="207"/>
  <c r="B39" i="207" s="1"/>
  <c r="C25" i="207"/>
  <c r="B25" i="207" s="1"/>
  <c r="B6" i="230"/>
  <c r="K26" i="230" s="1"/>
  <c r="C6" i="4"/>
  <c r="B20" i="251"/>
  <c r="K121" i="200"/>
  <c r="L41" i="43"/>
  <c r="L43" i="43"/>
  <c r="L31" i="43"/>
  <c r="L29" i="43"/>
  <c r="M33" i="43"/>
  <c r="C30" i="187"/>
  <c r="B30" i="187" s="1"/>
  <c r="D107" i="240"/>
  <c r="L43" i="207"/>
  <c r="C40" i="207"/>
  <c r="B40" i="207" s="1"/>
  <c r="B3" i="207"/>
  <c r="C65" i="207" s="1"/>
  <c r="D65" i="207" s="1"/>
  <c r="B13" i="187"/>
  <c r="C75" i="187" s="1"/>
  <c r="D75" i="187" s="1"/>
  <c r="B7" i="155"/>
  <c r="C52" i="155" s="1"/>
  <c r="D52" i="155" s="1"/>
  <c r="B7" i="187"/>
  <c r="C69" i="187" s="1"/>
  <c r="D69" i="187" s="1"/>
  <c r="M41" i="43"/>
  <c r="F160" i="225"/>
  <c r="B19" i="207"/>
  <c r="C81" i="207" s="1"/>
  <c r="D81" i="207" s="1"/>
  <c r="O2" i="43"/>
  <c r="C2" i="43" s="1"/>
  <c r="B2" i="43" s="1"/>
  <c r="B3" i="187"/>
  <c r="C65" i="187" s="1"/>
  <c r="D65" i="187" s="1"/>
  <c r="B8" i="228"/>
  <c r="C73" i="228" s="1"/>
  <c r="D43" i="207"/>
  <c r="F156" i="205"/>
  <c r="B14" i="207"/>
  <c r="C76" i="207" s="1"/>
  <c r="D76" i="207" s="1"/>
  <c r="O43" i="207"/>
  <c r="C27" i="207"/>
  <c r="B27" i="207" s="1"/>
  <c r="P8" i="43"/>
  <c r="B4" i="155"/>
  <c r="C49" i="155" s="1"/>
  <c r="D49" i="155" s="1"/>
  <c r="P19" i="43"/>
  <c r="Q20" i="43"/>
  <c r="C37" i="207"/>
  <c r="B37" i="207" s="1"/>
  <c r="C32" i="228"/>
  <c r="B32" i="228" s="1"/>
  <c r="F145" i="222"/>
  <c r="E43" i="228"/>
  <c r="B14" i="172"/>
  <c r="C54" i="172" s="1"/>
  <c r="D54" i="172" s="1"/>
  <c r="N43" i="207"/>
  <c r="F148" i="221"/>
  <c r="C37" i="187"/>
  <c r="B37" i="187" s="1"/>
  <c r="F158" i="216"/>
  <c r="Q17" i="43"/>
  <c r="T17" i="43" s="1"/>
  <c r="C20" i="135"/>
  <c r="J43" i="207"/>
  <c r="C30" i="207"/>
  <c r="B30" i="207" s="1"/>
  <c r="F160" i="198"/>
  <c r="P18" i="43"/>
  <c r="C18" i="43" s="1"/>
  <c r="B18" i="43" s="1"/>
  <c r="B5" i="187"/>
  <c r="C67" i="187" s="1"/>
  <c r="D67" i="187" s="1"/>
  <c r="P13" i="43"/>
  <c r="C38" i="228"/>
  <c r="B38" i="228" s="1"/>
  <c r="C26" i="207"/>
  <c r="B26" i="207" s="1"/>
  <c r="F171" i="236"/>
  <c r="H43" i="207"/>
  <c r="C38" i="207"/>
  <c r="B38" i="207" s="1"/>
  <c r="F126" i="224"/>
  <c r="F145" i="204"/>
  <c r="O5" i="43"/>
  <c r="C5" i="43" s="1"/>
  <c r="B5" i="43" s="1"/>
  <c r="C26" i="187"/>
  <c r="B26" i="187" s="1"/>
  <c r="G43" i="207"/>
  <c r="C27" i="187"/>
  <c r="B27" i="187" s="1"/>
  <c r="F137" i="197"/>
  <c r="C31" i="187"/>
  <c r="B31" i="187" s="1"/>
  <c r="H43" i="187"/>
  <c r="O10" i="43"/>
  <c r="C10" i="43" s="1"/>
  <c r="B10" i="43" s="1"/>
  <c r="F136" i="223"/>
  <c r="G93" i="1"/>
  <c r="G102" i="1" s="1"/>
  <c r="K43" i="187"/>
  <c r="F146" i="226"/>
  <c r="C42" i="228"/>
  <c r="B42" i="228" s="1"/>
  <c r="N43" i="187"/>
  <c r="C35" i="207"/>
  <c r="B35" i="207" s="1"/>
  <c r="C25" i="187"/>
  <c r="B25" i="187" s="1"/>
  <c r="H43" i="228"/>
  <c r="C29" i="207"/>
  <c r="B29" i="207" s="1"/>
  <c r="C28" i="207"/>
  <c r="B28" i="207" s="1"/>
  <c r="F153" i="195"/>
  <c r="F147" i="209"/>
  <c r="F43" i="187"/>
  <c r="F139" i="220"/>
  <c r="F135" i="227"/>
  <c r="E43" i="187"/>
  <c r="F145" i="194"/>
  <c r="C40" i="187"/>
  <c r="B40" i="187" s="1"/>
  <c r="M43" i="207"/>
  <c r="K43" i="228"/>
  <c r="C39" i="187"/>
  <c r="B39" i="187" s="1"/>
  <c r="K22" i="43"/>
  <c r="J105" i="240"/>
  <c r="J106" i="240"/>
  <c r="F161" i="196"/>
  <c r="C31" i="228"/>
  <c r="B31" i="228" s="1"/>
  <c r="F174" i="242"/>
  <c r="F148" i="202"/>
  <c r="J43" i="187"/>
  <c r="C29" i="187"/>
  <c r="B29" i="187" s="1"/>
  <c r="F142" i="218"/>
  <c r="F43" i="207"/>
  <c r="F168" i="241"/>
  <c r="B57" i="228"/>
  <c r="Q25" i="43"/>
  <c r="R7" i="4"/>
  <c r="T7" i="4" s="1"/>
  <c r="R25" i="43"/>
  <c r="C25" i="43" s="1"/>
  <c r="G22" i="43"/>
  <c r="H22" i="43"/>
  <c r="L39" i="43"/>
  <c r="M39" i="43"/>
  <c r="L37" i="43"/>
  <c r="M37" i="43"/>
  <c r="B6" i="228"/>
  <c r="C71" i="228" s="1"/>
  <c r="D64" i="251"/>
  <c r="K5" i="252"/>
  <c r="K152" i="252" s="1"/>
  <c r="K153" i="252" s="1"/>
  <c r="G5" i="252"/>
  <c r="G152" i="252" s="1"/>
  <c r="G153" i="252" s="1"/>
  <c r="F173" i="239"/>
  <c r="M43" i="228"/>
  <c r="F192" i="246"/>
  <c r="B3" i="228"/>
  <c r="C68" i="228" s="1"/>
  <c r="Q9" i="43"/>
  <c r="Q7" i="43"/>
  <c r="T7" i="43" s="1"/>
  <c r="C28" i="228"/>
  <c r="B28" i="228" s="1"/>
  <c r="Q15" i="43"/>
  <c r="T15" i="43" s="1"/>
  <c r="F172" i="245"/>
  <c r="C35" i="228"/>
  <c r="B35" i="228" s="1"/>
  <c r="Q16" i="43"/>
  <c r="C36" i="228"/>
  <c r="B36" i="228" s="1"/>
  <c r="B16" i="228"/>
  <c r="C81" i="228" s="1"/>
  <c r="F170" i="229"/>
  <c r="C30" i="228"/>
  <c r="B30" i="228" s="1"/>
  <c r="F43" i="228"/>
  <c r="B12" i="228"/>
  <c r="C77" i="228" s="1"/>
  <c r="B19" i="228"/>
  <c r="C84" i="228" s="1"/>
  <c r="I5" i="250"/>
  <c r="I176" i="250" s="1"/>
  <c r="I177" i="250" s="1"/>
  <c r="N43" i="228"/>
  <c r="F203" i="250"/>
  <c r="R12" i="43"/>
  <c r="J43" i="228"/>
  <c r="F156" i="233"/>
  <c r="Q3" i="43"/>
  <c r="T3" i="43" s="1"/>
  <c r="J108" i="243"/>
  <c r="C53" i="122"/>
  <c r="B18" i="122"/>
  <c r="C72" i="36"/>
  <c r="B14" i="36"/>
  <c r="D43" i="187"/>
  <c r="C35" i="187"/>
  <c r="B35" i="187" s="1"/>
  <c r="I43" i="228"/>
  <c r="G43" i="228"/>
  <c r="J76" i="235"/>
  <c r="B16" i="76"/>
  <c r="C49" i="58"/>
  <c r="B15" i="58"/>
  <c r="F22" i="43"/>
  <c r="C11" i="43"/>
  <c r="B11" i="43" s="1"/>
  <c r="B18" i="106"/>
  <c r="C28" i="187"/>
  <c r="B28" i="187" s="1"/>
  <c r="B8" i="135"/>
  <c r="C61" i="135" s="1"/>
  <c r="D61" i="135" s="1"/>
  <c r="L22" i="43"/>
  <c r="C40" i="228"/>
  <c r="B40" i="228" s="1"/>
  <c r="J75" i="235"/>
  <c r="L43" i="228"/>
  <c r="C41" i="228"/>
  <c r="B41" i="228" s="1"/>
  <c r="C29" i="228"/>
  <c r="B29" i="228" s="1"/>
  <c r="C37" i="228"/>
  <c r="B37" i="228" s="1"/>
  <c r="Q19" i="43"/>
  <c r="J22" i="43"/>
  <c r="C14" i="43"/>
  <c r="B14" i="43" s="1"/>
  <c r="C26" i="228"/>
  <c r="B26" i="228" s="1"/>
  <c r="J47" i="247"/>
  <c r="F210" i="248"/>
  <c r="N21" i="43"/>
  <c r="C21" i="43" s="1"/>
  <c r="B21" i="43" s="1"/>
  <c r="B20" i="172"/>
  <c r="C60" i="172" s="1"/>
  <c r="D60" i="172" s="1"/>
  <c r="C33" i="187"/>
  <c r="B33" i="187" s="1"/>
  <c r="H20" i="2"/>
  <c r="F21" i="2"/>
  <c r="B5" i="172"/>
  <c r="C45" i="172" s="1"/>
  <c r="D45" i="172" s="1"/>
  <c r="N4" i="43"/>
  <c r="C4" i="43" s="1"/>
  <c r="B4" i="43" s="1"/>
  <c r="N3" i="43"/>
  <c r="B4" i="172"/>
  <c r="C44" i="172" s="1"/>
  <c r="D44" i="172" s="1"/>
  <c r="J155" i="243"/>
  <c r="B5" i="228"/>
  <c r="C70" i="228" s="1"/>
  <c r="J8" i="234"/>
  <c r="L8" i="234" s="1"/>
  <c r="L10" i="234" s="1"/>
  <c r="F705" i="206"/>
  <c r="F706" i="206" s="1"/>
  <c r="K5" i="216"/>
  <c r="K132" i="216" s="1"/>
  <c r="K133" i="216" s="1"/>
  <c r="O43" i="187"/>
  <c r="C32" i="187"/>
  <c r="B32" i="187" s="1"/>
  <c r="C38" i="187"/>
  <c r="B38" i="187" s="1"/>
  <c r="P8" i="235"/>
  <c r="P15" i="235" s="1"/>
  <c r="M15" i="235"/>
  <c r="O124" i="202"/>
  <c r="K124" i="202"/>
  <c r="Q124" i="202"/>
  <c r="K132" i="205"/>
  <c r="O132" i="205"/>
  <c r="M132" i="205"/>
  <c r="C54" i="155"/>
  <c r="I22" i="43"/>
  <c r="R120" i="204"/>
  <c r="Q121" i="204" s="1"/>
  <c r="S5" i="208"/>
  <c r="S120" i="208" s="1"/>
  <c r="S121" i="208" s="1"/>
  <c r="O86" i="115"/>
  <c r="O92" i="115" s="1"/>
  <c r="M92" i="115"/>
  <c r="Q16" i="235"/>
  <c r="Q17" i="235" s="1"/>
  <c r="F145" i="200"/>
  <c r="I43" i="207"/>
  <c r="C61" i="92"/>
  <c r="B16" i="92"/>
  <c r="C41" i="187"/>
  <c r="B41" i="187" s="1"/>
  <c r="M43" i="187"/>
  <c r="C74" i="106"/>
  <c r="O5" i="220"/>
  <c r="O113" i="220" s="1"/>
  <c r="O114" i="220" s="1"/>
  <c r="M5" i="215"/>
  <c r="D52" i="76"/>
  <c r="D64" i="76" s="1"/>
  <c r="C64" i="76"/>
  <c r="J57" i="243"/>
  <c r="D57" i="243" s="1"/>
  <c r="O17" i="43"/>
  <c r="B16" i="187"/>
  <c r="C78" i="187" s="1"/>
  <c r="D78" i="187" s="1"/>
  <c r="G43" i="187"/>
  <c r="Q5" i="220"/>
  <c r="Q113" i="220" s="1"/>
  <c r="Q114" i="220" s="1"/>
  <c r="D67" i="135"/>
  <c r="C42" i="187"/>
  <c r="B42" i="187" s="1"/>
  <c r="F572" i="206"/>
  <c r="F601" i="206"/>
  <c r="F764" i="206"/>
  <c r="F765" i="206" s="1"/>
  <c r="F634" i="206"/>
  <c r="F635" i="206" s="1"/>
  <c r="F542" i="206"/>
  <c r="F543" i="206" s="1"/>
  <c r="F684" i="206"/>
  <c r="F685" i="206" s="1"/>
  <c r="F659" i="206"/>
  <c r="F743" i="206"/>
  <c r="G573" i="206"/>
  <c r="G574" i="206" s="1"/>
  <c r="F725" i="206"/>
  <c r="F726" i="206" s="1"/>
  <c r="F211" i="249"/>
  <c r="C21" i="172"/>
  <c r="B12" i="172"/>
  <c r="C34" i="187"/>
  <c r="B34" i="187" s="1"/>
  <c r="B54" i="228"/>
  <c r="C63" i="228"/>
  <c r="I43" i="187"/>
  <c r="O43" i="228"/>
  <c r="C34" i="207"/>
  <c r="E43" i="207"/>
  <c r="Q12" i="43"/>
  <c r="B10" i="228"/>
  <c r="C20" i="228"/>
  <c r="P12" i="43"/>
  <c r="C21" i="207"/>
  <c r="B12" i="207"/>
  <c r="D43" i="228"/>
  <c r="C33" i="228"/>
  <c r="B12" i="187"/>
  <c r="O12" i="43"/>
  <c r="C21" i="187"/>
  <c r="T9" i="4" l="1"/>
  <c r="U7" i="4"/>
  <c r="C8" i="43"/>
  <c r="B8" i="43" s="1"/>
  <c r="C16" i="43"/>
  <c r="B16" i="43" s="1"/>
  <c r="C20" i="43"/>
  <c r="B20" i="43" s="1"/>
  <c r="T20" i="43"/>
  <c r="C9" i="43"/>
  <c r="B9" i="43" s="1"/>
  <c r="T9" i="43"/>
  <c r="T12" i="43"/>
  <c r="T16" i="43"/>
  <c r="R22" i="43"/>
  <c r="C7" i="43"/>
  <c r="B7" i="43" s="1"/>
  <c r="C15" i="43"/>
  <c r="B15" i="43" s="1"/>
  <c r="C21" i="230"/>
  <c r="C20" i="230"/>
  <c r="K16" i="230"/>
  <c r="M16" i="230" s="1"/>
  <c r="C26" i="230"/>
  <c r="C18" i="230"/>
  <c r="K24" i="230"/>
  <c r="N24" i="230" s="1"/>
  <c r="C17" i="230"/>
  <c r="B20" i="155"/>
  <c r="C19" i="230"/>
  <c r="K23" i="230"/>
  <c r="M23" i="230" s="1"/>
  <c r="K22" i="230"/>
  <c r="N22" i="230" s="1"/>
  <c r="K21" i="230"/>
  <c r="M21" i="230" s="1"/>
  <c r="C24" i="230"/>
  <c r="K29" i="230"/>
  <c r="N29" i="230" s="1"/>
  <c r="C6" i="230"/>
  <c r="C29" i="230"/>
  <c r="C23" i="230"/>
  <c r="K25" i="230"/>
  <c r="M25" i="230" s="1"/>
  <c r="K27" i="230"/>
  <c r="K28" i="230" s="1"/>
  <c r="N28" i="230" s="1"/>
  <c r="K19" i="230"/>
  <c r="M19" i="230" s="1"/>
  <c r="K20" i="230"/>
  <c r="N20" i="230" s="1"/>
  <c r="K17" i="230"/>
  <c r="M17" i="230" s="1"/>
  <c r="K18" i="230"/>
  <c r="M18" i="230" s="1"/>
  <c r="C22" i="230"/>
  <c r="C27" i="230"/>
  <c r="C28" i="230" s="1"/>
  <c r="C25" i="230"/>
  <c r="C16" i="230"/>
  <c r="M26" i="230"/>
  <c r="N26" i="230"/>
  <c r="R17" i="4"/>
  <c r="B63" i="228"/>
  <c r="A68" i="228" s="1"/>
  <c r="D69" i="228" s="1"/>
  <c r="P22" i="43"/>
  <c r="C13" i="43"/>
  <c r="B13" i="43" s="1"/>
  <c r="C17" i="43"/>
  <c r="B17" i="43" s="1"/>
  <c r="C74" i="135"/>
  <c r="D74" i="135"/>
  <c r="B20" i="135"/>
  <c r="B21" i="172"/>
  <c r="C79" i="36"/>
  <c r="C3" i="43"/>
  <c r="B3" i="43" s="1"/>
  <c r="G5" i="255"/>
  <c r="G187" i="255" s="1"/>
  <c r="G188" i="255" s="1"/>
  <c r="K5" i="255"/>
  <c r="K187" i="255" s="1"/>
  <c r="K188" i="255" s="1"/>
  <c r="B64" i="251"/>
  <c r="A69" i="251" s="1"/>
  <c r="N22" i="43"/>
  <c r="I5" i="252"/>
  <c r="I152" i="252" s="1"/>
  <c r="I153" i="252" s="1"/>
  <c r="R5" i="4"/>
  <c r="R6" i="4"/>
  <c r="Q22" i="43"/>
  <c r="C19" i="43"/>
  <c r="B19" i="43" s="1"/>
  <c r="C76" i="251"/>
  <c r="I9" i="234"/>
  <c r="J9" i="234" s="1"/>
  <c r="B43" i="187"/>
  <c r="D56" i="243"/>
  <c r="D58" i="243" s="1"/>
  <c r="H21" i="2"/>
  <c r="F22" i="2"/>
  <c r="H22" i="2" s="1"/>
  <c r="D49" i="58"/>
  <c r="D62" i="58" s="1"/>
  <c r="C62" i="58"/>
  <c r="C67" i="122"/>
  <c r="P16" i="235"/>
  <c r="P17" i="235" s="1"/>
  <c r="K5" i="218"/>
  <c r="K116" i="218" s="1"/>
  <c r="K117" i="218" s="1"/>
  <c r="D61" i="92"/>
  <c r="D72" i="92" s="1"/>
  <c r="C72" i="92"/>
  <c r="S5" i="209"/>
  <c r="S121" i="209" s="1"/>
  <c r="S122" i="209" s="1"/>
  <c r="T121" i="208"/>
  <c r="O5" i="221"/>
  <c r="O122" i="221" s="1"/>
  <c r="O123" i="221" s="1"/>
  <c r="K121" i="204"/>
  <c r="O121" i="204"/>
  <c r="M121" i="204"/>
  <c r="O22" i="43"/>
  <c r="T120" i="215"/>
  <c r="M121" i="215"/>
  <c r="M122" i="215" s="1"/>
  <c r="R20" i="115"/>
  <c r="Q21" i="115" s="1"/>
  <c r="D54" i="155"/>
  <c r="D66" i="155" s="1"/>
  <c r="C66" i="155"/>
  <c r="F573" i="206"/>
  <c r="F574" i="206" s="1"/>
  <c r="F636" i="206"/>
  <c r="F637" i="206" s="1"/>
  <c r="F707" i="206"/>
  <c r="F708" i="206" s="1"/>
  <c r="F766" i="206"/>
  <c r="F727" i="206"/>
  <c r="F686" i="206"/>
  <c r="F687" i="206" s="1"/>
  <c r="F660" i="206"/>
  <c r="F661" i="206" s="1"/>
  <c r="F602" i="206"/>
  <c r="F603" i="206" s="1"/>
  <c r="F744" i="206"/>
  <c r="F544" i="206"/>
  <c r="F545" i="206" s="1"/>
  <c r="C43" i="187"/>
  <c r="C52" i="172"/>
  <c r="D52" i="172" s="1"/>
  <c r="D62" i="172" s="1"/>
  <c r="B21" i="207"/>
  <c r="C74" i="207"/>
  <c r="B20" i="228"/>
  <c r="C75" i="228"/>
  <c r="B21" i="187"/>
  <c r="C74" i="187"/>
  <c r="C43" i="228"/>
  <c r="B33" i="228"/>
  <c r="B43" i="228" s="1"/>
  <c r="C43" i="207"/>
  <c r="B34" i="207"/>
  <c r="B43" i="207" s="1"/>
  <c r="C12" i="43"/>
  <c r="B12" i="43" s="1"/>
  <c r="B7" i="4" l="1"/>
  <c r="Q18" i="4"/>
  <c r="U9" i="4"/>
  <c r="N16" i="230"/>
  <c r="O16" i="230" s="1"/>
  <c r="M24" i="230"/>
  <c r="O24" i="230" s="1"/>
  <c r="N25" i="230"/>
  <c r="O25" i="230" s="1"/>
  <c r="M22" i="230"/>
  <c r="O22" i="230" s="1"/>
  <c r="N23" i="230"/>
  <c r="O23" i="230" s="1"/>
  <c r="N21" i="230"/>
  <c r="O21" i="230" s="1"/>
  <c r="N19" i="230"/>
  <c r="O19" i="230" s="1"/>
  <c r="N27" i="230"/>
  <c r="M29" i="230"/>
  <c r="O29" i="230" s="1"/>
  <c r="M27" i="230"/>
  <c r="M28" i="230" s="1"/>
  <c r="O28" i="230" s="1"/>
  <c r="M20" i="230"/>
  <c r="O20" i="230" s="1"/>
  <c r="N18" i="230"/>
  <c r="O18" i="230" s="1"/>
  <c r="N17" i="230"/>
  <c r="C30" i="230"/>
  <c r="K30" i="230"/>
  <c r="D81" i="228"/>
  <c r="D74" i="228"/>
  <c r="D70" i="228"/>
  <c r="D78" i="228"/>
  <c r="D76" i="228"/>
  <c r="D84" i="228"/>
  <c r="D77" i="228"/>
  <c r="D71" i="228"/>
  <c r="D72" i="228"/>
  <c r="D82" i="228"/>
  <c r="D79" i="228"/>
  <c r="D68" i="228"/>
  <c r="D73" i="228"/>
  <c r="D80" i="228"/>
  <c r="D83" i="228"/>
  <c r="O26" i="230"/>
  <c r="Q25" i="4"/>
  <c r="R25" i="4" s="1"/>
  <c r="B10" i="4"/>
  <c r="F17" i="4" s="1"/>
  <c r="G17" i="4" s="1"/>
  <c r="G19" i="4" s="1"/>
  <c r="K5" i="254"/>
  <c r="K164" i="254" s="1"/>
  <c r="K165" i="254" s="1"/>
  <c r="G5" i="254"/>
  <c r="G164" i="254" s="1"/>
  <c r="D85" i="251"/>
  <c r="I5" i="255"/>
  <c r="I187" i="255" s="1"/>
  <c r="I188" i="255" s="1"/>
  <c r="C87" i="251"/>
  <c r="R21" i="115"/>
  <c r="Q22" i="115" s="1"/>
  <c r="R22" i="115" s="1"/>
  <c r="K5" i="220"/>
  <c r="K113" i="220" s="1"/>
  <c r="K114" i="220" s="1"/>
  <c r="O5" i="223"/>
  <c r="O110" i="223" s="1"/>
  <c r="O111" i="223" s="1"/>
  <c r="O5" i="222"/>
  <c r="O119" i="222" s="1"/>
  <c r="O120" i="222" s="1"/>
  <c r="M5" i="216"/>
  <c r="O122" i="208"/>
  <c r="Q122" i="208"/>
  <c r="K122" i="208"/>
  <c r="M122" i="208"/>
  <c r="S122" i="208"/>
  <c r="S5" i="215"/>
  <c r="S121" i="215" s="1"/>
  <c r="S122" i="215" s="1"/>
  <c r="T122" i="215" s="1"/>
  <c r="T122" i="209"/>
  <c r="S123" i="209" s="1"/>
  <c r="F745" i="206"/>
  <c r="F746" i="206" s="1"/>
  <c r="F604" i="206"/>
  <c r="F605" i="206" s="1"/>
  <c r="F638" i="206"/>
  <c r="F688" i="206"/>
  <c r="C62" i="172"/>
  <c r="C86" i="228"/>
  <c r="D75" i="228"/>
  <c r="D74" i="207"/>
  <c r="D84" i="207" s="1"/>
  <c r="C84" i="207"/>
  <c r="D74" i="187"/>
  <c r="D84" i="187" s="1"/>
  <c r="C84" i="187"/>
  <c r="B22" i="43"/>
  <c r="C22" i="43"/>
  <c r="Q21" i="4" l="1"/>
  <c r="Q23" i="4" s="1"/>
  <c r="R18" i="4"/>
  <c r="R21" i="4" s="1"/>
  <c r="N30" i="230"/>
  <c r="M30" i="230"/>
  <c r="O17" i="230"/>
  <c r="O27" i="230"/>
  <c r="B13" i="4"/>
  <c r="J81" i="4"/>
  <c r="K81" i="4" s="1"/>
  <c r="D86" i="228"/>
  <c r="B7" i="230"/>
  <c r="R23" i="4"/>
  <c r="C7" i="4"/>
  <c r="C10" i="4" s="1"/>
  <c r="K5" i="256"/>
  <c r="K177" i="256" s="1"/>
  <c r="K178" i="256" s="1"/>
  <c r="G165" i="254"/>
  <c r="I5" i="254"/>
  <c r="I164" i="254" s="1"/>
  <c r="I165" i="254" s="1"/>
  <c r="D76" i="251"/>
  <c r="D72" i="251"/>
  <c r="D71" i="251"/>
  <c r="D73" i="251"/>
  <c r="D77" i="251"/>
  <c r="D82" i="251"/>
  <c r="D79" i="251"/>
  <c r="D78" i="251"/>
  <c r="D81" i="251"/>
  <c r="D80" i="251"/>
  <c r="D74" i="251"/>
  <c r="D69" i="251"/>
  <c r="D84" i="251"/>
  <c r="D83" i="251"/>
  <c r="D70" i="251"/>
  <c r="D75" i="251"/>
  <c r="O5" i="225"/>
  <c r="O134" i="225" s="1"/>
  <c r="O135" i="225" s="1"/>
  <c r="O5" i="226"/>
  <c r="O122" i="226" s="1"/>
  <c r="O123" i="226" s="1"/>
  <c r="O5" i="224"/>
  <c r="O100" i="224" s="1"/>
  <c r="O101" i="224" s="1"/>
  <c r="O123" i="215"/>
  <c r="Q123" i="215"/>
  <c r="K123" i="215"/>
  <c r="K5" i="221"/>
  <c r="K122" i="221" s="1"/>
  <c r="K123" i="221" s="1"/>
  <c r="T131" i="216"/>
  <c r="M132" i="216"/>
  <c r="M133" i="216" s="1"/>
  <c r="Q123" i="209"/>
  <c r="O123" i="209"/>
  <c r="K123" i="209"/>
  <c r="M123" i="209"/>
  <c r="S5" i="216"/>
  <c r="S132" i="216" s="1"/>
  <c r="S133" i="216" s="1"/>
  <c r="S123" i="215"/>
  <c r="M123" i="215"/>
  <c r="F747" i="206"/>
  <c r="C12" i="4" l="1"/>
  <c r="O30" i="230"/>
  <c r="D23" i="230"/>
  <c r="E23" i="230" s="1"/>
  <c r="G23" i="230" s="1"/>
  <c r="D18" i="230"/>
  <c r="E18" i="230" s="1"/>
  <c r="G18" i="230" s="1"/>
  <c r="D27" i="230"/>
  <c r="D24" i="230"/>
  <c r="E24" i="230" s="1"/>
  <c r="G24" i="230" s="1"/>
  <c r="D29" i="230"/>
  <c r="E29" i="230" s="1"/>
  <c r="G29" i="230" s="1"/>
  <c r="D21" i="230"/>
  <c r="E21" i="230" s="1"/>
  <c r="G21" i="230" s="1"/>
  <c r="D16" i="230"/>
  <c r="D17" i="230"/>
  <c r="E17" i="230" s="1"/>
  <c r="G17" i="230" s="1"/>
  <c r="D25" i="230"/>
  <c r="E25" i="230" s="1"/>
  <c r="G25" i="230" s="1"/>
  <c r="D26" i="230"/>
  <c r="E26" i="230" s="1"/>
  <c r="G26" i="230" s="1"/>
  <c r="D19" i="230"/>
  <c r="E19" i="230" s="1"/>
  <c r="G19" i="230" s="1"/>
  <c r="D20" i="230"/>
  <c r="E20" i="230" s="1"/>
  <c r="G20" i="230" s="1"/>
  <c r="D22" i="230"/>
  <c r="E22" i="230" s="1"/>
  <c r="G22" i="230" s="1"/>
  <c r="C7" i="230"/>
  <c r="B10" i="230"/>
  <c r="G36" i="230"/>
  <c r="F37" i="230" s="1"/>
  <c r="K5" i="257"/>
  <c r="K166" i="257" s="1"/>
  <c r="K167" i="257" s="1"/>
  <c r="A58" i="106"/>
  <c r="A68" i="36"/>
  <c r="A51" i="122"/>
  <c r="J82" i="4"/>
  <c r="J85" i="4"/>
  <c r="J83" i="4"/>
  <c r="J84" i="4"/>
  <c r="I5" i="256"/>
  <c r="I177" i="256" s="1"/>
  <c r="I178" i="256" s="1"/>
  <c r="I5" i="257"/>
  <c r="I166" i="257" s="1"/>
  <c r="I167" i="257" s="1"/>
  <c r="G5" i="256"/>
  <c r="G177" i="256" s="1"/>
  <c r="G178" i="256" s="1"/>
  <c r="D87" i="251"/>
  <c r="O5" i="227"/>
  <c r="O111" i="227" s="1"/>
  <c r="O112" i="227" s="1"/>
  <c r="M5" i="218"/>
  <c r="T133" i="216"/>
  <c r="S134" i="216" s="1"/>
  <c r="S5" i="218"/>
  <c r="S116" i="218" s="1"/>
  <c r="S117" i="218" s="1"/>
  <c r="K5" i="222"/>
  <c r="K119" i="222" s="1"/>
  <c r="K120" i="222" s="1"/>
  <c r="K5" i="258" l="1"/>
  <c r="K185" i="258" s="1"/>
  <c r="K186" i="258" s="1"/>
  <c r="K5" i="261" s="1"/>
  <c r="K170" i="261" s="1"/>
  <c r="K171" i="261" s="1"/>
  <c r="E16" i="230"/>
  <c r="D28" i="230"/>
  <c r="E28" i="230" s="1"/>
  <c r="G28" i="230" s="1"/>
  <c r="E27" i="230"/>
  <c r="G27" i="230" s="1"/>
  <c r="G37" i="230"/>
  <c r="F41" i="230"/>
  <c r="F39" i="230"/>
  <c r="F40" i="230"/>
  <c r="F38" i="230"/>
  <c r="G5" i="257"/>
  <c r="G166" i="257" s="1"/>
  <c r="G167" i="257" s="1"/>
  <c r="D59" i="122"/>
  <c r="D58" i="122"/>
  <c r="D52" i="122"/>
  <c r="D63" i="122"/>
  <c r="D60" i="122"/>
  <c r="D56" i="122"/>
  <c r="D61" i="122"/>
  <c r="D57" i="122"/>
  <c r="D64" i="122"/>
  <c r="D51" i="122"/>
  <c r="D55" i="122"/>
  <c r="D54" i="122"/>
  <c r="D62" i="122"/>
  <c r="D65" i="122"/>
  <c r="D53" i="122"/>
  <c r="D70" i="106"/>
  <c r="D64" i="106"/>
  <c r="D58" i="106"/>
  <c r="D68" i="106"/>
  <c r="D67" i="106"/>
  <c r="D59" i="106"/>
  <c r="D72" i="106"/>
  <c r="D61" i="106"/>
  <c r="D69" i="106"/>
  <c r="D60" i="106"/>
  <c r="D65" i="106"/>
  <c r="D62" i="106"/>
  <c r="D66" i="106"/>
  <c r="D63" i="106"/>
  <c r="D71" i="106"/>
  <c r="D76" i="36"/>
  <c r="D73" i="36"/>
  <c r="D77" i="36"/>
  <c r="D68" i="36"/>
  <c r="D69" i="36"/>
  <c r="D70" i="36"/>
  <c r="D75" i="36"/>
  <c r="D78" i="36"/>
  <c r="D71" i="36"/>
  <c r="D74" i="36"/>
  <c r="D72" i="36"/>
  <c r="F19" i="4"/>
  <c r="H19" i="4" s="1"/>
  <c r="M116" i="218"/>
  <c r="M117" i="218" s="1"/>
  <c r="T115" i="218"/>
  <c r="Q5" i="229"/>
  <c r="Q146" i="229" s="1"/>
  <c r="Q147" i="229" s="1"/>
  <c r="O134" i="216"/>
  <c r="Q134" i="216"/>
  <c r="K134" i="216"/>
  <c r="M134" i="216"/>
  <c r="K5" i="223"/>
  <c r="K110" i="223" s="1"/>
  <c r="K111" i="223" s="1"/>
  <c r="S5" i="220"/>
  <c r="S113" i="220" s="1"/>
  <c r="S114" i="220" s="1"/>
  <c r="K5" i="264" l="1"/>
  <c r="K159" i="264" s="1"/>
  <c r="K160" i="264" s="1"/>
  <c r="G5" i="258"/>
  <c r="G185" i="258" s="1"/>
  <c r="G186" i="258" s="1"/>
  <c r="G5" i="261" s="1"/>
  <c r="G170" i="261" s="1"/>
  <c r="G16" i="230"/>
  <c r="G30" i="230" s="1"/>
  <c r="E30" i="230"/>
  <c r="D30" i="230"/>
  <c r="D67" i="122"/>
  <c r="D79" i="36"/>
  <c r="D74" i="106"/>
  <c r="H11" i="4"/>
  <c r="H5" i="4"/>
  <c r="H6" i="4"/>
  <c r="H4" i="4"/>
  <c r="H10" i="4"/>
  <c r="H13" i="4"/>
  <c r="H7" i="4"/>
  <c r="H15" i="4"/>
  <c r="H12" i="4"/>
  <c r="H9" i="4"/>
  <c r="H14" i="4"/>
  <c r="H8" i="4"/>
  <c r="Q5" i="233"/>
  <c r="Q132" i="233" s="1"/>
  <c r="Q133" i="233" s="1"/>
  <c r="Q5" i="221"/>
  <c r="K5" i="224"/>
  <c r="K100" i="224" s="1"/>
  <c r="K101" i="224" s="1"/>
  <c r="M5" i="220"/>
  <c r="T117" i="218"/>
  <c r="K5" i="265" l="1"/>
  <c r="G171" i="261"/>
  <c r="D199" i="261"/>
  <c r="D201" i="261" s="1"/>
  <c r="H16" i="4"/>
  <c r="K5" i="225"/>
  <c r="K134" i="225" s="1"/>
  <c r="K135" i="225" s="1"/>
  <c r="S41" i="221"/>
  <c r="Q122" i="221"/>
  <c r="Q123" i="221" s="1"/>
  <c r="Q118" i="218"/>
  <c r="O118" i="218"/>
  <c r="K118" i="218"/>
  <c r="S118" i="218"/>
  <c r="M113" i="220"/>
  <c r="M114" i="220" s="1"/>
  <c r="T112" i="220"/>
  <c r="M118" i="218"/>
  <c r="Q5" i="236"/>
  <c r="Q147" i="236" s="1"/>
  <c r="Q148" i="236" s="1"/>
  <c r="K182" i="265" l="1"/>
  <c r="K183" i="265" s="1"/>
  <c r="G5" i="264"/>
  <c r="G159" i="264" s="1"/>
  <c r="G160" i="264" s="1"/>
  <c r="Q5" i="239"/>
  <c r="Q149" i="239" s="1"/>
  <c r="Q150" i="239" s="1"/>
  <c r="Q5" i="222"/>
  <c r="Q119" i="222" s="1"/>
  <c r="Q120" i="222" s="1"/>
  <c r="K5" i="226"/>
  <c r="K122" i="226" s="1"/>
  <c r="K123" i="226" s="1"/>
  <c r="M5" i="221"/>
  <c r="T114" i="220"/>
  <c r="M115" i="220" s="1"/>
  <c r="K5" i="266" l="1"/>
  <c r="K169" i="266" s="1"/>
  <c r="K170" i="266" s="1"/>
  <c r="G5" i="265"/>
  <c r="G182" i="265" s="1"/>
  <c r="G183" i="265" s="1"/>
  <c r="Q5" i="223"/>
  <c r="Q110" i="223" s="1"/>
  <c r="Q111" i="223" s="1"/>
  <c r="K5" i="227"/>
  <c r="K111" i="227" s="1"/>
  <c r="K112" i="227" s="1"/>
  <c r="O115" i="220"/>
  <c r="Q115" i="220"/>
  <c r="K115" i="220"/>
  <c r="S115" i="220"/>
  <c r="R121" i="221"/>
  <c r="M122" i="221"/>
  <c r="M123" i="221" s="1"/>
  <c r="Q5" i="241"/>
  <c r="Q143" i="241" s="1"/>
  <c r="Q144" i="241" s="1"/>
  <c r="K5" i="267" l="1"/>
  <c r="K198" i="267" s="1"/>
  <c r="K199" i="267" s="1"/>
  <c r="G5" i="266"/>
  <c r="G169" i="266" s="1"/>
  <c r="G170" i="266" s="1"/>
  <c r="Q5" i="242"/>
  <c r="Q148" i="242" s="1"/>
  <c r="Q149" i="242" s="1"/>
  <c r="M5" i="229"/>
  <c r="M146" i="229" s="1"/>
  <c r="M147" i="229" s="1"/>
  <c r="Q5" i="224"/>
  <c r="Q100" i="224" s="1"/>
  <c r="Q101" i="224" s="1"/>
  <c r="M5" i="222"/>
  <c r="R123" i="221"/>
  <c r="M124" i="221" s="1"/>
  <c r="K5" i="268" l="1"/>
  <c r="K197" i="268" s="1"/>
  <c r="K198" i="268" s="1"/>
  <c r="K5" i="269"/>
  <c r="K64" i="269" s="1"/>
  <c r="K65" i="269" s="1"/>
  <c r="G5" i="267"/>
  <c r="G198" i="267" s="1"/>
  <c r="G199" i="267" s="1"/>
  <c r="Q5" i="225"/>
  <c r="Q134" i="225" s="1"/>
  <c r="Q135" i="225" s="1"/>
  <c r="M5" i="233"/>
  <c r="M132" i="233" s="1"/>
  <c r="M133" i="233" s="1"/>
  <c r="O124" i="221"/>
  <c r="K124" i="221"/>
  <c r="Q124" i="221"/>
  <c r="R118" i="222"/>
  <c r="M119" i="222"/>
  <c r="M120" i="222" s="1"/>
  <c r="Q5" i="245"/>
  <c r="Q145" i="245" s="1"/>
  <c r="Q146" i="245" s="1"/>
  <c r="G5" i="268" l="1"/>
  <c r="G5" i="269"/>
  <c r="G64" i="269" s="1"/>
  <c r="G65" i="269" s="1"/>
  <c r="O5" i="246"/>
  <c r="O165" i="246" s="1"/>
  <c r="O166" i="246" s="1"/>
  <c r="M5" i="236"/>
  <c r="M147" i="236" s="1"/>
  <c r="M148" i="236" s="1"/>
  <c r="M5" i="223"/>
  <c r="R120" i="222"/>
  <c r="M121" i="222" s="1"/>
  <c r="Q5" i="226"/>
  <c r="Q122" i="226" s="1"/>
  <c r="Q123" i="226" s="1"/>
  <c r="G197" i="268" l="1"/>
  <c r="G198" i="268" s="1"/>
  <c r="M110" i="223"/>
  <c r="M111" i="223" s="1"/>
  <c r="R109" i="223"/>
  <c r="M5" i="239"/>
  <c r="M149" i="239" s="1"/>
  <c r="M150" i="239" s="1"/>
  <c r="O121" i="222"/>
  <c r="K121" i="222"/>
  <c r="Q121" i="222"/>
  <c r="Q5" i="227"/>
  <c r="Q111" i="227" s="1"/>
  <c r="Q112" i="227" s="1"/>
  <c r="O5" i="248"/>
  <c r="O183" i="248" s="1"/>
  <c r="O184" i="248" s="1"/>
  <c r="M5" i="241" l="1"/>
  <c r="M143" i="241" s="1"/>
  <c r="M144" i="241" s="1"/>
  <c r="O5" i="249"/>
  <c r="O184" i="249" s="1"/>
  <c r="O185" i="249" s="1"/>
  <c r="S5" i="229"/>
  <c r="S146" i="229" s="1"/>
  <c r="S147" i="229" s="1"/>
  <c r="M5" i="224"/>
  <c r="R111" i="223"/>
  <c r="O5" i="250" l="1"/>
  <c r="O176" i="250" s="1"/>
  <c r="O177" i="250" s="1"/>
  <c r="S5" i="233"/>
  <c r="S132" i="233" s="1"/>
  <c r="S133" i="233" s="1"/>
  <c r="S149" i="229"/>
  <c r="O112" i="223"/>
  <c r="K112" i="223"/>
  <c r="Q112" i="223"/>
  <c r="M5" i="242"/>
  <c r="M148" i="242" s="1"/>
  <c r="M149" i="242" s="1"/>
  <c r="M112" i="223"/>
  <c r="R99" i="224"/>
  <c r="M100" i="224"/>
  <c r="M101" i="224" s="1"/>
  <c r="O5" i="252" l="1"/>
  <c r="O152" i="252" s="1"/>
  <c r="O153" i="252" s="1"/>
  <c r="M5" i="225"/>
  <c r="R101" i="224"/>
  <c r="S5" i="236"/>
  <c r="S147" i="236" s="1"/>
  <c r="S148" i="236" s="1"/>
  <c r="S137" i="233"/>
  <c r="M5" i="245"/>
  <c r="M145" i="245" s="1"/>
  <c r="M146" i="245" s="1"/>
  <c r="O5" i="255" l="1"/>
  <c r="O187" i="255" s="1"/>
  <c r="O188" i="255" s="1"/>
  <c r="S5" i="239"/>
  <c r="S149" i="239" s="1"/>
  <c r="S150" i="239" s="1"/>
  <c r="S152" i="236"/>
  <c r="O102" i="224"/>
  <c r="K102" i="224"/>
  <c r="Q102" i="224"/>
  <c r="R133" i="225"/>
  <c r="M134" i="225"/>
  <c r="M135" i="225" s="1"/>
  <c r="M102" i="224"/>
  <c r="O5" i="254" l="1"/>
  <c r="O164" i="254" s="1"/>
  <c r="O165" i="254" s="1"/>
  <c r="M5" i="226"/>
  <c r="R135" i="225"/>
  <c r="S5" i="241"/>
  <c r="S143" i="241" s="1"/>
  <c r="S144" i="241" s="1"/>
  <c r="S154" i="239"/>
  <c r="O5" i="256" l="1"/>
  <c r="O177" i="256" s="1"/>
  <c r="O178" i="256" s="1"/>
  <c r="O5" i="257" s="1"/>
  <c r="O166" i="257" s="1"/>
  <c r="O167" i="257" s="1"/>
  <c r="O136" i="225"/>
  <c r="K136" i="225"/>
  <c r="Q136" i="225"/>
  <c r="S148" i="241"/>
  <c r="S5" i="242"/>
  <c r="S148" i="242" s="1"/>
  <c r="S149" i="242" s="1"/>
  <c r="R121" i="226"/>
  <c r="M122" i="226"/>
  <c r="M123" i="226" s="1"/>
  <c r="M136" i="225"/>
  <c r="O5" i="258" l="1"/>
  <c r="O185" i="258" s="1"/>
  <c r="O186" i="258" s="1"/>
  <c r="O5" i="261" s="1"/>
  <c r="O170" i="261" s="1"/>
  <c r="O171" i="261" s="1"/>
  <c r="M5" i="227"/>
  <c r="R123" i="226"/>
  <c r="S153" i="242"/>
  <c r="S5" i="245"/>
  <c r="S145" i="245" s="1"/>
  <c r="S146" i="245" s="1"/>
  <c r="O5" i="264" l="1"/>
  <c r="O159" i="264" s="1"/>
  <c r="O160" i="264" s="1"/>
  <c r="O124" i="226"/>
  <c r="K124" i="226"/>
  <c r="Q124" i="226"/>
  <c r="Q5" i="246"/>
  <c r="Q165" i="246" s="1"/>
  <c r="Q166" i="246" s="1"/>
  <c r="S150" i="245"/>
  <c r="M124" i="226"/>
  <c r="R110" i="227"/>
  <c r="M111" i="227"/>
  <c r="M112" i="227" s="1"/>
  <c r="O5" i="265" l="1"/>
  <c r="Q170" i="246"/>
  <c r="Q5" i="248"/>
  <c r="Q183" i="248" s="1"/>
  <c r="Q184" i="248" s="1"/>
  <c r="O5" i="229"/>
  <c r="R112" i="227"/>
  <c r="O182" i="265" l="1"/>
  <c r="O183" i="265" s="1"/>
  <c r="O113" i="227"/>
  <c r="K113" i="227"/>
  <c r="Q113" i="227"/>
  <c r="M113" i="227"/>
  <c r="O146" i="229"/>
  <c r="O147" i="229" s="1"/>
  <c r="T71" i="229"/>
  <c r="Q5" i="249"/>
  <c r="Q184" i="249" s="1"/>
  <c r="Q185" i="249" s="1"/>
  <c r="Q188" i="248"/>
  <c r="O5" i="266" l="1"/>
  <c r="O169" i="266" s="1"/>
  <c r="O170" i="266" s="1"/>
  <c r="Q5" i="250"/>
  <c r="Q176" i="250" s="1"/>
  <c r="Q177" i="250" s="1"/>
  <c r="O5" i="233"/>
  <c r="O132" i="233" s="1"/>
  <c r="O133" i="233" s="1"/>
  <c r="T147" i="229"/>
  <c r="O148" i="229" s="1"/>
  <c r="Q189" i="249"/>
  <c r="O5" i="267" l="1"/>
  <c r="O198" i="267" s="1"/>
  <c r="O199" i="267" s="1"/>
  <c r="Q5" i="252"/>
  <c r="Q152" i="252" s="1"/>
  <c r="Q153" i="252" s="1"/>
  <c r="Q181" i="250"/>
  <c r="Q148" i="229"/>
  <c r="M148" i="229"/>
  <c r="S148" i="229"/>
  <c r="O5" i="236"/>
  <c r="O147" i="236" s="1"/>
  <c r="O148" i="236" s="1"/>
  <c r="T133" i="233"/>
  <c r="O5" i="268" l="1"/>
  <c r="O197" i="268" s="1"/>
  <c r="O198" i="268" s="1"/>
  <c r="O5" i="269"/>
  <c r="O64" i="269" s="1"/>
  <c r="O65" i="269" s="1"/>
  <c r="Q157" i="252"/>
  <c r="Q5" i="255"/>
  <c r="Q187" i="255" s="1"/>
  <c r="Q188" i="255" s="1"/>
  <c r="Q134" i="233"/>
  <c r="M134" i="233"/>
  <c r="S134" i="233"/>
  <c r="O5" i="239"/>
  <c r="O149" i="239" s="1"/>
  <c r="O150" i="239" s="1"/>
  <c r="T148" i="236"/>
  <c r="O149" i="236" s="1"/>
  <c r="O134" i="233"/>
  <c r="Q5" i="254" l="1"/>
  <c r="Q164" i="254" s="1"/>
  <c r="Q165" i="254" s="1"/>
  <c r="Q192" i="255"/>
  <c r="O5" i="241"/>
  <c r="O143" i="241" s="1"/>
  <c r="O144" i="241" s="1"/>
  <c r="O5" i="242"/>
  <c r="O148" i="242" s="1"/>
  <c r="O149" i="242" s="1"/>
  <c r="T149" i="242" s="1"/>
  <c r="T150" i="239"/>
  <c r="O151" i="239" s="1"/>
  <c r="Q149" i="236"/>
  <c r="M149" i="236"/>
  <c r="S149" i="236"/>
  <c r="Q169" i="254" l="1"/>
  <c r="Q5" i="256"/>
  <c r="Q177" i="256" s="1"/>
  <c r="Q178" i="256" s="1"/>
  <c r="O5" i="245"/>
  <c r="O145" i="245" s="1"/>
  <c r="O146" i="245" s="1"/>
  <c r="Q151" i="239"/>
  <c r="M151" i="239"/>
  <c r="S151" i="239"/>
  <c r="T144" i="241"/>
  <c r="Q182" i="256" l="1"/>
  <c r="Q5" i="257"/>
  <c r="Q166" i="257" s="1"/>
  <c r="Q167" i="257" s="1"/>
  <c r="Q145" i="241"/>
  <c r="M145" i="241"/>
  <c r="S145" i="241"/>
  <c r="Q150" i="242"/>
  <c r="M150" i="242"/>
  <c r="S150" i="242"/>
  <c r="M5" i="248"/>
  <c r="M183" i="248" s="1"/>
  <c r="M184" i="248" s="1"/>
  <c r="M5" i="246"/>
  <c r="M165" i="246" s="1"/>
  <c r="M166" i="246" s="1"/>
  <c r="T146" i="245"/>
  <c r="O147" i="245" s="1"/>
  <c r="O145" i="241"/>
  <c r="O150" i="242"/>
  <c r="Q171" i="257" l="1"/>
  <c r="Q5" i="258"/>
  <c r="Q185" i="258" s="1"/>
  <c r="Q186" i="258" s="1"/>
  <c r="R184" i="248"/>
  <c r="M185" i="248" s="1"/>
  <c r="M5" i="249"/>
  <c r="M184" i="249" s="1"/>
  <c r="M185" i="249" s="1"/>
  <c r="Q147" i="245"/>
  <c r="M147" i="245"/>
  <c r="S147" i="245"/>
  <c r="R166" i="246"/>
  <c r="Q190" i="258" l="1"/>
  <c r="Q5" i="261"/>
  <c r="Q170" i="261" s="1"/>
  <c r="Q171" i="261" s="1"/>
  <c r="R185" i="249"/>
  <c r="Q186" i="249" s="1"/>
  <c r="M5" i="250"/>
  <c r="M176" i="250" s="1"/>
  <c r="O167" i="246"/>
  <c r="Q167" i="246"/>
  <c r="M167" i="246"/>
  <c r="O185" i="248"/>
  <c r="Q185" i="248"/>
  <c r="Q175" i="261" l="1"/>
  <c r="Q5" i="264"/>
  <c r="Q159" i="264" s="1"/>
  <c r="Q160" i="264" s="1"/>
  <c r="M186" i="249"/>
  <c r="O186" i="249"/>
  <c r="M177" i="250"/>
  <c r="Q5" i="265" l="1"/>
  <c r="Q182" i="265" s="1"/>
  <c r="Q183" i="265" s="1"/>
  <c r="Q164" i="264"/>
  <c r="M5" i="252"/>
  <c r="M152" i="252" s="1"/>
  <c r="M153" i="252" s="1"/>
  <c r="R177" i="250"/>
  <c r="Q178" i="250" s="1"/>
  <c r="Q187" i="265" l="1"/>
  <c r="Q5" i="266"/>
  <c r="R153" i="252"/>
  <c r="M154" i="252" s="1"/>
  <c r="M5" i="255"/>
  <c r="M187" i="255" s="1"/>
  <c r="M188" i="255" s="1"/>
  <c r="O178" i="250"/>
  <c r="M178" i="250"/>
  <c r="Q169" i="266" l="1"/>
  <c r="Q170" i="266" s="1"/>
  <c r="Q174" i="266" s="1"/>
  <c r="Q5" i="267"/>
  <c r="Q198" i="267" s="1"/>
  <c r="Q199" i="267" s="1"/>
  <c r="R188" i="255"/>
  <c r="O189" i="255" s="1"/>
  <c r="M5" i="254"/>
  <c r="M164" i="254" s="1"/>
  <c r="M165" i="254" s="1"/>
  <c r="Q154" i="252"/>
  <c r="O154" i="252"/>
  <c r="Q5" i="269" l="1"/>
  <c r="Q64" i="269" s="1"/>
  <c r="Q65" i="269" s="1"/>
  <c r="Q69" i="269" s="1"/>
  <c r="Q203" i="267"/>
  <c r="Q5" i="268"/>
  <c r="Q197" i="268" s="1"/>
  <c r="Q198" i="268" s="1"/>
  <c r="Q202" i="268" s="1"/>
  <c r="Q189" i="255"/>
  <c r="M189" i="255"/>
  <c r="R165" i="254"/>
  <c r="M166" i="254" s="1"/>
  <c r="M5" i="256"/>
  <c r="M177" i="256" s="1"/>
  <c r="M178" i="256" s="1"/>
  <c r="M5" i="265" l="1"/>
  <c r="M182" i="265" s="1"/>
  <c r="M183" i="265" s="1"/>
  <c r="M5" i="261"/>
  <c r="M170" i="261" s="1"/>
  <c r="M171" i="261" s="1"/>
  <c r="R171" i="261" s="1"/>
  <c r="M172" i="261" s="1"/>
  <c r="M5" i="264"/>
  <c r="M159" i="264" s="1"/>
  <c r="M160" i="264" s="1"/>
  <c r="R178" i="256"/>
  <c r="O179" i="256" s="1"/>
  <c r="M5" i="258"/>
  <c r="M185" i="258" s="1"/>
  <c r="M186" i="258" s="1"/>
  <c r="R186" i="258" s="1"/>
  <c r="M5" i="257"/>
  <c r="M166" i="257" s="1"/>
  <c r="M167" i="257" s="1"/>
  <c r="R167" i="257" s="1"/>
  <c r="Q166" i="254"/>
  <c r="O166" i="254"/>
  <c r="F43" i="234"/>
  <c r="F44" i="234" s="1"/>
  <c r="F45" i="234" s="1"/>
  <c r="F46" i="234" s="1"/>
  <c r="F47" i="234" s="1"/>
  <c r="F48" i="234" s="1"/>
  <c r="F49" i="234" s="1"/>
  <c r="F50" i="234" s="1"/>
  <c r="F51" i="234" s="1"/>
  <c r="F52" i="234" s="1"/>
  <c r="F53" i="234" s="1"/>
  <c r="F54" i="234" s="1"/>
  <c r="F55" i="234" s="1"/>
  <c r="F56" i="234" s="1"/>
  <c r="F57" i="234" s="1"/>
  <c r="F58" i="234" s="1"/>
  <c r="F59" i="234" s="1"/>
  <c r="F60" i="234" s="1"/>
  <c r="F61" i="234" s="1"/>
  <c r="F62" i="234" s="1"/>
  <c r="F63" i="234" s="1"/>
  <c r="F64" i="234" s="1"/>
  <c r="F65" i="234" s="1"/>
  <c r="F66" i="234" s="1"/>
  <c r="F67" i="234" s="1"/>
  <c r="F68" i="234" s="1"/>
  <c r="F69" i="234" s="1"/>
  <c r="F70" i="234" s="1"/>
  <c r="F71" i="234" s="1"/>
  <c r="F72" i="234" s="1"/>
  <c r="F73" i="234" s="1"/>
  <c r="F74" i="234" s="1"/>
  <c r="F75" i="234" s="1"/>
  <c r="F76" i="234" s="1"/>
  <c r="F77" i="234" s="1"/>
  <c r="F78" i="234" s="1"/>
  <c r="F79" i="234" s="1"/>
  <c r="F80" i="234" s="1"/>
  <c r="F81" i="234" s="1"/>
  <c r="F82" i="234" s="1"/>
  <c r="F83" i="234" s="1"/>
  <c r="F84" i="234" s="1"/>
  <c r="F85" i="234" s="1"/>
  <c r="F86" i="234" s="1"/>
  <c r="F87" i="234" s="1"/>
  <c r="F88" i="234" s="1"/>
  <c r="F89" i="234" s="1"/>
  <c r="F90" i="234" s="1"/>
  <c r="F91" i="234" s="1"/>
  <c r="F92" i="234" s="1"/>
  <c r="F93" i="234" s="1"/>
  <c r="F94" i="234" s="1"/>
  <c r="F95" i="234" s="1"/>
  <c r="F96" i="234" s="1"/>
  <c r="F97" i="234" s="1"/>
  <c r="F98" i="234" s="1"/>
  <c r="F99" i="234" s="1"/>
  <c r="F100" i="234" s="1"/>
  <c r="F101" i="234" s="1"/>
  <c r="F102" i="234" s="1"/>
  <c r="F103" i="234" s="1"/>
  <c r="F104" i="234" s="1"/>
  <c r="F105" i="234" s="1"/>
  <c r="F106" i="234" s="1"/>
  <c r="F107" i="234" s="1"/>
  <c r="F108" i="234" s="1"/>
  <c r="F109" i="234" s="1"/>
  <c r="F110" i="234" s="1"/>
  <c r="F111" i="234" s="1"/>
  <c r="F112" i="234" s="1"/>
  <c r="F113" i="234" s="1"/>
  <c r="F114" i="234" s="1"/>
  <c r="F115" i="234" s="1"/>
  <c r="F116" i="234" s="1"/>
  <c r="F117" i="234" s="1"/>
  <c r="F118" i="234" s="1"/>
  <c r="F119" i="234" s="1"/>
  <c r="F120" i="234" s="1"/>
  <c r="F121" i="234" s="1"/>
  <c r="F122" i="234" s="1"/>
  <c r="F123" i="234" s="1"/>
  <c r="F124" i="234" s="1"/>
  <c r="F125" i="234" s="1"/>
  <c r="F126" i="234" s="1"/>
  <c r="F127" i="234" s="1"/>
  <c r="F128" i="234" s="1"/>
  <c r="F129" i="234" s="1"/>
  <c r="F130" i="234" s="1"/>
  <c r="F131" i="234" s="1"/>
  <c r="F132" i="234" s="1"/>
  <c r="F133" i="234" s="1"/>
  <c r="F134" i="234" s="1"/>
  <c r="F135" i="234" s="1"/>
  <c r="F136" i="234" s="1"/>
  <c r="F137" i="234" s="1"/>
  <c r="F138" i="234" s="1"/>
  <c r="F139" i="234" s="1"/>
  <c r="F140" i="234" s="1"/>
  <c r="F141" i="234" s="1"/>
  <c r="F142" i="234" s="1"/>
  <c r="F143" i="234" s="1"/>
  <c r="F144" i="234" s="1"/>
  <c r="F145" i="234" s="1"/>
  <c r="F146" i="234" s="1"/>
  <c r="F147" i="234" s="1"/>
  <c r="F148" i="234" s="1"/>
  <c r="F149" i="234" s="1"/>
  <c r="F150" i="234" s="1"/>
  <c r="F151" i="234" s="1"/>
  <c r="F152" i="234" s="1"/>
  <c r="F153" i="234" s="1"/>
  <c r="F154" i="234" s="1"/>
  <c r="F155" i="234" s="1"/>
  <c r="F156" i="234" s="1"/>
  <c r="F157" i="234" s="1"/>
  <c r="F158" i="234" s="1"/>
  <c r="F159" i="234" s="1"/>
  <c r="F160" i="234" s="1"/>
  <c r="F161" i="234" s="1"/>
  <c r="F162" i="234" s="1"/>
  <c r="F163" i="234" s="1"/>
  <c r="F164" i="234" s="1"/>
  <c r="F165" i="234" s="1"/>
  <c r="F166" i="234" s="1"/>
  <c r="F167" i="234" s="1"/>
  <c r="F168" i="234" s="1"/>
  <c r="F169" i="234" s="1"/>
  <c r="F170" i="234" s="1"/>
  <c r="F171" i="234" s="1"/>
  <c r="F172" i="234" s="1"/>
  <c r="F173" i="234" s="1"/>
  <c r="F174" i="234" s="1"/>
  <c r="F175" i="234" s="1"/>
  <c r="F176" i="234" s="1"/>
  <c r="F177" i="234" s="1"/>
  <c r="F178" i="234" s="1"/>
  <c r="F179" i="234" s="1"/>
  <c r="F180" i="234" s="1"/>
  <c r="F181" i="234" s="1"/>
  <c r="F182" i="234" s="1"/>
  <c r="F183" i="234" s="1"/>
  <c r="F184" i="234" s="1"/>
  <c r="F185" i="234" s="1"/>
  <c r="F186" i="234" s="1"/>
  <c r="F187" i="234" s="1"/>
  <c r="F188" i="234" s="1"/>
  <c r="F189" i="234" s="1"/>
  <c r="F190" i="234" s="1"/>
  <c r="F191" i="234" s="1"/>
  <c r="F192" i="234" s="1"/>
  <c r="F193" i="234" s="1"/>
  <c r="F194" i="234" s="1"/>
  <c r="F195" i="234" s="1"/>
  <c r="F196" i="234" s="1"/>
  <c r="F197" i="234" s="1"/>
  <c r="F198" i="234" s="1"/>
  <c r="F199" i="234" s="1"/>
  <c r="F200" i="234" s="1"/>
  <c r="F201" i="234" s="1"/>
  <c r="F202" i="234" s="1"/>
  <c r="F203" i="234" s="1"/>
  <c r="F204" i="234" s="1"/>
  <c r="F205" i="234" s="1"/>
  <c r="F206" i="234" s="1"/>
  <c r="F207" i="234" s="1"/>
  <c r="F208" i="234" s="1"/>
  <c r="F209" i="234" s="1"/>
  <c r="F210" i="234" s="1"/>
  <c r="F211" i="234" s="1"/>
  <c r="F212" i="234" s="1"/>
  <c r="F213" i="234" s="1"/>
  <c r="F214" i="234" s="1"/>
  <c r="F215" i="234" s="1"/>
  <c r="F216" i="234" s="1"/>
  <c r="F217" i="234" s="1"/>
  <c r="F218" i="234" s="1"/>
  <c r="F219" i="234" s="1"/>
  <c r="F220" i="234" s="1"/>
  <c r="F221" i="234" s="1"/>
  <c r="F222" i="234" s="1"/>
  <c r="F223" i="234" s="1"/>
  <c r="F224" i="234" s="1"/>
  <c r="F225" i="234" s="1"/>
  <c r="F226" i="234" s="1"/>
  <c r="F227" i="234" s="1"/>
  <c r="F228" i="234" s="1"/>
  <c r="F229" i="234" s="1"/>
  <c r="F230" i="234" s="1"/>
  <c r="F231" i="234" s="1"/>
  <c r="F232" i="234" s="1"/>
  <c r="F233" i="234" s="1"/>
  <c r="F234" i="234" s="1"/>
  <c r="F235" i="234" s="1"/>
  <c r="F236" i="234" s="1"/>
  <c r="F237" i="234" s="1"/>
  <c r="F238" i="234" s="1"/>
  <c r="F239" i="234" s="1"/>
  <c r="F240" i="234" s="1"/>
  <c r="F241" i="234" s="1"/>
  <c r="F242" i="234" s="1"/>
  <c r="F243" i="234" s="1"/>
  <c r="F244" i="234" s="1"/>
  <c r="F245" i="234" s="1"/>
  <c r="F246" i="234" s="1"/>
  <c r="F247" i="234" s="1"/>
  <c r="F248" i="234" s="1"/>
  <c r="F249" i="234" s="1"/>
  <c r="F250" i="234" s="1"/>
  <c r="F251" i="234" s="1"/>
  <c r="F252" i="234" s="1"/>
  <c r="F253" i="234" s="1"/>
  <c r="F254" i="234" s="1"/>
  <c r="F255" i="234" s="1"/>
  <c r="F256" i="234" s="1"/>
  <c r="F257" i="234" s="1"/>
  <c r="F258" i="234" s="1"/>
  <c r="F259" i="234" s="1"/>
  <c r="F260" i="234" s="1"/>
  <c r="F261" i="234" s="1"/>
  <c r="F262" i="234" s="1"/>
  <c r="F263" i="234" s="1"/>
  <c r="F264" i="234" s="1"/>
  <c r="F265" i="234" s="1"/>
  <c r="F266" i="234" s="1"/>
  <c r="F267" i="234" s="1"/>
  <c r="F268" i="234" s="1"/>
  <c r="F269" i="234" s="1"/>
  <c r="F270" i="234" s="1"/>
  <c r="F271" i="234" s="1"/>
  <c r="F272" i="234" s="1"/>
  <c r="F273" i="234" s="1"/>
  <c r="F274" i="234" s="1"/>
  <c r="F275" i="234" s="1"/>
  <c r="F276" i="234" s="1"/>
  <c r="F277" i="234" s="1"/>
  <c r="F278" i="234" s="1"/>
  <c r="F279" i="234" s="1"/>
  <c r="F280" i="234" s="1"/>
  <c r="F281" i="234" s="1"/>
  <c r="F282" i="234" s="1"/>
  <c r="F283" i="234" s="1"/>
  <c r="F284" i="234" s="1"/>
  <c r="F285" i="234" s="1"/>
  <c r="F286" i="234" s="1"/>
  <c r="F287" i="234" s="1"/>
  <c r="F288" i="234" s="1"/>
  <c r="F289" i="234" s="1"/>
  <c r="F290" i="234" s="1"/>
  <c r="F291" i="234" s="1"/>
  <c r="F292" i="234" s="1"/>
  <c r="F293" i="234" s="1"/>
  <c r="F294" i="234" s="1"/>
  <c r="F295" i="234" s="1"/>
  <c r="F296" i="234" s="1"/>
  <c r="F297" i="234" s="1"/>
  <c r="F298" i="234" s="1"/>
  <c r="F299" i="234" s="1"/>
  <c r="F300" i="234" s="1"/>
  <c r="F301" i="234" s="1"/>
  <c r="F302" i="234" s="1"/>
  <c r="F303" i="234" s="1"/>
  <c r="F304" i="234" s="1"/>
  <c r="F305" i="234" s="1"/>
  <c r="F306" i="234" s="1"/>
  <c r="F307" i="234" s="1"/>
  <c r="F308" i="234" s="1"/>
  <c r="F309" i="234" s="1"/>
  <c r="F310" i="234" s="1"/>
  <c r="F311" i="234" s="1"/>
  <c r="F312" i="234" s="1"/>
  <c r="F313" i="234" s="1"/>
  <c r="F314" i="234" s="1"/>
  <c r="F315" i="234" s="1"/>
  <c r="F316" i="234" s="1"/>
  <c r="F317" i="234" s="1"/>
  <c r="F318" i="234" s="1"/>
  <c r="F319" i="234" s="1"/>
  <c r="F320" i="234" s="1"/>
  <c r="F321" i="234" s="1"/>
  <c r="F322" i="234" s="1"/>
  <c r="F323" i="234" s="1"/>
  <c r="F324" i="234" s="1"/>
  <c r="F325" i="234" s="1"/>
  <c r="F326" i="234" s="1"/>
  <c r="F327" i="234" s="1"/>
  <c r="F328" i="234" s="1"/>
  <c r="F329" i="234" s="1"/>
  <c r="F330" i="234" s="1"/>
  <c r="F331" i="234" s="1"/>
  <c r="F332" i="234" s="1"/>
  <c r="F333" i="234" s="1"/>
  <c r="F334" i="234" s="1"/>
  <c r="F335" i="234" s="1"/>
  <c r="F336" i="234" s="1"/>
  <c r="F337" i="234" s="1"/>
  <c r="F338" i="234" s="1"/>
  <c r="F339" i="234" s="1"/>
  <c r="F340" i="234" s="1"/>
  <c r="F341" i="234" s="1"/>
  <c r="F342" i="234" s="1"/>
  <c r="F343" i="234" s="1"/>
  <c r="F344" i="234" s="1"/>
  <c r="F345" i="234" s="1"/>
  <c r="F346" i="234" s="1"/>
  <c r="F347" i="234" s="1"/>
  <c r="F348" i="234" s="1"/>
  <c r="F349" i="234" s="1"/>
  <c r="F350" i="234" s="1"/>
  <c r="F351" i="234" s="1"/>
  <c r="F352" i="234" s="1"/>
  <c r="F353" i="234" s="1"/>
  <c r="F354" i="234" s="1"/>
  <c r="F355" i="234" s="1"/>
  <c r="F356" i="234" s="1"/>
  <c r="F357" i="234" s="1"/>
  <c r="F358" i="234" s="1"/>
  <c r="F359" i="234" s="1"/>
  <c r="F360" i="234" s="1"/>
  <c r="F361" i="234" s="1"/>
  <c r="F362" i="234" s="1"/>
  <c r="F363" i="234" s="1"/>
  <c r="F364" i="234" s="1"/>
  <c r="F365" i="234" s="1"/>
  <c r="R183" i="265" l="1"/>
  <c r="Q184" i="265" s="1"/>
  <c r="M5" i="266"/>
  <c r="M169" i="266" s="1"/>
  <c r="M170" i="266" s="1"/>
  <c r="R160" i="264"/>
  <c r="M161" i="264" s="1"/>
  <c r="Q179" i="256"/>
  <c r="F366" i="234"/>
  <c r="F367" i="234" s="1"/>
  <c r="F368" i="234" s="1"/>
  <c r="F369" i="234" s="1"/>
  <c r="F370" i="234" s="1"/>
  <c r="Q172" i="261"/>
  <c r="O172" i="261"/>
  <c r="M168" i="257"/>
  <c r="M179" i="256"/>
  <c r="M187" i="258"/>
  <c r="Q187" i="258"/>
  <c r="O187" i="258"/>
  <c r="C521" i="234"/>
  <c r="R170" i="266" l="1"/>
  <c r="M5" i="267"/>
  <c r="M198" i="267" s="1"/>
  <c r="M199" i="267" s="1"/>
  <c r="M171" i="266"/>
  <c r="M184" i="265"/>
  <c r="O184" i="265"/>
  <c r="O161" i="264"/>
  <c r="Q161" i="264"/>
  <c r="F371" i="234"/>
  <c r="F372" i="234" s="1"/>
  <c r="O168" i="257"/>
  <c r="Q168" i="257"/>
  <c r="C523" i="234"/>
  <c r="R199" i="267" l="1"/>
  <c r="M5" i="268"/>
  <c r="M197" i="268" s="1"/>
  <c r="M198" i="268" s="1"/>
  <c r="R198" i="268" s="1"/>
  <c r="M5" i="269"/>
  <c r="M64" i="269" s="1"/>
  <c r="M65" i="269" s="1"/>
  <c r="O171" i="266"/>
  <c r="Q171" i="266"/>
  <c r="F373" i="234"/>
  <c r="F374" i="234" s="1"/>
  <c r="F375" i="234" s="1"/>
  <c r="F376" i="234" s="1"/>
  <c r="F377" i="234" s="1"/>
  <c r="F378" i="234" s="1"/>
  <c r="F379" i="234" s="1"/>
  <c r="F380" i="234" s="1"/>
  <c r="F381" i="234" s="1"/>
  <c r="F382" i="234" s="1"/>
  <c r="F383" i="234" s="1"/>
  <c r="F384" i="234" s="1"/>
  <c r="F385" i="234" s="1"/>
  <c r="F386" i="234" s="1"/>
  <c r="F387" i="234" s="1"/>
  <c r="F388" i="234" s="1"/>
  <c r="F389" i="234" s="1"/>
  <c r="I200" i="267" l="1"/>
  <c r="O200" i="267"/>
  <c r="Q200" i="267"/>
  <c r="M200" i="267"/>
  <c r="R65" i="269"/>
  <c r="M66" i="269" s="1"/>
  <c r="F390" i="234"/>
  <c r="F391" i="234" s="1"/>
  <c r="F392" i="234" s="1"/>
  <c r="F393" i="234" s="1"/>
  <c r="F394" i="234" s="1"/>
  <c r="F395" i="234" s="1"/>
  <c r="F396" i="234" s="1"/>
  <c r="F397" i="234" s="1"/>
  <c r="F398" i="234" s="1"/>
  <c r="F399" i="234" s="1"/>
  <c r="F400" i="234" s="1"/>
  <c r="F401" i="234" s="1"/>
  <c r="F402" i="234" s="1"/>
  <c r="F403" i="234" s="1"/>
  <c r="F404" i="234" s="1"/>
  <c r="F405" i="234" s="1"/>
  <c r="F406" i="234" s="1"/>
  <c r="F407" i="234" s="1"/>
  <c r="F408" i="234" s="1"/>
  <c r="F409" i="234" s="1"/>
  <c r="F410" i="234" s="1"/>
  <c r="F411" i="234" s="1"/>
  <c r="F412" i="234" s="1"/>
  <c r="F413" i="234" s="1"/>
  <c r="F414" i="234" s="1"/>
  <c r="F415" i="234" s="1"/>
  <c r="F416" i="234" s="1"/>
  <c r="F417" i="234" s="1"/>
  <c r="F418" i="234" s="1"/>
  <c r="F419" i="234" s="1"/>
  <c r="F420" i="234" s="1"/>
  <c r="F421" i="234" s="1"/>
  <c r="F422" i="234" s="1"/>
  <c r="F423" i="234" s="1"/>
  <c r="F424" i="234" s="1"/>
  <c r="F425" i="234" s="1"/>
  <c r="F426" i="234" s="1"/>
  <c r="F427" i="234" s="1"/>
  <c r="F428" i="234" s="1"/>
  <c r="F429" i="234" s="1"/>
  <c r="F430" i="234" s="1"/>
  <c r="F431" i="234" s="1"/>
  <c r="F432" i="234" s="1"/>
  <c r="F433" i="234" s="1"/>
  <c r="F434" i="234" s="1"/>
  <c r="F435" i="234" s="1"/>
  <c r="F436" i="234" s="1"/>
  <c r="F437" i="234" s="1"/>
  <c r="F438" i="234" s="1"/>
  <c r="F439" i="234" s="1"/>
  <c r="F440" i="234" s="1"/>
  <c r="F441" i="234" s="1"/>
  <c r="F442" i="234" s="1"/>
  <c r="F443" i="234" s="1"/>
  <c r="F444" i="234" s="1"/>
  <c r="F445" i="234" s="1"/>
  <c r="F446" i="234" s="1"/>
  <c r="F447" i="234" s="1"/>
  <c r="F448" i="234" s="1"/>
  <c r="F449" i="234" s="1"/>
  <c r="F450" i="234" s="1"/>
  <c r="F451" i="234" s="1"/>
  <c r="F452" i="234" s="1"/>
  <c r="F453" i="234" s="1"/>
  <c r="F454" i="234" s="1"/>
  <c r="F455" i="234" s="1"/>
  <c r="F456" i="234" s="1"/>
  <c r="F457" i="234" s="1"/>
  <c r="F458" i="234" s="1"/>
  <c r="F459" i="234" s="1"/>
  <c r="F460" i="234" s="1"/>
  <c r="F461" i="234" s="1"/>
  <c r="F462" i="234" s="1"/>
  <c r="F463" i="234" s="1"/>
  <c r="F464" i="234" s="1"/>
  <c r="F465" i="234" s="1"/>
  <c r="F466" i="234" s="1"/>
  <c r="F467" i="234" s="1"/>
  <c r="F468" i="234" s="1"/>
  <c r="F469" i="234" s="1"/>
  <c r="F470" i="234" s="1"/>
  <c r="F471" i="234" s="1"/>
  <c r="F472" i="234" s="1"/>
  <c r="F473" i="234" s="1"/>
  <c r="F474" i="234" s="1"/>
  <c r="F475" i="234" s="1"/>
  <c r="F476" i="234" s="1"/>
  <c r="F477" i="234" s="1"/>
  <c r="F478" i="234" s="1"/>
  <c r="F479" i="234" s="1"/>
  <c r="F480" i="234" s="1"/>
  <c r="F481" i="234" s="1"/>
  <c r="F482" i="234" s="1"/>
  <c r="F483" i="234" s="1"/>
  <c r="F484" i="234" s="1"/>
  <c r="F485" i="234" s="1"/>
  <c r="F486" i="234" s="1"/>
  <c r="F487" i="234" s="1"/>
  <c r="F488" i="234" s="1"/>
  <c r="F489" i="234" s="1"/>
  <c r="O66" i="269" l="1"/>
  <c r="Q66" i="269"/>
  <c r="J31" i="234"/>
  <c r="L31" i="234" s="1"/>
  <c r="G3" i="214" l="1"/>
  <c r="J14" i="214"/>
  <c r="J15" i="214" s="1"/>
  <c r="J12" i="214"/>
  <c r="J13" i="214"/>
  <c r="F8" i="214"/>
  <c r="J10" i="214"/>
  <c r="J8" i="214" s="1"/>
  <c r="I8" i="214"/>
  <c r="H3" i="214" l="1"/>
  <c r="J19" i="214"/>
  <c r="M19" i="214" s="1"/>
  <c r="Q13" i="214" s="1"/>
  <c r="L3" i="214"/>
  <c r="H8" i="214"/>
  <c r="G8" i="214"/>
  <c r="E11" i="214"/>
  <c r="E12" i="214" s="1"/>
  <c r="M3" i="214" l="1"/>
  <c r="K3" i="214"/>
  <c r="I3" i="214"/>
  <c r="J3" i="214" s="1"/>
  <c r="P3" i="214" s="1"/>
  <c r="Q3" i="214" s="1"/>
  <c r="R4" i="214" s="1"/>
  <c r="K19" i="214"/>
  <c r="L19" i="214"/>
  <c r="S10" i="214"/>
  <c r="S11" i="214"/>
  <c r="S3" i="214" l="1"/>
  <c r="S12" i="214"/>
  <c r="N68" i="240"/>
  <c r="T140" i="208"/>
  <c r="O142" i="20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REPUME</author>
  </authors>
  <commentList>
    <comment ref="B142" authorId="0" shapeId="0" xr:uid="{00000000-0006-0000-8F00-000001000000}">
      <text>
        <r>
          <rPr>
            <b/>
            <sz val="9"/>
            <color indexed="81"/>
            <rFont val="Segoe UI"/>
            <family val="2"/>
          </rPr>
          <t>compradas 23 unidades em 07/02/23, a 22,52 cada. Em março/23, foram duplicadas.</t>
        </r>
      </text>
    </comment>
    <comment ref="B147" authorId="0" shapeId="0" xr:uid="{00000000-0006-0000-8F00-000002000000}">
      <text>
        <r>
          <rPr>
            <b/>
            <sz val="9"/>
            <color indexed="81"/>
            <rFont val="Segoe UI"/>
            <family val="2"/>
          </rPr>
          <t>compradas 23 unidades em 07/02/23, a 22,52 cada. Em março/23, foram duplicadas.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667CEE3-F2C8-4A8C-97DA-D9445F6902F0}" name="WorksheetConnection_Formulário.xlsx!Tabela1" type="102" refreshedVersion="8" minRefreshableVersion="5">
    <extLst>
      <ext xmlns:x15="http://schemas.microsoft.com/office/spreadsheetml/2010/11/main" uri="{DE250136-89BD-433C-8126-D09CA5730AF9}">
        <x15:connection id="Tabela1">
          <x15:rangePr sourceName="_xlcn.WorksheetConnection_Formulário.xlsxTabel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<sst xmlns="http://schemas.openxmlformats.org/spreadsheetml/2006/main" count="86358" uniqueCount="8750">
  <si>
    <t>Fluxo de Caixa</t>
  </si>
  <si>
    <t>Janeiro / 2013</t>
  </si>
  <si>
    <t xml:space="preserve">Data </t>
  </si>
  <si>
    <t>Descrição</t>
  </si>
  <si>
    <t>NFP</t>
  </si>
  <si>
    <t>Forma de Pagto.</t>
  </si>
  <si>
    <t>Conta Corrente</t>
  </si>
  <si>
    <t>Conta Poupança</t>
  </si>
  <si>
    <t xml:space="preserve">Débito </t>
  </si>
  <si>
    <t>Crédito</t>
  </si>
  <si>
    <t>Saldo Começo do Mês</t>
  </si>
  <si>
    <t xml:space="preserve">Acerto diferença nos lançamentos </t>
  </si>
  <si>
    <t>não</t>
  </si>
  <si>
    <t>débito</t>
  </si>
  <si>
    <t>Café</t>
  </si>
  <si>
    <t>dinheiro</t>
  </si>
  <si>
    <t>Gasolina Comum</t>
  </si>
  <si>
    <t>Sorvete</t>
  </si>
  <si>
    <t>Cinto social</t>
  </si>
  <si>
    <t>sim</t>
  </si>
  <si>
    <t>Bermuda</t>
  </si>
  <si>
    <t>Camiseta</t>
  </si>
  <si>
    <t>Sapato Social</t>
  </si>
  <si>
    <t>Estacionamento shopping</t>
  </si>
  <si>
    <t>Salário Dezembro/12</t>
  </si>
  <si>
    <t>crédito</t>
  </si>
  <si>
    <t>Contribuição Negocial 5% (R$ 77,70)</t>
  </si>
  <si>
    <t>Pagto. Notebook Samsung 08/10</t>
  </si>
  <si>
    <t>Parcela 1/3 troca Pneus (R$ 203,00)</t>
  </si>
  <si>
    <t>Pagto. Conta Agua ref. Novembro/2012</t>
  </si>
  <si>
    <t>Pagto. Conta Luz ref. Dezembro/2012</t>
  </si>
  <si>
    <t>Academia (R$ 50,00)</t>
  </si>
  <si>
    <t>Almoço</t>
  </si>
  <si>
    <t>Cervejas com Dani</t>
  </si>
  <si>
    <t>Café Re</t>
  </si>
  <si>
    <t>Presente Re (Flores)</t>
  </si>
  <si>
    <t>Brigadeiro Re</t>
  </si>
  <si>
    <t>1ª Parcela IPVA 2013</t>
  </si>
  <si>
    <t>Crédito celular</t>
  </si>
  <si>
    <t>Jantar Aniver Re</t>
  </si>
  <si>
    <t>Adiantamento Janeiro/2013</t>
  </si>
  <si>
    <t>Lanche pescaria</t>
  </si>
  <si>
    <t>Pesqueiro Itapecerica</t>
  </si>
  <si>
    <t>Açai</t>
  </si>
  <si>
    <t>Crédito NFP Paulista</t>
  </si>
  <si>
    <t>Ingredientes Jantar</t>
  </si>
  <si>
    <t>Carro 45/48</t>
  </si>
  <si>
    <t>Porção com Re</t>
  </si>
  <si>
    <t>Pedaço bolo Re</t>
  </si>
  <si>
    <t>Saldo Mês Seguinte</t>
  </si>
  <si>
    <t>Lanches/Doces</t>
  </si>
  <si>
    <t>Contas Agua e Luz</t>
  </si>
  <si>
    <t>Academia</t>
  </si>
  <si>
    <t>Despesas com Carro</t>
  </si>
  <si>
    <t>Prestação Carro</t>
  </si>
  <si>
    <t>Prestação Notebook - Samsung</t>
  </si>
  <si>
    <t>Bebidas</t>
  </si>
  <si>
    <t>Roupas/Calçados/Acessórios</t>
  </si>
  <si>
    <t>Fevereiro / 2013</t>
  </si>
  <si>
    <t>Lanche Pescaria</t>
  </si>
  <si>
    <t>Pesqueiro Itap. (Entrada+Peixe etc...)</t>
  </si>
  <si>
    <t>Habibs</t>
  </si>
  <si>
    <t>3 Litros de Óleo</t>
  </si>
  <si>
    <t>Salário Janeiro/13</t>
  </si>
  <si>
    <t>Pagto. Notebook Samsung 09/10</t>
  </si>
  <si>
    <t>Parcela 2/3 troca Pneus (R$ 203,50)</t>
  </si>
  <si>
    <t>Pagto. Conta Agua ref. Dezembro/2012</t>
  </si>
  <si>
    <t>Pagto. Conta Luz ref. Janeiro/2013</t>
  </si>
  <si>
    <t>Empréstimo Regiane</t>
  </si>
  <si>
    <t>2 Camisetas regata</t>
  </si>
  <si>
    <t>Estacionamento</t>
  </si>
  <si>
    <t>Chopp Arara Azul</t>
  </si>
  <si>
    <t>Chopp</t>
  </si>
  <si>
    <t>Mac com Re</t>
  </si>
  <si>
    <t>2 Latas cerveja</t>
  </si>
  <si>
    <t>Cervejas casa João</t>
  </si>
  <si>
    <t>Escova de Dente</t>
  </si>
  <si>
    <t>Desodorante AXE</t>
  </si>
  <si>
    <t>Adiantamento Fevereiro/2013</t>
  </si>
  <si>
    <t>Carro 46/48</t>
  </si>
  <si>
    <t>Cervejas</t>
  </si>
  <si>
    <t>Doces</t>
  </si>
  <si>
    <t>Pizza</t>
  </si>
  <si>
    <t>Chopp + Porção Bem Brasil</t>
  </si>
  <si>
    <t>Março / 2013</t>
  </si>
  <si>
    <t>Multa carro Donato 4 pontos</t>
  </si>
  <si>
    <t>Hamburguer Big Tasty</t>
  </si>
  <si>
    <t>Salário Fevereiro/13</t>
  </si>
  <si>
    <t>Pagto. Notebook Samsung 10/10</t>
  </si>
  <si>
    <t>Parcela 3/3 troca Pneus (R$ 203,50)</t>
  </si>
  <si>
    <t>Pagto. Conta Agua ref. Janeiro/2013</t>
  </si>
  <si>
    <t>Pagto. Conta Luz ref. Fevereiro/2013</t>
  </si>
  <si>
    <t xml:space="preserve">não </t>
  </si>
  <si>
    <t>Almoço com Re</t>
  </si>
  <si>
    <t>Gasolina Viagem RP</t>
  </si>
  <si>
    <t>Pedágios ida RP</t>
  </si>
  <si>
    <t>Pedágios volta RP</t>
  </si>
  <si>
    <t>Acordo pagto Óculos - Losango</t>
  </si>
  <si>
    <t>Adiantamento Março/2013</t>
  </si>
  <si>
    <t>Carro 47/48</t>
  </si>
  <si>
    <t>Tenis Futsal 1/2 - R$ 40,00</t>
  </si>
  <si>
    <t>Lanches</t>
  </si>
  <si>
    <t>Camisa social Branca</t>
  </si>
  <si>
    <t>Estacionamento Shopping</t>
  </si>
  <si>
    <t>Ovo de Pascoa Bruninha e Re</t>
  </si>
  <si>
    <t>Bem Brasil Chopp com Diego</t>
  </si>
  <si>
    <t>Abril / 2013</t>
  </si>
  <si>
    <t>Salário Março/13</t>
  </si>
  <si>
    <t>Contribuição Sindical 2013</t>
  </si>
  <si>
    <t>Pagto. Conta Agua ref. Fevereiro/2013</t>
  </si>
  <si>
    <t>Pagto. Conta Luz ref. Março/2013</t>
  </si>
  <si>
    <t>Empréstimo Josias 2/6 (R$ 200,00)</t>
  </si>
  <si>
    <t>Tenis Futsal 2/2 - R$ 20,00</t>
  </si>
  <si>
    <t>Entrada Mat. Construção - Telhamento</t>
  </si>
  <si>
    <t>Gel cabelo</t>
  </si>
  <si>
    <t>Creme dental</t>
  </si>
  <si>
    <t>Perfume MALBEC</t>
  </si>
  <si>
    <t>Pizza casa Beth</t>
  </si>
  <si>
    <t>Refri</t>
  </si>
  <si>
    <t>Mão de Obra Telhamento - Pedro 1/2</t>
  </si>
  <si>
    <t>Óleo carro 1 litro</t>
  </si>
  <si>
    <t>Mão de Obra Telhamento - Pedro 2/2</t>
  </si>
  <si>
    <t>Adiantamento Abril/2013</t>
  </si>
  <si>
    <t>Empréstimo Josias 3/6 (R$ 100,00)</t>
  </si>
  <si>
    <t>Cervejas cm Dani</t>
  </si>
  <si>
    <t>Karaoke cm Dani</t>
  </si>
  <si>
    <t>Bateria carro</t>
  </si>
  <si>
    <t xml:space="preserve">Café </t>
  </si>
  <si>
    <t>Escova de dente</t>
  </si>
  <si>
    <t>Ziper calça</t>
  </si>
  <si>
    <t>Conserto alternador do carro 1/2</t>
  </si>
  <si>
    <t>Tarifa banco 24 horas</t>
  </si>
  <si>
    <t>Crédito NFP</t>
  </si>
  <si>
    <t>Chip da tim</t>
  </si>
  <si>
    <t>Lanche</t>
  </si>
  <si>
    <t/>
  </si>
  <si>
    <t>Baladas/Bebidas</t>
  </si>
  <si>
    <t>Maio / 2013</t>
  </si>
  <si>
    <t>Gasolina</t>
  </si>
  <si>
    <t>Pneu gel</t>
  </si>
  <si>
    <t>Prestobarba</t>
  </si>
  <si>
    <t>Salário Abril/13</t>
  </si>
  <si>
    <t>Pagto. Conta Agua ref. Março/2013</t>
  </si>
  <si>
    <t>Pagto. Conta Luz ref. Abril/2013</t>
  </si>
  <si>
    <t>Empréstimo Josias 4/6 (R$ 200,00)</t>
  </si>
  <si>
    <t>Carro 48/48</t>
  </si>
  <si>
    <t>Material Telhamento R$ 108,75 -  1/3</t>
  </si>
  <si>
    <t>Corte cabelo</t>
  </si>
  <si>
    <t>Adiantamento Maio/2013</t>
  </si>
  <si>
    <t>Conserto alternador do carro 2/2-R$114,00</t>
  </si>
  <si>
    <t>Material  Telhamento R$ 82,00 -  1/1</t>
  </si>
  <si>
    <t xml:space="preserve">Almoço </t>
  </si>
  <si>
    <t>Credito celular</t>
  </si>
  <si>
    <t>Sabão carro</t>
  </si>
  <si>
    <t>Jaqueta (R$ 150,00) 1/3</t>
  </si>
  <si>
    <t>Entrada Cinema cm Re - Velozes 6</t>
  </si>
  <si>
    <t>Lanche Subway</t>
  </si>
  <si>
    <t>Junho / 2013</t>
  </si>
  <si>
    <t>1 litro óleo carro</t>
  </si>
  <si>
    <t>Salário Maio/13</t>
  </si>
  <si>
    <t xml:space="preserve">Fatura Cartão Crédito Maio/13 </t>
  </si>
  <si>
    <t>Pagto. Conta Agua ref. Abril/2013</t>
  </si>
  <si>
    <t>Pagto. Conta Luz ref. Maio/2013</t>
  </si>
  <si>
    <t>Empréstimo Josias 5/6 (R$ 200,00)</t>
  </si>
  <si>
    <t>Material  Telhamento R$ 108,75 -  2/3</t>
  </si>
  <si>
    <t>Presente casamento Renato 1/3 - R$ 60,00</t>
  </si>
  <si>
    <t>Gaz (R$ 44,00)</t>
  </si>
  <si>
    <t>Tapioca Pq do Rizzo cm Re</t>
  </si>
  <si>
    <t>Adiantamento Junho/2013</t>
  </si>
  <si>
    <t>Celular Motorola RAZR D1</t>
  </si>
  <si>
    <t>1 Cueca</t>
  </si>
  <si>
    <t>Desodorante Axe 2 por 1</t>
  </si>
  <si>
    <t>Presente casamento Renato 2/2 - R$120,00</t>
  </si>
  <si>
    <t>Tarifa DOC cobnta Aline</t>
  </si>
  <si>
    <t>Camiseta Polo</t>
  </si>
  <si>
    <t>Julho / 2013</t>
  </si>
  <si>
    <t>Camiseta Preta</t>
  </si>
  <si>
    <t>Pelicula celular</t>
  </si>
  <si>
    <t>Estacionamento Embu</t>
  </si>
  <si>
    <t>Salário Junho/13</t>
  </si>
  <si>
    <t xml:space="preserve">Fatura Cartão Crédito Junho/13 R$ </t>
  </si>
  <si>
    <t>Pagto. Conta Agua ref. Maio/2013</t>
  </si>
  <si>
    <t>Pagto. Conta Luz ref. Junho/2013</t>
  </si>
  <si>
    <t>Empréstimo Josias 6/6 (R$ 200,00)</t>
  </si>
  <si>
    <t>Deixou quieto</t>
  </si>
  <si>
    <t>Material  Telhamento R$ 108,75 -  3/3</t>
  </si>
  <si>
    <t>Calculadora pequena</t>
  </si>
  <si>
    <t>Condução IDA evento Barra funda</t>
  </si>
  <si>
    <t>Condução Volta evento Barra funda</t>
  </si>
  <si>
    <t>Pagamento pelo Evento Barra Funda</t>
  </si>
  <si>
    <t>Mãe</t>
  </si>
  <si>
    <t>Camisas Polo 2</t>
  </si>
  <si>
    <t>Pagamento pelo Evento Camarote Morumbi</t>
  </si>
  <si>
    <t>Reembolso gasolina Ailton - Vanessa</t>
  </si>
  <si>
    <t>Barra calça Jeans</t>
  </si>
  <si>
    <t>Adiantamento Julho/2013</t>
  </si>
  <si>
    <t>Recarga celular</t>
  </si>
  <si>
    <t>Camisa Preta (2)</t>
  </si>
  <si>
    <t>Calça Social cinza (40)</t>
  </si>
  <si>
    <t>Conserto Pneu</t>
  </si>
  <si>
    <t>Janta Evento Espaço Metropolitan</t>
  </si>
  <si>
    <t>Pagamento pelo Evento Espaço Metropolitan</t>
  </si>
  <si>
    <t>Barra calça social</t>
  </si>
  <si>
    <t>Agosto / 2013</t>
  </si>
  <si>
    <t>Dijuntor casa 15A</t>
  </si>
  <si>
    <t xml:space="preserve">Gasolina </t>
  </si>
  <si>
    <t>Salário Julho/13</t>
  </si>
  <si>
    <t>Pagto. Conta Agua ref. Junho/2013</t>
  </si>
  <si>
    <t>Pagto. Conta Luz ref. Julho/2013</t>
  </si>
  <si>
    <t>Fatura Cartão Crédito Julho/13 R$ 221,45</t>
  </si>
  <si>
    <t>Gravata Preta</t>
  </si>
  <si>
    <t>Pagamento pelo Evento Casa das Caldeiras</t>
  </si>
  <si>
    <t>Condução Casa das Caldeiras</t>
  </si>
  <si>
    <t>Troca de Óleo 4 litros</t>
  </si>
  <si>
    <t>Filtro de Óleo</t>
  </si>
  <si>
    <t>Pizza Com Re</t>
  </si>
  <si>
    <t>Prestobarba (2)</t>
  </si>
  <si>
    <t>Caixinha cervejas</t>
  </si>
  <si>
    <t>Adiantamento Agosto/2013</t>
  </si>
  <si>
    <t>IPTU parcela 1/4</t>
  </si>
  <si>
    <t>Pneu pretinho</t>
  </si>
  <si>
    <t>IPVA 2013</t>
  </si>
  <si>
    <t>Pagamento pelo Evento Hotel Transamerica</t>
  </si>
  <si>
    <t>Condução Hotel Transamerica</t>
  </si>
  <si>
    <t>Pagamento pelo Evento Santa Aldeia</t>
  </si>
  <si>
    <t>Condução Santa Aldeia</t>
  </si>
  <si>
    <t xml:space="preserve">   </t>
  </si>
  <si>
    <t>Setembro / 2013</t>
  </si>
  <si>
    <t xml:space="preserve">Fatura Cartão Crédito Agosto/13 </t>
  </si>
  <si>
    <t>DPVAT 2013</t>
  </si>
  <si>
    <t>Licenciamento 2013</t>
  </si>
  <si>
    <t>Envio por correio Licenciamento 2013</t>
  </si>
  <si>
    <t>Salário Agosto/13</t>
  </si>
  <si>
    <t>Pagto. Conta Agua ref. Julho/2013</t>
  </si>
  <si>
    <t>Pagto. Conta Luz ref. Agosto/2013</t>
  </si>
  <si>
    <t>Bebidas Buchecha</t>
  </si>
  <si>
    <t>Condução Espaço Metropolitan</t>
  </si>
  <si>
    <t>Tênis Adidas 1/6</t>
  </si>
  <si>
    <t xml:space="preserve">Bebidas </t>
  </si>
  <si>
    <t>Entrada material (Caixa agua;porta;etc.)</t>
  </si>
  <si>
    <t>Pagamento pelo Evento Shopp Alphavile</t>
  </si>
  <si>
    <t>Condução Shopp Alphavile</t>
  </si>
  <si>
    <t>NUGGET</t>
  </si>
  <si>
    <t>Gaz</t>
  </si>
  <si>
    <t>Adiantamento Setembro/2013</t>
  </si>
  <si>
    <t>IPTU parcela 2/4</t>
  </si>
  <si>
    <t>Cervejas Buchecha</t>
  </si>
  <si>
    <t>Pagamento pelo Evento Spirit of London</t>
  </si>
  <si>
    <t>Condução Evento Spirit of London</t>
  </si>
  <si>
    <t>Doce</t>
  </si>
  <si>
    <t>Transferencia Poupança</t>
  </si>
  <si>
    <t>Camisa Cinza</t>
  </si>
  <si>
    <t>Sapato Social Preto</t>
  </si>
  <si>
    <t>Multa 4 pontos Inara</t>
  </si>
  <si>
    <t>Cervejas em lata</t>
  </si>
  <si>
    <t>Outubro / 2013</t>
  </si>
  <si>
    <t>Resgate Poupança</t>
  </si>
  <si>
    <t xml:space="preserve">Fatura Cartão Crédito Setembro/13 </t>
  </si>
  <si>
    <t>2 Cópias chave casa</t>
  </si>
  <si>
    <t>2 Cuecas BOX</t>
  </si>
  <si>
    <t>Aplicação Poupança</t>
  </si>
  <si>
    <t>Salário Setembro/13</t>
  </si>
  <si>
    <t>Pagto. Conta Agua ref. Agosto/2013</t>
  </si>
  <si>
    <t>Pagto. Conta Luz ref. Setembro/2013</t>
  </si>
  <si>
    <t>Material (Porta + Caixa D'agua + Canos)</t>
  </si>
  <si>
    <t>Acabamento parachoque Corsa 4 lados</t>
  </si>
  <si>
    <t>Presente Bruninha</t>
  </si>
  <si>
    <t>Cabo RCA Som carro</t>
  </si>
  <si>
    <t>Instalação Som carro</t>
  </si>
  <si>
    <t>Transferencia programada Poupança</t>
  </si>
  <si>
    <t>Conserto corneta</t>
  </si>
  <si>
    <t>Pagamento pelo evento Clube Pinheiros</t>
  </si>
  <si>
    <t>Condução Evento Clube Pinheiros</t>
  </si>
  <si>
    <t>Bombom Aniver</t>
  </si>
  <si>
    <t>BCAA - Academia</t>
  </si>
  <si>
    <t>Adiantamento Outubro/2013</t>
  </si>
  <si>
    <t xml:space="preserve">Caixa com Sub - comprado do Diego </t>
  </si>
  <si>
    <t>Pagamento pelo evento Casa Caldeiras</t>
  </si>
  <si>
    <t>Condução Evento Casa Caldeiras</t>
  </si>
  <si>
    <t>IPTU parcela 3/4</t>
  </si>
  <si>
    <t xml:space="preserve"> </t>
  </si>
  <si>
    <t>Mão de Obra (Porta + Caixa D'agua + Canos)</t>
  </si>
  <si>
    <t>Óculos grau 2/2</t>
  </si>
  <si>
    <t>Par Amortecedores traseiro corsa</t>
  </si>
  <si>
    <t>Férias periodo 01/10/12 á 30/09/2013</t>
  </si>
  <si>
    <t>Novembro / 2013</t>
  </si>
  <si>
    <t xml:space="preserve">Fatura Cartão Crédito Novembro/13 </t>
  </si>
  <si>
    <t>Amortecedores+cano agua+Alinha+Balanc+Cambag</t>
  </si>
  <si>
    <t>Salário Outubro/13</t>
  </si>
  <si>
    <t>Pagto. Conta Agua ref. Setembro/2013</t>
  </si>
  <si>
    <t>Pagto. Conta Luz ref. Outubro/2013</t>
  </si>
  <si>
    <t>Tapete carro</t>
  </si>
  <si>
    <t>Bateria som carro</t>
  </si>
  <si>
    <t>Camiseta Salmão</t>
  </si>
  <si>
    <t>Prestobarba MACH 3 Turbo</t>
  </si>
  <si>
    <t>Chopp Bem Brasil</t>
  </si>
  <si>
    <t>TrocaÓleo3litros</t>
  </si>
  <si>
    <t>Cera-carro</t>
  </si>
  <si>
    <t>1-litro-óleo</t>
  </si>
  <si>
    <t>Conserto-piscaalerta</t>
  </si>
  <si>
    <t>Gasolina-ida-ribeirao</t>
  </si>
  <si>
    <t>Calça+camisa-casamentocintia1/3</t>
  </si>
  <si>
    <t>Jogodecama-presentecintia1/6</t>
  </si>
  <si>
    <t>Churrasco</t>
  </si>
  <si>
    <t xml:space="preserve"> não</t>
  </si>
  <si>
    <t>Adiantamento Novembro/2013-3dias</t>
  </si>
  <si>
    <t>Gasolina-volta-ribeirao</t>
  </si>
  <si>
    <t>IPTU parcela 4/4</t>
  </si>
  <si>
    <t>13º Salário 1ª parcela</t>
  </si>
  <si>
    <t>Xbox360-com-Kinect</t>
  </si>
  <si>
    <t>Dezembro / 2013</t>
  </si>
  <si>
    <t>Juros Poupança</t>
  </si>
  <si>
    <t>Lanche-Mac</t>
  </si>
  <si>
    <t>Venda-Play2-Regiane</t>
  </si>
  <si>
    <t>2cartões-natal</t>
  </si>
  <si>
    <t>Salário Novembro/13-(3dias)</t>
  </si>
  <si>
    <t>1ª-Parcela-abono</t>
  </si>
  <si>
    <t>Pagto. Conta Agua ref. Outubro/2013</t>
  </si>
  <si>
    <t>Pagto. Conta Luz ref. Novembro/2013</t>
  </si>
  <si>
    <t>IPTU 2013</t>
  </si>
  <si>
    <t>Entrada TV Smart Philips 39"</t>
  </si>
  <si>
    <t>Gasolina Praia</t>
  </si>
  <si>
    <t>Limpeza da casa praia</t>
  </si>
  <si>
    <t>Destravamento XBOX 360</t>
  </si>
  <si>
    <t>4 Jogos XBOX 360</t>
  </si>
  <si>
    <t>Óculos de sol Rayban</t>
  </si>
  <si>
    <t>Relógio pulseira prata</t>
  </si>
  <si>
    <t>Cabo HDMI</t>
  </si>
  <si>
    <t>Pendrive 32 GB</t>
  </si>
  <si>
    <t>10 Jogos XBOX 360</t>
  </si>
  <si>
    <t>Presente Fabi</t>
  </si>
  <si>
    <t>Bolo Fabiana</t>
  </si>
  <si>
    <t>Presente Bruninha + Cartão Fabi</t>
  </si>
  <si>
    <t>Assai com Raquel</t>
  </si>
  <si>
    <t>Mão de obra paredes garagem</t>
  </si>
  <si>
    <t>Adiantamento Dezembro/2013 (27 dias)</t>
  </si>
  <si>
    <t>13º Salário 2ª parcela</t>
  </si>
  <si>
    <t>2ª Parcela abono</t>
  </si>
  <si>
    <t>Pizza com Raquel</t>
  </si>
  <si>
    <t>Pretinho Pneu</t>
  </si>
  <si>
    <t>Churras ano novo</t>
  </si>
  <si>
    <t>Camiseta Branca</t>
  </si>
  <si>
    <t>2 Jogos</t>
  </si>
  <si>
    <t>Maiores Despesas 2013</t>
  </si>
  <si>
    <t>Média Mensal</t>
  </si>
  <si>
    <t>Total do Ano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</si>
  <si>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</si>
  <si>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</si>
  <si>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</si>
  <si>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</si>
  <si>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</si>
  <si>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</si>
  <si>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</si>
  <si>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</si>
  <si>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</si>
  <si>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</si>
  <si>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</si>
  <si>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</si>
  <si>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Contas Água e Luz</t>
  </si>
  <si>
    <t>Prestação do Carro</t>
  </si>
  <si>
    <t>Prestação Notebook-Samsung</t>
  </si>
  <si>
    <t>Total</t>
  </si>
  <si>
    <t>Salário Mensal</t>
  </si>
  <si>
    <t>Proventos 2013</t>
  </si>
  <si>
    <t xml:space="preserve">Maio </t>
  </si>
  <si>
    <t xml:space="preserve">Novembro </t>
  </si>
  <si>
    <t>Adiantamento 40%</t>
  </si>
  <si>
    <t>Pagamento</t>
  </si>
  <si>
    <t>Férias</t>
  </si>
  <si>
    <t>13º Salário</t>
  </si>
  <si>
    <t>Abono Salarial</t>
  </si>
  <si>
    <t>FGTS 8%</t>
  </si>
  <si>
    <t>FGTS 8% Férias</t>
  </si>
  <si>
    <t>FGTS 8% 13º Salário</t>
  </si>
  <si>
    <t>Descontos pagamento</t>
  </si>
  <si>
    <t>Inss 9%</t>
  </si>
  <si>
    <t>Inss 9% - Férias</t>
  </si>
  <si>
    <t>Inss 9% - 13º Salário</t>
  </si>
  <si>
    <t>Assistencia Médica</t>
  </si>
  <si>
    <t>Contribuição Sindical</t>
  </si>
  <si>
    <t>Salário Liquido</t>
  </si>
  <si>
    <t>Despesas</t>
  </si>
  <si>
    <t>Valor</t>
  </si>
  <si>
    <t>%</t>
  </si>
  <si>
    <t>Contas Agua/Luz</t>
  </si>
  <si>
    <t>Despesas Carro</t>
  </si>
  <si>
    <t>Prest. Notebook</t>
  </si>
  <si>
    <t>Roupas/Calçados</t>
  </si>
  <si>
    <t>Totais</t>
  </si>
  <si>
    <t>Janeiro / 2014</t>
  </si>
  <si>
    <t>Resgate poupança</t>
  </si>
  <si>
    <t xml:space="preserve">Fatura Cartão Crédito Dezembro/13 </t>
  </si>
  <si>
    <t>Cervejas lata (6)</t>
  </si>
  <si>
    <t>Lampadas casa (2)</t>
  </si>
  <si>
    <t>Salário Dezembro/13  (27 dias)</t>
  </si>
  <si>
    <t>Pagto. Conta Agua ref. Novembro/2013</t>
  </si>
  <si>
    <t>Zerada, foi paga em duplicidade em Nov/2013.</t>
  </si>
  <si>
    <t>Pagto. Conta Luz ref. Dezembro/2013</t>
  </si>
  <si>
    <t>Aplicação poupança</t>
  </si>
  <si>
    <t>SKY (R$ 25,00)</t>
  </si>
  <si>
    <t>Material muro garagem 1/2</t>
  </si>
  <si>
    <t>Vila Poa com Raquel</t>
  </si>
  <si>
    <t>Açai com Raquel</t>
  </si>
  <si>
    <t>Creme dental + Escova dente</t>
  </si>
  <si>
    <t>Manga camisa</t>
  </si>
  <si>
    <t>Cervejas com Raquel</t>
  </si>
  <si>
    <t>Adiantamento Janeiro/2014</t>
  </si>
  <si>
    <t>Material muro garagem 2/2</t>
  </si>
  <si>
    <t>Pagto. Conta Agua ref. Dezembro/2013</t>
  </si>
  <si>
    <t>Pagto. Conta Luz ref. Janeiro/2014</t>
  </si>
  <si>
    <t>Almoço com Raquel</t>
  </si>
  <si>
    <t>Imposto casa 2014</t>
  </si>
  <si>
    <t>Pizza com Raquel - La ville</t>
  </si>
  <si>
    <t>Motel</t>
  </si>
  <si>
    <t>Recarga Prestobarba + Desodorante</t>
  </si>
  <si>
    <t>Pilha Duracell controle</t>
  </si>
  <si>
    <t>Damater</t>
  </si>
  <si>
    <t>Acai</t>
  </si>
  <si>
    <t>Construção</t>
  </si>
  <si>
    <t>Filha</t>
  </si>
  <si>
    <t>Fevereiro / 2014</t>
  </si>
  <si>
    <t>Lanche Mac</t>
  </si>
  <si>
    <t>Remédios</t>
  </si>
  <si>
    <t>Salário Janeiro/14</t>
  </si>
  <si>
    <t>Contribuição Negocial 5% (R$ 90,75)</t>
  </si>
  <si>
    <t xml:space="preserve">Fatura Cartão Crédito Janeiro/14 </t>
  </si>
  <si>
    <t>Presente Ana Clara</t>
  </si>
  <si>
    <t>Aliança</t>
  </si>
  <si>
    <t>Barra calça</t>
  </si>
  <si>
    <t>Cartório Odilon</t>
  </si>
  <si>
    <t>Limpadores</t>
  </si>
  <si>
    <t>Correio</t>
  </si>
  <si>
    <t>Adiantamento Fevereiro/2014</t>
  </si>
  <si>
    <t>Pagto. Conta Agua ref. Janeiro/2014</t>
  </si>
  <si>
    <t>Pagto. Conta Luz ref. Fevereiro/2014</t>
  </si>
  <si>
    <t>Parcelamento USJT 01/14 (R$ 225,00)</t>
  </si>
  <si>
    <t>Troca Óleo 3 litros</t>
  </si>
  <si>
    <t>Silicone carro</t>
  </si>
  <si>
    <t>Cheirinho carro</t>
  </si>
  <si>
    <t>Cervejas aniver Eduardo</t>
  </si>
  <si>
    <t>Março / 2014</t>
  </si>
  <si>
    <t>Salário Fevereiro/14</t>
  </si>
  <si>
    <t xml:space="preserve">Fatura Cartão Crédito Fevereiro/14 </t>
  </si>
  <si>
    <t>Esfihas</t>
  </si>
  <si>
    <t>Lavagem Carro</t>
  </si>
  <si>
    <t>Sorvetes</t>
  </si>
  <si>
    <t>Adiantamento Março/2014</t>
  </si>
  <si>
    <t>Pagto. Conta Agua ref. Fevereiro/2014</t>
  </si>
  <si>
    <t>Pagto. Conta Luz ref. Março/2014</t>
  </si>
  <si>
    <t>Parcelamento USJT 02/14 (R$ 225,00)</t>
  </si>
  <si>
    <t xml:space="preserve">Entrada 2 Camisas RIACHUELO </t>
  </si>
  <si>
    <t xml:space="preserve">Entrada 1 Camisa RENNER </t>
  </si>
  <si>
    <t xml:space="preserve">Entrada Relógio Magnum FREE NIPPONIC </t>
  </si>
  <si>
    <t>Velas Bolo Raquel</t>
  </si>
  <si>
    <t>Cervejas aniver Raquel</t>
  </si>
  <si>
    <t>Bolo Raquel</t>
  </si>
  <si>
    <t>Chapeu aniver Raquel</t>
  </si>
  <si>
    <t>Remedios</t>
  </si>
  <si>
    <t>Pedágio Praia Ida</t>
  </si>
  <si>
    <t>Pedágio Praia Volta</t>
  </si>
  <si>
    <t>Churras Praia</t>
  </si>
  <si>
    <t>Desodorante</t>
  </si>
  <si>
    <t>Abril / 2014</t>
  </si>
  <si>
    <t>Salário Março/14</t>
  </si>
  <si>
    <t>Contribuição Sindical (R$ 60,50)</t>
  </si>
  <si>
    <t xml:space="preserve">Fatura Cartão Crédito Março/14 </t>
  </si>
  <si>
    <t>Condução metro ULTRASSOM</t>
  </si>
  <si>
    <t>Agua</t>
  </si>
  <si>
    <t>Parte remédio DAMATER</t>
  </si>
  <si>
    <t>Pilhas</t>
  </si>
  <si>
    <t>Gaz cozinha</t>
  </si>
  <si>
    <t>Cartão aniversário</t>
  </si>
  <si>
    <t>Creme Dental</t>
  </si>
  <si>
    <t>Adiantamento Abril/2014</t>
  </si>
  <si>
    <t>Pagto. Conta Agua ref. Março/2014</t>
  </si>
  <si>
    <t>Pagto. Conta Luz ref. Abril/2014</t>
  </si>
  <si>
    <t>Parcelamento USJT 03/14 (R$ 225,00)</t>
  </si>
  <si>
    <t>Carne</t>
  </si>
  <si>
    <t>Frutas</t>
  </si>
  <si>
    <t>OVO Pascoa Raquel</t>
  </si>
  <si>
    <t>OVO Pascoa Bruninha</t>
  </si>
  <si>
    <t xml:space="preserve">Parte almoço Pascoa </t>
  </si>
  <si>
    <t>3 Jogos</t>
  </si>
  <si>
    <t>Parte Motel</t>
  </si>
  <si>
    <t>Multa transito (não usar cinto)</t>
  </si>
  <si>
    <t>Multa 4 pontos Donato</t>
  </si>
  <si>
    <t>Média despesas por dia</t>
  </si>
  <si>
    <t>BASE MÉDIA POR DIA</t>
  </si>
  <si>
    <t>ATÉ O DIA</t>
  </si>
  <si>
    <t>Maio / 2014</t>
  </si>
  <si>
    <t>Salário Abril/14</t>
  </si>
  <si>
    <t xml:space="preserve">Fatura Cartão Crédito Abril/14 </t>
  </si>
  <si>
    <t>Carteirinha Academia</t>
  </si>
  <si>
    <t>Produto Cabelo</t>
  </si>
  <si>
    <t>2 Beirutes</t>
  </si>
  <si>
    <t>Almoço Shopp. Santa Cruz C/ Raquel</t>
  </si>
  <si>
    <t>Condução ida/volta 2ª ULTRASSOM</t>
  </si>
  <si>
    <t>Adiantamento Maio/2014</t>
  </si>
  <si>
    <t>Pagto. Conta Agua ref. Abril/2014</t>
  </si>
  <si>
    <t>Parcelamento USJT 04/14 (R$ 225,00)</t>
  </si>
  <si>
    <t>Ajuda gasolina</t>
  </si>
  <si>
    <t>Almoço c/Raquel</t>
  </si>
  <si>
    <t>Jogo XBOX</t>
  </si>
  <si>
    <t>Material Telhamento garagem - 1ª parte</t>
  </si>
  <si>
    <t>Entrega Ultrassom Nenem - Motoboy</t>
  </si>
  <si>
    <t>Arame Cozido</t>
  </si>
  <si>
    <t>Junho / 2014</t>
  </si>
  <si>
    <t>Mão de obra Moacir cobert garagem 1/2</t>
  </si>
  <si>
    <t>Ajuda mãe material cobertura garagem 1/4</t>
  </si>
  <si>
    <t>Caixa bombom Bruninha</t>
  </si>
  <si>
    <t>Areia cobertura garagem</t>
  </si>
  <si>
    <t>Salário Maio/14</t>
  </si>
  <si>
    <t xml:space="preserve">Fatura Cartão Crédito Maio/14 </t>
  </si>
  <si>
    <t>Pagto. Conta Luz ref. Maio/2014</t>
  </si>
  <si>
    <t>Chip da VIVO</t>
  </si>
  <si>
    <t>Pomada</t>
  </si>
  <si>
    <t>100 tijolos + 1 cimento (cobert. Garagem)</t>
  </si>
  <si>
    <t>Jantar com Raquel</t>
  </si>
  <si>
    <t>Gasolina Diego</t>
  </si>
  <si>
    <t>10 Telhas + caibro+vigas (cobert. Garagem)</t>
  </si>
  <si>
    <t xml:space="preserve">Zeza </t>
  </si>
  <si>
    <t>Frango</t>
  </si>
  <si>
    <t>Adiantamento Junho/2014</t>
  </si>
  <si>
    <t>Pagto. Conta Agua ref. Maio/2014</t>
  </si>
  <si>
    <t>Parcelamento USJT 05/14 (R$ 225,00)</t>
  </si>
  <si>
    <t>Lanche MAC</t>
  </si>
  <si>
    <t>Chocolate</t>
  </si>
  <si>
    <t>Bolo</t>
  </si>
  <si>
    <t>05 Telhas + cimento + parafusos telhas</t>
  </si>
  <si>
    <t>Mão de obra Moacir cobert garagem 2/3</t>
  </si>
  <si>
    <t>Julho / 2014</t>
  </si>
  <si>
    <t>Ajuda mãe material cobertura garagem 2/4</t>
  </si>
  <si>
    <t>Salário Junho/14</t>
  </si>
  <si>
    <t xml:space="preserve">Fatura Cartão Crédito Junho/14 </t>
  </si>
  <si>
    <t>Pagto. Conta Luz ref. Junho/2014</t>
  </si>
  <si>
    <t>Multa transito (Velocidade até 20%)</t>
  </si>
  <si>
    <t>Bateria Carro 45 Ah</t>
  </si>
  <si>
    <t>Conectores Bateria</t>
  </si>
  <si>
    <t>Telhamento garagem (20 tijolos+1 cimento)</t>
  </si>
  <si>
    <t>Shampoo</t>
  </si>
  <si>
    <t>Mão de obra Moacir cobert garagem 3/3</t>
  </si>
  <si>
    <t>Fatura Cartão Crédito Junho/14 - Parte 2</t>
  </si>
  <si>
    <t>Pretinho carro</t>
  </si>
  <si>
    <t>Cheiro carro</t>
  </si>
  <si>
    <t>Adiantamento Julho/2014</t>
  </si>
  <si>
    <t>Pagto. Conta Agua ref. Junho/2014</t>
  </si>
  <si>
    <t>Parcelamento USJT 06/14 (R$ 225,00)</t>
  </si>
  <si>
    <t>Lampadas LED carro</t>
  </si>
  <si>
    <t>Botão Farol</t>
  </si>
  <si>
    <t>Recarga Gillete (MACH 3) com 2</t>
  </si>
  <si>
    <t>Cinema (Juntos e misturados) 2</t>
  </si>
  <si>
    <t>Condução Curso Gestante - IDA</t>
  </si>
  <si>
    <t>Condução Curso Gestante - VOLTA</t>
  </si>
  <si>
    <t>Lampada casa</t>
  </si>
  <si>
    <t>Agosto / 2014</t>
  </si>
  <si>
    <t>Crédito Tia Suely</t>
  </si>
  <si>
    <t>Ajuda mãe material cobertura garagem 3/4</t>
  </si>
  <si>
    <t>Salário Julho/14</t>
  </si>
  <si>
    <t xml:space="preserve">Fatura Cartão Crédito Julho/14 </t>
  </si>
  <si>
    <t>Pagto. Conta Luz ref. Julho/2014</t>
  </si>
  <si>
    <t>Óleo carro (1 litro)</t>
  </si>
  <si>
    <t>Gas 1/2</t>
  </si>
  <si>
    <t>Adiantamento Agosto/2014</t>
  </si>
  <si>
    <t>Pagto. Conta Agua ref. Julho/2014</t>
  </si>
  <si>
    <t>Parcelamento USJT 07/14 (R$ 225,00)</t>
  </si>
  <si>
    <t>Parte Bolsa nenem</t>
  </si>
  <si>
    <t>Gas 2/2</t>
  </si>
  <si>
    <t>Lanche Viagem</t>
  </si>
  <si>
    <t>Gasolina Ribeirão Preto</t>
  </si>
  <si>
    <t>Remedio enjoo Raquel</t>
  </si>
  <si>
    <t>Setembro / 2014</t>
  </si>
  <si>
    <t>Chá de Bebê</t>
  </si>
  <si>
    <t>Ajuda mãe material cobertura garagem 4/4</t>
  </si>
  <si>
    <t>Salário Agosto/14</t>
  </si>
  <si>
    <t xml:space="preserve">Fatura Cartão Crédito Agosto/14 </t>
  </si>
  <si>
    <t>Pagto. Conta Luz ref. Agosto/2014</t>
  </si>
  <si>
    <t>Carne churras cha de bebê + (Cartão cré)</t>
  </si>
  <si>
    <t>Churras chá de bebê</t>
  </si>
  <si>
    <t>Parte bolo chá de bebê</t>
  </si>
  <si>
    <t>Condução maternidade</t>
  </si>
  <si>
    <t>Recarga cel Raquel</t>
  </si>
  <si>
    <t>Remédios Recuperacao Raquel</t>
  </si>
  <si>
    <t>Adiantamento Setembro/2014</t>
  </si>
  <si>
    <t>Pagto. Conta Agua ref. Agosto/2014</t>
  </si>
  <si>
    <t>Parcelamento USJT 08/14 (R$ 225,00)</t>
  </si>
  <si>
    <t>Algodão Bella</t>
  </si>
  <si>
    <t xml:space="preserve">Frutas </t>
  </si>
  <si>
    <t>Tira Leite</t>
  </si>
  <si>
    <t>Rinosoro Bella</t>
  </si>
  <si>
    <t>1 litro Óleo</t>
  </si>
  <si>
    <t>Outubro / 2014</t>
  </si>
  <si>
    <t>Gel</t>
  </si>
  <si>
    <t>Pneu carro - 2 remolds Minuano</t>
  </si>
  <si>
    <t>Salário Setembro/14</t>
  </si>
  <si>
    <t xml:space="preserve">Fatura Cartão Crédito Setembro/14 </t>
  </si>
  <si>
    <t>Pagto. Conta Luz ref. Setembro/2014</t>
  </si>
  <si>
    <t>Posto</t>
  </si>
  <si>
    <t>Valor Litro</t>
  </si>
  <si>
    <t>Gasolina (R$ 2,89 litro) 22</t>
  </si>
  <si>
    <t>6,92 litros</t>
  </si>
  <si>
    <t>Pinzetta</t>
  </si>
  <si>
    <t>Gasolina (R$ 2,67 litro) Pinzetta</t>
  </si>
  <si>
    <t>18,72 litros</t>
  </si>
  <si>
    <t>Pomadas Bella (dexa;Nistatina;termometro)</t>
  </si>
  <si>
    <t>Valor abastecimento</t>
  </si>
  <si>
    <t>valor litro</t>
  </si>
  <si>
    <t>qtd litros</t>
  </si>
  <si>
    <t>Prestobarba Mach3 Turbo c/ 2</t>
  </si>
  <si>
    <t>Presente Bruninha (blusinha Frozen)</t>
  </si>
  <si>
    <t>diferença mensal</t>
  </si>
  <si>
    <t>Complemento APTAMIL (Bella) - 1º</t>
  </si>
  <si>
    <t>Algodão (6 Sacos)</t>
  </si>
  <si>
    <t>BomBom Aniversário (3 caixas)</t>
  </si>
  <si>
    <t>Retrovisor direito carro</t>
  </si>
  <si>
    <t>Gasolina (R$ 2,67 litro) Shopp. Taboão</t>
  </si>
  <si>
    <t>22,47 litros</t>
  </si>
  <si>
    <t>Adiantamento Outubro/2014</t>
  </si>
  <si>
    <t>Pagto. Conta Agua ref. Setembro/2014</t>
  </si>
  <si>
    <t>Parcelamento USJT 09/14 (R$ 225,00)</t>
  </si>
  <si>
    <t>Remédios Bella</t>
  </si>
  <si>
    <t>Sabão Roupas Bella</t>
  </si>
  <si>
    <t>Pilha duracell (XBOX) - 2</t>
  </si>
  <si>
    <t>Gasolina (R$ 2,66 litro) Pinzetta</t>
  </si>
  <si>
    <t>22,55 litros</t>
  </si>
  <si>
    <t>Novembro / 2014</t>
  </si>
  <si>
    <t>Complemento APTAMIL (Bella) - 2º</t>
  </si>
  <si>
    <t>Lanche ZEZA</t>
  </si>
  <si>
    <t>Shampoo Bella</t>
  </si>
  <si>
    <t>Salário Outubro/14</t>
  </si>
  <si>
    <t xml:space="preserve">Fatura Cartão Crédito Outubro/14 </t>
  </si>
  <si>
    <t>Pagto. Conta Luz Outubro/2014</t>
  </si>
  <si>
    <t>Estacionamento HGP</t>
  </si>
  <si>
    <t>Material Encanamento (4 cimentos;barras cano)</t>
  </si>
  <si>
    <t>Sacos entulho</t>
  </si>
  <si>
    <t>Remedio Bella</t>
  </si>
  <si>
    <t>Areia - 1 metro</t>
  </si>
  <si>
    <t>Adiantamento Novembro/2014</t>
  </si>
  <si>
    <t>Pagto. Conta Agua ref. Outubro/2014</t>
  </si>
  <si>
    <t>Parcelamento USJT 10/14 (R$ 225,00)</t>
  </si>
  <si>
    <t>Mão obra Moacir 1/3</t>
  </si>
  <si>
    <t xml:space="preserve">Material Encanamento </t>
  </si>
  <si>
    <t>Calotas Roda (3)</t>
  </si>
  <si>
    <t>Mão obra Moacir 2/3</t>
  </si>
  <si>
    <t>Dezembro / 2014</t>
  </si>
  <si>
    <t>Férias 2013/2014 (Trab. PF 03/11 á 02/01)</t>
  </si>
  <si>
    <t>IPVA 2014</t>
  </si>
  <si>
    <t>DPVAT 2014</t>
  </si>
  <si>
    <t>Licenciamento 2014</t>
  </si>
  <si>
    <t>Mão obra Moacir 3/3</t>
  </si>
  <si>
    <t>Pomada Bella</t>
  </si>
  <si>
    <t>Salário Novembro/14 - (Folha)</t>
  </si>
  <si>
    <t>Salário Novembro/14 - (PF férias)</t>
  </si>
  <si>
    <t xml:space="preserve">Fatura Cartão Crédito Novembro/14 </t>
  </si>
  <si>
    <t>Pagto. Conta Luz Novembro/2014</t>
  </si>
  <si>
    <t>Material parte elétrica quarto</t>
  </si>
  <si>
    <t xml:space="preserve">Lanche </t>
  </si>
  <si>
    <t>Lanche viagem</t>
  </si>
  <si>
    <t>Gasolina viagem IDA Poços de Caldas</t>
  </si>
  <si>
    <t>Gasolina viagem VOLTA Poços de Caldas</t>
  </si>
  <si>
    <t>Passeio Bondinho</t>
  </si>
  <si>
    <t>Pedágios</t>
  </si>
  <si>
    <t>Parte mãe encanamento tanque</t>
  </si>
  <si>
    <t xml:space="preserve">Complemento APTAMIL (Bella) </t>
  </si>
  <si>
    <t>Pacote fralda Bella (36un turma monica)</t>
  </si>
  <si>
    <t>Chinelo Rider</t>
  </si>
  <si>
    <t>Panettone</t>
  </si>
  <si>
    <t>Escova mamadeira</t>
  </si>
  <si>
    <t>Material reboco quarto</t>
  </si>
  <si>
    <t>Fio de 2,5 mm (30 metros)</t>
  </si>
  <si>
    <t>Frutas + produtos roupa Bella</t>
  </si>
  <si>
    <t>Adiantamento Dezembro/2014</t>
  </si>
  <si>
    <t xml:space="preserve">1ª Parcela abono </t>
  </si>
  <si>
    <t>Pagto. Conta Agua ref. Novembro/2014</t>
  </si>
  <si>
    <t>Parcelamento USJT 11/14 (R$ 225,00)</t>
  </si>
  <si>
    <t>Embrulho / Cartão Presente Raquel</t>
  </si>
  <si>
    <t>Mão de obra Moacir (parte elétrica) 1/2</t>
  </si>
  <si>
    <t>Material reboco quarto (areia fina)</t>
  </si>
  <si>
    <t>Lampada 25 Watts</t>
  </si>
  <si>
    <t>Empréstimo Mãe</t>
  </si>
  <si>
    <t>Pelicula para celular MOTO G</t>
  </si>
  <si>
    <t>Fraldas + Perfume Nenem</t>
  </si>
  <si>
    <t>2 Latas Vedacit 3,6 litros</t>
  </si>
  <si>
    <t>Mão de obra Moacir (parte elétrica) 2/2</t>
  </si>
  <si>
    <t>Blusinha mãe</t>
  </si>
  <si>
    <t>Microchip Vivo</t>
  </si>
  <si>
    <t>Material Reboco (3 cimentos)</t>
  </si>
  <si>
    <t>Mão obra Moacir (reboco,piso,forro) 1/6</t>
  </si>
  <si>
    <t>Remédio Bella</t>
  </si>
  <si>
    <t>Lavagem carro</t>
  </si>
  <si>
    <t>Frango churrasco</t>
  </si>
  <si>
    <t>Refrigerante</t>
  </si>
  <si>
    <t>Maiores Despesas 2014</t>
  </si>
  <si>
    <t>Parcelamento USJT</t>
  </si>
  <si>
    <t>Proventos 2014</t>
  </si>
  <si>
    <t>Novembro (Férias)</t>
  </si>
  <si>
    <t>COISAS PARA A NENEM</t>
  </si>
  <si>
    <t>Produto</t>
  </si>
  <si>
    <t>Valor Estimado</t>
  </si>
  <si>
    <t>Ajuda</t>
  </si>
  <si>
    <t>Pagamos</t>
  </si>
  <si>
    <t>Quem ajudou?</t>
  </si>
  <si>
    <t>Berço</t>
  </si>
  <si>
    <t>Colchão</t>
  </si>
  <si>
    <t>Fabiana</t>
  </si>
  <si>
    <t>Kit berço</t>
  </si>
  <si>
    <t>Aline</t>
  </si>
  <si>
    <t>Kit Mamadeira</t>
  </si>
  <si>
    <t>Bolsa do nenem</t>
  </si>
  <si>
    <t>Chuquinha</t>
  </si>
  <si>
    <t>Trocador</t>
  </si>
  <si>
    <t>Tia Sueli</t>
  </si>
  <si>
    <t>Travesseiro</t>
  </si>
  <si>
    <t>Carrinho</t>
  </si>
  <si>
    <t>Pai Raquel</t>
  </si>
  <si>
    <t>Bebe Conforto</t>
  </si>
  <si>
    <t>Tia Beth</t>
  </si>
  <si>
    <t>Banheira</t>
  </si>
  <si>
    <t>Bruna</t>
  </si>
  <si>
    <t>Suporte Banheira</t>
  </si>
  <si>
    <t>Saida Maternidade</t>
  </si>
  <si>
    <t>CONTRA-PISO/ENCANAMENTO</t>
  </si>
  <si>
    <t>DATA</t>
  </si>
  <si>
    <t>PRODUTO</t>
  </si>
  <si>
    <t>QTD</t>
  </si>
  <si>
    <t>VALOR UN.</t>
  </si>
  <si>
    <t>VALOR TOTAL</t>
  </si>
  <si>
    <t>DEPOSITO</t>
  </si>
  <si>
    <t>BARRA-CANO-3/4(6METROS)</t>
  </si>
  <si>
    <t>1</t>
  </si>
  <si>
    <t>PERTO ESCOLA</t>
  </si>
  <si>
    <t>BARRA-CANO-1E1/2(6METROS)</t>
  </si>
  <si>
    <t>CIMENTO(VOTORANTIM)</t>
  </si>
  <si>
    <t>4</t>
  </si>
  <si>
    <t>JAPONES</t>
  </si>
  <si>
    <t>COTOVELO-1E1/2</t>
  </si>
  <si>
    <t>8</t>
  </si>
  <si>
    <t>COTOVELO-3/4</t>
  </si>
  <si>
    <t>COLA-PVC(AMANCO)</t>
  </si>
  <si>
    <t>SACO-ENTULHO</t>
  </si>
  <si>
    <t>SACO-LIXO(100-LITROS)</t>
  </si>
  <si>
    <t>AREIA-REGISTRO(1METRO)</t>
  </si>
  <si>
    <t>BARRA CANO 4 POLEGADAS (2METROS)</t>
  </si>
  <si>
    <t>TE-REDUCAO-1E1/2</t>
  </si>
  <si>
    <t>COTOVELO-4POLEGADAS</t>
  </si>
  <si>
    <t>TE-1E1/2</t>
  </si>
  <si>
    <t>TE-1E1/2-REDUCAO-3/4</t>
  </si>
  <si>
    <t>LUVINHA-AZUL-3/4</t>
  </si>
  <si>
    <t>LIXA-FERRO</t>
  </si>
  <si>
    <t>COLA-PVC(TIGRE)</t>
  </si>
  <si>
    <t>BARRA CANO 3/4</t>
  </si>
  <si>
    <t>TE 3/4</t>
  </si>
  <si>
    <t xml:space="preserve">TE DE 1 E MEIO </t>
  </si>
  <si>
    <t>FITA VEDA ROSCA</t>
  </si>
  <si>
    <t>COTOVELO 3 POLEGADAS</t>
  </si>
  <si>
    <t>TE 3 POLEGADAS</t>
  </si>
  <si>
    <t>REDUÇÃO DE  4 P/3 POLEGADAS</t>
  </si>
  <si>
    <t>BARRA ESGOTO BRANCA 3 POLEGADAS</t>
  </si>
  <si>
    <t>CIMENTO</t>
  </si>
  <si>
    <t>BLOCO DE 8</t>
  </si>
  <si>
    <t>SIFÃO PVC</t>
  </si>
  <si>
    <t>RALO BANHEIRO</t>
  </si>
  <si>
    <t>COTOVELO DE 1 E MEIO</t>
  </si>
  <si>
    <t>REDUÇÃO DE  2 P/ 1 E MEIO</t>
  </si>
  <si>
    <t>ESCOLA</t>
  </si>
  <si>
    <t>PERTO REPUME</t>
  </si>
  <si>
    <t>REGISTRO CHUVEIRO 3/4</t>
  </si>
  <si>
    <t>REGISTRO CHUVEIRO 1 E1/2 P/CORTAR AGUA</t>
  </si>
  <si>
    <t>ADAPTADOR REGISTRO 1 E 1/2</t>
  </si>
  <si>
    <t>ADAPTADOR REGISTRO 3/4</t>
  </si>
  <si>
    <t>LUVINHA AZUL 3/4</t>
  </si>
  <si>
    <t>REDUÇÃO DE 1 E MEIO P/ 3/4</t>
  </si>
  <si>
    <t>COLA AMANCO 75G</t>
  </si>
  <si>
    <t>TOTAL</t>
  </si>
  <si>
    <t>MÃO DE OBRA MOACIR</t>
  </si>
  <si>
    <t>JUROS FINANCIAMENTO</t>
  </si>
  <si>
    <t>PARTE ELÉTRICA</t>
  </si>
  <si>
    <t>QUADRO DISJUNTOR COM 4</t>
  </si>
  <si>
    <t>DISJUNTOR DE 30A</t>
  </si>
  <si>
    <t>2</t>
  </si>
  <si>
    <t>DISJUNTOR DE 25A</t>
  </si>
  <si>
    <t>DISJUNTOR DE 15A</t>
  </si>
  <si>
    <t>FIO DE 6 MM (EM METROS)</t>
  </si>
  <si>
    <t>CONECTOR P/ CABO</t>
  </si>
  <si>
    <t>FIO DE 2,5 MM - 100 METROS</t>
  </si>
  <si>
    <t>BOCAL DE LAMPADA</t>
  </si>
  <si>
    <t>PLACA DA TOMADA - FAME</t>
  </si>
  <si>
    <t>TOMADA - FAME</t>
  </si>
  <si>
    <t>INTERRUPTOR - FAME</t>
  </si>
  <si>
    <t>FITA ISOLANTE</t>
  </si>
  <si>
    <t>CONDUITE 30 METROS</t>
  </si>
  <si>
    <t>CRENTE</t>
  </si>
  <si>
    <t>CAIXA PRETA COM 4 (BANHEIRO)</t>
  </si>
  <si>
    <t>CAIXA PRETA COM 2</t>
  </si>
  <si>
    <t>SOQUETES LAMPADA</t>
  </si>
  <si>
    <t>TOMADA SEM INTERRUPTOR</t>
  </si>
  <si>
    <t>FIO DE 2,5 MM - 30 METROS</t>
  </si>
  <si>
    <t>LAMPADA DE 25 WATTS</t>
  </si>
  <si>
    <t>DISJUNTOR DE 32A</t>
  </si>
  <si>
    <t>MEGA CENTER</t>
  </si>
  <si>
    <t>FIO DE 2,5 MM - 20 METROS</t>
  </si>
  <si>
    <t>FITA ISOLANTE PEQUENA</t>
  </si>
  <si>
    <t>ACABAMENTO (CHAPISCO/REBOCO/PISO/FORRO)</t>
  </si>
  <si>
    <t>AREIA COMUM (1 METRO)</t>
  </si>
  <si>
    <t>TIJOLO BAIANO</t>
  </si>
  <si>
    <t>50</t>
  </si>
  <si>
    <t>CIMENTO VOTORANTIM</t>
  </si>
  <si>
    <t>AREIA FINA (1 METRO E MEIO)</t>
  </si>
  <si>
    <t>1,5</t>
  </si>
  <si>
    <t>VEDACIT 3,6 LITROS (LATA)</t>
  </si>
  <si>
    <t>JANELA (3 FOLHAS)</t>
  </si>
  <si>
    <t>TELHANORTE</t>
  </si>
  <si>
    <t>DEFLASH</t>
  </si>
  <si>
    <t>VITRO BANHEIRO</t>
  </si>
  <si>
    <t>LAMINAS FORRO COM 4 METROS</t>
  </si>
  <si>
    <t>PERFIL (CANTONEIRA FORRO) 4 METROS</t>
  </si>
  <si>
    <t>CANTO FORRO</t>
  </si>
  <si>
    <t>SARRAFO MADEIRA 10 CM</t>
  </si>
  <si>
    <t>PACOTE PREGO NORMAL 18X27</t>
  </si>
  <si>
    <t>PACOTE PREGO AÇO 18X28</t>
  </si>
  <si>
    <t>PACOTE PREGO 10X10 1KG</t>
  </si>
  <si>
    <t>REVESTIMENTO CRISTOFOLETTI 56X56-METROS</t>
  </si>
  <si>
    <t>ARGAMASSA QUARTIZOLIT 20KG</t>
  </si>
  <si>
    <t>REJUNTE FLEXIVEL MARROM 1 KG</t>
  </si>
  <si>
    <t xml:space="preserve">SACOS ENTULHO </t>
  </si>
  <si>
    <t>CRUZETAS PISO PCT C/100</t>
  </si>
  <si>
    <t>ARGAMASSA ARGATEX 20 KG</t>
  </si>
  <si>
    <t>ARGAMASSA VOTOMASSA 20 KG</t>
  </si>
  <si>
    <t>REVESTIMENTO MAJOPAR 45X45 (BANHEIRO)</t>
  </si>
  <si>
    <t>REVESTIMENTO STAR GOLDEN 45X45 (BANHEIRO)</t>
  </si>
  <si>
    <t>REJUNTE FLEXIVEL BRANCO 1 KG</t>
  </si>
  <si>
    <t>REJUNTE FLEXIVEL PRETO 1 KG</t>
  </si>
  <si>
    <t>KIT BANHEIRO (PIA + GABINETE + ESPELHO)</t>
  </si>
  <si>
    <t>VASO SANITÁRIO ARIES BRANCO ETERNIT</t>
  </si>
  <si>
    <t>CAIXA P/VASO ETERNIT</t>
  </si>
  <si>
    <t>KIT P/VASO ANTCHEIRO</t>
  </si>
  <si>
    <t>ASSENTO P/VASO BRANCO</t>
  </si>
  <si>
    <t>TORNEIRA PIA BANHEIRO</t>
  </si>
  <si>
    <t>ENGATE PLASTICO 60 CM (MANGUEIRA)</t>
  </si>
  <si>
    <t>TAMPA CAIXINHA DE LUZ DE 2</t>
  </si>
  <si>
    <t>TAMPA CAIXINHA DE LUZ DE 1</t>
  </si>
  <si>
    <t>SIFÃO PVC PIA</t>
  </si>
  <si>
    <t>BUCHA</t>
  </si>
  <si>
    <t>SACO LIXO 100 LITROS</t>
  </si>
  <si>
    <t>COLA PVC</t>
  </si>
  <si>
    <t>COLA SILICONE</t>
  </si>
  <si>
    <t>APLICADOR SILICONE</t>
  </si>
  <si>
    <t>VALVULA PIA BANHEIRO</t>
  </si>
  <si>
    <t>PARAFUSO CX ACOPLADA VASO</t>
  </si>
  <si>
    <t>CHUVEIRO LORENZETTI BELLO BANHO</t>
  </si>
  <si>
    <t>TOMADA</t>
  </si>
  <si>
    <t>PORTA SANFONADA</t>
  </si>
  <si>
    <t>KIT PENDURADORES BANHEIRO</t>
  </si>
  <si>
    <t>ACABAMENTO (PINTURA)</t>
  </si>
  <si>
    <t>LATA TINTA BRANCA 18 LTS - IRAJA</t>
  </si>
  <si>
    <t>MASSA CORRIDA PVA BARRICA 25 KG - IRAJA</t>
  </si>
  <si>
    <t>TEXTURA BARRICA RISCADA 25 KG - IRAJA</t>
  </si>
  <si>
    <t>LIXA DE 100</t>
  </si>
  <si>
    <t>LATA TINTA VERMELHA 3,600 LT - CORAL</t>
  </si>
  <si>
    <t>CASA TINTAS</t>
  </si>
  <si>
    <t>TOTAL MÃO DE OBRA PINTURA (CELSO)</t>
  </si>
  <si>
    <t>TOTAL MATERIAL</t>
  </si>
  <si>
    <t>TOTAL GASTO</t>
  </si>
  <si>
    <t>TOTAL MÃO DE OBRA</t>
  </si>
  <si>
    <t>PREVISÃO DE GASTO RESTANTE</t>
  </si>
  <si>
    <t xml:space="preserve">TOTAL </t>
  </si>
  <si>
    <t>CAIXA DE ESGOTO</t>
  </si>
  <si>
    <t>CAIXA PARA ESGOTO 60X60</t>
  </si>
  <si>
    <t>1/2 METRO PEDRA</t>
  </si>
  <si>
    <t>TOTAL MÃO DE OBRA (MOACIR)</t>
  </si>
  <si>
    <t>Janeiro / 2015</t>
  </si>
  <si>
    <t>Material Reboco (2 cimentos+lampada+tijolos)</t>
  </si>
  <si>
    <t>Aptamil</t>
  </si>
  <si>
    <t>Multa 4 pontos</t>
  </si>
  <si>
    <t>Mão obra Moacir (reboco,piso,forro) 2/6</t>
  </si>
  <si>
    <t>Janela quarto (3 folhas)</t>
  </si>
  <si>
    <t xml:space="preserve">Salário Dezembro/14 </t>
  </si>
  <si>
    <t xml:space="preserve">Fatura Cartão Crédito Dezembro/14 </t>
  </si>
  <si>
    <t>Pagto. Conta Luz Dezembro/2014</t>
  </si>
  <si>
    <t>SKY (R$ 50,00)</t>
  </si>
  <si>
    <t>Vitro banheiro do quarto</t>
  </si>
  <si>
    <t>Cimentos quarto (2)</t>
  </si>
  <si>
    <t>Produtos lava roupas Bella</t>
  </si>
  <si>
    <t>Cimentos quarto (3)</t>
  </si>
  <si>
    <t>5 Jogos Xbox</t>
  </si>
  <si>
    <t>Mão obra Moacir (reboco,piso,forro) 3/6</t>
  </si>
  <si>
    <t>Lampada Banheiro Quarto</t>
  </si>
  <si>
    <t>Registros (2) + adaptadores chuveiro quarto</t>
  </si>
  <si>
    <t>Viagem MG</t>
  </si>
  <si>
    <t>Material (Forro+cantoneiras+madeiras+pregos)</t>
  </si>
  <si>
    <t>2 Jogos Xbox</t>
  </si>
  <si>
    <t>IPTU casa 2015</t>
  </si>
  <si>
    <t>Lampada de Embutir LED</t>
  </si>
  <si>
    <t>Porta Aluminio Quarto</t>
  </si>
  <si>
    <t>Material (2 disjuntores 32A+cotovelos+TE)</t>
  </si>
  <si>
    <t>Costureira arrumar camisas e calça</t>
  </si>
  <si>
    <t>Pizza + Refri</t>
  </si>
  <si>
    <t>Mão obra Moacir (reboco,piso,forro) 4/6</t>
  </si>
  <si>
    <t>Adiantamento Janeiro/15</t>
  </si>
  <si>
    <t>Parcelamento USJT 12/14 (R$ 225,00)</t>
  </si>
  <si>
    <t>Mamadeira Bella</t>
  </si>
  <si>
    <t>Piso Quarto + Argamassa + Rejunte</t>
  </si>
  <si>
    <t>Saco entulho + Cruzetas Piso</t>
  </si>
  <si>
    <t>Óleo carro</t>
  </si>
  <si>
    <t>Pilha Duracell</t>
  </si>
  <si>
    <t>Argamassa piso (6)</t>
  </si>
  <si>
    <t>Remédios nenem (nenem dente;escovinha dente;sulfato ferroso;adtil)</t>
  </si>
  <si>
    <t>Gas</t>
  </si>
  <si>
    <t>Material (1 Tinta+Massa corrida+textura+lixa)</t>
  </si>
  <si>
    <t>Material (1 Tinta vermelha 3,600lts coral)</t>
  </si>
  <si>
    <t>Material (fio de 2,5 - 20 metros+fita isolante)</t>
  </si>
  <si>
    <t>Roupas/Calçados/Acessórios/Jogos</t>
  </si>
  <si>
    <t>Ferramentas/Móveis/Acessórios</t>
  </si>
  <si>
    <t>Fevereiro / 2015</t>
  </si>
  <si>
    <t>Mão obra Moacir (reboco,piso,forro) 5/6</t>
  </si>
  <si>
    <t>Frutas Bella</t>
  </si>
  <si>
    <t>Aptamil Bella</t>
  </si>
  <si>
    <t>Ferro Passar Roupa</t>
  </si>
  <si>
    <t>Mão de Obra Celso Pintor</t>
  </si>
  <si>
    <t>Piso Banheiro</t>
  </si>
  <si>
    <t>Salário Janeiro/15</t>
  </si>
  <si>
    <t>Fatura Cartão Crédito Janeiro/15</t>
  </si>
  <si>
    <t>Pagto. Conta Luz Janeiro/2015</t>
  </si>
  <si>
    <t>Escolinha Bella</t>
  </si>
  <si>
    <t>Argamassa</t>
  </si>
  <si>
    <t>2 Camisas Riachuelo</t>
  </si>
  <si>
    <t>Ajuda Raquel Gasolina</t>
  </si>
  <si>
    <t>Gasolina Ajuda Raquel</t>
  </si>
  <si>
    <t>Argamassa piso banheiro</t>
  </si>
  <si>
    <t>Kit pia + gabinete + espelho</t>
  </si>
  <si>
    <t>Material banheiro (torneira;engate;veda rosca;sifao)</t>
  </si>
  <si>
    <t>Material banheiro (cola;bucha;saco lixo;veda rosca)</t>
  </si>
  <si>
    <t>Material banheiro (silicone;aplicador silicone)</t>
  </si>
  <si>
    <t>Material banheiro (privada;caixa;assento;kit esgoto)</t>
  </si>
  <si>
    <t>Aptamil Bella (ajuda)</t>
  </si>
  <si>
    <t>Material banheiro (argamassa;valvula pia;parafusos caixa)</t>
  </si>
  <si>
    <t>Cama 1/3</t>
  </si>
  <si>
    <t>Adiantamento Fevereiro/15</t>
  </si>
  <si>
    <t>Parcelamento USJT 13/14 (R$ 225,00)</t>
  </si>
  <si>
    <t>Cama 2/3</t>
  </si>
  <si>
    <t>Mão obra Moacir (reboco,piso,forro) 6/7</t>
  </si>
  <si>
    <t>Rodo + panos de chão</t>
  </si>
  <si>
    <t>Chuveiro + porta sanfonada (parte cartão credito)</t>
  </si>
  <si>
    <t>Março / 2015</t>
  </si>
  <si>
    <t>Salário Fevereiro/15</t>
  </si>
  <si>
    <t xml:space="preserve">2ª Parcela abono </t>
  </si>
  <si>
    <t>Fatura Cartão Crédito Fevereiro/15</t>
  </si>
  <si>
    <t>Pagto. Conta Luz Fevereiro/2015</t>
  </si>
  <si>
    <t>Escolinha Bella (R$ 200,00) + Show peppa</t>
  </si>
  <si>
    <t>Kit penduradores banheiro</t>
  </si>
  <si>
    <t>Mão obra Moacir (reboco,piso,forro) 7/7</t>
  </si>
  <si>
    <t>Xarope + Vitamina C - Bella</t>
  </si>
  <si>
    <t>Colchão Casal Kingstar 1/5</t>
  </si>
  <si>
    <t>2 Óleos carro</t>
  </si>
  <si>
    <t>2 cestas de lixo</t>
  </si>
  <si>
    <t>Aptamil 2 Bella</t>
  </si>
  <si>
    <t>Roupas Bella</t>
  </si>
  <si>
    <t>Fralda Bella com 90 unid.</t>
  </si>
  <si>
    <t>Sabão liquido + amaciante Bella</t>
  </si>
  <si>
    <t>Condicionador + Sabonete liquido</t>
  </si>
  <si>
    <t>Adiantamento Março/15</t>
  </si>
  <si>
    <t>Parcelamento USJT 14/14 (R$ 225,00)</t>
  </si>
  <si>
    <t>Cama 3/3</t>
  </si>
  <si>
    <t>Aptamil + Papinha Bella</t>
  </si>
  <si>
    <t>Jogo cama (edredon+lençol elástico+2 fronhas Cereja)</t>
  </si>
  <si>
    <t>Sopa Bella</t>
  </si>
  <si>
    <t>Jantar Aniversário Raquel</t>
  </si>
  <si>
    <t>Abril / 2015</t>
  </si>
  <si>
    <t>Mucilon Bella</t>
  </si>
  <si>
    <t>Ovo páscoa Raquel (cacau show-dreams)</t>
  </si>
  <si>
    <t>Compras para casa - Carrefour</t>
  </si>
  <si>
    <t>Fraldas Bella</t>
  </si>
  <si>
    <t>Salário Março/15</t>
  </si>
  <si>
    <t>Contribuição Sindical 2015</t>
  </si>
  <si>
    <t>Fatura Cartão Crédito Março/15</t>
  </si>
  <si>
    <t>Pagto. Conta Luz Março/2015</t>
  </si>
  <si>
    <t>Guarda roupa 1/7</t>
  </si>
  <si>
    <t>Recarga Cel</t>
  </si>
  <si>
    <t>Kit Velas + Cabos + Palhetas + Filtro combustivel 1/3 - Cartão</t>
  </si>
  <si>
    <t>Mercado</t>
  </si>
  <si>
    <t>Adiantamento Abril/15</t>
  </si>
  <si>
    <t>Guarda roupa 2/4 - Raquel</t>
  </si>
  <si>
    <t>Escova limpar mamadeira</t>
  </si>
  <si>
    <t>Conserto Xbox360 (2º destravamento) R$ 180,00</t>
  </si>
  <si>
    <t>Creche Bella 1 dia (R$ 30,00)</t>
  </si>
  <si>
    <t>Carnes Sopa Bella</t>
  </si>
  <si>
    <t>Maio / 2015</t>
  </si>
  <si>
    <t>Vick Bella</t>
  </si>
  <si>
    <t>Remedio Bella (sulfato ferroso)</t>
  </si>
  <si>
    <t>Salário Abril/15</t>
  </si>
  <si>
    <t>Fatura Cartão Crédito Abril/15</t>
  </si>
  <si>
    <t>Pagto. Conta Luz Abril/2015</t>
  </si>
  <si>
    <t xml:space="preserve">Guarda roupa 3/4 - Raquel </t>
  </si>
  <si>
    <t>Presente mãe (óculos R$ 750,00/3) - 1/2</t>
  </si>
  <si>
    <t>Multimetro</t>
  </si>
  <si>
    <t>Crédito NF Paulista</t>
  </si>
  <si>
    <t>Papinha Bella (3)</t>
  </si>
  <si>
    <t>Sabão liquido roupas Bella</t>
  </si>
  <si>
    <t>Jogos Xbox (2)</t>
  </si>
  <si>
    <t>Ursinho da Peppa - Bella</t>
  </si>
  <si>
    <t>Pilhas duracell (2)</t>
  </si>
  <si>
    <t>Recarca cel</t>
  </si>
  <si>
    <t>Tarifa Doc - Transferência p/Bruna</t>
  </si>
  <si>
    <t xml:space="preserve">Pelicula celular </t>
  </si>
  <si>
    <t>Papinha Bella</t>
  </si>
  <si>
    <t>Adto. Pagto. Fatura Cartão Crédito Maio/15</t>
  </si>
  <si>
    <t>Adiantamento Maio/15</t>
  </si>
  <si>
    <t>Guarda roupa 4/4 - Raquel</t>
  </si>
  <si>
    <t>Danone Bella</t>
  </si>
  <si>
    <t>Saco plástico</t>
  </si>
  <si>
    <t>Carne;Linguiça;batata;Refri</t>
  </si>
  <si>
    <t>Hd externo 500 GB Toshiba</t>
  </si>
  <si>
    <t>Chocalho Bella</t>
  </si>
  <si>
    <t>Frete</t>
  </si>
  <si>
    <t>Antisséptico Bella</t>
  </si>
  <si>
    <t>Carne Bella</t>
  </si>
  <si>
    <t>Lampada Casa</t>
  </si>
  <si>
    <t>Junho / 2015</t>
  </si>
  <si>
    <t>Bombom Bruninha</t>
  </si>
  <si>
    <t>Presente Bibi</t>
  </si>
  <si>
    <t>Troca de Óleo carro (4 óleos + Filtro)</t>
  </si>
  <si>
    <t>Salário Maio/15</t>
  </si>
  <si>
    <t>Fatura Cartão Crédito Maio/15</t>
  </si>
  <si>
    <t>Pagto. Conta Luz Maio/2015</t>
  </si>
  <si>
    <t>Bebidas + porção com Raquel</t>
  </si>
  <si>
    <t xml:space="preserve">3 Cimentos </t>
  </si>
  <si>
    <t xml:space="preserve">2 Cimentos </t>
  </si>
  <si>
    <t>1 metro areia fina</t>
  </si>
  <si>
    <t>Rolo fio de 2,5 mm - 50 metros</t>
  </si>
  <si>
    <t>Módulo com 2 interruptores + tomada</t>
  </si>
  <si>
    <t>MacDonalds</t>
  </si>
  <si>
    <t>1 Disjuntor de 25 + 1 Lampada + 1 Bocal</t>
  </si>
  <si>
    <t>2 vassouras</t>
  </si>
  <si>
    <t>Mão de obra Moacir 1/3</t>
  </si>
  <si>
    <t>Verduras bella</t>
  </si>
  <si>
    <t>Carne bella</t>
  </si>
  <si>
    <t>Carregador controle XBOX360</t>
  </si>
  <si>
    <t>Adiantamento Junho/15</t>
  </si>
  <si>
    <t>Presente mãe (óculos R$ 750,00/3) - 2/2</t>
  </si>
  <si>
    <t>Vedacit reboco quarto</t>
  </si>
  <si>
    <t>2 Aptamil Bella</t>
  </si>
  <si>
    <t>3 Papinhas Bella</t>
  </si>
  <si>
    <t>3 Lenços umedecidos Bella</t>
  </si>
  <si>
    <t>Fralda Bella</t>
  </si>
  <si>
    <t>1 Cimento</t>
  </si>
  <si>
    <t>Mão de obra Moacir 2/3</t>
  </si>
  <si>
    <t>Protovit Bella</t>
  </si>
  <si>
    <t>Julho / 2015</t>
  </si>
  <si>
    <t>Carne Papinha Bella</t>
  </si>
  <si>
    <t>Salário Junho/15</t>
  </si>
  <si>
    <t>Fatura Cartão Crédito Junho/15</t>
  </si>
  <si>
    <t>Pagto. Conta Luz Junho/2015</t>
  </si>
  <si>
    <t>Sabão roupa Bella</t>
  </si>
  <si>
    <t>Camisa Azul Escuro</t>
  </si>
  <si>
    <t>Lanche (beirute) com Raquel</t>
  </si>
  <si>
    <t>Mão de obra Moacir 3/3</t>
  </si>
  <si>
    <t xml:space="preserve">Parte Erika Material </t>
  </si>
  <si>
    <t>Cerveja</t>
  </si>
  <si>
    <t>Danoninho Bella</t>
  </si>
  <si>
    <t>Bella (Hipoglos; Lenço c/100; Aptamil 3)</t>
  </si>
  <si>
    <t>Almoço (casa)</t>
  </si>
  <si>
    <t>Adiantamento Julho/15</t>
  </si>
  <si>
    <t>Adto. Pagto. Fatura Cartão Crédito Julho/15</t>
  </si>
  <si>
    <t>Condução Onibus p/Repume</t>
  </si>
  <si>
    <t>Condução Onibus p/Casa</t>
  </si>
  <si>
    <t>Eletrica Carro (Luz placa;luz painel;chave seta;fiação)</t>
  </si>
  <si>
    <t>Carne + frango Papinha Bella</t>
  </si>
  <si>
    <t>Aptamil 3</t>
  </si>
  <si>
    <t>Estacionamento Açai</t>
  </si>
  <si>
    <t>Legumes</t>
  </si>
  <si>
    <t>Costureira</t>
  </si>
  <si>
    <t>Lenço umedecido needs</t>
  </si>
  <si>
    <t>2 Aptamil 3</t>
  </si>
  <si>
    <t>Danoninho Bella (2)</t>
  </si>
  <si>
    <t>Creme dental + Sabonete + Desodorante</t>
  </si>
  <si>
    <t>Embalagem correio dev. Cortina</t>
  </si>
  <si>
    <t>Legumes Bella</t>
  </si>
  <si>
    <t>Agosto / 2015</t>
  </si>
  <si>
    <t>Carnes</t>
  </si>
  <si>
    <t>Presente aniversário Mãe</t>
  </si>
  <si>
    <t>Salário Julho/15</t>
  </si>
  <si>
    <t>Fatura Cartão Crédito Julho/15</t>
  </si>
  <si>
    <t>Pagto. Conta Luz Julho/2015</t>
  </si>
  <si>
    <t>Varão Cortina quarto</t>
  </si>
  <si>
    <t>Cortina banheiro + varão</t>
  </si>
  <si>
    <t>2 Lenço umedecido Bella</t>
  </si>
  <si>
    <t>Pomada Hipoglos Bella</t>
  </si>
  <si>
    <t>Presente aniversário Bruna</t>
  </si>
  <si>
    <t>Lençol + Fronhas cama</t>
  </si>
  <si>
    <t>Aptamil 3 - Bella</t>
  </si>
  <si>
    <t>3 lenços de 60 unid - Bella</t>
  </si>
  <si>
    <t>Adiantamento Agosto/15</t>
  </si>
  <si>
    <t>Creche Bella</t>
  </si>
  <si>
    <t>Cuecas (2)</t>
  </si>
  <si>
    <t>Cadeiras Plástico (4) - R$ 39,90 cartão crédito</t>
  </si>
  <si>
    <t>Carnes + Legumes Almoço</t>
  </si>
  <si>
    <t>Caixa Som CA 316 - 200 RMS - R$ 299,00 cartão crédito</t>
  </si>
  <si>
    <t>Cabo RCA caixa amplificada</t>
  </si>
  <si>
    <t>Bateria relógio</t>
  </si>
  <si>
    <t>Lenço + Pomada Hipoglos - Bella</t>
  </si>
  <si>
    <t>Resistência Chuveiro + Saco Lixo</t>
  </si>
  <si>
    <t>Setembro / 2015</t>
  </si>
  <si>
    <t>Danone - Bella</t>
  </si>
  <si>
    <t>Fraldas Bella - 2 pcts</t>
  </si>
  <si>
    <t>Salário Agosto/15</t>
  </si>
  <si>
    <t>Fatura Cartão Crédito Agosto/15</t>
  </si>
  <si>
    <t>Pagto. Conta Luz Agosto/2015</t>
  </si>
  <si>
    <t>Frutas + Vegetais Bella</t>
  </si>
  <si>
    <t>Remédio dente (camomilina) - Bella</t>
  </si>
  <si>
    <t>Revelação fotos - Bella (R$ 32,40 crédito)</t>
  </si>
  <si>
    <t xml:space="preserve">Fraldas Bella </t>
  </si>
  <si>
    <t>Lenço Umedecido Bella - 2 pcts</t>
  </si>
  <si>
    <t>Lum. Arandela Quarto + Lampada (R$ 30,00 crédito)</t>
  </si>
  <si>
    <t>Bermuda Vermelha - CEA</t>
  </si>
  <si>
    <t>Camisa Polo - Riachuelo</t>
  </si>
  <si>
    <t>Leite ninho Bella - 2 unids</t>
  </si>
  <si>
    <t>Aniver Bella (carne,Cerveja,refri) R$ 43,00 crédito</t>
  </si>
  <si>
    <t>Remédios Bella (pomada,xarope prelone,sorine)</t>
  </si>
  <si>
    <t>Parte decoração aniver Bella</t>
  </si>
  <si>
    <t xml:space="preserve">Aniver Bella (frango+refri) </t>
  </si>
  <si>
    <t>Carnes + Carvão Aniver Bella</t>
  </si>
  <si>
    <t>Maionese + Vinagrete Aniver Bella</t>
  </si>
  <si>
    <t>Cerveja + Refri Anivel Bella</t>
  </si>
  <si>
    <t>Adiantamento Setembro/15</t>
  </si>
  <si>
    <t>Perfume Malbec (R$ 87,00) 1/2</t>
  </si>
  <si>
    <t>Parte cerveja aniver Bella</t>
  </si>
  <si>
    <t>Carvão aniver Bella</t>
  </si>
  <si>
    <t>Pão de alho aniver Bella</t>
  </si>
  <si>
    <t>Gelo aniver Bella</t>
  </si>
  <si>
    <t>Parte Pizza</t>
  </si>
  <si>
    <t>Frango Bella</t>
  </si>
  <si>
    <t>Ducha carro</t>
  </si>
  <si>
    <t>Pretino Pneu</t>
  </si>
  <si>
    <t>Bebidas + coisas pra churrasco</t>
  </si>
  <si>
    <t>Peixe Bella</t>
  </si>
  <si>
    <t>Porta retrato + Tomada</t>
  </si>
  <si>
    <t>Porta retrato</t>
  </si>
  <si>
    <t>Outubro / 2015</t>
  </si>
  <si>
    <t>Lenço Bella (2)</t>
  </si>
  <si>
    <t>Camisa Vinho (R$ 40,00 crédito)</t>
  </si>
  <si>
    <t>Leite ninho (4) + Danones (3) Bella</t>
  </si>
  <si>
    <t>Conserto Pneu carro traseiro</t>
  </si>
  <si>
    <t>Mamadeira + Bico mamadeira - Bella</t>
  </si>
  <si>
    <t>Protovit - Bella</t>
  </si>
  <si>
    <t>Salário Setembro/15</t>
  </si>
  <si>
    <t>Fatura Cartão Crédito Setembro/15</t>
  </si>
  <si>
    <t>Pagto. Conta Luz Setembro/2015</t>
  </si>
  <si>
    <t>Perfume Malbec (R$ 87,00) 2/2</t>
  </si>
  <si>
    <t>Churrasqueira (R$ 90,00)</t>
  </si>
  <si>
    <t>Sabão + amaciante Bella</t>
  </si>
  <si>
    <t>Caixa bombom</t>
  </si>
  <si>
    <t>Carga Mach 3 (2)</t>
  </si>
  <si>
    <t>Cera cabelo</t>
  </si>
  <si>
    <t>Compra casa</t>
  </si>
  <si>
    <t>Adiantamento Outubro/15</t>
  </si>
  <si>
    <t>Pagto. Conta Agua ref. Setembro/15</t>
  </si>
  <si>
    <t>Leite ninho (5) 400 gr - Bella</t>
  </si>
  <si>
    <t>Prateleiras 2 unidades</t>
  </si>
  <si>
    <t>Lenço Bella</t>
  </si>
  <si>
    <t>Remédio UNCKAN Bella</t>
  </si>
  <si>
    <t>Óleo Carro (2)</t>
  </si>
  <si>
    <t>Almoço (2,50)</t>
  </si>
  <si>
    <t>Corte Cabelo</t>
  </si>
  <si>
    <t>Novembro / 2015</t>
  </si>
  <si>
    <t>Neston Bella</t>
  </si>
  <si>
    <t>Bucha</t>
  </si>
  <si>
    <t>Remédio micose</t>
  </si>
  <si>
    <t>Colcha (R$ 129,90 / R$ 100,00 cartão crédito)</t>
  </si>
  <si>
    <t>Salário Outubro/15</t>
  </si>
  <si>
    <t>Fatura Cartão Crédito Outubro/15</t>
  </si>
  <si>
    <t>Pagto. Conta Luz Outubro/2015</t>
  </si>
  <si>
    <t>Leite ninho 3 latas - Bella</t>
  </si>
  <si>
    <t>2 Prateleiras de vidro banheiro</t>
  </si>
  <si>
    <t>Suporte TV para painel madeira</t>
  </si>
  <si>
    <t>Sabão em pó Bella</t>
  </si>
  <si>
    <t>Pagto. Conta Agua ref. Outubro/15</t>
  </si>
  <si>
    <t>Jogo MEGASENA</t>
  </si>
  <si>
    <t>Sapato social (R$ 20,00 cartão crédito)</t>
  </si>
  <si>
    <t>Sabonete + Creme dental + Condicionador</t>
  </si>
  <si>
    <t>Adiantamento Novembro/15</t>
  </si>
  <si>
    <t>IPVA + DPVAT + Licenciamento carro 2015</t>
  </si>
  <si>
    <t>Lenços Bella (3)</t>
  </si>
  <si>
    <t>Neston + Frutas Bella</t>
  </si>
  <si>
    <t>Xarope Hidroxizina - Bella</t>
  </si>
  <si>
    <t>Leite ninho 2 latas - Bella</t>
  </si>
  <si>
    <t>Dezembro / 2015</t>
  </si>
  <si>
    <t>Xarope Koide D - Bella</t>
  </si>
  <si>
    <t>Salário Novembro/15</t>
  </si>
  <si>
    <t>Fatura Cartão Crédito Novembro/15</t>
  </si>
  <si>
    <t>Pagto. Conta Luz Novembro/2015</t>
  </si>
  <si>
    <t>Kit chaves pequenas</t>
  </si>
  <si>
    <t>Fatura Cartão Crédito Dezembro/15</t>
  </si>
  <si>
    <t>Pagto. Conta Agua ref. Novembro/15</t>
  </si>
  <si>
    <t>Amaciante Bella</t>
  </si>
  <si>
    <t>Recarga Celular</t>
  </si>
  <si>
    <t>Transferência V8 Motors - Astra 2005</t>
  </si>
  <si>
    <t xml:space="preserve">Lenço Bella </t>
  </si>
  <si>
    <t>Multa Astra  -Abater diferença á pagar</t>
  </si>
  <si>
    <t>Férias 2014/2015</t>
  </si>
  <si>
    <t>Astra-2005-v8motors</t>
  </si>
  <si>
    <t>Transferencia-Astra(R$384,00-crédito)</t>
  </si>
  <si>
    <t>Gasolina/alcool</t>
  </si>
  <si>
    <t>Bebida</t>
  </si>
  <si>
    <t>Reconhecimento-assinaturas(documentos-carros)</t>
  </si>
  <si>
    <t>Instalação-Rádio(Astra)</t>
  </si>
  <si>
    <t>Peixe-Bella</t>
  </si>
  <si>
    <t>Corte-Cabelo</t>
  </si>
  <si>
    <t>Gasolina(viagem-Ribeirão)</t>
  </si>
  <si>
    <t>Pomada Hipoglos - Bella</t>
  </si>
  <si>
    <t>Shampoo + Condicionador - Bella</t>
  </si>
  <si>
    <t>Gasolina / Alcool</t>
  </si>
  <si>
    <t>Rodo + Pano</t>
  </si>
  <si>
    <t>Carne Chrras</t>
  </si>
  <si>
    <t>Maiores Despesas 2015</t>
  </si>
  <si>
    <t>Proventos 2015</t>
  </si>
  <si>
    <t>Inss 11%</t>
  </si>
  <si>
    <t>Inss 11% - Férias</t>
  </si>
  <si>
    <t>Inss 11% - 13º Salário</t>
  </si>
  <si>
    <t>Janeiro / 2016</t>
  </si>
  <si>
    <t>Gasolina/Alcool</t>
  </si>
  <si>
    <t>Fraldas Bella - 2 Pcts</t>
  </si>
  <si>
    <t>Salário Dezembro/15</t>
  </si>
  <si>
    <t>Pagto. Conta Luz Dezembro/2015</t>
  </si>
  <si>
    <t>Leite Ninho (4) - Bella</t>
  </si>
  <si>
    <t>Neston + Sabão + Amaciante Bella</t>
  </si>
  <si>
    <t>Tenis Bella</t>
  </si>
  <si>
    <t>Adiantamento Janeiro/16</t>
  </si>
  <si>
    <t>Financiamento Astra 2005 - 1/18</t>
  </si>
  <si>
    <t xml:space="preserve">Pelicula Celular </t>
  </si>
  <si>
    <t>Nistatina + Oxido de Zinco - Bella</t>
  </si>
  <si>
    <t>Pagto. Conta Agua ref. Dezembro/15</t>
  </si>
  <si>
    <t>Conserto MOTOG 1</t>
  </si>
  <si>
    <t>Condução Mãe</t>
  </si>
  <si>
    <t>Financiamento Astra</t>
  </si>
  <si>
    <t>Fevereiro / 2016</t>
  </si>
  <si>
    <t>Copo Bella</t>
  </si>
  <si>
    <t>Sabão Bella</t>
  </si>
  <si>
    <t>Copo Bella 280 ML</t>
  </si>
  <si>
    <t>Pente+Carga gillete+creme dental</t>
  </si>
  <si>
    <t>Salário Janeiro/16</t>
  </si>
  <si>
    <t>Fatura Cartão Crédito Janeiro/16</t>
  </si>
  <si>
    <t>Pagto. Conta Luz Janeiro/16</t>
  </si>
  <si>
    <t>Recarga cel</t>
  </si>
  <si>
    <t>Bella</t>
  </si>
  <si>
    <t>Palhetas carro</t>
  </si>
  <si>
    <t>Leite ninho (4) Bella - R$ 35,00 crédito</t>
  </si>
  <si>
    <t>Adiantamento Fevereiro/16</t>
  </si>
  <si>
    <t>Financiamento Astra 2005 - 2/18</t>
  </si>
  <si>
    <t>Perua Creche Bella</t>
  </si>
  <si>
    <t>IPTU 2016</t>
  </si>
  <si>
    <t>Brinco Bella</t>
  </si>
  <si>
    <t>Remédios Bella (redoxon;Complexo B)</t>
  </si>
  <si>
    <t>Verduras</t>
  </si>
  <si>
    <t>Março / 2016</t>
  </si>
  <si>
    <t>Porta escova</t>
  </si>
  <si>
    <t>Salário Fevereiro/16</t>
  </si>
  <si>
    <t>Fatura Cartão Crédito Fevereiro/16</t>
  </si>
  <si>
    <t>Pagto. Conta Agua ref. Janeiro/16</t>
  </si>
  <si>
    <t>Fralda Bella (1)</t>
  </si>
  <si>
    <t>Conserto MOTO G1 (bateria nova)</t>
  </si>
  <si>
    <t>Conserto Torneiras (tanque/banheiro)</t>
  </si>
  <si>
    <t>Fralda Bella (2)</t>
  </si>
  <si>
    <t>Nescau Bella</t>
  </si>
  <si>
    <t>Adiantamento Março/16</t>
  </si>
  <si>
    <t>Financiamento Astra 2005 - 3/18</t>
  </si>
  <si>
    <t>Pagto. Conta Agua ref. Fevereiro/16</t>
  </si>
  <si>
    <t>Remédios Bella (prednisolona)</t>
  </si>
  <si>
    <t>Remédios Bella (Amoxilina+clavulanato 2 cxs)</t>
  </si>
  <si>
    <t xml:space="preserve">Peças carro (pastilhas;óleos;correia;filtros ar óleo) R$ 255,75 crédito </t>
  </si>
  <si>
    <t>Mãe ficar Bella</t>
  </si>
  <si>
    <t>Bateria Astra 60Ah (R$ 100,00 crédito 2x)</t>
  </si>
  <si>
    <t>Ovo Páscoa Bella</t>
  </si>
  <si>
    <t>Ovo Páscoa Mãe</t>
  </si>
  <si>
    <t>Piscina bolinha - Bella</t>
  </si>
  <si>
    <t>Sabão; Amaciante - Bella</t>
  </si>
  <si>
    <t>Fraldas Bella (1)</t>
  </si>
  <si>
    <t>Abril / 2016</t>
  </si>
  <si>
    <t>Mecânico troca peças (cabo e vela;filtro ar;óleo;filtro óleo;correia dentada e esticador)</t>
  </si>
  <si>
    <t>Camiseta regata</t>
  </si>
  <si>
    <t>Salário Março/16</t>
  </si>
  <si>
    <t>Fatura Cartão Crédito Março/16</t>
  </si>
  <si>
    <t>Pagto. Conta Luz Fevereiro/16</t>
  </si>
  <si>
    <t>Remédio Bella (complexo B)</t>
  </si>
  <si>
    <t>Remédio Bella (Acetilcisteina Xarope)</t>
  </si>
  <si>
    <t>Mãe (bella)</t>
  </si>
  <si>
    <t>Pomada Bella (2)</t>
  </si>
  <si>
    <t>Remédio Bella (Protovit)</t>
  </si>
  <si>
    <t>Carne churras</t>
  </si>
  <si>
    <t>Leite ninho Bella (1 - 400 gr)</t>
  </si>
  <si>
    <t>Adiantamento Abril/16</t>
  </si>
  <si>
    <t>Financiamento Astra 2005 - 4/18</t>
  </si>
  <si>
    <t>Pagto. Conta Agua ref. Março/16</t>
  </si>
  <si>
    <t>Leite ninho Bella (1 - 800 gr)</t>
  </si>
  <si>
    <t>Suco Bella</t>
  </si>
  <si>
    <t>Camisa Preta + Calça Jeans - (R$ 140,00 crédito 3X)</t>
  </si>
  <si>
    <t>Fraldas Bella (2)</t>
  </si>
  <si>
    <t>Prestobarba gillete (2)</t>
  </si>
  <si>
    <t>Cervejas (casa beth)</t>
  </si>
  <si>
    <t xml:space="preserve">Mãe </t>
  </si>
  <si>
    <t>Venda MOTO G1 (R$ 250,00) 1/2</t>
  </si>
  <si>
    <t>Sabão + Amaciante - Bella</t>
  </si>
  <si>
    <t>Chinelo Ryder</t>
  </si>
  <si>
    <t>Escova dente</t>
  </si>
  <si>
    <t>Maio / 2016</t>
  </si>
  <si>
    <t xml:space="preserve">Mão de Obra troca Bomba Dagua Astra </t>
  </si>
  <si>
    <t>Fatura Cartão Crédito Abril/16</t>
  </si>
  <si>
    <t>Troca radiador (R$ 440,00 crédito 2x)</t>
  </si>
  <si>
    <t>Leite Ninho Bella (2)</t>
  </si>
  <si>
    <t>Salário Abril/16</t>
  </si>
  <si>
    <t>Pagto. Conta Luz Março/16</t>
  </si>
  <si>
    <t>Presente dia das Mães (mãe)</t>
  </si>
  <si>
    <t>Leite Ninho Bella (4)</t>
  </si>
  <si>
    <t>Remédios Bella (Amoxilina,prednisolona,antialergico)</t>
  </si>
  <si>
    <t>Adiantamento Maio/16</t>
  </si>
  <si>
    <t>Financiamento Astra 2005 - 5/18</t>
  </si>
  <si>
    <t>Pagto. Conta Agua ref. Abril/16</t>
  </si>
  <si>
    <t>Creche Bella (mulher perto raquel)</t>
  </si>
  <si>
    <t>Nimesulida (dor de garganta)</t>
  </si>
  <si>
    <t>Naldecon</t>
  </si>
  <si>
    <t>Junho / 2016</t>
  </si>
  <si>
    <t>Polivitaminico LAVITAN</t>
  </si>
  <si>
    <t>Lenço (2) + Pomada - Bella</t>
  </si>
  <si>
    <t>Salário Maio/16</t>
  </si>
  <si>
    <t>Venda MOTO G1 (R$ 250,00) 2/2</t>
  </si>
  <si>
    <t>Fatura Cartão Crédito Maio/16</t>
  </si>
  <si>
    <t>Pagto. Conta Luz Abril/16</t>
  </si>
  <si>
    <t>Sapato social (R$ 80,00 crédito 2x)</t>
  </si>
  <si>
    <t>Lenço (2) - Bella</t>
  </si>
  <si>
    <t>Lampada quarto</t>
  </si>
  <si>
    <t>Sabão em pó + Amaciante - Bella</t>
  </si>
  <si>
    <t>Fraldas Bella (3)</t>
  </si>
  <si>
    <t>Remédio - Bella</t>
  </si>
  <si>
    <t>Alcool</t>
  </si>
  <si>
    <t>Lenço Bella (3)</t>
  </si>
  <si>
    <t>Adiantamento Junho/16</t>
  </si>
  <si>
    <t>Financiamento Astra 2005 - 6/18</t>
  </si>
  <si>
    <t>Pagto. Conta Agua ref. Maio/16</t>
  </si>
  <si>
    <t>Camisinha</t>
  </si>
  <si>
    <t>DIAD - Pol</t>
  </si>
  <si>
    <t>Lenço Bella (1)</t>
  </si>
  <si>
    <t>Remédios bella (amoxilina(2);loratadina;ibuprofeno;soro fisiologico)</t>
  </si>
  <si>
    <t>Perfume (Malte - Blend)</t>
  </si>
  <si>
    <t>Bingo festa junina Bella</t>
  </si>
  <si>
    <t>Julho / 2016</t>
  </si>
  <si>
    <t>Lenço Bella (4)</t>
  </si>
  <si>
    <t>Lanche festa junina</t>
  </si>
  <si>
    <t>Salário Junho/16</t>
  </si>
  <si>
    <t>Fatura Cartão Crédito Junho/16</t>
  </si>
  <si>
    <t>Pagto. Conta Luz Maio/16</t>
  </si>
  <si>
    <t>Leite Bella (2)</t>
  </si>
  <si>
    <t>Pomada Bella (4) - Carrefour (germed)</t>
  </si>
  <si>
    <t>Espaçador (bomba asma) Bella</t>
  </si>
  <si>
    <t>Nescau + Danoniho Bella</t>
  </si>
  <si>
    <t>Calça social preta + camiseta salmão (R$ 100 3x no crédito)</t>
  </si>
  <si>
    <t>Barra Calça social preta + Jeans</t>
  </si>
  <si>
    <t>Bateria controle carro</t>
  </si>
  <si>
    <t>Prestobarba c/ 2</t>
  </si>
  <si>
    <t>Adiantamento Julho/16</t>
  </si>
  <si>
    <t>Financiamento Astra 2005 - 7/18</t>
  </si>
  <si>
    <t>Pagto. Conta Luz Junho/16</t>
  </si>
  <si>
    <t>Camisinhas (2)</t>
  </si>
  <si>
    <t>Pizza + suco</t>
  </si>
  <si>
    <t>Lenço bella (4)</t>
  </si>
  <si>
    <t>Luftal Bella</t>
  </si>
  <si>
    <t>Remédio Bella (cefalexina - R$ 36,42 crédito)</t>
  </si>
  <si>
    <t>Agosto / 2016</t>
  </si>
  <si>
    <t>Conserto bóia combustivel (bóia;conectores-crédito R$ 200,00)</t>
  </si>
  <si>
    <t>Salário Julho/16</t>
  </si>
  <si>
    <t>Fatura Cartão Crédito Julho/16</t>
  </si>
  <si>
    <t>Pagto. Conta Agua ref. Junho/16</t>
  </si>
  <si>
    <t>Camisinhas</t>
  </si>
  <si>
    <t>Restituição IR 2015</t>
  </si>
  <si>
    <t>Piscina Bolinhas Bella</t>
  </si>
  <si>
    <t>Sorvete Bella</t>
  </si>
  <si>
    <t>Pinça calça social cinza</t>
  </si>
  <si>
    <t>Adiantamento Agosto/16</t>
  </si>
  <si>
    <t>Financiamento Astra 2005 - 8/18</t>
  </si>
  <si>
    <t>Pagto. Conta Luz Julho/16</t>
  </si>
  <si>
    <t>SKY (R$ 58,90)</t>
  </si>
  <si>
    <t>Pomada Bella (4)</t>
  </si>
  <si>
    <t>Pretinho Pneu Carro</t>
  </si>
  <si>
    <t>Setembro / 2016</t>
  </si>
  <si>
    <t>Crédito Simulação</t>
  </si>
  <si>
    <t>Salário Agosto/16</t>
  </si>
  <si>
    <t>Fatura Cartão Crédito Agosto/16</t>
  </si>
  <si>
    <t>Pagto. Conta Agua ref. Julho/16</t>
  </si>
  <si>
    <t>Saboneteira</t>
  </si>
  <si>
    <t>Creche Bella - Avulso 1 dia</t>
  </si>
  <si>
    <t>Gel Lubr.</t>
  </si>
  <si>
    <t>Fotos creche Bella</t>
  </si>
  <si>
    <t>Camiseta regata preta</t>
  </si>
  <si>
    <t>Chaveiro - perdi chave carro shopping</t>
  </si>
  <si>
    <t>Camiseta marrom</t>
  </si>
  <si>
    <t>Leite Ninho 400 grs (4) Bella</t>
  </si>
  <si>
    <t>Churrasco Bella</t>
  </si>
  <si>
    <t>Bolo Peppa Aniver 2 anos Bella</t>
  </si>
  <si>
    <t>Tênis presente Bella</t>
  </si>
  <si>
    <t>Crédito Vale Alimentação</t>
  </si>
  <si>
    <t>Adiantamento Setembro/16</t>
  </si>
  <si>
    <t>Financiamento Astra 2005 - 9/18</t>
  </si>
  <si>
    <t>Pagto. Conta Luz Agosto/16</t>
  </si>
  <si>
    <t>Creme rosto 1/2</t>
  </si>
  <si>
    <t>Pagto. Conta Agua ref. Agosto/16</t>
  </si>
  <si>
    <t>Carne Currasco</t>
  </si>
  <si>
    <t>Outubro / 2016</t>
  </si>
  <si>
    <t>Cimelid 100 MG - garganta</t>
  </si>
  <si>
    <t>Salário Setembro/16</t>
  </si>
  <si>
    <t>Fatura Cartão Crédito Setembro/16</t>
  </si>
  <si>
    <t>Creme rosto 2/2</t>
  </si>
  <si>
    <t>Prestobarba (Mach 3 turbo com 2)</t>
  </si>
  <si>
    <t>2 Cuecas (1 azul e 1 preta)</t>
  </si>
  <si>
    <t>Leite 800 grs Bella (2)</t>
  </si>
  <si>
    <t>Bermuda Jeans (R$ 60,00) R$ 30,00 crédito</t>
  </si>
  <si>
    <t>Bombom (4) + Sucos (2)</t>
  </si>
  <si>
    <t>Shampoo + Sabonete</t>
  </si>
  <si>
    <t>Óleo carro (1)</t>
  </si>
  <si>
    <t>Cerveja (1)</t>
  </si>
  <si>
    <t>Remédio Bella (Azitromicina)</t>
  </si>
  <si>
    <t>Adiantamento Outubro/16</t>
  </si>
  <si>
    <t>Financiamento Astra 2005 - 10/18</t>
  </si>
  <si>
    <t>Pagto. Conta Luz Setembro/16</t>
  </si>
  <si>
    <t>Camiseta Cinza CeA</t>
  </si>
  <si>
    <t>Leite 400 grs Bella (5)</t>
  </si>
  <si>
    <t>Carne + Amaciante Bella</t>
  </si>
  <si>
    <t>Presente Joise (vestido florido) R$ 159,90 - R$ 110,00 crédito 2x</t>
  </si>
  <si>
    <t>Cartão Aniver Joise</t>
  </si>
  <si>
    <t>Almoço Aniver Joise</t>
  </si>
  <si>
    <t>Novembro / 2016</t>
  </si>
  <si>
    <t>Cervejas (1)</t>
  </si>
  <si>
    <t>Remédio Bella (luftal)</t>
  </si>
  <si>
    <t>Pomada Bella (1)</t>
  </si>
  <si>
    <t>Salário Outubro/16</t>
  </si>
  <si>
    <t>Fatura Cartão Crédito Outubro/16</t>
  </si>
  <si>
    <t>Pagto. Conta Agua ref. Setembro/16</t>
  </si>
  <si>
    <t>Resistência chuveiro</t>
  </si>
  <si>
    <t>Multa Astra 4 pontos - Vel. Acima até 20%</t>
  </si>
  <si>
    <t>Conserto escapamento astra (silencioso+mão de obra) R$ 120,00 crédito</t>
  </si>
  <si>
    <t>Danone</t>
  </si>
  <si>
    <t>Lenço Umedecido Bella (4)</t>
  </si>
  <si>
    <t>Coisas para casa</t>
  </si>
  <si>
    <t>Adiantamento Novembro/16</t>
  </si>
  <si>
    <t>Financiamento Astra 2005 - 11/18</t>
  </si>
  <si>
    <t>Multa Astra 5 pontos - Deixar dar seta</t>
  </si>
  <si>
    <t>Pneu meia vida Astra (15-195-60)</t>
  </si>
  <si>
    <t>Futebol</t>
  </si>
  <si>
    <t>Estacionamento quadra</t>
  </si>
  <si>
    <t>Panela arroz Elétrica</t>
  </si>
  <si>
    <t>Pomada Bella (6)</t>
  </si>
  <si>
    <t>Astra vazando óleo (retentores;óleo etc) R$ 200,00 crédito 3x</t>
  </si>
  <si>
    <t>Sabão + amaciante + carne - Bella</t>
  </si>
  <si>
    <t>Dezembro / 2016</t>
  </si>
  <si>
    <t>Fatura Cartão Crédito Novembro/16</t>
  </si>
  <si>
    <t>Mão de obra(vazamento cambio,motor) R$ 230, 00 crédito 2x</t>
  </si>
  <si>
    <t>Salário Novembro/16</t>
  </si>
  <si>
    <t>Pagto. Conta Agua ref. Outubro/16</t>
  </si>
  <si>
    <t>Gas (R$ 60,00)</t>
  </si>
  <si>
    <t>Gasolina (Rumão - R$ 3,00 litro)</t>
  </si>
  <si>
    <t>Pré treino</t>
  </si>
  <si>
    <t>Remédio Bella (Flixotide 250 mg)</t>
  </si>
  <si>
    <t>Feijoada Aniver Vó</t>
  </si>
  <si>
    <t>Pagto. Conta Luz Outubro/16</t>
  </si>
  <si>
    <t>Vestido vermelho - Bella</t>
  </si>
  <si>
    <t>Bermuda bege CEA (R$ 20,00 crédito)</t>
  </si>
  <si>
    <t>Leite Bella 800 Grms (1)</t>
  </si>
  <si>
    <t>Estacionamento Shopp casa Beth</t>
  </si>
  <si>
    <t>Estacionamento Quadra</t>
  </si>
  <si>
    <t>Férias 2015/2016</t>
  </si>
  <si>
    <t>IPVA 2017 (parcela única)</t>
  </si>
  <si>
    <t>Financiamento Astra 2005 - 12/18</t>
  </si>
  <si>
    <t>Presente natal Joise (relógio champion) R$ 39,00 crédito</t>
  </si>
  <si>
    <t>Panetones (3) - (Mãe, Bruna, Josi)</t>
  </si>
  <si>
    <t>Fraldas Bela (2)</t>
  </si>
  <si>
    <t>Creche Bella (3 dias)</t>
  </si>
  <si>
    <t>Remédio Bella (Montelair 4mg)</t>
  </si>
  <si>
    <t>Carvão churras Natal</t>
  </si>
  <si>
    <t>Churrasco fim de ano</t>
  </si>
  <si>
    <t>Rede</t>
  </si>
  <si>
    <t>Maiores Despesas 2016</t>
  </si>
  <si>
    <t>Proventos 2016</t>
  </si>
  <si>
    <t>PF</t>
  </si>
  <si>
    <t>IR</t>
  </si>
  <si>
    <t>IR - Férias</t>
  </si>
  <si>
    <t>IR - 13º Salário</t>
  </si>
  <si>
    <t>Financ. Astra</t>
  </si>
  <si>
    <t>Janeiro / 2017</t>
  </si>
  <si>
    <t>Código</t>
  </si>
  <si>
    <t>A</t>
  </si>
  <si>
    <t>C</t>
  </si>
  <si>
    <t>GA</t>
  </si>
  <si>
    <t>Desodorante + creme dental</t>
  </si>
  <si>
    <t>OD</t>
  </si>
  <si>
    <t>Creche Bella (2 dias)</t>
  </si>
  <si>
    <t>F</t>
  </si>
  <si>
    <t>Corda Rede</t>
  </si>
  <si>
    <t>LD</t>
  </si>
  <si>
    <t>Salário Dezembro/16</t>
  </si>
  <si>
    <t>Creche Bella (curso de férias)</t>
  </si>
  <si>
    <t>AC</t>
  </si>
  <si>
    <t>Fatura Cartão Crédito Dezembro/16</t>
  </si>
  <si>
    <t>Pagto. Conta Agua ref. Novembro/16</t>
  </si>
  <si>
    <t>CAL</t>
  </si>
  <si>
    <t>Pagto. Conta Agua ref. Dezembro/16</t>
  </si>
  <si>
    <t>Pagto. Conta Luz Dezembro/16</t>
  </si>
  <si>
    <t>Carne janta</t>
  </si>
  <si>
    <t>Instalação Net (R$ 100,00 crédito 2x)</t>
  </si>
  <si>
    <t>I</t>
  </si>
  <si>
    <t>3 Camisas;Cinto;2 cuecas;1 gravata (R$ 179,34 crédito 3x)</t>
  </si>
  <si>
    <t>R</t>
  </si>
  <si>
    <t>débito/crédito</t>
  </si>
  <si>
    <t>Sapato marrom</t>
  </si>
  <si>
    <t>Leite Bella</t>
  </si>
  <si>
    <t>Lanches/doces</t>
  </si>
  <si>
    <t>Carne Almoço</t>
  </si>
  <si>
    <t>Gel+ creme dental+sabonete</t>
  </si>
  <si>
    <t>Adiantamento Janeiro/17</t>
  </si>
  <si>
    <t>Financiamento Astra 2005 - 13/18</t>
  </si>
  <si>
    <t>FA</t>
  </si>
  <si>
    <t>Recarga Prestobarba (2)</t>
  </si>
  <si>
    <t xml:space="preserve">Calça social grafite </t>
  </si>
  <si>
    <t>Bateria relógio pulso</t>
  </si>
  <si>
    <t>Barra calça+pinças bermudas (2)</t>
  </si>
  <si>
    <t>Taxa DETRAN renovação CNH</t>
  </si>
  <si>
    <t>COD</t>
  </si>
  <si>
    <t>DC</t>
  </si>
  <si>
    <t>B</t>
  </si>
  <si>
    <t>COM</t>
  </si>
  <si>
    <t>FER</t>
  </si>
  <si>
    <t>Internet/TV</t>
  </si>
  <si>
    <t>Outras Despesas</t>
  </si>
  <si>
    <t>Fevereiro / 2017</t>
  </si>
  <si>
    <t>Creche Bella (1 dia)</t>
  </si>
  <si>
    <t>Salário Janeiro/17</t>
  </si>
  <si>
    <t>Fatura Cartão Crédito Janeiro/17</t>
  </si>
  <si>
    <t>Mensalidade Internet (1 mb - R$ 50,00)</t>
  </si>
  <si>
    <t>Fralda chá de bebe Bruna</t>
  </si>
  <si>
    <t>Exame renovação CNH</t>
  </si>
  <si>
    <t>Camiseta branca</t>
  </si>
  <si>
    <t>Camiseta regata cinza</t>
  </si>
  <si>
    <t>Presente chá bebe Kauan (em dinheiro)</t>
  </si>
  <si>
    <t>Leite Milnutri Isabella (2)</t>
  </si>
  <si>
    <t>Sabonete; creme dental; pano chão</t>
  </si>
  <si>
    <t>Limpeza dentista</t>
  </si>
  <si>
    <t>Adiantamento Fevereiro/17</t>
  </si>
  <si>
    <t>Financiamento Astra 2005 - 14/18</t>
  </si>
  <si>
    <t>Sunga preta</t>
  </si>
  <si>
    <t>Leite Milnutri Isabella (1)</t>
  </si>
  <si>
    <t>Ingresso Viva parque</t>
  </si>
  <si>
    <t>Biscoitos</t>
  </si>
  <si>
    <t>Março / 2017</t>
  </si>
  <si>
    <t>Lenço Bella (5)</t>
  </si>
  <si>
    <t>Salário Fevereiro/17</t>
  </si>
  <si>
    <t>Fatura Cartão Crédito Fevereiro/17</t>
  </si>
  <si>
    <t>Pagto. Conta Agua ref. Janeiro/17</t>
  </si>
  <si>
    <t>Pagto. Conta Luz Janeiro/17</t>
  </si>
  <si>
    <t>Pagto. Conta Luz Fevereiro/17</t>
  </si>
  <si>
    <t>Remédio Bella (flixotide 250 mg)</t>
  </si>
  <si>
    <t>Lampada quarto 25 watts</t>
  </si>
  <si>
    <t>Tinta branca;pincel;rolo;lixas ( 49,00 crédito)</t>
  </si>
  <si>
    <t>Bóia Bella (Viva parque)</t>
  </si>
  <si>
    <t>Almoço + refri + suco +cerveja (viva parque)</t>
  </si>
  <si>
    <t>Milkshake (Viva parque)</t>
  </si>
  <si>
    <t>Estacionamento (Viva parque)</t>
  </si>
  <si>
    <t>Balde</t>
  </si>
  <si>
    <t>Adiantamento Março/17</t>
  </si>
  <si>
    <t>Financiamento Astra 2005 - 15/18</t>
  </si>
  <si>
    <t>Transporte escolar - Bella</t>
  </si>
  <si>
    <t>Liquidação Fin. Astra (parcelas 16/17/18)</t>
  </si>
  <si>
    <t>Leite Milnutri Bella (3)</t>
  </si>
  <si>
    <t>Prestobarba carga (3)</t>
  </si>
  <si>
    <t>Silicone + cheiro carro</t>
  </si>
  <si>
    <t>Roupas/Calçados/Acessórios/INTERNET</t>
  </si>
  <si>
    <t>Abril / 2017</t>
  </si>
  <si>
    <t>Salário Março/17</t>
  </si>
  <si>
    <t>Fatura Cartão Crédito Março/17</t>
  </si>
  <si>
    <t>Pagto. Conta Agua ref. Fevereiro/17</t>
  </si>
  <si>
    <t>Rede proteção casa Raquel 1/2 - Bella</t>
  </si>
  <si>
    <t>Pagto. Conta Luz Março/17 - isento</t>
  </si>
  <si>
    <t>Cueca branca com listras</t>
  </si>
  <si>
    <t>2 Ovos pascoa cacau show (mãe e sogra)</t>
  </si>
  <si>
    <t>Leite Milnutri Bella (2)</t>
  </si>
  <si>
    <t>Ovo páscoa Bella barbie</t>
  </si>
  <si>
    <t>Creme dental Bella (2)</t>
  </si>
  <si>
    <t>Almoço com Joise</t>
  </si>
  <si>
    <t>Adiantamento Abril/17</t>
  </si>
  <si>
    <t>Rede proteção casa Raquel 2/2 - Bella</t>
  </si>
  <si>
    <t>Lanche/doces</t>
  </si>
  <si>
    <t>Moto G5 á vista</t>
  </si>
  <si>
    <t>Coluna fosca Porta ASTRA</t>
  </si>
  <si>
    <t>Compra mercado</t>
  </si>
  <si>
    <t>Cinema com Joise - Velozes 8</t>
  </si>
  <si>
    <t>Fralda + lenço cha bebe Junior</t>
  </si>
  <si>
    <t>Maio / 2017</t>
  </si>
  <si>
    <t>Creche Bella - 1 dia</t>
  </si>
  <si>
    <t>Salário Abril/17</t>
  </si>
  <si>
    <t>Fatura Cartão Crédito Abril/17</t>
  </si>
  <si>
    <t>Pagto. Conta Agua ref.Março/17</t>
  </si>
  <si>
    <t>Venda MOTO G3 - Manuel 1/2 (R$ 400,00)</t>
  </si>
  <si>
    <t>Sensor rotação ASTRA (R$ 142,00 crédito)</t>
  </si>
  <si>
    <t>Baba Bella</t>
  </si>
  <si>
    <t>Camisa branca (R$ 50,00 crédito)</t>
  </si>
  <si>
    <t>Lanche/Doces</t>
  </si>
  <si>
    <t>Rosas Dias das Mães (7)</t>
  </si>
  <si>
    <t>Óleo astra (5 litros)</t>
  </si>
  <si>
    <t>Filtro óleo astra</t>
  </si>
  <si>
    <t>Troca óleo astra (mão obra)</t>
  </si>
  <si>
    <t>Adiantamento Maio/17</t>
  </si>
  <si>
    <t>Multa astra - avançar sinal vermelho</t>
  </si>
  <si>
    <t>Gel cabelo (2)</t>
  </si>
  <si>
    <t>SKY (R$ 60,46)</t>
  </si>
  <si>
    <t>Cueca preta</t>
  </si>
  <si>
    <t>Tenis Polo (R$ 100,00 crédito 2x)</t>
  </si>
  <si>
    <t>Polimento lanterna astra (lixas,massa,estopa)</t>
  </si>
  <si>
    <t>Junho / 2017</t>
  </si>
  <si>
    <t>Lanches e doces</t>
  </si>
  <si>
    <t>Bebibas</t>
  </si>
  <si>
    <t>Almoço com Bella</t>
  </si>
  <si>
    <t>Salário Maio/17</t>
  </si>
  <si>
    <t>Fatura Cartão Crédito Maio/17</t>
  </si>
  <si>
    <t>Pagto. Conta Agua Abril/17</t>
  </si>
  <si>
    <t xml:space="preserve">Pagto. Conta Luz Abril/17 </t>
  </si>
  <si>
    <t>Venda MOTO G3 - Manuel 2/2 (R$ 400,00)</t>
  </si>
  <si>
    <t>Consulta Pneumo Bella - 1/2</t>
  </si>
  <si>
    <t>Material (lampada,2 telhas,1 cimento)</t>
  </si>
  <si>
    <t>Alianças + caixinha (R$ 100,00 crédito 2x)</t>
  </si>
  <si>
    <t>Cartão dia dos namorados</t>
  </si>
  <si>
    <t>Cópias chaves (2)</t>
  </si>
  <si>
    <t>Camiseta Branca TNG</t>
  </si>
  <si>
    <t>Sorvete + doce</t>
  </si>
  <si>
    <t>Jantar OUTBACK</t>
  </si>
  <si>
    <t xml:space="preserve">Estacionamento </t>
  </si>
  <si>
    <t>Adiantamento Junho/17</t>
  </si>
  <si>
    <t>Consulta Pneumo Bella - 2/2</t>
  </si>
  <si>
    <t>Regata Preta</t>
  </si>
  <si>
    <t>Despesas casa</t>
  </si>
  <si>
    <t>Prestobarba + Aromatizantes carro e quarto</t>
  </si>
  <si>
    <t>2 Pneus + Balanceamento - Minuano</t>
  </si>
  <si>
    <t>Camisa quadriculada</t>
  </si>
  <si>
    <t>Julho / 2017</t>
  </si>
  <si>
    <t>Tesouro Direto</t>
  </si>
  <si>
    <t>Doces/Bingo festa Junina Bella</t>
  </si>
  <si>
    <t>Plafon Lampada Quarto</t>
  </si>
  <si>
    <t>Fio 6mm 100 metros (mãe comprou)</t>
  </si>
  <si>
    <t>Disjuntor 35A + Saco lixo (mãe comprou)</t>
  </si>
  <si>
    <t>Salário Junho/17</t>
  </si>
  <si>
    <t>Fatura Cartão Crédito Junho/17</t>
  </si>
  <si>
    <t>Pagto. Conta Agua Maio/17</t>
  </si>
  <si>
    <t xml:space="preserve">Pagto. Conta Luz Maio/17 </t>
  </si>
  <si>
    <t>BCAA Max performa - 120 capsulas</t>
  </si>
  <si>
    <t>Joise pagou calça</t>
  </si>
  <si>
    <t>Leiteira + pano</t>
  </si>
  <si>
    <t>Perfume Uomini Black (R$ 61,00 crédito 2x)</t>
  </si>
  <si>
    <t>Tablet Presente aniver Bella  (R$ 209,00 crédito 3x)</t>
  </si>
  <si>
    <t>Leite MILNUTRI Bella (2)</t>
  </si>
  <si>
    <t>Flores 1 ano namoro (R$ 40,00 crédito)</t>
  </si>
  <si>
    <t>Tomada+passa fio+fita isolante</t>
  </si>
  <si>
    <t>Conjunto Kauan</t>
  </si>
  <si>
    <t>Lampada 25W</t>
  </si>
  <si>
    <t>Coisas para casa Isabella</t>
  </si>
  <si>
    <t>Mão de Obra (Telha + Parte elétrica quarto)</t>
  </si>
  <si>
    <t>PPD 2017 (IPVA de 2016 atrasado R$ 1.972,70) desconto</t>
  </si>
  <si>
    <t>Adiantamento Julho/17</t>
  </si>
  <si>
    <t>Pagto. Conta Agua Junho/17</t>
  </si>
  <si>
    <t>Transferência Easyinvest (tesouro direto)</t>
  </si>
  <si>
    <t>DPVAT 2017</t>
  </si>
  <si>
    <t>Licenciamento + Envio correio</t>
  </si>
  <si>
    <t>Lanches e Doces</t>
  </si>
  <si>
    <t>Balão Bella</t>
  </si>
  <si>
    <t>Juros Tesouro</t>
  </si>
  <si>
    <t>Agosto / 2017</t>
  </si>
  <si>
    <t>Salário Julho/17</t>
  </si>
  <si>
    <t>Fatura Cartão Crédito Julho/17</t>
  </si>
  <si>
    <t>Multa 4 pontos CNH</t>
  </si>
  <si>
    <t>Ibuprofeno - Dor nas costas</t>
  </si>
  <si>
    <t>Creatina UNIVERSAL 200G</t>
  </si>
  <si>
    <t>Prestobarba SENSITIVE (4)</t>
  </si>
  <si>
    <t>Brinco presente (Mãe, Bruna, Josi) R$ 60,00 crédito 2x</t>
  </si>
  <si>
    <t>Almoço com Bella (dia doa pais)</t>
  </si>
  <si>
    <t>Sorvete com Bella</t>
  </si>
  <si>
    <t>Restituição IR 2017</t>
  </si>
  <si>
    <t>Adiantamento Agosto/17</t>
  </si>
  <si>
    <t>Pagto. Conta Agua Julho/17</t>
  </si>
  <si>
    <t xml:space="preserve">Pagto. Conta Luz Junho/17 </t>
  </si>
  <si>
    <t>Lampada Quarto</t>
  </si>
  <si>
    <t>Calça social preta; Cueca vermelha (R$ 89,80 crédito 2x)</t>
  </si>
  <si>
    <t>SKY (R$ 60,90)</t>
  </si>
  <si>
    <t>Assento privada</t>
  </si>
  <si>
    <t>Resgate Tesouro</t>
  </si>
  <si>
    <t>Roupas/Calçados/Acessórios/Corte cabelo</t>
  </si>
  <si>
    <t>Setembro / 2017</t>
  </si>
  <si>
    <t>Frango Assado</t>
  </si>
  <si>
    <t>Milnutri Bella (2)</t>
  </si>
  <si>
    <t>Salário Agosto/17</t>
  </si>
  <si>
    <t>Fatura Cartão Crédito Agosto/17</t>
  </si>
  <si>
    <t xml:space="preserve">Pagto. Conta Luz Agosto/17 </t>
  </si>
  <si>
    <t>Pedágios Diadema</t>
  </si>
  <si>
    <t>Carne Churrasco + carvão</t>
  </si>
  <si>
    <t>Bem Brasil com Namorada (R$ 42,29 crédito)</t>
  </si>
  <si>
    <t>Hot Dogs</t>
  </si>
  <si>
    <t>Remédios Bella Infecção Boca (entregue raquel)</t>
  </si>
  <si>
    <t>Fotos Bella Creche</t>
  </si>
  <si>
    <t>Adiantamento Setembro/17</t>
  </si>
  <si>
    <t>Pagto. Conta Agua Agosto/17</t>
  </si>
  <si>
    <t>TED transferência para Tesouro</t>
  </si>
  <si>
    <t>Sandália + Vestido Bella (R$ 70,00 crédito 2x)</t>
  </si>
  <si>
    <t>Camiseta cinza (R$ 30,00 crédito)</t>
  </si>
  <si>
    <t>Chapeu, pratos,garfos bolo Bella</t>
  </si>
  <si>
    <t>Cerveja + Refri</t>
  </si>
  <si>
    <t>Bolo Miss Moon Bella aniver 3 anos</t>
  </si>
  <si>
    <t>Doces aniver Bella</t>
  </si>
  <si>
    <t>Presente Kauan (conjunto calor)</t>
  </si>
  <si>
    <t>Onibus retorno oficina</t>
  </si>
  <si>
    <t>Netflix</t>
  </si>
  <si>
    <t>Onibus Levar Bella</t>
  </si>
  <si>
    <t>Outubro / 2017</t>
  </si>
  <si>
    <t>Uber</t>
  </si>
  <si>
    <t>Salário Setembro/17</t>
  </si>
  <si>
    <t>Fatura Cartão Crédito Setembro/17</t>
  </si>
  <si>
    <t xml:space="preserve">Pagto. Conta Luz Setembro/17 </t>
  </si>
  <si>
    <t>UBER buscar carro</t>
  </si>
  <si>
    <t>UBER cobrança indevida - crédito</t>
  </si>
  <si>
    <t>Pelicula celular + cabo audio caixa/TV</t>
  </si>
  <si>
    <t>Resistência Chuveiro</t>
  </si>
  <si>
    <t>Pousada Recanto do Paqueta - Ilhabela</t>
  </si>
  <si>
    <t>3 regatas hering (1 verde, 1 branca,1 preta) R$ 20,00 crédito</t>
  </si>
  <si>
    <t>Almoço com namorada - Ilhabela</t>
  </si>
  <si>
    <t>Agua; Biscoito; Bolo, suco</t>
  </si>
  <si>
    <t>Suporte celular carro</t>
  </si>
  <si>
    <t>Travessia balsa ida - Ilhabela</t>
  </si>
  <si>
    <t>Pizza em Ilhabela</t>
  </si>
  <si>
    <t>Óculos em Ilhabela</t>
  </si>
  <si>
    <t>Travessia balsa volta - Ilhabela</t>
  </si>
  <si>
    <t>Caixas bombom aniver (3)</t>
  </si>
  <si>
    <t>Gasolina Rumão - 20 litros</t>
  </si>
  <si>
    <t>Adiantamento Outubro/17</t>
  </si>
  <si>
    <t>Pagto. Conta Agua Setembro/17</t>
  </si>
  <si>
    <t>2 Bermudas + 1 Camisa Vinho (R$ 109,70 crédito 2x)</t>
  </si>
  <si>
    <t>Tarifa TED tesouro</t>
  </si>
  <si>
    <t>Lampada seta carro</t>
  </si>
  <si>
    <t>Pousada ano novo 4 diárias Ilhabela (R$ 1.083,00 3x crédito)</t>
  </si>
  <si>
    <t>Óleo carro (4 litros Lubrax)</t>
  </si>
  <si>
    <t>Peças carro (jogo velas;cabo velas;filtro ar)</t>
  </si>
  <si>
    <t>débito/dinheiro</t>
  </si>
  <si>
    <t>Arrumar Camisa + Gravata</t>
  </si>
  <si>
    <t>Novembro / 2017</t>
  </si>
  <si>
    <t>Mão de Obra (velas;cabo velas;filtro ar;óleo)</t>
  </si>
  <si>
    <t>Açai com namorada</t>
  </si>
  <si>
    <t>Ovos (bandeja com 30)</t>
  </si>
  <si>
    <t>Pano chão + Saco lixo</t>
  </si>
  <si>
    <t>Salário Outubro/17</t>
  </si>
  <si>
    <t>Fatura Cartão Crédito Outubro/17</t>
  </si>
  <si>
    <t xml:space="preserve">Pagto. Conta Luz Outubro/17 </t>
  </si>
  <si>
    <t>Saco Lixo 200 litros (5)</t>
  </si>
  <si>
    <t>Consulta Pneumo - Bella</t>
  </si>
  <si>
    <t>Babá Bella</t>
  </si>
  <si>
    <t>Lanche Bella</t>
  </si>
  <si>
    <t>Saco Lixo 100 litros (5)</t>
  </si>
  <si>
    <t>Remédio Bella - Contra verme</t>
  </si>
  <si>
    <t>Adiantamento Novembro/17</t>
  </si>
  <si>
    <t>Pagto. Conta Agua Outubro/17</t>
  </si>
  <si>
    <t>Paçoca</t>
  </si>
  <si>
    <t>Relógio MAGNUM pulseira preta</t>
  </si>
  <si>
    <t>Media Player POSITRON sp2650 Link</t>
  </si>
  <si>
    <t>Salgados</t>
  </si>
  <si>
    <t>Conserto Seta Carro</t>
  </si>
  <si>
    <t>Instalação DVD carro</t>
  </si>
  <si>
    <t>Dezembro / 2017</t>
  </si>
  <si>
    <t>Soro fisiológico Bella</t>
  </si>
  <si>
    <t>Xarope Bella</t>
  </si>
  <si>
    <t>Havaianas Branca</t>
  </si>
  <si>
    <t>Sapato social preto</t>
  </si>
  <si>
    <t>Salário Novembro/17</t>
  </si>
  <si>
    <t>Fatura Cartão Crédito Novembro/17</t>
  </si>
  <si>
    <t xml:space="preserve">Pagto. Conta Luz Novembro/17 </t>
  </si>
  <si>
    <t>Crédito namorada cartão (Mala + Pousada)</t>
  </si>
  <si>
    <t>Bermuda Branca + Cueca cinza</t>
  </si>
  <si>
    <t>Sunga colorida</t>
  </si>
  <si>
    <t>Massinha Bella</t>
  </si>
  <si>
    <t>Balão Bella - Shopping</t>
  </si>
  <si>
    <t>Piscina Bella + Carro Kauan (presente Natal)</t>
  </si>
  <si>
    <t>Brinquedos Praça Natal - Bella</t>
  </si>
  <si>
    <t>Bella - Entregue para a mãe</t>
  </si>
  <si>
    <t>Sorvete Mac</t>
  </si>
  <si>
    <t>Pagto. Conta Agua Novembro/17</t>
  </si>
  <si>
    <t>Caixa som Lenoxx CA 3600 (900,00 - vendi a minha 400,00 = saiu por 500,00)</t>
  </si>
  <si>
    <t>Quadra futebol</t>
  </si>
  <si>
    <t>Férias 2016/2017</t>
  </si>
  <si>
    <t>Cerveja + carne churras Natal</t>
  </si>
  <si>
    <t>Parabrisa carro</t>
  </si>
  <si>
    <t>Condução ônibus ida/volta Shopping</t>
  </si>
  <si>
    <t>Camiseta regata cinza + bermuda laranja</t>
  </si>
  <si>
    <t>Bermuda branca listrada</t>
  </si>
  <si>
    <t>Coisas para Viajem</t>
  </si>
  <si>
    <t>Tarifa ted tesouro</t>
  </si>
  <si>
    <t>Balsa Ilhabela</t>
  </si>
  <si>
    <t>Carregador cel carro</t>
  </si>
  <si>
    <t>Almoço Namorada</t>
  </si>
  <si>
    <t>Açaí</t>
  </si>
  <si>
    <t>Lanche e bebidas ano novo praia</t>
  </si>
  <si>
    <t>Despesas 2017</t>
  </si>
  <si>
    <t>Proventos 2017</t>
  </si>
  <si>
    <t>Outras despesas</t>
  </si>
  <si>
    <t>Janeiro / 2018</t>
  </si>
  <si>
    <t>Tarifa Saque</t>
  </si>
  <si>
    <t>IPVA 2018 (parcelado) 1/3</t>
  </si>
  <si>
    <t>Salário Dezembro/17  (2 dias folha)</t>
  </si>
  <si>
    <t>Salário Dezembro/17 (19 dias pf)</t>
  </si>
  <si>
    <t>Fatura Cartão Crédito Dezembro/17 (valor fatura 770,39, despesas namorada)</t>
  </si>
  <si>
    <t>(R$ 311,00 namorada)</t>
  </si>
  <si>
    <t xml:space="preserve">Pagto. Conta Luz Dezembro/17 </t>
  </si>
  <si>
    <t>Conserto calça preta (barra, costura)</t>
  </si>
  <si>
    <t>Conserto Farol Milha lado direito (lampada + reator)</t>
  </si>
  <si>
    <t>Tampa Piscina</t>
  </si>
  <si>
    <t>Porta Sanfonada + Rolo, bandeja pintura</t>
  </si>
  <si>
    <t>Adiantamento Janeiro/18</t>
  </si>
  <si>
    <t>Pagto. Conta Agua Dezembro/17</t>
  </si>
  <si>
    <t>Saco lixo 100 litros</t>
  </si>
  <si>
    <t>Entrada Zoologico Sp</t>
  </si>
  <si>
    <t>Entrada Zoologico Sp - Sophia</t>
  </si>
  <si>
    <t>Estacionamento Zoológico</t>
  </si>
  <si>
    <t>Lampada 32 watts</t>
  </si>
  <si>
    <t>Óreo</t>
  </si>
  <si>
    <t>Ovos</t>
  </si>
  <si>
    <t>Camisa Azul (R$ 50,00 crédito)</t>
  </si>
  <si>
    <t>Sabão em pó</t>
  </si>
  <si>
    <t>Financiamento carro</t>
  </si>
  <si>
    <t>Fevereiro / 2018</t>
  </si>
  <si>
    <t>Lampada 25 Watts - Garagem</t>
  </si>
  <si>
    <t>Salário Janeiro/18</t>
  </si>
  <si>
    <t>Fatura Cartão Crédito Janeiro/18 - valor fatura 770,39, despesas namorada)</t>
  </si>
  <si>
    <t>(R$ 220,00 namorada)</t>
  </si>
  <si>
    <t>Pagto. Conta Luz Jan/18</t>
  </si>
  <si>
    <t>IPVA 2018 (parcelado) 2/3</t>
  </si>
  <si>
    <t>Moto G5(s) Prata - R$ 782,21 (Vendi meu moto g5 R$ 400,00)</t>
  </si>
  <si>
    <t>Pedágios Guarulhos - Ajudar Beth Mudança</t>
  </si>
  <si>
    <t>Café em pó</t>
  </si>
  <si>
    <t>Adiantamento Fevereiro/18</t>
  </si>
  <si>
    <t>Pagto. Conta Agua Jan/18</t>
  </si>
  <si>
    <t>Entregue Mãe Isabella</t>
  </si>
  <si>
    <t>Março / 2018</t>
  </si>
  <si>
    <t>Portão casa (R$ 900,00 entrada) total R$ 2.300,00</t>
  </si>
  <si>
    <t>Salário Fevereiro/18</t>
  </si>
  <si>
    <t>Fatura Cartão Crédito Fevereiro/18 -</t>
  </si>
  <si>
    <t>(R$ 67,71 namorada)</t>
  </si>
  <si>
    <t>Pagto. Conta Luz Fev/18</t>
  </si>
  <si>
    <t>IPVA 2018 (parcelado) 3/3</t>
  </si>
  <si>
    <t>Almoço Belas Artes</t>
  </si>
  <si>
    <t>Prestobarba Recarga (2)</t>
  </si>
  <si>
    <t>Embalagem + cartão presente namorada</t>
  </si>
  <si>
    <t>Lanche Pq. Villa Lobos</t>
  </si>
  <si>
    <t>Aluguel bike familia</t>
  </si>
  <si>
    <t>Estacionamento parque</t>
  </si>
  <si>
    <t>Adiantamento Março/18</t>
  </si>
  <si>
    <t>Pagto. Conta Agua Fev/18</t>
  </si>
  <si>
    <t>EMPRESTIMO NAMORADA</t>
  </si>
  <si>
    <t>Presente tia Beth</t>
  </si>
  <si>
    <t>Carvão churras tia</t>
  </si>
  <si>
    <t>Remédio Bella (BOCA)</t>
  </si>
  <si>
    <t>Cadeado portão basculante</t>
  </si>
  <si>
    <t>Sacos de Lixo 50 lts (14)</t>
  </si>
  <si>
    <t>Sacos de Lixo 100 lts (5)</t>
  </si>
  <si>
    <t>Ovos pascoa (4) (Mãe, Bella, Namorada, Sogra) R$ 50,00 crédito</t>
  </si>
  <si>
    <t>Abril / 2018</t>
  </si>
  <si>
    <t>Portão casa (R$ 900,00 entrada) 1/4</t>
  </si>
  <si>
    <t>Salário Março/18</t>
  </si>
  <si>
    <t xml:space="preserve">Fatura Cartão Crédito Março/18 </t>
  </si>
  <si>
    <t>(R$ 84,89 namorada)</t>
  </si>
  <si>
    <t>Pagto. Conta Luz Março/18</t>
  </si>
  <si>
    <t>Material (fachada portão) R$ 212,50 crédito 2x</t>
  </si>
  <si>
    <t>Escovas dentais</t>
  </si>
  <si>
    <t>IPTU 2018</t>
  </si>
  <si>
    <t>Bolão Megasena</t>
  </si>
  <si>
    <t>DPVAT Astra 2018</t>
  </si>
  <si>
    <t xml:space="preserve">Licenciamento 2018 + taxa correio Astra </t>
  </si>
  <si>
    <t>Remédio Bella (Celestamine)</t>
  </si>
  <si>
    <t>Cimento (1) + Tijolo Baianão (8)</t>
  </si>
  <si>
    <t>Sacos lixo</t>
  </si>
  <si>
    <t>Mão de Obra fachada Moacir 1/3</t>
  </si>
  <si>
    <t>Remédio Bella (Cefaclor)</t>
  </si>
  <si>
    <t>Numeros casa</t>
  </si>
  <si>
    <t>Mão de Obra fachada Moacir 2/3</t>
  </si>
  <si>
    <t>Adiantamento Abril/18</t>
  </si>
  <si>
    <t>Pagto. Conta Agua Março/18</t>
  </si>
  <si>
    <t>Entregue Mãe Isabella (conjunto frio)</t>
  </si>
  <si>
    <t>Carne + salada</t>
  </si>
  <si>
    <t>Sabao + Bombril</t>
  </si>
  <si>
    <t>Milnutri Bella 1 pequeno</t>
  </si>
  <si>
    <t>Mão de Obra fachada Moacir 3/3</t>
  </si>
  <si>
    <t>Camiseta vermelha</t>
  </si>
  <si>
    <t>Camisas (1 preta 1 azul, gravata) R$      crédito</t>
  </si>
  <si>
    <t>Desodonantes (2)</t>
  </si>
  <si>
    <t>Maio / 2018</t>
  </si>
  <si>
    <t>Portão casa (R$ 900,00 entrada) 2/4</t>
  </si>
  <si>
    <t>Condução Erika ir hospital</t>
  </si>
  <si>
    <t>Milnutri Bella (1)</t>
  </si>
  <si>
    <t>Caixa cerveja</t>
  </si>
  <si>
    <t>Salário Abril/18</t>
  </si>
  <si>
    <t>Fatura Cartão Crédito Abril/18 (R$ 352,00 - R$ 65 namorada)</t>
  </si>
  <si>
    <t>Pagto. Conta Luz Abril/18</t>
  </si>
  <si>
    <t>Presente Kauan (conjunto frio)</t>
  </si>
  <si>
    <t>Rosas dia das Mães (6)</t>
  </si>
  <si>
    <t>Óleo carro (5 litros) + Filtro óleo</t>
  </si>
  <si>
    <t>Adiantamento Maio/18</t>
  </si>
  <si>
    <t>Pagto. Conta Agua Abril/18</t>
  </si>
  <si>
    <t>ZMA</t>
  </si>
  <si>
    <t>Mão obra troca óleo carro</t>
  </si>
  <si>
    <t>Remédios Bella (hixizine,rinosoro,paracetamol)</t>
  </si>
  <si>
    <t>Pipoca</t>
  </si>
  <si>
    <t>Pastel</t>
  </si>
  <si>
    <t>Vendi Suporte Astra</t>
  </si>
  <si>
    <t>Junho / 2018</t>
  </si>
  <si>
    <t>Salário Maio/18</t>
  </si>
  <si>
    <t>Fatura Cartão Crédito Maio/18 (R$ 418,19 - R$ 65 namorada)</t>
  </si>
  <si>
    <t>Pagto. Conta Luz Maio/18</t>
  </si>
  <si>
    <t>Portão casa (R$ 900,00 entrada) 3/4</t>
  </si>
  <si>
    <t>Tapete pequeno preto</t>
  </si>
  <si>
    <t>Jaqueta marrom (R$ 80,00 crédito 2x)</t>
  </si>
  <si>
    <t>Cópias chaves portão casa (3)</t>
  </si>
  <si>
    <t>Palhetas parabrisa carro</t>
  </si>
  <si>
    <t>Lembrança dia namorados</t>
  </si>
  <si>
    <t xml:space="preserve">Sapatilha Bella </t>
  </si>
  <si>
    <t>Presente Samuel (conjunto frio) 1/2</t>
  </si>
  <si>
    <t>2 calças (moletom + jeans) R$ 100,00 crédito 3x</t>
  </si>
  <si>
    <t>Pedágios Santo André</t>
  </si>
  <si>
    <t>Jantar dia namorados (Si Señor)</t>
  </si>
  <si>
    <t>Adiantamento Junho/18</t>
  </si>
  <si>
    <t>Pagto. Conta Agua Maio/18</t>
  </si>
  <si>
    <t>Presente Samuel (conjunto frio) 2/2 R$ 31,90</t>
  </si>
  <si>
    <t>Conserto Tela Cel (moto G5s)</t>
  </si>
  <si>
    <t>Festa Junina</t>
  </si>
  <si>
    <t>SKY (R$ 65,90)</t>
  </si>
  <si>
    <t>TED transferência Tesouro</t>
  </si>
  <si>
    <t>Julho / 2018</t>
  </si>
  <si>
    <t>Portão casa (R$ 900,00 entrada) 4/4</t>
  </si>
  <si>
    <t xml:space="preserve">Venda MOTO G5s (manuel R$ 550) 1/2 </t>
  </si>
  <si>
    <t>Frango + batata doce</t>
  </si>
  <si>
    <t>Chinelo Bella (25/26)</t>
  </si>
  <si>
    <t>Salário Junho/18</t>
  </si>
  <si>
    <t xml:space="preserve">Fatura Cartão Crédito Junho/18 </t>
  </si>
  <si>
    <t>Pagto. Conta Luz Junho/18</t>
  </si>
  <si>
    <t>Almoço com namorada</t>
  </si>
  <si>
    <t>Mãe ficar cm Bella</t>
  </si>
  <si>
    <t>Pedágio ida/volta diadema</t>
  </si>
  <si>
    <t>Perfume (UOMINI BLACK SOULS)</t>
  </si>
  <si>
    <t>Perfume ANNI presente niver Mãe</t>
  </si>
  <si>
    <t>Restituição IR 2018</t>
  </si>
  <si>
    <t>Presente 2 anos namorados (corrente + brincos prata)</t>
  </si>
  <si>
    <t>Cartão</t>
  </si>
  <si>
    <t>Mural Fotos + Imãs</t>
  </si>
  <si>
    <t>Sorvete com namorada</t>
  </si>
  <si>
    <t xml:space="preserve">Entregue Mãe Isabella </t>
  </si>
  <si>
    <t>Adiantamento Julho/18</t>
  </si>
  <si>
    <t>Pagto. Conta Agua Junho/18</t>
  </si>
  <si>
    <t>Whey Protein</t>
  </si>
  <si>
    <t xml:space="preserve">Venda MOTO G5s (manuel R$ 600) 2/2 </t>
  </si>
  <si>
    <t>MOTO G6 1/2 (R$ 1.028,80-R$ 550,00 = R$ 478,80 meu custo)</t>
  </si>
  <si>
    <t>Bicicleta GTS aro 26 (R$ 800 crédito 6X)</t>
  </si>
  <si>
    <t>Sacos de lixo (3)</t>
  </si>
  <si>
    <t>Multa 5 pontos CNH</t>
  </si>
  <si>
    <t>Taxa alteração Internet (1 MB para 10 MB)</t>
  </si>
  <si>
    <t>Agosto/ 2018</t>
  </si>
  <si>
    <t>Salário Julho/18</t>
  </si>
  <si>
    <t xml:space="preserve">Fatura Cartão Crédito Julho/18 </t>
  </si>
  <si>
    <t>Mensalidade Internet (10MB - R$ 90,00)</t>
  </si>
  <si>
    <t>Pagto. Conta Luz Julho/18</t>
  </si>
  <si>
    <t>Entregue mãe Bella</t>
  </si>
  <si>
    <t>Calça social cinza (R$ 50,00 crédito)</t>
  </si>
  <si>
    <t>Balão Frozen Bella</t>
  </si>
  <si>
    <t>Parue shopping cm Bella</t>
  </si>
  <si>
    <t>Lanche MAC com Bella</t>
  </si>
  <si>
    <t>Remédios Bella (Montelair 4mg, Nasonex 50mcg) R$ 34,00 crédito</t>
  </si>
  <si>
    <t>pago via fatura</t>
  </si>
  <si>
    <t>Armário espelho banheiro (R$ 100,00 crédito 1x)</t>
  </si>
  <si>
    <t>Adiantamento Agosto/18</t>
  </si>
  <si>
    <t>Pagto. Conta Agua Julho/18</t>
  </si>
  <si>
    <t>Transporte escolar - Bella (mãe Bella pagou esse mês)</t>
  </si>
  <si>
    <t>Conserto Pneu frente lado esquerdo</t>
  </si>
  <si>
    <t>Exames Dr. Consulta Bella (raio X, hemograma, Vitamina D, Imuglobina (7 exames) R$ 68,00 crédito)</t>
  </si>
  <si>
    <t>Pulseira Relógio</t>
  </si>
  <si>
    <t>SKY (R$ 68,90)</t>
  </si>
  <si>
    <t>Tattoo + Pomada + Filme (Isabella) R$ 200,00 crédito 2x</t>
  </si>
  <si>
    <t>Sabonete SOAPEX</t>
  </si>
  <si>
    <t>Setembro/ 2018</t>
  </si>
  <si>
    <t>Pedágio</t>
  </si>
  <si>
    <t>Ziper calã social</t>
  </si>
  <si>
    <t>Salário Agosto/18</t>
  </si>
  <si>
    <t xml:space="preserve">Fatura Cartão Crédito Agosto/18 </t>
  </si>
  <si>
    <t>Pagto. Conta Luz Agosto/18</t>
  </si>
  <si>
    <t>Bebidas Pq Rizzo</t>
  </si>
  <si>
    <t>Lanche + brincadeiras Pq rizzo</t>
  </si>
  <si>
    <t>Conjunto Kauan (bermuda + camiseta)</t>
  </si>
  <si>
    <t>Coisas churras niver Bella</t>
  </si>
  <si>
    <t>Coisas niver Bella (doces, Maionese)</t>
  </si>
  <si>
    <t>Carnes, cerveja, carvão (niver Bella) R$ 55,00 crédito</t>
  </si>
  <si>
    <t>Coisas Vinagrete - Niver Bella</t>
  </si>
  <si>
    <t>Barbante</t>
  </si>
  <si>
    <t>Bolo Niver Bella - 4 aninhos</t>
  </si>
  <si>
    <t>Escova Cabelo, Tesoura, Cera</t>
  </si>
  <si>
    <t>Escova Cabelo (para escova)</t>
  </si>
  <si>
    <t>Adiantamento Setembro/18</t>
  </si>
  <si>
    <t>Pagto. Conta Agua Agosto/18</t>
  </si>
  <si>
    <t xml:space="preserve">Kit anilhas (50 kg anilhas 2 barras pequenas 1 grande R$ 422,40) R$ 316,80 crédito </t>
  </si>
  <si>
    <t>Escova lavagem carro</t>
  </si>
  <si>
    <t>SKY (R$ 68,92)</t>
  </si>
  <si>
    <t>Tarifa saque</t>
  </si>
  <si>
    <t>Coisas churras</t>
  </si>
  <si>
    <t>Estacionamento Vinttage</t>
  </si>
  <si>
    <t>Entrada Vinttage</t>
  </si>
  <si>
    <t>Baldes Cervejas (3)</t>
  </si>
  <si>
    <t>Macdonalds</t>
  </si>
  <si>
    <t>Bebidas/Churras/Balada</t>
  </si>
  <si>
    <t xml:space="preserve">  </t>
  </si>
  <si>
    <t>Outubro/ 2018</t>
  </si>
  <si>
    <t>Tortas</t>
  </si>
  <si>
    <t>Salário Setembro/18</t>
  </si>
  <si>
    <t xml:space="preserve">Fatura Cartão Crédito Setembro/18 </t>
  </si>
  <si>
    <t>Pagto. Conta Luz Setembro/18</t>
  </si>
  <si>
    <t>Pacote corte cabelo (mensal)</t>
  </si>
  <si>
    <t>Pomada cabelo (saloon line)</t>
  </si>
  <si>
    <t>Pq do Shopping cm Bella</t>
  </si>
  <si>
    <t>Presente Bella (carro cont remoto FROZEN), Kauan (MOTO) dia crianças R$ 50,00 crédito</t>
  </si>
  <si>
    <t>Bateria 9v carro Bella</t>
  </si>
  <si>
    <t xml:space="preserve">Remédio Bella (amoxilina) </t>
  </si>
  <si>
    <t>Adiantamento Outubro/18</t>
  </si>
  <si>
    <t>Pagto. Conta Agua Setembro/18</t>
  </si>
  <si>
    <t>Ice</t>
  </si>
  <si>
    <t>Motel Demy (Nova Demy Hidro) entrada 30/10</t>
  </si>
  <si>
    <t>Novembro/ 2018</t>
  </si>
  <si>
    <t>Veneno barata</t>
  </si>
  <si>
    <t>Cervejas/carnes</t>
  </si>
  <si>
    <t>Rodizio Pizza</t>
  </si>
  <si>
    <t>Salário Outubro/18</t>
  </si>
  <si>
    <t xml:space="preserve">Fatura Cartão Crédito Outubro/18 </t>
  </si>
  <si>
    <t>Pagto. Conta Luz Outubro/18</t>
  </si>
  <si>
    <t>Mão de Obra Moacir Muro (500,00 dividido com Eduardo)</t>
  </si>
  <si>
    <t>Areia (40,00 dividido com Eduardo)</t>
  </si>
  <si>
    <t>Pula Pula - Pq Rizzo</t>
  </si>
  <si>
    <t>Saco Lixo entulho</t>
  </si>
  <si>
    <t>Chinelo Havaianas</t>
  </si>
  <si>
    <t>Lampada + Fusiveis Astra</t>
  </si>
  <si>
    <t>Açai + Estacionamento</t>
  </si>
  <si>
    <t>Adiantamento Novembro/18</t>
  </si>
  <si>
    <t>Pagto. Conta Agua Outubro/18</t>
  </si>
  <si>
    <t>Fotos Bella escola</t>
  </si>
  <si>
    <t>Prestobarba (4) + Desodorantes (2)</t>
  </si>
  <si>
    <t>Pisca Pisca Natal</t>
  </si>
  <si>
    <t>Protetor solar (praia)</t>
  </si>
  <si>
    <t>1ª Parcela 13º - 2018</t>
  </si>
  <si>
    <t>Em 23/11/2018, adquiri uma smartv 49 pol modelo 49j5200, através do MERCADO LIVRE, na loja MEGAMAMUTE, ao ver um anuncio de 1999, por 1499, efetuei a compra e foi aprovado o pedido na hora comprometendo meu limite. Dias após (hoje 29/11/18), cancelaram minha compra sem se quer me dar um motivo, numa falta de respeito tremenda, fraude descarada, me fizeram perder a black friday, já que não vou conseguir outra oportunidade e ainda tive meu limite de cartão comprometido.</t>
  </si>
  <si>
    <t>O que mais me revolta é que já estava quase comprando em outra loja quando vi esse anúncio fraudulento, perdi uma oportunidade que estava esperando a meses, ABSURDO!!! Estou no aguardo, pois vou atrás por todos os meios possíveis, não quero devolução do dinheiro, quero o produto.</t>
  </si>
  <si>
    <t>Dezembro/ 2018</t>
  </si>
  <si>
    <t>130,00 cartão pago a maior</t>
  </si>
  <si>
    <t>Camisa ano novo</t>
  </si>
  <si>
    <t>Salário Novembro/18</t>
  </si>
  <si>
    <t xml:space="preserve">Fatura Cartão Crédito Novembro/18 </t>
  </si>
  <si>
    <t>Pagto. Conta Luz Novembro/18</t>
  </si>
  <si>
    <t xml:space="preserve">Troca óleo filtro (10 mil KM)+Barra estabil + terminais  (R$ 200,00 crédtio 2x)           </t>
  </si>
  <si>
    <t>Pacote corte cabelo (dobrado final de ano)</t>
  </si>
  <si>
    <t>Bolo + Rocambole festa escola Bella</t>
  </si>
  <si>
    <t>Lanche Bella praça Embu</t>
  </si>
  <si>
    <t>Brinquedo pisca pisca Bella praça</t>
  </si>
  <si>
    <t>Lanche Macdonalds</t>
  </si>
  <si>
    <t>Creme Hidratação cabelo</t>
  </si>
  <si>
    <t xml:space="preserve">Quadra + Churrasco </t>
  </si>
  <si>
    <t>Cervejas Quadra</t>
  </si>
  <si>
    <t>Protetor solar Bella</t>
  </si>
  <si>
    <t>Camiseta regata Cinza</t>
  </si>
  <si>
    <t>Camisetas regatas academia (1 preta 1 branca)</t>
  </si>
  <si>
    <t>Panetone trufado cacau show - Sogra</t>
  </si>
  <si>
    <t>Pagto. Conta Agua Novembro/18</t>
  </si>
  <si>
    <t>Paguei sozinho</t>
  </si>
  <si>
    <t>Hospeda Cabo frio/Arraial (R$ 700,00 3x) 1/3</t>
  </si>
  <si>
    <t>Férias 2017/2018</t>
  </si>
  <si>
    <t>Jogo Megasena</t>
  </si>
  <si>
    <t>Conserto Pneu carro</t>
  </si>
  <si>
    <t>Bebidas Natal casa Su</t>
  </si>
  <si>
    <t>Estacionamento Hospital Pedreira</t>
  </si>
  <si>
    <t>Estacionamento Dr Consulta</t>
  </si>
  <si>
    <t>2 Bermudas, 2 Cuecas, 1 Sunga, 2 Camisetas</t>
  </si>
  <si>
    <t>Alcool - Viagem Arraial Cabo</t>
  </si>
  <si>
    <t>Almoço Praia</t>
  </si>
  <si>
    <t>Sorvete Praia</t>
  </si>
  <si>
    <t>Cerveja Praia</t>
  </si>
  <si>
    <t>Óculos Praia</t>
  </si>
  <si>
    <t>Pau de Selfie</t>
  </si>
  <si>
    <t>Açai Praia</t>
  </si>
  <si>
    <t>Pizza Praia</t>
  </si>
  <si>
    <t>Caipirinhas no passeio Barco</t>
  </si>
  <si>
    <t>Taxa Embarque passeio Barco</t>
  </si>
  <si>
    <t>Lembrança Arraial (1 quarto, 1 Sogra, 1 Mãe)</t>
  </si>
  <si>
    <t>Caipirinha Praia</t>
  </si>
  <si>
    <t>Despesas 2018</t>
  </si>
  <si>
    <t>jan á mar 18</t>
  </si>
  <si>
    <t>abril á dez 18</t>
  </si>
  <si>
    <t>Proventos 2018</t>
  </si>
  <si>
    <t>Financ. Carro</t>
  </si>
  <si>
    <t>Janeiro / 2019</t>
  </si>
  <si>
    <t>Hamburguer artesanal Praia</t>
  </si>
  <si>
    <t>Pacote corte cabelo</t>
  </si>
  <si>
    <t xml:space="preserve">Alcool </t>
  </si>
  <si>
    <t>Almoço (frango assado p/casa)</t>
  </si>
  <si>
    <t>Salário Dezembro/18  (2 dias folha)</t>
  </si>
  <si>
    <t>Salário Dezembro/18 (19 dias pf)</t>
  </si>
  <si>
    <t xml:space="preserve">Fatura Cartão Crédito Dezembro/18 </t>
  </si>
  <si>
    <t>Pagto. Conta Luz Dezembro/18</t>
  </si>
  <si>
    <t>Multa Velocidade 4 pontos 01/01/18</t>
  </si>
  <si>
    <t>IPVA ASTRA á Vista</t>
  </si>
  <si>
    <t>DPVAT ASTRA</t>
  </si>
  <si>
    <t>Licenciamento + Envio ASTRA</t>
  </si>
  <si>
    <t>Boneca Presente Natal Bella (R$ 70,00 crédito)</t>
  </si>
  <si>
    <t>Carro Presente natal Kauan (R$ 25,00 crédito)</t>
  </si>
  <si>
    <t>Piscina bolinha Shopping Bella</t>
  </si>
  <si>
    <t>Débito taxa EASYINVEST</t>
  </si>
  <si>
    <t>3 Camisas (branca, branca listrada, cinza, 1 gravata) R$ 150,00 crédito 3x</t>
  </si>
  <si>
    <t>Adiantamento Janeiro/19</t>
  </si>
  <si>
    <t>Pagto. Conta Agua Dezembro/18</t>
  </si>
  <si>
    <t>Paguei a de Novembro/Eduardo irá pagar a de Dezembro</t>
  </si>
  <si>
    <t>Hospeda Cabo frio/Arraial (R$ 700,00 3x dividido com namorada) 2/3</t>
  </si>
  <si>
    <t>Adição CNH MOTO(A) R$ 400,00 crédito 4x</t>
  </si>
  <si>
    <t>Entregue Minha mãe (ficou com Bella)</t>
  </si>
  <si>
    <t>Exame médico adição A moto CNH</t>
  </si>
  <si>
    <t>Balde cerveja Oficina Sertaneja</t>
  </si>
  <si>
    <t>Fevereiro / 2019</t>
  </si>
  <si>
    <t>Caderno Bella</t>
  </si>
  <si>
    <t>Salário Janeiro / 2019</t>
  </si>
  <si>
    <t>Fatura Cartão Crédito Janeiro / 2019</t>
  </si>
  <si>
    <t>Pagto. Conta Luz Janeiro / 2019</t>
  </si>
  <si>
    <t>Sabonetes</t>
  </si>
  <si>
    <t>Pomada Cabelo</t>
  </si>
  <si>
    <t>Adiantamento Fevereiro/19</t>
  </si>
  <si>
    <t>Pagto. Conta Agua Janeiro / 2019</t>
  </si>
  <si>
    <t>Hospeda Cabo frio/Arraial (R$ 700,00 3x) 3/3</t>
  </si>
  <si>
    <t>Autenticação Transferência Moto</t>
  </si>
  <si>
    <t>DM</t>
  </si>
  <si>
    <t>MOTO Twister 2016 Vermelha</t>
  </si>
  <si>
    <t>Tarifa Ted tranferência bancária MOTO</t>
  </si>
  <si>
    <t>IPVA MOTO 2019</t>
  </si>
  <si>
    <t>DPVAT 2019</t>
  </si>
  <si>
    <t>Almoço (Eu, Mãe Bruna)</t>
  </si>
  <si>
    <t>Trava disco Moto</t>
  </si>
  <si>
    <t>Capacete Moto</t>
  </si>
  <si>
    <t>Caixinha Skol (aniver Du)</t>
  </si>
  <si>
    <t>Morango</t>
  </si>
  <si>
    <t>Almoço (frango)</t>
  </si>
  <si>
    <t>Brinquedo praia (Bella / Kauan)</t>
  </si>
  <si>
    <t>Maiô Bella</t>
  </si>
  <si>
    <t>Pomada Nebacetin Bella</t>
  </si>
  <si>
    <t>IPTU 2018 parcela 06</t>
  </si>
  <si>
    <t>Boca pagou R$ 250,00, foi pago as parcelas de 01 á 05.</t>
  </si>
  <si>
    <t>Cervejas + 51 praia</t>
  </si>
  <si>
    <t>Alcool + Gasolina</t>
  </si>
  <si>
    <t>Despesas com Moto</t>
  </si>
  <si>
    <t>Março / 2019</t>
  </si>
  <si>
    <t>Compras praia</t>
  </si>
  <si>
    <t>Óculos praia Bella</t>
  </si>
  <si>
    <t xml:space="preserve">Doces </t>
  </si>
  <si>
    <t>Hospedagem 2 dias praia grande</t>
  </si>
  <si>
    <t>Estacionamento Praia</t>
  </si>
  <si>
    <t>Sabão roupa</t>
  </si>
  <si>
    <t>GAC</t>
  </si>
  <si>
    <t>Salário Fevereiro / 2019</t>
  </si>
  <si>
    <t>Fatura Cartão Crédito Fevereiro / 2019</t>
  </si>
  <si>
    <t>Pagto. Conta Luz Fevereiro / 2019</t>
  </si>
  <si>
    <t>Auxilio morte Jose Luiz Peixinho</t>
  </si>
  <si>
    <t>Peixe, Frango, Batata Doce</t>
  </si>
  <si>
    <t>Almoço com namorada dia mulheres</t>
  </si>
  <si>
    <t xml:space="preserve">Milnutri Bella </t>
  </si>
  <si>
    <t>Amoxicilina Bella</t>
  </si>
  <si>
    <t>Vistoria Tranferência Moto (ECV)</t>
  </si>
  <si>
    <t>Gasolina / Alcool - Moto</t>
  </si>
  <si>
    <t>GAM</t>
  </si>
  <si>
    <t>Reparo e torneira chuveiro quarto</t>
  </si>
  <si>
    <t>Pomada Cabelo Salon Line</t>
  </si>
  <si>
    <t>Licenciamento Moto 2018 (atrasado, ciente na compra)</t>
  </si>
  <si>
    <t>Licenciamento Moto 2019</t>
  </si>
  <si>
    <t>Taxa Tranferência Moto São paulo para EMBU (paga no DETRAN)</t>
  </si>
  <si>
    <t>Troca tarjeta PLACA</t>
  </si>
  <si>
    <t>Mão de Obra corredor (Luis)</t>
  </si>
  <si>
    <t>Sim</t>
  </si>
  <si>
    <t>Pagto. Conta Agua Fevereiro / 2019</t>
  </si>
  <si>
    <t>Remédio piolho Bella</t>
  </si>
  <si>
    <t>Adiantamento Março/19</t>
  </si>
  <si>
    <t>Mochila Preta (R$ 150,00 crédito 3x)</t>
  </si>
  <si>
    <t>Almoço Meu e Bruna</t>
  </si>
  <si>
    <t>Mão de Obra corredor (reboco trás casa) 1/2</t>
  </si>
  <si>
    <t>Conserto PNEU Carro</t>
  </si>
  <si>
    <t>SKY (R$ 65,00)</t>
  </si>
  <si>
    <t>Nebacetin Bella</t>
  </si>
  <si>
    <t>Alcool - Carro</t>
  </si>
  <si>
    <t>Gasolina/Alcool - Carro</t>
  </si>
  <si>
    <t>Gasolina/Alcool - Moto</t>
  </si>
  <si>
    <t>Academia/Suplemento/Alimentação</t>
  </si>
  <si>
    <t>Abril / 2019</t>
  </si>
  <si>
    <t>Salário Março / 2019</t>
  </si>
  <si>
    <t>Fatura Cartão Crédito Março / 2019</t>
  </si>
  <si>
    <t>Pagto. Conta Luz Março / 2019</t>
  </si>
  <si>
    <t>Mão de Obra Luis corredor (reboco trás casa) 2/2</t>
  </si>
  <si>
    <t>Moto: Luva; Graxa corrente, troca óleo 2 litros, pastilha traseira</t>
  </si>
  <si>
    <t>Troca coxim, filtro gasolina</t>
  </si>
  <si>
    <t>Gasolina Moto</t>
  </si>
  <si>
    <t>Alcool Carro</t>
  </si>
  <si>
    <t>Adiantamento Abril/19</t>
  </si>
  <si>
    <t>Pagto. Conta Agua Abril / 2019</t>
  </si>
  <si>
    <t>Conta abatida, paga 2 vezes mês anterior</t>
  </si>
  <si>
    <t>Ovo páscoa Bella, Kauan</t>
  </si>
  <si>
    <t>Ovo páscoa Namorada, Sogra</t>
  </si>
  <si>
    <t>Piscina Bolinha Bella</t>
  </si>
  <si>
    <t>Pretinho pneu</t>
  </si>
  <si>
    <t>SKY (R$ 139,90)</t>
  </si>
  <si>
    <t>Gasolina / Alcool Moto</t>
  </si>
  <si>
    <t>Churras niver Kauan</t>
  </si>
  <si>
    <t>Maio / 2019</t>
  </si>
  <si>
    <t>Carro</t>
  </si>
  <si>
    <t>Moto</t>
  </si>
  <si>
    <t>quarta-feira</t>
  </si>
  <si>
    <t>quinta-feira</t>
  </si>
  <si>
    <t>sexta-feira</t>
  </si>
  <si>
    <t>sábado</t>
  </si>
  <si>
    <t>domingo</t>
  </si>
  <si>
    <t>segunda-feira</t>
  </si>
  <si>
    <t>terça-feira</t>
  </si>
  <si>
    <t>Chinelo, Shampoo, prestobarba</t>
  </si>
  <si>
    <t>Shampoo, Creme Bella</t>
  </si>
  <si>
    <t>Presente Niver Beth 30/03/19</t>
  </si>
  <si>
    <t>Salário Abril / 2019</t>
  </si>
  <si>
    <t>Fatura Cartão Crédito Abril / 2019</t>
  </si>
  <si>
    <t>Pagto. Conta Luz Abril / 2019</t>
  </si>
  <si>
    <t>Milnutri Bella</t>
  </si>
  <si>
    <t>Gasolina / Alcool Moto (4 litros cada)</t>
  </si>
  <si>
    <t>Alisamento cabelo</t>
  </si>
  <si>
    <t>Reprova CNH + 1 aula (190,00 crédito em 3x)</t>
  </si>
  <si>
    <t>Presente dia das mães (calça vinho)</t>
  </si>
  <si>
    <t>Chinelo Bella</t>
  </si>
  <si>
    <t>Adiantamento Maio/19</t>
  </si>
  <si>
    <t>Conjunto Kauan (presente niver) 72,00</t>
  </si>
  <si>
    <t>Vestido cor Jeans - Bella 97,00</t>
  </si>
  <si>
    <t>Relogio MAGNUM prata (R$ 200,00 crédito em 4x)</t>
  </si>
  <si>
    <t>Remédio Rinite</t>
  </si>
  <si>
    <t>Pastel com namorada</t>
  </si>
  <si>
    <t>Escova Bella</t>
  </si>
  <si>
    <t>Frango para Almoço</t>
  </si>
  <si>
    <t>Tinta Branca quarto (coral)</t>
  </si>
  <si>
    <t>Lixas, Tomada, Fita isolante</t>
  </si>
  <si>
    <t>Piscina bolinha Bella</t>
  </si>
  <si>
    <t>Lanche MAC cm Bella</t>
  </si>
  <si>
    <t>Adesivo escapamento TWISTER</t>
  </si>
  <si>
    <t>Remédios Bella (amoxicilina, Koide D, Dipirona)</t>
  </si>
  <si>
    <t xml:space="preserve">Batata </t>
  </si>
  <si>
    <t>Progressiva (alisamento cabelo)</t>
  </si>
  <si>
    <t>Lona para Pintura (saco)</t>
  </si>
  <si>
    <t>Massa corrida 25KG</t>
  </si>
  <si>
    <t>Junho / 2019</t>
  </si>
  <si>
    <t>Lixas para pintura quarto</t>
  </si>
  <si>
    <t>Alcool carro</t>
  </si>
  <si>
    <t>Pedágio Guarulhos</t>
  </si>
  <si>
    <t>Entregue mãe Bella (baba)</t>
  </si>
  <si>
    <t>Salário Maio / 2019</t>
  </si>
  <si>
    <t>Fatura Cartão Crédito Maio / 2019</t>
  </si>
  <si>
    <t>Pagto. Conta Luz Maio / 2019</t>
  </si>
  <si>
    <t>Brinquedo Bella (sky, bolha sabão)</t>
  </si>
  <si>
    <t>Mão de obra Luiz - Pintura quarto 1/2</t>
  </si>
  <si>
    <t>Bolo despedida Joise</t>
  </si>
  <si>
    <t>Almoço despedida Joise</t>
  </si>
  <si>
    <t>Bruna - Limpeza quarto Pintura</t>
  </si>
  <si>
    <t>Camisa preta (R$ 120,00) R$ 70,00 crédito</t>
  </si>
  <si>
    <t>Bistro Faria Lima (dia namorados)</t>
  </si>
  <si>
    <t>Carne para casa</t>
  </si>
  <si>
    <t>Sobremesa almoço</t>
  </si>
  <si>
    <t>Adiantamento Junho/19</t>
  </si>
  <si>
    <t>Pagto. Conta Agua Maio / 2019</t>
  </si>
  <si>
    <t>Mão de obra Luiz - Pintura quarto 2/2</t>
  </si>
  <si>
    <t>Gasolina/Alcool Moto</t>
  </si>
  <si>
    <t>Lanche Burger King</t>
  </si>
  <si>
    <t>Gasolina/Alcool Carro</t>
  </si>
  <si>
    <t>Almoço meu e Bruna</t>
  </si>
  <si>
    <t>Entregue mãe Bella (Vestido festa junina)</t>
  </si>
  <si>
    <t>Lanche Belas Artes</t>
  </si>
  <si>
    <t>Coisas Festa Junina Bella</t>
  </si>
  <si>
    <t>Balão Festa junina Bella</t>
  </si>
  <si>
    <t>Sorvete BK</t>
  </si>
  <si>
    <t>Julho / 2019</t>
  </si>
  <si>
    <t>Serviço encanamento casa</t>
  </si>
  <si>
    <t>Conserto pneu carro</t>
  </si>
  <si>
    <t>Salário Junho / 2019</t>
  </si>
  <si>
    <t>Fatura Cartão Crédito Junho / 2019</t>
  </si>
  <si>
    <t>Pagto. Conta Luz Junho / 2019</t>
  </si>
  <si>
    <t>ZERADA</t>
  </si>
  <si>
    <t>Entregue mãe Isabella (Baba Lourdes)</t>
  </si>
  <si>
    <t>Entregue mãe Isabella (Remédios)</t>
  </si>
  <si>
    <t>Sifão tanque</t>
  </si>
  <si>
    <t>Chuveiro (Lorenzetti Advanced) R$ 50,00 crédito</t>
  </si>
  <si>
    <t>Sapatênis marrom (DEMOCRATA) R$ 130,00 crédito 2x</t>
  </si>
  <si>
    <t>Calça sarja marrom</t>
  </si>
  <si>
    <t>Alcool/Gasolina carro</t>
  </si>
  <si>
    <t>Cervejas Rodeio (Marilia Mendonça)</t>
  </si>
  <si>
    <t>Lanche Rodeio (Marilia Mendonça)</t>
  </si>
  <si>
    <t>UBER Rodeio (Marilia Mendonça)</t>
  </si>
  <si>
    <t>Alcool Moto</t>
  </si>
  <si>
    <t>Placa não estacione, linha costura, pano chao</t>
  </si>
  <si>
    <t>Jantar 3 anos Namoro</t>
  </si>
  <si>
    <t>Adiantamento Julho/19</t>
  </si>
  <si>
    <t>Pagto. Conta Agua Junho / 2019</t>
  </si>
  <si>
    <t>Salgadinhos</t>
  </si>
  <si>
    <t>5 óleos, filtro óleo, velas-Astra (R$ 100,00 crédito 2x)</t>
  </si>
  <si>
    <t>SKY (R$ 70,00)</t>
  </si>
  <si>
    <t>3 Conjuntos Moleton Frio Bella  - 1/2</t>
  </si>
  <si>
    <t>2 Conjuntos Moleton Frio Kauan - 1/2</t>
  </si>
  <si>
    <t>Bolo + Salgado Niver Mãe</t>
  </si>
  <si>
    <t>Varal casa</t>
  </si>
  <si>
    <t>Coisas para Churras</t>
  </si>
  <si>
    <t>Cervejas Vintagge</t>
  </si>
  <si>
    <t>Coisas para Lasanha</t>
  </si>
  <si>
    <t>Empréstimo Namorada compra Notebook</t>
  </si>
  <si>
    <t>pago em 6x</t>
  </si>
  <si>
    <t>Notebook Ideapad 330 Intel Core I5-8250u 8GB (Geforce MX150 com 2GB) 1TB HD 15,6" W10 Prata - Lenovo 1/5 (Valor total R$ 2.584,08)</t>
  </si>
  <si>
    <t>Agosto/ 2019</t>
  </si>
  <si>
    <t>Matricula UNIP EAD (Desenv Analise Sistemas)</t>
  </si>
  <si>
    <t>E</t>
  </si>
  <si>
    <t>Alcool / Gasolina Carro</t>
  </si>
  <si>
    <t>Lanche (frango frito)</t>
  </si>
  <si>
    <t>Salário Julho / 2019</t>
  </si>
  <si>
    <t>Fatura Cartão Crédito Julho / 2019</t>
  </si>
  <si>
    <t>Pagto. Conta Luz Julho / 2019</t>
  </si>
  <si>
    <t>UNIP EAD (Desenv Analise Sistemas)</t>
  </si>
  <si>
    <t>Churras Bruna</t>
  </si>
  <si>
    <t>Brincadeira com Bella</t>
  </si>
  <si>
    <t>Lanche MAC Bella</t>
  </si>
  <si>
    <t>Controle XBOX para PC (Notebook)</t>
  </si>
  <si>
    <t>Presente niver Sogra (Caneca)</t>
  </si>
  <si>
    <t>Entregue mãe Isabella (Comida)</t>
  </si>
  <si>
    <t>Extensão para 4 tomadas</t>
  </si>
  <si>
    <t>Migração Internet de 20 MB para 60 MB Fibra</t>
  </si>
  <si>
    <t>Adiantamento Agosto/19</t>
  </si>
  <si>
    <t>Pagto. Conta Agua Julho / 2019</t>
  </si>
  <si>
    <t>3 Conjuntos Moleton Frio Bella  - 2/2</t>
  </si>
  <si>
    <t>2 Conjuntos Moleton Frio Kauan - 2/2</t>
  </si>
  <si>
    <t>Notebook Ideapad 330 Intel Core I5-8250u 8GB (Geforce MX150 com 2GB) 1TB HD 15,6" W10 Prata - Lenovo 2/6</t>
  </si>
  <si>
    <t>1.300 - 300,00 = 1.000,00</t>
  </si>
  <si>
    <t>Entregue mãe Isabella (brinco Bella)</t>
  </si>
  <si>
    <t>Troca óleo e velas</t>
  </si>
  <si>
    <t>Bebidas niver Aline</t>
  </si>
  <si>
    <t>Carvão churras Aline</t>
  </si>
  <si>
    <t>Velas aniver Aline</t>
  </si>
  <si>
    <t>Camisa Branca com detalhes (R$ 50,00 crédito)</t>
  </si>
  <si>
    <t>Bolo Aniver Samuel</t>
  </si>
  <si>
    <t>Estudos</t>
  </si>
  <si>
    <t>Setembro/ 2019</t>
  </si>
  <si>
    <t>Salário Agosto / 2019</t>
  </si>
  <si>
    <t>Fatura Cartão Crédito Agosto / 2019</t>
  </si>
  <si>
    <t>Pagto. Conta Luz Agosto / 2019</t>
  </si>
  <si>
    <t>Mensalidade UNIP EAD (Desenv Analise Sistemas)</t>
  </si>
  <si>
    <t>Entregue mãe Bella (coisas comida)</t>
  </si>
  <si>
    <t>Lampada lado de fora</t>
  </si>
  <si>
    <t>Lampada lado de fora luminária</t>
  </si>
  <si>
    <t>Vestido Bella Roxo (Aniver Bella)</t>
  </si>
  <si>
    <t>Vestido Bella branco (Aniver Bella)</t>
  </si>
  <si>
    <t>Calça Bella moleton</t>
  </si>
  <si>
    <t>Camiseta Kauan</t>
  </si>
  <si>
    <t>Vela, Bexigas, Faixa, descartaveis (Aniver Bella)</t>
  </si>
  <si>
    <t>Guarda-Roupa Fama Flórida Plus com 3 Portas de Correr, 4 Gavetas e Espelho Ipê (R$ 500,00 crédito em 4x)</t>
  </si>
  <si>
    <t>Churras niver Bella (R$ 80,45 crédito)</t>
  </si>
  <si>
    <t xml:space="preserve">Pizza </t>
  </si>
  <si>
    <t>Bexigas</t>
  </si>
  <si>
    <t>Bolo + Doces (Aniver Bella)</t>
  </si>
  <si>
    <t>Conserto Pneus carro</t>
  </si>
  <si>
    <t>Frango, Batata doce</t>
  </si>
  <si>
    <t>Pagto. Conta Agua Agosto / 2019</t>
  </si>
  <si>
    <t>dinheiro/débito</t>
  </si>
  <si>
    <t>1 Camisa azul, 1 camisa branca, 1 camiseta branca (R$ 100,00 crédito 2x)</t>
  </si>
  <si>
    <t>Adiantamento Setembro/19</t>
  </si>
  <si>
    <t>Notebook Ideapad 330 Intel Core I5-8250u 8GB (Geforce MX150 com 2GB) 1TB HD 15,6" W10 Prata - Lenovo 3/6</t>
  </si>
  <si>
    <t>1.000 - 300,00 = 700,00</t>
  </si>
  <si>
    <t>Passeio Escola Bella</t>
  </si>
  <si>
    <t>Entregue mãe Bella (Baba)</t>
  </si>
  <si>
    <t>Entregue mãe Bella (Remédio)</t>
  </si>
  <si>
    <t>Doces/Salgados</t>
  </si>
  <si>
    <t>Montagem Guarda Roupa</t>
  </si>
  <si>
    <t>Progressiva</t>
  </si>
  <si>
    <t>Gasolina/Alcool moto</t>
  </si>
  <si>
    <t>Coisas Churras</t>
  </si>
  <si>
    <t>valor</t>
  </si>
  <si>
    <t>Outubro/ 2019</t>
  </si>
  <si>
    <t>Ações</t>
  </si>
  <si>
    <t>Estacionamento Vintagge</t>
  </si>
  <si>
    <t>Bebidas Vintagge</t>
  </si>
  <si>
    <t>Salário Setembro / 2019</t>
  </si>
  <si>
    <t>Fatura Cartão Crédito Setembro / 2019</t>
  </si>
  <si>
    <t>Mensalidade Internet (60MB - R$ 90,00)</t>
  </si>
  <si>
    <t>Pagto. Conta Luz Setembro / 2019</t>
  </si>
  <si>
    <t>Sitio aniversário Vó 1/2 (minha parte e mãe)</t>
  </si>
  <si>
    <t>32,60 cada</t>
  </si>
  <si>
    <t>Entregue mãe Isabella (coisas comida)</t>
  </si>
  <si>
    <t>Bebidas Pq rizzo</t>
  </si>
  <si>
    <t>Sorvete pq rizzo</t>
  </si>
  <si>
    <t>Estacionamento pq rizzo</t>
  </si>
  <si>
    <t>Bolas (Bella, Kauan)</t>
  </si>
  <si>
    <t>BomBom Aniver</t>
  </si>
  <si>
    <t>Smart TV LED 49" UHD 4K LG 49SM8000PSA NanoCell, ThinQ AI Inteligência Artificial IoT, IPS, HDR Ativo, DTS Virtual X, WebOS 4.5 e Controle Smart Magic (R$ 1.649,00 crédito 10x)</t>
  </si>
  <si>
    <t>Entregue mãe Isabella (Baba)</t>
  </si>
  <si>
    <t>Lanche Aniver</t>
  </si>
  <si>
    <t>Adiantamento Outubro/19</t>
  </si>
  <si>
    <t>Pagto. Conta Agua Setembro / 2019</t>
  </si>
  <si>
    <t>Notebook Ideapad 330 Intel Core I5-8250u 8GB (Geforce MX150 com 2GB) 1TB HD 15,6" W10 Prata - Lenovo 4/6</t>
  </si>
  <si>
    <t xml:space="preserve">700,00 - 200,00 = 500,00 </t>
  </si>
  <si>
    <t>Lanche (esfihas)</t>
  </si>
  <si>
    <t>Cervejas (churras niver)</t>
  </si>
  <si>
    <t>Carvão Churras</t>
  </si>
  <si>
    <t>Pão churras</t>
  </si>
  <si>
    <t>Gasolina / Alcool moto</t>
  </si>
  <si>
    <t>Remédio mãe</t>
  </si>
  <si>
    <t>Compra ações BANCO INTER (24 x 16,62)</t>
  </si>
  <si>
    <t>Óculos preto aviador - Riachuelo (R$ 40,00 crédito 2x)</t>
  </si>
  <si>
    <t>Presente Joise - Kit Relógio + brincos e corrente Champignon (R$ 150,00 crédito 3x)</t>
  </si>
  <si>
    <t xml:space="preserve">Entregue mãe Isabella </t>
  </si>
  <si>
    <t>Netflix (32,90)</t>
  </si>
  <si>
    <t>Carregador MOTOG6</t>
  </si>
  <si>
    <t>Novembro/ 2019</t>
  </si>
  <si>
    <t xml:space="preserve">Sorvete </t>
  </si>
  <si>
    <t>Desodorantes (2)</t>
  </si>
  <si>
    <t>Entregue mãe Isabella (baba)</t>
  </si>
  <si>
    <t>Batata + Frango</t>
  </si>
  <si>
    <t>Salário Outubro / 2019</t>
  </si>
  <si>
    <t>Venda Smartv PHILIPS 39" (Fabio - Expedição) 510,00 em 3x - 1/3</t>
  </si>
  <si>
    <t>recebido 170,00, comissão Vagner 50,00</t>
  </si>
  <si>
    <t>Fatura Cartão Crédito Outubro / 2019</t>
  </si>
  <si>
    <t>Pagto. Conta Luz Outubro / 2019</t>
  </si>
  <si>
    <t>Pisca pisca Natal</t>
  </si>
  <si>
    <t>Entregue mãe Isabella (coisas para casa)</t>
  </si>
  <si>
    <t>Gasolina Carro</t>
  </si>
  <si>
    <t>Cinto social preto</t>
  </si>
  <si>
    <t>Tampa agua motor Astra</t>
  </si>
  <si>
    <t>Multa ASTRA 14/11/18</t>
  </si>
  <si>
    <t>Multa ASTRA 30/03/19</t>
  </si>
  <si>
    <t>Ibuprofeno Bella</t>
  </si>
  <si>
    <t>Frango assado almoço</t>
  </si>
  <si>
    <t>Adiantamento Novembro/19</t>
  </si>
  <si>
    <t>Venda Smartv PHILIPS 39" (Fabio - Expedição) 510,00 em 3x - 2/3</t>
  </si>
  <si>
    <t>Pagto. Conta Agua Outubro / 2019</t>
  </si>
  <si>
    <t>Notebook Ideapad 330 Intel Core I5-8250u 8GB (Geforce MX150 com 2GB) 1TB HD 15,6" W10 Prata - Lenovo 5/6</t>
  </si>
  <si>
    <t xml:space="preserve">500,00 - 300,00 = 200,00 </t>
  </si>
  <si>
    <t>Conserto parte baixo astra</t>
  </si>
  <si>
    <t>Carvão churrasco</t>
  </si>
  <si>
    <t>Cinema Malévola 2 com Bella</t>
  </si>
  <si>
    <t>Lanche Mac com Bella</t>
  </si>
  <si>
    <t>Remédio Iverctima piolho Bella</t>
  </si>
  <si>
    <t>Sitio aniversário Vó 2/2 (minha parte e mãe)</t>
  </si>
  <si>
    <t>50,71 cada</t>
  </si>
  <si>
    <t xml:space="preserve">Pacote cabelo </t>
  </si>
  <si>
    <t>Venda Smartv PHILIPS 39" (Fabio - Expedição) 510,00 em 3x - 3/3</t>
  </si>
  <si>
    <t>1ª Parcela 13º - 2019</t>
  </si>
  <si>
    <t>Dezembro/ 2019</t>
  </si>
  <si>
    <t>Burguer King</t>
  </si>
  <si>
    <t>Condicionador, creme dental</t>
  </si>
  <si>
    <t>Escova cabelo</t>
  </si>
  <si>
    <t>Alcool / Gasolina Moto</t>
  </si>
  <si>
    <t>Salário Novembro / 2019</t>
  </si>
  <si>
    <t>Fatura Cartão Crédito Novembro / 2019</t>
  </si>
  <si>
    <t>Pagto. Conta Luz Novembro / 2019</t>
  </si>
  <si>
    <t>2 Bermudas academia (cinza, cinza escuro)</t>
  </si>
  <si>
    <t>2 cuecas (Vinho e Azul)</t>
  </si>
  <si>
    <t>Redução torneira rua</t>
  </si>
  <si>
    <t>Sorvete, salgados</t>
  </si>
  <si>
    <t>Conserto Bicicleta Bella + Buzina</t>
  </si>
  <si>
    <t>Estacionamento Praça Embu</t>
  </si>
  <si>
    <t>Brinquedo Bella praça Embu</t>
  </si>
  <si>
    <t>Lanche BK (Eu, Bella, Mãe)</t>
  </si>
  <si>
    <t>Entregue mãe Isabella (remédios)</t>
  </si>
  <si>
    <t>Pedágio rodoanel - Diadema</t>
  </si>
  <si>
    <t>Venda ações BANCO INTER (24 x 16,62)</t>
  </si>
  <si>
    <t>Prejuízo Venda ações BANCO INTER (24 x 15,90)</t>
  </si>
  <si>
    <t>Quadra, churrasco futebol</t>
  </si>
  <si>
    <t>Entregue minha mãe (coisas Bella)</t>
  </si>
  <si>
    <t xml:space="preserve">Entregue minha mãe (cuidar bella) </t>
  </si>
  <si>
    <t>Bolo aniversário Fabiana</t>
  </si>
  <si>
    <t xml:space="preserve">Baba Isabella </t>
  </si>
  <si>
    <t>Cervejas quadra futebol</t>
  </si>
  <si>
    <t>troco 45,00 Eduardo</t>
  </si>
  <si>
    <t>Bermuda cinza (presente Antony)</t>
  </si>
  <si>
    <t>2ª Parcela 13º - 2019</t>
  </si>
  <si>
    <t>Férias 2018/2019</t>
  </si>
  <si>
    <t>Pagto. Conta Agua Novembro / 2019</t>
  </si>
  <si>
    <t>Notebook Ideapad 330 Intel Core I5-8250u 8GB (Geforce MX150 com 2GB) 1TB HD 15,6" W10 Prata - Lenovo 6/6</t>
  </si>
  <si>
    <t>Crédito Saque imediato FGTS REPUME</t>
  </si>
  <si>
    <t>Crédito Saque imediato FGTS GELRE</t>
  </si>
  <si>
    <t>Cervejas Natal casa Joise</t>
  </si>
  <si>
    <t>Smirnoff ice (3)</t>
  </si>
  <si>
    <t>Lanche Mac Bella</t>
  </si>
  <si>
    <t>Caixa correios devolução regatas</t>
  </si>
  <si>
    <t>Troca óleo moto (2 litros, filtro óleo) KM</t>
  </si>
  <si>
    <t>21.000 km troca óleo</t>
  </si>
  <si>
    <t>Pregos na Zeza</t>
  </si>
  <si>
    <t>Gel Bozzano</t>
  </si>
  <si>
    <t>Pomada cabelo Saloon line</t>
  </si>
  <si>
    <t>Camisa Manga curta florida laranjas</t>
  </si>
  <si>
    <t>Bermuda vingadores Kauan - presente natal</t>
  </si>
  <si>
    <t>Camisa botao batman Kauan - presente natal</t>
  </si>
  <si>
    <t>Corda com contador digital p/ Joise</t>
  </si>
  <si>
    <t>Bóia Piscina Isabella</t>
  </si>
  <si>
    <t>Chinelo havaianas</t>
  </si>
  <si>
    <t>Bebidas FarWest Embu</t>
  </si>
  <si>
    <t>IPTU 2019</t>
  </si>
  <si>
    <t>2 jogos Mega da Virada</t>
  </si>
  <si>
    <t>Presente Vó niver 90 anos (cardigan)</t>
  </si>
  <si>
    <t>Coisas Churrasco Ano novo</t>
  </si>
  <si>
    <t>386,00 dividido com Du</t>
  </si>
  <si>
    <t>Despesas 2019</t>
  </si>
  <si>
    <t>Bebidas/Churras/Balada/Lazer</t>
  </si>
  <si>
    <t>Proventos 2019</t>
  </si>
  <si>
    <t>Vale Alimentação</t>
  </si>
  <si>
    <t>Janeiro/ 2020</t>
  </si>
  <si>
    <t>Refrigerantes</t>
  </si>
  <si>
    <t>Cera carro</t>
  </si>
  <si>
    <t>Pacote corte cabelo + Progressiva</t>
  </si>
  <si>
    <t>Alcool viagem ida Ribeirão Preto</t>
  </si>
  <si>
    <t>Pedágios ida</t>
  </si>
  <si>
    <t>Cervejas chacara</t>
  </si>
  <si>
    <t>Ice's chacara</t>
  </si>
  <si>
    <t>Alcool viagem volta Ribeirão Preto</t>
  </si>
  <si>
    <t>Pedágios volta</t>
  </si>
  <si>
    <t>UBER - buscar moto casa Joise</t>
  </si>
  <si>
    <t>corrida 13,73 tinha crédito de 7,00</t>
  </si>
  <si>
    <t>Comida, Bolo, churrasqueiro sitio aniversário Vó - 90 anos (meu e minha mãe)</t>
  </si>
  <si>
    <t>62,00 cada</t>
  </si>
  <si>
    <t>Salário Dezembro/19  (03 dias folha)</t>
  </si>
  <si>
    <t>Salário Dezembro/19 (16 dias pf)</t>
  </si>
  <si>
    <t>Xbox 360 + Hd externo 500GB (William-Engenharia) 600,00 em 3x - 1/3</t>
  </si>
  <si>
    <t>recebido 150,00, comissão Vagner 50,00</t>
  </si>
  <si>
    <t>Fatura Cartão Crédito Dezembro / 2019</t>
  </si>
  <si>
    <t>Pagto. Conta Luz Dezembro / 2019</t>
  </si>
  <si>
    <t>Edredon marron + Lençol preto</t>
  </si>
  <si>
    <t>Entregue mãe Bella (coisas para casa)</t>
  </si>
  <si>
    <t>IPVA ASTRA 2020 (a vista)</t>
  </si>
  <si>
    <t>IPVA TWISTER 2020 (a vista)</t>
  </si>
  <si>
    <t>Cama casal Kappersberg (R$ 300,00 crédito 3x)</t>
  </si>
  <si>
    <t>Débito taxa SEMESTRAL TESOURO</t>
  </si>
  <si>
    <t>Kwell Bella</t>
  </si>
  <si>
    <t>Pente fino metal Piolho - Bella</t>
  </si>
  <si>
    <t>Inseticida</t>
  </si>
  <si>
    <t>Barulho motor ASTRA (Rolamento apoio 105,00, Rolamento do Esticador 98,00, Mão de Obra 140,00) R$ 200,00 crédito 2x</t>
  </si>
  <si>
    <t>Camisa Azul Marinho (R$ 50,00 crédito)</t>
  </si>
  <si>
    <t>Lanche Subway Shopping</t>
  </si>
  <si>
    <t>Pagto. Conta Agua Dezembro / 2019</t>
  </si>
  <si>
    <t>Bolo Vera</t>
  </si>
  <si>
    <t>Brinquedos Pq do Rizzo</t>
  </si>
  <si>
    <t>Geladinhos</t>
  </si>
  <si>
    <t>Adiantamento Janeiro / 2020</t>
  </si>
  <si>
    <t>Vestido Isabella (Festa 90 anos Vó) 1/2</t>
  </si>
  <si>
    <t>resta 50,00</t>
  </si>
  <si>
    <t>Playstation 4 SLIM 1TB (2 meses de uso)</t>
  </si>
  <si>
    <t>Reparo torneira pia banheiro</t>
  </si>
  <si>
    <t>Conserto ziper calças social preta e cinza</t>
  </si>
  <si>
    <t>Bateria ASTRA 60 ah (R$ 130,00 crédito 2x)</t>
  </si>
  <si>
    <t>Fevereiro/2020</t>
  </si>
  <si>
    <t>Macdonalds com Bella</t>
  </si>
  <si>
    <t>Salário Janeiro / 2020</t>
  </si>
  <si>
    <t>Xbox 360 + Hd externo 500GB (William-Engenharia) 600,00 em 3x - 2/3</t>
  </si>
  <si>
    <t>Fatura Cartão Crédito Janeiro / 2020</t>
  </si>
  <si>
    <t>Pagto. Conta Luz Janeiro / 2020</t>
  </si>
  <si>
    <t xml:space="preserve">Churrasqueira INOX pequena </t>
  </si>
  <si>
    <t>Reparo torneira pia banheiro quarto</t>
  </si>
  <si>
    <t>Entregue mãe Isabella (comida)</t>
  </si>
  <si>
    <t>Saco lixo 200 litros</t>
  </si>
  <si>
    <t>Graxa, troca manete Moto</t>
  </si>
  <si>
    <t>Açai, Pamonha</t>
  </si>
  <si>
    <t>Pagto. Conta Agua Janeiro/20</t>
  </si>
  <si>
    <t xml:space="preserve">Açai </t>
  </si>
  <si>
    <t>Almoço (meu e mãe)</t>
  </si>
  <si>
    <t>Entregue mãe Bella (sandália)</t>
  </si>
  <si>
    <t>Uber (deixei moto casa Joise (viagem praia grande)</t>
  </si>
  <si>
    <t>Coisas praia (cervejas, comida)</t>
  </si>
  <si>
    <t>Adiantamento Fevereiro / 2020</t>
  </si>
  <si>
    <t>Vestido Isabella (Festa 90 anos Vó) 2/2</t>
  </si>
  <si>
    <t>Teste gravidez Joise</t>
  </si>
  <si>
    <t>Kit balde praia + arma de agua - Bella</t>
  </si>
  <si>
    <t>Pedágios ida - Praia grande</t>
  </si>
  <si>
    <t>Alcool carro (praia)</t>
  </si>
  <si>
    <t>Café praia</t>
  </si>
  <si>
    <t>Almoço praia (meu e Sueli)</t>
  </si>
  <si>
    <t>Sorvetes praia</t>
  </si>
  <si>
    <t>Doce praia</t>
  </si>
  <si>
    <t>Pedágios volta - Praia grande</t>
  </si>
  <si>
    <t>Esfihas volta praia</t>
  </si>
  <si>
    <t>Shampoo + garrafa agua</t>
  </si>
  <si>
    <t>dias</t>
  </si>
  <si>
    <t>pessoas</t>
  </si>
  <si>
    <t>valor diária</t>
  </si>
  <si>
    <t>p/ pessoa</t>
  </si>
  <si>
    <t>Diária Praia eu (3 dias)</t>
  </si>
  <si>
    <t>Praia grande</t>
  </si>
  <si>
    <t>Diária Praia Sueli (3 dias)</t>
  </si>
  <si>
    <t>1 Cimento (cobrir parte garagem)</t>
  </si>
  <si>
    <t>2 Jogos megasena</t>
  </si>
  <si>
    <t>Transporte escolar - Bella (R$ 150,00)</t>
  </si>
  <si>
    <t>Entregue mãe Bella (Fantasia escola)</t>
  </si>
  <si>
    <t>Coisas para Hot dog</t>
  </si>
  <si>
    <t>Netflix (R$ 32,90)</t>
  </si>
  <si>
    <t>Março/2020</t>
  </si>
  <si>
    <t>Progressiva cabelo</t>
  </si>
  <si>
    <t>Salário Fevereiro / 2020</t>
  </si>
  <si>
    <t>Xbox 360 + Hd externo 500GB (William-Engenharia) 600,00 em 3x - 3/3</t>
  </si>
  <si>
    <t>Fatura Cartão Crédito Fevereiro / 2020</t>
  </si>
  <si>
    <t>Pagto. Conta Luz Fevereiro / 2020</t>
  </si>
  <si>
    <t>Açai (meu e Joise)</t>
  </si>
  <si>
    <t>Lanche Mac (meu e Joise)</t>
  </si>
  <si>
    <t>Parafusos telhamento banheiro garagem</t>
  </si>
  <si>
    <t>Entregue mãe Isabella (coisas p/casa)</t>
  </si>
  <si>
    <t>Almoço Heverton - TI</t>
  </si>
  <si>
    <t>Guarda Chuva Bella</t>
  </si>
  <si>
    <t>Mão de Obra Telhamento garagem (Moacir)</t>
  </si>
  <si>
    <t>Pagto. Conta Agua Fevereiro/20</t>
  </si>
  <si>
    <t>Aluguel BIKE Familia (Pq Villa Lobos)</t>
  </si>
  <si>
    <t>Estacionamento Pq Villa Lobos</t>
  </si>
  <si>
    <t>Almoço (meu, Bella, e Mãe)</t>
  </si>
  <si>
    <t>Adiantamento Março / 2020</t>
  </si>
  <si>
    <t>Coisas Almoço</t>
  </si>
  <si>
    <t>Xarope tosse Bella</t>
  </si>
  <si>
    <t>Prestobarba (4 recergas)</t>
  </si>
  <si>
    <t>Ajuda Gaz casa</t>
  </si>
  <si>
    <t>Pizza Brotinho</t>
  </si>
  <si>
    <t>Abril/2020</t>
  </si>
  <si>
    <t>Salário Março / 2020</t>
  </si>
  <si>
    <t>Fatura Cartão Crédito Março / 2020</t>
  </si>
  <si>
    <t>80,90- paguei integral, compensar almoços Sabado/Domingo</t>
  </si>
  <si>
    <t>Pagto. Conta Luz Março / 2020</t>
  </si>
  <si>
    <t>76,77 - paguei integral, compensar almoços Sabado/Domingo</t>
  </si>
  <si>
    <t>Ovos de Páscoa (Bella, Joise, Kauan, Bruna, Antony, Josi) R$ 100,00 crédito</t>
  </si>
  <si>
    <t>Coisas para Hot Dog</t>
  </si>
  <si>
    <t>Pagto. Conta Agua Março/20</t>
  </si>
  <si>
    <t>MOTO G8 64 GB 4RAM AZUL (R$ 488,57 crédito 1x)</t>
  </si>
  <si>
    <t>Mac</t>
  </si>
  <si>
    <t>Carrinho bombeiro Niver Kauan</t>
  </si>
  <si>
    <t>Coisas p/casa</t>
  </si>
  <si>
    <t>Adiantamento Abril / 2020</t>
  </si>
  <si>
    <t>Pedágio Diadema</t>
  </si>
  <si>
    <t>Coisas Churras Niver Kauan</t>
  </si>
  <si>
    <t>ASTRA - Licenciamento + DPVAT + Taxa correio - 2020</t>
  </si>
  <si>
    <t>Maio/2020</t>
  </si>
  <si>
    <t>Caderno colorir Bella</t>
  </si>
  <si>
    <t>Salário Abril / 2020</t>
  </si>
  <si>
    <t>Fatura Cartão Crédito Abril / 2020</t>
  </si>
  <si>
    <t>Pagto. Conta Luz Abril / 2020</t>
  </si>
  <si>
    <t>Chinelo Bella 29-30</t>
  </si>
  <si>
    <t>Presente dias das Mães</t>
  </si>
  <si>
    <t>Pagto. Conta Agua Abril/20</t>
  </si>
  <si>
    <t>Óleo Moto</t>
  </si>
  <si>
    <t>Graxa moto</t>
  </si>
  <si>
    <t>Shampoo Carro</t>
  </si>
  <si>
    <t>Adiantamento Maio / 2020</t>
  </si>
  <si>
    <t>Capa celular moto g6 Bella</t>
  </si>
  <si>
    <t>Conserto entrada carreg  MOTOG6 Bella</t>
  </si>
  <si>
    <t>Cabo tipo C MOTOG6 Bella</t>
  </si>
  <si>
    <t>Pelicula 3D MOTOG8</t>
  </si>
  <si>
    <t>Estacionamento Family</t>
  </si>
  <si>
    <t>Dipironas</t>
  </si>
  <si>
    <t>10,00 recarga joise</t>
  </si>
  <si>
    <t>Junho/2020</t>
  </si>
  <si>
    <t>Coisas p/ casa</t>
  </si>
  <si>
    <t>Salário Maio / 2020</t>
  </si>
  <si>
    <t>Fatura Cartão Crédito Maio / 2020</t>
  </si>
  <si>
    <t>Pagto. Conta Luz Maio / 2020</t>
  </si>
  <si>
    <t>Zerada devido pandemia</t>
  </si>
  <si>
    <t>2 travesseiros</t>
  </si>
  <si>
    <t>Frango almoço</t>
  </si>
  <si>
    <t>BEM - Beneficio Emergencial -  Redução Jornada e Salário em 25%</t>
  </si>
  <si>
    <t>Carregador celular Bella - MOTOG6</t>
  </si>
  <si>
    <t>Bebidas MOTEL dia namorados</t>
  </si>
  <si>
    <t>Motel DEMY dia namorados entrada dia 13/06 dividido por 2</t>
  </si>
  <si>
    <t>Pagto. Conta Agua Maio/20</t>
  </si>
  <si>
    <t>DPVAT Moto 2020</t>
  </si>
  <si>
    <t>Licenciamento Moto 2020</t>
  </si>
  <si>
    <t>Adiantamento Junho / 2020</t>
  </si>
  <si>
    <t>Maionese churras</t>
  </si>
  <si>
    <t>Buchas parede barra fixa</t>
  </si>
  <si>
    <t>Exames Bella (entregue mãe)</t>
  </si>
  <si>
    <t>Julho/2020</t>
  </si>
  <si>
    <t>Salário Junho / 2020</t>
  </si>
  <si>
    <t>Fatura Cartão Crédito Junho / 2020</t>
  </si>
  <si>
    <t>Pagto. Conta Luz Junho / 2020</t>
  </si>
  <si>
    <t>Lampadas laje e quarto (2)</t>
  </si>
  <si>
    <t>Fatura Cartão Crédito Julho / 2020-pagto adiantado</t>
  </si>
  <si>
    <t>Conserto sistema amortecimento dianteiro Astra (R$ 1.245,00 total) R$ 500,00 crédito 3x</t>
  </si>
  <si>
    <t xml:space="preserve">Torneira rua </t>
  </si>
  <si>
    <t>BEM - Beneficio Emergencial -  Redução Jornada e Salário em 25%  - Parcela 2/3</t>
  </si>
  <si>
    <t>Sacos lixos reforçados</t>
  </si>
  <si>
    <t>Pagto. Conta Agua Junho/20</t>
  </si>
  <si>
    <t>Mão de Obra Moacir (encanamento laje, máquina) R$ 120,00 total dividido com Eduardo</t>
  </si>
  <si>
    <t>Bolo aniversário namoro</t>
  </si>
  <si>
    <t>Bebidas Motel</t>
  </si>
  <si>
    <t>Motel Demy dividido com Joise - Niver namoro 4 anos (40%desconto)</t>
  </si>
  <si>
    <t>Adiantamento Julho / 2020</t>
  </si>
  <si>
    <t>Entregue mãe Isabella (coisas p/casa + baba)</t>
  </si>
  <si>
    <t>Máscaras LUPO COVID-19 / 2 unidades</t>
  </si>
  <si>
    <t>Ovos + Maças</t>
  </si>
  <si>
    <t>Tomate</t>
  </si>
  <si>
    <t>Velas Aniver Mãe</t>
  </si>
  <si>
    <t>Carvão + Limão aniver mãe</t>
  </si>
  <si>
    <t>Churras aniver mãe (dividido Eduardo)</t>
  </si>
  <si>
    <t>Miojo</t>
  </si>
  <si>
    <t>Restituição IR 2019</t>
  </si>
  <si>
    <t>2 gravatas (preta e vermelha)</t>
  </si>
  <si>
    <t>Agosto/2020</t>
  </si>
  <si>
    <t>Salário Julho / 2020</t>
  </si>
  <si>
    <t>Fatura Cartão Crédito Julho / 2020</t>
  </si>
  <si>
    <t>Pagto. Conta Luz Julho / 2020</t>
  </si>
  <si>
    <t>Presente Bruna (pingente menino) dividido com Joise)</t>
  </si>
  <si>
    <t>Lanche (Esfihas)</t>
  </si>
  <si>
    <t>Almoço dia dos pais</t>
  </si>
  <si>
    <t>Sorvete MAC</t>
  </si>
  <si>
    <t>Ovos + Maçãs</t>
  </si>
  <si>
    <t>BEM - Beneficio Emergencial -  Redução Jornada e Salário em 25%  - Parcela 3/3</t>
  </si>
  <si>
    <t>Pão de Metro niver Sogra</t>
  </si>
  <si>
    <t>Bolo aniver Bruna</t>
  </si>
  <si>
    <t>Perfume Coffe Seduction - 1/2</t>
  </si>
  <si>
    <t>Adiantamento Agosto / 2020</t>
  </si>
  <si>
    <t>Academia (R$70,00)</t>
  </si>
  <si>
    <t>Pagto. Conta Agua Julho/20</t>
  </si>
  <si>
    <t>Lanche aniversário Samuel</t>
  </si>
  <si>
    <t>Lanche (pastel com Bella)</t>
  </si>
  <si>
    <t>Setembro/2020</t>
  </si>
  <si>
    <t xml:space="preserve">Bananas </t>
  </si>
  <si>
    <t>Salário Agosto / 2020</t>
  </si>
  <si>
    <t>Fatura Cartão Crédito Agosto / 2020</t>
  </si>
  <si>
    <t>Pagto. Conta Luz Agosto / 2020</t>
  </si>
  <si>
    <t>Perfume Coffe Seduction - 2/2</t>
  </si>
  <si>
    <t>Lixeira rua 1/2</t>
  </si>
  <si>
    <t>Saque emergencial FGTS - COVID 19</t>
  </si>
  <si>
    <t>Coisas decoração festa Isabella</t>
  </si>
  <si>
    <t>Pratos aniversário Bella</t>
  </si>
  <si>
    <t>Pagto. Conta Agua Agosto/20</t>
  </si>
  <si>
    <t>Perfume One Million (fortune)</t>
  </si>
  <si>
    <t>Presente Alkione (dividido Joise)</t>
  </si>
  <si>
    <t>Brigadeiro + beijinho aniver Bella</t>
  </si>
  <si>
    <t>Adiantamento Setembro / 2020</t>
  </si>
  <si>
    <t>Prestobarba - 2 recargas</t>
  </si>
  <si>
    <t>Coisas Churrasco Aniver Bella+(R$ 85,81 carne crédito)</t>
  </si>
  <si>
    <t>Aluguel brinquedos Aniver Bella (piscina bolinhas, Pula pula, 2 cavalinhos)</t>
  </si>
  <si>
    <t>Bolo aniver Bella (mulher maravilha)</t>
  </si>
  <si>
    <t>Bexigas aniver Bella</t>
  </si>
  <si>
    <t>Mascara FROZEN Bella</t>
  </si>
  <si>
    <t>Corrente pescoço (R$ 50,00 crédito)</t>
  </si>
  <si>
    <t>Hospedagem Ilhabela 1/2</t>
  </si>
  <si>
    <t>Total R$ 280,00 dividido com Joise</t>
  </si>
  <si>
    <t xml:space="preserve">TED </t>
  </si>
  <si>
    <t>Juros Tesouro (juros negativo pra esse mês)</t>
  </si>
  <si>
    <t>Outubro/2020</t>
  </si>
  <si>
    <t>Salário Setembro / 2020</t>
  </si>
  <si>
    <t>Fatura Cartão Crédito Setembro / 2020</t>
  </si>
  <si>
    <t>Pagto. Conta Luz Setembro / 2020</t>
  </si>
  <si>
    <t>Lixeira rua 2/2</t>
  </si>
  <si>
    <t>Camiseta Laranja de R$ 30,00 por R$ 10,00 - CEA</t>
  </si>
  <si>
    <t>2 cuecas (azul e preta PUMA)</t>
  </si>
  <si>
    <t>Hospedagem Ilhabela 2/2</t>
  </si>
  <si>
    <t>Comida viagem ilhabela</t>
  </si>
  <si>
    <t>Havaianas azul</t>
  </si>
  <si>
    <t>Pizza (dividido com Joise)</t>
  </si>
  <si>
    <t>Óculos quadrado em Ilhabela</t>
  </si>
  <si>
    <t>Passeio caiac Ilhabela</t>
  </si>
  <si>
    <t>Entregue minha mãe coisas Isabella</t>
  </si>
  <si>
    <t>Pedágios levar Bella Diadema</t>
  </si>
  <si>
    <t>Ketchup para Bruna</t>
  </si>
  <si>
    <t>Bombom aniver</t>
  </si>
  <si>
    <t>Pagto. Conta Agua Setembro/20</t>
  </si>
  <si>
    <t>Pedágios buscar Bella Diadema</t>
  </si>
  <si>
    <t>Jogo cama (lençol + 2 fronhas branco com preto)</t>
  </si>
  <si>
    <t>Adiantamento Outubro / 2020</t>
  </si>
  <si>
    <t>Sapato tipo mocassins Azul (total R$ 150,00 / R$ 120,00 crédito 3x)</t>
  </si>
  <si>
    <t>Camiseta POLO cinza (total 100,00 troca presente alkione R$ 50,00)</t>
  </si>
  <si>
    <t>Camisa vinho</t>
  </si>
  <si>
    <t>Gasolina carro</t>
  </si>
  <si>
    <t>Presente Joise (sandália melissa branca)total R$ 120 / R$ 100 crédito 2x</t>
  </si>
  <si>
    <t>Presente Joise (blusinha rosa) Bella entregar</t>
  </si>
  <si>
    <t xml:space="preserve">Suco </t>
  </si>
  <si>
    <t>Torta niver Joise</t>
  </si>
  <si>
    <t>Lanche Burger KING</t>
  </si>
  <si>
    <t>Novembro/2020</t>
  </si>
  <si>
    <t>Depósito mãe Isabella (coisas p/casa)</t>
  </si>
  <si>
    <t>Salário Outubro / 2020</t>
  </si>
  <si>
    <t>Fatura Cartão Crédito Outubro / 2020</t>
  </si>
  <si>
    <t>paguei integral ajudar na feijoada</t>
  </si>
  <si>
    <t>Pagto. Conta Luz Outubro / 2020</t>
  </si>
  <si>
    <t>Acool carro</t>
  </si>
  <si>
    <t>Hospedagem Ilhabella ano novo 1/3</t>
  </si>
  <si>
    <t>Entregue mãe Isabella (BABA)</t>
  </si>
  <si>
    <t>Entregue mãe Isabella (coisas p/ casa)</t>
  </si>
  <si>
    <t>Pagto. Conta Agua Outubro/20</t>
  </si>
  <si>
    <t>Case Para Hd Externo Transparente Notebook Sata 2.5 Usb 3.0 Gaveta Hd Usb Original Transmissão 6gbps</t>
  </si>
  <si>
    <t>SSD Notebook-Disco sólido interno Kingston SA400S37/240G 240GB (total R$ 239,40 - R$ 139,40 crédito)</t>
  </si>
  <si>
    <t>Adiantamento Novembro / 2020</t>
  </si>
  <si>
    <t>Ingressos parquinho Shopping com Bella</t>
  </si>
  <si>
    <t>Conserto Pneu Carro</t>
  </si>
  <si>
    <t>Açãi + sorvete com Bella</t>
  </si>
  <si>
    <t>Almoço (lanche)</t>
  </si>
  <si>
    <t>Pano chão</t>
  </si>
  <si>
    <t>Almoço (isabella, joise)</t>
  </si>
  <si>
    <t>Pastel cm Bella</t>
  </si>
  <si>
    <t>1ª Parcela 13º - 2020</t>
  </si>
  <si>
    <t>Dezembro/2020</t>
  </si>
  <si>
    <t>Salário Novembro / 2020</t>
  </si>
  <si>
    <t>Fatura Cartão Crédito Novembro / 2020</t>
  </si>
  <si>
    <t>Pagto. Conta Luz Novembro / 2020</t>
  </si>
  <si>
    <t>Cimento + areia reboco paredes laje</t>
  </si>
  <si>
    <t>Hospedagem Ilhabella ano novo 2/3</t>
  </si>
  <si>
    <t>Areia reboco paredes laje</t>
  </si>
  <si>
    <t>Coisas p/churrasco em casa</t>
  </si>
  <si>
    <t>Mão de Obra paredes laje</t>
  </si>
  <si>
    <t>Pão de metro (niver Fabiana)</t>
  </si>
  <si>
    <t>Conserto seta frontal direita Astra</t>
  </si>
  <si>
    <t>Pagto. Conta Agua Novembro/20</t>
  </si>
  <si>
    <t>2ª Parcela 13º - 2020</t>
  </si>
  <si>
    <t>Férias 2019/2020</t>
  </si>
  <si>
    <t>Hospedagem Ilhabella ano novo 3/3</t>
  </si>
  <si>
    <t>Entregue Mãe Isabela (coisas p/Casa)</t>
  </si>
  <si>
    <t>Jantar Japones (meu e Joise)</t>
  </si>
  <si>
    <t>3 Biquinis Bella</t>
  </si>
  <si>
    <t>Troca de óleo (2 litros+ filtro) 24.287 km</t>
  </si>
  <si>
    <t>2 jogos megavirada</t>
  </si>
  <si>
    <t>Troca óleo carro (5 litros 20w50 + fltros)</t>
  </si>
  <si>
    <t>Junta tampa de válvula</t>
  </si>
  <si>
    <t>IPTU 2020</t>
  </si>
  <si>
    <t>Coisas churrasco natal</t>
  </si>
  <si>
    <t>dividido Bruna e Eduardo</t>
  </si>
  <si>
    <t>Cervejas churrasco natal</t>
  </si>
  <si>
    <t>Carvão Churrasco Natal</t>
  </si>
  <si>
    <t>Cervejas Ilhabela</t>
  </si>
  <si>
    <t>Graxa e borrachas tampa filtro óleo</t>
  </si>
  <si>
    <t>Acool carro (ilhabela)</t>
  </si>
  <si>
    <t>Troca bateria relógio MAGNUM Prata</t>
  </si>
  <si>
    <t>Troca bateria relógio MAGNUM Couro</t>
  </si>
  <si>
    <t>Pulseira relógio MAGNUM Couro marrom</t>
  </si>
  <si>
    <t>3 Sungas (Azul, Vermelha, Verde) R$ 59,90 crédito</t>
  </si>
  <si>
    <t>Bermuda Cinza</t>
  </si>
  <si>
    <t>Camisa Branca com azul (praiana)</t>
  </si>
  <si>
    <t>Bermuda Jeans Azul</t>
  </si>
  <si>
    <t>Agua, Ices, Sucos Ilhabela</t>
  </si>
  <si>
    <t>Brinquedos praia Bella</t>
  </si>
  <si>
    <t>Motor Phantom 2 (sentido horário)</t>
  </si>
  <si>
    <t>valor correto 100,00 (90,00 foi pago pelo ex dono do drone)</t>
  </si>
  <si>
    <t>Polo Rosa</t>
  </si>
  <si>
    <t>Bermuda moleton branca</t>
  </si>
  <si>
    <t>Vestido ano novo praia Bella</t>
  </si>
  <si>
    <t>Conjunto calor praia Bella</t>
  </si>
  <si>
    <t>Gelo praia</t>
  </si>
  <si>
    <t>Óculos rosa Bella - Ilhabela</t>
  </si>
  <si>
    <t>Despesas 2020</t>
  </si>
  <si>
    <t>Proventos 2020</t>
  </si>
  <si>
    <t>BEM - Beneficio emergencial redução salario / jornada</t>
  </si>
  <si>
    <t>Saque FGTS Emergencial COVID-19</t>
  </si>
  <si>
    <t>Recebimentos Liq (média 12 meses)</t>
  </si>
  <si>
    <t>Janeiro / 2021</t>
  </si>
  <si>
    <t>Lanche Praia ano novo</t>
  </si>
  <si>
    <t>Coisas mercado praia</t>
  </si>
  <si>
    <t>Sorvete praia Bella</t>
  </si>
  <si>
    <t>Pasteis</t>
  </si>
  <si>
    <t>Chocolates</t>
  </si>
  <si>
    <t>Açai + sorvete</t>
  </si>
  <si>
    <t>Reembolso VT Samuel</t>
  </si>
  <si>
    <t>Salário Dezembro/20  (01 dia folha)</t>
  </si>
  <si>
    <t>Salário Dezembro/20 (16 dias pf)</t>
  </si>
  <si>
    <t>Fatura Cartão Crédito Dezembro / 2020</t>
  </si>
  <si>
    <t>234,80 dividido por 2</t>
  </si>
  <si>
    <t>Pagto. Conta Luz Dezembro / 2020</t>
  </si>
  <si>
    <t>IPVA Astra 2021 1/3</t>
  </si>
  <si>
    <t>IPVA Twiser 2021 1/3</t>
  </si>
  <si>
    <t>Ventilador Ventidelta com controle remoto (total R$ 261,00 - R$ 101,00 crédito)</t>
  </si>
  <si>
    <t>Chá verde</t>
  </si>
  <si>
    <t>Cerveja (Sorocaba)</t>
  </si>
  <si>
    <t>Presente niver Verinha</t>
  </si>
  <si>
    <t>Pagto. Conta Agua Dezembro/20</t>
  </si>
  <si>
    <t>Dentista Bella (arrancar dente nasceu fora lugar, 1 cárie) R$ 150,00 crédito</t>
  </si>
  <si>
    <t>IPTV (R$ 30,00)</t>
  </si>
  <si>
    <t>Adiantamento Janeiro / 2021</t>
  </si>
  <si>
    <t>Caixa e SKOL</t>
  </si>
  <si>
    <t>Almoço mãe</t>
  </si>
  <si>
    <t xml:space="preserve">Caixa Som JBL flip 5 ORIGINAL (presente p/Joise) total R$ 557,86 - débito R$ 53,81 </t>
  </si>
  <si>
    <t>Fevereiro / 2021</t>
  </si>
  <si>
    <t>Cha verde</t>
  </si>
  <si>
    <t>Salário Janeiro / 2021</t>
  </si>
  <si>
    <t>Fatura Cartão Crédito Janeiro / 2021</t>
  </si>
  <si>
    <t>Pagto. Conta Luz Janeiro / 2021</t>
  </si>
  <si>
    <t>Coisas churrasco do dia 30/01/21</t>
  </si>
  <si>
    <t>IPVA Astra 2021 2/3</t>
  </si>
  <si>
    <t>IPVA Twiser 2021 2/3</t>
  </si>
  <si>
    <t>Camisa Social Cinza</t>
  </si>
  <si>
    <t>Pastéis</t>
  </si>
  <si>
    <t>Pagto. Conta Agua Janeiro/21</t>
  </si>
  <si>
    <t>Adiantamento Fevereiro / 2021</t>
  </si>
  <si>
    <t>Não foi pago, não esta fazendo o transporte, não tem aula devido covid-19</t>
  </si>
  <si>
    <t>Presente niver Antony</t>
  </si>
  <si>
    <t>Mãe (cuidar Isabella)</t>
  </si>
  <si>
    <t>Pedágio casa mãe</t>
  </si>
  <si>
    <t>IPTU 2021</t>
  </si>
  <si>
    <t>Mão de obra troca moto arranque</t>
  </si>
  <si>
    <t>Presente Eduardo (caixa 6 heinekens)</t>
  </si>
  <si>
    <t>Almoço (FEIJOADA)</t>
  </si>
  <si>
    <t>Março / 2021</t>
  </si>
  <si>
    <t xml:space="preserve">Venda Twister 2016 Vermelha </t>
  </si>
  <si>
    <t>IPVA Twiser 2021 3/3</t>
  </si>
  <si>
    <t>Mascaras covid lupo (2)</t>
  </si>
  <si>
    <t>Salário Fevereiro / 2021</t>
  </si>
  <si>
    <t>Fatura Cartão Crédito Fevereiro / 2021</t>
  </si>
  <si>
    <t>Pagto. Conta Luz Fevereiro / 2021</t>
  </si>
  <si>
    <t>IPVA Astra 2021 3/3</t>
  </si>
  <si>
    <t>Mensalidade Colégio Apolo (Bella)</t>
  </si>
  <si>
    <t>Total 620,00 devolvido 310,00 escola parou dia 16/03</t>
  </si>
  <si>
    <t>Matricula Colégio Apolo (Bella)</t>
  </si>
  <si>
    <t>Total 100,00 devolvido 50,00 escola parou dia 16/04</t>
  </si>
  <si>
    <t>MOTO MT 03 Azul - 2018 (2.700 km rodado)</t>
  </si>
  <si>
    <t>Reconhec Assinatura Transf MOTO</t>
  </si>
  <si>
    <t>Laudo ECV transf moto MT 03</t>
  </si>
  <si>
    <t>Licenciamento 2021 - Moto MT03</t>
  </si>
  <si>
    <t>Transferência Moto Sto Andre p/ EMBU (paga no DETRAN)</t>
  </si>
  <si>
    <t>Pagto. Conta Agua Fevereiro/21</t>
  </si>
  <si>
    <t>Adiantamento Março / 2021</t>
  </si>
  <si>
    <t>fechada devido a COVID-19 - FECHOU EM 06/03/21</t>
  </si>
  <si>
    <t>Troca óleo MT03 (2.840 km) 2 litros yamalube 10x40w</t>
  </si>
  <si>
    <t>Óleo corrente MT03</t>
  </si>
  <si>
    <t>Entregue mãe Isabella (creche)</t>
  </si>
  <si>
    <t>Ovo pascoa escola Bella</t>
  </si>
  <si>
    <t>Burrifador + pincel</t>
  </si>
  <si>
    <t>Coisas p/churrasco</t>
  </si>
  <si>
    <t>Multa média velocidade (Ilhabela tamoios Outubro/20) 1/3</t>
  </si>
  <si>
    <t>Netflix (R$ 21,90)</t>
  </si>
  <si>
    <t>Abril / 2021</t>
  </si>
  <si>
    <t>Ovo páscoa Bella</t>
  </si>
  <si>
    <t>Ovo páscoa Joise</t>
  </si>
  <si>
    <t>Álcool carro</t>
  </si>
  <si>
    <t>Salário Março / 2021</t>
  </si>
  <si>
    <t>Fatura Cartão Crédito Março / 2021</t>
  </si>
  <si>
    <t>Pagto. Conta Luz Março / 2021</t>
  </si>
  <si>
    <t>Licenciamento 2021 - ASTRA</t>
  </si>
  <si>
    <t>Gel + Pente</t>
  </si>
  <si>
    <t>Conj blusa vermelha + calça cinza Bella</t>
  </si>
  <si>
    <t>Presente priminha Joise (vestido azul)</t>
  </si>
  <si>
    <t>Pagto. Conta Agua Março/21</t>
  </si>
  <si>
    <t>Placa Mercosul MOTO MT03</t>
  </si>
  <si>
    <t>Cervejas Motel</t>
  </si>
  <si>
    <t>Motel DEMY</t>
  </si>
  <si>
    <t>Adiantamento Abril / 2021</t>
  </si>
  <si>
    <t>fechada devido a COVID-19</t>
  </si>
  <si>
    <t>Multa média velocidade (Ilhabela tamoios Outubro/20) 2/3</t>
  </si>
  <si>
    <t>Multa 5 pontos Thiago</t>
  </si>
  <si>
    <t>Presente niver Kauan (conjunto bermuda + camiseta)</t>
  </si>
  <si>
    <t>Para mãe (comprar presente Kauan)</t>
  </si>
  <si>
    <t>Cervejas niver Kauan</t>
  </si>
  <si>
    <t>Churrasco niver Kauan</t>
  </si>
  <si>
    <t>Maio / 2021</t>
  </si>
  <si>
    <t>Camisa branca</t>
  </si>
  <si>
    <t>Salário Abril / 2021</t>
  </si>
  <si>
    <t>Fatura Cartão Crédito Abril / 2021</t>
  </si>
  <si>
    <t>Pagto. Conta Luz Abril / 2021</t>
  </si>
  <si>
    <t>Escola Silene (Bella)</t>
  </si>
  <si>
    <t>Presente dia das Mães (dinheiro)</t>
  </si>
  <si>
    <t>Gelo (cervejas pq rizzo)</t>
  </si>
  <si>
    <t>Sorvetes pq rizzo</t>
  </si>
  <si>
    <t>Limpeza Dente (50,00 crédito total 150,00)</t>
  </si>
  <si>
    <t>Creme hidratante cabelo LOLA</t>
  </si>
  <si>
    <t>Cueca sambacanção</t>
  </si>
  <si>
    <t>Pagto. Conta Agua Abril/21</t>
  </si>
  <si>
    <t>Adiantamento Maio / 2021</t>
  </si>
  <si>
    <t>Junho / 2021</t>
  </si>
  <si>
    <t>Óculos de grau (R$ 300,00 total - R$ 150,00 crédito 3x)</t>
  </si>
  <si>
    <t>Brinquedos parque Shopping Bella</t>
  </si>
  <si>
    <t>Salário Maio / 2021</t>
  </si>
  <si>
    <t>Fatura Cartão Crédito Maio / 2021</t>
  </si>
  <si>
    <t>Pagto. Conta Luz Maio / 2021</t>
  </si>
  <si>
    <t>Corte cabelo gilete</t>
  </si>
  <si>
    <t>Pedágio Alphaville</t>
  </si>
  <si>
    <t>Entrada Vintage</t>
  </si>
  <si>
    <t>Estacionamento Vintage</t>
  </si>
  <si>
    <t>Balde skol Vintage</t>
  </si>
  <si>
    <t>55,00 (joise pagou R$ 25,00)</t>
  </si>
  <si>
    <t>Balde skol + caipirinha Vintage</t>
  </si>
  <si>
    <t>75,00 (joise pagou R$ 37,50)</t>
  </si>
  <si>
    <t>Agua Vintage</t>
  </si>
  <si>
    <t>Gel + Lake + Creme dental</t>
  </si>
  <si>
    <t>Crossbones 300g - Pré Treino - Black Skull + Shaker</t>
  </si>
  <si>
    <t>Pagto. Conta Agua Maio/21</t>
  </si>
  <si>
    <t>Adiantamento Junho / 2021</t>
  </si>
  <si>
    <t>Entregue mãe</t>
  </si>
  <si>
    <t>Pensão Isabella</t>
  </si>
  <si>
    <t>Jogo Quina</t>
  </si>
  <si>
    <t>Multa média velocidade (Ilhabela tamoios Outubro/20) 3/3</t>
  </si>
  <si>
    <t>Algodão doce Bella / Kauan Praia</t>
  </si>
  <si>
    <t>Praia (cervejas, pão alho, queijo, linguiça)</t>
  </si>
  <si>
    <t>Bebidas quiosque praia</t>
  </si>
  <si>
    <t>Brincos Bella</t>
  </si>
  <si>
    <t>Refri/Agua Bella-Kauan</t>
  </si>
  <si>
    <t>Boné praia Bella</t>
  </si>
  <si>
    <t xml:space="preserve">Sorvete praia </t>
  </si>
  <si>
    <t>Estacionamento praia</t>
  </si>
  <si>
    <t>30,00 total - Dividido com Bruna</t>
  </si>
  <si>
    <t>Máscaras COVID 2 unidades LUPO</t>
  </si>
  <si>
    <t>Lampada LED banheiro</t>
  </si>
  <si>
    <t>Película tela celular</t>
  </si>
  <si>
    <t>Remédios Bella (diarréia) total R$ 92,07 - R$ 62,07 crédito</t>
  </si>
  <si>
    <t>Restituição IR 2020</t>
  </si>
  <si>
    <t>Cabo vassoura</t>
  </si>
  <si>
    <t>Conserto ziper calça social</t>
  </si>
  <si>
    <t>Julho / 2021</t>
  </si>
  <si>
    <t>Remédios Bella (diarréia)</t>
  </si>
  <si>
    <t>Frango assado - Almoço</t>
  </si>
  <si>
    <t>Salário Junho / 2021</t>
  </si>
  <si>
    <t>Fatura Cartão Crédito Junho / 2021</t>
  </si>
  <si>
    <t xml:space="preserve">Calça social - sarja Bege 1/4 </t>
  </si>
  <si>
    <t>Calça jeans azul claro - 1/4</t>
  </si>
  <si>
    <t>Calça sarja Bege - 1/4</t>
  </si>
  <si>
    <t>Calça moletom preta Bege - 1/4</t>
  </si>
  <si>
    <t>Pagto. Conta Luz Junho / 2021</t>
  </si>
  <si>
    <t>Pedágios Guarulhos</t>
  </si>
  <si>
    <t>Shampoo + Gel cabelo</t>
  </si>
  <si>
    <t>Pagto. Conta Agua Junho/21</t>
  </si>
  <si>
    <t>Jantar chalézinho 5 anos namoro (R$ 475,00 total dividido com Joise em 2x crédito) 1/2</t>
  </si>
  <si>
    <t>Pilula dia seguinte</t>
  </si>
  <si>
    <t>Adiantamento Julho / 2021</t>
  </si>
  <si>
    <t>Lubrificante</t>
  </si>
  <si>
    <t>Sorvete Bella pq rizzo</t>
  </si>
  <si>
    <t>Brinquedos Bella pq rizzo</t>
  </si>
  <si>
    <t>Presente aniversário Mãe (dinheiro)</t>
  </si>
  <si>
    <t>Reserva do Furquim 1/203</t>
  </si>
  <si>
    <t>IM</t>
  </si>
  <si>
    <t>joise</t>
  </si>
  <si>
    <t>Imóvel</t>
  </si>
  <si>
    <t>Agosto / 2021</t>
  </si>
  <si>
    <t>Blusa Azul</t>
  </si>
  <si>
    <t>Saboneteira banheiro</t>
  </si>
  <si>
    <t>Salário Julho / 2021</t>
  </si>
  <si>
    <t>Fatura Cartão Crédito Julho / 2021</t>
  </si>
  <si>
    <t xml:space="preserve">Calça social - sarja Bege 2/4 </t>
  </si>
  <si>
    <t>Calça jeans azul claro - 2/4</t>
  </si>
  <si>
    <t>Calça sarja Bege - 2/4</t>
  </si>
  <si>
    <t>Calça moletom preta Bege - 2/4</t>
  </si>
  <si>
    <t>Paga inteira abater feijoada dia 06/08/21</t>
  </si>
  <si>
    <t>Pagto. Conta Luz Julho / 2021</t>
  </si>
  <si>
    <t>Reserva do Furquim 2/203</t>
  </si>
  <si>
    <t>Almoço (feijoada)</t>
  </si>
  <si>
    <t>Churras dia dos pais</t>
  </si>
  <si>
    <t>Presente Bruna (liptint)</t>
  </si>
  <si>
    <t>Bolo Sogra (presente)</t>
  </si>
  <si>
    <t>Entrada Vintagge</t>
  </si>
  <si>
    <t>Balde Skol Vinttage</t>
  </si>
  <si>
    <t>Lanche habibs</t>
  </si>
  <si>
    <t>Pagto. Conta Agua Julho/21</t>
  </si>
  <si>
    <t>Adiantamento Agosto / 2021</t>
  </si>
  <si>
    <t>Presente Bruna</t>
  </si>
  <si>
    <t>(Presente Bella) Smartphone Samsung Galaxy A01 1/2 (Total R$ 502,00)</t>
  </si>
  <si>
    <t>Jantar chalézinho 5 anos namoro (R$ 475,00 total dividido com Joise em 2x crédito) 2/2</t>
  </si>
  <si>
    <t>fatura cartão</t>
  </si>
  <si>
    <t>Óculos de grau (R$ 300,00 total - R$ 150,00 débito) 3/3</t>
  </si>
  <si>
    <t>Netflix (R$ 25,90)</t>
  </si>
  <si>
    <t>Presente Samuel (camiseta dividido com Joise)</t>
  </si>
  <si>
    <t>Bebidas/Churras/Balada/Lazer/Viagem</t>
  </si>
  <si>
    <t>Setembro / 2021</t>
  </si>
  <si>
    <t>Algodão doce Bella</t>
  </si>
  <si>
    <t>Brinquedo Bella - Pq. Rizzo</t>
  </si>
  <si>
    <t>Almoço belas artes com Bella</t>
  </si>
  <si>
    <t>Salário Agosto / 2021</t>
  </si>
  <si>
    <t>Fatura Cartão Crédito Agosto / 2021</t>
  </si>
  <si>
    <t xml:space="preserve">Calça social - sarja Bege 3/4 </t>
  </si>
  <si>
    <t>Calça jeans azul claro - 3/4</t>
  </si>
  <si>
    <t>Calça sarja Bege - 3/4</t>
  </si>
  <si>
    <t>Calça moletom preta Bege - 3/4</t>
  </si>
  <si>
    <t>Pagto. Conta Luz Agosto / 2021</t>
  </si>
  <si>
    <t>Academia (R$ 80,00)</t>
  </si>
  <si>
    <t>Reserva do Furquim 3/203</t>
  </si>
  <si>
    <t>Joise</t>
  </si>
  <si>
    <t>Coparticipação consulta oftalmo (óculos)</t>
  </si>
  <si>
    <t>Passagem volta ribeirão preto (Mãe)</t>
  </si>
  <si>
    <t>Jogo lotofácil (2)</t>
  </si>
  <si>
    <t>Pagto. Conta Agua Agosto/21</t>
  </si>
  <si>
    <t>Película celular Bella</t>
  </si>
  <si>
    <t>Capinha celular Bella</t>
  </si>
  <si>
    <t>Niver Bella (bexigas, brigadeiro,beijinho,forminhas, vela)</t>
  </si>
  <si>
    <t>Pratinhos e garfos vermelhos niver Bella</t>
  </si>
  <si>
    <t>Lampada 20 Watts</t>
  </si>
  <si>
    <t>Decoração aniver Bella (valente)</t>
  </si>
  <si>
    <t>Coisas churrasco Aniver Bella (total 242,05   R$ 172,05 no crédito)</t>
  </si>
  <si>
    <t>Brinquedo pula pula aniver Bella</t>
  </si>
  <si>
    <t>Bolo Bella 7 anos</t>
  </si>
  <si>
    <t>Contra-filé aniver Bella</t>
  </si>
  <si>
    <t>Adiantamento Setembro / 2021</t>
  </si>
  <si>
    <t>Pastel, hot dog</t>
  </si>
  <si>
    <t>Lanche mac</t>
  </si>
  <si>
    <t>Outubro / 2021</t>
  </si>
  <si>
    <t>Veda escape (colar escapamento astra)</t>
  </si>
  <si>
    <t>Mão obra troca óleo</t>
  </si>
  <si>
    <t>Mão obra troca escapamento</t>
  </si>
  <si>
    <t>Salário Setembro / 2021</t>
  </si>
  <si>
    <t>Fatura Cartão Crédito Setembro / 2021</t>
  </si>
  <si>
    <t xml:space="preserve">Calça social - sarja Bege 4/4 </t>
  </si>
  <si>
    <t>Calça jeans azul claro - 4/4</t>
  </si>
  <si>
    <t>Calça sarja Bege - 4/4</t>
  </si>
  <si>
    <t>Calça moletom preta Bege - 4/4</t>
  </si>
  <si>
    <t>paguei integral (almoços)</t>
  </si>
  <si>
    <t>Pagto. Conta Luz Setembro / 2021</t>
  </si>
  <si>
    <t>Reserva do Furquim 4/203</t>
  </si>
  <si>
    <t>Mão de obra carro (troca kit correia dentada+tensor+correia do alternador poli v)</t>
  </si>
  <si>
    <t>Cueca branca</t>
  </si>
  <si>
    <t>Saque aniversário FGTS 2021</t>
  </si>
  <si>
    <t>Reserva do Furquim 1/15 - ANUAL 2021 (antecipada (vencimento real em Dezembro/21)</t>
  </si>
  <si>
    <t>Reserva do Furquim 203/203 (antecipada última parcela Nº 203)</t>
  </si>
  <si>
    <t>Lanche (beirute)</t>
  </si>
  <si>
    <t>Pagto. Conta Agua Setembro/21</t>
  </si>
  <si>
    <t>alterado vencimento dia 25</t>
  </si>
  <si>
    <t>Balde cerveja + Caipirinha Vintagge</t>
  </si>
  <si>
    <t>Adiantamento Outubro / 2021</t>
  </si>
  <si>
    <t>Mascaras COVID-19 Lupo - 2 unidades</t>
  </si>
  <si>
    <t>Roupa academia Mãe 1/2</t>
  </si>
  <si>
    <t>Buque rosas presente Joise (R$ 200,00 cartão presente CeA crédito em 3x)</t>
  </si>
  <si>
    <t>Caixinha cerveja Heineken niver Joise</t>
  </si>
  <si>
    <t>Novembro / 2021</t>
  </si>
  <si>
    <t>Noz da india</t>
  </si>
  <si>
    <t>Salário Outubro / 2021</t>
  </si>
  <si>
    <t>Fatura Cartão Crédito Outubro / 2021</t>
  </si>
  <si>
    <t>Pagto. Conta Luz Outubro / 2021</t>
  </si>
  <si>
    <t>Reserva do Furquim 5/203</t>
  </si>
  <si>
    <t>Entregue mãe (coisas Isabella)</t>
  </si>
  <si>
    <t>Pedágio diadema</t>
  </si>
  <si>
    <t>Pneu meia vida (R$ 100,00 crédito 2x total R$ 150,00)</t>
  </si>
  <si>
    <t>Conserto relógio MAGNUM (Troca máquina)</t>
  </si>
  <si>
    <t>Gel + pente</t>
  </si>
  <si>
    <t xml:space="preserve">Pneu meia vida </t>
  </si>
  <si>
    <t>Conserto Pneu furado astra (frente lado direito)</t>
  </si>
  <si>
    <t>Pastel com Bella</t>
  </si>
  <si>
    <t>Brincadeira pq rizzo Bella</t>
  </si>
  <si>
    <t>Torre Chop (Farwest com Joise)</t>
  </si>
  <si>
    <t>Pastel com Joise</t>
  </si>
  <si>
    <t>Adiantamento Novembro / 2021</t>
  </si>
  <si>
    <t>Fechado pacote de 6 meses por 150,00 (150,00 / 6 = 25,00 por mês) validade 19/11/2021 a 18/05/2022</t>
  </si>
  <si>
    <t>Roupa academia Mãe 2/2</t>
  </si>
  <si>
    <t>TED transferência roupa academia Mãe</t>
  </si>
  <si>
    <t>Kit reparo vidro elétrico Astra</t>
  </si>
  <si>
    <t>Pagto. Conta Agua Outubro/21</t>
  </si>
  <si>
    <t>Lake cabelo</t>
  </si>
  <si>
    <t>Rifa (chocottone Vitória Repume)</t>
  </si>
  <si>
    <t>Desodorantes 6 unidades - Black Friday</t>
  </si>
  <si>
    <t>Pilua dia seguinte Joise</t>
  </si>
  <si>
    <t>Carvão</t>
  </si>
  <si>
    <t>1ª Parcela 13º - 2021</t>
  </si>
  <si>
    <t>Dezembro / 2021</t>
  </si>
  <si>
    <t>Bolão megasena Repume</t>
  </si>
  <si>
    <t xml:space="preserve">Pacote corte cabelo </t>
  </si>
  <si>
    <t>Salário Novembro / 2021</t>
  </si>
  <si>
    <t>Fatura Cartão Crédito Novembro / 2021</t>
  </si>
  <si>
    <t>Pagto. Conta Luz Novembro / 2021</t>
  </si>
  <si>
    <t>Reserva do Furquim 6/203</t>
  </si>
  <si>
    <t>Conserto Pneu por dentro</t>
  </si>
  <si>
    <t>Almoço final de ano (Joise e Samuel)</t>
  </si>
  <si>
    <t>Silencioso (escapamento) Astra 4/4</t>
  </si>
  <si>
    <t>Cartão presente Joise CeA 3/3</t>
  </si>
  <si>
    <t>Jogo de velas e cabos Astra 1/2</t>
  </si>
  <si>
    <t>Flixotide 50mcg 120 doses + Nasonex 120 doses 1/2</t>
  </si>
  <si>
    <t>Cervejas praia (eisenbahn)</t>
  </si>
  <si>
    <t>Pedágio Imigrantes (são vicente)</t>
  </si>
  <si>
    <t>Porção churrasco praia</t>
  </si>
  <si>
    <t>Algodão doce praia (Bella e Kauan)</t>
  </si>
  <si>
    <t>Lanche MAC praia</t>
  </si>
  <si>
    <t>Café na praia</t>
  </si>
  <si>
    <t>Sorvetes na praia</t>
  </si>
  <si>
    <t>Pagto. Conta Agua Novembro/21</t>
  </si>
  <si>
    <t>Mão de obra troca Cabos e velas Astra</t>
  </si>
  <si>
    <t>Férias 2020/2021</t>
  </si>
  <si>
    <t>Ventilador Philco PVT320p 1/2</t>
  </si>
  <si>
    <t xml:space="preserve">Lanche Mac </t>
  </si>
  <si>
    <t>23,80 joise</t>
  </si>
  <si>
    <t>2ª Parcela 13º - 2021</t>
  </si>
  <si>
    <t>Cimegrip</t>
  </si>
  <si>
    <t>Patinete azul Kauan (presente natal)</t>
  </si>
  <si>
    <t>10 pães de mel natal (Bia priminha)</t>
  </si>
  <si>
    <t>Capinha transparente celular</t>
  </si>
  <si>
    <t>Carne churras natal</t>
  </si>
  <si>
    <t>Cervejas natal</t>
  </si>
  <si>
    <t>colocou 80,00 cobrou 50,00</t>
  </si>
  <si>
    <t>Pulseira braço Bruna</t>
  </si>
  <si>
    <t>Pulseira braço Joise</t>
  </si>
  <si>
    <t>Janeiro / 2022</t>
  </si>
  <si>
    <t>Reserva do Furquim (Imóvel)</t>
  </si>
  <si>
    <t>Churrasco final de ano</t>
  </si>
  <si>
    <t>Camisa praiana colorida azul</t>
  </si>
  <si>
    <t>Cooler praia vermelho 28 litros</t>
  </si>
  <si>
    <t>Camiseta regata rosa</t>
  </si>
  <si>
    <t>Bebibas praia (Paraty)</t>
  </si>
  <si>
    <t>Camisinhas ( 2 pacotes)</t>
  </si>
  <si>
    <t>Gasolina carro (viagem Paraty RJ)</t>
  </si>
  <si>
    <t>100,00 parte Joise combustivel</t>
  </si>
  <si>
    <t>Almoço em Paraty</t>
  </si>
  <si>
    <t>Churros praia</t>
  </si>
  <si>
    <t>Porção praia</t>
  </si>
  <si>
    <t>Hamburguer artesanal centro Paraty</t>
  </si>
  <si>
    <t>Travessia p/ ilha do Pelado meu e Joise</t>
  </si>
  <si>
    <t>Pilula dia seguinte Joise</t>
  </si>
  <si>
    <t>Bebidas praia</t>
  </si>
  <si>
    <t>Salário Dezembro / 2021 (folha 18 dias)</t>
  </si>
  <si>
    <t>Salário Dezembro / 2021 (PF 03 dias)</t>
  </si>
  <si>
    <t>Fatura Cartão Crédito Dezembro / 2021</t>
  </si>
  <si>
    <t>Pagto. Conta Luz Dezembro / 2021</t>
  </si>
  <si>
    <t>Reserva do Furquim 7/203</t>
  </si>
  <si>
    <t>Amendoim praia</t>
  </si>
  <si>
    <t>Cerveja praia</t>
  </si>
  <si>
    <t>Presente Sueli (por acompanhar minha mãe)</t>
  </si>
  <si>
    <t>Remédio alergia mãe (dividido com Bruna)</t>
  </si>
  <si>
    <t>Pacote internet 30 GB</t>
  </si>
  <si>
    <t>Ventilador Philco PVT320p 2/2</t>
  </si>
  <si>
    <t>Sorvetes parque rizzo</t>
  </si>
  <si>
    <t>Algodão doce parque rizzo</t>
  </si>
  <si>
    <t>Agua parque rizzo</t>
  </si>
  <si>
    <t>Bandeja 30 ovos</t>
  </si>
  <si>
    <t>Exames demartológicos mãe (alergia)</t>
  </si>
  <si>
    <t>dividido com Bruna</t>
  </si>
  <si>
    <t xml:space="preserve">Exames psiquiatra mãe </t>
  </si>
  <si>
    <t>Açai meu e Joise</t>
  </si>
  <si>
    <t>Máscaras LUPO 2 unidades</t>
  </si>
  <si>
    <t>Pagto. Conta Agua Dezembro/21</t>
  </si>
  <si>
    <t>Conserto Astra (luz painel,milha direito, chave seta)</t>
  </si>
  <si>
    <t>Filtro ar condicionado astra</t>
  </si>
  <si>
    <t>Silicone painel astra</t>
  </si>
  <si>
    <t>Gasolina carro (levar Paula Guaratingueta)</t>
  </si>
  <si>
    <t>Pedágios (levar Paula Guaratingueta)</t>
  </si>
  <si>
    <t>Doces (cesta Paula)</t>
  </si>
  <si>
    <t>média p/dia</t>
  </si>
  <si>
    <t>% Sobre salário p/dia</t>
  </si>
  <si>
    <t>Renda diária (liquido R$ 3.910,48/30)</t>
  </si>
  <si>
    <t>Fevereiro / 2022</t>
  </si>
  <si>
    <t>Lampada xenon milha lado motorista</t>
  </si>
  <si>
    <t>Salário Janeiro / 2022 (folha 12 dias)</t>
  </si>
  <si>
    <t>Salário Janeiro / 2022 (PF 09 dias)</t>
  </si>
  <si>
    <t>Fatura Cartão Crédito Janeiro / 2022</t>
  </si>
  <si>
    <t>Pagto. Conta Luz Janeiro / 2022</t>
  </si>
  <si>
    <t>Reserva do Furquim 8/203</t>
  </si>
  <si>
    <t>IPVA 2022 (ASTRA) 1/5</t>
  </si>
  <si>
    <t>Camisa social azul</t>
  </si>
  <si>
    <t>Consulta Oftalmo mãe</t>
  </si>
  <si>
    <t>dividido com Bruna e Zezinho</t>
  </si>
  <si>
    <t>Óleo 1 litro SAE 20w50 Astra</t>
  </si>
  <si>
    <t>IPTU 2022</t>
  </si>
  <si>
    <t>Venda moto MT03</t>
  </si>
  <si>
    <t>Pré treino crossbones Black Skull 300 gr</t>
  </si>
  <si>
    <t>Adiantamento Fevereiro/2022</t>
  </si>
  <si>
    <t>Pagto. Conta Agua Janeiro/22</t>
  </si>
  <si>
    <t>Astra (2 bieletas frontais,cebolinha oleo,bomba dagua,mangueira respiro) total 700,00 (400,00 crédito 2x)</t>
  </si>
  <si>
    <t>Pedágio Osasco ver carro (ONIX)</t>
  </si>
  <si>
    <t>Presente Du (Chopp Heineken 5 litros)</t>
  </si>
  <si>
    <t>Limões caipirinha</t>
  </si>
  <si>
    <t>Contrafilé</t>
  </si>
  <si>
    <t xml:space="preserve">Almoço niver Isabella recepção </t>
  </si>
  <si>
    <t>Conector chuveiro</t>
  </si>
  <si>
    <t>Conserto pneu Astra</t>
  </si>
  <si>
    <t>Março / 2022</t>
  </si>
  <si>
    <t>Resgate tesouro direto</t>
  </si>
  <si>
    <t>Salário Fevereiro / 2022</t>
  </si>
  <si>
    <t>Fatura Cartão Crédito Fevereiro / 2022</t>
  </si>
  <si>
    <t>Pagto. Conta Luz Fevereiro / 2022</t>
  </si>
  <si>
    <t>Reserva do Furquim 9/203</t>
  </si>
  <si>
    <t>Laudo cautelar compra ONIX</t>
  </si>
  <si>
    <t>Troca Astra no ONIX valor de volta</t>
  </si>
  <si>
    <t>Transferência cartório (reconh firma+autenticações)</t>
  </si>
  <si>
    <t>Pedágio Itaim Paulista (buscar ONIX)</t>
  </si>
  <si>
    <t>Almoço Joise dia das mulheres</t>
  </si>
  <si>
    <t>Laudo vistoria transferência ONIX</t>
  </si>
  <si>
    <t>IPVA 2022 Onix (licenciamento,transferência)</t>
  </si>
  <si>
    <t>Licenciamento Onix 2022</t>
  </si>
  <si>
    <t>Taxa transferência Onix 2022</t>
  </si>
  <si>
    <t>Transferência NUinvest (tesouro direto)</t>
  </si>
  <si>
    <t>Rodo banheiro</t>
  </si>
  <si>
    <t>Papel contact preto (envelopar logo GM-Onix)</t>
  </si>
  <si>
    <t>Adiantamento Março/2022</t>
  </si>
  <si>
    <t>Sunga coqueiro</t>
  </si>
  <si>
    <t>Bermuda florida azul</t>
  </si>
  <si>
    <t>Bermuda esportiva Cea azul</t>
  </si>
  <si>
    <t>Bermuda esportiva Cea vermelha</t>
  </si>
  <si>
    <t>Lanche Bella, Kauan</t>
  </si>
  <si>
    <t>Pagto. Conta Agua Fevereiro/22</t>
  </si>
  <si>
    <t>Sacos lixo 100 lt</t>
  </si>
  <si>
    <t>Multa 7 pontos (thiago)</t>
  </si>
  <si>
    <t>Ingressos pq Shopping Bella</t>
  </si>
  <si>
    <t>Renda diária (liquido R$ 4.220,71/30</t>
  </si>
  <si>
    <t>Abril / 2022</t>
  </si>
  <si>
    <t>Conserto capo ONIX (não abrindo)</t>
  </si>
  <si>
    <t>Instalação multimidia Lelonge 1313-ONIX</t>
  </si>
  <si>
    <t>Salário Março / 2022</t>
  </si>
  <si>
    <t>Fatura Cartão Crédito Março / 2022</t>
  </si>
  <si>
    <t>Pagto. Conta Luz Março / 2022</t>
  </si>
  <si>
    <t>Reserva do Furquim 10/203</t>
  </si>
  <si>
    <t>Ovo de páscoa Joise</t>
  </si>
  <si>
    <t>Ajuda internação Ana Paula (Drogas)</t>
  </si>
  <si>
    <t>Placa Mercosul (Onix)</t>
  </si>
  <si>
    <t>Pacote mensal corte cabelo</t>
  </si>
  <si>
    <t>Ovo de páscoa Bella e Kauan (50,00 crédito)</t>
  </si>
  <si>
    <t>Rifa ovo páscoa Zeza</t>
  </si>
  <si>
    <t>Detergente</t>
  </si>
  <si>
    <t>Estopa</t>
  </si>
  <si>
    <t>Desengripante</t>
  </si>
  <si>
    <t>Adiantamento Abril/2022</t>
  </si>
  <si>
    <t>Pagto. Conta Agua Março/22</t>
  </si>
  <si>
    <t>Calotas preto fosco ONIX (cartão crédito)</t>
  </si>
  <si>
    <t>antecipação cartão de crédito</t>
  </si>
  <si>
    <t>Ovo de páscoa Bella e Kauan (cartão crédito)</t>
  </si>
  <si>
    <t>Camiseta azul (cartão crédito)</t>
  </si>
  <si>
    <t>Tinta laranja (parede laje) cartão crédito</t>
  </si>
  <si>
    <t>50 metros cabo 2,5mm (lampadas e tomadas laje)</t>
  </si>
  <si>
    <t>Mão de obra Moacir fiação laje</t>
  </si>
  <si>
    <t>10 metros cabo 2,5mm + 2 soquetes (lampadas e tomadas laje)</t>
  </si>
  <si>
    <t>Gaz de cozinha</t>
  </si>
  <si>
    <t>Beats p/Joise</t>
  </si>
  <si>
    <t>2 pilhas controle remoto TV</t>
  </si>
  <si>
    <t>2 sacos carvão (aniver Kauan)</t>
  </si>
  <si>
    <t>Filé de frango</t>
  </si>
  <si>
    <t>Jogo megasena (bolão empresa)</t>
  </si>
  <si>
    <t>Maio / 2022</t>
  </si>
  <si>
    <t>Saldo FGTS</t>
  </si>
  <si>
    <t>Coisas p/casa (aveia, maçãs, leite)</t>
  </si>
  <si>
    <t>Xbox serie S (500 GB)</t>
  </si>
  <si>
    <t>Salário Abril / 2022</t>
  </si>
  <si>
    <t>Mensalidade Internet (60MB - R$ 70,00)</t>
  </si>
  <si>
    <t>Pagto. Conta Luz Abril / 2022</t>
  </si>
  <si>
    <t>Reserva do Furquim 11/203</t>
  </si>
  <si>
    <t>Depósito FGTS Abril/22</t>
  </si>
  <si>
    <t>Lampada LED 30 Watts (laje)</t>
  </si>
  <si>
    <t>Jogo Xbox séries S (FAR CRY 6)</t>
  </si>
  <si>
    <t>Assinatura 1 mês Game Pass</t>
  </si>
  <si>
    <t>Carregador de Pilhas + 4 pilhas recarregáveis</t>
  </si>
  <si>
    <t>Jogo Xbox séries S (CALL OF DUTY-COLD WAR)</t>
  </si>
  <si>
    <t>Presente dia das mães-Mãe Isabella (Foto com a filha + porta-retrato</t>
  </si>
  <si>
    <t>Galão combustível (fiquei sem gasolina perto casa Isabella)</t>
  </si>
  <si>
    <t>Juros FGTS</t>
  </si>
  <si>
    <t xml:space="preserve">Coisas p/casa </t>
  </si>
  <si>
    <t>Cueca vermelha Polo</t>
  </si>
  <si>
    <t>2 Calças social (preta e cor gelo) R$ 200,00 crédito</t>
  </si>
  <si>
    <t>Mensalidade internet Celular - VIVO</t>
  </si>
  <si>
    <t>Adiantamento Maio/2022</t>
  </si>
  <si>
    <t>Fatura Cartão Crédito Abril/Maio -2022</t>
  </si>
  <si>
    <t>Pagto. Conta Agua Abril/22</t>
  </si>
  <si>
    <t>Beirute habibs</t>
  </si>
  <si>
    <t>Netflix (R$ 25,90) - Débito automático</t>
  </si>
  <si>
    <t>Balde cerveja (dividido com Du)</t>
  </si>
  <si>
    <t>Caipirinha</t>
  </si>
  <si>
    <t>Estacionamento Pq do Rizzo</t>
  </si>
  <si>
    <t>Sorvetes Pq do Rizzo</t>
  </si>
  <si>
    <t>Almoço (meu, Joise, Bella)</t>
  </si>
  <si>
    <t>UBER mãe (terminal Santo amaro até Diadema)</t>
  </si>
  <si>
    <t>Junho / 2022</t>
  </si>
  <si>
    <t>Eletrobrás (FMP - FGTS)</t>
  </si>
  <si>
    <t>Saque emergencial FGTS</t>
  </si>
  <si>
    <t>Recarga prestobarba sensitive 4 unidades</t>
  </si>
  <si>
    <t>Resistência chuveiro (Advanced multitemperatura)</t>
  </si>
  <si>
    <t>Toalha de banho estampa Corinthians</t>
  </si>
  <si>
    <t>Lençol + 2 fronhas marrom</t>
  </si>
  <si>
    <t>Estacionamento centro (levar drone conserto)</t>
  </si>
  <si>
    <t>Jogo Xbox séries S (FIFA 2022)</t>
  </si>
  <si>
    <t>Imosec (dor barriga)</t>
  </si>
  <si>
    <t>Comidas e brincadeiras festa junina Bella</t>
  </si>
  <si>
    <t>Salário Maio / 2022</t>
  </si>
  <si>
    <t>Pagto. Conta Luz Maio / 2022</t>
  </si>
  <si>
    <t>Reserva do Furquim 12/203</t>
  </si>
  <si>
    <t>Depósito FGTS Maio/22</t>
  </si>
  <si>
    <t>Gel, Lake, Shampoo</t>
  </si>
  <si>
    <t>Assinatura Game Pass 12 meses (parental)</t>
  </si>
  <si>
    <t>Juros mensal FGTS</t>
  </si>
  <si>
    <t>Flor dia dos namorados Joise</t>
  </si>
  <si>
    <t>Pastel Bruna, Du</t>
  </si>
  <si>
    <t>Brinquedos pq. Shopping (Bella)</t>
  </si>
  <si>
    <t>Pipoca parque Bella / Kauan</t>
  </si>
  <si>
    <t>Pedágios Alphaville (Outback dia namorados)</t>
  </si>
  <si>
    <t>Jantar Outback dia dos namorados</t>
  </si>
  <si>
    <t>Adiantamento Junho/2022</t>
  </si>
  <si>
    <t>Fechado pacote de 6 meses por 150,00 (150,00 / 6 = 26,67 por mês) validade 20/06/2022 a 20/12/2022</t>
  </si>
  <si>
    <t>Fatura Cartão Crédito Maio/Junho -2022</t>
  </si>
  <si>
    <t>Pagto. Conta Agua Maio/22</t>
  </si>
  <si>
    <t>2 Calças social (preta e cor gelo) CEA Pay 1/2</t>
  </si>
  <si>
    <t>Remédios Bella (vômito,diarréia)</t>
  </si>
  <si>
    <t>Bolão megasena Junina</t>
  </si>
  <si>
    <t>Dipirona</t>
  </si>
  <si>
    <t>Camisa quadriculada (R$ 31,90 no crédito)</t>
  </si>
  <si>
    <t>Festa junina casa tia Joise</t>
  </si>
  <si>
    <t>Ajuda Vó com remédios</t>
  </si>
  <si>
    <t>Bebidas festa junina tia Joise</t>
  </si>
  <si>
    <t>Algodão doce Bella e Kauan</t>
  </si>
  <si>
    <t>Cozedor de ovos elétrico</t>
  </si>
  <si>
    <t>Rele bomba combustível ONIX</t>
  </si>
  <si>
    <t>Restituição IR - 2021</t>
  </si>
  <si>
    <t>Renda diária (liquido R$ 4.220,71/30)</t>
  </si>
  <si>
    <t>Julho / 2022</t>
  </si>
  <si>
    <t>Conserto drone (690,00 total / R$ 500,00 crédito 2x)</t>
  </si>
  <si>
    <t>Pedágio buscar drone centro SP</t>
  </si>
  <si>
    <t>Sorvete Burguer King</t>
  </si>
  <si>
    <t>Salário Junho / 2022</t>
  </si>
  <si>
    <t>Pagto. Conta Luz Junho / 2022</t>
  </si>
  <si>
    <t>Reserva do Furquim 13/203</t>
  </si>
  <si>
    <t>Depósito FGTS Junho/22</t>
  </si>
  <si>
    <t>Exame USG Pélvica - Bella 2/2</t>
  </si>
  <si>
    <t>Camisa quadriculada (R$ 60,00 débito 22/06)</t>
  </si>
  <si>
    <t>Mensalidade Youtube Premium</t>
  </si>
  <si>
    <t>Jogo Lençol + 2 fronhas preto</t>
  </si>
  <si>
    <t xml:space="preserve">Coqueteleira preta </t>
  </si>
  <si>
    <t xml:space="preserve">Pré treino Crossbones 300g </t>
  </si>
  <si>
    <t>Perfume (Natura Palo Santo)</t>
  </si>
  <si>
    <t>Churros</t>
  </si>
  <si>
    <t>Salgadinho</t>
  </si>
  <si>
    <t>Coisas p/casa (VA)</t>
  </si>
  <si>
    <t>Tela laje</t>
  </si>
  <si>
    <t>Cervejas + refri</t>
  </si>
  <si>
    <t>Velas + cabos velas ONIX + Mão de obra velas e óleo) (R$ 270,00 total) 170 crédito 2x</t>
  </si>
  <si>
    <t>Lampada LED quarto 20 watts</t>
  </si>
  <si>
    <t>Estacionamento Vintagge (aniver namoro 6 anos)</t>
  </si>
  <si>
    <t>Caipirinha Vintagge</t>
  </si>
  <si>
    <t>Balde cerveja Vintagge</t>
  </si>
  <si>
    <t>Pirulitos</t>
  </si>
  <si>
    <t>diferença apurada em 18/07/22</t>
  </si>
  <si>
    <t>Ovos (60 unidades)</t>
  </si>
  <si>
    <t>Fio 10mm conserto caixa de luz</t>
  </si>
  <si>
    <t>Adiantamento Julho/2022</t>
  </si>
  <si>
    <t>Fatura Cartão Crédito Julho -2022</t>
  </si>
  <si>
    <t>Pagto. Conta Agua Junho/22</t>
  </si>
  <si>
    <t>2 Calças social (preta e cor gelo) CEA Pay 2/2</t>
  </si>
  <si>
    <t>Mão de obra Moacir (conserto caixa de luz, fusível e fiação 10mm)</t>
  </si>
  <si>
    <t>Terrário (trabalho escola Bella) dividido com Raquel</t>
  </si>
  <si>
    <t>diferença apurada em 22/07/22</t>
  </si>
  <si>
    <t xml:space="preserve">Pastéis </t>
  </si>
  <si>
    <t>Crédito juros FGTS ano 2021</t>
  </si>
  <si>
    <t>Shampoo + Lake cabelo</t>
  </si>
  <si>
    <t>Shampo Bella</t>
  </si>
  <si>
    <t>Bolo + salgados presente aniver Mãe</t>
  </si>
  <si>
    <t>Agosto / 2022</t>
  </si>
  <si>
    <t>Saco plastico lixo (3 unidades)</t>
  </si>
  <si>
    <t>Salário Julho / 2022</t>
  </si>
  <si>
    <t>Mensalidade Internet (350MB - R$ 110,00)</t>
  </si>
  <si>
    <t>Pagto. Conta Luz Julho / 2022</t>
  </si>
  <si>
    <t>Reserva do Furquim 14/203</t>
  </si>
  <si>
    <t>Depósito FGTS Julho/22</t>
  </si>
  <si>
    <t>Roteador Tp-link Archer C5 V4 Branco 2/4</t>
  </si>
  <si>
    <t>4 litros óleo  5w30 + filtro óleo (Onix) 2/3</t>
  </si>
  <si>
    <t>Disjuntor caixa luz 60ah Lorenzetti (desconto 30,00 mercado livre) total R$ 79,80 - R$ 30,00 = R$ 49,80 2/3</t>
  </si>
  <si>
    <t>Brinquedos pq. Shopping Bella</t>
  </si>
  <si>
    <t>Estacionamnto Shopping</t>
  </si>
  <si>
    <t>Presente mãe Joise (Camiseta cinza)</t>
  </si>
  <si>
    <t>Cervejas (aniver Bruna)</t>
  </si>
  <si>
    <t>Adiantamento Agosto/2022</t>
  </si>
  <si>
    <t>Pagto. Conta Agua Julho/22</t>
  </si>
  <si>
    <t>diferença apurada em 19/08/22</t>
  </si>
  <si>
    <t>Uniforme capoeira Bella (aulas Silene)</t>
  </si>
  <si>
    <t>Barra 4 camisetas regatas (costureira Tina) R$ 10,00 cada</t>
  </si>
  <si>
    <t xml:space="preserve">Cervejas </t>
  </si>
  <si>
    <t>Cachorro quente</t>
  </si>
  <si>
    <t>Setembro / 2022</t>
  </si>
  <si>
    <t>Conserto PNEU traseiro esquerdo Onix (2 furos)</t>
  </si>
  <si>
    <t>Jogo lotofácil independência</t>
  </si>
  <si>
    <t>Cigarro Bruna</t>
  </si>
  <si>
    <t>Tandriflan (remédio costas)</t>
  </si>
  <si>
    <t>Salário Agosto / 2022</t>
  </si>
  <si>
    <t>Pagto. Conta Luz Agosto / 2022</t>
  </si>
  <si>
    <t>Reserva do Furquim 15/203</t>
  </si>
  <si>
    <t>Roteador Tp-link Archer C5 V4 Branco 3/4</t>
  </si>
  <si>
    <t>4 litros óleo  5w30 + filtro óleo (Onix) 3/3</t>
  </si>
  <si>
    <t>Disjuntor caixa luz 60ah Lorenzetti (desconto 30,00 mercado livre) total R$ 79,80 - R$ 30,00 = R$ 49,80 3/3</t>
  </si>
  <si>
    <t>Depósito FGTS Agosto/22</t>
  </si>
  <si>
    <t>Decoração TIK TOK niver Bella 1/2 (65,00)</t>
  </si>
  <si>
    <t>Almoço (pastel)</t>
  </si>
  <si>
    <t>Sacos de lixo (4 unidades)</t>
  </si>
  <si>
    <t>Cervejas (niver Luiza)</t>
  </si>
  <si>
    <t>Camiseta preta (CeA)</t>
  </si>
  <si>
    <t>Suporte balões (decor niver Bella)</t>
  </si>
  <si>
    <t>Cola silicone (TNT niver Bella)</t>
  </si>
  <si>
    <t>Balão de Idade 8 (niver Bella)</t>
  </si>
  <si>
    <t>Adiantamento Setembro/2022</t>
  </si>
  <si>
    <t>Fatura Cartão Crédito Agosto -2022</t>
  </si>
  <si>
    <t>Pagto. Conta Agua Agosto/22</t>
  </si>
  <si>
    <t>Coisas churrasco niver Bella (total R$ 266,00) R$ 166,00 crédito</t>
  </si>
  <si>
    <t>Coisas p/brigadeiro (níver Bella)</t>
  </si>
  <si>
    <t>Maionese (níver Bella)</t>
  </si>
  <si>
    <t>UBER mãe 27/08/22 (cartão Joise)</t>
  </si>
  <si>
    <t>Conserto vestido Bella (níver)</t>
  </si>
  <si>
    <t xml:space="preserve">Bolo TIK TOK niver Bella </t>
  </si>
  <si>
    <t>Meia calça Bella</t>
  </si>
  <si>
    <t>Agua Joise + Ovo</t>
  </si>
  <si>
    <t>Decoração TIK TOK niver Bella 2/2 (65,00)</t>
  </si>
  <si>
    <t>Pão hot dog (níver Bella)</t>
  </si>
  <si>
    <t>Carvão níver Bella (2)</t>
  </si>
  <si>
    <t xml:space="preserve">Pano de chão </t>
  </si>
  <si>
    <t>Balão idade níver Bella</t>
  </si>
  <si>
    <t>Jogo megasena</t>
  </si>
  <si>
    <t>Cabo rede 3 metros (xbox)</t>
  </si>
  <si>
    <t>Outubro / 2022</t>
  </si>
  <si>
    <t>Saque aniversário FGTS 2022</t>
  </si>
  <si>
    <t>Reserva do Furquim 2/15 - ANUAL 2022 (antecipada (vencimento real 10/12/22)</t>
  </si>
  <si>
    <t>Roteador Tp-link Archer C5 V4 Branco 4/4</t>
  </si>
  <si>
    <t>Presente Niver Bruna (Vestido verde) 3/3</t>
  </si>
  <si>
    <t>Kit regatas academia (4 unidades) 2/2</t>
  </si>
  <si>
    <t>Maquina cortar cabelo (acabamento) kemei 9164 2/3</t>
  </si>
  <si>
    <t>Conserto controle Xbox series S (troca analógico esquerdo, defeito potenciometro) 2/2</t>
  </si>
  <si>
    <t>40 metros TNT preto  (festa Bella) 1/2</t>
  </si>
  <si>
    <t>3 metros TNT personalizado tik tok (festa Bella) 1/2</t>
  </si>
  <si>
    <t>Decoração diversas festa Bella (doceria maringá) 1/2</t>
  </si>
  <si>
    <t>Coisas churrasco niver Bella (total R$ 266,00) R$ 100,00 débito</t>
  </si>
  <si>
    <t>Contra filé churrasco niver Bella (4,200 KG)</t>
  </si>
  <si>
    <t>Salário Setembro / 2022</t>
  </si>
  <si>
    <t>Pagto. Conta Luz Setembro / 2022</t>
  </si>
  <si>
    <t>Reserva do Furquim 16/203</t>
  </si>
  <si>
    <t>Vestido presente Luiza</t>
  </si>
  <si>
    <t>Depósito FGTS Setembro/22</t>
  </si>
  <si>
    <t>Sorvete pq rizzo crianças</t>
  </si>
  <si>
    <t>Algodão doce pq rizzo crianças</t>
  </si>
  <si>
    <t>Botão L/B controle xbox series S</t>
  </si>
  <si>
    <t>Corrente preta (Key design Branson) total R$ 150,00 ( R$ 75,00 crédito</t>
  </si>
  <si>
    <t>Pasteis (meu, Joise, Kauan, Bruna)</t>
  </si>
  <si>
    <t>Ajuda bolo Donato</t>
  </si>
  <si>
    <t>minha parte 25,00 abater 15,00 no valor da internet dia 06</t>
  </si>
  <si>
    <t>Adiantamento Outubro/2022</t>
  </si>
  <si>
    <t>Fatura Cartão Crédito Setembro -2022</t>
  </si>
  <si>
    <t>Pagto. Conta Agua Setembro/22</t>
  </si>
  <si>
    <t>Camiseta branca TOMMY (comprada com Bruno)</t>
  </si>
  <si>
    <t>Novembro / 2022</t>
  </si>
  <si>
    <t>Calça preta, Camiseta preta, camiseta branca, bermuda cinza (R$ 327,96 - 32,80 desconto aniver - 159,98 troca presente Bruna)</t>
  </si>
  <si>
    <t>1 cueca branca + 1 cueca cinza</t>
  </si>
  <si>
    <t>Kit barbeador + 9 cargas gillete</t>
  </si>
  <si>
    <t>Bebidas niver Joise</t>
  </si>
  <si>
    <t>Gelo Niver Joise</t>
  </si>
  <si>
    <t>Salário Outubro / 2022</t>
  </si>
  <si>
    <t>Pagto. Conta Luz Outubro / 2022</t>
  </si>
  <si>
    <t>Reserva do Furquim 17/203</t>
  </si>
  <si>
    <t>Depósito FGTS Outubro/22</t>
  </si>
  <si>
    <t>Maquina cortar cabelo (acabamento) kemei 9164 3/3</t>
  </si>
  <si>
    <t>40 metros TNT preto  (festa Bella) 2/2</t>
  </si>
  <si>
    <t>3 metros TNT personalizado tik tok (festa Bella) 2/2</t>
  </si>
  <si>
    <t>Decoração diversas festa Bella (doceria maringá) 2/2</t>
  </si>
  <si>
    <t>Réplica relógio Empório Armani prata preto AR 2453 - 2/3</t>
  </si>
  <si>
    <t>Presente casamento Diego x Silmara (200,00 - 100,00 meu 100,00 Joise)</t>
  </si>
  <si>
    <t>Detergente carro</t>
  </si>
  <si>
    <t>Blazer marrom (bom retiro) R$ 600,00 (100,00 débito 500,00 crédito 5x)</t>
  </si>
  <si>
    <t>Aluguel terno azul (casamento Thiago) calça, blazer, gravata 1/2 (total R$ 190,00)</t>
  </si>
  <si>
    <t>Adiantamento Novembro/2022</t>
  </si>
  <si>
    <t>Fatura Cartão Crédito Outubro - 2022</t>
  </si>
  <si>
    <t>Pagto. Conta Agua Outubro/22</t>
  </si>
  <si>
    <t>Netflix (R$ 40,00) - Débito automático</t>
  </si>
  <si>
    <t xml:space="preserve">Sapato social preto Democrata (240,00 total 140,00 em 2x crédito) </t>
  </si>
  <si>
    <t>Gravata rosa clara</t>
  </si>
  <si>
    <t>Lanche niver Rosana</t>
  </si>
  <si>
    <t>Troca homocinética lado esquerdo (M.O 180,00 peça 270,00 = 450,00 (150,00 débito 300,00 crédito 2x)</t>
  </si>
  <si>
    <t>Aluguel terno azul (casamento Thiago) calça, blazer, gravata 2/2 (total R$ 190,00) thelu trajes</t>
  </si>
  <si>
    <t>Pedágio ida casamento Thiago (itatiba)</t>
  </si>
  <si>
    <t>Pedágio volta casamento Thiago (itatiba)</t>
  </si>
  <si>
    <t>Jogo megasena virada</t>
  </si>
  <si>
    <t>1ª Parcela 13º - 2022</t>
  </si>
  <si>
    <t>Dezembro / 2022</t>
  </si>
  <si>
    <t>Réplica relógio Empório Armani prata preto AR 2453 - 3/3</t>
  </si>
  <si>
    <t>All Star branco couro (Presente niver Joise) 2/3</t>
  </si>
  <si>
    <t>Camisa azul 2/2</t>
  </si>
  <si>
    <t>Consulta pneumo Bella (Dr. Consulta) 1/2</t>
  </si>
  <si>
    <t>Estacionamento Bom retiro</t>
  </si>
  <si>
    <t>Exame Espirometria Bella (200,00 total) dividido com Raquel</t>
  </si>
  <si>
    <t>Cervejas centro Embu</t>
  </si>
  <si>
    <t>Algodão doce centro Embu</t>
  </si>
  <si>
    <t>Lanche centro Embu</t>
  </si>
  <si>
    <t>Salário Novembro / 2022</t>
  </si>
  <si>
    <t>cobrar + 15,00 netflix</t>
  </si>
  <si>
    <t>Pagto. Conta Luz Novembro / 2022</t>
  </si>
  <si>
    <t>Reserva do Furquim 18/203</t>
  </si>
  <si>
    <t>Depósito FGTS Novembro/22</t>
  </si>
  <si>
    <t>Piscina 1000 litros MOR (dividido com Eduardo) R$ 207,90 total</t>
  </si>
  <si>
    <t>Pousada Airbnb Porto Belo-SC 04/01 a 09/01 total R$ 859,04 1/2</t>
  </si>
  <si>
    <t>Férias 2021/2022</t>
  </si>
  <si>
    <t>Prêmio final de ano (ganhei do Donato)</t>
  </si>
  <si>
    <t>Rifa carro Valdemir</t>
  </si>
  <si>
    <t>Vaquinha cerveja churras REPUME</t>
  </si>
  <si>
    <t>Bicicleta Bella presente Natal (720,00 total 600,00 5x crédito)</t>
  </si>
  <si>
    <t>Vestido Joise (presente Niver) 1/2 (R$ 120,00)</t>
  </si>
  <si>
    <t>Gamepass 3 meses</t>
  </si>
  <si>
    <t>Capinha e película moto g8</t>
  </si>
  <si>
    <t>Controle xbox series paralelo</t>
  </si>
  <si>
    <t>Troca 3 pneus onix</t>
  </si>
  <si>
    <t>Alinhamento</t>
  </si>
  <si>
    <t>Balanceamento</t>
  </si>
  <si>
    <t>Cervejas praça embu</t>
  </si>
  <si>
    <t>Refri praça Embu</t>
  </si>
  <si>
    <t>Cachorro quente praça Embu</t>
  </si>
  <si>
    <t>2ª Parcela 13º - 2022</t>
  </si>
  <si>
    <t>Fechado pacote de 3 meses por 75,00 (75,00 / 3 = 25,00 por mês) validade 20/12/2022 a 20/03/2023</t>
  </si>
  <si>
    <t>Fatura Cartão Crédito Novembro - 2022</t>
  </si>
  <si>
    <t>Pagto. Conta Agua Novembro/22</t>
  </si>
  <si>
    <t>32,00 eduardo pagou</t>
  </si>
  <si>
    <t>Camisa rosa (cartão Cea pay) 1/2</t>
  </si>
  <si>
    <t>Mão de obra (troca sensor rotação ONIX)</t>
  </si>
  <si>
    <t>Coisas churras natal</t>
  </si>
  <si>
    <t>Coisas churras ano novo</t>
  </si>
  <si>
    <t>Janeiro / 2023</t>
  </si>
  <si>
    <t>Desvalorização FMP Eletrobrás (últimos meses)</t>
  </si>
  <si>
    <t>Troca bomba combustível Onix (300,00 peça 200,00 M.O) 1/3</t>
  </si>
  <si>
    <t>Bebidas viagem Santa Catarina - praia</t>
  </si>
  <si>
    <t>Bermuda marrom CeA</t>
  </si>
  <si>
    <t>Mercado praia</t>
  </si>
  <si>
    <t>Salário Dezembro / 2022 (10 dias folha)</t>
  </si>
  <si>
    <t>Salário Dezembro / 2022 (2 dias PF)</t>
  </si>
  <si>
    <t>Pagto. Conta Luz Dezembro / 2022</t>
  </si>
  <si>
    <t>Reserva do Furquim 19/203</t>
  </si>
  <si>
    <t>Depósito FGTS Dezembro/22</t>
  </si>
  <si>
    <t>Estacionamento praia lagoinha</t>
  </si>
  <si>
    <t>Açai praia</t>
  </si>
  <si>
    <t>Taxa conservação entrada Bombinhas 05/01</t>
  </si>
  <si>
    <t>Travessia para Ilha Porto Belo</t>
  </si>
  <si>
    <t>Pastel praia</t>
  </si>
  <si>
    <t>IPTU 2022 (311,00/3 = 100,00)</t>
  </si>
  <si>
    <t>Vestido Joise (presente Niver) 2/2 (R$ 120,00)</t>
  </si>
  <si>
    <t>Pousada Airbnb Porto Belo-SC 04/01 a 09/01 total R$ 859,04 2/2</t>
  </si>
  <si>
    <t>All Star branco couro (Presente niver Joise) 3/3</t>
  </si>
  <si>
    <t>Consulta pneumo Bella (Dr. Consulta) 2/2</t>
  </si>
  <si>
    <t>Blazer marrom (bom retiro) R$ 600,00 (100,00 débito) 2/5</t>
  </si>
  <si>
    <t>Taxa conservação entrada Bombinhas 08/01</t>
  </si>
  <si>
    <t>Kit palhetas ONIX (3)</t>
  </si>
  <si>
    <t xml:space="preserve">Troca cano radiador (m.o 100,00 peça 85,00 2 litros liquido arref 54,00) </t>
  </si>
  <si>
    <t>Tampa cano + desempenadeira + espatula aço</t>
  </si>
  <si>
    <t>Ingressos parque shopping Bella</t>
  </si>
  <si>
    <t>Tinta branca3,6lt, massa acrilica 6kg, rolo textura, lixas</t>
  </si>
  <si>
    <t>Rolo pintura quarto</t>
  </si>
  <si>
    <t>Fita crepe pintura paredes</t>
  </si>
  <si>
    <t>Lixas parede</t>
  </si>
  <si>
    <t>Adiantamento Janeiro/2023</t>
  </si>
  <si>
    <t>Fatura Cartão Crédito Dezembro - 2022</t>
  </si>
  <si>
    <t>Pagto. Conta Agua Dezembro/22</t>
  </si>
  <si>
    <t>Camisa rosa (cartão Cea pay) 2/2</t>
  </si>
  <si>
    <t>IPVA 2023 1/5</t>
  </si>
  <si>
    <t>Cerveja duplo malte (Sorocaba)</t>
  </si>
  <si>
    <t>Pedágio Sorocaba</t>
  </si>
  <si>
    <t>Rolo textura cabelo de anjo (passar massa corrida quarto)</t>
  </si>
  <si>
    <t>Pedágio sorteio reserva do furquim (ida/volta)</t>
  </si>
  <si>
    <t>Pilhas controle drone (para venda)</t>
  </si>
  <si>
    <t>Manta asfaltica (colar telha) 1 metro</t>
  </si>
  <si>
    <t>Fevereiro / 2023</t>
  </si>
  <si>
    <t>Ações Eletrobrás (FMP - FGTS)</t>
  </si>
  <si>
    <t>Gasolina (colocado em 24/01/23)</t>
  </si>
  <si>
    <t>Massa acrilica Eucatex 25kg (quarto)</t>
  </si>
  <si>
    <t>Salário Janeiro / 2023</t>
  </si>
  <si>
    <t>Pagto. Conta Luz Janeiro / 2023</t>
  </si>
  <si>
    <t>abatido 150,00 convênio odontológico Bella</t>
  </si>
  <si>
    <t>Reserva do Furquim 20/203</t>
  </si>
  <si>
    <t>Depósito FGTS Janeiro/23</t>
  </si>
  <si>
    <t>Convênio odonto Bella (GNDI) 1/3 (total 450,00 abatido 150,00 pensao Bella)</t>
  </si>
  <si>
    <t>Massa acrilica Eucatex 25KG (160,00 total 100,00 crédito)</t>
  </si>
  <si>
    <t>Apple (AAPL34) (16 cotas 39,89 cada)</t>
  </si>
  <si>
    <t>Kepler (KEPL3F) (23 cotas 22,52 cada)</t>
  </si>
  <si>
    <t>Vale (VALE3F) (11 cotas 88,47 cada)</t>
  </si>
  <si>
    <t>2 Espatulas silicone massa corrida</t>
  </si>
  <si>
    <t>Petrobras (PETR4F) (20 cotas 26,11 cada)</t>
  </si>
  <si>
    <t>Cervejas Vintage</t>
  </si>
  <si>
    <t>Lake, shampoo, condicionador</t>
  </si>
  <si>
    <t>Taesa (TAEE11) (10 cotas 35,88 cada)</t>
  </si>
  <si>
    <t>Lixas parede 100 (3 undades)</t>
  </si>
  <si>
    <t>Espatulas silicone massa corrida</t>
  </si>
  <si>
    <t>Adiantamento Fevereiro/2023</t>
  </si>
  <si>
    <t>Fatura Cartão Crédito Janeiro - 2023</t>
  </si>
  <si>
    <t>Pagto. Conta Agua Janeiro/23</t>
  </si>
  <si>
    <t>IPVA 2023 2/5</t>
  </si>
  <si>
    <t>Engie (EGIE3F) (06 cotas 39,66 cada)</t>
  </si>
  <si>
    <t>Pedágio consulta dentista Bella</t>
  </si>
  <si>
    <t>Estacionamento dentista Bella</t>
  </si>
  <si>
    <t>Pizza+doces</t>
  </si>
  <si>
    <t>Multa 4 pontos (Donato)</t>
  </si>
  <si>
    <t>Creatina Black Skull (creatine Turbo 300gr)</t>
  </si>
  <si>
    <t>Pincel (parede pintar marrom)</t>
  </si>
  <si>
    <t>Rolinho pintura parede</t>
  </si>
  <si>
    <t>Caixinha Spaten (presente niver Du)</t>
  </si>
  <si>
    <t>Refri pq ibirapuera</t>
  </si>
  <si>
    <t>Aluguel bicicleta Ibirapuera</t>
  </si>
  <si>
    <t>Sorvetes Ibirapuera</t>
  </si>
  <si>
    <t>Aguas Ibirapuera</t>
  </si>
  <si>
    <t>resgatar rendimento final do mês, comprar ações</t>
  </si>
  <si>
    <t>Gasto fazendo eu mesmo</t>
  </si>
  <si>
    <t>Simulação com mão de obra (Luis)</t>
  </si>
  <si>
    <t>desempenadeira + espatula aço</t>
  </si>
  <si>
    <t>Mão de obra</t>
  </si>
  <si>
    <t>Tinta branca 3,6lt, massa acrilica 6kg, lixas</t>
  </si>
  <si>
    <t>Seladora parede</t>
  </si>
  <si>
    <t>Massa acrilica Eucatex 25KG</t>
  </si>
  <si>
    <t>Tinta Eucatex 3,6 lt quarto (marrom chocolate ao leite)</t>
  </si>
  <si>
    <t>Espatulas silicone</t>
  </si>
  <si>
    <t xml:space="preserve">Kit pinura (base mais rolo antirespingo) </t>
  </si>
  <si>
    <t>Março / 2023</t>
  </si>
  <si>
    <t>Pizza + chocolates</t>
  </si>
  <si>
    <t>Salário Fevereiro / 2023</t>
  </si>
  <si>
    <t>Pagto. Conta Luz Fevereiro / 2023</t>
  </si>
  <si>
    <t>Reserva do Furquim 21/203</t>
  </si>
  <si>
    <t>Depósito FGTS Fevereiro/23</t>
  </si>
  <si>
    <t>Café (frutas)</t>
  </si>
  <si>
    <t>Blazer marrom (bom retiro) R$ 600,00 (100,00 débito) 4/5</t>
  </si>
  <si>
    <t>Bicicleta Bella presente Natal (720,00 total 120,00 debito) 4/5</t>
  </si>
  <si>
    <t>Pagto. Conta Agua Fevereiro/23</t>
  </si>
  <si>
    <t>Canaleta esconder fio parede quarto - 2 metros</t>
  </si>
  <si>
    <t>Pasteis (eu, bella)</t>
  </si>
  <si>
    <t>Crédito NF paulista</t>
  </si>
  <si>
    <t>Remédio diarréia Bella (zinco)</t>
  </si>
  <si>
    <t>2 travesseiros (25,00 cada)</t>
  </si>
  <si>
    <t>Adiantamento Março/2023</t>
  </si>
  <si>
    <t>Fatura Cartão Crédito Fevereiro - 2023</t>
  </si>
  <si>
    <t>IPVA 2023 3/5</t>
  </si>
  <si>
    <t>Cola vinil (conserto piscina)</t>
  </si>
  <si>
    <t>Presente mãe Isabella (caixa ferrero rocher)</t>
  </si>
  <si>
    <t>Camisa preta com detalhes branco (140,00 total   100,00 2x crédito)</t>
  </si>
  <si>
    <t>Gel bozzano azul</t>
  </si>
  <si>
    <t>Valorização/Desvalorização ações</t>
  </si>
  <si>
    <t>Abril / 2023</t>
  </si>
  <si>
    <t>Desvalorização FMP Eletrobrás</t>
  </si>
  <si>
    <t>Pastel (almoço)</t>
  </si>
  <si>
    <t>Pizza + doces</t>
  </si>
  <si>
    <t>Pastéis (Eu, Bruna, Kauan)</t>
  </si>
  <si>
    <t>Xarope Bella (hytos plus)</t>
  </si>
  <si>
    <t>Salário Março / 2023</t>
  </si>
  <si>
    <t>desconto 3,86 horas sem internet</t>
  </si>
  <si>
    <t>Pagto. Conta Luz Março / 2023</t>
  </si>
  <si>
    <t>Reserva do Furquim 22/203</t>
  </si>
  <si>
    <t>Depósito FGTS Março/23</t>
  </si>
  <si>
    <t xml:space="preserve">Pastel </t>
  </si>
  <si>
    <t>Ovos de Páscoa (bella, kauan, mãe caixa bombom)</t>
  </si>
  <si>
    <t>Estacionamento Lavoisier (exames)</t>
  </si>
  <si>
    <t>Pastel (meu e bella)</t>
  </si>
  <si>
    <t>Pedágio Diadema (casa mãe)</t>
  </si>
  <si>
    <t>Ingresso cinema Bella (mario bros)</t>
  </si>
  <si>
    <t>Ingresso cinema meu (mario bros)</t>
  </si>
  <si>
    <t>Pipoca cinema</t>
  </si>
  <si>
    <t>Bebidas cinema</t>
  </si>
  <si>
    <t>Dividendos kepler $ 0,8697 x 23</t>
  </si>
  <si>
    <t>Dividendos vale $ 1,8276 x 11</t>
  </si>
  <si>
    <t>Dasa (DASA3F) (5 cotas 8,51 cada) compradas através de dividendos</t>
  </si>
  <si>
    <t>Resgate ações Apple (16 cotas )</t>
  </si>
  <si>
    <t>IPVA 2023 (parcelas 04/05 e 05/05)</t>
  </si>
  <si>
    <t>Valorização FMP Eletrobrás</t>
  </si>
  <si>
    <t>Adiantamento Abril/2023</t>
  </si>
  <si>
    <t>Fatura Cartão Crédito Março - 2023</t>
  </si>
  <si>
    <t>Pagto. Conta Agua Março/23</t>
  </si>
  <si>
    <t>Bebidas (niver Kauan)</t>
  </si>
  <si>
    <t>Filtro ar ONIX</t>
  </si>
  <si>
    <t>Renda diária (liquido R$ 4.311,00/30)</t>
  </si>
  <si>
    <t>Maio / 2023</t>
  </si>
  <si>
    <t>Pedágios ida/volta Thermas da Mata</t>
  </si>
  <si>
    <t>Meu ingresso</t>
  </si>
  <si>
    <t>Ingresso Bella</t>
  </si>
  <si>
    <t>Minha área VIP</t>
  </si>
  <si>
    <t>Área VIP Joise</t>
  </si>
  <si>
    <t>Estacionamento meu carro</t>
  </si>
  <si>
    <t>Salário Abril / 2023</t>
  </si>
  <si>
    <t>Depósito FGTS Abril/23</t>
  </si>
  <si>
    <t>Pagto. Conta Luz Abril / 2023</t>
  </si>
  <si>
    <t>Reserva do Furquim 23/203</t>
  </si>
  <si>
    <t>Perfume coffe sense 1/2</t>
  </si>
  <si>
    <t>Coentro</t>
  </si>
  <si>
    <t>Cola TEK Bond</t>
  </si>
  <si>
    <t>Resgate ações Dasa (DASA3F)</t>
  </si>
  <si>
    <t>Resgate ações Taesa (TAEE11)</t>
  </si>
  <si>
    <t>Presente dia mães (mãe isabella)</t>
  </si>
  <si>
    <t>Remédios tosse Bella(azitromicina, prednisolona)</t>
  </si>
  <si>
    <t>Película celular (Galaxy S20 fe 5G)</t>
  </si>
  <si>
    <t>Capa Clip Armor Anti Impacto Samsung Galaxy S20 Fe</t>
  </si>
  <si>
    <t>Investimento Tesouro Direto</t>
  </si>
  <si>
    <t>Adiantamento Maio/2023</t>
  </si>
  <si>
    <t>Fatura Cartão Crédito Abril - 2023</t>
  </si>
  <si>
    <t>Dev. Correia Dentada e Tensor Original 1/5 (compra cancelada)</t>
  </si>
  <si>
    <t>Pagto. Conta Agua Abril/23</t>
  </si>
  <si>
    <t>Perfume coffe sense 2/2 (TOTAL 175,00)</t>
  </si>
  <si>
    <t>Presente niver Kauan (conjunto moleton)</t>
  </si>
  <si>
    <t>Rendimentos Petrobras parc 1/3</t>
  </si>
  <si>
    <t>Petrobras (PETR4F) (5 cotas 25,98 cada)</t>
  </si>
  <si>
    <t>Mão Obra (troca: pastilha e disco freio, óleo e filtro, correia dentada e tensor) total R$ 390,00 (240,00 crédito 2x)</t>
  </si>
  <si>
    <t>Galaxy S20 Fe 5g 128 Gb Branco 6 Gb Ram  2/10</t>
  </si>
  <si>
    <t>Desvalorização/valoriz FMP Eletrobrás</t>
  </si>
  <si>
    <t>Restituição IR 2023</t>
  </si>
  <si>
    <t xml:space="preserve">    </t>
  </si>
  <si>
    <t>Thermas da mata</t>
  </si>
  <si>
    <t>Ingressos</t>
  </si>
  <si>
    <t>Nome</t>
  </si>
  <si>
    <t>Pagante</t>
  </si>
  <si>
    <t>desconto pagto pix</t>
  </si>
  <si>
    <t>valor c/ desc</t>
  </si>
  <si>
    <t xml:space="preserve">Alexandre </t>
  </si>
  <si>
    <t>ALE</t>
  </si>
  <si>
    <t>-10%</t>
  </si>
  <si>
    <t>JOISE</t>
  </si>
  <si>
    <t>DU</t>
  </si>
  <si>
    <t>Eduardo</t>
  </si>
  <si>
    <t>Área VIP</t>
  </si>
  <si>
    <t>Crianças</t>
  </si>
  <si>
    <t>Kauan</t>
  </si>
  <si>
    <t>Luiza</t>
  </si>
  <si>
    <t>Estac. Meu carro</t>
  </si>
  <si>
    <t>Estac. carro Du</t>
  </si>
  <si>
    <t>Junho / 2023</t>
  </si>
  <si>
    <t>Coisas festa junina escola Bella</t>
  </si>
  <si>
    <t>Salário Maio / 2023</t>
  </si>
  <si>
    <t>Depósito FGTS Maio/23</t>
  </si>
  <si>
    <t>Pagto. Conta Luz Maio / 2023</t>
  </si>
  <si>
    <t>zerada devido leitura</t>
  </si>
  <si>
    <t>Reserva do Furquim 24/203</t>
  </si>
  <si>
    <t>Mão Obra (troca: pastilha e disco freio, óleo e filtro, correia dentada e tensor) total R$ 390,00 (150,00 débito) 1/2</t>
  </si>
  <si>
    <t>Presente dia namorados Joise</t>
  </si>
  <si>
    <t>Mural fotos madeira Parede (total 149,00   94,00 crédito)</t>
  </si>
  <si>
    <t>Pizza/doces</t>
  </si>
  <si>
    <t>Sacos Lixo 100 litros</t>
  </si>
  <si>
    <t>Fotos para mural madeira Parede</t>
  </si>
  <si>
    <t>Brinquedos pq shopping Bella</t>
  </si>
  <si>
    <t>Lanche MAC shopping</t>
  </si>
  <si>
    <t>Adiantamento Junho/2023</t>
  </si>
  <si>
    <t>Fatura Cartão Crédito Maio - 2023</t>
  </si>
  <si>
    <t>Pagto. Conta Agua Maio/23</t>
  </si>
  <si>
    <t>Exame Otorrino Bella 1/2</t>
  </si>
  <si>
    <t>Galaxy S20 Fe 5g 128 Gb Branco 6 Gb Ram  3/10</t>
  </si>
  <si>
    <t>Apito jogo quadra</t>
  </si>
  <si>
    <t>Pizza churrasco REPUME</t>
  </si>
  <si>
    <t>Chip vivo celular Bella</t>
  </si>
  <si>
    <t>Valor/Desval FMP Eletrobrás</t>
  </si>
  <si>
    <t>Lindomar</t>
  </si>
  <si>
    <t>ok</t>
  </si>
  <si>
    <t>Claudio</t>
  </si>
  <si>
    <t>Kevin</t>
  </si>
  <si>
    <t>Alexandre</t>
  </si>
  <si>
    <t>Mateus</t>
  </si>
  <si>
    <t>Adenilson</t>
  </si>
  <si>
    <t>Domingos</t>
  </si>
  <si>
    <t>Carlos</t>
  </si>
  <si>
    <t>Julho / 2023</t>
  </si>
  <si>
    <t>Remédios Bella (tosse incessante)</t>
  </si>
  <si>
    <t>Salário Junho / 2023</t>
  </si>
  <si>
    <t>Depósito FGTS Junho/23</t>
  </si>
  <si>
    <t>Pagto. Conta Luz Junho / 2023</t>
  </si>
  <si>
    <t>Exame Otorrino Bella 2/2</t>
  </si>
  <si>
    <t>Reserva do Furquim 25/203</t>
  </si>
  <si>
    <t>Kit Freio Disco + Pastilha Onix 3/5</t>
  </si>
  <si>
    <t>Comemoração aniversário Marcio Repume</t>
  </si>
  <si>
    <t>Shampoo + desodorante</t>
  </si>
  <si>
    <t>Pastel (Eu, Bella , Kauan)</t>
  </si>
  <si>
    <t>Pula pula pq do rizzo (Bella, Kauan)</t>
  </si>
  <si>
    <t>Conserto Pneu furado carro</t>
  </si>
  <si>
    <t>Café despedida Joise da Repume</t>
  </si>
  <si>
    <t>Almoço despedida Joise da Repume</t>
  </si>
  <si>
    <t>Adiantamento Julho/2023</t>
  </si>
  <si>
    <t>Fatura Cartão Crédito Junho - 2023</t>
  </si>
  <si>
    <t>Pagto. Conta Agua Junho/23</t>
  </si>
  <si>
    <t>Churrasco jogo quadra Repume</t>
  </si>
  <si>
    <t>Calça azul marino (trabalho)</t>
  </si>
  <si>
    <t>Multa 4 pontos (Thiago)</t>
  </si>
  <si>
    <t>Distribuiçao lucro FGTS 2022</t>
  </si>
  <si>
    <t>Pastel (meu, Bella)</t>
  </si>
  <si>
    <t>Ingresso pq Shopping Bella</t>
  </si>
  <si>
    <t>Lanche MAC (meu, Bella)</t>
  </si>
  <si>
    <t>Valor/Desvalor FGTS FMP Eletrobrás</t>
  </si>
  <si>
    <t>Retorno ao FGTS FMP Eletrobrás</t>
  </si>
  <si>
    <t>Agosto/ 2023</t>
  </si>
  <si>
    <t>Salário Julho / 2023</t>
  </si>
  <si>
    <t>-202,36 desconto 1 dia - 87,05 coparticipação convênio</t>
  </si>
  <si>
    <t>Depósito FGTS Julho/23</t>
  </si>
  <si>
    <t>Pagto. Conta Luz Julho / 2023</t>
  </si>
  <si>
    <t>Du pagou a luz, eu a água</t>
  </si>
  <si>
    <t>Academia (R$ 90,00)</t>
  </si>
  <si>
    <t>Reserva do Furquim 26/203</t>
  </si>
  <si>
    <t>Doces Motel</t>
  </si>
  <si>
    <t>Motel Demy com Joise (Hidro Infinity)</t>
  </si>
  <si>
    <t>Galaxy S20 Fe 5g 128 Gb Branco 6 Gb Ram  4/10</t>
  </si>
  <si>
    <t>Controle xbox series paralelo KAP-x01</t>
  </si>
  <si>
    <t>Lake</t>
  </si>
  <si>
    <t>Presente aniversário Bruna (vale presente C&amp;A)</t>
  </si>
  <si>
    <t>Resgate ações</t>
  </si>
  <si>
    <t>Condução ônibus (deixar ônis conserto câmbio)</t>
  </si>
  <si>
    <t>Uber pegar carro pai Joise no Mecânico (peguei emprestado ônix esta no conserto)</t>
  </si>
  <si>
    <t>Gasolina (carro pai Joise)</t>
  </si>
  <si>
    <t>peguei Civic pai Joise (de 16/08/23 a</t>
  </si>
  <si>
    <t>Adiantamento Agosto/2023</t>
  </si>
  <si>
    <t>Fatura Cartão Crédito Julho - 2023</t>
  </si>
  <si>
    <t>Passeio escola Bella 1/2</t>
  </si>
  <si>
    <t>Conserto cambio Ônix 1/7</t>
  </si>
  <si>
    <t>devolução módulo MPM não funcionou (4.000,00 - 1.115,00 = 2.885,00)</t>
  </si>
  <si>
    <t>Game Pass Ultimate (2 meses)</t>
  </si>
  <si>
    <t>Resgate Tesouro direto</t>
  </si>
  <si>
    <t>Pastel (meu, Bella, Bruna, Kauan)</t>
  </si>
  <si>
    <t>Conserto cambio Ônix 2/7</t>
  </si>
  <si>
    <t>Uber buscar Ônix conserto</t>
  </si>
  <si>
    <t>Pedágio buscar Ônix conserto</t>
  </si>
  <si>
    <t>Conserto câmbio/módulo Ônix (MPM)</t>
  </si>
  <si>
    <t>Garantia</t>
  </si>
  <si>
    <t>8 Litros óleo</t>
  </si>
  <si>
    <t>1 ano</t>
  </si>
  <si>
    <t>Jogo de junta</t>
  </si>
  <si>
    <t>Filtro óleo</t>
  </si>
  <si>
    <t>Jogo de discos</t>
  </si>
  <si>
    <t>Kit defletores</t>
  </si>
  <si>
    <t>Retifica conversor de torque</t>
  </si>
  <si>
    <t>Entrada</t>
  </si>
  <si>
    <t>Desconto</t>
  </si>
  <si>
    <t>Restante no cartão crédito</t>
  </si>
  <si>
    <t>parcelas</t>
  </si>
  <si>
    <t>Módulo câmbio (usado)</t>
  </si>
  <si>
    <t>3 meses</t>
  </si>
  <si>
    <t>devolvido a MPM (21/09) módulo com defeito</t>
  </si>
  <si>
    <t>Setembro/ 2023</t>
  </si>
  <si>
    <t>Kit Freio Disco + Pastilha Onix 5/5</t>
  </si>
  <si>
    <t>Galaxy S20 Fe 5g 128 Gb Branco 6 Gb Ram  5/10</t>
  </si>
  <si>
    <t>Camisa social branca com bolinhas 2/3</t>
  </si>
  <si>
    <t>Camisa azul bolinhas 2/3</t>
  </si>
  <si>
    <t>Camiseta branca 2/3</t>
  </si>
  <si>
    <t>Camiseta marrom 2/3</t>
  </si>
  <si>
    <t>Game Pass parental (90 dias até 05/12/23)</t>
  </si>
  <si>
    <t>Salário Agosto / 2023</t>
  </si>
  <si>
    <t>Depósito FGTS Agosto/23</t>
  </si>
  <si>
    <t>Pagto. Conta Luz Agosto / 2023</t>
  </si>
  <si>
    <t>Aula Inglês na Silene Isabella</t>
  </si>
  <si>
    <t>Reserva do Furquim 27/203</t>
  </si>
  <si>
    <t>joise durante 5 meses</t>
  </si>
  <si>
    <t>Correia Dentada e Tensor Original 5/5 (compra cancelada)</t>
  </si>
  <si>
    <t>Creatina Black Skull Turbo 300g</t>
  </si>
  <si>
    <t>Pré Treino Bone Crusher Black Skull 300g - Nova Fórmula</t>
  </si>
  <si>
    <t>Coisas p/chuurasco (dividido com Du)</t>
  </si>
  <si>
    <t>Película celular S20 fe</t>
  </si>
  <si>
    <t>Pedágio levar Ônix conserto</t>
  </si>
  <si>
    <t>Ônibus retorno Mecânico</t>
  </si>
  <si>
    <t>Uber retorno casa</t>
  </si>
  <si>
    <t>Ônibus buscar Bella</t>
  </si>
  <si>
    <t>Uber retorno casa buscar Bella</t>
  </si>
  <si>
    <t>Ônibus buscar carro mecânico</t>
  </si>
  <si>
    <t>Pastel meu e Joise</t>
  </si>
  <si>
    <t>Módulo cambio Ônix 2ª geração 1/4</t>
  </si>
  <si>
    <t>4.000,00 (1.000,00 entrada 3.000,00 em 3x 1.000,00 cartão pai da Joise)</t>
  </si>
  <si>
    <t xml:space="preserve">Programação módulo cambio Ônix </t>
  </si>
  <si>
    <t>Adiantamento Setembro/2023</t>
  </si>
  <si>
    <t>Fatura Cartão Crédito Agosto - 2023</t>
  </si>
  <si>
    <t>Passeio escola Bella 2/2</t>
  </si>
  <si>
    <t>Lalamove (buscar módulo mecânica FB cambios)</t>
  </si>
  <si>
    <t>Ônibus retorno casa</t>
  </si>
  <si>
    <t>Ingresso Thermas da mata (meu)</t>
  </si>
  <si>
    <t>Ingresso Thermas da mata (Bella)</t>
  </si>
  <si>
    <t xml:space="preserve">Estacionamento Thermas da mata </t>
  </si>
  <si>
    <t>Lanche p/Thermas</t>
  </si>
  <si>
    <t>Pedágio parque Thermas da Mata</t>
  </si>
  <si>
    <t>Comes e bebes Thermas da mata (dividido com Joise)</t>
  </si>
  <si>
    <t>Pedágio ida Osasco programar módulo câmbio Ônix</t>
  </si>
  <si>
    <t>Pedágio volta Osasco programar módulo câmbio Ônix</t>
  </si>
  <si>
    <t>Outubro/ 2023</t>
  </si>
  <si>
    <t>Saque aniversário FGTS 2023</t>
  </si>
  <si>
    <t>Galaxy S20 Fe 5g 128 Gb Branco 6 Gb Ram  6/10</t>
  </si>
  <si>
    <t>Camisa social branca com bolinhas 3/3</t>
  </si>
  <si>
    <t>Camisa azul bolinhas 3/3</t>
  </si>
  <si>
    <t>Camiseta branca 3/3</t>
  </si>
  <si>
    <t>Camiseta marrom 3/3</t>
  </si>
  <si>
    <t>Conserto câmbio Ônix (9.000,00 - 5.000 entrada) 2/5</t>
  </si>
  <si>
    <t>Bateria Zetta "moura" 50Ah 2/4</t>
  </si>
  <si>
    <t>Reserva do Furquim Parcela ANUAL</t>
  </si>
  <si>
    <t>2.668,77 - 1.230,00 (joise) = 1.438,77</t>
  </si>
  <si>
    <t>Carregador celular tipo C</t>
  </si>
  <si>
    <t>Salário Setembro / 2023</t>
  </si>
  <si>
    <t>Depósito FGTS Setembro/23</t>
  </si>
  <si>
    <t>Pagto. Conta Luz Setembro / 2023</t>
  </si>
  <si>
    <t>Pagto. Conta Agua Agosto/23</t>
  </si>
  <si>
    <t>Aula Inglês na Silene Isabella (70,00)</t>
  </si>
  <si>
    <t>Reserva do Furquim 28/203</t>
  </si>
  <si>
    <t>Antecipação imóvel furquim parc. 185</t>
  </si>
  <si>
    <t>Antecipação imóvel furquim parc. 186</t>
  </si>
  <si>
    <t>Pizza + sorvete com Bella e Joise</t>
  </si>
  <si>
    <t>Adiantamento Outubro/2023</t>
  </si>
  <si>
    <t>Fatura Cartão Crédito Setembro - 2023</t>
  </si>
  <si>
    <t>ingresso thermas da mata Antony (presente meu e da joise)</t>
  </si>
  <si>
    <t>Pagto. Conta Agua Setembro/23</t>
  </si>
  <si>
    <t>Módulo cambio Ônix 2ª geração 2/4</t>
  </si>
  <si>
    <t>4.000,00 (1.000,00 entrada + 3.000,00 em 3x 1.000,00 cartão pai da Joise)</t>
  </si>
  <si>
    <t>Presente niver Bella (conjunto calor)</t>
  </si>
  <si>
    <t>Presente niver Luiza (vestido)</t>
  </si>
  <si>
    <t>Conserto pneu ONIX (parafuso)</t>
  </si>
  <si>
    <t>Balde heineken vintage</t>
  </si>
  <si>
    <t>Área VIP Vintage</t>
  </si>
  <si>
    <t>Caixa ovos (30)</t>
  </si>
  <si>
    <t>Presente niver Joise (Balão transparente+flores)</t>
  </si>
  <si>
    <t>2º presente</t>
  </si>
  <si>
    <t>saque aniversário 2023</t>
  </si>
  <si>
    <t>Parcela anual casa (joise R$ 1.125,00)</t>
  </si>
  <si>
    <t>antecipação parcela casa</t>
  </si>
  <si>
    <t>Novembro/ 2023</t>
  </si>
  <si>
    <t>Pedágio velório Donato</t>
  </si>
  <si>
    <t>Salário Outubro / 2023</t>
  </si>
  <si>
    <t>Depósito FGTS Outubro/23</t>
  </si>
  <si>
    <t>Pagto. Conta Luz Outubro / 2023</t>
  </si>
  <si>
    <t>Pousada Paraty (viagem janeiro/24) 1/4</t>
  </si>
  <si>
    <t>R$ 1.180,00 (4x dividio por 2) = R$ 147,50 por parcela</t>
  </si>
  <si>
    <t>Sitio das nascentes com Bella (aniversário mãe Du) Embu-Guaçu</t>
  </si>
  <si>
    <t>Vaquinha coroa flores Donato</t>
  </si>
  <si>
    <t>Galaxy S20 Fe 5g 128 Gb Branco 6 Gb Ram  7/10</t>
  </si>
  <si>
    <t>Bateria Zetta "moura" 50Ah 3/4</t>
  </si>
  <si>
    <t>Vaquinha bolo Patricia Repume</t>
  </si>
  <si>
    <t>Adiantamento Novembro/2023</t>
  </si>
  <si>
    <t>Fatura Cartão Crédito Outubro - 2023</t>
  </si>
  <si>
    <t>Pagto. Conta Agua Outubro/23</t>
  </si>
  <si>
    <t>Módulo cambio Ônix 2ª geração 3/4</t>
  </si>
  <si>
    <t>Carvão+cerveja (churras casa)</t>
  </si>
  <si>
    <t>Vaquinha bolo Rosana Repume</t>
  </si>
  <si>
    <t>Conserto pneu ONIX</t>
  </si>
  <si>
    <t>Lake +sabonete Bella</t>
  </si>
  <si>
    <t>Pisca Pisca (natal)</t>
  </si>
  <si>
    <t>Call of dut MW 3 - Xbox series S</t>
  </si>
  <si>
    <t>1ª Parcela 13º - 2023</t>
  </si>
  <si>
    <t>Dezembro/ 2023</t>
  </si>
  <si>
    <t>Conserto câmbio Ônix (9.000,00 - 5.000 entrada) 4/5</t>
  </si>
  <si>
    <t>Cocada (2)</t>
  </si>
  <si>
    <t>Game Pass parental (90 dias até 01/03/24)</t>
  </si>
  <si>
    <t>Licenciamento Onix 2023</t>
  </si>
  <si>
    <t>Porção (clube anovis)</t>
  </si>
  <si>
    <t>Refri (clube anovis)</t>
  </si>
  <si>
    <t>Sorvetes (clube anovis)</t>
  </si>
  <si>
    <t>3 marmitas</t>
  </si>
  <si>
    <t>Salário Novembro / 2023</t>
  </si>
  <si>
    <t>Depósito FGTS Novembro/2023</t>
  </si>
  <si>
    <t>Pagto. Conta Luz Novembro / 2023</t>
  </si>
  <si>
    <t>Reserva do Furquim 29/203</t>
  </si>
  <si>
    <t>Pousada Paraty (viagem janeiro/24) 2/4</t>
  </si>
  <si>
    <t>R$ 1.180,00 (4x dividio por 2) = R$ 147,50 por parcela - 03/01/24 a 09/01/24</t>
  </si>
  <si>
    <t>Pagto. Conta Agua Novembro/23</t>
  </si>
  <si>
    <t>Bateria Zetta "moura" 50Ah 4/4</t>
  </si>
  <si>
    <t>Tênis Anacapri Cami Branco Detalhe Rosa (presente Joise) 2/2</t>
  </si>
  <si>
    <t>Relógio puls couro Marrom (réplica Patek Philippe) SHOPPE 1/2</t>
  </si>
  <si>
    <t>Presente lara recepção (vaquinha blusinha)</t>
  </si>
  <si>
    <t>Férias 2022/2023</t>
  </si>
  <si>
    <t xml:space="preserve">débito	</t>
  </si>
  <si>
    <t>Prêmio final ano Repume (Donato filho me entregou)</t>
  </si>
  <si>
    <t xml:space="preserve">não	</t>
  </si>
  <si>
    <t>Lixeira preta (banheiro)</t>
  </si>
  <si>
    <t>Sacos lixo reforçado (5 unidades)</t>
  </si>
  <si>
    <t>Uber Vó Bella buscar ela na Silene</t>
  </si>
  <si>
    <t>Luva (conserto cano laje)</t>
  </si>
  <si>
    <t>Troca bateria relógio magnum</t>
  </si>
  <si>
    <t>3 regatas (cinza,preta,branca)+bermuda azul jeans (total 270,00 = 200,00 em 2x cartão)</t>
  </si>
  <si>
    <t>Chocolates e salgadinhos</t>
  </si>
  <si>
    <t>2ª Parcela 13º - 2023</t>
  </si>
  <si>
    <t>Fatura Cartão Crédito Novembro - 2023</t>
  </si>
  <si>
    <t>Módulo cambio Ônix 2ª geração 4/4</t>
  </si>
  <si>
    <t>Conserto cano laje (2 luvas de passar+1 metro cano)</t>
  </si>
  <si>
    <t>M.O Luiz -Conserto cano laje</t>
  </si>
  <si>
    <t>Bóia caixa de água</t>
  </si>
  <si>
    <t>Shampoo e sabonete Bella</t>
  </si>
  <si>
    <t>Presente Bella (total 145,00 = 100,00 credito 2x) vestido branco + blusinha branca</t>
  </si>
  <si>
    <t>Presente Kauan (total 145,00 = 100,00 credito 2x) camiseta branca + bermuda moleton gelo</t>
  </si>
  <si>
    <t>Sorvete com Bella Shopping</t>
  </si>
  <si>
    <t>Rodinha bicicleta Isabella</t>
  </si>
  <si>
    <t>Lanche Mac + sorvete</t>
  </si>
  <si>
    <t>Cerveja mais gelo churrasco natal casa mãe</t>
  </si>
  <si>
    <t>Carne churrasco natal casa mãe</t>
  </si>
  <si>
    <t>Gelo churrasco natal casa mãe</t>
  </si>
  <si>
    <t>Liquido arrefecimento Ônix</t>
  </si>
  <si>
    <t>Guarda sol</t>
  </si>
  <si>
    <t>Material escolar Bella</t>
  </si>
  <si>
    <t>Ppel higienico</t>
  </si>
  <si>
    <t>Palhetas parabrisa</t>
  </si>
  <si>
    <t>1 litro óleo 5w30 semissintetico</t>
  </si>
  <si>
    <t>1 Camisa manga curta marrom clara</t>
  </si>
  <si>
    <t>Bermuda marrom (BBB)</t>
  </si>
  <si>
    <t>Mãe (ajudar passagem MG)</t>
  </si>
  <si>
    <t>2ª parc. 13º</t>
  </si>
  <si>
    <t>parcela cambio carro (fatura cartão pai joise)</t>
  </si>
  <si>
    <t>Pagto. Conta Luz Dezembro / 2023</t>
  </si>
  <si>
    <t>Reserva do Furquim 30/203</t>
  </si>
  <si>
    <t>Pousada Paraty (viagem janeiro/24) 3/4</t>
  </si>
  <si>
    <t>Fatura Cartão Crédito Dezembro - 2023</t>
  </si>
  <si>
    <t>Pagto. Conta Agua Dezembro/23</t>
  </si>
  <si>
    <t>Churras + cerveja ano novo</t>
  </si>
  <si>
    <t>Comidas para viagem Paraty</t>
  </si>
  <si>
    <t>Bebidas viagem Paraty</t>
  </si>
  <si>
    <t>Alcool viagem paraty</t>
  </si>
  <si>
    <t>Gelo</t>
  </si>
  <si>
    <t>Óculos praia Paraty</t>
  </si>
  <si>
    <t>Sobremesa praia</t>
  </si>
  <si>
    <t>Salário Dezembro / 2023</t>
  </si>
  <si>
    <t>Depósito FGTS Dezembro/2023</t>
  </si>
  <si>
    <t>Estacionamento praia são gonçalo</t>
  </si>
  <si>
    <t>Travessia ilha do cedro</t>
  </si>
  <si>
    <t>Lanche centro Paraty (hamburguer)</t>
  </si>
  <si>
    <t>Doce centro Paraty</t>
  </si>
  <si>
    <t>Travessia ilha do pelado</t>
  </si>
  <si>
    <t>1 diária a mais pousada Paraty</t>
  </si>
  <si>
    <t>Pílula dia seguinte p/Joise</t>
  </si>
  <si>
    <t>Passeio escuna Paraty</t>
  </si>
  <si>
    <t>Comes e bebes Passeio escuna Paraty</t>
  </si>
  <si>
    <t>Estacionamento Passeio escuna Paraty</t>
  </si>
  <si>
    <t>Galaxy S20 Fe 5g 128 Gb Branco 6 Gb Ram  10/10</t>
  </si>
  <si>
    <t>3 regatas (cinza,preta,branca)+bermuda azul jeans (total 270,00 = 70,00 débito) 2/2</t>
  </si>
  <si>
    <t>Presente Bella (total 145,00 = 100,00 credito 2x) vestido branco + blusinha branca 2/2</t>
  </si>
  <si>
    <t>Limite</t>
  </si>
  <si>
    <t>Saldo devedor</t>
  </si>
  <si>
    <t xml:space="preserve">Pagto Ultima fatura </t>
  </si>
  <si>
    <t>Total Fatura</t>
  </si>
  <si>
    <t>Saldo Disponivel</t>
  </si>
  <si>
    <t>Cartão de Crédito Fatura Dezembro/23 - Vencimento 22/01/24 - Limite R$ 5.600,00</t>
  </si>
  <si>
    <t>Galaxy S20 Fe 5g 128 Gb Branco 6 Gb Ram  9/10</t>
  </si>
  <si>
    <t>Conserto câmbio Ônix (9.000,00 - 5.000 entrada) 5/5</t>
  </si>
  <si>
    <t>Relógio puls couro Marrom (réplica Patek Philippe) SHOPPE 2/2</t>
  </si>
  <si>
    <t>3 regatas (cinza,preta,branca)+bermuda azul jeans (total 270,00 = 70,00 débito) 1/2</t>
  </si>
  <si>
    <t>Presente Bella (total 145,00 = 100,00 credito 2x) vestido branco + blusinha branca 1/2</t>
  </si>
  <si>
    <t>Cartão de Crédito Fatura Novembro/23 - Vencimento 22/12/23 - Limite R$ 5.600,00</t>
  </si>
  <si>
    <t>Galaxy S20 Fe 5g 128 Gb Branco 6 Gb Ram  8/10</t>
  </si>
  <si>
    <t>FER-pago em 01/12/23 (186,90)</t>
  </si>
  <si>
    <t>DC-pago em 01/12/23 (800,00)</t>
  </si>
  <si>
    <t>DC-pago em 11/12/23 (92,50)</t>
  </si>
  <si>
    <t>OD-pago em 13/12/23 (144,00)</t>
  </si>
  <si>
    <t>R-pago em 13/12/23 (80,38)</t>
  </si>
  <si>
    <t>Caixa Som Bluetooth Amplificada (KTS 1236) presente natal mãe</t>
  </si>
  <si>
    <t>Jogo Lençol 400 Fios Percal Ponto Palito Casal Padrão 03-Preto</t>
  </si>
  <si>
    <t>Controle Gamesir G7 Se Xbox One Series X/s Pc Anti Drift</t>
  </si>
  <si>
    <t>Módulo câmbio (cartão pai joise) 3/3</t>
  </si>
  <si>
    <t>Cartão de Crédito Fatura Outubro/23 - Vencimento 22/11/23 - Limite R$ 5.600,00</t>
  </si>
  <si>
    <t>FER-pago em 07/11/23 (186,90)</t>
  </si>
  <si>
    <t>Conserto câmbio Ônix (9.000,00 - 5.000 entrada) 3/5</t>
  </si>
  <si>
    <t>DC-pago em 07/11/23 (92,50)</t>
  </si>
  <si>
    <t>Módulo câmbio (cartão pai joise) 2/3</t>
  </si>
  <si>
    <t>Cartão de Crédito Fatura Setembro/23 - Vencimento 22/10/23 - Limite R$ 5.600,00</t>
  </si>
  <si>
    <t>FER-pago em 03/10/23 (186,90)</t>
  </si>
  <si>
    <t>R-pago em 03/10/23 (48,33)</t>
  </si>
  <si>
    <t>R-pago em 03/10/23 (16,67)</t>
  </si>
  <si>
    <t>R-pago em 03/10/23 (20,00)</t>
  </si>
  <si>
    <t>DC-pago em 03/10/23 (800,00)</t>
  </si>
  <si>
    <t>DC-pago em 03/10/23 (92,50)</t>
  </si>
  <si>
    <t>Ingresso Thermas da Mata Antony (presente meu e da Joise)</t>
  </si>
  <si>
    <t>Módulo câmbio (cartão pai joise) 1/3</t>
  </si>
  <si>
    <t>Cartão de Crédito Fatura Agosto/23 - Vencimento 22/09/23 - Limite R$ 5.600,00</t>
  </si>
  <si>
    <t>DC-pago em 28/08/23 (59,67)</t>
  </si>
  <si>
    <t>pago em 09/09/23 (24,00)</t>
  </si>
  <si>
    <t>FER-pago em 28/08/23 (186,90)</t>
  </si>
  <si>
    <t>R-pago em 03/09/23 (48,33)</t>
  </si>
  <si>
    <t>R-pago em 03/09/23 (16,67)</t>
  </si>
  <si>
    <t>R-pago em 03/09/23 (20,00)</t>
  </si>
  <si>
    <t>Remédio Bella (Amome, Rinosoro, Montelucaste) online Drogaria SP 2/2</t>
  </si>
  <si>
    <t>Conserto câmbio Ônix (9.000,00 - 5.000 entrada) 1/5</t>
  </si>
  <si>
    <t>AC-pago em 09/09/23 (49,90)</t>
  </si>
  <si>
    <t>AC-pago em 09/09/23 (100,00)</t>
  </si>
  <si>
    <t>Par lampada farol milha Ônix</t>
  </si>
  <si>
    <t>Bateria Zetta "moura" 50Ah 1/4</t>
  </si>
  <si>
    <t>Cartão de Crédito Fatura Julho/23 - Vencimento 22/08/23 - Limite R$ 5.600,00</t>
  </si>
  <si>
    <t>Kit Freio Disco + Pastilha Onix 4/5</t>
  </si>
  <si>
    <t>Correia Dentada e Tensor Original 4/5 (compra cancelada)</t>
  </si>
  <si>
    <t>FER-pago em 07/08/23 (186,90)</t>
  </si>
  <si>
    <t>Chuteira Tênis Society Haymax Hmx 2/2</t>
  </si>
  <si>
    <t>Camisa social branca com bolinhas 1/3</t>
  </si>
  <si>
    <t>compra única</t>
  </si>
  <si>
    <t>Camisa azul bolinhas 1/3</t>
  </si>
  <si>
    <t>Camiseta branca 1/3</t>
  </si>
  <si>
    <t>Camiseta marrom 1/3</t>
  </si>
  <si>
    <t>Remédio Bella (Amome, Rinosoro, Montelucaste) online Drogaria SP 1/2</t>
  </si>
  <si>
    <t>Cartão de Crédito Fatura Junho/23 - Vencimento 22/07/23 - Limite R$ 5.600,00</t>
  </si>
  <si>
    <t>DC-pago em 07/07/23 (59,67)</t>
  </si>
  <si>
    <t>DC-pago em 07/07/23 (49,67)</t>
  </si>
  <si>
    <t>Correia Dentada e Tensor Original 3/5 (compra cancelada)</t>
  </si>
  <si>
    <t>FER-pago em 20/06/23 (186,90)</t>
  </si>
  <si>
    <t>Mão Obra (troca: pastilha e disco freio, óleo e filtro, correia dentada e tensor) total R$ 390,00 (150,00 débito) 2/2</t>
  </si>
  <si>
    <t>Chuteira Tênis Society Haymax Hmx 1/2</t>
  </si>
  <si>
    <t>Consulta psiquiatra Mãe (Dr. consulta)</t>
  </si>
  <si>
    <t>Bolsa academia Joise (irá pagar)</t>
  </si>
  <si>
    <t>Joise irá pagar</t>
  </si>
  <si>
    <t>meu custo efetivo</t>
  </si>
  <si>
    <t>Cartão de Crédito Fatura Maio/23 - Vencimento 22/06/23 - Limite R$ 5.600,00</t>
  </si>
  <si>
    <t>Kit Freio Disco + Pastilha Onix 2/5</t>
  </si>
  <si>
    <t>Correia Dentada E Tensor Original 2/2</t>
  </si>
  <si>
    <t>Correia Dentada e Tensor Original 2/5 (compra cancelada)</t>
  </si>
  <si>
    <t>FER-pago em 24/05/23 (186,90)</t>
  </si>
  <si>
    <t>DC-pago em 06/06/23 (120,00)</t>
  </si>
  <si>
    <t>Jogo Lençol 400 Fios Percal Ponto Palito Casal Padrão 03 Pçs - Rose</t>
  </si>
  <si>
    <t>Mural fotos madeira Parede (total 149,00   55,00 débito)</t>
  </si>
  <si>
    <t>Cartão de Crédito Fatura Abril/23 - Vencimento 22/05/23 - Limite R$ 5.600,00</t>
  </si>
  <si>
    <t>Tinta Eucatex quarto 3,6 lt (marrom chocolate ao leite) 3/3</t>
  </si>
  <si>
    <t>Kit pintura (base mais rolo antirespingo) 3/3</t>
  </si>
  <si>
    <t>Pre treino Évora pw Maçã Verde Integralmedica - 300g  3/3</t>
  </si>
  <si>
    <t>Camisa preta com detalhes branco (140,00 total   40,00 débito) 2/2</t>
  </si>
  <si>
    <t>Kit Freio Disco + Pastilha Onix 1/5</t>
  </si>
  <si>
    <t>Correia Dentada e Tensor Original 1/5 (compra cancelada)</t>
  </si>
  <si>
    <t>Correia Dentada e Tensor Original 1/2</t>
  </si>
  <si>
    <t>4 litros óleo  5w30 + filtro óleo (Onix) 1/3</t>
  </si>
  <si>
    <t>Galaxy S20 Fe 5g 128 Gb Branco 6 Gb Ram  1/10</t>
  </si>
  <si>
    <t>Cartão de Crédito Fatura Março/23 - Vencimento 22/04/23 - Limite R$ 5.600,00</t>
  </si>
  <si>
    <t>Blazer marrom (bom retiro) R$ 600,00 (100,00 débito) 5/5</t>
  </si>
  <si>
    <t>Bicicleta Bella presente Natal (720,00 total 120,00 debito) 5/5</t>
  </si>
  <si>
    <t>Convênio odonto Bella (GNDI) 3/3</t>
  </si>
  <si>
    <t>Tinta Eucatex quarto 3,6 lt (marrom chocolate ao leite) 2/3</t>
  </si>
  <si>
    <t>Kit pintura (base mais rolo antirespingo) 2/3</t>
  </si>
  <si>
    <t>Pre treino Évora pw Maçã Verde Integralmedica - 300g  2/3</t>
  </si>
  <si>
    <t>Camisa preta com detalhes branco (140,00 total   40,00 débito) 1/2</t>
  </si>
  <si>
    <t>Cartão de Crédito Fatura Fevereiro/23 - Vencimento 22/03/23 - Limite R$ 5.600,00</t>
  </si>
  <si>
    <t>R-pago em 06/03/23 (100,00)</t>
  </si>
  <si>
    <t>F-pago em 06/03/23 (120,00)</t>
  </si>
  <si>
    <t>Troca bomba combustível Onix (300,00 peça 200,00 M.O) 3/3</t>
  </si>
  <si>
    <t>Convênio odonto Bella (GNDI) 2/3</t>
  </si>
  <si>
    <t>Tinta Eucatex quarto 3,6 lt (marrom chocolate ao leite) 1/3</t>
  </si>
  <si>
    <t>Kit pintura (base mais rolo antirespingo) 1/3</t>
  </si>
  <si>
    <t>Pre treino Évora pw Maçã Verde Integralmedica - 300g  1/3</t>
  </si>
  <si>
    <t>Cartão de Crédito Fatura Janeiro/23 - Vencimento 22/02/23 - Limite R$ 5.600,00</t>
  </si>
  <si>
    <t>Blazer marrom (bom retiro) R$ 600,00 (100,00 débito) 3/5</t>
  </si>
  <si>
    <t>Vestido casamento Thiago (Joise irá pagar) 3/3</t>
  </si>
  <si>
    <t>Bicicleta Bella presente Natal (720,00 total 120,00 debito) 3/5</t>
  </si>
  <si>
    <t>Sensor de rotação ONIX 2/2</t>
  </si>
  <si>
    <t>Troca bomba combustível Onix (300,00 peça 200,00 M.O) 2/3</t>
  </si>
  <si>
    <t>Bobina ignição ONIX 2/2 - DEVOLVIDO</t>
  </si>
  <si>
    <t>Cabos velas ONIX</t>
  </si>
  <si>
    <t>Assinatura Duplex TV (IPTV) 12 meses</t>
  </si>
  <si>
    <t>Convênio odonto Bella (GNDI) 1/3</t>
  </si>
  <si>
    <t>F-pago em 06/02/23 (152,00)</t>
  </si>
  <si>
    <t>Massa acrilica Eucatex 25KG (160,00 total 60,00 débito)</t>
  </si>
  <si>
    <t>Cartão de Crédito Fatura Dezembro/22 - Vencimento 22/01/23 - Limite R$ 5.600,00</t>
  </si>
  <si>
    <t>OD-pago em 11/01/23 (93,33)</t>
  </si>
  <si>
    <t>Valor compra</t>
  </si>
  <si>
    <t>Parcelas</t>
  </si>
  <si>
    <t>F-pago em 11/01/23 (67,00)</t>
  </si>
  <si>
    <t>Camisa rosa 2/2</t>
  </si>
  <si>
    <t>R-pago em 11/01/23 (100,00)</t>
  </si>
  <si>
    <t>Vestido casamento Thiago (Joise irá pagar) 2/3</t>
  </si>
  <si>
    <t>Sapato social preto Democrata (240,00 total 100,00 débito) 2/2</t>
  </si>
  <si>
    <t>Troca homocinética lado esquerdo (M.O 180,00 peça 270,00 = 450,00 (150,00 débito 300,00 crédito 2x) 2/2</t>
  </si>
  <si>
    <t>Bicicleta Bella presente Natal (720,00 total 120,00 debito) 2/5</t>
  </si>
  <si>
    <t>Sensor de rotação ONIX 1/2</t>
  </si>
  <si>
    <t>DC-pago em 03/01/23 (166,68)</t>
  </si>
  <si>
    <t xml:space="preserve">Pousada Porto Belo-SC 04/01 a 09/01 </t>
  </si>
  <si>
    <t>B-pago em 11/01/23 (859,04)</t>
  </si>
  <si>
    <t>Guarda sol (Joise irá pagar)</t>
  </si>
  <si>
    <t>Bobina ignição ONIX 1/2</t>
  </si>
  <si>
    <t>Cartão de Crédito Fatura Novembro/22 - Vencimento 22/12/22 - Limite R$ 4.000,00</t>
  </si>
  <si>
    <t>Data</t>
  </si>
  <si>
    <t>Valor pagar</t>
  </si>
  <si>
    <t>abater</t>
  </si>
  <si>
    <t>R-pago em 30/11/22 (74,12)</t>
  </si>
  <si>
    <t>Camisa rosa 1/2</t>
  </si>
  <si>
    <t>OD-pago em 30/11/22 (93,33)</t>
  </si>
  <si>
    <t>R-pago em 30/11/22 (69,70)</t>
  </si>
  <si>
    <t>F-pago em 30/11/22 (67,00)</t>
  </si>
  <si>
    <t>R-pago em 30/11/22 (11,50)</t>
  </si>
  <si>
    <t>Blazer marrom (bom retiro) R$ 600,00 (100,00 débito) 1/5</t>
  </si>
  <si>
    <t>Vestido casamento Thiago (Joise irá pagar) 1/3</t>
  </si>
  <si>
    <t>Piscina 1000 litros MOR (dividido com Eduardo)</t>
  </si>
  <si>
    <t>F-pago em 06/12/22 (207,90)</t>
  </si>
  <si>
    <t>Sapato social preto Democrata (240,00 total 100,00 débito) 1/2</t>
  </si>
  <si>
    <t>Troca homocinética lado esquerdo (M.O 180,00 peça 270,00 = 450,00 (150,00 débito 300,00 crédito 2x) 1/2</t>
  </si>
  <si>
    <t>valor real parcela 150,00, foi abatido 106,00 devolução de outra homocinética</t>
  </si>
  <si>
    <t>Aluguel terno azul (casamento Thiago) calça, blazer, gravata 2/2 (total R$ 190,00)</t>
  </si>
  <si>
    <t>Bicicleta Bella presente Natal (720,00 total 120,00 debito) 1/5</t>
  </si>
  <si>
    <t>3 pneus onix aro 15/185/65 Westlake CR65772</t>
  </si>
  <si>
    <t>Cartão de Crédito Fatura Outubro/22 - Vencimento 22/11/22 - Limite R$ 4.000,00</t>
  </si>
  <si>
    <t>R-pago em 04/11/22 (41,50)</t>
  </si>
  <si>
    <t>F-pago em 04/11/22 (28,00)</t>
  </si>
  <si>
    <t>F-pago em 04/11/22 (25,00)</t>
  </si>
  <si>
    <t>F-pago em 04/11/22 (103,92)</t>
  </si>
  <si>
    <t>R-pago em 04/11/22 (73,84)</t>
  </si>
  <si>
    <t>All Star branco couro (Presente niver Joise) 1/3</t>
  </si>
  <si>
    <t>Camisa azul 1/2</t>
  </si>
  <si>
    <t>Homocinética Onix (estralando lado motorista) 1/2</t>
  </si>
  <si>
    <t xml:space="preserve">Sapato Mocassins Ferracini (marrom) </t>
  </si>
  <si>
    <t xml:space="preserve">R </t>
  </si>
  <si>
    <t>Cartão de Crédito Fatura Setembro/22 - Vencimento 22/10/22 - Limite R$ 4.000,00</t>
  </si>
  <si>
    <t>I-pago em 03/10/22 (R$ 53,50)</t>
  </si>
  <si>
    <t>OD-pago em 03/10/22 (R$ 60,00)</t>
  </si>
  <si>
    <t>R-pago em 03/10/22 (R$ 64,84)</t>
  </si>
  <si>
    <t>R-pago em 03/10/22 (R$ 641,50)</t>
  </si>
  <si>
    <t>FER-pago em 03/10/22 (R$ 60,00)</t>
  </si>
  <si>
    <t>FER-pago em 03/10/22 (R$ 5,00)</t>
  </si>
  <si>
    <t>F-pago em 03/10/22 (R$ 28,00)</t>
  </si>
  <si>
    <t>F-pago em 03/10/22 (R$ 25,00)</t>
  </si>
  <si>
    <t>F-pago em 03/10/22 (R$ 103,92)</t>
  </si>
  <si>
    <t>F-pago em 03/10/22 (R$ 166,04)</t>
  </si>
  <si>
    <t>F-pago em 03/10/22 (R$ 183,55)</t>
  </si>
  <si>
    <t>Réplica relógio Empório Armani prata preto AR 2453 - 1/3</t>
  </si>
  <si>
    <t>Corrente preta (Key design Branson) total R$ 150,00 ( R$ 75,00 débito)</t>
  </si>
  <si>
    <t>Cartão de Crédito Fatura Agosto/22 - Vencimento 22/09/22 - Limite R$ 3.850,00</t>
  </si>
  <si>
    <t>I-pago em 06/09/22 (R$ 53,50)</t>
  </si>
  <si>
    <t>DC-pago em 06/09/22 (R$ 49,94)</t>
  </si>
  <si>
    <t>COM-pago em 06/09/22 (R$ 16,60)</t>
  </si>
  <si>
    <t>Jogo de velas e cabos (Onix) 3/3 - DEVOLVIDO</t>
  </si>
  <si>
    <t>Presente Niver Bruna (Vestido verde) 2/3</t>
  </si>
  <si>
    <t>Kit regatas academia (4 unidades) 1/2</t>
  </si>
  <si>
    <t>Maquina cortar cabelo (acabamento) kemei 9164 1/3</t>
  </si>
  <si>
    <t>Carcaça chave canivete ONIX</t>
  </si>
  <si>
    <t>Kit chaves Torx (controle xbox)</t>
  </si>
  <si>
    <t>Mochila de costas (presente niver Bella)</t>
  </si>
  <si>
    <t>Conserto controle Xbox series S (troca analógico esquerdo, defeito potenciometro) 1/2</t>
  </si>
  <si>
    <t>Cartão de Crédito Fatura Julho/22 - Vencimento 22/08/22 - Limite R$ 3.850,00</t>
  </si>
  <si>
    <t>Conserto drone (690,00 total / R$ 190,00 débito) 2/2</t>
  </si>
  <si>
    <t>I-pago em 05/08/22 (R$ 53,50)</t>
  </si>
  <si>
    <t>DC-pago em 05/08/22 (R$ 49,94)</t>
  </si>
  <si>
    <t>Jogo de velas e cabos (Onix) 2/3 - DEVOLVIDO</t>
  </si>
  <si>
    <t>Jogo de velas e cabos (Onix) - REEMBOLSO 3 PARCELAS</t>
  </si>
  <si>
    <t>COM-pago em 05/08/22 (R$ 16,60)</t>
  </si>
  <si>
    <t>Velas + cabos velas ONIX + Mão de obra velas e óleo (R$ 270,00 total) 100,00 em dinheiro  2/2</t>
  </si>
  <si>
    <t>Presente Niver Bruna (Vestido verde) 1/3</t>
  </si>
  <si>
    <t>Cartão de Crédito Fatura Junho/22 - Vencimento 22/07/22 - Limite R$ 3.850,00</t>
  </si>
  <si>
    <t>F-pago em 06/07/22 (R$ 71,00)</t>
  </si>
  <si>
    <t>2 Calças social (preta e cor gelo) R$ 100,00 débito 2/2</t>
  </si>
  <si>
    <t>Camisa quadriculada (R$ 60,00 no débito)</t>
  </si>
  <si>
    <t>R-pago em 06/07/22 (R$ 31,90)</t>
  </si>
  <si>
    <t>I-pago em 06/07/22 (R$ 20,90)</t>
  </si>
  <si>
    <t>R-pago em 06/07/22 (R$ 76,00)</t>
  </si>
  <si>
    <t>AC-pago em 06/07/22 (R$ 15,30)</t>
  </si>
  <si>
    <t>AC-pago em 06/07/22 (R$ 74,31)</t>
  </si>
  <si>
    <t>Conserto drone (690,00 total / R$ 190,00 débito) 1/2</t>
  </si>
  <si>
    <t>Estacionamento centro (buscar drone conserto)</t>
  </si>
  <si>
    <t>Roteador Tp-link Archer C5 V4 Branco 1/4</t>
  </si>
  <si>
    <t>Jogo de velas e cabos (Onix) 1/3 - DEVOLVIDO</t>
  </si>
  <si>
    <t>Disjuntor caixa luz 60ah Lorenzetti (desconto 30,00 mercado livre) total R$ 79,80 - R$ 30,00 = R$ 49,80 1/3</t>
  </si>
  <si>
    <t>Velas + cabos velas ONIX + Mão de obra velas e óle (R$ 270,00 total) 100,00 em dinheiro  1/2</t>
  </si>
  <si>
    <t>Cartão de Crédito Fatura Maio/22 - Vencimento 22/06/22 - Limite R$ 3.850,00</t>
  </si>
  <si>
    <t>Sapatos Joise (Joise irá pagar) 3/3</t>
  </si>
  <si>
    <t>2 Calças social (preta e cor gelo) R$ 100,00 débito 1/2</t>
  </si>
  <si>
    <t>Consulta Pneumologista - Bella 1/2</t>
  </si>
  <si>
    <t>F (não cobrou no cartão)</t>
  </si>
  <si>
    <t>Console Arcade Box retro 16GB 2 controles 2/2</t>
  </si>
  <si>
    <t>Exame USG Pélvica - Bella 1/2</t>
  </si>
  <si>
    <t>R-pago em 02/06/22 (R$ 40,00)</t>
  </si>
  <si>
    <t>FER-pago em 02/06/22 (R$ 41,00)</t>
  </si>
  <si>
    <t>R-pago em 02/06/22 (R$ 69,90)</t>
  </si>
  <si>
    <t>R-pago em 02/06/22 (R$ 74,00)</t>
  </si>
  <si>
    <t>FER-pago em 02/06/22 (R$ 11,50</t>
  </si>
  <si>
    <t>Cartão de Crédito Fatura Abril/22 - Vencimento 22/05/22 - Limite R$ 3.850,00</t>
  </si>
  <si>
    <t>Calotas preto fosco ONIX</t>
  </si>
  <si>
    <t>DC-pago em 20/04/22 (R$ 157,20)</t>
  </si>
  <si>
    <t>Sapatos Joise (Joise irá pagar) 2/3</t>
  </si>
  <si>
    <t>Central multimidia android 11 7 pol (lelong 1313) - Onix 2/2</t>
  </si>
  <si>
    <t>Ovo de páscoa Bella e Kauan (50,00 débito)</t>
  </si>
  <si>
    <t>OD-pago em 20/04/22 (R$ 50,00)</t>
  </si>
  <si>
    <t>Camiseta azul</t>
  </si>
  <si>
    <t>R-pago em 20/04/22 (R$ 50,00)</t>
  </si>
  <si>
    <t>Tinta laranja (parede laje)</t>
  </si>
  <si>
    <t>COM-pago em 20/04/22 (R$ 35,90)</t>
  </si>
  <si>
    <t>Console Arcade Box retro 16GB 2 controles 1/2</t>
  </si>
  <si>
    <t>COM-pago em 09/05/22 (R$ 44,20)</t>
  </si>
  <si>
    <t>FER-pago em 09/05/22 (17,00)</t>
  </si>
  <si>
    <t>FER-pago em 09/05/22 (5,00)</t>
  </si>
  <si>
    <t>FER-pago em 09/05/22 (76,76)</t>
  </si>
  <si>
    <t>FER-pago em 09/05/22 (19,90)</t>
  </si>
  <si>
    <t>Cartão de Crédito Fatura Março/22 - Vencimento 10/04/22 - Limite R$ 3.850,00</t>
  </si>
  <si>
    <t>Acabamento saia lateral Astra 2/2</t>
  </si>
  <si>
    <t>1 Camisa abranca + 1 camisa rosa - 2/2</t>
  </si>
  <si>
    <t>Astra (2 bieletas frontais,cebolinha oleo,bomba dagua,mangueira respiro) total 700,00 (300,00 débito) 2/2</t>
  </si>
  <si>
    <t>Sapatos Joise (Joise irá pagar) 1/3</t>
  </si>
  <si>
    <t>Calotas preto fosco ONIX 1/2</t>
  </si>
  <si>
    <t>Devolução Calotas ONIX 1/2</t>
  </si>
  <si>
    <t>Roteador Archer 21 TP-LINK (Eduardo irá pagar)</t>
  </si>
  <si>
    <t>Central multimidia android 11 7 pol (lelong 1313) - Onix 1/2</t>
  </si>
  <si>
    <t>Cartão de Crédito Fatura Fevereiro/22 - Vencimento 10/03/22 - Limite R$ 3.850,00</t>
  </si>
  <si>
    <t>Acabamento saia lateral Astra 1/2</t>
  </si>
  <si>
    <t>1 Camisa abranca + 1 camisa rosa - 1/2</t>
  </si>
  <si>
    <t>Pré treino crossbones Black Skull 150 gr</t>
  </si>
  <si>
    <t>Astra (2 bieletas frontais,cebolinha oleo,bomba dagua,mangueira respiro) total 700,00 (300,00 débito) 1/2</t>
  </si>
  <si>
    <t>Cartão de Crédito Fatura Janeiro/22 - Vencimento 10/02/22 - Limite R$ 3.850,00</t>
  </si>
  <si>
    <t>Presente natal Mãe (Samsung A02 32GB azul) 3/3 (dividido com Bruna)</t>
  </si>
  <si>
    <t>Dr. Consulta (Pneumologista Bella - tosse) 2/2</t>
  </si>
  <si>
    <t>Jogo de velas e cabos Astra 2/2</t>
  </si>
  <si>
    <t>Exames Olhos mãe 2/2</t>
  </si>
  <si>
    <t>Pousada viagem Paraty (dividido com Joise) 2/2</t>
  </si>
  <si>
    <t>Patinete Mega Compras Bv0010 Rosa Bella 2/2</t>
  </si>
  <si>
    <t>Camisinhas OLLA sensitive (8 por R$ 10,09 cada) 3 pacotes</t>
  </si>
  <si>
    <t>Licença APP DUPLEX IPTV (12 meses)</t>
  </si>
  <si>
    <t>Cartão de Crédito Fatura Dezembro/21 - Vencimento 10/01/22 - Limite R$ 2.810,00</t>
  </si>
  <si>
    <t>pago adiantado em 10/12/21 (59,86)</t>
  </si>
  <si>
    <t>pago adiantado em 10/12/21 (66,67)</t>
  </si>
  <si>
    <t>Presente natal Mãe (Samsung A02 32GB azul) 2/3 (dividido com Bruna)</t>
  </si>
  <si>
    <t>Bateria MT03 (Heliar HTZ7L) 2/2</t>
  </si>
  <si>
    <t>Dr. Consulta (Pneumologista Bella - tosse) 1/2</t>
  </si>
  <si>
    <t>pago adiantado em 10/12/21 (85,00)</t>
  </si>
  <si>
    <t>Espaçador Medicate c/ máscara (tratamento com flixotide)</t>
  </si>
  <si>
    <t>Flixotide 50mcg 120 doses + Nasonex 120 doses</t>
  </si>
  <si>
    <t>pago adiantado em 10/12/21 (126,79)</t>
  </si>
  <si>
    <t>Exames Olhos mãe 1/2</t>
  </si>
  <si>
    <t>Pousada viagem Paraty (dividido com Joise) 1/2</t>
  </si>
  <si>
    <t>Patinete Mega Compras Bv0010 Rosa Bella 1/2</t>
  </si>
  <si>
    <t>Cartão de Crédito Fatura Novembro/21 - Vencimento 10/12/21 - Limite R$ 2.810,00</t>
  </si>
  <si>
    <t>Cartão Mercado Pago - Vencimento 23/12/21</t>
  </si>
  <si>
    <t>Silencioso (escapamento) Astra 3/4</t>
  </si>
  <si>
    <t>Calça social cor grafite 2/2</t>
  </si>
  <si>
    <t>Cartão presente Joise CeA 2/3</t>
  </si>
  <si>
    <t>Presente natal Mãe (Samsung A02 32GB azul) 1/3 (dividido com Bruna)</t>
  </si>
  <si>
    <t>Pneu meia vida (R$ 50,00 débito - total R$ 150,00)</t>
  </si>
  <si>
    <t>Bateria MT03 (Heliar HTZ7L) 1/2</t>
  </si>
  <si>
    <t>Cartão de Crédito Fatura Outubro/21 - Vencimento 10/11/21 - Limite R$ 2.810,00</t>
  </si>
  <si>
    <t>Silencioso (escapamento) Astra 2/4</t>
  </si>
  <si>
    <t>Correia alternador POLY V 6pk1891 Astra (frete R$ 12,00) 2/2</t>
  </si>
  <si>
    <t>Kit correia dentada + tensor 2/2</t>
  </si>
  <si>
    <t>Creatina Turbo Black Skull 300 gr</t>
  </si>
  <si>
    <t>Calça social cor grafite 1/2</t>
  </si>
  <si>
    <t>Estacionamento hospital santa cruz</t>
  </si>
  <si>
    <t>Cartão presente Joise CeA 1/3 + (buque rosas R$ 83,00 débito)</t>
  </si>
  <si>
    <t>Viagem Paraty (09/10 a 12/10) 1/3 (CANCELADA-DEVOLUÇÃO VALOR PAGO)</t>
  </si>
  <si>
    <t>Cartão de Crédito Fatura Setembro/21 - Vencimento 10/10/21 - Limite R$ 2.810,00</t>
  </si>
  <si>
    <t>Cartão CEA - Vencimento 10/10/21</t>
  </si>
  <si>
    <t>Compra Joise (vitamina) 3/3</t>
  </si>
  <si>
    <t>Coisas churrasco Aniver Bella (total 242,05   R$ 70,00 débito</t>
  </si>
  <si>
    <t>Viagem Paraty (09/10 a 12/10) 1/3</t>
  </si>
  <si>
    <t>EXCLUIR</t>
  </si>
  <si>
    <t>Silencioso (escapamento) Astra 1/4</t>
  </si>
  <si>
    <t>4 litros óleo carro (Lubrax mineral essencial SL 20w50 )</t>
  </si>
  <si>
    <t>Correia alternador POLY V 6pk1891 Astra (frete R$ 12,00) 1/2</t>
  </si>
  <si>
    <t>Kit correia dentada + tensor 1/2</t>
  </si>
  <si>
    <t>Cartão de Crédito Fatura Agosto/21 - Vencimento 10/09/21 - Limite R$ 2.810,00</t>
  </si>
  <si>
    <t>Cartão CEA - Vencimento 10/09/21</t>
  </si>
  <si>
    <t>Compra Joise (vitamina) 2/3</t>
  </si>
  <si>
    <t>Juros cartão indevido (será reembolsado proxima fatura)</t>
  </si>
  <si>
    <t>(Presente Bella) Smartphone Samsung Galaxy A01 Core 32GB Vermelho (R$ 300,00 débito total R$ 501,27)</t>
  </si>
  <si>
    <t>Cartão de Crédito Fatura Julho/21 - Vencimento 10/08/21 - Limite R$ 2.810,00</t>
  </si>
  <si>
    <t>Cartão CEA - Vencimento 10/08/21</t>
  </si>
  <si>
    <t>Compra Joise (depilador) 3/4</t>
  </si>
  <si>
    <t>Fone Ouvido Edifier X3    3/3</t>
  </si>
  <si>
    <t>Óculos de grau (R$ 300,00 total - R$ 150,00 débito) 2/3</t>
  </si>
  <si>
    <t>Compra Joise (vitamina) 1/3</t>
  </si>
  <si>
    <t>Licença APP DUPLEX IPTV</t>
  </si>
  <si>
    <t>Compra Joise (blusa) 1/2</t>
  </si>
  <si>
    <t>Cartão de Crédito Fatura Junho/21 - Vencimento 10/07/21 - Limite R$ 2.810,00</t>
  </si>
  <si>
    <t>Cartão CEA - Vencimento 10/07/21</t>
  </si>
  <si>
    <t>Caixa Som JBL flip 5 ORIGINAL (presente p/Joise) 5/5 - R$ 100,86 débito</t>
  </si>
  <si>
    <t>Bolsa Croo Zíper PRETO (R$ 7,22 frete) 3/3</t>
  </si>
  <si>
    <t>Compra Joise (calças) 2/2</t>
  </si>
  <si>
    <t>Compra Joise (depilador) 2/4</t>
  </si>
  <si>
    <t>Conjunto lençol + fronhas preto 2/2</t>
  </si>
  <si>
    <t>Fone Ouvido Edifier X3    2/3</t>
  </si>
  <si>
    <t>Óculos de grau (R$ 300,00 total - R$ 150,00 débito) 1/3</t>
  </si>
  <si>
    <t>Pochete celular Joise</t>
  </si>
  <si>
    <t xml:space="preserve">Laço cintura Joise </t>
  </si>
  <si>
    <t>Remédios Bella (diarréia) total R$ 92,07 - R$ 30,00 débito</t>
  </si>
  <si>
    <t>Cartão de Crédito Fatura Maio/21 - Vencimento 10/06/21 - Limite R$ 2.810,00</t>
  </si>
  <si>
    <t>Caixa Som JBL flip 5 ORIGINAL (presente p/Joise) 4/5 - R$ 100,86 débito</t>
  </si>
  <si>
    <t>Motor partida Twister 4/4</t>
  </si>
  <si>
    <t>Trava Disco Moto (MAXTRAVA) 3/3</t>
  </si>
  <si>
    <t>Alto Falantes Dianteiras 6 pol 65 Wrms(Hurricane) 3/3</t>
  </si>
  <si>
    <t>Consulta Bella Pediatra (Dr consulta) - entrou agua piscina no ouvido 2/2</t>
  </si>
  <si>
    <t>Gillete Recarga com 8 unidades (R$ 8,00 frete) 2/2</t>
  </si>
  <si>
    <t>Bolsa Croo Zíper PRETO (R$ 7,22 frete) 2/3</t>
  </si>
  <si>
    <t>Compra Joise (calças) 1/2</t>
  </si>
  <si>
    <t>Limpeza Dente (100,00 débito total 150,00)</t>
  </si>
  <si>
    <t>Compra Joise (depilador) 1/4</t>
  </si>
  <si>
    <t>Conjunto lençol + fronhas preto 1/2</t>
  </si>
  <si>
    <t>Fone Ouvido Edifier X3     1/3</t>
  </si>
  <si>
    <t>Cartão de Crédito Fatura Abril/21 - Vencimento 10/05/21 - Limite R$ 2.810,00</t>
  </si>
  <si>
    <t>Caixa Som JBL flip 5 ORIGINAL (presente p/Joise) 3/5 - R$ 100,86 débito</t>
  </si>
  <si>
    <t>Calça Social Cinza 3/3</t>
  </si>
  <si>
    <t>Camisa Social Azul 3/3</t>
  </si>
  <si>
    <t>Vela Twister NGK Lmar7h-9ds - 3/3</t>
  </si>
  <si>
    <t>Motor partida Twister 3/4</t>
  </si>
  <si>
    <t>Trava Disco Moto (MAXTRAVA) 2/3</t>
  </si>
  <si>
    <t>Alto Falantes Dianteiras 6 pol 65 Wrms(Hurricane) 2/3</t>
  </si>
  <si>
    <t>Consulta Bella Pediatra (Dr consulta) - entrou agua piscina no ouvido 1/2</t>
  </si>
  <si>
    <t>Gillete Recarga com 8 unidades (R$ 8,00 frete) 1/2</t>
  </si>
  <si>
    <t>Bolsa Croo Zíper PRETO (R$ 7,22 frete) 1/3</t>
  </si>
  <si>
    <t>Bons de cama</t>
  </si>
  <si>
    <t>Cartão de Crédito Fatura Março/21 - Vencimento 10/04/21 - Limite R$ 2.810,00</t>
  </si>
  <si>
    <t>Compra Joise (microondas irmã) 4/4</t>
  </si>
  <si>
    <t>Caixa Som JBL Charge 3 Black- Réplica (Bruna) 3/3</t>
  </si>
  <si>
    <t>Caixa Som JBL flip 5 ORIGINAL (presente p/Joise) 2/5 - R$ 100,86 débito</t>
  </si>
  <si>
    <t>Calça Social Cinza 2/3</t>
  </si>
  <si>
    <t>Camisa Social Azul 2/3</t>
  </si>
  <si>
    <t>Vela Twister NGK Lmar7h-9ds - 2/3</t>
  </si>
  <si>
    <t>Motor partida Twister 2/4</t>
  </si>
  <si>
    <t>Trava Disco Moto (MAXTRAVA) 1/3</t>
  </si>
  <si>
    <t>Troca óleo MT03 (2.840 km) 2 litros Yamalube 10x40w</t>
  </si>
  <si>
    <t>Grade protetor radiador MT03</t>
  </si>
  <si>
    <t>Compra Joise (tênis)</t>
  </si>
  <si>
    <t>Alto Falantes Dianteiras 6 pol 65 Wrms(Hurricane) 1/3</t>
  </si>
  <si>
    <t>DC-devolução adaptador auto falante -R$ 32,89</t>
  </si>
  <si>
    <t>Cartão de Crédito Fatura Fevereiro/21 - Vencimento 10/03/21 - Limite R$ 2.500,00</t>
  </si>
  <si>
    <t>Compra Joise (microondas irmã) 3/4</t>
  </si>
  <si>
    <t>Kit elástico Extensor TUBING PRO 11 peças 3/3</t>
  </si>
  <si>
    <t>Sapato social preto 3/3</t>
  </si>
  <si>
    <t>Dentista Bella (arrancar dente nasceu fora lugar, 1 cárie) 2/2 (R$ 150,00 débito antecipado pagamento fatura)</t>
  </si>
  <si>
    <t>Caixa Som JBL Charge 3 Black- Réplica (Bruna) 2/3</t>
  </si>
  <si>
    <t>Caixa Som JBL flip 5 ORIGINAL (presente p/Joise) 1/5 - R$ 100,86 débito</t>
  </si>
  <si>
    <t>Calça Social Cinza 1/3</t>
  </si>
  <si>
    <t>Camisa Social Azul 1/3</t>
  </si>
  <si>
    <t>Vela Twister NGK Lmar7h-9ds - 1/3</t>
  </si>
  <si>
    <t>Motor partida Twister 1/4</t>
  </si>
  <si>
    <t>Cartão de Crédito Fatura Janeiro/21 - Vencimento 10/02/21 - Limite R$ 2.500,00</t>
  </si>
  <si>
    <t>Compra Joise (microondas irmã) 2/4</t>
  </si>
  <si>
    <t>Kit elástico Extensor TUBING PRO 11 peças 2/3</t>
  </si>
  <si>
    <t>KIT farol milha ASTRA 2/2</t>
  </si>
  <si>
    <t>Lampada Xenon 8000k H3 - Astra 2/2</t>
  </si>
  <si>
    <t>Carregador Bateria LIPO (drone) 2/2</t>
  </si>
  <si>
    <t>2 pares Hélices brancas (drone) 2/2</t>
  </si>
  <si>
    <t>Bermuda preta e camiseta cinza (presente natal Kauan) 2/2</t>
  </si>
  <si>
    <t>Sapato social preto 2/3</t>
  </si>
  <si>
    <t>Ventilador Ventidelta com controle remoto (total R$ 261,00 - R$ 161,00 débito)</t>
  </si>
  <si>
    <t>Antena TV interna INTELBRAS Ai 3101</t>
  </si>
  <si>
    <t>Controle Ppa Tok Saw Original 433 Portão Eletrônico Alarme</t>
  </si>
  <si>
    <t>Caixa Som JBL Charge 3 Black- Réplica (Bruna) 1/3</t>
  </si>
  <si>
    <t>Cartão de Crédito Fatura Dezembro/20 - Vencimento 10/01/21 - Limite R$ 2.500,00</t>
  </si>
  <si>
    <t>Sapato tipo mocassins Azul (total R$ 150,00 / R$ 30,00 débito) 3/3</t>
  </si>
  <si>
    <t>Tênis Olimpikus preto (academia) 3/3</t>
  </si>
  <si>
    <t>Camisa social Branca 3/3</t>
  </si>
  <si>
    <t>Presente Joise (sandália melissa branca)total R$ 20 débito 2/2</t>
  </si>
  <si>
    <t xml:space="preserve">Compra Joise (roupa) 2/2 </t>
  </si>
  <si>
    <t>Compra Joise (microondas irmã) 1/4</t>
  </si>
  <si>
    <t>Kit elástico Extensor TUBING PRO 11 peças 1/3</t>
  </si>
  <si>
    <t>Cimento e areia reboco paredes laje</t>
  </si>
  <si>
    <t>KIT farol milha ASTRA 1/2</t>
  </si>
  <si>
    <t>Lampada Xenon 8000k H3 - Astra 1/2</t>
  </si>
  <si>
    <t>Carregador Bateria LIPO (drone) 1/2</t>
  </si>
  <si>
    <t>2 pares Hélices brancas (drone) 1/2</t>
  </si>
  <si>
    <t>3 Sungas (Azul, Vermelha, Verde) R$ 109,00 débito total $ 169,70</t>
  </si>
  <si>
    <t>Bermuda preta e camiseta cinza (presente natal Kauan) 1/2</t>
  </si>
  <si>
    <t>Sapato social preto 1/3</t>
  </si>
  <si>
    <t>Cartão de Crédito Fatura Novembro/20 - Vencimento 10/12/20 - Limite R$ 2.500,00</t>
  </si>
  <si>
    <t>Sapato tipo mocassins Azul (total R$ 150,00 / R$ 30,00 débito) 2/3</t>
  </si>
  <si>
    <t>Tênis Olimpikus preto (academia) 2/3</t>
  </si>
  <si>
    <t>Camisa social Branca 2/3</t>
  </si>
  <si>
    <t>Presente Joise (sandália melissa branca)total R$ 20 débito 1/2</t>
  </si>
  <si>
    <t>Compra Joise 1/2</t>
  </si>
  <si>
    <t>SSD Notebook-Disco sólido interno Kingston SA400S37 240GB (total R$ 239,40 - R$ 100,00 pago antecipado na fatura)</t>
  </si>
  <si>
    <t>Cartão de Crédito Fatura Outubro/20 - Vencimento 10/11/20 - Limite R$ 2.500,00</t>
  </si>
  <si>
    <t>Máquina lavar CONSUL ABANA 12 kg (dividido com Bruna) 4/4</t>
  </si>
  <si>
    <t>Relógio FRONZEN Bella 2/2</t>
  </si>
  <si>
    <t>Corrente pescoço (R$ 50,00 débito) 2/2</t>
  </si>
  <si>
    <t>2 regatas hering (branca e preta)</t>
  </si>
  <si>
    <t>Protetor solar (compra da Joise)</t>
  </si>
  <si>
    <t>Sapato tipo mocassins Azul (total R$ 150,00 / R$ 30,00 débito) 1/3</t>
  </si>
  <si>
    <t>Tênis Olimpikus preto (academia) 1/3</t>
  </si>
  <si>
    <t>Camisa social Branca 1/3</t>
  </si>
  <si>
    <t>Cartão de Crédito Fatura Setembro/20 - Vencimento 10/10/20 - Limite R$ 2.500,00</t>
  </si>
  <si>
    <t>Máquina lavar CONSUL ABANA 12 kg (dividido com Bruna) 3/4</t>
  </si>
  <si>
    <t>Conserto sistema amortecimento dianteiro Astra (R$ 1.245,00 total) R$ 745,00 débito - 3/3</t>
  </si>
  <si>
    <t>Vestido mulher maravilha aniver Bella 6 anos - G</t>
  </si>
  <si>
    <t>Contra filé SWIFT 3kg - Aniversário Bella 6 anos</t>
  </si>
  <si>
    <t>Protetor fio Midori 250 ML</t>
  </si>
  <si>
    <t>Relógio FRONZEN Bella 1/2</t>
  </si>
  <si>
    <t>Corrente pescoço (R$ 50,00 débito) 1/2</t>
  </si>
  <si>
    <t>Curso EAD (Arquitetura e instalação Protheus USERFUNCTION) R$ 199,00 desconto de R$ 80,80</t>
  </si>
  <si>
    <t>pago em 04/09/20</t>
  </si>
  <si>
    <t xml:space="preserve">Pré treino Crossbones 300 g - Black Skull </t>
  </si>
  <si>
    <t>Cartão de Crédito Fatura Agosto/20 - Vencimento 10/09/20 - Limite R$ 2.670,00</t>
  </si>
  <si>
    <t>Máquina lavar CONSUL ABANA 12 kg (dividido com Bruna) 2/4</t>
  </si>
  <si>
    <t>Instalação Motor portão (dividido com Eduardo) 2/2</t>
  </si>
  <si>
    <t>Conserto sistema amortecimento dianteiro Astra (R$ 1.245,00 total) R$ 745,00 débito - 2/3</t>
  </si>
  <si>
    <t>Consulta Psiquiatra Mãe - Dr. Consulta 2/2</t>
  </si>
  <si>
    <t>PAGAMENTO ADIANTADO DA PRÓXIMA FATURA</t>
  </si>
  <si>
    <t>Cartão de Crédito Fatura Julho/20 - Vencimento 10/08/20 - Limite R$ 2.670,00</t>
  </si>
  <si>
    <t>Smart TV LED 49" UHD 4K LG 49SM8000PSA NanoCell, ThinQ AI Inteligência Artificial IoT, IPS, HDR Ativo, DTS Virtual X, WebOS 4.5 e Controle Smart Magic (R$ 400,00 boleto) 10/10</t>
  </si>
  <si>
    <t>PAGO EM 08/07/20</t>
  </si>
  <si>
    <t>Jogo Cama Preto 1 lençol + 2 fronhas 2/2</t>
  </si>
  <si>
    <t>Par retrovisor vermelho esportivo TWISTER</t>
  </si>
  <si>
    <t>Conserto entrada carreg  MOTOG6 Bella (R$ 40,00 débito)</t>
  </si>
  <si>
    <t>Máquina lavar CONSUL ABANA 12 kg (dividido com Bruna e Eduardo) 1/4</t>
  </si>
  <si>
    <t>Instalação Motor portão (dividido com Eduardo) 1/2</t>
  </si>
  <si>
    <t>Material encanamento laje (máquina lavar)</t>
  </si>
  <si>
    <t>Conserto sistema amortecimento dianteiro Astra (R$ 1.245,00 total) R$ 745,00 débito - 1/3</t>
  </si>
  <si>
    <t>Consulta Psiquiatra Mãe - Dr. Consulta 1/2</t>
  </si>
  <si>
    <t>Cartão de Crédito Fatura Junho/20 - Vencimento 10/07/20 - Limite R$ 2.670,00</t>
  </si>
  <si>
    <t>Smart TV LED 49" UHD 4K LG 49SM8000PSA NanoCell, ThinQ AI Inteligência Artificial IoT, IPS, HDR Ativo, DTS Virtual X, WebOS 4.5 e Controle Smart Magic (R$ 400,00 boleto) 9/10</t>
  </si>
  <si>
    <t>Pré treino Crossbones 300 g - Black Skull 4/4</t>
  </si>
  <si>
    <t>Jogo Cama Preto 1 lençol + 2 fronhas 1/2</t>
  </si>
  <si>
    <t>Jogo PS4 - PES 2019</t>
  </si>
  <si>
    <t>PAGO EM 06/07/20</t>
  </si>
  <si>
    <t>Cartão de Crédito Fatura Maio/20 - Vencimento 10/06/20 - Limite R$ 2.670,00</t>
  </si>
  <si>
    <t>Smart TV LED 49" UHD 4K LG 49SM8000PSA NanoCell, ThinQ AI Inteligência Artificial IoT, IPS, HDR Ativo, DTS Virtual X, WebOS 4.5 e Controle Smart Magic (R$ 400,00 boleto) 8/10</t>
  </si>
  <si>
    <t>Pré treino Crossbones 300 g - Black Skull 3/4</t>
  </si>
  <si>
    <t>Barra Fixa De Parede Crossfit Pull-up Bar 2 Em 1 Com Brinde 3/3</t>
  </si>
  <si>
    <t>Cama Kauan (Eduardo irá pagar) 2/3</t>
  </si>
  <si>
    <t>Cartão de Crédito Fatura Abril/20 - Vencimento 10/05/20 - Limite R$ 2.670,00</t>
  </si>
  <si>
    <t>Smart TV LED 49" UHD 4K LG 49SM8000PSA NanoCell, ThinQ AI Inteligência Artificial IoT, IPS, HDR Ativo, DTS Virtual X, WebOS 4.5 e Controle Smart Magic (R$ 400,00 boleto) 7/10</t>
  </si>
  <si>
    <t>Kit VERMELHO (manopla, retrovisor, manetes Twister) 4/4</t>
  </si>
  <si>
    <t>Cama casal Kappersberg (R$ 209,00 débito) 4/4</t>
  </si>
  <si>
    <t>Pneus da frente ASTRA (pneus 342,00+ Montagem 30,00+ Balanc 50,00) 3/3</t>
  </si>
  <si>
    <t>Pré treino Crossbones 300 g - Black Skull 2/4</t>
  </si>
  <si>
    <t>Barra Fixa de Parede Crossfit Pull-up Bar 2 Em 1 Com Brinde 2/3</t>
  </si>
  <si>
    <t>Ovos de Páscoa (Bella, Joise, Mãe Joise, Kauan, Bruna, Antony) R$ 97,08 débito</t>
  </si>
  <si>
    <t>Cama Kauan (Eduardo irá pagar) 1/3</t>
  </si>
  <si>
    <t>MOTO G8 64 GB 4RAM AZUL (R$ 580,00 débito) total R$ 1.068,57</t>
  </si>
  <si>
    <t>Cartão de Crédito Fatura Março/20 - Vencimento 10/04/20 - Limite R$ 2.670,00</t>
  </si>
  <si>
    <t>Smart TV LED 49" UHD 4K LG 49SM8000PSA NanoCell, ThinQ AI Inteligência Artificial IoT, IPS, HDR Ativo, DTS Virtual X, WebOS 4.5 e Controle Smart Magic (R$ 400,00 boleto) 6/10</t>
  </si>
  <si>
    <t>Kit VERMELHO (manopla, retrovisor, manetes Twister) 3/4</t>
  </si>
  <si>
    <t>Cama casal Kappersberg (R$ 209,00 débito) 3/4</t>
  </si>
  <si>
    <t>Camisa Preta 3/3</t>
  </si>
  <si>
    <t>Bateria ASTRA 60 ah (R$ 100,00 débito) 2/2</t>
  </si>
  <si>
    <t>Pneus da frente ASTRA (pneus 342,00+ Montagem 30,00+ Balanc 50,00) 2/3</t>
  </si>
  <si>
    <t>Assinatura Recarga Pay (INDEVIDO-REEMBOLSO)</t>
  </si>
  <si>
    <t>Material telhamento banheiro quarto (25 sacos areia, 2 telhas grandes)</t>
  </si>
  <si>
    <t>Pré treino Crossbones 300 g - Black Skull 1/4</t>
  </si>
  <si>
    <t>Barra Fixa De Parede Crossfit Pull-up Bar 2 Em 1 Com Brinde 1/3</t>
  </si>
  <si>
    <t>Cartão de Crédito Fatura Fevereiro/20 - Vencimento 10/03/20 - Limite R$ 2.670,00</t>
  </si>
  <si>
    <t>Smart TV LED 49" UHD 4K LG 49SM8000PSA NanoCell, ThinQ AI Inteligência Artificial IoT, IPS, HDR Ativo, DTS Virtual X, WebOS 4.5 e Controle Smart Magic (R$ 400,00 boleto) 5/10</t>
  </si>
  <si>
    <t>Camisa florida azul  2/2</t>
  </si>
  <si>
    <t>Bermuda academia Preta 2/2</t>
  </si>
  <si>
    <t>Kit VERMELHO (manopla, retrovisor, manetes Twister) 2/4</t>
  </si>
  <si>
    <t>Cama casal Kappersberg (R$ 209,00 débito) 2/4</t>
  </si>
  <si>
    <t>Barulho motor ASTRA (Rolamento apoio 105,00, Rolamento do Esticador 98,00, Mão de Obra 140,00) R$ 143,00 débito - 2/2</t>
  </si>
  <si>
    <t>Camisa Preta 2/3</t>
  </si>
  <si>
    <t>Bateria ASTRA 60 ah (R$ 100,00 débito) 1/2</t>
  </si>
  <si>
    <t>Celular Bruna (emprestei cartão)</t>
  </si>
  <si>
    <t>Celular Bruna (emprestei cartão) pagou</t>
  </si>
  <si>
    <t>Jogo PS4 (Tom Clancys - The Division 2)</t>
  </si>
  <si>
    <t>Pneus da frente ASTRA (pneus 342,00+ Montagem 30,00+ Balanc 50,00) 1/3</t>
  </si>
  <si>
    <t>Cartão de Crédito Fatura Janeiro/20 - Vencimento 10/02/20 - Limite R$ 2.670,00</t>
  </si>
  <si>
    <t>Smart TV LED 49" UHD 4K LG 49SM8000PSA NanoCell, ThinQ AI Inteligência Artificial IoT, IPS, HDR Ativo, DTS Virtual X, WebOS 4.5 e Controle Smart Magic (R$ 400,00 boleto) 4/10</t>
  </si>
  <si>
    <t>Bermuda Jeans Clara</t>
  </si>
  <si>
    <t>Camisa florida azul  1/2</t>
  </si>
  <si>
    <t>Bermuda academia Preta 1/2</t>
  </si>
  <si>
    <t>Kit VERMELHO (manopla, retrovisor, manetes Twister) 1/4</t>
  </si>
  <si>
    <t>Cama casal Kappersberg (R$ 209,00 débito) 1/4</t>
  </si>
  <si>
    <t>Barulho motor ASTRA (Rolamento apoio 105,00, Rolamento do Esticador 98,00, Mão de Obra 140,00) R$ 143,00 débito - 1/2</t>
  </si>
  <si>
    <t>Camisa Azul Marinho (R$ 70,00 débito)</t>
  </si>
  <si>
    <t>Camisa Preta 1/3</t>
  </si>
  <si>
    <t>Jogo psngamesdf.com (Metal gear V: Ground Zeroes-Secundária)</t>
  </si>
  <si>
    <t>Recarga cel (R$ 7,00 - crédito de R$ 5,00 recarga pay)</t>
  </si>
  <si>
    <t>Cartão de Crédito Fatura Dezembro/19 - Vencimento 10/01/20 - Limite R$ 2.670,00</t>
  </si>
  <si>
    <t>Guarda-Roupa Fama Flórida Plus com 3 Portas de Correr, 4 Gavetas e Espelho Ipê (R$ 151,99 débito) 4/4</t>
  </si>
  <si>
    <t>Smart TV LED 49" UHD 4K LG 49SM8000PSA NanoCell, ThinQ AI Inteligência Artificial IoT, IPS, HDR Ativo, DTS Virtual X, WebOS 4.5 e Controle Smart Magic (R$ 400,00 boleto) 3/10</t>
  </si>
  <si>
    <t>Presente Joise - Kit Relógio + brincos e corrente Champignon (R$ 70,00 débito) 3/3</t>
  </si>
  <si>
    <t>Mochila com rodas - Princesinha Sofia - Bella 2/2</t>
  </si>
  <si>
    <r>
      <t>Kit 5 regatas P</t>
    </r>
    <r>
      <rPr>
        <b/>
        <sz val="11"/>
        <color rgb="FFFF0000"/>
        <rFont val="Calibri"/>
        <family val="2"/>
      </rPr>
      <t xml:space="preserve"> (DEVOLVER - TROCA)</t>
    </r>
  </si>
  <si>
    <r>
      <t>Kit 5 regatas P</t>
    </r>
    <r>
      <rPr>
        <b/>
        <sz val="11"/>
        <rFont val="Calibri"/>
        <family val="2"/>
      </rPr>
      <t xml:space="preserve"> ( REEMBOLSO DEVOLUÇÃO)</t>
    </r>
  </si>
  <si>
    <t>Kit 5 regatas M</t>
  </si>
  <si>
    <t>Presente Natal Bella (boneco Lucas Neto)</t>
  </si>
  <si>
    <t>Cartão de Crédito Fatura Novembro/19 - Vencimento 10/12/19 - Limite R$ 2.670,00</t>
  </si>
  <si>
    <t>Capacete Mirage 5/5</t>
  </si>
  <si>
    <t>Bicicleta aniver Bella aro 16 rosa 3/3</t>
  </si>
  <si>
    <t>Guarda-Roupa Fama Flórida Plus com 3 Portas de Correr, 4 Gavetas e Espelho Ipê (R$ 151,99 débito) 3/4</t>
  </si>
  <si>
    <t>Perfume Malbec MAGNETIC 3/3</t>
  </si>
  <si>
    <t>Smart TV LED 49" UHD 4K LG 49SM8000PSA NanoCell, ThinQ AI Inteligência Artificial IoT, IPS, HDR Ativo, DTS Virtual X, WebOS 4.5 e Controle Smart Magic (R$ 400,00 boleto) 2/10</t>
  </si>
  <si>
    <t>Óculos preto aviador - Riachuelo (R$ 40,00 débito) 2/2</t>
  </si>
  <si>
    <t>Presente Joise - Kit Relógio + brincos e corrente Champignon (R$ 70,00 débito) 2/3</t>
  </si>
  <si>
    <t>Mochila com rodas - Princesinha Sofia - Bella 1/2</t>
  </si>
  <si>
    <t>Cartão de Crédito Fatura Outubro/19 - Vencimento 10/11/19 - Limite R$ 3.670,00</t>
  </si>
  <si>
    <t>Capacete Mirage 4/5</t>
  </si>
  <si>
    <t>Bicicleta aniver Bella aro 16 rosa 2/3</t>
  </si>
  <si>
    <t>Guarda-Roupa Fama Flórida Plus com 3 Portas de Correr, 4 Gavetas e Espelho Ipê (R$ 151,99 débito) 2/4</t>
  </si>
  <si>
    <t>Perfume Malbec MAGNETIC 2/3</t>
  </si>
  <si>
    <t>1 Camisa azul, 1 camisa 1, 1 camiseta branca (R$ 85,00 débito) 2/2</t>
  </si>
  <si>
    <t>Smart TV LED 49" UHD 4K LG 49SM8000PSA NanoCell, ThinQ AI Inteligência Artificial IoT, IPS, HDR Ativo, DTS Virtual X, WebOS 4.5 e Controle Smart Magic (R$ 400,00 boleto) 1/10</t>
  </si>
  <si>
    <t>Óculos preto aviador - Riachuelo (R$ 40,00 débito) 1/2</t>
  </si>
  <si>
    <t>Presente Joise - Kit Relógio + brincos e corrente Champignon (R$ 70,00 débito) 1/3</t>
  </si>
  <si>
    <t>Cartão de Crédito Fatura Setembro/19 - Vencimento 10/10/19 - Limite R$ 3.670,00</t>
  </si>
  <si>
    <t>Capacete Mirage 3/5</t>
  </si>
  <si>
    <t>Bicicleta aniver Bella aro 16 rosa 1/3</t>
  </si>
  <si>
    <t>Guarda-Roupa Fama Flórida Plus com 3 Portas de Correr, 4 Gavetas e Espelho Ipê (R$ 151,99 débito) 1/4</t>
  </si>
  <si>
    <t>Perfume Malbec MAGNETIC 1/3</t>
  </si>
  <si>
    <t>Churras niver Bella (R$ 91,80 débito)</t>
  </si>
  <si>
    <t>1 Camisa azul, 1 camisa 1, 1 camiseta branca (R$ 85,00 débito) 1/2</t>
  </si>
  <si>
    <t>Cartão de Crédito Fatura Agosto/19 - Vencimento 10/09/19 - Limite R$ 3.670,00</t>
  </si>
  <si>
    <t>Relogio MAGNUM prata (R$ 104,13 débito) 4/4</t>
  </si>
  <si>
    <t>Lanternas Traseira ASTRA 3/3</t>
  </si>
  <si>
    <t>Saia Marrom (Namorada irá pagar) 2/2</t>
  </si>
  <si>
    <t>Sapatênis marrom (DEMOCRATA) R$ 50,00 débito - 2/2</t>
  </si>
  <si>
    <t>Capacete Mirage 2/5</t>
  </si>
  <si>
    <t>5 óleos, filtro óleo, velas-Astra (R$ 49,75 débito) 2/2</t>
  </si>
  <si>
    <t xml:space="preserve">DC </t>
  </si>
  <si>
    <t>Creme cabelo - Namorada irá pagar</t>
  </si>
  <si>
    <t>Presente Niver Bruna (Calça LEG)</t>
  </si>
  <si>
    <t>Camisa Branca com detalhes (R$ 30,00 Débito)</t>
  </si>
  <si>
    <t>Cartão de Crédito Fatura Julho/19 - Vencimento 10/08/19 - Limite R$ 3.670,00</t>
  </si>
  <si>
    <t>Reprova CNH + 1 aula (50,00 débito) 3/3</t>
  </si>
  <si>
    <t>Consulta Psiquiatra Mãe - Dr. Consulta 3/3</t>
  </si>
  <si>
    <t>Relogio MAGNUM prata (R$ 104,13 débito) 3/4</t>
  </si>
  <si>
    <t>Lanternas Traseira ASTRA 2/3</t>
  </si>
  <si>
    <t>Saia Marrom (Namorada irá pagar) 1/2</t>
  </si>
  <si>
    <t>Sapatênis marrom (DEMOCRATA) R$ 50,00 débito - 1/2</t>
  </si>
  <si>
    <t>Capacete Mirage 1/5</t>
  </si>
  <si>
    <t>5 óleos, filtro óleo, velas-Astra (R$ 49,75 débito) 1/2</t>
  </si>
  <si>
    <t>Protetor térmico cabelo</t>
  </si>
  <si>
    <t>Cartão de Crédito Fatura Junho/19 - Vencimento 10/07/19 - Limite R$ 2.000,00</t>
  </si>
  <si>
    <t>2 Whey BodyAction 1,8kg (coquet brinde) 1 meu + 1 sogra - 2/2</t>
  </si>
  <si>
    <t>Reprova CNH + 1 aula (50,00 débito) 2/3</t>
  </si>
  <si>
    <t>Consulta Psiquiatra Mãe - Dr. Consulta 2/3</t>
  </si>
  <si>
    <t>Relogio MAGNUM prata (R$ 104,13 débito) 2/4</t>
  </si>
  <si>
    <t>Lanternas Traseira ASTRA 1/3</t>
  </si>
  <si>
    <t>Camisa preta (R$ 120,00) R$ 50,00 débito</t>
  </si>
  <si>
    <t>Botinha preta Bella</t>
  </si>
  <si>
    <t>Rodeio Show Marilia Mendonça</t>
  </si>
  <si>
    <t>Cartão de Crédito Fatura Maio/19 - Vencimento 10/06/19 - Limite R$ 2.000,00</t>
  </si>
  <si>
    <t>Mochila Preta (R$ 50,00 débito) - 3/3</t>
  </si>
  <si>
    <t>2 Whey BodyAction 1,8kg (coquet brinde) 1 meu + 1 sogra - 1/2</t>
  </si>
  <si>
    <t>Adesivo Twister (tanque, bocal, rabeta)</t>
  </si>
  <si>
    <t>Reprova CNH + 1 aula (50,00 débito) 1/3</t>
  </si>
  <si>
    <t>Compra ASSAI Bruna e Eduardo</t>
  </si>
  <si>
    <t>Consulta Psiquiatra Mãe - Dr. Consulta 1/3</t>
  </si>
  <si>
    <t>Relogio MAGNUM prata (R$ 104,13 débito) 1/4</t>
  </si>
  <si>
    <t>Cartão de Crédito Fatura Abril/19 - Vencimento 10/05/19 - Limite R$ 2.000,00</t>
  </si>
  <si>
    <t>Adição CNH MOTO (A) R$ 300,00 débito 4/4</t>
  </si>
  <si>
    <t>Whey BodyAction 1,8kg + Termogenicothermo Flamen 120 cp - 3/3</t>
  </si>
  <si>
    <t>Protetor solar, anticoncepcional - Namorada irá pagar - 2/2</t>
  </si>
  <si>
    <t>Reboco parte trás casa (1 metro areia, 5 cimentos, Vedacit) - 2/2</t>
  </si>
  <si>
    <t>Capacete Moto - Namorada irá pagar - 2/2</t>
  </si>
  <si>
    <t>Mochila Preta (R$ 50,00 débito) - 2/3</t>
  </si>
  <si>
    <t>Cartão de Crédito Fatura Março/19 - Vencimento 10/04/19 - Limite R$ 2.000,00</t>
  </si>
  <si>
    <t>Secador Taiff Tourmaline 2000w 127v Gratis Difusor + Ferro passar 4/4</t>
  </si>
  <si>
    <t>Devolvidos</t>
  </si>
  <si>
    <t>Secador Taiff Tourmaline 2000w 127v - 4/4</t>
  </si>
  <si>
    <t>3 Camisas (branca, branca listrada, cinza, 1 gravata) R$ 169,60 débito 3/3</t>
  </si>
  <si>
    <t>Adição CNH MOTO (A) R$ 300,00 débito 3/4</t>
  </si>
  <si>
    <t>Whey BodyAction 1,8kg + Termogenicothermo Flamen 120 cp - 2/3</t>
  </si>
  <si>
    <t>Lapis Olho - Namorada irá pagar</t>
  </si>
  <si>
    <t>Material corredor (areia, cimentos, 2 torneiras, cano)</t>
  </si>
  <si>
    <t>Protetor solar, anticoncepcional - Namorada irá pagar - 1/2</t>
  </si>
  <si>
    <t>Reboco parte trás casa (1 metro areia, 5 cimentos, Vedacit) - 1/2</t>
  </si>
  <si>
    <t>Capacete Moto - Namorada irá pagar - 1/2</t>
  </si>
  <si>
    <t>Mochila Preta (R$ 50,00 débito) - 1/3</t>
  </si>
  <si>
    <t>Cartão de Crédito Fatura Fevereiro/19 - Vencimento 10/03/19 - Limite R$ 2.000,00</t>
  </si>
  <si>
    <t>Farol Lado Direito ASTRA 4/4</t>
  </si>
  <si>
    <t>Secador Taiff Tourmaline 2000w 127v Gratis Difusor + Ferro passar 3/4</t>
  </si>
  <si>
    <t>Secador Taiff Tourmaline 2000w 127v - 3/4</t>
  </si>
  <si>
    <t>3 Camisas (branca, branca listrada, cinza, 1 gravata) R$ 169,60 débito 2/3</t>
  </si>
  <si>
    <t>Adição CNH MOTO (A) R$ 300,00 débito 2/4</t>
  </si>
  <si>
    <t>Seguro cartão INDEVIDO (REEMBOLSO)</t>
  </si>
  <si>
    <t>Whey BodyAction 1,8kg + Termogenicothermo Flamen 120 cp - 1/3</t>
  </si>
  <si>
    <t xml:space="preserve">Material corredor </t>
  </si>
  <si>
    <t>Cartão de Crédito Fatura Janeiro/19 - Vencimento 10/02/19 - Limite R$ 2.000,00</t>
  </si>
  <si>
    <t>Bolsa marrom TIARA (presente namorada niver) 3/3</t>
  </si>
  <si>
    <t>Farol Lado Direito ASTRA 3/4</t>
  </si>
  <si>
    <t>Secador Taiff Tourmaline 2000w 127v Gratis Difusor + Ferro passar 2/4</t>
  </si>
  <si>
    <t>Ferro passar Black Decker 2/2</t>
  </si>
  <si>
    <t>Troca óleo filtro (10 mil KM)+Barra estabil + 2 terminais  (R$ 303,00 débito) 2/2</t>
  </si>
  <si>
    <t>Secador Taiff Tourmaline 2000w 127v - 2/4</t>
  </si>
  <si>
    <t>1 Controle + 2 Carregadores XBOX</t>
  </si>
  <si>
    <t>Cartão memória Celular 36GB</t>
  </si>
  <si>
    <t>Boneca Presente Natal Bella (R$ 70,00 débito)</t>
  </si>
  <si>
    <t>Carro Presente natal Kauan (R$ 25,00 débito)</t>
  </si>
  <si>
    <t>3 Camisas (branca, branca listrada, cinza, 1 gravata) R$ 169,60 débito 1/3</t>
  </si>
  <si>
    <t>Adição CNH MOTO (A) R$ 300,00 débito 1/4</t>
  </si>
  <si>
    <t>Seguro cartão INDEVIDO (SANTANDER IRÁ REEMSOLSAR)</t>
  </si>
  <si>
    <t>Cartão de Crédito Fatura Dezembro/18 - Vencimento 10/01/19 - Limite R$ 2.000,00</t>
  </si>
  <si>
    <t>Bicicleta GTS aro 26 (R$ 329,00 débito) 6/6</t>
  </si>
  <si>
    <t>Kit anilhas (50 kg anilhas + 2 barras pequenas 1 grande) 4/4</t>
  </si>
  <si>
    <t>Bolsa marrom TIARA (presente namorada niver) 2/3</t>
  </si>
  <si>
    <t>Material Muro (dividido com Eduardo) 2/2</t>
  </si>
  <si>
    <t>Farol Lado Direito ASTRA 2/4</t>
  </si>
  <si>
    <t>Smartv 49' - 49J5200 1/6 (pedido cancelado) devolução valor</t>
  </si>
  <si>
    <t xml:space="preserve">Cartão Memória 32 GB </t>
  </si>
  <si>
    <t>Secador Taiff Tourmaline 2000w 127v Gratis Difusor + Ferro passar 1/4</t>
  </si>
  <si>
    <t>Devolução Secador Taiff Tourmaline 2000w 127v Gratis Difusor + Ferro passar 1/4</t>
  </si>
  <si>
    <t>Crédito fatura anterior (paga a maior R$ 27,61)</t>
  </si>
  <si>
    <t>Ferro passar Black Decker 1/2</t>
  </si>
  <si>
    <t>Troca óleo filtro (10 mil KM)+Barra estabil + 2 terminais  (R$ 303,00 débito) 1/2</t>
  </si>
  <si>
    <t>Secador Taiff Tourmaline 2000w 127v - 1/4</t>
  </si>
  <si>
    <t>2 Cremes Midori (1 dividido namorada)</t>
  </si>
  <si>
    <t>Creme cabelo LOLA (namorada irá pagar)</t>
  </si>
  <si>
    <t>Passeio Barco Arraial do Cabo (R$ 100,00 namorada) 1/2</t>
  </si>
  <si>
    <t>Cartão de Crédito Fatura Novembro/18 - Vencimento 10/12/18 - Limite R$ 2.000,00</t>
  </si>
  <si>
    <t>Bicicleta GTS aro 26 (R$ 329,00 débito) 5/6</t>
  </si>
  <si>
    <t>Kit anilhas (50 kg anilhas + 2 barras pequenas 1 grande) 3/4</t>
  </si>
  <si>
    <t>Assinatura</t>
  </si>
  <si>
    <t>Bolsa marrom TIARA (presente namorada niver) 1/3</t>
  </si>
  <si>
    <t>Material Muro (dividido com Eduardo) 1/2</t>
  </si>
  <si>
    <t>Devolução compra farol</t>
  </si>
  <si>
    <t>Farol Lado Direito ASTRA 1/4</t>
  </si>
  <si>
    <t xml:space="preserve">Whey prothein BodyAction </t>
  </si>
  <si>
    <t>Assento carro Isabella</t>
  </si>
  <si>
    <t>Pagamento Fatura</t>
  </si>
  <si>
    <t>Smartv 49' - 49J5200 1/6 (pedido cancelado)</t>
  </si>
  <si>
    <t>Cartão de Crédito Fatura Outubro/18 - Vencimento 10/11/18 - Limite R$ 2.500,00</t>
  </si>
  <si>
    <t>Celular Samsung J1 (presente Mãe dia das Mães) 6/6</t>
  </si>
  <si>
    <t>Bicicleta GTS aro 26 (R$ 329,00 débito) 4/6</t>
  </si>
  <si>
    <t>Tattoo + Pomada + Filme (Isabella) R$ 250,00 débito 2/2</t>
  </si>
  <si>
    <t>Presente niver Bella (Sandalia LadyBug+Tênis Branco) 2/2</t>
  </si>
  <si>
    <t>Whey prothein BodyAction (dividido com namorada) 2/2</t>
  </si>
  <si>
    <t xml:space="preserve">AC </t>
  </si>
  <si>
    <t>Kit anilhas (50 kg anilhas + 2 barras pequenas 1 grande) 2/4</t>
  </si>
  <si>
    <t>Remédio Namorada (irá pagar)</t>
  </si>
  <si>
    <t>Presente Bella (carro cont remoto FROZEN), Kauan (MOTO) dia crianças R$ 61,47 débito</t>
  </si>
  <si>
    <t xml:space="preserve">Farol LD + Kit Xenon + Kit Tapete ASTRA </t>
  </si>
  <si>
    <t>Cartão de Crédito Fatura Setembro/18 - Vencimento 10/10/18 - Limite R$ 2.500,00</t>
  </si>
  <si>
    <t>Celular Samsung J1 (presente Mãe dia das Mães) 5/6</t>
  </si>
  <si>
    <t>Bicicleta GTS aro 26 (R$ 329,00 débito) 3/6</t>
  </si>
  <si>
    <t>Consulta Pneumo Bella - Dr. Consulta 2/2</t>
  </si>
  <si>
    <t>Remédios Bella (Montelair 4mg, Nasonex 50mcg) R$ 100 débito</t>
  </si>
  <si>
    <t>Tattoo + Pomada + Filme (Isabella) R$ 250,00 débito 1/2</t>
  </si>
  <si>
    <t>Presente niver Bella (Sandalia LadyBug+Tênis Branco) 1/2</t>
  </si>
  <si>
    <t>Remédio Namorada - Irá pagar</t>
  </si>
  <si>
    <t>Carnes, cerveja, carvão (niver Bella) R$ 55,00 crédito 1/1</t>
  </si>
  <si>
    <t>Whey prothein BodyAction (dividido com namorada) 1/2</t>
  </si>
  <si>
    <t>Kit anilhas (50 kg anilhas 2 barras pequenas 1 grande) 1/4</t>
  </si>
  <si>
    <t>Pagto 1 parcela (Kit Anilhas)</t>
  </si>
  <si>
    <t>Cartão de Crédito Fatura Agosto/18 - Vencimento 10/09/18 - Limite R$ 2.500,00</t>
  </si>
  <si>
    <t>Celular Samsung J1 (presente Mãe dia das Mães) 4/6</t>
  </si>
  <si>
    <t>Edredom Preto (ZELO) - 3/3</t>
  </si>
  <si>
    <t>2 calças (moletom + jeans) R$ 80,00 débito 3/3</t>
  </si>
  <si>
    <t>Bicicleta GTS aro 26 (R$ 329,00 débito) 2/6</t>
  </si>
  <si>
    <t>Calça social cinza (R$ 80,00 débito)</t>
  </si>
  <si>
    <t>Consulta Pneumo Bella - Dr. Consulta 1/2</t>
  </si>
  <si>
    <t>Armário espelho banheiro (R$ 129,90 débito)</t>
  </si>
  <si>
    <t>Exames Dr. Consulta Bella (raio X, hemograma, Vitamina D, Imuglobina (7 exames) R$ 292 em dinheiro)</t>
  </si>
  <si>
    <t>Pagto fatura antecipado</t>
  </si>
  <si>
    <t>Cartão de Crédito Fatura Julho/18 - Vencimento 10/08/18 - Limite R$ 2.500,00</t>
  </si>
  <si>
    <t>Camisas (1 preta 1 azul, gravata) R$ 50,00 débito 3/3</t>
  </si>
  <si>
    <t>Celular Samsung J1 (presente Mãe dia das Mães) 3/6</t>
  </si>
  <si>
    <t>Edredom Preto (ZELO) - 2/3</t>
  </si>
  <si>
    <t>Sapato social Preto - 2/2</t>
  </si>
  <si>
    <t>Jaqueta marrom (R$ débito) 2/2</t>
  </si>
  <si>
    <t>2 calças (moletom + jeans) R$ 80,00 débito 2/3</t>
  </si>
  <si>
    <t>Celular MOTO G6 (vendi G5s Manuel por 550,00 em 2x)</t>
  </si>
  <si>
    <t>Preço real R$ 1.299,00 - cupom 10% - desconto á vista 11% = R$ 1.028,80 (frete grátis)  Vendi meu MOTO G5s por R$ 550,00 (custo final do MOTO G6 = R$ 478,80)</t>
  </si>
  <si>
    <t xml:space="preserve">Venda MOTO G5s (manuel R$ 600) 1/2 </t>
  </si>
  <si>
    <t>Bicicleta GTS aro 26 (R$ 329,00 débito) 1/6</t>
  </si>
  <si>
    <t>Cartão de Crédito Fatura Junho/18 - Vencimento 10/07/18 - Limite R$ 2.500,00</t>
  </si>
  <si>
    <t>Bateria carro 60Ah 3/3</t>
  </si>
  <si>
    <t>Camisas (1 preta 1 azul, gravata) R$ 50,00 débito 2/3</t>
  </si>
  <si>
    <t>Celular Samsung J1 (presente Mãe dia das Mães) 2/6</t>
  </si>
  <si>
    <t>Edredom Preto (ZELO) - 1/3</t>
  </si>
  <si>
    <t>Sapato social Preto - 1/2</t>
  </si>
  <si>
    <t>Kit basquete Bella</t>
  </si>
  <si>
    <t>Jaqueta marrom (R$ 50,00 débito) 1/2</t>
  </si>
  <si>
    <t>2 calças (moletom + jeans) R$ 80,00 débito 1/3</t>
  </si>
  <si>
    <t>Cartão de Crédito Fatura Maio/18 - Vencimento 10/06/18 - Limite R$ 2.500,00</t>
  </si>
  <si>
    <t>Bota (namorada ira pagar) 2/2</t>
  </si>
  <si>
    <t>Material (fachada portão) débito R$ 50,00 - 2/2</t>
  </si>
  <si>
    <t>Bateria carro 60Ah 2/3</t>
  </si>
  <si>
    <t>Camisas (1 preta 1 azul, gravata) R$ 50,00 débito 1/3</t>
  </si>
  <si>
    <t>Celular Samsung J1 (presente Mãe dia das Mães) 1/6</t>
  </si>
  <si>
    <t>Cartão de Crédito Fatura Abril/18 - Vencimento 10/05/18 - Limite R$ 2.500,00</t>
  </si>
  <si>
    <t>Presente namorada (camisola preta) 2/2</t>
  </si>
  <si>
    <t>1 cueca azul + 3 meias social 2/2</t>
  </si>
  <si>
    <t>Ovo pascoa</t>
  </si>
  <si>
    <t>Bota (namorada ira pagar) 1/2</t>
  </si>
  <si>
    <t>Material (fachada portão) débito R$ 50,00 - 1/2</t>
  </si>
  <si>
    <t>Bateria carro 60Ah 1/3</t>
  </si>
  <si>
    <t>Cartão de Crédito Fatura Março/18 - Vencimento 10/04/18 - Limite R$ 2.500,00</t>
  </si>
  <si>
    <t>Kit Edredom Marrom 6 pçs 4/4</t>
  </si>
  <si>
    <t>Creatina R$ 60,00 + ZMA R$ 55,00 - 2/2</t>
  </si>
  <si>
    <t>Cremes Namorada (irá pagar) - 2/2</t>
  </si>
  <si>
    <t>Patinete Frozen Bella - 2/2</t>
  </si>
  <si>
    <t xml:space="preserve">Protetor solar Namorada (irá pagar) </t>
  </si>
  <si>
    <t>Presente namorada (camisola preta) 1/2</t>
  </si>
  <si>
    <t>1 cueca azul + 3 meias social 1/2</t>
  </si>
  <si>
    <t>Reembolso Creme Namorada (irá pagar) - 2/2</t>
  </si>
  <si>
    <t>Cartão de Crédito Fatura Fevereiro/18 - Vencimento 10/03/18 - Limite R$ 2.500,00</t>
  </si>
  <si>
    <t>Camisa branca ano novo + cinto preto 3/3</t>
  </si>
  <si>
    <t>Kit Edredom Marrom 6 pçs 3/4</t>
  </si>
  <si>
    <t>Creatina R$ 60,00 + ZMA R$ 55,00 - 1/2</t>
  </si>
  <si>
    <t>Cremes Namorada (irá pagar) - 1/2</t>
  </si>
  <si>
    <t>Patinete Frozen Bella - 1/2</t>
  </si>
  <si>
    <t>Cartão de Crédito Fatura Janeiro/18 - Vencimento 10/02/18 - Limite R$ 2.500,00</t>
  </si>
  <si>
    <t>Pousada ano novo 4 diárias Ilhabela (R$ 263,99 débito) 3/3</t>
  </si>
  <si>
    <t>Dividido com namorada (R$ 224,50)</t>
  </si>
  <si>
    <t>Filtro ar esportivo Race Chrome 3/3</t>
  </si>
  <si>
    <t>Camisa branca ano novo + cinto preto 2/3</t>
  </si>
  <si>
    <t>Kit Edredom Marrom 6 pçs 2/4</t>
  </si>
  <si>
    <t>Recarga Vivo</t>
  </si>
  <si>
    <t>Cartão de Crédito Fatura Dezembro/17 - Vencimento 10/01/18 - Limite R$ 2.500,00</t>
  </si>
  <si>
    <t>2 Malas NIKE 3/3</t>
  </si>
  <si>
    <t>Dividido com namorada (R$ 41,17)</t>
  </si>
  <si>
    <t>Pousada ano novo 4 diárias Ilhabela (R$ 263,99 débito) 2/3</t>
  </si>
  <si>
    <t>Filtro ar esportivo Race Chrome 2/3</t>
  </si>
  <si>
    <t>Sandália (namorada pagar)</t>
  </si>
  <si>
    <t>Namorada irá pagar</t>
  </si>
  <si>
    <t>Camisa branca ano novo + cinto preto 1/3</t>
  </si>
  <si>
    <t>Kit Edredom Marrom 6 pçs 1/4</t>
  </si>
  <si>
    <t>Cartão de Crédito Fatura Novembro/17 - Vencimento 10/12/17- Limite R$ 1.800,00</t>
  </si>
  <si>
    <t>2 Malas NIKE 2/3</t>
  </si>
  <si>
    <t>2 Bermudas + 1 Camisa Vinho (R$ 40,00 débito) 2/2</t>
  </si>
  <si>
    <t>Pousada ano novo 4 diárias Ilhabela (R$ 263,99 débito) 1/3</t>
  </si>
  <si>
    <t>Filtro ar esportivo Race Chrome 1/3</t>
  </si>
  <si>
    <t>Calças Bella (3)</t>
  </si>
  <si>
    <t>Cartão de Crédito Fatura Outubro/17 - Vencimento 10/11/17- Limite R$ 1.800,00</t>
  </si>
  <si>
    <t>Sandália + Vestido Bella (R$ 54,00 débito) 2/2</t>
  </si>
  <si>
    <t>2 Malas NIKE 1/3</t>
  </si>
  <si>
    <t>3 regatas hering (1 verde, 1 branca,1 preta) R$ 69,97 débito</t>
  </si>
  <si>
    <t>1 Sunga branca + 1 Regata branca</t>
  </si>
  <si>
    <t>2 Bermudas + 1 Camisa Vinho (R$ 40,00 débito) 1/2</t>
  </si>
  <si>
    <t>Cartão de Crédito Fatura Setembro/17 - Vencimento 10/10/17- Limite R$ 1.800,00</t>
  </si>
  <si>
    <t>Tablet Presente aniver Bella  (R$ 40,00 dinheiro) 3/3</t>
  </si>
  <si>
    <t>Conserto tablet Bella 2/2</t>
  </si>
  <si>
    <t>Brinco presente (Mãe, Bruna, Josi) R$ 32,65 débito - 2/2</t>
  </si>
  <si>
    <t>Calça social preta; Cueca vermelha (R$ 50,00 débito) 2/2</t>
  </si>
  <si>
    <t>Bem Brasil com Namorada (R$ 60,00 débito)</t>
  </si>
  <si>
    <t>Sandália + Vestido Bella (R$ 54,00 débito) 1/2</t>
  </si>
  <si>
    <t>2 Latas leite Milnutri Bella</t>
  </si>
  <si>
    <t>Cartão de Crédito Fatura Agosto/17 - Vencimento 10/09/17- Limite R$ 1.800,00</t>
  </si>
  <si>
    <t>Máquina cortar cabelo 3/3</t>
  </si>
  <si>
    <t>Perfume Uomini Black (R$ 40,00 débito) 2/2</t>
  </si>
  <si>
    <t>Tablet Presente aniver Bella  (R$ 40,00 dinheiro) 2/3</t>
  </si>
  <si>
    <t>Conserto tablet Bella 1/2</t>
  </si>
  <si>
    <t>Brinco presente (Mãe, Bruna, Josi) R$ 32,65 débito - 1/2</t>
  </si>
  <si>
    <t>Calça social preta; Cueca vermelha (R$ 50,00 débito) 1/2</t>
  </si>
  <si>
    <t>Cartão de Crédito Fatura Julho/17 - Vencimento 10/08/17- Limite R$ 1.800,00</t>
  </si>
  <si>
    <t>Tenis Polo (R$ 100,00 débito) 2/2</t>
  </si>
  <si>
    <t>Alianças + caixinha (R$ 25,00 débito) 2/2</t>
  </si>
  <si>
    <t>Máquina cortar cabelo 2/3</t>
  </si>
  <si>
    <t>Fio 6mm 100 metros (mãe pagou R$ 100,00)</t>
  </si>
  <si>
    <t>Pagamento á maior</t>
  </si>
  <si>
    <t>Perfume Uomini Black (R$ 40,00 débito) 1/2</t>
  </si>
  <si>
    <t>Tablet Presente aniver Bella  (R$ 40,00 dinheiro) 1/3</t>
  </si>
  <si>
    <t>Creme Joise (irá pagar)</t>
  </si>
  <si>
    <t>Flores 1 ano namoro (R$ 46,00 débito)</t>
  </si>
  <si>
    <t>Gravata borborleta Preta</t>
  </si>
  <si>
    <t>Cartão de Crédito Fatura Junho/17 - Vencimento 10/07/17- Limite R$ 1.800,00</t>
  </si>
  <si>
    <t>Calça Joise (irá pagar) 2/2</t>
  </si>
  <si>
    <t>Tenis Polo (R$ 100,00 débito) 1/2</t>
  </si>
  <si>
    <t>Alianças + caixinha (R$ 25,00 débito) 1/2</t>
  </si>
  <si>
    <t>Máquina cortar cabelo 1/3</t>
  </si>
  <si>
    <t>Cartão de Crédito Fatura Maio/17 - Vencimento 10/06/17- Limite R$ 1.800,00</t>
  </si>
  <si>
    <t>Sofá 2 lugares Marrom 4/4</t>
  </si>
  <si>
    <t>Sensor rotação ASTRA (R$ 150,00 débito)</t>
  </si>
  <si>
    <t>Camisa branca (R$ 50,00 débito)</t>
  </si>
  <si>
    <t>Cartão de Crédito Fatura Abril/17 - Vencimento 10/05/17- Limite R$ 1.800,00</t>
  </si>
  <si>
    <t>Sofá 2 lugares Marrom 3/4</t>
  </si>
  <si>
    <t>Ovo páscoa Joise - Cacau Show</t>
  </si>
  <si>
    <t>Crédito cel</t>
  </si>
  <si>
    <t>Cartão de Crédito Fatura Março/17 - Vencimento 10/04/17- Limite R$ 1.800,00</t>
  </si>
  <si>
    <t>Fritadeira Elétrica MONDIAL 5/5</t>
  </si>
  <si>
    <t>3 Camisas;Cinto;2 cuecas;1 gravata (R$ 200,00 débito) 3/3</t>
  </si>
  <si>
    <t>Sofá 2 lugares Marrom 2/4</t>
  </si>
  <si>
    <t>Camiseta regata azul</t>
  </si>
  <si>
    <t>Tinta branca;pincel;rolo;lixas ( 50,00 débito)</t>
  </si>
  <si>
    <t>Cartão de Crédito Fatura Fevereiro/17 - Vencimento 10/03/17- Limite R$ 1.800,00</t>
  </si>
  <si>
    <t>Fritadeira Elétrica MONDIAL 4/5</t>
  </si>
  <si>
    <t>Astra vazando óleo (retentores;óleo etc) R$ 129,75 débito - 3/3</t>
  </si>
  <si>
    <t>Instalação Net (R$ 150,00 débito) 2/2</t>
  </si>
  <si>
    <t>3 Camisas;Cinto;2 cuecas;1 gravata (R$ 200,00 débito) 2/3</t>
  </si>
  <si>
    <t>Sofá 2 lugares Marrom 1/4</t>
  </si>
  <si>
    <t>Cartão de Crédito Fatura Janeiro/17 - Vencimento 10/02/17- Limite R$ 1.800,00</t>
  </si>
  <si>
    <t>Fritadeira Elétrica MONDIAL 3/5</t>
  </si>
  <si>
    <t>Astra vazando óleo (retentores;óleo etc) R$ 129,75 débito - 2/3</t>
  </si>
  <si>
    <t>Astra vazando óleo (mão de obra) R$ 350,00 débito - 2/2</t>
  </si>
  <si>
    <t>Instalação Net (R$ 150,00 débito) 1/2</t>
  </si>
  <si>
    <t>3 Camisas;Cinto;2 cuecas;1 gravata (R$ 200,00 débito) 1/3</t>
  </si>
  <si>
    <t>Toalha marrom</t>
  </si>
  <si>
    <t>Cartão de Crédito Fatura Dezembro/16 - Vencimento 10/01/17- Limite R$ 1.300,00</t>
  </si>
  <si>
    <t>2 camisas (1 roxa e 1 grafite) 3/3</t>
  </si>
  <si>
    <t>Presente Joise (vestido florido) R$ 159,90 - R$ 50,00 débito 2/2</t>
  </si>
  <si>
    <t>Fritadeira Elétrica MONDIAL 2/5</t>
  </si>
  <si>
    <t>Astra vazando óleo (retentores;óleo etc) R$ 129,75 débito - 1/3</t>
  </si>
  <si>
    <t>Astra vazando óleo (mão de obra) R$ 350,00 débito - 1/2</t>
  </si>
  <si>
    <t>Bermuda bege CEA (R$ 30,00 débito)</t>
  </si>
  <si>
    <t>Presente natal Joise (relógio champion) R$ 60,00 débito</t>
  </si>
  <si>
    <t>Cartão de Crédito Fatura Novembro/16 - Vencimento 10/12/16- Limite R$ 1.300,00</t>
  </si>
  <si>
    <t>2 camisas (1 roxa e 1 grafite) 2/3</t>
  </si>
  <si>
    <t>Presente Joise (vestido florido) R$ 159,90 - R$ 50,00 débito 1/2</t>
  </si>
  <si>
    <t>Conserto escapamento astra (silencioso+mão de obra) R$ 160,00 débito</t>
  </si>
  <si>
    <t>Fritadeira Elétrica MONDIAL 1/5</t>
  </si>
  <si>
    <t>Cartão de Crédito Fatura Outubro/16 - Vencimento 10/11/16- Limite R$ 1.300,00</t>
  </si>
  <si>
    <t>Chaveiro - perdi chave carro shopping 2/2</t>
  </si>
  <si>
    <t>2 camisas (1 roxa e 1 grafite) 1/3</t>
  </si>
  <si>
    <t>Bermuda Jeans (R$ 60,00) R$ 30,00 débito</t>
  </si>
  <si>
    <t>Camiseta Branca CeA</t>
  </si>
  <si>
    <t>Cartão de Crédito Fatura Setembro/16 - Vencimento 10/10/16- Limite R$ 1.300,00</t>
  </si>
  <si>
    <t>Calça social preta + camiseta salmão (R$ 25 no débito) 3/3</t>
  </si>
  <si>
    <t>Conserto bóia combustivel (bóia;conectores-débito R$ 177,00 ) 2/2</t>
  </si>
  <si>
    <t xml:space="preserve">Flixodine 50 mcg 120 doses </t>
  </si>
  <si>
    <t>Chaveiro - perdi chave carro shopping 1/2</t>
  </si>
  <si>
    <t>Churrasco aniver Bella</t>
  </si>
  <si>
    <t>Cartão de Crédito Fatura Agosto/16 - Vencimento 10/09/16- Limite R$ 1.300,00</t>
  </si>
  <si>
    <t>Moto G 3º geração 8/8</t>
  </si>
  <si>
    <t>Flixodine 50 mcg 120 doses 2/2</t>
  </si>
  <si>
    <t>Calça social preta + camiseta salmão (R$ 25 no débito) 2/3</t>
  </si>
  <si>
    <t>Remédio Bella (cefalexina - R$ 50,78 débito)</t>
  </si>
  <si>
    <t>Conserto bóia combustivel (bóia;conectores-débito R$ 177,00 ) 1/2</t>
  </si>
  <si>
    <t>Cartão de Crédito Fatura Julho/16 - Vencimento 10/08/16- Limite R$ 1.300,00</t>
  </si>
  <si>
    <t>Moto G 3º geração 7/8</t>
  </si>
  <si>
    <t>Sapato social (R$ 50,00 débito) 2/2</t>
  </si>
  <si>
    <t>Flixodine 50 mcg 120 doses 1/2</t>
  </si>
  <si>
    <t>Calça social preta + camiseta salmão (R$ 25 no débito) 1/3</t>
  </si>
  <si>
    <t>Cartão de Crédito Fatura Junho/16 - Vencimento 10/07/16- Limite R$ 1.300,00</t>
  </si>
  <si>
    <t>Moto G 3º geração 6/8</t>
  </si>
  <si>
    <t>Camisa Preta + Calça Jeans - (R$ 50,00 débito) 3/3</t>
  </si>
  <si>
    <t>Troca radiador (R$ 250,00 débito) 2/2</t>
  </si>
  <si>
    <t>Sapato social (R$ 50,00 débito) 1/2</t>
  </si>
  <si>
    <t>Cartão de Crédito Fatura Maio/16 - Vencimento 10/06/16- Limite R$ 1.300,00</t>
  </si>
  <si>
    <t>Moto G 3º geração 5/8</t>
  </si>
  <si>
    <t>Rolamento correia dentada - 2/2</t>
  </si>
  <si>
    <t>Camisa Preta + Calça Jeans - (R$ 50,00 débito) 2/3</t>
  </si>
  <si>
    <t>Bomba Dagua Astra</t>
  </si>
  <si>
    <t>Troca radiador (R$ 250,00 débito) 1/2</t>
  </si>
  <si>
    <t>Cartão de Crédito Fatura Abril/16 - Vencimento 10/05/16- Limite R$ 1.300,00</t>
  </si>
  <si>
    <t>Moto G 3º geração 4/8</t>
  </si>
  <si>
    <t>Peças carro (pastilhas;óleos;correia;filtros ar óleo) R$ 100,00 débito 2/2</t>
  </si>
  <si>
    <t>Bateria Astra 60Ah (R$ 140,00 débito) 2/2</t>
  </si>
  <si>
    <t>Rolamento correia dentada - 1/2</t>
  </si>
  <si>
    <t>Camisa Preta + Calça Jeans - (R$ 50,00 débito) 1/3</t>
  </si>
  <si>
    <t>Cartão de Crédito Fatura Março/16 - Vencimento 10/04/16- Limite R$ 1.550,00</t>
  </si>
  <si>
    <t>Moto G 3º geração 3/8</t>
  </si>
  <si>
    <t>Peças carro (pastilhas;óleos;correia;filtros ar óleo) R$ 100,00 débito 1/2</t>
  </si>
  <si>
    <t>Bateria Astra 60Ah (R$ 140,00 débito) 1/2</t>
  </si>
  <si>
    <t>Cartão de Crédito Fatura Fevereiro/16 - Vencimento 10/03/16- Limite R$ 1.550,00</t>
  </si>
  <si>
    <t>Moto G 3º geração 2/8</t>
  </si>
  <si>
    <t>Leite ninho (4) - R$ 35,00 crédito</t>
  </si>
  <si>
    <t>Cartão de Crédito Fatura Janeiro/16 - Vencimento 10/02/16- Limite R$ 1.550,00</t>
  </si>
  <si>
    <t>Cadeira carro até 36 KG - Bella 4/4</t>
  </si>
  <si>
    <t>Painel TV 3/3</t>
  </si>
  <si>
    <t>Transferência Astra (R$350,00 débito) 2/2</t>
  </si>
  <si>
    <t>Escapamento Astra</t>
  </si>
  <si>
    <t>Moto G 3º geração 1/8</t>
  </si>
  <si>
    <t>Cartão de Crédito Fatura Dezembro/15 - Vencimento 10/01/15- Limite R$ 1.550,00</t>
  </si>
  <si>
    <t>Cercado berço demontável - Bella 5/5</t>
  </si>
  <si>
    <t>Caixa Som CA 316 - 200 RMS - R$ 300,00 cartão débito 5/5</t>
  </si>
  <si>
    <t>Cadeira carro até 36 KG - Bella 3/4</t>
  </si>
  <si>
    <t>Painel TV 2/3</t>
  </si>
  <si>
    <t>Transferência Astra (R$350,00 débito) 1/2</t>
  </si>
  <si>
    <t xml:space="preserve">Pagto Ultima fatura 08/12/15 </t>
  </si>
  <si>
    <t>Cartão de Crédito Fatura Novembro/15 - Vencimento 10/12/15- Limite R$ 1.550,00</t>
  </si>
  <si>
    <t>Cercado berço demontável - Bella 4/5</t>
  </si>
  <si>
    <t>Caixa Som CA 316 - 200 RMS - R$ 300,00 cartão débito 4/5</t>
  </si>
  <si>
    <t>Cadeira carro até 36 KG - Bella 2/4</t>
  </si>
  <si>
    <t>Colcha cama (R$ 29,90 débito)</t>
  </si>
  <si>
    <t>Painel TV 1/3</t>
  </si>
  <si>
    <t>Sapato social (R$ 79,90 débito)</t>
  </si>
  <si>
    <t>Cartão de Crédito Fatura Outubro/15 - Vencimento 10/11/15- Limite R$ 1.550,00</t>
  </si>
  <si>
    <t>Cortina Marrom 3/3</t>
  </si>
  <si>
    <t>Cercado berço demontável - Bella 3/5</t>
  </si>
  <si>
    <t>Caixa Som CA 316 200 RMS - R$ 300,00 cartão débito 3/5</t>
  </si>
  <si>
    <t>Cadeira carro até 36 KG - Bella 1/4</t>
  </si>
  <si>
    <t>Camisa Vinho (R$ 40,00 débito)</t>
  </si>
  <si>
    <t>Cartão de Crédito Fatura Setembro/15 - Vencimento 10/10/15- Limite R$ 1.550,00</t>
  </si>
  <si>
    <t>Cortina Marrom 2/3</t>
  </si>
  <si>
    <t>Cercado berço demontável - Bella 2/5</t>
  </si>
  <si>
    <t>Caixa Som CA 316 - 200 RMS - R$ 300,00 cartão débito 2/5</t>
  </si>
  <si>
    <t>Revelação fotos Bella - (R$ 60,00 no débito)</t>
  </si>
  <si>
    <t>Aniver Bella (carne,cerveja,refri) R$ 200,00 dinheiro</t>
  </si>
  <si>
    <t>Cartão de Crédito Fatura Agosto/15 - Vencimento 10/09/15- Limite R$ 1.550,00</t>
  </si>
  <si>
    <t>Tapete Preto Quarto 2/2</t>
  </si>
  <si>
    <t>Cortina Tabaco 2/2 - devolvida</t>
  </si>
  <si>
    <t>Cortina Marrom 1/3</t>
  </si>
  <si>
    <t>Cercado berço demontável - Bella 1/5</t>
  </si>
  <si>
    <t>Bermuda ricachuelo</t>
  </si>
  <si>
    <t>Cadeiras Plástico (4) - R$ 80,00 no débito</t>
  </si>
  <si>
    <t>Caixa Som CA 316 - 200 RMS - R$ 300,00 cartão débito 1/5</t>
  </si>
  <si>
    <t>Cortina Tabaco - EXTORNO devolução</t>
  </si>
  <si>
    <t>Extorno juros parcelamento indevido</t>
  </si>
  <si>
    <t>Cartão de Crédito Fatura Julho/15 - Vencimento 10/08/15- Limite R$ 1.550,00</t>
  </si>
  <si>
    <t>Celular MOTO G com 4G 8/8</t>
  </si>
  <si>
    <t>Kit (Furadeira SKIL+Parafusadeira basica+acessórios) 4/4</t>
  </si>
  <si>
    <t>Cadeira Alimentação - Bella 3/3</t>
  </si>
  <si>
    <t>Tapete Preto Quarto 1/2</t>
  </si>
  <si>
    <t>Cortina Tabaco 1/2 - devolvida</t>
  </si>
  <si>
    <t>Pagto fatura</t>
  </si>
  <si>
    <t>Pagto dia 20/07/15</t>
  </si>
  <si>
    <t>Cartão de Crédito Fatura Junho/15 - Vencimento 10/07/15- Limite R$ 1.050,00</t>
  </si>
  <si>
    <t>Celular MOTO G com 4G 7/8</t>
  </si>
  <si>
    <t>Colchão casal KingStar 4/4</t>
  </si>
  <si>
    <t>Kit (Furadeira SKIL+Parafusadeira basica+acessórios) 3/4</t>
  </si>
  <si>
    <t>Cadeira Alimentação - Bella 2/3</t>
  </si>
  <si>
    <t>Cartão de Crédito Fatura Maio/15 - Vencimento 10/06/15- Limite R$ 1.050,00</t>
  </si>
  <si>
    <t>Celular MOTO G com 4G 6/8</t>
  </si>
  <si>
    <t>Colchão casal KingStar 3/4</t>
  </si>
  <si>
    <t xml:space="preserve">Kit Velas + Cabos + Palhetas + Filtro combustivel 2/2 </t>
  </si>
  <si>
    <t>Kit (Furadeira SKIL+Parafusadeira basica+acessórios) 2/4</t>
  </si>
  <si>
    <t>Conserto Xbox 360 (2º destravamento) R$ 180,00</t>
  </si>
  <si>
    <t>Cartão presente Raquel dia das mães</t>
  </si>
  <si>
    <t>Cadeira Alimentação - Bella 1/3</t>
  </si>
  <si>
    <t>Pagto dia 18/05/15</t>
  </si>
  <si>
    <t>Pagto dia 08/06/15</t>
  </si>
  <si>
    <t>Cartão de Crédito Fatura Abril/15 - Vencimento 10/05/15- Limite R$ 1.050,00</t>
  </si>
  <si>
    <t>Celular MOTO G com 4G 5/8</t>
  </si>
  <si>
    <t>Colchão casal KingStar 2/4</t>
  </si>
  <si>
    <t>Kit Velas + Cabos + Palhetas + Filtro combustivel 1/2</t>
  </si>
  <si>
    <t>Kit (Furadeira SKIL+Parafusadeira basica+acessórios) 1/4</t>
  </si>
  <si>
    <t>Cartão de Crédito Fatura Março/15 - Vencimento 10/04/15- Limite R$ 1.050,00</t>
  </si>
  <si>
    <t>Celular MOTO G com 4G 4/8</t>
  </si>
  <si>
    <t>Vaso + caixa acoplada 2/2</t>
  </si>
  <si>
    <t>Colchão casal KingStar 1/4</t>
  </si>
  <si>
    <t>Cartão de Crédito Fatura Fevereiro/15 - Vencimento 10/03/15- Limite R$ 1.050,00</t>
  </si>
  <si>
    <t>Kit relógio p/Raquel - Presente 3/3</t>
  </si>
  <si>
    <t>Celular MOTO G com 4G 3/8</t>
  </si>
  <si>
    <t>Piso Quarto + Argamassa + Rejunte 2/2</t>
  </si>
  <si>
    <t>Calça cinza social</t>
  </si>
  <si>
    <t>Vaso + caixa acoplada 1/2</t>
  </si>
  <si>
    <t>Chuveiro + porta sanfonada (parte débito)</t>
  </si>
  <si>
    <t>Cartão de Crédito Fatura Janeiro/15 - Vencimento 10/02/15- Limite R$ 1.050,00</t>
  </si>
  <si>
    <t>Kit relógio p/Raquel - Presente 2/3</t>
  </si>
  <si>
    <t>Celular MOTO G com 4G 2/8</t>
  </si>
  <si>
    <t>Jogo HITMAN - cel</t>
  </si>
  <si>
    <t>Piso Quarto + Argamassa + Rejunte 1/2</t>
  </si>
  <si>
    <t>Cartão de Crédito Fatura Dezembro/14 - Vencimento 10/01/15- Limite R$ 1.050,00</t>
  </si>
  <si>
    <t>Troca 2 pneus Minuano + balanceamento 3/3</t>
  </si>
  <si>
    <t>Encanamento quarto (Canos) 2/2</t>
  </si>
  <si>
    <t>Kit relógio p/Raquel - Presente 1/3</t>
  </si>
  <si>
    <t>Celular MOTO G com 4G 1/8</t>
  </si>
  <si>
    <t>Cartão de Crédito Fatura Novembro/14 - Vencimento 10/12/14- Limite R$ 1.050,00</t>
  </si>
  <si>
    <t>Berço nenem 5/5</t>
  </si>
  <si>
    <t>Troca 2 pneus Minuano + balanceamento 2/3</t>
  </si>
  <si>
    <t>Encanamento quarto (Canos)</t>
  </si>
  <si>
    <t>APTAMIL BELLA</t>
  </si>
  <si>
    <t>Gasolina (R$ 2,74 litro) Pinzetta</t>
  </si>
  <si>
    <t>Encanamento quarto (Canos) 1/2</t>
  </si>
  <si>
    <t>Cartão de Crédito Fatura Outubro/14 - Vencimento 10/11/14- Limite R$ 1.050,00</t>
  </si>
  <si>
    <t>Berço nenem 4/5</t>
  </si>
  <si>
    <t>Camisola,sutiã (maternidade) 2/2</t>
  </si>
  <si>
    <t>Troca 2 pneus Minuano + balanceamento 1/3</t>
  </si>
  <si>
    <t>Cartão de Crédito Fatura Setembro/14 - Vencimento 10/10/14- Limite R$ 1.050,00</t>
  </si>
  <si>
    <t>Perfume MALBEC 4/4</t>
  </si>
  <si>
    <t>Berço nenem 3/5</t>
  </si>
  <si>
    <t>Carrinho nenem (R$ 424,00) 2/2</t>
  </si>
  <si>
    <t>Camisola,sutiã (maternidade) 1/2</t>
  </si>
  <si>
    <t>Cartão de Crédito Fatura Agosto/14 - Vencimento 10/09/14- Limite R$ 750,00</t>
  </si>
  <si>
    <t>Relógio Magnum FREE NIPPONIC 6/6</t>
  </si>
  <si>
    <t>Perfume MALBEC 3/4</t>
  </si>
  <si>
    <t>10 Telhas + caibro+vigas (cobert. Garagem) 3/3</t>
  </si>
  <si>
    <t>Berço nenem 2/5</t>
  </si>
  <si>
    <t>Carrinho nenem (R$ 424,00) 1/2</t>
  </si>
  <si>
    <t>Presentes Sophia e Bia</t>
  </si>
  <si>
    <t>Pagto Ultima fatura 06/08/14</t>
  </si>
  <si>
    <t>Cartão de Crédito Fatura Julho/14 - Vencimento 10/08/14- Limite R$ 750,00</t>
  </si>
  <si>
    <t>Relógio Magnum FREE NIPPONIC 5/6</t>
  </si>
  <si>
    <t>Perfume MALBEC 2/4</t>
  </si>
  <si>
    <t>10 Telhas + caibro+vigas (cobert. Garagem) 2/3</t>
  </si>
  <si>
    <t>Saldo restante ultima fatura</t>
  </si>
  <si>
    <t>Juros do periodo (saldo restante)</t>
  </si>
  <si>
    <t>Berço nenem 1/5</t>
  </si>
  <si>
    <t>Pagto Ultima fatura 04/07/14</t>
  </si>
  <si>
    <t>Pagto Ultima fatura 16/07/14</t>
  </si>
  <si>
    <t>Cartão de Crédito Fatura Junho/14 - Vencimento 10/07/14- Limite R$ 750,00</t>
  </si>
  <si>
    <t>Relógio Magnum FREE NIPPONIC 4/6</t>
  </si>
  <si>
    <t>Presente Mãe (dia das mães) 2/2</t>
  </si>
  <si>
    <t>Perfume MALBEC 1/4</t>
  </si>
  <si>
    <t>Urso Presente Raquel-Dia namorados</t>
  </si>
  <si>
    <t>10 Telhas + caibro+vigas (cobert. Garagem) 1/3</t>
  </si>
  <si>
    <t>05 Telhas + 1 cimento + parafusos</t>
  </si>
  <si>
    <t>Pagto Ultima fatura 06/06/14</t>
  </si>
  <si>
    <t>Cartão de Crédito Fatura Maio/14 - Vencimento 10/06/14- Limite R$ 750,00</t>
  </si>
  <si>
    <t>Camisas RIACHUELO 3/3</t>
  </si>
  <si>
    <t>Relógio Magnum FREE NIPPONIC 3/6</t>
  </si>
  <si>
    <t>Presente Raquel (Sapato) 2/2</t>
  </si>
  <si>
    <t>Presente Mãe (dia das mães) 1/2</t>
  </si>
  <si>
    <t>Pagto Ultima fatura 07/05/14</t>
  </si>
  <si>
    <t>Cartão de Crédito Fatura Abril/14 - Vencimento 10/05/14- Limite R$ 750,00</t>
  </si>
  <si>
    <t>Camisas RIACHUELO 2/3</t>
  </si>
  <si>
    <t>Relógio Magnum FREE NIPPONIC 2/6</t>
  </si>
  <si>
    <t>Presente Raquel (Sapato) 1/2</t>
  </si>
  <si>
    <t>Pagto Ultima fatura 04/04/14</t>
  </si>
  <si>
    <t>Cartão de Crédito Fatura Março/14 - Vencimento 10/04/14- Limite R$ 750,00</t>
  </si>
  <si>
    <t>Jogo de cama presente cintia 5/5</t>
  </si>
  <si>
    <t>TV LED Smart Philips 39" - 4/4</t>
  </si>
  <si>
    <t>Camisa RENNER 1/1</t>
  </si>
  <si>
    <t>Camisas RIACHUELO 1/3</t>
  </si>
  <si>
    <t>Relógio Magnum FREE NIPPONIC 1/6</t>
  </si>
  <si>
    <t>Pagto Ultima fatura 06/03/14</t>
  </si>
  <si>
    <t>Cartão de Crédito Fatura Fevereiro/14 - Vencimento 10/03/14- Limite R$ 750,00</t>
  </si>
  <si>
    <t>Jogo de cama presente cintia 4/5</t>
  </si>
  <si>
    <t>TV LED Smart Philips 39" - 3/4</t>
  </si>
  <si>
    <t>Pagto Ultima fatura 07/02/14</t>
  </si>
  <si>
    <t>Cartão de Crédito Fatura Janeiro/14 - Vencimento 10/02/14- Limite R$ 750,00</t>
  </si>
  <si>
    <t>2 Tênis ADIDAS 5/5</t>
  </si>
  <si>
    <t>Jogo de cama presente cintia 3/5</t>
  </si>
  <si>
    <t>TV LED Smart Philips 39" - 2/4</t>
  </si>
  <si>
    <t>Pagto Ultima fatura 02/01/14</t>
  </si>
  <si>
    <t>Cartão de Crédito Fatura Dezembro/13 - Vencimento 10/01/14- Limite R$ 750,00</t>
  </si>
  <si>
    <t>2 Tênis ADIDAS 4/5</t>
  </si>
  <si>
    <t>Calça+camisa casamento cintia 3/3</t>
  </si>
  <si>
    <t>Bermuda 2/2</t>
  </si>
  <si>
    <t>Jogo de cama presente cintia 2/5</t>
  </si>
  <si>
    <t>TV LED Smart Philips 39" - 1/4</t>
  </si>
  <si>
    <t>Pagto Ultima fatura 04/12/13</t>
  </si>
  <si>
    <t>Cartão de Crédito Fatura Novembro/13 - Vencimento 10/12/13 - Limite R$ 520,00</t>
  </si>
  <si>
    <t>Perfume Malbec 4/4</t>
  </si>
  <si>
    <t>2 Tênis ADIDAS 3/5</t>
  </si>
  <si>
    <t>Óculos (1 grau cada olho) 2/2</t>
  </si>
  <si>
    <t>Calça+camisa-casamento cintia2/3</t>
  </si>
  <si>
    <t>Bermuda1/2</t>
  </si>
  <si>
    <t>Jogodecama-presentecintia 1/5</t>
  </si>
  <si>
    <t>Recargacel</t>
  </si>
  <si>
    <t>Pagto Ultima fatura 01/11/13</t>
  </si>
  <si>
    <t>Cartão de Crédito Fatura Outubro/13 - Vencimento 10/11/13 - Limite R$ 520,00</t>
  </si>
  <si>
    <t>Camisa Vermelha Riachuelo 3/3</t>
  </si>
  <si>
    <t>Perfume Malbec 3/4</t>
  </si>
  <si>
    <t>2 Tênis ADIDAS 2/5</t>
  </si>
  <si>
    <t>Óculos (1 grau cada olho) 1/2</t>
  </si>
  <si>
    <t>Pagto Ultima fatura 02/10/13</t>
  </si>
  <si>
    <t>Cartão de Crédito Fatura Setembro/13 - Vencimento 10/10/13 - Limite R$ 520,00</t>
  </si>
  <si>
    <t>Jaqueta 5/5</t>
  </si>
  <si>
    <t>Calça Riachuelo 3/3</t>
  </si>
  <si>
    <t>Blusa tipo terno 3/3</t>
  </si>
  <si>
    <t>Camisa Vermelha Riachuelo 2/3</t>
  </si>
  <si>
    <t>Perfume Malbec 2/4</t>
  </si>
  <si>
    <t>Recarga Torpedo CLARO</t>
  </si>
  <si>
    <t>2 Tênis ADIDAS 1/5</t>
  </si>
  <si>
    <t>Pagto Ultima fatura 06/09/13</t>
  </si>
  <si>
    <t>Cartão de Crédito Fatura Agosto/13 - Vencimento 10/09/13 - Limite R$ 520,00</t>
  </si>
  <si>
    <t>Jaqueta 4/5</t>
  </si>
  <si>
    <t>Relógio Ale 3/3</t>
  </si>
  <si>
    <t>Relógio Re 3/3 - Ela já pagou</t>
  </si>
  <si>
    <t>Calça Riachuelo 2/3</t>
  </si>
  <si>
    <t>Blusa tipo terno 2/3</t>
  </si>
  <si>
    <t>Vestido presente Aniver Mãe 2/2</t>
  </si>
  <si>
    <t>Camisa Vermelha Riachuelo 1/3</t>
  </si>
  <si>
    <t>Bolt - Jogo cel</t>
  </si>
  <si>
    <t>Recarga cel - Topedo</t>
  </si>
  <si>
    <t>Perfume Malbec 1/4</t>
  </si>
  <si>
    <t>Total  Compras</t>
  </si>
  <si>
    <t>Pagto Ultima fatura 06/08/13</t>
  </si>
  <si>
    <t>Cartão de Crédito Fatura Julho/13 - Vencimento 10/08/13 - Limite R$ 520,00</t>
  </si>
  <si>
    <t>2 Camisas CeA 3/3</t>
  </si>
  <si>
    <t>Camiseta polo Riachuelo 3/3</t>
  </si>
  <si>
    <t>Presente mãe (2 calças) 3/3</t>
  </si>
  <si>
    <t>Jaqueta 3/5</t>
  </si>
  <si>
    <t>Relógio Ale 2/3</t>
  </si>
  <si>
    <t>Relógio Re 2/3 - Ela já pagou</t>
  </si>
  <si>
    <t>Calça Riachuelo 1/3</t>
  </si>
  <si>
    <t>Blusa tipo terno 1/3</t>
  </si>
  <si>
    <t>Vestido presente Aniver Mãe 1/2</t>
  </si>
  <si>
    <t>Pagto Ultima fatura 10/07/13</t>
  </si>
  <si>
    <t>Cartão de Crédito Fatura Junho/13 - Vencimento 10/07/13 - Limite R$ 500,00</t>
  </si>
  <si>
    <t>2 Camisas CeA 2/3</t>
  </si>
  <si>
    <t>Camiseta polo Riachuelo 2/3</t>
  </si>
  <si>
    <t>Presente mãe (2 calças) 2/3</t>
  </si>
  <si>
    <t>Jaqueta 2/5</t>
  </si>
  <si>
    <t>Relógio Ale 1/3</t>
  </si>
  <si>
    <t>Relógio Re 1/3 - Ela já pagou</t>
  </si>
  <si>
    <t>Pagto Ultima fatura 10/06/13</t>
  </si>
  <si>
    <t>Cartão de Crédito Fatura Maio/13 - Vencimento 10/06/13 - Limite R$ 500,00</t>
  </si>
  <si>
    <t>Recarga celular claro</t>
  </si>
  <si>
    <t>2 Camisas CeA 1/3</t>
  </si>
  <si>
    <t>Camiseta polo Riachuelo 1/3</t>
  </si>
  <si>
    <t>Presente mãe (2 calças) 1/3</t>
  </si>
  <si>
    <t>Jaqueta 1/5</t>
  </si>
  <si>
    <t>TESOURO DIRETO</t>
  </si>
  <si>
    <t>Compra</t>
  </si>
  <si>
    <t>Qtd titulos</t>
  </si>
  <si>
    <t>Pu compra</t>
  </si>
  <si>
    <t>Valor investido</t>
  </si>
  <si>
    <t>Rentab. Contratada</t>
  </si>
  <si>
    <t>Acumulada %</t>
  </si>
  <si>
    <t>Tempo (dias)</t>
  </si>
  <si>
    <t>IR %</t>
  </si>
  <si>
    <t>Valor IR</t>
  </si>
  <si>
    <t>IOF</t>
  </si>
  <si>
    <t>B3</t>
  </si>
  <si>
    <t>Valor bruto</t>
  </si>
  <si>
    <t>Líquido</t>
  </si>
  <si>
    <t>Lucro Bruto</t>
  </si>
  <si>
    <t>Lucro Liquido</t>
  </si>
  <si>
    <t>selic + 0,140%</t>
  </si>
  <si>
    <t>Data atual</t>
  </si>
  <si>
    <t>selic + 0,130%</t>
  </si>
  <si>
    <t>Última atualização</t>
  </si>
  <si>
    <t>selic + 0,052%</t>
  </si>
  <si>
    <t>selic + 0,050%</t>
  </si>
  <si>
    <t>Selic atual</t>
  </si>
  <si>
    <t>selic + 0,290%</t>
  </si>
  <si>
    <t xml:space="preserve"> (a.a)</t>
  </si>
  <si>
    <t xml:space="preserve"> (a.m)</t>
  </si>
  <si>
    <t>COMPRAR FUTURAMENTE</t>
  </si>
  <si>
    <t>Meses</t>
  </si>
  <si>
    <t>Saldo final</t>
  </si>
  <si>
    <t>Ganho</t>
  </si>
  <si>
    <t>B3 (BVMF:B3SA3)</t>
  </si>
  <si>
    <t>mensal</t>
  </si>
  <si>
    <t>Ambev (BVMF:ABEV3)</t>
  </si>
  <si>
    <t>c (capital)</t>
  </si>
  <si>
    <t>Metalúrgica Gerdau (BVMF:GOAU3)</t>
  </si>
  <si>
    <t>i (taxa)</t>
  </si>
  <si>
    <t>selic (a.m)</t>
  </si>
  <si>
    <t>JBS (BVMF:JBSS3)</t>
  </si>
  <si>
    <t>t (prazo)</t>
  </si>
  <si>
    <t>CCR (BVMF:CCRO3)</t>
  </si>
  <si>
    <t>m (valor final)</t>
  </si>
  <si>
    <t>Ultrapar (UGPA3)</t>
  </si>
  <si>
    <t>Dados INTER Isabella</t>
  </si>
  <si>
    <t>Tesouro</t>
  </si>
  <si>
    <t>Ale@5509</t>
  </si>
  <si>
    <t>NUinvest</t>
  </si>
  <si>
    <t>Aleocta5622@</t>
  </si>
  <si>
    <t>Banco: 077</t>
  </si>
  <si>
    <t>np38v4</t>
  </si>
  <si>
    <t>Agência: 0001-9</t>
  </si>
  <si>
    <t>MEU INSS</t>
  </si>
  <si>
    <t>Ale55097800</t>
  </si>
  <si>
    <t>Conta: 135344719</t>
  </si>
  <si>
    <t>FGTS</t>
  </si>
  <si>
    <t>ALEXANDREOCTAVIOMACHADOMACHADO@MACHADO5509.ONMICROSOFT.COM</t>
  </si>
  <si>
    <t>CPF: 489.561.508-18</t>
  </si>
  <si>
    <t>INTER</t>
  </si>
  <si>
    <t>5509Ale</t>
  </si>
  <si>
    <t>Senha: Bel5509@</t>
  </si>
  <si>
    <t>gov (mãe)</t>
  </si>
  <si>
    <t>Rose5509@</t>
  </si>
  <si>
    <t>roseapmachadoo@gmail.com</t>
  </si>
  <si>
    <t>Assinatura inter</t>
  </si>
  <si>
    <t>RESGATES</t>
  </si>
  <si>
    <t>BVMF</t>
  </si>
  <si>
    <t>Liquido</t>
  </si>
  <si>
    <t>selic + 1%</t>
  </si>
  <si>
    <t>selic + 0%</t>
  </si>
  <si>
    <t>VALOR TOTAL RESGATE EM 20/02/19 COMPRA MOTO TWISTER 2016</t>
  </si>
  <si>
    <t>selic + 0,020%</t>
  </si>
  <si>
    <t>selic + 0,080%</t>
  </si>
  <si>
    <t>selic + 0,1047%</t>
  </si>
  <si>
    <t>VALOR TOTAL RESGATE EM 01/03/2022 COMPRA CARRO ONIX</t>
  </si>
  <si>
    <t>RESGATADOS</t>
  </si>
  <si>
    <t>Qtd ações</t>
  </si>
  <si>
    <t>Valor ação</t>
  </si>
  <si>
    <t>Total comprado</t>
  </si>
  <si>
    <t>Banco INTER</t>
  </si>
  <si>
    <t>Empresa</t>
  </si>
  <si>
    <t>Qtd cotas</t>
  </si>
  <si>
    <t>Valor cota</t>
  </si>
  <si>
    <t>Total investido</t>
  </si>
  <si>
    <t>atual</t>
  </si>
  <si>
    <t>Valor por ação</t>
  </si>
  <si>
    <t>Total dividendos</t>
  </si>
  <si>
    <t>% (Dividend yield)</t>
  </si>
  <si>
    <t>Data distribuição</t>
  </si>
  <si>
    <t>Apple (AAPL34) (16 cotas 39,89 cada) -BDR</t>
  </si>
  <si>
    <t xml:space="preserve">VENDIDA EM 12/04/23 </t>
  </si>
  <si>
    <t>PERDA</t>
  </si>
  <si>
    <t>Taesa (TAEE11)</t>
  </si>
  <si>
    <t xml:space="preserve">VENDIDA EM 08/05/23 </t>
  </si>
  <si>
    <t>GANHO</t>
  </si>
  <si>
    <t>Dasa (DASA3F)</t>
  </si>
  <si>
    <t>compradas com dividendos vale e kepler</t>
  </si>
  <si>
    <t>UTILIZAÇÃO FGTS FUNDO ELETROBRÁS - TIVE PERDA</t>
  </si>
  <si>
    <t>Cota devolução</t>
  </si>
  <si>
    <t>Eletrobrás (ELET3)</t>
  </si>
  <si>
    <t>FMP FGTS - Santander</t>
  </si>
  <si>
    <t>INESTIDO</t>
  </si>
  <si>
    <t>RESGATADO 30/07/23</t>
  </si>
  <si>
    <t>AÇÕES</t>
  </si>
  <si>
    <t>líder do setor de soluções para armazenagem e pós-colheita na América do Sul.</t>
  </si>
  <si>
    <t>19/05, 18/06</t>
  </si>
  <si>
    <t>28,40 19/05 + 18,31 18/06 (reinvestido em ações petr 19/05)</t>
  </si>
  <si>
    <t>Petrobras (PETR4F) (5 cotas 25,98)</t>
  </si>
  <si>
    <t>ações foram duplicada em março/23</t>
  </si>
  <si>
    <t>RESGATADO 14/08/23</t>
  </si>
  <si>
    <t>(ajudar conserto cambio ônix)</t>
  </si>
  <si>
    <t>REGATADO AUTOMATICAMENTE PELA EASYINVEST EM 18/09/20, DEVIDO A UM DEBITO NA CONTA DE R$ 13,55, NÃO PEDIRAM AUTORIZAÇÃO E NÃO COMUNICARAM.</t>
  </si>
  <si>
    <t>Vencimento</t>
  </si>
  <si>
    <t>selic + 2%</t>
  </si>
  <si>
    <t xml:space="preserve">VALOR TOTAL RESGATE EM 03/03/2021 </t>
  </si>
  <si>
    <t>Planejamento Pagamentos Despesas Mensais Fixas (média)</t>
  </si>
  <si>
    <t>Créditos</t>
  </si>
  <si>
    <t>Valor mês</t>
  </si>
  <si>
    <t>Valor dia</t>
  </si>
  <si>
    <t>Vencto. (dia)</t>
  </si>
  <si>
    <t>Quando Pagar?</t>
  </si>
  <si>
    <t>Salário</t>
  </si>
  <si>
    <t>Pagto</t>
  </si>
  <si>
    <t>Inss (11%)</t>
  </si>
  <si>
    <t>IR (15%)</t>
  </si>
  <si>
    <t>Plano Saúde</t>
  </si>
  <si>
    <t>Liquido do Mês</t>
  </si>
  <si>
    <t>Combustivel (carro)</t>
  </si>
  <si>
    <t>Adto.</t>
  </si>
  <si>
    <t>Internet casa</t>
  </si>
  <si>
    <t>Internet celular</t>
  </si>
  <si>
    <t>Fornecimento: Sabesp</t>
  </si>
  <si>
    <t>RGI</t>
  </si>
  <si>
    <t>IPTV</t>
  </si>
  <si>
    <t>0433235020</t>
  </si>
  <si>
    <t>Tipo</t>
  </si>
  <si>
    <t>Saldo</t>
  </si>
  <si>
    <t>Pagto (dia 07)</t>
  </si>
  <si>
    <t>Adto (dia 20)</t>
  </si>
  <si>
    <t>Total despesas</t>
  </si>
  <si>
    <t>SALDO RESCISÓRIO</t>
  </si>
  <si>
    <t>SALDO REAL</t>
  </si>
  <si>
    <t>SAQUES FGTS</t>
  </si>
  <si>
    <t>LUCRO FGTS</t>
  </si>
  <si>
    <t>saque imediato em dezembro/19</t>
  </si>
  <si>
    <t>saque emerg COVID-19 08/09/20</t>
  </si>
  <si>
    <t>saque aniversário 01/10/21</t>
  </si>
  <si>
    <t>SAQUE ANIVERSÁRIO 2021</t>
  </si>
  <si>
    <t>SALDO EM 01/10/21</t>
  </si>
  <si>
    <t>2º saque emerg COVID-19 01/06/2022</t>
  </si>
  <si>
    <t>5% SALDO</t>
  </si>
  <si>
    <t>2º saque aniversário 03/10/22</t>
  </si>
  <si>
    <t>PARCELA ADICIONAL</t>
  </si>
  <si>
    <t>3º saque aniversário 03/10/23</t>
  </si>
  <si>
    <t>SAQUE ANIVERSÁRIO</t>
  </si>
  <si>
    <t>TOTAL SAQUES</t>
  </si>
  <si>
    <t>SAQUE ANIVERSÁRIO 2022</t>
  </si>
  <si>
    <t>SALDO EM 01/10/22</t>
  </si>
  <si>
    <t>SAQUE ANIVERSÁRIO 2023</t>
  </si>
  <si>
    <t>SALDO EM 01/10/23</t>
  </si>
  <si>
    <t>Salário 2022 - fev/22 a mar/23</t>
  </si>
  <si>
    <t>Salário 2021 - 01/06/21 a fev/22</t>
  </si>
  <si>
    <t>pensão mensal de R$ 600,00</t>
  </si>
  <si>
    <t>Sendo R$ 300,00 no dia 20 (adiantamento)</t>
  </si>
  <si>
    <t>R$ 300,00 no dia 07 (pagamento)</t>
  </si>
  <si>
    <t>ANO BASE</t>
  </si>
  <si>
    <t>INPC</t>
  </si>
  <si>
    <t>Reajuste aplicado</t>
  </si>
  <si>
    <t>Defasagem</t>
  </si>
  <si>
    <t>VIGÊNCIA SALÁRIO</t>
  </si>
  <si>
    <t>DE</t>
  </si>
  <si>
    <t>PARA</t>
  </si>
  <si>
    <t>Correção pelo INPC</t>
  </si>
  <si>
    <t>Salário 2019 - 01/04/19</t>
  </si>
  <si>
    <t>INSS</t>
  </si>
  <si>
    <t>Salário 2018 - 01/04/18</t>
  </si>
  <si>
    <t>Salário 2017</t>
  </si>
  <si>
    <t>Salário 2016</t>
  </si>
  <si>
    <t>Assist. Médica</t>
  </si>
  <si>
    <t>Salário 2015</t>
  </si>
  <si>
    <t>IR (7,5%)</t>
  </si>
  <si>
    <t>Salário 2014</t>
  </si>
  <si>
    <t>Inss (9%)</t>
  </si>
  <si>
    <t>Salário 2013</t>
  </si>
  <si>
    <t>Salário 2012</t>
  </si>
  <si>
    <t>Salário 2011</t>
  </si>
  <si>
    <t>QUITADO EM 26/04/2012.</t>
  </si>
  <si>
    <t>Parcelamento Cartão de Crédito/Limite Cheque Especial</t>
  </si>
  <si>
    <t>Venc.</t>
  </si>
  <si>
    <t>Parc.</t>
  </si>
  <si>
    <t>Pagto.</t>
  </si>
  <si>
    <t>Devo ainda</t>
  </si>
  <si>
    <t>Juros</t>
  </si>
  <si>
    <t>Acumulado</t>
  </si>
  <si>
    <t>Valor Parcelado</t>
  </si>
  <si>
    <t>Vezes</t>
  </si>
  <si>
    <t>Total Parcelamento</t>
  </si>
  <si>
    <t>Total Dividas</t>
  </si>
  <si>
    <t>Total Juros</t>
  </si>
  <si>
    <t>Juros por Parcela</t>
  </si>
  <si>
    <t>Despesas totais do cartão</t>
  </si>
  <si>
    <t>Credito</t>
  </si>
  <si>
    <t>Fatura Março/11</t>
  </si>
  <si>
    <t>Wal Mart</t>
  </si>
  <si>
    <t>Anuidade</t>
  </si>
  <si>
    <t>Deb c/c</t>
  </si>
  <si>
    <t>QUITADO EM 26/04/12</t>
  </si>
  <si>
    <t>Br Embu Mat Const</t>
  </si>
  <si>
    <t xml:space="preserve">Desconto para quitação: </t>
  </si>
  <si>
    <t>Saldo para quitação:</t>
  </si>
  <si>
    <t>Débito Cartão</t>
  </si>
  <si>
    <t>Pagto. Módulo Eduardo</t>
  </si>
  <si>
    <t>todo dia 08/20</t>
  </si>
  <si>
    <t>PAGO</t>
  </si>
  <si>
    <t>Parcela</t>
  </si>
  <si>
    <t>Celular - Cartão Sogra - 06/08/11 - R$ 279,00</t>
  </si>
  <si>
    <t>Valor Parcela</t>
  </si>
  <si>
    <t>em 5 Vezes</t>
  </si>
  <si>
    <r>
      <t>Em 06/06/12, troquei amortecedores dianteiros mais kits de bandeja. Peças R$ 388,00 mão de obra R$ 100,00. Total R$ 488,00. Parcelado em 3 X no cheque.</t>
    </r>
    <r>
      <rPr>
        <b/>
        <sz val="10"/>
        <color indexed="10"/>
        <rFont val="Arial"/>
        <family val="2"/>
      </rPr>
      <t xml:space="preserve"> (PAGO)</t>
    </r>
  </si>
  <si>
    <t>em 04 Vezes</t>
  </si>
  <si>
    <r>
      <t>Em 21/05/12, vendi PC ao Vagner por R$ 400,00 - 4 X de R$ 100,00. Para pagamento todo dia 20. (20/06, 20/07, 20/08, 20/09).</t>
    </r>
    <r>
      <rPr>
        <b/>
        <sz val="10"/>
        <color indexed="10"/>
        <rFont val="Arial"/>
        <family val="2"/>
      </rPr>
      <t xml:space="preserve"> (PAGO)</t>
    </r>
  </si>
  <si>
    <t>Me deve ainda</t>
  </si>
  <si>
    <r>
      <t xml:space="preserve">DVD Carro - Cartão Mãe Re - 24/01/12-R$ 279,00. </t>
    </r>
    <r>
      <rPr>
        <b/>
        <sz val="10"/>
        <color indexed="10"/>
        <rFont val="Arial"/>
        <family val="2"/>
      </rPr>
      <t>(PAGO)</t>
    </r>
  </si>
  <si>
    <t>em 9 Vezes</t>
  </si>
  <si>
    <r>
      <t>Em 24/08/12 troquei algumas peças do carro R$ 544,00 mão de obra R$ 200,00. Total R$ 744,00. Parcelado em 3 X no cheque.</t>
    </r>
    <r>
      <rPr>
        <b/>
        <sz val="10"/>
        <color indexed="10"/>
        <rFont val="Arial"/>
        <family val="2"/>
      </rPr>
      <t xml:space="preserve">  (PAGO)</t>
    </r>
  </si>
  <si>
    <t>em 03 Vezes</t>
  </si>
  <si>
    <r>
      <t xml:space="preserve">Notebook Samsung + Impressora EPSON grátis - cartão mãe Re - 07/05/12 R$ 1.399,00. </t>
    </r>
    <r>
      <rPr>
        <b/>
        <sz val="10"/>
        <color indexed="10"/>
        <rFont val="Arial"/>
        <family val="2"/>
      </rPr>
      <t>(PAGO)</t>
    </r>
  </si>
  <si>
    <t>em 10 Vezes</t>
  </si>
  <si>
    <r>
      <t>4 Pneus + Balanceamento - Cartão Mãe Re - 08/12/12-R$ 610,00.</t>
    </r>
    <r>
      <rPr>
        <b/>
        <sz val="10"/>
        <color indexed="10"/>
        <rFont val="Arial"/>
        <family val="2"/>
      </rPr>
      <t xml:space="preserve"> (PAGO) </t>
    </r>
  </si>
  <si>
    <t>em 3 Vezes</t>
  </si>
  <si>
    <r>
      <t xml:space="preserve">Oculos: 1 grau cada olho 07/05/11. </t>
    </r>
    <r>
      <rPr>
        <b/>
        <sz val="10"/>
        <color indexed="10"/>
        <rFont val="Arial"/>
        <family val="2"/>
      </rPr>
      <t xml:space="preserve">(PAGO) </t>
    </r>
  </si>
  <si>
    <t>ACORDO</t>
  </si>
  <si>
    <r>
      <t xml:space="preserve">Mão de obra telhamento 2x. </t>
    </r>
    <r>
      <rPr>
        <b/>
        <sz val="10"/>
        <color indexed="10"/>
        <rFont val="Arial"/>
        <family val="2"/>
      </rPr>
      <t>(PAGO)</t>
    </r>
  </si>
  <si>
    <t>em 2 Vezes</t>
  </si>
  <si>
    <r>
      <t>Empréstimo Josias (Laje) 2010.</t>
    </r>
    <r>
      <rPr>
        <b/>
        <sz val="10"/>
        <color indexed="10"/>
        <rFont val="Arial"/>
        <family val="2"/>
      </rPr>
      <t xml:space="preserve"> (PAGO)</t>
    </r>
  </si>
  <si>
    <t>Deixou quieto a última.</t>
  </si>
  <si>
    <r>
      <t>Material telhamento financiado em 07/04/13, 3x no cheque.</t>
    </r>
    <r>
      <rPr>
        <b/>
        <sz val="10"/>
        <color indexed="10"/>
        <rFont val="Arial"/>
        <family val="2"/>
      </rPr>
      <t xml:space="preserve"> (PAGO)</t>
    </r>
  </si>
  <si>
    <r>
      <t xml:space="preserve">Conserto carro - 31/10/13 - R$ 715,00 - 3x - </t>
    </r>
    <r>
      <rPr>
        <b/>
        <sz val="10"/>
        <color indexed="10"/>
        <rFont val="Arial"/>
        <family val="2"/>
      </rPr>
      <t>(PAGO)</t>
    </r>
  </si>
  <si>
    <t>em 3 vezes</t>
  </si>
  <si>
    <t>Parcelamento divida USJT - R$ 3.150,00 em 14 x R$ 225,00.</t>
  </si>
  <si>
    <t>em 14 parcelas</t>
  </si>
  <si>
    <t>Empréstimo Tia Bete - 08/07/11 - R$ 400,00</t>
  </si>
  <si>
    <t>em 8 Vezes</t>
  </si>
  <si>
    <t>Total portão</t>
  </si>
  <si>
    <t>entrada</t>
  </si>
  <si>
    <t>saldo parcelar</t>
  </si>
  <si>
    <t>4 parcelas</t>
  </si>
  <si>
    <t>PARCELA</t>
  </si>
  <si>
    <t>VALOR</t>
  </si>
  <si>
    <t>PARCELA 1</t>
  </si>
  <si>
    <t>PARCELA 2</t>
  </si>
  <si>
    <t>PARCELA 3</t>
  </si>
  <si>
    <t>PARCELA 4</t>
  </si>
  <si>
    <t>Despesas 2021</t>
  </si>
  <si>
    <t>jan á maio 21</t>
  </si>
  <si>
    <t>junho á dez 21</t>
  </si>
  <si>
    <t>Proventos 2021</t>
  </si>
  <si>
    <t>Multas</t>
  </si>
  <si>
    <t>Saque aniversário FGTS</t>
  </si>
  <si>
    <t>Despesas 2022</t>
  </si>
  <si>
    <t>Ferramentas/Móveis/Acessórios/Eletrônicos</t>
  </si>
  <si>
    <t>Média gastos diário</t>
  </si>
  <si>
    <t>jan á Fev</t>
  </si>
  <si>
    <t xml:space="preserve">março/22 á março/23 </t>
  </si>
  <si>
    <t>Proventos 2022</t>
  </si>
  <si>
    <t>Média mensal</t>
  </si>
  <si>
    <t>385,00 pf + 1433,33 folha</t>
  </si>
  <si>
    <t>Restituição IR 2021</t>
  </si>
  <si>
    <t>Prêmio final de Ano (ganhei Donato)</t>
  </si>
  <si>
    <t>Recebimentos Liq (média)</t>
  </si>
  <si>
    <t>Despesas 2023</t>
  </si>
  <si>
    <t>março/22 a março/23</t>
  </si>
  <si>
    <t>abril/23 á</t>
  </si>
  <si>
    <t xml:space="preserve">Proventos </t>
  </si>
  <si>
    <t>Restituição IR 2022</t>
  </si>
  <si>
    <t xml:space="preserve">Maiores Despesas </t>
  </si>
  <si>
    <t>Média Anual</t>
  </si>
  <si>
    <t xml:space="preserve">Total </t>
  </si>
  <si>
    <t>Descontos</t>
  </si>
  <si>
    <t>IR (27,5%)</t>
  </si>
  <si>
    <t>IR (22,5%)</t>
  </si>
  <si>
    <t>Mat.</t>
  </si>
  <si>
    <t>Cat.</t>
  </si>
  <si>
    <t>C.C</t>
  </si>
  <si>
    <t>SALÁRIO</t>
  </si>
  <si>
    <t>13º 1/12</t>
  </si>
  <si>
    <t>Férias 1/12 + 1/3</t>
  </si>
  <si>
    <t>FGTS (8%)</t>
  </si>
  <si>
    <t>MULTA FGTS (40% SOBRE FGTS)</t>
  </si>
  <si>
    <t>INSS (20%)</t>
  </si>
  <si>
    <t>Convênio médico</t>
  </si>
  <si>
    <t>VA</t>
  </si>
  <si>
    <t>Custo mensal</t>
  </si>
  <si>
    <t>M</t>
  </si>
  <si>
    <t>ALEXANDRE OCTAVIO MACHADO</t>
  </si>
  <si>
    <t>ATUAL</t>
  </si>
  <si>
    <t>Sal. Mês</t>
  </si>
  <si>
    <t>Conv médico</t>
  </si>
  <si>
    <t>Total descontos</t>
  </si>
  <si>
    <t>1/12 13º</t>
  </si>
  <si>
    <t>1/12 férias</t>
  </si>
  <si>
    <t>1/3 férias</t>
  </si>
  <si>
    <t>PJ</t>
  </si>
  <si>
    <t>Simples nacional (PJ)</t>
  </si>
  <si>
    <t>Adto</t>
  </si>
  <si>
    <t>RENAVAM</t>
  </si>
  <si>
    <t>PLACA</t>
  </si>
  <si>
    <t>Código FIPE</t>
  </si>
  <si>
    <t>004438-5</t>
  </si>
  <si>
    <t>Peguei carro (ONIX LT 1.4 2014 automático) em 05/03/2022 (68.800 km rodado)</t>
  </si>
  <si>
    <t xml:space="preserve"> FME-2960</t>
  </si>
  <si>
    <t xml:space="preserve">Valor </t>
  </si>
  <si>
    <t>Valorização</t>
  </si>
  <si>
    <t>Desvalorização</t>
  </si>
  <si>
    <t>Evento</t>
  </si>
  <si>
    <t>KM</t>
  </si>
  <si>
    <t>KM ano</t>
  </si>
  <si>
    <t>KM mês</t>
  </si>
  <si>
    <t>$ litro</t>
  </si>
  <si>
    <t>Km 1 litro</t>
  </si>
  <si>
    <t>Litros mês</t>
  </si>
  <si>
    <t>Custo Mês</t>
  </si>
  <si>
    <t>Astra na troca</t>
  </si>
  <si>
    <t xml:space="preserve"> FME-2J60</t>
  </si>
  <si>
    <t>peguei o carro</t>
  </si>
  <si>
    <t>Volta em dinheiro</t>
  </si>
  <si>
    <t>Custo compra</t>
  </si>
  <si>
    <t>Laudo cautelar</t>
  </si>
  <si>
    <t>Cartório (abertura e reconhecimento firma)</t>
  </si>
  <si>
    <t>Taxa transferência Detran</t>
  </si>
  <si>
    <t>Laudo vistoria ECV</t>
  </si>
  <si>
    <t>Emplacamento</t>
  </si>
  <si>
    <t>Custo transferência</t>
  </si>
  <si>
    <t>Desvalorização com relação a compra</t>
  </si>
  <si>
    <t>IPVA 2022</t>
  </si>
  <si>
    <t>Licenciamento 2022</t>
  </si>
  <si>
    <t>Custo documentação</t>
  </si>
  <si>
    <t>Custo total troca carro</t>
  </si>
  <si>
    <t>Manutenção</t>
  </si>
  <si>
    <t>data</t>
  </si>
  <si>
    <t>Rele bomba combustível ONIX (na verdade o problema era a Bomba)</t>
  </si>
  <si>
    <t xml:space="preserve">Velas + cabos velas ONIX + Mão de obra velas e óleo) </t>
  </si>
  <si>
    <t xml:space="preserve">Homocinética Onix (estralando lado motorista) </t>
  </si>
  <si>
    <t>Mão obra troca homocinética</t>
  </si>
  <si>
    <t>Sensor de rotação (trocado sem necessidade-era bomba combustível)</t>
  </si>
  <si>
    <t>Troca bomba combustível Onix (300,00 peça 200,00 M.O)</t>
  </si>
  <si>
    <t>Cabos vela (carro falhando-eu mesmo troquei)</t>
  </si>
  <si>
    <t>Filtro AR</t>
  </si>
  <si>
    <t>Correia Dentada e Tensor Original</t>
  </si>
  <si>
    <t>4 litros óleo  5w30 + filtro óleo (Onix)</t>
  </si>
  <si>
    <t>Kit Freio Disco + Pastilha Onix</t>
  </si>
  <si>
    <t>Mão de obra (correia dentada, óleo, Kit disco e pastilha freio)</t>
  </si>
  <si>
    <t xml:space="preserve">Bateria Zetta "moura" 50Ah </t>
  </si>
  <si>
    <t>Programação Módulo câmbio (usado)</t>
  </si>
  <si>
    <t>Mão de obra (conserto câmbio automático)</t>
  </si>
  <si>
    <t>Liquido arrefecimento</t>
  </si>
  <si>
    <t>média mês</t>
  </si>
  <si>
    <t>a</t>
  </si>
  <si>
    <t>Estética</t>
  </si>
  <si>
    <t>Central mutimidia lelong 6316</t>
  </si>
  <si>
    <t>4 Calotas preto fosco ONIX (cartão crédito)</t>
  </si>
  <si>
    <t>CUSTO MENSAL MÉDIO TER AUTOMÓVEL ONIX (MAIO/23)</t>
  </si>
  <si>
    <t>Combustível</t>
  </si>
  <si>
    <t>Seguro</t>
  </si>
  <si>
    <t>DOCUMENTAÇÃO CARRO</t>
  </si>
  <si>
    <t xml:space="preserve"> RENAVAM: 00850644321 - PLACA: HCO 8371 </t>
  </si>
  <si>
    <t>Corsa 97 na troca</t>
  </si>
  <si>
    <t>TIPO</t>
  </si>
  <si>
    <t>DESCONTO %</t>
  </si>
  <si>
    <t>DESCONTO $</t>
  </si>
  <si>
    <t>Ted para loja V8</t>
  </si>
  <si>
    <t>IPVA 2019/2020</t>
  </si>
  <si>
    <t>Ted para loja V8 (financiado santander)</t>
  </si>
  <si>
    <t>Diferença em dinheiro</t>
  </si>
  <si>
    <t xml:space="preserve">Licenciamento + Envio </t>
  </si>
  <si>
    <t>Multa</t>
  </si>
  <si>
    <t>Diferença á pagar menos multa</t>
  </si>
  <si>
    <t>Custo total da compra</t>
  </si>
  <si>
    <t xml:space="preserve">Total débito em </t>
  </si>
  <si>
    <t>CONDIÇÕES PAGAMENTO ASTRA</t>
  </si>
  <si>
    <t>VALOR DO CARRO</t>
  </si>
  <si>
    <t>ENTRADA EM DINHEIRO</t>
  </si>
  <si>
    <t>CORSA NA TROCA</t>
  </si>
  <si>
    <t>Venda na agência V8</t>
  </si>
  <si>
    <t>FINANCIADO SANTANDER</t>
  </si>
  <si>
    <t xml:space="preserve">TAXA AO MÊS </t>
  </si>
  <si>
    <t>QTD. VEZES</t>
  </si>
  <si>
    <t>VALOR PARCELADO</t>
  </si>
  <si>
    <t>R$ 2.233,54 de juros</t>
  </si>
  <si>
    <t>PARCELA MENSAL</t>
  </si>
  <si>
    <t>DATA VENCTO.</t>
  </si>
  <si>
    <t>SALDO DEVEDOR</t>
  </si>
  <si>
    <t>DATA PAGTO.</t>
  </si>
  <si>
    <t>DESCONTO</t>
  </si>
  <si>
    <t>Peguei o carro em 18/12/2015</t>
  </si>
  <si>
    <t>Liquidação Fin. Astra (parcelas 16/17/18) em 21/03/17 desconto de R$ 77,86.</t>
  </si>
  <si>
    <t>Manutenção preventiva - Astra (Março 2016)</t>
  </si>
  <si>
    <t>CORREIA DENTADA</t>
  </si>
  <si>
    <t>FILTRO AR</t>
  </si>
  <si>
    <t>Consulta FIPE - 0042587</t>
  </si>
  <si>
    <t>FILTRO ÓLEO</t>
  </si>
  <si>
    <t>Mês</t>
  </si>
  <si>
    <t>FILTRO GASOLINA</t>
  </si>
  <si>
    <t>compra - dez/2015</t>
  </si>
  <si>
    <t>JOGO VELAS</t>
  </si>
  <si>
    <t>CABO VELAS</t>
  </si>
  <si>
    <t>ÓLEO 5 UNIDADES</t>
  </si>
  <si>
    <t>PASTILHA FREIO (não foi trocada, não precisou)</t>
  </si>
  <si>
    <t>TOTAL PEÇAS</t>
  </si>
  <si>
    <t xml:space="preserve">MÃO DE OBRA </t>
  </si>
  <si>
    <t>BATERIA 60 AH - (Abril 2016)</t>
  </si>
  <si>
    <t>BATERIA 60 AH</t>
  </si>
  <si>
    <t>TROCA BOMBA DAGUA - Astra (01/05/16)</t>
  </si>
  <si>
    <t>BOMBA DAGUA NOVA</t>
  </si>
  <si>
    <t>TROCA RADIADOR, ATROPELAMENTO CACHORRO NA BR (02/05/16)</t>
  </si>
  <si>
    <t>RADIADOR NOVO</t>
  </si>
  <si>
    <t>ADITIVO</t>
  </si>
  <si>
    <t>TROCA SENSOR COMBUSTIVEL 02/08/16</t>
  </si>
  <si>
    <t>TAMPA BOMBA COMBUSTIVEL</t>
  </si>
  <si>
    <t>CONECTOR SAIDA</t>
  </si>
  <si>
    <t>CONECTOR ENTRADA</t>
  </si>
  <si>
    <t>MANGUEIRA BOMBA</t>
  </si>
  <si>
    <t>SENSOR NÍVEL</t>
  </si>
  <si>
    <t>TROCA SILENCIOSO ESCAPAMENTO 11/11/16</t>
  </si>
  <si>
    <t>SILENCIOSO ESCAPAMENTO</t>
  </si>
  <si>
    <t>FAZER</t>
  </si>
  <si>
    <t>ANEL DO ESCAPAMENTO</t>
  </si>
  <si>
    <t>FUNILARIA</t>
  </si>
  <si>
    <t>PNEUS</t>
  </si>
  <si>
    <t>AMORTECEDORES</t>
  </si>
  <si>
    <t>AR CONDICIONADO</t>
  </si>
  <si>
    <t>CONSERTO VAZAMENTO ÓLEO MOTOR/CÂMBIO 12/2016</t>
  </si>
  <si>
    <t>RETENTOR DO COMANDO</t>
  </si>
  <si>
    <t>RETENTOR DA BOMBA</t>
  </si>
  <si>
    <t>JUNTA TAMPA DE VALVULA</t>
  </si>
  <si>
    <t>JUNTA DO CÁRTER</t>
  </si>
  <si>
    <t>COLA SILICONE LOCTITE</t>
  </si>
  <si>
    <t>ÓLEO MOTOR (5LTRS)</t>
  </si>
  <si>
    <t>RETENTOR DO CÂMBIO</t>
  </si>
  <si>
    <t>RETENTOR DO VOLANTE DO MOTOR</t>
  </si>
  <si>
    <t>ÓLEO DO CÂMBIO (2 LTRS)</t>
  </si>
  <si>
    <t>MANUTENÇÃO BÁSICA - (OUTUBRO 2017)</t>
  </si>
  <si>
    <t>VELAS IGNIÇÃO</t>
  </si>
  <si>
    <t>CABO DE VELAS</t>
  </si>
  <si>
    <t>TROCAS PARABRISA - (DEZEMBRO 2017)</t>
  </si>
  <si>
    <t>TROCA PARA BRISA</t>
  </si>
  <si>
    <t>INCLUSA</t>
  </si>
  <si>
    <t>BATERIA 60 AH - (Abril 2018)</t>
  </si>
  <si>
    <t>TOTAL MANUTENÇÃO</t>
  </si>
  <si>
    <t xml:space="preserve"> RENAVAM: 850644321 - PLACA: HCO 8371 </t>
  </si>
  <si>
    <t>IPVA 2016</t>
  </si>
  <si>
    <t>MULTA DIVIDA ATIVA</t>
  </si>
  <si>
    <t>JUROS SOBRE IPVA</t>
  </si>
  <si>
    <t>JUROS SOBRE MULTA</t>
  </si>
  <si>
    <t>IPVA 2017</t>
  </si>
  <si>
    <t>DOCUMENTAÇÃO - CARRO 2012/2013</t>
  </si>
  <si>
    <t xml:space="preserve"> RENAVAM: 691556938 - PLACA: CLV 2984 - CNPJ 49.925.225/0001-48</t>
  </si>
  <si>
    <t>PRAZO</t>
  </si>
  <si>
    <t>Total dividas em</t>
  </si>
  <si>
    <t xml:space="preserve">IPVA/2010 </t>
  </si>
  <si>
    <t xml:space="preserve"> pago 20/12/10</t>
  </si>
  <si>
    <t>CARRO+Financiamentos</t>
  </si>
  <si>
    <t xml:space="preserve">MULTA 09/12/09 </t>
  </si>
  <si>
    <t xml:space="preserve"> pago 06/05/11</t>
  </si>
  <si>
    <t>MULTA 24/02/10</t>
  </si>
  <si>
    <t>pago 08/10/12</t>
  </si>
  <si>
    <t>MULTA 06/06/10</t>
  </si>
  <si>
    <t>MULTA 17/10/10</t>
  </si>
  <si>
    <t>IPVA/2011</t>
  </si>
  <si>
    <t xml:space="preserve"> pago 06/01/12</t>
  </si>
  <si>
    <t>IPVA/2012</t>
  </si>
  <si>
    <t>26/06/11, FDP bateu no meu carro na rua de casa ás 00:00hs + ou -.</t>
  </si>
  <si>
    <t>RENOVAR CNH EM JAN/2017</t>
  </si>
  <si>
    <t xml:space="preserve">  pago 10/01/12 </t>
  </si>
  <si>
    <t>18/07/11, Deixei o carro no Sr. Izac funileiro, ás 12:20 hras.</t>
  </si>
  <si>
    <t>DESPACHANTE</t>
  </si>
  <si>
    <t>pago 11/12/12</t>
  </si>
  <si>
    <t>22/07/11, Peguei ás 12:10 hras. Ficou bom.</t>
  </si>
  <si>
    <t>DPVAT 2011.</t>
  </si>
  <si>
    <t>DPVAT 2012.</t>
  </si>
  <si>
    <t>13/10/11, Perdi o controle do carro na BR, pista molhada, carro da frente freou bruscamente, derrapei,</t>
  </si>
  <si>
    <t>LICENCIAMENTO 2012</t>
  </si>
  <si>
    <t xml:space="preserve">fui parar no acostamento, amassou e arranhou roda da frente esquerda estourou pneu, quebrou </t>
  </si>
  <si>
    <t>TAXA TRANSFERÊNCIA</t>
  </si>
  <si>
    <t>algumas peças por baixo, quebrou suporte lanterna direita, o carro quase capotou.</t>
  </si>
  <si>
    <t>TAXA LACRAÇÃO</t>
  </si>
  <si>
    <t xml:space="preserve">21/10/11, Deixei o carro no mecânico Tato pra ver o que ocorreu. </t>
  </si>
  <si>
    <t xml:space="preserve"> pago 06/01/13</t>
  </si>
  <si>
    <t>22/10/11, Tive retorno do mecânico, entortou pivô e barra de torção. Ficou em R$ 152,00.</t>
  </si>
  <si>
    <t xml:space="preserve"> pago 05/09/13</t>
  </si>
  <si>
    <t>24/10/11, Peguei de volta,ficou bom, porém precisa alinhar, reformar as rodas e o farol da frente.</t>
  </si>
  <si>
    <t>LICENCIAMENTO 2013</t>
  </si>
  <si>
    <t>MULTA NÃO TRANSFERÊNCIA CARRO</t>
  </si>
  <si>
    <t>????</t>
  </si>
  <si>
    <t>Não recebi a multa</t>
  </si>
  <si>
    <t xml:space="preserve">Total despesas documentação Carro </t>
  </si>
  <si>
    <t>Já pago</t>
  </si>
  <si>
    <t>Total débito em 23/09/2013</t>
  </si>
  <si>
    <t>CONDIÇÕES FINANCIAMENTO DO CARRO</t>
  </si>
  <si>
    <t>FINANCIADO</t>
  </si>
  <si>
    <t>R$ 8.068,46 de juros</t>
  </si>
  <si>
    <t>PAGAMENTO</t>
  </si>
  <si>
    <t>JUROS PAGO</t>
  </si>
  <si>
    <t>Gastos com carro</t>
  </si>
  <si>
    <t>Débito Total</t>
  </si>
  <si>
    <t>Customização</t>
  </si>
  <si>
    <t>Desconto para quitação em:</t>
  </si>
  <si>
    <t>Spoiler (par)</t>
  </si>
  <si>
    <t>Saldo para quitação em:</t>
  </si>
  <si>
    <t>Spray Rodas de ferro (preto) Brinde</t>
  </si>
  <si>
    <t>Pneu usado (step)</t>
  </si>
  <si>
    <t>Adesivo coluna da porta Black Out</t>
  </si>
  <si>
    <t>Custo Carro (financto+juros parcs mensais)</t>
  </si>
  <si>
    <t>Rodas Astra Gsi aro '14 + 4 Pneus 185</t>
  </si>
  <si>
    <t>Á base de troca nas minhas 13 de ferro.</t>
  </si>
  <si>
    <t>Spray p/ tambores (vermelho)</t>
  </si>
  <si>
    <t>2 Lixas</t>
  </si>
  <si>
    <t>Logo Chevrolet</t>
  </si>
  <si>
    <t>Insulfilm G5 carro todo</t>
  </si>
  <si>
    <t>Presente da Regiane Aniver 2010</t>
  </si>
  <si>
    <t>Capa bancos Nov/2012</t>
  </si>
  <si>
    <t>Capo fosco preto</t>
  </si>
  <si>
    <t>Sub total</t>
  </si>
  <si>
    <t>Iluminação</t>
  </si>
  <si>
    <t>Fazer no carro</t>
  </si>
  <si>
    <t>3 lampadas LED (painel)</t>
  </si>
  <si>
    <t>Valor + ou -</t>
  </si>
  <si>
    <t>Feito</t>
  </si>
  <si>
    <t>2 lampadas LED (lanterna)</t>
  </si>
  <si>
    <t>Lanternas Dianteiras</t>
  </si>
  <si>
    <t>3 Lampadas Freio - 13/04/12</t>
  </si>
  <si>
    <t>Reformar Roda Dianteira</t>
  </si>
  <si>
    <t>2 lampadas LED (lanterna AZUL)</t>
  </si>
  <si>
    <t>Balanceamento x4</t>
  </si>
  <si>
    <t>Arrumar Parabrisa</t>
  </si>
  <si>
    <t>Som</t>
  </si>
  <si>
    <t xml:space="preserve">Trocar Pneus </t>
  </si>
  <si>
    <t>Auto falantes Hbuster frente (par)</t>
  </si>
  <si>
    <t>Envelopar Capô</t>
  </si>
  <si>
    <t>Caixa selada c/Sub 12 pol.</t>
  </si>
  <si>
    <t>Funilaria lado passageiro</t>
  </si>
  <si>
    <t>??</t>
  </si>
  <si>
    <t>Tampão</t>
  </si>
  <si>
    <t>Funilaria Capo</t>
  </si>
  <si>
    <t>Forrar Tampão</t>
  </si>
  <si>
    <t>Auto falantes Bomber Frente/Tampão</t>
  </si>
  <si>
    <t>Cambagem x2 lados</t>
  </si>
  <si>
    <t>Modulo VEGA 1200 W</t>
  </si>
  <si>
    <t>Reforma Sub 12</t>
  </si>
  <si>
    <t>Silicone para vedar caixa selada</t>
  </si>
  <si>
    <t>Corneta Falcon 100 RMS</t>
  </si>
  <si>
    <t>Presente da Regiane Aniver 2011</t>
  </si>
  <si>
    <t>Lanternas traseira bolha fumê</t>
  </si>
  <si>
    <t>Conserto Corneta Falcon 100 RMS</t>
  </si>
  <si>
    <t>Pára-choque com furo milha</t>
  </si>
  <si>
    <t>DVD 3 polegadas GTX 1100</t>
  </si>
  <si>
    <t>Farol de Milha</t>
  </si>
  <si>
    <t>Conserto Sub 12</t>
  </si>
  <si>
    <t>Lâmpadas super branca dianteira</t>
  </si>
  <si>
    <t>Calota central 2 Rodas</t>
  </si>
  <si>
    <t>Cabo RCA - 08/10/13</t>
  </si>
  <si>
    <t>Caixa c/ Sub 12 Fosgate usada - 08/10/13</t>
  </si>
  <si>
    <t>Conserto Corneta Falcon 100 RMS-08/10/13</t>
  </si>
  <si>
    <t>Documentação</t>
  </si>
  <si>
    <t>Instalação SOM 08/10/13</t>
  </si>
  <si>
    <t>Troca de Peças em 04/03/2010</t>
  </si>
  <si>
    <t>1 Cilindro da Roda Traseira</t>
  </si>
  <si>
    <t>1 Retentor de Volante</t>
  </si>
  <si>
    <t>1 Junta do Carter</t>
  </si>
  <si>
    <t>4 Litros Óleo de Motor</t>
  </si>
  <si>
    <t>1 Filtro de Óleo</t>
  </si>
  <si>
    <t>2 Óleo de Câmbio</t>
  </si>
  <si>
    <t>1 Jogo Lona de Freios</t>
  </si>
  <si>
    <t>1 Jogo Velas de Ignição</t>
  </si>
  <si>
    <t>1 Homocinética SKF</t>
  </si>
  <si>
    <t>2 Panelas de Freios</t>
  </si>
  <si>
    <t>1 Litro de Graxa</t>
  </si>
  <si>
    <t>1 Correia Dentada</t>
  </si>
  <si>
    <t>1 Junta da Tampa de Válvulas</t>
  </si>
  <si>
    <t>1 Correia de Alternador</t>
  </si>
  <si>
    <t>2 Óleo de Freio DOT 4</t>
  </si>
  <si>
    <t>Total de Peças</t>
  </si>
  <si>
    <t>Mão de Obra</t>
  </si>
  <si>
    <t>Desconto Peças</t>
  </si>
  <si>
    <t>Total Pago</t>
  </si>
  <si>
    <t>1ª Troca de Óleo</t>
  </si>
  <si>
    <t>Troca de Óleo 3 Litros 10/08/11.</t>
  </si>
  <si>
    <t>Troca de Óleo 3 e 1/2 - 13/04/12.</t>
  </si>
  <si>
    <t>Troca de Filtro de Óleo</t>
  </si>
  <si>
    <t>Troca de Óleo 3 litros - 05/02/13.</t>
  </si>
  <si>
    <t>Troca de Óleo 4 lts + Filtro óleo -  13/08/13</t>
  </si>
  <si>
    <t>Bateria 60 Amp - Podium - 08/07/11.</t>
  </si>
  <si>
    <t>Compra Macaco 14/01/2012</t>
  </si>
  <si>
    <t>Lanternas diant. R$ 65,00 cada (11/08/12)</t>
  </si>
  <si>
    <t>Por baixo frente carro 21/10/11</t>
  </si>
  <si>
    <t>Jogo de Pastilhas</t>
  </si>
  <si>
    <t>Pivo</t>
  </si>
  <si>
    <t>Parafuso e Porca</t>
  </si>
  <si>
    <t>Troca Amortecedores frente 06/06/12</t>
  </si>
  <si>
    <t>2 Amortecedores COFAP</t>
  </si>
  <si>
    <t>Kit batentes original</t>
  </si>
  <si>
    <t>Troca de Peças em 24/08/2012</t>
  </si>
  <si>
    <t>4 Limpeza de bicos</t>
  </si>
  <si>
    <t>1 Kit dos bicos</t>
  </si>
  <si>
    <t>Limpeza do TBI</t>
  </si>
  <si>
    <t>1 Jogo de Velas</t>
  </si>
  <si>
    <t>1 Jogo de Cabos</t>
  </si>
  <si>
    <t>4 Litros Óleo Motor</t>
  </si>
  <si>
    <t>1 Filtro de AR</t>
  </si>
  <si>
    <t>2 Morceguinhos</t>
  </si>
  <si>
    <t>1 Aditivo</t>
  </si>
  <si>
    <t>1 Vareta de Medir Óleo</t>
  </si>
  <si>
    <t>Conserto Pneu 26/10/11</t>
  </si>
  <si>
    <t>Conserto Pneu 13/07/12</t>
  </si>
  <si>
    <t>Conserto Pneu 14/08/12</t>
  </si>
  <si>
    <t>Conserto Roda dianteira 16/07/12</t>
  </si>
  <si>
    <t>Funilaria</t>
  </si>
  <si>
    <t>Troca 4 Pneus em 08/12/2012</t>
  </si>
  <si>
    <t>4 Pneus Remold  Minuano '14 R$ 135,00</t>
  </si>
  <si>
    <t>4 Balanceamentos x R$ 10,00</t>
  </si>
  <si>
    <t>Troca Parabrisa em 08/12/2012</t>
  </si>
  <si>
    <t>Borracha parabrisa</t>
  </si>
  <si>
    <t>Parafusos/porcas acabamento 4 kits</t>
  </si>
  <si>
    <t>Par amortecedor traseiro COFAP-28/10/13</t>
  </si>
  <si>
    <t>Troca Amortecedores traseiro 01/11/2013</t>
  </si>
  <si>
    <t>1 Alinhamento dianteiro</t>
  </si>
  <si>
    <t>2 Cambagens dianteira</t>
  </si>
  <si>
    <t>4 Balanceamento local</t>
  </si>
  <si>
    <t>2 Buchas eixo traseiro</t>
  </si>
  <si>
    <t>2 Kit amortecedor dianteiro</t>
  </si>
  <si>
    <t>1 Suporte tensor lado direito</t>
  </si>
  <si>
    <t>1 Suporte tensor lado esquerdo</t>
  </si>
  <si>
    <t>1 Tubo d'agua</t>
  </si>
  <si>
    <t>2 Aditivo radiador</t>
  </si>
  <si>
    <t>2 Coifa amortecedor traseiro</t>
  </si>
  <si>
    <t>1 Abracadeira</t>
  </si>
  <si>
    <t>Mão de Obra instalação amortecedor traseiro</t>
  </si>
  <si>
    <t>Troca Pneus dianteiros 06/10/14</t>
  </si>
  <si>
    <t>1 Pneu Remold  Minuano '14 R$ 130,00 a vista</t>
  </si>
  <si>
    <t>1 Pneu Remold  Minuano '14 R$ 150,00 cartão</t>
  </si>
  <si>
    <t>2 Balanceamentos</t>
  </si>
  <si>
    <t>DOCUMENTAÇÃO MT03 2017/2018</t>
  </si>
  <si>
    <t>PEGUEI A MOTO EM</t>
  </si>
  <si>
    <t>2.700 KM</t>
  </si>
  <si>
    <r>
      <t xml:space="preserve"> RENAVAM: </t>
    </r>
    <r>
      <rPr>
        <sz val="10"/>
        <color rgb="FFFF0000"/>
        <rFont val="Arial"/>
        <family val="2"/>
      </rPr>
      <t xml:space="preserve">01110954490 </t>
    </r>
    <r>
      <rPr>
        <sz val="10"/>
        <rFont val="Arial"/>
        <family val="2"/>
      </rPr>
      <t>- PLACA: FCA-2G66</t>
    </r>
  </si>
  <si>
    <t>VALOR MOTO</t>
  </si>
  <si>
    <t>LICENCIAMENTO 2021</t>
  </si>
  <si>
    <t>CUSTO FINAL COMPRA</t>
  </si>
  <si>
    <t>TRANSFERÊNCIA</t>
  </si>
  <si>
    <t>TAXA TRANSFERÊNCIA DETRAN</t>
  </si>
  <si>
    <t>LAUDO ECV</t>
  </si>
  <si>
    <t>TARJETA placa</t>
  </si>
  <si>
    <t>TOTAL TRANSFERÊNCIA</t>
  </si>
  <si>
    <t>TOTAL GERAL (MOTO + DOCUMENTO)</t>
  </si>
  <si>
    <t>FIPE</t>
  </si>
  <si>
    <t>827103-8</t>
  </si>
  <si>
    <t>Compra Março/21</t>
  </si>
  <si>
    <t>DOCUMENTAÇÃO TWISTER 2016</t>
  </si>
  <si>
    <t>19.830 KM</t>
  </si>
  <si>
    <t xml:space="preserve"> RENAVAM: 01090478701 - PLACA: GHM 4267 </t>
  </si>
  <si>
    <t>IPVA 2019</t>
  </si>
  <si>
    <t>DIA</t>
  </si>
  <si>
    <t>OCORRÊNCIAS CNH MOTO</t>
  </si>
  <si>
    <t>QTD AULAS</t>
  </si>
  <si>
    <t>Não tinha sistema, mas fiz 1ª aula prática</t>
  </si>
  <si>
    <t>DPVAT 2019/2020</t>
  </si>
  <si>
    <t>LICENCIAMENTO 2018</t>
  </si>
  <si>
    <t>Não teve aula prática, só registrei a digital</t>
  </si>
  <si>
    <t>LICENCIAMENTO 2020</t>
  </si>
  <si>
    <t>LICENCIAMENTO 2019</t>
  </si>
  <si>
    <t>Não teve aula prática, só registrei a digital, chovendo.</t>
  </si>
  <si>
    <t>Teve aula e digital normal, 2ª aula prática</t>
  </si>
  <si>
    <t>Fui pra praia</t>
  </si>
  <si>
    <t>Teve aula e digital normal, 3ª aula prática</t>
  </si>
  <si>
    <t>Não tive aula</t>
  </si>
  <si>
    <t>Não teve aula prática, só registrei a digital, chovendo</t>
  </si>
  <si>
    <t>Noturna</t>
  </si>
  <si>
    <t>811135-9</t>
  </si>
  <si>
    <t>Compra Fev/19</t>
  </si>
  <si>
    <t>ORÇAMENTO LAJE JAPONÊS - 01/11/2010</t>
  </si>
  <si>
    <t>METRAGEM LAJE</t>
  </si>
  <si>
    <t>QTD.</t>
  </si>
  <si>
    <t>VALOR MT</t>
  </si>
  <si>
    <t>QUARTO</t>
  </si>
  <si>
    <t>BANHEIRO</t>
  </si>
  <si>
    <t>compra R$ 190,58</t>
  </si>
  <si>
    <t>TOTAL (METRO)</t>
  </si>
  <si>
    <t>parcela 3x</t>
  </si>
  <si>
    <t>juros 8,49%</t>
  </si>
  <si>
    <t>FERRAGENS</t>
  </si>
  <si>
    <t>total juros</t>
  </si>
  <si>
    <t>total c/juros</t>
  </si>
  <si>
    <t>VIGAS (METRO)</t>
  </si>
  <si>
    <t>valor parcela 3x</t>
  </si>
  <si>
    <t>R$ 530,60</t>
  </si>
  <si>
    <t>parcela 6x</t>
  </si>
  <si>
    <t>CONCRETO</t>
  </si>
  <si>
    <t>VALOR UNIT.</t>
  </si>
  <si>
    <t>AREIA (METRO)</t>
  </si>
  <si>
    <t>PEDRA (METRO)</t>
  </si>
  <si>
    <t>CIMENTO (SACO)</t>
  </si>
  <si>
    <t>valor parcela 6x</t>
  </si>
  <si>
    <t>Ref. Laje R$ 343,20; Pontaletes R$ 90,00; e Malhas R$ 78,63</t>
  </si>
  <si>
    <t>MADEIRAMENTO</t>
  </si>
  <si>
    <t>TABUAS DE 30</t>
  </si>
  <si>
    <t>PONTALETES</t>
  </si>
  <si>
    <t>AMARRAÇÃO</t>
  </si>
  <si>
    <t>VALOR KG</t>
  </si>
  <si>
    <t>ARAME KG</t>
  </si>
  <si>
    <t>PREGO KG</t>
  </si>
  <si>
    <t>MALHA</t>
  </si>
  <si>
    <t>CONDUITE MT.</t>
  </si>
  <si>
    <t>CAIXA P/LÂMPADA</t>
  </si>
  <si>
    <t>TOTAL MATERIAIS</t>
  </si>
  <si>
    <t>MÃO DE OBRA</t>
  </si>
  <si>
    <t>TOTAL LAJE</t>
  </si>
  <si>
    <t>ACERTAR CONTRA PISO DA LAJE ATÉ O PORTÃO DE FERRO</t>
  </si>
  <si>
    <t>CHURRAS</t>
  </si>
  <si>
    <t>Fone: 4781-1519</t>
  </si>
  <si>
    <t>TOTAL GERAL LAJE</t>
  </si>
  <si>
    <t>ORÇAMENTO LAJE EMBUEMA - 06/10/2010</t>
  </si>
  <si>
    <t>Fone: 4704-5445</t>
  </si>
  <si>
    <t>Resta</t>
  </si>
  <si>
    <t>TELHAMENTO CASA DE BAIXO</t>
  </si>
  <si>
    <t>MATERIAL TELHAMENTO COMPRADO EM 07/04/13 - BR EMBU</t>
  </si>
  <si>
    <t>ITEM</t>
  </si>
  <si>
    <t>TELHAS FINA</t>
  </si>
  <si>
    <t>VIGAS 16 EUCAL - 5 METROS</t>
  </si>
  <si>
    <t>VIGAS 12 EUCAL - 5 METROS</t>
  </si>
  <si>
    <t>CALHA PLUVIAL PVC TIGRE</t>
  </si>
  <si>
    <t>EMENDA P/CALHA PLUVIAL</t>
  </si>
  <si>
    <t>BOCAL P/ CALHA</t>
  </si>
  <si>
    <t>CABECEIRA P/ CALHA DIREITA</t>
  </si>
  <si>
    <t>CABECEIRA P/ CALHA ESQUERDA</t>
  </si>
  <si>
    <t>SUP. P/ CALHA</t>
  </si>
  <si>
    <t>VEDAÇÃO P/ CALHA</t>
  </si>
  <si>
    <t>RED. DO CONDUT CALHA</t>
  </si>
  <si>
    <t>TUBO ESGOTO (6 METROS)</t>
  </si>
  <si>
    <t>PONTALETE EUCAL. 6 METROS</t>
  </si>
  <si>
    <t>PCT PREGO TELHEIRO (500g) 18X27</t>
  </si>
  <si>
    <t>PCT PREGO POL. C/CAB (1KG)</t>
  </si>
  <si>
    <t>ARAME COZIDO RETORCIDO</t>
  </si>
  <si>
    <t>CIMENTO VOTORANTIM 50 KG</t>
  </si>
  <si>
    <t>1/2 METRO AREIA REGISTRO</t>
  </si>
  <si>
    <t>1/2</t>
  </si>
  <si>
    <t>MÃO DE OBRA PEDRO</t>
  </si>
  <si>
    <t>DIVIDIDO POR 4 PESSOAS</t>
  </si>
  <si>
    <t>FORMAS DE PAGAMENTO:</t>
  </si>
  <si>
    <r>
      <t xml:space="preserve">MATERIAL: </t>
    </r>
    <r>
      <rPr>
        <sz val="10"/>
        <rFont val="Arial"/>
        <family val="2"/>
      </rPr>
      <t>R$ 1.575,49 - R$ 400,00 ENTRADA = R$ 1.175,49 FINANCIADO EM 3 VEZES NO CHEQUE</t>
    </r>
  </si>
  <si>
    <t>Pra cada</t>
  </si>
  <si>
    <t>1º CHEQUE R$ 435,00 VENCIMENTO 07/05/13</t>
  </si>
  <si>
    <t>dividido 4</t>
  </si>
  <si>
    <t>2º CHEQUE R$ 435,00 VENCIMENTO 07/06/13</t>
  </si>
  <si>
    <t>3º CHEQUE R$ 435,00 VENCIMENTO 07/07/13</t>
  </si>
  <si>
    <t>MÃO DE OBRA 2 VEZES</t>
  </si>
  <si>
    <t>1ª QUANDO COMEÇAR 15/04/13.</t>
  </si>
  <si>
    <t>2ª QUANDO TERMINAR, SEM PREVISÃO.</t>
  </si>
  <si>
    <t>TOTAL FINANCIAMENTO + MÃO DE OBRA POR PESSOA</t>
  </si>
  <si>
    <t>ENTRADA</t>
  </si>
  <si>
    <t>CUSTO TOTAL POR PESSOA</t>
  </si>
  <si>
    <t>MATERIAL TELHAMENTO COMPRADO EM 18/04/13 - BR EMBU</t>
  </si>
  <si>
    <t>TUBO ESGOTO (3 METROS) 75</t>
  </si>
  <si>
    <t>COTOVELO ESGOTO - 75</t>
  </si>
  <si>
    <t>FORMA DE PAGAMENTO:</t>
  </si>
  <si>
    <t>1º CHEQUE R$ 328,00 VENCIMENTO 20/05/13</t>
  </si>
  <si>
    <t>TELHAMENTO GARAGEM</t>
  </si>
  <si>
    <t>ORÇAMENTO</t>
  </si>
  <si>
    <t>ORÇAMENTO GERAL MATERIAL TELHAMENTO GARAGEM - JAPONÊS - 14/05/14</t>
  </si>
  <si>
    <t>TELHAS 2,40</t>
  </si>
  <si>
    <t>PARAFUSO TELHAS 5/16 X 110</t>
  </si>
  <si>
    <t>VIGAS 16 EUCAL - 6 METROS</t>
  </si>
  <si>
    <t>CAIBRO 6 METROS (PONTALETE?)</t>
  </si>
  <si>
    <t>COLUNAS DE 3 METROS - 2</t>
  </si>
  <si>
    <t>COLUNAS DE 2,5 METROS - 3</t>
  </si>
  <si>
    <t xml:space="preserve">AREIA </t>
  </si>
  <si>
    <t>ARAME COZIDO ROLO</t>
  </si>
  <si>
    <t>PEDRA</t>
  </si>
  <si>
    <t>TIJOLO BAIANO 6 FUROS</t>
  </si>
  <si>
    <t>ORÇAMENTO GERAL MATERIAL TELHAMENTO GARAGEM - PERTO ESCOLA - 17/05/14</t>
  </si>
  <si>
    <t>TELHAS 2,44 X 92CM</t>
  </si>
  <si>
    <t>VIGAS EUCAL  5x15 - 5 METROS</t>
  </si>
  <si>
    <t>CAIBRÃO 5X7,5 - 4 METROS</t>
  </si>
  <si>
    <t>COMPRA</t>
  </si>
  <si>
    <t>COMPRA MATERIAL TELHAMENTO GARAGEM - JAPONÊS</t>
  </si>
  <si>
    <t>TOTAL PAGO</t>
  </si>
  <si>
    <t>COMPRA MATERIAL TELHAMENTO GARAGEM - PERTO ESCOLA</t>
  </si>
  <si>
    <t>1ª PARTE MATERIAL COMPRADO EM 29/05. Á VISTA - 7% DESCONTO</t>
  </si>
  <si>
    <t>DESCONTO 7%</t>
  </si>
  <si>
    <t>2ª PARTE MATERIAL COMPRADO EM 18/06. R$ 155,00 á vista + R$ 400 em 3x.</t>
  </si>
  <si>
    <t>2ª PARTE MATERIAL COMPRADO EM 25/06. R$ 143,00 á vista + R$ 50 em 1x.</t>
  </si>
  <si>
    <t>2ª PARTE MATERIAL COMPRADO EM 07/07. R$ 37,10 á vista.</t>
  </si>
  <si>
    <t>Total material</t>
  </si>
  <si>
    <t>Total custo</t>
  </si>
  <si>
    <t>Eventos</t>
  </si>
  <si>
    <t>Condução</t>
  </si>
  <si>
    <t>Serviço</t>
  </si>
  <si>
    <t>Quebra caixa</t>
  </si>
  <si>
    <t>Refeição</t>
  </si>
  <si>
    <t>Custo Condução</t>
  </si>
  <si>
    <t>Lucro</t>
  </si>
  <si>
    <t>Evento Casa das Caldeiras - Barra Funda</t>
  </si>
  <si>
    <t>Ônibus - Metrô</t>
  </si>
  <si>
    <t>Evento Camarote Stadium - Estádio Morumbi</t>
  </si>
  <si>
    <t>Evento Espaço Metropolitan</t>
  </si>
  <si>
    <t>Carona</t>
  </si>
  <si>
    <t>Evento Casa das Caldeiras - Barra Funda 2</t>
  </si>
  <si>
    <t>Evento Hotel Transamerica</t>
  </si>
  <si>
    <t>Evento Santa Aldeia</t>
  </si>
  <si>
    <t>Evento Espaço Metropolitan 2</t>
  </si>
  <si>
    <t>Evento Shopp. Iguatemi Alphaville</t>
  </si>
  <si>
    <t>Evento Wetn Wild (Spirit of London)</t>
  </si>
  <si>
    <t>Evento Clube Pinheiros</t>
  </si>
  <si>
    <t>Evento Casa das Caldeiras - Barra Funda 3</t>
  </si>
  <si>
    <t>Estimativa</t>
  </si>
  <si>
    <t>Gasto real</t>
  </si>
  <si>
    <t>Comprado onde</t>
  </si>
  <si>
    <t>Decoração</t>
  </si>
  <si>
    <t>Bolo (3 kg + decoração)</t>
  </si>
  <si>
    <t>Painel e cilindros</t>
  </si>
  <si>
    <t>Elaine (no bairro)</t>
  </si>
  <si>
    <t>Pratos/garfos</t>
  </si>
  <si>
    <t>Doceria Maringá</t>
  </si>
  <si>
    <t>Tapete pink</t>
  </si>
  <si>
    <t>Loja $1 Saint Moritz</t>
  </si>
  <si>
    <t>Formas doces</t>
  </si>
  <si>
    <t>TNT paredes</t>
  </si>
  <si>
    <t>Brigadeiro (950 gramas)</t>
  </si>
  <si>
    <t>Mãe fez</t>
  </si>
  <si>
    <t>TNT mesa</t>
  </si>
  <si>
    <t>Beijinho (950 gramas)</t>
  </si>
  <si>
    <t>Painel Tik Tok (aluguel)</t>
  </si>
  <si>
    <t>Pirulito (6)</t>
  </si>
  <si>
    <t>Brigadeiro</t>
  </si>
  <si>
    <t xml:space="preserve">Bala dori </t>
  </si>
  <si>
    <t>Alugado</t>
  </si>
  <si>
    <t>Contra-filé (4kg)</t>
  </si>
  <si>
    <t>Bala arcor</t>
  </si>
  <si>
    <t>Vela</t>
  </si>
  <si>
    <t>Frango (2kg)</t>
  </si>
  <si>
    <t>presente Eduardo</t>
  </si>
  <si>
    <t>Gomas dori</t>
  </si>
  <si>
    <t>Linguiça (2kg)</t>
  </si>
  <si>
    <t>Marshmellow</t>
  </si>
  <si>
    <t>Pula pula</t>
  </si>
  <si>
    <t>Queijo (2)</t>
  </si>
  <si>
    <t>Tubetes c/ 10</t>
  </si>
  <si>
    <t>Contra-filé (3kg)</t>
  </si>
  <si>
    <t>Akki</t>
  </si>
  <si>
    <t>Pão Alho (3)</t>
  </si>
  <si>
    <t>Bexigas c/50 (2 pacotes)</t>
  </si>
  <si>
    <t>Carvão (2)</t>
  </si>
  <si>
    <t>Kit balao c/9 unidades</t>
  </si>
  <si>
    <t>Maionese</t>
  </si>
  <si>
    <t>Palito p/churrasco</t>
  </si>
  <si>
    <t>Cervejas (2 caixas)</t>
  </si>
  <si>
    <t>Vela bolo</t>
  </si>
  <si>
    <t>Pão Alho (2)</t>
  </si>
  <si>
    <t>Vodka</t>
  </si>
  <si>
    <t>Top bel</t>
  </si>
  <si>
    <t>Carvão (1)</t>
  </si>
  <si>
    <t>Hot dogs (entrada)</t>
  </si>
  <si>
    <t>Larissa</t>
  </si>
  <si>
    <t>Zezinho</t>
  </si>
  <si>
    <t>tia joise</t>
  </si>
  <si>
    <t>Sueli</t>
  </si>
  <si>
    <t>prima Joise</t>
  </si>
  <si>
    <t xml:space="preserve">Aline </t>
  </si>
  <si>
    <t>primo Joise</t>
  </si>
  <si>
    <t>Contra-filé (6kg)</t>
  </si>
  <si>
    <t>Erika</t>
  </si>
  <si>
    <t>Tio cachaça</t>
  </si>
  <si>
    <t>Frango (3kg)</t>
  </si>
  <si>
    <t>Cristiano</t>
  </si>
  <si>
    <t>Mãe Joise</t>
  </si>
  <si>
    <t>Linguiça (3kg)</t>
  </si>
  <si>
    <t>Pai Joise</t>
  </si>
  <si>
    <t>Irmã Joise</t>
  </si>
  <si>
    <t>Tia Joise</t>
  </si>
  <si>
    <t>Cunhado Joise</t>
  </si>
  <si>
    <t>Primo Joise</t>
  </si>
  <si>
    <t>Prima Joise</t>
  </si>
  <si>
    <t>namorado prima joise</t>
  </si>
  <si>
    <t>Alkione</t>
  </si>
  <si>
    <t>Namorado Alkione</t>
  </si>
  <si>
    <t>Daniel</t>
  </si>
  <si>
    <t>ICE</t>
  </si>
  <si>
    <t>Marcela</t>
  </si>
  <si>
    <t>Isabela Repume</t>
  </si>
  <si>
    <t>Marido Marcela</t>
  </si>
  <si>
    <t>gesseiro</t>
  </si>
  <si>
    <t>mulher gesseiro</t>
  </si>
  <si>
    <t>Isabella</t>
  </si>
  <si>
    <t>Antony</t>
  </si>
  <si>
    <t>Enzo</t>
  </si>
  <si>
    <t>2 cópias chave nova porta madeira casa</t>
  </si>
  <si>
    <t>Caixa trio JBL 600 rms carro (928,00 total - 600,00 4x crédito)</t>
  </si>
  <si>
    <t>6 jogos megasena da virada pelo app loterias</t>
  </si>
  <si>
    <t>Kit mergulho verde (óculos + snorkel + protetor ouvido) Bella</t>
  </si>
  <si>
    <t>Kit mergulho azul (óculos + snorkel + protetor ouvido) Kauan</t>
  </si>
  <si>
    <t>Despesas 2024</t>
  </si>
  <si>
    <t>IPTU 2024</t>
  </si>
  <si>
    <t>Cartão de Crédito Fatura Janeiro/24 - Vencimento 22/02/24 - Limite R$ 5.600,00</t>
  </si>
  <si>
    <t>Pousada Paraty (viagem janeiro/24) 4/4</t>
  </si>
  <si>
    <t>Salário Janeiro / 2024</t>
  </si>
  <si>
    <t>Depósito FGTS Janeiro / 2024</t>
  </si>
  <si>
    <t>Pagto. Conta Luz Janeiro / 2024</t>
  </si>
  <si>
    <t>Reserva do Furquim 31/203</t>
  </si>
  <si>
    <t>Fatura Cartão Crédito Janeiro / 2024</t>
  </si>
  <si>
    <t>Pagto. Conta Agua Janeiro / 2024</t>
  </si>
  <si>
    <t>Presente Kauan (total 145,00 = 100,00 credito 2x) camiseta branca + bermuda moleton gelo 1/2</t>
  </si>
  <si>
    <t>Presente Kauan (total 145,00 = 100,00 credito 2x) camiseta branca + bermuda moleton gelo 2/2</t>
  </si>
  <si>
    <t>Resgate Tesouro direto (pagar IPVA)</t>
  </si>
  <si>
    <t>Conserto carro Vera (bati a porta na lateral do carro dela após escorregar em novembro/23) 648,00 em 3x - 1/3</t>
  </si>
  <si>
    <t>Soma de Janeiro</t>
  </si>
  <si>
    <t>Soma de Fevereiro</t>
  </si>
  <si>
    <t>Soma de Março</t>
  </si>
  <si>
    <t>Soma de Abril</t>
  </si>
  <si>
    <t>Soma de Maio</t>
  </si>
  <si>
    <t>Soma de Junho</t>
  </si>
  <si>
    <t>Soma de Julho</t>
  </si>
  <si>
    <t>Soma de Agosto</t>
  </si>
  <si>
    <t>Soma de Setembro</t>
  </si>
  <si>
    <t>Soma de Outubro</t>
  </si>
  <si>
    <t>Soma de Novembro</t>
  </si>
  <si>
    <t>Soma de Dezembro</t>
  </si>
  <si>
    <t>Rótulos de Linha</t>
  </si>
  <si>
    <t>Total Geral</t>
  </si>
  <si>
    <t>Preço (1lt)</t>
  </si>
  <si>
    <t>Qtd litros</t>
  </si>
  <si>
    <t>km rodado</t>
  </si>
  <si>
    <t>km p/ litro</t>
  </si>
  <si>
    <t>Juros Conta NU</t>
  </si>
  <si>
    <t>teste consumo alcool</t>
  </si>
  <si>
    <t>abastecimento</t>
  </si>
  <si>
    <t>término abastecimento (50,00)</t>
  </si>
  <si>
    <t>Assinatura 12 meses DUPLEX (IPTV)</t>
  </si>
  <si>
    <t>Creatina BlackSkull 300gr 2 unidades 1/2</t>
  </si>
  <si>
    <t>Caixinhas NU</t>
  </si>
  <si>
    <t>Caixinha NU</t>
  </si>
  <si>
    <t>1º</t>
  </si>
  <si>
    <t>2º</t>
  </si>
  <si>
    <t>IPVA ÔNIX 2024 à vista</t>
  </si>
  <si>
    <t>Conta Poupança (caixinha NU)</t>
  </si>
  <si>
    <t>Conserto carro Vera (bati a porta na lateral do carro dela após escorregar em novembro/23) 640,00 em 3x - 2/3</t>
  </si>
  <si>
    <t>3º</t>
  </si>
  <si>
    <t>média km por litro</t>
  </si>
  <si>
    <t>673,00 - 328,00 boca = 345,00/3 = 115,00</t>
  </si>
  <si>
    <t>4º</t>
  </si>
  <si>
    <t>Caixinha NU (economia)</t>
  </si>
  <si>
    <t>DEVOLUÇÃO Caixa trio JBL 600 rms carro (928,00 total - 600,00 4x crédito)</t>
  </si>
  <si>
    <t xml:space="preserve">Caixinha NU </t>
  </si>
  <si>
    <t>Convenio odontológico BELLA (Hapvida Interodonto) - Mensal</t>
  </si>
  <si>
    <t>Salário Fevereiro / 2024</t>
  </si>
  <si>
    <t>Depósito FGTS Fevereiro / 2024</t>
  </si>
  <si>
    <t>Pagto. Conta Luz Fevereiro / 2024</t>
  </si>
  <si>
    <t>Fatura Cartão Crédito Fevereiro / 2024</t>
  </si>
  <si>
    <t>Pagto. Conta Agua Fevereiro / 2024</t>
  </si>
  <si>
    <t>Kit palhetas ONIX (2)</t>
  </si>
  <si>
    <t>Fralda doação Nicole REPUME</t>
  </si>
  <si>
    <t>Repelente Bella</t>
  </si>
  <si>
    <t>SAQUE ANIVERSÁRIO 2024</t>
  </si>
  <si>
    <t>SALDO EM 01/10/24</t>
  </si>
  <si>
    <t>Renda diária (liquido R$ 4.487,63/30)</t>
  </si>
  <si>
    <t>-Acordado com mãe Isabella em 16/06/2021</t>
  </si>
  <si>
    <t>Sendo R$ 400,00 no dia 20 (adiantamento)</t>
  </si>
  <si>
    <t>Dif</t>
  </si>
  <si>
    <t>13º</t>
  </si>
  <si>
    <t>Dependentes (2)</t>
  </si>
  <si>
    <t>Base s/ pensão</t>
  </si>
  <si>
    <t>IR s/pensão</t>
  </si>
  <si>
    <t>CÁLCULO IR SEM PENSÃO</t>
  </si>
  <si>
    <t>Pensão</t>
  </si>
  <si>
    <t>Salário 2024</t>
  </si>
  <si>
    <t>-Acordado com mãe Isabella em 01/01/2024</t>
  </si>
  <si>
    <t>IR c/pensão</t>
  </si>
  <si>
    <t>CÁLCULO IR COM PENSÃO (25%)</t>
  </si>
  <si>
    <t>Ficha salarial anual COM PENSÃO (25%)</t>
  </si>
  <si>
    <t>Base c/ pensão</t>
  </si>
  <si>
    <t>Ficha salarial anual COM PENSÃO (20%)</t>
  </si>
  <si>
    <t>Bruto</t>
  </si>
  <si>
    <t>16/06/2021 a 31/12/2023</t>
  </si>
  <si>
    <t>01/01/2024 a</t>
  </si>
  <si>
    <t>Resgate caixinha</t>
  </si>
  <si>
    <t>Taxa renovação CNH</t>
  </si>
  <si>
    <t>Estacionamento ultrassonografia Joise</t>
  </si>
  <si>
    <t>Caixinha NU (poupança)</t>
  </si>
  <si>
    <t>Barril heineken 5 litros (presente Eduardo)</t>
  </si>
  <si>
    <t>Caixinha cerveja praia Santos</t>
  </si>
  <si>
    <t>Salário 2023 - abr/23 a Fev/24</t>
  </si>
  <si>
    <t>Juros Caixinhas NU</t>
  </si>
  <si>
    <t>Almoço(lanche)</t>
  </si>
  <si>
    <t>Pré Treino Bone Crusher Black Skull 300g</t>
  </si>
  <si>
    <t>Churras funcionarios Repume (08/03/24)</t>
  </si>
  <si>
    <t>Escoramento casa (porão + escada)</t>
  </si>
  <si>
    <t>Cabo USB carregador Samsung S20 fe</t>
  </si>
  <si>
    <t>Película celular Samsung S20 fe</t>
  </si>
  <si>
    <t>Piso casa</t>
  </si>
  <si>
    <t>Reboco</t>
  </si>
  <si>
    <t>Gesso</t>
  </si>
  <si>
    <t>Expectativa</t>
  </si>
  <si>
    <t>abril/23 á fev/24</t>
  </si>
  <si>
    <t>Conserto carro Vera (bati a porta na lateral do carro dela após escorregar em novembro/23) 640,00 em 3x - 3/3</t>
  </si>
  <si>
    <t>Salário Março / 2024</t>
  </si>
  <si>
    <t>Depósito FGTS Março / 2024</t>
  </si>
  <si>
    <t>FINALIDADE</t>
  </si>
  <si>
    <t>ESCADA</t>
  </si>
  <si>
    <t>ARAME RECOZIDO</t>
  </si>
  <si>
    <t>UN'</t>
  </si>
  <si>
    <t>KG</t>
  </si>
  <si>
    <t>BARRA FERRO 6,3 MM</t>
  </si>
  <si>
    <t>LAJOTA CERAMICA P/ LAJE</t>
  </si>
  <si>
    <t>MADEIRA SARRAFO 15 (3 METROS)</t>
  </si>
  <si>
    <t>MADEIRA TABUA 20 (3 METROS)</t>
  </si>
  <si>
    <t>PREGO POLIDO 18X27</t>
  </si>
  <si>
    <t>VIGA P/ LAJE TRELIÇADA</t>
  </si>
  <si>
    <t>Exame médico renovação CNH</t>
  </si>
  <si>
    <t>Santander</t>
  </si>
  <si>
    <t>Juros banco</t>
  </si>
  <si>
    <t>Inter</t>
  </si>
  <si>
    <t>Solicitado</t>
  </si>
  <si>
    <t>Retido</t>
  </si>
  <si>
    <t>juros ao mês</t>
  </si>
  <si>
    <t>juros ao ano</t>
  </si>
  <si>
    <t>juros efetivos</t>
  </si>
  <si>
    <t>Banco</t>
  </si>
  <si>
    <t>5 anos</t>
  </si>
  <si>
    <t>solicitado</t>
  </si>
  <si>
    <t>Fundo construção</t>
  </si>
  <si>
    <t>Antecipação saque aniversário (Empréstimo FGTS Santander)</t>
  </si>
  <si>
    <t>Depósito Alexandre fundo construção</t>
  </si>
  <si>
    <t>SANTANDER</t>
  </si>
  <si>
    <t>NUBANK</t>
  </si>
  <si>
    <t>Material FUNDAÇÃO (PORÃO + ESCADA)</t>
  </si>
  <si>
    <t>dividido com Eduardo</t>
  </si>
  <si>
    <t>Meu custo efetivo</t>
  </si>
  <si>
    <t>Depósito Joise fundo construção</t>
  </si>
  <si>
    <t>Juros Antecipação saque aniversário (Empréstimo FGTS Santander)</t>
  </si>
  <si>
    <t>IOF saque aniversário (Empréstimo FGTS Santander)</t>
  </si>
  <si>
    <t>Creatina Black Skull 300gr 2 unidades 2/2</t>
  </si>
  <si>
    <t>3.000,00 dividido com Eduardo 1.500,00 cada</t>
  </si>
  <si>
    <t>Empréstimo antecipação Saque aniversário FGTS</t>
  </si>
  <si>
    <t>Pedágio levar bella e Kauan Diadema</t>
  </si>
  <si>
    <t>Pedágio buscar bella e Kauan Diadema</t>
  </si>
  <si>
    <t>MURO PORÃO</t>
  </si>
  <si>
    <t>BLOCO DE 20</t>
  </si>
  <si>
    <t>AREIA MEDIA</t>
  </si>
  <si>
    <t>MT</t>
  </si>
  <si>
    <t>CIMENTO VOTORAN</t>
  </si>
  <si>
    <t>MODO PAGTO.</t>
  </si>
  <si>
    <t>CRÉDITO NUBANK</t>
  </si>
  <si>
    <t>EDUARDO A VISTA</t>
  </si>
  <si>
    <t>CRÉDITO NUBANK 2X</t>
  </si>
  <si>
    <t>Uber buscar carro SP Market</t>
  </si>
  <si>
    <t>Estacionamento SP Market</t>
  </si>
  <si>
    <t>DEPÓSITO</t>
  </si>
  <si>
    <t>KAORA</t>
  </si>
  <si>
    <t xml:space="preserve">LAJES LEVE </t>
  </si>
  <si>
    <t>FUNDAÇÃO PORÃO</t>
  </si>
  <si>
    <t>5 VIGAS 3 MT 6 FERROS (ESTIVO 10X20)</t>
  </si>
  <si>
    <t>3 COLUNAS DE 4 MT NORMAL</t>
  </si>
  <si>
    <t>SAPATA 50X50 8 FERROS</t>
  </si>
  <si>
    <t>Conserto cano agua onix (cano + aditivo + mão de obra) 1/2</t>
  </si>
  <si>
    <t>Material FUNDAÇÃO (PORÃO + ESCADA) 1/2</t>
  </si>
  <si>
    <t>PENSÃO 2023</t>
  </si>
  <si>
    <t>Cesta aniversario Erika (mãe que pediu)</t>
  </si>
  <si>
    <t>MAT</t>
  </si>
  <si>
    <t>MO</t>
  </si>
  <si>
    <t>PIX</t>
  </si>
  <si>
    <t>Renda diária (liquido R$ 4.765,07/30)</t>
  </si>
  <si>
    <t>Material FUNDAÇÃO (PORÃO + ESCADA) 2/2</t>
  </si>
  <si>
    <t>Conserto cano agua onix (cano + aditivo + mão de obra) 2/2</t>
  </si>
  <si>
    <t>MATERIAL</t>
  </si>
  <si>
    <t>Depósito fundo construção (economia)</t>
  </si>
  <si>
    <t>Data compra</t>
  </si>
  <si>
    <t>Eduardo (a vista)</t>
  </si>
  <si>
    <t>Crédito 2x</t>
  </si>
  <si>
    <t>Vencimento cartão (20/03/24)</t>
  </si>
  <si>
    <t>Vencimento cartão (20/04/24)</t>
  </si>
  <si>
    <t>BASE MÉDIA POR DIA (SEM CONSTRUÇÃO)</t>
  </si>
  <si>
    <t xml:space="preserve">Resgate fundo construção </t>
  </si>
  <si>
    <t>Sacos lixo grande (4 unidades)</t>
  </si>
  <si>
    <t>Resgate Tesouro Direto</t>
  </si>
  <si>
    <t>Depósito caixinha NU (Economias)</t>
  </si>
  <si>
    <t>Poupança (caixinha NU)</t>
  </si>
  <si>
    <t>Economias (caixinha NU)</t>
  </si>
  <si>
    <t>ENCANAMENTO</t>
  </si>
  <si>
    <t>TUBO PVC 4 POLEGADAS</t>
  </si>
  <si>
    <t>COTOVELO</t>
  </si>
  <si>
    <t>Sorvetes (meu, kauan, bella)</t>
  </si>
  <si>
    <t>Pastel (meu , bruna , kauan)</t>
  </si>
  <si>
    <t>não teve cobrança ????</t>
  </si>
  <si>
    <t>Jogo de cabo e velas Bosch</t>
  </si>
  <si>
    <t>Kit troca óleo (4 litros + filtro) 1/2</t>
  </si>
  <si>
    <t>TABUAS 30 (3 METROS)</t>
  </si>
  <si>
    <t>ALEXANDRE A VISTA</t>
  </si>
  <si>
    <t>Alexandre (a vista)</t>
  </si>
  <si>
    <t>Material (48 metros tabua 30 + arame + prego)</t>
  </si>
  <si>
    <t>CUSTO INDIVIDUAL (ALEXANDRE E EDUARDO)</t>
  </si>
  <si>
    <t>Pago a vista</t>
  </si>
  <si>
    <t>Modo Pagto.</t>
  </si>
  <si>
    <t xml:space="preserve"> COMPRA MATERIAL (PORÃO + ESCADA)</t>
  </si>
  <si>
    <t>Liquido arrefecimento paraflu</t>
  </si>
  <si>
    <t>Geladeira Brastemp BRE57AK frost free - EDUARDO IRÁ PAGAR 1/5</t>
  </si>
  <si>
    <t>diferença Du pagou a vista no pix</t>
  </si>
  <si>
    <t>Fatura Março/24 - Vencimento 22/04/24 - R$ 5.600,00 santander  R$ 11.000,00 Nubank = 16.600,00</t>
  </si>
  <si>
    <t>Limite Santander</t>
  </si>
  <si>
    <t>Limite Nubank</t>
  </si>
  <si>
    <t>Saldo devedor Santander</t>
  </si>
  <si>
    <t>Saldo devedor Nubank</t>
  </si>
  <si>
    <t>Saldo Disponivel Santander</t>
  </si>
  <si>
    <t>Saldo Disponivel Nubank</t>
  </si>
  <si>
    <t>Total Fatura Santander</t>
  </si>
  <si>
    <t>Total Fatura Nubank</t>
  </si>
  <si>
    <t>TOTAL GERAL</t>
  </si>
  <si>
    <t>Fatura Abril/24 - Vencimento 22/05/24 - R$ 5.600,00 santander  R$ 11.000,00 Nubank = 16.600,00</t>
  </si>
  <si>
    <t>Kit troca óleo (4 litros + filtro) 2/2</t>
  </si>
  <si>
    <t>Geladeira Brastemp BRE57AK frost free - EDUARDO IRÁ PAGAR 2/5</t>
  </si>
  <si>
    <t>3 COLUNAS DE 4 METROS 6 FERROS ESTRIBOS 10 X 20</t>
  </si>
  <si>
    <t>3 VIGAS COM 6 METROS COM 6 FERROS ESTRIBO 10 X 20</t>
  </si>
  <si>
    <t>km carro??</t>
  </si>
  <si>
    <t>Mão de Obra troca óleo + filtro + cabos e velas (mecanico Gil)</t>
  </si>
  <si>
    <t xml:space="preserve">Conserto cano agua onix (cano + aditivo + mão de obra) </t>
  </si>
  <si>
    <t>MEU CUSTO</t>
  </si>
  <si>
    <t>Ajuda mãe UBER</t>
  </si>
  <si>
    <t>Queijo minas Jacutinga</t>
  </si>
  <si>
    <t>Doce leite minas Jacutinga</t>
  </si>
  <si>
    <t>Parte 1 Mão de obra Luiz (escada+porão) 1.500,00 - 550,00 joise = meu custo 950,00</t>
  </si>
  <si>
    <t>Parte 2 Mão de obra Luiz (escada+porão) 1.500,00 - 550,00 joise = meu custo 950,00</t>
  </si>
  <si>
    <t>PARTE 1 MÃO DE OBRA LUIZ</t>
  </si>
  <si>
    <t>PARTE 2 MÃO DE OBRA LUIZ</t>
  </si>
  <si>
    <t>Robux Bella</t>
  </si>
  <si>
    <t>Presente niver mãe Bella (ovo páscoa)</t>
  </si>
  <si>
    <t>Vencimento cartão (20/05/24)</t>
  </si>
  <si>
    <t>Pago fatura anterior</t>
  </si>
  <si>
    <t>Material FUNDAÇÃO (FERRAGEM PORÃO + ESCADA) 1/2</t>
  </si>
  <si>
    <t>Material (1 metro areia, 1/2 pedra 5 cimentos, 200 blocos de 15)</t>
  </si>
  <si>
    <t>1.270,00 dividido com Eduardo 635,00 cada</t>
  </si>
  <si>
    <t>ALEXANDRE/EDUARDO A VISTA</t>
  </si>
  <si>
    <t>BLOCO DE 15</t>
  </si>
  <si>
    <t>Saco lixo + interruptor lampada,tomada quarto</t>
  </si>
  <si>
    <t>560,00 dividido com Eduardo 280,00 cada</t>
  </si>
  <si>
    <t>Ovo Páscoa Bella (barbie bailarina 166 gr)</t>
  </si>
  <si>
    <t>Ovo Páscoa Kauan (hotweels 166 gr)</t>
  </si>
  <si>
    <t>Chocolate Joise</t>
  </si>
  <si>
    <t>Parte 3 Mão de obra Luiz (escada+porão) 1.500,00 - 550,00 joise = meu custo 950,00</t>
  </si>
  <si>
    <t>Coisas feijoada casa Joise</t>
  </si>
  <si>
    <t>Pedágio Ultrassom Joise</t>
  </si>
  <si>
    <t>PARTE 3 MÃO DE OBRA LUIZ</t>
  </si>
  <si>
    <t>santander</t>
  </si>
  <si>
    <t>nubank</t>
  </si>
  <si>
    <t>Trabalho Art frutt</t>
  </si>
  <si>
    <t>Trabalho Art Frutt (caixinha NU)</t>
  </si>
  <si>
    <t>Acertado recebimento toda segunda</t>
  </si>
  <si>
    <t>Material (5 sacos cimento)</t>
  </si>
  <si>
    <t>182,00 dividido com Eduardo 91,00 cada</t>
  </si>
  <si>
    <t>PIX ALEXANDRE/EDUARDO A VISTA</t>
  </si>
  <si>
    <t>Trabalho Art Frutt</t>
  </si>
  <si>
    <t>1 COLUNAS DE 2 METROS ESTRIBOS 10 X 20</t>
  </si>
  <si>
    <t>96,00 dividido com Eduardo 48,00 cada</t>
  </si>
  <si>
    <t>Material (1 coluna 2 metros)</t>
  </si>
  <si>
    <t>CANOS, TE, PREGO</t>
  </si>
  <si>
    <t>130,00 dividido com Eduardo 65,00 cada</t>
  </si>
  <si>
    <t>484,90 dividido com Eduardo 242,45 cada</t>
  </si>
  <si>
    <t>Material (1 metro areia, 1/2 pedra, 5 cimentos)</t>
  </si>
  <si>
    <t>1.500,00 dividido com Eduardo 750,00 cada</t>
  </si>
  <si>
    <t>Du pagou</t>
  </si>
  <si>
    <t>Conta Luz Março / 2024</t>
  </si>
  <si>
    <t>Conta Agua Março / 2024</t>
  </si>
  <si>
    <t>2 VIGAS BALDRAME 5 METROS ESTRIBO 15X20 COM 6 FERROS</t>
  </si>
  <si>
    <t>CUSTO FUNDAÇÃO (PORÃO + ESCADA)</t>
  </si>
  <si>
    <t xml:space="preserve">Cervejas  </t>
  </si>
  <si>
    <t>Coisas hot dog</t>
  </si>
  <si>
    <t>Janeiro/ 2024</t>
  </si>
  <si>
    <t>Fevereiro/ 2024</t>
  </si>
  <si>
    <t>Março/ 2024</t>
  </si>
  <si>
    <t>Sintra + pincel Vonnix (limpeza interna carro)</t>
  </si>
  <si>
    <t>Lampada inteligente Ekaza</t>
  </si>
  <si>
    <t>Churraco niver Lindomar (empresa)</t>
  </si>
  <si>
    <t>km</t>
  </si>
  <si>
    <t>próxima troca</t>
  </si>
  <si>
    <t>Salário Abril / 2024</t>
  </si>
  <si>
    <t>Depósito FGTS Abril / 2024</t>
  </si>
  <si>
    <t>Conta Luz Abril / 2024</t>
  </si>
  <si>
    <t>Game pass 1 mês (game safari) conta primária</t>
  </si>
  <si>
    <t>Parte 4 Mão de obra Luiz (escada+porão) 750,00 - 650,00 joise = meu custo 100,00</t>
  </si>
  <si>
    <t>2 cocadas</t>
  </si>
  <si>
    <t>Terminar subir paredes sala, cozinha, banheiro</t>
  </si>
  <si>
    <t>CUSTO FECHAR PAREDES/COLUNAS (SALA, COZINHA, BANHEIRO)</t>
  </si>
  <si>
    <t>PAREDES/COLUNAS</t>
  </si>
  <si>
    <t>Etapas</t>
  </si>
  <si>
    <t>F-referente março/24, não foi cobrado na fatura do mês</t>
  </si>
  <si>
    <t>Simeticona Mãe</t>
  </si>
  <si>
    <t>Fatura Cartão Santander Março / 2024</t>
  </si>
  <si>
    <t>Fatura Cartão NUbank Março / 2024</t>
  </si>
  <si>
    <t>Resgate fundo construção (material porão/escada cartão nubank)</t>
  </si>
  <si>
    <t>Valor Entrada</t>
  </si>
  <si>
    <t>Valor Saída</t>
  </si>
  <si>
    <t>Entradas</t>
  </si>
  <si>
    <t>Saldo atual</t>
  </si>
  <si>
    <t>saque aniversário antecipado</t>
  </si>
  <si>
    <t>saldo real</t>
  </si>
  <si>
    <t>Material FUNDAÇÃO (FERRAGEM PORÃO + ESCADA) 2/2</t>
  </si>
  <si>
    <t>Geladeira Brastemp BRE57AK frost free - EDUARDO IRÁ PAGAR 3/5</t>
  </si>
  <si>
    <t>Sorvetes Villa lobos</t>
  </si>
  <si>
    <t>Cartão de Crédito Fatura Fevereiro/24 - Vencimento 22/03/24 - Limite R$ 5.600,00</t>
  </si>
  <si>
    <t>Transferência Art frutt p/ fundo construção</t>
  </si>
  <si>
    <t xml:space="preserve">1 COLUNA 4 METROS COM 6 FERROS 3/8 (ESTRIBO) 9X15 </t>
  </si>
  <si>
    <t xml:space="preserve">3 COLUNAS 4 METROS COM 4 FERROS 3/8 (ESTRIBO) 9X15 </t>
  </si>
  <si>
    <t xml:space="preserve">3 COLUNAS 4 METROS COM 6 FERROS 3/8 (ESTRIBO) 9X15 </t>
  </si>
  <si>
    <t>2 BARRAS DE FERRO 3/8 (12 METROS)</t>
  </si>
  <si>
    <t>DESCONTO FERRAGEM</t>
  </si>
  <si>
    <t>Material levantar paredes (ferragem, colunas)</t>
  </si>
  <si>
    <t>EMBU COLUNAS</t>
  </si>
  <si>
    <t>Movimentações Fundo construção</t>
  </si>
  <si>
    <t>Aula capoeira Isabella</t>
  </si>
  <si>
    <t>Kit 4 regatas academia (mercado livre)</t>
  </si>
  <si>
    <t>Presente dia das mães (MOTO G04 grafite) dividido com Bruna 1/6</t>
  </si>
  <si>
    <t>Material levantar paredes (5 cimentos)</t>
  </si>
  <si>
    <t>Material levantar paredes (coluna 4 metros 6 ferros)</t>
  </si>
  <si>
    <t>Material Paredes (1000 tijolos+1 metro areia+pedra) 1/2</t>
  </si>
  <si>
    <t>A VISTA PIX</t>
  </si>
  <si>
    <t>CARTÃO NU ( 2 VEZES)</t>
  </si>
  <si>
    <t>LEVE FORTE</t>
  </si>
  <si>
    <t>Barra camisetas regatas (4)</t>
  </si>
  <si>
    <t xml:space="preserve">Parte 1 Mão de obra Luiz (paredes+colunas casa) </t>
  </si>
  <si>
    <t>Canos</t>
  </si>
  <si>
    <t>Aluguel andaime (levantamento paredes, tirar telhas)</t>
  </si>
  <si>
    <t>BOLETO P/  21/05/24</t>
  </si>
  <si>
    <t>ALUGUEL ANDAIME (INTERLOC)</t>
  </si>
  <si>
    <t>CONSERTO CANOS</t>
  </si>
  <si>
    <t>INTERLOC</t>
  </si>
  <si>
    <t>PARTE 4 MÃO DE OBRA LUIZ</t>
  </si>
  <si>
    <t>233,75</t>
  </si>
  <si>
    <t xml:space="preserve">Parte 2 Mão de obra Luiz (paredes+colunas casa) </t>
  </si>
  <si>
    <t>CARTÃO</t>
  </si>
  <si>
    <t>Presente dia das mães (MOTO G04 grafite) dividido com Bruna 2/6</t>
  </si>
  <si>
    <t>Material Paredes (1000 tijolos+1 metro areia+pedra) 2/2</t>
  </si>
  <si>
    <t>Mensalidade Internet (450MB - R$ 100,00)</t>
  </si>
  <si>
    <t>Material levantar paredes (4 cimentos)</t>
  </si>
  <si>
    <t>LAJE</t>
  </si>
  <si>
    <t>Depósito Alexandre fundo construção (restituição IR 2023)</t>
  </si>
  <si>
    <t>AREIA MEDIA JACAREI (MÉDIA P/GROSSA)</t>
  </si>
  <si>
    <t>Material levantar paredes (Meio metro areia jacarei)</t>
  </si>
  <si>
    <t>Material levantar paredes (meio metro areia jacarei)</t>
  </si>
  <si>
    <t>Material levantar paredes (Meio metro areia jacarei+200 tijolos)</t>
  </si>
  <si>
    <t>200 TIJOLOS 6 FUROS</t>
  </si>
  <si>
    <t>Mensalidade internet Celular - VIVO (40,00)</t>
  </si>
  <si>
    <t xml:space="preserve">Parte 3 Mão de obra Luiz (paredes+colunas casa) </t>
  </si>
  <si>
    <t>Material levantar paredes (2 cimentos)</t>
  </si>
  <si>
    <t>Laje casa de cima</t>
  </si>
  <si>
    <t>Laje porão/lavanderia</t>
  </si>
  <si>
    <t>Caneca  personalizada (Raquel) dia mães</t>
  </si>
  <si>
    <t>Caneca  personalizada (Joise) dia mães</t>
  </si>
  <si>
    <t>Salário Maio / 2024</t>
  </si>
  <si>
    <t>Conta Luz Maio / 2024</t>
  </si>
  <si>
    <t>Depósito FGTS Maio / 2024</t>
  </si>
  <si>
    <t>Fatura Cartão Crédito Maio / 2024</t>
  </si>
  <si>
    <t>Conta Agua Maio / 2024</t>
  </si>
  <si>
    <t>Conta Agua Abril / 2024</t>
  </si>
  <si>
    <t>Abril/ 2024</t>
  </si>
  <si>
    <t>Maio/ 2024</t>
  </si>
  <si>
    <t>Junho/ 2024</t>
  </si>
  <si>
    <t>Camisa vinho + 1 cueca vermelha + 1 cueca verde  1/2</t>
  </si>
  <si>
    <t>EMBU COLUNA</t>
  </si>
  <si>
    <t>VIGA 4,50 MT C/7 FERROS 15CM ESTRIBO 11X25 (8 UNIDADES)</t>
  </si>
  <si>
    <t>VIGA 7,50 MT C/4 FERROS ESTRIBO 9X20 (4 UNIDADES)</t>
  </si>
  <si>
    <t xml:space="preserve"> CUSTO LAJE CASA DE CIMA E PORÃO/LAVANDERIA</t>
  </si>
  <si>
    <t>Material levantar paredes (pregos, arames)</t>
  </si>
  <si>
    <t>PREGOS, ARAMES</t>
  </si>
  <si>
    <t>BARRA DE FERRO 3/8</t>
  </si>
  <si>
    <t>2 X CARTÃO NUBANK</t>
  </si>
  <si>
    <t>Material LAJE (ferragem 8 vigas 4,5mt + 4 vigas 7,5 + barra ferro) 1/2</t>
  </si>
  <si>
    <t xml:space="preserve">Parte 4 Mão de obra Luiz (paredes+colunas casa) </t>
  </si>
  <si>
    <t>Tomada</t>
  </si>
  <si>
    <t>Resgate Economias (para fundo construção)</t>
  </si>
  <si>
    <t>Pedágio ultrassom Isadora</t>
  </si>
  <si>
    <t>Fatura Cartão Santander Abril / 2024</t>
  </si>
  <si>
    <t>Fatura Cartão NUbank Abril / 2024</t>
  </si>
  <si>
    <t>Fatura Maio/24 - Vencimento 22/06/24 - R$ 5.600,00 santander  R$ 11.000,00 Nubank = 16.600,00</t>
  </si>
  <si>
    <t>Fatura Junho/24 - Vencimento 22/07/24 - R$ 5.600,00 santander  R$ 11.000,00 Nubank = 16.600,00</t>
  </si>
  <si>
    <t>Geladeira Brastemp BRE57AK frost free - EDUARDO IRÁ PAGAR 4/5</t>
  </si>
  <si>
    <t>Material LAJE (ferragem 8 vigas 4,5mt + 4 vigas 7,5 + barra ferro) 2/2</t>
  </si>
  <si>
    <t>Presente dia das mães (MOTO G04 grafite) dividido com Bruna 3/6</t>
  </si>
  <si>
    <t>200,00 (dividido com eduardo)</t>
  </si>
  <si>
    <t>Material laje (aluguel escoras 4,5 mt)</t>
  </si>
  <si>
    <t>Aluguel 8 escoras 4,50 mt laje de cima</t>
  </si>
  <si>
    <t>ESCORAMENTO LAJE</t>
  </si>
  <si>
    <t>ENCHER VIGAS LAJE</t>
  </si>
  <si>
    <t>TABUAS DE 15 (3 METROS) - 42 METROS</t>
  </si>
  <si>
    <t>TABUAS DE 30 (3 METROS) - 25 UNIDADES</t>
  </si>
  <si>
    <t>PONTALETES 3 METROS</t>
  </si>
  <si>
    <t>PREGO POLIDO 17 X 21</t>
  </si>
  <si>
    <t>Material LAJE (tabuas + escoramentos + prego + arame) 1/2</t>
  </si>
  <si>
    <t>Material LAJE (tabuas + escoramentos + prego + arame) 2/2</t>
  </si>
  <si>
    <t>Camisa vinho + 1 cueca vermelha + 1 cueca verde  2/2</t>
  </si>
  <si>
    <t xml:space="preserve">Parte 1 Mão de obra Luiz (escoramento + laje casa de cima e lavanderia) </t>
  </si>
  <si>
    <t>Material laje (pregos)</t>
  </si>
  <si>
    <t>Material laje (1 coluna 3 metros 9x15)</t>
  </si>
  <si>
    <t>2.000,00 (dividido com eduardo)</t>
  </si>
  <si>
    <t>90,00 (dividido com eduardo)</t>
  </si>
  <si>
    <t>70,00 (dividido com eduardo)</t>
  </si>
  <si>
    <t>Material laje (pregos aço)</t>
  </si>
  <si>
    <t>Déficit</t>
  </si>
  <si>
    <t>Superavit</t>
  </si>
  <si>
    <t>PREGOS AÇO</t>
  </si>
  <si>
    <t>COLUNA 3 METROS (9X15)</t>
  </si>
  <si>
    <t>CUSTO INDIVIDUAL (DIVIDIDO ALEXANDRE E EDUARDO)</t>
  </si>
  <si>
    <t>AREIA JACAREI MEDIA</t>
  </si>
  <si>
    <t>PEDRA (PEDRISCO)</t>
  </si>
  <si>
    <t>Material laje (1 metro areia, 1 metro pedra, 6 cimentos)</t>
  </si>
  <si>
    <t>687,20 (dividido com eduardo)</t>
  </si>
  <si>
    <t>Festa Junina (casa Odair)</t>
  </si>
  <si>
    <t>Alcool + tanquinho partida frio</t>
  </si>
  <si>
    <t xml:space="preserve">Parte 2 Mão de obra Luiz (escoramento + laje casa de cima e lavanderia) </t>
  </si>
  <si>
    <t>Outros</t>
  </si>
  <si>
    <t>Estacionamento pq. Vila lobos</t>
  </si>
  <si>
    <t>Agua + refri pq vila lobos</t>
  </si>
  <si>
    <t>Saidas</t>
  </si>
  <si>
    <t>Saldo mês</t>
  </si>
  <si>
    <t>310,00 dividido com eduardo</t>
  </si>
  <si>
    <t>Material laje (arames, canos)</t>
  </si>
  <si>
    <t>Material (alugel 4 escoras de ferro 4,5 mt)</t>
  </si>
  <si>
    <t>100,00 (dividido com eduardo)</t>
  </si>
  <si>
    <t>ARAME RECOZIDO + CANOS LAJE</t>
  </si>
  <si>
    <t>4 Calotas Esportiva Spider aro 15 Ônix (estilo diamantada)  1/3</t>
  </si>
  <si>
    <t>4 Calotas Esportiva Spider aro 15 Ônix (estilo diamantada)  2/3</t>
  </si>
  <si>
    <t>Material (aluguel 4 escoras de ferro 4,5 mt)</t>
  </si>
  <si>
    <t>Baterias controles portão e carro</t>
  </si>
  <si>
    <t>ALUGUEL ANDAIME (INTERLOC) - renovação + 30 dias</t>
  </si>
  <si>
    <t>Material laje (4 cimentos)</t>
  </si>
  <si>
    <t>144,80 (dividido com eduardo)</t>
  </si>
  <si>
    <t>Aluguel andaime (encher vigas e madeiramento)</t>
  </si>
  <si>
    <t>Julho/ 2024</t>
  </si>
  <si>
    <t>paga por eduardo</t>
  </si>
  <si>
    <t>COISAS PARA A ISABELLA - SETEMBRO 2014</t>
  </si>
  <si>
    <t>COISAS PARA A ISADORA - SETEMBRO 2024</t>
  </si>
  <si>
    <t>Festa Junina Bella</t>
  </si>
  <si>
    <t xml:space="preserve">Parte 3 Mão de obra Luiz (escoramento + laje casa de cima e lavanderia) </t>
  </si>
  <si>
    <t>Material laje (2 cimentos)</t>
  </si>
  <si>
    <t>65,00 (dividido com eduardo)</t>
  </si>
  <si>
    <t>dividido com eduardo</t>
  </si>
  <si>
    <t>Vencimento cartão (20/07/24)</t>
  </si>
  <si>
    <t>EQUIPAMENTO</t>
  </si>
  <si>
    <t>ALUGUEL EQUIPAMENTOS (INTERLOC)</t>
  </si>
  <si>
    <t>ANDAIME</t>
  </si>
  <si>
    <t>8 ESCORAS FERRO 4,5MT</t>
  </si>
  <si>
    <t>RENOVA</t>
  </si>
  <si>
    <t>renovação</t>
  </si>
  <si>
    <t>4 ESCORAS FERRO 4,5MT</t>
  </si>
  <si>
    <t>Depósito fundo construção (poupança)</t>
  </si>
  <si>
    <t>Depósito fundo construção</t>
  </si>
  <si>
    <t xml:space="preserve">Parte 4 Mão de obra Luiz (escoramento + laje casa de cima e lavanderia) </t>
  </si>
  <si>
    <t>Brinquedo Bella Shopping</t>
  </si>
  <si>
    <t>Adiantamento Junho/2024</t>
  </si>
  <si>
    <t>DESCRIÇÃO</t>
  </si>
  <si>
    <t>Eduardo pagou a vista 5.100,00 material laje (vigotas,lajotas,malha POP,barras ferro)</t>
  </si>
  <si>
    <t>Paguei 1.000,00 Luiz (500,00 meu 500,00 Eduardo)</t>
  </si>
  <si>
    <t>Cabo USB carregador cel</t>
  </si>
  <si>
    <t>Salário Junho / 2024</t>
  </si>
  <si>
    <t>Conta Luz Junho / 2024</t>
  </si>
  <si>
    <t>Conta Agua Junho / 2024</t>
  </si>
  <si>
    <t>Fatura Cartão Crédito Junho / 2024</t>
  </si>
  <si>
    <t>Material laje (2 cimentos + pregos)</t>
  </si>
  <si>
    <t>140,00 (dividido com eduardo)</t>
  </si>
  <si>
    <t>Material laje (2 cimentos+pregos)</t>
  </si>
  <si>
    <t>PREGOS</t>
  </si>
  <si>
    <t>LAJE TRELIÇADA H8</t>
  </si>
  <si>
    <t>BARRA FERRO 3/8</t>
  </si>
  <si>
    <t>MALHA POP FERRO 2/3 (10X10)</t>
  </si>
  <si>
    <t>VIGA PRA LAJE  4,5MT</t>
  </si>
  <si>
    <t>DESCONTO A VISTA-PIX</t>
  </si>
  <si>
    <t>(EDUARDO PAGOU A VISTA, MINHA PARTE 2.550,00 FICOU COMBINADO DE EU IR ABATENDO COM OUTRAS DESPESAS)</t>
  </si>
  <si>
    <t>FORCADO SIMPLES</t>
  </si>
  <si>
    <t>VIGA SANDUICHE 2 MTS</t>
  </si>
  <si>
    <t>BOLETO 21 DIAS</t>
  </si>
  <si>
    <t>Material laje (2 rolo 50 mts conduite+6 caixas luz+luvas conduite)</t>
  </si>
  <si>
    <t>CONDUITE CONRRUGADO 25MM 3/4 (50 MTS)</t>
  </si>
  <si>
    <t>SUPORTE LUZ (PRETO)</t>
  </si>
  <si>
    <t>Resgate fundo construção (despesas cartão)</t>
  </si>
  <si>
    <t>Alcool (100,00 - desc. Shell 4,42) - 15,00 reembolso repume</t>
  </si>
  <si>
    <t>LUVA P/ CONDUÍTE</t>
  </si>
  <si>
    <t>Depósito fundo construção (adto)</t>
  </si>
  <si>
    <t>Fatura Julho/24 - Vencimento 22/08/24 - R$ 5.600,00 santander  R$ 11.000,00 Nubank = 16.600,00</t>
  </si>
  <si>
    <t>Geladeira Brastemp BRE57AK frost free - EDUARDO IRÁ PAGAR 5/5</t>
  </si>
  <si>
    <t>Presente dia das mães (MOTO G04 grafite) dividido com Bruna 4/6</t>
  </si>
  <si>
    <t>4 Calotas Esportiva Spider aro 15 Ônix (estilo diamantada)  3/3</t>
  </si>
  <si>
    <t>Pipoca doce Joise</t>
  </si>
  <si>
    <t>Remédio gripe</t>
  </si>
  <si>
    <t>CANOS CAIXA DE AGUA</t>
  </si>
  <si>
    <t>PARTE 5 MÃO DE OBRA LUIZ</t>
  </si>
  <si>
    <t xml:space="preserve">Parte 5 Mão de obra Luiz (escoramento + laje casa de cima e lavanderia) </t>
  </si>
  <si>
    <t>Canos caixa de agua</t>
  </si>
  <si>
    <t>Canos de agua</t>
  </si>
  <si>
    <t>Lajona</t>
  </si>
  <si>
    <t>15x4,50</t>
  </si>
  <si>
    <t>Lajinha</t>
  </si>
  <si>
    <t>3x1,5</t>
  </si>
  <si>
    <t>Laje de cima</t>
  </si>
  <si>
    <t>4,50x5,50</t>
  </si>
  <si>
    <t>Parte 5 mão de Obra Luiz (valor pago 1.000,00)</t>
  </si>
  <si>
    <t>Canos caixa de agua (valor pago 90,00)</t>
  </si>
  <si>
    <t>Material LAJE lavanderia (Vigas + lajotas + mangueira 25mt) 1/3</t>
  </si>
  <si>
    <t>Material LAJE lavanderia (Vigas + lajotas + mangueira 25mt) 2/3</t>
  </si>
  <si>
    <t>Concreto usinado 10m3 + Bomba 2/6</t>
  </si>
  <si>
    <t>FORCADO DUPLO</t>
  </si>
  <si>
    <t>Medidas LAJES</t>
  </si>
  <si>
    <t>97,00 x 0,10 = 9,70m3 de concreto</t>
  </si>
  <si>
    <t>MANGUEIRA JARDIM 25MT</t>
  </si>
  <si>
    <t>3 X CARTÃO NUBANK</t>
  </si>
  <si>
    <t>CONSTRUMIX</t>
  </si>
  <si>
    <t>CONCRETO USINADO 3MT3 (LAJE CASA DE CIMA)</t>
  </si>
  <si>
    <t>CONCRETO USINADO 7MT3 (LAJE CASA DE CIMA)</t>
  </si>
  <si>
    <t>6 X CARTÃO NUBANK</t>
  </si>
  <si>
    <t>Ônix (correia elastica+correia alternador+M.O GIL)</t>
  </si>
  <si>
    <t>Correia elástica</t>
  </si>
  <si>
    <t>Correia elástica alternador</t>
  </si>
  <si>
    <t>Mão de obra (GIL)</t>
  </si>
  <si>
    <t xml:space="preserve">4 Calotas Esportiva Spider aro 15 Ônix (estilo diamantada)  </t>
  </si>
  <si>
    <t>Material laje (1 cimento para o dia da concretagem lajes)</t>
  </si>
  <si>
    <t>DIA DA CONCRETAGEM</t>
  </si>
  <si>
    <t>Material Paredes (1 saco cimento)</t>
  </si>
  <si>
    <t>Calça e blusa (troca presente dia namorados Joise-voltei 29,90)</t>
  </si>
  <si>
    <t>Crédito 3x</t>
  </si>
  <si>
    <t>Vencimento cartão (20/08/24)</t>
  </si>
  <si>
    <t>Crédito 6x</t>
  </si>
  <si>
    <t>Vencimento cartão (20/09/24)</t>
  </si>
  <si>
    <t>Vencimento cartão (20/10/24)</t>
  </si>
  <si>
    <t xml:space="preserve">Parte 6 Mão de obra Luiz (escoramento + laje casa de cima e lavanderia) </t>
  </si>
  <si>
    <t>Pedágio (diadema-levar Bella e Kauan)</t>
  </si>
  <si>
    <t>PARTE 7 MÃO DE OBRA LUIZ</t>
  </si>
  <si>
    <t>8 ESCORAS FERRO 4,50MT (ECORAMENTO VIGAS)</t>
  </si>
  <si>
    <t>4 ESCORAS FERRO 4,50MT (ECORAMENTO VIGAS)</t>
  </si>
  <si>
    <t>ESCORAS FERRO 4,50MT (ECORAMENTO LAJE)</t>
  </si>
  <si>
    <t>Depósito FGTS Junho / 2024</t>
  </si>
  <si>
    <t>Vencimento cartão (20/11/24)</t>
  </si>
  <si>
    <t>Vencimento cartão (20/12/24)</t>
  </si>
  <si>
    <t xml:space="preserve">Parte 7 Mão de obra Luiz (escoramento + laje casa de cima e lavanderia) </t>
  </si>
  <si>
    <t>PARTE 6 MÃO DE OBRA LUIZ</t>
  </si>
  <si>
    <t>COMPRAS CARTÃO CRÉDITO (LAJES CASA DE CIMA E LAVANDERIA)</t>
  </si>
  <si>
    <t>MURO GARAGEM</t>
  </si>
  <si>
    <t>BOLETO</t>
  </si>
  <si>
    <t xml:space="preserve">Vencimento </t>
  </si>
  <si>
    <t>Coisas p/casa (mãe-isabella ficou na casa da avó)</t>
  </si>
  <si>
    <t>Vaquinha niver Denise</t>
  </si>
  <si>
    <t>COLUNAS 3 METROS (ESTRIBO 10X15)</t>
  </si>
  <si>
    <t>AREIA MEDIA JACAREI</t>
  </si>
  <si>
    <t>PEDRISCO</t>
  </si>
  <si>
    <t>COLA CASCOREZ 1 KG</t>
  </si>
  <si>
    <t>Conserto pneu Onix</t>
  </si>
  <si>
    <t>Abatido conta luz 280,00 e internet 60,00</t>
  </si>
  <si>
    <t>Pagto empréstimo Eduardo (material laje)</t>
  </si>
  <si>
    <t>Concreto usinado 10m3 + Bomba (CONSTRUMIX) 1/6</t>
  </si>
  <si>
    <t>Pamonha Joise</t>
  </si>
  <si>
    <t>Alcool (60,00 - desc. Shell 4,18)</t>
  </si>
  <si>
    <t>Tiozinho molhar laje</t>
  </si>
  <si>
    <t>dividido com Du (400,00)</t>
  </si>
  <si>
    <t>Tarifa Nubank saque banco 24 horas</t>
  </si>
  <si>
    <t>Pedágio diadema (buscar bella e kauan)</t>
  </si>
  <si>
    <t>129,50 (dividido com Bruna)</t>
  </si>
  <si>
    <t>Venda celular mãe (200,00 dividido com Bruna - 100,00 pra cada)</t>
  </si>
  <si>
    <t>TIOZINHO MOLHAR LAJE</t>
  </si>
  <si>
    <t>antecipado fatura cartão crédito</t>
  </si>
  <si>
    <t>DC-pago em 08/07/24</t>
  </si>
  <si>
    <t>LAJE TRELIÇADA H8 (LAJE LAVANDERIA)</t>
  </si>
  <si>
    <t>Alcool (70,00 - desc. Shell 2,92)</t>
  </si>
  <si>
    <t>M.O</t>
  </si>
  <si>
    <t>ZEZA</t>
  </si>
  <si>
    <t>A VISTA</t>
  </si>
  <si>
    <t>700,00 EDUARDO - 57,00 ALEXANDRE</t>
  </si>
  <si>
    <t>Material paredes laje (2 cimentos)</t>
  </si>
  <si>
    <t>Material paredes laje (1 metro pedrisco, 2 colas, 200 tijolos, 3 cimentos)</t>
  </si>
  <si>
    <t>CARTÃO EDUARDO 2X</t>
  </si>
  <si>
    <t>ALEXANDRE PAGOU</t>
  </si>
  <si>
    <t xml:space="preserve">SALDO DEVEDOR </t>
  </si>
  <si>
    <r>
      <rPr>
        <b/>
        <sz val="10"/>
        <color rgb="FF0000FF"/>
        <rFont val="Arial"/>
        <family val="2"/>
      </rPr>
      <t>POSITIVO</t>
    </r>
    <r>
      <rPr>
        <b/>
        <sz val="10"/>
        <rFont val="Arial"/>
        <family val="2"/>
      </rPr>
      <t xml:space="preserve"> </t>
    </r>
    <r>
      <rPr>
        <b/>
        <sz val="10"/>
        <color rgb="FFFF0000"/>
        <rFont val="Arial"/>
        <family val="2"/>
      </rPr>
      <t>/NEGATIVO</t>
    </r>
  </si>
  <si>
    <t>Compra colunas paredes garagem (1.242,00 dividido por 2) cartão Eduardo</t>
  </si>
  <si>
    <t>Adiantamento Julho/2024</t>
  </si>
  <si>
    <t>Pensão atual</t>
  </si>
  <si>
    <t>SOBRA</t>
  </si>
  <si>
    <t>Ficha salarial anual SEM PENSÃO - ATUAL (01/03/24)</t>
  </si>
  <si>
    <t>Pensão (20%)</t>
  </si>
  <si>
    <t>Pensão (25%)</t>
  </si>
  <si>
    <t>Pensão (0%)</t>
  </si>
  <si>
    <t>CÁLCULO IR COM PENSÃO (20%)</t>
  </si>
  <si>
    <t>R$ 480,00 no dia 07 (pagamento)</t>
  </si>
  <si>
    <t>pensão mensal de R$ 800,00 + 80,00 capoeira</t>
  </si>
  <si>
    <t xml:space="preserve">FAP (1,50%) </t>
  </si>
  <si>
    <t>Sorvete shopping (bella e Joise)</t>
  </si>
  <si>
    <t>Bebidas, salgados e doces cinema (Bella e Joise) Divertidamente 2</t>
  </si>
  <si>
    <t>EDUARDO PAGOU</t>
  </si>
  <si>
    <t xml:space="preserve">Material paredes laje </t>
  </si>
  <si>
    <t>ARAME RECOZIDO 2KG</t>
  </si>
  <si>
    <t>PREGO 17X21</t>
  </si>
  <si>
    <t>COTOVELO 2 POLEGADAS</t>
  </si>
  <si>
    <t>TUBO PVC 6 METROS 2 POLEGADAS</t>
  </si>
  <si>
    <t>TE 2 POLEGADAS</t>
  </si>
  <si>
    <t>COTOVELO 2 POLEGADAS 45 GRAUS</t>
  </si>
  <si>
    <t>REDUÇÃO 2 POLEGADAS</t>
  </si>
  <si>
    <t>ANEL VEDAÇÃO 2 POLEGADAS</t>
  </si>
  <si>
    <t>Ingresssos cinema (Meu , Bella, Joise) Divertidamente 2</t>
  </si>
  <si>
    <t>LAJE BATIDA: 02/07/2024</t>
  </si>
  <si>
    <t>Game Pass assinatura 12 meses 1/12</t>
  </si>
  <si>
    <t>Material paredes garagem laje (3 cimentos)</t>
  </si>
  <si>
    <t>Material paredes garagem laje (canos e tijolos)</t>
  </si>
  <si>
    <t>ALEXANDRE PAGOU (parte pix, parte crédito)</t>
  </si>
  <si>
    <t xml:space="preserve">TABUAS DE 15 (3 METROS) </t>
  </si>
  <si>
    <t>Compra 20 tabuas de 15, 5 cimentos, areia (724,80 dividido por 2) cartão Alexandre</t>
  </si>
  <si>
    <t>Material paredes garagem laje (4 cimentos, 20 sarrafos de 15, 1 metro areia)</t>
  </si>
  <si>
    <t>Material paredes garagem laje (1 metro areia, 20 sarrafos de 15)</t>
  </si>
  <si>
    <t>Hidraulica</t>
  </si>
  <si>
    <t>Eletrica</t>
  </si>
  <si>
    <t>Netflix (R$ 45,00) - Débito automático</t>
  </si>
  <si>
    <t xml:space="preserve">celular mãe </t>
  </si>
  <si>
    <t>Aluguel escoras laje (vide Lajes 19/06/24)</t>
  </si>
  <si>
    <t>Aluguel escoras laje (vide Lajes 27/06/24)</t>
  </si>
  <si>
    <t>1.293,00 (dividido com Eduardo)</t>
  </si>
  <si>
    <t>128,52 (dividido com Eduardo)</t>
  </si>
  <si>
    <t>Depósito Joise fundo construção (abono PIS)</t>
  </si>
  <si>
    <t>Depósito Alexandre fundo construção (adto)</t>
  </si>
  <si>
    <t>Resgate fundo construção (pagar escoras e cartão crédito)</t>
  </si>
  <si>
    <t>Fatura Agosto/24 - Vencimento 22/09/24 - R$ 5.600,00 santander  R$ 11.000,00 Nubank = 16.600,00</t>
  </si>
  <si>
    <t>Presente dia das mães (MOTO G04 grafite) dividido com Bruna 5/6</t>
  </si>
  <si>
    <t>Material LAJE lavanderia (Vigas + lajotas + mangueira 25mt) 3/3</t>
  </si>
  <si>
    <t>Concreto usinado 10m3 + Bomba 3/6</t>
  </si>
  <si>
    <t>MÃO DE OBRA LUIZ PARTE 1</t>
  </si>
  <si>
    <t>MÃO DE OBRA LUIZ PARTE 2</t>
  </si>
  <si>
    <t>Mão obra Luiz paredes Eduardo pagou 1.000,00</t>
  </si>
  <si>
    <t>Material paredes garagem laje (300 tijolos)</t>
  </si>
  <si>
    <t>ALEXANDRE PAGOU PIX</t>
  </si>
  <si>
    <t xml:space="preserve">Compra 300 tijolos Alexandre pagou (360,00 dividido por 2) </t>
  </si>
  <si>
    <t>Material paredes garagem laje (4 cimentos, 1 metro areia)</t>
  </si>
  <si>
    <t xml:space="preserve">Compra 4 cimentos, 1 metro areia Alexandre pagou (388,80 dividido por 2) </t>
  </si>
  <si>
    <t>Alcool (80,00 - desc. Shell 3,17)</t>
  </si>
  <si>
    <t>ANUAL</t>
  </si>
  <si>
    <t>CLT</t>
  </si>
  <si>
    <t>194,40 (dividido com eduardo)</t>
  </si>
  <si>
    <t>Gelo pq Ibirauera</t>
  </si>
  <si>
    <t>Pedágio pq Ibirauera</t>
  </si>
  <si>
    <t>Estacionamento pq Ibirapuera</t>
  </si>
  <si>
    <t>MÃO DE OBRA LUIZ PARTE 3</t>
  </si>
  <si>
    <t>SACO ENTULHO</t>
  </si>
  <si>
    <t>ARAME RECOZIDO 1KG</t>
  </si>
  <si>
    <t>Material paredes garagem laje (2 kg arame, 4 cimentos, 10 saco entulho)</t>
  </si>
  <si>
    <t xml:space="preserve">Compra 4 cimentos, arame, 10 sacos entulho Alexandre pagou (188,40 dividido por 2) </t>
  </si>
  <si>
    <t>Agosto/ 2024</t>
  </si>
  <si>
    <t>Salário Julho / 2024</t>
  </si>
  <si>
    <t>Conta Luz Julho / 2024</t>
  </si>
  <si>
    <t>Depósito FGTS Julho / 2024</t>
  </si>
  <si>
    <t>Adiantamento Agosto/2024</t>
  </si>
  <si>
    <t>Fatura Cartão Crédito Julho / 2024</t>
  </si>
  <si>
    <t>Conta Agua Julho / 2024</t>
  </si>
  <si>
    <t>Termometro (Isadora)</t>
  </si>
  <si>
    <t>F2</t>
  </si>
  <si>
    <t>Filha (Isabella)</t>
  </si>
  <si>
    <t>Filha (Isadora)</t>
  </si>
  <si>
    <t>Pre treino BONE CRUSHER 300gr</t>
  </si>
  <si>
    <t>Espatula INOX</t>
  </si>
  <si>
    <t>Material paredes laje (1/2 metro pedrisco)</t>
  </si>
  <si>
    <t xml:space="preserve">ALEXANDRE PAGOU </t>
  </si>
  <si>
    <t xml:space="preserve">Compra 1/2 metro pedrisco Alexandre pagou (132,50 dividido por 2) </t>
  </si>
  <si>
    <t>Estacionamento ultrasoom (Isadora)</t>
  </si>
  <si>
    <t xml:space="preserve">Pedágio </t>
  </si>
  <si>
    <t>Setembro/ 2024</t>
  </si>
  <si>
    <t>Sessão fotos gravidez Joise (total 350,00 - 150,00 débito)</t>
  </si>
  <si>
    <t>MÃO DE OBRA LUIZ PARTE 4</t>
  </si>
  <si>
    <t>MÃO DE OBRA LUIZ (TIRAR ECORAS)</t>
  </si>
  <si>
    <t>Sapato social preto (JOTAPE nº38) 1/3</t>
  </si>
  <si>
    <t>Troca bateria relógio preto 25,00 + troca vidro patek philippe 90,00</t>
  </si>
  <si>
    <t>Sapato social preto (JOTAPE nº38) 2/3</t>
  </si>
  <si>
    <t>2º ALUGUEL ESCORAS LAJE</t>
  </si>
  <si>
    <t>CUSTO REBOCO PAREDES LAJE</t>
  </si>
  <si>
    <t>AREIA JACAREI FINA</t>
  </si>
  <si>
    <t>Salário 2024 - Mar/24 a Jul/24</t>
  </si>
  <si>
    <t>Renda diária (liquido R$ 5.022,63/30)</t>
  </si>
  <si>
    <t>R$ 6,00 litro * 80 = $ 480,00</t>
  </si>
  <si>
    <t>Gasolina paga REPUME (24,47 x 5,960)</t>
  </si>
  <si>
    <t>Crédito Gasolina</t>
  </si>
  <si>
    <t xml:space="preserve">Compra 1 metro areia fina, 4 cimentos Eduardo pagou (397,60 dividido por 2) </t>
  </si>
  <si>
    <t>R-pago em 06/08/24</t>
  </si>
  <si>
    <t>Benefícios</t>
  </si>
  <si>
    <t>GASOLINA</t>
  </si>
  <si>
    <t>Líquido total</t>
  </si>
  <si>
    <t>DIFERENÇA</t>
  </si>
  <si>
    <t>Academia (R$ 100,00)</t>
  </si>
  <si>
    <t>BOCAL LAMPADA</t>
  </si>
  <si>
    <t>LÂMPADA 30 WATTS</t>
  </si>
  <si>
    <t>ROLO FIO 50MT 2,5MM</t>
  </si>
  <si>
    <t>6 SACOS LIXO REFORÇADO 100LTS</t>
  </si>
  <si>
    <t>Material paredes laje (3 cimentos, 3 lampadas, 3 bocais, 50 mts fio, 6 sacos 100 lts)</t>
  </si>
  <si>
    <t>Aluguel escoras laje (vide Lajes 19/06/24) - RENOVAÇÃO</t>
  </si>
  <si>
    <t>1.393,00 (dividido com Eduardo)</t>
  </si>
  <si>
    <t>dividido com Joise</t>
  </si>
  <si>
    <t>Rifa dona Ana (jogo facas)</t>
  </si>
  <si>
    <t>Combustível (pago pela REPUME)</t>
  </si>
  <si>
    <t>400 Robux Bella</t>
  </si>
  <si>
    <t>M.O Luiz (reboco paredes laje, ligação lâmpadas, tirar escoras) Eduardo pagou 2.200</t>
  </si>
  <si>
    <t>Cimento (nata laje)</t>
  </si>
  <si>
    <t>1 CIMENTO NATA LAJE</t>
  </si>
  <si>
    <t>Película 3D celular</t>
  </si>
  <si>
    <t>Burger King</t>
  </si>
  <si>
    <t>80 lts gasolina a partir 05/08/24</t>
  </si>
  <si>
    <t>Distribuiçao lucro FGTS 2023</t>
  </si>
  <si>
    <t>Dep1</t>
  </si>
  <si>
    <t>Dep2</t>
  </si>
  <si>
    <t>Base</t>
  </si>
  <si>
    <t>Alíquota</t>
  </si>
  <si>
    <t>Valor calculado</t>
  </si>
  <si>
    <t>Valor deduzir</t>
  </si>
  <si>
    <t>OD-pago em 14/08/24</t>
  </si>
  <si>
    <t>Gasolina paga REPUME (35,40 x 5,960)</t>
  </si>
  <si>
    <t>Gasolina (crédito Repume)</t>
  </si>
  <si>
    <t>Crédito gasolina (pago Repume)</t>
  </si>
  <si>
    <t>Vale presente niver Bruna (cartão presente C&amp;A $300,00) 1/2</t>
  </si>
  <si>
    <t>C&amp;A pay</t>
  </si>
  <si>
    <t>Economia combustível</t>
  </si>
  <si>
    <t>Economia combustível (caixinha NU)</t>
  </si>
  <si>
    <t>Lanche 2 por 1 burger king</t>
  </si>
  <si>
    <t>Muro casa de cima(laje)+reboco</t>
  </si>
  <si>
    <t>Fundação (porão + escada)</t>
  </si>
  <si>
    <t>Mão Obra</t>
  </si>
  <si>
    <t>Material</t>
  </si>
  <si>
    <t>Paredes casa de cima</t>
  </si>
  <si>
    <t>Lajes (casa de cima e porão)</t>
  </si>
  <si>
    <t xml:space="preserve">Paredes laje/garagem </t>
  </si>
  <si>
    <t xml:space="preserve">Reboco paredes laje/garagem </t>
  </si>
  <si>
    <t>Mensalidade internet Celular - VIVO (40,00) - Mensal</t>
  </si>
  <si>
    <t>Netflix (R$ 45,00) - Mensal</t>
  </si>
  <si>
    <t>Fatura C&amp;A pay (cartão presente Bruna 300,00) dividido com Joise 1/2</t>
  </si>
  <si>
    <t>Fatura Setembro/24 - Vencimento 22/10/24 - R$ 5.600,00 santander  R$ 11.000,00 Nubank = 16.600,00</t>
  </si>
  <si>
    <t>Presente dia das mães (MOTO G04 grafite) dividido com Bruna 6/6</t>
  </si>
  <si>
    <t>Concreto usinado 10m3 + Bomba 4/6</t>
  </si>
  <si>
    <t>Game Pass assinatura 12 meses 3/12 - Mensal</t>
  </si>
  <si>
    <t>Game Pass assinatura 12 meses 2/12 - Mensal</t>
  </si>
  <si>
    <t>Sapato social preto (JOTAPE nº38) 3/3</t>
  </si>
  <si>
    <t>Vale presente niver Bruna (cartão presente C&amp;A $300,00) 2/2</t>
  </si>
  <si>
    <t>Resgate fundo construção (pagar cartão crédito COM)</t>
  </si>
  <si>
    <t>Pacote fralda Vó</t>
  </si>
  <si>
    <t>Pedágio (casa mãe)</t>
  </si>
  <si>
    <t>Uber Bella (dividido com Bruna ir casa mãe)</t>
  </si>
  <si>
    <t>Gasolina paga REPUME (20 x 5,960)</t>
  </si>
  <si>
    <t>Cavilhas (montagem berço Isadora)</t>
  </si>
  <si>
    <t>Divida Eduardo (muro e reboco muro da laje)</t>
  </si>
  <si>
    <t>Salário Agosto / 2024</t>
  </si>
  <si>
    <t>Conta Luz Agosto / 2024</t>
  </si>
  <si>
    <t>Adiantamento Setembro/2024</t>
  </si>
  <si>
    <t>Depósito FGTS Agosto / 2024</t>
  </si>
  <si>
    <t>Fatura Cartão Crédito Agosto / 2024</t>
  </si>
  <si>
    <t>Conta Agua Agosto / 2024</t>
  </si>
  <si>
    <t>mar/24 á jul/24</t>
  </si>
  <si>
    <t xml:space="preserve">Ago/24 á </t>
  </si>
  <si>
    <t>QUITAÇÃO</t>
  </si>
  <si>
    <t>01/10/16 A 30/09/17</t>
  </si>
  <si>
    <t xml:space="preserve">Férias </t>
  </si>
  <si>
    <t>Ano</t>
  </si>
  <si>
    <t>Período Aquisitivo</t>
  </si>
  <si>
    <t>01/01/17 A 31/12/17</t>
  </si>
  <si>
    <t>01/10/17 A 30/09/18</t>
  </si>
  <si>
    <t>01/01/18 A 31/12/18</t>
  </si>
  <si>
    <t>01/10/18 A 30/09/19</t>
  </si>
  <si>
    <t>01/01/19 A 31/12/19</t>
  </si>
  <si>
    <t>01/10/19 A 30/09/20</t>
  </si>
  <si>
    <t>01/01/20 A 31/12/20</t>
  </si>
  <si>
    <t>01/10/20 A 30/09/21</t>
  </si>
  <si>
    <t>01/01/21 A 31/12/21</t>
  </si>
  <si>
    <t>01/10/21 A 30/09/22</t>
  </si>
  <si>
    <t>01/01/22 A 31/12/22</t>
  </si>
  <si>
    <t>01/10/22 A 30/09/23</t>
  </si>
  <si>
    <t>01/01/23 A 31/12/23</t>
  </si>
  <si>
    <t>01/10/23 A 30/09/24</t>
  </si>
  <si>
    <t>01/01/24 A 31/12/24</t>
  </si>
  <si>
    <t>Dif.</t>
  </si>
  <si>
    <t>Camisa Social grafite (presente dia dos pais Bella 100,00 total 140,00) 40,00 débito</t>
  </si>
  <si>
    <t>Balanceamento rodas traseiras (25,00 cada)</t>
  </si>
  <si>
    <t>Resgate economias (compra tablet Bella)</t>
  </si>
  <si>
    <t>Resgate econ. combustível (compra tablet Bella)</t>
  </si>
  <si>
    <t>Tablet Lenovo M9 (presente níver Bella) usado 1 mês na OLX</t>
  </si>
  <si>
    <t>Du</t>
  </si>
  <si>
    <t>Jogo megasena (pessoal empresa)</t>
  </si>
  <si>
    <t>Gasolina paga REPUME (20 x 5,940)</t>
  </si>
  <si>
    <t>Abatido conta luz 160,00 e internet 60,00 + 480,00 pix</t>
  </si>
  <si>
    <t>Pipoca Joise</t>
  </si>
  <si>
    <t>Caixa organizadora preta (53 litros)</t>
  </si>
  <si>
    <t>Pastel (meu e Bella)</t>
  </si>
  <si>
    <t>Sorvete pq rizo (Bella e Kauan)</t>
  </si>
  <si>
    <t>Algodão doce pq rizo (Bella e Kauan)</t>
  </si>
  <si>
    <t>Bebe conforto Burigotto preto (Isadora) 1/3</t>
  </si>
  <si>
    <t>Bebe conforto Burigotto preto (Isadora) 2/3</t>
  </si>
  <si>
    <t>Material elétrica (15 caixinha luz, 2 caixas passagem 15x15, 10 luvas emenda conduíte)</t>
  </si>
  <si>
    <t>Material elétrica (15 caixinhas luz, 2 caixas passagem 15x15, 10 luvas emenda conduíte)</t>
  </si>
  <si>
    <t>MERCADO LIVRE</t>
  </si>
  <si>
    <t>ELÉTRICA</t>
  </si>
  <si>
    <t>CAIXINHA LUZ TRAMONTINA 4X2</t>
  </si>
  <si>
    <t>LUVA EMENDA CONDUÍTE 3/4</t>
  </si>
  <si>
    <t>M.O LUIZ (CORTAR PAREDES E EMBUTIR CONDUITES E CAIXAS) PARTE 1</t>
  </si>
  <si>
    <t>SACO AREIA MÉDIA</t>
  </si>
  <si>
    <t>ELÉTRICA-EMBUTIR CONDUJÍTE</t>
  </si>
  <si>
    <t>Kit saco lixo reforçado 100 lts - 20 unidades</t>
  </si>
  <si>
    <t>Material elétrica (1 cimento, 8 sacos areia)</t>
  </si>
  <si>
    <t>Mão de obra Luiz (chumbar conduites e caixas de luz) 1/2</t>
  </si>
  <si>
    <t>Agua de coco + pirulitos</t>
  </si>
  <si>
    <t>Outubro/ 2024</t>
  </si>
  <si>
    <t>Salário Setembro / 2024</t>
  </si>
  <si>
    <t>Conta Luz Setembro / 2024</t>
  </si>
  <si>
    <t>Adiantamento Outubro/2024</t>
  </si>
  <si>
    <t>Depósito FGTS Setembro / 2024</t>
  </si>
  <si>
    <t>Fatura Cartão Crédito Setembro / 2024</t>
  </si>
  <si>
    <t>Conta Agua Setembro / 2024</t>
  </si>
  <si>
    <t>Devolução material (2 caixas passagem 15x15)</t>
  </si>
  <si>
    <t>Vale presente niver Alkione (cartão presente C&amp;A $300,00) 1/2</t>
  </si>
  <si>
    <t>Fatura C&amp;A pay (cartão presente Bruna 300,00) dividido com Joise 2/2</t>
  </si>
  <si>
    <t>Fatura C&amp;A pay (cartão presente Alkione 300,00) dividido com Joise 1/2</t>
  </si>
  <si>
    <t>Mão de obra Luiz (chumbar conduites e caixas de luz) 2/2</t>
  </si>
  <si>
    <t>Lanches Mac niver Bella (Bella, Kauan, Bruna)</t>
  </si>
  <si>
    <t>CUSTO ELÉTRICA - CORTAR PAREDES E EMBUTIR CONDUITES E CAIXINHAS</t>
  </si>
  <si>
    <t>CUSTO ELÉTRICA - LIGAÇÃO ELÉTRICA</t>
  </si>
  <si>
    <t>CABO SIL FlexSil 750 V 1x2.5mm² PRETO x 100m</t>
  </si>
  <si>
    <t>CABO SIL FlexSil 750 V 1x2.5mm² AZUL x 100m</t>
  </si>
  <si>
    <t>CABO SIL FlexSil 750 V 1x1.5mm² VERDE x 100m</t>
  </si>
  <si>
    <t>CABO SIL FlexSil 750 V 1x6.00mm² VEMELHO x 40m</t>
  </si>
  <si>
    <t>4 DISJUNTORES UNIPOLARES 63A (geral casa e relógio)</t>
  </si>
  <si>
    <t>2 DISJUNTORES BIPOLAR 40A (CHUVEIROS)</t>
  </si>
  <si>
    <t>1 DISJUNTOR BIPOLAR 20A (220 COZINHA)</t>
  </si>
  <si>
    <t>1 DISJUNTOR UNIPOLAR 16A (ILUMINAÇÃO)</t>
  </si>
  <si>
    <t>1 FITA ISOLANTE</t>
  </si>
  <si>
    <t>1 RÉGUA DE DISTRIBUIÇÃO ENTRE FASES DISJUNTORES (JUMPER)</t>
  </si>
  <si>
    <t>1 CAIXA DISJUNTORES PARA 12</t>
  </si>
  <si>
    <t>3 DISJUNTOR UNIPOLAR 20A (1 TOMADA AIRFRYER) + (2 TOMADAS)</t>
  </si>
  <si>
    <t>CARTÃO NUBANK 1X</t>
  </si>
  <si>
    <t>M.O PAULO ELETRICISTA (LIGAÇÃO ELÉTRICA CASA)</t>
  </si>
  <si>
    <t xml:space="preserve">Par farol milha Onix </t>
  </si>
  <si>
    <t>Fatura Outubro/24 - Vencimento 22/11/24 - R$ 5.600,00 santander  R$ 11.000,00 Nubank = 16.600,00</t>
  </si>
  <si>
    <t>Game Pass assinatura 12 meses 4/12 - Mensal</t>
  </si>
  <si>
    <t>Concreto usinado 10m3 + Bomba 5/6</t>
  </si>
  <si>
    <t>Bebe conforto Burigotto preto (Isadora) 3/3</t>
  </si>
  <si>
    <t>Vale presente niver Alkione (cartão presente C&amp;A $300,00) 2/2</t>
  </si>
  <si>
    <t>Depósito Economias (caixinha NU)</t>
  </si>
  <si>
    <t>Cervejas (niver Bella)</t>
  </si>
  <si>
    <t>Débito empéstimo saque Aniversário 1/5</t>
  </si>
  <si>
    <t>Empréstimo saque aniversário 1/5</t>
  </si>
  <si>
    <t>Crédito Art Frut</t>
  </si>
  <si>
    <t>Fone De Ouvido Qcy T13 Com 4 Microfones E Bluetooth 5.1 Cor Preto</t>
  </si>
  <si>
    <t>Pão de queijo</t>
  </si>
  <si>
    <t>Lanche com Bella</t>
  </si>
  <si>
    <t>Gesso (tampar conduites)</t>
  </si>
  <si>
    <t>Caixa de passagem+tampa</t>
  </si>
  <si>
    <t>Resgate economias (fundo construção)</t>
  </si>
  <si>
    <t>Resgate fundo construção (gesso+caixa+m.o elétrica)</t>
  </si>
  <si>
    <t>M.O eletricista Paulo (instalação fios, caixa e disjuntores casa) total 550,00 1/2</t>
  </si>
  <si>
    <t>3 lâmpadas + 3 soquetes (1 quarto novo, banheiro novo, área externa)</t>
  </si>
  <si>
    <t>M.O eletricista Paulo (instalação fios, caixa e disjuntores casa) total 550,00 2/2</t>
  </si>
  <si>
    <t>Saque aniversário 2024</t>
  </si>
  <si>
    <t>Depósito Joise fundo contrução (saque aniversário 2024)</t>
  </si>
  <si>
    <t>Resgate fundo construção (Mão de obra elétrica + fios)</t>
  </si>
  <si>
    <t>Cabos 2,5 mm (concluir instalação elétrica)</t>
  </si>
  <si>
    <t>Devolução para Economias</t>
  </si>
  <si>
    <t>Estacionamento Family 25 horas (nascimento Isadora)</t>
  </si>
  <si>
    <t>Devolução para Economias (saque 28/09/24)</t>
  </si>
  <si>
    <t>CABOS 2,5 PARA CONCLUSÃO DA INSTALAÇÃO</t>
  </si>
  <si>
    <t>Frutas Joise</t>
  </si>
  <si>
    <t>Embalagem devolução correios (rolo fio 16mm)</t>
  </si>
  <si>
    <t>Estacionamento Family 12 horas (nascimento Isadora)</t>
  </si>
  <si>
    <t>Extensão abajur quarto Joise (Isadora)</t>
  </si>
  <si>
    <t>Capa certidão nascimento isadora</t>
  </si>
  <si>
    <t>Gasolina paga REPUME (30 x 5,940)</t>
  </si>
  <si>
    <t>Novembro/ 2024</t>
  </si>
  <si>
    <t>Película tablet Lenovo M9 isabella</t>
  </si>
  <si>
    <t>Divida Eduardo (muro e reboco muro da laje) 1/3</t>
  </si>
  <si>
    <t>Divida Eduardo (muro e reboco muro da laje) 2/3</t>
  </si>
  <si>
    <t>agua</t>
  </si>
  <si>
    <t>Abatido conta luz 160,00 / internet 60,00 / agua 35,00 + 745,00 pix</t>
  </si>
  <si>
    <t>Material elétrica (espelho liso + espelho tomada, interruptor banheiro quarto)</t>
  </si>
  <si>
    <t>Multa 4 pontos Thiago</t>
  </si>
  <si>
    <t>Depósito Economias combustível (caixinha NU)</t>
  </si>
  <si>
    <t>Cinta pós parto (Joise irá pagar)</t>
  </si>
  <si>
    <t>Pizzas (queda energia)</t>
  </si>
  <si>
    <t>Fralda RN (pacote 16 fraldas turma da Mônica)</t>
  </si>
  <si>
    <t>Salsep 360</t>
  </si>
  <si>
    <t>CUSTO TELHAMENTO GARAGEM</t>
  </si>
  <si>
    <t>TELHA 2,44 X 1,10 5MM</t>
  </si>
  <si>
    <t>Pomada Nistatina+óxido de zinco (Isadora)</t>
  </si>
  <si>
    <t>Multa 7 pontos Thiago</t>
  </si>
  <si>
    <t>Algodão disquete + pilhas brinquedo Isadora</t>
  </si>
  <si>
    <t>Shampoo + condicionador SEDA</t>
  </si>
  <si>
    <t>Cabeceira Queen Estofada Dobuê Movelaria Estoril Veludo Cinza</t>
  </si>
  <si>
    <t>Cama Box Baú Casal Queen Colchão Gazin Maximus Molas Ensacadas 158x198x65cm Linho Grafite e Preto 1/4</t>
  </si>
  <si>
    <t>Devolução furquim</t>
  </si>
  <si>
    <t>Pizzas</t>
  </si>
  <si>
    <t>2 Lençóis Queen (1 rosa florido e outro preto com quadraos brancos)</t>
  </si>
  <si>
    <t>Película Samsung S20 FE</t>
  </si>
  <si>
    <t>35 Telhas 2,44 x 1,10 + 72 parafusos (telhamento garagem) 1/2</t>
  </si>
  <si>
    <t>9 Vigas Madeira Panchão 20x5 (5 metros cada)</t>
  </si>
  <si>
    <t>PARAFUSOS TELHAS</t>
  </si>
  <si>
    <t>VIGA MADEIRA (PRANCHÃO) 20X5 (5 METROS)</t>
  </si>
  <si>
    <t>CARTÃO NUBANK 2X</t>
  </si>
  <si>
    <t>Fatura Novembro/24 - Vencimento 22/12/24 - R$ 5.600,00 santander  R$ 11.000,00 Nubank = 16.600,00</t>
  </si>
  <si>
    <t>Game Pass assinatura 12 meses 5/12 - Mensal</t>
  </si>
  <si>
    <t>Concreto usinado 10m3 + Bomba 6/6</t>
  </si>
  <si>
    <t>Cama Box Baú Casal Queen Colchão Gazin Maximus Molas Ensacadas 158x198x65cm Linho Grafite e Preto 2/4</t>
  </si>
  <si>
    <t>35 Telhas 2,44 x 1,10 + 72 parafusos (telhamento garagem) 2/2</t>
  </si>
  <si>
    <t>1ª Parcela 13º 2024</t>
  </si>
  <si>
    <t>Salário Outubro / 2024</t>
  </si>
  <si>
    <t>Conta Luz Outubro / 2024</t>
  </si>
  <si>
    <t>Adiantamento Novembro/2024</t>
  </si>
  <si>
    <t>Depósito FGTS Outubro / 2024</t>
  </si>
  <si>
    <t>Fatura Cartão Crédito Outubro / 2024</t>
  </si>
  <si>
    <t>Conta Agua Outubro / 2024</t>
  </si>
  <si>
    <t>Lanches (hamburguer)</t>
  </si>
  <si>
    <t>Absorvente Joise</t>
  </si>
  <si>
    <t>Gasolina paga REPUME (15 x 5,940)</t>
  </si>
  <si>
    <t>Depósito fundo construção (economia) Alexandre</t>
  </si>
  <si>
    <t>Juros Caixinhas NU Alexandre</t>
  </si>
  <si>
    <t>Depósito fundo construção Alexandre</t>
  </si>
  <si>
    <t>Depósito fundo construção (adto) Alexandre</t>
  </si>
  <si>
    <t>Resgate Economias (para fundo construção) Alexandre</t>
  </si>
  <si>
    <t>Devolução material (2 caixas passagem 15x15) Alexandre</t>
  </si>
  <si>
    <t>Resgate economias (fundo construção) Alexandre</t>
  </si>
  <si>
    <t>Saque aniversário 2024 (pagamento antecipação) parcela1/5</t>
  </si>
  <si>
    <t>Caixinha Thelmo levar cama box da zeza para minha casa</t>
  </si>
  <si>
    <t>Devolução acordo Cooperativa Alpha parcela 1/8 - Alexandre 60,45%</t>
  </si>
  <si>
    <t>Devolução acordo Cooperativa Alpha parcela 1/8 - Joise 39,55%</t>
  </si>
  <si>
    <t>Valor parcela</t>
  </si>
  <si>
    <t>Honorários Advogado João (acompanhou o processo)</t>
  </si>
  <si>
    <t>Devolução Cooperativa Alpha</t>
  </si>
  <si>
    <t>2 caixas (92,04 cada)Leucogen 20mg/5ml Aché 120ml Xarope 1/2</t>
  </si>
  <si>
    <t>Saídas</t>
  </si>
  <si>
    <t>Parte 1 Mão de obra Luiz (escada+porão) 1.500,00 - 550,00 joise</t>
  </si>
  <si>
    <t>Parte 2 Mão de obra Luiz (escada+porão) 1.500,00 - 550,00 joise</t>
  </si>
  <si>
    <t xml:space="preserve">Parte 3 Mão de obra Luiz (escada+porão) 1.500,00 - 550,00 joise </t>
  </si>
  <si>
    <t>Parte 3 Mão de obra Luiz (escada+porão) 1.500,00 - 550,00 joise</t>
  </si>
  <si>
    <t xml:space="preserve">Parte 4 Mão de obra Luiz (escada+porão) 750,00 - 650,00 joise </t>
  </si>
  <si>
    <t>MÃO DE OBRA GANSO 1/2</t>
  </si>
  <si>
    <t>Resgate fundo construção (M.O telhamento)</t>
  </si>
  <si>
    <t xml:space="preserve">M.O Ganso telhamento garagem 1/2 </t>
  </si>
  <si>
    <t>dividido com Eduardo (1.250,00)</t>
  </si>
  <si>
    <t>Divida Eduardo (muro e reboco muro da laje) 3/3</t>
  </si>
  <si>
    <t>Resgate fundo construção (Divida Eduardo (muro e reboco muro da laje) 3/3</t>
  </si>
  <si>
    <t>Troca presente Bruna CeA (calça 160,00 + camisa 110,00=270,00) comprei calça 260,00 + camiseta 60,00=330,00 diferença 50,00 desconto C&amp;A pay 32,00 paguei 18,00</t>
  </si>
  <si>
    <t>Pipoca doce</t>
  </si>
  <si>
    <t>3 Caixinhas organizadoras</t>
  </si>
  <si>
    <t>F2-pago em 28/10/24</t>
  </si>
  <si>
    <t>10 bandejas Milho Joise</t>
  </si>
  <si>
    <t>3 camisinhas</t>
  </si>
  <si>
    <t>8 recargas Gillete</t>
  </si>
  <si>
    <t>Algodão 500 gr Apolo</t>
  </si>
  <si>
    <t>Bebedouro bomba elétrica p/galão de água</t>
  </si>
  <si>
    <t>2 rodos (1 de 40cm e 1 de 60cm)</t>
  </si>
  <si>
    <t>Fatura C&amp;A pay (cartão presente Alkione 300,00) dividido com Joise 2/2</t>
  </si>
  <si>
    <t>Lanche (x bacon)</t>
  </si>
  <si>
    <t>Aptamil 1 (Isadora) 60,00 + 5,00 frete</t>
  </si>
  <si>
    <t>Dezembro/ 2024</t>
  </si>
  <si>
    <t>Resgate Economias combustível (caixinha NU)</t>
  </si>
  <si>
    <t>Presente Niver Joise (perfume 212 sexy) 443,00 / 143,00 pix 300,00 em 2x</t>
  </si>
  <si>
    <t>2 caixas (92,04 cada)Leucogen 20mg/5ml Aché 120ml Xarope 2/2</t>
  </si>
  <si>
    <t>Presente Niver Joise (perfume 212 sexy) 443,00 / 143,00 pix 300,00 em 2x  2/2</t>
  </si>
  <si>
    <t>Presente Niver Joise (perfume 212 sexy) 443,00 / 143,00 pix 300,00 em 2x  1/2</t>
  </si>
  <si>
    <t>Camisinhas (6)</t>
  </si>
  <si>
    <t>Galão água (20 litros) completo</t>
  </si>
  <si>
    <t>Almoço (Meu, Joise e Bella)</t>
  </si>
  <si>
    <t>Garrafa térmica (agua quente troca fralda Isadora)</t>
  </si>
  <si>
    <t>Pedágio levar Isadora e Joise casa mãe</t>
  </si>
  <si>
    <t>Pizza (64,90 / 50,00 bruna pagou)</t>
  </si>
  <si>
    <t>Conserto pneu ônix</t>
  </si>
  <si>
    <t>F-pago em 07/11/24</t>
  </si>
  <si>
    <t>I-pago em 07/11/24</t>
  </si>
  <si>
    <t>OD-pago em 07/11/24</t>
  </si>
  <si>
    <t>R-pago em 07/11/24</t>
  </si>
  <si>
    <t>F2-pago em 07/11/24</t>
  </si>
  <si>
    <t>FER-pago em 07/11/24</t>
  </si>
  <si>
    <t>3 Telhas 2,44 x 1,10 (63,00) + 1 Viga Madeira Panchão 20x5 (5 metros cada)</t>
  </si>
  <si>
    <t>Devolução acordo Cooperativa Alpha parcela 2/8 - Alexandre 60,45%</t>
  </si>
  <si>
    <t>Devolução acordo Cooperativa Alpha parcela 2/8 - Joise 39,55%</t>
  </si>
  <si>
    <t>Kit Pintura De Parede Rolo Lã Lixa E Pincel Lona Com 13 Pçs Tigre</t>
  </si>
  <si>
    <t>Chinelo Havaianas Bella (35/36)</t>
  </si>
  <si>
    <t>Resgate fundo construção (kit pintura + sacos)</t>
  </si>
  <si>
    <t>Resgate fundo construção (entrega calha telhado garagem) lalamove</t>
  </si>
  <si>
    <t>Entrega calha telhado garagem - lalamove</t>
  </si>
  <si>
    <t>Pedágio buscar Isadora e Joise casa mãe</t>
  </si>
  <si>
    <t>Cartão todos (consulta mãe psiquiatra)</t>
  </si>
  <si>
    <t>Compra 2 geléias da minha mãe</t>
  </si>
  <si>
    <t>Alcool 70 Isadora</t>
  </si>
  <si>
    <t xml:space="preserve">Pizzas </t>
  </si>
  <si>
    <t>Agua mineral</t>
  </si>
  <si>
    <t>Vaquinha niver Patricia (limpeza)</t>
  </si>
  <si>
    <t>Estacionamento Hospital Family (teste orelhinha Isadora) 4.800 kg</t>
  </si>
  <si>
    <t>Resgate fundo construção (tinta coralar areia quarto)</t>
  </si>
  <si>
    <t>Consulta psiquiatra mãe (desconto cartão de todos)</t>
  </si>
  <si>
    <t>ENTREGA CALHA - LALAMOVE</t>
  </si>
  <si>
    <t>MÃO DE OBRA GANSO 2/2</t>
  </si>
  <si>
    <t>4 pilhas cadeirinha Isadora</t>
  </si>
  <si>
    <t>MÃO DE OBRA GANSO (1 DIÁRIA A MAIS PRA POR OUTRAS TELHAS)</t>
  </si>
  <si>
    <t>Estacionamento Shopping Taboão</t>
  </si>
  <si>
    <t>Aspirador catarro Isadora</t>
  </si>
  <si>
    <t>Algodão catarro Isadora</t>
  </si>
  <si>
    <t>Estacionamento Pq. Rizzo</t>
  </si>
  <si>
    <t>Brincadeiras pq rizzo Bella e Kauan</t>
  </si>
  <si>
    <t>CANOS/CURVAS CONEXÃO DA CALHA</t>
  </si>
  <si>
    <t>35 Telhas + parafusos (telhamento garagem) 1/2</t>
  </si>
  <si>
    <t>9 Vigas Madeira Panchão 20x5</t>
  </si>
  <si>
    <t>3 Telhas 2+ 1 Viga Madeira Panchão</t>
  </si>
  <si>
    <t>Eduardo pagou</t>
  </si>
  <si>
    <t>Materiais no crédito venc. 20/11</t>
  </si>
  <si>
    <t>Mão de Obra Ganso parcela 2/2</t>
  </si>
  <si>
    <t>Dividido por 2</t>
  </si>
  <si>
    <t>Diferença á pagar</t>
  </si>
  <si>
    <t>Telhamento garagem</t>
  </si>
  <si>
    <t>Sabão</t>
  </si>
  <si>
    <t>Camisa preta com bolinhas brancas C&amp;A</t>
  </si>
  <si>
    <t>Calha 30cm (5 metros)</t>
  </si>
  <si>
    <t>CALHA 30cm (5 METROS)</t>
  </si>
  <si>
    <t>Tinta coralar areia quarto 3,6lt</t>
  </si>
  <si>
    <t>Fralda baby sec P 42 fraldas</t>
  </si>
  <si>
    <t>Troca presente Bruna CeA (calça 160,00 + camisa 110,00=270,00) comprei calça 260,00 + camiseta 60,00=330,00 diferença 50,00 desconto C&amp;A pay -32,00 (paguei 18,00)</t>
  </si>
  <si>
    <t>Sorvetes Bella, Kauan, Joise</t>
  </si>
  <si>
    <t>Resgate (compra Samsung S24 fe OLX 2.500,00 valor mercado 4.500,00)</t>
  </si>
  <si>
    <t>vendido meu S20  fe pra Joise por 1.200,00 em 6x, mais o celular dela A22 para venda</t>
  </si>
  <si>
    <t>Fatura Dezembro/24 - Vencimento 22/01/2025 - R$ 5.600,00 santander  R$ 11.000,00 Nubank = 16.600,00</t>
  </si>
  <si>
    <t>Game Pass assinatura 12 meses 6/12 - Mensal</t>
  </si>
  <si>
    <t>Cama Box Baú Casal Queen Colchão Gazin Maximus Molas Ensacadas 158x198x65cm Linho Grafite e Preto 3/4</t>
  </si>
  <si>
    <t>Algodão 250g</t>
  </si>
  <si>
    <t>Película S24 FE</t>
  </si>
  <si>
    <t>Capinha preta S24 FE</t>
  </si>
  <si>
    <t>Presente Maria Alice filha Diego (vestidinho vermelho)</t>
  </si>
  <si>
    <t>Rejunte escada+espátula</t>
  </si>
  <si>
    <t>Resgate fundo construção (rejunte + espátula)</t>
  </si>
  <si>
    <t>Depósito Alexandre Economias (adto)</t>
  </si>
  <si>
    <t>Sorvetes Bella, Joise</t>
  </si>
  <si>
    <t>Carne churrasco casa Sueli (dividido)</t>
  </si>
  <si>
    <t>Mercado churrasco casa Sueli (dividido)</t>
  </si>
  <si>
    <t>Pedágio Guarulhos (casa Sueli)</t>
  </si>
  <si>
    <t>Galão água (20 litros)</t>
  </si>
  <si>
    <t>Revelação 3 fotos Isadora</t>
  </si>
  <si>
    <t>Cuador papel chá Isadora</t>
  </si>
  <si>
    <t>Bolo churros (comprei da gabri Recepção)</t>
  </si>
  <si>
    <t>Vestidinho azul com bolinhas brancas Isadora</t>
  </si>
  <si>
    <t xml:space="preserve">2 porta retratos foto Isadora/Isabella </t>
  </si>
  <si>
    <t>Adiantamento Dezembro/2024</t>
  </si>
  <si>
    <t>2ª Parcela 13º</t>
  </si>
  <si>
    <t>Férias 2024</t>
  </si>
  <si>
    <t>Salário Novembro / 2024</t>
  </si>
  <si>
    <t>Conta Luz Novembro / 2024</t>
  </si>
  <si>
    <t>Depósito FGTS Novembro / 2024</t>
  </si>
  <si>
    <t>Fatura Cartão Crédito Novembro / 2024</t>
  </si>
  <si>
    <t>Conta Agua Novembro / 2024</t>
  </si>
  <si>
    <t>Galão água</t>
  </si>
  <si>
    <t>Sorvetes/doces</t>
  </si>
  <si>
    <t>Janeiro / 2025</t>
  </si>
  <si>
    <t>Pagto conta celular Mãe (dividido com Bruna)</t>
  </si>
  <si>
    <t>Travesseiro Antirefluxo - Soninho Bebê Conforto Qualidade</t>
  </si>
  <si>
    <t>Coberdrom Casal Queen Size Cobertor Edredom Pele Carneiro Cor Cinza</t>
  </si>
  <si>
    <t>Travesseiro Infantil Criança Até 10 Anos 100% Algodão Branco</t>
  </si>
  <si>
    <t>Bone Crusher Black Skull (pré Treino Extra Forte) (300g) Sabor Melancia</t>
  </si>
  <si>
    <t>F-pago em 03/12/24</t>
  </si>
  <si>
    <t>I-pago em 03/12/24</t>
  </si>
  <si>
    <t>OD-pago em 03/12/24</t>
  </si>
  <si>
    <t>R-pago em 03/12/24</t>
  </si>
  <si>
    <t>F2-pago em 03/12/24</t>
  </si>
  <si>
    <t>FER-pago em 03/12/24</t>
  </si>
  <si>
    <t>AC-pago em 03/12/24</t>
  </si>
  <si>
    <t>Antecipação cartão crédito</t>
  </si>
  <si>
    <t>2 Sandálias (compra Joise, irá pagar) 1/2</t>
  </si>
  <si>
    <t>2 Sandálias (compra Joise, irá pagar) 2/2</t>
  </si>
  <si>
    <t>Depósito Alexandre Economias (férias)</t>
  </si>
  <si>
    <t>Depósito Alexandre fundo construção (férias)</t>
  </si>
  <si>
    <t>Smartwatch Watch X Serie 10 Tela Amoled Chatgpt Gps 1/2</t>
  </si>
  <si>
    <t xml:space="preserve">Aptamil 1 Isadora </t>
  </si>
  <si>
    <t>Fralda baby sec P 45 unidades</t>
  </si>
  <si>
    <t>LAJE CAIXA DE ÁGUA</t>
  </si>
  <si>
    <t>CUSTO REMOVER PAREDES E LAJE CAIXA DE ÁGUA</t>
  </si>
  <si>
    <t>3 COLUNAS 4 METROS (10X20)</t>
  </si>
  <si>
    <t>2 VIGAS 1,80 METROS (10X20)</t>
  </si>
  <si>
    <t>2 VIGAS 2,00 METROS (10X20)</t>
  </si>
  <si>
    <t>2 KG ARAME</t>
  </si>
  <si>
    <t>MÃO DE OBRA LUIZ 1/2</t>
  </si>
  <si>
    <t>1 KG PREGO 18X27 (MENOR)</t>
  </si>
  <si>
    <t>EMBU FERRAGEM</t>
  </si>
  <si>
    <t>9 TABUAS DE 25CM 4 METROS</t>
  </si>
  <si>
    <t>du pagou</t>
  </si>
  <si>
    <t>9 tabuas de 25, 2kg arame, 1kg prego, 20 sacos entulho</t>
  </si>
  <si>
    <t>3 Colunas 4m, 2 vigas 1,80m, 2 vigas 2m</t>
  </si>
  <si>
    <t>Resgate fundo construção (material remoção paredes laje+vigas troca local caixa de agua)</t>
  </si>
  <si>
    <t>Jogo megasena virada pesoal REPUME</t>
  </si>
  <si>
    <t>Material escolar 2025 Bella</t>
  </si>
  <si>
    <t>Depósito Alexandre fundo construção (pagto)</t>
  </si>
  <si>
    <t>Depósito Alexandre fundo construção (pagto.)</t>
  </si>
  <si>
    <t>Emergência (caixinha NU)</t>
  </si>
  <si>
    <t>Depósito caixinha Emergência</t>
  </si>
  <si>
    <t xml:space="preserve">Pilula dia seguinte Diane </t>
  </si>
  <si>
    <t>Cervejas + agua coco</t>
  </si>
  <si>
    <t>Pastel (bruna e kauan)</t>
  </si>
  <si>
    <t>8 SACOS AREIA MÉDIA</t>
  </si>
  <si>
    <t>8 sacos areia, 10 sacos entulho, 1 cimento</t>
  </si>
  <si>
    <t>MÃO DE OBRA LUIZ 2/2</t>
  </si>
  <si>
    <t>sacos entulho + curvas e cotovelos cano</t>
  </si>
  <si>
    <t>Sacos entulho + curvas e cotovelos cano</t>
  </si>
  <si>
    <t>Caixinha lixeiros levar entulho</t>
  </si>
  <si>
    <t>20 SACOS AREIA MÉDIA</t>
  </si>
  <si>
    <t>20 SACOS PEDRISCO</t>
  </si>
  <si>
    <t>LIXEIRO</t>
  </si>
  <si>
    <t>CAIXINHA LIXEIRO LEVAR ENTULHO</t>
  </si>
  <si>
    <t>Ajuda passagem Vó (Ribeirão)</t>
  </si>
  <si>
    <t>SILICONE</t>
  </si>
  <si>
    <t>20 sacos areia, 20 sacos pedrisco, 5 cimento, silicone+aplicador</t>
  </si>
  <si>
    <t>Filha Isabella (pensão/outros)</t>
  </si>
  <si>
    <t>Lanche Bella levar pra aula Inglês</t>
  </si>
  <si>
    <t>Conserto farol milha (chicotes) Onix</t>
  </si>
  <si>
    <t>20 sacos pedra, 4 cimentos, 6 sacos areia, 8 vigas laje</t>
  </si>
  <si>
    <t xml:space="preserve"> SACOS AREIA MÉDIA</t>
  </si>
  <si>
    <t>VIGAS LAJE 2,00 POR 1,50</t>
  </si>
  <si>
    <t>CAIXA LUZ P/LAJE</t>
  </si>
  <si>
    <t>Resgate fundo construção (pintura paredes laje)</t>
  </si>
  <si>
    <t>Tinta Eucatéx Premium Fosco 18l Tendência Azul Profundo</t>
  </si>
  <si>
    <t>Carregador De Pilhas + 4 Pilhas Recarregável 2500ma</t>
  </si>
  <si>
    <t>4 Porca Rápida Parabarro Onix</t>
  </si>
  <si>
    <t>IPVA 2025 Ônix (valor base $ 37.298,00)</t>
  </si>
  <si>
    <t>Conserto máquina lavar (reparo placa)</t>
  </si>
  <si>
    <t>Café (não passou no débito)</t>
  </si>
  <si>
    <t>IPTU 2025 (684,00 / 4)</t>
  </si>
  <si>
    <t>Smartwatch Watch X Serie 10 Tela Amoled Chatgpt Gps 2/2</t>
  </si>
  <si>
    <t>Assinatura armazenamento One Drive</t>
  </si>
  <si>
    <t>Resgate Emergência (pagar cartão crédito COM)</t>
  </si>
  <si>
    <t>Vendi S20 pra Joise (1.200,00 em 4x300,00) 1/4</t>
  </si>
  <si>
    <t>Depósito Alexandre Economias (13º)</t>
  </si>
  <si>
    <t>Resgate fundo construção (laje caixa de água)</t>
  </si>
  <si>
    <t>Mão de obra Luiz (quebrar paredes e laje caixa)</t>
  </si>
  <si>
    <t>Resgate fundo construção (troca cabo de aço portão)</t>
  </si>
  <si>
    <t xml:space="preserve">dividido com Eduardo </t>
  </si>
  <si>
    <t>Pisca pisca (luz branca)</t>
  </si>
  <si>
    <t>Passagem ida mãe Ribeirão</t>
  </si>
  <si>
    <t>Pisca pisca (luz colorida+extensão)</t>
  </si>
  <si>
    <t>Lanche Mac meu e Bella Shopping</t>
  </si>
  <si>
    <t>Estacionameto shopping taboão</t>
  </si>
  <si>
    <t>Cervejas natal casa Joise</t>
  </si>
  <si>
    <t>Tênis olimpikus preto (malhar) 1/2</t>
  </si>
  <si>
    <t>Body branco Isadora 1/2</t>
  </si>
  <si>
    <t>Roupa ano novo Bella (shot jeans+blusinha branca) 1/2</t>
  </si>
  <si>
    <t>Presente Kauan (camisete verde) 1/2</t>
  </si>
  <si>
    <t>3 meses (25/12/24 a 25/03/25)</t>
  </si>
  <si>
    <t>Licenciamento Ônix 2024</t>
  </si>
  <si>
    <t>Pílula dia seguinte Joise</t>
  </si>
  <si>
    <t>Conserto calça moletom e blusa costureira</t>
  </si>
  <si>
    <t>Pensão Isabella (500,00)</t>
  </si>
  <si>
    <t>Conta Luz Dezembro / 2024</t>
  </si>
  <si>
    <t>Adiantamento Janeiro/2025</t>
  </si>
  <si>
    <t>Depósito FGTS Dezembro / 2024</t>
  </si>
  <si>
    <t>Fatura Cartão Crédito Dezembro / 2024</t>
  </si>
  <si>
    <t>Conta Agua Dezembro / 2024</t>
  </si>
  <si>
    <t>Resgate economias conbustível (pagar IPVA)</t>
  </si>
  <si>
    <t>Troca cabo de aço portão</t>
  </si>
  <si>
    <t>Algodão apollo 500 gr</t>
  </si>
  <si>
    <t>Aguas de coco Joise (2)</t>
  </si>
  <si>
    <t>Carnes e bebidas churras fim de ano</t>
  </si>
  <si>
    <t>Galão de agua</t>
  </si>
  <si>
    <t>Resgate emergência</t>
  </si>
  <si>
    <t>Para mãe comprar coisas Bella (vai ficar uma semana com a vovó)</t>
  </si>
  <si>
    <t>Lanche burger king</t>
  </si>
  <si>
    <t>Resgate fundo construção (reboco garagem)</t>
  </si>
  <si>
    <t>20 sacos areia fina, 2 cimentos</t>
  </si>
  <si>
    <t>20 sacos areia fina, 2 cimentos (reboco garagem)</t>
  </si>
  <si>
    <t>AREIA JACAREI FINA - SACO</t>
  </si>
  <si>
    <t>REBOCO GARAGEM</t>
  </si>
  <si>
    <t>MÃO DE OBRA GILMAR</t>
  </si>
  <si>
    <t>Salário Dezembro / 2024 (pf 8 dias)</t>
  </si>
  <si>
    <t>Salário Dezembro / 2024 (folha 16 dias)</t>
  </si>
  <si>
    <t>Despesas 2025</t>
  </si>
  <si>
    <t>Repelente citronela (Isadora)</t>
  </si>
  <si>
    <t>Game Pass assinatura 12 meses 7/12 - Mensal</t>
  </si>
  <si>
    <t>Cama Box Baú Casal Queen Colchão Gazin Maximus Molas Ensacadas 158x198x65cm Linho Grafite e Preto 4/4</t>
  </si>
  <si>
    <t>Camiseta branca + bermuda azul claro 1/2</t>
  </si>
  <si>
    <t>Camiseta branca + bermuda azul claro 2/2</t>
  </si>
  <si>
    <t>Body branco Isadora 2/2</t>
  </si>
  <si>
    <t>Roupa ano novo Bella (shot jeans+blusinha branca) 2/2</t>
  </si>
  <si>
    <t>Tênis olimpikus preto (malhar) 2/2</t>
  </si>
  <si>
    <t>Depósito Joise fundo construção (pagto)</t>
  </si>
  <si>
    <t>Vendi S20 pra Joise (1.200,00 em 4x300,00) 2/4</t>
  </si>
  <si>
    <t>Depósito emergência</t>
  </si>
  <si>
    <t>F-pago em 07/01/25</t>
  </si>
  <si>
    <t>I-pago em 07/01/25</t>
  </si>
  <si>
    <t>OD-pago em 07/01/25</t>
  </si>
  <si>
    <t>FER-pago em 07/01/25</t>
  </si>
  <si>
    <t>C-pago em 07/01/25</t>
  </si>
  <si>
    <t>R-pago em 07/01/25</t>
  </si>
  <si>
    <t>F2-pago em 07/01/25</t>
  </si>
  <si>
    <t>Quebra Sol Onix 2012 2013 2014 2015 2016 2017 2018 Esquerdo</t>
  </si>
  <si>
    <t>2 Creatinas em Pó 300g Caveira Preta - Black Skull S Sabor Sem Sabor</t>
  </si>
  <si>
    <r>
      <t>2 Calotas Esportiva Aro 15 Spider Avulsa Preta Prata Avulsa</t>
    </r>
    <r>
      <rPr>
        <sz val="11"/>
        <color rgb="FFFF0000"/>
        <rFont val="Calibri"/>
        <family val="2"/>
      </rPr>
      <t>-60,00 (crédito ML por cancelamento de compra)</t>
    </r>
    <r>
      <rPr>
        <sz val="11"/>
        <color rgb="FF000000"/>
        <rFont val="Calibri"/>
        <family val="2"/>
      </rPr>
      <t xml:space="preserve"> valor original 155,90</t>
    </r>
  </si>
  <si>
    <t>30 sacos areia fina, 2 cimentos</t>
  </si>
  <si>
    <t>30 sacos areia fina, 2 cimentos (reboco garagem)</t>
  </si>
  <si>
    <t>Depósito Alexandre Economias (pagto)</t>
  </si>
  <si>
    <t>2 latas Aptamil 1 (Isadora)</t>
  </si>
  <si>
    <t>Para mãe levar Bella cinema</t>
  </si>
  <si>
    <t>10 sacos areia fina, 2 cimentos</t>
  </si>
  <si>
    <t>Lanche (meu e Joise)</t>
  </si>
  <si>
    <t>Pedágio Diadema (buscar Bella e Kauan)</t>
  </si>
  <si>
    <t>Pipocão</t>
  </si>
  <si>
    <t>Mão de obra reboco garagem Gimar</t>
  </si>
  <si>
    <t xml:space="preserve">6 COTOVELOS DE 50 </t>
  </si>
  <si>
    <t>3 T DE 50</t>
  </si>
  <si>
    <t>2 REDUÇÃO DE 50 PRA 3/4</t>
  </si>
  <si>
    <t>8 METROS CANO 3/4</t>
  </si>
  <si>
    <t>1 CURVA 3/4</t>
  </si>
  <si>
    <t>2 COTOVELOS 3/4</t>
  </si>
  <si>
    <t>1 LIXA DE 50 FERRO</t>
  </si>
  <si>
    <t>1 BÓIA</t>
  </si>
  <si>
    <t>1 CAIXA 1000 LITROS</t>
  </si>
  <si>
    <t>1 REGISTRO DE 50</t>
  </si>
  <si>
    <t>1 REGISTRO DE 3/4</t>
  </si>
  <si>
    <t>IPVA/Licenciamento (R$ 1.480,00 + 140,00 / 12)</t>
  </si>
  <si>
    <t>31 METROS CANO DE 50</t>
  </si>
  <si>
    <t>MAFER</t>
  </si>
  <si>
    <t>HIDRÁULICA CASA</t>
  </si>
  <si>
    <t>OBS: MATERIAL MARCA KRONA</t>
  </si>
  <si>
    <t>DESCONTO NO PIX (5%)</t>
  </si>
  <si>
    <t>Resgate fundo construção (material hidráulica)</t>
  </si>
  <si>
    <t>Material hidráulica</t>
  </si>
  <si>
    <t>Par suporte quebra sol ônix</t>
  </si>
  <si>
    <t>Plaquinhas canto do churrasco (área churrasco laje)</t>
  </si>
  <si>
    <t xml:space="preserve">Luva Microfibra Lavar Carro </t>
  </si>
  <si>
    <t>1 FLANGE SAÍDA CAIXA DAGUA DE 50</t>
  </si>
  <si>
    <t>1 FLANGE BÓIA CAIXA DAGUA DE 3/450</t>
  </si>
  <si>
    <t>Simulação líquido</t>
  </si>
  <si>
    <t>Desconto VA</t>
  </si>
  <si>
    <t>Prateleira De Vidro 8mm Porta Shampoo 40x10cm</t>
  </si>
  <si>
    <t>Armário plástico Multiuso (por coisas Isadora casa Joise)</t>
  </si>
  <si>
    <t>Fita Dupla Face 3M 12mm x 5m verde escuro</t>
  </si>
  <si>
    <t>Assinatura armazenamento One Drive (100GB) - mensal</t>
  </si>
  <si>
    <t>Prateleira em aço (por coisas de carro) 1/2</t>
  </si>
  <si>
    <t>Coisas p/churrasco (cerveja, carnes) dividido com Eduardo</t>
  </si>
  <si>
    <t>Game Pass assinatura 12 meses 8/12 - Mensal</t>
  </si>
  <si>
    <t>Resgate fundo construção (hidráulica)</t>
  </si>
  <si>
    <t>Presilhas (prender tubulação de água aérea)</t>
  </si>
  <si>
    <t>Depósito Alexandre Economias</t>
  </si>
  <si>
    <t>Vendi S20 pra Joise (1.200,00 em 4x300,00) 3/4</t>
  </si>
  <si>
    <t>Devolução acordo Cooperativa Alpha parcela 3/8 - Alexandre 60,45%</t>
  </si>
  <si>
    <t>Devolução acordo Cooperativa Alpha parcela 3/8 - Joise 39,55%</t>
  </si>
  <si>
    <t>Devolução acordo Cooperativa Alpha parcela 4/8 - Alexandre 60,45%</t>
  </si>
  <si>
    <t>Devolução acordo Cooperativa Alpha parcela 4/8 - Joise 39,55%</t>
  </si>
  <si>
    <t>dif.</t>
  </si>
  <si>
    <t>Massa corrida+desempenadeira (garagem)</t>
  </si>
  <si>
    <t>Resgate fundo construção (massa corrida garagem)</t>
  </si>
  <si>
    <t>CURVAS, PARAFUSOS, GESSO, COLA, BUCHAS)</t>
  </si>
  <si>
    <t>Calça social branca (C&amp;A) 1/3</t>
  </si>
  <si>
    <t>Calça social branca (C&amp;A) 2/3</t>
  </si>
  <si>
    <t>Resgate fundo construção (material hidráulica de 21/01/25)</t>
  </si>
  <si>
    <t>Material hidráulica de 21/01/25</t>
  </si>
  <si>
    <t>M.O PAULO HIDRÁULICA (ENCANAMENTO CASA) 1/2</t>
  </si>
  <si>
    <t>M.O PAULO HIDRÁULICA (ENCANAMENTO CASA) 2/2</t>
  </si>
  <si>
    <t>Resgate fundo construção (m.o Paulo parcela 1/2)</t>
  </si>
  <si>
    <t>M.O Paulo parcela 1/2</t>
  </si>
  <si>
    <t>Resgate fundo construção (material hidráulica de 22/01/25)</t>
  </si>
  <si>
    <t>Material hidráulica de 22/01/25</t>
  </si>
  <si>
    <t>CURVAS, BARRAS CANO 3/4, BUCHAS, SACO ENTULHO)</t>
  </si>
  <si>
    <t>Caixa organizadora 30 litros (garagem)</t>
  </si>
  <si>
    <t>Prateleira em aço (por coisas de carro garagem) 2/2</t>
  </si>
  <si>
    <t>Pastel (meu, joise, kauan)</t>
  </si>
  <si>
    <t>Cervejas (níver Bruna Sorocaba)</t>
  </si>
  <si>
    <t>Repelente Isadora</t>
  </si>
  <si>
    <t>Pedágio ida Sorocaba (niver Bruna)</t>
  </si>
  <si>
    <t>Pedágio volta Sorocaba (niver Bruna)</t>
  </si>
  <si>
    <t>Resgate fundo construção (materiais 27/01/25)</t>
  </si>
  <si>
    <t>Quadro Decorativo Carro Ford Mustang Gt 500 Garage 150x70 *garagem)</t>
  </si>
  <si>
    <t>Saco De Lixo 100 Litros Reforçado Resistente Grosso Pesado</t>
  </si>
  <si>
    <t>Cuba Lavatorio Pia Economica (churrasqueira)</t>
  </si>
  <si>
    <t>Presente Kauan (camiseta verde) 1/2</t>
  </si>
  <si>
    <t>Óculos (1 grau cada olho) 450,00 total 300,00 3x cartão</t>
  </si>
  <si>
    <t>Óculos (1 grau cada olho) 450,00 total 150,00 débito 1/3</t>
  </si>
  <si>
    <t>Óculos (1 grau cada olho) 450,00 total 150,00 débito 2/3</t>
  </si>
  <si>
    <t>Fevereiro / 2025</t>
  </si>
  <si>
    <t>Salário Janeiro / 2025</t>
  </si>
  <si>
    <t>Conta Luz Janeiro / 2025</t>
  </si>
  <si>
    <t>Adiantamento Fevereiro/2025</t>
  </si>
  <si>
    <t>Depósito FGTS Janeiro / 2025</t>
  </si>
  <si>
    <t>Fatura Cartão Crédito Janeiro / 2025</t>
  </si>
  <si>
    <t>Conta Agua Janeiro / 2025</t>
  </si>
  <si>
    <t>M.O Paulo parcela 2/2 - Hidráulica</t>
  </si>
  <si>
    <t>Renda diária (liquido R$ 5.079,95/30)</t>
  </si>
  <si>
    <t>Camisinhas (8)</t>
  </si>
  <si>
    <t>eduardo fez compra 600,00, paguei contas do mês pra compesar, no valor de 280,00</t>
  </si>
  <si>
    <t>Galão agua</t>
  </si>
  <si>
    <t>CUSTO REBOCO PAREDE GARAGEM (PARTE DO PORTÃO)</t>
  </si>
  <si>
    <t>CUSTO MASSA CORRIDA+PINTURA GARAGEM+HIDRÁULICA E INSTALAÇÃO PIA+QUEBRAR PAREDINHA PRÓXIMA DO PORTÃO</t>
  </si>
  <si>
    <t>MÃO DE OBRA PAULO</t>
  </si>
  <si>
    <t>REBOCO CASA</t>
  </si>
  <si>
    <t>LAVANDERIA</t>
  </si>
  <si>
    <t>Gasolina paga REPUME (30 x 6,039)</t>
  </si>
  <si>
    <t>Chuquinha Isadora</t>
  </si>
  <si>
    <t>Caixinha catadores levar entulho</t>
  </si>
  <si>
    <t>Resgate fundo construção (catadores levar entulho)</t>
  </si>
  <si>
    <t>Material (pia churrasqueira+pintura garagem+quebrar paredinha)</t>
  </si>
  <si>
    <t>Resgate fundo construção (M.O Paulo pia churrasqueira+pintura garagem+quebrar paredinha)</t>
  </si>
  <si>
    <t>Resgate fundo construção (Material pia churrasqueira+pintura garagem+quebrar paredinha)</t>
  </si>
  <si>
    <t>M.O Paulo (instalar pia churrasqueira+pintura garagem+quebrar paredinha)</t>
  </si>
  <si>
    <t>2 lonas barranco 3x2</t>
  </si>
  <si>
    <t>Carnes churrasco (visita Cintia, Tio Dani, Aline e Sueli)</t>
  </si>
  <si>
    <t>600,00 dividido com Eduardo</t>
  </si>
  <si>
    <t>Resgate fundo construção (lonas barranco)</t>
  </si>
  <si>
    <t>Canos (conserto na parte do barranco)</t>
  </si>
  <si>
    <t>Resgate fundo construção (Canos (conserto na parte do barranco)</t>
  </si>
  <si>
    <t>Março / 2025</t>
  </si>
  <si>
    <t>CANOS, CURVAS, ROLO PINTURA</t>
  </si>
  <si>
    <t>PIA</t>
  </si>
  <si>
    <t>CAIXINHA CATADORES LEVAR ENTULHO</t>
  </si>
  <si>
    <t>30 SACOS AREIA MÉDIA</t>
  </si>
  <si>
    <t>10 COLUNAS 3 METROS (ESTRIBO 10X15)</t>
  </si>
  <si>
    <t>Vendi S20 pra Joise (1.200,00 em 4x300,00) 4/4</t>
  </si>
  <si>
    <t>R-pago em 06/02/25</t>
  </si>
  <si>
    <t>F-pago em 06/02/25</t>
  </si>
  <si>
    <t>I-pago em 06/02/25</t>
  </si>
  <si>
    <t>OD-pago em 06/02/25</t>
  </si>
  <si>
    <t>F2-pago em 06/02/25</t>
  </si>
  <si>
    <t>Material lavanderia (5 cimentos+30 sacos areia)Eduardo irá pagar</t>
  </si>
  <si>
    <t>Eduardo irá pagar</t>
  </si>
  <si>
    <t>Presente Kauan (camiseta verde) 2/2</t>
  </si>
  <si>
    <t>Tesousa cabelo</t>
  </si>
  <si>
    <t>1 PACOTE PREGO 17X21</t>
  </si>
  <si>
    <t xml:space="preserve">BLOCO DE 15 </t>
  </si>
  <si>
    <t>CORDA P/CARRETILHA 30 METROS</t>
  </si>
  <si>
    <t>CARRETILHA IÇAR MATERIAL Nº 16</t>
  </si>
  <si>
    <t>COMPOUND VEDACIT (COLAR COLUNA NO CHÃO)</t>
  </si>
  <si>
    <t>DVA</t>
  </si>
  <si>
    <t>comprado bloco de 15 ao invés de tijolo baiano</t>
  </si>
  <si>
    <t>crédito no kaora</t>
  </si>
  <si>
    <t>2 COLUNAS 3 METROS (ESTRIBO 10X15)</t>
  </si>
  <si>
    <t>30 SACOS PEDRISCO</t>
  </si>
  <si>
    <t>Bebidas e salgados clube Anovis</t>
  </si>
  <si>
    <t>Desinfetante frutas Isadora</t>
  </si>
  <si>
    <t>1/2 METRO PEDRISCO</t>
  </si>
  <si>
    <t>MÃO DE OBRA LUIZ PARTE 1/2</t>
  </si>
  <si>
    <t>CUSTO LAVANDERIA</t>
  </si>
  <si>
    <t>Secador Taiff Style 2000w Motor Ac Preto - 110v 127V</t>
  </si>
  <si>
    <t>1 KG ARAME</t>
  </si>
  <si>
    <t>MÃO DE OBRA LUIZ PARTE 2/2</t>
  </si>
  <si>
    <t>Gasolina paga REPUME (20 x 6,039)</t>
  </si>
  <si>
    <t>Protetor solar Bella faotr 30</t>
  </si>
  <si>
    <t>Cervejas Piscina Anovis</t>
  </si>
  <si>
    <t>Comidas Piscina Anovis</t>
  </si>
  <si>
    <t>Art frutt</t>
  </si>
  <si>
    <t>Salário Fevereiro / 2025</t>
  </si>
  <si>
    <t>Conta Luz Fevereiro / 2025</t>
  </si>
  <si>
    <t>Perfume ZAAD Artic (310,00 por 225,00 Mercaod pago)</t>
  </si>
  <si>
    <t xml:space="preserve">Resgate para Acerto diferença </t>
  </si>
  <si>
    <t>Adiantamento Março/2025</t>
  </si>
  <si>
    <t>Depósito FGTS Fevereiro / 2025</t>
  </si>
  <si>
    <t>Fatura Cartão Crédito Fevereiro / 2025</t>
  </si>
  <si>
    <t>Conta Agua Fevereiro / 2025</t>
  </si>
  <si>
    <t>Líquido atual</t>
  </si>
  <si>
    <t>Diferença</t>
  </si>
  <si>
    <t>Para Luiz deixar madeiras no terreno do Vicente</t>
  </si>
  <si>
    <t>Resgate fundo construção (Luiz deixar madeiras no terreno do Vicente)</t>
  </si>
  <si>
    <t>VIGA MADEIRA (PRANCHÃO) 20X5 (6 METROS)</t>
  </si>
  <si>
    <t>RUFO DE 6 METROS</t>
  </si>
  <si>
    <t>RUFO DE 5 METROS</t>
  </si>
  <si>
    <t>SILICONE P/CALHA DA PU</t>
  </si>
  <si>
    <t>1 T DE 4 POLEGADAS</t>
  </si>
  <si>
    <t>BARRA DE CANO DE 4 POLEGADAS</t>
  </si>
  <si>
    <t>LUVAS DE 4 POLEGADAS</t>
  </si>
  <si>
    <t>Caixa ovos (30) + pão</t>
  </si>
  <si>
    <t>Liquido arrefecimento ônix</t>
  </si>
  <si>
    <t>DECONTO NO PIX</t>
  </si>
  <si>
    <t>Conserto portão basculante (travou aberto, foi levantado acima do limite)</t>
  </si>
  <si>
    <t>Resgate para (conserto portão)</t>
  </si>
  <si>
    <t>Pensão Isabella (400,00)</t>
  </si>
  <si>
    <t>Anuidade cartão Santander</t>
  </si>
  <si>
    <t>Óculos (1 grau cada olho) 450,00 total 150,00 débito 3/3</t>
  </si>
  <si>
    <t>Calça social branca (C&amp;A) 3/3</t>
  </si>
  <si>
    <t>Game Pass assinatura 12 meses 9/12 - Mensal</t>
  </si>
  <si>
    <t>Salário 2024 - Ago/24 a Jan/25</t>
  </si>
  <si>
    <t>Salário 2025 - Fev/25 a</t>
  </si>
  <si>
    <t>Depósito Joise fundo construção (transferiu 700,00 / 300,00 foi usado pra quitar parcela 4/4 no cartão)</t>
  </si>
  <si>
    <t>MATERIAL HIDRÁULICA + ELÉTRICA</t>
  </si>
  <si>
    <t>MEGACENTER-ONLINE</t>
  </si>
  <si>
    <t>FRETE</t>
  </si>
  <si>
    <t>DECONTO NO PIX (5%)</t>
  </si>
  <si>
    <t>Suco</t>
  </si>
  <si>
    <t>Renda diária (liquido R$ 5.316,50/30)</t>
  </si>
  <si>
    <t>Café solúvel</t>
  </si>
  <si>
    <t>Resgate para (calhas + rufos lavanderia)</t>
  </si>
  <si>
    <t>CALHA 40cm (5 METROS)</t>
  </si>
  <si>
    <t>Calha 40 cm - 5 metros + rufos: 1 de 6 metros e 1 de 5 metros</t>
  </si>
  <si>
    <t>Devolução acordo Cooperativa Alpha parcela 5/8 - Alexandre 60,45%</t>
  </si>
  <si>
    <t>Devolução acordo Cooperativa Alpha parcela 5/8 - Joise 39,55%</t>
  </si>
  <si>
    <t>Sorvetes pq. Rizzo</t>
  </si>
  <si>
    <t>Estacionamento pq. Rizzo</t>
  </si>
  <si>
    <t>Brigadeiros</t>
  </si>
  <si>
    <t>Aptamil 1(Isadora)</t>
  </si>
  <si>
    <t>Extensão 2 metros (carregador celular REPUME)</t>
  </si>
  <si>
    <t>Ajuda Mãe (ela pediu)</t>
  </si>
  <si>
    <t>Resgate Economias</t>
  </si>
  <si>
    <t>Remuneração líquida anterior</t>
  </si>
  <si>
    <t>Carregador por indução Powerbank Geonav 10.000 mah 1/3</t>
  </si>
  <si>
    <t>Carregador por indução Powerbank Geonav 10.000 mah 2/3</t>
  </si>
  <si>
    <t>Garrafa preta (beber água)</t>
  </si>
  <si>
    <t>Resgate para (material elétrica e hidráulica lavanderia)</t>
  </si>
  <si>
    <t>Material elétrica e hidráulica lavanderia</t>
  </si>
  <si>
    <t>Coisas pra Clube Anovis (bebidas, salgadinhos)</t>
  </si>
  <si>
    <t>Resgate para (5 cimentos, 40 saco areia)</t>
  </si>
  <si>
    <t>Resgate para (caixinha catadores levar Entulho)</t>
  </si>
  <si>
    <t>Caixinha catadores levar Entulho</t>
  </si>
  <si>
    <t>5 cimentos, 40 saco areia, 10 sacos entulho (reboco casa)</t>
  </si>
  <si>
    <t>Shortinho Isadora (2)</t>
  </si>
  <si>
    <t>SACOS AREIA MÉDIA (CHAPISCO)</t>
  </si>
  <si>
    <t>SACOS ENTULHO</t>
  </si>
  <si>
    <t>Ago/24 á jan/25</t>
  </si>
  <si>
    <t>Fev/25 á</t>
  </si>
  <si>
    <t>Tanque Para Lavanderia Com Bancada Fibra Sintetica</t>
  </si>
  <si>
    <t>Torneira Máquina De Lavar Dupla Tanque</t>
  </si>
  <si>
    <t>Tanque Para Lavanderia Com Bancada Fibra Sintetica (BRUNA)</t>
  </si>
  <si>
    <t>Torneira Máquina De Lavar Dupla Tanque (BRUNA)</t>
  </si>
  <si>
    <t>Gesso reboco casa (40kg)</t>
  </si>
  <si>
    <t>Biquini manga longa Bella</t>
  </si>
  <si>
    <t>Resgate (3 cimentos, tijolos, silicone+aplicador calha)</t>
  </si>
  <si>
    <t>3 cimentos, tijolos, silicone+aplicador calha</t>
  </si>
  <si>
    <t>TIJOLO DE BARRO</t>
  </si>
  <si>
    <t>SILICONE PU40 (CALHA ÁREA CHURRASCO)</t>
  </si>
  <si>
    <t>APLICADOR SILICONE PROFISSIONAL</t>
  </si>
  <si>
    <t>ML</t>
  </si>
  <si>
    <t>TORNEIRA DUPLA TANQUE (PRA NÓS)</t>
  </si>
  <si>
    <t>TORNEIRA DUPLA TANQUE (PRA BRUNA)</t>
  </si>
  <si>
    <t>TANQUE MAIS ACESSÓRIOS (PRA BRUNA)</t>
  </si>
  <si>
    <t>Resgate (gesso 40kg)</t>
  </si>
  <si>
    <t>AREIA FINA (REBOCO)</t>
  </si>
  <si>
    <t>Película tela Samsung S24</t>
  </si>
  <si>
    <t>Controle TV (pai Joise)</t>
  </si>
  <si>
    <t>Sacos LIXO</t>
  </si>
  <si>
    <t>Resgate fundo construção (sacos lixo)</t>
  </si>
  <si>
    <t>Resgate fundo construção (5 cimentos, areia média e fina)</t>
  </si>
  <si>
    <t>5 cimentos, 20 sacos areia média e 1 metro e meio areia fina</t>
  </si>
  <si>
    <t>Impermeabilizante Vedacit Concreto E Argamassa 18 litros</t>
  </si>
  <si>
    <t>QUANTOS M2?</t>
  </si>
  <si>
    <t>VALOR DO METRO</t>
  </si>
  <si>
    <t>MEDIDO ANTES DO INÍCIO DO TRABALHO</t>
  </si>
  <si>
    <t>MEDIDO APÓS TÉRMINO</t>
  </si>
  <si>
    <t>IMPERMEABILIZANTE VEDACIT 18L</t>
  </si>
  <si>
    <t>Resgate fundo construção</t>
  </si>
  <si>
    <t>M.O Luiz Reboco casa parcela 1</t>
  </si>
  <si>
    <t>Botão rosa Joise (dia mulheres)</t>
  </si>
  <si>
    <t>M.O Paulo elétrica e hidráulica lavanderia</t>
  </si>
  <si>
    <t xml:space="preserve">Resgate </t>
  </si>
  <si>
    <t>Sacos entulho (20)</t>
  </si>
  <si>
    <t>PROJEÇÃO DE ENTRADAS E SAÍDAS</t>
  </si>
  <si>
    <t>SALDO ATUAL</t>
  </si>
  <si>
    <t>FORRO GESSO</t>
  </si>
  <si>
    <t>5 cimentos, 1 metro areia fina jacarei</t>
  </si>
  <si>
    <t>Estacinamento levar Joise exame admissional</t>
  </si>
  <si>
    <t>M.O Luiz quebrar paredinhas sala</t>
  </si>
  <si>
    <t>Material conserto canos+sacos entulho</t>
  </si>
  <si>
    <t>M.O LUIZ QUEBRAR PAREDINHAS SALA</t>
  </si>
  <si>
    <t>MATERIAL CONSERTO CANOS+SACOS ENTULHO</t>
  </si>
  <si>
    <t>5 cimentos, 1 metro e meio areia fina jacarei</t>
  </si>
  <si>
    <t>JANELAS E PORTAS</t>
  </si>
  <si>
    <t>PORTA LISA 210X72 (COR IMBUIA) - BANHEIRO</t>
  </si>
  <si>
    <t>PORTA LISA 210X82 (COR IMBUIA) - QUARTO</t>
  </si>
  <si>
    <t>JANELA BRANCA 100X120 (COR BRANCA) - SALA</t>
  </si>
  <si>
    <t>JANELA BRANCA 100X100 (COR BRANCA) - QUARTO</t>
  </si>
  <si>
    <t>JANELA BRANCA 100X150 (COR BRANCA) - COZINHA</t>
  </si>
  <si>
    <t>SEM GRADE</t>
  </si>
  <si>
    <t>COM GRADE</t>
  </si>
  <si>
    <t>JANELA BRANCA 60X80 (COR BRANCA) - BANHEIRO</t>
  </si>
  <si>
    <t>M.O Luiz Reboco casa parcela 2</t>
  </si>
  <si>
    <t>Assinatura armazenamento One Drive (100GB) - Mensal</t>
  </si>
  <si>
    <t>INSTALAÇÃO PORTAS E JANELAS</t>
  </si>
  <si>
    <t>Portas e Janelas</t>
  </si>
  <si>
    <t>Devolução acordo Cooperativa Alpha parcela 6/8 - Alexandre 60,45%</t>
  </si>
  <si>
    <t>Devolução acordo Cooperativa Alpha parcela 6/8 - Joise 39,55%</t>
  </si>
  <si>
    <t>TANQUE MAIS ACESSÓRIOS (PRA NÓS)</t>
  </si>
  <si>
    <t>Frete 1/4</t>
  </si>
  <si>
    <t>Janela branca 60x80 (cor branca) - banheiro 1/4</t>
  </si>
  <si>
    <t>Janela branca 100x150 (cor branca) - cozinha 1/4</t>
  </si>
  <si>
    <t>Janela branca 100x120 (cor branca) - sala 1/4</t>
  </si>
  <si>
    <t>Janela branca 100x100 (cor branca) - quarto 1/4</t>
  </si>
  <si>
    <t>Porta lambril 210x80 (cor branca) - entrada casa 1/4</t>
  </si>
  <si>
    <t>Porta lisa 210x82 (cor imbuia) - quarto 1/4</t>
  </si>
  <si>
    <t>Resistência chuveiro multitemperaturas</t>
  </si>
  <si>
    <t>Porta lisa 210x82 (cor imbuia) - quarto 2/4</t>
  </si>
  <si>
    <t>Porta lambril 210x80 (cor branca) - entrada casa 2/4</t>
  </si>
  <si>
    <t>Janela branca 100x100 (cor branca) - quarto 2/4</t>
  </si>
  <si>
    <t>Janela branca 100x120 (cor branca) - sala 2/4</t>
  </si>
  <si>
    <t>Janela branca 100x150 (cor branca) - cozinha 2/4</t>
  </si>
  <si>
    <t>Janela branca 60x80 (cor branca) - banheiro 2/4</t>
  </si>
  <si>
    <t>Carregador por indução Powerbank Geonav 10.000 mah 3/3</t>
  </si>
  <si>
    <t>zerada, compensação cobraça a maior</t>
  </si>
  <si>
    <t>Porta lisa 210x72 (cor imbuia) - banheiro 1/4</t>
  </si>
  <si>
    <t>Abril / 2025</t>
  </si>
  <si>
    <t>Salário Março / 2025</t>
  </si>
  <si>
    <t>Conta Luz Março / 2025</t>
  </si>
  <si>
    <t>Adiantamento Abril/2025</t>
  </si>
  <si>
    <t>Depósito FGTS Março / 2025</t>
  </si>
  <si>
    <t>Fatura Cartão Crédito Março / 2025</t>
  </si>
  <si>
    <t>Conta Agua Março / 2025</t>
  </si>
  <si>
    <t>CUSTO PAREDES (MEIO MURO GARAGEM) + PASSAR NATA LAJE</t>
  </si>
  <si>
    <t>Aptamil 2 (Isadora)</t>
  </si>
  <si>
    <t>Filha Isadora</t>
  </si>
  <si>
    <t>Conta agua</t>
  </si>
  <si>
    <t>Conta luz</t>
  </si>
  <si>
    <t>Caixa organizadora 50 litros (Isadora)</t>
  </si>
  <si>
    <t>Cesto roupa suja</t>
  </si>
  <si>
    <t>Nan (presente Maria Alice-Diego)</t>
  </si>
  <si>
    <t>M.O Luiz Reboco casa parcela 3</t>
  </si>
  <si>
    <t>Acerto diferença fundo (resgate para conta NUBANK)</t>
  </si>
  <si>
    <t>3 meses (25/03/24 a 25/06/25)</t>
  </si>
  <si>
    <t>Queijo ralado</t>
  </si>
  <si>
    <t>Pilha controle TV</t>
  </si>
  <si>
    <t>Lake + desodorante</t>
  </si>
  <si>
    <t>Frete 2/4</t>
  </si>
  <si>
    <t>COLA ALMAFLEX 1KG (PASSAR PAREDE DO LADO BOCA)</t>
  </si>
  <si>
    <t>Cola almaflex 1kg (passar parede do lado boca)</t>
  </si>
  <si>
    <t>CUSTO HIDRÁULICA (LIGAÇÃO NOVA CAIXA, LEVAR CANO ATE BANHEIRO)</t>
  </si>
  <si>
    <t>CUSTO HIDRÁULICA (AGUA E ESGOTO BANHEIRO E COZINHA)</t>
  </si>
  <si>
    <t>REGISTRO GAVETA C50</t>
  </si>
  <si>
    <t>REGISTRO PRESSÃO 3/4 C50</t>
  </si>
  <si>
    <t>COTOVELO 3/4</t>
  </si>
  <si>
    <t>COTOVELO AZUL 3/4</t>
  </si>
  <si>
    <t>LUVA 3/4 MARRON</t>
  </si>
  <si>
    <t>COTOVELO 50 ESGOTO</t>
  </si>
  <si>
    <t>ANEL VEDAÇÃO 50MM</t>
  </si>
  <si>
    <t>BARRA CANO 50 ESGOTO 6 METROS</t>
  </si>
  <si>
    <t>COTOVELO 100 COM VISITA</t>
  </si>
  <si>
    <t>BARRA CANO 100 ESGOTO 6 MTS</t>
  </si>
  <si>
    <t>LUVA REDUÇÃO 100X75 ESGOTO</t>
  </si>
  <si>
    <t>CRÉDITO 2X</t>
  </si>
  <si>
    <t>ADAPTADOR CURTO 3/4</t>
  </si>
  <si>
    <t>LUVA AZUL 3/4</t>
  </si>
  <si>
    <t>Hipoglós Isadora</t>
  </si>
  <si>
    <t>Brigadeiros Gourmet</t>
  </si>
  <si>
    <t>Camisa Branca (Batizado Isadora) 1/2</t>
  </si>
  <si>
    <t>Camisa Branca (Batizado Isadora) 2/2</t>
  </si>
  <si>
    <t>2 Ralos Inteligente Anti Odor 15x15 Inox Escovado (banheiro)</t>
  </si>
  <si>
    <t>2 RALOS INTELIGENTE ANTI ODOR 15X15 INOX ESCOVADO (BANHEIRO)</t>
  </si>
  <si>
    <t>CRÉDITO 1X</t>
  </si>
  <si>
    <t>MÃO DE OBRA LUIZ PARTE 4 (6.200,00)</t>
  </si>
  <si>
    <t>MÃO DE OBRA LUIZ PARTE 3 (6.200,00)</t>
  </si>
  <si>
    <t>MÃO DE OBRA LUIZ PARTE 2 (6.200,00)</t>
  </si>
  <si>
    <t>MÃO DE OBRA LUIZ PARTE 1 (6.200,00)</t>
  </si>
  <si>
    <t>Material hidráulica banheiro cozinha</t>
  </si>
  <si>
    <t>REBOCO CASA (QUARTO,COZINHA,BANHEIRO,SALA)</t>
  </si>
  <si>
    <t>CONTRA PISO</t>
  </si>
  <si>
    <t>MÓVEIS</t>
  </si>
  <si>
    <t>GELADEIRA</t>
  </si>
  <si>
    <t>MESA JANTAR</t>
  </si>
  <si>
    <t>ARMARIO COZINHA</t>
  </si>
  <si>
    <t>ARMARIO ROUPA</t>
  </si>
  <si>
    <t>ESTANTE TV SALA</t>
  </si>
  <si>
    <t>FOGÃO</t>
  </si>
  <si>
    <t>PIA COM BANCADA</t>
  </si>
  <si>
    <t>SOFÁ SALA</t>
  </si>
  <si>
    <t>AREIA MÉDIA JACAREI</t>
  </si>
  <si>
    <t>ARGAMASSA VOTORAN AC1 20 KG</t>
  </si>
  <si>
    <t>Material contrapiso (1 metro areia, 2 cimentos, 2 argamassas, 150 tijolinho barro</t>
  </si>
  <si>
    <t>Sala 4,50x2,45</t>
  </si>
  <si>
    <t>Salinha TV 2,60x1,40</t>
  </si>
  <si>
    <t>Cozinha 4,60x3,90</t>
  </si>
  <si>
    <t>Corredor banheiro 1,70x1,17</t>
  </si>
  <si>
    <t>Banheiro 2,70x1,65</t>
  </si>
  <si>
    <t>Quarto 4,10x3,15</t>
  </si>
  <si>
    <t>Valor total</t>
  </si>
  <si>
    <t>Valor M.O M2</t>
  </si>
  <si>
    <r>
      <t>Revestimento Piso</t>
    </r>
    <r>
      <rPr>
        <b/>
        <sz val="12"/>
        <color rgb="FF0000FF"/>
        <rFont val="Arial"/>
        <family val="2"/>
      </rPr>
      <t xml:space="preserve"> (Chão)</t>
    </r>
  </si>
  <si>
    <t>Valor revestimento M2</t>
  </si>
  <si>
    <t>M.O Luiz Reboco casa parcela 4</t>
  </si>
  <si>
    <t>MÃO DE OBRA LUIZ PARTE 5 (6.200,00)</t>
  </si>
  <si>
    <t>Pizza batizado Isadora</t>
  </si>
  <si>
    <t>CONTRA PISO (QUARTO,BANHEIRO + ESCADA ENTRE SALA E COZINHA)</t>
  </si>
  <si>
    <t>M. O LUIZ ESCADA 2 DEGRAUS ENTRE SALA E COZINHA</t>
  </si>
  <si>
    <t>AREIA GROSSA</t>
  </si>
  <si>
    <t>TIJOLO 6 FUROS (ESCADINHA SALA/COZINHA)</t>
  </si>
  <si>
    <t>Maio / 2025</t>
  </si>
  <si>
    <t>M.O Luiz Reboco casa parcela 5</t>
  </si>
  <si>
    <t>Material contrapiso (1 metro areia, 4 cimentos, 30 tijolos 6 furos-escadinha)</t>
  </si>
  <si>
    <t>Material hidráulica e esgoto banheiro/cozinha 1/2</t>
  </si>
  <si>
    <t>Material hidráulica e esgoto banheiro/cozinha 2/2</t>
  </si>
  <si>
    <t>Histórico</t>
  </si>
  <si>
    <t>L</t>
  </si>
  <si>
    <t>CS</t>
  </si>
  <si>
    <t>LJ</t>
  </si>
  <si>
    <t>Concreto usinado 10m3 + Bomba 1/6</t>
  </si>
  <si>
    <t>Concreto usinado 10m3 + Bomba (CONSTRUMIX) 2/6</t>
  </si>
  <si>
    <t>J</t>
  </si>
  <si>
    <t>Mão de Obra Luiz (Reboco Casa) 1</t>
  </si>
  <si>
    <t xml:space="preserve">Barra calça jeans azul </t>
  </si>
  <si>
    <t>M. O LUIZ CONTAPISO (25 M2 X R$ 35,00)</t>
  </si>
  <si>
    <t>INSTALAÇÃO PORTA LISA 210X72 - BANHEIRO</t>
  </si>
  <si>
    <t>INSTALAÇÃO PORTA LISA 210X82 - QUARTO</t>
  </si>
  <si>
    <t>INSTALAÇÃO  JANELA BRANCA 100X100- QUARTO</t>
  </si>
  <si>
    <t>INSTALAÇÃO JANELA BRANCA 100X120 - SALA</t>
  </si>
  <si>
    <t>INSTALAÇÃO JANELA BRANCA 100X150 - COZINHA</t>
  </si>
  <si>
    <t>INSTALAÇÃO JANELA BRANCA 60X80 - BANHEIRO</t>
  </si>
  <si>
    <t>AREIA MÉDIA JACAREI (SACOS)</t>
  </si>
  <si>
    <t>Kit 3 Espumas Expansiva Adesivo De Poliuretano Tekbond 500ml</t>
  </si>
  <si>
    <t>ESPUMA ESPANSIVA TEK BOND 500ML</t>
  </si>
  <si>
    <t>2 cimentos, 15 sacos areia média (instalar portas e janelas)</t>
  </si>
  <si>
    <t>Frete devolver porta aluminio da entrada</t>
  </si>
  <si>
    <t>CENTER MEGA</t>
  </si>
  <si>
    <t>FRETE DEVOLUÇÃO PORTA ALUMINIO ENTRADA (TROCA DE 80 POR 100 DE LARGURA)</t>
  </si>
  <si>
    <t>2 CAIXAS SIFONADAS RALOS BANHEIRO</t>
  </si>
  <si>
    <t>ANÉIS DE VEDAÇÃO, FITAS PERFURADAS, COTOVELOS, E OUTROS</t>
  </si>
  <si>
    <t>COTOVELOS, LIXAS, ANEL VEDAÇÃO, COLA, CANALETAS</t>
  </si>
  <si>
    <t>3 Peitoris janelas VERDE UBATUBA (quarto, cozinha e sala) 1/2</t>
  </si>
  <si>
    <t>MARMORARIA GUSMÃO</t>
  </si>
  <si>
    <t>3 PEITORIS JANELAS VERDE UBATUBA (QUARTO,COZINHA E SALA)</t>
  </si>
  <si>
    <t>3 Peitoris janelas VERDE UBATUBA (quarto, cozinha e sala) 2/2</t>
  </si>
  <si>
    <t>Mão de Obra  eletricista Paulo (instalação fios, caixa e disjuntores casa) total 550,00 1/2</t>
  </si>
  <si>
    <t>Mão de Obra  eletricista Paulo (instalação fios, caixa e disjuntores casa) total 550,00 2/2</t>
  </si>
  <si>
    <t xml:space="preserve">Mão de Obra Ganso telhamento garagem 1/2 </t>
  </si>
  <si>
    <t>Mão de Obra Paulo parcela 1/2 (hidráulica)</t>
  </si>
  <si>
    <t>Mão de Obra Paulo parcela (pia churrasqueira+pintura garagem+quebrar paredinha)</t>
  </si>
  <si>
    <t>Mão de Obra Paulo parcela 2/2 (hidráulica)</t>
  </si>
  <si>
    <t>Mão de Obra Paulo + Material elétrica e hidráulica lavanderia</t>
  </si>
  <si>
    <t>Mão de Obra Luiz quebrar paredinhas sala</t>
  </si>
  <si>
    <t>Mão de Obra Luiz Reboco casa parcela 2</t>
  </si>
  <si>
    <t>Mão de Obra Luiz Reboco casa parcela 3</t>
  </si>
  <si>
    <t>Mão de Obra Luiz Reboco casa parcela 4</t>
  </si>
  <si>
    <t>Mão de Obra Luiz Reboco casa parcela 5</t>
  </si>
  <si>
    <t>CASA</t>
  </si>
  <si>
    <t>AREA CHURRASCO</t>
  </si>
  <si>
    <t>JURÍDICO (PROCESSO JUDICIAL CONTRA ALPHA P/REEMBOLSO)</t>
  </si>
  <si>
    <t>ALEXANDRE</t>
  </si>
  <si>
    <t>Carnes e outros churrasco Batizado Isadora (500,00 crédito)</t>
  </si>
  <si>
    <t>M.O PAULO HIDRÁULICA E ESGOTO BANHERIO E COZINHA</t>
  </si>
  <si>
    <t>2 caixas sifonadas ralos banheiro</t>
  </si>
  <si>
    <t>Mão de obra Paulo hidráulica e esgoto banherio e cozinha</t>
  </si>
  <si>
    <t>Anéis de vedação, fitas perfuradas, cotovelos, e outros</t>
  </si>
  <si>
    <t>Carnes e outros churrasco Batizado Isadora (109,08 débito)</t>
  </si>
  <si>
    <t>Depósito Alexandre fundo construção (Adto)</t>
  </si>
  <si>
    <t>Depósito Alexandre fundo construção (Emergência)</t>
  </si>
  <si>
    <t>Carvão churrasco Batizado Isadora (2)</t>
  </si>
  <si>
    <t>Fotos batizado Isadora (joise 200,00) total 300,00</t>
  </si>
  <si>
    <t>Gelo churrasco batizado Isadora (2)</t>
  </si>
  <si>
    <t>Refri+Gelo churrasco batizado Isadora (2)</t>
  </si>
  <si>
    <t>Depósito Alexandre fundo construção (Pagto)</t>
  </si>
  <si>
    <t>CUSTO TANQUES + ELÉTRICA + HIDRÁULICA (LAVANDERIA)</t>
  </si>
  <si>
    <r>
      <t xml:space="preserve">Revestimento </t>
    </r>
    <r>
      <rPr>
        <b/>
        <sz val="12"/>
        <color rgb="FF0000FF"/>
        <rFont val="Arial"/>
        <family val="2"/>
      </rPr>
      <t>(Paredes)</t>
    </r>
  </si>
  <si>
    <t>M.O Luiz escada (divisa sala/cozinha)</t>
  </si>
  <si>
    <t>Gasolina paga REPUME (40 x 6,039)</t>
  </si>
  <si>
    <t>INSTALAÇÃO  PORTA LAMBRIL 210X100 - ENTRADA CASA</t>
  </si>
  <si>
    <t>PORTA LAMBRIL 210X100 (COR BRANCA) - ENTRADA CASA</t>
  </si>
  <si>
    <t>I-pago em 08/04/25</t>
  </si>
  <si>
    <t>OD-pago em 08/04/25</t>
  </si>
  <si>
    <t>Diferença troca porta entrada de 0,80 por 1,00 largura</t>
  </si>
  <si>
    <t>PINTURA MO+MAT</t>
  </si>
  <si>
    <t>FORRO EM GESSO</t>
  </si>
  <si>
    <t>LEROY MERLIM</t>
  </si>
  <si>
    <t>CABO FLEXÍVEL ANTICHAMAS 750V 1,5MM² PRETO 100M COBRECOM</t>
  </si>
  <si>
    <t>CABO FLEXÍVEL ANTICHAMAS 750V 1,5MM² VERMELHO 100M COBRECOM</t>
  </si>
  <si>
    <t>FITA ISOLANTE 3M IMPERIAL PRETA 18MMX20M</t>
  </si>
  <si>
    <t>200 metros fio 1,5 ligação lampadas forro</t>
  </si>
  <si>
    <t>Mão de obra Luiz escada (divisa sala/cozinha)</t>
  </si>
  <si>
    <t>VAMADRY</t>
  </si>
  <si>
    <t>FATURA CARTÃO</t>
  </si>
  <si>
    <t>GESSO 5KG</t>
  </si>
  <si>
    <t>3 Espuma expansiva + 1 gesso 5kg</t>
  </si>
  <si>
    <t>3 Espumas expansiva + 1 gesso 5kg</t>
  </si>
  <si>
    <t>zerada, compensação cobrança a maior</t>
  </si>
  <si>
    <t>SACO AREIA FINA</t>
  </si>
  <si>
    <t xml:space="preserve">Torta </t>
  </si>
  <si>
    <t>2 Espumas expansiva + 1 saco areia fina + saco cimento 25kg</t>
  </si>
  <si>
    <t>SACO CIMENTO 25KG</t>
  </si>
  <si>
    <t xml:space="preserve">1 Espuma expansiva </t>
  </si>
  <si>
    <t>1 Espuma expansiva</t>
  </si>
  <si>
    <t>Controle LG Magic (paralelo lelong)</t>
  </si>
  <si>
    <t>F-pago em 14/04/25</t>
  </si>
  <si>
    <t>R-pago em 14/04/25</t>
  </si>
  <si>
    <t>FER-pago em 14/04/25</t>
  </si>
  <si>
    <t>Mão de Obra Luiz (instalação janelas e portas)</t>
  </si>
  <si>
    <t>PLAFON LED 36W EMBUTIR ULTRA SLIM 15X120 4000K 120X15 COR BRANCO 110V/220V</t>
  </si>
  <si>
    <t>INTERRUPTOR INTELIGENTE TOUCH 4 TECLAS ORIGINAL WI-FI ALEXA</t>
  </si>
  <si>
    <t>INTERRUPTOR INTELIGENTE WIFI 2 BOTÃO TOUCH + 1 TOMADA ALEXA COR BRANCO TOMADA</t>
  </si>
  <si>
    <t>INTERRUPTOR WIFI INTELIGENTE 3 BOTÕES SMART TOUCH ALEXA</t>
  </si>
  <si>
    <t>10M FITA LED 120LED/M 110V / 220V DIRETA ENERGIA PARA PERFIL COR DA LUZ BRANCO-QUENTE</t>
  </si>
  <si>
    <t>KIT CONECTORES TIRAS ENCAIXE FITA LED COB 12V 18W C/ 05 GAYA COR DA LUZ TODAS 110V/220V</t>
  </si>
  <si>
    <t>PLAFON LED EMBUTIR AVANT 858131374 POP 24W QUADRADO BIVOLT BRANCO NEUTRO 4000K GESSO 28X28CM NICHO CORTE 260MM</t>
  </si>
  <si>
    <t>60 METROS</t>
  </si>
  <si>
    <t>Iluminação forro (interruptores, spots, plafons, fitas led)</t>
  </si>
  <si>
    <t>FORRO DRYWALL TABICA (SALA,COZINHA,BANHEIRO, QUARTO) MATERIAL+MÃO DE OBRA</t>
  </si>
  <si>
    <t>SANCA ABERTA QUARTO (MATERIAL+MÃO DE OBRA)</t>
  </si>
  <si>
    <t>LIGAÇÃO ELÉTRICA SPOTS+FITAS LED+INTERRUPTORES INTELIGENTES</t>
  </si>
  <si>
    <t>Game Pass assinatura 12 meses 10/12 - Mensal</t>
  </si>
  <si>
    <t>Porta lisa 210x72 (cor imbuia) - banheiro 2/4</t>
  </si>
  <si>
    <t>Game Pass assinatura 12 meses 11/12 - Mensal</t>
  </si>
  <si>
    <t>Porta lisa 210x82 (cor imbuia) - quarto 3/4</t>
  </si>
  <si>
    <t>Porta lambril 210x80 (cor branca) - entrada casa 3/4</t>
  </si>
  <si>
    <t>Janela branca 100x100 (cor branca) - quarto 3/4</t>
  </si>
  <si>
    <t>Janela branca 100x120 (cor branca) - sala 3/4</t>
  </si>
  <si>
    <t>Janela branca 100x150 (cor branca) - cozinha 3/4</t>
  </si>
  <si>
    <t>Janela branca 60x80 (cor branca) - banheiro 3/4</t>
  </si>
  <si>
    <t>Frete 3/4</t>
  </si>
  <si>
    <t>Fatura Maio/25 - Vencimento 22/06/2025 - R$ 5.600,00 Santander  R$ 15.650,00 Nubank = 21.250,00</t>
  </si>
  <si>
    <t>Fatura Abril/25 - Vencimento 22/05/2025 - R$ 5.600,00 Santander  R$ 15.650,00 Nubank = 21.250,00</t>
  </si>
  <si>
    <t>Fatura Março/25 - Vencimento 22/04/2025 - R$ 5.600,00 Santander  R$ 15.650,00 Nubank = 21.250,00</t>
  </si>
  <si>
    <t>Fatura Fevereiro/25 - Vencimento 22/03/2025 - R$ 5.600,00 Santander  R$ 15.650,00 Nubank = 21.250,00</t>
  </si>
  <si>
    <t>Fatura Janeiro/25 - Vencimento 22/02/2025 - R$ 5.600,00 Santander  R$ 11.000,00 Nubank = 16.600,00</t>
  </si>
  <si>
    <t>Fatura Junho/25 - Vencimento 22/07/2025 - R$ 5.600,00 Santander  R$ 15.650,00 Nubank = 21.250,00</t>
  </si>
  <si>
    <t>Porta lisa 210x82 (cor imbuia) - quarto 4/4</t>
  </si>
  <si>
    <t>Porta lambril 210x80 (cor branca) - entrada casa 4/4</t>
  </si>
  <si>
    <t>Janela branca 100x100 (cor branca) - quarto 4/4</t>
  </si>
  <si>
    <t>Janela branca 100x120 (cor branca) - sala 4/4</t>
  </si>
  <si>
    <t>Janela branca 100x150 (cor branca) - cozinha 4/4</t>
  </si>
  <si>
    <t>Janela branca 60x80 (cor branca) - banheiro 4/4</t>
  </si>
  <si>
    <t>Frete 4/4</t>
  </si>
  <si>
    <t>Porta lisa 210x72 (cor imbuia) - banheiro 4/4</t>
  </si>
  <si>
    <t>Porta lisa 210x72 (cor imbuia) - banheiro 3/4</t>
  </si>
  <si>
    <t>COZINHA (branco neutro 4.000k)</t>
  </si>
  <si>
    <t>QUARTO E BANHEIRO (branco neutro 4.000k)</t>
  </si>
  <si>
    <t>Branco frio 6.000k 7w (cozinha 8 + banheiro 2 = 10)</t>
  </si>
  <si>
    <t>Branco quente 3.000k 7w sala = 10</t>
  </si>
  <si>
    <t>Branco quente 3.000k 5w quarto 14</t>
  </si>
  <si>
    <t>Kit 10 Luminária Teto Spot Led 7w Direcionável 6500k</t>
  </si>
  <si>
    <t>Kit 10 Luminária Teto Spot Led 7w Direcionável 3000k</t>
  </si>
  <si>
    <t xml:space="preserve">Kit 10 Luminária Teto Spot Led 5w Direcionável 3000k </t>
  </si>
  <si>
    <r>
      <t xml:space="preserve">Kit 10 Luminária Teto Spot Led 7w Direcionável 6500k </t>
    </r>
    <r>
      <rPr>
        <sz val="11"/>
        <color rgb="FFFF0000"/>
        <rFont val="Calibri"/>
        <family val="2"/>
      </rPr>
      <t>(desconto -16,31)</t>
    </r>
  </si>
  <si>
    <t>KIT 10 LUMINÁRIA TETO SPOT LED 7W DIRECIONÁVEL 6500K COZINHA+BANHEIRO</t>
  </si>
  <si>
    <t>KIT 10 LUMINÁRIA TETO SPOT LED 7W DIRECIONÁVEL 3000K - SALA</t>
  </si>
  <si>
    <t>KIT 10 LUMINÁRIA TETO SPOT LED 5W DIRECIONÁVEL 3000K - QUARTO</t>
  </si>
  <si>
    <t>1 SALA E 1 COZINHA</t>
  </si>
  <si>
    <t>Assinatura armazenamento Google One (100GB) - Mensal</t>
  </si>
  <si>
    <t xml:space="preserve">Bone Crusher Black Skull (300g) </t>
  </si>
  <si>
    <t xml:space="preserve">Instalação forro casa toda + elétrica lampadas (7.470,00 / 4.500,00 crédito 3x) </t>
  </si>
  <si>
    <t>Devolução acordo Cooperativa Alpha parcela 7/8 - Joise 39,55%</t>
  </si>
  <si>
    <t>Devolução acordo Cooperativa Alpha parcela 7/8 - Alexandre 60,45%</t>
  </si>
  <si>
    <t>2.970,00 PIX / 4.500,00 3X CRÉDITO</t>
  </si>
  <si>
    <t>Forro drywall tabica (sala,cozinha,banheiro, quarto) + sanca quarto + Ligação elétrica spots+fitas led+interruptores inteligentes 1/3</t>
  </si>
  <si>
    <t>Forro drywall tabica (sala,cozinha,banheiro, quarto) + sanca quarto + Ligação elétrica spots+fitas led+interruptores inteligentes 2/3</t>
  </si>
  <si>
    <t>Mensalidade internet Celular - VIVO (43,00) - Mensal</t>
  </si>
  <si>
    <t>Engate mangueira</t>
  </si>
  <si>
    <t>Ovos páscoa (bella, isadora, joise, kauan, caixa bombom bruna e sogra) total 245,85 (188,85/2)</t>
  </si>
  <si>
    <t>2 Plafon Led 24w Embutir Quadrado Slim Bivolt 6k (quarto e banheiro)</t>
  </si>
  <si>
    <t>Interruptor com 2 Teclas+1 Tomada 10a Branca Tramontina (quarto crianças)</t>
  </si>
  <si>
    <t>Camisa verde claro 1/2</t>
  </si>
  <si>
    <t>Ovos páscoa (bella, isadora, joise, kauan, caixa bombom bruna e sogra) total 245,85 (57,00 débito) 1/2</t>
  </si>
  <si>
    <t>Camisa verde claro 2/2</t>
  </si>
  <si>
    <t>Ovos páscoa (bella, isadora, joise, kauan, caixa bombom bruna e sogra) total 245,85 (57,00 débito) 2/2</t>
  </si>
  <si>
    <t>18 metros fio 1,50 mm</t>
  </si>
  <si>
    <t>Mão de obra Luiz (25 m2 contra-piso quarto+banheiro+corredor)</t>
  </si>
  <si>
    <t>18 METROS FIO 1,5MM (REEMBOLSO VAMADRY)</t>
  </si>
  <si>
    <t>Salário Abril / 2025</t>
  </si>
  <si>
    <t>Conta Luz Abril / 2025</t>
  </si>
  <si>
    <t>Adiantamento Maio/2025</t>
  </si>
  <si>
    <t>Depósito FGTS Abril / 2025</t>
  </si>
  <si>
    <t>Fatura Cartão Crédito Abril / 2025</t>
  </si>
  <si>
    <t>Conta Agua Abril / 2025</t>
  </si>
  <si>
    <t>OUTROS</t>
  </si>
  <si>
    <t>Tesoura de cabelo</t>
  </si>
  <si>
    <t>Vassoura p/casa</t>
  </si>
  <si>
    <t>Condução mãe vir aniversário Kauan</t>
  </si>
  <si>
    <t>Granulado brigadeiro festa Kauan</t>
  </si>
  <si>
    <t>Caixinha telmo tirar madeira janela banheiro</t>
  </si>
  <si>
    <t>Instalação forro + elétrica lampadas Banheiro quarto crianças</t>
  </si>
  <si>
    <t>FORRO DRYWALL TABICA (BANHEIRO QUARTO CRIANÇAS) FORRO+PLAFON+2 SPOT</t>
  </si>
  <si>
    <t>Coberdrom Casal Cobertor Edredom Pele Carneiro Cor Bege</t>
  </si>
  <si>
    <t>01/10/24 A 30/09/25</t>
  </si>
  <si>
    <t>01/01/25 A 31/12/25</t>
  </si>
  <si>
    <t>M.O m2</t>
  </si>
  <si>
    <t>MAT m2</t>
  </si>
  <si>
    <t>TV SALA</t>
  </si>
  <si>
    <t>Venda celular A30 (Amilton Furadeira) 600,00 / 4x (150,00 Vagner) 1/3</t>
  </si>
  <si>
    <t>Casamento Dani e Iago (gravata)</t>
  </si>
  <si>
    <t>Banheiro 8,05x2,65 (altura)</t>
  </si>
  <si>
    <t>(Paredes banheiro 2,70+2,70+1,65+1,00 = 8,05x2,65 = 21,33)</t>
  </si>
  <si>
    <t>Junho / 2025</t>
  </si>
  <si>
    <t>Venda celular A30 (Amilton Furadeira) 600,00 / 4x (150,00 Vagner) 2/3</t>
  </si>
  <si>
    <t>ESTRUTURA PIA (GESSO)</t>
  </si>
  <si>
    <t>BANCADA PIA (GRANITO)</t>
  </si>
  <si>
    <t>Mãe Bella</t>
  </si>
  <si>
    <t>Lake (moon)</t>
  </si>
  <si>
    <t>Liquido arrefecimento Ônix (Paraflu)</t>
  </si>
  <si>
    <t>Lanche (lasanha)</t>
  </si>
  <si>
    <t>(Paredes cozinha 2,90+4,60=7,50x3,00 = 22,50)</t>
  </si>
  <si>
    <t>Cozinha 7,50x3,00 (altura)</t>
  </si>
  <si>
    <t>Multa deixar usar cinto na BR (grave 5 pontos)</t>
  </si>
  <si>
    <t>Philips Cortador de cabelos com 13 ajustes de altura, Bivolt - HC3505/15</t>
  </si>
  <si>
    <t>Resgate Emergência</t>
  </si>
  <si>
    <t>Depósito Alexandre fundo construção (Economias)</t>
  </si>
  <si>
    <t>Depósito Alexandre fundo construção (Pagto.)</t>
  </si>
  <si>
    <t>Crédito gasolina</t>
  </si>
  <si>
    <t>Presente Joise dia das mães (caixa+caneca com foto ela e Isadora+porta retrato duplo com foto dela e Isadora)</t>
  </si>
  <si>
    <t>Presente dias das mães (mãe Isabela) sacola+porta jóias+4 ferreros</t>
  </si>
  <si>
    <t>F-pago em 08/05/25</t>
  </si>
  <si>
    <t>I-pago em 08/05/25</t>
  </si>
  <si>
    <t>OD-pago em 08/05/25</t>
  </si>
  <si>
    <t>FER-pago em 08/05/25</t>
  </si>
  <si>
    <t>Galão Água</t>
  </si>
  <si>
    <t>Almoço (pra Eduardo e Bruna)</t>
  </si>
  <si>
    <t>Presente mãe dias das mães (pix 200,00)</t>
  </si>
  <si>
    <t>Galzerano Cadeira Bebê Alimentação Até 23 Kg Nick Zoo )Isadora 1/3</t>
  </si>
  <si>
    <t>Galzerano Cadeira Bebê Alimentação Até 23 Kg Nick Zoo )Isadora 2/3</t>
  </si>
  <si>
    <t>PISO QUARTO</t>
  </si>
  <si>
    <t>OBSERVAÇÕES</t>
  </si>
  <si>
    <t>PORCELANATO POLIDO 62X62 NOVO AVORIO 5 RETIFICADO- DELTA- CAIXA COM 2,66 M²</t>
  </si>
  <si>
    <t>CRÉDITO 10X</t>
  </si>
  <si>
    <t>15,96 M2 (R$ 59,98 M2)</t>
  </si>
  <si>
    <t>Porcelanato polido 62x62 avoro retificado MATE - QUARTO + 6 sacos argamassa 20kg quartzolit 1/10</t>
  </si>
  <si>
    <t>Galzerano Cadeira Bebê Alimentação Até 23 Kg Nick Zoo )Isadora 3/3</t>
  </si>
  <si>
    <t>Porcelanato polido 62x62 avoro retificado MATE - QUARTO + 6 sacos argamassa 20kg quartzolit 3/10</t>
  </si>
  <si>
    <t>COM-pago em 13/05/25</t>
  </si>
  <si>
    <t>AC-pago em 13/05/25</t>
  </si>
  <si>
    <t>Kit 10 Luminária Teto Spot Led 7w Direcionável 6500k (desconto -16,31)</t>
  </si>
  <si>
    <t>Resgate fundo construção (acerto caixa)</t>
  </si>
  <si>
    <t>500 Espaçador Nivelador 1,0mm + 100 Cunha Slim Cortag Piso Cor Translúcido</t>
  </si>
  <si>
    <t>Kit Revisao 4l Oleo 5w30 Semissintetico + Filtro Corsa Onix</t>
  </si>
  <si>
    <t>500 NIVELADORES 1,00MM+100CUNHA SLIM</t>
  </si>
  <si>
    <t>Pilhas celular brinquedo Isadora</t>
  </si>
  <si>
    <t>Espaçadores 2mm (porcelanato quarto) 100 unidades</t>
  </si>
  <si>
    <t>4 argamassas + 5kg rejunte cor CORDA</t>
  </si>
  <si>
    <t>REJUNTE QUARTZOLIT COR CORDA</t>
  </si>
  <si>
    <t>Fralda Baby Sec G + Nistatina Isadora</t>
  </si>
  <si>
    <t>Multa 4 pontos - Larissa (velocidade)</t>
  </si>
  <si>
    <t>Presente niver Kauan (conjunto moletom azul marinho)</t>
  </si>
  <si>
    <t>Soro fisiológico Isadora</t>
  </si>
  <si>
    <t>Netflix (R$ 20,90) - Mensal</t>
  </si>
  <si>
    <t>Troca homocinética 2 lados + troca de óleo e filtro de óleo 1/3</t>
  </si>
  <si>
    <t>Game Pass assinatura 12 meses 12/12 - Mensal</t>
  </si>
  <si>
    <t>Forro drywall tabica (sala,cozinha,banheiro, quarto) + sanca quarto + Ligação elétrica spots+fitas led+interruptores inteligentes 3/3</t>
  </si>
  <si>
    <t>Porcelanato polido 62x62 avoro retificado MATE - QUARTO + 6 sacos argamassa 20kg quartzolit 4/10</t>
  </si>
  <si>
    <t>Troca homocinética 2 lados + troca de óleo e filtro de óleo 2/3</t>
  </si>
  <si>
    <t>Gasolina paga REPUME (40 x 6,089)</t>
  </si>
  <si>
    <t>Assinatura armazenamento Google Drive (100GB) - Mensal</t>
  </si>
  <si>
    <t>Brinquedo Celular Musical Rosa WAKAII (Isadora) 1/3</t>
  </si>
  <si>
    <t>Brinquedo Celular Musical Rosa WAKAII (Isadora) 2/3</t>
  </si>
  <si>
    <t>Brinquedo Celular Musical Rosa WAKAII (Isadora) 3/3</t>
  </si>
  <si>
    <t>Devolução acordo Cooperativa Alpha parcela 8/8 - Alexandre 60,45%</t>
  </si>
  <si>
    <t>Devolução acordo Cooperativa Alpha parcela 8/8 - Joise 39,55%</t>
  </si>
  <si>
    <t>Espatula borracha passar rejunte</t>
  </si>
  <si>
    <t>M.O luiz porcelanato quarto (14 m2 x R$ 40,00)</t>
  </si>
  <si>
    <t>Porcelanato polido 62x62 avoro retificado MATE 6 CAIXAS - QUARTO + 6 sacos argamassa 20kg quartzolit 2/10</t>
  </si>
  <si>
    <t>Porcelanato polido 62x62 avoro retificado MATE - QUARTO  - 1 CAIXA</t>
  </si>
  <si>
    <t>ESPATULA BORRACHA REJUNTE</t>
  </si>
  <si>
    <t>Depósito Alexandre fundo construção (Adto.)</t>
  </si>
  <si>
    <t>Teste Gravidez (Joise)</t>
  </si>
  <si>
    <t>Despesas diversas (AB)</t>
  </si>
  <si>
    <t>REVESTIMENTO - QUARTO</t>
  </si>
  <si>
    <t>REVESTIMENTO - BANHEIRO</t>
  </si>
  <si>
    <t>Troca homocinética 2 lados + troca de óleo e filtro de óleo 3/3</t>
  </si>
  <si>
    <t>Vaquinha Família Ajuda fraldas Vó</t>
  </si>
  <si>
    <t>Remédio mal jeito costas Academia (flanax)</t>
  </si>
  <si>
    <t>Gasolina paga REPUME (20 x 6,089)</t>
  </si>
  <si>
    <t>Porcelanato DORA polido 75x75 176032 (cinza claro-parede BANHEIRO) 12 caixas 1,69M2 - 1/6</t>
  </si>
  <si>
    <t>Porcelanato DELTA rústica Capadócia Ac 84x84 (cinza escuro-chão BANHEIRO) 2 caixas 2,80M2 - 1/6</t>
  </si>
  <si>
    <t>Argamassa Quartizolit Porcelanato Cinza 20 kg  -  1/6</t>
  </si>
  <si>
    <t>Rejunte cor Corda (cinza)  -  1/6</t>
  </si>
  <si>
    <t>Porcelanato DORA polido 75x75 176032 (cinza claro-parede BANHEIRO) 12 caixas 1,69M2 - 2/6</t>
  </si>
  <si>
    <t>Porcelanato DELTA rústica Capadócia Ac 84x84 (cinza escuro-chão BANHEIRO) 2 caixas 2,80M2 - 2/6</t>
  </si>
  <si>
    <t>Argamassa Quartizolit Porcelanato Cinza 20 kg  -  2/6</t>
  </si>
  <si>
    <t>Rejunte cor Corda (cinza)  -  2/6</t>
  </si>
  <si>
    <t>Porcelanato DORA polido 75x75 176032 (cinza claro-parede BANHEIRO) 12 caixas 1,69M2 - 3/6</t>
  </si>
  <si>
    <t>Porcelanato DELTA rústica Capadócia Ac 84x84 (cinza escuro-chão BANHEIRO) 2 caixas 2,80M2 - 3/6</t>
  </si>
  <si>
    <t>Argamassa Quartizolit Porcelanato Cinza 20 kg  -  3/6</t>
  </si>
  <si>
    <t>Rejunte cor Corda (cinza)  -  3/6</t>
  </si>
  <si>
    <t>PORCELANATO DORA POLIDO 75X75 176032 (CINZA CLARO-PAREDE BANHEIRO) 12 CAIXAS 1,69M2 - 1/6</t>
  </si>
  <si>
    <t>PORCELANATO DELTA RÚSTICA CAPADÓCIA AC 84X84 (CINZA ESCURO-CHÃO BANHEIRO) 2 CAIXAS 2,80M2 - 1/6</t>
  </si>
  <si>
    <t>REJUNTE COR CORDA (CINZA)  -  1/6</t>
  </si>
  <si>
    <t>PISO BANHEIRO</t>
  </si>
  <si>
    <t>20,28 M2 (R$ 74,98 M2)</t>
  </si>
  <si>
    <t>5,60 M2 (R$ 65,00 M2)</t>
  </si>
  <si>
    <t>6X CRÉDITO</t>
  </si>
  <si>
    <t>Frete 1/6</t>
  </si>
  <si>
    <t>Frete 2/6</t>
  </si>
  <si>
    <t>Frete 3/6</t>
  </si>
  <si>
    <t>Salário Maio / 2025</t>
  </si>
  <si>
    <t>Conta Luz Maio / 2025</t>
  </si>
  <si>
    <t>Adiantamento Junho/2025</t>
  </si>
  <si>
    <t>Depósito FGTS Maio / 2025</t>
  </si>
  <si>
    <t>Fatura Cartão Crédito Maio / 2025</t>
  </si>
  <si>
    <t>Conta Agua Maio / 2025</t>
  </si>
  <si>
    <t>Película tela celular (Samsung S24 FE)</t>
  </si>
  <si>
    <t>Torneira manual galão água</t>
  </si>
  <si>
    <t>presente dia mães</t>
  </si>
  <si>
    <t>Película Galaxy S20 Fe - Joise</t>
  </si>
  <si>
    <t xml:space="preserve">Capinha Armadura Com Anti Impacto Case Galaxy S24 FE </t>
  </si>
  <si>
    <t>Pré treino Black Skull Bone Crusher sabor Wild Grape (Uva) de 300g</t>
  </si>
  <si>
    <t>Pilhas brinquedo Isadora</t>
  </si>
  <si>
    <t>Cervejas (sorocaba)</t>
  </si>
  <si>
    <t>Pedágio ida Sorocaba</t>
  </si>
  <si>
    <t>Pedágio volta Sorocaba</t>
  </si>
  <si>
    <t>Julho / 2025</t>
  </si>
  <si>
    <t>200 Espaçadores 3mm + 200 cunhas (porcelanato banheiro)</t>
  </si>
  <si>
    <t>Gasolina paga REPUME (30 x 6,089)</t>
  </si>
  <si>
    <t>Motoca Infantil Triciclo C/ Empurrador Proteção Lateral 1/2</t>
  </si>
  <si>
    <t>Motoca Infantil Triciclo C/ Empurrador Proteção Lateral 2/2</t>
  </si>
  <si>
    <t>Nicho Para Banheiro Porcelanato 100x30cm - 1 Metro   1/7</t>
  </si>
  <si>
    <t>Nicho Para Banheiro Porcelanato 100x30cm - 1 Metro   2/7</t>
  </si>
  <si>
    <t>Nicho Para Banheiro Porcelanato 100x30cm - 1 Metro   3/7</t>
  </si>
  <si>
    <t xml:space="preserve">100 ESPAÇADORES 3MM </t>
  </si>
  <si>
    <t>7X CRÉDITO</t>
  </si>
  <si>
    <t>PORCELANATO DORA POLIDO 75X75 176032 (CINZA CLARO-PAREDE BANHEIRO) 5 CAIXAS 1,69M2 - 1/5</t>
  </si>
  <si>
    <t>5X CRÉDITO</t>
  </si>
  <si>
    <t>8,45 M2 (R$ 60,00 M2)</t>
  </si>
  <si>
    <t>Porcelanato DORA polido 75x75 176032 (cinza claro-parede BANHEIRO) 5 caixas 1,69M2 - 1/5</t>
  </si>
  <si>
    <t>Porcelanato DORA polido 75x75 176032 (cinza claro-parede BANHEIRO) 5 caixas 1,69M2 - 2/5</t>
  </si>
  <si>
    <t>Porcelanato DORA polido 75x75 176032 (cinza claro-parede BANHEIRO) 5 caixas 1,69M2 - 3/5</t>
  </si>
  <si>
    <t>M.O Luiz (porcelanato banheiro 27m2) parcela 1</t>
  </si>
  <si>
    <t>F-pago em 06/06/25</t>
  </si>
  <si>
    <t>I-pago em 06/06/25</t>
  </si>
  <si>
    <t>R-pago em 06/06/25</t>
  </si>
  <si>
    <t>Mão de obra Paulo hidráulica e esgoto banheiro e cozinha</t>
  </si>
  <si>
    <t>Fralda + hipoglós isadora</t>
  </si>
  <si>
    <t>Comidas (festa junina Isabella)</t>
  </si>
  <si>
    <t>5 sacos argamassa (revestimento banheiro)</t>
  </si>
  <si>
    <t>Custo tributário sobre salário</t>
  </si>
  <si>
    <t>Fita Led Adesiva 3m Com Sensor Presença (NICHO BANHEIRO)</t>
  </si>
  <si>
    <t>CLT - ATUAL</t>
  </si>
  <si>
    <t>Soro e lenço papel Isadora</t>
  </si>
  <si>
    <t>Pizza (dia namorados Joise)</t>
  </si>
  <si>
    <t>Cervejas casa Su</t>
  </si>
  <si>
    <t>12 sacos argamassas (revestimento cozinha+sala) + 1 kg Rejunte acrilico</t>
  </si>
  <si>
    <t>REJUNTE COR CORDA (CINZA) - ACRILICO (CHÃO BANHEIRO)</t>
  </si>
  <si>
    <t>REVESTIMENTO - COZINHA + SALA</t>
  </si>
  <si>
    <t>OD-pago em 16/06/25</t>
  </si>
  <si>
    <t>F2-pago em 16/06/25</t>
  </si>
  <si>
    <t>DC-pago em 16/06/25</t>
  </si>
  <si>
    <t>M.O Luiz (porcelanato banheiro 27m2) parcela 2</t>
  </si>
  <si>
    <t>REV. COZINHA+SALA</t>
  </si>
  <si>
    <t xml:space="preserve">PORCELANATO DELTA PULPIS SAND 84X84 POLIDO (BEGE) 18 CAIXAS 2,80M2 </t>
  </si>
  <si>
    <t>50,40 M2 (R$ 67,00 M2)</t>
  </si>
  <si>
    <t>REJUNTE QUARTZOLIT COR BEGE 1KG</t>
  </si>
  <si>
    <t>ARGAMASSA QUARTIZOLIT PISO SOBRE PISO (CHÃO)</t>
  </si>
  <si>
    <t>10X CRÉDITO</t>
  </si>
  <si>
    <t>ARGAMASSA QUARTIZOLIT (PAREDES)</t>
  </si>
  <si>
    <t>Porcelanato</t>
  </si>
  <si>
    <t>Rejunte</t>
  </si>
  <si>
    <t>Outros (espaçadores...etc)</t>
  </si>
  <si>
    <r>
      <t xml:space="preserve">M.O LUIZ </t>
    </r>
    <r>
      <rPr>
        <sz val="10"/>
        <color rgb="FFFF0000"/>
        <rFont val="Arial"/>
        <family val="2"/>
      </rPr>
      <t>(27M2 X R$ 40,00)</t>
    </r>
    <r>
      <rPr>
        <sz val="10"/>
        <rFont val="Arial"/>
        <family val="2"/>
      </rPr>
      <t xml:space="preserve"> 2/2</t>
    </r>
  </si>
  <si>
    <t>M.O LUIZ COLOCAR NICHO BANHEIRO</t>
  </si>
  <si>
    <r>
      <t xml:space="preserve">M.O LUIZ QUARTO </t>
    </r>
    <r>
      <rPr>
        <sz val="10"/>
        <color rgb="FFFF0000"/>
        <rFont val="Arial"/>
        <family val="2"/>
      </rPr>
      <t>(27M2 X R$ 40,00)</t>
    </r>
    <r>
      <rPr>
        <sz val="10"/>
        <rFont val="Arial"/>
        <family val="2"/>
      </rPr>
      <t xml:space="preserve"> 1/2</t>
    </r>
  </si>
  <si>
    <r>
      <t xml:space="preserve">M.O LUIZ QUARTO </t>
    </r>
    <r>
      <rPr>
        <sz val="10"/>
        <color rgb="FFFF0000"/>
        <rFont val="Arial"/>
        <family val="2"/>
      </rPr>
      <t>(14 M2 X R$ 40,00)</t>
    </r>
  </si>
  <si>
    <t>ARGAMASSA QUARTIZOLIT CINZA 20 KG -AC2</t>
  </si>
  <si>
    <t>NICHO BANHEIRO 100X30CM-1 METRO</t>
  </si>
  <si>
    <t>200 ESPAÇADORES 3MM + 200 CUNHAS</t>
  </si>
  <si>
    <t>ARGAMASSA QUARTIZOLIT CINZA 20 KG  -  1/6</t>
  </si>
  <si>
    <t>ARGAMASSA QUARTZOLIT</t>
  </si>
  <si>
    <t xml:space="preserve">	
ARGAMASSA PARA CINZA INTERNO 20K -QUARTZOLIT</t>
  </si>
  <si>
    <t>Fatura Julho/25 - Vencimento 22/08/2025 - R$ 5.600,00 Santander  R$ 15.650,00 Nubank = 21.250,00</t>
  </si>
  <si>
    <t>Fatura Agosto/25 - Vencimento 22/09/2025 - R$ 5.600,00 Santander  R$ 15.650,00 Nubank = 21.250,00</t>
  </si>
  <si>
    <t>Porcelanato polido 62x62 avoro retificado MATE - QUARTO + 6 sacos argamassa 20kg quartzolit 5/10</t>
  </si>
  <si>
    <t>Porcelanato DORA polido 75x75 176032 (cinza claro-parede BANHEIRO) 12 caixas 1,69M2 - 4/6</t>
  </si>
  <si>
    <t>Porcelanato DELTA rústica Capadócia Ac 84x84 (cinza escuro-chão BANHEIRO) 2 caixas 2,80M2 - 4/6</t>
  </si>
  <si>
    <t>Argamassa Quartizolit Porcelanato Cinza 20 kg  -  4/6</t>
  </si>
  <si>
    <t>Rejunte cor Corda (cinza)  -  4/6</t>
  </si>
  <si>
    <t>Frete 4/6</t>
  </si>
  <si>
    <t>Nicho Para Banheiro Porcelanato 100x30cm - 1 Metro   4/7</t>
  </si>
  <si>
    <t>Porcelanato DORA polido 75x75 176032 (cinza claro-parede BANHEIRO) 5 caixas 1,69M2 - 4/5</t>
  </si>
  <si>
    <t>Escova de cabelo</t>
  </si>
  <si>
    <t>4 Pilhas AAA palito (recarregável-fita de led nicho banheiro)</t>
  </si>
  <si>
    <t>Fralda Isadora</t>
  </si>
  <si>
    <t>Abo (São Bernardo Campo) - dividido com Joise</t>
  </si>
  <si>
    <t>Resgate Economias (pagar cartão OD)</t>
  </si>
  <si>
    <t>100 NIVELADORES 2,00mm (RECOMENDAÇÃO DO FABRICANTE)</t>
  </si>
  <si>
    <t>500 espaçador e 100 cunha 2mm+500 espaçador e 100 cunha 3mm (sala+cozinha)</t>
  </si>
  <si>
    <t>500 espaçador e 100 cunha 2mm+500 espaçador e 100 cunha 3mm</t>
  </si>
  <si>
    <t>Bolão megasena São João (REPUME)</t>
  </si>
  <si>
    <t>Lenço papel Isadora</t>
  </si>
  <si>
    <t>Teste gravidez (Joise)</t>
  </si>
  <si>
    <t>2 pacotes de fralda G Isadora(1 casa joise 1 minha casa)</t>
  </si>
  <si>
    <t>Venda celular A30 (Amilton Furadeira) 600,00 / 4x (150,00 Vagner) 3/3</t>
  </si>
  <si>
    <t>Gasolina paga REPUME (10 x 6,089)</t>
  </si>
  <si>
    <t>M.O Luiz (porcelanato cozinha+sala 55m2) parcela 1</t>
  </si>
  <si>
    <t>3 meses (26/06/25 a 25/09/25)</t>
  </si>
  <si>
    <t>Sorvete (Bella)</t>
  </si>
  <si>
    <t>M.O Luiz (porcelanato cozinha+sala 55m2) parcela 2</t>
  </si>
  <si>
    <t>Poder de compra</t>
  </si>
  <si>
    <t>Liquido salário+VA</t>
  </si>
  <si>
    <t>Luva cano</t>
  </si>
  <si>
    <t>$</t>
  </si>
  <si>
    <t>Remédio (flanax-torcicolo)</t>
  </si>
  <si>
    <t>Blusa+brindes - TEMU 1/3</t>
  </si>
  <si>
    <t>Porcelanato DELTA Pulpis 84x84 Bege (Cozinha+sala)  18 caixas 2,80M2 - 1/10 + Argamassas + Rejuntes</t>
  </si>
  <si>
    <t>Porcelanato DELTA Pulpis 84x84 Bege (Cozinha+sala) 4 caixas 2,80M2 - 1/3</t>
  </si>
  <si>
    <t xml:space="preserve">PORCELANATO DELTA PULPIS SAND 84X84 POLIDO (BEGE) 4 CAIXAS 2,80M2 </t>
  </si>
  <si>
    <t>11,20 M2 (R$ 67,00 M2)</t>
  </si>
  <si>
    <t>DC-pago em 02/07/25</t>
  </si>
  <si>
    <t>R-pago em 02/07/25</t>
  </si>
  <si>
    <t>1 soleira 0,90x0,20 quarto + 1 soleira 1,15x0,15 corredor banheiro</t>
  </si>
  <si>
    <t>1 SOLEIRA 0,90X0,20 QUARTO + 1 SOLEIRA 1,15X0,15 CORREDOR BANHEIRO</t>
  </si>
  <si>
    <t>GUSMÃO-MAMORARIA</t>
  </si>
  <si>
    <t>Blusa+brindes - TEMU 2/3</t>
  </si>
  <si>
    <t>Porcelanato DELTA Pulpis 84x84 Bege (Cozinha+sala) 4 caixas 2,80M2 - 2/3</t>
  </si>
  <si>
    <t>Blusa+brindes - TEMU 3/3</t>
  </si>
  <si>
    <t>Porcelanato DELTA Pulpis 84x84 Bege (Cozinha+sala) 4 caixas 2,80M2 - 3/3</t>
  </si>
  <si>
    <t>Chuveiro Elétrico De Parede Lorenzetti Acqua Ultra Storm preto 7.8kW  1/3</t>
  </si>
  <si>
    <t>Chuveiro Elétrico De Parede Lorenzetti Acqua Ultra Storm preto 7.8kW   2/3</t>
  </si>
  <si>
    <t>Chuveiro Elétrico De Parede Lorenzetti Acqua Ultra Storm preto 7.8kW    3/3</t>
  </si>
  <si>
    <t>Aveia farelo Isadora</t>
  </si>
  <si>
    <t>Hipoglos Isadora</t>
  </si>
  <si>
    <t>Conta Luz Junho / 2025</t>
  </si>
  <si>
    <t>Adiantamento Julho/2025</t>
  </si>
  <si>
    <t>Depósito FGTS Junho / 2025</t>
  </si>
  <si>
    <t>Fatura Cartão Crédito Junho / 2025</t>
  </si>
  <si>
    <t>Conta Agua Junho / 2025</t>
  </si>
  <si>
    <t>Salário Junho / 2025</t>
  </si>
  <si>
    <t>F2-pago em 02/07/25</t>
  </si>
  <si>
    <t>Aquecedor Residencial A1 Branco 1500w - Isadora</t>
  </si>
  <si>
    <t>Kit Jogo De Ferramentas 129 Peças Maleta Completo Tbt129 The Black Tools + Furadeira Parafusadeira De Impacto Pb6500k Com Maleta E Acessórios 1/5</t>
  </si>
  <si>
    <t>Lake cabelo + 2 desodorantes</t>
  </si>
  <si>
    <t>M.O Luiz (porcelanato cozinha+sala 60m2) parcela 1</t>
  </si>
  <si>
    <t>M.O Luiz (porcelanato cozinha+sala 60m2) parcela 2</t>
  </si>
  <si>
    <t>M.O Luiz (porcelanato cozinha+sala 60m2) parcela 3</t>
  </si>
  <si>
    <t>Samsung S24 FE 256 gb SM-S721B/DS (comprado seminovo pela OLX valor de mercado 4.500,00)</t>
  </si>
  <si>
    <t>2 conectores Wago (chuveiro-lorenzetti storm)</t>
  </si>
  <si>
    <t>1 cerveja</t>
  </si>
  <si>
    <t>Kit Jogo De Ferramentas 129 Peças Maleta Completo Tbt129 The Black Tools + Furadeira Parafusadeira De Impacto Pb6500k Com Maleta E Acessórios 2/5</t>
  </si>
  <si>
    <t>Kit Jogo De Ferramentas 129 Peças Maleta Completo Tbt129 The Black Tools + Furadeira Parafusadeira De Impacto Pb6500k Com Maleta E Acessórios 3/5</t>
  </si>
  <si>
    <t>Lalamove (buscar 2 soleiras no jd. mimás)</t>
  </si>
  <si>
    <t>Saboneteira Abs Attic Preto 2009 F24 Lorenzetti</t>
  </si>
  <si>
    <t>Kit Acessórios Toalheiro Duplo Inox 304 - 4 Peças 1/4</t>
  </si>
  <si>
    <t>Kit Acessórios Toalheiro Duplo Inox 304 - 4 Peças 2/4</t>
  </si>
  <si>
    <t>Kit Acessórios Toalheiro Duplo Inox 304 - 4 Peças 3/4</t>
  </si>
  <si>
    <t xml:space="preserve">PORCELANATO DELTA PULPIS SAND 84X84 POLIDO (BEGE) 2 CAIXAS 2,80M2 </t>
  </si>
  <si>
    <t>5,60 M2 (R$ 67,00 M2)</t>
  </si>
  <si>
    <t>Acabamento torneira chuveiro Padrão Deca Preto Barcelona 1/2</t>
  </si>
  <si>
    <t>Acabamento torneira chuveiro Padrão Deca Preto Barcelona 2/2</t>
  </si>
  <si>
    <t>2 rejuntes Bege (Cozinha+sala)</t>
  </si>
  <si>
    <t>2 argamassas AC2 (porcelanato Cozinha+sala)</t>
  </si>
  <si>
    <t>ARGAMASSA QUARTIZOLIT AC2</t>
  </si>
  <si>
    <t>Mop Plano 3 Em 1 Limpeza Pesada Esfregão Multiuso Flash Limp Cor Verde</t>
  </si>
  <si>
    <t>Soleira 0,90 x 0,12 (quarto)</t>
  </si>
  <si>
    <t>ACESSÓRIOS BANHEIRO</t>
  </si>
  <si>
    <t>800,00 pix + 200,00 dinheiro</t>
  </si>
  <si>
    <t>Sala</t>
  </si>
  <si>
    <t>M2</t>
  </si>
  <si>
    <t>Comodo</t>
  </si>
  <si>
    <t>Salinha</t>
  </si>
  <si>
    <t>Chão cozinha</t>
  </si>
  <si>
    <t>Paredes Cozinha</t>
  </si>
  <si>
    <t>Corredor</t>
  </si>
  <si>
    <t>Total M2</t>
  </si>
  <si>
    <t>Colocar 2 soleiras (quarto/banheiro)</t>
  </si>
  <si>
    <t>Pago após término</t>
  </si>
  <si>
    <t>Pago durante obra</t>
  </si>
  <si>
    <t>M.O Luiz (porcelanato cozinha+sala 60m2) parcela 4</t>
  </si>
  <si>
    <r>
      <t xml:space="preserve">M.O LUIZ 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4</t>
    </r>
  </si>
  <si>
    <r>
      <t xml:space="preserve">M.O LUIZ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3</t>
    </r>
  </si>
  <si>
    <r>
      <t xml:space="preserve">M.O LUIZ 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2</t>
    </r>
  </si>
  <si>
    <r>
      <t xml:space="preserve">M.O LUIZ 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1</t>
    </r>
  </si>
  <si>
    <r>
      <t xml:space="preserve">M.O LUIZ  </t>
    </r>
    <r>
      <rPr>
        <sz val="10"/>
        <color rgb="FFFF0000"/>
        <rFont val="Arial"/>
        <family val="2"/>
      </rPr>
      <t>(62M2 X R$ 55,00 = 3.410,00)</t>
    </r>
    <r>
      <rPr>
        <sz val="10"/>
        <rFont val="Arial"/>
        <family val="2"/>
      </rPr>
      <t xml:space="preserve"> - PARCELA 5</t>
    </r>
  </si>
  <si>
    <t>M.O LUIZ COLOCAR 2 SOLEIRAS (QUARTO E CORREDOR BANHEIRO)</t>
  </si>
  <si>
    <t>Porcelanato DELTA Pulpis 84x84 Bege (Cozinha+sala) 2 caixas 2,80M2 - 1/7</t>
  </si>
  <si>
    <t>Porcelanato DELTA Pulpis 84x84 Bege (Cozinha+sala) 2 caixas 2,80M2 - 2/7</t>
  </si>
  <si>
    <t>Porcelanato DELTA Pulpis 84x84 Bege (Cozinha+sala) 2 caixas 2,80M2 - 3/7</t>
  </si>
  <si>
    <t>M.O Luiz (porcelanato cozinha+sala 60m2) parcela 5</t>
  </si>
  <si>
    <t>M.O Luiz colocar 2 soleiras (quarto e corredor banheiro) 100,00  cada</t>
  </si>
  <si>
    <t>Tapete marrom entrada sala</t>
  </si>
  <si>
    <t>Pizza (meu e Joise)</t>
  </si>
  <si>
    <t>Valor M2</t>
  </si>
  <si>
    <t>Saboneteira Dupla De Luxo Porta Sabonete Vidro Redondo Fumê Cor Preto</t>
  </si>
  <si>
    <t>Escova Dente Bebê Extramacias - Isadora</t>
  </si>
  <si>
    <t xml:space="preserve">M.O </t>
  </si>
  <si>
    <t>Agosto / 2025</t>
  </si>
  <si>
    <t>Adiantamento Agosto/2025</t>
  </si>
  <si>
    <t>Depósito FGTS Julho / 2025</t>
  </si>
  <si>
    <t>Fatura Cartão Crédito Julho / 2025</t>
  </si>
  <si>
    <t>Conta Agua Julho / 2025</t>
  </si>
  <si>
    <t>F-pago em 15/07/25</t>
  </si>
  <si>
    <t>I-pago em 15/07/25</t>
  </si>
  <si>
    <t>F2-pago em 15/07/25</t>
  </si>
  <si>
    <t>Porcelanato DELTA Pulpis 84x84 Bege (Cozinha+sala)  18 caixas 2,80M2 - 2/10 + Argamassas + Rejuntes</t>
  </si>
  <si>
    <t>Porcelanato DELTA Pulpis 84x84 Bege (Cozinha+sala)  18 caixas 2,80M2 - 3/10 + Argamassas + Rejuntes</t>
  </si>
  <si>
    <t>Bolos pote Patricia (meu, sogra e Joise)</t>
  </si>
  <si>
    <t>SUGAR</t>
  </si>
  <si>
    <t>PINTURA</t>
  </si>
  <si>
    <t>PJ: ME (ATÉ 360 MIL)</t>
  </si>
  <si>
    <t>Rodo+tapete banheiro+escovinha+pano chão+pipocão</t>
  </si>
  <si>
    <t>Parafusos diversos</t>
  </si>
  <si>
    <t>Fatura Setembro/25 - Vencimento 22/10/2025 - R$ 5.600,00 Santander  R$ 15.650,00 Nubank = 21.250,00</t>
  </si>
  <si>
    <t>Porcelanato polido 62x62 avoro retificado MATE - QUARTO + 6 sacos argamassa 20kg quartzolit 6/10</t>
  </si>
  <si>
    <t>Porcelanato DORA polido 75x75 176032 (cinza claro-parede BANHEIRO) 12 caixas 1,69M2 - 5/6</t>
  </si>
  <si>
    <t>Porcelanato DELTA rústica Capadócia Ac 84x84 (cinza escuro-chão BANHEIRO) 2 caixas 2,80M2 - 5/6</t>
  </si>
  <si>
    <t>Argamassa Quartizolit Porcelanato Cinza 20 kg  -  5/6</t>
  </si>
  <si>
    <t>Rejunte cor Corda (cinza)  -  5/6</t>
  </si>
  <si>
    <t>Frete 5/6</t>
  </si>
  <si>
    <t>Nicho Para Banheiro Porcelanato 100x30cm - 1 Metro   5/7</t>
  </si>
  <si>
    <t>Porcelanato DORA polido 75x75 176032 (cinza claro-parede BANHEIRO) 5 caixas 1,69M2 - 5/5</t>
  </si>
  <si>
    <t>Porcelanato DELTA Pulpis 84x84 Bege (Cozinha+sala)  18 caixas 2,80M2 - 4/10 + Argamassas + Rejuntes</t>
  </si>
  <si>
    <t>Kit Jogo De Ferramentas 129 Peças Maleta Completo Tbt129 The Black Tools + Furadeira Parafusadeira De Impacto Pb6500k Com Maleta E Acessórios 4/5</t>
  </si>
  <si>
    <t>Kit Acessórios Toalheiro Duplo Inox 304 - 4 Peças 4/4</t>
  </si>
  <si>
    <t>Porcelanato DELTA Pulpis 84x84 Bege (Cozinha+sala) 2 caixas 2,80M2 - 4/7</t>
  </si>
  <si>
    <t>Game Pass assinatura 12 meses  (INFINITYCARDS-MERCADO LIVRE) - 03/06</t>
  </si>
  <si>
    <t>Game Pass assinatura 12 meses  (INFINITYCARDS-MERCADO LIVRE) - 02/06</t>
  </si>
  <si>
    <t>Alongador torneira chuveiro</t>
  </si>
  <si>
    <t>Lanche hamburgueria com Joise</t>
  </si>
  <si>
    <t>Lanche hamburgueria</t>
  </si>
  <si>
    <t>400 ROBUX Bella</t>
  </si>
  <si>
    <t>Fralda Isadora (casa Joise)</t>
  </si>
  <si>
    <t>Fralda Isadora (minha casa)</t>
  </si>
  <si>
    <t>16/06/2021 - 600,00 (300,00 ADIANTAMENTO E 300,00 NO PAGAMENTO)</t>
  </si>
  <si>
    <t>01/01/2024 - 800,00 (400,00 ADIANTAMENTO E 400,00 NO PAGAMENTO)</t>
  </si>
  <si>
    <t>01/01/2025 - 900,00 (400,00 ADIANTAMENTO E 500,00 NO PAGAMENTO)</t>
  </si>
  <si>
    <t>Terceiros (5,8%)</t>
  </si>
  <si>
    <t>Coisas p/casa(sabonetes+shampoo)</t>
  </si>
  <si>
    <t>Lanche hamburgueria (meu e Joise)</t>
  </si>
  <si>
    <t>Presente niver mãe (cartão presente C&amp;A 100,00 Isadora / 100,00 Isabella) 1/3</t>
  </si>
  <si>
    <t>Presente niver mãe (cartão presente C&amp;A 100,00 Isadora / 100,00 Isabella) 2/3</t>
  </si>
  <si>
    <t>Presente niver mãe (cartão presente C&amp;A 100,00 Isadora / 100,00 Isabella) 3/3</t>
  </si>
  <si>
    <t>Lucro FGTS 2024</t>
  </si>
  <si>
    <t>SAQUE ANIVERSÁRIO 2025</t>
  </si>
  <si>
    <t>SALDO EM 01/10/25</t>
  </si>
  <si>
    <t>Quitação parcela 01/05 (antecipação saque aniver.)</t>
  </si>
  <si>
    <t>Kit 2 Ducha Higienica Intima Registro Banheiro Inox 304luxo (125,00 - 50,00 pagto pelo mercado pago) = 75,63</t>
  </si>
  <si>
    <t>Vaso Sanitário Monobloco Quad Diamante Harmony 8019 (755,44 + 149,11 frete) 1/6</t>
  </si>
  <si>
    <t>Vaso Sanitário Monobloco Quad Diamante Harmony 8019 (755,44 + 149,11 frete) 2/6</t>
  </si>
  <si>
    <t>Vaso Sanitário Monobloco Quad Diamante Harmony 8019 (755,44 + 149,11 frete) 3/6</t>
  </si>
  <si>
    <t>Setembro / 2025</t>
  </si>
  <si>
    <t>Carne Isadora</t>
  </si>
  <si>
    <t>Hamburguer (meu e Joise)</t>
  </si>
  <si>
    <t>Salário Julho / 2025</t>
  </si>
  <si>
    <t>Conta Luz Julho / 2025</t>
  </si>
  <si>
    <t>Remédios Isadora (Azitromicina-infecção intestitno)</t>
  </si>
  <si>
    <t>Caixinha estacionamento hospital</t>
  </si>
  <si>
    <t>F-pago em 06/08/25</t>
  </si>
  <si>
    <t>I-pago em 06/08/25</t>
  </si>
  <si>
    <t>OD-pago em 06/08/25</t>
  </si>
  <si>
    <t>Pacote 50 Bolinhas (barraca Isadora)</t>
  </si>
  <si>
    <t>10 metros fita led (branco quente - BANHEIRO)</t>
  </si>
  <si>
    <t>Barraca infantil rosa 3x1 - Isadora 1/2</t>
  </si>
  <si>
    <t>Barraca infantil rosa 3x1 - Isadora 2/2</t>
  </si>
  <si>
    <t>Hamburger</t>
  </si>
  <si>
    <t>M.O e Material Paulo (Puxar mais uma tomada quarto e cozinha)</t>
  </si>
  <si>
    <t>M.O E MATERIAL PAULO (PUXAR MAIS UMA TOMADA QUARTO E OUTRA COZINHA)</t>
  </si>
  <si>
    <t>Carolinas</t>
  </si>
  <si>
    <t>Hamburguer</t>
  </si>
  <si>
    <t>Presente niver Bruna (cartão presente C&amp;A 100,00 Isadora / 100,00 Isabella) 1/3</t>
  </si>
  <si>
    <t>Presente niver Bruna (cartão presente C&amp;A 100,00 Isadora / 100,00 Isabella) 2/3</t>
  </si>
  <si>
    <t>Presente niver Bruna (cartão presente C&amp;A 100,00 Isadora / 100,00 Isabella) 3/3</t>
  </si>
  <si>
    <t>Caixa chocolate (niver sogra)</t>
  </si>
  <si>
    <t>Engate flexível aço privada banheiro meninas</t>
  </si>
  <si>
    <t>Gancho pendurar roupa banheiro (preto)</t>
  </si>
  <si>
    <t>Shopee</t>
  </si>
  <si>
    <t>Chuveiro Elétrico de Parede Lorenzetti Acqua Ultra Storm preto 7.8kW  1/3</t>
  </si>
  <si>
    <t>Gasolina paga REPUME (30 x 6,237) (103217)</t>
  </si>
  <si>
    <t>Material arrumar trinca laje (1 cimento,3 sacos areia média, 1 cola) + 1 cola PU40 instalar privada banheiro</t>
  </si>
  <si>
    <t>Game Pass assinatura 06 meses  (GAMESAFARI) - 01/06</t>
  </si>
  <si>
    <t>M.O Luis arrumar trinca laje + instalar vaso sanitário banheiro novo</t>
  </si>
  <si>
    <t>Fralda Isadora (Babysec com 32 G)</t>
  </si>
  <si>
    <t>Porta Retrato 12 Meses - Baby Foto 10x15 (aniversário 1 ano Isadora)</t>
  </si>
  <si>
    <t>Controle Compatível Lcd/plasma/led LG Le7057 Akb72915214 - Casa Joise</t>
  </si>
  <si>
    <t>Engate vaso sanitário femea x femea pra conectar na ducha</t>
  </si>
  <si>
    <t>Balde transparente (limpeza casa)</t>
  </si>
  <si>
    <t>hamburguer (meu e Joise)</t>
  </si>
  <si>
    <t>Kit Jogo De Ferramentas 129 Peças Maleta Completo Tbt129 The Black Tools + Furadeira Parafusadeira De Impacto Pb6500k Com Maleta E Acessórios 5/5</t>
  </si>
  <si>
    <t>Lixeira Lixo Linea Sistema Soft Close 5 Litros Aço Inox (banheiro novo)</t>
  </si>
  <si>
    <t>Costureira (tirar touca blusa verde da shopee)</t>
  </si>
  <si>
    <t>Contratação 500mb internet (DCONECT) com reteador incluso - comodato</t>
  </si>
  <si>
    <t>Pagamento proporcional Ago/25 (rescisão contrato conecta fiber-internet)</t>
  </si>
  <si>
    <t>Gasolina paga REPUME (20 x 6,237)</t>
  </si>
  <si>
    <t>Cervejas (niver Aline)</t>
  </si>
  <si>
    <t>Vinho Presente Aline</t>
  </si>
  <si>
    <t>Pedágio ida Guarulhos</t>
  </si>
  <si>
    <t>Pedágio volta Guarulhos</t>
  </si>
  <si>
    <t>Salário Agosto / 2025</t>
  </si>
  <si>
    <t>Conta Luz Agosto / 2025</t>
  </si>
  <si>
    <t>Mensalidade Internet (500MB - R$ 100,00)-DCONECT</t>
  </si>
  <si>
    <t>Depósito FGTS Agosto / 2025</t>
  </si>
  <si>
    <t>Adiantamento Setembro/2025</t>
  </si>
  <si>
    <t>Conta Agua Agosto / 2025</t>
  </si>
  <si>
    <t>Quitação parcela 02/05 (antecipação saque aniver.)</t>
  </si>
  <si>
    <t>Pastel (Almoço)</t>
  </si>
  <si>
    <t>Gasolina paga REPUME (30 x 6,237) (103821)</t>
  </si>
  <si>
    <t>Grifo 10 polegadas</t>
  </si>
  <si>
    <t>Engate flexível (fêmea x fêmea) ligar kit ducha banheiro antigo</t>
  </si>
  <si>
    <t>Outubro / 2025</t>
  </si>
  <si>
    <t>F-pago em 05/09/25</t>
  </si>
  <si>
    <t>I-pago em 05/09/25</t>
  </si>
  <si>
    <t>F2-pago em 05/09/25</t>
  </si>
  <si>
    <t>Beirute Habibs</t>
  </si>
  <si>
    <t xml:space="preserve">2  pacotes Fralda Babysec com 60 Unid G    1/2 </t>
  </si>
  <si>
    <t>Aptamil 2  1/2</t>
  </si>
  <si>
    <t xml:space="preserve">Cabo De Rede Cat6 10 Metros </t>
  </si>
  <si>
    <t>Spray Tekbond 350ml Rosa (pintar suporte bolo niver Isadora)</t>
  </si>
  <si>
    <t>Kit 10 Flanelas Microfibra Limpa Vidro Pia Pano Multiuso Tipo</t>
  </si>
  <si>
    <t>M.O E MATERIAL PAULO (PUXAR MAIS UMA TOMADA QUARTO E COZINHA)</t>
  </si>
  <si>
    <t>1 Tomada Tripla 10a Tramontina Aria-SALA (TV)</t>
  </si>
  <si>
    <t>5 Tomadas Dupla 20a Tramontina Aria-COZINHA</t>
  </si>
  <si>
    <t>6 Tomadas Duplas 10A Tramontina Aria-QUARTO+SALA</t>
  </si>
  <si>
    <t>Resgate fundo construção (Tomadas)</t>
  </si>
  <si>
    <t>1 TOMADA TRIPLA 10A TRAMONTINA ARIA-SALA (TV)</t>
  </si>
  <si>
    <t>5 TOMADAS DUPLA 20A TRAMONTINA ARIA-COZINHA</t>
  </si>
  <si>
    <t>6 TOMADAS DUPLAS 10A TRAMONTINA ARIA-QUARTO+SALA</t>
  </si>
  <si>
    <t>Presente 11 anos Isabella (Kit maquiagem completo AVON) 1/3</t>
  </si>
  <si>
    <t>Presente 11 anos Isabella (Kit maquiagem completo AVON) 2/3</t>
  </si>
  <si>
    <t>Gasolina paga REPUME (30 x 6,237) (104030)</t>
  </si>
  <si>
    <t>Kit 2 Regatas Longline Slim (1 branca e 1 preta)</t>
  </si>
  <si>
    <t>OD-pago em 12/09/25</t>
  </si>
  <si>
    <t>F-pago em 12/09/25</t>
  </si>
  <si>
    <t>Total pago por Joise</t>
  </si>
  <si>
    <t>correto contribuição Joise no Furquim 39,55%</t>
  </si>
  <si>
    <t>Devolução acordo Cooperativa Alpha parcela 1/8 - Joise 26,50%</t>
  </si>
  <si>
    <t>Devolução acordo Cooperativa Alpha parcela 2/8 - Joise 26,50%</t>
  </si>
  <si>
    <t>Devolução acordo Cooperativa Alpha parcela 3/8 - Joise 26,50%</t>
  </si>
  <si>
    <t>Devolução acordo Cooperativa Alpha parcela 4/8 - Joise 26,50%</t>
  </si>
  <si>
    <t>Devolução acordo Cooperativa Alpha parcela 5/8 - Joise 26,50%</t>
  </si>
  <si>
    <t>Devolução acordo Cooperativa Alpha parcela 6/8 - Joise 26,50%</t>
  </si>
  <si>
    <t>Devolução acordo Cooperativa Alpha parcela 7/8 - Joise 26,50%</t>
  </si>
  <si>
    <t>Devolução acordo Cooperativa Alpha parcela 8/8 - Joise 26,50%</t>
  </si>
  <si>
    <t>Resgate fundo Economias (mãe arrumar dente)</t>
  </si>
  <si>
    <t>Mãe arrumar dente (ela pediu)</t>
  </si>
  <si>
    <t>Fazer barra 2 regatas (1 branca e 1 preta)</t>
  </si>
  <si>
    <t>2  pacotes Fralda Babysec com 60 Unid G    2/2</t>
  </si>
  <si>
    <t>Aptamil 2  2/2</t>
  </si>
  <si>
    <t>Remédios amigdalite (nimesulide +dipirona) tomei também benzetacil</t>
  </si>
  <si>
    <t>2 pneus ônix Trazano (289,90 cada + 89,00 alinhamento) outlet pirelli Embu</t>
  </si>
  <si>
    <t>fatura cartão-mercado pago</t>
  </si>
  <si>
    <t>Depósito Alexandre fundo construção (adto.)</t>
  </si>
  <si>
    <t>Kit Pintura Tigre Multiuso 5 Pecas Rolo Pincel Bandeja 1540</t>
  </si>
  <si>
    <t>Torneira Monocomando Cromada 1/4 De Volta Abs</t>
  </si>
  <si>
    <t>Sifão Sanfonado Tubo Flexível Multiuso Universal Pias Tigre</t>
  </si>
  <si>
    <t>Eucatex Tinta Acrílica 3,6L látex acrilico azul profundo 3600ml</t>
  </si>
  <si>
    <r>
      <t>Armário de Banheiro Com Pia</t>
    </r>
    <r>
      <rPr>
        <sz val="11"/>
        <color rgb="FFFF0000"/>
        <rFont val="Calibri"/>
        <family val="2"/>
      </rPr>
      <t xml:space="preserve"> Aj Rorato Siena 55,5cm</t>
    </r>
    <r>
      <rPr>
        <sz val="11"/>
        <color rgb="FF000000"/>
        <rFont val="Calibri"/>
        <family val="2"/>
      </rPr>
      <t xml:space="preserve"> (BANHEIRO ANTIGO) 1/3</t>
    </r>
  </si>
  <si>
    <t>Lixa plástico (pintar suporte Bolo niver Isadora)</t>
  </si>
  <si>
    <t>Gasolina paga REPUME (20 x 6,237) 104225</t>
  </si>
  <si>
    <t>Saque aniversário 2025</t>
  </si>
  <si>
    <t>Presente niver Luiza (conjunto calor)</t>
  </si>
  <si>
    <t>Conserto pneu furado (traseiro lado passageiro)</t>
  </si>
  <si>
    <t>Espelho Quadrado Jateado Com Led 3 cores 90x90 1/8 (BANHEIRO NOVO)</t>
  </si>
  <si>
    <t>Aluguel 10 jogos de cadeiras e mesas + Rechaud niver Isadora)</t>
  </si>
  <si>
    <t>Resgate fundo construção (aluguel 10 jogos de cadeiras e mesas + Rechaud niver Isadora)</t>
  </si>
  <si>
    <t>Extensão 3 metros (+20 parafusos fixa fio)</t>
  </si>
  <si>
    <t>Coxinha ASA</t>
  </si>
  <si>
    <t>Pão de Alho</t>
  </si>
  <si>
    <t>Lanche (2 hamburgers)</t>
  </si>
  <si>
    <t>Sifão + 2 ralos de pia banheiros</t>
  </si>
  <si>
    <t>Saque aniversário 2025 (pagamento antecipação) parcela 2/5</t>
  </si>
  <si>
    <t>2 pacotes Fralda Babysec com 32 Unid G (Isadora)</t>
  </si>
  <si>
    <t>Salário Setembro / 2025</t>
  </si>
  <si>
    <t>Conta Luz Setembro / 2025</t>
  </si>
  <si>
    <t>Adiantamento Outubro/2025</t>
  </si>
  <si>
    <t>Depósito FGTS Setembro / 2025</t>
  </si>
  <si>
    <t>Conta Agua Setembro / 2025</t>
  </si>
  <si>
    <t>2 mãos francesas + parafusos e buchas (por pia temporária no banheiro novo)</t>
  </si>
  <si>
    <t>Cola quadro niver Isadora</t>
  </si>
  <si>
    <t>Coisas comidas Niver Isadora (vegetais)</t>
  </si>
  <si>
    <t>6 sacos lixo 100 litros</t>
  </si>
  <si>
    <t>Gasolina paga REPUME (40 x 6,237) 104514</t>
  </si>
  <si>
    <t>Novembro / 2025</t>
  </si>
  <si>
    <t>Camisa lilás tamanho 3   -  1/2</t>
  </si>
  <si>
    <t>Sapato social Jotape PONTAL 39   -  1/3</t>
  </si>
  <si>
    <t>BLAKKI</t>
  </si>
  <si>
    <t>Aniversário Isadora(carnes churrasco+refrigerantes+cervejas+coisas maionese+carvão) 1/3</t>
  </si>
  <si>
    <t>F-pago em 02/10/25</t>
  </si>
  <si>
    <t>I-pago em 02/10/25</t>
  </si>
  <si>
    <t>FER-pago em 02/10/25</t>
  </si>
  <si>
    <t>OD-pago em 02/10/25</t>
  </si>
  <si>
    <t>R-pago em 02/10/25</t>
  </si>
  <si>
    <t>F2-venc 08/11/25</t>
  </si>
  <si>
    <t>fatura cartão-mercado pago-antecipado vecimento 06/12/25</t>
  </si>
  <si>
    <t>Suporte sabonete liquido banheiro novo</t>
  </si>
  <si>
    <t>3 Smirnoff Joise</t>
  </si>
  <si>
    <t>BATIZADO ISADORA COMPRA 03/04/2025</t>
  </si>
  <si>
    <t>ANIVERSÁRIO ISADORA COMPRA 01/10/2025</t>
  </si>
  <si>
    <t>Coisas docinho niver Isadora</t>
  </si>
  <si>
    <t>Lona preta saco plástico (4x4m)</t>
  </si>
  <si>
    <t>Vela niver Isadora</t>
  </si>
  <si>
    <t>Carvão e gelo niver Isadora</t>
  </si>
  <si>
    <t>Doril enxaqueca Tia Su</t>
  </si>
  <si>
    <t>Resgate fundo Economias (brinquedo pula pula niver Isadora)</t>
  </si>
  <si>
    <t>Aluguel brinquedo pula pula niver Isadora</t>
  </si>
  <si>
    <t>Assinatura Meli+Essencial (Mercado Livre) - Mensal</t>
  </si>
  <si>
    <t>Emergências (Cofrinho ML-120% CDI)</t>
  </si>
  <si>
    <t>Micro-ondas Brastemp BMS46AR 32L Menu Gourmet Cinza 1/10</t>
  </si>
  <si>
    <t>Fritadeira Elétrica Afon-12l-Bg Forno Oven 12L Preto Mondial 1/10</t>
  </si>
  <si>
    <t>C. MERCADO PAGO</t>
  </si>
  <si>
    <t>Juros Cofrinho Mercado Pago</t>
  </si>
  <si>
    <t>Pré treino 300g Bone Crussher + Creatina Black Skull</t>
  </si>
  <si>
    <t>97,00 - 12,92 de méli dolar = 84,08 pago</t>
  </si>
  <si>
    <t>Carvão 2 kg</t>
  </si>
  <si>
    <t>Linguiça 5 kg</t>
  </si>
  <si>
    <t>Outros (soleiras, espaçadores, nicho...etc)</t>
  </si>
  <si>
    <t>Crédito nota fiscal Paulista</t>
  </si>
  <si>
    <t>DIVIDA TOTAL CARTÃO</t>
  </si>
  <si>
    <t>Despesa</t>
  </si>
  <si>
    <t>Parcelas pagas</t>
  </si>
  <si>
    <t>Total Parcelas</t>
  </si>
  <si>
    <t>Parcelas faltantes</t>
  </si>
  <si>
    <t>Saldo divida</t>
  </si>
  <si>
    <t>DIVIDA TOTAL</t>
  </si>
  <si>
    <t>DIVIDA FATURA MÊS</t>
  </si>
  <si>
    <t>FATURA TOTAL</t>
  </si>
  <si>
    <t>Sapato social Jotape PONTAL 39   -  1/4</t>
  </si>
  <si>
    <t>Soro+aplicador lavagem nasal Isadora</t>
  </si>
  <si>
    <t>Dexametazona dor garganta Isadora</t>
  </si>
  <si>
    <t>Doces Zeza</t>
  </si>
  <si>
    <t>Ingressos pq do Shopping Isabella (dia das crianças)</t>
  </si>
  <si>
    <t>Ingressos pq do Shopping Isadora (dia das crianças)</t>
  </si>
  <si>
    <t>Lanche Mac Isabella</t>
  </si>
  <si>
    <t>Churrasco niver Isadora</t>
  </si>
  <si>
    <t>Aptanutri 3 Isadora</t>
  </si>
  <si>
    <t>Aptanutri 3  (Isadora)</t>
  </si>
  <si>
    <t>1ª Parcela 13º 2025</t>
  </si>
  <si>
    <t>Salário Outubro / 2025</t>
  </si>
  <si>
    <t>Conta Luz Outubro / 2025</t>
  </si>
  <si>
    <t>Adiantamento Novembro/2025</t>
  </si>
  <si>
    <t>Depósito FGTS Outubro / 2025</t>
  </si>
  <si>
    <t>Conta Agua Outubro / 2025</t>
  </si>
  <si>
    <t>% pago</t>
  </si>
  <si>
    <t>ANTECIPAÇÃO SAQUE ANIVERSÁRIO (MARÇO/2024) - 1</t>
  </si>
  <si>
    <t>Qtd</t>
  </si>
  <si>
    <t>Valor comprometido</t>
  </si>
  <si>
    <t>ANTECIPAÇÃO SAQUE ANIVERSÁRIO (OUTUBRO/2025) - 2</t>
  </si>
  <si>
    <t>8 anos</t>
  </si>
  <si>
    <t>Saldo no ato da solicitação 15/10/2025:</t>
  </si>
  <si>
    <t>Saldo no ato da solicitação 06/03/2024:</t>
  </si>
  <si>
    <t>1ª Antecipação saque aniversário Alexandre (Empréstimo FGTS SANTANDER 5 parcelas)</t>
  </si>
  <si>
    <t>2ª Antecipação saque aniversário Alexandre (Empréstimo FGTS INTER 8 parcelas)</t>
  </si>
  <si>
    <t>Geladeira Brastemp Duplex BRM55FK Frost Free Painel Click Black e Turbo Freezer 463L – Inox - 110V - Casas Bahia  1/10</t>
  </si>
  <si>
    <t>Coentro Isadora</t>
  </si>
  <si>
    <t>Fatura Outubro/25 - Vencimento 22/11/2025 - R$ 5.600,00 Santander  R$ 15.650,00 Nubank = 21.250,00</t>
  </si>
  <si>
    <t>Porcelanato polido 62x62 avoro retificado MATE - QUARTO + 6 sacos argamassa 20kg quartzolit 7/10</t>
  </si>
  <si>
    <t>Porcelanato DORA polido 75x75 176032 (cinza claro-parede BANHEIRO) 12 caixas 1,69M2 - 6/6</t>
  </si>
  <si>
    <t>Porcelanato DELTA rústica Capadócia Ac 84x84 (cinza escuro-chão BANHEIRO) 2 caixas 2,80M2 - 6/6</t>
  </si>
  <si>
    <t>Argamassa Quartizolit Porcelanato Cinza 20 kg  -  6/6</t>
  </si>
  <si>
    <t>Rejunte cor Corda (cinza)  -  6/6</t>
  </si>
  <si>
    <t>Frete 6/6</t>
  </si>
  <si>
    <t>Nicho Para Banheiro Porcelanato 100x30cm - 1 Metro   6/7</t>
  </si>
  <si>
    <t>Porcelanato DELTA Pulpis 84x84 Bege (Cozinha+sala)  18 caixas 2,80M2 - 5/10 + Argamassas + Rejuntes</t>
  </si>
  <si>
    <t>Porcelanato DELTA Pulpis 84x84 Bege (Cozinha+sala) 2 caixas 2,80M2 - 5/7</t>
  </si>
  <si>
    <t>Game Pass assinatura 12 meses  (INFINITYCARDS-MERCADO LIVRE) - 4/6</t>
  </si>
  <si>
    <t>Vaso Sanitário Monobloco Quad Diamante Harmony 8019 (755,44 + 149,11 frete) 4/6</t>
  </si>
  <si>
    <t>Presente 11 anos Isabella (Kit maquiagem completo AVON) 3/3</t>
  </si>
  <si>
    <r>
      <t>Armário de Banheiro Com Pia</t>
    </r>
    <r>
      <rPr>
        <sz val="11"/>
        <color rgb="FFFF0000"/>
        <rFont val="Calibri"/>
        <family val="2"/>
      </rPr>
      <t xml:space="preserve"> Aj Rorato Siena 55,5cm</t>
    </r>
    <r>
      <rPr>
        <sz val="11"/>
        <color rgb="FF000000"/>
        <rFont val="Calibri"/>
        <family val="2"/>
      </rPr>
      <t xml:space="preserve"> (BANHEIRO ANTIGO) 2/3</t>
    </r>
  </si>
  <si>
    <t>Espelho Quadrado Jateado Com Led 3 cores 90x90  (BANHEIRO NOVO) - 2/8</t>
  </si>
  <si>
    <t>Aniversário Isadora(carnes churrasco+refrigerantes+cervejas+coisas maionese+carvão) 2/3</t>
  </si>
  <si>
    <t>Camisa lilás tamanho 3   -  2/2</t>
  </si>
  <si>
    <t>Sapato social Jotape PONTAL 39   -  2/4</t>
  </si>
  <si>
    <t>Micro-ondas Brastemp BMS46AR 32L Menu Gourmet Cinza 2/10</t>
  </si>
  <si>
    <t>Fritadeira Elétrica Afon-12l-Bg Forno Oven 12L Preto Mondial 2/10</t>
  </si>
  <si>
    <t>FATURA MÊS</t>
  </si>
  <si>
    <t>Gasolina paga REPUME (20 x 6,24) 104796</t>
  </si>
  <si>
    <t>2 doces pote prestigio (joise e sogra)</t>
  </si>
  <si>
    <t>Lixeira Inteligente Automatica 20l Para Cozinha E Banheiro Cinza</t>
  </si>
  <si>
    <r>
      <t xml:space="preserve">109,61 - 3,94 de méli dolar </t>
    </r>
    <r>
      <rPr>
        <sz val="11"/>
        <color rgb="FFFF0000"/>
        <rFont val="Calibri"/>
        <family val="2"/>
      </rPr>
      <t>= 105,67</t>
    </r>
  </si>
  <si>
    <t>Caixinha entregador Casas Bahia descer Escada (Geladeira)</t>
  </si>
  <si>
    <t>Armário de Banheiro Com Pia Aj Rorato Siena 55,5cm (BANHEIRO ANTIGO) 1/3</t>
  </si>
  <si>
    <t>Soma de 2013</t>
  </si>
  <si>
    <t>Soma de 2014</t>
  </si>
  <si>
    <t>Soma de 2015</t>
  </si>
  <si>
    <t>Soma de 2016</t>
  </si>
  <si>
    <t>Soma de 2017</t>
  </si>
  <si>
    <t>Soma de 2018</t>
  </si>
  <si>
    <t>Soma de 2019</t>
  </si>
  <si>
    <t>Soma de 2020</t>
  </si>
  <si>
    <t>Soma de 2021</t>
  </si>
  <si>
    <t>Soma de 2022</t>
  </si>
  <si>
    <t>Soma de 2023</t>
  </si>
  <si>
    <t>Soma de 2024</t>
  </si>
  <si>
    <t>Soma de 2025</t>
  </si>
  <si>
    <t>Máximo</t>
  </si>
  <si>
    <t>Mínimo</t>
  </si>
  <si>
    <t>Pedágios ida Sorocaba</t>
  </si>
  <si>
    <t>Pedágios volta Sorocaba</t>
  </si>
  <si>
    <t>fatura cartão-BLAKKI</t>
  </si>
  <si>
    <t>fatura cartão-MP</t>
  </si>
  <si>
    <t>Depósito Alexandre Emergências</t>
  </si>
  <si>
    <r>
      <t xml:space="preserve">3.916,49 + 39,00 frete </t>
    </r>
    <r>
      <rPr>
        <sz val="11"/>
        <color rgb="FFFF0000"/>
        <rFont val="Calibri"/>
        <family val="2"/>
      </rPr>
      <t>- 195,82 cupom Thiagorodrigo</t>
    </r>
    <r>
      <rPr>
        <sz val="11"/>
        <rFont val="Calibri"/>
        <family val="2"/>
      </rPr>
      <t xml:space="preserve"> (google)</t>
    </r>
  </si>
  <si>
    <t>Fatura Novembro/25 - Vencimento 22/12/2025 - R$ 5.600,00 Santander  R$ 15.650,00 Nubank = 21.250,00</t>
  </si>
  <si>
    <t>Porcelanato polido 62x62 avoro retificado MATE - QUARTO + 6 sacos argamassa 20kg quartzolit 8/10</t>
  </si>
  <si>
    <t>Nicho Para Banheiro Porcelanato 100x30cm - 1 Metro   7/7</t>
  </si>
  <si>
    <t>Porcelanato DELTA Pulpis 84x84 Bege (Cozinha+sala)  18 caixas 2,80M2 - 6/10 + Argamassas + Rejuntes</t>
  </si>
  <si>
    <t>Porcelanato DELTA Pulpis 84x84 Bege (Cozinha+sala) 2 caixas 2,80M2 - 6/7</t>
  </si>
  <si>
    <t>Game Pass assinatura 12 meses  (INFINITYCARDS-MERCADO LIVRE) - 5/6</t>
  </si>
  <si>
    <t>Vaso Sanitário Monobloco Quad Diamante Harmony 8019 (755,44 + 149,11 frete) 5/6</t>
  </si>
  <si>
    <r>
      <t>Armário de Banheiro Com Pia</t>
    </r>
    <r>
      <rPr>
        <sz val="11"/>
        <color rgb="FFFF0000"/>
        <rFont val="Calibri"/>
        <family val="2"/>
      </rPr>
      <t xml:space="preserve"> Aj Rorato Siena 55,5cm</t>
    </r>
    <r>
      <rPr>
        <sz val="11"/>
        <color rgb="FF000000"/>
        <rFont val="Calibri"/>
        <family val="2"/>
      </rPr>
      <t xml:space="preserve"> (BANHEIRO ANTIGO) 3/3</t>
    </r>
  </si>
  <si>
    <t>Espelho Quadrado Jateado Com Led 3 cores 90x90  (BANHEIRO NOVO) - 3/8</t>
  </si>
  <si>
    <t>Aniversário Isadora(carnes churrasco+refrigerantes+cervejas+coisas maionese+carvão) 3/3</t>
  </si>
  <si>
    <t>Micro-ondas Brastemp BMS46AR 32L Menu Gourmet Cinza 3/10</t>
  </si>
  <si>
    <t>Fritadeira Elétrica Afon-12l-Bg Forno Oven 12L Preto Mondial 3/10</t>
  </si>
  <si>
    <t>Geladeira Brastemp Duplex BRM55FK Frost Free Painel Click Black e Turbo Freezer 463L – Inox - 110V - Casas Bahia  2/10</t>
  </si>
  <si>
    <t>Juros Antecipação saque aniversário</t>
  </si>
  <si>
    <t xml:space="preserve">IOF saque aniversário </t>
  </si>
  <si>
    <t>Gasolina paga REPUME (20 x 6,24) 105300</t>
  </si>
  <si>
    <r>
      <t xml:space="preserve">249,00 </t>
    </r>
    <r>
      <rPr>
        <sz val="11"/>
        <color rgb="FFFF0000"/>
        <rFont val="Calibri"/>
        <family val="2"/>
      </rPr>
      <t>- 37,35 cupom Thiagorodrigo - 5,39 méli dolar = 206,26 pagar</t>
    </r>
  </si>
  <si>
    <t>Mesa Portátil Dobrável Vira Maleta 1,80m (COZINHA)</t>
  </si>
  <si>
    <t>R-pago em 21/10/25</t>
  </si>
  <si>
    <t>1 pacotes Fralda Babysec com 32 Unid G (Isadora)</t>
  </si>
  <si>
    <t>Soro fisiológico (Isadora)</t>
  </si>
  <si>
    <t>Canal dente frente Mãe (210,00 /3 eu, bruna, zezinho)</t>
  </si>
  <si>
    <t>2 Aptanutri 3 (Isadora)</t>
  </si>
  <si>
    <r>
      <t xml:space="preserve">119,80 </t>
    </r>
    <r>
      <rPr>
        <sz val="11"/>
        <color rgb="FFFF0000"/>
        <rFont val="Calibri"/>
        <family val="2"/>
      </rPr>
      <t>- 23,96 cupom - 5,00 méli dolar = 90,84 pagar (45,42 cada lata)</t>
    </r>
  </si>
  <si>
    <t>4 pacotes Fralda Babysec Ultrasec G 60 Unid</t>
  </si>
  <si>
    <r>
      <t xml:space="preserve">237,02 </t>
    </r>
    <r>
      <rPr>
        <sz val="11"/>
        <color rgb="FFFF0000"/>
        <rFont val="Calibri"/>
        <family val="2"/>
      </rPr>
      <t>- 47,42 cupom = 189,70 pagar (47,42 por pacote -- 240 fraldas/189,70 = 0,79 por fralda)</t>
    </r>
  </si>
  <si>
    <t>Ganho real</t>
  </si>
  <si>
    <t>Dia</t>
  </si>
  <si>
    <t>Hora</t>
  </si>
  <si>
    <t>Bananas</t>
  </si>
  <si>
    <t xml:space="preserve">1kg Fígado Isadora </t>
  </si>
  <si>
    <t>Panela Pressão Elétrica Electrolux 6L Preta PCC20 - 127v  1/8</t>
  </si>
  <si>
    <r>
      <t xml:space="preserve">519,90 </t>
    </r>
    <r>
      <rPr>
        <sz val="11"/>
        <color rgb="FFFF0000"/>
        <rFont val="Calibri"/>
        <family val="2"/>
      </rPr>
      <t xml:space="preserve">- 30,00 cupom Thiagorodrigo = 489,90 pagar </t>
    </r>
  </si>
  <si>
    <t>Panela Pressão Elétrica Electrolux 6L Preta PCC20 - 127v  2/8</t>
  </si>
  <si>
    <t xml:space="preserve">Sacolão Isadora </t>
  </si>
  <si>
    <t>Renda liquida diária - REPUME</t>
  </si>
  <si>
    <t>Calça social preta (troca presente Bruna 1 blusa moletom e 1 short academia=210,00) calça 260,00  - paguei diferença 50,00</t>
  </si>
  <si>
    <t>Lanche Mac meu e Joise (Aniversário Joise)</t>
  </si>
  <si>
    <t xml:space="preserve">Cervejas churrasco Joise </t>
  </si>
  <si>
    <t>Carne sopa Isadora</t>
  </si>
  <si>
    <t>Legumes sopa Isadora</t>
  </si>
  <si>
    <t>Nescau</t>
  </si>
  <si>
    <t>Coco ralado</t>
  </si>
  <si>
    <t>Dezembro / 2025</t>
  </si>
  <si>
    <t>Troca bateria relógio (PATEK)</t>
  </si>
  <si>
    <t>Gasolina paga REPUME (40 x 6,237) 105346</t>
  </si>
  <si>
    <t>Jogo 10 Potes 1040ml Vidro Hermético 4 Travas Marmita</t>
  </si>
  <si>
    <t xml:space="preserve">Porta Tempero Giratório Inox 12 Potes Vidro </t>
  </si>
  <si>
    <t>Jarra Vidro Borosilicato Agua, Sucos,  1,7 Litros Tampa Em Aço Inox</t>
  </si>
  <si>
    <t>Passagens ida/volta Vitória ES - Gol (minha, Joise, Isabella) 1/5</t>
  </si>
  <si>
    <t>Cartão presente niver Joise (200,00 Isadora + 100,00 Isabella = 300,00) 1/2  cartão CEA pay Joise</t>
  </si>
  <si>
    <t>Carnes pra casa frango/fígado</t>
  </si>
  <si>
    <t>Passagens ida/volta Vitória ES - Gol (minha, Joise, Isabella) 2/5</t>
  </si>
  <si>
    <t>F2-venc 08/12/25</t>
  </si>
  <si>
    <t>F2-venc 08/01/26</t>
  </si>
  <si>
    <t>Fatura Dezembro/25 - Vencimento 22/01/2026 - R$ 5.600,00 Santander  R$ 15.650,00 Nubank = 21.250,00</t>
  </si>
  <si>
    <t>Porcelanato polido 62x62 avoro retificado MATE - QUARTO + 6 sacos argamassa 20kg quartzolit 9/10</t>
  </si>
  <si>
    <t>Porcelanato DELTA Pulpis 84x84 Bege (Cozinha+sala)  18 caixas 2,80M2 - 7/10 + Argamassas + Rejuntes</t>
  </si>
  <si>
    <t>Porcelanato DELTA Pulpis 84x84 Bege (Cozinha+sala) 2 caixas 2,80M2 - 7/7</t>
  </si>
  <si>
    <t>Game Pass assinatura 12 meses  (INFINITYCARDS-MERCADO LIVRE) - 6/6</t>
  </si>
  <si>
    <t>Vaso Sanitário Monobloco Quad Diamante Harmony 8019 (755,44 + 149,11 frete) 6/6</t>
  </si>
  <si>
    <t>Espelho Quadrado Jateado Com Led 3 cores 90x90  (BANHEIRO NOVO) - 4/8</t>
  </si>
  <si>
    <t>Micro-ondas Brastemp BMS46AR 32L Menu Gourmet Cinza 4/10</t>
  </si>
  <si>
    <t>Fritadeira Elétrica Afon-12l-Bg Forno Oven 12L Preto Mondial 4/10</t>
  </si>
  <si>
    <t>Panela Pressão Elétrica Electrolux 6L Preta PCC20 - 127v  3/8</t>
  </si>
  <si>
    <t>Passagens ida/volta Vitória ES - Gol (minha, Joise, Isabella) 3/5</t>
  </si>
  <si>
    <t>Cartão presente niver Joise (200,00 Isadora + 100,00 Isabella = 300,00) 2/2  cartão CEA pay Joise</t>
  </si>
  <si>
    <t>Shampoo CLEAR MEN</t>
  </si>
  <si>
    <t>FER-pago em 06/11/25</t>
  </si>
  <si>
    <t>Juros Cofrinho Mercado Pago - Alexandre</t>
  </si>
  <si>
    <t>IPVA</t>
  </si>
  <si>
    <t>Legumes Isadora</t>
  </si>
  <si>
    <t>Assessoria assuntos doméstica (Thiago e Larrisa)</t>
  </si>
  <si>
    <t>Café+bolo</t>
  </si>
  <si>
    <t>Compras para casa</t>
  </si>
  <si>
    <t>Remédios Isadora (Imunoglucan DS + Adtil)</t>
  </si>
  <si>
    <t>Coisas p/casa (1kg linguiça Almoço)</t>
  </si>
  <si>
    <t>80 Roblux Bella</t>
  </si>
  <si>
    <t>Cadeira Maximus Preto 0 A 25kg Galzerano Liso 1/4</t>
  </si>
  <si>
    <t>Cadeira Maximus Preto 0 A 25kg Galzerano Liso 2/4</t>
  </si>
  <si>
    <t>Presunto e queijo (panquecas casa Joise)</t>
  </si>
  <si>
    <r>
      <t xml:space="preserve">304,00 </t>
    </r>
    <r>
      <rPr>
        <sz val="11"/>
        <color rgb="FFFF0000"/>
        <rFont val="Calibri"/>
        <family val="2"/>
      </rPr>
      <t xml:space="preserve">- 36,48 cupom Thiagorodrigo = 267,52 pagar </t>
    </r>
  </si>
  <si>
    <t>Potes p/casa (arroz, feijão)</t>
  </si>
  <si>
    <t>F-pago em 12/11/25</t>
  </si>
  <si>
    <t>I-pago em 12/11/25</t>
  </si>
  <si>
    <t>2ª Parcela 13º 2025</t>
  </si>
  <si>
    <t>Salário Novembro / 2025</t>
  </si>
  <si>
    <t>Conta Luz Novembro / 2025</t>
  </si>
  <si>
    <t>Adiantamento Dezembro/2025</t>
  </si>
  <si>
    <t>Depósito FGTS Novembro / 2025</t>
  </si>
  <si>
    <t>Conta Agua Novembro / 2025</t>
  </si>
  <si>
    <t>2 diárias APTO. AIR BNB São Gabriel Palha-ES (casamento Aline) 1/5</t>
  </si>
  <si>
    <t>2 diárias APTO. AIR BNB São Gabriel Palha-ES (casamento Aline) 2/5</t>
  </si>
  <si>
    <t>2 diárias APTO. AIR BNB São Gabriel Palha-ES (casamento Aline) 3/5</t>
  </si>
  <si>
    <t>Compras para casa (mercado)</t>
  </si>
  <si>
    <t>Gasolina paga REPUME (20 x 6,079) 105558</t>
  </si>
  <si>
    <t>VASECTOMIA 05/12</t>
  </si>
  <si>
    <t>Tomada Inteligente Wifi 20A Ekaza (63,90 - 60,00 desconto por atraso entrega cadeirinha carro Isadora) = 3,90 paguei</t>
  </si>
  <si>
    <t>Jogo 2 Toalhas De Rosto Grossa Extra Grande - VERDE</t>
  </si>
  <si>
    <t>Extensão 3 Tomadas Tripolar 20a 3m Branco - COZINHA</t>
  </si>
  <si>
    <t>51,34 - 4,92 méli dolar = 46,42 paguei</t>
  </si>
  <si>
    <t>63,90 - 60,00 desconto por atraso entrega cadeirinha carro Isadora = 3,90 paguei</t>
  </si>
  <si>
    <t>Cervejas (niver Patricia Repume)</t>
  </si>
  <si>
    <t>Sapato social Jotape PONTAL 38   -  2/4</t>
  </si>
  <si>
    <t>Sapato social Jotape PONTAL 38   -  3/4</t>
  </si>
  <si>
    <t>Sapato social Jotape PONTAL 38   -  4/4</t>
  </si>
  <si>
    <t>Sapato Social Masculino Jota Pe Preto Air Winner 13109 - 1/4</t>
  </si>
  <si>
    <r>
      <t xml:space="preserve">249,00 </t>
    </r>
    <r>
      <rPr>
        <sz val="11"/>
        <color rgb="FFFF0000"/>
        <rFont val="Calibri"/>
        <family val="2"/>
      </rPr>
      <t xml:space="preserve">- 37,56 cupom Thiagorodrigo = 211,64 pagar </t>
    </r>
  </si>
  <si>
    <t>Sapato Social Masculino Jota Pe Preto Air Winner 13109 - 2/4</t>
  </si>
  <si>
    <t>30 ovos</t>
  </si>
  <si>
    <t>Balas</t>
  </si>
  <si>
    <t>Gasolina paga REPUME (20 x 6,079) 105688</t>
  </si>
  <si>
    <t>Armário de Banheiro Com Pia Aj Rorato Siena 55,5cm (BANHEIRO ANTIGO) 2/3</t>
  </si>
  <si>
    <t>Sorvete (kauan, bella, Isadora) pq rizzo</t>
  </si>
  <si>
    <t>Almoço (marmita eu, bella, joise)</t>
  </si>
  <si>
    <t>Licenciamento Ônix 2025</t>
  </si>
  <si>
    <t>Cadeira Maximus Preto 0 A 25kg Galzerano Liso 3/4</t>
  </si>
  <si>
    <t>Almoço (meu e Isadora)</t>
  </si>
  <si>
    <t>Pano de prato (2)</t>
  </si>
  <si>
    <t>Brinquedo isadora (pecinhas de cozinha)</t>
  </si>
  <si>
    <t>3 meses (25/11/25 a 25/02/26)</t>
  </si>
  <si>
    <t>Geléia pra Joise</t>
  </si>
  <si>
    <t>Estacionamento Shopping (levar sapato Jotape conserto PONTAL)</t>
  </si>
  <si>
    <t>Camisa Branca (casamento Aline)</t>
  </si>
  <si>
    <t>Aluguel Terno cinza (casamento Aline)</t>
  </si>
  <si>
    <t>R-pago em 26/11/25</t>
  </si>
  <si>
    <t>Embalagem devolução notebook Joise</t>
  </si>
  <si>
    <t>Leite condensado+creme de leite</t>
  </si>
  <si>
    <t>Papel toalha + café</t>
  </si>
  <si>
    <t>Economias (Cofrinho ML)</t>
  </si>
  <si>
    <t>Cofrinho ML (Emergência carro)</t>
  </si>
  <si>
    <t>Cofrinho ML (Economias)</t>
  </si>
  <si>
    <t>Fundo construção               (Cofrinho ML)</t>
  </si>
  <si>
    <t>Emergência carro              (Cofrinho ML)</t>
  </si>
  <si>
    <t>Frango Assado (almoço)</t>
  </si>
  <si>
    <t>Lanche (hamburger)</t>
  </si>
  <si>
    <t>Sabão em Pó Omo Lavagem Perfeita 2.2kg</t>
  </si>
  <si>
    <t>4 latas Aptanutri Premium 3 800g (134,68/4 = 33,67 por lata)</t>
  </si>
  <si>
    <t>2 pacotes Fralda Babysec Ultrasec Galinha Pintadinha G 60 Unid (115,18/120 = 0,96 por fralda)</t>
  </si>
  <si>
    <t>Compras pra casa</t>
  </si>
  <si>
    <t>Férias 2024 - 2025</t>
  </si>
  <si>
    <t>Gasolina paga REPUME (40 x 6,079) 106013</t>
  </si>
  <si>
    <t>Busca on line certidão óbito Jose Carlos (on line)</t>
  </si>
  <si>
    <t>Matricula imóvel (vila do céu)</t>
  </si>
  <si>
    <t>Matricula imóvel (rua barão de caxias, 106)</t>
  </si>
  <si>
    <t>Pesquisa qualificada (levantamento imóveis PAI)</t>
  </si>
  <si>
    <t>Pesquisa prévia (levantamento imóveis PAI)</t>
  </si>
  <si>
    <t>Matricula imóvel (sitio em campestre-mg)</t>
  </si>
  <si>
    <t>Certidão inteiro teor (imóvel 12839)</t>
  </si>
  <si>
    <t>Certidão inteiro teor (imóvel 12840)</t>
  </si>
  <si>
    <t>Certidão inteiro teor (imóvel 920)</t>
  </si>
  <si>
    <t>Certidão inteiro teor (imóvel 2856)</t>
  </si>
  <si>
    <t>Resgate fundo construção (pagar despesas COM-levantamento imóveis PAI)</t>
  </si>
  <si>
    <t>Emergências Gerais                (Cofrinho ML)</t>
  </si>
  <si>
    <t>Cofrinho ML (Emergências Gerais)</t>
  </si>
  <si>
    <t>5 buscas (5,00 cada)</t>
  </si>
  <si>
    <t>corte avulso</t>
  </si>
  <si>
    <t>Presente Maria Alice 100,00</t>
  </si>
  <si>
    <t>Pedágio casa Mãe (almoço)</t>
  </si>
  <si>
    <t>Kit Com 4 Cuecas Boxer Microfibra Mash Box Sem Costura</t>
  </si>
  <si>
    <t>70,00 - 25% 17,50 cupom ML =  52,50</t>
  </si>
  <si>
    <t>Copo com Alça 150ml Rosa - Lillo - Isadora</t>
  </si>
  <si>
    <t>39,77 - 25% 9,94 cupom ML =  29,82</t>
  </si>
  <si>
    <t>Fatura Janeiro/25 - Vencimento 22/02/2026 - R$ 5.600,00 Santander  R$ 15.650,00 Nubank = 21.250,00</t>
  </si>
  <si>
    <t>Porcelanato polido 62x62 avoro retificado MATE - QUARTO + 6 sacos argamassa 20kg quartzolit 10/10</t>
  </si>
  <si>
    <t>Porcelanato DELTA Pulpis 84x84 Bege (Cozinha+sala)  18 caixas 2,80M2 - 8/10 + Argamassas + Rejuntes</t>
  </si>
  <si>
    <t>Espelho Quadrado Jateado Com Led 3 cores 90x90  (BANHEIRO NOVO) - 5/8</t>
  </si>
  <si>
    <t>Micro-ondas Brastemp BMS46AR 32L Menu Gourmet Cinza 5/10</t>
  </si>
  <si>
    <t>Fritadeira Elétrica Afon-12l-Bg Forno Oven 12L Preto Mondial 5/10</t>
  </si>
  <si>
    <t>Geladeira Brastemp Duplex BRM55FK Frost Free Painel Click Black e Turbo Freezer 463L – Inox - 110V - Casas Bahia  4/10</t>
  </si>
  <si>
    <t>Geladeira Brastemp Duplex BRM55FK Frost Free Painel Click Black e Turbo Freezer 463L – Inox - 110V - Casas Bahia  3/10</t>
  </si>
  <si>
    <t>Panela Pressão Elétrica Electrolux 6L Preta PCC20 - 127v  4/8</t>
  </si>
  <si>
    <t>Passagens ida/volta Vitória ES - Gol (minha, Joise, Isabella) 4/5</t>
  </si>
  <si>
    <t>2 diárias APTO. AIR BNB São Gabriel Palha-ES (casamento Aline) 4/5</t>
  </si>
  <si>
    <t>Cadeira Maximus Preto 0 A 25kg Galzerano Liso 4/4</t>
  </si>
  <si>
    <t>Sapato Social Masculino Jota Pe Preto Air Winner 13109 - 3/4</t>
  </si>
  <si>
    <t>Gasolina paga REPUME (20 x 6,079) 106249</t>
  </si>
  <si>
    <t>Lona 6x6 Azul Reforçada Impermeável  300 Micras - barranco casa</t>
  </si>
  <si>
    <r>
      <t xml:space="preserve">332,85 </t>
    </r>
    <r>
      <rPr>
        <sz val="11"/>
        <color rgb="FFFF0000"/>
        <rFont val="Calibri"/>
        <family val="2"/>
      </rPr>
      <t xml:space="preserve">- 60,00 cupom Thiagorodrigo = 272,85 pagar </t>
    </r>
    <r>
      <rPr>
        <sz val="11"/>
        <rFont val="Calibri"/>
        <family val="2"/>
      </rPr>
      <t>(+8,00 cashback cartão mercado pago)</t>
    </r>
  </si>
  <si>
    <t>Armário de Banheiro Com Pia Aj Rorato Siena 55,5cm (BANHEIRO ANTIGO) 3/3</t>
  </si>
  <si>
    <t>Aluguel carro (HB20-localiza) casamento Aline (Vitória-ES) 3 diárias 1/2</t>
  </si>
  <si>
    <t>Pedágio indo pra aeroporto (casamento Aline)</t>
  </si>
  <si>
    <t>Compras mercado em ES</t>
  </si>
  <si>
    <t>Café em ES</t>
  </si>
  <si>
    <t>Almoço caminho ES (Casamento Aline) meu, Joise, Isabella, Isadora</t>
  </si>
  <si>
    <t>Alcool-Encher tanque carro da localiza (retorno do ES)</t>
  </si>
  <si>
    <t>Lavagem carro da localiza (lavagem simples no posto de gasolina)</t>
  </si>
  <si>
    <t>Pedágios ES (casamento Aline)</t>
  </si>
  <si>
    <t>Estacionamento (Urban park-aeroporto) viagem ES casamento Aline</t>
  </si>
  <si>
    <t>Depósito Alexandre fundo construção (Férias)</t>
  </si>
  <si>
    <t>Comidas p/viagem ES - casamento Aline</t>
  </si>
  <si>
    <t>Lona 6x6 Azul Reforçada Impermeável  300 Micras - barranco casa (dividido com Eduardo)</t>
  </si>
  <si>
    <t>Jogo Lençol Cama Queen Size 3 Peças - Preto florido</t>
  </si>
  <si>
    <t>Jogo Lençol Cama Queen Size 3 Peças - Branco quadriculado</t>
  </si>
  <si>
    <t>Régua Extensão Elétrica 6 Tomadas Filtro Linha 10a Cabo 3 Metros</t>
  </si>
  <si>
    <t>Bomba De Ar Digital Portátil Epsilon Calibrador Função Powerbank Com Luz</t>
  </si>
  <si>
    <t>3 conjuntos calor Isadora</t>
  </si>
  <si>
    <t>Camiseta bege</t>
  </si>
  <si>
    <t>6 pacotes 30 Unidades Babysec Extra grande (XG) - (180/178,74=0,99 por fralda)</t>
  </si>
  <si>
    <t>Janeiro / 2026</t>
  </si>
  <si>
    <t>Bolão mega da virada REPUME</t>
  </si>
  <si>
    <t>Gasolina paga REPUME (20 x 6,079) 106520</t>
  </si>
  <si>
    <t>Mensalidade Internet (500MB - R$ 100,00)-DCONNECT</t>
  </si>
  <si>
    <t>Camisa social preta manga curta 1/2</t>
  </si>
  <si>
    <t>Camiseta do Corinthians (Presente natal Isabella) 1/2</t>
  </si>
  <si>
    <t>Aluguel carro localiza (viagem ES casamento Aline) 2 diárias   -  1/2</t>
  </si>
  <si>
    <t>IPTU 2025 (720,00 / 4 = 180,00)</t>
  </si>
  <si>
    <t>Camisa social preta manga curta 2/2</t>
  </si>
  <si>
    <t>Camiseta do Corinthians (Presente natal Isabella) 2/2</t>
  </si>
  <si>
    <t>Eduardo pagou essa</t>
  </si>
  <si>
    <t>Brinquedos parque Shopping (bella)</t>
  </si>
  <si>
    <t>Lanche Mac (meu, joise, bella, Isadora)</t>
  </si>
  <si>
    <t>Convênio médico (Isadora)</t>
  </si>
  <si>
    <t>2 diárias casa com piscina ILHABELA (26/12 a 28/12/25) 1/5</t>
  </si>
  <si>
    <t>Fatura Fevereiro/25 - Vencimento 22/03/2026 - R$ 5.600,00 Santander  R$ 15.650,00 Nubank = 21.250,00</t>
  </si>
  <si>
    <t>2 diárias casa com piscina ILHABELA (26/12 a 28/12/25) 2/5</t>
  </si>
  <si>
    <t>Porcelanato DELTA Pulpis 84x84 Bege (Cozinha+sala)  18 caixas 2,80M2 - 9/10 + Argamassas + Rejuntes</t>
  </si>
  <si>
    <t>Espelho Quadrado Jateado Com Led 3 cores 90x90  (BANHEIRO NOVO) - 6/8</t>
  </si>
  <si>
    <t>Micro-ondas Brastemp BMS46AR 32L Menu Gourmet Cinza 6/10</t>
  </si>
  <si>
    <t>Fritadeira Elétrica Afon-12l-Bg Forno Oven 12L Preto Mondial 6/10</t>
  </si>
  <si>
    <t>Geladeira Brastemp Duplex BRM55FK Frost Free Painel Click Black e Turbo Freezer 463L – Inox - 110V - Casas Bahia  5/10</t>
  </si>
  <si>
    <t>Panela Pressão Elétrica Electrolux 6L Preta PCC20 - 127v  5/8</t>
  </si>
  <si>
    <t>Passagens ida/volta Vitória ES - Gol (minha, Joise, Isabella) 5/5</t>
  </si>
  <si>
    <t>2 diárias APTO. AIR BNB São Gabriel Palha-ES (casamento Aline) 5/5</t>
  </si>
  <si>
    <t>Sapato Social Masculino Jota Pe Preto Air Winner 13109 - 4/4</t>
  </si>
  <si>
    <t>2 diárias casa com piscina ILHABELA (26/12 a 28/12/25) 3/5</t>
  </si>
  <si>
    <t>Certidão Óbito (PAI-José Carlos da Fonseca) processo de reconhecimento de paternidade</t>
  </si>
  <si>
    <t>Bóia de braço e bóia carrinho - Isadora</t>
  </si>
  <si>
    <t>Coisas p/viagem ilhabela (bebidas)</t>
  </si>
  <si>
    <t>Coisas p/viagem ilhabela (comidas)</t>
  </si>
  <si>
    <t>Resgate cofrinho (economias gerais) viagem ilhabela</t>
  </si>
  <si>
    <t>Alcool (carro pai joise-civic) viagem ilhabela</t>
  </si>
  <si>
    <t>Pedágio ida (ilhabela)</t>
  </si>
  <si>
    <t>Pedágio ida (ilhabela) - free flow</t>
  </si>
  <si>
    <t>Travessia balsa (ilhabela)</t>
  </si>
  <si>
    <t>Óculos (tipo aviador)</t>
  </si>
  <si>
    <t>Almoço (meu e Bella)</t>
  </si>
  <si>
    <t>Gelo (praia)</t>
  </si>
  <si>
    <t>Lanche (meu e Bella)</t>
  </si>
  <si>
    <t>Compras mercado ilhabella (comid, agua, cerveja)</t>
  </si>
  <si>
    <t>Porção batata praia</t>
  </si>
  <si>
    <t>Frutas Isadora</t>
  </si>
  <si>
    <t>Gasolina (carro pai joise-civic) viagem ilhabela</t>
  </si>
  <si>
    <t>Compras mercado p/casa</t>
  </si>
  <si>
    <t>Troca bateria e conserto pulseira relógio preto</t>
  </si>
  <si>
    <t>IPVA 2025 (Ônix)</t>
  </si>
  <si>
    <t>Resgate cofrinho (Emergência carro) pagar IPVA</t>
  </si>
  <si>
    <t>Salário Dezembro / 2025</t>
  </si>
  <si>
    <t>Conta Luz Dezembro / 2025</t>
  </si>
  <si>
    <t>Adiantamento Janeiro/2026</t>
  </si>
  <si>
    <t>Depósito FGTS Dezembro / 2025</t>
  </si>
  <si>
    <t>Conta Agua Dezembro / 2025</t>
  </si>
  <si>
    <t>Fatura Cartão Crédito Dezembro / 2025</t>
  </si>
  <si>
    <t>pagto 24/12/25</t>
  </si>
  <si>
    <t>Compras p/casa</t>
  </si>
  <si>
    <t>Cervejas + ICE Joise (ano novo)</t>
  </si>
  <si>
    <t>Coisas churrasco (ano novo) dividido com Eduardo</t>
  </si>
  <si>
    <t>Salário Dezembro / 2025 (pf 7 dias)</t>
  </si>
  <si>
    <t>Salário Dezembro / 2025 (folha 14 dias)</t>
  </si>
  <si>
    <t>pf 1.470,00 (7 dias) + folha 2.526,38 (14 dias)</t>
  </si>
  <si>
    <t>ROBLOX Isabella</t>
  </si>
  <si>
    <t>Pedágio Ilhabela (passou por engano no crédito)</t>
  </si>
  <si>
    <t>Máquina De Lavar 14kg Wave Impeller Branca Midea 127v Branco 1/10    (1788,84 - 100,00 cupom = 1.688,84)</t>
  </si>
  <si>
    <t>Gasolina paga REPUME (30 x 6,14) 106889</t>
  </si>
  <si>
    <t>Máquina De Lavar 14kg Wave Impeller Branca Midea 127v Branco 2/10    (1788,84 - 100,00 cupom = 1.688,84)</t>
  </si>
  <si>
    <t>Máquina De Lavar 14kg Wave Impeller Branca Midea 127v Branco 3/10    (1788,84 - 100,00 cupom = 1.688,84)</t>
  </si>
  <si>
    <t>Resgate (fundo construção) pagar entrada ação paternidade 1.500,00</t>
  </si>
  <si>
    <t>Resgate (fEmergências Gerais  ) pagar entrada ação paternidade 1.500,00</t>
  </si>
  <si>
    <t>F-pago em 07/01/26</t>
  </si>
  <si>
    <t>I-pago em 07/01/26</t>
  </si>
  <si>
    <t>FER-pago em 07/01/26</t>
  </si>
  <si>
    <t>R-pago em 07/01/26</t>
  </si>
  <si>
    <t>B-pago em 07/01/26</t>
  </si>
  <si>
    <t>OD-pago em 07/01/26</t>
  </si>
  <si>
    <t>Parcela 1/10 ação reconhecimento paternidade (5.000,00 TOTAL sendo: 1.500,00 entrada 8x 400,00 e 1x 300,00)</t>
  </si>
  <si>
    <t>Parcela 2/10 ação reconhecimento paternidade (5.000,00 TOTAL sendo: 1.500,00 entrada 8x 400,00 e 1x 300,00)</t>
  </si>
  <si>
    <t>Despesas 2026</t>
  </si>
  <si>
    <t>Restituição IR 2024</t>
  </si>
  <si>
    <t>Restituição IR 2025</t>
  </si>
  <si>
    <t xml:space="preserve">Consulta ato notarial CENSEC (escrituras)-José Carlos Fonseca  - nada consta </t>
  </si>
  <si>
    <t>Uva Isadora</t>
  </si>
  <si>
    <t>parcela deduzir</t>
  </si>
  <si>
    <t>Salário bruto</t>
  </si>
  <si>
    <t>Faixa da Base de Cálculo</t>
  </si>
  <si>
    <t>Valor do Imposto</t>
  </si>
  <si>
    <t>1ª Faixa</t>
  </si>
  <si>
    <t>2ª Faixa</t>
  </si>
  <si>
    <t>3ª Faixa</t>
  </si>
  <si>
    <t>4ª Faixa</t>
  </si>
  <si>
    <t>5ª Faixa</t>
  </si>
  <si>
    <t>valor até Dez/2025</t>
  </si>
  <si>
    <t>valor a partir Jan/2026</t>
  </si>
  <si>
    <t>dedução lei isenção IR salário até 5.000,00</t>
  </si>
  <si>
    <t>2 Ices Joise</t>
  </si>
  <si>
    <t>3 macarrões de piscina</t>
  </si>
  <si>
    <t>Porções clube Anovis</t>
  </si>
  <si>
    <t>Torneira Metal Aço Inox pia banherio novo (51,90 - 40,59 cashback ML = 11,31)</t>
  </si>
  <si>
    <t>Troca película S24 FE</t>
  </si>
  <si>
    <t>Troca película S20 FE - Joise</t>
  </si>
  <si>
    <t>Empréstimo saque aniversário 2/5</t>
  </si>
  <si>
    <t>Assinatura armazenamento Google Drive (200GB) - Mensal</t>
  </si>
  <si>
    <t>Certidão consulta inventario (cartório notas) remsolbo Adv Caroline</t>
  </si>
  <si>
    <t>80 Robux Bella</t>
  </si>
  <si>
    <t>Dezembro2</t>
  </si>
  <si>
    <t>Dezembro3</t>
  </si>
  <si>
    <t>ROBUX Isabella</t>
  </si>
  <si>
    <t>Bebidas clube Anovis</t>
  </si>
  <si>
    <t>Adiantamento Janeiro/2026 (proporcional 26 dias)</t>
  </si>
  <si>
    <t>Aluguel carro (HB20-localiza) casamento Aline (Vitória-ES) 3 diárias 2/2</t>
  </si>
  <si>
    <t>Lanche shopping (meu e Joise)</t>
  </si>
  <si>
    <t>Panetone 1KG Offner (comprei da Vera - Contabilidade)</t>
  </si>
  <si>
    <t>Hamburgers (pra fritar)</t>
  </si>
  <si>
    <t>de 2.902,85 até 4.354,27</t>
  </si>
  <si>
    <t>de 4.354,28 até 8.475,55</t>
  </si>
  <si>
    <t>Fraldas Isadora babysec XG com 30</t>
  </si>
  <si>
    <t>Lanche (salgados)</t>
  </si>
  <si>
    <t>6 pacotes 30 Unidades Babysec Extra grande (XG) - (180/196,13=1,09 por fralda)</t>
  </si>
  <si>
    <t>500 robux Bella (promoção)</t>
  </si>
  <si>
    <t>80 robux Bella (promoção)</t>
  </si>
  <si>
    <t>Resgate fundo Emergência carro (pagar multa)</t>
  </si>
  <si>
    <t>Multa velocidade (Embu - 26/10/25 às 09:54)</t>
  </si>
  <si>
    <t>Gasolina paga REPUME (20 x 6,12) 107352</t>
  </si>
  <si>
    <t>Frutas p/casa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</si>
</sst>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 &quot;#,##0.00_);\(&quot;R$ &quot;#,##0.00\)"/>
    <numFmt numFmtId="165" formatCode="_(&quot;R$ &quot;* #,##0.00_);_(&quot;R$ &quot;* \(#,##0.00\);_(&quot;R$ &quot;* &quot;-&quot;??_);_(@_)"/>
    <numFmt numFmtId="166" formatCode="_(* #,##0.00_);_(* \(#,##0.00\);_(* &quot;-&quot;??_);_(@_)"/>
    <numFmt numFmtId="167" formatCode="_(&quot;R$&quot;* #,##0.00_);_(&quot;R$&quot;* \(#,##0.00\);_(&quot;R$&quot;* &quot;-&quot;??_);_(@_)"/>
    <numFmt numFmtId="168" formatCode="[$-F400]h:mm:ss\ AM/PM"/>
    <numFmt numFmtId="169" formatCode="_(&quot;R$&quot;* #,##0.0000_);_(&quot;R$&quot;* \(#,##0.0000\);_(&quot;R$&quot;* &quot;-&quot;??_);_(@_)"/>
    <numFmt numFmtId="170" formatCode="0.0000%"/>
    <numFmt numFmtId="171" formatCode="0.0"/>
    <numFmt numFmtId="172" formatCode="_(* #,##0_);_(* \(#,##0\);_(* &quot;-&quot;??_);_(@_)"/>
    <numFmt numFmtId="173" formatCode="d/m;@"/>
    <numFmt numFmtId="174" formatCode="0.0%"/>
    <numFmt numFmtId="175" formatCode="0.000%"/>
    <numFmt numFmtId="176" formatCode="0.000000%"/>
    <numFmt numFmtId="177" formatCode="m/d/yyyy"/>
    <numFmt numFmtId="178" formatCode="d\-mmm"/>
    <numFmt numFmtId="179" formatCode="#,##0_ ;\-#,##0\ "/>
    <numFmt numFmtId="180" formatCode="0.000"/>
    <numFmt numFmtId="181" formatCode="_-* #,##0_-;\-* #,##0_-;_-* &quot;-&quot;??_-;_-@_-"/>
  </numFmts>
  <fonts count="18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2"/>
      <name val="Arial"/>
      <family val="2"/>
    </font>
    <font>
      <b/>
      <sz val="12"/>
      <color indexed="10"/>
      <name val="Arial"/>
      <family val="2"/>
    </font>
    <font>
      <b/>
      <sz val="11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indexed="10"/>
      <name val="Calibri"/>
      <family val="2"/>
    </font>
    <font>
      <sz val="11"/>
      <name val="Calibri"/>
      <family val="2"/>
    </font>
    <font>
      <sz val="14"/>
      <color indexed="8"/>
      <name val="Calibri"/>
      <family val="2"/>
    </font>
    <font>
      <b/>
      <sz val="12"/>
      <color indexed="8"/>
      <name val="Calibri"/>
      <family val="2"/>
    </font>
    <font>
      <sz val="11"/>
      <color indexed="12"/>
      <name val="Calibri"/>
      <family val="2"/>
    </font>
    <font>
      <b/>
      <sz val="16"/>
      <color indexed="8"/>
      <name val="Calibri"/>
      <family val="2"/>
    </font>
    <font>
      <b/>
      <sz val="11"/>
      <name val="Calibri"/>
      <family val="2"/>
    </font>
    <font>
      <b/>
      <sz val="11"/>
      <color indexed="12"/>
      <name val="Calibri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1"/>
      <color indexed="12"/>
      <name val="Arial"/>
      <family val="2"/>
    </font>
    <font>
      <b/>
      <sz val="12"/>
      <color indexed="10"/>
      <name val="Calibri"/>
      <family val="2"/>
    </font>
    <font>
      <b/>
      <sz val="14"/>
      <color indexed="12"/>
      <name val="Calibri"/>
      <family val="2"/>
    </font>
    <font>
      <b/>
      <sz val="14"/>
      <name val="Arial"/>
      <family val="2"/>
    </font>
    <font>
      <b/>
      <sz val="12"/>
      <color indexed="12"/>
      <name val="Calibri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10"/>
      <name val="Arial"/>
      <family val="2"/>
    </font>
    <font>
      <b/>
      <sz val="26"/>
      <color indexed="8"/>
      <name val="Calibri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sz val="11"/>
      <name val="Arial"/>
      <family val="2"/>
    </font>
    <font>
      <b/>
      <sz val="12"/>
      <color indexed="12"/>
      <name val="Arial"/>
      <family val="2"/>
    </font>
    <font>
      <b/>
      <sz val="18"/>
      <name val="Arial"/>
      <family val="2"/>
    </font>
    <font>
      <b/>
      <sz val="14"/>
      <color indexed="10"/>
      <name val="Calibri"/>
      <family val="2"/>
    </font>
    <font>
      <b/>
      <sz val="12"/>
      <color indexed="8"/>
      <name val="Arial"/>
      <family val="2"/>
    </font>
    <font>
      <b/>
      <sz val="20"/>
      <color indexed="8"/>
      <name val="Calibri"/>
      <family val="2"/>
    </font>
    <font>
      <b/>
      <sz val="14"/>
      <name val="Calibri"/>
      <family val="2"/>
    </font>
    <font>
      <b/>
      <sz val="20"/>
      <name val="Arial"/>
      <family val="2"/>
    </font>
    <font>
      <sz val="10"/>
      <name val="Arial"/>
      <family val="2"/>
    </font>
    <font>
      <b/>
      <sz val="10"/>
      <color rgb="FF0000FF"/>
      <name val="Arial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1"/>
      <color rgb="FF0000FF"/>
      <name val="Calibri"/>
      <family val="2"/>
    </font>
    <font>
      <sz val="11"/>
      <color rgb="FF0000FF"/>
      <name val="Calibri"/>
      <family val="2"/>
    </font>
    <font>
      <b/>
      <sz val="12"/>
      <color rgb="FF0000FF"/>
      <name val="Calibri"/>
      <family val="2"/>
    </font>
    <font>
      <b/>
      <sz val="14"/>
      <color rgb="FFFF0000"/>
      <name val="Calibri"/>
      <family val="2"/>
    </font>
    <font>
      <b/>
      <sz val="14"/>
      <color rgb="FF0000FF"/>
      <name val="Calibri"/>
      <family val="2"/>
    </font>
    <font>
      <sz val="10"/>
      <color rgb="FF0000FF"/>
      <name val="Arial"/>
      <family val="2"/>
    </font>
    <font>
      <b/>
      <sz val="11"/>
      <color rgb="FFFF0000"/>
      <name val="Calibri"/>
      <family val="2"/>
    </font>
    <font>
      <b/>
      <sz val="11"/>
      <color rgb="FFFF0000"/>
      <name val="Arial"/>
      <family val="2"/>
    </font>
    <font>
      <b/>
      <sz val="11"/>
      <color rgb="FF0000FF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12"/>
      <color rgb="FFFF0000"/>
      <name val="Calibri"/>
      <family val="2"/>
    </font>
    <font>
      <b/>
      <sz val="14"/>
      <name val="Calibri"/>
      <family val="2"/>
      <scheme val="minor"/>
    </font>
    <font>
      <sz val="12"/>
      <color rgb="FFED2228"/>
      <name val="Arial"/>
      <family val="2"/>
    </font>
    <font>
      <sz val="10"/>
      <color rgb="FFED2228"/>
      <name val="Arial"/>
      <family val="2"/>
    </font>
    <font>
      <b/>
      <sz val="12"/>
      <color rgb="FF0000FF"/>
      <name val="Arial"/>
      <family val="2"/>
    </font>
    <font>
      <sz val="11"/>
      <color rgb="FF92D050"/>
      <name val="Calibri"/>
      <family val="2"/>
    </font>
    <font>
      <u/>
      <sz val="10"/>
      <color theme="10"/>
      <name val="Arial"/>
      <family val="2"/>
    </font>
    <font>
      <b/>
      <sz val="12"/>
      <color rgb="FFFF0000"/>
      <name val="Arial"/>
      <family val="2"/>
    </font>
    <font>
      <b/>
      <sz val="16"/>
      <name val="Calibri"/>
      <family val="2"/>
    </font>
    <font>
      <sz val="11"/>
      <color indexed="8"/>
      <name val="Calibri"/>
      <family val="2"/>
      <scheme val="minor"/>
    </font>
    <font>
      <sz val="10"/>
      <color rgb="FF000000"/>
      <name val="Arial"/>
      <family val="2"/>
    </font>
    <font>
      <b/>
      <sz val="16"/>
      <name val="Arial"/>
      <family val="2"/>
    </font>
    <font>
      <b/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6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sz val="14"/>
      <color rgb="FF000000"/>
      <name val="Calibri"/>
      <family val="2"/>
    </font>
    <font>
      <b/>
      <sz val="12"/>
      <color rgb="FF000000"/>
      <name val="Calibri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CC"/>
      <name val="Arial"/>
      <family val="2"/>
    </font>
    <font>
      <sz val="10"/>
      <color rgb="FF0000CC"/>
      <name val="Arial"/>
      <family val="2"/>
    </font>
    <font>
      <sz val="11"/>
      <color rgb="FFFF0000"/>
      <name val="Calibri"/>
      <family val="2"/>
      <scheme val="minor"/>
    </font>
    <font>
      <b/>
      <sz val="9"/>
      <color indexed="81"/>
      <name val="Segoe UI"/>
      <family val="2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1"/>
      <name val="Calibri"/>
      <family val="2"/>
    </font>
    <font>
      <sz val="12"/>
      <name val="Arial"/>
      <family val="2"/>
    </font>
    <font>
      <sz val="8"/>
      <color indexed="8"/>
      <name val="Calibri"/>
      <family val="2"/>
    </font>
    <font>
      <sz val="8"/>
      <name val="Arial"/>
      <family val="2"/>
    </font>
    <font>
      <sz val="8"/>
      <name val="Arial"/>
      <family val="2"/>
    </font>
    <font>
      <sz val="11"/>
      <color indexed="12"/>
      <name val="Calibri"/>
      <family val="2"/>
      <scheme val="minor"/>
    </font>
    <font>
      <sz val="8"/>
      <name val="Arial"/>
      <family val="2"/>
    </font>
    <font>
      <sz val="8"/>
      <name val="Arial"/>
      <family val="2"/>
    </font>
    <font>
      <b/>
      <sz val="12"/>
      <name val="Calibri"/>
      <family val="2"/>
    </font>
    <font>
      <b/>
      <sz val="13"/>
      <color rgb="FF000000"/>
      <name val="Calibri"/>
      <family val="2"/>
    </font>
    <font>
      <b/>
      <sz val="18"/>
      <color rgb="FF000000"/>
      <name val="Calibri"/>
      <family val="2"/>
    </font>
    <font>
      <sz val="7"/>
      <name val="Arial"/>
      <family val="2"/>
    </font>
    <font>
      <sz val="11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9"/>
      <name val="Arial"/>
      <family val="2"/>
    </font>
    <font>
      <sz val="11"/>
      <color rgb="FFFF0000"/>
      <name val="Playbill"/>
      <family val="5"/>
    </font>
    <font>
      <sz val="8"/>
      <name val="Arial"/>
      <family val="2"/>
    </font>
    <font>
      <b/>
      <sz val="11"/>
      <color rgb="FF0000FF"/>
      <name val="Calibri"/>
      <family val="2"/>
      <scheme val="minor"/>
    </font>
    <font>
      <sz val="11"/>
      <color rgb="FF0000FF"/>
      <name val="Arial"/>
      <family val="2"/>
    </font>
    <font>
      <sz val="8"/>
      <name val="Arial"/>
      <family val="2"/>
    </font>
    <font>
      <b/>
      <sz val="14"/>
      <color rgb="FF0000FF"/>
      <name val="Arial"/>
      <family val="2"/>
    </font>
    <font>
      <b/>
      <sz val="14"/>
      <color rgb="FFFF0000"/>
      <name val="Arial"/>
      <family val="2"/>
    </font>
    <font>
      <b/>
      <sz val="13"/>
      <name val="Arial"/>
      <family val="2"/>
    </font>
    <font>
      <b/>
      <sz val="13"/>
      <color rgb="FF0000FF"/>
      <name val="Arial"/>
      <family val="2"/>
    </font>
    <font>
      <b/>
      <sz val="13"/>
      <color rgb="FFFF0000"/>
      <name val="Arial"/>
      <family val="2"/>
    </font>
    <font>
      <sz val="8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7" tint="-0.249977111117893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7"/>
      <color rgb="FF0000FF"/>
      <name val="Arial"/>
      <family val="2"/>
    </font>
    <font>
      <b/>
      <sz val="7"/>
      <color rgb="FFFF0000"/>
      <name val="Arial"/>
      <family val="2"/>
    </font>
    <font>
      <sz val="7"/>
      <color rgb="FFFF0000"/>
      <name val="Arial"/>
      <family val="2"/>
    </font>
    <font>
      <sz val="11"/>
      <color theme="0"/>
      <name val="Calibri"/>
      <family val="2"/>
      <scheme val="minor"/>
    </font>
    <font>
      <sz val="9"/>
      <color rgb="FFFF000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11"/>
      <color theme="9" tint="-0.249977111117893"/>
      <name val="Calibri"/>
      <family val="2"/>
    </font>
    <font>
      <sz val="11"/>
      <color rgb="FFEE0000"/>
      <name val="Calibri"/>
      <family val="2"/>
    </font>
    <font>
      <sz val="8"/>
      <name val="Arial"/>
      <family val="2"/>
    </font>
    <font>
      <b/>
      <sz val="10"/>
      <color rgb="FF000000"/>
      <name val="Calibri"/>
      <family val="2"/>
    </font>
    <font>
      <b/>
      <sz val="28"/>
      <name val="Calibri"/>
      <family val="2"/>
    </font>
    <font>
      <b/>
      <sz val="22"/>
      <color rgb="FF000000"/>
      <name val="Calibri"/>
      <family val="2"/>
    </font>
    <font>
      <b/>
      <sz val="20"/>
      <name val="Calibri"/>
      <family val="2"/>
    </font>
    <font>
      <b/>
      <sz val="20"/>
      <color theme="1"/>
      <name val="Calibri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name val="Calibri"/>
      <family val="2"/>
    </font>
    <font>
      <sz val="12"/>
      <color indexed="8"/>
      <name val="Calibri"/>
      <family val="2"/>
    </font>
    <font>
      <sz val="12"/>
      <color rgb="FF0000FF"/>
      <name val="Calibri"/>
      <family val="2"/>
    </font>
    <font>
      <sz val="12"/>
      <color rgb="FFFF0000"/>
      <name val="Calibri"/>
      <family val="2"/>
    </font>
    <font>
      <sz val="12"/>
      <color rgb="FFFF0000"/>
      <name val="Calibri"/>
      <family val="2"/>
      <scheme val="minor"/>
    </font>
    <font>
      <sz val="8"/>
      <name val="Arial"/>
      <family val="2"/>
    </font>
    <font>
      <sz val="11"/>
      <color rgb="FF000000"/>
      <name val="Arial"/>
      <family val="2"/>
    </font>
  </fonts>
  <fills count="8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D7E3BB"/>
        <bgColor rgb="FFFFFFFF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</fills>
  <borders count="2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505050"/>
      </bottom>
      <diagonal/>
    </border>
    <border>
      <left/>
      <right/>
      <top style="thin">
        <color indexed="64"/>
      </top>
      <bottom style="thin">
        <color rgb="FF505050"/>
      </bottom>
      <diagonal/>
    </border>
    <border>
      <left style="medium">
        <color indexed="64"/>
      </left>
      <right/>
      <top style="thin">
        <color indexed="64"/>
      </top>
      <bottom style="thin">
        <color rgb="FF50505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rgb="FF505050"/>
      </bottom>
      <diagonal/>
    </border>
    <border>
      <left style="medium">
        <color indexed="64"/>
      </left>
      <right style="thin">
        <color indexed="64"/>
      </right>
      <top style="thin">
        <color rgb="FF505050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50505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rgb="FF505050"/>
      </bottom>
      <diagonal/>
    </border>
    <border>
      <left style="medium">
        <color indexed="64"/>
      </left>
      <right style="thin">
        <color indexed="64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indexed="64"/>
      </bottom>
      <diagonal/>
    </border>
    <border>
      <left style="medium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/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medium">
        <color rgb="FF000000"/>
      </right>
      <top style="thin">
        <color indexed="64"/>
      </top>
      <bottom style="thin">
        <color rgb="FF000000"/>
      </bottom>
      <diagonal/>
    </border>
    <border>
      <left style="medium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/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9">
    <xf numFmtId="0" fontId="0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8" fillId="4" borderId="0" applyNumberFormat="0" applyBorder="0" applyAlignment="0" applyProtection="0"/>
    <xf numFmtId="0" fontId="19" fillId="16" borderId="1" applyNumberFormat="0" applyAlignment="0" applyProtection="0"/>
    <xf numFmtId="0" fontId="20" fillId="17" borderId="2" applyNumberFormat="0" applyAlignment="0" applyProtection="0"/>
    <xf numFmtId="0" fontId="21" fillId="0" borderId="3" applyNumberFormat="0" applyFill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21" borderId="0" applyNumberFormat="0" applyBorder="0" applyAlignment="0" applyProtection="0"/>
    <xf numFmtId="0" fontId="22" fillId="7" borderId="1" applyNumberFormat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23" fillId="3" borderId="0" applyNumberFormat="0" applyBorder="0" applyAlignment="0" applyProtection="0"/>
    <xf numFmtId="167" fontId="7" fillId="0" borderId="0" applyFont="0" applyFill="0" applyBorder="0" applyAlignment="0" applyProtection="0"/>
    <xf numFmtId="167" fontId="6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24" fillId="22" borderId="0" applyNumberFormat="0" applyBorder="0" applyAlignment="0" applyProtection="0"/>
    <xf numFmtId="0" fontId="16" fillId="0" borderId="0"/>
    <xf numFmtId="0" fontId="16" fillId="23" borderId="4" applyNumberFormat="0" applyFont="0" applyAlignment="0" applyProtection="0"/>
    <xf numFmtId="9" fontId="7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31" fillId="0" borderId="8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9" applyNumberFormat="0" applyFill="0" applyAlignment="0" applyProtection="0"/>
    <xf numFmtId="166" fontId="7" fillId="0" borderId="0" applyFont="0" applyFill="0" applyBorder="0" applyAlignment="0" applyProtection="0"/>
    <xf numFmtId="166" fontId="63" fillId="0" borderId="0" applyFont="0" applyFill="0" applyBorder="0" applyAlignment="0" applyProtection="0"/>
    <xf numFmtId="0" fontId="87" fillId="0" borderId="0" applyNumberFormat="0" applyFill="0" applyBorder="0" applyAlignment="0" applyProtection="0"/>
    <xf numFmtId="0" fontId="7" fillId="0" borderId="0"/>
    <xf numFmtId="0" fontId="5" fillId="0" borderId="0"/>
    <xf numFmtId="44" fontId="5" fillId="0" borderId="0" applyFont="0" applyFill="0" applyBorder="0" applyAlignment="0" applyProtection="0"/>
    <xf numFmtId="0" fontId="95" fillId="0" borderId="0"/>
    <xf numFmtId="167" fontId="91" fillId="0" borderId="0" applyFont="0" applyFill="0" applyBorder="0" applyAlignment="0" applyProtection="0"/>
    <xf numFmtId="166" fontId="91" fillId="0" borderId="0" applyFont="0" applyFill="0" applyBorder="0" applyAlignment="0" applyProtection="0"/>
    <xf numFmtId="0" fontId="91" fillId="0" borderId="0"/>
    <xf numFmtId="9" fontId="91" fillId="0" borderId="0" applyFont="0" applyFill="0" applyBorder="0" applyAlignment="0" applyProtection="0"/>
    <xf numFmtId="165" fontId="95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54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1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1" fillId="60" borderId="0" applyNumberFormat="0" applyBorder="0" applyAlignment="0" applyProtection="0"/>
    <xf numFmtId="0" fontId="1" fillId="61" borderId="0" applyNumberFormat="0" applyBorder="0" applyAlignment="0" applyProtection="0"/>
    <xf numFmtId="0" fontId="1" fillId="62" borderId="0" applyNumberFormat="0" applyBorder="0" applyAlignment="0" applyProtection="0"/>
    <xf numFmtId="0" fontId="1" fillId="63" borderId="0" applyNumberFormat="0" applyBorder="0" applyAlignment="0" applyProtection="0"/>
    <xf numFmtId="0" fontId="1" fillId="64" borderId="0" applyNumberFormat="0" applyBorder="0" applyAlignment="0" applyProtection="0"/>
    <xf numFmtId="0" fontId="1" fillId="65" borderId="0" applyNumberFormat="0" applyBorder="0" applyAlignment="0" applyProtection="0"/>
    <xf numFmtId="0" fontId="147" fillId="66" borderId="0" applyNumberFormat="0" applyBorder="0" applyAlignment="0" applyProtection="0"/>
    <xf numFmtId="0" fontId="1" fillId="66" borderId="0" applyNumberFormat="0" applyBorder="0" applyAlignment="0" applyProtection="0"/>
    <xf numFmtId="0" fontId="147" fillId="67" borderId="0" applyNumberFormat="0" applyBorder="0" applyAlignment="0" applyProtection="0"/>
    <xf numFmtId="0" fontId="1" fillId="67" borderId="0" applyNumberFormat="0" applyBorder="0" applyAlignment="0" applyProtection="0"/>
    <xf numFmtId="0" fontId="147" fillId="68" borderId="0" applyNumberFormat="0" applyBorder="0" applyAlignment="0" applyProtection="0"/>
    <xf numFmtId="0" fontId="1" fillId="68" borderId="0" applyNumberFormat="0" applyBorder="0" applyAlignment="0" applyProtection="0"/>
    <xf numFmtId="0" fontId="147" fillId="69" borderId="0" applyNumberFormat="0" applyBorder="0" applyAlignment="0" applyProtection="0"/>
    <xf numFmtId="0" fontId="1" fillId="69" borderId="0" applyNumberFormat="0" applyBorder="0" applyAlignment="0" applyProtection="0"/>
    <xf numFmtId="0" fontId="147" fillId="70" borderId="0" applyNumberFormat="0" applyBorder="0" applyAlignment="0" applyProtection="0"/>
    <xf numFmtId="0" fontId="1" fillId="70" borderId="0" applyNumberFormat="0" applyBorder="0" applyAlignment="0" applyProtection="0"/>
    <xf numFmtId="0" fontId="147" fillId="71" borderId="0" applyNumberFormat="0" applyBorder="0" applyAlignment="0" applyProtection="0"/>
    <xf numFmtId="0" fontId="1" fillId="71" borderId="0" applyNumberFormat="0" applyBorder="0" applyAlignment="0" applyProtection="0"/>
    <xf numFmtId="0" fontId="161" fillId="72" borderId="0" applyNumberFormat="0" applyBorder="0" applyAlignment="0" applyProtection="0"/>
    <xf numFmtId="0" fontId="162" fillId="73" borderId="212" applyNumberFormat="0" applyAlignment="0" applyProtection="0"/>
    <xf numFmtId="0" fontId="163" fillId="74" borderId="213" applyNumberFormat="0" applyAlignment="0" applyProtection="0"/>
    <xf numFmtId="0" fontId="164" fillId="0" borderId="214" applyNumberFormat="0" applyFill="0" applyAlignment="0" applyProtection="0"/>
    <xf numFmtId="0" fontId="147" fillId="75" borderId="0" applyNumberFormat="0" applyBorder="0" applyAlignment="0" applyProtection="0"/>
    <xf numFmtId="0" fontId="147" fillId="76" borderId="0" applyNumberFormat="0" applyBorder="0" applyAlignment="0" applyProtection="0"/>
    <xf numFmtId="0" fontId="147" fillId="77" borderId="0" applyNumberFormat="0" applyBorder="0" applyAlignment="0" applyProtection="0"/>
    <xf numFmtId="0" fontId="147" fillId="78" borderId="0" applyNumberFormat="0" applyBorder="0" applyAlignment="0" applyProtection="0"/>
    <xf numFmtId="0" fontId="147" fillId="79" borderId="0" applyNumberFormat="0" applyBorder="0" applyAlignment="0" applyProtection="0"/>
    <xf numFmtId="0" fontId="147" fillId="80" borderId="0" applyNumberFormat="0" applyBorder="0" applyAlignment="0" applyProtection="0"/>
    <xf numFmtId="0" fontId="165" fillId="81" borderId="212" applyNumberFormat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166" fillId="82" borderId="0" applyNumberFormat="0" applyBorder="0" applyAlignment="0" applyProtection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83" borderId="215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67" fillId="84" borderId="0" applyNumberFormat="0" applyBorder="0" applyAlignment="0" applyProtection="0"/>
    <xf numFmtId="0" fontId="168" fillId="73" borderId="216" applyNumberFormat="0" applyAlignment="0" applyProtection="0"/>
    <xf numFmtId="0" fontId="106" fillId="0" borderId="0" applyNumberFormat="0" applyFill="0" applyBorder="0" applyAlignment="0" applyProtection="0"/>
    <xf numFmtId="0" fontId="169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0" fontId="171" fillId="0" borderId="217" applyNumberFormat="0" applyFill="0" applyAlignment="0" applyProtection="0"/>
    <xf numFmtId="0" fontId="172" fillId="0" borderId="218" applyNumberFormat="0" applyFill="0" applyAlignment="0" applyProtection="0"/>
    <xf numFmtId="0" fontId="173" fillId="0" borderId="219" applyNumberFormat="0" applyFill="0" applyAlignment="0" applyProtection="0"/>
    <xf numFmtId="0" fontId="173" fillId="0" borderId="0" applyNumberFormat="0" applyFill="0" applyBorder="0" applyAlignment="0" applyProtection="0"/>
    <xf numFmtId="0" fontId="174" fillId="0" borderId="0" applyNumberFormat="0" applyFill="0" applyBorder="0" applyAlignment="0" applyProtection="0"/>
    <xf numFmtId="0" fontId="94" fillId="0" borderId="220" applyNumberFormat="0" applyFill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3721">
    <xf numFmtId="0" fontId="0" fillId="0" borderId="0" xfId="0"/>
    <xf numFmtId="167" fontId="0" fillId="0" borderId="0" xfId="32" applyFont="1"/>
    <xf numFmtId="0" fontId="8" fillId="0" borderId="0" xfId="0" applyFont="1"/>
    <xf numFmtId="167" fontId="0" fillId="0" borderId="10" xfId="32" applyFont="1" applyBorder="1"/>
    <xf numFmtId="0" fontId="10" fillId="0" borderId="11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/>
    <xf numFmtId="0" fontId="11" fillId="0" borderId="0" xfId="0" applyFont="1"/>
    <xf numFmtId="0" fontId="10" fillId="0" borderId="14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0" fillId="0" borderId="17" xfId="0" applyFont="1" applyBorder="1" applyAlignment="1">
      <alignment horizontal="center"/>
    </xf>
    <xf numFmtId="167" fontId="0" fillId="0" borderId="18" xfId="32" applyFont="1" applyBorder="1"/>
    <xf numFmtId="167" fontId="0" fillId="0" borderId="19" xfId="32" applyFont="1" applyBorder="1"/>
    <xf numFmtId="0" fontId="10" fillId="0" borderId="20" xfId="0" applyFont="1" applyBorder="1" applyAlignment="1">
      <alignment horizontal="center"/>
    </xf>
    <xf numFmtId="0" fontId="10" fillId="0" borderId="21" xfId="0" applyFont="1" applyBorder="1" applyAlignment="1">
      <alignment horizontal="center"/>
    </xf>
    <xf numFmtId="167" fontId="10" fillId="0" borderId="22" xfId="32" applyFont="1" applyBorder="1"/>
    <xf numFmtId="0" fontId="0" fillId="0" borderId="23" xfId="0" applyBorder="1" applyAlignment="1">
      <alignment horizontal="center"/>
    </xf>
    <xf numFmtId="167" fontId="0" fillId="0" borderId="0" xfId="32" applyFont="1" applyBorder="1"/>
    <xf numFmtId="167" fontId="0" fillId="0" borderId="24" xfId="32" applyFont="1" applyBorder="1" applyAlignment="1">
      <alignment horizontal="left"/>
    </xf>
    <xf numFmtId="167" fontId="8" fillId="0" borderId="24" xfId="32" applyFont="1" applyBorder="1" applyAlignment="1">
      <alignment horizontal="left"/>
    </xf>
    <xf numFmtId="167" fontId="10" fillId="0" borderId="24" xfId="32" applyFont="1" applyBorder="1" applyAlignment="1">
      <alignment horizontal="left"/>
    </xf>
    <xf numFmtId="167" fontId="0" fillId="0" borderId="25" xfId="32" applyFont="1" applyBorder="1"/>
    <xf numFmtId="167" fontId="10" fillId="0" borderId="16" xfId="32" applyFont="1" applyBorder="1" applyAlignment="1">
      <alignment horizontal="right"/>
    </xf>
    <xf numFmtId="0" fontId="0" fillId="0" borderId="0" xfId="0" applyAlignment="1">
      <alignment horizontal="center"/>
    </xf>
    <xf numFmtId="0" fontId="11" fillId="0" borderId="21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167" fontId="11" fillId="0" borderId="17" xfId="0" applyNumberFormat="1" applyFont="1" applyBorder="1"/>
    <xf numFmtId="167" fontId="11" fillId="0" borderId="27" xfId="0" applyNumberFormat="1" applyFont="1" applyBorder="1"/>
    <xf numFmtId="0" fontId="0" fillId="0" borderId="28" xfId="0" applyBorder="1"/>
    <xf numFmtId="0" fontId="10" fillId="0" borderId="28" xfId="0" applyFont="1" applyBorder="1"/>
    <xf numFmtId="0" fontId="10" fillId="0" borderId="0" xfId="0" applyFont="1" applyAlignment="1">
      <alignment horizontal="center"/>
    </xf>
    <xf numFmtId="0" fontId="10" fillId="0" borderId="0" xfId="0" applyFont="1"/>
    <xf numFmtId="0" fontId="8" fillId="0" borderId="29" xfId="0" applyFont="1" applyBorder="1"/>
    <xf numFmtId="167" fontId="8" fillId="0" borderId="29" xfId="32" applyFont="1" applyBorder="1"/>
    <xf numFmtId="2" fontId="0" fillId="0" borderId="0" xfId="0" applyNumberFormat="1" applyAlignment="1">
      <alignment horizontal="center"/>
    </xf>
    <xf numFmtId="167" fontId="0" fillId="0" borderId="0" xfId="32" applyFont="1" applyBorder="1" applyAlignment="1">
      <alignment horizontal="center"/>
    </xf>
    <xf numFmtId="167" fontId="11" fillId="0" borderId="29" xfId="32" applyFont="1" applyBorder="1"/>
    <xf numFmtId="2" fontId="10" fillId="0" borderId="0" xfId="0" applyNumberFormat="1" applyFont="1" applyAlignment="1">
      <alignment horizontal="center"/>
    </xf>
    <xf numFmtId="166" fontId="14" fillId="0" borderId="29" xfId="0" applyNumberFormat="1" applyFont="1" applyBorder="1"/>
    <xf numFmtId="0" fontId="0" fillId="0" borderId="30" xfId="0" applyBorder="1"/>
    <xf numFmtId="166" fontId="14" fillId="0" borderId="31" xfId="0" applyNumberFormat="1" applyFont="1" applyBorder="1"/>
    <xf numFmtId="0" fontId="9" fillId="0" borderId="28" xfId="0" applyFont="1" applyBorder="1"/>
    <xf numFmtId="0" fontId="9" fillId="0" borderId="0" xfId="0" applyFont="1" applyAlignment="1">
      <alignment horizontal="center"/>
    </xf>
    <xf numFmtId="167" fontId="9" fillId="0" borderId="0" xfId="32" applyFont="1" applyBorder="1"/>
    <xf numFmtId="167" fontId="9" fillId="0" borderId="29" xfId="32" applyFont="1" applyBorder="1"/>
    <xf numFmtId="0" fontId="12" fillId="0" borderId="28" xfId="0" applyFont="1" applyBorder="1"/>
    <xf numFmtId="0" fontId="12" fillId="0" borderId="0" xfId="0" applyFont="1" applyAlignment="1">
      <alignment horizontal="center"/>
    </xf>
    <xf numFmtId="0" fontId="12" fillId="0" borderId="0" xfId="0" applyFont="1"/>
    <xf numFmtId="167" fontId="12" fillId="0" borderId="29" xfId="0" applyNumberFormat="1" applyFont="1" applyBorder="1"/>
    <xf numFmtId="0" fontId="7" fillId="0" borderId="28" xfId="0" applyFont="1" applyBorder="1"/>
    <xf numFmtId="0" fontId="7" fillId="0" borderId="0" xfId="0" applyFont="1" applyAlignment="1">
      <alignment horizontal="center"/>
    </xf>
    <xf numFmtId="167" fontId="7" fillId="0" borderId="0" xfId="32" applyFont="1" applyBorder="1"/>
    <xf numFmtId="166" fontId="0" fillId="0" borderId="0" xfId="0" applyNumberFormat="1"/>
    <xf numFmtId="0" fontId="0" fillId="0" borderId="17" xfId="0" applyBorder="1"/>
    <xf numFmtId="2" fontId="12" fillId="0" borderId="0" xfId="0" applyNumberFormat="1" applyFont="1" applyAlignment="1">
      <alignment horizontal="center"/>
    </xf>
    <xf numFmtId="167" fontId="12" fillId="0" borderId="29" xfId="32" applyFont="1" applyBorder="1"/>
    <xf numFmtId="167" fontId="11" fillId="0" borderId="29" xfId="0" applyNumberFormat="1" applyFont="1" applyBorder="1"/>
    <xf numFmtId="0" fontId="10" fillId="0" borderId="32" xfId="0" applyFont="1" applyBorder="1" applyAlignment="1">
      <alignment horizontal="center"/>
    </xf>
    <xf numFmtId="167" fontId="0" fillId="0" borderId="33" xfId="32" applyFont="1" applyBorder="1"/>
    <xf numFmtId="167" fontId="0" fillId="0" borderId="34" xfId="32" applyFont="1" applyBorder="1"/>
    <xf numFmtId="167" fontId="0" fillId="0" borderId="35" xfId="32" applyFont="1" applyBorder="1"/>
    <xf numFmtId="167" fontId="0" fillId="0" borderId="36" xfId="32" applyFont="1" applyBorder="1"/>
    <xf numFmtId="167" fontId="0" fillId="0" borderId="15" xfId="32" applyFont="1" applyBorder="1"/>
    <xf numFmtId="167" fontId="0" fillId="0" borderId="13" xfId="32" applyFont="1" applyBorder="1"/>
    <xf numFmtId="167" fontId="0" fillId="0" borderId="37" xfId="32" applyFont="1" applyBorder="1"/>
    <xf numFmtId="167" fontId="0" fillId="0" borderId="38" xfId="32" applyFont="1" applyBorder="1"/>
    <xf numFmtId="167" fontId="0" fillId="0" borderId="17" xfId="32" applyFont="1" applyBorder="1"/>
    <xf numFmtId="167" fontId="10" fillId="0" borderId="21" xfId="32" applyFont="1" applyBorder="1"/>
    <xf numFmtId="0" fontId="14" fillId="0" borderId="0" xfId="0" applyFont="1" applyAlignment="1">
      <alignment horizontal="center"/>
    </xf>
    <xf numFmtId="167" fontId="12" fillId="0" borderId="0" xfId="32" applyFont="1" applyBorder="1"/>
    <xf numFmtId="2" fontId="9" fillId="0" borderId="0" xfId="0" applyNumberFormat="1" applyFont="1" applyAlignment="1">
      <alignment horizontal="center"/>
    </xf>
    <xf numFmtId="167" fontId="9" fillId="0" borderId="0" xfId="32" applyFont="1" applyBorder="1" applyAlignment="1">
      <alignment horizontal="center"/>
    </xf>
    <xf numFmtId="166" fontId="14" fillId="0" borderId="0" xfId="0" applyNumberFormat="1" applyFont="1"/>
    <xf numFmtId="167" fontId="14" fillId="0" borderId="29" xfId="32" applyFont="1" applyBorder="1"/>
    <xf numFmtId="0" fontId="10" fillId="0" borderId="17" xfId="0" applyFont="1" applyBorder="1"/>
    <xf numFmtId="167" fontId="14" fillId="0" borderId="17" xfId="32" applyFont="1" applyBorder="1"/>
    <xf numFmtId="167" fontId="8" fillId="0" borderId="16" xfId="32" applyFont="1" applyBorder="1" applyAlignment="1">
      <alignment horizontal="right"/>
    </xf>
    <xf numFmtId="170" fontId="0" fillId="0" borderId="16" xfId="39" applyNumberFormat="1" applyFont="1" applyBorder="1" applyAlignment="1">
      <alignment horizontal="right"/>
    </xf>
    <xf numFmtId="0" fontId="16" fillId="0" borderId="0" xfId="37"/>
    <xf numFmtId="165" fontId="16" fillId="0" borderId="0" xfId="35" applyFont="1"/>
    <xf numFmtId="0" fontId="32" fillId="0" borderId="0" xfId="37" applyFont="1"/>
    <xf numFmtId="167" fontId="10" fillId="0" borderId="0" xfId="32" applyFont="1" applyBorder="1"/>
    <xf numFmtId="0" fontId="10" fillId="0" borderId="39" xfId="0" applyFont="1" applyBorder="1" applyAlignment="1">
      <alignment horizontal="center"/>
    </xf>
    <xf numFmtId="1" fontId="0" fillId="0" borderId="16" xfId="32" applyNumberFormat="1" applyFont="1" applyBorder="1" applyAlignment="1">
      <alignment vertical="center"/>
    </xf>
    <xf numFmtId="0" fontId="16" fillId="0" borderId="0" xfId="37" applyAlignment="1">
      <alignment horizontal="center"/>
    </xf>
    <xf numFmtId="0" fontId="16" fillId="0" borderId="10" xfId="37" applyBorder="1"/>
    <xf numFmtId="0" fontId="16" fillId="0" borderId="15" xfId="37" applyBorder="1"/>
    <xf numFmtId="0" fontId="16" fillId="0" borderId="32" xfId="37" applyBorder="1"/>
    <xf numFmtId="0" fontId="26" fillId="0" borderId="0" xfId="37" applyFont="1"/>
    <xf numFmtId="167" fontId="16" fillId="0" borderId="40" xfId="32" applyFont="1" applyBorder="1"/>
    <xf numFmtId="167" fontId="16" fillId="0" borderId="13" xfId="32" applyFont="1" applyBorder="1"/>
    <xf numFmtId="0" fontId="16" fillId="0" borderId="37" xfId="37" applyBorder="1"/>
    <xf numFmtId="167" fontId="16" fillId="0" borderId="32" xfId="37" applyNumberFormat="1" applyBorder="1"/>
    <xf numFmtId="167" fontId="26" fillId="0" borderId="41" xfId="32" applyFont="1" applyBorder="1"/>
    <xf numFmtId="167" fontId="26" fillId="0" borderId="42" xfId="32" applyFont="1" applyBorder="1"/>
    <xf numFmtId="167" fontId="26" fillId="0" borderId="43" xfId="32" applyFont="1" applyBorder="1"/>
    <xf numFmtId="167" fontId="26" fillId="0" borderId="24" xfId="32" applyFont="1" applyBorder="1"/>
    <xf numFmtId="167" fontId="16" fillId="0" borderId="36" xfId="32" applyFont="1" applyBorder="1"/>
    <xf numFmtId="167" fontId="16" fillId="0" borderId="38" xfId="32" applyFont="1" applyBorder="1"/>
    <xf numFmtId="167" fontId="26" fillId="0" borderId="11" xfId="37" applyNumberFormat="1" applyFont="1" applyBorder="1"/>
    <xf numFmtId="167" fontId="26" fillId="0" borderId="44" xfId="37" applyNumberFormat="1" applyFont="1" applyBorder="1"/>
    <xf numFmtId="167" fontId="26" fillId="0" borderId="11" xfId="32" applyFont="1" applyBorder="1"/>
    <xf numFmtId="167" fontId="16" fillId="0" borderId="32" xfId="32" applyFont="1" applyBorder="1"/>
    <xf numFmtId="167" fontId="16" fillId="0" borderId="44" xfId="32" applyFont="1" applyBorder="1"/>
    <xf numFmtId="0" fontId="16" fillId="0" borderId="45" xfId="37" applyBorder="1" applyAlignment="1">
      <alignment horizontal="center"/>
    </xf>
    <xf numFmtId="165" fontId="16" fillId="0" borderId="10" xfId="35" applyFont="1" applyBorder="1"/>
    <xf numFmtId="0" fontId="32" fillId="0" borderId="10" xfId="37" applyFont="1" applyBorder="1"/>
    <xf numFmtId="165" fontId="32" fillId="0" borderId="10" xfId="35" applyFont="1" applyBorder="1"/>
    <xf numFmtId="165" fontId="16" fillId="0" borderId="10" xfId="35" applyFont="1" applyBorder="1" applyAlignment="1">
      <alignment horizontal="center"/>
    </xf>
    <xf numFmtId="0" fontId="16" fillId="0" borderId="10" xfId="50" applyNumberFormat="1" applyFont="1" applyBorder="1" applyAlignment="1">
      <alignment horizontal="center" vertical="center"/>
    </xf>
    <xf numFmtId="165" fontId="32" fillId="0" borderId="10" xfId="37" applyNumberFormat="1" applyFont="1" applyBorder="1"/>
    <xf numFmtId="165" fontId="32" fillId="0" borderId="15" xfId="35" applyFont="1" applyBorder="1"/>
    <xf numFmtId="165" fontId="16" fillId="0" borderId="13" xfId="35" applyFont="1" applyBorder="1"/>
    <xf numFmtId="0" fontId="32" fillId="0" borderId="17" xfId="37" applyFont="1" applyBorder="1"/>
    <xf numFmtId="165" fontId="16" fillId="0" borderId="46" xfId="35" applyFont="1" applyBorder="1"/>
    <xf numFmtId="165" fontId="32" fillId="0" borderId="17" xfId="35" applyFont="1" applyBorder="1"/>
    <xf numFmtId="165" fontId="32" fillId="0" borderId="47" xfId="35" applyFont="1" applyBorder="1"/>
    <xf numFmtId="0" fontId="34" fillId="0" borderId="33" xfId="37" applyFont="1" applyBorder="1"/>
    <xf numFmtId="0" fontId="34" fillId="0" borderId="11" xfId="37" applyFont="1" applyBorder="1"/>
    <xf numFmtId="165" fontId="34" fillId="0" borderId="12" xfId="35" applyFont="1" applyBorder="1"/>
    <xf numFmtId="0" fontId="16" fillId="0" borderId="11" xfId="37" applyBorder="1"/>
    <xf numFmtId="165" fontId="16" fillId="0" borderId="12" xfId="35" applyFont="1" applyBorder="1"/>
    <xf numFmtId="0" fontId="32" fillId="0" borderId="12" xfId="37" applyFont="1" applyBorder="1" applyAlignment="1">
      <alignment horizontal="center" vertical="center"/>
    </xf>
    <xf numFmtId="0" fontId="32" fillId="0" borderId="12" xfId="37" applyFont="1" applyBorder="1"/>
    <xf numFmtId="165" fontId="32" fillId="0" borderId="34" xfId="35" applyFont="1" applyBorder="1"/>
    <xf numFmtId="165" fontId="32" fillId="0" borderId="35" xfId="35" applyFont="1" applyBorder="1" applyAlignment="1"/>
    <xf numFmtId="10" fontId="16" fillId="0" borderId="35" xfId="37" applyNumberFormat="1" applyBorder="1" applyAlignment="1">
      <alignment horizontal="center"/>
    </xf>
    <xf numFmtId="165" fontId="16" fillId="0" borderId="35" xfId="35" applyFont="1" applyBorder="1"/>
    <xf numFmtId="0" fontId="16" fillId="0" borderId="36" xfId="37" applyBorder="1"/>
    <xf numFmtId="165" fontId="16" fillId="0" borderId="15" xfId="35" applyFont="1" applyBorder="1"/>
    <xf numFmtId="0" fontId="32" fillId="0" borderId="15" xfId="37" applyFont="1" applyBorder="1"/>
    <xf numFmtId="165" fontId="34" fillId="0" borderId="13" xfId="35" applyFont="1" applyBorder="1"/>
    <xf numFmtId="165" fontId="16" fillId="0" borderId="48" xfId="35" applyFont="1" applyBorder="1"/>
    <xf numFmtId="165" fontId="16" fillId="0" borderId="49" xfId="35" applyFont="1" applyBorder="1"/>
    <xf numFmtId="165" fontId="32" fillId="0" borderId="49" xfId="35" applyFont="1" applyBorder="1"/>
    <xf numFmtId="165" fontId="16" fillId="0" borderId="50" xfId="35" applyFont="1" applyBorder="1"/>
    <xf numFmtId="167" fontId="26" fillId="0" borderId="15" xfId="32" applyFont="1" applyBorder="1"/>
    <xf numFmtId="167" fontId="16" fillId="0" borderId="37" xfId="32" applyFont="1" applyBorder="1"/>
    <xf numFmtId="167" fontId="32" fillId="0" borderId="11" xfId="32" applyFont="1" applyBorder="1"/>
    <xf numFmtId="167" fontId="32" fillId="0" borderId="51" xfId="32" applyFont="1" applyBorder="1"/>
    <xf numFmtId="0" fontId="16" fillId="0" borderId="13" xfId="37" applyBorder="1" applyAlignment="1">
      <alignment horizontal="center"/>
    </xf>
    <xf numFmtId="0" fontId="16" fillId="0" borderId="40" xfId="37" applyBorder="1" applyAlignment="1">
      <alignment horizontal="center"/>
    </xf>
    <xf numFmtId="0" fontId="32" fillId="0" borderId="32" xfId="37" applyFont="1" applyBorder="1" applyAlignment="1">
      <alignment horizontal="center"/>
    </xf>
    <xf numFmtId="167" fontId="34" fillId="0" borderId="11" xfId="32" applyFont="1" applyBorder="1"/>
    <xf numFmtId="0" fontId="16" fillId="0" borderId="52" xfId="37" applyBorder="1" applyAlignment="1">
      <alignment horizontal="center"/>
    </xf>
    <xf numFmtId="0" fontId="35" fillId="0" borderId="0" xfId="37" applyFont="1"/>
    <xf numFmtId="0" fontId="34" fillId="0" borderId="17" xfId="37" applyFont="1" applyBorder="1" applyAlignment="1">
      <alignment horizontal="center"/>
    </xf>
    <xf numFmtId="0" fontId="32" fillId="0" borderId="17" xfId="37" applyFont="1" applyBorder="1" applyAlignment="1">
      <alignment horizontal="center"/>
    </xf>
    <xf numFmtId="0" fontId="10" fillId="0" borderId="11" xfId="0" applyFont="1" applyBorder="1"/>
    <xf numFmtId="14" fontId="10" fillId="0" borderId="32" xfId="0" applyNumberFormat="1" applyFont="1" applyBorder="1"/>
    <xf numFmtId="14" fontId="12" fillId="0" borderId="53" xfId="32" applyNumberFormat="1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7" fontId="12" fillId="0" borderId="25" xfId="32" applyFont="1" applyBorder="1" applyAlignment="1">
      <alignment horizontal="center"/>
    </xf>
    <xf numFmtId="167" fontId="12" fillId="0" borderId="54" xfId="32" applyFont="1" applyBorder="1"/>
    <xf numFmtId="14" fontId="12" fillId="0" borderId="24" xfId="32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167" fontId="12" fillId="0" borderId="16" xfId="32" applyFont="1" applyBorder="1" applyAlignment="1">
      <alignment horizontal="center"/>
    </xf>
    <xf numFmtId="167" fontId="12" fillId="0" borderId="42" xfId="32" applyFont="1" applyBorder="1"/>
    <xf numFmtId="0" fontId="10" fillId="0" borderId="15" xfId="0" applyFont="1" applyBorder="1"/>
    <xf numFmtId="167" fontId="10" fillId="0" borderId="13" xfId="32" applyFont="1" applyBorder="1"/>
    <xf numFmtId="0" fontId="0" fillId="0" borderId="34" xfId="0" applyBorder="1"/>
    <xf numFmtId="167" fontId="0" fillId="0" borderId="13" xfId="32" applyFont="1" applyFill="1" applyBorder="1"/>
    <xf numFmtId="167" fontId="26" fillId="0" borderId="54" xfId="32" applyFont="1" applyBorder="1"/>
    <xf numFmtId="0" fontId="10" fillId="0" borderId="27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13" fillId="0" borderId="0" xfId="0" applyFont="1"/>
    <xf numFmtId="0" fontId="0" fillId="0" borderId="0" xfId="0" applyAlignment="1">
      <alignment vertical="center"/>
    </xf>
    <xf numFmtId="0" fontId="12" fillId="0" borderId="44" xfId="0" applyFont="1" applyBorder="1"/>
    <xf numFmtId="167" fontId="12" fillId="0" borderId="27" xfId="32" applyFont="1" applyBorder="1"/>
    <xf numFmtId="0" fontId="0" fillId="0" borderId="14" xfId="0" applyBorder="1"/>
    <xf numFmtId="167" fontId="14" fillId="0" borderId="27" xfId="32" applyFont="1" applyBorder="1"/>
    <xf numFmtId="165" fontId="32" fillId="0" borderId="15" xfId="35" applyFont="1" applyBorder="1" applyAlignment="1">
      <alignment horizontal="left"/>
    </xf>
    <xf numFmtId="167" fontId="11" fillId="0" borderId="13" xfId="32" applyFont="1" applyBorder="1"/>
    <xf numFmtId="167" fontId="12" fillId="0" borderId="17" xfId="32" applyFont="1" applyBorder="1"/>
    <xf numFmtId="167" fontId="10" fillId="0" borderId="17" xfId="32" applyFont="1" applyBorder="1"/>
    <xf numFmtId="167" fontId="26" fillId="0" borderId="0" xfId="32" applyFont="1"/>
    <xf numFmtId="167" fontId="16" fillId="0" borderId="0" xfId="32" applyFont="1" applyAlignment="1">
      <alignment horizontal="center"/>
    </xf>
    <xf numFmtId="167" fontId="26" fillId="0" borderId="0" xfId="32" applyFont="1" applyAlignment="1">
      <alignment horizontal="center"/>
    </xf>
    <xf numFmtId="167" fontId="26" fillId="0" borderId="53" xfId="32" applyFont="1" applyBorder="1"/>
    <xf numFmtId="167" fontId="16" fillId="0" borderId="47" xfId="32" applyFont="1" applyBorder="1"/>
    <xf numFmtId="0" fontId="32" fillId="0" borderId="11" xfId="37" applyFont="1" applyBorder="1"/>
    <xf numFmtId="0" fontId="11" fillId="0" borderId="24" xfId="0" applyFont="1" applyBorder="1"/>
    <xf numFmtId="0" fontId="0" fillId="0" borderId="24" xfId="0" applyBorder="1"/>
    <xf numFmtId="167" fontId="10" fillId="0" borderId="17" xfId="32" applyFont="1" applyBorder="1" applyAlignment="1">
      <alignment horizontal="center"/>
    </xf>
    <xf numFmtId="0" fontId="12" fillId="0" borderId="43" xfId="0" applyFont="1" applyBorder="1"/>
    <xf numFmtId="0" fontId="12" fillId="0" borderId="24" xfId="0" applyFont="1" applyBorder="1"/>
    <xf numFmtId="0" fontId="11" fillId="0" borderId="55" xfId="0" applyFont="1" applyBorder="1"/>
    <xf numFmtId="167" fontId="11" fillId="0" borderId="16" xfId="32" applyFont="1" applyBorder="1"/>
    <xf numFmtId="167" fontId="11" fillId="0" borderId="16" xfId="0" applyNumberFormat="1" applyFont="1" applyBorder="1"/>
    <xf numFmtId="167" fontId="12" fillId="0" borderId="56" xfId="32" applyFont="1" applyBorder="1"/>
    <xf numFmtId="167" fontId="12" fillId="0" borderId="16" xfId="32" applyFont="1" applyBorder="1"/>
    <xf numFmtId="167" fontId="11" fillId="0" borderId="23" xfId="32" applyFont="1" applyBorder="1"/>
    <xf numFmtId="0" fontId="32" fillId="0" borderId="0" xfId="37" applyFont="1" applyAlignment="1">
      <alignment horizontal="center"/>
    </xf>
    <xf numFmtId="167" fontId="34" fillId="0" borderId="0" xfId="32" applyFont="1"/>
    <xf numFmtId="0" fontId="40" fillId="0" borderId="0" xfId="37" applyFont="1" applyAlignment="1">
      <alignment horizontal="center"/>
    </xf>
    <xf numFmtId="0" fontId="33" fillId="0" borderId="0" xfId="37" applyFont="1" applyAlignment="1">
      <alignment horizontal="center"/>
    </xf>
    <xf numFmtId="0" fontId="37" fillId="0" borderId="0" xfId="37" applyFont="1"/>
    <xf numFmtId="0" fontId="46" fillId="0" borderId="0" xfId="37" applyFont="1"/>
    <xf numFmtId="167" fontId="46" fillId="0" borderId="0" xfId="32" applyFont="1"/>
    <xf numFmtId="0" fontId="33" fillId="0" borderId="0" xfId="37" applyFont="1"/>
    <xf numFmtId="0" fontId="0" fillId="0" borderId="28" xfId="0" applyBorder="1" applyAlignment="1">
      <alignment horizontal="left"/>
    </xf>
    <xf numFmtId="0" fontId="0" fillId="0" borderId="0" xfId="0" applyAlignment="1">
      <alignment horizontal="left"/>
    </xf>
    <xf numFmtId="0" fontId="12" fillId="0" borderId="26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57" xfId="0" applyBorder="1" applyAlignment="1">
      <alignment horizontal="center"/>
    </xf>
    <xf numFmtId="167" fontId="41" fillId="0" borderId="0" xfId="32" applyFont="1"/>
    <xf numFmtId="0" fontId="16" fillId="0" borderId="36" xfId="37" applyBorder="1" applyAlignment="1">
      <alignment horizontal="center"/>
    </xf>
    <xf numFmtId="0" fontId="12" fillId="0" borderId="18" xfId="0" applyFont="1" applyBorder="1" applyAlignment="1">
      <alignment horizontal="center"/>
    </xf>
    <xf numFmtId="167" fontId="12" fillId="0" borderId="16" xfId="0" applyNumberFormat="1" applyFont="1" applyBorder="1"/>
    <xf numFmtId="167" fontId="0" fillId="0" borderId="46" xfId="32" applyFont="1" applyBorder="1"/>
    <xf numFmtId="0" fontId="38" fillId="0" borderId="46" xfId="37" applyFont="1" applyBorder="1"/>
    <xf numFmtId="0" fontId="11" fillId="0" borderId="15" xfId="0" applyFont="1" applyBorder="1"/>
    <xf numFmtId="0" fontId="12" fillId="0" borderId="15" xfId="0" applyFont="1" applyBorder="1"/>
    <xf numFmtId="167" fontId="12" fillId="0" borderId="13" xfId="32" applyFont="1" applyBorder="1"/>
    <xf numFmtId="14" fontId="16" fillId="0" borderId="47" xfId="37" applyNumberFormat="1" applyBorder="1"/>
    <xf numFmtId="167" fontId="16" fillId="0" borderId="0" xfId="32" applyFont="1"/>
    <xf numFmtId="167" fontId="10" fillId="0" borderId="25" xfId="32" applyFont="1" applyBorder="1"/>
    <xf numFmtId="167" fontId="11" fillId="0" borderId="17" xfId="32" applyFont="1" applyBorder="1"/>
    <xf numFmtId="0" fontId="11" fillId="0" borderId="17" xfId="0" applyFont="1" applyBorder="1" applyAlignment="1">
      <alignment horizontal="center"/>
    </xf>
    <xf numFmtId="9" fontId="16" fillId="0" borderId="0" xfId="39" applyFont="1"/>
    <xf numFmtId="0" fontId="34" fillId="0" borderId="0" xfId="37" applyFont="1" applyAlignment="1">
      <alignment horizontal="center"/>
    </xf>
    <xf numFmtId="10" fontId="16" fillId="0" borderId="0" xfId="32" applyNumberFormat="1" applyFont="1" applyAlignment="1">
      <alignment horizontal="center"/>
    </xf>
    <xf numFmtId="167" fontId="26" fillId="0" borderId="0" xfId="37" applyNumberFormat="1" applyFont="1"/>
    <xf numFmtId="0" fontId="26" fillId="0" borderId="0" xfId="37" applyFont="1" applyAlignment="1">
      <alignment horizontal="center"/>
    </xf>
    <xf numFmtId="10" fontId="16" fillId="0" borderId="0" xfId="39" applyNumberFormat="1" applyFont="1" applyAlignment="1">
      <alignment horizontal="center"/>
    </xf>
    <xf numFmtId="167" fontId="45" fillId="0" borderId="0" xfId="32" applyFont="1"/>
    <xf numFmtId="10" fontId="37" fillId="0" borderId="0" xfId="37" applyNumberFormat="1" applyFont="1" applyAlignment="1">
      <alignment horizontal="center"/>
    </xf>
    <xf numFmtId="0" fontId="0" fillId="0" borderId="10" xfId="0" applyBorder="1"/>
    <xf numFmtId="0" fontId="0" fillId="0" borderId="33" xfId="0" applyBorder="1"/>
    <xf numFmtId="14" fontId="10" fillId="0" borderId="0" xfId="0" applyNumberFormat="1" applyFont="1"/>
    <xf numFmtId="167" fontId="10" fillId="0" borderId="0" xfId="32" applyFont="1"/>
    <xf numFmtId="167" fontId="11" fillId="0" borderId="0" xfId="32" applyFont="1" applyBorder="1"/>
    <xf numFmtId="167" fontId="11" fillId="0" borderId="27" xfId="32" applyFont="1" applyBorder="1"/>
    <xf numFmtId="0" fontId="13" fillId="0" borderId="0" xfId="0" applyFont="1" applyAlignment="1">
      <alignment horizontal="center"/>
    </xf>
    <xf numFmtId="0" fontId="10" fillId="0" borderId="0" xfId="0" applyFont="1" applyAlignment="1">
      <alignment horizontal="center" vertical="center" textRotation="90"/>
    </xf>
    <xf numFmtId="167" fontId="0" fillId="0" borderId="18" xfId="32" applyFont="1" applyBorder="1" applyAlignment="1">
      <alignment horizontal="center"/>
    </xf>
    <xf numFmtId="9" fontId="0" fillId="0" borderId="18" xfId="39" applyFont="1" applyBorder="1" applyAlignment="1">
      <alignment horizontal="center"/>
    </xf>
    <xf numFmtId="167" fontId="12" fillId="0" borderId="13" xfId="0" applyNumberFormat="1" applyFont="1" applyBorder="1"/>
    <xf numFmtId="167" fontId="0" fillId="0" borderId="0" xfId="32" applyFont="1" applyAlignment="1">
      <alignment horizontal="center"/>
    </xf>
    <xf numFmtId="167" fontId="10" fillId="0" borderId="0" xfId="0" applyNumberFormat="1" applyFont="1" applyAlignment="1">
      <alignment horizontal="center"/>
    </xf>
    <xf numFmtId="14" fontId="10" fillId="0" borderId="0" xfId="0" applyNumberFormat="1" applyFont="1" applyAlignment="1">
      <alignment horizontal="center"/>
    </xf>
    <xf numFmtId="0" fontId="10" fillId="0" borderId="22" xfId="0" applyFont="1" applyBorder="1" applyAlignment="1">
      <alignment horizontal="center"/>
    </xf>
    <xf numFmtId="167" fontId="10" fillId="0" borderId="58" xfId="32" applyFont="1" applyBorder="1" applyAlignment="1">
      <alignment horizontal="center"/>
    </xf>
    <xf numFmtId="167" fontId="11" fillId="0" borderId="31" xfId="32" applyFont="1" applyBorder="1"/>
    <xf numFmtId="0" fontId="10" fillId="0" borderId="56" xfId="37" applyFont="1" applyBorder="1"/>
    <xf numFmtId="167" fontId="10" fillId="0" borderId="41" xfId="32" applyFont="1" applyBorder="1"/>
    <xf numFmtId="14" fontId="16" fillId="0" borderId="15" xfId="37" applyNumberFormat="1" applyBorder="1"/>
    <xf numFmtId="0" fontId="26" fillId="0" borderId="52" xfId="37" applyFont="1" applyBorder="1" applyAlignment="1">
      <alignment horizontal="center"/>
    </xf>
    <xf numFmtId="167" fontId="26" fillId="0" borderId="13" xfId="32" applyFont="1" applyBorder="1"/>
    <xf numFmtId="167" fontId="26" fillId="0" borderId="24" xfId="32" applyFont="1" applyBorder="1" applyAlignment="1">
      <alignment horizontal="center"/>
    </xf>
    <xf numFmtId="167" fontId="26" fillId="0" borderId="13" xfId="32" applyFont="1" applyBorder="1" applyAlignment="1">
      <alignment horizontal="center"/>
    </xf>
    <xf numFmtId="167" fontId="26" fillId="0" borderId="42" xfId="32" applyFont="1" applyBorder="1" applyAlignment="1">
      <alignment horizontal="center"/>
    </xf>
    <xf numFmtId="165" fontId="38" fillId="0" borderId="13" xfId="35" applyFont="1" applyBorder="1"/>
    <xf numFmtId="165" fontId="41" fillId="0" borderId="13" xfId="35" applyFont="1" applyBorder="1"/>
    <xf numFmtId="0" fontId="41" fillId="0" borderId="38" xfId="37" applyFont="1" applyBorder="1"/>
    <xf numFmtId="0" fontId="41" fillId="0" borderId="17" xfId="37" applyFont="1" applyBorder="1"/>
    <xf numFmtId="165" fontId="41" fillId="0" borderId="27" xfId="35" applyFont="1" applyBorder="1"/>
    <xf numFmtId="165" fontId="38" fillId="0" borderId="40" xfId="35" applyFont="1" applyBorder="1"/>
    <xf numFmtId="0" fontId="38" fillId="0" borderId="10" xfId="37" applyFont="1" applyBorder="1"/>
    <xf numFmtId="0" fontId="38" fillId="0" borderId="13" xfId="37" applyFont="1" applyBorder="1"/>
    <xf numFmtId="165" fontId="38" fillId="0" borderId="10" xfId="35" applyFont="1" applyBorder="1"/>
    <xf numFmtId="0" fontId="41" fillId="0" borderId="10" xfId="37" applyFont="1" applyBorder="1"/>
    <xf numFmtId="14" fontId="12" fillId="0" borderId="62" xfId="32" applyNumberFormat="1" applyFont="1" applyBorder="1" applyAlignment="1">
      <alignment horizontal="center"/>
    </xf>
    <xf numFmtId="0" fontId="12" fillId="0" borderId="62" xfId="0" applyFont="1" applyBorder="1" applyAlignment="1">
      <alignment horizontal="center"/>
    </xf>
    <xf numFmtId="167" fontId="12" fillId="0" borderId="25" xfId="32" applyFont="1" applyBorder="1"/>
    <xf numFmtId="14" fontId="12" fillId="0" borderId="18" xfId="32" applyNumberFormat="1" applyFont="1" applyBorder="1" applyAlignment="1">
      <alignment horizontal="center"/>
    </xf>
    <xf numFmtId="14" fontId="12" fillId="0" borderId="16" xfId="32" applyNumberFormat="1" applyFont="1" applyBorder="1" applyAlignment="1">
      <alignment horizontal="center"/>
    </xf>
    <xf numFmtId="167" fontId="9" fillId="0" borderId="0" xfId="32" applyFont="1"/>
    <xf numFmtId="14" fontId="10" fillId="0" borderId="20" xfId="37" applyNumberFormat="1" applyFont="1" applyBorder="1" applyAlignment="1">
      <alignment horizontal="center"/>
    </xf>
    <xf numFmtId="0" fontId="10" fillId="0" borderId="21" xfId="37" applyFont="1" applyBorder="1"/>
    <xf numFmtId="167" fontId="10" fillId="0" borderId="39" xfId="32" applyFont="1" applyBorder="1"/>
    <xf numFmtId="0" fontId="0" fillId="0" borderId="53" xfId="0" applyBorder="1"/>
    <xf numFmtId="167" fontId="0" fillId="0" borderId="62" xfId="32" applyFont="1" applyBorder="1"/>
    <xf numFmtId="167" fontId="0" fillId="0" borderId="55" xfId="32" applyFont="1" applyBorder="1" applyAlignment="1">
      <alignment horizontal="left"/>
    </xf>
    <xf numFmtId="169" fontId="0" fillId="0" borderId="23" xfId="32" applyNumberFormat="1" applyFont="1" applyBorder="1" applyAlignment="1">
      <alignment horizontal="right"/>
    </xf>
    <xf numFmtId="167" fontId="10" fillId="0" borderId="27" xfId="32" applyFont="1" applyBorder="1"/>
    <xf numFmtId="167" fontId="12" fillId="0" borderId="16" xfId="32" applyFont="1" applyBorder="1" applyAlignment="1"/>
    <xf numFmtId="0" fontId="48" fillId="0" borderId="0" xfId="37" applyFont="1"/>
    <xf numFmtId="167" fontId="40" fillId="0" borderId="0" xfId="32" applyFont="1"/>
    <xf numFmtId="0" fontId="48" fillId="0" borderId="0" xfId="37" applyFont="1" applyAlignment="1">
      <alignment horizontal="right"/>
    </xf>
    <xf numFmtId="14" fontId="16" fillId="0" borderId="34" xfId="37" applyNumberFormat="1" applyBorder="1"/>
    <xf numFmtId="167" fontId="50" fillId="0" borderId="14" xfId="32" applyFont="1" applyBorder="1" applyAlignment="1">
      <alignment horizontal="center"/>
    </xf>
    <xf numFmtId="14" fontId="49" fillId="0" borderId="25" xfId="37" applyNumberFormat="1" applyFont="1" applyBorder="1" applyAlignment="1">
      <alignment horizontal="center"/>
    </xf>
    <xf numFmtId="0" fontId="49" fillId="0" borderId="62" xfId="37" applyFont="1" applyBorder="1" applyAlignment="1">
      <alignment horizontal="center"/>
    </xf>
    <xf numFmtId="167" fontId="49" fillId="0" borderId="25" xfId="32" applyFont="1" applyBorder="1"/>
    <xf numFmtId="14" fontId="12" fillId="0" borderId="18" xfId="0" applyNumberFormat="1" applyFont="1" applyBorder="1" applyAlignment="1">
      <alignment horizontal="center"/>
    </xf>
    <xf numFmtId="0" fontId="12" fillId="0" borderId="0" xfId="0" applyFont="1" applyAlignment="1">
      <alignment vertical="center"/>
    </xf>
    <xf numFmtId="14" fontId="12" fillId="0" borderId="56" xfId="37" applyNumberFormat="1" applyFont="1" applyBorder="1" applyAlignment="1">
      <alignment horizontal="center"/>
    </xf>
    <xf numFmtId="165" fontId="12" fillId="0" borderId="56" xfId="34" applyFont="1" applyBorder="1"/>
    <xf numFmtId="165" fontId="12" fillId="0" borderId="16" xfId="34" applyFont="1" applyBorder="1"/>
    <xf numFmtId="167" fontId="12" fillId="0" borderId="26" xfId="32" applyFont="1" applyBorder="1"/>
    <xf numFmtId="167" fontId="51" fillId="0" borderId="17" xfId="32" applyFont="1" applyBorder="1"/>
    <xf numFmtId="14" fontId="10" fillId="0" borderId="0" xfId="32" applyNumberFormat="1" applyFont="1" applyBorder="1" applyAlignment="1">
      <alignment horizontal="right"/>
    </xf>
    <xf numFmtId="167" fontId="10" fillId="0" borderId="0" xfId="32" applyFont="1" applyBorder="1" applyAlignment="1">
      <alignment horizontal="center"/>
    </xf>
    <xf numFmtId="165" fontId="16" fillId="0" borderId="28" xfId="35" applyFont="1" applyBorder="1"/>
    <xf numFmtId="165" fontId="16" fillId="0" borderId="0" xfId="35" applyFont="1" applyBorder="1"/>
    <xf numFmtId="165" fontId="16" fillId="0" borderId="0" xfId="37" applyNumberFormat="1"/>
    <xf numFmtId="0" fontId="16" fillId="0" borderId="29" xfId="37" applyBorder="1"/>
    <xf numFmtId="14" fontId="9" fillId="0" borderId="0" xfId="0" applyNumberFormat="1" applyFont="1"/>
    <xf numFmtId="167" fontId="10" fillId="0" borderId="29" xfId="32" applyFont="1" applyBorder="1"/>
    <xf numFmtId="0" fontId="16" fillId="0" borderId="63" xfId="37" applyBorder="1"/>
    <xf numFmtId="0" fontId="16" fillId="0" borderId="31" xfId="37" applyBorder="1"/>
    <xf numFmtId="14" fontId="12" fillId="0" borderId="64" xfId="32" applyNumberFormat="1" applyFont="1" applyBorder="1" applyAlignment="1">
      <alignment horizontal="center"/>
    </xf>
    <xf numFmtId="0" fontId="12" fillId="0" borderId="57" xfId="0" applyFont="1" applyBorder="1" applyAlignment="1">
      <alignment horizontal="center"/>
    </xf>
    <xf numFmtId="167" fontId="12" fillId="0" borderId="64" xfId="32" applyFont="1" applyBorder="1" applyAlignment="1">
      <alignment horizontal="center"/>
    </xf>
    <xf numFmtId="167" fontId="12" fillId="0" borderId="64" xfId="32" applyFont="1" applyBorder="1"/>
    <xf numFmtId="14" fontId="12" fillId="24" borderId="25" xfId="32" applyNumberFormat="1" applyFont="1" applyFill="1" applyBorder="1" applyAlignment="1">
      <alignment horizontal="center"/>
    </xf>
    <xf numFmtId="0" fontId="12" fillId="24" borderId="62" xfId="0" applyFont="1" applyFill="1" applyBorder="1" applyAlignment="1">
      <alignment horizontal="center"/>
    </xf>
    <xf numFmtId="167" fontId="12" fillId="24" borderId="25" xfId="32" applyFont="1" applyFill="1" applyBorder="1" applyAlignment="1">
      <alignment horizontal="center"/>
    </xf>
    <xf numFmtId="167" fontId="12" fillId="24" borderId="25" xfId="32" applyFont="1" applyFill="1" applyBorder="1"/>
    <xf numFmtId="14" fontId="12" fillId="24" borderId="23" xfId="32" applyNumberFormat="1" applyFont="1" applyFill="1" applyBorder="1" applyAlignment="1">
      <alignment horizontal="center"/>
    </xf>
    <xf numFmtId="0" fontId="12" fillId="24" borderId="19" xfId="0" applyFont="1" applyFill="1" applyBorder="1" applyAlignment="1">
      <alignment horizontal="center"/>
    </xf>
    <xf numFmtId="167" fontId="12" fillId="24" borderId="23" xfId="32" applyFont="1" applyFill="1" applyBorder="1" applyAlignment="1">
      <alignment horizontal="center"/>
    </xf>
    <xf numFmtId="167" fontId="12" fillId="24" borderId="23" xfId="32" applyFont="1" applyFill="1" applyBorder="1"/>
    <xf numFmtId="0" fontId="13" fillId="0" borderId="17" xfId="0" applyFont="1" applyBorder="1"/>
    <xf numFmtId="0" fontId="35" fillId="0" borderId="0" xfId="37" applyFont="1" applyAlignment="1">
      <alignment horizontal="center"/>
    </xf>
    <xf numFmtId="14" fontId="10" fillId="0" borderId="25" xfId="37" applyNumberFormat="1" applyFont="1" applyBorder="1" applyAlignment="1">
      <alignment horizontal="center"/>
    </xf>
    <xf numFmtId="0" fontId="10" fillId="0" borderId="62" xfId="37" applyFont="1" applyBorder="1" applyAlignment="1">
      <alignment horizontal="center"/>
    </xf>
    <xf numFmtId="0" fontId="12" fillId="0" borderId="20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2" fillId="0" borderId="27" xfId="0" applyFont="1" applyBorder="1" applyAlignment="1">
      <alignment horizontal="center"/>
    </xf>
    <xf numFmtId="14" fontId="12" fillId="0" borderId="25" xfId="37" applyNumberFormat="1" applyFont="1" applyBorder="1" applyAlignment="1">
      <alignment horizontal="center"/>
    </xf>
    <xf numFmtId="0" fontId="12" fillId="0" borderId="62" xfId="37" applyFont="1" applyBorder="1" applyAlignment="1">
      <alignment horizontal="center"/>
    </xf>
    <xf numFmtId="166" fontId="10" fillId="0" borderId="0" xfId="0" applyNumberFormat="1" applyFont="1"/>
    <xf numFmtId="14" fontId="12" fillId="0" borderId="0" xfId="0" applyNumberFormat="1" applyFont="1"/>
    <xf numFmtId="14" fontId="11" fillId="0" borderId="0" xfId="0" applyNumberFormat="1" applyFont="1"/>
    <xf numFmtId="167" fontId="11" fillId="0" borderId="0" xfId="32" applyFont="1"/>
    <xf numFmtId="0" fontId="13" fillId="0" borderId="14" xfId="0" applyFont="1" applyBorder="1" applyAlignment="1">
      <alignment horizontal="center"/>
    </xf>
    <xf numFmtId="0" fontId="53" fillId="0" borderId="0" xfId="37" applyFont="1"/>
    <xf numFmtId="0" fontId="54" fillId="0" borderId="0" xfId="37" applyFont="1"/>
    <xf numFmtId="0" fontId="53" fillId="0" borderId="0" xfId="37" applyFont="1" applyAlignment="1">
      <alignment horizontal="center"/>
    </xf>
    <xf numFmtId="167" fontId="51" fillId="0" borderId="0" xfId="32" applyFont="1"/>
    <xf numFmtId="0" fontId="50" fillId="0" borderId="0" xfId="37" applyFont="1"/>
    <xf numFmtId="0" fontId="50" fillId="0" borderId="0" xfId="37" applyFont="1" applyAlignment="1">
      <alignment horizontal="center"/>
    </xf>
    <xf numFmtId="0" fontId="14" fillId="0" borderId="0" xfId="37" applyFont="1"/>
    <xf numFmtId="167" fontId="53" fillId="0" borderId="0" xfId="32" applyFont="1" applyAlignment="1">
      <alignment horizontal="center"/>
    </xf>
    <xf numFmtId="167" fontId="55" fillId="0" borderId="0" xfId="32" applyFont="1"/>
    <xf numFmtId="167" fontId="55" fillId="0" borderId="0" xfId="32" applyFont="1" applyAlignment="1">
      <alignment horizontal="center"/>
    </xf>
    <xf numFmtId="167" fontId="14" fillId="0" borderId="14" xfId="32" applyFont="1" applyFill="1" applyBorder="1"/>
    <xf numFmtId="167" fontId="56" fillId="0" borderId="17" xfId="0" applyNumberFormat="1" applyFont="1" applyBorder="1"/>
    <xf numFmtId="0" fontId="14" fillId="0" borderId="14" xfId="0" applyFont="1" applyBorder="1"/>
    <xf numFmtId="0" fontId="56" fillId="0" borderId="17" xfId="0" applyFont="1" applyBorder="1" applyAlignment="1">
      <alignment horizontal="center"/>
    </xf>
    <xf numFmtId="167" fontId="15" fillId="0" borderId="14" xfId="32" applyFont="1" applyBorder="1" applyAlignment="1">
      <alignment horizontal="center"/>
    </xf>
    <xf numFmtId="0" fontId="47" fillId="0" borderId="15" xfId="0" applyFont="1" applyBorder="1"/>
    <xf numFmtId="0" fontId="47" fillId="0" borderId="24" xfId="0" applyFont="1" applyBorder="1"/>
    <xf numFmtId="167" fontId="14" fillId="0" borderId="0" xfId="32" applyFont="1" applyFill="1" applyBorder="1"/>
    <xf numFmtId="167" fontId="56" fillId="0" borderId="0" xfId="0" applyNumberFormat="1" applyFont="1"/>
    <xf numFmtId="0" fontId="26" fillId="0" borderId="45" xfId="37" applyFont="1" applyBorder="1" applyAlignment="1">
      <alignment horizontal="left"/>
    </xf>
    <xf numFmtId="0" fontId="16" fillId="0" borderId="45" xfId="37" applyBorder="1"/>
    <xf numFmtId="0" fontId="16" fillId="0" borderId="10" xfId="37" applyBorder="1" applyAlignment="1">
      <alignment horizontal="center"/>
    </xf>
    <xf numFmtId="0" fontId="26" fillId="0" borderId="10" xfId="37" applyFont="1" applyBorder="1" applyAlignment="1">
      <alignment horizontal="center"/>
    </xf>
    <xf numFmtId="0" fontId="16" fillId="0" borderId="46" xfId="37" applyBorder="1" applyAlignment="1">
      <alignment horizontal="center"/>
    </xf>
    <xf numFmtId="167" fontId="33" fillId="0" borderId="0" xfId="32" applyFont="1"/>
    <xf numFmtId="0" fontId="58" fillId="0" borderId="0" xfId="37" applyFont="1" applyAlignment="1">
      <alignment horizontal="center"/>
    </xf>
    <xf numFmtId="167" fontId="33" fillId="0" borderId="0" xfId="32" applyFont="1" applyAlignment="1">
      <alignment horizontal="center"/>
    </xf>
    <xf numFmtId="14" fontId="16" fillId="0" borderId="43" xfId="37" applyNumberFormat="1" applyBorder="1"/>
    <xf numFmtId="0" fontId="9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14" fontId="50" fillId="0" borderId="0" xfId="32" applyNumberFormat="1" applyFont="1" applyBorder="1" applyAlignment="1">
      <alignment horizontal="right"/>
    </xf>
    <xf numFmtId="167" fontId="50" fillId="0" borderId="0" xfId="32" applyFont="1" applyBorder="1" applyAlignment="1">
      <alignment horizontal="center"/>
    </xf>
    <xf numFmtId="167" fontId="49" fillId="0" borderId="0" xfId="32" applyFont="1" applyBorder="1"/>
    <xf numFmtId="165" fontId="15" fillId="0" borderId="0" xfId="0" applyNumberFormat="1" applyFont="1"/>
    <xf numFmtId="0" fontId="0" fillId="0" borderId="65" xfId="0" applyBorder="1"/>
    <xf numFmtId="0" fontId="16" fillId="0" borderId="52" xfId="37" applyBorder="1"/>
    <xf numFmtId="167" fontId="12" fillId="0" borderId="42" xfId="32" quotePrefix="1" applyFont="1" applyBorder="1"/>
    <xf numFmtId="14" fontId="12" fillId="0" borderId="66" xfId="37" applyNumberFormat="1" applyFont="1" applyBorder="1" applyAlignment="1">
      <alignment horizontal="center"/>
    </xf>
    <xf numFmtId="0" fontId="12" fillId="0" borderId="29" xfId="0" applyFont="1" applyBorder="1" applyAlignment="1">
      <alignment horizontal="center"/>
    </xf>
    <xf numFmtId="165" fontId="12" fillId="0" borderId="66" xfId="34" applyFont="1" applyBorder="1"/>
    <xf numFmtId="0" fontId="16" fillId="0" borderId="60" xfId="37" applyBorder="1"/>
    <xf numFmtId="0" fontId="16" fillId="0" borderId="35" xfId="37" applyBorder="1" applyAlignment="1">
      <alignment horizontal="center"/>
    </xf>
    <xf numFmtId="0" fontId="9" fillId="0" borderId="53" xfId="0" applyFont="1" applyBorder="1"/>
    <xf numFmtId="0" fontId="9" fillId="0" borderId="24" xfId="0" applyFont="1" applyBorder="1"/>
    <xf numFmtId="0" fontId="0" fillId="0" borderId="24" xfId="0" applyBorder="1" applyAlignment="1">
      <alignment horizontal="left"/>
    </xf>
    <xf numFmtId="0" fontId="13" fillId="0" borderId="24" xfId="0" applyFont="1" applyBorder="1"/>
    <xf numFmtId="167" fontId="8" fillId="0" borderId="16" xfId="32" applyFont="1" applyBorder="1"/>
    <xf numFmtId="167" fontId="8" fillId="0" borderId="16" xfId="32" applyFont="1" applyBorder="1" applyAlignment="1">
      <alignment horizontal="center"/>
    </xf>
    <xf numFmtId="167" fontId="12" fillId="0" borderId="32" xfId="32" applyFont="1" applyBorder="1"/>
    <xf numFmtId="0" fontId="9" fillId="0" borderId="24" xfId="0" applyFont="1" applyBorder="1" applyAlignment="1">
      <alignment horizontal="left"/>
    </xf>
    <xf numFmtId="167" fontId="9" fillId="0" borderId="16" xfId="32" applyFont="1" applyBorder="1"/>
    <xf numFmtId="167" fontId="9" fillId="0" borderId="18" xfId="32" applyFont="1" applyBorder="1"/>
    <xf numFmtId="167" fontId="9" fillId="0" borderId="16" xfId="32" applyFont="1" applyBorder="1" applyAlignment="1">
      <alignment horizontal="center"/>
    </xf>
    <xf numFmtId="0" fontId="0" fillId="0" borderId="27" xfId="0" applyBorder="1"/>
    <xf numFmtId="167" fontId="12" fillId="0" borderId="56" xfId="32" applyFont="1" applyBorder="1" applyAlignment="1">
      <alignment horizontal="right"/>
    </xf>
    <xf numFmtId="0" fontId="11" fillId="0" borderId="14" xfId="0" applyFont="1" applyBorder="1"/>
    <xf numFmtId="166" fontId="11" fillId="0" borderId="17" xfId="0" applyNumberFormat="1" applyFont="1" applyBorder="1"/>
    <xf numFmtId="0" fontId="12" fillId="0" borderId="53" xfId="0" applyFont="1" applyBorder="1"/>
    <xf numFmtId="14" fontId="12" fillId="0" borderId="26" xfId="0" applyNumberFormat="1" applyFont="1" applyBorder="1" applyAlignment="1">
      <alignment horizontal="center"/>
    </xf>
    <xf numFmtId="167" fontId="53" fillId="0" borderId="0" xfId="32" applyFont="1"/>
    <xf numFmtId="0" fontId="59" fillId="0" borderId="0" xfId="37" applyFont="1"/>
    <xf numFmtId="167" fontId="59" fillId="0" borderId="0" xfId="37" applyNumberFormat="1" applyFont="1"/>
    <xf numFmtId="167" fontId="44" fillId="0" borderId="0" xfId="37" applyNumberFormat="1" applyFont="1" applyAlignment="1">
      <alignment horizontal="center"/>
    </xf>
    <xf numFmtId="167" fontId="11" fillId="0" borderId="62" xfId="32" applyFont="1" applyBorder="1"/>
    <xf numFmtId="0" fontId="42" fillId="0" borderId="0" xfId="30" applyAlignment="1" applyProtection="1"/>
    <xf numFmtId="0" fontId="9" fillId="0" borderId="43" xfId="0" applyFont="1" applyBorder="1"/>
    <xf numFmtId="0" fontId="0" fillId="0" borderId="24" xfId="0" applyBorder="1" applyAlignment="1">
      <alignment horizontal="center"/>
    </xf>
    <xf numFmtId="1" fontId="0" fillId="0" borderId="42" xfId="32" applyNumberFormat="1" applyFont="1" applyBorder="1" applyAlignment="1">
      <alignment horizontal="center"/>
    </xf>
    <xf numFmtId="0" fontId="10" fillId="0" borderId="27" xfId="0" applyFont="1" applyBorder="1"/>
    <xf numFmtId="49" fontId="10" fillId="0" borderId="17" xfId="0" applyNumberFormat="1" applyFont="1" applyBorder="1"/>
    <xf numFmtId="167" fontId="0" fillId="0" borderId="16" xfId="32" applyFont="1" applyBorder="1"/>
    <xf numFmtId="167" fontId="0" fillId="0" borderId="23" xfId="32" applyFont="1" applyBorder="1"/>
    <xf numFmtId="167" fontId="7" fillId="0" borderId="0" xfId="32" applyFont="1"/>
    <xf numFmtId="14" fontId="12" fillId="0" borderId="16" xfId="37" applyNumberFormat="1" applyFont="1" applyBorder="1" applyAlignment="1">
      <alignment horizontal="center"/>
    </xf>
    <xf numFmtId="14" fontId="12" fillId="0" borderId="23" xfId="37" applyNumberFormat="1" applyFont="1" applyBorder="1" applyAlignment="1">
      <alignment horizontal="center"/>
    </xf>
    <xf numFmtId="0" fontId="12" fillId="0" borderId="19" xfId="0" applyFont="1" applyBorder="1" applyAlignment="1">
      <alignment horizontal="center"/>
    </xf>
    <xf numFmtId="165" fontId="12" fillId="0" borderId="58" xfId="34" applyFont="1" applyBorder="1"/>
    <xf numFmtId="14" fontId="12" fillId="0" borderId="53" xfId="0" applyNumberFormat="1" applyFont="1" applyBorder="1"/>
    <xf numFmtId="165" fontId="12" fillId="0" borderId="62" xfId="34" applyFont="1" applyBorder="1"/>
    <xf numFmtId="14" fontId="12" fillId="0" borderId="24" xfId="0" applyNumberFormat="1" applyFont="1" applyBorder="1"/>
    <xf numFmtId="165" fontId="12" fillId="0" borderId="18" xfId="34" applyFont="1" applyBorder="1"/>
    <xf numFmtId="14" fontId="12" fillId="0" borderId="55" xfId="0" applyNumberFormat="1" applyFont="1" applyBorder="1"/>
    <xf numFmtId="0" fontId="12" fillId="0" borderId="23" xfId="0" applyFont="1" applyBorder="1" applyAlignment="1">
      <alignment horizontal="center"/>
    </xf>
    <xf numFmtId="165" fontId="12" fillId="0" borderId="19" xfId="34" applyFont="1" applyBorder="1"/>
    <xf numFmtId="0" fontId="12" fillId="0" borderId="20" xfId="0" applyFont="1" applyBorder="1"/>
    <xf numFmtId="0" fontId="12" fillId="0" borderId="17" xfId="0" applyFont="1" applyBorder="1"/>
    <xf numFmtId="0" fontId="12" fillId="0" borderId="22" xfId="0" applyFont="1" applyBorder="1"/>
    <xf numFmtId="167" fontId="26" fillId="0" borderId="55" xfId="32" applyFont="1" applyBorder="1"/>
    <xf numFmtId="167" fontId="16" fillId="0" borderId="50" xfId="32" applyFont="1" applyBorder="1"/>
    <xf numFmtId="167" fontId="12" fillId="0" borderId="18" xfId="32" applyFont="1" applyBorder="1"/>
    <xf numFmtId="165" fontId="12" fillId="0" borderId="64" xfId="34" applyFont="1" applyBorder="1"/>
    <xf numFmtId="167" fontId="55" fillId="0" borderId="0" xfId="32" applyFont="1" applyBorder="1" applyAlignment="1">
      <alignment horizontal="center"/>
    </xf>
    <xf numFmtId="14" fontId="12" fillId="0" borderId="53" xfId="37" applyNumberFormat="1" applyFont="1" applyBorder="1" applyAlignment="1">
      <alignment horizontal="center"/>
    </xf>
    <xf numFmtId="0" fontId="12" fillId="0" borderId="25" xfId="37" applyFont="1" applyBorder="1"/>
    <xf numFmtId="14" fontId="12" fillId="0" borderId="56" xfId="0" applyNumberFormat="1" applyFont="1" applyBorder="1" applyAlignment="1">
      <alignment horizontal="center"/>
    </xf>
    <xf numFmtId="14" fontId="12" fillId="0" borderId="16" xfId="0" applyNumberFormat="1" applyFont="1" applyBorder="1" applyAlignment="1">
      <alignment horizontal="center"/>
    </xf>
    <xf numFmtId="14" fontId="12" fillId="0" borderId="64" xfId="0" applyNumberFormat="1" applyFont="1" applyBorder="1" applyAlignment="1">
      <alignment horizontal="center"/>
    </xf>
    <xf numFmtId="167" fontId="12" fillId="0" borderId="57" xfId="32" applyFont="1" applyBorder="1"/>
    <xf numFmtId="14" fontId="12" fillId="25" borderId="17" xfId="0" applyNumberFormat="1" applyFont="1" applyFill="1" applyBorder="1" applyAlignment="1">
      <alignment horizontal="center"/>
    </xf>
    <xf numFmtId="0" fontId="12" fillId="25" borderId="27" xfId="0" applyFont="1" applyFill="1" applyBorder="1" applyAlignment="1">
      <alignment horizontal="center"/>
    </xf>
    <xf numFmtId="165" fontId="12" fillId="25" borderId="17" xfId="34" applyFont="1" applyFill="1" applyBorder="1"/>
    <xf numFmtId="167" fontId="12" fillId="25" borderId="27" xfId="32" applyFont="1" applyFill="1" applyBorder="1"/>
    <xf numFmtId="165" fontId="10" fillId="0" borderId="17" xfId="34" applyFont="1" applyBorder="1"/>
    <xf numFmtId="167" fontId="7" fillId="0" borderId="18" xfId="32" applyFont="1" applyBorder="1"/>
    <xf numFmtId="0" fontId="14" fillId="0" borderId="0" xfId="37" applyFont="1" applyAlignment="1">
      <alignment horizontal="center"/>
    </xf>
    <xf numFmtId="0" fontId="16" fillId="0" borderId="13" xfId="37" applyBorder="1"/>
    <xf numFmtId="0" fontId="0" fillId="0" borderId="16" xfId="0" applyBorder="1" applyAlignment="1">
      <alignment horizontal="center"/>
    </xf>
    <xf numFmtId="14" fontId="10" fillId="0" borderId="17" xfId="32" applyNumberFormat="1" applyFont="1" applyBorder="1" applyAlignment="1">
      <alignment horizontal="right"/>
    </xf>
    <xf numFmtId="14" fontId="12" fillId="0" borderId="24" xfId="37" applyNumberFormat="1" applyFont="1" applyBorder="1" applyAlignment="1">
      <alignment horizontal="center"/>
    </xf>
    <xf numFmtId="0" fontId="12" fillId="0" borderId="16" xfId="37" applyFont="1" applyBorder="1" applyAlignment="1">
      <alignment horizontal="center"/>
    </xf>
    <xf numFmtId="14" fontId="12" fillId="0" borderId="43" xfId="37" applyNumberFormat="1" applyFont="1" applyBorder="1" applyAlignment="1">
      <alignment horizontal="center"/>
    </xf>
    <xf numFmtId="0" fontId="12" fillId="0" borderId="56" xfId="37" applyFont="1" applyBorder="1" applyAlignment="1">
      <alignment horizontal="center"/>
    </xf>
    <xf numFmtId="167" fontId="12" fillId="0" borderId="41" xfId="32" applyFont="1" applyBorder="1"/>
    <xf numFmtId="167" fontId="0" fillId="0" borderId="0" xfId="0" applyNumberFormat="1"/>
    <xf numFmtId="0" fontId="12" fillId="0" borderId="56" xfId="0" applyFont="1" applyBorder="1" applyAlignment="1">
      <alignment horizontal="center"/>
    </xf>
    <xf numFmtId="165" fontId="12" fillId="0" borderId="41" xfId="34" applyFont="1" applyBorder="1"/>
    <xf numFmtId="0" fontId="64" fillId="0" borderId="16" xfId="0" applyFont="1" applyBorder="1" applyAlignment="1">
      <alignment horizontal="center"/>
    </xf>
    <xf numFmtId="165" fontId="64" fillId="0" borderId="42" xfId="34" applyFont="1" applyBorder="1"/>
    <xf numFmtId="167" fontId="64" fillId="0" borderId="56" xfId="32" applyFont="1" applyBorder="1"/>
    <xf numFmtId="167" fontId="10" fillId="0" borderId="58" xfId="32" applyFont="1" applyBorder="1"/>
    <xf numFmtId="0" fontId="0" fillId="0" borderId="53" xfId="0" applyBorder="1" applyAlignment="1">
      <alignment horizontal="center"/>
    </xf>
    <xf numFmtId="0" fontId="0" fillId="0" borderId="25" xfId="0" applyBorder="1"/>
    <xf numFmtId="1" fontId="0" fillId="0" borderId="54" xfId="32" applyNumberFormat="1" applyFont="1" applyBorder="1" applyAlignment="1">
      <alignment horizontal="center"/>
    </xf>
    <xf numFmtId="14" fontId="65" fillId="0" borderId="47" xfId="37" applyNumberFormat="1" applyFont="1" applyBorder="1"/>
    <xf numFmtId="0" fontId="65" fillId="0" borderId="45" xfId="37" applyFont="1" applyBorder="1" applyAlignment="1">
      <alignment horizontal="left"/>
    </xf>
    <xf numFmtId="0" fontId="65" fillId="0" borderId="10" xfId="37" applyFont="1" applyBorder="1" applyAlignment="1">
      <alignment horizontal="center"/>
    </xf>
    <xf numFmtId="0" fontId="65" fillId="0" borderId="40" xfId="37" applyFont="1" applyBorder="1" applyAlignment="1">
      <alignment horizontal="center"/>
    </xf>
    <xf numFmtId="167" fontId="65" fillId="0" borderId="24" xfId="32" applyFont="1" applyBorder="1" applyAlignment="1">
      <alignment horizontal="center"/>
    </xf>
    <xf numFmtId="167" fontId="65" fillId="0" borderId="13" xfId="32" applyFont="1" applyBorder="1" applyAlignment="1">
      <alignment horizontal="center"/>
    </xf>
    <xf numFmtId="167" fontId="65" fillId="0" borderId="42" xfId="32" applyFont="1" applyBorder="1" applyAlignment="1">
      <alignment horizontal="center"/>
    </xf>
    <xf numFmtId="0" fontId="65" fillId="0" borderId="0" xfId="37" applyFont="1" applyAlignment="1">
      <alignment horizontal="center"/>
    </xf>
    <xf numFmtId="167" fontId="66" fillId="0" borderId="23" xfId="32" applyFont="1" applyBorder="1"/>
    <xf numFmtId="167" fontId="66" fillId="0" borderId="19" xfId="32" applyFont="1" applyBorder="1"/>
    <xf numFmtId="14" fontId="64" fillId="0" borderId="24" xfId="32" applyNumberFormat="1" applyFont="1" applyBorder="1" applyAlignment="1">
      <alignment horizontal="center"/>
    </xf>
    <xf numFmtId="167" fontId="64" fillId="0" borderId="16" xfId="32" applyFont="1" applyBorder="1" applyAlignment="1">
      <alignment horizontal="center"/>
    </xf>
    <xf numFmtId="167" fontId="64" fillId="0" borderId="42" xfId="32" applyFont="1" applyBorder="1"/>
    <xf numFmtId="14" fontId="64" fillId="0" borderId="55" xfId="32" applyNumberFormat="1" applyFont="1" applyBorder="1" applyAlignment="1">
      <alignment horizontal="center"/>
    </xf>
    <xf numFmtId="0" fontId="64" fillId="0" borderId="23" xfId="0" applyFont="1" applyBorder="1" applyAlignment="1">
      <alignment horizontal="center"/>
    </xf>
    <xf numFmtId="167" fontId="64" fillId="0" borderId="23" xfId="32" applyFont="1" applyBorder="1" applyAlignment="1">
      <alignment horizontal="center"/>
    </xf>
    <xf numFmtId="167" fontId="64" fillId="0" borderId="67" xfId="32" applyFont="1" applyBorder="1"/>
    <xf numFmtId="14" fontId="66" fillId="0" borderId="55" xfId="0" applyNumberFormat="1" applyFont="1" applyBorder="1" applyAlignment="1">
      <alignment horizontal="center"/>
    </xf>
    <xf numFmtId="0" fontId="64" fillId="0" borderId="16" xfId="37" applyFont="1" applyBorder="1" applyAlignment="1">
      <alignment horizontal="center"/>
    </xf>
    <xf numFmtId="14" fontId="64" fillId="0" borderId="24" xfId="37" applyNumberFormat="1" applyFont="1" applyBorder="1" applyAlignment="1">
      <alignment horizontal="center"/>
    </xf>
    <xf numFmtId="167" fontId="67" fillId="0" borderId="16" xfId="32" applyFont="1" applyBorder="1"/>
    <xf numFmtId="167" fontId="67" fillId="0" borderId="56" xfId="32" applyFont="1" applyBorder="1"/>
    <xf numFmtId="167" fontId="67" fillId="0" borderId="21" xfId="32" applyFont="1" applyBorder="1"/>
    <xf numFmtId="167" fontId="65" fillId="0" borderId="0" xfId="32" applyFont="1" applyAlignment="1">
      <alignment horizontal="center"/>
    </xf>
    <xf numFmtId="14" fontId="64" fillId="0" borderId="56" xfId="0" applyNumberFormat="1" applyFont="1" applyBorder="1" applyAlignment="1">
      <alignment horizontal="center"/>
    </xf>
    <xf numFmtId="0" fontId="64" fillId="0" borderId="56" xfId="0" applyFont="1" applyBorder="1" applyAlignment="1">
      <alignment horizontal="center"/>
    </xf>
    <xf numFmtId="165" fontId="64" fillId="0" borderId="41" xfId="34" applyFont="1" applyBorder="1"/>
    <xf numFmtId="0" fontId="16" fillId="0" borderId="42" xfId="37" applyBorder="1"/>
    <xf numFmtId="0" fontId="16" fillId="0" borderId="42" xfId="37" applyBorder="1" applyAlignment="1">
      <alignment horizontal="center"/>
    </xf>
    <xf numFmtId="0" fontId="16" fillId="0" borderId="41" xfId="37" applyBorder="1"/>
    <xf numFmtId="167" fontId="64" fillId="0" borderId="16" xfId="32" applyFont="1" applyBorder="1"/>
    <xf numFmtId="14" fontId="64" fillId="0" borderId="16" xfId="0" applyNumberFormat="1" applyFont="1" applyBorder="1" applyAlignment="1">
      <alignment horizontal="center"/>
    </xf>
    <xf numFmtId="167" fontId="65" fillId="0" borderId="0" xfId="32" applyFont="1"/>
    <xf numFmtId="167" fontId="66" fillId="0" borderId="56" xfId="32" applyFont="1" applyBorder="1"/>
    <xf numFmtId="167" fontId="65" fillId="0" borderId="54" xfId="32" applyFont="1" applyBorder="1"/>
    <xf numFmtId="14" fontId="16" fillId="0" borderId="53" xfId="37" applyNumberFormat="1" applyBorder="1"/>
    <xf numFmtId="0" fontId="16" fillId="0" borderId="62" xfId="37" applyBorder="1" applyAlignment="1">
      <alignment horizontal="center"/>
    </xf>
    <xf numFmtId="0" fontId="16" fillId="0" borderId="25" xfId="37" applyBorder="1"/>
    <xf numFmtId="167" fontId="65" fillId="0" borderId="25" xfId="32" applyFont="1" applyBorder="1"/>
    <xf numFmtId="167" fontId="65" fillId="0" borderId="16" xfId="32" applyFont="1" applyBorder="1" applyAlignment="1">
      <alignment horizontal="center"/>
    </xf>
    <xf numFmtId="0" fontId="33" fillId="0" borderId="20" xfId="37" applyFont="1" applyBorder="1" applyAlignment="1">
      <alignment horizontal="center" vertical="center"/>
    </xf>
    <xf numFmtId="0" fontId="33" fillId="0" borderId="21" xfId="37" applyFont="1" applyBorder="1" applyAlignment="1">
      <alignment horizontal="center" vertical="center"/>
    </xf>
    <xf numFmtId="0" fontId="33" fillId="0" borderId="22" xfId="37" applyFont="1" applyBorder="1" applyAlignment="1">
      <alignment horizontal="center" vertical="center"/>
    </xf>
    <xf numFmtId="0" fontId="61" fillId="0" borderId="14" xfId="37" applyFont="1" applyBorder="1" applyAlignment="1">
      <alignment horizontal="center" vertical="center"/>
    </xf>
    <xf numFmtId="0" fontId="71" fillId="0" borderId="17" xfId="37" applyFont="1" applyBorder="1" applyAlignment="1">
      <alignment horizontal="center" vertical="center"/>
    </xf>
    <xf numFmtId="0" fontId="72" fillId="0" borderId="17" xfId="37" applyFont="1" applyBorder="1" applyAlignment="1">
      <alignment horizontal="center" vertical="center"/>
    </xf>
    <xf numFmtId="0" fontId="71" fillId="0" borderId="14" xfId="37" applyFont="1" applyBorder="1" applyAlignment="1">
      <alignment horizontal="center" vertical="center"/>
    </xf>
    <xf numFmtId="167" fontId="69" fillId="0" borderId="25" xfId="32" applyFont="1" applyBorder="1"/>
    <xf numFmtId="167" fontId="69" fillId="0" borderId="16" xfId="32" applyFont="1" applyBorder="1" applyAlignment="1">
      <alignment horizontal="center"/>
    </xf>
    <xf numFmtId="167" fontId="61" fillId="0" borderId="14" xfId="37" applyNumberFormat="1" applyFont="1" applyBorder="1"/>
    <xf numFmtId="167" fontId="71" fillId="0" borderId="17" xfId="37" applyNumberFormat="1" applyFont="1" applyBorder="1"/>
    <xf numFmtId="167" fontId="71" fillId="0" borderId="44" xfId="37" applyNumberFormat="1" applyFont="1" applyBorder="1"/>
    <xf numFmtId="167" fontId="72" fillId="0" borderId="17" xfId="37" applyNumberFormat="1" applyFont="1" applyBorder="1"/>
    <xf numFmtId="167" fontId="65" fillId="0" borderId="56" xfId="32" applyFont="1" applyBorder="1" applyAlignment="1">
      <alignment horizontal="center"/>
    </xf>
    <xf numFmtId="167" fontId="69" fillId="0" borderId="56" xfId="32" applyFont="1" applyBorder="1" applyAlignment="1">
      <alignment horizontal="center"/>
    </xf>
    <xf numFmtId="14" fontId="16" fillId="0" borderId="24" xfId="37" applyNumberFormat="1" applyBorder="1"/>
    <xf numFmtId="0" fontId="16" fillId="0" borderId="56" xfId="37" applyBorder="1"/>
    <xf numFmtId="167" fontId="65" fillId="0" borderId="66" xfId="32" applyFont="1" applyBorder="1" applyAlignment="1">
      <alignment horizontal="center"/>
    </xf>
    <xf numFmtId="0" fontId="64" fillId="0" borderId="24" xfId="0" applyFont="1" applyBorder="1"/>
    <xf numFmtId="0" fontId="73" fillId="0" borderId="0" xfId="0" applyFont="1"/>
    <xf numFmtId="0" fontId="73" fillId="0" borderId="0" xfId="0" applyFont="1" applyAlignment="1">
      <alignment horizontal="center"/>
    </xf>
    <xf numFmtId="0" fontId="73" fillId="0" borderId="0" xfId="0" applyFont="1" applyAlignment="1">
      <alignment vertical="center"/>
    </xf>
    <xf numFmtId="0" fontId="40" fillId="0" borderId="17" xfId="37" applyFont="1" applyBorder="1" applyAlignment="1">
      <alignment horizontal="center"/>
    </xf>
    <xf numFmtId="0" fontId="74" fillId="0" borderId="17" xfId="37" applyFont="1" applyBorder="1" applyAlignment="1">
      <alignment horizontal="center"/>
    </xf>
    <xf numFmtId="167" fontId="65" fillId="0" borderId="42" xfId="32" applyFont="1" applyBorder="1"/>
    <xf numFmtId="167" fontId="65" fillId="0" borderId="44" xfId="37" applyNumberFormat="1" applyFont="1" applyBorder="1"/>
    <xf numFmtId="0" fontId="65" fillId="0" borderId="0" xfId="37" applyFont="1"/>
    <xf numFmtId="167" fontId="40" fillId="0" borderId="32" xfId="32" applyFont="1" applyBorder="1"/>
    <xf numFmtId="167" fontId="74" fillId="0" borderId="44" xfId="32" applyFont="1" applyBorder="1"/>
    <xf numFmtId="167" fontId="65" fillId="0" borderId="41" xfId="32" applyFont="1" applyBorder="1"/>
    <xf numFmtId="167" fontId="65" fillId="0" borderId="18" xfId="32" applyFont="1" applyBorder="1" applyAlignment="1">
      <alignment horizontal="center"/>
    </xf>
    <xf numFmtId="167" fontId="65" fillId="0" borderId="24" xfId="32" applyFont="1" applyBorder="1"/>
    <xf numFmtId="167" fontId="65" fillId="0" borderId="13" xfId="32" applyFont="1" applyBorder="1"/>
    <xf numFmtId="167" fontId="26" fillId="0" borderId="43" xfId="32" applyFont="1" applyBorder="1" applyAlignment="1">
      <alignment horizontal="center"/>
    </xf>
    <xf numFmtId="0" fontId="26" fillId="0" borderId="38" xfId="37" applyFont="1" applyBorder="1" applyAlignment="1">
      <alignment horizontal="center"/>
    </xf>
    <xf numFmtId="167" fontId="26" fillId="0" borderId="14" xfId="37" applyNumberFormat="1" applyFont="1" applyBorder="1"/>
    <xf numFmtId="167" fontId="16" fillId="0" borderId="14" xfId="32" applyFont="1" applyBorder="1"/>
    <xf numFmtId="14" fontId="73" fillId="0" borderId="56" xfId="0" applyNumberFormat="1" applyFont="1" applyBorder="1" applyAlignment="1">
      <alignment horizontal="center"/>
    </xf>
    <xf numFmtId="0" fontId="73" fillId="0" borderId="56" xfId="0" applyFont="1" applyBorder="1" applyAlignment="1">
      <alignment horizontal="center"/>
    </xf>
    <xf numFmtId="167" fontId="12" fillId="0" borderId="13" xfId="32" applyFont="1" applyFill="1" applyBorder="1"/>
    <xf numFmtId="167" fontId="10" fillId="0" borderId="13" xfId="32" applyFont="1" applyFill="1" applyBorder="1"/>
    <xf numFmtId="14" fontId="16" fillId="26" borderId="47" xfId="37" applyNumberFormat="1" applyFill="1" applyBorder="1"/>
    <xf numFmtId="167" fontId="26" fillId="26" borderId="24" xfId="32" applyFont="1" applyFill="1" applyBorder="1" applyAlignment="1">
      <alignment horizontal="center"/>
    </xf>
    <xf numFmtId="167" fontId="26" fillId="26" borderId="13" xfId="32" applyFont="1" applyFill="1" applyBorder="1" applyAlignment="1">
      <alignment horizontal="center"/>
    </xf>
    <xf numFmtId="0" fontId="26" fillId="26" borderId="0" xfId="37" applyFont="1" applyFill="1" applyAlignment="1">
      <alignment horizontal="center"/>
    </xf>
    <xf numFmtId="164" fontId="16" fillId="0" borderId="10" xfId="35" applyNumberFormat="1" applyFont="1" applyBorder="1" applyAlignment="1"/>
    <xf numFmtId="167" fontId="26" fillId="0" borderId="24" xfId="32" applyFont="1" applyFill="1" applyBorder="1" applyAlignment="1">
      <alignment horizontal="center"/>
    </xf>
    <xf numFmtId="167" fontId="26" fillId="0" borderId="42" xfId="32" applyFont="1" applyFill="1" applyBorder="1" applyAlignment="1">
      <alignment horizontal="center"/>
    </xf>
    <xf numFmtId="0" fontId="64" fillId="0" borderId="18" xfId="0" applyFont="1" applyBorder="1" applyAlignment="1">
      <alignment horizontal="center"/>
    </xf>
    <xf numFmtId="0" fontId="64" fillId="0" borderId="0" xfId="0" applyFont="1"/>
    <xf numFmtId="0" fontId="64" fillId="0" borderId="0" xfId="0" applyFont="1" applyAlignment="1">
      <alignment vertical="center"/>
    </xf>
    <xf numFmtId="14" fontId="73" fillId="0" borderId="16" xfId="0" applyNumberFormat="1" applyFont="1" applyBorder="1" applyAlignment="1">
      <alignment horizontal="center"/>
    </xf>
    <xf numFmtId="0" fontId="73" fillId="0" borderId="16" xfId="0" applyFont="1" applyBorder="1" applyAlignment="1">
      <alignment horizontal="center"/>
    </xf>
    <xf numFmtId="17" fontId="16" fillId="0" borderId="0" xfId="37" applyNumberFormat="1"/>
    <xf numFmtId="167" fontId="10" fillId="0" borderId="56" xfId="32" applyFont="1" applyBorder="1"/>
    <xf numFmtId="167" fontId="55" fillId="27" borderId="0" xfId="32" applyFont="1" applyFill="1" applyAlignment="1">
      <alignment horizontal="center"/>
    </xf>
    <xf numFmtId="4" fontId="16" fillId="0" borderId="52" xfId="35" applyNumberFormat="1" applyFont="1" applyBorder="1" applyAlignment="1">
      <alignment vertical="distributed"/>
    </xf>
    <xf numFmtId="167" fontId="55" fillId="27" borderId="0" xfId="32" applyFont="1" applyFill="1"/>
    <xf numFmtId="167" fontId="10" fillId="0" borderId="0" xfId="32" applyFont="1" applyAlignment="1">
      <alignment horizontal="right"/>
    </xf>
    <xf numFmtId="167" fontId="15" fillId="0" borderId="0" xfId="37" applyNumberFormat="1" applyFont="1" applyAlignment="1">
      <alignment horizontal="center"/>
    </xf>
    <xf numFmtId="167" fontId="75" fillId="0" borderId="0" xfId="37" applyNumberFormat="1" applyFont="1" applyAlignment="1">
      <alignment horizontal="center"/>
    </xf>
    <xf numFmtId="167" fontId="10" fillId="0" borderId="66" xfId="32" applyFont="1" applyBorder="1"/>
    <xf numFmtId="1" fontId="10" fillId="0" borderId="0" xfId="32" applyNumberFormat="1" applyFont="1" applyBorder="1" applyAlignment="1">
      <alignment horizontal="right"/>
    </xf>
    <xf numFmtId="167" fontId="32" fillId="0" borderId="44" xfId="32" applyFont="1" applyBorder="1"/>
    <xf numFmtId="167" fontId="32" fillId="0" borderId="32" xfId="32" applyFont="1" applyBorder="1"/>
    <xf numFmtId="0" fontId="10" fillId="28" borderId="17" xfId="0" applyFont="1" applyFill="1" applyBorder="1"/>
    <xf numFmtId="49" fontId="10" fillId="28" borderId="17" xfId="0" applyNumberFormat="1" applyFont="1" applyFill="1" applyBorder="1"/>
    <xf numFmtId="0" fontId="10" fillId="28" borderId="27" xfId="0" applyFont="1" applyFill="1" applyBorder="1"/>
    <xf numFmtId="0" fontId="10" fillId="29" borderId="27" xfId="0" applyFont="1" applyFill="1" applyBorder="1"/>
    <xf numFmtId="167" fontId="53" fillId="27" borderId="0" xfId="32" applyFont="1" applyFill="1"/>
    <xf numFmtId="0" fontId="0" fillId="26" borderId="53" xfId="0" applyFill="1" applyBorder="1" applyAlignment="1">
      <alignment horizontal="center"/>
    </xf>
    <xf numFmtId="167" fontId="0" fillId="0" borderId="16" xfId="32" applyFont="1" applyFill="1" applyBorder="1"/>
    <xf numFmtId="167" fontId="0" fillId="0" borderId="18" xfId="32" applyFont="1" applyFill="1" applyBorder="1"/>
    <xf numFmtId="167" fontId="53" fillId="0" borderId="0" xfId="32" applyFont="1" applyFill="1"/>
    <xf numFmtId="0" fontId="13" fillId="0" borderId="27" xfId="0" applyFont="1" applyBorder="1" applyAlignment="1">
      <alignment horizontal="center"/>
    </xf>
    <xf numFmtId="0" fontId="0" fillId="0" borderId="31" xfId="0" applyBorder="1" applyAlignment="1">
      <alignment horizontal="center"/>
    </xf>
    <xf numFmtId="167" fontId="13" fillId="0" borderId="27" xfId="32" applyFont="1" applyBorder="1"/>
    <xf numFmtId="167" fontId="13" fillId="0" borderId="31" xfId="32" applyFont="1" applyBorder="1"/>
    <xf numFmtId="167" fontId="0" fillId="0" borderId="42" xfId="32" applyFont="1" applyBorder="1"/>
    <xf numFmtId="0" fontId="0" fillId="0" borderId="23" xfId="0" applyBorder="1"/>
    <xf numFmtId="167" fontId="0" fillId="0" borderId="30" xfId="32" applyFont="1" applyBorder="1"/>
    <xf numFmtId="0" fontId="55" fillId="0" borderId="25" xfId="0" applyFont="1" applyBorder="1"/>
    <xf numFmtId="167" fontId="55" fillId="0" borderId="54" xfId="32" applyFont="1" applyBorder="1"/>
    <xf numFmtId="0" fontId="55" fillId="0" borderId="25" xfId="0" applyFont="1" applyBorder="1" applyAlignment="1">
      <alignment horizontal="center"/>
    </xf>
    <xf numFmtId="0" fontId="55" fillId="0" borderId="16" xfId="0" applyFont="1" applyBorder="1"/>
    <xf numFmtId="167" fontId="55" fillId="0" borderId="42" xfId="32" applyFont="1" applyBorder="1"/>
    <xf numFmtId="0" fontId="55" fillId="0" borderId="16" xfId="0" applyFont="1" applyBorder="1" applyAlignment="1">
      <alignment horizontal="center"/>
    </xf>
    <xf numFmtId="0" fontId="13" fillId="0" borderId="58" xfId="0" applyFont="1" applyBorder="1" applyAlignment="1">
      <alignment horizontal="right"/>
    </xf>
    <xf numFmtId="167" fontId="13" fillId="0" borderId="27" xfId="32" applyFont="1" applyBorder="1" applyAlignment="1">
      <alignment horizontal="center"/>
    </xf>
    <xf numFmtId="167" fontId="0" fillId="0" borderId="24" xfId="32" applyFont="1" applyBorder="1"/>
    <xf numFmtId="167" fontId="0" fillId="0" borderId="63" xfId="32" applyFont="1" applyBorder="1"/>
    <xf numFmtId="167" fontId="55" fillId="0" borderId="25" xfId="32" applyFont="1" applyBorder="1"/>
    <xf numFmtId="167" fontId="55" fillId="0" borderId="16" xfId="32" applyFont="1" applyBorder="1"/>
    <xf numFmtId="167" fontId="0" fillId="0" borderId="58" xfId="32" applyFont="1" applyBorder="1"/>
    <xf numFmtId="167" fontId="55" fillId="0" borderId="0" xfId="32" applyFont="1" applyFill="1" applyBorder="1" applyAlignment="1">
      <alignment horizontal="center"/>
    </xf>
    <xf numFmtId="167" fontId="55" fillId="0" borderId="0" xfId="32" applyFont="1" applyFill="1" applyAlignment="1">
      <alignment horizontal="center"/>
    </xf>
    <xf numFmtId="167" fontId="55" fillId="0" borderId="0" xfId="32" applyFont="1" applyFill="1"/>
    <xf numFmtId="0" fontId="32" fillId="0" borderId="11" xfId="37" applyFont="1" applyBorder="1" applyAlignment="1">
      <alignment horizontal="center"/>
    </xf>
    <xf numFmtId="0" fontId="32" fillId="0" borderId="12" xfId="37" applyFont="1" applyBorder="1" applyAlignment="1">
      <alignment horizontal="center"/>
    </xf>
    <xf numFmtId="167" fontId="32" fillId="0" borderId="0" xfId="32" applyFont="1" applyAlignment="1">
      <alignment horizontal="center"/>
    </xf>
    <xf numFmtId="10" fontId="32" fillId="0" borderId="0" xfId="37" applyNumberFormat="1" applyFont="1" applyAlignment="1">
      <alignment horizontal="center"/>
    </xf>
    <xf numFmtId="167" fontId="32" fillId="0" borderId="14" xfId="32" applyFont="1" applyBorder="1"/>
    <xf numFmtId="167" fontId="26" fillId="0" borderId="24" xfId="32" quotePrefix="1" applyFont="1" applyBorder="1"/>
    <xf numFmtId="165" fontId="15" fillId="0" borderId="58" xfId="0" applyNumberFormat="1" applyFont="1" applyBorder="1"/>
    <xf numFmtId="167" fontId="16" fillId="0" borderId="34" xfId="32" applyFont="1" applyBorder="1"/>
    <xf numFmtId="0" fontId="10" fillId="29" borderId="14" xfId="0" applyFont="1" applyFill="1" applyBorder="1" applyAlignment="1">
      <alignment horizontal="center"/>
    </xf>
    <xf numFmtId="0" fontId="10" fillId="29" borderId="17" xfId="0" applyFont="1" applyFill="1" applyBorder="1"/>
    <xf numFmtId="0" fontId="10" fillId="29" borderId="44" xfId="0" applyFont="1" applyFill="1" applyBorder="1" applyAlignment="1">
      <alignment horizontal="center"/>
    </xf>
    <xf numFmtId="49" fontId="10" fillId="29" borderId="17" xfId="0" applyNumberFormat="1" applyFont="1" applyFill="1" applyBorder="1"/>
    <xf numFmtId="167" fontId="0" fillId="0" borderId="16" xfId="33" applyFont="1" applyFill="1" applyBorder="1"/>
    <xf numFmtId="167" fontId="0" fillId="0" borderId="56" xfId="33" applyFont="1" applyFill="1" applyBorder="1"/>
    <xf numFmtId="167" fontId="0" fillId="0" borderId="41" xfId="33" applyFont="1" applyFill="1" applyBorder="1"/>
    <xf numFmtId="0" fontId="10" fillId="29" borderId="44" xfId="0" applyFont="1" applyFill="1" applyBorder="1"/>
    <xf numFmtId="0" fontId="10" fillId="29" borderId="17" xfId="0" applyFont="1" applyFill="1" applyBorder="1" applyAlignment="1">
      <alignment horizontal="center"/>
    </xf>
    <xf numFmtId="167" fontId="10" fillId="0" borderId="17" xfId="33" applyFont="1" applyBorder="1"/>
    <xf numFmtId="167" fontId="10" fillId="0" borderId="0" xfId="0" applyNumberFormat="1" applyFont="1"/>
    <xf numFmtId="10" fontId="16" fillId="0" borderId="0" xfId="37" applyNumberFormat="1"/>
    <xf numFmtId="44" fontId="16" fillId="0" borderId="0" xfId="37" applyNumberFormat="1"/>
    <xf numFmtId="44" fontId="65" fillId="0" borderId="0" xfId="37" applyNumberFormat="1" applyFont="1"/>
    <xf numFmtId="0" fontId="65" fillId="0" borderId="52" xfId="37" applyFont="1" applyBorder="1"/>
    <xf numFmtId="0" fontId="65" fillId="0" borderId="13" xfId="37" applyFont="1" applyBorder="1" applyAlignment="1">
      <alignment horizontal="center"/>
    </xf>
    <xf numFmtId="167" fontId="65" fillId="0" borderId="24" xfId="32" applyFont="1" applyFill="1" applyBorder="1" applyAlignment="1">
      <alignment horizontal="center"/>
    </xf>
    <xf numFmtId="167" fontId="65" fillId="0" borderId="13" xfId="32" applyFont="1" applyFill="1" applyBorder="1" applyAlignment="1">
      <alignment horizontal="center"/>
    </xf>
    <xf numFmtId="167" fontId="65" fillId="0" borderId="42" xfId="32" applyFont="1" applyFill="1" applyBorder="1" applyAlignment="1">
      <alignment horizontal="center"/>
    </xf>
    <xf numFmtId="167" fontId="76" fillId="0" borderId="0" xfId="32" applyFont="1"/>
    <xf numFmtId="167" fontId="66" fillId="0" borderId="0" xfId="32" applyFont="1"/>
    <xf numFmtId="167" fontId="66" fillId="0" borderId="0" xfId="32" applyFont="1" applyAlignment="1">
      <alignment horizontal="right"/>
    </xf>
    <xf numFmtId="167" fontId="67" fillId="0" borderId="0" xfId="0" applyNumberFormat="1" applyFont="1"/>
    <xf numFmtId="14" fontId="10" fillId="0" borderId="0" xfId="37" applyNumberFormat="1" applyFont="1" applyAlignment="1">
      <alignment horizontal="center"/>
    </xf>
    <xf numFmtId="165" fontId="64" fillId="0" borderId="0" xfId="34" applyFont="1" applyBorder="1"/>
    <xf numFmtId="167" fontId="26" fillId="0" borderId="24" xfId="32" applyFont="1" applyFill="1" applyBorder="1"/>
    <xf numFmtId="167" fontId="58" fillId="0" borderId="0" xfId="32" applyFont="1"/>
    <xf numFmtId="10" fontId="33" fillId="0" borderId="0" xfId="37" applyNumberFormat="1" applyFont="1" applyAlignment="1">
      <alignment horizontal="center"/>
    </xf>
    <xf numFmtId="0" fontId="16" fillId="0" borderId="0" xfId="37" quotePrefix="1"/>
    <xf numFmtId="167" fontId="26" fillId="0" borderId="15" xfId="32" applyFont="1" applyBorder="1" applyAlignment="1">
      <alignment horizontal="center"/>
    </xf>
    <xf numFmtId="0" fontId="26" fillId="0" borderId="13" xfId="37" applyFont="1" applyBorder="1" applyAlignment="1">
      <alignment horizontal="center"/>
    </xf>
    <xf numFmtId="0" fontId="16" fillId="0" borderId="47" xfId="37" applyBorder="1"/>
    <xf numFmtId="167" fontId="16" fillId="0" borderId="0" xfId="37" applyNumberFormat="1"/>
    <xf numFmtId="16" fontId="16" fillId="0" borderId="0" xfId="37" applyNumberFormat="1"/>
    <xf numFmtId="167" fontId="32" fillId="0" borderId="0" xfId="37" applyNumberFormat="1" applyFont="1"/>
    <xf numFmtId="167" fontId="32" fillId="0" borderId="0" xfId="32" applyFont="1"/>
    <xf numFmtId="167" fontId="68" fillId="0" borderId="0" xfId="32" applyFont="1"/>
    <xf numFmtId="14" fontId="12" fillId="0" borderId="43" xfId="32" applyNumberFormat="1" applyFont="1" applyBorder="1" applyAlignment="1">
      <alignment horizontal="center"/>
    </xf>
    <xf numFmtId="167" fontId="68" fillId="0" borderId="0" xfId="37" applyNumberFormat="1" applyFont="1"/>
    <xf numFmtId="0" fontId="16" fillId="0" borderId="38" xfId="37" applyBorder="1"/>
    <xf numFmtId="167" fontId="32" fillId="0" borderId="12" xfId="32" applyFont="1" applyBorder="1" applyAlignment="1">
      <alignment horizontal="center"/>
    </xf>
    <xf numFmtId="167" fontId="12" fillId="0" borderId="56" xfId="32" applyFont="1" applyBorder="1" applyAlignment="1">
      <alignment horizontal="center"/>
    </xf>
    <xf numFmtId="0" fontId="77" fillId="0" borderId="14" xfId="0" applyFont="1" applyBorder="1" applyAlignment="1">
      <alignment horizontal="center"/>
    </xf>
    <xf numFmtId="0" fontId="77" fillId="0" borderId="17" xfId="0" applyFont="1" applyBorder="1" applyAlignment="1">
      <alignment horizontal="center"/>
    </xf>
    <xf numFmtId="0" fontId="77" fillId="0" borderId="44" xfId="0" applyFont="1" applyBorder="1" applyAlignment="1">
      <alignment horizontal="center"/>
    </xf>
    <xf numFmtId="167" fontId="77" fillId="0" borderId="17" xfId="32" applyFont="1" applyBorder="1"/>
    <xf numFmtId="14" fontId="77" fillId="0" borderId="25" xfId="37" applyNumberFormat="1" applyFont="1" applyBorder="1" applyAlignment="1">
      <alignment horizontal="center"/>
    </xf>
    <xf numFmtId="0" fontId="77" fillId="0" borderId="56" xfId="37" applyFont="1" applyBorder="1"/>
    <xf numFmtId="167" fontId="77" fillId="0" borderId="41" xfId="32" applyFont="1" applyBorder="1"/>
    <xf numFmtId="167" fontId="78" fillId="0" borderId="56" xfId="32" applyFont="1" applyBorder="1"/>
    <xf numFmtId="14" fontId="79" fillId="0" borderId="56" xfId="0" applyNumberFormat="1" applyFont="1" applyBorder="1" applyAlignment="1">
      <alignment horizontal="center"/>
    </xf>
    <xf numFmtId="0" fontId="79" fillId="0" borderId="56" xfId="0" applyFont="1" applyBorder="1" applyAlignment="1">
      <alignment horizontal="center"/>
    </xf>
    <xf numFmtId="165" fontId="79" fillId="0" borderId="41" xfId="34" applyFont="1" applyBorder="1"/>
    <xf numFmtId="167" fontId="79" fillId="0" borderId="56" xfId="32" applyFont="1" applyBorder="1"/>
    <xf numFmtId="14" fontId="79" fillId="0" borderId="16" xfId="0" applyNumberFormat="1" applyFont="1" applyBorder="1" applyAlignment="1">
      <alignment horizontal="center"/>
    </xf>
    <xf numFmtId="0" fontId="79" fillId="0" borderId="16" xfId="0" applyFont="1" applyBorder="1" applyAlignment="1">
      <alignment horizontal="center"/>
    </xf>
    <xf numFmtId="165" fontId="79" fillId="0" borderId="42" xfId="34" applyFont="1" applyBorder="1"/>
    <xf numFmtId="14" fontId="79" fillId="0" borderId="23" xfId="0" applyNumberFormat="1" applyFont="1" applyBorder="1" applyAlignment="1">
      <alignment horizontal="center"/>
    </xf>
    <xf numFmtId="0" fontId="79" fillId="0" borderId="66" xfId="0" applyFont="1" applyBorder="1" applyAlignment="1">
      <alignment horizontal="center"/>
    </xf>
    <xf numFmtId="165" fontId="79" fillId="0" borderId="68" xfId="34" applyFont="1" applyBorder="1"/>
    <xf numFmtId="167" fontId="79" fillId="0" borderId="58" xfId="32" applyFont="1" applyBorder="1"/>
    <xf numFmtId="167" fontId="77" fillId="0" borderId="17" xfId="32" applyFont="1" applyBorder="1" applyAlignment="1">
      <alignment horizontal="center"/>
    </xf>
    <xf numFmtId="167" fontId="80" fillId="0" borderId="27" xfId="32" applyFont="1" applyBorder="1"/>
    <xf numFmtId="0" fontId="32" fillId="0" borderId="0" xfId="37" applyFont="1" applyAlignment="1">
      <alignment horizontal="right"/>
    </xf>
    <xf numFmtId="44" fontId="32" fillId="0" borderId="0" xfId="37" applyNumberFormat="1" applyFont="1" applyAlignment="1">
      <alignment horizontal="right"/>
    </xf>
    <xf numFmtId="14" fontId="64" fillId="0" borderId="16" xfId="32" applyNumberFormat="1" applyFont="1" applyBorder="1" applyAlignment="1">
      <alignment horizontal="center"/>
    </xf>
    <xf numFmtId="167" fontId="0" fillId="0" borderId="64" xfId="32" applyFont="1" applyBorder="1"/>
    <xf numFmtId="0" fontId="10" fillId="0" borderId="20" xfId="0" applyFont="1" applyBorder="1" applyAlignment="1">
      <alignment horizontal="right"/>
    </xf>
    <xf numFmtId="167" fontId="0" fillId="0" borderId="17" xfId="32" applyFont="1" applyFill="1" applyBorder="1"/>
    <xf numFmtId="0" fontId="10" fillId="0" borderId="14" xfId="0" applyFont="1" applyBorder="1" applyAlignment="1">
      <alignment horizontal="right"/>
    </xf>
    <xf numFmtId="0" fontId="13" fillId="0" borderId="30" xfId="0" applyFont="1" applyBorder="1" applyAlignment="1">
      <alignment horizontal="right"/>
    </xf>
    <xf numFmtId="167" fontId="13" fillId="0" borderId="58" xfId="0" applyNumberFormat="1" applyFont="1" applyBorder="1"/>
    <xf numFmtId="0" fontId="66" fillId="0" borderId="65" xfId="0" applyFont="1" applyBorder="1"/>
    <xf numFmtId="44" fontId="0" fillId="0" borderId="0" xfId="0" applyNumberFormat="1"/>
    <xf numFmtId="9" fontId="16" fillId="0" borderId="0" xfId="39" applyFont="1" applyAlignment="1">
      <alignment horizontal="center"/>
    </xf>
    <xf numFmtId="0" fontId="26" fillId="0" borderId="15" xfId="37" applyFont="1" applyBorder="1" applyAlignment="1">
      <alignment horizontal="center"/>
    </xf>
    <xf numFmtId="0" fontId="26" fillId="0" borderId="42" xfId="37" applyFont="1" applyBorder="1" applyAlignment="1">
      <alignment horizontal="center"/>
    </xf>
    <xf numFmtId="0" fontId="67" fillId="0" borderId="21" xfId="0" applyFont="1" applyBorder="1" applyAlignment="1">
      <alignment horizontal="center"/>
    </xf>
    <xf numFmtId="0" fontId="66" fillId="0" borderId="25" xfId="0" applyFont="1" applyBorder="1" applyAlignment="1">
      <alignment horizontal="center"/>
    </xf>
    <xf numFmtId="0" fontId="66" fillId="0" borderId="16" xfId="0" applyFont="1" applyBorder="1" applyAlignment="1">
      <alignment horizontal="center"/>
    </xf>
    <xf numFmtId="0" fontId="66" fillId="0" borderId="23" xfId="0" applyFont="1" applyBorder="1" applyAlignment="1">
      <alignment horizontal="center"/>
    </xf>
    <xf numFmtId="44" fontId="64" fillId="0" borderId="62" xfId="0" applyNumberFormat="1" applyFont="1" applyBorder="1" applyAlignment="1">
      <alignment horizontal="center"/>
    </xf>
    <xf numFmtId="44" fontId="64" fillId="0" borderId="18" xfId="0" applyNumberFormat="1" applyFont="1" applyBorder="1" applyAlignment="1">
      <alignment horizontal="center"/>
    </xf>
    <xf numFmtId="0" fontId="10" fillId="0" borderId="58" xfId="0" applyFont="1" applyBorder="1"/>
    <xf numFmtId="44" fontId="64" fillId="0" borderId="27" xfId="0" applyNumberFormat="1" applyFont="1" applyBorder="1"/>
    <xf numFmtId="17" fontId="0" fillId="0" borderId="0" xfId="0" applyNumberFormat="1" applyAlignment="1">
      <alignment horizontal="center"/>
    </xf>
    <xf numFmtId="0" fontId="36" fillId="0" borderId="30" xfId="37" applyFont="1" applyBorder="1" applyAlignment="1">
      <alignment horizontal="center" vertical="center" wrapText="1"/>
    </xf>
    <xf numFmtId="0" fontId="36" fillId="0" borderId="63" xfId="37" applyFont="1" applyBorder="1" applyAlignment="1">
      <alignment horizontal="center" vertical="center" wrapText="1"/>
    </xf>
    <xf numFmtId="0" fontId="39" fillId="0" borderId="11" xfId="37" applyFont="1" applyBorder="1" applyAlignment="1">
      <alignment horizontal="center" vertical="center"/>
    </xf>
    <xf numFmtId="0" fontId="39" fillId="0" borderId="12" xfId="37" applyFont="1" applyBorder="1" applyAlignment="1">
      <alignment horizontal="center" vertical="center"/>
    </xf>
    <xf numFmtId="0" fontId="39" fillId="0" borderId="51" xfId="37" applyFont="1" applyBorder="1" applyAlignment="1">
      <alignment horizontal="center" vertical="center"/>
    </xf>
    <xf numFmtId="0" fontId="39" fillId="0" borderId="32" xfId="37" applyFont="1" applyBorder="1" applyAlignment="1">
      <alignment horizontal="center" vertical="center"/>
    </xf>
    <xf numFmtId="0" fontId="36" fillId="0" borderId="11" xfId="37" applyFont="1" applyBorder="1" applyAlignment="1">
      <alignment horizontal="center" vertical="center"/>
    </xf>
    <xf numFmtId="0" fontId="36" fillId="0" borderId="12" xfId="37" applyFont="1" applyBorder="1" applyAlignment="1">
      <alignment horizontal="center" vertical="center"/>
    </xf>
    <xf numFmtId="0" fontId="36" fillId="0" borderId="51" xfId="37" applyFont="1" applyBorder="1" applyAlignment="1">
      <alignment horizontal="center" vertical="center"/>
    </xf>
    <xf numFmtId="49" fontId="33" fillId="0" borderId="11" xfId="37" applyNumberFormat="1" applyFont="1" applyBorder="1" applyAlignment="1">
      <alignment horizontal="center" vertical="center"/>
    </xf>
    <xf numFmtId="49" fontId="33" fillId="0" borderId="12" xfId="37" applyNumberFormat="1" applyFont="1" applyBorder="1" applyAlignment="1">
      <alignment horizontal="center" vertical="center"/>
    </xf>
    <xf numFmtId="49" fontId="33" fillId="0" borderId="32" xfId="37" applyNumberFormat="1" applyFont="1" applyBorder="1" applyAlignment="1">
      <alignment horizontal="center" vertical="center"/>
    </xf>
    <xf numFmtId="0" fontId="32" fillId="0" borderId="25" xfId="37" applyFont="1" applyBorder="1" applyAlignment="1">
      <alignment horizontal="center" vertical="center"/>
    </xf>
    <xf numFmtId="0" fontId="32" fillId="0" borderId="16" xfId="37" applyFont="1" applyBorder="1" applyAlignment="1">
      <alignment horizontal="center" vertical="center"/>
    </xf>
    <xf numFmtId="0" fontId="32" fillId="0" borderId="23" xfId="37" applyFont="1" applyBorder="1" applyAlignment="1">
      <alignment horizontal="center" vertical="center"/>
    </xf>
    <xf numFmtId="0" fontId="40" fillId="0" borderId="20" xfId="37" applyFont="1" applyBorder="1" applyAlignment="1">
      <alignment horizontal="center"/>
    </xf>
    <xf numFmtId="0" fontId="40" fillId="0" borderId="22" xfId="37" applyFont="1" applyBorder="1" applyAlignment="1">
      <alignment horizontal="center"/>
    </xf>
    <xf numFmtId="0" fontId="40" fillId="0" borderId="30" xfId="37" applyFont="1" applyBorder="1" applyAlignment="1">
      <alignment horizontal="center"/>
    </xf>
    <xf numFmtId="0" fontId="40" fillId="0" borderId="31" xfId="37" applyFont="1" applyBorder="1" applyAlignment="1">
      <alignment horizontal="center"/>
    </xf>
    <xf numFmtId="0" fontId="32" fillId="0" borderId="20" xfId="37" applyFont="1" applyBorder="1" applyAlignment="1">
      <alignment horizontal="center"/>
    </xf>
    <xf numFmtId="0" fontId="32" fillId="0" borderId="22" xfId="37" applyFont="1" applyBorder="1" applyAlignment="1">
      <alignment horizontal="center"/>
    </xf>
    <xf numFmtId="0" fontId="32" fillId="0" borderId="30" xfId="37" applyFont="1" applyBorder="1" applyAlignment="1">
      <alignment horizontal="center"/>
    </xf>
    <xf numFmtId="0" fontId="32" fillId="0" borderId="31" xfId="37" applyFont="1" applyBorder="1" applyAlignment="1">
      <alignment horizontal="center"/>
    </xf>
    <xf numFmtId="0" fontId="32" fillId="0" borderId="21" xfId="37" applyFont="1" applyBorder="1" applyAlignment="1">
      <alignment horizontal="center" vertical="center"/>
    </xf>
    <xf numFmtId="0" fontId="32" fillId="0" borderId="66" xfId="37" applyFont="1" applyBorder="1" applyAlignment="1">
      <alignment horizontal="center" vertical="center"/>
    </xf>
    <xf numFmtId="0" fontId="32" fillId="0" borderId="58" xfId="37" applyFont="1" applyBorder="1" applyAlignment="1">
      <alignment horizontal="center" vertical="center"/>
    </xf>
    <xf numFmtId="0" fontId="26" fillId="0" borderId="28" xfId="37" applyFont="1" applyBorder="1" applyAlignment="1">
      <alignment horizontal="center"/>
    </xf>
    <xf numFmtId="0" fontId="33" fillId="0" borderId="14" xfId="37" applyFont="1" applyBorder="1" applyAlignment="1">
      <alignment horizontal="center" vertical="center" wrapText="1"/>
    </xf>
    <xf numFmtId="0" fontId="33" fillId="0" borderId="44" xfId="37" applyFont="1" applyBorder="1" applyAlignment="1">
      <alignment horizontal="center" vertical="center" wrapText="1"/>
    </xf>
    <xf numFmtId="0" fontId="33" fillId="0" borderId="27" xfId="37" applyFont="1" applyBorder="1" applyAlignment="1">
      <alignment horizontal="center" vertical="center" wrapText="1"/>
    </xf>
    <xf numFmtId="0" fontId="34" fillId="0" borderId="0" xfId="37" applyFont="1" applyAlignment="1">
      <alignment horizontal="right"/>
    </xf>
    <xf numFmtId="0" fontId="15" fillId="0" borderId="0" xfId="0" applyFont="1"/>
    <xf numFmtId="0" fontId="7" fillId="0" borderId="53" xfId="0" applyFont="1" applyBorder="1"/>
    <xf numFmtId="0" fontId="7" fillId="0" borderId="24" xfId="0" applyFont="1" applyBorder="1"/>
    <xf numFmtId="0" fontId="7" fillId="0" borderId="0" xfId="0" applyFont="1"/>
    <xf numFmtId="0" fontId="13" fillId="0" borderId="0" xfId="0" applyFont="1" applyAlignment="1">
      <alignment horizontal="right"/>
    </xf>
    <xf numFmtId="167" fontId="13" fillId="0" borderId="0" xfId="0" applyNumberFormat="1" applyFont="1"/>
    <xf numFmtId="0" fontId="7" fillId="0" borderId="65" xfId="0" quotePrefix="1" applyFont="1" applyBorder="1"/>
    <xf numFmtId="0" fontId="0" fillId="0" borderId="0" xfId="0" applyAlignment="1">
      <alignment wrapText="1"/>
    </xf>
    <xf numFmtId="44" fontId="66" fillId="0" borderId="16" xfId="0" applyNumberFormat="1" applyFont="1" applyBorder="1" applyAlignment="1">
      <alignment horizontal="center"/>
    </xf>
    <xf numFmtId="0" fontId="67" fillId="0" borderId="24" xfId="0" applyFont="1" applyBorder="1"/>
    <xf numFmtId="44" fontId="67" fillId="0" borderId="18" xfId="0" applyNumberFormat="1" applyFont="1" applyBorder="1" applyAlignment="1">
      <alignment horizontal="center"/>
    </xf>
    <xf numFmtId="167" fontId="55" fillId="27" borderId="0" xfId="32" applyFont="1" applyFill="1" applyBorder="1" applyAlignment="1">
      <alignment horizontal="center"/>
    </xf>
    <xf numFmtId="0" fontId="66" fillId="0" borderId="0" xfId="0" applyFont="1" applyAlignment="1">
      <alignment wrapText="1"/>
    </xf>
    <xf numFmtId="0" fontId="10" fillId="0" borderId="44" xfId="0" applyFont="1" applyBorder="1" applyAlignment="1">
      <alignment horizontal="center"/>
    </xf>
    <xf numFmtId="167" fontId="10" fillId="0" borderId="14" xfId="32" applyFont="1" applyBorder="1" applyAlignment="1">
      <alignment horizontal="center"/>
    </xf>
    <xf numFmtId="165" fontId="33" fillId="0" borderId="14" xfId="35" applyFont="1" applyBorder="1" applyAlignment="1">
      <alignment horizontal="center"/>
    </xf>
    <xf numFmtId="14" fontId="10" fillId="0" borderId="14" xfId="32" applyNumberFormat="1" applyFont="1" applyBorder="1" applyAlignment="1">
      <alignment horizontal="right"/>
    </xf>
    <xf numFmtId="14" fontId="10" fillId="0" borderId="27" xfId="32" applyNumberFormat="1" applyFont="1" applyBorder="1" applyAlignment="1">
      <alignment horizontal="right"/>
    </xf>
    <xf numFmtId="14" fontId="15" fillId="0" borderId="14" xfId="32" applyNumberFormat="1" applyFont="1" applyBorder="1" applyAlignment="1">
      <alignment horizontal="right"/>
    </xf>
    <xf numFmtId="14" fontId="15" fillId="0" borderId="27" xfId="32" applyNumberFormat="1" applyFont="1" applyBorder="1" applyAlignment="1">
      <alignment horizontal="right"/>
    </xf>
    <xf numFmtId="14" fontId="50" fillId="0" borderId="14" xfId="32" applyNumberFormat="1" applyFont="1" applyBorder="1" applyAlignment="1">
      <alignment horizontal="right"/>
    </xf>
    <xf numFmtId="14" fontId="50" fillId="0" borderId="27" xfId="32" applyNumberFormat="1" applyFont="1" applyBorder="1" applyAlignment="1">
      <alignment horizontal="right"/>
    </xf>
    <xf numFmtId="0" fontId="15" fillId="0" borderId="14" xfId="0" applyFont="1" applyBorder="1" applyAlignment="1">
      <alignment horizontal="right"/>
    </xf>
    <xf numFmtId="0" fontId="15" fillId="0" borderId="27" xfId="0" applyFont="1" applyBorder="1" applyAlignment="1">
      <alignment horizontal="right"/>
    </xf>
    <xf numFmtId="165" fontId="33" fillId="0" borderId="44" xfId="35" applyFont="1" applyBorder="1" applyAlignment="1">
      <alignment horizontal="center"/>
    </xf>
    <xf numFmtId="165" fontId="33" fillId="0" borderId="27" xfId="35" applyFont="1" applyBorder="1" applyAlignment="1">
      <alignment horizontal="center"/>
    </xf>
    <xf numFmtId="14" fontId="10" fillId="0" borderId="14" xfId="32" applyNumberFormat="1" applyFont="1" applyBorder="1" applyAlignment="1">
      <alignment horizontal="center"/>
    </xf>
    <xf numFmtId="14" fontId="10" fillId="0" borderId="27" xfId="32" applyNumberFormat="1" applyFont="1" applyBorder="1" applyAlignment="1">
      <alignment horizontal="center"/>
    </xf>
    <xf numFmtId="165" fontId="34" fillId="0" borderId="51" xfId="35" applyFont="1" applyBorder="1" applyAlignment="1">
      <alignment horizontal="center"/>
    </xf>
    <xf numFmtId="165" fontId="34" fillId="0" borderId="27" xfId="35" applyFont="1" applyBorder="1" applyAlignment="1">
      <alignment horizontal="center"/>
    </xf>
    <xf numFmtId="0" fontId="15" fillId="0" borderId="0" xfId="0" applyFont="1" applyAlignment="1">
      <alignment horizontal="right"/>
    </xf>
    <xf numFmtId="167" fontId="34" fillId="0" borderId="11" xfId="32" applyFont="1" applyBorder="1" applyAlignment="1">
      <alignment horizontal="right"/>
    </xf>
    <xf numFmtId="0" fontId="66" fillId="0" borderId="0" xfId="0" applyFont="1"/>
    <xf numFmtId="44" fontId="64" fillId="0" borderId="16" xfId="0" applyNumberFormat="1" applyFont="1" applyBorder="1" applyAlignment="1">
      <alignment horizontal="center"/>
    </xf>
    <xf numFmtId="14" fontId="64" fillId="0" borderId="23" xfId="32" applyNumberFormat="1" applyFont="1" applyBorder="1" applyAlignment="1">
      <alignment horizontal="center"/>
    </xf>
    <xf numFmtId="167" fontId="64" fillId="0" borderId="23" xfId="32" applyFont="1" applyBorder="1"/>
    <xf numFmtId="0" fontId="83" fillId="0" borderId="0" xfId="0" applyFont="1" applyAlignment="1">
      <alignment vertical="center"/>
    </xf>
    <xf numFmtId="167" fontId="11" fillId="0" borderId="14" xfId="0" applyNumberFormat="1" applyFont="1" applyBorder="1"/>
    <xf numFmtId="0" fontId="0" fillId="0" borderId="66" xfId="0" applyBorder="1"/>
    <xf numFmtId="0" fontId="33" fillId="0" borderId="0" xfId="37" applyFont="1" applyAlignment="1">
      <alignment horizontal="right" vertical="center" wrapText="1"/>
    </xf>
    <xf numFmtId="167" fontId="34" fillId="0" borderId="0" xfId="32" applyFont="1" applyBorder="1"/>
    <xf numFmtId="167" fontId="40" fillId="0" borderId="0" xfId="32" applyFont="1" applyBorder="1"/>
    <xf numFmtId="167" fontId="32" fillId="0" borderId="0" xfId="32" applyFont="1" applyBorder="1"/>
    <xf numFmtId="0" fontId="16" fillId="0" borderId="18" xfId="37" applyBorder="1" applyAlignment="1">
      <alignment horizontal="center"/>
    </xf>
    <xf numFmtId="0" fontId="65" fillId="0" borderId="18" xfId="37" applyFont="1" applyBorder="1" applyAlignment="1">
      <alignment horizontal="center"/>
    </xf>
    <xf numFmtId="9" fontId="66" fillId="0" borderId="16" xfId="0" applyNumberFormat="1" applyFont="1" applyBorder="1" applyAlignment="1">
      <alignment horizontal="center"/>
    </xf>
    <xf numFmtId="0" fontId="67" fillId="0" borderId="27" xfId="0" applyFont="1" applyBorder="1" applyAlignment="1">
      <alignment horizontal="center"/>
    </xf>
    <xf numFmtId="44" fontId="67" fillId="0" borderId="62" xfId="0" applyNumberFormat="1" applyFont="1" applyBorder="1" applyAlignment="1">
      <alignment horizontal="center"/>
    </xf>
    <xf numFmtId="9" fontId="66" fillId="0" borderId="16" xfId="39" applyFont="1" applyBorder="1" applyAlignment="1">
      <alignment horizontal="center"/>
    </xf>
    <xf numFmtId="44" fontId="67" fillId="0" borderId="27" xfId="0" applyNumberFormat="1" applyFont="1" applyBorder="1"/>
    <xf numFmtId="2" fontId="26" fillId="0" borderId="0" xfId="37" applyNumberFormat="1" applyFont="1" applyAlignment="1">
      <alignment horizontal="center"/>
    </xf>
    <xf numFmtId="0" fontId="16" fillId="0" borderId="33" xfId="37" applyBorder="1" applyAlignment="1">
      <alignment horizontal="center"/>
    </xf>
    <xf numFmtId="0" fontId="16" fillId="0" borderId="57" xfId="37" applyBorder="1" applyAlignment="1">
      <alignment horizontal="center"/>
    </xf>
    <xf numFmtId="2" fontId="65" fillId="0" borderId="0" xfId="37" applyNumberFormat="1" applyFont="1" applyAlignment="1">
      <alignment horizontal="center"/>
    </xf>
    <xf numFmtId="172" fontId="16" fillId="0" borderId="0" xfId="50" applyNumberFormat="1" applyFont="1"/>
    <xf numFmtId="167" fontId="26" fillId="0" borderId="0" xfId="32" applyFont="1" applyBorder="1"/>
    <xf numFmtId="167" fontId="26" fillId="0" borderId="0" xfId="32" applyFont="1" applyBorder="1" applyAlignment="1">
      <alignment horizontal="center"/>
    </xf>
    <xf numFmtId="172" fontId="16" fillId="0" borderId="0" xfId="50" applyNumberFormat="1" applyFont="1" applyBorder="1"/>
    <xf numFmtId="167" fontId="32" fillId="0" borderId="72" xfId="32" applyFont="1" applyBorder="1"/>
    <xf numFmtId="167" fontId="26" fillId="0" borderId="30" xfId="32" applyFont="1" applyBorder="1"/>
    <xf numFmtId="167" fontId="26" fillId="0" borderId="14" xfId="32" applyFont="1" applyBorder="1"/>
    <xf numFmtId="167" fontId="40" fillId="0" borderId="72" xfId="32" applyFont="1" applyBorder="1" applyAlignment="1">
      <alignment horizontal="center"/>
    </xf>
    <xf numFmtId="167" fontId="65" fillId="0" borderId="10" xfId="32" applyFont="1" applyBorder="1" applyAlignment="1">
      <alignment horizontal="center"/>
    </xf>
    <xf numFmtId="0" fontId="16" fillId="0" borderId="54" xfId="37" applyBorder="1" applyAlignment="1">
      <alignment horizontal="center"/>
    </xf>
    <xf numFmtId="0" fontId="16" fillId="0" borderId="68" xfId="37" applyBorder="1" applyAlignment="1">
      <alignment horizontal="center"/>
    </xf>
    <xf numFmtId="170" fontId="0" fillId="0" borderId="0" xfId="39" applyNumberFormat="1" applyFont="1"/>
    <xf numFmtId="167" fontId="65" fillId="0" borderId="24" xfId="32" applyFont="1" applyFill="1" applyBorder="1"/>
    <xf numFmtId="10" fontId="0" fillId="0" borderId="10" xfId="39" applyNumberFormat="1" applyFont="1" applyBorder="1"/>
    <xf numFmtId="0" fontId="7" fillId="0" borderId="10" xfId="0" applyFont="1" applyBorder="1"/>
    <xf numFmtId="10" fontId="0" fillId="0" borderId="0" xfId="0" applyNumberFormat="1"/>
    <xf numFmtId="167" fontId="26" fillId="0" borderId="28" xfId="32" applyFont="1" applyBorder="1" applyAlignment="1">
      <alignment horizontal="center"/>
    </xf>
    <xf numFmtId="167" fontId="26" fillId="0" borderId="47" xfId="32" applyFont="1" applyBorder="1" applyAlignment="1">
      <alignment horizontal="center"/>
    </xf>
    <xf numFmtId="14" fontId="0" fillId="0" borderId="0" xfId="0" applyNumberFormat="1"/>
    <xf numFmtId="0" fontId="10" fillId="0" borderId="12" xfId="0" applyFont="1" applyBorder="1"/>
    <xf numFmtId="0" fontId="0" fillId="0" borderId="46" xfId="0" applyBorder="1" applyAlignment="1">
      <alignment horizontal="center"/>
    </xf>
    <xf numFmtId="2" fontId="0" fillId="0" borderId="46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7" fillId="0" borderId="46" xfId="0" applyFont="1" applyBorder="1"/>
    <xf numFmtId="10" fontId="0" fillId="0" borderId="46" xfId="39" applyNumberFormat="1" applyFont="1" applyBorder="1"/>
    <xf numFmtId="167" fontId="66" fillId="0" borderId="46" xfId="32" applyFont="1" applyBorder="1"/>
    <xf numFmtId="44" fontId="66" fillId="0" borderId="46" xfId="0" applyNumberFormat="1" applyFont="1" applyBorder="1"/>
    <xf numFmtId="167" fontId="16" fillId="0" borderId="0" xfId="32" applyFont="1" applyBorder="1" applyAlignment="1">
      <alignment horizontal="center"/>
    </xf>
    <xf numFmtId="167" fontId="65" fillId="0" borderId="0" xfId="32" applyFont="1" applyBorder="1" applyAlignment="1">
      <alignment horizontal="center"/>
    </xf>
    <xf numFmtId="167" fontId="65" fillId="0" borderId="28" xfId="32" applyFont="1" applyBorder="1" applyAlignment="1">
      <alignment horizontal="center"/>
    </xf>
    <xf numFmtId="8" fontId="0" fillId="0" borderId="0" xfId="0" applyNumberFormat="1"/>
    <xf numFmtId="10" fontId="0" fillId="0" borderId="0" xfId="39" applyNumberFormat="1" applyFont="1"/>
    <xf numFmtId="167" fontId="16" fillId="0" borderId="0" xfId="32" applyFont="1" applyBorder="1"/>
    <xf numFmtId="17" fontId="26" fillId="0" borderId="0" xfId="37" applyNumberFormat="1" applyFont="1"/>
    <xf numFmtId="0" fontId="16" fillId="0" borderId="75" xfId="37" applyBorder="1" applyAlignment="1">
      <alignment horizontal="center"/>
    </xf>
    <xf numFmtId="0" fontId="16" fillId="0" borderId="76" xfId="37" applyBorder="1" applyAlignment="1">
      <alignment horizontal="center"/>
    </xf>
    <xf numFmtId="167" fontId="26" fillId="0" borderId="77" xfId="32" applyFont="1" applyBorder="1"/>
    <xf numFmtId="10" fontId="7" fillId="0" borderId="10" xfId="39" applyNumberFormat="1" applyFont="1" applyBorder="1"/>
    <xf numFmtId="0" fontId="67" fillId="0" borderId="12" xfId="0" applyFont="1" applyBorder="1" applyAlignment="1">
      <alignment horizontal="center"/>
    </xf>
    <xf numFmtId="167" fontId="26" fillId="0" borderId="79" xfId="32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44" fontId="10" fillId="0" borderId="40" xfId="0" applyNumberFormat="1" applyFont="1" applyBorder="1"/>
    <xf numFmtId="2" fontId="0" fillId="0" borderId="33" xfId="0" applyNumberFormat="1" applyBorder="1" applyAlignment="1">
      <alignment horizontal="center"/>
    </xf>
    <xf numFmtId="0" fontId="0" fillId="0" borderId="33" xfId="0" applyBorder="1" applyAlignment="1">
      <alignment horizontal="center"/>
    </xf>
    <xf numFmtId="0" fontId="66" fillId="0" borderId="33" xfId="0" applyFont="1" applyBorder="1"/>
    <xf numFmtId="167" fontId="10" fillId="0" borderId="12" xfId="0" applyNumberFormat="1" applyFont="1" applyBorder="1"/>
    <xf numFmtId="167" fontId="67" fillId="0" borderId="12" xfId="0" applyNumberFormat="1" applyFont="1" applyBorder="1"/>
    <xf numFmtId="44" fontId="67" fillId="0" borderId="12" xfId="0" applyNumberFormat="1" applyFont="1" applyBorder="1"/>
    <xf numFmtId="44" fontId="10" fillId="0" borderId="32" xfId="0" applyNumberFormat="1" applyFont="1" applyBorder="1"/>
    <xf numFmtId="0" fontId="76" fillId="0" borderId="17" xfId="0" applyFont="1" applyBorder="1" applyAlignment="1">
      <alignment horizontal="center"/>
    </xf>
    <xf numFmtId="44" fontId="64" fillId="0" borderId="56" xfId="0" applyNumberFormat="1" applyFont="1" applyBorder="1"/>
    <xf numFmtId="44" fontId="64" fillId="0" borderId="66" xfId="0" applyNumberFormat="1" applyFont="1" applyBorder="1"/>
    <xf numFmtId="44" fontId="85" fillId="0" borderId="17" xfId="0" applyNumberFormat="1" applyFont="1" applyBorder="1"/>
    <xf numFmtId="165" fontId="7" fillId="0" borderId="0" xfId="34" applyFont="1" applyBorder="1"/>
    <xf numFmtId="165" fontId="32" fillId="0" borderId="10" xfId="35" applyFont="1" applyBorder="1" applyAlignment="1"/>
    <xf numFmtId="167" fontId="32" fillId="0" borderId="10" xfId="32" applyFont="1" applyBorder="1" applyAlignment="1">
      <alignment horizontal="center"/>
    </xf>
    <xf numFmtId="165" fontId="16" fillId="0" borderId="10" xfId="35" applyFont="1" applyBorder="1" applyAlignment="1"/>
    <xf numFmtId="167" fontId="16" fillId="0" borderId="10" xfId="32" applyFont="1" applyBorder="1" applyAlignment="1">
      <alignment horizontal="center"/>
    </xf>
    <xf numFmtId="0" fontId="32" fillId="0" borderId="10" xfId="37" applyFont="1" applyBorder="1" applyAlignment="1">
      <alignment horizontal="center"/>
    </xf>
    <xf numFmtId="167" fontId="26" fillId="0" borderId="15" xfId="32" applyFont="1" applyFill="1" applyBorder="1" applyAlignment="1">
      <alignment horizontal="center"/>
    </xf>
    <xf numFmtId="167" fontId="26" fillId="0" borderId="47" xfId="32" applyFont="1" applyFill="1" applyBorder="1" applyAlignment="1">
      <alignment horizontal="center"/>
    </xf>
    <xf numFmtId="167" fontId="26" fillId="0" borderId="80" xfId="32" applyFont="1" applyBorder="1"/>
    <xf numFmtId="0" fontId="26" fillId="0" borderId="45" xfId="37" applyFont="1" applyBorder="1" applyAlignment="1">
      <alignment horizontal="center"/>
    </xf>
    <xf numFmtId="167" fontId="26" fillId="0" borderId="80" xfId="32" applyFont="1" applyFill="1" applyBorder="1"/>
    <xf numFmtId="0" fontId="26" fillId="0" borderId="24" xfId="37" applyFont="1" applyBorder="1" applyAlignment="1">
      <alignment horizontal="center"/>
    </xf>
    <xf numFmtId="14" fontId="16" fillId="0" borderId="82" xfId="37" applyNumberFormat="1" applyBorder="1"/>
    <xf numFmtId="0" fontId="16" fillId="0" borderId="81" xfId="37" applyBorder="1" applyAlignment="1">
      <alignment horizontal="center"/>
    </xf>
    <xf numFmtId="0" fontId="16" fillId="0" borderId="73" xfId="37" applyBorder="1"/>
    <xf numFmtId="0" fontId="33" fillId="0" borderId="27" xfId="37" applyFont="1" applyBorder="1" applyAlignment="1">
      <alignment horizontal="center"/>
    </xf>
    <xf numFmtId="14" fontId="10" fillId="0" borderId="69" xfId="0" applyNumberFormat="1" applyFont="1" applyBorder="1"/>
    <xf numFmtId="0" fontId="82" fillId="0" borderId="0" xfId="0" applyFont="1"/>
    <xf numFmtId="167" fontId="77" fillId="0" borderId="0" xfId="32" applyFont="1" applyBorder="1"/>
    <xf numFmtId="167" fontId="78" fillId="0" borderId="0" xfId="32" applyFont="1" applyBorder="1"/>
    <xf numFmtId="167" fontId="79" fillId="0" borderId="0" xfId="32" applyFont="1" applyBorder="1"/>
    <xf numFmtId="167" fontId="77" fillId="0" borderId="0" xfId="32" applyFont="1" applyBorder="1" applyAlignment="1">
      <alignment horizontal="center"/>
    </xf>
    <xf numFmtId="167" fontId="80" fillId="0" borderId="0" xfId="32" applyFont="1" applyBorder="1"/>
    <xf numFmtId="167" fontId="26" fillId="0" borderId="77" xfId="32" applyFont="1" applyFill="1" applyBorder="1"/>
    <xf numFmtId="4" fontId="10" fillId="0" borderId="17" xfId="50" applyNumberFormat="1" applyFont="1" applyBorder="1" applyAlignment="1">
      <alignment horizontal="center"/>
    </xf>
    <xf numFmtId="167" fontId="72" fillId="0" borderId="0" xfId="32" applyFont="1" applyAlignment="1">
      <alignment horizontal="center"/>
    </xf>
    <xf numFmtId="14" fontId="64" fillId="0" borderId="10" xfId="32" applyNumberFormat="1" applyFont="1" applyBorder="1" applyAlignment="1">
      <alignment horizontal="center"/>
    </xf>
    <xf numFmtId="167" fontId="68" fillId="0" borderId="10" xfId="37" applyNumberFormat="1" applyFont="1" applyBorder="1"/>
    <xf numFmtId="165" fontId="64" fillId="0" borderId="10" xfId="34" applyFont="1" applyBorder="1" applyAlignment="1">
      <alignment horizontal="center"/>
    </xf>
    <xf numFmtId="167" fontId="65" fillId="0" borderId="43" xfId="32" applyFont="1" applyFill="1" applyBorder="1"/>
    <xf numFmtId="167" fontId="65" fillId="0" borderId="15" xfId="32" applyFont="1" applyBorder="1"/>
    <xf numFmtId="167" fontId="65" fillId="0" borderId="15" xfId="32" applyFont="1" applyFill="1" applyBorder="1"/>
    <xf numFmtId="167" fontId="26" fillId="0" borderId="15" xfId="32" applyFont="1" applyFill="1" applyBorder="1"/>
    <xf numFmtId="167" fontId="65" fillId="0" borderId="0" xfId="32" applyFont="1" applyFill="1"/>
    <xf numFmtId="0" fontId="10" fillId="0" borderId="28" xfId="0" applyFont="1" applyBorder="1" applyAlignment="1">
      <alignment horizontal="right"/>
    </xf>
    <xf numFmtId="167" fontId="0" fillId="0" borderId="50" xfId="32" applyFont="1" applyBorder="1"/>
    <xf numFmtId="0" fontId="7" fillId="0" borderId="34" xfId="0" applyFont="1" applyBorder="1"/>
    <xf numFmtId="0" fontId="7" fillId="0" borderId="15" xfId="0" applyFont="1" applyBorder="1"/>
    <xf numFmtId="167" fontId="0" fillId="0" borderId="17" xfId="32" applyFont="1" applyFill="1" applyBorder="1" applyAlignment="1">
      <alignment horizontal="center"/>
    </xf>
    <xf numFmtId="167" fontId="13" fillId="0" borderId="58" xfId="0" applyNumberFormat="1" applyFont="1" applyBorder="1" applyAlignment="1">
      <alignment horizontal="center"/>
    </xf>
    <xf numFmtId="167" fontId="65" fillId="0" borderId="0" xfId="32" applyFont="1" applyFill="1" applyAlignment="1">
      <alignment horizontal="center"/>
    </xf>
    <xf numFmtId="0" fontId="6" fillId="0" borderId="45" xfId="37" applyFont="1" applyBorder="1" applyAlignment="1">
      <alignment horizontal="left"/>
    </xf>
    <xf numFmtId="167" fontId="6" fillId="0" borderId="0" xfId="32" applyFont="1" applyAlignment="1">
      <alignment horizontal="center"/>
    </xf>
    <xf numFmtId="0" fontId="6" fillId="0" borderId="0" xfId="37" applyFont="1" applyAlignment="1">
      <alignment horizontal="center"/>
    </xf>
    <xf numFmtId="167" fontId="6" fillId="0" borderId="0" xfId="32" applyFont="1"/>
    <xf numFmtId="167" fontId="6" fillId="0" borderId="0" xfId="32" applyFont="1" applyBorder="1"/>
    <xf numFmtId="0" fontId="6" fillId="0" borderId="0" xfId="37" applyFont="1"/>
    <xf numFmtId="167" fontId="6" fillId="0" borderId="0" xfId="32" applyFont="1" applyBorder="1" applyAlignment="1">
      <alignment horizontal="center"/>
    </xf>
    <xf numFmtId="167" fontId="40" fillId="0" borderId="0" xfId="37" applyNumberFormat="1" applyFont="1"/>
    <xf numFmtId="0" fontId="6" fillId="0" borderId="26" xfId="37" applyFont="1" applyBorder="1" applyAlignment="1">
      <alignment horizontal="center"/>
    </xf>
    <xf numFmtId="0" fontId="6" fillId="0" borderId="42" xfId="37" applyFont="1" applyBorder="1" applyAlignment="1">
      <alignment horizontal="center"/>
    </xf>
    <xf numFmtId="167" fontId="65" fillId="0" borderId="15" xfId="32" applyFont="1" applyFill="1" applyBorder="1" applyAlignment="1">
      <alignment horizontal="center"/>
    </xf>
    <xf numFmtId="0" fontId="6" fillId="0" borderId="45" xfId="37" applyFont="1" applyBorder="1"/>
    <xf numFmtId="0" fontId="6" fillId="0" borderId="46" xfId="37" applyFont="1" applyBorder="1" applyAlignment="1">
      <alignment horizontal="center"/>
    </xf>
    <xf numFmtId="0" fontId="6" fillId="0" borderId="41" xfId="37" applyFont="1" applyBorder="1" applyAlignment="1">
      <alignment horizontal="center"/>
    </xf>
    <xf numFmtId="0" fontId="6" fillId="0" borderId="52" xfId="37" applyFont="1" applyBorder="1" applyAlignment="1">
      <alignment horizontal="left"/>
    </xf>
    <xf numFmtId="0" fontId="16" fillId="0" borderId="0" xfId="37" applyAlignment="1">
      <alignment horizontal="left"/>
    </xf>
    <xf numFmtId="0" fontId="26" fillId="0" borderId="0" xfId="37" applyFont="1" applyAlignment="1">
      <alignment horizontal="left"/>
    </xf>
    <xf numFmtId="0" fontId="6" fillId="0" borderId="10" xfId="37" applyFont="1" applyBorder="1" applyAlignment="1">
      <alignment horizontal="center"/>
    </xf>
    <xf numFmtId="167" fontId="26" fillId="0" borderId="43" xfId="32" applyFont="1" applyFill="1" applyBorder="1"/>
    <xf numFmtId="167" fontId="16" fillId="0" borderId="0" xfId="32" applyFont="1" applyFill="1"/>
    <xf numFmtId="0" fontId="6" fillId="0" borderId="52" xfId="37" applyFont="1" applyBorder="1"/>
    <xf numFmtId="0" fontId="26" fillId="0" borderId="28" xfId="37" applyFont="1" applyBorder="1"/>
    <xf numFmtId="0" fontId="16" fillId="0" borderId="44" xfId="37" applyBorder="1"/>
    <xf numFmtId="167" fontId="40" fillId="0" borderId="32" xfId="32" applyFont="1" applyBorder="1" applyAlignment="1">
      <alignment horizontal="center"/>
    </xf>
    <xf numFmtId="167" fontId="40" fillId="0" borderId="0" xfId="32" applyFont="1" applyBorder="1" applyAlignment="1">
      <alignment horizontal="center"/>
    </xf>
    <xf numFmtId="0" fontId="6" fillId="0" borderId="52" xfId="37" applyFont="1" applyBorder="1" applyAlignment="1">
      <alignment horizontal="center"/>
    </xf>
    <xf numFmtId="0" fontId="26" fillId="0" borderId="18" xfId="37" applyFont="1" applyBorder="1" applyAlignment="1">
      <alignment horizontal="center"/>
    </xf>
    <xf numFmtId="167" fontId="26" fillId="0" borderId="34" xfId="32" applyFont="1" applyBorder="1"/>
    <xf numFmtId="167" fontId="65" fillId="0" borderId="47" xfId="32" applyFont="1" applyFill="1" applyBorder="1"/>
    <xf numFmtId="167" fontId="26" fillId="0" borderId="83" xfId="32" applyFont="1" applyFill="1" applyBorder="1"/>
    <xf numFmtId="167" fontId="26" fillId="0" borderId="84" xfId="32" applyFont="1" applyBorder="1"/>
    <xf numFmtId="167" fontId="26" fillId="0" borderId="84" xfId="32" applyFont="1" applyFill="1" applyBorder="1"/>
    <xf numFmtId="167" fontId="26" fillId="0" borderId="48" xfId="32" applyFont="1" applyBorder="1"/>
    <xf numFmtId="2" fontId="6" fillId="0" borderId="0" xfId="37" applyNumberFormat="1" applyFont="1"/>
    <xf numFmtId="14" fontId="16" fillId="0" borderId="0" xfId="37" applyNumberFormat="1"/>
    <xf numFmtId="167" fontId="26" fillId="26" borderId="15" xfId="32" applyFont="1" applyFill="1" applyBorder="1"/>
    <xf numFmtId="167" fontId="86" fillId="0" borderId="24" xfId="32" applyFont="1" applyBorder="1"/>
    <xf numFmtId="167" fontId="10" fillId="0" borderId="0" xfId="32" applyFont="1" applyBorder="1" applyAlignment="1">
      <alignment horizontal="left"/>
    </xf>
    <xf numFmtId="167" fontId="10" fillId="0" borderId="0" xfId="32" applyFont="1" applyBorder="1" applyAlignment="1">
      <alignment horizontal="right"/>
    </xf>
    <xf numFmtId="0" fontId="15" fillId="26" borderId="32" xfId="0" applyFont="1" applyFill="1" applyBorder="1" applyAlignment="1">
      <alignment horizontal="center"/>
    </xf>
    <xf numFmtId="44" fontId="10" fillId="26" borderId="40" xfId="0" applyNumberFormat="1" applyFont="1" applyFill="1" applyBorder="1"/>
    <xf numFmtId="44" fontId="10" fillId="26" borderId="74" xfId="0" applyNumberFormat="1" applyFont="1" applyFill="1" applyBorder="1"/>
    <xf numFmtId="44" fontId="10" fillId="26" borderId="32" xfId="0" applyNumberFormat="1" applyFont="1" applyFill="1" applyBorder="1"/>
    <xf numFmtId="0" fontId="10" fillId="26" borderId="0" xfId="0" applyFont="1" applyFill="1"/>
    <xf numFmtId="0" fontId="55" fillId="0" borderId="0" xfId="37" applyFont="1"/>
    <xf numFmtId="0" fontId="67" fillId="0" borderId="14" xfId="0" applyFont="1" applyBorder="1"/>
    <xf numFmtId="166" fontId="67" fillId="0" borderId="17" xfId="0" applyNumberFormat="1" applyFont="1" applyBorder="1"/>
    <xf numFmtId="0" fontId="67" fillId="0" borderId="58" xfId="0" applyFont="1" applyBorder="1"/>
    <xf numFmtId="167" fontId="7" fillId="0" borderId="0" xfId="32" applyFont="1" applyFill="1"/>
    <xf numFmtId="0" fontId="10" fillId="0" borderId="10" xfId="0" applyFont="1" applyBorder="1" applyAlignment="1">
      <alignment horizontal="center"/>
    </xf>
    <xf numFmtId="0" fontId="10" fillId="0" borderId="10" xfId="0" applyFont="1" applyBorder="1"/>
    <xf numFmtId="1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4" fontId="7" fillId="0" borderId="10" xfId="0" applyNumberFormat="1" applyFont="1" applyBorder="1" applyAlignment="1">
      <alignment horizontal="center"/>
    </xf>
    <xf numFmtId="3" fontId="10" fillId="0" borderId="0" xfId="0" applyNumberFormat="1" applyFont="1"/>
    <xf numFmtId="170" fontId="16" fillId="0" borderId="0" xfId="39" applyNumberFormat="1" applyFont="1"/>
    <xf numFmtId="167" fontId="7" fillId="0" borderId="0" xfId="32" applyFont="1" applyBorder="1" applyAlignment="1">
      <alignment horizontal="right"/>
    </xf>
    <xf numFmtId="0" fontId="16" fillId="0" borderId="41" xfId="37" applyBorder="1" applyAlignment="1">
      <alignment horizontal="center"/>
    </xf>
    <xf numFmtId="167" fontId="26" fillId="0" borderId="47" xfId="32" applyFont="1" applyBorder="1"/>
    <xf numFmtId="166" fontId="65" fillId="0" borderId="0" xfId="50" applyFont="1" applyFill="1"/>
    <xf numFmtId="2" fontId="65" fillId="0" borderId="0" xfId="37" applyNumberFormat="1" applyFont="1"/>
    <xf numFmtId="166" fontId="65" fillId="0" borderId="0" xfId="50" applyFont="1" applyAlignment="1">
      <alignment horizontal="center"/>
    </xf>
    <xf numFmtId="0" fontId="65" fillId="0" borderId="28" xfId="37" applyFont="1" applyBorder="1"/>
    <xf numFmtId="167" fontId="6" fillId="0" borderId="62" xfId="32" applyFont="1" applyBorder="1"/>
    <xf numFmtId="167" fontId="65" fillId="0" borderId="0" xfId="32" applyFont="1" applyAlignment="1"/>
    <xf numFmtId="167" fontId="26" fillId="0" borderId="0" xfId="32" applyFont="1" applyFill="1" applyAlignment="1">
      <alignment horizontal="center"/>
    </xf>
    <xf numFmtId="166" fontId="65" fillId="0" borderId="0" xfId="50" applyFont="1" applyAlignment="1"/>
    <xf numFmtId="166" fontId="65" fillId="0" borderId="0" xfId="50" applyFont="1"/>
    <xf numFmtId="173" fontId="26" fillId="0" borderId="0" xfId="37" applyNumberFormat="1" applyFont="1" applyAlignment="1">
      <alignment horizontal="center"/>
    </xf>
    <xf numFmtId="166" fontId="26" fillId="0" borderId="0" xfId="50" applyFont="1" applyFill="1" applyAlignment="1">
      <alignment horizontal="center"/>
    </xf>
    <xf numFmtId="166" fontId="26" fillId="0" borderId="0" xfId="50" applyFont="1" applyAlignment="1">
      <alignment horizontal="center"/>
    </xf>
    <xf numFmtId="167" fontId="6" fillId="0" borderId="36" xfId="32" applyFont="1" applyBorder="1"/>
    <xf numFmtId="0" fontId="65" fillId="0" borderId="0" xfId="37" applyFont="1" applyAlignment="1">
      <alignment horizontal="right"/>
    </xf>
    <xf numFmtId="2" fontId="65" fillId="0" borderId="0" xfId="37" applyNumberFormat="1" applyFont="1" applyAlignment="1">
      <alignment horizontal="right"/>
    </xf>
    <xf numFmtId="166" fontId="65" fillId="0" borderId="0" xfId="50" applyFont="1" applyFill="1" applyAlignment="1">
      <alignment horizontal="right"/>
    </xf>
    <xf numFmtId="166" fontId="26" fillId="0" borderId="0" xfId="50" applyFont="1" applyAlignment="1">
      <alignment horizontal="left"/>
    </xf>
    <xf numFmtId="166" fontId="26" fillId="0" borderId="0" xfId="50" applyFont="1" applyFill="1" applyAlignment="1">
      <alignment horizontal="left"/>
    </xf>
    <xf numFmtId="166" fontId="65" fillId="0" borderId="0" xfId="50" applyFont="1" applyAlignment="1">
      <alignment horizontal="left"/>
    </xf>
    <xf numFmtId="167" fontId="65" fillId="0" borderId="0" xfId="32" applyFont="1" applyFill="1" applyAlignment="1">
      <alignment horizontal="right"/>
    </xf>
    <xf numFmtId="167" fontId="65" fillId="0" borderId="0" xfId="32" applyFont="1" applyFill="1" applyBorder="1" applyAlignment="1">
      <alignment horizontal="center"/>
    </xf>
    <xf numFmtId="167" fontId="26" fillId="0" borderId="82" xfId="32" applyFont="1" applyBorder="1"/>
    <xf numFmtId="17" fontId="0" fillId="0" borderId="0" xfId="0" applyNumberFormat="1"/>
    <xf numFmtId="2" fontId="26" fillId="0" borderId="0" xfId="37" applyNumberFormat="1" applyFont="1"/>
    <xf numFmtId="166" fontId="26" fillId="0" borderId="0" xfId="50" applyFont="1" applyAlignment="1">
      <alignment horizontal="right"/>
    </xf>
    <xf numFmtId="167" fontId="6" fillId="0" borderId="13" xfId="32" applyFont="1" applyBorder="1"/>
    <xf numFmtId="167" fontId="51" fillId="0" borderId="0" xfId="32" applyFont="1" applyFill="1"/>
    <xf numFmtId="166" fontId="65" fillId="0" borderId="0" xfId="50" applyFont="1" applyAlignment="1">
      <alignment horizontal="right"/>
    </xf>
    <xf numFmtId="2" fontId="26" fillId="0" borderId="0" xfId="37" applyNumberFormat="1" applyFont="1" applyAlignment="1">
      <alignment horizontal="left"/>
    </xf>
    <xf numFmtId="2" fontId="26" fillId="0" borderId="0" xfId="50" applyNumberFormat="1" applyFont="1" applyAlignment="1">
      <alignment horizontal="left"/>
    </xf>
    <xf numFmtId="2" fontId="26" fillId="0" borderId="28" xfId="37" applyNumberFormat="1" applyFont="1" applyBorder="1" applyAlignment="1">
      <alignment horizontal="left"/>
    </xf>
    <xf numFmtId="2" fontId="16" fillId="0" borderId="0" xfId="37" applyNumberFormat="1" applyAlignment="1">
      <alignment horizontal="left"/>
    </xf>
    <xf numFmtId="2" fontId="26" fillId="0" borderId="28" xfId="50" applyNumberFormat="1" applyFont="1" applyFill="1" applyBorder="1" applyAlignment="1">
      <alignment horizontal="left"/>
    </xf>
    <xf numFmtId="167" fontId="65" fillId="26" borderId="15" xfId="32" applyFont="1" applyFill="1" applyBorder="1"/>
    <xf numFmtId="167" fontId="65" fillId="26" borderId="0" xfId="32" applyFont="1" applyFill="1" applyAlignment="1">
      <alignment horizontal="center"/>
    </xf>
    <xf numFmtId="4" fontId="26" fillId="0" borderId="0" xfId="50" applyNumberFormat="1" applyFont="1" applyFill="1" applyAlignment="1">
      <alignment horizontal="left"/>
    </xf>
    <xf numFmtId="0" fontId="6" fillId="0" borderId="40" xfId="37" applyFont="1" applyBorder="1" applyAlignment="1">
      <alignment horizontal="center"/>
    </xf>
    <xf numFmtId="167" fontId="65" fillId="0" borderId="0" xfId="32" applyFont="1" applyFill="1" applyBorder="1"/>
    <xf numFmtId="167" fontId="26" fillId="0" borderId="0" xfId="32" applyFont="1" applyFill="1" applyBorder="1" applyAlignment="1">
      <alignment horizontal="center"/>
    </xf>
    <xf numFmtId="0" fontId="16" fillId="0" borderId="72" xfId="37" applyBorder="1"/>
    <xf numFmtId="167" fontId="26" fillId="0" borderId="30" xfId="32" applyFont="1" applyBorder="1" applyAlignment="1">
      <alignment horizontal="center"/>
    </xf>
    <xf numFmtId="166" fontId="16" fillId="0" borderId="0" xfId="50" applyFont="1"/>
    <xf numFmtId="166" fontId="6" fillId="0" borderId="0" xfId="50" applyFont="1" applyAlignment="1"/>
    <xf numFmtId="167" fontId="6" fillId="0" borderId="18" xfId="32" applyFont="1" applyFill="1" applyBorder="1"/>
    <xf numFmtId="167" fontId="6" fillId="0" borderId="18" xfId="32" applyFont="1" applyBorder="1"/>
    <xf numFmtId="167" fontId="6" fillId="0" borderId="40" xfId="37" applyNumberFormat="1" applyFont="1" applyBorder="1" applyAlignment="1">
      <alignment horizontal="center"/>
    </xf>
    <xf numFmtId="167" fontId="6" fillId="0" borderId="13" xfId="37" applyNumberFormat="1" applyFont="1" applyBorder="1" applyAlignment="1">
      <alignment horizontal="center"/>
    </xf>
    <xf numFmtId="167" fontId="6" fillId="0" borderId="18" xfId="32" applyFont="1" applyFill="1" applyBorder="1" applyAlignment="1">
      <alignment horizontal="center"/>
    </xf>
    <xf numFmtId="166" fontId="26" fillId="0" borderId="0" xfId="50" applyFont="1" applyFill="1" applyAlignment="1"/>
    <xf numFmtId="0" fontId="74" fillId="0" borderId="0" xfId="37" applyFont="1" applyAlignment="1">
      <alignment horizontal="center"/>
    </xf>
    <xf numFmtId="167" fontId="66" fillId="0" borderId="25" xfId="32" applyFont="1" applyBorder="1" applyAlignment="1">
      <alignment horizontal="center"/>
    </xf>
    <xf numFmtId="167" fontId="67" fillId="0" borderId="62" xfId="32" applyFont="1" applyBorder="1" applyAlignment="1">
      <alignment horizontal="center"/>
    </xf>
    <xf numFmtId="167" fontId="66" fillId="0" borderId="16" xfId="32" applyFont="1" applyBorder="1" applyAlignment="1">
      <alignment horizontal="center"/>
    </xf>
    <xf numFmtId="167" fontId="67" fillId="0" borderId="18" xfId="32" applyFont="1" applyBorder="1" applyAlignment="1">
      <alignment horizontal="center"/>
    </xf>
    <xf numFmtId="167" fontId="64" fillId="0" borderId="18" xfId="32" applyFont="1" applyBorder="1" applyAlignment="1">
      <alignment horizontal="center"/>
    </xf>
    <xf numFmtId="167" fontId="66" fillId="0" borderId="23" xfId="32" applyFont="1" applyBorder="1" applyAlignment="1">
      <alignment horizontal="center"/>
    </xf>
    <xf numFmtId="166" fontId="26" fillId="0" borderId="28" xfId="50" applyFont="1" applyFill="1" applyBorder="1" applyAlignment="1">
      <alignment horizontal="left"/>
    </xf>
    <xf numFmtId="166" fontId="26" fillId="0" borderId="0" xfId="50" applyFont="1" applyFill="1" applyBorder="1" applyAlignment="1"/>
    <xf numFmtId="166" fontId="6" fillId="0" borderId="0" xfId="50" applyFont="1" applyAlignment="1">
      <alignment horizontal="left"/>
    </xf>
    <xf numFmtId="166" fontId="26" fillId="0" borderId="0" xfId="50" applyFont="1" applyAlignment="1"/>
    <xf numFmtId="0" fontId="7" fillId="0" borderId="0" xfId="0" applyFont="1" applyAlignment="1">
      <alignment horizontal="left"/>
    </xf>
    <xf numFmtId="167" fontId="6" fillId="0" borderId="13" xfId="32" applyFont="1" applyFill="1" applyBorder="1"/>
    <xf numFmtId="0" fontId="6" fillId="0" borderId="45" xfId="37" applyFont="1" applyBorder="1" applyAlignment="1">
      <alignment horizontal="center"/>
    </xf>
    <xf numFmtId="2" fontId="65" fillId="0" borderId="0" xfId="37" applyNumberFormat="1" applyFont="1" applyAlignment="1">
      <alignment horizontal="left"/>
    </xf>
    <xf numFmtId="0" fontId="74" fillId="0" borderId="0" xfId="37" applyFont="1"/>
    <xf numFmtId="0" fontId="65" fillId="0" borderId="0" xfId="37" applyFont="1" applyAlignment="1">
      <alignment horizontal="left"/>
    </xf>
    <xf numFmtId="0" fontId="26" fillId="0" borderId="74" xfId="37" applyFont="1" applyBorder="1" applyAlignment="1">
      <alignment horizontal="center"/>
    </xf>
    <xf numFmtId="166" fontId="26" fillId="0" borderId="28" xfId="50" applyFont="1" applyFill="1" applyBorder="1" applyAlignment="1"/>
    <xf numFmtId="167" fontId="6" fillId="0" borderId="40" xfId="32" applyFont="1" applyFill="1" applyBorder="1" applyAlignment="1">
      <alignment horizontal="center"/>
    </xf>
    <xf numFmtId="14" fontId="0" fillId="0" borderId="15" xfId="0" applyNumberFormat="1" applyBorder="1" applyAlignment="1">
      <alignment horizontal="center"/>
    </xf>
    <xf numFmtId="174" fontId="79" fillId="0" borderId="0" xfId="39" applyNumberFormat="1" applyFont="1" applyBorder="1"/>
    <xf numFmtId="167" fontId="32" fillId="0" borderId="86" xfId="32" applyFont="1" applyBorder="1"/>
    <xf numFmtId="167" fontId="32" fillId="0" borderId="87" xfId="32" applyFont="1" applyBorder="1"/>
    <xf numFmtId="0" fontId="16" fillId="0" borderId="48" xfId="37" applyBorder="1"/>
    <xf numFmtId="0" fontId="65" fillId="0" borderId="15" xfId="37" applyFont="1" applyBorder="1"/>
    <xf numFmtId="166" fontId="65" fillId="0" borderId="0" xfId="50" applyFont="1" applyFill="1" applyBorder="1" applyAlignment="1"/>
    <xf numFmtId="166" fontId="65" fillId="0" borderId="0" xfId="50" applyFont="1" applyFill="1" applyAlignment="1"/>
    <xf numFmtId="0" fontId="0" fillId="26" borderId="0" xfId="0" applyFill="1"/>
    <xf numFmtId="44" fontId="26" fillId="0" borderId="0" xfId="37" applyNumberFormat="1" applyFont="1" applyAlignment="1">
      <alignment horizontal="center"/>
    </xf>
    <xf numFmtId="44" fontId="69" fillId="0" borderId="0" xfId="37" applyNumberFormat="1" applyFont="1" applyAlignment="1">
      <alignment horizontal="center"/>
    </xf>
    <xf numFmtId="167" fontId="74" fillId="0" borderId="0" xfId="32" applyFont="1"/>
    <xf numFmtId="167" fontId="6" fillId="0" borderId="13" xfId="32" applyFont="1" applyFill="1" applyBorder="1" applyAlignment="1">
      <alignment horizontal="center"/>
    </xf>
    <xf numFmtId="167" fontId="16" fillId="0" borderId="0" xfId="32" applyFont="1" applyFill="1" applyAlignment="1">
      <alignment horizontal="center"/>
    </xf>
    <xf numFmtId="167" fontId="65" fillId="26" borderId="24" xfId="32" applyFont="1" applyFill="1" applyBorder="1"/>
    <xf numFmtId="167" fontId="6" fillId="0" borderId="10" xfId="32" applyFont="1" applyFill="1" applyBorder="1" applyAlignment="1">
      <alignment horizontal="center"/>
    </xf>
    <xf numFmtId="167" fontId="6" fillId="0" borderId="10" xfId="32" applyFont="1" applyBorder="1" applyAlignment="1">
      <alignment horizontal="center"/>
    </xf>
    <xf numFmtId="0" fontId="34" fillId="0" borderId="27" xfId="37" applyFont="1" applyBorder="1" applyAlignment="1">
      <alignment horizontal="center"/>
    </xf>
    <xf numFmtId="167" fontId="26" fillId="0" borderId="42" xfId="32" applyFont="1" applyFill="1" applyBorder="1"/>
    <xf numFmtId="167" fontId="26" fillId="0" borderId="85" xfId="32" applyFont="1" applyFill="1" applyBorder="1"/>
    <xf numFmtId="167" fontId="26" fillId="0" borderId="85" xfId="32" applyFont="1" applyBorder="1"/>
    <xf numFmtId="0" fontId="26" fillId="0" borderId="85" xfId="37" applyFont="1" applyBorder="1" applyAlignment="1">
      <alignment horizontal="center"/>
    </xf>
    <xf numFmtId="167" fontId="26" fillId="0" borderId="67" xfId="32" applyFont="1" applyBorder="1"/>
    <xf numFmtId="0" fontId="32" fillId="0" borderId="14" xfId="37" applyFont="1" applyBorder="1" applyAlignment="1">
      <alignment horizontal="center"/>
    </xf>
    <xf numFmtId="44" fontId="32" fillId="0" borderId="0" xfId="37" applyNumberFormat="1" applyFont="1"/>
    <xf numFmtId="170" fontId="65" fillId="0" borderId="0" xfId="39" applyNumberFormat="1" applyFont="1"/>
    <xf numFmtId="166" fontId="65" fillId="0" borderId="0" xfId="50" applyFont="1" applyFill="1" applyAlignment="1">
      <alignment horizontal="center"/>
    </xf>
    <xf numFmtId="0" fontId="16" fillId="26" borderId="0" xfId="37" applyFill="1"/>
    <xf numFmtId="167" fontId="65" fillId="0" borderId="53" xfId="32" applyFont="1" applyBorder="1"/>
    <xf numFmtId="167" fontId="65" fillId="0" borderId="55" xfId="32" applyFont="1" applyBorder="1"/>
    <xf numFmtId="167" fontId="65" fillId="0" borderId="11" xfId="37" applyNumberFormat="1" applyFont="1" applyBorder="1"/>
    <xf numFmtId="167" fontId="74" fillId="0" borderId="11" xfId="32" applyFont="1" applyBorder="1"/>
    <xf numFmtId="0" fontId="74" fillId="0" borderId="27" xfId="37" applyFont="1" applyBorder="1" applyAlignment="1">
      <alignment horizontal="center"/>
    </xf>
    <xf numFmtId="167" fontId="65" fillId="0" borderId="14" xfId="37" applyNumberFormat="1" applyFont="1" applyBorder="1"/>
    <xf numFmtId="166" fontId="65" fillId="0" borderId="0" xfId="50" applyFont="1" applyFill="1" applyAlignment="1">
      <alignment horizontal="left"/>
    </xf>
    <xf numFmtId="2" fontId="65" fillId="0" borderId="0" xfId="50" applyNumberFormat="1" applyFont="1" applyFill="1" applyAlignment="1">
      <alignment horizontal="center"/>
    </xf>
    <xf numFmtId="167" fontId="65" fillId="0" borderId="0" xfId="32" applyFont="1" applyBorder="1" applyAlignment="1"/>
    <xf numFmtId="167" fontId="26" fillId="0" borderId="0" xfId="32" applyFont="1" applyFill="1" applyAlignment="1"/>
    <xf numFmtId="167" fontId="65" fillId="0" borderId="0" xfId="32" applyFont="1" applyFill="1" applyAlignment="1">
      <alignment horizontal="left"/>
    </xf>
    <xf numFmtId="167" fontId="65" fillId="0" borderId="0" xfId="32" applyFont="1" applyFill="1" applyAlignment="1"/>
    <xf numFmtId="167" fontId="74" fillId="0" borderId="0" xfId="32" applyFont="1" applyBorder="1"/>
    <xf numFmtId="167" fontId="26" fillId="0" borderId="41" xfId="32" applyFont="1" applyFill="1" applyBorder="1"/>
    <xf numFmtId="167" fontId="6" fillId="0" borderId="0" xfId="32" applyFont="1" applyFill="1" applyBorder="1" applyAlignment="1">
      <alignment horizontal="center"/>
    </xf>
    <xf numFmtId="167" fontId="6" fillId="0" borderId="40" xfId="32" applyFont="1" applyFill="1" applyBorder="1"/>
    <xf numFmtId="0" fontId="16" fillId="0" borderId="40" xfId="37" applyBorder="1"/>
    <xf numFmtId="173" fontId="26" fillId="0" borderId="0" xfId="37" applyNumberFormat="1" applyFont="1" applyAlignment="1">
      <alignment horizontal="left"/>
    </xf>
    <xf numFmtId="167" fontId="26" fillId="0" borderId="55" xfId="32" applyFont="1" applyFill="1" applyBorder="1"/>
    <xf numFmtId="167" fontId="65" fillId="0" borderId="0" xfId="32" applyFont="1" applyFill="1" applyBorder="1" applyAlignment="1"/>
    <xf numFmtId="167" fontId="6" fillId="0" borderId="0" xfId="32" applyFont="1" applyFill="1" applyBorder="1"/>
    <xf numFmtId="175" fontId="0" fillId="0" borderId="10" xfId="39" applyNumberFormat="1" applyFont="1" applyBorder="1"/>
    <xf numFmtId="173" fontId="65" fillId="0" borderId="0" xfId="37" applyNumberFormat="1" applyFont="1" applyAlignment="1">
      <alignment horizontal="left"/>
    </xf>
    <xf numFmtId="0" fontId="88" fillId="0" borderId="0" xfId="37" applyFont="1"/>
    <xf numFmtId="167" fontId="75" fillId="0" borderId="0" xfId="32" applyFont="1"/>
    <xf numFmtId="167" fontId="75" fillId="0" borderId="0" xfId="32" applyFont="1" applyFill="1"/>
    <xf numFmtId="0" fontId="16" fillId="30" borderId="52" xfId="37" applyFill="1" applyBorder="1"/>
    <xf numFmtId="0" fontId="16" fillId="30" borderId="10" xfId="37" applyFill="1" applyBorder="1" applyAlignment="1">
      <alignment horizontal="center"/>
    </xf>
    <xf numFmtId="0" fontId="6" fillId="30" borderId="41" xfId="37" applyFont="1" applyFill="1" applyBorder="1" applyAlignment="1">
      <alignment horizontal="center"/>
    </xf>
    <xf numFmtId="167" fontId="65" fillId="30" borderId="24" xfId="32" applyFont="1" applyFill="1" applyBorder="1"/>
    <xf numFmtId="167" fontId="16" fillId="0" borderId="60" xfId="32" applyFont="1" applyBorder="1"/>
    <xf numFmtId="167" fontId="65" fillId="0" borderId="52" xfId="32" applyFont="1" applyBorder="1"/>
    <xf numFmtId="44" fontId="68" fillId="0" borderId="0" xfId="32" applyNumberFormat="1" applyFont="1"/>
    <xf numFmtId="167" fontId="65" fillId="0" borderId="28" xfId="32" applyFont="1" applyFill="1" applyBorder="1" applyAlignment="1"/>
    <xf numFmtId="14" fontId="6" fillId="0" borderId="47" xfId="37" applyNumberFormat="1" applyFont="1" applyBorder="1"/>
    <xf numFmtId="167" fontId="6" fillId="0" borderId="0" xfId="32" applyFont="1" applyFill="1" applyAlignment="1">
      <alignment horizontal="center"/>
    </xf>
    <xf numFmtId="14" fontId="6" fillId="0" borderId="34" xfId="37" applyNumberFormat="1" applyFont="1" applyBorder="1"/>
    <xf numFmtId="0" fontId="6" fillId="0" borderId="60" xfId="37" applyFont="1" applyBorder="1"/>
    <xf numFmtId="0" fontId="6" fillId="0" borderId="35" xfId="37" applyFont="1" applyBorder="1" applyAlignment="1">
      <alignment horizontal="center"/>
    </xf>
    <xf numFmtId="0" fontId="6" fillId="0" borderId="54" xfId="37" applyFont="1" applyBorder="1" applyAlignment="1">
      <alignment horizontal="center"/>
    </xf>
    <xf numFmtId="0" fontId="6" fillId="30" borderId="52" xfId="37" applyFont="1" applyFill="1" applyBorder="1"/>
    <xf numFmtId="0" fontId="6" fillId="30" borderId="10" xfId="37" applyFont="1" applyFill="1" applyBorder="1" applyAlignment="1">
      <alignment horizontal="center"/>
    </xf>
    <xf numFmtId="167" fontId="65" fillId="0" borderId="42" xfId="32" applyFont="1" applyFill="1" applyBorder="1"/>
    <xf numFmtId="0" fontId="40" fillId="0" borderId="0" xfId="37" applyFont="1"/>
    <xf numFmtId="167" fontId="74" fillId="0" borderId="14" xfId="32" applyFont="1" applyBorder="1"/>
    <xf numFmtId="167" fontId="6" fillId="0" borderId="52" xfId="32" applyFont="1" applyFill="1" applyBorder="1"/>
    <xf numFmtId="167" fontId="6" fillId="0" borderId="52" xfId="32" applyFont="1" applyBorder="1"/>
    <xf numFmtId="167" fontId="6" fillId="0" borderId="32" xfId="37" applyNumberFormat="1" applyFont="1" applyBorder="1"/>
    <xf numFmtId="167" fontId="40" fillId="0" borderId="72" xfId="32" applyFont="1" applyBorder="1"/>
    <xf numFmtId="0" fontId="90" fillId="0" borderId="35" xfId="50" applyNumberFormat="1" applyFont="1" applyBorder="1" applyAlignment="1">
      <alignment horizontal="center"/>
    </xf>
    <xf numFmtId="167" fontId="90" fillId="0" borderId="35" xfId="32" applyFont="1" applyBorder="1"/>
    <xf numFmtId="4" fontId="90" fillId="0" borderId="15" xfId="37" applyNumberFormat="1" applyFont="1" applyBorder="1"/>
    <xf numFmtId="0" fontId="90" fillId="0" borderId="10" xfId="37" applyFont="1" applyBorder="1" applyAlignment="1">
      <alignment horizontal="center"/>
    </xf>
    <xf numFmtId="167" fontId="90" fillId="0" borderId="10" xfId="32" applyFont="1" applyBorder="1"/>
    <xf numFmtId="0" fontId="90" fillId="0" borderId="13" xfId="37" applyFont="1" applyBorder="1" applyAlignment="1">
      <alignment horizontal="center"/>
    </xf>
    <xf numFmtId="0" fontId="90" fillId="0" borderId="10" xfId="50" applyNumberFormat="1" applyFont="1" applyBorder="1" applyAlignment="1">
      <alignment horizontal="center"/>
    </xf>
    <xf numFmtId="0" fontId="90" fillId="0" borderId="46" xfId="50" applyNumberFormat="1" applyFont="1" applyBorder="1" applyAlignment="1">
      <alignment horizontal="center"/>
    </xf>
    <xf numFmtId="167" fontId="90" fillId="0" borderId="46" xfId="32" applyFont="1" applyBorder="1"/>
    <xf numFmtId="4" fontId="90" fillId="0" borderId="47" xfId="37" applyNumberFormat="1" applyFont="1" applyBorder="1"/>
    <xf numFmtId="0" fontId="90" fillId="0" borderId="46" xfId="37" applyFont="1" applyBorder="1" applyAlignment="1">
      <alignment horizontal="center"/>
    </xf>
    <xf numFmtId="0" fontId="16" fillId="0" borderId="50" xfId="37" applyBorder="1"/>
    <xf numFmtId="17" fontId="32" fillId="0" borderId="0" xfId="37" applyNumberFormat="1" applyFont="1"/>
    <xf numFmtId="167" fontId="26" fillId="0" borderId="0" xfId="32" applyFont="1" applyFill="1" applyAlignment="1">
      <alignment horizontal="left"/>
    </xf>
    <xf numFmtId="173" fontId="34" fillId="0" borderId="0" xfId="37" applyNumberFormat="1" applyFont="1" applyAlignment="1">
      <alignment horizontal="center"/>
    </xf>
    <xf numFmtId="44" fontId="34" fillId="0" borderId="0" xfId="37" applyNumberFormat="1" applyFont="1" applyAlignment="1">
      <alignment horizontal="center"/>
    </xf>
    <xf numFmtId="167" fontId="90" fillId="0" borderId="10" xfId="32" applyFont="1" applyBorder="1" applyAlignment="1">
      <alignment horizontal="center"/>
    </xf>
    <xf numFmtId="167" fontId="64" fillId="0" borderId="0" xfId="0" applyNumberFormat="1" applyFont="1"/>
    <xf numFmtId="0" fontId="26" fillId="0" borderId="0" xfId="37" quotePrefix="1" applyFont="1" applyAlignment="1">
      <alignment horizontal="center"/>
    </xf>
    <xf numFmtId="167" fontId="26" fillId="0" borderId="0" xfId="37" applyNumberFormat="1" applyFont="1" applyAlignment="1">
      <alignment horizontal="center"/>
    </xf>
    <xf numFmtId="10" fontId="33" fillId="27" borderId="0" xfId="37" applyNumberFormat="1" applyFont="1" applyFill="1" applyAlignment="1">
      <alignment horizontal="center"/>
    </xf>
    <xf numFmtId="0" fontId="81" fillId="0" borderId="0" xfId="37" applyFont="1" applyAlignment="1">
      <alignment horizontal="center"/>
    </xf>
    <xf numFmtId="0" fontId="81" fillId="0" borderId="0" xfId="37" applyFont="1"/>
    <xf numFmtId="167" fontId="34" fillId="0" borderId="0" xfId="37" applyNumberFormat="1" applyFont="1" applyAlignment="1">
      <alignment horizontal="center"/>
    </xf>
    <xf numFmtId="0" fontId="6" fillId="0" borderId="10" xfId="37" quotePrefix="1" applyFont="1" applyBorder="1" applyAlignment="1">
      <alignment horizontal="center"/>
    </xf>
    <xf numFmtId="0" fontId="16" fillId="0" borderId="0" xfId="37" applyAlignment="1">
      <alignment horizontal="right"/>
    </xf>
    <xf numFmtId="14" fontId="10" fillId="0" borderId="0" xfId="32" applyNumberFormat="1" applyFont="1" applyBorder="1" applyAlignment="1"/>
    <xf numFmtId="0" fontId="61" fillId="0" borderId="0" xfId="37" applyFont="1" applyAlignment="1">
      <alignment horizontal="center"/>
    </xf>
    <xf numFmtId="167" fontId="61" fillId="0" borderId="0" xfId="32" applyFont="1"/>
    <xf numFmtId="4" fontId="10" fillId="0" borderId="0" xfId="50" applyNumberFormat="1" applyFont="1" applyBorder="1" applyAlignment="1">
      <alignment horizontal="center"/>
    </xf>
    <xf numFmtId="44" fontId="67" fillId="0" borderId="0" xfId="0" applyNumberFormat="1" applyFont="1"/>
    <xf numFmtId="44" fontId="85" fillId="0" borderId="0" xfId="0" applyNumberFormat="1" applyFont="1"/>
    <xf numFmtId="44" fontId="10" fillId="0" borderId="0" xfId="0" applyNumberFormat="1" applyFont="1"/>
    <xf numFmtId="4" fontId="7" fillId="0" borderId="0" xfId="50" applyNumberFormat="1" applyFont="1" applyBorder="1" applyAlignment="1">
      <alignment horizontal="left"/>
    </xf>
    <xf numFmtId="14" fontId="7" fillId="0" borderId="0" xfId="0" applyNumberFormat="1" applyFont="1" applyAlignment="1">
      <alignment horizontal="left"/>
    </xf>
    <xf numFmtId="167" fontId="69" fillId="0" borderId="0" xfId="32" applyFont="1" applyFill="1" applyAlignment="1"/>
    <xf numFmtId="167" fontId="65" fillId="0" borderId="43" xfId="32" applyFont="1" applyBorder="1" applyAlignment="1">
      <alignment horizontal="center"/>
    </xf>
    <xf numFmtId="16" fontId="26" fillId="0" borderId="0" xfId="37" applyNumberFormat="1" applyFont="1" applyAlignment="1">
      <alignment horizontal="center"/>
    </xf>
    <xf numFmtId="166" fontId="34" fillId="0" borderId="0" xfId="50" applyFont="1" applyFill="1" applyAlignment="1">
      <alignment horizontal="center"/>
    </xf>
    <xf numFmtId="16" fontId="0" fillId="0" borderId="0" xfId="0" applyNumberFormat="1"/>
    <xf numFmtId="167" fontId="65" fillId="32" borderId="15" xfId="32" applyFont="1" applyFill="1" applyBorder="1"/>
    <xf numFmtId="167" fontId="26" fillId="32" borderId="0" xfId="32" applyFont="1" applyFill="1" applyAlignment="1">
      <alignment horizontal="center"/>
    </xf>
    <xf numFmtId="167" fontId="65" fillId="34" borderId="24" xfId="32" applyFont="1" applyFill="1" applyBorder="1"/>
    <xf numFmtId="167" fontId="65" fillId="0" borderId="28" xfId="32" applyFont="1" applyFill="1" applyBorder="1" applyAlignment="1">
      <alignment horizontal="center"/>
    </xf>
    <xf numFmtId="0" fontId="0" fillId="0" borderId="74" xfId="0" applyBorder="1"/>
    <xf numFmtId="167" fontId="6" fillId="0" borderId="0" xfId="32" applyFont="1" applyFill="1"/>
    <xf numFmtId="167" fontId="16" fillId="0" borderId="0" xfId="32" applyFont="1" applyFill="1" applyBorder="1"/>
    <xf numFmtId="167" fontId="26" fillId="0" borderId="28" xfId="32" applyFont="1" applyFill="1" applyBorder="1" applyAlignment="1">
      <alignment horizontal="center"/>
    </xf>
    <xf numFmtId="167" fontId="26" fillId="0" borderId="13" xfId="32" applyFont="1" applyFill="1" applyBorder="1" applyAlignment="1">
      <alignment horizontal="center"/>
    </xf>
    <xf numFmtId="167" fontId="65" fillId="0" borderId="43" xfId="32" applyFont="1" applyFill="1" applyBorder="1" applyAlignment="1">
      <alignment horizontal="center"/>
    </xf>
    <xf numFmtId="167" fontId="65" fillId="0" borderId="0" xfId="32" applyFont="1" applyFill="1" applyBorder="1" applyAlignment="1">
      <alignment horizontal="left"/>
    </xf>
    <xf numFmtId="167" fontId="6" fillId="0" borderId="0" xfId="32" applyFont="1" applyFill="1" applyBorder="1" applyAlignment="1">
      <alignment horizontal="left"/>
    </xf>
    <xf numFmtId="167" fontId="26" fillId="0" borderId="28" xfId="32" applyFont="1" applyFill="1" applyBorder="1" applyAlignment="1"/>
    <xf numFmtId="0" fontId="10" fillId="28" borderId="14" xfId="0" applyFont="1" applyFill="1" applyBorder="1" applyAlignment="1">
      <alignment horizontal="center"/>
    </xf>
    <xf numFmtId="0" fontId="10" fillId="28" borderId="44" xfId="0" applyFont="1" applyFill="1" applyBorder="1" applyAlignment="1">
      <alignment horizontal="center"/>
    </xf>
    <xf numFmtId="9" fontId="16" fillId="0" borderId="0" xfId="37" applyNumberFormat="1" applyAlignment="1">
      <alignment horizontal="center"/>
    </xf>
    <xf numFmtId="167" fontId="26" fillId="0" borderId="0" xfId="32" applyFont="1" applyFill="1" applyBorder="1" applyAlignment="1">
      <alignment horizontal="left"/>
    </xf>
    <xf numFmtId="0" fontId="69" fillId="0" borderId="0" xfId="37" applyFont="1"/>
    <xf numFmtId="167" fontId="69" fillId="0" borderId="0" xfId="32" applyFont="1" applyAlignment="1">
      <alignment horizontal="center"/>
    </xf>
    <xf numFmtId="44" fontId="65" fillId="0" borderId="0" xfId="37" applyNumberFormat="1" applyFont="1" applyAlignment="1">
      <alignment horizontal="center"/>
    </xf>
    <xf numFmtId="167" fontId="26" fillId="0" borderId="74" xfId="32" applyFont="1" applyFill="1" applyBorder="1" applyAlignment="1">
      <alignment horizontal="center"/>
    </xf>
    <xf numFmtId="172" fontId="6" fillId="0" borderId="0" xfId="50" applyNumberFormat="1" applyFont="1" applyBorder="1" applyAlignment="1">
      <alignment horizontal="center"/>
    </xf>
    <xf numFmtId="167" fontId="16" fillId="0" borderId="0" xfId="32" applyFont="1" applyAlignment="1">
      <alignment horizontal="left"/>
    </xf>
    <xf numFmtId="167" fontId="32" fillId="0" borderId="0" xfId="32" applyFont="1" applyAlignment="1">
      <alignment horizontal="left"/>
    </xf>
    <xf numFmtId="167" fontId="40" fillId="0" borderId="0" xfId="32" applyFont="1" applyAlignment="1">
      <alignment horizontal="center"/>
    </xf>
    <xf numFmtId="49" fontId="16" fillId="0" borderId="0" xfId="32" applyNumberFormat="1" applyFont="1"/>
    <xf numFmtId="44" fontId="10" fillId="26" borderId="0" xfId="0" applyNumberFormat="1" applyFont="1" applyFill="1"/>
    <xf numFmtId="2" fontId="7" fillId="0" borderId="10" xfId="0" applyNumberFormat="1" applyFont="1" applyBorder="1" applyAlignment="1">
      <alignment horizontal="center"/>
    </xf>
    <xf numFmtId="167" fontId="7" fillId="0" borderId="10" xfId="32" applyFont="1" applyBorder="1"/>
    <xf numFmtId="167" fontId="0" fillId="0" borderId="46" xfId="32" applyFont="1" applyFill="1" applyBorder="1"/>
    <xf numFmtId="170" fontId="32" fillId="32" borderId="0" xfId="39" applyNumberFormat="1" applyFont="1" applyFill="1" applyAlignment="1">
      <alignment horizontal="center"/>
    </xf>
    <xf numFmtId="167" fontId="69" fillId="0" borderId="0" xfId="32" applyFont="1"/>
    <xf numFmtId="0" fontId="57" fillId="0" borderId="0" xfId="0" applyFont="1" applyAlignment="1">
      <alignment wrapText="1"/>
    </xf>
    <xf numFmtId="167" fontId="0" fillId="0" borderId="0" xfId="32" applyFont="1" applyFill="1" applyBorder="1"/>
    <xf numFmtId="0" fontId="7" fillId="0" borderId="0" xfId="0" quotePrefix="1" applyFont="1"/>
    <xf numFmtId="167" fontId="0" fillId="0" borderId="0" xfId="32" applyFont="1" applyFill="1" applyBorder="1" applyAlignment="1">
      <alignment horizontal="center"/>
    </xf>
    <xf numFmtId="167" fontId="1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6" fillId="0" borderId="0" xfId="0" applyFont="1" applyAlignment="1">
      <alignment horizontal="center"/>
    </xf>
    <xf numFmtId="44" fontId="67" fillId="0" borderId="0" xfId="0" applyNumberFormat="1" applyFont="1" applyAlignment="1">
      <alignment horizontal="center"/>
    </xf>
    <xf numFmtId="44" fontId="64" fillId="0" borderId="0" xfId="0" applyNumberFormat="1" applyFont="1" applyAlignment="1">
      <alignment horizontal="center"/>
    </xf>
    <xf numFmtId="9" fontId="66" fillId="0" borderId="0" xfId="0" applyNumberFormat="1" applyFont="1" applyAlignment="1">
      <alignment horizontal="center"/>
    </xf>
    <xf numFmtId="9" fontId="66" fillId="0" borderId="0" xfId="39" applyFont="1" applyBorder="1" applyAlignment="1">
      <alignment horizontal="center"/>
    </xf>
    <xf numFmtId="0" fontId="67" fillId="0" borderId="0" xfId="0" applyFont="1"/>
    <xf numFmtId="167" fontId="67" fillId="0" borderId="0" xfId="32" applyFont="1" applyBorder="1"/>
    <xf numFmtId="44" fontId="66" fillId="0" borderId="0" xfId="0" applyNumberFormat="1" applyFont="1" applyAlignment="1">
      <alignment horizontal="center"/>
    </xf>
    <xf numFmtId="167" fontId="12" fillId="0" borderId="0" xfId="32" applyFont="1" applyBorder="1" applyAlignment="1">
      <alignment horizontal="right"/>
    </xf>
    <xf numFmtId="166" fontId="11" fillId="0" borderId="0" xfId="0" applyNumberFormat="1" applyFont="1"/>
    <xf numFmtId="44" fontId="64" fillId="0" borderId="0" xfId="0" applyNumberFormat="1" applyFont="1"/>
    <xf numFmtId="167" fontId="64" fillId="0" borderId="0" xfId="32" applyFont="1" applyBorder="1" applyAlignment="1">
      <alignment horizontal="center"/>
    </xf>
    <xf numFmtId="167" fontId="90" fillId="0" borderId="0" xfId="32" applyFont="1"/>
    <xf numFmtId="0" fontId="90" fillId="0" borderId="0" xfId="37" applyFont="1"/>
    <xf numFmtId="167" fontId="93" fillId="0" borderId="0" xfId="37" applyNumberFormat="1" applyFont="1"/>
    <xf numFmtId="0" fontId="93" fillId="0" borderId="0" xfId="37" applyFont="1"/>
    <xf numFmtId="0" fontId="79" fillId="0" borderId="0" xfId="0" applyFont="1"/>
    <xf numFmtId="167" fontId="77" fillId="0" borderId="0" xfId="0" applyNumberFormat="1" applyFont="1"/>
    <xf numFmtId="0" fontId="79" fillId="0" borderId="0" xfId="0" applyFont="1" applyAlignment="1">
      <alignment horizontal="center"/>
    </xf>
    <xf numFmtId="0" fontId="79" fillId="0" borderId="0" xfId="0" applyFont="1" applyAlignment="1">
      <alignment horizontal="left"/>
    </xf>
    <xf numFmtId="0" fontId="77" fillId="0" borderId="0" xfId="0" applyFont="1" applyAlignment="1">
      <alignment horizontal="left"/>
    </xf>
    <xf numFmtId="167" fontId="79" fillId="0" borderId="0" xfId="0" applyNumberFormat="1" applyFont="1" applyAlignment="1">
      <alignment horizontal="left"/>
    </xf>
    <xf numFmtId="44" fontId="82" fillId="0" borderId="0" xfId="0" applyNumberFormat="1" applyFont="1"/>
    <xf numFmtId="9" fontId="0" fillId="0" borderId="0" xfId="39" applyFont="1" applyBorder="1" applyAlignment="1">
      <alignment horizontal="center"/>
    </xf>
    <xf numFmtId="167" fontId="0" fillId="0" borderId="0" xfId="32" applyFont="1" applyBorder="1" applyAlignment="1">
      <alignment horizontal="left"/>
    </xf>
    <xf numFmtId="169" fontId="0" fillId="0" borderId="0" xfId="32" applyNumberFormat="1" applyFont="1" applyBorder="1" applyAlignment="1">
      <alignment horizontal="right"/>
    </xf>
    <xf numFmtId="17" fontId="7" fillId="0" borderId="0" xfId="0" applyNumberFormat="1" applyFont="1" applyAlignment="1">
      <alignment horizontal="center"/>
    </xf>
    <xf numFmtId="167" fontId="79" fillId="0" borderId="0" xfId="32" applyFont="1" applyFill="1"/>
    <xf numFmtId="167" fontId="90" fillId="0" borderId="0" xfId="32" applyFont="1" applyFill="1"/>
    <xf numFmtId="167" fontId="79" fillId="30" borderId="0" xfId="0" applyNumberFormat="1" applyFont="1" applyFill="1"/>
    <xf numFmtId="167" fontId="79" fillId="30" borderId="0" xfId="32" applyFont="1" applyFill="1"/>
    <xf numFmtId="175" fontId="7" fillId="0" borderId="10" xfId="39" applyNumberFormat="1" applyFont="1" applyBorder="1"/>
    <xf numFmtId="0" fontId="6" fillId="0" borderId="56" xfId="37" applyFont="1" applyBorder="1" applyAlignment="1">
      <alignment horizontal="left"/>
    </xf>
    <xf numFmtId="0" fontId="33" fillId="0" borderId="11" xfId="37" applyFont="1" applyBorder="1" applyAlignment="1">
      <alignment horizontal="center"/>
    </xf>
    <xf numFmtId="0" fontId="33" fillId="0" borderId="32" xfId="37" applyFont="1" applyBorder="1" applyAlignment="1">
      <alignment horizontal="center"/>
    </xf>
    <xf numFmtId="0" fontId="33" fillId="0" borderId="14" xfId="37" applyFont="1" applyBorder="1" applyAlignment="1">
      <alignment horizontal="center"/>
    </xf>
    <xf numFmtId="10" fontId="7" fillId="0" borderId="0" xfId="39" applyNumberFormat="1" applyFont="1" applyBorder="1" applyAlignment="1">
      <alignment horizontal="center"/>
    </xf>
    <xf numFmtId="10" fontId="32" fillId="0" borderId="0" xfId="39" applyNumberFormat="1" applyFont="1" applyAlignment="1">
      <alignment horizontal="center"/>
    </xf>
    <xf numFmtId="10" fontId="16" fillId="0" borderId="0" xfId="37" applyNumberFormat="1" applyAlignment="1">
      <alignment horizontal="center"/>
    </xf>
    <xf numFmtId="10" fontId="69" fillId="0" borderId="0" xfId="37" applyNumberFormat="1" applyFont="1" applyAlignment="1">
      <alignment horizontal="center"/>
    </xf>
    <xf numFmtId="167" fontId="11" fillId="0" borderId="0" xfId="32" applyFont="1" applyAlignment="1">
      <alignment horizontal="center"/>
    </xf>
    <xf numFmtId="166" fontId="64" fillId="0" borderId="0" xfId="0" applyNumberFormat="1" applyFont="1" applyAlignment="1">
      <alignment horizontal="center"/>
    </xf>
    <xf numFmtId="10" fontId="73" fillId="0" borderId="0" xfId="0" applyNumberFormat="1" applyFont="1" applyAlignment="1">
      <alignment horizontal="center"/>
    </xf>
    <xf numFmtId="175" fontId="73" fillId="0" borderId="0" xfId="39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39" applyNumberFormat="1" applyFont="1" applyAlignment="1">
      <alignment horizontal="center"/>
    </xf>
    <xf numFmtId="167" fontId="79" fillId="0" borderId="0" xfId="32" applyFont="1" applyFill="1" applyBorder="1" applyAlignment="1"/>
    <xf numFmtId="0" fontId="0" fillId="0" borderId="63" xfId="0" applyBorder="1"/>
    <xf numFmtId="0" fontId="0" fillId="0" borderId="63" xfId="0" applyBorder="1" applyAlignment="1">
      <alignment horizontal="center"/>
    </xf>
    <xf numFmtId="4" fontId="90" fillId="0" borderId="55" xfId="32" applyNumberFormat="1" applyFont="1" applyBorder="1" applyAlignment="1"/>
    <xf numFmtId="0" fontId="90" fillId="0" borderId="49" xfId="50" applyNumberFormat="1" applyFont="1" applyBorder="1" applyAlignment="1">
      <alignment horizontal="center"/>
    </xf>
    <xf numFmtId="167" fontId="90" fillId="0" borderId="49" xfId="32" applyFont="1" applyBorder="1"/>
    <xf numFmtId="14" fontId="77" fillId="0" borderId="0" xfId="32" applyNumberFormat="1" applyFont="1" applyBorder="1" applyAlignment="1">
      <alignment horizontal="center"/>
    </xf>
    <xf numFmtId="1" fontId="16" fillId="0" borderId="0" xfId="37" applyNumberFormat="1" applyAlignment="1">
      <alignment horizontal="center"/>
    </xf>
    <xf numFmtId="0" fontId="16" fillId="0" borderId="0" xfId="37" quotePrefix="1" applyAlignment="1">
      <alignment horizontal="center"/>
    </xf>
    <xf numFmtId="0" fontId="42" fillId="0" borderId="0" xfId="30" applyAlignment="1" applyProtection="1">
      <alignment horizontal="left"/>
    </xf>
    <xf numFmtId="0" fontId="32" fillId="0" borderId="0" xfId="37" applyFont="1" applyAlignment="1">
      <alignment horizontal="left"/>
    </xf>
    <xf numFmtId="44" fontId="6" fillId="0" borderId="0" xfId="37" applyNumberFormat="1" applyFont="1"/>
    <xf numFmtId="10" fontId="16" fillId="0" borderId="0" xfId="39" applyNumberFormat="1" applyFont="1" applyBorder="1" applyAlignment="1">
      <alignment horizontal="center"/>
    </xf>
    <xf numFmtId="10" fontId="65" fillId="0" borderId="0" xfId="39" applyNumberFormat="1" applyFont="1" applyAlignment="1">
      <alignment horizontal="center"/>
    </xf>
    <xf numFmtId="10" fontId="26" fillId="0" borderId="0" xfId="37" applyNumberFormat="1" applyFont="1" applyAlignment="1">
      <alignment horizontal="center"/>
    </xf>
    <xf numFmtId="14" fontId="91" fillId="31" borderId="0" xfId="0" applyNumberFormat="1" applyFont="1" applyFill="1" applyAlignment="1">
      <alignment horizontal="left" vertical="center" wrapText="1"/>
    </xf>
    <xf numFmtId="0" fontId="0" fillId="0" borderId="40" xfId="0" applyBorder="1"/>
    <xf numFmtId="167" fontId="0" fillId="0" borderId="74" xfId="32" applyFont="1" applyBorder="1"/>
    <xf numFmtId="176" fontId="0" fillId="0" borderId="0" xfId="39" applyNumberFormat="1" applyFont="1"/>
    <xf numFmtId="167" fontId="26" fillId="0" borderId="0" xfId="32" applyFont="1" applyFill="1" applyBorder="1"/>
    <xf numFmtId="167" fontId="65" fillId="0" borderId="20" xfId="37" applyNumberFormat="1" applyFont="1" applyBorder="1"/>
    <xf numFmtId="175" fontId="7" fillId="0" borderId="0" xfId="39" applyNumberFormat="1" applyFont="1" applyAlignment="1">
      <alignment horizontal="center"/>
    </xf>
    <xf numFmtId="10" fontId="7" fillId="0" borderId="0" xfId="0" applyNumberFormat="1" applyFont="1" applyAlignment="1">
      <alignment horizontal="center"/>
    </xf>
    <xf numFmtId="14" fontId="0" fillId="0" borderId="46" xfId="0" applyNumberFormat="1" applyBorder="1" applyAlignment="1">
      <alignment horizontal="center"/>
    </xf>
    <xf numFmtId="167" fontId="0" fillId="0" borderId="40" xfId="32" applyFont="1" applyBorder="1"/>
    <xf numFmtId="167" fontId="26" fillId="0" borderId="43" xfId="32" applyFont="1" applyFill="1" applyBorder="1" applyAlignment="1">
      <alignment horizontal="left"/>
    </xf>
    <xf numFmtId="0" fontId="26" fillId="0" borderId="40" xfId="37" applyFont="1" applyBorder="1" applyAlignment="1">
      <alignment horizontal="center"/>
    </xf>
    <xf numFmtId="167" fontId="10" fillId="0" borderId="39" xfId="0" applyNumberFormat="1" applyFont="1" applyBorder="1"/>
    <xf numFmtId="167" fontId="7" fillId="0" borderId="16" xfId="32" applyFont="1" applyBorder="1"/>
    <xf numFmtId="167" fontId="7" fillId="0" borderId="0" xfId="32" applyFont="1" applyBorder="1" applyAlignment="1">
      <alignment horizontal="center"/>
    </xf>
    <xf numFmtId="167" fontId="32" fillId="0" borderId="63" xfId="32" applyFont="1" applyBorder="1"/>
    <xf numFmtId="167" fontId="32" fillId="0" borderId="30" xfId="32" applyFont="1" applyBorder="1"/>
    <xf numFmtId="167" fontId="65" fillId="0" borderId="0" xfId="32" applyFont="1" applyAlignment="1">
      <alignment horizontal="left"/>
    </xf>
    <xf numFmtId="167" fontId="74" fillId="0" borderId="0" xfId="32" applyFont="1" applyAlignment="1">
      <alignment horizontal="left"/>
    </xf>
    <xf numFmtId="167" fontId="6" fillId="0" borderId="0" xfId="32" applyFont="1" applyBorder="1" applyAlignment="1">
      <alignment horizontal="left"/>
    </xf>
    <xf numFmtId="167" fontId="6" fillId="0" borderId="0" xfId="32" applyFont="1" applyAlignment="1">
      <alignment horizontal="left"/>
    </xf>
    <xf numFmtId="0" fontId="6" fillId="0" borderId="0" xfId="37" applyFont="1" applyAlignment="1">
      <alignment horizontal="left"/>
    </xf>
    <xf numFmtId="0" fontId="64" fillId="0" borderId="0" xfId="0" applyFont="1" applyAlignment="1">
      <alignment horizontal="center"/>
    </xf>
    <xf numFmtId="0" fontId="94" fillId="0" borderId="0" xfId="54" applyFont="1"/>
    <xf numFmtId="0" fontId="5" fillId="0" borderId="0" xfId="54"/>
    <xf numFmtId="0" fontId="5" fillId="0" borderId="0" xfId="54" applyAlignment="1">
      <alignment horizontal="center"/>
    </xf>
    <xf numFmtId="44" fontId="94" fillId="0" borderId="0" xfId="55" applyFont="1"/>
    <xf numFmtId="0" fontId="94" fillId="0" borderId="0" xfId="54" applyFont="1" applyAlignment="1">
      <alignment horizontal="center"/>
    </xf>
    <xf numFmtId="175" fontId="66" fillId="0" borderId="0" xfId="39" applyNumberFormat="1" applyFont="1" applyAlignment="1">
      <alignment horizontal="center"/>
    </xf>
    <xf numFmtId="44" fontId="32" fillId="0" borderId="0" xfId="37" applyNumberFormat="1" applyFont="1" applyAlignment="1">
      <alignment horizontal="center"/>
    </xf>
    <xf numFmtId="167" fontId="94" fillId="0" borderId="0" xfId="32" applyFont="1"/>
    <xf numFmtId="9" fontId="26" fillId="0" borderId="0" xfId="39" applyFont="1" applyFill="1" applyBorder="1" applyAlignment="1">
      <alignment horizontal="center"/>
    </xf>
    <xf numFmtId="10" fontId="6" fillId="0" borderId="0" xfId="39" applyNumberFormat="1" applyFont="1" applyAlignment="1">
      <alignment horizontal="center"/>
    </xf>
    <xf numFmtId="10" fontId="6" fillId="0" borderId="0" xfId="39" applyNumberFormat="1" applyFont="1" applyFill="1" applyBorder="1" applyAlignment="1">
      <alignment horizontal="center"/>
    </xf>
    <xf numFmtId="175" fontId="0" fillId="0" borderId="33" xfId="39" applyNumberFormat="1" applyFont="1" applyBorder="1"/>
    <xf numFmtId="167" fontId="10" fillId="0" borderId="40" xfId="32" applyFont="1" applyFill="1" applyBorder="1"/>
    <xf numFmtId="10" fontId="7" fillId="0" borderId="33" xfId="39" applyNumberFormat="1" applyFont="1" applyBorder="1"/>
    <xf numFmtId="44" fontId="8" fillId="0" borderId="0" xfId="0" applyNumberFormat="1" applyFont="1"/>
    <xf numFmtId="0" fontId="34" fillId="0" borderId="14" xfId="37" applyFont="1" applyBorder="1" applyAlignment="1">
      <alignment horizontal="center"/>
    </xf>
    <xf numFmtId="167" fontId="65" fillId="32" borderId="24" xfId="32" applyFont="1" applyFill="1" applyBorder="1"/>
    <xf numFmtId="167" fontId="65" fillId="0" borderId="0" xfId="57" applyFont="1"/>
    <xf numFmtId="0" fontId="95" fillId="0" borderId="0" xfId="56"/>
    <xf numFmtId="0" fontId="95" fillId="0" borderId="0" xfId="56" applyAlignment="1">
      <alignment horizontal="left"/>
    </xf>
    <xf numFmtId="166" fontId="65" fillId="0" borderId="0" xfId="58" applyFont="1" applyAlignment="1">
      <alignment horizontal="right"/>
    </xf>
    <xf numFmtId="0" fontId="74" fillId="0" borderId="93" xfId="56" applyFont="1" applyBorder="1" applyAlignment="1">
      <alignment horizontal="center"/>
    </xf>
    <xf numFmtId="0" fontId="98" fillId="0" borderId="92" xfId="56" applyFont="1" applyBorder="1" applyAlignment="1">
      <alignment horizontal="center"/>
    </xf>
    <xf numFmtId="0" fontId="74" fillId="0" borderId="95" xfId="56" applyFont="1" applyBorder="1" applyAlignment="1">
      <alignment horizontal="center"/>
    </xf>
    <xf numFmtId="0" fontId="98" fillId="0" borderId="93" xfId="56" applyFont="1" applyBorder="1" applyAlignment="1">
      <alignment horizontal="center"/>
    </xf>
    <xf numFmtId="0" fontId="74" fillId="0" borderId="107" xfId="56" applyFont="1" applyBorder="1" applyAlignment="1">
      <alignment horizontal="center"/>
    </xf>
    <xf numFmtId="0" fontId="98" fillId="0" borderId="107" xfId="56" applyFont="1" applyBorder="1" applyAlignment="1">
      <alignment horizontal="center"/>
    </xf>
    <xf numFmtId="14" fontId="95" fillId="0" borderId="108" xfId="56" applyNumberFormat="1" applyBorder="1"/>
    <xf numFmtId="0" fontId="95" fillId="0" borderId="109" xfId="56" applyBorder="1"/>
    <xf numFmtId="0" fontId="95" fillId="0" borderId="110" xfId="56" applyBorder="1" applyAlignment="1">
      <alignment horizontal="center"/>
    </xf>
    <xf numFmtId="0" fontId="95" fillId="0" borderId="111" xfId="56" applyBorder="1" applyAlignment="1">
      <alignment horizontal="center"/>
    </xf>
    <xf numFmtId="167" fontId="65" fillId="0" borderId="112" xfId="57" applyFont="1" applyBorder="1"/>
    <xf numFmtId="167" fontId="95" fillId="0" borderId="113" xfId="57" applyFont="1" applyBorder="1"/>
    <xf numFmtId="167" fontId="65" fillId="0" borderId="111" xfId="57" applyFont="1" applyBorder="1"/>
    <xf numFmtId="167" fontId="95" fillId="0" borderId="109" xfId="57" applyFont="1" applyBorder="1"/>
    <xf numFmtId="14" fontId="95" fillId="0" borderId="114" xfId="56" applyNumberFormat="1" applyBorder="1"/>
    <xf numFmtId="0" fontId="65" fillId="0" borderId="115" xfId="56" applyFont="1" applyBorder="1" applyAlignment="1">
      <alignment horizontal="left"/>
    </xf>
    <xf numFmtId="0" fontId="65" fillId="0" borderId="116" xfId="56" applyFont="1" applyBorder="1" applyAlignment="1">
      <alignment horizontal="center"/>
    </xf>
    <xf numFmtId="0" fontId="65" fillId="0" borderId="117" xfId="56" applyFont="1" applyBorder="1" applyAlignment="1">
      <alignment horizontal="center"/>
    </xf>
    <xf numFmtId="167" fontId="65" fillId="0" borderId="118" xfId="57" applyFont="1" applyBorder="1" applyAlignment="1">
      <alignment horizontal="center"/>
    </xf>
    <xf numFmtId="167" fontId="95" fillId="0" borderId="119" xfId="57" applyFont="1" applyBorder="1" applyAlignment="1">
      <alignment horizontal="center"/>
    </xf>
    <xf numFmtId="167" fontId="65" fillId="0" borderId="117" xfId="57" applyFont="1" applyBorder="1" applyAlignment="1">
      <alignment horizontal="center"/>
    </xf>
    <xf numFmtId="167" fontId="95" fillId="0" borderId="120" xfId="57" applyFont="1" applyBorder="1" applyAlignment="1">
      <alignment horizontal="center"/>
    </xf>
    <xf numFmtId="0" fontId="65" fillId="0" borderId="0" xfId="56" applyFont="1"/>
    <xf numFmtId="0" fontId="65" fillId="0" borderId="0" xfId="56" applyFont="1" applyAlignment="1">
      <alignment horizontal="left"/>
    </xf>
    <xf numFmtId="0" fontId="65" fillId="0" borderId="0" xfId="56" applyFont="1" applyAlignment="1">
      <alignment horizontal="center"/>
    </xf>
    <xf numFmtId="0" fontId="95" fillId="0" borderId="120" xfId="56" applyBorder="1"/>
    <xf numFmtId="0" fontId="95" fillId="0" borderId="116" xfId="56" applyBorder="1" applyAlignment="1">
      <alignment horizontal="center"/>
    </xf>
    <xf numFmtId="0" fontId="95" fillId="0" borderId="117" xfId="56" applyBorder="1" applyAlignment="1">
      <alignment horizontal="center"/>
    </xf>
    <xf numFmtId="167" fontId="95" fillId="0" borderId="119" xfId="57" applyFont="1" applyBorder="1"/>
    <xf numFmtId="167" fontId="65" fillId="0" borderId="118" xfId="57" applyFont="1" applyBorder="1"/>
    <xf numFmtId="167" fontId="65" fillId="0" borderId="0" xfId="57" applyFont="1" applyAlignment="1">
      <alignment horizontal="left"/>
    </xf>
    <xf numFmtId="167" fontId="65" fillId="0" borderId="0" xfId="57" applyFont="1" applyAlignment="1">
      <alignment horizontal="center"/>
    </xf>
    <xf numFmtId="167" fontId="65" fillId="0" borderId="117" xfId="57" applyFont="1" applyBorder="1"/>
    <xf numFmtId="167" fontId="95" fillId="0" borderId="120" xfId="57" applyFont="1" applyBorder="1"/>
    <xf numFmtId="167" fontId="95" fillId="0" borderId="121" xfId="57" applyFont="1" applyBorder="1"/>
    <xf numFmtId="167" fontId="65" fillId="0" borderId="122" xfId="57" applyFont="1" applyBorder="1"/>
    <xf numFmtId="0" fontId="95" fillId="0" borderId="123" xfId="56" applyBorder="1" applyAlignment="1">
      <alignment horizontal="center"/>
    </xf>
    <xf numFmtId="167" fontId="65" fillId="0" borderId="122" xfId="57" applyFont="1" applyBorder="1" applyAlignment="1">
      <alignment horizontal="center"/>
    </xf>
    <xf numFmtId="0" fontId="91" fillId="0" borderId="121" xfId="59" applyBorder="1"/>
    <xf numFmtId="0" fontId="95" fillId="0" borderId="115" xfId="56" applyBorder="1"/>
    <xf numFmtId="0" fontId="95" fillId="0" borderId="124" xfId="56" applyBorder="1" applyAlignment="1">
      <alignment horizontal="center"/>
    </xf>
    <xf numFmtId="167" fontId="95" fillId="0" borderId="118" xfId="57" applyFont="1" applyBorder="1"/>
    <xf numFmtId="0" fontId="95" fillId="0" borderId="115" xfId="56" applyBorder="1" applyAlignment="1">
      <alignment horizontal="left"/>
    </xf>
    <xf numFmtId="173" fontId="65" fillId="0" borderId="0" xfId="56" applyNumberFormat="1" applyFont="1" applyAlignment="1">
      <alignment horizontal="left"/>
    </xf>
    <xf numFmtId="44" fontId="65" fillId="0" borderId="0" xfId="56" applyNumberFormat="1" applyFont="1" applyAlignment="1">
      <alignment horizontal="center"/>
    </xf>
    <xf numFmtId="0" fontId="95" fillId="0" borderId="120" xfId="56" applyBorder="1" applyAlignment="1">
      <alignment horizontal="left"/>
    </xf>
    <xf numFmtId="167" fontId="65" fillId="0" borderId="125" xfId="57" applyFont="1" applyBorder="1"/>
    <xf numFmtId="167" fontId="95" fillId="0" borderId="119" xfId="56" applyNumberFormat="1" applyBorder="1" applyAlignment="1">
      <alignment horizontal="center"/>
    </xf>
    <xf numFmtId="0" fontId="91" fillId="0" borderId="0" xfId="59"/>
    <xf numFmtId="167" fontId="95" fillId="0" borderId="126" xfId="57" applyFont="1" applyBorder="1"/>
    <xf numFmtId="167" fontId="65" fillId="0" borderId="127" xfId="57" applyFont="1" applyBorder="1"/>
    <xf numFmtId="167" fontId="65" fillId="0" borderId="128" xfId="57" applyFont="1" applyBorder="1" applyAlignment="1">
      <alignment horizontal="center"/>
    </xf>
    <xf numFmtId="0" fontId="91" fillId="0" borderId="129" xfId="59" applyBorder="1"/>
    <xf numFmtId="167" fontId="0" fillId="0" borderId="119" xfId="57" applyFont="1" applyBorder="1"/>
    <xf numFmtId="176" fontId="0" fillId="0" borderId="0" xfId="60" applyNumberFormat="1" applyFont="1"/>
    <xf numFmtId="167" fontId="65" fillId="0" borderId="130" xfId="57" applyFont="1" applyBorder="1" applyAlignment="1">
      <alignment horizontal="center"/>
    </xf>
    <xf numFmtId="0" fontId="91" fillId="0" borderId="131" xfId="59" applyBorder="1"/>
    <xf numFmtId="167" fontId="65" fillId="0" borderId="132" xfId="57" applyFont="1" applyBorder="1" applyAlignment="1">
      <alignment horizontal="center"/>
    </xf>
    <xf numFmtId="167" fontId="0" fillId="0" borderId="126" xfId="57" applyFont="1" applyBorder="1"/>
    <xf numFmtId="167" fontId="65" fillId="0" borderId="114" xfId="57" applyFont="1" applyBorder="1" applyAlignment="1">
      <alignment horizontal="center"/>
    </xf>
    <xf numFmtId="167" fontId="0" fillId="0" borderId="121" xfId="57" applyFont="1" applyBorder="1"/>
    <xf numFmtId="173" fontId="74" fillId="0" borderId="0" xfId="56" applyNumberFormat="1" applyFont="1" applyAlignment="1">
      <alignment horizontal="center"/>
    </xf>
    <xf numFmtId="44" fontId="74" fillId="0" borderId="0" xfId="56" applyNumberFormat="1" applyFont="1" applyAlignment="1">
      <alignment horizontal="center"/>
    </xf>
    <xf numFmtId="0" fontId="95" fillId="0" borderId="120" xfId="56" applyBorder="1" applyAlignment="1">
      <alignment horizontal="center"/>
    </xf>
    <xf numFmtId="167" fontId="65" fillId="35" borderId="118" xfId="57" applyFont="1" applyFill="1" applyBorder="1"/>
    <xf numFmtId="167" fontId="65" fillId="0" borderId="128" xfId="57" applyFont="1" applyBorder="1"/>
    <xf numFmtId="167" fontId="65" fillId="36" borderId="118" xfId="57" applyFont="1" applyFill="1" applyBorder="1"/>
    <xf numFmtId="173" fontId="65" fillId="0" borderId="0" xfId="56" applyNumberFormat="1" applyFont="1" applyAlignment="1">
      <alignment horizontal="center"/>
    </xf>
    <xf numFmtId="167" fontId="95" fillId="0" borderId="116" xfId="57" applyFont="1" applyBorder="1" applyAlignment="1">
      <alignment horizontal="center"/>
    </xf>
    <xf numFmtId="0" fontId="95" fillId="0" borderId="121" xfId="56" applyBorder="1"/>
    <xf numFmtId="167" fontId="0" fillId="0" borderId="131" xfId="57" applyFont="1" applyBorder="1"/>
    <xf numFmtId="167" fontId="95" fillId="0" borderId="0" xfId="57" applyFont="1" applyAlignment="1">
      <alignment horizontal="center"/>
    </xf>
    <xf numFmtId="167" fontId="65" fillId="0" borderId="106" xfId="57" applyFont="1" applyBorder="1"/>
    <xf numFmtId="167" fontId="95" fillId="0" borderId="133" xfId="57" applyFont="1" applyBorder="1"/>
    <xf numFmtId="167" fontId="65" fillId="0" borderId="93" xfId="56" applyNumberFormat="1" applyFont="1" applyBorder="1"/>
    <xf numFmtId="167" fontId="95" fillId="0" borderId="92" xfId="56" applyNumberFormat="1" applyBorder="1"/>
    <xf numFmtId="167" fontId="65" fillId="0" borderId="94" xfId="56" applyNumberFormat="1" applyFont="1" applyBorder="1"/>
    <xf numFmtId="167" fontId="65" fillId="0" borderId="98" xfId="56" applyNumberFormat="1" applyFont="1" applyBorder="1"/>
    <xf numFmtId="167" fontId="95" fillId="0" borderId="0" xfId="57" applyFont="1"/>
    <xf numFmtId="167" fontId="74" fillId="0" borderId="89" xfId="57" applyFont="1" applyBorder="1"/>
    <xf numFmtId="167" fontId="98" fillId="0" borderId="92" xfId="57" applyFont="1" applyBorder="1"/>
    <xf numFmtId="167" fontId="98" fillId="0" borderId="94" xfId="57" applyFont="1" applyBorder="1"/>
    <xf numFmtId="167" fontId="98" fillId="0" borderId="134" xfId="57" applyFont="1" applyBorder="1"/>
    <xf numFmtId="167" fontId="98" fillId="0" borderId="93" xfId="57" applyFont="1" applyBorder="1"/>
    <xf numFmtId="167" fontId="98" fillId="0" borderId="135" xfId="57" applyFont="1" applyBorder="1"/>
    <xf numFmtId="14" fontId="95" fillId="0" borderId="0" xfId="56" applyNumberFormat="1"/>
    <xf numFmtId="0" fontId="95" fillId="0" borderId="0" xfId="56" applyAlignment="1">
      <alignment horizontal="center"/>
    </xf>
    <xf numFmtId="10" fontId="95" fillId="0" borderId="0" xfId="60" applyNumberFormat="1" applyFont="1" applyAlignment="1">
      <alignment horizontal="center"/>
    </xf>
    <xf numFmtId="0" fontId="98" fillId="0" borderId="0" xfId="56" applyFont="1"/>
    <xf numFmtId="0" fontId="98" fillId="0" borderId="0" xfId="56" applyFont="1" applyAlignment="1">
      <alignment horizontal="center"/>
    </xf>
    <xf numFmtId="0" fontId="74" fillId="0" borderId="0" xfId="56" applyFont="1" applyAlignment="1">
      <alignment horizontal="center"/>
    </xf>
    <xf numFmtId="44" fontId="95" fillId="0" borderId="0" xfId="56" applyNumberFormat="1"/>
    <xf numFmtId="167" fontId="74" fillId="0" borderId="0" xfId="57" applyFont="1" applyAlignment="1">
      <alignment horizontal="left"/>
    </xf>
    <xf numFmtId="0" fontId="98" fillId="0" borderId="0" xfId="56" applyFont="1" applyAlignment="1">
      <alignment horizontal="left"/>
    </xf>
    <xf numFmtId="167" fontId="74" fillId="0" borderId="0" xfId="57" applyFont="1"/>
    <xf numFmtId="167" fontId="98" fillId="0" borderId="0" xfId="57" applyFont="1" applyAlignment="1">
      <alignment horizontal="center"/>
    </xf>
    <xf numFmtId="167" fontId="95" fillId="0" borderId="0" xfId="57" applyFont="1" applyAlignment="1">
      <alignment horizontal="left"/>
    </xf>
    <xf numFmtId="44" fontId="98" fillId="0" borderId="0" xfId="56" applyNumberFormat="1" applyFont="1" applyAlignment="1">
      <alignment horizontal="center"/>
    </xf>
    <xf numFmtId="167" fontId="95" fillId="0" borderId="0" xfId="56" applyNumberFormat="1"/>
    <xf numFmtId="172" fontId="95" fillId="0" borderId="0" xfId="58" applyNumberFormat="1" applyFont="1"/>
    <xf numFmtId="167" fontId="69" fillId="0" borderId="0" xfId="57" applyFont="1" applyAlignment="1">
      <alignment horizontal="center"/>
    </xf>
    <xf numFmtId="10" fontId="65" fillId="0" borderId="0" xfId="56" applyNumberFormat="1" applyFont="1" applyAlignment="1">
      <alignment horizontal="center"/>
    </xf>
    <xf numFmtId="167" fontId="98" fillId="0" borderId="0" xfId="57" applyFont="1"/>
    <xf numFmtId="167" fontId="65" fillId="0" borderId="0" xfId="56" applyNumberFormat="1" applyFont="1"/>
    <xf numFmtId="165" fontId="97" fillId="0" borderId="0" xfId="61" applyFont="1"/>
    <xf numFmtId="14" fontId="98" fillId="0" borderId="118" xfId="56" applyNumberFormat="1" applyFont="1" applyBorder="1" applyAlignment="1">
      <alignment horizontal="center"/>
    </xf>
    <xf numFmtId="49" fontId="95" fillId="0" borderId="118" xfId="61" applyNumberFormat="1" applyBorder="1"/>
    <xf numFmtId="167" fontId="95" fillId="0" borderId="100" xfId="57" applyFont="1" applyBorder="1" applyAlignment="1">
      <alignment horizontal="center"/>
    </xf>
    <xf numFmtId="0" fontId="95" fillId="0" borderId="100" xfId="56" applyBorder="1" applyAlignment="1">
      <alignment horizontal="center"/>
    </xf>
    <xf numFmtId="167" fontId="65" fillId="0" borderId="129" xfId="57" applyFont="1" applyBorder="1" applyAlignment="1">
      <alignment horizontal="center"/>
    </xf>
    <xf numFmtId="177" fontId="98" fillId="0" borderId="0" xfId="56" applyNumberFormat="1" applyFont="1" applyAlignment="1">
      <alignment horizontal="center"/>
    </xf>
    <xf numFmtId="0" fontId="100" fillId="0" borderId="105" xfId="56" applyFont="1" applyBorder="1" applyAlignment="1">
      <alignment horizontal="center"/>
    </xf>
    <xf numFmtId="165" fontId="100" fillId="0" borderId="93" xfId="61" applyFont="1" applyBorder="1" applyAlignment="1">
      <alignment horizontal="center"/>
    </xf>
    <xf numFmtId="0" fontId="100" fillId="0" borderId="107" xfId="56" applyFont="1" applyBorder="1" applyAlignment="1">
      <alignment horizontal="center"/>
    </xf>
    <xf numFmtId="165" fontId="100" fillId="0" borderId="95" xfId="61" applyFont="1" applyBorder="1" applyAlignment="1">
      <alignment horizontal="center"/>
    </xf>
    <xf numFmtId="49" fontId="95" fillId="0" borderId="112" xfId="61" applyNumberFormat="1" applyBorder="1"/>
    <xf numFmtId="167" fontId="95" fillId="0" borderId="96" xfId="57" applyFont="1" applyBorder="1" applyAlignment="1">
      <alignment horizontal="center"/>
    </xf>
    <xf numFmtId="0" fontId="95" fillId="0" borderId="96" xfId="56" applyBorder="1" applyAlignment="1">
      <alignment horizontal="center"/>
    </xf>
    <xf numFmtId="167" fontId="65" fillId="0" borderId="136" xfId="57" applyFont="1" applyBorder="1" applyAlignment="1">
      <alignment horizontal="center"/>
    </xf>
    <xf numFmtId="177" fontId="98" fillId="0" borderId="118" xfId="56" applyNumberFormat="1" applyFont="1" applyBorder="1" applyAlignment="1">
      <alignment horizontal="center"/>
    </xf>
    <xf numFmtId="178" fontId="95" fillId="0" borderId="0" xfId="56" applyNumberFormat="1"/>
    <xf numFmtId="49" fontId="95" fillId="0" borderId="122" xfId="61" applyNumberFormat="1" applyBorder="1"/>
    <xf numFmtId="167" fontId="95" fillId="0" borderId="137" xfId="57" applyFont="1" applyBorder="1" applyAlignment="1">
      <alignment horizontal="center"/>
    </xf>
    <xf numFmtId="0" fontId="95" fillId="0" borderId="137" xfId="56" applyBorder="1" applyAlignment="1">
      <alignment horizontal="center"/>
    </xf>
    <xf numFmtId="167" fontId="65" fillId="0" borderId="138" xfId="57" applyFont="1" applyBorder="1" applyAlignment="1">
      <alignment horizontal="center"/>
    </xf>
    <xf numFmtId="14" fontId="98" fillId="0" borderId="130" xfId="56" applyNumberFormat="1" applyFont="1" applyBorder="1" applyAlignment="1">
      <alignment horizontal="center"/>
    </xf>
    <xf numFmtId="0" fontId="95" fillId="0" borderId="101" xfId="56" applyBorder="1" applyAlignment="1">
      <alignment horizontal="center"/>
    </xf>
    <xf numFmtId="167" fontId="65" fillId="0" borderId="139" xfId="57" applyFont="1" applyBorder="1" applyAlignment="1">
      <alignment horizontal="center"/>
    </xf>
    <xf numFmtId="49" fontId="95" fillId="0" borderId="102" xfId="61" applyNumberFormat="1" applyBorder="1"/>
    <xf numFmtId="167" fontId="95" fillId="0" borderId="105" xfId="57" applyFont="1" applyBorder="1" applyAlignment="1">
      <alignment horizontal="center"/>
    </xf>
    <xf numFmtId="0" fontId="95" fillId="0" borderId="105" xfId="56" applyBorder="1" applyAlignment="1">
      <alignment horizontal="center"/>
    </xf>
    <xf numFmtId="167" fontId="69" fillId="0" borderId="93" xfId="57" applyFont="1" applyBorder="1" applyAlignment="1">
      <alignment horizontal="center"/>
    </xf>
    <xf numFmtId="0" fontId="70" fillId="0" borderId="0" xfId="56" applyFont="1"/>
    <xf numFmtId="167" fontId="69" fillId="0" borderId="0" xfId="57" applyFont="1"/>
    <xf numFmtId="167" fontId="65" fillId="0" borderId="93" xfId="57" applyFont="1" applyBorder="1" applyAlignment="1">
      <alignment horizontal="center"/>
    </xf>
    <xf numFmtId="0" fontId="81" fillId="0" borderId="0" xfId="56" applyFont="1"/>
    <xf numFmtId="167" fontId="74" fillId="0" borderId="103" xfId="57" applyFont="1" applyBorder="1" applyAlignment="1">
      <alignment horizontal="center"/>
    </xf>
    <xf numFmtId="167" fontId="74" fillId="0" borderId="95" xfId="57" applyFont="1" applyBorder="1" applyAlignment="1">
      <alignment horizontal="center"/>
    </xf>
    <xf numFmtId="167" fontId="68" fillId="0" borderId="107" xfId="57" applyFont="1" applyBorder="1" applyAlignment="1">
      <alignment horizontal="center"/>
    </xf>
    <xf numFmtId="167" fontId="95" fillId="0" borderId="0" xfId="56" applyNumberFormat="1" applyAlignment="1">
      <alignment horizontal="center"/>
    </xf>
    <xf numFmtId="167" fontId="68" fillId="0" borderId="0" xfId="57" applyFont="1" applyAlignment="1">
      <alignment horizontal="center"/>
    </xf>
    <xf numFmtId="0" fontId="100" fillId="0" borderId="0" xfId="56" applyFont="1" applyAlignment="1">
      <alignment horizontal="center"/>
    </xf>
    <xf numFmtId="0" fontId="95" fillId="37" borderId="0" xfId="56" applyFill="1"/>
    <xf numFmtId="0" fontId="81" fillId="0" borderId="0" xfId="56" applyFont="1" applyAlignment="1">
      <alignment horizontal="right"/>
    </xf>
    <xf numFmtId="167" fontId="74" fillId="0" borderId="0" xfId="57" applyFont="1" applyAlignment="1">
      <alignment horizontal="center"/>
    </xf>
    <xf numFmtId="165" fontId="100" fillId="0" borderId="0" xfId="61" applyFont="1" applyAlignment="1">
      <alignment horizontal="center"/>
    </xf>
    <xf numFmtId="167" fontId="69" fillId="0" borderId="107" xfId="57" applyFont="1" applyBorder="1" applyAlignment="1">
      <alignment horizontal="center"/>
    </xf>
    <xf numFmtId="167" fontId="65" fillId="0" borderId="107" xfId="57" applyFont="1" applyBorder="1" applyAlignment="1">
      <alignment horizontal="center"/>
    </xf>
    <xf numFmtId="49" fontId="95" fillId="0" borderId="0" xfId="61" applyNumberFormat="1"/>
    <xf numFmtId="177" fontId="74" fillId="0" borderId="118" xfId="56" applyNumberFormat="1" applyFont="1" applyBorder="1" applyAlignment="1">
      <alignment horizontal="center"/>
    </xf>
    <xf numFmtId="167" fontId="65" fillId="0" borderId="100" xfId="57" applyFont="1" applyBorder="1" applyAlignment="1">
      <alignment horizontal="center"/>
    </xf>
    <xf numFmtId="0" fontId="65" fillId="0" borderId="100" xfId="56" applyFont="1" applyBorder="1" applyAlignment="1">
      <alignment horizontal="center"/>
    </xf>
    <xf numFmtId="177" fontId="98" fillId="0" borderId="130" xfId="56" applyNumberFormat="1" applyFont="1" applyBorder="1" applyAlignment="1">
      <alignment horizontal="center"/>
    </xf>
    <xf numFmtId="167" fontId="95" fillId="38" borderId="100" xfId="57" applyFont="1" applyFill="1" applyBorder="1" applyAlignment="1">
      <alignment horizontal="center"/>
    </xf>
    <xf numFmtId="0" fontId="95" fillId="38" borderId="100" xfId="56" applyFill="1" applyBorder="1" applyAlignment="1">
      <alignment horizontal="center"/>
    </xf>
    <xf numFmtId="167" fontId="65" fillId="38" borderId="129" xfId="57" applyFont="1" applyFill="1" applyBorder="1" applyAlignment="1">
      <alignment horizontal="center"/>
    </xf>
    <xf numFmtId="0" fontId="95" fillId="38" borderId="0" xfId="56" applyFill="1" applyAlignment="1">
      <alignment horizontal="left"/>
    </xf>
    <xf numFmtId="177" fontId="98" fillId="0" borderId="100" xfId="56" applyNumberFormat="1" applyFont="1" applyBorder="1" applyAlignment="1">
      <alignment horizontal="center"/>
    </xf>
    <xf numFmtId="167" fontId="95" fillId="39" borderId="100" xfId="57" applyFont="1" applyFill="1" applyBorder="1" applyAlignment="1">
      <alignment horizontal="center"/>
    </xf>
    <xf numFmtId="177" fontId="98" fillId="0" borderId="106" xfId="56" applyNumberFormat="1" applyFont="1" applyBorder="1" applyAlignment="1">
      <alignment horizontal="center"/>
    </xf>
    <xf numFmtId="49" fontId="95" fillId="0" borderId="106" xfId="61" applyNumberFormat="1" applyBorder="1"/>
    <xf numFmtId="167" fontId="95" fillId="0" borderId="104" xfId="57" applyFont="1" applyBorder="1" applyAlignment="1">
      <alignment horizontal="center"/>
    </xf>
    <xf numFmtId="0" fontId="95" fillId="0" borderId="104" xfId="56" applyBorder="1" applyAlignment="1">
      <alignment horizontal="center"/>
    </xf>
    <xf numFmtId="167" fontId="65" fillId="0" borderId="140" xfId="57" applyFont="1" applyBorder="1" applyAlignment="1">
      <alignment horizontal="center"/>
    </xf>
    <xf numFmtId="177" fontId="98" fillId="39" borderId="118" xfId="56" applyNumberFormat="1" applyFont="1" applyFill="1" applyBorder="1" applyAlignment="1">
      <alignment horizontal="center"/>
    </xf>
    <xf numFmtId="0" fontId="95" fillId="39" borderId="100" xfId="56" applyFill="1" applyBorder="1" applyAlignment="1">
      <alignment horizontal="center"/>
    </xf>
    <xf numFmtId="167" fontId="65" fillId="39" borderId="129" xfId="57" applyFont="1" applyFill="1" applyBorder="1" applyAlignment="1">
      <alignment horizontal="center"/>
    </xf>
    <xf numFmtId="177" fontId="98" fillId="0" borderId="0" xfId="56" applyNumberFormat="1" applyFont="1" applyAlignment="1">
      <alignment horizontal="left"/>
    </xf>
    <xf numFmtId="177" fontId="98" fillId="39" borderId="100" xfId="56" applyNumberFormat="1" applyFont="1" applyFill="1" applyBorder="1" applyAlignment="1">
      <alignment horizontal="center"/>
    </xf>
    <xf numFmtId="167" fontId="95" fillId="39" borderId="137" xfId="57" applyFont="1" applyFill="1" applyBorder="1" applyAlignment="1">
      <alignment horizontal="center"/>
    </xf>
    <xf numFmtId="0" fontId="95" fillId="39" borderId="137" xfId="56" applyFill="1" applyBorder="1" applyAlignment="1">
      <alignment horizontal="center"/>
    </xf>
    <xf numFmtId="177" fontId="98" fillId="37" borderId="100" xfId="56" applyNumberFormat="1" applyFont="1" applyFill="1" applyBorder="1" applyAlignment="1">
      <alignment horizontal="center"/>
    </xf>
    <xf numFmtId="167" fontId="95" fillId="37" borderId="137" xfId="57" applyFont="1" applyFill="1" applyBorder="1" applyAlignment="1">
      <alignment horizontal="center"/>
    </xf>
    <xf numFmtId="0" fontId="95" fillId="37" borderId="137" xfId="56" applyFill="1" applyBorder="1" applyAlignment="1">
      <alignment horizontal="center"/>
    </xf>
    <xf numFmtId="167" fontId="65" fillId="37" borderId="129" xfId="57" applyFont="1" applyFill="1" applyBorder="1" applyAlignment="1">
      <alignment horizontal="center"/>
    </xf>
    <xf numFmtId="167" fontId="95" fillId="37" borderId="0" xfId="57" applyFont="1" applyFill="1" applyBorder="1" applyAlignment="1">
      <alignment horizontal="center"/>
    </xf>
    <xf numFmtId="166" fontId="95" fillId="0" borderId="0" xfId="58" applyFont="1" applyAlignment="1">
      <alignment horizontal="center"/>
    </xf>
    <xf numFmtId="165" fontId="95" fillId="0" borderId="0" xfId="61"/>
    <xf numFmtId="177" fontId="98" fillId="0" borderId="127" xfId="56" applyNumberFormat="1" applyFont="1" applyBorder="1" applyAlignment="1">
      <alignment horizontal="center"/>
    </xf>
    <xf numFmtId="167" fontId="95" fillId="0" borderId="144" xfId="57" applyFont="1" applyBorder="1" applyAlignment="1">
      <alignment horizontal="center"/>
    </xf>
    <xf numFmtId="0" fontId="95" fillId="0" borderId="144" xfId="56" applyBorder="1" applyAlignment="1">
      <alignment horizontal="center"/>
    </xf>
    <xf numFmtId="167" fontId="65" fillId="0" borderId="143" xfId="57" applyFont="1" applyBorder="1" applyAlignment="1">
      <alignment horizontal="center"/>
    </xf>
    <xf numFmtId="177" fontId="98" fillId="40" borderId="98" xfId="56" applyNumberFormat="1" applyFont="1" applyFill="1" applyBorder="1" applyAlignment="1">
      <alignment horizontal="center"/>
    </xf>
    <xf numFmtId="167" fontId="95" fillId="40" borderId="96" xfId="57" applyFont="1" applyFill="1" applyBorder="1" applyAlignment="1">
      <alignment horizontal="center"/>
    </xf>
    <xf numFmtId="0" fontId="95" fillId="40" borderId="96" xfId="56" applyFill="1" applyBorder="1" applyAlignment="1">
      <alignment horizontal="center"/>
    </xf>
    <xf numFmtId="167" fontId="65" fillId="40" borderId="136" xfId="57" applyFont="1" applyFill="1" applyBorder="1" applyAlignment="1">
      <alignment horizontal="center"/>
    </xf>
    <xf numFmtId="177" fontId="98" fillId="40" borderId="106" xfId="56" applyNumberFormat="1" applyFont="1" applyFill="1" applyBorder="1" applyAlignment="1">
      <alignment horizontal="center"/>
    </xf>
    <xf numFmtId="167" fontId="95" fillId="40" borderId="104" xfId="57" applyFont="1" applyFill="1" applyBorder="1" applyAlignment="1">
      <alignment horizontal="center"/>
    </xf>
    <xf numFmtId="0" fontId="95" fillId="40" borderId="104" xfId="56" applyFill="1" applyBorder="1" applyAlignment="1">
      <alignment horizontal="center"/>
    </xf>
    <xf numFmtId="167" fontId="65" fillId="40" borderId="140" xfId="57" applyFont="1" applyFill="1" applyBorder="1" applyAlignment="1">
      <alignment horizontal="center"/>
    </xf>
    <xf numFmtId="0" fontId="100" fillId="0" borderId="101" xfId="56" applyFont="1" applyBorder="1" applyAlignment="1">
      <alignment horizontal="center"/>
    </xf>
    <xf numFmtId="0" fontId="100" fillId="0" borderId="97" xfId="56" applyFont="1" applyBorder="1" applyAlignment="1">
      <alignment horizontal="center"/>
    </xf>
    <xf numFmtId="177" fontId="98" fillId="40" borderId="127" xfId="56" applyNumberFormat="1" applyFont="1" applyFill="1" applyBorder="1" applyAlignment="1">
      <alignment horizontal="center"/>
    </xf>
    <xf numFmtId="167" fontId="95" fillId="40" borderId="100" xfId="57" applyFont="1" applyFill="1" applyBorder="1" applyAlignment="1">
      <alignment horizontal="center"/>
    </xf>
    <xf numFmtId="0" fontId="95" fillId="40" borderId="100" xfId="56" applyFill="1" applyBorder="1" applyAlignment="1">
      <alignment horizontal="center"/>
    </xf>
    <xf numFmtId="167" fontId="65" fillId="40" borderId="129" xfId="57" applyFont="1" applyFill="1" applyBorder="1" applyAlignment="1">
      <alignment horizontal="center"/>
    </xf>
    <xf numFmtId="167" fontId="68" fillId="0" borderId="129" xfId="57" applyFont="1" applyBorder="1" applyAlignment="1">
      <alignment horizontal="center"/>
    </xf>
    <xf numFmtId="177" fontId="74" fillId="0" borderId="127" xfId="56" applyNumberFormat="1" applyFont="1" applyBorder="1" applyAlignment="1">
      <alignment horizontal="center"/>
    </xf>
    <xf numFmtId="167" fontId="74" fillId="0" borderId="100" xfId="57" applyFont="1" applyBorder="1" applyAlignment="1">
      <alignment horizontal="center"/>
    </xf>
    <xf numFmtId="0" fontId="74" fillId="0" borderId="100" xfId="56" applyFont="1" applyBorder="1" applyAlignment="1">
      <alignment horizontal="center"/>
    </xf>
    <xf numFmtId="0" fontId="95" fillId="0" borderId="0" xfId="56" quotePrefix="1"/>
    <xf numFmtId="167" fontId="74" fillId="0" borderId="129" xfId="57" applyFont="1" applyBorder="1" applyAlignment="1">
      <alignment horizontal="center"/>
    </xf>
    <xf numFmtId="177" fontId="68" fillId="0" borderId="127" xfId="56" applyNumberFormat="1" applyFont="1" applyBorder="1" applyAlignment="1">
      <alignment horizontal="center"/>
    </xf>
    <xf numFmtId="167" fontId="69" fillId="0" borderId="100" xfId="57" applyFont="1" applyBorder="1" applyAlignment="1">
      <alignment horizontal="center"/>
    </xf>
    <xf numFmtId="0" fontId="69" fillId="0" borderId="100" xfId="56" applyFont="1" applyBorder="1" applyAlignment="1">
      <alignment horizontal="center"/>
    </xf>
    <xf numFmtId="167" fontId="69" fillId="0" borderId="129" xfId="57" applyFont="1" applyBorder="1" applyAlignment="1">
      <alignment horizontal="center"/>
    </xf>
    <xf numFmtId="177" fontId="98" fillId="0" borderId="98" xfId="56" applyNumberFormat="1" applyFont="1" applyBorder="1" applyAlignment="1">
      <alignment horizontal="center"/>
    </xf>
    <xf numFmtId="167" fontId="74" fillId="0" borderId="95" xfId="56" applyNumberFormat="1" applyFont="1" applyBorder="1" applyAlignment="1">
      <alignment horizontal="center"/>
    </xf>
    <xf numFmtId="167" fontId="74" fillId="0" borderId="144" xfId="57" applyFont="1" applyBorder="1" applyAlignment="1">
      <alignment horizontal="center"/>
    </xf>
    <xf numFmtId="0" fontId="74" fillId="0" borderId="144" xfId="56" applyFont="1" applyBorder="1" applyAlignment="1">
      <alignment horizontal="center"/>
    </xf>
    <xf numFmtId="167" fontId="74" fillId="0" borderId="143" xfId="57" applyFont="1" applyBorder="1" applyAlignment="1">
      <alignment horizontal="center"/>
    </xf>
    <xf numFmtId="0" fontId="70" fillId="0" borderId="0" xfId="56" applyFont="1" applyAlignment="1">
      <alignment horizontal="right"/>
    </xf>
    <xf numFmtId="167" fontId="65" fillId="0" borderId="144" xfId="57" applyFont="1" applyBorder="1" applyAlignment="1">
      <alignment horizontal="center"/>
    </xf>
    <xf numFmtId="0" fontId="65" fillId="0" borderId="144" xfId="56" applyFont="1" applyBorder="1" applyAlignment="1">
      <alignment horizontal="center"/>
    </xf>
    <xf numFmtId="167" fontId="69" fillId="0" borderId="144" xfId="57" applyFont="1" applyBorder="1" applyAlignment="1">
      <alignment horizontal="center"/>
    </xf>
    <xf numFmtId="0" fontId="69" fillId="0" borderId="144" xfId="56" applyFont="1" applyBorder="1" applyAlignment="1">
      <alignment horizontal="center"/>
    </xf>
    <xf numFmtId="167" fontId="69" fillId="0" borderId="143" xfId="57" applyFont="1" applyBorder="1" applyAlignment="1">
      <alignment horizontal="center"/>
    </xf>
    <xf numFmtId="0" fontId="65" fillId="0" borderId="107" xfId="56" applyFont="1" applyBorder="1" applyAlignment="1">
      <alignment horizontal="center"/>
    </xf>
    <xf numFmtId="177" fontId="101" fillId="0" borderId="0" xfId="57" applyNumberFormat="1" applyFont="1" applyAlignment="1">
      <alignment horizontal="right"/>
    </xf>
    <xf numFmtId="167" fontId="101" fillId="0" borderId="0" xfId="57" applyFont="1" applyAlignment="1">
      <alignment horizontal="center"/>
    </xf>
    <xf numFmtId="167" fontId="67" fillId="0" borderId="0" xfId="57" applyFont="1"/>
    <xf numFmtId="177" fontId="98" fillId="0" borderId="112" xfId="61" applyNumberFormat="1" applyFont="1" applyBorder="1" applyAlignment="1">
      <alignment horizontal="center"/>
    </xf>
    <xf numFmtId="167" fontId="95" fillId="0" borderId="119" xfId="57" applyFont="1" applyFill="1" applyBorder="1"/>
    <xf numFmtId="167" fontId="6" fillId="0" borderId="13" xfId="32" applyFont="1" applyBorder="1" applyAlignment="1">
      <alignment horizontal="center"/>
    </xf>
    <xf numFmtId="0" fontId="6" fillId="0" borderId="42" xfId="37" applyFont="1" applyBorder="1"/>
    <xf numFmtId="0" fontId="6" fillId="0" borderId="13" xfId="37" applyFont="1" applyBorder="1" applyAlignment="1">
      <alignment horizontal="center"/>
    </xf>
    <xf numFmtId="167" fontId="6" fillId="0" borderId="42" xfId="32" applyFont="1" applyBorder="1" applyAlignment="1">
      <alignment horizontal="center"/>
    </xf>
    <xf numFmtId="0" fontId="6" fillId="0" borderId="46" xfId="37" applyFont="1" applyBorder="1"/>
    <xf numFmtId="167" fontId="6" fillId="0" borderId="32" xfId="32" applyFont="1" applyBorder="1"/>
    <xf numFmtId="167" fontId="6" fillId="0" borderId="60" xfId="32" applyFont="1" applyBorder="1"/>
    <xf numFmtId="167" fontId="6" fillId="0" borderId="52" xfId="32" applyFont="1" applyBorder="1" applyAlignment="1">
      <alignment horizontal="center"/>
    </xf>
    <xf numFmtId="167" fontId="6" fillId="0" borderId="24" xfId="32" applyFont="1" applyBorder="1" applyAlignment="1">
      <alignment horizontal="center"/>
    </xf>
    <xf numFmtId="167" fontId="6" fillId="0" borderId="40" xfId="32" applyFont="1" applyBorder="1"/>
    <xf numFmtId="0" fontId="6" fillId="0" borderId="45" xfId="37" quotePrefix="1" applyFont="1" applyBorder="1" applyAlignment="1">
      <alignment horizontal="left"/>
    </xf>
    <xf numFmtId="0" fontId="6" fillId="26" borderId="52" xfId="37" applyFont="1" applyFill="1" applyBorder="1"/>
    <xf numFmtId="0" fontId="6" fillId="26" borderId="10" xfId="37" applyFont="1" applyFill="1" applyBorder="1" applyAlignment="1">
      <alignment horizontal="center"/>
    </xf>
    <xf numFmtId="0" fontId="6" fillId="26" borderId="52" xfId="37" applyFont="1" applyFill="1" applyBorder="1" applyAlignment="1">
      <alignment horizontal="center"/>
    </xf>
    <xf numFmtId="167" fontId="6" fillId="26" borderId="13" xfId="32" applyFont="1" applyFill="1" applyBorder="1" applyAlignment="1">
      <alignment horizontal="center"/>
    </xf>
    <xf numFmtId="167" fontId="41" fillId="0" borderId="0" xfId="37" applyNumberFormat="1" applyFont="1"/>
    <xf numFmtId="0" fontId="6" fillId="0" borderId="10" xfId="37" applyFont="1" applyBorder="1" applyAlignment="1">
      <alignment horizontal="left"/>
    </xf>
    <xf numFmtId="14" fontId="7" fillId="0" borderId="56" xfId="0" applyNumberFormat="1" applyFont="1" applyBorder="1" applyAlignment="1">
      <alignment horizontal="center"/>
    </xf>
    <xf numFmtId="0" fontId="7" fillId="0" borderId="56" xfId="0" applyFont="1" applyBorder="1"/>
    <xf numFmtId="49" fontId="7" fillId="0" borderId="41" xfId="33" applyNumberFormat="1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56" xfId="0" applyFont="1" applyBorder="1" applyAlignment="1">
      <alignment horizontal="center"/>
    </xf>
    <xf numFmtId="3" fontId="7" fillId="0" borderId="41" xfId="51" applyNumberFormat="1" applyFont="1" applyFill="1" applyBorder="1" applyAlignment="1">
      <alignment horizontal="center"/>
    </xf>
    <xf numFmtId="0" fontId="7" fillId="0" borderId="16" xfId="0" applyFont="1" applyBorder="1"/>
    <xf numFmtId="3" fontId="7" fillId="0" borderId="42" xfId="51" applyNumberFormat="1" applyFont="1" applyFill="1" applyBorder="1" applyAlignment="1">
      <alignment horizontal="center"/>
    </xf>
    <xf numFmtId="167" fontId="7" fillId="0" borderId="16" xfId="33" applyFont="1" applyFill="1" applyBorder="1"/>
    <xf numFmtId="14" fontId="7" fillId="0" borderId="16" xfId="0" applyNumberFormat="1" applyFont="1" applyBorder="1" applyAlignment="1">
      <alignment horizontal="center"/>
    </xf>
    <xf numFmtId="14" fontId="7" fillId="0" borderId="23" xfId="0" applyNumberFormat="1" applyFont="1" applyBorder="1" applyAlignment="1">
      <alignment horizontal="center"/>
    </xf>
    <xf numFmtId="0" fontId="7" fillId="0" borderId="23" xfId="0" applyFont="1" applyBorder="1"/>
    <xf numFmtId="1" fontId="7" fillId="0" borderId="68" xfId="33" applyNumberFormat="1" applyFont="1" applyFill="1" applyBorder="1" applyAlignment="1">
      <alignment horizontal="center"/>
    </xf>
    <xf numFmtId="167" fontId="7" fillId="0" borderId="64" xfId="33" applyFont="1" applyFill="1" applyBorder="1"/>
    <xf numFmtId="0" fontId="7" fillId="0" borderId="23" xfId="0" applyFont="1" applyBorder="1" applyAlignment="1">
      <alignment horizontal="center"/>
    </xf>
    <xf numFmtId="0" fontId="7" fillId="0" borderId="0" xfId="0" applyFont="1" applyAlignment="1">
      <alignment horizontal="right"/>
    </xf>
    <xf numFmtId="1" fontId="7" fillId="0" borderId="0" xfId="32" applyNumberFormat="1" applyFont="1" applyAlignment="1">
      <alignment horizontal="right"/>
    </xf>
    <xf numFmtId="4" fontId="7" fillId="0" borderId="42" xfId="51" applyNumberFormat="1" applyFont="1" applyFill="1" applyBorder="1" applyAlignment="1">
      <alignment horizontal="center"/>
    </xf>
    <xf numFmtId="167" fontId="7" fillId="0" borderId="0" xfId="32" applyFont="1" applyAlignment="1">
      <alignment horizontal="right"/>
    </xf>
    <xf numFmtId="167" fontId="6" fillId="0" borderId="0" xfId="37" applyNumberFormat="1" applyFont="1"/>
    <xf numFmtId="0" fontId="6" fillId="0" borderId="18" xfId="37" applyFont="1" applyBorder="1" applyAlignment="1">
      <alignment horizontal="center"/>
    </xf>
    <xf numFmtId="0" fontId="6" fillId="0" borderId="49" xfId="37" applyFont="1" applyBorder="1" applyAlignment="1">
      <alignment horizontal="center"/>
    </xf>
    <xf numFmtId="167" fontId="6" fillId="0" borderId="38" xfId="32" applyFont="1" applyBorder="1"/>
    <xf numFmtId="167" fontId="6" fillId="0" borderId="59" xfId="32" applyFont="1" applyBorder="1"/>
    <xf numFmtId="167" fontId="6" fillId="0" borderId="24" xfId="32" applyFont="1" applyBorder="1"/>
    <xf numFmtId="167" fontId="6" fillId="0" borderId="50" xfId="32" applyFont="1" applyBorder="1" applyAlignment="1">
      <alignment horizontal="center"/>
    </xf>
    <xf numFmtId="167" fontId="6" fillId="0" borderId="32" xfId="32" applyFont="1" applyBorder="1" applyAlignment="1">
      <alignment horizontal="center"/>
    </xf>
    <xf numFmtId="172" fontId="6" fillId="0" borderId="0" xfId="50" applyNumberFormat="1" applyFont="1" applyBorder="1"/>
    <xf numFmtId="167" fontId="6" fillId="0" borderId="73" xfId="32" applyFont="1" applyBorder="1"/>
    <xf numFmtId="167" fontId="6" fillId="0" borderId="45" xfId="32" applyFont="1" applyBorder="1"/>
    <xf numFmtId="167" fontId="6" fillId="0" borderId="40" xfId="32" applyFont="1" applyBorder="1" applyAlignment="1">
      <alignment horizontal="center"/>
    </xf>
    <xf numFmtId="167" fontId="6" fillId="0" borderId="74" xfId="32" applyFont="1" applyBorder="1"/>
    <xf numFmtId="167" fontId="6" fillId="0" borderId="50" xfId="32" applyFont="1" applyBorder="1"/>
    <xf numFmtId="167" fontId="6" fillId="0" borderId="78" xfId="32" applyFont="1" applyBorder="1"/>
    <xf numFmtId="167" fontId="6" fillId="0" borderId="24" xfId="32" applyFont="1" applyFill="1" applyBorder="1"/>
    <xf numFmtId="167" fontId="6" fillId="0" borderId="45" xfId="32" applyFont="1" applyFill="1" applyBorder="1"/>
    <xf numFmtId="167" fontId="6" fillId="0" borderId="18" xfId="32" applyFont="1" applyBorder="1" applyAlignment="1">
      <alignment horizontal="center"/>
    </xf>
    <xf numFmtId="167" fontId="6" fillId="0" borderId="42" xfId="32" applyFont="1" applyBorder="1"/>
    <xf numFmtId="167" fontId="6" fillId="0" borderId="42" xfId="32" applyFont="1" applyFill="1" applyBorder="1"/>
    <xf numFmtId="167" fontId="6" fillId="0" borderId="15" xfId="32" applyFont="1" applyFill="1" applyBorder="1"/>
    <xf numFmtId="167" fontId="6" fillId="0" borderId="15" xfId="32" applyFont="1" applyBorder="1"/>
    <xf numFmtId="167" fontId="6" fillId="0" borderId="41" xfId="32" applyFont="1" applyBorder="1"/>
    <xf numFmtId="167" fontId="6" fillId="0" borderId="26" xfId="32" applyFont="1" applyBorder="1"/>
    <xf numFmtId="167" fontId="6" fillId="26" borderId="42" xfId="32" applyFont="1" applyFill="1" applyBorder="1"/>
    <xf numFmtId="167" fontId="6" fillId="0" borderId="27" xfId="37" applyNumberFormat="1" applyFont="1" applyBorder="1"/>
    <xf numFmtId="167" fontId="6" fillId="0" borderId="50" xfId="32" applyFont="1" applyFill="1" applyBorder="1"/>
    <xf numFmtId="167" fontId="6" fillId="0" borderId="61" xfId="32" applyFont="1" applyBorder="1"/>
    <xf numFmtId="167" fontId="6" fillId="0" borderId="52" xfId="32" applyFont="1" applyFill="1" applyBorder="1" applyAlignment="1">
      <alignment horizontal="center"/>
    </xf>
    <xf numFmtId="167" fontId="6" fillId="33" borderId="13" xfId="32" applyFont="1" applyFill="1" applyBorder="1"/>
    <xf numFmtId="44" fontId="7" fillId="0" borderId="0" xfId="0" applyNumberFormat="1" applyFont="1" applyAlignment="1">
      <alignment horizontal="center"/>
    </xf>
    <xf numFmtId="0" fontId="6" fillId="0" borderId="47" xfId="37" applyFont="1" applyBorder="1"/>
    <xf numFmtId="167" fontId="6" fillId="0" borderId="37" xfId="32" applyFont="1" applyBorder="1"/>
    <xf numFmtId="0" fontId="6" fillId="0" borderId="0" xfId="37" applyFont="1" applyAlignment="1">
      <alignment horizontal="right"/>
    </xf>
    <xf numFmtId="14" fontId="7" fillId="0" borderId="0" xfId="0" applyNumberFormat="1" applyFont="1" applyAlignment="1">
      <alignment horizontal="center"/>
    </xf>
    <xf numFmtId="0" fontId="32" fillId="24" borderId="20" xfId="37" applyFont="1" applyFill="1" applyBorder="1" applyAlignment="1">
      <alignment horizontal="center" vertical="center"/>
    </xf>
    <xf numFmtId="0" fontId="32" fillId="24" borderId="22" xfId="37" applyFont="1" applyFill="1" applyBorder="1" applyAlignment="1">
      <alignment horizontal="center" vertical="center"/>
    </xf>
    <xf numFmtId="0" fontId="32" fillId="24" borderId="30" xfId="37" applyFont="1" applyFill="1" applyBorder="1" applyAlignment="1">
      <alignment horizontal="center" vertical="center"/>
    </xf>
    <xf numFmtId="0" fontId="32" fillId="24" borderId="31" xfId="37" applyFont="1" applyFill="1" applyBorder="1" applyAlignment="1">
      <alignment horizontal="center" vertical="center"/>
    </xf>
    <xf numFmtId="167" fontId="7" fillId="0" borderId="56" xfId="32" applyFont="1" applyBorder="1"/>
    <xf numFmtId="14" fontId="7" fillId="0" borderId="30" xfId="37" applyNumberFormat="1" applyFont="1" applyBorder="1" applyAlignment="1">
      <alignment horizontal="center"/>
    </xf>
    <xf numFmtId="0" fontId="7" fillId="0" borderId="58" xfId="37" applyFont="1" applyBorder="1" applyAlignment="1">
      <alignment horizontal="center"/>
    </xf>
    <xf numFmtId="167" fontId="7" fillId="0" borderId="63" xfId="32" applyFont="1" applyBorder="1"/>
    <xf numFmtId="167" fontId="7" fillId="0" borderId="58" xfId="32" applyFont="1" applyBorder="1"/>
    <xf numFmtId="165" fontId="7" fillId="0" borderId="10" xfId="34" applyFont="1" applyBorder="1"/>
    <xf numFmtId="167" fontId="12" fillId="0" borderId="0" xfId="32" applyFont="1" applyAlignment="1">
      <alignment horizontal="center"/>
    </xf>
    <xf numFmtId="167" fontId="7" fillId="0" borderId="0" xfId="32" applyFont="1" applyBorder="1" applyAlignment="1">
      <alignment horizontal="left"/>
    </xf>
    <xf numFmtId="1" fontId="7" fillId="0" borderId="0" xfId="32" applyNumberFormat="1" applyFont="1" applyBorder="1" applyAlignment="1">
      <alignment vertical="center"/>
    </xf>
    <xf numFmtId="168" fontId="7" fillId="0" borderId="0" xfId="32" applyNumberFormat="1" applyFont="1" applyBorder="1" applyAlignment="1">
      <alignment horizontal="left"/>
    </xf>
    <xf numFmtId="167" fontId="7" fillId="0" borderId="0" xfId="0" applyNumberFormat="1" applyFont="1"/>
    <xf numFmtId="167" fontId="7" fillId="0" borderId="0" xfId="0" applyNumberFormat="1" applyFont="1" applyAlignment="1">
      <alignment horizontal="center"/>
    </xf>
    <xf numFmtId="14" fontId="8" fillId="0" borderId="53" xfId="0" applyNumberFormat="1" applyFont="1" applyBorder="1" applyAlignment="1">
      <alignment horizontal="center"/>
    </xf>
    <xf numFmtId="167" fontId="8" fillId="0" borderId="25" xfId="32" applyFont="1" applyBorder="1"/>
    <xf numFmtId="14" fontId="9" fillId="0" borderId="24" xfId="0" applyNumberFormat="1" applyFont="1" applyBorder="1" applyAlignment="1">
      <alignment horizontal="center"/>
    </xf>
    <xf numFmtId="167" fontId="9" fillId="0" borderId="26" xfId="32" applyFont="1" applyBorder="1"/>
    <xf numFmtId="14" fontId="8" fillId="0" borderId="24" xfId="0" applyNumberFormat="1" applyFont="1" applyBorder="1" applyAlignment="1">
      <alignment horizontal="center"/>
    </xf>
    <xf numFmtId="167" fontId="8" fillId="0" borderId="26" xfId="32" applyFont="1" applyBorder="1"/>
    <xf numFmtId="167" fontId="8" fillId="0" borderId="18" xfId="32" applyFont="1" applyBorder="1"/>
    <xf numFmtId="167" fontId="12" fillId="0" borderId="0" xfId="32" applyFont="1"/>
    <xf numFmtId="168" fontId="7" fillId="0" borderId="0" xfId="32" applyNumberFormat="1" applyFont="1" applyAlignment="1">
      <alignment horizontal="left"/>
    </xf>
    <xf numFmtId="167" fontId="7" fillId="0" borderId="13" xfId="32" applyFont="1" applyBorder="1"/>
    <xf numFmtId="167" fontId="8" fillId="0" borderId="25" xfId="32" applyFont="1" applyBorder="1" applyAlignment="1">
      <alignment horizontal="center"/>
    </xf>
    <xf numFmtId="167" fontId="9" fillId="0" borderId="62" xfId="32" applyFont="1" applyBorder="1"/>
    <xf numFmtId="167" fontId="8" fillId="0" borderId="56" xfId="32" applyFont="1" applyBorder="1" applyAlignment="1">
      <alignment horizontal="center"/>
    </xf>
    <xf numFmtId="0" fontId="9" fillId="0" borderId="0" xfId="0" applyFont="1"/>
    <xf numFmtId="0" fontId="8" fillId="0" borderId="16" xfId="0" applyFont="1" applyBorder="1"/>
    <xf numFmtId="167" fontId="8" fillId="0" borderId="23" xfId="32" applyFont="1" applyBorder="1"/>
    <xf numFmtId="167" fontId="9" fillId="0" borderId="57" xfId="32" applyFont="1" applyBorder="1"/>
    <xf numFmtId="167" fontId="8" fillId="0" borderId="0" xfId="32" applyFont="1" applyBorder="1" applyAlignment="1">
      <alignment horizontal="center"/>
    </xf>
    <xf numFmtId="167" fontId="8" fillId="0" borderId="0" xfId="32" applyFont="1" applyBorder="1"/>
    <xf numFmtId="167" fontId="7" fillId="0" borderId="0" xfId="32" applyFont="1" applyFill="1" applyAlignment="1">
      <alignment horizontal="center"/>
    </xf>
    <xf numFmtId="167" fontId="7" fillId="0" borderId="13" xfId="32" applyFont="1" applyFill="1" applyBorder="1"/>
    <xf numFmtId="167" fontId="7" fillId="0" borderId="24" xfId="32" applyFont="1" applyBorder="1" applyAlignment="1">
      <alignment horizontal="left"/>
    </xf>
    <xf numFmtId="167" fontId="7" fillId="0" borderId="16" xfId="32" applyFont="1" applyBorder="1" applyAlignment="1">
      <alignment horizontal="right"/>
    </xf>
    <xf numFmtId="170" fontId="7" fillId="0" borderId="16" xfId="39" applyNumberFormat="1" applyFont="1" applyBorder="1" applyAlignment="1">
      <alignment horizontal="right"/>
    </xf>
    <xf numFmtId="1" fontId="7" fillId="0" borderId="16" xfId="32" applyNumberFormat="1" applyFont="1" applyBorder="1" applyAlignment="1">
      <alignment vertical="center"/>
    </xf>
    <xf numFmtId="14" fontId="8" fillId="0" borderId="43" xfId="0" applyNumberFormat="1" applyFont="1" applyBorder="1" applyAlignment="1">
      <alignment horizontal="center"/>
    </xf>
    <xf numFmtId="167" fontId="8" fillId="0" borderId="53" xfId="32" applyFont="1" applyBorder="1"/>
    <xf numFmtId="167" fontId="9" fillId="0" borderId="24" xfId="32" applyFont="1" applyBorder="1"/>
    <xf numFmtId="167" fontId="9" fillId="0" borderId="56" xfId="32" applyFont="1" applyBorder="1"/>
    <xf numFmtId="167" fontId="8" fillId="0" borderId="24" xfId="32" applyFont="1" applyBorder="1"/>
    <xf numFmtId="167" fontId="8" fillId="0" borderId="56" xfId="32" applyFont="1" applyBorder="1"/>
    <xf numFmtId="14" fontId="8" fillId="0" borderId="65" xfId="0" applyNumberFormat="1" applyFont="1" applyBorder="1" applyAlignment="1">
      <alignment horizontal="center"/>
    </xf>
    <xf numFmtId="167" fontId="9" fillId="0" borderId="65" xfId="32" applyFont="1" applyBorder="1"/>
    <xf numFmtId="167" fontId="9" fillId="0" borderId="64" xfId="32" applyFont="1" applyBorder="1"/>
    <xf numFmtId="167" fontId="7" fillId="0" borderId="21" xfId="0" applyNumberFormat="1" applyFont="1" applyBorder="1"/>
    <xf numFmtId="0" fontId="7" fillId="0" borderId="48" xfId="0" applyFont="1" applyBorder="1"/>
    <xf numFmtId="167" fontId="7" fillId="0" borderId="66" xfId="0" applyNumberFormat="1" applyFont="1" applyBorder="1"/>
    <xf numFmtId="167" fontId="7" fillId="0" borderId="66" xfId="0" applyNumberFormat="1" applyFont="1" applyBorder="1" applyAlignment="1">
      <alignment horizontal="center"/>
    </xf>
    <xf numFmtId="170" fontId="7" fillId="0" borderId="0" xfId="39" applyNumberFormat="1" applyFont="1" applyBorder="1" applyAlignment="1">
      <alignment horizontal="right"/>
    </xf>
    <xf numFmtId="0" fontId="9" fillId="0" borderId="29" xfId="0" applyFont="1" applyBorder="1"/>
    <xf numFmtId="0" fontId="9" fillId="0" borderId="14" xfId="0" applyFont="1" applyBorder="1"/>
    <xf numFmtId="0" fontId="9" fillId="0" borderId="44" xfId="0" applyFont="1" applyBorder="1"/>
    <xf numFmtId="0" fontId="7" fillId="0" borderId="29" xfId="0" applyFont="1" applyBorder="1"/>
    <xf numFmtId="2" fontId="7" fillId="0" borderId="0" xfId="0" applyNumberFormat="1" applyFont="1" applyAlignment="1">
      <alignment horizontal="center"/>
    </xf>
    <xf numFmtId="1" fontId="7" fillId="0" borderId="42" xfId="32" applyNumberFormat="1" applyFont="1" applyBorder="1" applyAlignment="1">
      <alignment horizontal="center"/>
    </xf>
    <xf numFmtId="49" fontId="7" fillId="0" borderId="67" xfId="32" applyNumberFormat="1" applyFont="1" applyBorder="1" applyAlignment="1">
      <alignment horizontal="center"/>
    </xf>
    <xf numFmtId="1" fontId="7" fillId="0" borderId="0" xfId="32" applyNumberFormat="1" applyFont="1" applyAlignment="1">
      <alignment horizontal="center"/>
    </xf>
    <xf numFmtId="2" fontId="7" fillId="0" borderId="0" xfId="32" applyNumberFormat="1" applyFont="1"/>
    <xf numFmtId="2" fontId="7" fillId="0" borderId="0" xfId="0" applyNumberFormat="1" applyFont="1"/>
    <xf numFmtId="1" fontId="7" fillId="0" borderId="67" xfId="32" applyNumberFormat="1" applyFont="1" applyBorder="1" applyAlignment="1">
      <alignment horizontal="center"/>
    </xf>
    <xf numFmtId="0" fontId="7" fillId="0" borderId="25" xfId="0" applyFont="1" applyBorder="1"/>
    <xf numFmtId="0" fontId="7" fillId="0" borderId="43" xfId="0" applyFont="1" applyBorder="1" applyAlignment="1">
      <alignment horizontal="center"/>
    </xf>
    <xf numFmtId="2" fontId="7" fillId="0" borderId="42" xfId="32" applyNumberFormat="1" applyFont="1" applyFill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26" borderId="24" xfId="0" applyFont="1" applyFill="1" applyBorder="1" applyAlignment="1">
      <alignment horizontal="center"/>
    </xf>
    <xf numFmtId="0" fontId="7" fillId="26" borderId="16" xfId="0" applyFont="1" applyFill="1" applyBorder="1"/>
    <xf numFmtId="171" fontId="7" fillId="26" borderId="42" xfId="32" applyNumberFormat="1" applyFont="1" applyFill="1" applyBorder="1" applyAlignment="1">
      <alignment horizontal="center"/>
    </xf>
    <xf numFmtId="167" fontId="7" fillId="26" borderId="16" xfId="32" applyFont="1" applyFill="1" applyBorder="1"/>
    <xf numFmtId="167" fontId="7" fillId="26" borderId="18" xfId="32" applyFont="1" applyFill="1" applyBorder="1"/>
    <xf numFmtId="49" fontId="7" fillId="26" borderId="42" xfId="32" applyNumberFormat="1" applyFont="1" applyFill="1" applyBorder="1" applyAlignment="1">
      <alignment horizontal="center"/>
    </xf>
    <xf numFmtId="49" fontId="7" fillId="0" borderId="42" xfId="32" applyNumberFormat="1" applyFont="1" applyBorder="1" applyAlignment="1">
      <alignment horizontal="center"/>
    </xf>
    <xf numFmtId="1" fontId="7" fillId="26" borderId="42" xfId="32" applyNumberFormat="1" applyFont="1" applyFill="1" applyBorder="1" applyAlignment="1">
      <alignment horizontal="center"/>
    </xf>
    <xf numFmtId="0" fontId="7" fillId="26" borderId="23" xfId="0" applyFont="1" applyFill="1" applyBorder="1" applyAlignment="1">
      <alignment horizontal="center"/>
    </xf>
    <xf numFmtId="0" fontId="7" fillId="26" borderId="23" xfId="0" applyFont="1" applyFill="1" applyBorder="1"/>
    <xf numFmtId="1" fontId="7" fillId="26" borderId="67" xfId="32" applyNumberFormat="1" applyFont="1" applyFill="1" applyBorder="1" applyAlignment="1">
      <alignment horizontal="center"/>
    </xf>
    <xf numFmtId="167" fontId="7" fillId="26" borderId="23" xfId="32" applyFont="1" applyFill="1" applyBorder="1"/>
    <xf numFmtId="167" fontId="7" fillId="26" borderId="19" xfId="32" applyFont="1" applyFill="1" applyBorder="1"/>
    <xf numFmtId="0" fontId="7" fillId="26" borderId="25" xfId="0" applyFont="1" applyFill="1" applyBorder="1"/>
    <xf numFmtId="1" fontId="7" fillId="26" borderId="54" xfId="32" applyNumberFormat="1" applyFont="1" applyFill="1" applyBorder="1" applyAlignment="1">
      <alignment horizontal="center"/>
    </xf>
    <xf numFmtId="167" fontId="7" fillId="26" borderId="25" xfId="32" applyFont="1" applyFill="1" applyBorder="1"/>
    <xf numFmtId="167" fontId="7" fillId="26" borderId="62" xfId="32" applyFont="1" applyFill="1" applyBorder="1"/>
    <xf numFmtId="0" fontId="7" fillId="26" borderId="43" xfId="0" applyFont="1" applyFill="1" applyBorder="1" applyAlignment="1">
      <alignment horizontal="center"/>
    </xf>
    <xf numFmtId="0" fontId="7" fillId="26" borderId="56" xfId="0" applyFont="1" applyFill="1" applyBorder="1"/>
    <xf numFmtId="2" fontId="7" fillId="26" borderId="42" xfId="32" applyNumberFormat="1" applyFont="1" applyFill="1" applyBorder="1" applyAlignment="1">
      <alignment horizontal="center"/>
    </xf>
    <xf numFmtId="171" fontId="7" fillId="0" borderId="41" xfId="32" applyNumberFormat="1" applyFont="1" applyFill="1" applyBorder="1" applyAlignment="1">
      <alignment horizontal="center"/>
    </xf>
    <xf numFmtId="167" fontId="7" fillId="0" borderId="56" xfId="32" applyFont="1" applyFill="1" applyBorder="1"/>
    <xf numFmtId="167" fontId="7" fillId="0" borderId="26" xfId="32" applyFont="1" applyFill="1" applyBorder="1"/>
    <xf numFmtId="171" fontId="7" fillId="0" borderId="42" xfId="32" applyNumberFormat="1" applyFont="1" applyFill="1" applyBorder="1" applyAlignment="1">
      <alignment horizontal="center"/>
    </xf>
    <xf numFmtId="167" fontId="7" fillId="0" borderId="16" xfId="32" applyFont="1" applyFill="1" applyBorder="1"/>
    <xf numFmtId="167" fontId="7" fillId="0" borderId="18" xfId="32" applyFont="1" applyFill="1" applyBorder="1"/>
    <xf numFmtId="0" fontId="7" fillId="26" borderId="53" xfId="0" applyFont="1" applyFill="1" applyBorder="1" applyAlignment="1">
      <alignment horizontal="center"/>
    </xf>
    <xf numFmtId="49" fontId="7" fillId="26" borderId="54" xfId="32" applyNumberFormat="1" applyFont="1" applyFill="1" applyBorder="1" applyAlignment="1">
      <alignment horizontal="center"/>
    </xf>
    <xf numFmtId="49" fontId="7" fillId="26" borderId="41" xfId="32" applyNumberFormat="1" applyFont="1" applyFill="1" applyBorder="1" applyAlignment="1">
      <alignment horizontal="center"/>
    </xf>
    <xf numFmtId="167" fontId="7" fillId="26" borderId="56" xfId="32" applyFont="1" applyFill="1" applyBorder="1"/>
    <xf numFmtId="167" fontId="7" fillId="26" borderId="26" xfId="32" applyFont="1" applyFill="1" applyBorder="1"/>
    <xf numFmtId="1" fontId="7" fillId="26" borderId="41" xfId="32" applyNumberFormat="1" applyFont="1" applyFill="1" applyBorder="1" applyAlignment="1">
      <alignment horizontal="center"/>
    </xf>
    <xf numFmtId="0" fontId="7" fillId="26" borderId="55" xfId="0" applyFont="1" applyFill="1" applyBorder="1" applyAlignment="1">
      <alignment horizontal="center"/>
    </xf>
    <xf numFmtId="0" fontId="7" fillId="26" borderId="30" xfId="0" applyFont="1" applyFill="1" applyBorder="1" applyAlignment="1">
      <alignment horizontal="center"/>
    </xf>
    <xf numFmtId="0" fontId="7" fillId="26" borderId="58" xfId="0" applyFont="1" applyFill="1" applyBorder="1"/>
    <xf numFmtId="1" fontId="7" fillId="26" borderId="63" xfId="32" applyNumberFormat="1" applyFont="1" applyFill="1" applyBorder="1" applyAlignment="1">
      <alignment horizontal="center"/>
    </xf>
    <xf numFmtId="167" fontId="7" fillId="26" borderId="58" xfId="32" applyFont="1" applyFill="1" applyBorder="1"/>
    <xf numFmtId="167" fontId="7" fillId="26" borderId="31" xfId="32" applyFont="1" applyFill="1" applyBorder="1"/>
    <xf numFmtId="167" fontId="6" fillId="0" borderId="53" xfId="32" applyFont="1" applyBorder="1"/>
    <xf numFmtId="14" fontId="6" fillId="0" borderId="43" xfId="37" applyNumberFormat="1" applyFont="1" applyBorder="1"/>
    <xf numFmtId="0" fontId="6" fillId="0" borderId="16" xfId="37" applyFont="1" applyBorder="1" applyAlignment="1">
      <alignment horizontal="left"/>
    </xf>
    <xf numFmtId="0" fontId="6" fillId="0" borderId="16" xfId="37" applyFont="1" applyBorder="1"/>
    <xf numFmtId="165" fontId="100" fillId="0" borderId="98" xfId="61" applyFont="1" applyBorder="1" applyAlignment="1">
      <alignment horizontal="center"/>
    </xf>
    <xf numFmtId="49" fontId="95" fillId="0" borderId="0" xfId="61" applyNumberFormat="1" applyBorder="1"/>
    <xf numFmtId="167" fontId="95" fillId="0" borderId="0" xfId="57" applyFont="1" applyBorder="1" applyAlignment="1">
      <alignment horizontal="center"/>
    </xf>
    <xf numFmtId="167" fontId="65" fillId="0" borderId="0" xfId="57" applyFont="1" applyBorder="1" applyAlignment="1">
      <alignment horizontal="center"/>
    </xf>
    <xf numFmtId="49" fontId="95" fillId="0" borderId="148" xfId="61" applyNumberFormat="1" applyBorder="1"/>
    <xf numFmtId="167" fontId="95" fillId="0" borderId="149" xfId="57" applyFont="1" applyBorder="1" applyAlignment="1">
      <alignment horizontal="center"/>
    </xf>
    <xf numFmtId="0" fontId="95" fillId="0" borderId="149" xfId="56" applyBorder="1" applyAlignment="1">
      <alignment horizontal="center"/>
    </xf>
    <xf numFmtId="167" fontId="65" fillId="0" borderId="152" xfId="57" applyFont="1" applyBorder="1" applyAlignment="1">
      <alignment horizontal="center"/>
    </xf>
    <xf numFmtId="49" fontId="95" fillId="0" borderId="153" xfId="61" applyNumberFormat="1" applyBorder="1"/>
    <xf numFmtId="167" fontId="95" fillId="0" borderId="154" xfId="57" applyFont="1" applyBorder="1" applyAlignment="1">
      <alignment horizontal="center"/>
    </xf>
    <xf numFmtId="0" fontId="95" fillId="0" borderId="154" xfId="56" applyBorder="1" applyAlignment="1">
      <alignment horizontal="center"/>
    </xf>
    <xf numFmtId="165" fontId="97" fillId="0" borderId="0" xfId="61" applyFont="1" applyBorder="1" applyAlignment="1"/>
    <xf numFmtId="167" fontId="69" fillId="0" borderId="0" xfId="57" applyFont="1" applyBorder="1"/>
    <xf numFmtId="4" fontId="90" fillId="0" borderId="15" xfId="32" applyNumberFormat="1" applyFont="1" applyFill="1" applyBorder="1" applyAlignment="1"/>
    <xf numFmtId="4" fontId="90" fillId="0" borderId="47" xfId="32" applyNumberFormat="1" applyFont="1" applyFill="1" applyBorder="1" applyAlignment="1"/>
    <xf numFmtId="167" fontId="65" fillId="26" borderId="129" xfId="57" applyFont="1" applyFill="1" applyBorder="1" applyAlignment="1">
      <alignment horizontal="center"/>
    </xf>
    <xf numFmtId="167" fontId="26" fillId="0" borderId="0" xfId="32" applyFont="1" applyBorder="1" applyAlignment="1">
      <alignment horizontal="left"/>
    </xf>
    <xf numFmtId="167" fontId="40" fillId="0" borderId="0" xfId="32" applyFont="1" applyFill="1" applyBorder="1"/>
    <xf numFmtId="14" fontId="0" fillId="0" borderId="0" xfId="32" applyNumberFormat="1" applyFont="1" applyBorder="1"/>
    <xf numFmtId="14" fontId="0" fillId="0" borderId="0" xfId="32" applyNumberFormat="1" applyFont="1" applyBorder="1" applyAlignment="1">
      <alignment horizontal="center"/>
    </xf>
    <xf numFmtId="167" fontId="13" fillId="0" borderId="0" xfId="32" applyFont="1" applyBorder="1"/>
    <xf numFmtId="167" fontId="95" fillId="0" borderId="100" xfId="57" applyFont="1" applyFill="1" applyBorder="1" applyAlignment="1">
      <alignment horizontal="center"/>
    </xf>
    <xf numFmtId="167" fontId="65" fillId="0" borderId="129" xfId="57" applyFont="1" applyFill="1" applyBorder="1" applyAlignment="1">
      <alignment horizontal="center"/>
    </xf>
    <xf numFmtId="14" fontId="74" fillId="26" borderId="118" xfId="56" applyNumberFormat="1" applyFont="1" applyFill="1" applyBorder="1" applyAlignment="1">
      <alignment horizontal="center"/>
    </xf>
    <xf numFmtId="167" fontId="65" fillId="26" borderId="100" xfId="57" applyFont="1" applyFill="1" applyBorder="1" applyAlignment="1">
      <alignment horizontal="center"/>
    </xf>
    <xf numFmtId="0" fontId="65" fillId="26" borderId="100" xfId="56" applyFont="1" applyFill="1" applyBorder="1" applyAlignment="1">
      <alignment horizontal="center"/>
    </xf>
    <xf numFmtId="0" fontId="65" fillId="26" borderId="0" xfId="56" applyFont="1" applyFill="1"/>
    <xf numFmtId="14" fontId="40" fillId="0" borderId="118" xfId="56" applyNumberFormat="1" applyFont="1" applyBorder="1" applyAlignment="1">
      <alignment horizontal="center"/>
    </xf>
    <xf numFmtId="167" fontId="6" fillId="0" borderId="100" xfId="57" applyFont="1" applyFill="1" applyBorder="1" applyAlignment="1">
      <alignment horizontal="center"/>
    </xf>
    <xf numFmtId="0" fontId="6" fillId="0" borderId="100" xfId="56" applyFont="1" applyBorder="1" applyAlignment="1">
      <alignment horizontal="center"/>
    </xf>
    <xf numFmtId="0" fontId="6" fillId="0" borderId="0" xfId="56" applyFont="1"/>
    <xf numFmtId="0" fontId="95" fillId="0" borderId="155" xfId="56" applyBorder="1" applyAlignment="1">
      <alignment horizontal="center"/>
    </xf>
    <xf numFmtId="0" fontId="16" fillId="0" borderId="10" xfId="37" applyBorder="1" applyAlignment="1">
      <alignment horizontal="left"/>
    </xf>
    <xf numFmtId="0" fontId="6" fillId="0" borderId="45" xfId="37" applyFont="1" applyBorder="1" applyAlignment="1">
      <alignment wrapText="1"/>
    </xf>
    <xf numFmtId="167" fontId="65" fillId="0" borderId="0" xfId="57" applyFont="1" applyAlignment="1"/>
    <xf numFmtId="167" fontId="67" fillId="0" borderId="10" xfId="0" applyNumberFormat="1" applyFont="1" applyBorder="1"/>
    <xf numFmtId="44" fontId="67" fillId="0" borderId="10" xfId="0" applyNumberFormat="1" applyFont="1" applyBorder="1"/>
    <xf numFmtId="44" fontId="10" fillId="0" borderId="10" xfId="0" applyNumberFormat="1" applyFont="1" applyBorder="1"/>
    <xf numFmtId="44" fontId="85" fillId="0" borderId="10" xfId="0" applyNumberFormat="1" applyFont="1" applyBorder="1"/>
    <xf numFmtId="10" fontId="7" fillId="0" borderId="10" xfId="0" applyNumberFormat="1" applyFont="1" applyBorder="1" applyAlignment="1">
      <alignment horizontal="center"/>
    </xf>
    <xf numFmtId="175" fontId="7" fillId="0" borderId="10" xfId="39" applyNumberFormat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167" fontId="7" fillId="0" borderId="10" xfId="32" applyFont="1" applyBorder="1" applyAlignment="1">
      <alignment horizontal="center"/>
    </xf>
    <xf numFmtId="14" fontId="7" fillId="0" borderId="10" xfId="0" applyNumberFormat="1" applyFont="1" applyBorder="1"/>
    <xf numFmtId="43" fontId="16" fillId="0" borderId="42" xfId="37" applyNumberFormat="1" applyBorder="1" applyAlignment="1">
      <alignment horizontal="center"/>
    </xf>
    <xf numFmtId="167" fontId="16" fillId="0" borderId="51" xfId="37" applyNumberFormat="1" applyBorder="1"/>
    <xf numFmtId="167" fontId="65" fillId="0" borderId="151" xfId="57" applyFont="1" applyBorder="1"/>
    <xf numFmtId="167" fontId="95" fillId="0" borderId="156" xfId="57" applyFont="1" applyBorder="1"/>
    <xf numFmtId="44" fontId="73" fillId="0" borderId="0" xfId="0" applyNumberFormat="1" applyFont="1"/>
    <xf numFmtId="14" fontId="7" fillId="0" borderId="15" xfId="0" applyNumberFormat="1" applyFont="1" applyBorder="1" applyAlignment="1">
      <alignment horizontal="center"/>
    </xf>
    <xf numFmtId="14" fontId="0" fillId="0" borderId="37" xfId="0" applyNumberFormat="1" applyBorder="1" applyAlignment="1">
      <alignment horizontal="center"/>
    </xf>
    <xf numFmtId="14" fontId="10" fillId="0" borderId="14" xfId="0" applyNumberFormat="1" applyFont="1" applyBorder="1" applyAlignment="1">
      <alignment horizontal="center"/>
    </xf>
    <xf numFmtId="14" fontId="0" fillId="0" borderId="47" xfId="0" applyNumberFormat="1" applyBorder="1" applyAlignment="1">
      <alignment horizontal="center"/>
    </xf>
    <xf numFmtId="49" fontId="6" fillId="0" borderId="0" xfId="32" applyNumberFormat="1" applyFont="1" applyBorder="1" applyAlignment="1">
      <alignment horizontal="left"/>
    </xf>
    <xf numFmtId="49" fontId="16" fillId="0" borderId="0" xfId="37" applyNumberFormat="1" applyAlignment="1">
      <alignment horizontal="left"/>
    </xf>
    <xf numFmtId="49" fontId="6" fillId="0" borderId="0" xfId="37" applyNumberFormat="1" applyFont="1" applyAlignment="1">
      <alignment horizontal="left"/>
    </xf>
    <xf numFmtId="49" fontId="16" fillId="0" borderId="0" xfId="37" applyNumberFormat="1"/>
    <xf numFmtId="49" fontId="6" fillId="0" borderId="0" xfId="37" applyNumberFormat="1" applyFont="1"/>
    <xf numFmtId="49" fontId="16" fillId="0" borderId="0" xfId="37" applyNumberFormat="1" applyAlignment="1">
      <alignment horizontal="center"/>
    </xf>
    <xf numFmtId="170" fontId="79" fillId="0" borderId="0" xfId="39" applyNumberFormat="1" applyFont="1" applyBorder="1"/>
    <xf numFmtId="49" fontId="16" fillId="0" borderId="45" xfId="50" applyNumberFormat="1" applyFont="1" applyBorder="1"/>
    <xf numFmtId="0" fontId="4" fillId="0" borderId="0" xfId="62" applyAlignment="1">
      <alignment horizontal="center"/>
    </xf>
    <xf numFmtId="0" fontId="4" fillId="0" borderId="0" xfId="62"/>
    <xf numFmtId="44" fontId="0" fillId="0" borderId="0" xfId="63" applyFont="1"/>
    <xf numFmtId="44" fontId="7" fillId="0" borderId="0" xfId="63" applyFont="1"/>
    <xf numFmtId="0" fontId="102" fillId="0" borderId="0" xfId="62" applyFont="1"/>
    <xf numFmtId="44" fontId="103" fillId="0" borderId="0" xfId="63" applyFont="1" applyAlignment="1">
      <alignment horizontal="center"/>
    </xf>
    <xf numFmtId="0" fontId="103" fillId="0" borderId="0" xfId="62" applyFont="1" applyAlignment="1">
      <alignment horizontal="center"/>
    </xf>
    <xf numFmtId="0" fontId="102" fillId="0" borderId="0" xfId="62" applyFont="1" applyAlignment="1">
      <alignment horizontal="center"/>
    </xf>
    <xf numFmtId="44" fontId="102" fillId="0" borderId="0" xfId="62" applyNumberFormat="1" applyFont="1"/>
    <xf numFmtId="10" fontId="7" fillId="0" borderId="0" xfId="64" applyNumberFormat="1" applyFont="1"/>
    <xf numFmtId="0" fontId="103" fillId="0" borderId="12" xfId="62" applyFont="1" applyBorder="1" applyAlignment="1">
      <alignment horizontal="center"/>
    </xf>
    <xf numFmtId="0" fontId="103" fillId="0" borderId="12" xfId="62" applyFont="1" applyBorder="1"/>
    <xf numFmtId="44" fontId="103" fillId="0" borderId="12" xfId="63" applyFont="1" applyBorder="1"/>
    <xf numFmtId="0" fontId="103" fillId="32" borderId="12" xfId="62" applyFont="1" applyFill="1" applyBorder="1" applyAlignment="1">
      <alignment horizontal="center" wrapText="1"/>
    </xf>
    <xf numFmtId="0" fontId="103" fillId="41" borderId="12" xfId="62" applyFont="1" applyFill="1" applyBorder="1" applyAlignment="1">
      <alignment horizontal="center" wrapText="1"/>
    </xf>
    <xf numFmtId="0" fontId="104" fillId="0" borderId="27" xfId="62" applyFont="1" applyBorder="1" applyAlignment="1">
      <alignment horizontal="center" wrapText="1"/>
    </xf>
    <xf numFmtId="167" fontId="67" fillId="0" borderId="10" xfId="32" applyFont="1" applyBorder="1"/>
    <xf numFmtId="167" fontId="10" fillId="0" borderId="10" xfId="32" applyFont="1" applyBorder="1" applyAlignment="1">
      <alignment horizontal="center"/>
    </xf>
    <xf numFmtId="10" fontId="10" fillId="0" borderId="10" xfId="39" applyNumberFormat="1" applyFont="1" applyBorder="1" applyAlignment="1">
      <alignment horizontal="center"/>
    </xf>
    <xf numFmtId="0" fontId="0" fillId="0" borderId="45" xfId="0" applyBorder="1"/>
    <xf numFmtId="167" fontId="0" fillId="0" borderId="52" xfId="32" applyFont="1" applyFill="1" applyBorder="1"/>
    <xf numFmtId="167" fontId="0" fillId="0" borderId="52" xfId="32" applyFont="1" applyBorder="1"/>
    <xf numFmtId="167" fontId="0" fillId="0" borderId="73" xfId="32" applyFont="1" applyBorder="1"/>
    <xf numFmtId="167" fontId="65" fillId="0" borderId="28" xfId="57" applyFont="1" applyBorder="1" applyAlignment="1">
      <alignment horizontal="center"/>
    </xf>
    <xf numFmtId="167" fontId="65" fillId="0" borderId="24" xfId="57" applyFont="1" applyBorder="1" applyAlignment="1">
      <alignment horizontal="center"/>
    </xf>
    <xf numFmtId="167" fontId="95" fillId="0" borderId="157" xfId="57" applyFont="1" applyBorder="1"/>
    <xf numFmtId="0" fontId="65" fillId="0" borderId="13" xfId="56" applyFont="1" applyBorder="1" applyAlignment="1">
      <alignment horizontal="center"/>
    </xf>
    <xf numFmtId="0" fontId="65" fillId="0" borderId="74" xfId="56" applyFont="1" applyBorder="1" applyAlignment="1">
      <alignment horizontal="center"/>
    </xf>
    <xf numFmtId="167" fontId="66" fillId="26" borderId="10" xfId="32" applyFont="1" applyFill="1" applyBorder="1"/>
    <xf numFmtId="0" fontId="73" fillId="0" borderId="10" xfId="0" applyFont="1" applyBorder="1" applyAlignment="1">
      <alignment horizontal="center"/>
    </xf>
    <xf numFmtId="167" fontId="73" fillId="0" borderId="10" xfId="32" applyFont="1" applyBorder="1" applyAlignment="1">
      <alignment horizontal="center"/>
    </xf>
    <xf numFmtId="167" fontId="73" fillId="26" borderId="10" xfId="32" applyFont="1" applyFill="1" applyBorder="1"/>
    <xf numFmtId="167" fontId="64" fillId="0" borderId="10" xfId="32" applyFont="1" applyBorder="1"/>
    <xf numFmtId="44" fontId="64" fillId="0" borderId="10" xfId="0" applyNumberFormat="1" applyFont="1" applyBorder="1"/>
    <xf numFmtId="10" fontId="67" fillId="0" borderId="10" xfId="39" applyNumberFormat="1" applyFont="1" applyBorder="1"/>
    <xf numFmtId="0" fontId="66" fillId="0" borderId="10" xfId="0" applyFont="1" applyBorder="1" applyAlignment="1">
      <alignment horizontal="left"/>
    </xf>
    <xf numFmtId="0" fontId="66" fillId="0" borderId="10" xfId="0" applyFont="1" applyBorder="1" applyAlignment="1">
      <alignment horizontal="center"/>
    </xf>
    <xf numFmtId="167" fontId="66" fillId="0" borderId="10" xfId="32" applyFont="1" applyBorder="1" applyAlignment="1">
      <alignment horizontal="center"/>
    </xf>
    <xf numFmtId="167" fontId="66" fillId="0" borderId="10" xfId="32" applyFont="1" applyBorder="1"/>
    <xf numFmtId="4" fontId="66" fillId="0" borderId="10" xfId="50" applyNumberFormat="1" applyFont="1" applyBorder="1" applyAlignment="1">
      <alignment horizontal="left"/>
    </xf>
    <xf numFmtId="1" fontId="66" fillId="0" borderId="10" xfId="0" applyNumberFormat="1" applyFont="1" applyBorder="1" applyAlignment="1">
      <alignment horizontal="center"/>
    </xf>
    <xf numFmtId="10" fontId="64" fillId="0" borderId="10" xfId="39" applyNumberFormat="1" applyFont="1" applyBorder="1"/>
    <xf numFmtId="49" fontId="34" fillId="0" borderId="0" xfId="32" applyNumberFormat="1" applyFont="1" applyBorder="1"/>
    <xf numFmtId="49" fontId="40" fillId="0" borderId="0" xfId="32" applyNumberFormat="1" applyFont="1" applyBorder="1" applyAlignment="1">
      <alignment horizontal="center"/>
    </xf>
    <xf numFmtId="49" fontId="26" fillId="0" borderId="0" xfId="32" applyNumberFormat="1" applyFont="1" applyFill="1" applyBorder="1"/>
    <xf numFmtId="0" fontId="73" fillId="0" borderId="10" xfId="0" applyFont="1" applyBorder="1" applyAlignment="1">
      <alignment horizontal="left"/>
    </xf>
    <xf numFmtId="167" fontId="73" fillId="0" borderId="10" xfId="32" applyFont="1" applyBorder="1"/>
    <xf numFmtId="0" fontId="77" fillId="0" borderId="0" xfId="0" applyFont="1" applyAlignment="1">
      <alignment horizontal="center"/>
    </xf>
    <xf numFmtId="10" fontId="106" fillId="0" borderId="0" xfId="39" applyNumberFormat="1" applyFont="1" applyAlignment="1">
      <alignment horizontal="center"/>
    </xf>
    <xf numFmtId="14" fontId="7" fillId="0" borderId="0" xfId="32" applyNumberFormat="1" applyFont="1" applyBorder="1" applyAlignment="1">
      <alignment horizontal="center"/>
    </xf>
    <xf numFmtId="167" fontId="95" fillId="0" borderId="0" xfId="32" applyFont="1" applyBorder="1"/>
    <xf numFmtId="14" fontId="67" fillId="0" borderId="0" xfId="0" applyNumberFormat="1" applyFont="1"/>
    <xf numFmtId="179" fontId="67" fillId="0" borderId="10" xfId="0" applyNumberFormat="1" applyFont="1" applyBorder="1" applyAlignment="1">
      <alignment horizontal="center"/>
    </xf>
    <xf numFmtId="179" fontId="64" fillId="0" borderId="10" xfId="0" applyNumberFormat="1" applyFont="1" applyBorder="1" applyAlignment="1">
      <alignment horizontal="center"/>
    </xf>
    <xf numFmtId="167" fontId="73" fillId="0" borderId="10" xfId="32" applyFont="1" applyFill="1" applyBorder="1"/>
    <xf numFmtId="167" fontId="66" fillId="0" borderId="10" xfId="32" applyFont="1" applyFill="1" applyBorder="1" applyAlignment="1">
      <alignment horizontal="center"/>
    </xf>
    <xf numFmtId="167" fontId="66" fillId="0" borderId="10" xfId="32" applyFont="1" applyFill="1" applyBorder="1"/>
    <xf numFmtId="169" fontId="73" fillId="0" borderId="10" xfId="32" applyNumberFormat="1" applyFont="1" applyBorder="1" applyAlignment="1">
      <alignment horizontal="center"/>
    </xf>
    <xf numFmtId="175" fontId="73" fillId="0" borderId="10" xfId="39" applyNumberFormat="1" applyFont="1" applyFill="1" applyBorder="1" applyAlignment="1">
      <alignment horizontal="center"/>
    </xf>
    <xf numFmtId="14" fontId="73" fillId="0" borderId="15" xfId="0" applyNumberFormat="1" applyFont="1" applyBorder="1" applyAlignment="1">
      <alignment horizontal="center"/>
    </xf>
    <xf numFmtId="14" fontId="66" fillId="0" borderId="15" xfId="0" applyNumberFormat="1" applyFont="1" applyBorder="1" applyAlignment="1">
      <alignment horizontal="center"/>
    </xf>
    <xf numFmtId="14" fontId="73" fillId="0" borderId="13" xfId="32" applyNumberFormat="1" applyFont="1" applyFill="1" applyBorder="1" applyAlignment="1">
      <alignment horizontal="center"/>
    </xf>
    <xf numFmtId="44" fontId="85" fillId="0" borderId="13" xfId="0" applyNumberFormat="1" applyFont="1" applyBorder="1"/>
    <xf numFmtId="14" fontId="7" fillId="0" borderId="48" xfId="0" applyNumberFormat="1" applyFont="1" applyBorder="1" applyAlignment="1">
      <alignment horizontal="center"/>
    </xf>
    <xf numFmtId="14" fontId="7" fillId="0" borderId="49" xfId="0" applyNumberFormat="1" applyFont="1" applyBorder="1"/>
    <xf numFmtId="0" fontId="7" fillId="0" borderId="49" xfId="0" applyFont="1" applyBorder="1" applyAlignment="1">
      <alignment horizontal="center"/>
    </xf>
    <xf numFmtId="167" fontId="7" fillId="0" borderId="49" xfId="32" applyFont="1" applyBorder="1" applyAlignment="1">
      <alignment horizontal="center"/>
    </xf>
    <xf numFmtId="0" fontId="10" fillId="0" borderId="49" xfId="0" applyFont="1" applyBorder="1"/>
    <xf numFmtId="167" fontId="67" fillId="0" borderId="49" xfId="0" applyNumberFormat="1" applyFont="1" applyBorder="1"/>
    <xf numFmtId="44" fontId="67" fillId="0" borderId="49" xfId="0" applyNumberFormat="1" applyFont="1" applyBorder="1"/>
    <xf numFmtId="0" fontId="0" fillId="0" borderId="49" xfId="0" applyBorder="1"/>
    <xf numFmtId="44" fontId="10" fillId="0" borderId="49" xfId="0" applyNumberFormat="1" applyFont="1" applyBorder="1"/>
    <xf numFmtId="44" fontId="85" fillId="0" borderId="49" xfId="0" applyNumberFormat="1" applyFont="1" applyBorder="1"/>
    <xf numFmtId="44" fontId="85" fillId="0" borderId="50" xfId="0" applyNumberFormat="1" applyFont="1" applyBorder="1"/>
    <xf numFmtId="167" fontId="64" fillId="0" borderId="0" xfId="32" applyFont="1" applyAlignment="1">
      <alignment horizontal="center"/>
    </xf>
    <xf numFmtId="170" fontId="67" fillId="0" borderId="0" xfId="39" applyNumberFormat="1" applyFont="1" applyAlignment="1">
      <alignment horizontal="center"/>
    </xf>
    <xf numFmtId="0" fontId="67" fillId="0" borderId="10" xfId="0" applyFont="1" applyBorder="1"/>
    <xf numFmtId="0" fontId="67" fillId="0" borderId="49" xfId="0" applyFont="1" applyBorder="1"/>
    <xf numFmtId="167" fontId="65" fillId="0" borderId="65" xfId="32" applyFont="1" applyFill="1" applyBorder="1" applyAlignment="1">
      <alignment horizontal="center"/>
    </xf>
    <xf numFmtId="167" fontId="0" fillId="0" borderId="59" xfId="32" applyFont="1" applyBorder="1"/>
    <xf numFmtId="167" fontId="0" fillId="0" borderId="45" xfId="32" applyFont="1" applyBorder="1"/>
    <xf numFmtId="14" fontId="7" fillId="0" borderId="10" xfId="0" applyNumberFormat="1" applyFont="1" applyBorder="1" applyAlignment="1">
      <alignment horizontal="left"/>
    </xf>
    <xf numFmtId="44" fontId="10" fillId="0" borderId="0" xfId="63" applyFont="1"/>
    <xf numFmtId="10" fontId="102" fillId="0" borderId="0" xfId="39" applyNumberFormat="1" applyFont="1" applyAlignment="1">
      <alignment horizontal="center"/>
    </xf>
    <xf numFmtId="44" fontId="10" fillId="0" borderId="0" xfId="63" applyFont="1" applyAlignment="1">
      <alignment horizontal="center"/>
    </xf>
    <xf numFmtId="166" fontId="0" fillId="0" borderId="0" xfId="50" applyFont="1"/>
    <xf numFmtId="0" fontId="10" fillId="0" borderId="73" xfId="0" applyFont="1" applyBorder="1" applyAlignment="1">
      <alignment horizontal="center"/>
    </xf>
    <xf numFmtId="170" fontId="0" fillId="0" borderId="0" xfId="39" applyNumberFormat="1" applyFont="1" applyAlignment="1">
      <alignment horizontal="center"/>
    </xf>
    <xf numFmtId="167" fontId="26" fillId="0" borderId="30" xfId="32" applyFont="1" applyFill="1" applyBorder="1"/>
    <xf numFmtId="167" fontId="6" fillId="0" borderId="72" xfId="32" applyFont="1" applyFill="1" applyBorder="1"/>
    <xf numFmtId="167" fontId="16" fillId="0" borderId="41" xfId="32" applyFont="1" applyFill="1" applyBorder="1" applyAlignment="1">
      <alignment horizontal="center"/>
    </xf>
    <xf numFmtId="167" fontId="26" fillId="0" borderId="0" xfId="32" applyFont="1" applyAlignment="1">
      <alignment horizontal="left"/>
    </xf>
    <xf numFmtId="167" fontId="65" fillId="0" borderId="85" xfId="32" applyFont="1" applyFill="1" applyBorder="1" applyAlignment="1">
      <alignment horizontal="center"/>
    </xf>
    <xf numFmtId="167" fontId="65" fillId="0" borderId="151" xfId="57" applyFont="1" applyFill="1" applyBorder="1"/>
    <xf numFmtId="167" fontId="65" fillId="0" borderId="13" xfId="32" applyFont="1" applyFill="1" applyBorder="1"/>
    <xf numFmtId="0" fontId="73" fillId="0" borderId="10" xfId="0" applyFont="1" applyBorder="1"/>
    <xf numFmtId="14" fontId="65" fillId="0" borderId="0" xfId="32" applyNumberFormat="1" applyFont="1" applyAlignment="1">
      <alignment horizontal="center"/>
    </xf>
    <xf numFmtId="170" fontId="26" fillId="0" borderId="0" xfId="39" applyNumberFormat="1" applyFont="1" applyAlignment="1">
      <alignment horizontal="center"/>
    </xf>
    <xf numFmtId="170" fontId="65" fillId="0" borderId="0" xfId="39" applyNumberFormat="1" applyFont="1" applyAlignment="1">
      <alignment horizontal="center"/>
    </xf>
    <xf numFmtId="167" fontId="67" fillId="0" borderId="0" xfId="32" applyFont="1"/>
    <xf numFmtId="167" fontId="26" fillId="0" borderId="85" xfId="32" applyFont="1" applyFill="1" applyBorder="1" applyAlignment="1">
      <alignment horizontal="center"/>
    </xf>
    <xf numFmtId="14" fontId="98" fillId="38" borderId="118" xfId="56" applyNumberFormat="1" applyFont="1" applyFill="1" applyBorder="1" applyAlignment="1">
      <alignment horizontal="center"/>
    </xf>
    <xf numFmtId="14" fontId="74" fillId="0" borderId="118" xfId="56" applyNumberFormat="1" applyFont="1" applyBorder="1" applyAlignment="1">
      <alignment horizontal="center"/>
    </xf>
    <xf numFmtId="166" fontId="102" fillId="0" borderId="0" xfId="50" applyFont="1" applyAlignment="1">
      <alignment horizontal="center"/>
    </xf>
    <xf numFmtId="166" fontId="102" fillId="0" borderId="0" xfId="50" applyFont="1"/>
    <xf numFmtId="166" fontId="67" fillId="0" borderId="0" xfId="50" applyFont="1" applyAlignment="1">
      <alignment horizontal="center"/>
    </xf>
    <xf numFmtId="166" fontId="64" fillId="0" borderId="0" xfId="50" applyFont="1" applyAlignment="1">
      <alignment horizontal="center"/>
    </xf>
    <xf numFmtId="166" fontId="103" fillId="0" borderId="0" xfId="50" applyFont="1"/>
    <xf numFmtId="166" fontId="7" fillId="0" borderId="0" xfId="50" applyFont="1" applyAlignment="1">
      <alignment horizontal="center"/>
    </xf>
    <xf numFmtId="166" fontId="66" fillId="0" borderId="0" xfId="50" applyFont="1"/>
    <xf numFmtId="166" fontId="67" fillId="0" borderId="0" xfId="50" applyFont="1"/>
    <xf numFmtId="166" fontId="102" fillId="0" borderId="0" xfId="50" applyFont="1" applyAlignment="1">
      <alignment horizontal="right"/>
    </xf>
    <xf numFmtId="166" fontId="7" fillId="0" borderId="0" xfId="50" applyFont="1"/>
    <xf numFmtId="9" fontId="106" fillId="0" borderId="0" xfId="39" applyFont="1" applyAlignment="1">
      <alignment horizontal="center"/>
    </xf>
    <xf numFmtId="0" fontId="94" fillId="0" borderId="0" xfId="62" applyFont="1" applyAlignment="1">
      <alignment horizontal="center" wrapText="1"/>
    </xf>
    <xf numFmtId="0" fontId="103" fillId="0" borderId="0" xfId="62" applyFont="1" applyAlignment="1">
      <alignment horizontal="center" wrapText="1"/>
    </xf>
    <xf numFmtId="44" fontId="103" fillId="0" borderId="0" xfId="63" applyFont="1" applyAlignment="1">
      <alignment horizontal="center" wrapText="1"/>
    </xf>
    <xf numFmtId="166" fontId="103" fillId="0" borderId="0" xfId="50" applyFont="1" applyAlignment="1">
      <alignment horizontal="center" wrapText="1"/>
    </xf>
    <xf numFmtId="166" fontId="67" fillId="0" borderId="0" xfId="50" applyFont="1" applyAlignment="1">
      <alignment horizontal="center" wrapText="1"/>
    </xf>
    <xf numFmtId="166" fontId="64" fillId="0" borderId="0" xfId="50" applyFont="1" applyAlignment="1">
      <alignment horizontal="center" wrapText="1"/>
    </xf>
    <xf numFmtId="10" fontId="67" fillId="0" borderId="0" xfId="39" applyNumberFormat="1" applyFont="1" applyAlignment="1">
      <alignment horizontal="center"/>
    </xf>
    <xf numFmtId="166" fontId="66" fillId="0" borderId="0" xfId="50" applyFont="1" applyAlignment="1">
      <alignment horizontal="center"/>
    </xf>
    <xf numFmtId="44" fontId="7" fillId="0" borderId="0" xfId="63" applyFont="1" applyFill="1"/>
    <xf numFmtId="10" fontId="66" fillId="0" borderId="0" xfId="39" applyNumberFormat="1" applyFont="1" applyAlignment="1">
      <alignment horizontal="center"/>
    </xf>
    <xf numFmtId="9" fontId="66" fillId="0" borderId="0" xfId="39" applyFont="1"/>
    <xf numFmtId="172" fontId="102" fillId="0" borderId="0" xfId="50" applyNumberFormat="1" applyFont="1"/>
    <xf numFmtId="166" fontId="103" fillId="0" borderId="0" xfId="50" applyFont="1" applyFill="1" applyBorder="1"/>
    <xf numFmtId="166" fontId="103" fillId="0" borderId="0" xfId="50" applyFont="1" applyFill="1" applyBorder="1" applyAlignment="1">
      <alignment horizontal="center"/>
    </xf>
    <xf numFmtId="166" fontId="10" fillId="0" borderId="0" xfId="50" applyFont="1" applyFill="1" applyBorder="1"/>
    <xf numFmtId="10" fontId="103" fillId="0" borderId="0" xfId="62" applyNumberFormat="1" applyFont="1"/>
    <xf numFmtId="0" fontId="67" fillId="0" borderId="0" xfId="62" applyFont="1" applyAlignment="1">
      <alignment horizontal="center" wrapText="1"/>
    </xf>
    <xf numFmtId="44" fontId="74" fillId="0" borderId="0" xfId="37" applyNumberFormat="1" applyFont="1"/>
    <xf numFmtId="166" fontId="65" fillId="0" borderId="0" xfId="50" quotePrefix="1" applyFont="1" applyBorder="1" applyAlignment="1">
      <alignment horizontal="center"/>
    </xf>
    <xf numFmtId="0" fontId="74" fillId="0" borderId="0" xfId="37" applyFont="1" applyAlignment="1">
      <alignment horizontal="left"/>
    </xf>
    <xf numFmtId="166" fontId="74" fillId="0" borderId="0" xfId="50" quotePrefix="1" applyFont="1" applyBorder="1" applyAlignment="1">
      <alignment horizontal="center"/>
    </xf>
    <xf numFmtId="167" fontId="74" fillId="0" borderId="0" xfId="32" applyFont="1" applyAlignment="1">
      <alignment horizontal="center"/>
    </xf>
    <xf numFmtId="166" fontId="74" fillId="0" borderId="0" xfId="50" applyFont="1"/>
    <xf numFmtId="14" fontId="74" fillId="32" borderId="118" xfId="56" applyNumberFormat="1" applyFont="1" applyFill="1" applyBorder="1" applyAlignment="1">
      <alignment horizontal="center"/>
    </xf>
    <xf numFmtId="167" fontId="65" fillId="32" borderId="100" xfId="57" applyFont="1" applyFill="1" applyBorder="1" applyAlignment="1">
      <alignment horizontal="center"/>
    </xf>
    <xf numFmtId="0" fontId="65" fillId="32" borderId="100" xfId="56" applyFont="1" applyFill="1" applyBorder="1" applyAlignment="1">
      <alignment horizontal="center"/>
    </xf>
    <xf numFmtId="167" fontId="65" fillId="32" borderId="129" xfId="57" applyFont="1" applyFill="1" applyBorder="1" applyAlignment="1">
      <alignment horizontal="center"/>
    </xf>
    <xf numFmtId="14" fontId="73" fillId="0" borderId="10" xfId="0" applyNumberFormat="1" applyFont="1" applyBorder="1"/>
    <xf numFmtId="167" fontId="64" fillId="0" borderId="0" xfId="32" applyFont="1"/>
    <xf numFmtId="167" fontId="73" fillId="0" borderId="0" xfId="32" applyFont="1"/>
    <xf numFmtId="0" fontId="65" fillId="0" borderId="45" xfId="37" applyFont="1" applyBorder="1"/>
    <xf numFmtId="0" fontId="65" fillId="0" borderId="52" xfId="37" applyFont="1" applyBorder="1" applyAlignment="1">
      <alignment horizontal="center"/>
    </xf>
    <xf numFmtId="167" fontId="65" fillId="26" borderId="24" xfId="32" applyFont="1" applyFill="1" applyBorder="1" applyAlignment="1">
      <alignment horizontal="center"/>
    </xf>
    <xf numFmtId="167" fontId="65" fillId="26" borderId="43" xfId="32" applyFont="1" applyFill="1" applyBorder="1" applyAlignment="1">
      <alignment horizontal="center"/>
    </xf>
    <xf numFmtId="167" fontId="111" fillId="0" borderId="0" xfId="32" applyFont="1" applyBorder="1"/>
    <xf numFmtId="169" fontId="73" fillId="0" borderId="10" xfId="32" applyNumberFormat="1" applyFont="1" applyFill="1" applyBorder="1" applyAlignment="1">
      <alignment horizontal="center"/>
    </xf>
    <xf numFmtId="0" fontId="102" fillId="0" borderId="0" xfId="0" applyFont="1"/>
    <xf numFmtId="10" fontId="7" fillId="0" borderId="0" xfId="39" applyNumberFormat="1" applyFont="1" applyAlignment="1">
      <alignment horizontal="left"/>
    </xf>
    <xf numFmtId="167" fontId="65" fillId="0" borderId="0" xfId="57" applyFont="1" applyFill="1" applyAlignment="1"/>
    <xf numFmtId="167" fontId="7" fillId="0" borderId="0" xfId="32" applyFont="1" applyFill="1" applyBorder="1"/>
    <xf numFmtId="0" fontId="7" fillId="0" borderId="0" xfId="37" applyFont="1"/>
    <xf numFmtId="0" fontId="112" fillId="0" borderId="0" xfId="0" applyFont="1"/>
    <xf numFmtId="167" fontId="65" fillId="0" borderId="118" xfId="57" applyFont="1" applyFill="1" applyBorder="1"/>
    <xf numFmtId="4" fontId="90" fillId="0" borderId="158" xfId="32" applyNumberFormat="1" applyFont="1" applyFill="1" applyBorder="1" applyAlignment="1"/>
    <xf numFmtId="4" fontId="90" fillId="0" borderId="85" xfId="37" applyNumberFormat="1" applyFont="1" applyBorder="1"/>
    <xf numFmtId="4" fontId="90" fillId="0" borderId="85" xfId="32" applyNumberFormat="1" applyFont="1" applyFill="1" applyBorder="1" applyAlignment="1"/>
    <xf numFmtId="0" fontId="90" fillId="0" borderId="85" xfId="37" applyFont="1" applyBorder="1"/>
    <xf numFmtId="167" fontId="32" fillId="0" borderId="159" xfId="32" applyFont="1" applyBorder="1"/>
    <xf numFmtId="0" fontId="16" fillId="0" borderId="59" xfId="37" applyBorder="1"/>
    <xf numFmtId="44" fontId="16" fillId="0" borderId="36" xfId="37" applyNumberFormat="1" applyBorder="1"/>
    <xf numFmtId="44" fontId="16" fillId="0" borderId="13" xfId="37" applyNumberFormat="1" applyBorder="1"/>
    <xf numFmtId="169" fontId="66" fillId="0" borderId="10" xfId="32" applyNumberFormat="1" applyFont="1" applyBorder="1" applyAlignment="1">
      <alignment horizontal="center"/>
    </xf>
    <xf numFmtId="167" fontId="7" fillId="0" borderId="61" xfId="32" applyFont="1" applyBorder="1" applyAlignment="1">
      <alignment horizontal="center"/>
    </xf>
    <xf numFmtId="14" fontId="66" fillId="0" borderId="34" xfId="0" applyNumberFormat="1" applyFont="1" applyBorder="1" applyAlignment="1">
      <alignment horizontal="center"/>
    </xf>
    <xf numFmtId="0" fontId="66" fillId="0" borderId="35" xfId="0" applyFont="1" applyBorder="1"/>
    <xf numFmtId="0" fontId="66" fillId="0" borderId="35" xfId="0" applyFont="1" applyBorder="1" applyAlignment="1">
      <alignment horizontal="center"/>
    </xf>
    <xf numFmtId="167" fontId="66" fillId="0" borderId="35" xfId="32" applyFont="1" applyBorder="1" applyAlignment="1">
      <alignment horizontal="center"/>
    </xf>
    <xf numFmtId="167" fontId="66" fillId="26" borderId="35" xfId="32" applyFont="1" applyFill="1" applyBorder="1"/>
    <xf numFmtId="167" fontId="67" fillId="0" borderId="35" xfId="32" applyFont="1" applyBorder="1"/>
    <xf numFmtId="44" fontId="67" fillId="0" borderId="35" xfId="0" applyNumberFormat="1" applyFont="1" applyBorder="1"/>
    <xf numFmtId="10" fontId="67" fillId="0" borderId="35" xfId="39" applyNumberFormat="1" applyFont="1" applyBorder="1"/>
    <xf numFmtId="179" fontId="67" fillId="0" borderId="35" xfId="0" applyNumberFormat="1" applyFont="1" applyBorder="1" applyAlignment="1">
      <alignment horizontal="center"/>
    </xf>
    <xf numFmtId="167" fontId="66" fillId="0" borderId="35" xfId="32" applyFont="1" applyFill="1" applyBorder="1"/>
    <xf numFmtId="175" fontId="73" fillId="0" borderId="35" xfId="39" applyNumberFormat="1" applyFont="1" applyFill="1" applyBorder="1" applyAlignment="1">
      <alignment horizontal="center"/>
    </xf>
    <xf numFmtId="14" fontId="73" fillId="0" borderId="36" xfId="32" applyNumberFormat="1" applyFont="1" applyFill="1" applyBorder="1" applyAlignment="1">
      <alignment horizontal="center"/>
    </xf>
    <xf numFmtId="14" fontId="66" fillId="0" borderId="49" xfId="0" applyNumberFormat="1" applyFont="1" applyBorder="1" applyAlignment="1">
      <alignment horizontal="center"/>
    </xf>
    <xf numFmtId="0" fontId="111" fillId="0" borderId="0" xfId="37" applyFont="1" applyAlignment="1">
      <alignment horizontal="left"/>
    </xf>
    <xf numFmtId="172" fontId="111" fillId="0" borderId="0" xfId="50" applyNumberFormat="1" applyFont="1" applyBorder="1" applyAlignment="1">
      <alignment horizontal="left"/>
    </xf>
    <xf numFmtId="167" fontId="111" fillId="0" borderId="0" xfId="32" applyFont="1" applyBorder="1" applyAlignment="1">
      <alignment horizontal="left"/>
    </xf>
    <xf numFmtId="167" fontId="6" fillId="0" borderId="0" xfId="32" applyFont="1" applyBorder="1" applyAlignment="1">
      <alignment wrapText="1"/>
    </xf>
    <xf numFmtId="166" fontId="66" fillId="0" borderId="0" xfId="50" applyFont="1" applyFill="1" applyAlignment="1">
      <alignment horizontal="center"/>
    </xf>
    <xf numFmtId="10" fontId="66" fillId="0" borderId="0" xfId="39" applyNumberFormat="1" applyFont="1" applyFill="1" applyAlignment="1">
      <alignment horizontal="center"/>
    </xf>
    <xf numFmtId="166" fontId="64" fillId="0" borderId="0" xfId="50" applyFont="1" applyFill="1" applyAlignment="1">
      <alignment horizontal="center"/>
    </xf>
    <xf numFmtId="166" fontId="102" fillId="0" borderId="0" xfId="50" applyFont="1" applyFill="1" applyAlignment="1">
      <alignment horizontal="center"/>
    </xf>
    <xf numFmtId="0" fontId="103" fillId="32" borderId="12" xfId="62" applyFont="1" applyFill="1" applyBorder="1" applyAlignment="1">
      <alignment wrapText="1"/>
    </xf>
    <xf numFmtId="166" fontId="103" fillId="0" borderId="0" xfId="50" applyFont="1" applyFill="1" applyBorder="1" applyAlignment="1"/>
    <xf numFmtId="166" fontId="102" fillId="0" borderId="0" xfId="50" applyFont="1" applyAlignment="1"/>
    <xf numFmtId="166" fontId="66" fillId="0" borderId="0" xfId="50" applyFont="1" applyAlignment="1"/>
    <xf numFmtId="166" fontId="7" fillId="0" borderId="0" xfId="50" applyFont="1" applyAlignment="1"/>
    <xf numFmtId="166" fontId="103" fillId="0" borderId="0" xfId="50" applyFont="1" applyAlignment="1"/>
    <xf numFmtId="9" fontId="106" fillId="0" borderId="0" xfId="39" applyFont="1" applyAlignment="1"/>
    <xf numFmtId="49" fontId="95" fillId="0" borderId="118" xfId="61" applyNumberFormat="1" applyBorder="1" applyAlignment="1"/>
    <xf numFmtId="49" fontId="95" fillId="0" borderId="129" xfId="61" applyNumberFormat="1" applyBorder="1" applyAlignment="1"/>
    <xf numFmtId="0" fontId="95" fillId="0" borderId="118" xfId="56" applyBorder="1" applyAlignment="1">
      <alignment horizontal="center"/>
    </xf>
    <xf numFmtId="0" fontId="65" fillId="32" borderId="118" xfId="56" applyFont="1" applyFill="1" applyBorder="1" applyAlignment="1">
      <alignment horizontal="center"/>
    </xf>
    <xf numFmtId="0" fontId="95" fillId="0" borderId="68" xfId="56" applyBorder="1"/>
    <xf numFmtId="0" fontId="95" fillId="0" borderId="41" xfId="56" applyBorder="1"/>
    <xf numFmtId="167" fontId="65" fillId="0" borderId="162" xfId="57" applyFont="1" applyBorder="1" applyAlignment="1">
      <alignment horizontal="center"/>
    </xf>
    <xf numFmtId="167" fontId="65" fillId="32" borderId="163" xfId="57" applyFont="1" applyFill="1" applyBorder="1" applyAlignment="1">
      <alignment horizontal="center"/>
    </xf>
    <xf numFmtId="167" fontId="65" fillId="0" borderId="163" xfId="57" applyFont="1" applyFill="1" applyBorder="1" applyAlignment="1">
      <alignment horizontal="center"/>
    </xf>
    <xf numFmtId="167" fontId="65" fillId="0" borderId="163" xfId="57" applyFont="1" applyBorder="1" applyAlignment="1">
      <alignment horizontal="center"/>
    </xf>
    <xf numFmtId="167" fontId="6" fillId="0" borderId="0" xfId="32" quotePrefix="1" applyFont="1" applyBorder="1" applyAlignment="1">
      <alignment horizontal="center"/>
    </xf>
    <xf numFmtId="167" fontId="65" fillId="0" borderId="15" xfId="57" applyFont="1" applyBorder="1" applyAlignment="1">
      <alignment horizontal="center"/>
    </xf>
    <xf numFmtId="167" fontId="26" fillId="0" borderId="0" xfId="32" quotePrefix="1" applyFont="1" applyAlignment="1">
      <alignment horizontal="left"/>
    </xf>
    <xf numFmtId="0" fontId="10" fillId="0" borderId="0" xfId="0" quotePrefix="1" applyFont="1" applyAlignment="1">
      <alignment horizontal="center"/>
    </xf>
    <xf numFmtId="3" fontId="7" fillId="0" borderId="0" xfId="5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167" fontId="7" fillId="0" borderId="0" xfId="32" applyFont="1" applyAlignment="1">
      <alignment horizontal="center"/>
    </xf>
    <xf numFmtId="44" fontId="7" fillId="0" borderId="0" xfId="0" applyNumberFormat="1" applyFont="1"/>
    <xf numFmtId="3" fontId="6" fillId="0" borderId="0" xfId="5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70" fillId="0" borderId="93" xfId="56" applyFont="1" applyBorder="1" applyAlignment="1">
      <alignment horizontal="right"/>
    </xf>
    <xf numFmtId="0" fontId="70" fillId="0" borderId="94" xfId="56" applyFont="1" applyBorder="1" applyAlignment="1">
      <alignment horizontal="right"/>
    </xf>
    <xf numFmtId="0" fontId="81" fillId="0" borderId="93" xfId="56" applyFont="1" applyBorder="1" applyAlignment="1">
      <alignment horizontal="right"/>
    </xf>
    <xf numFmtId="0" fontId="81" fillId="0" borderId="94" xfId="56" applyFont="1" applyBorder="1" applyAlignment="1">
      <alignment horizontal="right"/>
    </xf>
    <xf numFmtId="0" fontId="70" fillId="0" borderId="95" xfId="56" applyFont="1" applyBorder="1" applyAlignment="1">
      <alignment horizontal="right"/>
    </xf>
    <xf numFmtId="0" fontId="81" fillId="0" borderId="95" xfId="56" applyFont="1" applyBorder="1" applyAlignment="1">
      <alignment horizontal="right"/>
    </xf>
    <xf numFmtId="0" fontId="70" fillId="0" borderId="141" xfId="56" applyFont="1" applyBorder="1" applyAlignment="1">
      <alignment horizontal="right"/>
    </xf>
    <xf numFmtId="0" fontId="70" fillId="0" borderId="146" xfId="56" applyFont="1" applyBorder="1" applyAlignment="1">
      <alignment horizontal="right"/>
    </xf>
    <xf numFmtId="0" fontId="70" fillId="0" borderId="103" xfId="56" applyFont="1" applyBorder="1" applyAlignment="1">
      <alignment horizontal="right"/>
    </xf>
    <xf numFmtId="0" fontId="81" fillId="0" borderId="99" xfId="56" applyFont="1" applyBorder="1" applyAlignment="1">
      <alignment horizontal="right"/>
    </xf>
    <xf numFmtId="167" fontId="95" fillId="0" borderId="0" xfId="32" applyFont="1"/>
    <xf numFmtId="167" fontId="40" fillId="0" borderId="0" xfId="57" applyFont="1" applyBorder="1" applyAlignment="1">
      <alignment horizontal="center"/>
    </xf>
    <xf numFmtId="165" fontId="97" fillId="0" borderId="0" xfId="61" applyFont="1" applyBorder="1" applyAlignment="1">
      <alignment horizontal="center"/>
    </xf>
    <xf numFmtId="0" fontId="40" fillId="0" borderId="0" xfId="56" applyFont="1" applyAlignment="1">
      <alignment horizontal="center"/>
    </xf>
    <xf numFmtId="167" fontId="69" fillId="0" borderId="0" xfId="57" applyFont="1" applyBorder="1" applyAlignment="1">
      <alignment horizontal="center"/>
    </xf>
    <xf numFmtId="167" fontId="69" fillId="0" borderId="105" xfId="57" applyFont="1" applyBorder="1" applyAlignment="1">
      <alignment horizontal="center"/>
    </xf>
    <xf numFmtId="167" fontId="65" fillId="0" borderId="97" xfId="57" applyFont="1" applyBorder="1" applyAlignment="1">
      <alignment horizontal="center"/>
    </xf>
    <xf numFmtId="167" fontId="69" fillId="0" borderId="147" xfId="57" applyFont="1" applyBorder="1" applyAlignment="1">
      <alignment horizontal="center"/>
    </xf>
    <xf numFmtId="0" fontId="81" fillId="0" borderId="0" xfId="56" applyFont="1" applyAlignment="1">
      <alignment horizontal="center"/>
    </xf>
    <xf numFmtId="165" fontId="97" fillId="0" borderId="0" xfId="61" applyFont="1" applyAlignment="1">
      <alignment horizontal="center"/>
    </xf>
    <xf numFmtId="14" fontId="95" fillId="0" borderId="0" xfId="32" applyNumberFormat="1" applyFont="1" applyAlignment="1">
      <alignment horizontal="center"/>
    </xf>
    <xf numFmtId="14" fontId="95" fillId="0" borderId="0" xfId="32" applyNumberFormat="1" applyFont="1" applyBorder="1" applyAlignment="1">
      <alignment horizontal="center"/>
    </xf>
    <xf numFmtId="14" fontId="26" fillId="0" borderId="0" xfId="32" applyNumberFormat="1" applyFont="1" applyFill="1" applyBorder="1" applyAlignment="1">
      <alignment horizontal="center"/>
    </xf>
    <xf numFmtId="167" fontId="69" fillId="0" borderId="0" xfId="32" applyFont="1" applyFill="1" applyAlignment="1">
      <alignment horizontal="right"/>
    </xf>
    <xf numFmtId="176" fontId="66" fillId="0" borderId="0" xfId="39" applyNumberFormat="1" applyFont="1"/>
    <xf numFmtId="167" fontId="65" fillId="0" borderId="162" xfId="57" applyFont="1" applyFill="1" applyBorder="1" applyAlignment="1">
      <alignment horizontal="center"/>
    </xf>
    <xf numFmtId="167" fontId="69" fillId="0" borderId="0" xfId="32" applyFont="1" applyFill="1" applyBorder="1"/>
    <xf numFmtId="44" fontId="32" fillId="0" borderId="0" xfId="37" applyNumberFormat="1" applyFont="1" applyAlignment="1">
      <alignment horizontal="left"/>
    </xf>
    <xf numFmtId="172" fontId="0" fillId="0" borderId="0" xfId="50" applyNumberFormat="1" applyFont="1" applyAlignment="1">
      <alignment horizontal="center"/>
    </xf>
    <xf numFmtId="167" fontId="113" fillId="0" borderId="0" xfId="32" applyFont="1"/>
    <xf numFmtId="167" fontId="16" fillId="43" borderId="0" xfId="32" applyFont="1" applyFill="1" applyAlignment="1">
      <alignment horizontal="left"/>
    </xf>
    <xf numFmtId="167" fontId="16" fillId="0" borderId="0" xfId="37" applyNumberFormat="1" applyAlignment="1">
      <alignment horizontal="left"/>
    </xf>
    <xf numFmtId="44" fontId="16" fillId="0" borderId="0" xfId="37" applyNumberFormat="1" applyAlignment="1">
      <alignment horizontal="left"/>
    </xf>
    <xf numFmtId="44" fontId="65" fillId="0" borderId="0" xfId="37" applyNumberFormat="1" applyFont="1" applyAlignment="1">
      <alignment horizontal="left"/>
    </xf>
    <xf numFmtId="176" fontId="0" fillId="0" borderId="0" xfId="39" quotePrefix="1" applyNumberFormat="1" applyFont="1"/>
    <xf numFmtId="177" fontId="6" fillId="0" borderId="0" xfId="56" applyNumberFormat="1" applyFont="1"/>
    <xf numFmtId="167" fontId="26" fillId="0" borderId="47" xfId="32" applyFont="1" applyFill="1" applyBorder="1"/>
    <xf numFmtId="167" fontId="69" fillId="0" borderId="102" xfId="57" applyFont="1" applyBorder="1" applyAlignment="1">
      <alignment horizontal="center"/>
    </xf>
    <xf numFmtId="14" fontId="98" fillId="0" borderId="164" xfId="56" applyNumberFormat="1" applyFont="1" applyBorder="1" applyAlignment="1">
      <alignment horizontal="center"/>
    </xf>
    <xf numFmtId="167" fontId="65" fillId="0" borderId="150" xfId="57" applyFont="1" applyFill="1" applyBorder="1" applyAlignment="1">
      <alignment horizontal="center"/>
    </xf>
    <xf numFmtId="14" fontId="98" fillId="0" borderId="151" xfId="56" applyNumberFormat="1" applyFont="1" applyBorder="1" applyAlignment="1">
      <alignment horizontal="center"/>
    </xf>
    <xf numFmtId="176" fontId="7" fillId="0" borderId="0" xfId="39" quotePrefix="1" applyNumberFormat="1" applyFont="1"/>
    <xf numFmtId="167" fontId="65" fillId="0" borderId="152" xfId="57" applyFont="1" applyFill="1" applyBorder="1" applyAlignment="1">
      <alignment horizontal="center"/>
    </xf>
    <xf numFmtId="14" fontId="95" fillId="0" borderId="0" xfId="56" applyNumberFormat="1" applyAlignment="1">
      <alignment horizontal="center"/>
    </xf>
    <xf numFmtId="176" fontId="66" fillId="0" borderId="0" xfId="39" applyNumberFormat="1" applyFont="1" applyFill="1" applyBorder="1"/>
    <xf numFmtId="14" fontId="0" fillId="0" borderId="0" xfId="32" applyNumberFormat="1" applyFont="1" applyBorder="1" applyAlignment="1"/>
    <xf numFmtId="14" fontId="7" fillId="0" borderId="0" xfId="32" applyNumberFormat="1" applyFont="1" applyBorder="1" applyAlignment="1"/>
    <xf numFmtId="167" fontId="26" fillId="0" borderId="65" xfId="32" applyFont="1" applyFill="1" applyBorder="1"/>
    <xf numFmtId="167" fontId="6" fillId="0" borderId="59" xfId="32" applyFont="1" applyFill="1" applyBorder="1"/>
    <xf numFmtId="167" fontId="111" fillId="0" borderId="0" xfId="32" applyFont="1" applyAlignment="1">
      <alignment horizontal="center"/>
    </xf>
    <xf numFmtId="167" fontId="65" fillId="0" borderId="0" xfId="32" applyFont="1" applyBorder="1"/>
    <xf numFmtId="0" fontId="111" fillId="0" borderId="0" xfId="37" applyFont="1" applyAlignment="1">
      <alignment horizontal="right"/>
    </xf>
    <xf numFmtId="0" fontId="111" fillId="0" borderId="0" xfId="37" applyFont="1"/>
    <xf numFmtId="14" fontId="16" fillId="0" borderId="0" xfId="37" applyNumberFormat="1" applyAlignment="1">
      <alignment horizontal="center"/>
    </xf>
    <xf numFmtId="14" fontId="65" fillId="0" borderId="0" xfId="37" applyNumberFormat="1" applyFont="1" applyAlignment="1">
      <alignment horizontal="center"/>
    </xf>
    <xf numFmtId="14" fontId="65" fillId="0" borderId="0" xfId="32" applyNumberFormat="1" applyFont="1" applyBorder="1" applyAlignment="1">
      <alignment horizontal="center"/>
    </xf>
    <xf numFmtId="10" fontId="16" fillId="0" borderId="0" xfId="39" applyNumberFormat="1" applyFont="1" applyFill="1" applyAlignment="1">
      <alignment horizontal="center"/>
    </xf>
    <xf numFmtId="10" fontId="65" fillId="0" borderId="0" xfId="37" applyNumberFormat="1" applyFont="1" applyAlignment="1">
      <alignment horizontal="center"/>
    </xf>
    <xf numFmtId="0" fontId="6" fillId="0" borderId="85" xfId="37" applyFont="1" applyBorder="1" applyAlignment="1">
      <alignment horizontal="center"/>
    </xf>
    <xf numFmtId="49" fontId="95" fillId="0" borderId="166" xfId="61" applyNumberFormat="1" applyBorder="1" applyAlignment="1"/>
    <xf numFmtId="49" fontId="95" fillId="0" borderId="167" xfId="61" applyNumberFormat="1" applyBorder="1" applyAlignment="1"/>
    <xf numFmtId="0" fontId="6" fillId="0" borderId="88" xfId="37" applyFont="1" applyBorder="1" applyAlignment="1">
      <alignment horizontal="center"/>
    </xf>
    <xf numFmtId="0" fontId="95" fillId="0" borderId="125" xfId="56" applyBorder="1" applyAlignment="1">
      <alignment horizontal="center"/>
    </xf>
    <xf numFmtId="0" fontId="95" fillId="0" borderId="168" xfId="56" applyBorder="1" applyAlignment="1">
      <alignment horizontal="center"/>
    </xf>
    <xf numFmtId="0" fontId="95" fillId="0" borderId="10" xfId="56" applyBorder="1" applyAlignment="1">
      <alignment horizontal="center"/>
    </xf>
    <xf numFmtId="49" fontId="95" fillId="0" borderId="10" xfId="61" applyNumberFormat="1" applyBorder="1" applyAlignment="1">
      <alignment horizontal="center"/>
    </xf>
    <xf numFmtId="166" fontId="3" fillId="0" borderId="0" xfId="50" applyFont="1" applyAlignment="1">
      <alignment horizontal="center"/>
    </xf>
    <xf numFmtId="166" fontId="3" fillId="0" borderId="0" xfId="50" applyFont="1"/>
    <xf numFmtId="166" fontId="3" fillId="0" borderId="0" xfId="50" applyFont="1" applyAlignment="1"/>
    <xf numFmtId="9" fontId="3" fillId="0" borderId="0" xfId="39" applyFont="1"/>
    <xf numFmtId="44" fontId="3" fillId="0" borderId="0" xfId="55" applyFont="1"/>
    <xf numFmtId="0" fontId="3" fillId="0" borderId="0" xfId="54" applyFont="1"/>
    <xf numFmtId="167" fontId="3" fillId="0" borderId="0" xfId="32" applyFont="1"/>
    <xf numFmtId="44" fontId="3" fillId="0" borderId="0" xfId="55" applyFont="1" applyFill="1"/>
    <xf numFmtId="167" fontId="3" fillId="0" borderId="0" xfId="32" applyFont="1" applyFill="1"/>
    <xf numFmtId="167" fontId="95" fillId="0" borderId="0" xfId="32" applyFont="1" applyFill="1"/>
    <xf numFmtId="167" fontId="95" fillId="0" borderId="0" xfId="57" applyFont="1" applyFill="1" applyBorder="1" applyAlignment="1">
      <alignment horizontal="center"/>
    </xf>
    <xf numFmtId="167" fontId="95" fillId="0" borderId="0" xfId="32" applyFont="1" applyFill="1" applyAlignment="1">
      <alignment horizontal="center"/>
    </xf>
    <xf numFmtId="167" fontId="98" fillId="0" borderId="0" xfId="32" applyFont="1" applyFill="1" applyAlignment="1">
      <alignment horizontal="center"/>
    </xf>
    <xf numFmtId="167" fontId="40" fillId="0" borderId="0" xfId="57" applyFont="1" applyFill="1" applyBorder="1" applyAlignment="1">
      <alignment horizontal="center"/>
    </xf>
    <xf numFmtId="44" fontId="74" fillId="0" borderId="0" xfId="56" applyNumberFormat="1" applyFont="1"/>
    <xf numFmtId="167" fontId="65" fillId="0" borderId="47" xfId="32" applyFont="1" applyFill="1" applyBorder="1" applyAlignment="1">
      <alignment horizontal="center"/>
    </xf>
    <xf numFmtId="167" fontId="65" fillId="0" borderId="169" xfId="32" applyFont="1" applyFill="1" applyBorder="1" applyAlignment="1">
      <alignment horizontal="center"/>
    </xf>
    <xf numFmtId="165" fontId="97" fillId="0" borderId="0" xfId="61" applyFont="1" applyFill="1" applyBorder="1" applyAlignment="1"/>
    <xf numFmtId="165" fontId="97" fillId="0" borderId="0" xfId="61" applyFont="1" applyFill="1" applyBorder="1" applyAlignment="1">
      <alignment horizontal="center"/>
    </xf>
    <xf numFmtId="167" fontId="65" fillId="0" borderId="0" xfId="57" applyFont="1" applyFill="1" applyAlignment="1">
      <alignment horizontal="left"/>
    </xf>
    <xf numFmtId="176" fontId="0" fillId="0" borderId="0" xfId="39" applyNumberFormat="1" applyFont="1" applyFill="1"/>
    <xf numFmtId="0" fontId="0" fillId="0" borderId="0" xfId="0" pivotButton="1"/>
    <xf numFmtId="14" fontId="79" fillId="0" borderId="0" xfId="0" applyNumberFormat="1" applyFont="1"/>
    <xf numFmtId="167" fontId="79" fillId="0" borderId="0" xfId="32" applyFont="1" applyAlignment="1">
      <alignment horizontal="center"/>
    </xf>
    <xf numFmtId="2" fontId="79" fillId="0" borderId="0" xfId="0" applyNumberFormat="1" applyFont="1" applyAlignment="1">
      <alignment horizontal="center"/>
    </xf>
    <xf numFmtId="167" fontId="116" fillId="0" borderId="0" xfId="32" applyFont="1" applyAlignment="1">
      <alignment horizontal="center"/>
    </xf>
    <xf numFmtId="44" fontId="77" fillId="0" borderId="0" xfId="0" applyNumberFormat="1" applyFont="1" applyAlignment="1">
      <alignment horizontal="center"/>
    </xf>
    <xf numFmtId="0" fontId="77" fillId="0" borderId="0" xfId="0" applyFont="1"/>
    <xf numFmtId="14" fontId="10" fillId="0" borderId="0" xfId="32" applyNumberFormat="1" applyFont="1" applyBorder="1" applyAlignment="1">
      <alignment horizontal="center"/>
    </xf>
    <xf numFmtId="14" fontId="65" fillId="0" borderId="15" xfId="37" applyNumberFormat="1" applyFont="1" applyBorder="1"/>
    <xf numFmtId="0" fontId="65" fillId="0" borderId="41" xfId="37" applyFont="1" applyBorder="1" applyAlignment="1">
      <alignment horizontal="center"/>
    </xf>
    <xf numFmtId="167" fontId="79" fillId="0" borderId="0" xfId="32" applyFont="1" applyFill="1" applyAlignment="1">
      <alignment horizontal="center"/>
    </xf>
    <xf numFmtId="2" fontId="77" fillId="0" borderId="0" xfId="0" applyNumberFormat="1" applyFont="1" applyAlignment="1">
      <alignment horizontal="center"/>
    </xf>
    <xf numFmtId="10" fontId="64" fillId="0" borderId="0" xfId="39" applyNumberFormat="1" applyFont="1" applyAlignment="1">
      <alignment horizontal="center"/>
    </xf>
    <xf numFmtId="17" fontId="16" fillId="0" borderId="0" xfId="37" applyNumberFormat="1" applyAlignment="1">
      <alignment horizontal="right"/>
    </xf>
    <xf numFmtId="0" fontId="68" fillId="0" borderId="0" xfId="37" applyFont="1" applyAlignment="1">
      <alignment horizontal="center"/>
    </xf>
    <xf numFmtId="167" fontId="26" fillId="0" borderId="52" xfId="32" applyFont="1" applyFill="1" applyBorder="1"/>
    <xf numFmtId="167" fontId="69" fillId="0" borderId="0" xfId="32" applyFont="1" applyAlignment="1"/>
    <xf numFmtId="167" fontId="68" fillId="0" borderId="0" xfId="32" applyFont="1" applyAlignment="1">
      <alignment horizontal="center"/>
    </xf>
    <xf numFmtId="167" fontId="65" fillId="0" borderId="0" xfId="37" applyNumberFormat="1" applyFont="1"/>
    <xf numFmtId="44" fontId="6" fillId="0" borderId="0" xfId="37" applyNumberFormat="1" applyFont="1" applyAlignment="1">
      <alignment horizontal="right"/>
    </xf>
    <xf numFmtId="167" fontId="32" fillId="0" borderId="71" xfId="32" applyFont="1" applyBorder="1"/>
    <xf numFmtId="0" fontId="10" fillId="0" borderId="44" xfId="0" quotePrefix="1" applyFont="1" applyBorder="1" applyAlignment="1">
      <alignment horizontal="center"/>
    </xf>
    <xf numFmtId="1" fontId="7" fillId="0" borderId="16" xfId="32" applyNumberFormat="1" applyFont="1" applyBorder="1" applyAlignment="1">
      <alignment horizontal="center"/>
    </xf>
    <xf numFmtId="49" fontId="7" fillId="0" borderId="23" xfId="32" applyNumberFormat="1" applyFont="1" applyBorder="1" applyAlignment="1">
      <alignment horizontal="center"/>
    </xf>
    <xf numFmtId="177" fontId="95" fillId="0" borderId="0" xfId="56" applyNumberFormat="1" applyAlignment="1">
      <alignment horizontal="left"/>
    </xf>
    <xf numFmtId="10" fontId="6" fillId="0" borderId="0" xfId="39" applyNumberFormat="1" applyFont="1" applyBorder="1" applyAlignment="1">
      <alignment horizontal="center"/>
    </xf>
    <xf numFmtId="0" fontId="16" fillId="0" borderId="59" xfId="37" applyBorder="1" applyAlignment="1">
      <alignment horizontal="center"/>
    </xf>
    <xf numFmtId="167" fontId="34" fillId="0" borderId="86" xfId="32" applyFont="1" applyBorder="1"/>
    <xf numFmtId="0" fontId="10" fillId="0" borderId="44" xfId="0" applyFont="1" applyBorder="1"/>
    <xf numFmtId="14" fontId="0" fillId="0" borderId="56" xfId="0" applyNumberFormat="1" applyBorder="1" applyAlignment="1">
      <alignment horizontal="center"/>
    </xf>
    <xf numFmtId="1" fontId="7" fillId="0" borderId="41" xfId="32" applyNumberFormat="1" applyFont="1" applyBorder="1" applyAlignment="1">
      <alignment horizontal="center"/>
    </xf>
    <xf numFmtId="1" fontId="0" fillId="0" borderId="56" xfId="32" applyNumberFormat="1" applyFont="1" applyBorder="1" applyAlignment="1">
      <alignment horizontal="center"/>
    </xf>
    <xf numFmtId="167" fontId="0" fillId="0" borderId="56" xfId="32" applyFont="1" applyBorder="1"/>
    <xf numFmtId="167" fontId="0" fillId="0" borderId="41" xfId="32" applyFont="1" applyBorder="1"/>
    <xf numFmtId="167" fontId="32" fillId="0" borderId="51" xfId="32" applyFont="1" applyBorder="1" applyAlignment="1">
      <alignment horizontal="center"/>
    </xf>
    <xf numFmtId="14" fontId="16" fillId="0" borderId="10" xfId="37" applyNumberFormat="1" applyBorder="1" applyAlignment="1">
      <alignment horizontal="center"/>
    </xf>
    <xf numFmtId="167" fontId="16" fillId="0" borderId="10" xfId="32" applyFont="1" applyBorder="1"/>
    <xf numFmtId="167" fontId="32" fillId="0" borderId="10" xfId="32" applyFont="1" applyBorder="1"/>
    <xf numFmtId="14" fontId="32" fillId="0" borderId="10" xfId="37" applyNumberFormat="1" applyFont="1" applyBorder="1" applyAlignment="1">
      <alignment horizontal="center"/>
    </xf>
    <xf numFmtId="1" fontId="7" fillId="0" borderId="42" xfId="32" quotePrefix="1" applyNumberFormat="1" applyFont="1" applyBorder="1" applyAlignment="1">
      <alignment horizontal="center"/>
    </xf>
    <xf numFmtId="167" fontId="10" fillId="0" borderId="42" xfId="32" applyFont="1" applyBorder="1"/>
    <xf numFmtId="14" fontId="66" fillId="0" borderId="10" xfId="0" applyNumberFormat="1" applyFont="1" applyBorder="1" applyAlignment="1">
      <alignment horizontal="center"/>
    </xf>
    <xf numFmtId="44" fontId="73" fillId="0" borderId="10" xfId="0" applyNumberFormat="1" applyFont="1" applyBorder="1"/>
    <xf numFmtId="166" fontId="7" fillId="0" borderId="0" xfId="50" quotePrefix="1" applyFont="1"/>
    <xf numFmtId="177" fontId="95" fillId="0" borderId="0" xfId="56" applyNumberFormat="1" applyAlignment="1">
      <alignment horizontal="center"/>
    </xf>
    <xf numFmtId="167" fontId="0" fillId="0" borderId="40" xfId="32" applyFont="1" applyFill="1" applyBorder="1"/>
    <xf numFmtId="14" fontId="73" fillId="0" borderId="10" xfId="0" applyNumberFormat="1" applyFont="1" applyBorder="1" applyAlignment="1">
      <alignment horizontal="center"/>
    </xf>
    <xf numFmtId="44" fontId="66" fillId="0" borderId="10" xfId="0" applyNumberFormat="1" applyFont="1" applyBorder="1"/>
    <xf numFmtId="0" fontId="10" fillId="42" borderId="10" xfId="0" applyFont="1" applyFill="1" applyBorder="1" applyAlignment="1">
      <alignment horizontal="center" wrapText="1"/>
    </xf>
    <xf numFmtId="167" fontId="0" fillId="42" borderId="10" xfId="32" applyFont="1" applyFill="1" applyBorder="1"/>
    <xf numFmtId="167" fontId="66" fillId="42" borderId="10" xfId="32" applyFont="1" applyFill="1" applyBorder="1"/>
    <xf numFmtId="167" fontId="73" fillId="42" borderId="10" xfId="32" applyFont="1" applyFill="1" applyBorder="1"/>
    <xf numFmtId="167" fontId="10" fillId="42" borderId="10" xfId="32" applyFont="1" applyFill="1" applyBorder="1"/>
    <xf numFmtId="0" fontId="10" fillId="44" borderId="10" xfId="0" applyFont="1" applyFill="1" applyBorder="1" applyAlignment="1">
      <alignment horizontal="center" wrapText="1"/>
    </xf>
    <xf numFmtId="167" fontId="0" fillId="44" borderId="10" xfId="32" applyFont="1" applyFill="1" applyBorder="1"/>
    <xf numFmtId="167" fontId="10" fillId="44" borderId="10" xfId="32" applyFont="1" applyFill="1" applyBorder="1"/>
    <xf numFmtId="0" fontId="10" fillId="32" borderId="10" xfId="0" applyFont="1" applyFill="1" applyBorder="1" applyAlignment="1">
      <alignment horizontal="center" wrapText="1"/>
    </xf>
    <xf numFmtId="167" fontId="0" fillId="32" borderId="10" xfId="32" applyFont="1" applyFill="1" applyBorder="1"/>
    <xf numFmtId="167" fontId="10" fillId="32" borderId="10" xfId="32" applyFont="1" applyFill="1" applyBorder="1"/>
    <xf numFmtId="0" fontId="10" fillId="45" borderId="10" xfId="0" applyFont="1" applyFill="1" applyBorder="1" applyAlignment="1">
      <alignment horizontal="center"/>
    </xf>
    <xf numFmtId="167" fontId="0" fillId="45" borderId="10" xfId="0" applyNumberFormat="1" applyFill="1" applyBorder="1" applyAlignment="1">
      <alignment horizontal="center"/>
    </xf>
    <xf numFmtId="167" fontId="66" fillId="45" borderId="10" xfId="0" applyNumberFormat="1" applyFont="1" applyFill="1" applyBorder="1" applyAlignment="1">
      <alignment horizontal="center"/>
    </xf>
    <xf numFmtId="167" fontId="73" fillId="45" borderId="10" xfId="0" applyNumberFormat="1" applyFont="1" applyFill="1" applyBorder="1" applyAlignment="1">
      <alignment horizontal="center"/>
    </xf>
    <xf numFmtId="167" fontId="10" fillId="45" borderId="10" xfId="0" applyNumberFormat="1" applyFont="1" applyFill="1" applyBorder="1" applyAlignment="1">
      <alignment horizontal="center"/>
    </xf>
    <xf numFmtId="0" fontId="10" fillId="0" borderId="10" xfId="0" applyFont="1" applyBorder="1" applyAlignment="1">
      <alignment horizontal="right"/>
    </xf>
    <xf numFmtId="0" fontId="62" fillId="0" borderId="0" xfId="0" applyFont="1" applyAlignment="1">
      <alignment horizontal="center"/>
    </xf>
    <xf numFmtId="167" fontId="74" fillId="0" borderId="0" xfId="57" quotePrefix="1" applyFont="1" applyAlignment="1">
      <alignment horizontal="center"/>
    </xf>
    <xf numFmtId="177" fontId="65" fillId="0" borderId="0" xfId="56" applyNumberFormat="1" applyFont="1" applyAlignment="1">
      <alignment horizontal="left"/>
    </xf>
    <xf numFmtId="167" fontId="6" fillId="46" borderId="93" xfId="57" applyFont="1" applyFill="1" applyBorder="1" applyAlignment="1">
      <alignment horizontal="center"/>
    </xf>
    <xf numFmtId="167" fontId="74" fillId="0" borderId="27" xfId="57" applyFont="1" applyBorder="1" applyAlignment="1">
      <alignment horizontal="center"/>
    </xf>
    <xf numFmtId="167" fontId="74" fillId="46" borderId="27" xfId="57" applyFont="1" applyFill="1" applyBorder="1" applyAlignment="1">
      <alignment horizontal="center"/>
    </xf>
    <xf numFmtId="167" fontId="65" fillId="0" borderId="98" xfId="57" applyFont="1" applyFill="1" applyBorder="1" applyAlignment="1">
      <alignment horizontal="center"/>
    </xf>
    <xf numFmtId="167" fontId="68" fillId="0" borderId="102" xfId="57" applyFont="1" applyBorder="1" applyAlignment="1">
      <alignment horizontal="center"/>
    </xf>
    <xf numFmtId="167" fontId="68" fillId="46" borderId="93" xfId="57" applyFont="1" applyFill="1" applyBorder="1" applyAlignment="1">
      <alignment horizontal="center"/>
    </xf>
    <xf numFmtId="167" fontId="81" fillId="0" borderId="27" xfId="57" applyFont="1" applyBorder="1" applyAlignment="1">
      <alignment horizontal="center"/>
    </xf>
    <xf numFmtId="167" fontId="120" fillId="0" borderId="0" xfId="56" applyNumberFormat="1" applyFont="1"/>
    <xf numFmtId="44" fontId="65" fillId="46" borderId="170" xfId="57" applyNumberFormat="1" applyFont="1" applyFill="1" applyBorder="1" applyAlignment="1">
      <alignment horizontal="center"/>
    </xf>
    <xf numFmtId="167" fontId="6" fillId="46" borderId="52" xfId="32" applyFont="1" applyFill="1" applyBorder="1"/>
    <xf numFmtId="167" fontId="7" fillId="0" borderId="42" xfId="32" applyFont="1" applyBorder="1"/>
    <xf numFmtId="167" fontId="26" fillId="47" borderId="0" xfId="32" applyFont="1" applyFill="1" applyAlignment="1">
      <alignment horizontal="center"/>
    </xf>
    <xf numFmtId="0" fontId="66" fillId="0" borderId="52" xfId="0" applyFont="1" applyBorder="1" applyAlignment="1">
      <alignment horizontal="right"/>
    </xf>
    <xf numFmtId="0" fontId="66" fillId="0" borderId="42" xfId="0" applyFont="1" applyBorder="1" applyAlignment="1">
      <alignment horizontal="right"/>
    </xf>
    <xf numFmtId="0" fontId="66" fillId="0" borderId="85" xfId="0" applyFont="1" applyBorder="1" applyAlignment="1">
      <alignment horizontal="right"/>
    </xf>
    <xf numFmtId="0" fontId="73" fillId="0" borderId="52" xfId="0" applyFont="1" applyBorder="1" applyAlignment="1">
      <alignment horizontal="right"/>
    </xf>
    <xf numFmtId="0" fontId="73" fillId="0" borderId="42" xfId="0" applyFont="1" applyBorder="1" applyAlignment="1">
      <alignment horizontal="right"/>
    </xf>
    <xf numFmtId="0" fontId="73" fillId="0" borderId="85" xfId="0" applyFont="1" applyBorder="1" applyAlignment="1">
      <alignment horizontal="right"/>
    </xf>
    <xf numFmtId="167" fontId="16" fillId="43" borderId="0" xfId="37" applyNumberFormat="1" applyFill="1"/>
    <xf numFmtId="0" fontId="10" fillId="0" borderId="0" xfId="0" applyFont="1" applyAlignment="1">
      <alignment wrapText="1"/>
    </xf>
    <xf numFmtId="0" fontId="10" fillId="0" borderId="0" xfId="0" applyFont="1" applyAlignment="1">
      <alignment horizontal="center" wrapText="1"/>
    </xf>
    <xf numFmtId="167" fontId="0" fillId="0" borderId="0" xfId="32" applyFont="1" applyFill="1" applyBorder="1" applyAlignment="1"/>
    <xf numFmtId="14" fontId="66" fillId="0" borderId="0" xfId="0" applyNumberFormat="1" applyFont="1" applyAlignment="1">
      <alignment horizontal="center"/>
    </xf>
    <xf numFmtId="167" fontId="66" fillId="0" borderId="0" xfId="0" applyNumberFormat="1" applyFont="1" applyAlignment="1">
      <alignment horizontal="center"/>
    </xf>
    <xf numFmtId="167" fontId="66" fillId="0" borderId="0" xfId="32" applyFont="1" applyFill="1" applyBorder="1"/>
    <xf numFmtId="167" fontId="0" fillId="0" borderId="0" xfId="0" applyNumberFormat="1" applyAlignment="1">
      <alignment horizontal="center"/>
    </xf>
    <xf numFmtId="14" fontId="73" fillId="0" borderId="0" xfId="0" applyNumberFormat="1" applyFont="1" applyAlignment="1">
      <alignment horizontal="center"/>
    </xf>
    <xf numFmtId="167" fontId="73" fillId="0" borderId="0" xfId="0" applyNumberFormat="1" applyFont="1" applyAlignment="1">
      <alignment horizontal="center"/>
    </xf>
    <xf numFmtId="167" fontId="73" fillId="0" borderId="0" xfId="32" applyFont="1" applyFill="1" applyBorder="1"/>
    <xf numFmtId="167" fontId="10" fillId="0" borderId="0" xfId="32" applyFont="1" applyFill="1" applyBorder="1"/>
    <xf numFmtId="44" fontId="66" fillId="0" borderId="0" xfId="0" applyNumberFormat="1" applyFont="1"/>
    <xf numFmtId="0" fontId="10" fillId="0" borderId="0" xfId="0" applyFont="1" applyAlignment="1">
      <alignment vertical="center" wrapText="1"/>
    </xf>
    <xf numFmtId="167" fontId="7" fillId="45" borderId="10" xfId="0" applyNumberFormat="1" applyFont="1" applyFill="1" applyBorder="1" applyAlignment="1">
      <alignment horizontal="center"/>
    </xf>
    <xf numFmtId="167" fontId="7" fillId="42" borderId="10" xfId="32" applyFont="1" applyFill="1" applyBorder="1"/>
    <xf numFmtId="167" fontId="7" fillId="44" borderId="10" xfId="32" applyFont="1" applyFill="1" applyBorder="1"/>
    <xf numFmtId="167" fontId="7" fillId="32" borderId="10" xfId="32" applyFont="1" applyFill="1" applyBorder="1"/>
    <xf numFmtId="0" fontId="10" fillId="0" borderId="73" xfId="0" applyFont="1" applyBorder="1" applyAlignment="1">
      <alignment vertical="center" wrapText="1"/>
    </xf>
    <xf numFmtId="171" fontId="7" fillId="0" borderId="16" xfId="32" applyNumberFormat="1" applyFont="1" applyBorder="1" applyAlignment="1">
      <alignment horizontal="center"/>
    </xf>
    <xf numFmtId="0" fontId="69" fillId="0" borderId="0" xfId="37" applyFont="1" applyAlignment="1">
      <alignment horizontal="center"/>
    </xf>
    <xf numFmtId="166" fontId="7" fillId="0" borderId="0" xfId="50" quotePrefix="1" applyFont="1" applyFill="1"/>
    <xf numFmtId="167" fontId="7" fillId="0" borderId="42" xfId="32" applyFont="1" applyFill="1" applyBorder="1"/>
    <xf numFmtId="0" fontId="43" fillId="0" borderId="16" xfId="0" applyFont="1" applyBorder="1"/>
    <xf numFmtId="0" fontId="122" fillId="0" borderId="56" xfId="0" applyFont="1" applyBorder="1"/>
    <xf numFmtId="0" fontId="122" fillId="0" borderId="16" xfId="0" applyFont="1" applyBorder="1"/>
    <xf numFmtId="0" fontId="122" fillId="0" borderId="23" xfId="0" applyFont="1" applyBorder="1"/>
    <xf numFmtId="1" fontId="7" fillId="0" borderId="56" xfId="32" applyNumberFormat="1" applyFont="1" applyBorder="1" applyAlignment="1">
      <alignment horizontal="center"/>
    </xf>
    <xf numFmtId="167" fontId="7" fillId="0" borderId="41" xfId="32" applyFont="1" applyBorder="1"/>
    <xf numFmtId="167" fontId="6" fillId="27" borderId="13" xfId="32" applyFont="1" applyFill="1" applyBorder="1"/>
    <xf numFmtId="167" fontId="0" fillId="27" borderId="13" xfId="32" applyFont="1" applyFill="1" applyBorder="1"/>
    <xf numFmtId="172" fontId="6" fillId="0" borderId="0" xfId="50" applyNumberFormat="1" applyFont="1" applyFill="1" applyBorder="1"/>
    <xf numFmtId="0" fontId="0" fillId="0" borderId="0" xfId="0" applyAlignment="1">
      <alignment horizontal="right"/>
    </xf>
    <xf numFmtId="0" fontId="66" fillId="0" borderId="0" xfId="0" applyFont="1" applyAlignment="1">
      <alignment horizontal="right"/>
    </xf>
    <xf numFmtId="0" fontId="73" fillId="0" borderId="0" xfId="0" applyFont="1" applyAlignment="1">
      <alignment horizontal="right"/>
    </xf>
    <xf numFmtId="14" fontId="98" fillId="0" borderId="169" xfId="56" applyNumberFormat="1" applyFont="1" applyBorder="1" applyAlignment="1">
      <alignment horizontal="center"/>
    </xf>
    <xf numFmtId="14" fontId="98" fillId="0" borderId="122" xfId="56" applyNumberFormat="1" applyFont="1" applyBorder="1" applyAlignment="1">
      <alignment horizontal="center"/>
    </xf>
    <xf numFmtId="167" fontId="65" fillId="0" borderId="171" xfId="57" applyFont="1" applyFill="1" applyBorder="1" applyAlignment="1">
      <alignment horizontal="center"/>
    </xf>
    <xf numFmtId="14" fontId="98" fillId="0" borderId="53" xfId="56" applyNumberFormat="1" applyFont="1" applyBorder="1" applyAlignment="1">
      <alignment horizontal="center"/>
    </xf>
    <xf numFmtId="167" fontId="95" fillId="0" borderId="174" xfId="57" applyFont="1" applyBorder="1" applyAlignment="1">
      <alignment horizontal="center"/>
    </xf>
    <xf numFmtId="0" fontId="95" fillId="0" borderId="174" xfId="56" applyBorder="1" applyAlignment="1">
      <alignment horizontal="center"/>
    </xf>
    <xf numFmtId="167" fontId="65" fillId="43" borderId="171" xfId="57" applyFont="1" applyFill="1" applyBorder="1" applyAlignment="1">
      <alignment horizontal="center"/>
    </xf>
    <xf numFmtId="0" fontId="95" fillId="43" borderId="0" xfId="56" applyFill="1"/>
    <xf numFmtId="167" fontId="98" fillId="43" borderId="0" xfId="57" applyFont="1" applyFill="1" applyAlignment="1">
      <alignment horizontal="center"/>
    </xf>
    <xf numFmtId="177" fontId="98" fillId="43" borderId="0" xfId="56" applyNumberFormat="1" applyFont="1" applyFill="1" applyAlignment="1">
      <alignment horizontal="center"/>
    </xf>
    <xf numFmtId="167" fontId="65" fillId="0" borderId="62" xfId="57" applyFont="1" applyFill="1" applyBorder="1" applyAlignment="1">
      <alignment horizontal="center"/>
    </xf>
    <xf numFmtId="167" fontId="98" fillId="0" borderId="0" xfId="57" applyFont="1" applyFill="1" applyAlignment="1">
      <alignment horizontal="center"/>
    </xf>
    <xf numFmtId="0" fontId="65" fillId="0" borderId="120" xfId="56" applyFont="1" applyBorder="1"/>
    <xf numFmtId="0" fontId="65" fillId="0" borderId="120" xfId="37" applyFont="1" applyBorder="1"/>
    <xf numFmtId="0" fontId="65" fillId="0" borderId="45" xfId="56" applyFont="1" applyBorder="1"/>
    <xf numFmtId="0" fontId="65" fillId="0" borderId="52" xfId="56" applyFont="1" applyBorder="1"/>
    <xf numFmtId="14" fontId="123" fillId="0" borderId="15" xfId="37" applyNumberFormat="1" applyFont="1" applyBorder="1" applyAlignment="1">
      <alignment horizontal="center"/>
    </xf>
    <xf numFmtId="167" fontId="106" fillId="0" borderId="10" xfId="32" applyFont="1" applyBorder="1"/>
    <xf numFmtId="167" fontId="123" fillId="0" borderId="10" xfId="32" applyFont="1" applyFill="1" applyBorder="1" applyAlignment="1">
      <alignment horizontal="center"/>
    </xf>
    <xf numFmtId="167" fontId="106" fillId="0" borderId="10" xfId="32" applyFont="1" applyFill="1" applyBorder="1" applyAlignment="1">
      <alignment horizontal="center"/>
    </xf>
    <xf numFmtId="167" fontId="123" fillId="0" borderId="10" xfId="32" applyFont="1" applyFill="1" applyBorder="1"/>
    <xf numFmtId="167" fontId="106" fillId="0" borderId="10" xfId="32" applyFont="1" applyFill="1" applyBorder="1"/>
    <xf numFmtId="14" fontId="106" fillId="0" borderId="15" xfId="37" applyNumberFormat="1" applyFont="1" applyBorder="1"/>
    <xf numFmtId="0" fontId="106" fillId="0" borderId="52" xfId="37" applyFont="1" applyBorder="1"/>
    <xf numFmtId="0" fontId="106" fillId="0" borderId="120" xfId="37" applyFont="1" applyBorder="1"/>
    <xf numFmtId="0" fontId="106" fillId="0" borderId="45" xfId="37" applyFont="1" applyBorder="1"/>
    <xf numFmtId="0" fontId="106" fillId="0" borderId="45" xfId="56" applyFont="1" applyBorder="1"/>
    <xf numFmtId="0" fontId="106" fillId="0" borderId="120" xfId="56" applyFont="1" applyBorder="1"/>
    <xf numFmtId="0" fontId="106" fillId="0" borderId="52" xfId="56" applyFont="1" applyBorder="1"/>
    <xf numFmtId="0" fontId="123" fillId="0" borderId="120" xfId="0" applyFont="1" applyBorder="1"/>
    <xf numFmtId="0" fontId="123" fillId="0" borderId="45" xfId="0" applyFont="1" applyBorder="1"/>
    <xf numFmtId="0" fontId="68" fillId="0" borderId="12" xfId="37" applyFont="1" applyBorder="1" applyAlignment="1">
      <alignment horizontal="center"/>
    </xf>
    <xf numFmtId="0" fontId="74" fillId="0" borderId="12" xfId="37" applyFont="1" applyBorder="1" applyAlignment="1">
      <alignment horizontal="center"/>
    </xf>
    <xf numFmtId="0" fontId="10" fillId="0" borderId="32" xfId="0" applyFont="1" applyBorder="1"/>
    <xf numFmtId="167" fontId="79" fillId="0" borderId="13" xfId="32" applyFont="1" applyBorder="1"/>
    <xf numFmtId="0" fontId="106" fillId="0" borderId="176" xfId="56" applyFont="1" applyBorder="1"/>
    <xf numFmtId="14" fontId="69" fillId="0" borderId="15" xfId="37" applyNumberFormat="1" applyFont="1" applyBorder="1"/>
    <xf numFmtId="0" fontId="69" fillId="0" borderId="52" xfId="37" applyFont="1" applyBorder="1"/>
    <xf numFmtId="0" fontId="69" fillId="0" borderId="120" xfId="37" applyFont="1" applyBorder="1"/>
    <xf numFmtId="167" fontId="123" fillId="0" borderId="33" xfId="32" applyFont="1" applyFill="1" applyBorder="1" applyAlignment="1">
      <alignment horizontal="center"/>
    </xf>
    <xf numFmtId="167" fontId="106" fillId="0" borderId="33" xfId="32" applyFont="1" applyBorder="1"/>
    <xf numFmtId="167" fontId="110" fillId="0" borderId="32" xfId="32" applyFont="1" applyFill="1" applyBorder="1" applyAlignment="1">
      <alignment horizontal="center"/>
    </xf>
    <xf numFmtId="0" fontId="0" fillId="0" borderId="22" xfId="0" applyBorder="1"/>
    <xf numFmtId="167" fontId="124" fillId="0" borderId="175" xfId="32" applyFont="1" applyFill="1" applyBorder="1" applyAlignment="1">
      <alignment horizontal="center"/>
    </xf>
    <xf numFmtId="167" fontId="108" fillId="0" borderId="175" xfId="32" applyFont="1" applyFill="1" applyBorder="1" applyAlignment="1">
      <alignment horizontal="center"/>
    </xf>
    <xf numFmtId="167" fontId="108" fillId="0" borderId="44" xfId="0" applyNumberFormat="1" applyFont="1" applyBorder="1"/>
    <xf numFmtId="10" fontId="108" fillId="0" borderId="32" xfId="39" applyNumberFormat="1" applyFont="1" applyBorder="1" applyAlignment="1">
      <alignment horizontal="center"/>
    </xf>
    <xf numFmtId="0" fontId="109" fillId="0" borderId="0" xfId="0" applyFont="1"/>
    <xf numFmtId="10" fontId="110" fillId="0" borderId="0" xfId="39" applyNumberFormat="1" applyFont="1" applyAlignment="1">
      <alignment horizontal="center"/>
    </xf>
    <xf numFmtId="0" fontId="0" fillId="43" borderId="0" xfId="0" applyFill="1"/>
    <xf numFmtId="0" fontId="66" fillId="0" borderId="16" xfId="0" applyFont="1" applyBorder="1"/>
    <xf numFmtId="1" fontId="66" fillId="0" borderId="42" xfId="32" applyNumberFormat="1" applyFont="1" applyBorder="1" applyAlignment="1">
      <alignment horizontal="center"/>
    </xf>
    <xf numFmtId="1" fontId="66" fillId="0" borderId="16" xfId="32" applyNumberFormat="1" applyFont="1" applyBorder="1" applyAlignment="1">
      <alignment horizontal="center"/>
    </xf>
    <xf numFmtId="167" fontId="66" fillId="0" borderId="16" xfId="32" applyFont="1" applyBorder="1"/>
    <xf numFmtId="167" fontId="66" fillId="0" borderId="42" xfId="32" applyFont="1" applyBorder="1"/>
    <xf numFmtId="0" fontId="10" fillId="0" borderId="16" xfId="0" applyFont="1" applyBorder="1" applyAlignment="1">
      <alignment horizontal="right"/>
    </xf>
    <xf numFmtId="0" fontId="106" fillId="0" borderId="10" xfId="0" applyFont="1" applyBorder="1"/>
    <xf numFmtId="0" fontId="125" fillId="0" borderId="16" xfId="0" applyFont="1" applyBorder="1"/>
    <xf numFmtId="0" fontId="66" fillId="0" borderId="16" xfId="0" applyFont="1" applyBorder="1" applyAlignment="1">
      <alignment horizontal="right"/>
    </xf>
    <xf numFmtId="1" fontId="7" fillId="0" borderId="42" xfId="32" applyNumberFormat="1" applyFont="1" applyFill="1" applyBorder="1" applyAlignment="1">
      <alignment horizontal="center"/>
    </xf>
    <xf numFmtId="1" fontId="7" fillId="0" borderId="16" xfId="32" applyNumberFormat="1" applyFont="1" applyFill="1" applyBorder="1" applyAlignment="1">
      <alignment horizontal="center"/>
    </xf>
    <xf numFmtId="167" fontId="65" fillId="0" borderId="0" xfId="32" quotePrefix="1" applyFont="1" applyFill="1" applyAlignment="1">
      <alignment horizontal="left"/>
    </xf>
    <xf numFmtId="0" fontId="69" fillId="0" borderId="45" xfId="37" applyFont="1" applyBorder="1"/>
    <xf numFmtId="167" fontId="126" fillId="0" borderId="0" xfId="32" applyFont="1" applyBorder="1"/>
    <xf numFmtId="167" fontId="0" fillId="0" borderId="67" xfId="32" applyFont="1" applyBorder="1"/>
    <xf numFmtId="0" fontId="125" fillId="0" borderId="0" xfId="0" applyFont="1"/>
    <xf numFmtId="167" fontId="10" fillId="0" borderId="0" xfId="32" applyFont="1" applyAlignment="1">
      <alignment horizontal="center"/>
    </xf>
    <xf numFmtId="171" fontId="7" fillId="0" borderId="16" xfId="32" applyNumberFormat="1" applyFont="1" applyFill="1" applyBorder="1" applyAlignment="1">
      <alignment horizontal="center"/>
    </xf>
    <xf numFmtId="1" fontId="7" fillId="0" borderId="42" xfId="32" quotePrefix="1" applyNumberFormat="1" applyFont="1" applyFill="1" applyBorder="1" applyAlignment="1">
      <alignment horizontal="center"/>
    </xf>
    <xf numFmtId="167" fontId="10" fillId="0" borderId="42" xfId="32" applyFont="1" applyFill="1" applyBorder="1"/>
    <xf numFmtId="10" fontId="16" fillId="0" borderId="0" xfId="39" applyNumberFormat="1" applyFont="1"/>
    <xf numFmtId="44" fontId="10" fillId="0" borderId="16" xfId="0" applyNumberFormat="1" applyFont="1" applyBorder="1"/>
    <xf numFmtId="167" fontId="95" fillId="0" borderId="174" xfId="57" applyFont="1" applyFill="1" applyBorder="1" applyAlignment="1">
      <alignment horizontal="center"/>
    </xf>
    <xf numFmtId="167" fontId="95" fillId="0" borderId="137" xfId="57" applyFont="1" applyFill="1" applyBorder="1" applyAlignment="1">
      <alignment horizontal="center"/>
    </xf>
    <xf numFmtId="2" fontId="66" fillId="0" borderId="0" xfId="32" applyNumberFormat="1" applyFont="1" applyAlignment="1">
      <alignment horizontal="right"/>
    </xf>
    <xf numFmtId="44" fontId="7" fillId="0" borderId="16" xfId="0" applyNumberFormat="1" applyFont="1" applyBorder="1"/>
    <xf numFmtId="10" fontId="0" fillId="0" borderId="0" xfId="39" applyNumberFormat="1" applyFont="1" applyAlignment="1">
      <alignment horizontal="left"/>
    </xf>
    <xf numFmtId="0" fontId="10" fillId="0" borderId="0" xfId="0" applyFont="1" applyAlignment="1">
      <alignment horizontal="left"/>
    </xf>
    <xf numFmtId="167" fontId="65" fillId="0" borderId="0" xfId="37" applyNumberFormat="1" applyFont="1" applyAlignment="1">
      <alignment horizontal="center"/>
    </xf>
    <xf numFmtId="167" fontId="69" fillId="0" borderId="0" xfId="37" applyNumberFormat="1" applyFont="1" applyAlignment="1">
      <alignment horizontal="center"/>
    </xf>
    <xf numFmtId="14" fontId="98" fillId="0" borderId="178" xfId="56" applyNumberFormat="1" applyFont="1" applyBorder="1" applyAlignment="1">
      <alignment horizontal="center"/>
    </xf>
    <xf numFmtId="14" fontId="98" fillId="0" borderId="127" xfId="56" applyNumberFormat="1" applyFont="1" applyBorder="1" applyAlignment="1">
      <alignment horizontal="center"/>
    </xf>
    <xf numFmtId="167" fontId="6" fillId="46" borderId="102" xfId="57" applyFont="1" applyFill="1" applyBorder="1" applyAlignment="1">
      <alignment horizontal="center"/>
    </xf>
    <xf numFmtId="167" fontId="65" fillId="0" borderId="130" xfId="57" applyFont="1" applyFill="1" applyBorder="1" applyAlignment="1">
      <alignment horizontal="center"/>
    </xf>
    <xf numFmtId="167" fontId="69" fillId="0" borderId="181" xfId="57" applyFont="1" applyBorder="1" applyAlignment="1">
      <alignment horizontal="center"/>
    </xf>
    <xf numFmtId="167" fontId="6" fillId="46" borderId="184" xfId="57" applyFont="1" applyFill="1" applyBorder="1" applyAlignment="1">
      <alignment horizontal="center"/>
    </xf>
    <xf numFmtId="14" fontId="98" fillId="0" borderId="185" xfId="56" applyNumberFormat="1" applyFont="1" applyBorder="1" applyAlignment="1">
      <alignment horizontal="center"/>
    </xf>
    <xf numFmtId="167" fontId="65" fillId="0" borderId="187" xfId="57" applyFont="1" applyFill="1" applyBorder="1" applyAlignment="1">
      <alignment horizontal="center"/>
    </xf>
    <xf numFmtId="0" fontId="95" fillId="0" borderId="127" xfId="56" applyBorder="1" applyAlignment="1">
      <alignment horizontal="center"/>
    </xf>
    <xf numFmtId="167" fontId="65" fillId="0" borderId="188" xfId="57" applyFont="1" applyBorder="1" applyAlignment="1">
      <alignment horizontal="center"/>
    </xf>
    <xf numFmtId="0" fontId="73" fillId="0" borderId="0" xfId="0" applyFont="1" applyAlignment="1">
      <alignment horizontal="left"/>
    </xf>
    <xf numFmtId="167" fontId="7" fillId="44" borderId="10" xfId="32" applyFont="1" applyFill="1" applyBorder="1" applyAlignment="1">
      <alignment horizontal="center"/>
    </xf>
    <xf numFmtId="167" fontId="0" fillId="0" borderId="10" xfId="32" applyFont="1" applyBorder="1" applyAlignment="1">
      <alignment horizontal="center"/>
    </xf>
    <xf numFmtId="44" fontId="10" fillId="0" borderId="64" xfId="0" applyNumberFormat="1" applyFont="1" applyBorder="1"/>
    <xf numFmtId="1" fontId="7" fillId="0" borderId="23" xfId="32" applyNumberFormat="1" applyFont="1" applyBorder="1" applyAlignment="1">
      <alignment horizontal="center"/>
    </xf>
    <xf numFmtId="167" fontId="7" fillId="0" borderId="23" xfId="32" applyFont="1" applyBorder="1"/>
    <xf numFmtId="167" fontId="7" fillId="0" borderId="67" xfId="32" applyFont="1" applyBorder="1"/>
    <xf numFmtId="0" fontId="7" fillId="0" borderId="14" xfId="0" applyFont="1" applyBorder="1" applyAlignment="1">
      <alignment horizontal="center"/>
    </xf>
    <xf numFmtId="0" fontId="7" fillId="0" borderId="44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2" fontId="0" fillId="0" borderId="39" xfId="0" applyNumberForma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63" xfId="0" applyFont="1" applyBorder="1" applyAlignment="1">
      <alignment horizontal="center"/>
    </xf>
    <xf numFmtId="2" fontId="0" fillId="0" borderId="63" xfId="0" applyNumberFormat="1" applyBorder="1" applyAlignment="1">
      <alignment horizontal="center"/>
    </xf>
    <xf numFmtId="2" fontId="0" fillId="0" borderId="44" xfId="0" applyNumberFormat="1" applyBorder="1" applyAlignment="1">
      <alignment horizontal="center"/>
    </xf>
    <xf numFmtId="2" fontId="10" fillId="0" borderId="17" xfId="0" applyNumberFormat="1" applyFont="1" applyBorder="1" applyAlignment="1">
      <alignment horizontal="center"/>
    </xf>
    <xf numFmtId="167" fontId="0" fillId="0" borderId="68" xfId="32" applyFont="1" applyBorder="1"/>
    <xf numFmtId="167" fontId="7" fillId="32" borderId="10" xfId="32" applyFont="1" applyFill="1" applyBorder="1" applyAlignment="1">
      <alignment horizontal="center"/>
    </xf>
    <xf numFmtId="167" fontId="7" fillId="0" borderId="10" xfId="32" applyFont="1" applyFill="1" applyBorder="1"/>
    <xf numFmtId="167" fontId="7" fillId="0" borderId="10" xfId="32" applyFont="1" applyFill="1" applyBorder="1" applyAlignment="1">
      <alignment horizontal="center"/>
    </xf>
    <xf numFmtId="167" fontId="0" fillId="0" borderId="10" xfId="32" applyFont="1" applyFill="1" applyBorder="1"/>
    <xf numFmtId="167" fontId="10" fillId="0" borderId="10" xfId="32" applyFont="1" applyFill="1" applyBorder="1"/>
    <xf numFmtId="167" fontId="7" fillId="34" borderId="10" xfId="32" applyFont="1" applyFill="1" applyBorder="1"/>
    <xf numFmtId="167" fontId="7" fillId="34" borderId="10" xfId="32" applyFont="1" applyFill="1" applyBorder="1" applyAlignment="1">
      <alignment horizontal="center"/>
    </xf>
    <xf numFmtId="167" fontId="0" fillId="34" borderId="10" xfId="32" applyFont="1" applyFill="1" applyBorder="1"/>
    <xf numFmtId="167" fontId="10" fillId="34" borderId="10" xfId="32" applyFont="1" applyFill="1" applyBorder="1"/>
    <xf numFmtId="44" fontId="66" fillId="34" borderId="10" xfId="0" applyNumberFormat="1" applyFont="1" applyFill="1" applyBorder="1"/>
    <xf numFmtId="44" fontId="73" fillId="34" borderId="10" xfId="0" applyNumberFormat="1" applyFont="1" applyFill="1" applyBorder="1"/>
    <xf numFmtId="44" fontId="66" fillId="32" borderId="10" xfId="0" applyNumberFormat="1" applyFont="1" applyFill="1" applyBorder="1"/>
    <xf numFmtId="44" fontId="73" fillId="32" borderId="10" xfId="0" applyNumberFormat="1" applyFont="1" applyFill="1" applyBorder="1"/>
    <xf numFmtId="44" fontId="66" fillId="44" borderId="10" xfId="0" applyNumberFormat="1" applyFont="1" applyFill="1" applyBorder="1"/>
    <xf numFmtId="44" fontId="73" fillId="44" borderId="10" xfId="0" applyNumberFormat="1" applyFont="1" applyFill="1" applyBorder="1"/>
    <xf numFmtId="0" fontId="122" fillId="0" borderId="0" xfId="0" applyFont="1"/>
    <xf numFmtId="14" fontId="7" fillId="45" borderId="10" xfId="32" applyNumberFormat="1" applyFont="1" applyFill="1" applyBorder="1" applyAlignment="1">
      <alignment horizontal="center"/>
    </xf>
    <xf numFmtId="167" fontId="7" fillId="45" borderId="10" xfId="32" applyFont="1" applyFill="1" applyBorder="1"/>
    <xf numFmtId="167" fontId="10" fillId="45" borderId="10" xfId="32" applyFont="1" applyFill="1" applyBorder="1"/>
    <xf numFmtId="44" fontId="66" fillId="45" borderId="10" xfId="0" applyNumberFormat="1" applyFont="1" applyFill="1" applyBorder="1"/>
    <xf numFmtId="44" fontId="73" fillId="45" borderId="10" xfId="0" applyNumberFormat="1" applyFont="1" applyFill="1" applyBorder="1"/>
    <xf numFmtId="167" fontId="7" fillId="0" borderId="0" xfId="32" applyFont="1" applyFill="1" applyBorder="1" applyAlignment="1">
      <alignment horizontal="center"/>
    </xf>
    <xf numFmtId="0" fontId="10" fillId="45" borderId="10" xfId="0" applyFont="1" applyFill="1" applyBorder="1" applyAlignment="1">
      <alignment horizontal="center" wrapText="1"/>
    </xf>
    <xf numFmtId="0" fontId="10" fillId="34" borderId="10" xfId="0" applyFont="1" applyFill="1" applyBorder="1" applyAlignment="1">
      <alignment horizontal="center" wrapText="1"/>
    </xf>
    <xf numFmtId="0" fontId="10" fillId="0" borderId="10" xfId="0" applyFont="1" applyBorder="1" applyAlignment="1">
      <alignment horizontal="center" wrapText="1"/>
    </xf>
    <xf numFmtId="2" fontId="66" fillId="0" borderId="0" xfId="32" applyNumberFormat="1" applyFont="1" applyAlignment="1"/>
    <xf numFmtId="167" fontId="26" fillId="0" borderId="0" xfId="32" quotePrefix="1" applyFont="1" applyFill="1" applyAlignment="1">
      <alignment horizontal="left"/>
    </xf>
    <xf numFmtId="0" fontId="62" fillId="0" borderId="0" xfId="0" applyFont="1"/>
    <xf numFmtId="49" fontId="10" fillId="0" borderId="0" xfId="0" applyNumberFormat="1" applyFont="1"/>
    <xf numFmtId="1" fontId="7" fillId="0" borderId="0" xfId="32" applyNumberFormat="1" applyFont="1" applyBorder="1" applyAlignment="1">
      <alignment horizontal="center"/>
    </xf>
    <xf numFmtId="171" fontId="7" fillId="0" borderId="0" xfId="32" applyNumberFormat="1" applyFont="1" applyBorder="1" applyAlignment="1">
      <alignment horizontal="center"/>
    </xf>
    <xf numFmtId="49" fontId="7" fillId="0" borderId="0" xfId="32" applyNumberFormat="1" applyFont="1" applyBorder="1" applyAlignment="1">
      <alignment horizontal="center"/>
    </xf>
    <xf numFmtId="1" fontId="10" fillId="0" borderId="0" xfId="32" applyNumberFormat="1" applyFont="1" applyBorder="1" applyAlignment="1"/>
    <xf numFmtId="1" fontId="7" fillId="0" borderId="0" xfId="32" applyNumberFormat="1" applyFont="1" applyBorder="1" applyAlignment="1"/>
    <xf numFmtId="2" fontId="66" fillId="0" borderId="0" xfId="32" applyNumberFormat="1" applyFont="1" applyBorder="1" applyAlignment="1"/>
    <xf numFmtId="167" fontId="66" fillId="0" borderId="0" xfId="32" applyFont="1" applyBorder="1"/>
    <xf numFmtId="14" fontId="98" fillId="44" borderId="151" xfId="56" applyNumberFormat="1" applyFont="1" applyFill="1" applyBorder="1" applyAlignment="1">
      <alignment horizontal="center"/>
    </xf>
    <xf numFmtId="14" fontId="98" fillId="44" borderId="118" xfId="56" applyNumberFormat="1" applyFont="1" applyFill="1" applyBorder="1" applyAlignment="1">
      <alignment horizontal="center"/>
    </xf>
    <xf numFmtId="167" fontId="95" fillId="44" borderId="100" xfId="57" applyFont="1" applyFill="1" applyBorder="1" applyAlignment="1">
      <alignment horizontal="center"/>
    </xf>
    <xf numFmtId="0" fontId="95" fillId="44" borderId="100" xfId="56" applyFill="1" applyBorder="1" applyAlignment="1">
      <alignment horizontal="center"/>
    </xf>
    <xf numFmtId="14" fontId="98" fillId="46" borderId="53" xfId="56" applyNumberFormat="1" applyFont="1" applyFill="1" applyBorder="1" applyAlignment="1">
      <alignment horizontal="center"/>
    </xf>
    <xf numFmtId="167" fontId="95" fillId="46" borderId="174" xfId="57" applyFont="1" applyFill="1" applyBorder="1" applyAlignment="1">
      <alignment horizontal="center"/>
    </xf>
    <xf numFmtId="0" fontId="95" fillId="46" borderId="174" xfId="56" applyFill="1" applyBorder="1" applyAlignment="1">
      <alignment horizontal="center"/>
    </xf>
    <xf numFmtId="14" fontId="98" fillId="46" borderId="151" xfId="56" applyNumberFormat="1" applyFont="1" applyFill="1" applyBorder="1" applyAlignment="1">
      <alignment horizontal="center"/>
    </xf>
    <xf numFmtId="14" fontId="98" fillId="46" borderId="118" xfId="56" applyNumberFormat="1" applyFont="1" applyFill="1" applyBorder="1" applyAlignment="1">
      <alignment horizontal="center"/>
    </xf>
    <xf numFmtId="167" fontId="95" fillId="46" borderId="100" xfId="57" applyFont="1" applyFill="1" applyBorder="1" applyAlignment="1">
      <alignment horizontal="center"/>
    </xf>
    <xf numFmtId="0" fontId="95" fillId="46" borderId="100" xfId="56" applyFill="1" applyBorder="1" applyAlignment="1">
      <alignment horizontal="center"/>
    </xf>
    <xf numFmtId="167" fontId="68" fillId="44" borderId="102" xfId="57" applyFont="1" applyFill="1" applyBorder="1" applyAlignment="1">
      <alignment horizontal="center"/>
    </xf>
    <xf numFmtId="167" fontId="6" fillId="46" borderId="62" xfId="57" applyFont="1" applyFill="1" applyBorder="1" applyAlignment="1">
      <alignment horizontal="center"/>
    </xf>
    <xf numFmtId="167" fontId="6" fillId="44" borderId="152" xfId="57" applyFont="1" applyFill="1" applyBorder="1" applyAlignment="1">
      <alignment horizontal="center"/>
    </xf>
    <xf numFmtId="167" fontId="6" fillId="46" borderId="152" xfId="57" applyFont="1" applyFill="1" applyBorder="1" applyAlignment="1">
      <alignment horizontal="center"/>
    </xf>
    <xf numFmtId="167" fontId="40" fillId="44" borderId="27" xfId="57" applyFont="1" applyFill="1" applyBorder="1" applyAlignment="1">
      <alignment horizontal="center"/>
    </xf>
    <xf numFmtId="167" fontId="40" fillId="46" borderId="27" xfId="57" applyFont="1" applyFill="1" applyBorder="1" applyAlignment="1">
      <alignment horizontal="center"/>
    </xf>
    <xf numFmtId="14" fontId="98" fillId="0" borderId="153" xfId="56" applyNumberFormat="1" applyFont="1" applyBorder="1" applyAlignment="1">
      <alignment horizontal="center"/>
    </xf>
    <xf numFmtId="167" fontId="40" fillId="46" borderId="93" xfId="57" applyFont="1" applyFill="1" applyBorder="1" applyAlignment="1">
      <alignment horizontal="center"/>
    </xf>
    <xf numFmtId="167" fontId="74" fillId="44" borderId="98" xfId="57" applyFont="1" applyFill="1" applyBorder="1" applyAlignment="1">
      <alignment horizontal="center"/>
    </xf>
    <xf numFmtId="44" fontId="74" fillId="46" borderId="170" xfId="57" applyNumberFormat="1" applyFont="1" applyFill="1" applyBorder="1" applyAlignment="1">
      <alignment horizontal="center"/>
    </xf>
    <xf numFmtId="2" fontId="16" fillId="0" borderId="0" xfId="37" applyNumberFormat="1"/>
    <xf numFmtId="0" fontId="103" fillId="32" borderId="0" xfId="62" applyFont="1" applyFill="1" applyAlignment="1">
      <alignment horizontal="center"/>
    </xf>
    <xf numFmtId="14" fontId="98" fillId="46" borderId="185" xfId="56" applyNumberFormat="1" applyFont="1" applyFill="1" applyBorder="1" applyAlignment="1">
      <alignment horizontal="center"/>
    </xf>
    <xf numFmtId="14" fontId="98" fillId="46" borderId="153" xfId="56" applyNumberFormat="1" applyFont="1" applyFill="1" applyBorder="1" applyAlignment="1">
      <alignment horizontal="center"/>
    </xf>
    <xf numFmtId="167" fontId="95" fillId="46" borderId="154" xfId="57" applyFont="1" applyFill="1" applyBorder="1" applyAlignment="1">
      <alignment horizontal="center"/>
    </xf>
    <xf numFmtId="0" fontId="95" fillId="46" borderId="154" xfId="56" applyFill="1" applyBorder="1" applyAlignment="1">
      <alignment horizontal="center"/>
    </xf>
    <xf numFmtId="167" fontId="6" fillId="46" borderId="187" xfId="57" applyFont="1" applyFill="1" applyBorder="1" applyAlignment="1">
      <alignment horizontal="center"/>
    </xf>
    <xf numFmtId="167" fontId="66" fillId="0" borderId="0" xfId="32" quotePrefix="1" applyFont="1"/>
    <xf numFmtId="43" fontId="4" fillId="0" borderId="0" xfId="62" applyNumberFormat="1"/>
    <xf numFmtId="0" fontId="100" fillId="0" borderId="102" xfId="56" applyFont="1" applyBorder="1" applyAlignment="1">
      <alignment horizontal="center"/>
    </xf>
    <xf numFmtId="0" fontId="100" fillId="0" borderId="17" xfId="56" applyFont="1" applyBorder="1" applyAlignment="1">
      <alignment horizontal="center"/>
    </xf>
    <xf numFmtId="167" fontId="95" fillId="0" borderId="0" xfId="57" applyFont="1" applyFill="1" applyAlignment="1">
      <alignment horizontal="center"/>
    </xf>
    <xf numFmtId="49" fontId="95" fillId="0" borderId="0" xfId="61" applyNumberFormat="1" applyFill="1" applyBorder="1"/>
    <xf numFmtId="1" fontId="7" fillId="0" borderId="41" xfId="32" applyNumberFormat="1" applyFont="1" applyFill="1" applyBorder="1" applyAlignment="1">
      <alignment horizontal="center"/>
    </xf>
    <xf numFmtId="1" fontId="7" fillId="0" borderId="56" xfId="32" applyNumberFormat="1" applyFont="1" applyFill="1" applyBorder="1" applyAlignment="1">
      <alignment horizontal="center"/>
    </xf>
    <xf numFmtId="167" fontId="0" fillId="0" borderId="0" xfId="32" applyFont="1" applyFill="1"/>
    <xf numFmtId="167" fontId="10" fillId="0" borderId="56" xfId="32" applyFont="1" applyFill="1" applyBorder="1"/>
    <xf numFmtId="14" fontId="7" fillId="0" borderId="0" xfId="32" applyNumberFormat="1" applyFont="1" applyFill="1" applyBorder="1" applyAlignment="1">
      <alignment horizontal="center"/>
    </xf>
    <xf numFmtId="0" fontId="102" fillId="0" borderId="189" xfId="62" applyFont="1" applyBorder="1" applyAlignment="1">
      <alignment horizontal="center"/>
    </xf>
    <xf numFmtId="0" fontId="102" fillId="0" borderId="189" xfId="62" applyFont="1" applyBorder="1"/>
    <xf numFmtId="166" fontId="7" fillId="0" borderId="189" xfId="50" applyFont="1" applyBorder="1"/>
    <xf numFmtId="166" fontId="7" fillId="32" borderId="189" xfId="50" applyFont="1" applyFill="1" applyBorder="1" applyAlignment="1">
      <alignment horizontal="center"/>
    </xf>
    <xf numFmtId="166" fontId="7" fillId="32" borderId="189" xfId="50" applyFont="1" applyFill="1" applyBorder="1" applyAlignment="1"/>
    <xf numFmtId="166" fontId="7" fillId="32" borderId="189" xfId="50" applyFont="1" applyFill="1" applyBorder="1"/>
    <xf numFmtId="166" fontId="7" fillId="41" borderId="189" xfId="50" applyFont="1" applyFill="1" applyBorder="1"/>
    <xf numFmtId="166" fontId="105" fillId="0" borderId="31" xfId="50" applyFont="1" applyFill="1" applyBorder="1"/>
    <xf numFmtId="0" fontId="102" fillId="0" borderId="35" xfId="62" applyFont="1" applyBorder="1" applyAlignment="1">
      <alignment horizontal="center"/>
    </xf>
    <xf numFmtId="0" fontId="102" fillId="0" borderId="35" xfId="62" applyFont="1" applyBorder="1"/>
    <xf numFmtId="166" fontId="7" fillId="0" borderId="35" xfId="50" applyFont="1" applyBorder="1"/>
    <xf numFmtId="166" fontId="7" fillId="32" borderId="35" xfId="50" applyFont="1" applyFill="1" applyBorder="1" applyAlignment="1">
      <alignment horizontal="center"/>
    </xf>
    <xf numFmtId="166" fontId="7" fillId="32" borderId="35" xfId="50" applyFont="1" applyFill="1" applyBorder="1" applyAlignment="1"/>
    <xf numFmtId="166" fontId="7" fillId="32" borderId="35" xfId="50" applyFont="1" applyFill="1" applyBorder="1"/>
    <xf numFmtId="166" fontId="7" fillId="41" borderId="35" xfId="50" applyFont="1" applyFill="1" applyBorder="1"/>
    <xf numFmtId="166" fontId="105" fillId="0" borderId="62" xfId="50" applyFont="1" applyFill="1" applyBorder="1"/>
    <xf numFmtId="0" fontId="103" fillId="0" borderId="14" xfId="62" applyFont="1" applyBorder="1" applyAlignment="1">
      <alignment horizontal="center"/>
    </xf>
    <xf numFmtId="0" fontId="102" fillId="0" borderId="53" xfId="62" applyFont="1" applyBorder="1" applyAlignment="1">
      <alignment horizontal="center"/>
    </xf>
    <xf numFmtId="0" fontId="102" fillId="0" borderId="30" xfId="62" applyFont="1" applyBorder="1" applyAlignment="1">
      <alignment horizontal="center"/>
    </xf>
    <xf numFmtId="0" fontId="125" fillId="0" borderId="17" xfId="0" applyFont="1" applyBorder="1"/>
    <xf numFmtId="167" fontId="66" fillId="0" borderId="0" xfId="32" applyFont="1" applyFill="1" applyAlignment="1">
      <alignment horizontal="center"/>
    </xf>
    <xf numFmtId="167" fontId="66" fillId="0" borderId="0" xfId="32" applyFont="1" applyAlignment="1">
      <alignment horizontal="center"/>
    </xf>
    <xf numFmtId="0" fontId="7" fillId="0" borderId="25" xfId="0" applyFont="1" applyBorder="1" applyAlignment="1">
      <alignment horizontal="center"/>
    </xf>
    <xf numFmtId="14" fontId="7" fillId="0" borderId="25" xfId="0" applyNumberFormat="1" applyFont="1" applyBorder="1" applyAlignment="1">
      <alignment horizontal="center"/>
    </xf>
    <xf numFmtId="1" fontId="7" fillId="0" borderId="54" xfId="32" applyNumberFormat="1" applyFont="1" applyBorder="1" applyAlignment="1">
      <alignment horizontal="center"/>
    </xf>
    <xf numFmtId="1" fontId="7" fillId="0" borderId="25" xfId="32" applyNumberFormat="1" applyFont="1" applyBorder="1" applyAlignment="1">
      <alignment horizontal="center"/>
    </xf>
    <xf numFmtId="167" fontId="7" fillId="0" borderId="25" xfId="32" applyFont="1" applyFill="1" applyBorder="1"/>
    <xf numFmtId="167" fontId="7" fillId="0" borderId="54" xfId="32" applyFont="1" applyFill="1" applyBorder="1"/>
    <xf numFmtId="0" fontId="125" fillId="0" borderId="25" xfId="0" applyFont="1" applyBorder="1"/>
    <xf numFmtId="0" fontId="125" fillId="0" borderId="23" xfId="0" applyFont="1" applyBorder="1"/>
    <xf numFmtId="167" fontId="32" fillId="0" borderId="0" xfId="32" applyFont="1" applyFill="1" applyBorder="1"/>
    <xf numFmtId="10" fontId="16" fillId="0" borderId="0" xfId="39" quotePrefix="1" applyNumberFormat="1" applyFont="1" applyAlignment="1">
      <alignment horizontal="center"/>
    </xf>
    <xf numFmtId="0" fontId="128" fillId="0" borderId="0" xfId="62" applyFont="1" applyAlignment="1">
      <alignment horizontal="center" wrapText="1"/>
    </xf>
    <xf numFmtId="166" fontId="64" fillId="0" borderId="0" xfId="50" applyFont="1" applyAlignment="1">
      <alignment wrapText="1"/>
    </xf>
    <xf numFmtId="167" fontId="73" fillId="0" borderId="0" xfId="32" applyFont="1" applyAlignment="1">
      <alignment horizontal="center"/>
    </xf>
    <xf numFmtId="43" fontId="128" fillId="0" borderId="0" xfId="62" applyNumberFormat="1" applyFont="1"/>
    <xf numFmtId="166" fontId="73" fillId="0" borderId="0" xfId="50" applyFont="1" applyAlignment="1">
      <alignment horizontal="center" wrapText="1"/>
    </xf>
    <xf numFmtId="0" fontId="123" fillId="0" borderId="0" xfId="62" applyFont="1" applyAlignment="1">
      <alignment horizontal="center" wrapText="1"/>
    </xf>
    <xf numFmtId="166" fontId="73" fillId="0" borderId="0" xfId="50" applyFont="1" applyAlignment="1">
      <alignment horizontal="center"/>
    </xf>
    <xf numFmtId="167" fontId="123" fillId="0" borderId="0" xfId="32" applyFont="1"/>
    <xf numFmtId="44" fontId="7" fillId="32" borderId="0" xfId="63" applyFont="1" applyFill="1"/>
    <xf numFmtId="166" fontId="66" fillId="32" borderId="0" xfId="50" applyFont="1" applyFill="1" applyAlignment="1"/>
    <xf numFmtId="10" fontId="66" fillId="32" borderId="0" xfId="39" applyNumberFormat="1" applyFont="1" applyFill="1" applyAlignment="1">
      <alignment horizontal="center"/>
    </xf>
    <xf numFmtId="166" fontId="66" fillId="32" borderId="0" xfId="50" applyFont="1" applyFill="1" applyAlignment="1">
      <alignment horizontal="center"/>
    </xf>
    <xf numFmtId="167" fontId="66" fillId="32" borderId="0" xfId="32" applyFont="1" applyFill="1" applyAlignment="1">
      <alignment horizontal="center"/>
    </xf>
    <xf numFmtId="166" fontId="67" fillId="32" borderId="0" xfId="50" applyFont="1" applyFill="1" applyAlignment="1">
      <alignment horizontal="center"/>
    </xf>
    <xf numFmtId="166" fontId="64" fillId="32" borderId="0" xfId="50" applyFont="1" applyFill="1" applyAlignment="1">
      <alignment horizontal="center"/>
    </xf>
    <xf numFmtId="166" fontId="73" fillId="32" borderId="0" xfId="50" applyFont="1" applyFill="1" applyAlignment="1">
      <alignment horizontal="center"/>
    </xf>
    <xf numFmtId="167" fontId="123" fillId="32" borderId="0" xfId="32" applyFont="1" applyFill="1"/>
    <xf numFmtId="167" fontId="73" fillId="32" borderId="0" xfId="32" applyFont="1" applyFill="1" applyAlignment="1">
      <alignment horizontal="center"/>
    </xf>
    <xf numFmtId="43" fontId="128" fillId="32" borderId="0" xfId="62" applyNumberFormat="1" applyFont="1" applyFill="1"/>
    <xf numFmtId="166" fontId="102" fillId="32" borderId="0" xfId="50" applyFont="1" applyFill="1" applyAlignment="1">
      <alignment horizontal="center"/>
    </xf>
    <xf numFmtId="44" fontId="102" fillId="32" borderId="0" xfId="62" applyNumberFormat="1" applyFont="1" applyFill="1"/>
    <xf numFmtId="14" fontId="4" fillId="32" borderId="0" xfId="62" applyNumberFormat="1" applyFill="1" applyAlignment="1">
      <alignment horizontal="center"/>
    </xf>
    <xf numFmtId="43" fontId="4" fillId="32" borderId="0" xfId="62" applyNumberFormat="1" applyFill="1"/>
    <xf numFmtId="0" fontId="125" fillId="0" borderId="56" xfId="0" applyFont="1" applyBorder="1"/>
    <xf numFmtId="167" fontId="7" fillId="0" borderId="41" xfId="32" applyFont="1" applyFill="1" applyBorder="1"/>
    <xf numFmtId="0" fontId="7" fillId="0" borderId="64" xfId="0" applyFont="1" applyBorder="1" applyAlignment="1">
      <alignment horizontal="center"/>
    </xf>
    <xf numFmtId="14" fontId="7" fillId="0" borderId="64" xfId="0" applyNumberFormat="1" applyFont="1" applyBorder="1" applyAlignment="1">
      <alignment horizontal="center"/>
    </xf>
    <xf numFmtId="0" fontId="7" fillId="0" borderId="64" xfId="0" applyFont="1" applyBorder="1"/>
    <xf numFmtId="0" fontId="10" fillId="0" borderId="64" xfId="0" applyFont="1" applyBorder="1" applyAlignment="1">
      <alignment horizontal="right"/>
    </xf>
    <xf numFmtId="1" fontId="7" fillId="0" borderId="68" xfId="32" applyNumberFormat="1" applyFont="1" applyBorder="1" applyAlignment="1">
      <alignment horizontal="center"/>
    </xf>
    <xf numFmtId="1" fontId="7" fillId="0" borderId="64" xfId="32" applyNumberFormat="1" applyFont="1" applyBorder="1" applyAlignment="1">
      <alignment horizontal="center"/>
    </xf>
    <xf numFmtId="167" fontId="7" fillId="0" borderId="64" xfId="32" applyFont="1" applyFill="1" applyBorder="1"/>
    <xf numFmtId="167" fontId="10" fillId="0" borderId="68" xfId="32" applyFont="1" applyFill="1" applyBorder="1"/>
    <xf numFmtId="0" fontId="125" fillId="0" borderId="64" xfId="0" applyFont="1" applyBorder="1"/>
    <xf numFmtId="0" fontId="122" fillId="0" borderId="64" xfId="0" applyFont="1" applyBorder="1"/>
    <xf numFmtId="167" fontId="7" fillId="0" borderId="64" xfId="32" applyFont="1" applyBorder="1"/>
    <xf numFmtId="0" fontId="122" fillId="0" borderId="17" xfId="0" applyFont="1" applyBorder="1"/>
    <xf numFmtId="0" fontId="68" fillId="0" borderId="0" xfId="37" applyFont="1"/>
    <xf numFmtId="44" fontId="68" fillId="0" borderId="0" xfId="37" applyNumberFormat="1" applyFont="1"/>
    <xf numFmtId="170" fontId="108" fillId="32" borderId="0" xfId="39" applyNumberFormat="1" applyFont="1" applyFill="1" applyBorder="1"/>
    <xf numFmtId="44" fontId="88" fillId="32" borderId="0" xfId="0" applyNumberFormat="1" applyFont="1" applyFill="1" applyAlignment="1">
      <alignment horizontal="center"/>
    </xf>
    <xf numFmtId="0" fontId="129" fillId="0" borderId="0" xfId="37" applyFont="1"/>
    <xf numFmtId="167" fontId="129" fillId="0" borderId="0" xfId="32" applyFont="1" applyFill="1"/>
    <xf numFmtId="167" fontId="129" fillId="0" borderId="0" xfId="32" applyFont="1" applyFill="1" applyAlignment="1">
      <alignment horizontal="center"/>
    </xf>
    <xf numFmtId="167" fontId="69" fillId="0" borderId="0" xfId="37" applyNumberFormat="1" applyFont="1"/>
    <xf numFmtId="0" fontId="16" fillId="0" borderId="63" xfId="37" applyBorder="1" applyAlignment="1">
      <alignment horizontal="center"/>
    </xf>
    <xf numFmtId="167" fontId="65" fillId="0" borderId="63" xfId="32" applyFont="1" applyBorder="1" applyAlignment="1">
      <alignment horizontal="center"/>
    </xf>
    <xf numFmtId="44" fontId="6" fillId="0" borderId="63" xfId="37" applyNumberFormat="1" applyFont="1" applyBorder="1"/>
    <xf numFmtId="10" fontId="16" fillId="0" borderId="63" xfId="39" applyNumberFormat="1" applyFont="1" applyBorder="1" applyAlignment="1">
      <alignment horizontal="center"/>
    </xf>
    <xf numFmtId="14" fontId="98" fillId="28" borderId="151" xfId="56" applyNumberFormat="1" applyFont="1" applyFill="1" applyBorder="1" applyAlignment="1">
      <alignment horizontal="center"/>
    </xf>
    <xf numFmtId="14" fontId="98" fillId="28" borderId="118" xfId="56" applyNumberFormat="1" applyFont="1" applyFill="1" applyBorder="1" applyAlignment="1">
      <alignment horizontal="center"/>
    </xf>
    <xf numFmtId="167" fontId="95" fillId="28" borderId="100" xfId="57" applyFont="1" applyFill="1" applyBorder="1" applyAlignment="1">
      <alignment horizontal="center"/>
    </xf>
    <xf numFmtId="0" fontId="95" fillId="28" borderId="100" xfId="56" applyFill="1" applyBorder="1" applyAlignment="1">
      <alignment horizontal="center"/>
    </xf>
    <xf numFmtId="167" fontId="6" fillId="28" borderId="152" xfId="57" applyFont="1" applyFill="1" applyBorder="1" applyAlignment="1">
      <alignment horizontal="center"/>
    </xf>
    <xf numFmtId="167" fontId="129" fillId="0" borderId="0" xfId="32" applyFont="1" applyAlignment="1">
      <alignment horizontal="center"/>
    </xf>
    <xf numFmtId="14" fontId="106" fillId="0" borderId="15" xfId="0" applyNumberFormat="1" applyFont="1" applyBorder="1"/>
    <xf numFmtId="44" fontId="90" fillId="0" borderId="0" xfId="37" applyNumberFormat="1" applyFont="1"/>
    <xf numFmtId="0" fontId="90" fillId="0" borderId="0" xfId="37" applyFont="1" applyAlignment="1">
      <alignment horizontal="center"/>
    </xf>
    <xf numFmtId="44" fontId="79" fillId="0" borderId="0" xfId="0" applyNumberFormat="1" applyFont="1" applyAlignment="1">
      <alignment horizontal="center"/>
    </xf>
    <xf numFmtId="166" fontId="123" fillId="0" borderId="0" xfId="50" applyFont="1" applyBorder="1"/>
    <xf numFmtId="14" fontId="79" fillId="34" borderId="0" xfId="0" applyNumberFormat="1" applyFont="1" applyFill="1"/>
    <xf numFmtId="0" fontId="0" fillId="0" borderId="34" xfId="0" applyBorder="1" applyAlignment="1">
      <alignment horizontal="center"/>
    </xf>
    <xf numFmtId="0" fontId="7" fillId="0" borderId="35" xfId="0" applyFont="1" applyBorder="1"/>
    <xf numFmtId="167" fontId="73" fillId="0" borderId="35" xfId="32" applyFont="1" applyBorder="1"/>
    <xf numFmtId="167" fontId="64" fillId="0" borderId="35" xfId="32" applyFont="1" applyBorder="1"/>
    <xf numFmtId="167" fontId="66" fillId="0" borderId="35" xfId="32" applyFont="1" applyBorder="1"/>
    <xf numFmtId="0" fontId="0" fillId="0" borderId="48" xfId="0" applyBorder="1" applyAlignment="1">
      <alignment horizontal="center"/>
    </xf>
    <xf numFmtId="0" fontId="7" fillId="0" borderId="49" xfId="0" applyFont="1" applyBorder="1"/>
    <xf numFmtId="167" fontId="73" fillId="0" borderId="49" xfId="32" applyFont="1" applyBorder="1"/>
    <xf numFmtId="167" fontId="64" fillId="0" borderId="49" xfId="32" applyFont="1" applyBorder="1"/>
    <xf numFmtId="167" fontId="66" fillId="0" borderId="49" xfId="32" applyFont="1" applyBorder="1"/>
    <xf numFmtId="167" fontId="67" fillId="0" borderId="49" xfId="32" applyFont="1" applyBorder="1"/>
    <xf numFmtId="0" fontId="0" fillId="0" borderId="11" xfId="0" applyBorder="1" applyAlignment="1">
      <alignment horizontal="center"/>
    </xf>
    <xf numFmtId="0" fontId="0" fillId="0" borderId="12" xfId="0" applyBorder="1"/>
    <xf numFmtId="167" fontId="131" fillId="0" borderId="12" xfId="0" applyNumberFormat="1" applyFont="1" applyBorder="1"/>
    <xf numFmtId="167" fontId="132" fillId="0" borderId="12" xfId="0" applyNumberFormat="1" applyFont="1" applyBorder="1"/>
    <xf numFmtId="167" fontId="131" fillId="0" borderId="32" xfId="0" applyNumberFormat="1" applyFont="1" applyBorder="1"/>
    <xf numFmtId="0" fontId="0" fillId="48" borderId="47" xfId="0" applyFill="1" applyBorder="1" applyAlignment="1">
      <alignment horizontal="center"/>
    </xf>
    <xf numFmtId="0" fontId="7" fillId="48" borderId="46" xfId="0" applyFont="1" applyFill="1" applyBorder="1"/>
    <xf numFmtId="0" fontId="73" fillId="48" borderId="46" xfId="0" applyFont="1" applyFill="1" applyBorder="1"/>
    <xf numFmtId="167" fontId="73" fillId="48" borderId="46" xfId="32" applyFont="1" applyFill="1" applyBorder="1"/>
    <xf numFmtId="167" fontId="64" fillId="48" borderId="46" xfId="32" applyFont="1" applyFill="1" applyBorder="1"/>
    <xf numFmtId="167" fontId="66" fillId="48" borderId="46" xfId="32" applyFont="1" applyFill="1" applyBorder="1"/>
    <xf numFmtId="167" fontId="67" fillId="48" borderId="46" xfId="32" applyFont="1" applyFill="1" applyBorder="1"/>
    <xf numFmtId="0" fontId="0" fillId="48" borderId="48" xfId="0" applyFill="1" applyBorder="1" applyAlignment="1">
      <alignment horizontal="center"/>
    </xf>
    <xf numFmtId="0" fontId="7" fillId="48" borderId="49" xfId="0" applyFont="1" applyFill="1" applyBorder="1"/>
    <xf numFmtId="167" fontId="73" fillId="48" borderId="49" xfId="32" applyFont="1" applyFill="1" applyBorder="1"/>
    <xf numFmtId="167" fontId="64" fillId="48" borderId="49" xfId="32" applyFont="1" applyFill="1" applyBorder="1"/>
    <xf numFmtId="167" fontId="66" fillId="48" borderId="49" xfId="32" applyFont="1" applyFill="1" applyBorder="1"/>
    <xf numFmtId="167" fontId="67" fillId="48" borderId="49" xfId="32" applyFont="1" applyFill="1" applyBorder="1"/>
    <xf numFmtId="0" fontId="0" fillId="48" borderId="34" xfId="0" applyFill="1" applyBorder="1" applyAlignment="1">
      <alignment horizontal="center"/>
    </xf>
    <xf numFmtId="0" fontId="7" fillId="48" borderId="35" xfId="0" applyFont="1" applyFill="1" applyBorder="1"/>
    <xf numFmtId="167" fontId="73" fillId="48" borderId="35" xfId="32" applyFont="1" applyFill="1" applyBorder="1"/>
    <xf numFmtId="167" fontId="64" fillId="48" borderId="35" xfId="32" applyFont="1" applyFill="1" applyBorder="1"/>
    <xf numFmtId="167" fontId="66" fillId="48" borderId="35" xfId="32" applyFont="1" applyFill="1" applyBorder="1"/>
    <xf numFmtId="167" fontId="67" fillId="48" borderId="35" xfId="32" applyFont="1" applyFill="1" applyBorder="1"/>
    <xf numFmtId="167" fontId="64" fillId="48" borderId="45" xfId="32" applyFont="1" applyFill="1" applyBorder="1"/>
    <xf numFmtId="167" fontId="64" fillId="48" borderId="61" xfId="32" applyFont="1" applyFill="1" applyBorder="1"/>
    <xf numFmtId="167" fontId="64" fillId="0" borderId="60" xfId="32" applyFont="1" applyBorder="1"/>
    <xf numFmtId="167" fontId="64" fillId="0" borderId="61" xfId="32" applyFont="1" applyBorder="1"/>
    <xf numFmtId="167" fontId="64" fillId="48" borderId="60" xfId="32" applyFont="1" applyFill="1" applyBorder="1"/>
    <xf numFmtId="0" fontId="133" fillId="0" borderId="11" xfId="0" applyFont="1" applyBorder="1" applyAlignment="1">
      <alignment horizontal="center"/>
    </xf>
    <xf numFmtId="0" fontId="133" fillId="0" borderId="12" xfId="0" applyFont="1" applyBorder="1"/>
    <xf numFmtId="0" fontId="134" fillId="0" borderId="12" xfId="0" applyFont="1" applyBorder="1"/>
    <xf numFmtId="0" fontId="135" fillId="0" borderId="12" xfId="0" applyFont="1" applyBorder="1"/>
    <xf numFmtId="0" fontId="134" fillId="0" borderId="51" xfId="0" applyFont="1" applyBorder="1"/>
    <xf numFmtId="0" fontId="134" fillId="0" borderId="14" xfId="0" applyFont="1" applyBorder="1" applyAlignment="1">
      <alignment horizontal="center"/>
    </xf>
    <xf numFmtId="9" fontId="134" fillId="0" borderId="17" xfId="39" applyFont="1" applyBorder="1" applyAlignment="1">
      <alignment horizontal="center"/>
    </xf>
    <xf numFmtId="9" fontId="134" fillId="0" borderId="32" xfId="39" applyFont="1" applyBorder="1" applyAlignment="1">
      <alignment horizontal="center"/>
    </xf>
    <xf numFmtId="167" fontId="32" fillId="0" borderId="17" xfId="32" applyFont="1" applyBorder="1"/>
    <xf numFmtId="14" fontId="98" fillId="46" borderId="43" xfId="56" applyNumberFormat="1" applyFont="1" applyFill="1" applyBorder="1" applyAlignment="1">
      <alignment horizontal="center"/>
    </xf>
    <xf numFmtId="167" fontId="95" fillId="46" borderId="192" xfId="57" applyFont="1" applyFill="1" applyBorder="1" applyAlignment="1">
      <alignment horizontal="center"/>
    </xf>
    <xf numFmtId="0" fontId="95" fillId="46" borderId="192" xfId="56" applyFill="1" applyBorder="1" applyAlignment="1">
      <alignment horizontal="center"/>
    </xf>
    <xf numFmtId="167" fontId="6" fillId="46" borderId="26" xfId="57" applyFont="1" applyFill="1" applyBorder="1" applyAlignment="1">
      <alignment horizontal="center"/>
    </xf>
    <xf numFmtId="14" fontId="98" fillId="28" borderId="193" xfId="56" applyNumberFormat="1" applyFont="1" applyFill="1" applyBorder="1" applyAlignment="1">
      <alignment horizontal="center"/>
    </xf>
    <xf numFmtId="14" fontId="98" fillId="28" borderId="194" xfId="56" applyNumberFormat="1" applyFont="1" applyFill="1" applyBorder="1" applyAlignment="1">
      <alignment horizontal="center"/>
    </xf>
    <xf numFmtId="167" fontId="95" fillId="28" borderId="196" xfId="57" applyFont="1" applyFill="1" applyBorder="1" applyAlignment="1">
      <alignment horizontal="center"/>
    </xf>
    <xf numFmtId="0" fontId="95" fillId="28" borderId="196" xfId="56" applyFill="1" applyBorder="1" applyAlignment="1">
      <alignment horizontal="center"/>
    </xf>
    <xf numFmtId="167" fontId="6" fillId="28" borderId="197" xfId="57" applyFont="1" applyFill="1" applyBorder="1" applyAlignment="1">
      <alignment horizontal="center"/>
    </xf>
    <xf numFmtId="166" fontId="66" fillId="0" borderId="0" xfId="50" applyFont="1" applyAlignment="1">
      <alignment horizontal="left"/>
    </xf>
    <xf numFmtId="43" fontId="0" fillId="0" borderId="0" xfId="0" applyNumberFormat="1" applyAlignment="1">
      <alignment horizontal="center"/>
    </xf>
    <xf numFmtId="43" fontId="66" fillId="0" borderId="0" xfId="0" applyNumberFormat="1" applyFont="1" applyAlignment="1">
      <alignment horizontal="right"/>
    </xf>
    <xf numFmtId="43" fontId="10" fillId="0" borderId="0" xfId="0" applyNumberFormat="1" applyFont="1" applyAlignment="1">
      <alignment horizontal="center"/>
    </xf>
    <xf numFmtId="43" fontId="67" fillId="0" borderId="0" xfId="0" applyNumberFormat="1" applyFont="1" applyAlignment="1">
      <alignment horizontal="right"/>
    </xf>
    <xf numFmtId="167" fontId="10" fillId="43" borderId="0" xfId="32" applyFont="1" applyFill="1"/>
    <xf numFmtId="14" fontId="137" fillId="46" borderId="53" xfId="56" applyNumberFormat="1" applyFont="1" applyFill="1" applyBorder="1" applyAlignment="1">
      <alignment horizontal="center"/>
    </xf>
    <xf numFmtId="167" fontId="138" fillId="46" borderId="174" xfId="57" applyFont="1" applyFill="1" applyBorder="1" applyAlignment="1">
      <alignment horizontal="center"/>
    </xf>
    <xf numFmtId="0" fontId="138" fillId="46" borderId="174" xfId="56" applyFont="1" applyFill="1" applyBorder="1" applyAlignment="1">
      <alignment horizontal="center"/>
    </xf>
    <xf numFmtId="167" fontId="79" fillId="46" borderId="62" xfId="57" applyFont="1" applyFill="1" applyBorder="1" applyAlignment="1">
      <alignment horizontal="center"/>
    </xf>
    <xf numFmtId="14" fontId="137" fillId="46" borderId="151" xfId="56" applyNumberFormat="1" applyFont="1" applyFill="1" applyBorder="1" applyAlignment="1">
      <alignment horizontal="center"/>
    </xf>
    <xf numFmtId="14" fontId="137" fillId="46" borderId="118" xfId="56" applyNumberFormat="1" applyFont="1" applyFill="1" applyBorder="1" applyAlignment="1">
      <alignment horizontal="center"/>
    </xf>
    <xf numFmtId="167" fontId="138" fillId="46" borderId="100" xfId="57" applyFont="1" applyFill="1" applyBorder="1" applyAlignment="1">
      <alignment horizontal="center"/>
    </xf>
    <xf numFmtId="0" fontId="138" fillId="46" borderId="100" xfId="56" applyFont="1" applyFill="1" applyBorder="1" applyAlignment="1">
      <alignment horizontal="center"/>
    </xf>
    <xf numFmtId="167" fontId="79" fillId="46" borderId="152" xfId="57" applyFont="1" applyFill="1" applyBorder="1" applyAlignment="1">
      <alignment horizontal="center"/>
    </xf>
    <xf numFmtId="14" fontId="137" fillId="44" borderId="151" xfId="56" applyNumberFormat="1" applyFont="1" applyFill="1" applyBorder="1" applyAlignment="1">
      <alignment horizontal="center"/>
    </xf>
    <xf numFmtId="14" fontId="137" fillId="44" borderId="118" xfId="56" applyNumberFormat="1" applyFont="1" applyFill="1" applyBorder="1" applyAlignment="1">
      <alignment horizontal="center"/>
    </xf>
    <xf numFmtId="167" fontId="138" fillId="44" borderId="100" xfId="57" applyFont="1" applyFill="1" applyBorder="1" applyAlignment="1">
      <alignment horizontal="center"/>
    </xf>
    <xf numFmtId="0" fontId="138" fillId="44" borderId="100" xfId="56" applyFont="1" applyFill="1" applyBorder="1" applyAlignment="1">
      <alignment horizontal="center"/>
    </xf>
    <xf numFmtId="167" fontId="79" fillId="44" borderId="152" xfId="57" applyFont="1" applyFill="1" applyBorder="1" applyAlignment="1">
      <alignment horizontal="center"/>
    </xf>
    <xf numFmtId="14" fontId="137" fillId="46" borderId="43" xfId="56" applyNumberFormat="1" applyFont="1" applyFill="1" applyBorder="1" applyAlignment="1">
      <alignment horizontal="center"/>
    </xf>
    <xf numFmtId="167" fontId="138" fillId="46" borderId="192" xfId="57" applyFont="1" applyFill="1" applyBorder="1" applyAlignment="1">
      <alignment horizontal="center"/>
    </xf>
    <xf numFmtId="0" fontId="138" fillId="46" borderId="192" xfId="56" applyFont="1" applyFill="1" applyBorder="1" applyAlignment="1">
      <alignment horizontal="center"/>
    </xf>
    <xf numFmtId="167" fontId="79" fillId="46" borderId="26" xfId="57" applyFont="1" applyFill="1" applyBorder="1" applyAlignment="1">
      <alignment horizontal="center"/>
    </xf>
    <xf numFmtId="0" fontId="79" fillId="46" borderId="56" xfId="0" applyFont="1" applyFill="1" applyBorder="1"/>
    <xf numFmtId="0" fontId="77" fillId="34" borderId="0" xfId="0" applyFont="1" applyFill="1" applyAlignment="1">
      <alignment horizontal="center"/>
    </xf>
    <xf numFmtId="167" fontId="65" fillId="41" borderId="20" xfId="32" applyFont="1" applyFill="1" applyBorder="1"/>
    <xf numFmtId="0" fontId="16" fillId="41" borderId="39" xfId="37" applyFill="1" applyBorder="1"/>
    <xf numFmtId="0" fontId="16" fillId="41" borderId="22" xfId="37" applyFill="1" applyBorder="1"/>
    <xf numFmtId="0" fontId="16" fillId="41" borderId="28" xfId="37" applyFill="1" applyBorder="1"/>
    <xf numFmtId="0" fontId="16" fillId="41" borderId="29" xfId="37" applyFill="1" applyBorder="1"/>
    <xf numFmtId="0" fontId="16" fillId="41" borderId="30" xfId="37" applyFill="1" applyBorder="1"/>
    <xf numFmtId="0" fontId="16" fillId="41" borderId="63" xfId="37" applyFill="1" applyBorder="1"/>
    <xf numFmtId="0" fontId="16" fillId="41" borderId="31" xfId="37" applyFill="1" applyBorder="1"/>
    <xf numFmtId="0" fontId="65" fillId="41" borderId="39" xfId="37" applyFont="1" applyFill="1" applyBorder="1"/>
    <xf numFmtId="167" fontId="65" fillId="0" borderId="20" xfId="32" applyFont="1" applyBorder="1"/>
    <xf numFmtId="0" fontId="65" fillId="0" borderId="39" xfId="37" applyFont="1" applyBorder="1"/>
    <xf numFmtId="0" fontId="16" fillId="0" borderId="39" xfId="37" applyBorder="1"/>
    <xf numFmtId="0" fontId="16" fillId="0" borderId="22" xfId="37" applyBorder="1"/>
    <xf numFmtId="167" fontId="65" fillId="0" borderId="28" xfId="32" applyFont="1" applyBorder="1"/>
    <xf numFmtId="167" fontId="65" fillId="0" borderId="28" xfId="32" applyFont="1" applyFill="1" applyBorder="1"/>
    <xf numFmtId="167" fontId="65" fillId="0" borderId="30" xfId="32" applyFont="1" applyBorder="1"/>
    <xf numFmtId="0" fontId="65" fillId="0" borderId="63" xfId="37" applyFont="1" applyBorder="1"/>
    <xf numFmtId="10" fontId="6" fillId="0" borderId="0" xfId="39" applyNumberFormat="1" applyFont="1" applyFill="1" applyAlignment="1">
      <alignment horizontal="center"/>
    </xf>
    <xf numFmtId="10" fontId="79" fillId="0" borderId="0" xfId="39" applyNumberFormat="1" applyFont="1" applyBorder="1" applyAlignment="1">
      <alignment horizontal="center"/>
    </xf>
    <xf numFmtId="0" fontId="10" fillId="45" borderId="46" xfId="0" applyFont="1" applyFill="1" applyBorder="1" applyAlignment="1">
      <alignment horizontal="center"/>
    </xf>
    <xf numFmtId="0" fontId="10" fillId="0" borderId="46" xfId="0" applyFont="1" applyBorder="1" applyAlignment="1">
      <alignment horizontal="center"/>
    </xf>
    <xf numFmtId="0" fontId="10" fillId="44" borderId="46" xfId="0" applyFont="1" applyFill="1" applyBorder="1" applyAlignment="1">
      <alignment horizontal="center" wrapText="1"/>
    </xf>
    <xf numFmtId="0" fontId="10" fillId="32" borderId="46" xfId="0" applyFont="1" applyFill="1" applyBorder="1" applyAlignment="1">
      <alignment horizontal="center" wrapText="1"/>
    </xf>
    <xf numFmtId="0" fontId="10" fillId="34" borderId="46" xfId="0" applyFont="1" applyFill="1" applyBorder="1" applyAlignment="1">
      <alignment horizontal="center" wrapText="1"/>
    </xf>
    <xf numFmtId="44" fontId="66" fillId="0" borderId="0" xfId="0" applyNumberFormat="1" applyFont="1" applyAlignment="1">
      <alignment horizontal="right"/>
    </xf>
    <xf numFmtId="167" fontId="73" fillId="0" borderId="0" xfId="32" applyFont="1" applyAlignment="1">
      <alignment horizontal="right"/>
    </xf>
    <xf numFmtId="0" fontId="139" fillId="0" borderId="16" xfId="0" applyFont="1" applyBorder="1"/>
    <xf numFmtId="0" fontId="6" fillId="0" borderId="52" xfId="37" applyFont="1" applyBorder="1" applyAlignment="1">
      <alignment wrapText="1"/>
    </xf>
    <xf numFmtId="14" fontId="6" fillId="0" borderId="15" xfId="37" applyNumberFormat="1" applyFont="1" applyBorder="1"/>
    <xf numFmtId="0" fontId="7" fillId="0" borderId="116" xfId="30" applyFont="1" applyBorder="1" applyAlignment="1" applyProtection="1">
      <alignment horizontal="center"/>
    </xf>
    <xf numFmtId="0" fontId="66" fillId="0" borderId="0" xfId="0" quotePrefix="1" applyFont="1"/>
    <xf numFmtId="44" fontId="10" fillId="0" borderId="10" xfId="0" applyNumberFormat="1" applyFont="1" applyBorder="1" applyAlignment="1">
      <alignment horizontal="center"/>
    </xf>
    <xf numFmtId="167" fontId="7" fillId="0" borderId="10" xfId="32" applyFont="1" applyBorder="1" applyAlignment="1">
      <alignment horizontal="left"/>
    </xf>
    <xf numFmtId="44" fontId="7" fillId="0" borderId="10" xfId="0" applyNumberFormat="1" applyFont="1" applyBorder="1" applyAlignment="1">
      <alignment horizontal="right"/>
    </xf>
    <xf numFmtId="0" fontId="7" fillId="0" borderId="10" xfId="0" applyFont="1" applyBorder="1" applyAlignment="1">
      <alignment horizontal="left"/>
    </xf>
    <xf numFmtId="0" fontId="10" fillId="0" borderId="10" xfId="0" applyFont="1" applyBorder="1" applyAlignment="1">
      <alignment horizontal="left"/>
    </xf>
    <xf numFmtId="167" fontId="67" fillId="0" borderId="10" xfId="32" applyFont="1" applyBorder="1" applyAlignment="1">
      <alignment horizontal="left"/>
    </xf>
    <xf numFmtId="44" fontId="67" fillId="0" borderId="10" xfId="0" applyNumberFormat="1" applyFont="1" applyBorder="1" applyAlignment="1">
      <alignment horizontal="right"/>
    </xf>
    <xf numFmtId="167" fontId="0" fillId="0" borderId="10" xfId="32" applyFont="1" applyBorder="1" applyAlignment="1">
      <alignment horizontal="right"/>
    </xf>
    <xf numFmtId="0" fontId="0" fillId="0" borderId="10" xfId="0" applyBorder="1" applyAlignment="1">
      <alignment horizontal="left"/>
    </xf>
    <xf numFmtId="167" fontId="64" fillId="0" borderId="10" xfId="32" applyFont="1" applyBorder="1" applyAlignment="1">
      <alignment horizontal="left"/>
    </xf>
    <xf numFmtId="44" fontId="64" fillId="0" borderId="10" xfId="0" applyNumberFormat="1" applyFont="1" applyBorder="1" applyAlignment="1">
      <alignment horizontal="center"/>
    </xf>
    <xf numFmtId="0" fontId="67" fillId="49" borderId="0" xfId="0" applyFont="1" applyFill="1"/>
    <xf numFmtId="44" fontId="67" fillId="49" borderId="0" xfId="0" applyNumberFormat="1" applyFont="1" applyFill="1"/>
    <xf numFmtId="167" fontId="0" fillId="26" borderId="0" xfId="32" applyFont="1" applyFill="1"/>
    <xf numFmtId="176" fontId="66" fillId="0" borderId="0" xfId="39" applyNumberFormat="1" applyFont="1" applyBorder="1"/>
    <xf numFmtId="176" fontId="0" fillId="0" borderId="0" xfId="39" applyNumberFormat="1" applyFont="1" applyFill="1" applyBorder="1"/>
    <xf numFmtId="14" fontId="16" fillId="0" borderId="48" xfId="37" applyNumberFormat="1" applyBorder="1"/>
    <xf numFmtId="0" fontId="16" fillId="0" borderId="87" xfId="37" applyBorder="1"/>
    <xf numFmtId="0" fontId="16" fillId="0" borderId="49" xfId="37" applyBorder="1" applyAlignment="1">
      <alignment horizontal="center"/>
    </xf>
    <xf numFmtId="0" fontId="16" fillId="0" borderId="67" xfId="37" applyBorder="1" applyAlignment="1">
      <alignment horizontal="center"/>
    </xf>
    <xf numFmtId="167" fontId="65" fillId="0" borderId="55" xfId="32" applyFont="1" applyFill="1" applyBorder="1"/>
    <xf numFmtId="167" fontId="6" fillId="46" borderId="61" xfId="32" applyFont="1" applyFill="1" applyBorder="1"/>
    <xf numFmtId="44" fontId="10" fillId="0" borderId="0" xfId="0" applyNumberFormat="1" applyFont="1" applyAlignment="1">
      <alignment horizontal="center"/>
    </xf>
    <xf numFmtId="167" fontId="10" fillId="0" borderId="0" xfId="32" applyFont="1" applyFill="1" applyBorder="1" applyAlignment="1">
      <alignment horizontal="center"/>
    </xf>
    <xf numFmtId="167" fontId="64" fillId="0" borderId="0" xfId="32" applyFont="1" applyFill="1" applyBorder="1" applyAlignment="1">
      <alignment horizontal="left"/>
    </xf>
    <xf numFmtId="167" fontId="6" fillId="46" borderId="13" xfId="32" applyFont="1" applyFill="1" applyBorder="1"/>
    <xf numFmtId="167" fontId="69" fillId="0" borderId="46" xfId="32" applyFont="1" applyBorder="1"/>
    <xf numFmtId="167" fontId="69" fillId="0" borderId="33" xfId="32" applyFont="1" applyBorder="1"/>
    <xf numFmtId="167" fontId="68" fillId="0" borderId="12" xfId="32" applyFont="1" applyBorder="1"/>
    <xf numFmtId="167" fontId="65" fillId="0" borderId="46" xfId="32" applyFont="1" applyBorder="1"/>
    <xf numFmtId="167" fontId="74" fillId="0" borderId="12" xfId="32" applyFont="1" applyBorder="1"/>
    <xf numFmtId="0" fontId="40" fillId="0" borderId="32" xfId="37" applyFont="1" applyBorder="1" applyAlignment="1">
      <alignment horizontal="center"/>
    </xf>
    <xf numFmtId="167" fontId="40" fillId="0" borderId="40" xfId="32" applyFont="1" applyBorder="1"/>
    <xf numFmtId="167" fontId="40" fillId="0" borderId="38" xfId="32" applyFont="1" applyBorder="1"/>
    <xf numFmtId="0" fontId="7" fillId="0" borderId="34" xfId="0" applyFont="1" applyBorder="1" applyAlignment="1">
      <alignment horizontal="center"/>
    </xf>
    <xf numFmtId="167" fontId="106" fillId="0" borderId="33" xfId="32" applyFont="1" applyFill="1" applyBorder="1"/>
    <xf numFmtId="0" fontId="0" fillId="0" borderId="18" xfId="0" applyBorder="1"/>
    <xf numFmtId="0" fontId="95" fillId="26" borderId="0" xfId="56" applyFill="1"/>
    <xf numFmtId="14" fontId="26" fillId="0" borderId="0" xfId="32" applyNumberFormat="1" applyFont="1" applyFill="1" applyAlignment="1">
      <alignment horizontal="left"/>
    </xf>
    <xf numFmtId="44" fontId="53" fillId="0" borderId="0" xfId="37" applyNumberFormat="1" applyFont="1"/>
    <xf numFmtId="0" fontId="7" fillId="0" borderId="25" xfId="0" applyFont="1" applyBorder="1" applyAlignment="1">
      <alignment horizontal="left"/>
    </xf>
    <xf numFmtId="1" fontId="7" fillId="0" borderId="25" xfId="32" applyNumberFormat="1" applyFont="1" applyFill="1" applyBorder="1" applyAlignment="1">
      <alignment horizontal="center"/>
    </xf>
    <xf numFmtId="167" fontId="66" fillId="0" borderId="0" xfId="0" applyNumberFormat="1" applyFont="1"/>
    <xf numFmtId="0" fontId="73" fillId="0" borderId="56" xfId="0" applyFont="1" applyBorder="1"/>
    <xf numFmtId="1" fontId="73" fillId="0" borderId="42" xfId="32" applyNumberFormat="1" applyFont="1" applyBorder="1" applyAlignment="1">
      <alignment horizontal="center"/>
    </xf>
    <xf numFmtId="1" fontId="73" fillId="0" borderId="16" xfId="32" applyNumberFormat="1" applyFont="1" applyBorder="1" applyAlignment="1">
      <alignment horizontal="center"/>
    </xf>
    <xf numFmtId="167" fontId="73" fillId="0" borderId="16" xfId="32" applyFont="1" applyFill="1" applyBorder="1"/>
    <xf numFmtId="167" fontId="73" fillId="0" borderId="42" xfId="32" applyFont="1" applyFill="1" applyBorder="1"/>
    <xf numFmtId="1" fontId="7" fillId="0" borderId="0" xfId="32" applyNumberFormat="1" applyFont="1" applyAlignment="1"/>
    <xf numFmtId="1" fontId="10" fillId="0" borderId="0" xfId="32" applyNumberFormat="1" applyFont="1" applyAlignment="1"/>
    <xf numFmtId="167" fontId="65" fillId="0" borderId="59" xfId="32" applyFont="1" applyBorder="1"/>
    <xf numFmtId="0" fontId="65" fillId="0" borderId="37" xfId="37" applyFont="1" applyBorder="1"/>
    <xf numFmtId="167" fontId="6" fillId="0" borderId="0" xfId="32" applyFont="1" applyFill="1" applyBorder="1" applyAlignment="1"/>
    <xf numFmtId="167" fontId="26" fillId="0" borderId="0" xfId="32" applyFont="1" applyFill="1" applyBorder="1" applyAlignment="1"/>
    <xf numFmtId="167" fontId="68" fillId="0" borderId="0" xfId="32" applyFont="1" applyFill="1" applyAlignment="1">
      <alignment horizontal="center"/>
    </xf>
    <xf numFmtId="167" fontId="94" fillId="0" borderId="12" xfId="32" applyFont="1" applyBorder="1" applyAlignment="1">
      <alignment horizontal="center"/>
    </xf>
    <xf numFmtId="167" fontId="94" fillId="0" borderId="32" xfId="32" applyFont="1" applyBorder="1" applyAlignment="1">
      <alignment horizontal="center"/>
    </xf>
    <xf numFmtId="0" fontId="122" fillId="30" borderId="56" xfId="0" applyFont="1" applyFill="1" applyBorder="1"/>
    <xf numFmtId="0" fontId="122" fillId="30" borderId="16" xfId="0" applyFont="1" applyFill="1" applyBorder="1"/>
    <xf numFmtId="167" fontId="10" fillId="0" borderId="41" xfId="32" applyFont="1" applyFill="1" applyBorder="1"/>
    <xf numFmtId="44" fontId="0" fillId="0" borderId="0" xfId="0" applyNumberFormat="1" applyAlignment="1">
      <alignment horizontal="center"/>
    </xf>
    <xf numFmtId="167" fontId="0" fillId="0" borderId="41" xfId="32" applyFont="1" applyFill="1" applyBorder="1"/>
    <xf numFmtId="0" fontId="122" fillId="50" borderId="56" xfId="0" applyFont="1" applyFill="1" applyBorder="1"/>
    <xf numFmtId="0" fontId="122" fillId="50" borderId="16" xfId="0" applyFont="1" applyFill="1" applyBorder="1"/>
    <xf numFmtId="180" fontId="7" fillId="0" borderId="16" xfId="32" applyNumberFormat="1" applyFont="1" applyBorder="1" applyAlignment="1">
      <alignment horizontal="center"/>
    </xf>
    <xf numFmtId="170" fontId="6" fillId="0" borderId="0" xfId="39" applyNumberFormat="1" applyFont="1" applyBorder="1" applyAlignment="1">
      <alignment horizontal="center"/>
    </xf>
    <xf numFmtId="167" fontId="76" fillId="0" borderId="0" xfId="32" applyFont="1" applyAlignment="1">
      <alignment horizontal="center"/>
    </xf>
    <xf numFmtId="167" fontId="66" fillId="0" borderId="16" xfId="32" applyFont="1" applyFill="1" applyBorder="1"/>
    <xf numFmtId="167" fontId="66" fillId="0" borderId="42" xfId="32" applyFont="1" applyFill="1" applyBorder="1"/>
    <xf numFmtId="167" fontId="88" fillId="0" borderId="0" xfId="32" applyFont="1" applyBorder="1" applyAlignment="1"/>
    <xf numFmtId="167" fontId="16" fillId="0" borderId="59" xfId="32" applyFont="1" applyBorder="1"/>
    <xf numFmtId="49" fontId="7" fillId="0" borderId="16" xfId="32" applyNumberFormat="1" applyFont="1" applyBorder="1" applyAlignment="1">
      <alignment horizontal="center"/>
    </xf>
    <xf numFmtId="167" fontId="6" fillId="46" borderId="150" xfId="57" applyFont="1" applyFill="1" applyBorder="1" applyAlignment="1">
      <alignment horizontal="center"/>
    </xf>
    <xf numFmtId="167" fontId="10" fillId="0" borderId="67" xfId="32" applyFont="1" applyFill="1" applyBorder="1"/>
    <xf numFmtId="0" fontId="122" fillId="30" borderId="23" xfId="0" applyFont="1" applyFill="1" applyBorder="1"/>
    <xf numFmtId="0" fontId="144" fillId="0" borderId="16" xfId="0" applyFont="1" applyBorder="1"/>
    <xf numFmtId="0" fontId="145" fillId="0" borderId="16" xfId="0" applyFont="1" applyBorder="1"/>
    <xf numFmtId="14" fontId="4" fillId="0" borderId="0" xfId="62" applyNumberFormat="1" applyAlignment="1">
      <alignment horizontal="center"/>
    </xf>
    <xf numFmtId="166" fontId="66" fillId="0" borderId="0" xfId="50" applyFont="1" applyFill="1" applyAlignment="1"/>
    <xf numFmtId="166" fontId="67" fillId="0" borderId="0" xfId="50" applyFont="1" applyFill="1" applyAlignment="1">
      <alignment horizontal="center"/>
    </xf>
    <xf numFmtId="166" fontId="73" fillId="0" borderId="0" xfId="50" applyFont="1" applyFill="1" applyAlignment="1">
      <alignment horizontal="center"/>
    </xf>
    <xf numFmtId="167" fontId="123" fillId="0" borderId="0" xfId="32" applyFont="1" applyFill="1"/>
    <xf numFmtId="167" fontId="73" fillId="0" borderId="0" xfId="32" applyFont="1" applyFill="1" applyAlignment="1">
      <alignment horizontal="center"/>
    </xf>
    <xf numFmtId="0" fontId="146" fillId="0" borderId="16" xfId="0" applyFont="1" applyBorder="1"/>
    <xf numFmtId="167" fontId="67" fillId="0" borderId="0" xfId="32" applyFont="1" applyFill="1"/>
    <xf numFmtId="1" fontId="66" fillId="0" borderId="42" xfId="32" applyNumberFormat="1" applyFont="1" applyFill="1" applyBorder="1" applyAlignment="1">
      <alignment horizontal="center"/>
    </xf>
    <xf numFmtId="1" fontId="66" fillId="0" borderId="16" xfId="32" applyNumberFormat="1" applyFont="1" applyFill="1" applyBorder="1" applyAlignment="1">
      <alignment horizontal="center"/>
    </xf>
    <xf numFmtId="166" fontId="0" fillId="0" borderId="0" xfId="50" applyFont="1" applyAlignment="1">
      <alignment horizontal="center"/>
    </xf>
    <xf numFmtId="167" fontId="123" fillId="0" borderId="46" xfId="32" applyFont="1" applyFill="1" applyBorder="1"/>
    <xf numFmtId="0" fontId="123" fillId="0" borderId="46" xfId="0" applyFont="1" applyBorder="1"/>
    <xf numFmtId="167" fontId="123" fillId="0" borderId="40" xfId="32" applyFont="1" applyBorder="1"/>
    <xf numFmtId="167" fontId="0" fillId="0" borderId="0" xfId="32" applyFont="1" applyFill="1" applyAlignment="1">
      <alignment horizontal="center"/>
    </xf>
    <xf numFmtId="166" fontId="0" fillId="0" borderId="0" xfId="50" applyFont="1" applyFill="1" applyAlignment="1">
      <alignment horizontal="center"/>
    </xf>
    <xf numFmtId="167" fontId="10" fillId="0" borderId="0" xfId="32" applyFont="1" applyFill="1" applyAlignment="1">
      <alignment horizontal="center"/>
    </xf>
    <xf numFmtId="14" fontId="98" fillId="46" borderId="127" xfId="56" applyNumberFormat="1" applyFont="1" applyFill="1" applyBorder="1" applyAlignment="1">
      <alignment horizontal="center"/>
    </xf>
    <xf numFmtId="14" fontId="98" fillId="46" borderId="202" xfId="56" applyNumberFormat="1" applyFont="1" applyFill="1" applyBorder="1" applyAlignment="1">
      <alignment horizontal="center"/>
    </xf>
    <xf numFmtId="14" fontId="98" fillId="46" borderId="100" xfId="56" applyNumberFormat="1" applyFont="1" applyFill="1" applyBorder="1" applyAlignment="1">
      <alignment horizontal="center"/>
    </xf>
    <xf numFmtId="14" fontId="98" fillId="46" borderId="154" xfId="56" applyNumberFormat="1" applyFont="1" applyFill="1" applyBorder="1" applyAlignment="1">
      <alignment horizontal="center"/>
    </xf>
    <xf numFmtId="167" fontId="95" fillId="0" borderId="0" xfId="57" applyFont="1" applyFill="1" applyBorder="1" applyAlignment="1">
      <alignment horizontal="left"/>
    </xf>
    <xf numFmtId="175" fontId="0" fillId="0" borderId="0" xfId="39" applyNumberFormat="1" applyFont="1"/>
    <xf numFmtId="175" fontId="10" fillId="0" borderId="0" xfId="0" applyNumberFormat="1" applyFont="1"/>
    <xf numFmtId="14" fontId="98" fillId="44" borderId="185" xfId="56" applyNumberFormat="1" applyFont="1" applyFill="1" applyBorder="1" applyAlignment="1">
      <alignment horizontal="center"/>
    </xf>
    <xf numFmtId="14" fontId="98" fillId="44" borderId="153" xfId="56" applyNumberFormat="1" applyFont="1" applyFill="1" applyBorder="1" applyAlignment="1">
      <alignment horizontal="center"/>
    </xf>
    <xf numFmtId="167" fontId="95" fillId="44" borderId="154" xfId="57" applyFont="1" applyFill="1" applyBorder="1" applyAlignment="1">
      <alignment horizontal="center"/>
    </xf>
    <xf numFmtId="0" fontId="95" fillId="44" borderId="154" xfId="56" applyFill="1" applyBorder="1" applyAlignment="1">
      <alignment horizontal="center"/>
    </xf>
    <xf numFmtId="167" fontId="6" fillId="44" borderId="187" xfId="57" applyFont="1" applyFill="1" applyBorder="1" applyAlignment="1">
      <alignment horizontal="center"/>
    </xf>
    <xf numFmtId="17" fontId="0" fillId="0" borderId="0" xfId="39" applyNumberFormat="1" applyFont="1" applyAlignment="1">
      <alignment horizontal="center"/>
    </xf>
    <xf numFmtId="14" fontId="65" fillId="0" borderId="10" xfId="37" applyNumberFormat="1" applyFont="1" applyBorder="1"/>
    <xf numFmtId="17" fontId="10" fillId="0" borderId="0" xfId="39" applyNumberFormat="1" applyFont="1" applyAlignment="1">
      <alignment horizontal="center"/>
    </xf>
    <xf numFmtId="172" fontId="0" fillId="0" borderId="0" xfId="50" applyNumberFormat="1" applyFont="1"/>
    <xf numFmtId="166" fontId="65" fillId="0" borderId="0" xfId="50" applyFont="1" applyFill="1" applyBorder="1" applyAlignment="1">
      <alignment horizontal="left"/>
    </xf>
    <xf numFmtId="2" fontId="10" fillId="0" borderId="0" xfId="0" applyNumberFormat="1" applyFont="1"/>
    <xf numFmtId="0" fontId="67" fillId="0" borderId="10" xfId="0" applyFont="1" applyBorder="1" applyAlignment="1">
      <alignment horizontal="center"/>
    </xf>
    <xf numFmtId="2" fontId="67" fillId="0" borderId="10" xfId="0" applyNumberFormat="1" applyFont="1" applyBorder="1" applyAlignment="1">
      <alignment horizontal="center"/>
    </xf>
    <xf numFmtId="2" fontId="10" fillId="41" borderId="10" xfId="0" applyNumberFormat="1" applyFont="1" applyFill="1" applyBorder="1" applyAlignment="1">
      <alignment horizontal="center"/>
    </xf>
    <xf numFmtId="0" fontId="0" fillId="41" borderId="10" xfId="0" applyFill="1" applyBorder="1" applyAlignment="1">
      <alignment horizontal="center"/>
    </xf>
    <xf numFmtId="2" fontId="88" fillId="0" borderId="10" xfId="0" applyNumberFormat="1" applyFont="1" applyBorder="1" applyAlignment="1">
      <alignment horizontal="center"/>
    </xf>
    <xf numFmtId="167" fontId="0" fillId="0" borderId="0" xfId="32" applyFont="1" applyAlignment="1"/>
    <xf numFmtId="2" fontId="64" fillId="41" borderId="10" xfId="0" applyNumberFormat="1" applyFont="1" applyFill="1" applyBorder="1" applyAlignment="1">
      <alignment horizontal="center"/>
    </xf>
    <xf numFmtId="167" fontId="88" fillId="0" borderId="10" xfId="32" applyFont="1" applyBorder="1"/>
    <xf numFmtId="0" fontId="66" fillId="0" borderId="52" xfId="0" applyFont="1" applyBorder="1" applyAlignment="1">
      <alignment horizontal="left"/>
    </xf>
    <xf numFmtId="0" fontId="106" fillId="0" borderId="120" xfId="0" applyFont="1" applyBorder="1"/>
    <xf numFmtId="0" fontId="106" fillId="0" borderId="45" xfId="0" applyFont="1" applyBorder="1"/>
    <xf numFmtId="0" fontId="106" fillId="0" borderId="52" xfId="0" applyFont="1" applyBorder="1"/>
    <xf numFmtId="167" fontId="123" fillId="0" borderId="0" xfId="32" applyFont="1" applyFill="1" applyBorder="1"/>
    <xf numFmtId="167" fontId="79" fillId="0" borderId="52" xfId="32" applyFont="1" applyBorder="1"/>
    <xf numFmtId="167" fontId="79" fillId="0" borderId="52" xfId="32" applyFont="1" applyFill="1" applyBorder="1"/>
    <xf numFmtId="167" fontId="79" fillId="0" borderId="59" xfId="32" applyFont="1" applyBorder="1"/>
    <xf numFmtId="0" fontId="110" fillId="0" borderId="0" xfId="0" applyFont="1" applyAlignment="1">
      <alignment horizontal="right"/>
    </xf>
    <xf numFmtId="0" fontId="108" fillId="0" borderId="63" xfId="0" applyFont="1" applyBorder="1" applyAlignment="1">
      <alignment horizontal="right"/>
    </xf>
    <xf numFmtId="0" fontId="108" fillId="0" borderId="30" xfId="0" applyFont="1" applyBorder="1" applyAlignment="1">
      <alignment horizontal="right"/>
    </xf>
    <xf numFmtId="10" fontId="108" fillId="0" borderId="31" xfId="39" applyNumberFormat="1" applyFont="1" applyBorder="1" applyAlignment="1">
      <alignment horizontal="center"/>
    </xf>
    <xf numFmtId="167" fontId="108" fillId="0" borderId="17" xfId="0" applyNumberFormat="1" applyFont="1" applyBorder="1"/>
    <xf numFmtId="167" fontId="124" fillId="0" borderId="0" xfId="32" applyFont="1" applyFill="1" applyBorder="1" applyAlignment="1">
      <alignment horizontal="center"/>
    </xf>
    <xf numFmtId="167" fontId="108" fillId="0" borderId="69" xfId="32" applyFont="1" applyFill="1" applyBorder="1" applyAlignment="1">
      <alignment horizontal="center"/>
    </xf>
    <xf numFmtId="167" fontId="124" fillId="0" borderId="17" xfId="32" applyFont="1" applyFill="1" applyBorder="1" applyAlignment="1">
      <alignment horizontal="center"/>
    </xf>
    <xf numFmtId="0" fontId="39" fillId="0" borderId="0" xfId="37" applyFont="1" applyAlignment="1">
      <alignment horizontal="center"/>
    </xf>
    <xf numFmtId="167" fontId="79" fillId="0" borderId="0" xfId="32" applyFont="1" applyFill="1" applyBorder="1"/>
    <xf numFmtId="10" fontId="108" fillId="0" borderId="0" xfId="39" applyNumberFormat="1" applyFont="1" applyBorder="1" applyAlignment="1">
      <alignment horizontal="center"/>
    </xf>
    <xf numFmtId="0" fontId="123" fillId="0" borderId="52" xfId="0" applyFont="1" applyBorder="1"/>
    <xf numFmtId="49" fontId="66" fillId="0" borderId="52" xfId="50" applyNumberFormat="1" applyFont="1" applyBorder="1" applyAlignment="1">
      <alignment horizontal="left"/>
    </xf>
    <xf numFmtId="0" fontId="106" fillId="0" borderId="59" xfId="0" applyFont="1" applyBorder="1"/>
    <xf numFmtId="167" fontId="123" fillId="0" borderId="85" xfId="32" applyFont="1" applyFill="1" applyBorder="1" applyAlignment="1">
      <alignment horizontal="center"/>
    </xf>
    <xf numFmtId="167" fontId="123" fillId="0" borderId="85" xfId="32" applyFont="1" applyFill="1" applyBorder="1"/>
    <xf numFmtId="167" fontId="106" fillId="0" borderId="85" xfId="32" applyFont="1" applyFill="1" applyBorder="1"/>
    <xf numFmtId="167" fontId="106" fillId="0" borderId="85" xfId="32" applyFont="1" applyFill="1" applyBorder="1" applyAlignment="1">
      <alignment horizontal="center"/>
    </xf>
    <xf numFmtId="0" fontId="0" fillId="0" borderId="85" xfId="0" applyBorder="1"/>
    <xf numFmtId="167" fontId="123" fillId="0" borderId="160" xfId="32" applyFont="1" applyFill="1" applyBorder="1" applyAlignment="1">
      <alignment horizontal="center"/>
    </xf>
    <xf numFmtId="167" fontId="147" fillId="0" borderId="85" xfId="32" applyFont="1" applyFill="1" applyBorder="1"/>
    <xf numFmtId="167" fontId="73" fillId="0" borderId="85" xfId="32" applyFont="1" applyBorder="1"/>
    <xf numFmtId="0" fontId="124" fillId="0" borderId="58" xfId="0" applyFont="1" applyBorder="1" applyAlignment="1">
      <alignment horizontal="right"/>
    </xf>
    <xf numFmtId="14" fontId="123" fillId="0" borderId="47" xfId="37" applyNumberFormat="1" applyFont="1" applyBorder="1" applyAlignment="1">
      <alignment horizontal="center"/>
    </xf>
    <xf numFmtId="167" fontId="123" fillId="0" borderId="88" xfId="32" applyFont="1" applyBorder="1"/>
    <xf numFmtId="167" fontId="106" fillId="0" borderId="46" xfId="32" applyFont="1" applyBorder="1"/>
    <xf numFmtId="167" fontId="79" fillId="0" borderId="45" xfId="32" applyFont="1" applyBorder="1"/>
    <xf numFmtId="167" fontId="123" fillId="0" borderId="46" xfId="32" applyFont="1" applyFill="1" applyBorder="1" applyAlignment="1">
      <alignment horizontal="center"/>
    </xf>
    <xf numFmtId="167" fontId="0" fillId="41" borderId="10" xfId="32" applyFont="1" applyFill="1" applyBorder="1" applyAlignment="1">
      <alignment horizontal="center"/>
    </xf>
    <xf numFmtId="167" fontId="67" fillId="41" borderId="10" xfId="32" applyFont="1" applyFill="1" applyBorder="1" applyAlignment="1">
      <alignment horizontal="center"/>
    </xf>
    <xf numFmtId="0" fontId="124" fillId="0" borderId="14" xfId="0" applyFont="1" applyBorder="1" applyAlignment="1">
      <alignment horizontal="center"/>
    </xf>
    <xf numFmtId="10" fontId="110" fillId="0" borderId="0" xfId="39" applyNumberFormat="1" applyFont="1" applyFill="1" applyBorder="1" applyAlignment="1">
      <alignment horizontal="center"/>
    </xf>
    <xf numFmtId="0" fontId="7" fillId="0" borderId="16" xfId="0" applyFont="1" applyBorder="1" applyAlignment="1">
      <alignment horizontal="left"/>
    </xf>
    <xf numFmtId="167" fontId="10" fillId="0" borderId="10" xfId="0" applyNumberFormat="1" applyFont="1" applyBorder="1"/>
    <xf numFmtId="0" fontId="7" fillId="0" borderId="10" xfId="0" applyFont="1" applyBorder="1" applyAlignment="1">
      <alignment horizontal="right"/>
    </xf>
    <xf numFmtId="175" fontId="0" fillId="0" borderId="0" xfId="0" applyNumberFormat="1"/>
    <xf numFmtId="175" fontId="0" fillId="0" borderId="10" xfId="39" applyNumberFormat="1" applyFont="1" applyBorder="1" applyAlignment="1">
      <alignment horizontal="center"/>
    </xf>
    <xf numFmtId="167" fontId="10" fillId="0" borderId="10" xfId="0" applyNumberFormat="1" applyFont="1" applyBorder="1" applyAlignment="1">
      <alignment horizontal="center"/>
    </xf>
    <xf numFmtId="175" fontId="10" fillId="0" borderId="10" xfId="39" applyNumberFormat="1" applyFont="1" applyBorder="1" applyAlignment="1">
      <alignment horizontal="center"/>
    </xf>
    <xf numFmtId="0" fontId="148" fillId="0" borderId="16" xfId="0" applyFont="1" applyBorder="1"/>
    <xf numFmtId="14" fontId="66" fillId="0" borderId="16" xfId="0" applyNumberFormat="1" applyFont="1" applyBorder="1" applyAlignment="1">
      <alignment horizontal="center"/>
    </xf>
    <xf numFmtId="167" fontId="69" fillId="0" borderId="34" xfId="32" applyFont="1" applyBorder="1"/>
    <xf numFmtId="167" fontId="69" fillId="0" borderId="60" xfId="32" applyFont="1" applyBorder="1"/>
    <xf numFmtId="44" fontId="69" fillId="0" borderId="36" xfId="37" applyNumberFormat="1" applyFont="1" applyBorder="1"/>
    <xf numFmtId="167" fontId="69" fillId="0" borderId="15" xfId="32" applyFont="1" applyBorder="1"/>
    <xf numFmtId="167" fontId="69" fillId="0" borderId="52" xfId="32" applyFont="1" applyBorder="1"/>
    <xf numFmtId="44" fontId="69" fillId="0" borderId="13" xfId="37" applyNumberFormat="1" applyFont="1" applyBorder="1"/>
    <xf numFmtId="176" fontId="66" fillId="0" borderId="0" xfId="39" applyNumberFormat="1" applyFont="1" applyFill="1"/>
    <xf numFmtId="14" fontId="98" fillId="46" borderId="193" xfId="56" applyNumberFormat="1" applyFont="1" applyFill="1" applyBorder="1" applyAlignment="1">
      <alignment horizontal="center"/>
    </xf>
    <xf numFmtId="167" fontId="95" fillId="46" borderId="196" xfId="57" applyFont="1" applyFill="1" applyBorder="1" applyAlignment="1">
      <alignment horizontal="center"/>
    </xf>
    <xf numFmtId="0" fontId="95" fillId="46" borderId="196" xfId="56" applyFill="1" applyBorder="1" applyAlignment="1">
      <alignment horizontal="center"/>
    </xf>
    <xf numFmtId="167" fontId="6" fillId="46" borderId="197" xfId="57" applyFont="1" applyFill="1" applyBorder="1" applyAlignment="1">
      <alignment horizontal="center"/>
    </xf>
    <xf numFmtId="14" fontId="98" fillId="46" borderId="24" xfId="56" applyNumberFormat="1" applyFont="1" applyFill="1" applyBorder="1" applyAlignment="1">
      <alignment horizontal="center"/>
    </xf>
    <xf numFmtId="167" fontId="95" fillId="46" borderId="203" xfId="57" applyFont="1" applyFill="1" applyBorder="1" applyAlignment="1">
      <alignment horizontal="center"/>
    </xf>
    <xf numFmtId="0" fontId="95" fillId="46" borderId="203" xfId="56" applyFill="1" applyBorder="1" applyAlignment="1">
      <alignment horizontal="center"/>
    </xf>
    <xf numFmtId="167" fontId="6" fillId="46" borderId="18" xfId="57" applyFont="1" applyFill="1" applyBorder="1" applyAlignment="1">
      <alignment horizontal="center"/>
    </xf>
    <xf numFmtId="14" fontId="98" fillId="44" borderId="100" xfId="56" applyNumberFormat="1" applyFont="1" applyFill="1" applyBorder="1" applyAlignment="1">
      <alignment horizontal="center"/>
    </xf>
    <xf numFmtId="17" fontId="0" fillId="0" borderId="0" xfId="39" applyNumberFormat="1" applyFont="1" applyBorder="1" applyAlignment="1">
      <alignment horizontal="center"/>
    </xf>
    <xf numFmtId="167" fontId="34" fillId="0" borderId="86" xfId="32" applyFont="1" applyFill="1" applyBorder="1"/>
    <xf numFmtId="167" fontId="40" fillId="0" borderId="72" xfId="32" applyFont="1" applyFill="1" applyBorder="1"/>
    <xf numFmtId="167" fontId="32" fillId="0" borderId="63" xfId="32" applyFont="1" applyFill="1" applyBorder="1"/>
    <xf numFmtId="167" fontId="32" fillId="0" borderId="72" xfId="32" applyFont="1" applyFill="1" applyBorder="1"/>
    <xf numFmtId="44" fontId="53" fillId="27" borderId="0" xfId="37" applyNumberFormat="1" applyFont="1" applyFill="1"/>
    <xf numFmtId="167" fontId="69" fillId="0" borderId="0" xfId="32" applyFont="1" applyFill="1" applyAlignment="1">
      <alignment horizontal="center"/>
    </xf>
    <xf numFmtId="167" fontId="32" fillId="0" borderId="0" xfId="37" applyNumberFormat="1" applyFont="1" applyAlignment="1">
      <alignment horizontal="center"/>
    </xf>
    <xf numFmtId="0" fontId="7" fillId="0" borderId="16" xfId="0" applyFont="1" applyBorder="1" applyAlignment="1">
      <alignment wrapText="1"/>
    </xf>
    <xf numFmtId="167" fontId="6" fillId="44" borderId="18" xfId="57" applyFont="1" applyFill="1" applyBorder="1" applyAlignment="1">
      <alignment horizontal="center"/>
    </xf>
    <xf numFmtId="14" fontId="98" fillId="44" borderId="154" xfId="56" applyNumberFormat="1" applyFont="1" applyFill="1" applyBorder="1" applyAlignment="1">
      <alignment horizontal="center"/>
    </xf>
    <xf numFmtId="167" fontId="6" fillId="44" borderId="19" xfId="57" applyFont="1" applyFill="1" applyBorder="1" applyAlignment="1">
      <alignment horizontal="center"/>
    </xf>
    <xf numFmtId="2" fontId="0" fillId="0" borderId="0" xfId="0" applyNumberFormat="1"/>
    <xf numFmtId="10" fontId="10" fillId="0" borderId="0" xfId="39" applyNumberFormat="1" applyFont="1"/>
    <xf numFmtId="14" fontId="0" fillId="0" borderId="0" xfId="39" applyNumberFormat="1" applyFont="1"/>
    <xf numFmtId="17" fontId="7" fillId="0" borderId="0" xfId="39" applyNumberFormat="1" applyFont="1" applyAlignment="1">
      <alignment horizontal="left"/>
    </xf>
    <xf numFmtId="167" fontId="64" fillId="0" borderId="0" xfId="39" applyNumberFormat="1" applyFont="1"/>
    <xf numFmtId="14" fontId="98" fillId="44" borderId="24" xfId="56" applyNumberFormat="1" applyFont="1" applyFill="1" applyBorder="1" applyAlignment="1">
      <alignment horizontal="center"/>
    </xf>
    <xf numFmtId="14" fontId="98" fillId="44" borderId="202" xfId="56" applyNumberFormat="1" applyFont="1" applyFill="1" applyBorder="1" applyAlignment="1">
      <alignment horizontal="center"/>
    </xf>
    <xf numFmtId="167" fontId="95" fillId="44" borderId="203" xfId="57" applyFont="1" applyFill="1" applyBorder="1" applyAlignment="1">
      <alignment horizontal="center"/>
    </xf>
    <xf numFmtId="0" fontId="95" fillId="44" borderId="203" xfId="56" applyFill="1" applyBorder="1" applyAlignment="1">
      <alignment horizontal="center"/>
    </xf>
    <xf numFmtId="0" fontId="149" fillId="0" borderId="16" xfId="0" applyFont="1" applyBorder="1"/>
    <xf numFmtId="0" fontId="7" fillId="0" borderId="48" xfId="0" applyFont="1" applyBorder="1" applyAlignment="1">
      <alignment horizontal="center"/>
    </xf>
    <xf numFmtId="14" fontId="79" fillId="0" borderId="49" xfId="32" applyNumberFormat="1" applyFont="1" applyFill="1" applyBorder="1" applyAlignment="1">
      <alignment horizontal="center"/>
    </xf>
    <xf numFmtId="167" fontId="79" fillId="0" borderId="49" xfId="32" applyFont="1" applyFill="1" applyBorder="1"/>
    <xf numFmtId="167" fontId="79" fillId="0" borderId="50" xfId="32" applyFont="1" applyFill="1" applyBorder="1"/>
    <xf numFmtId="167" fontId="79" fillId="0" borderId="35" xfId="32" applyFont="1" applyBorder="1"/>
    <xf numFmtId="167" fontId="79" fillId="0" borderId="36" xfId="32" applyFont="1" applyBorder="1"/>
    <xf numFmtId="0" fontId="79" fillId="0" borderId="15" xfId="0" applyFont="1" applyBorder="1" applyAlignment="1">
      <alignment horizontal="center"/>
    </xf>
    <xf numFmtId="14" fontId="79" fillId="0" borderId="10" xfId="32" applyNumberFormat="1" applyFont="1" applyBorder="1" applyAlignment="1">
      <alignment horizontal="center"/>
    </xf>
    <xf numFmtId="167" fontId="79" fillId="0" borderId="10" xfId="32" applyFont="1" applyBorder="1"/>
    <xf numFmtId="167" fontId="79" fillId="0" borderId="13" xfId="32" applyFont="1" applyFill="1" applyBorder="1"/>
    <xf numFmtId="0" fontId="7" fillId="0" borderId="15" xfId="0" applyFont="1" applyBorder="1" applyAlignment="1">
      <alignment horizontal="center"/>
    </xf>
    <xf numFmtId="14" fontId="79" fillId="0" borderId="10" xfId="32" applyNumberFormat="1" applyFont="1" applyFill="1" applyBorder="1" applyAlignment="1">
      <alignment horizontal="center"/>
    </xf>
    <xf numFmtId="167" fontId="79" fillId="0" borderId="10" xfId="32" applyFont="1" applyFill="1" applyBorder="1"/>
    <xf numFmtId="0" fontId="73" fillId="0" borderId="46" xfId="0" applyFont="1" applyBorder="1" applyAlignment="1">
      <alignment horizontal="center"/>
    </xf>
    <xf numFmtId="171" fontId="0" fillId="0" borderId="0" xfId="0" applyNumberFormat="1"/>
    <xf numFmtId="44" fontId="81" fillId="0" borderId="0" xfId="37" applyNumberFormat="1" applyFont="1"/>
    <xf numFmtId="10" fontId="81" fillId="0" borderId="0" xfId="39" applyNumberFormat="1" applyFont="1" applyAlignment="1">
      <alignment horizontal="center"/>
    </xf>
    <xf numFmtId="167" fontId="16" fillId="0" borderId="45" xfId="32" applyFont="1" applyBorder="1" applyAlignment="1">
      <alignment horizontal="center"/>
    </xf>
    <xf numFmtId="167" fontId="16" fillId="0" borderId="35" xfId="32" applyFont="1" applyBorder="1" applyAlignment="1">
      <alignment horizontal="center"/>
    </xf>
    <xf numFmtId="14" fontId="98" fillId="44" borderId="65" xfId="56" applyNumberFormat="1" applyFont="1" applyFill="1" applyBorder="1" applyAlignment="1">
      <alignment horizontal="center"/>
    </xf>
    <xf numFmtId="14" fontId="98" fillId="44" borderId="204" xfId="56" applyNumberFormat="1" applyFont="1" applyFill="1" applyBorder="1" applyAlignment="1">
      <alignment horizontal="center"/>
    </xf>
    <xf numFmtId="167" fontId="95" fillId="44" borderId="204" xfId="57" applyFont="1" applyFill="1" applyBorder="1" applyAlignment="1">
      <alignment horizontal="center"/>
    </xf>
    <xf numFmtId="0" fontId="95" fillId="44" borderId="204" xfId="56" applyFill="1" applyBorder="1" applyAlignment="1">
      <alignment horizontal="center"/>
    </xf>
    <xf numFmtId="167" fontId="6" fillId="44" borderId="57" xfId="57" applyFont="1" applyFill="1" applyBorder="1" applyAlignment="1">
      <alignment horizontal="center"/>
    </xf>
    <xf numFmtId="14" fontId="98" fillId="44" borderId="203" xfId="56" applyNumberFormat="1" applyFont="1" applyFill="1" applyBorder="1" applyAlignment="1">
      <alignment horizontal="center"/>
    </xf>
    <xf numFmtId="14" fontId="98" fillId="46" borderId="55" xfId="56" applyNumberFormat="1" applyFont="1" applyFill="1" applyBorder="1" applyAlignment="1">
      <alignment horizontal="center"/>
    </xf>
    <xf numFmtId="14" fontId="98" fillId="46" borderId="207" xfId="56" applyNumberFormat="1" applyFont="1" applyFill="1" applyBorder="1" applyAlignment="1">
      <alignment horizontal="center"/>
    </xf>
    <xf numFmtId="167" fontId="95" fillId="46" borderId="207" xfId="57" applyFont="1" applyFill="1" applyBorder="1" applyAlignment="1">
      <alignment horizontal="center"/>
    </xf>
    <xf numFmtId="0" fontId="95" fillId="46" borderId="207" xfId="56" applyFill="1" applyBorder="1" applyAlignment="1">
      <alignment horizontal="center"/>
    </xf>
    <xf numFmtId="167" fontId="6" fillId="46" borderId="19" xfId="57" applyFont="1" applyFill="1" applyBorder="1" applyAlignment="1">
      <alignment horizontal="center"/>
    </xf>
    <xf numFmtId="0" fontId="151" fillId="0" borderId="0" xfId="56" applyFont="1"/>
    <xf numFmtId="10" fontId="13" fillId="0" borderId="0" xfId="39" applyNumberFormat="1" applyFont="1" applyAlignment="1"/>
    <xf numFmtId="167" fontId="129" fillId="0" borderId="0" xfId="32" applyFont="1"/>
    <xf numFmtId="167" fontId="75" fillId="0" borderId="0" xfId="37" applyNumberFormat="1" applyFont="1"/>
    <xf numFmtId="175" fontId="7" fillId="0" borderId="0" xfId="39" applyNumberFormat="1" applyFont="1" applyBorder="1" applyAlignment="1">
      <alignment horizontal="center"/>
    </xf>
    <xf numFmtId="175" fontId="10" fillId="0" borderId="0" xfId="39" applyNumberFormat="1" applyFont="1" applyBorder="1" applyAlignment="1">
      <alignment horizontal="center"/>
    </xf>
    <xf numFmtId="167" fontId="55" fillId="51" borderId="0" xfId="32" applyFont="1" applyFill="1"/>
    <xf numFmtId="175" fontId="32" fillId="0" borderId="0" xfId="39" applyNumberFormat="1" applyFont="1" applyAlignment="1">
      <alignment horizontal="center"/>
    </xf>
    <xf numFmtId="0" fontId="152" fillId="0" borderId="0" xfId="56" applyFont="1"/>
    <xf numFmtId="0" fontId="32" fillId="50" borderId="0" xfId="37" applyFont="1" applyFill="1" applyAlignment="1">
      <alignment horizontal="center"/>
    </xf>
    <xf numFmtId="14" fontId="32" fillId="50" borderId="0" xfId="37" applyNumberFormat="1" applyFont="1" applyFill="1" applyAlignment="1">
      <alignment horizontal="center"/>
    </xf>
    <xf numFmtId="14" fontId="98" fillId="46" borderId="178" xfId="56" applyNumberFormat="1" applyFont="1" applyFill="1" applyBorder="1" applyAlignment="1">
      <alignment horizontal="center"/>
    </xf>
    <xf numFmtId="14" fontId="98" fillId="46" borderId="101" xfId="56" applyNumberFormat="1" applyFont="1" applyFill="1" applyBorder="1" applyAlignment="1">
      <alignment horizontal="center"/>
    </xf>
    <xf numFmtId="167" fontId="95" fillId="46" borderId="144" xfId="57" applyFont="1" applyFill="1" applyBorder="1" applyAlignment="1">
      <alignment horizontal="center"/>
    </xf>
    <xf numFmtId="0" fontId="95" fillId="46" borderId="144" xfId="56" applyFill="1" applyBorder="1" applyAlignment="1">
      <alignment horizontal="center"/>
    </xf>
    <xf numFmtId="167" fontId="6" fillId="46" borderId="210" xfId="57" applyFont="1" applyFill="1" applyBorder="1" applyAlignment="1">
      <alignment horizontal="center"/>
    </xf>
    <xf numFmtId="14" fontId="98" fillId="46" borderId="196" xfId="56" applyNumberFormat="1" applyFont="1" applyFill="1" applyBorder="1" applyAlignment="1">
      <alignment horizontal="center"/>
    </xf>
    <xf numFmtId="14" fontId="98" fillId="43" borderId="151" xfId="56" applyNumberFormat="1" applyFont="1" applyFill="1" applyBorder="1" applyAlignment="1">
      <alignment horizontal="center"/>
    </xf>
    <xf numFmtId="14" fontId="98" fillId="43" borderId="202" xfId="56" applyNumberFormat="1" applyFont="1" applyFill="1" applyBorder="1" applyAlignment="1">
      <alignment horizontal="center"/>
    </xf>
    <xf numFmtId="167" fontId="95" fillId="43" borderId="100" xfId="57" applyFont="1" applyFill="1" applyBorder="1" applyAlignment="1">
      <alignment horizontal="center"/>
    </xf>
    <xf numFmtId="0" fontId="95" fillId="43" borderId="100" xfId="56" applyFill="1" applyBorder="1" applyAlignment="1">
      <alignment horizontal="center"/>
    </xf>
    <xf numFmtId="167" fontId="6" fillId="43" borderId="152" xfId="57" applyFont="1" applyFill="1" applyBorder="1" applyAlignment="1">
      <alignment horizontal="center"/>
    </xf>
    <xf numFmtId="14" fontId="98" fillId="43" borderId="178" xfId="56" applyNumberFormat="1" applyFont="1" applyFill="1" applyBorder="1" applyAlignment="1">
      <alignment horizontal="center"/>
    </xf>
    <xf numFmtId="167" fontId="95" fillId="43" borderId="144" xfId="57" applyFont="1" applyFill="1" applyBorder="1" applyAlignment="1">
      <alignment horizontal="center"/>
    </xf>
    <xf numFmtId="0" fontId="95" fillId="43" borderId="144" xfId="56" applyFill="1" applyBorder="1" applyAlignment="1">
      <alignment horizontal="center"/>
    </xf>
    <xf numFmtId="167" fontId="6" fillId="43" borderId="210" xfId="57" applyFont="1" applyFill="1" applyBorder="1" applyAlignment="1">
      <alignment horizontal="center"/>
    </xf>
    <xf numFmtId="14" fontId="98" fillId="43" borderId="203" xfId="56" applyNumberFormat="1" applyFont="1" applyFill="1" applyBorder="1" applyAlignment="1">
      <alignment horizontal="center"/>
    </xf>
    <xf numFmtId="44" fontId="53" fillId="51" borderId="0" xfId="37" applyNumberFormat="1" applyFont="1" applyFill="1"/>
    <xf numFmtId="167" fontId="152" fillId="0" borderId="24" xfId="32" applyFont="1" applyFill="1" applyBorder="1"/>
    <xf numFmtId="167" fontId="152" fillId="0" borderId="43" xfId="32" applyFont="1" applyFill="1" applyBorder="1" applyAlignment="1">
      <alignment horizontal="center"/>
    </xf>
    <xf numFmtId="167" fontId="152" fillId="0" borderId="151" xfId="57" applyFont="1" applyFill="1" applyBorder="1"/>
    <xf numFmtId="0" fontId="10" fillId="29" borderId="0" xfId="0" applyFont="1" applyFill="1" applyAlignment="1">
      <alignment horizontal="center"/>
    </xf>
    <xf numFmtId="2" fontId="10" fillId="29" borderId="0" xfId="0" applyNumberFormat="1" applyFont="1" applyFill="1" applyAlignment="1">
      <alignment horizontal="center"/>
    </xf>
    <xf numFmtId="167" fontId="10" fillId="0" borderId="41" xfId="32" applyFont="1" applyBorder="1" applyAlignment="1">
      <alignment horizontal="right"/>
    </xf>
    <xf numFmtId="167" fontId="10" fillId="0" borderId="41" xfId="0" applyNumberFormat="1" applyFont="1" applyBorder="1" applyAlignment="1">
      <alignment horizontal="center"/>
    </xf>
    <xf numFmtId="167" fontId="98" fillId="0" borderId="0" xfId="57" applyFont="1" applyFill="1" applyBorder="1" applyAlignment="1">
      <alignment horizontal="center"/>
    </xf>
    <xf numFmtId="0" fontId="2" fillId="0" borderId="0" xfId="62" applyFont="1" applyAlignment="1">
      <alignment horizontal="left"/>
    </xf>
    <xf numFmtId="0" fontId="7" fillId="0" borderId="13" xfId="0" applyFont="1" applyBorder="1"/>
    <xf numFmtId="0" fontId="7" fillId="0" borderId="40" xfId="0" applyFont="1" applyBorder="1"/>
    <xf numFmtId="167" fontId="65" fillId="0" borderId="0" xfId="32" applyFont="1" applyBorder="1" applyAlignment="1">
      <alignment horizontal="left"/>
    </xf>
    <xf numFmtId="167" fontId="74" fillId="0" borderId="0" xfId="32" applyFont="1" applyBorder="1" applyAlignment="1">
      <alignment horizontal="center"/>
    </xf>
    <xf numFmtId="167" fontId="65" fillId="0" borderId="47" xfId="57" applyFont="1" applyFill="1" applyBorder="1"/>
    <xf numFmtId="167" fontId="106" fillId="0" borderId="42" xfId="32" applyFont="1" applyFill="1" applyBorder="1" applyAlignment="1">
      <alignment horizontal="center"/>
    </xf>
    <xf numFmtId="167" fontId="123" fillId="0" borderId="42" xfId="32" applyFont="1" applyFill="1" applyBorder="1"/>
    <xf numFmtId="167" fontId="123" fillId="0" borderId="42" xfId="32" applyFont="1" applyFill="1" applyBorder="1" applyAlignment="1">
      <alignment horizontal="center"/>
    </xf>
    <xf numFmtId="0" fontId="95" fillId="0" borderId="41" xfId="56" applyBorder="1" applyAlignment="1">
      <alignment horizontal="center"/>
    </xf>
    <xf numFmtId="0" fontId="111" fillId="0" borderId="0" xfId="56" applyFont="1"/>
    <xf numFmtId="0" fontId="6" fillId="0" borderId="211" xfId="37" applyFont="1" applyBorder="1" applyAlignment="1">
      <alignment horizontal="center"/>
    </xf>
    <xf numFmtId="0" fontId="0" fillId="0" borderId="41" xfId="0" applyBorder="1" applyAlignment="1">
      <alignment horizontal="left"/>
    </xf>
    <xf numFmtId="166" fontId="94" fillId="0" borderId="0" xfId="50" applyFont="1"/>
    <xf numFmtId="167" fontId="65" fillId="46" borderId="150" xfId="57" applyFont="1" applyFill="1" applyBorder="1" applyAlignment="1">
      <alignment horizontal="center"/>
    </xf>
    <xf numFmtId="167" fontId="65" fillId="46" borderId="152" xfId="57" applyFont="1" applyFill="1" applyBorder="1" applyAlignment="1">
      <alignment horizontal="center"/>
    </xf>
    <xf numFmtId="167" fontId="65" fillId="46" borderId="210" xfId="57" applyFont="1" applyFill="1" applyBorder="1" applyAlignment="1">
      <alignment horizontal="center"/>
    </xf>
    <xf numFmtId="167" fontId="10" fillId="0" borderId="54" xfId="32" applyFont="1" applyFill="1" applyBorder="1"/>
    <xf numFmtId="167" fontId="106" fillId="0" borderId="0" xfId="32" applyFont="1" applyFill="1" applyBorder="1"/>
    <xf numFmtId="167" fontId="106" fillId="0" borderId="0" xfId="32" applyFont="1" applyBorder="1"/>
    <xf numFmtId="0" fontId="39" fillId="0" borderId="0" xfId="37" applyFont="1"/>
    <xf numFmtId="0" fontId="68" fillId="0" borderId="32" xfId="37" applyFont="1" applyBorder="1" applyAlignment="1">
      <alignment horizontal="center"/>
    </xf>
    <xf numFmtId="167" fontId="123" fillId="0" borderId="18" xfId="32" applyFont="1" applyFill="1" applyBorder="1"/>
    <xf numFmtId="167" fontId="123" fillId="0" borderId="18" xfId="32" applyFont="1" applyFill="1" applyBorder="1" applyAlignment="1">
      <alignment horizontal="center"/>
    </xf>
    <xf numFmtId="14" fontId="69" fillId="0" borderId="48" xfId="37" applyNumberFormat="1" applyFont="1" applyBorder="1"/>
    <xf numFmtId="0" fontId="123" fillId="0" borderId="61" xfId="0" applyFont="1" applyBorder="1"/>
    <xf numFmtId="0" fontId="73" fillId="0" borderId="49" xfId="0" applyFont="1" applyBorder="1" applyAlignment="1">
      <alignment horizontal="center"/>
    </xf>
    <xf numFmtId="167" fontId="123" fillId="0" borderId="19" xfId="32" applyFont="1" applyFill="1" applyBorder="1" applyAlignment="1">
      <alignment horizontal="center"/>
    </xf>
    <xf numFmtId="167" fontId="64" fillId="0" borderId="32" xfId="0" applyNumberFormat="1" applyFont="1" applyBorder="1"/>
    <xf numFmtId="1" fontId="6" fillId="0" borderId="0" xfId="50" applyNumberFormat="1" applyFont="1" applyFill="1" applyBorder="1" applyAlignment="1">
      <alignment horizontal="center"/>
    </xf>
    <xf numFmtId="1" fontId="6" fillId="0" borderId="0" xfId="32" applyNumberFormat="1" applyFont="1" applyFill="1" applyBorder="1" applyAlignment="1">
      <alignment horizontal="center"/>
    </xf>
    <xf numFmtId="167" fontId="74" fillId="0" borderId="0" xfId="37" applyNumberFormat="1" applyFont="1" applyAlignment="1">
      <alignment horizontal="left"/>
    </xf>
    <xf numFmtId="167" fontId="32" fillId="0" borderId="0" xfId="32" applyFont="1" applyFill="1"/>
    <xf numFmtId="167" fontId="65" fillId="41" borderId="28" xfId="32" applyFont="1" applyFill="1" applyBorder="1"/>
    <xf numFmtId="0" fontId="65" fillId="41" borderId="0" xfId="37" applyFont="1" applyFill="1"/>
    <xf numFmtId="0" fontId="16" fillId="41" borderId="0" xfId="37" applyFill="1"/>
    <xf numFmtId="14" fontId="98" fillId="52" borderId="178" xfId="56" applyNumberFormat="1" applyFont="1" applyFill="1" applyBorder="1" applyAlignment="1">
      <alignment horizontal="center"/>
    </xf>
    <xf numFmtId="14" fontId="98" fillId="52" borderId="203" xfId="56" applyNumberFormat="1" applyFont="1" applyFill="1" applyBorder="1" applyAlignment="1">
      <alignment horizontal="center"/>
    </xf>
    <xf numFmtId="167" fontId="95" fillId="52" borderId="144" xfId="57" applyFont="1" applyFill="1" applyBorder="1" applyAlignment="1">
      <alignment horizontal="center"/>
    </xf>
    <xf numFmtId="0" fontId="95" fillId="27" borderId="0" xfId="56" applyFill="1"/>
    <xf numFmtId="167" fontId="65" fillId="0" borderId="0" xfId="57" applyFont="1" applyFill="1" applyAlignment="1">
      <alignment horizontal="center"/>
    </xf>
    <xf numFmtId="166" fontId="26" fillId="0" borderId="0" xfId="50" applyFont="1"/>
    <xf numFmtId="14" fontId="154" fillId="28" borderId="100" xfId="56" applyNumberFormat="1" applyFont="1" applyFill="1" applyBorder="1" applyAlignment="1">
      <alignment horizontal="center"/>
    </xf>
    <xf numFmtId="44" fontId="95" fillId="0" borderId="0" xfId="56" applyNumberFormat="1" applyAlignment="1">
      <alignment horizontal="center"/>
    </xf>
    <xf numFmtId="167" fontId="6" fillId="28" borderId="52" xfId="32" applyFont="1" applyFill="1" applyBorder="1"/>
    <xf numFmtId="167" fontId="65" fillId="0" borderId="30" xfId="32" applyFont="1" applyFill="1" applyBorder="1"/>
    <xf numFmtId="167" fontId="6" fillId="0" borderId="72" xfId="32" applyFont="1" applyBorder="1"/>
    <xf numFmtId="167" fontId="98" fillId="0" borderId="160" xfId="57" applyFont="1" applyBorder="1" applyAlignment="1">
      <alignment horizontal="center" vertical="center"/>
    </xf>
    <xf numFmtId="167" fontId="98" fillId="0" borderId="161" xfId="57" applyFont="1" applyBorder="1" applyAlignment="1">
      <alignment horizontal="center" vertical="center"/>
    </xf>
    <xf numFmtId="167" fontId="98" fillId="0" borderId="88" xfId="57" applyFont="1" applyBorder="1" applyAlignment="1">
      <alignment horizontal="center" vertical="center"/>
    </xf>
    <xf numFmtId="0" fontId="70" fillId="0" borderId="44" xfId="56" applyFont="1" applyBorder="1" applyAlignment="1">
      <alignment horizontal="right"/>
    </xf>
    <xf numFmtId="165" fontId="100" fillId="0" borderId="14" xfId="61" applyFont="1" applyBorder="1" applyAlignment="1">
      <alignment horizontal="center" wrapText="1"/>
    </xf>
    <xf numFmtId="165" fontId="100" fillId="0" borderId="17" xfId="61" applyFont="1" applyBorder="1" applyAlignment="1">
      <alignment horizontal="center" wrapText="1"/>
    </xf>
    <xf numFmtId="0" fontId="95" fillId="0" borderId="0" xfId="56" applyAlignment="1">
      <alignment horizontal="center" wrapText="1"/>
    </xf>
    <xf numFmtId="0" fontId="95" fillId="0" borderId="0" xfId="56" applyAlignment="1">
      <alignment wrapText="1"/>
    </xf>
    <xf numFmtId="165" fontId="97" fillId="0" borderId="0" xfId="61" applyFont="1" applyAlignment="1">
      <alignment wrapText="1"/>
    </xf>
    <xf numFmtId="165" fontId="97" fillId="0" borderId="0" xfId="61" applyFont="1" applyBorder="1" applyAlignment="1">
      <alignment horizontal="center" wrapText="1"/>
    </xf>
    <xf numFmtId="165" fontId="97" fillId="0" borderId="0" xfId="61" applyFont="1" applyBorder="1" applyAlignment="1">
      <alignment wrapText="1"/>
    </xf>
    <xf numFmtId="177" fontId="6" fillId="0" borderId="0" xfId="56" applyNumberFormat="1" applyFont="1" applyAlignment="1">
      <alignment horizontal="center"/>
    </xf>
    <xf numFmtId="177" fontId="40" fillId="0" borderId="0" xfId="56" applyNumberFormat="1" applyFont="1" applyAlignment="1">
      <alignment horizontal="center"/>
    </xf>
    <xf numFmtId="167" fontId="98" fillId="0" borderId="0" xfId="57" applyFont="1" applyBorder="1" applyAlignment="1">
      <alignment horizontal="center" vertical="center"/>
    </xf>
    <xf numFmtId="167" fontId="95" fillId="0" borderId="0" xfId="32" applyFont="1" applyAlignment="1">
      <alignment horizontal="center"/>
    </xf>
    <xf numFmtId="0" fontId="95" fillId="0" borderId="0" xfId="56" quotePrefix="1" applyAlignment="1">
      <alignment horizontal="center"/>
    </xf>
    <xf numFmtId="0" fontId="95" fillId="46" borderId="190" xfId="56" applyFill="1" applyBorder="1" applyAlignment="1">
      <alignment horizontal="center"/>
    </xf>
    <xf numFmtId="0" fontId="95" fillId="46" borderId="118" xfId="56" applyFill="1" applyBorder="1" applyAlignment="1">
      <alignment horizontal="center"/>
    </xf>
    <xf numFmtId="0" fontId="95" fillId="46" borderId="200" xfId="56" applyFill="1" applyBorder="1" applyAlignment="1">
      <alignment horizontal="center"/>
    </xf>
    <xf numFmtId="0" fontId="95" fillId="44" borderId="200" xfId="56" applyFill="1" applyBorder="1" applyAlignment="1">
      <alignment horizontal="center"/>
    </xf>
    <xf numFmtId="0" fontId="95" fillId="43" borderId="127" xfId="56" applyFill="1" applyBorder="1" applyAlignment="1">
      <alignment horizontal="center"/>
    </xf>
    <xf numFmtId="0" fontId="95" fillId="46" borderId="127" xfId="56" applyFill="1" applyBorder="1" applyAlignment="1">
      <alignment horizontal="center"/>
    </xf>
    <xf numFmtId="0" fontId="95" fillId="44" borderId="118" xfId="56" applyFill="1" applyBorder="1" applyAlignment="1">
      <alignment horizontal="center"/>
    </xf>
    <xf numFmtId="0" fontId="95" fillId="52" borderId="127" xfId="56" applyFill="1" applyBorder="1" applyAlignment="1">
      <alignment horizontal="center"/>
    </xf>
    <xf numFmtId="0" fontId="95" fillId="28" borderId="118" xfId="56" applyFill="1" applyBorder="1" applyAlignment="1">
      <alignment horizontal="center"/>
    </xf>
    <xf numFmtId="0" fontId="95" fillId="46" borderId="153" xfId="56" applyFill="1" applyBorder="1" applyAlignment="1">
      <alignment horizontal="center"/>
    </xf>
    <xf numFmtId="165" fontId="100" fillId="0" borderId="22" xfId="61" applyFont="1" applyBorder="1" applyAlignment="1">
      <alignment horizontal="center" wrapText="1"/>
    </xf>
    <xf numFmtId="0" fontId="95" fillId="46" borderId="24" xfId="56" applyFill="1" applyBorder="1" applyAlignment="1">
      <alignment horizontal="center"/>
    </xf>
    <xf numFmtId="0" fontId="95" fillId="46" borderId="55" xfId="56" applyFill="1" applyBorder="1" applyAlignment="1">
      <alignment horizontal="center"/>
    </xf>
    <xf numFmtId="0" fontId="95" fillId="46" borderId="23" xfId="56" applyFill="1" applyBorder="1"/>
    <xf numFmtId="167" fontId="65" fillId="46" borderId="62" xfId="57" applyFont="1" applyFill="1" applyBorder="1" applyAlignment="1">
      <alignment horizontal="center"/>
    </xf>
    <xf numFmtId="167" fontId="65" fillId="46" borderId="18" xfId="57" applyFont="1" applyFill="1" applyBorder="1" applyAlignment="1">
      <alignment horizontal="center"/>
    </xf>
    <xf numFmtId="167" fontId="65" fillId="43" borderId="18" xfId="57" applyFont="1" applyFill="1" applyBorder="1" applyAlignment="1">
      <alignment horizontal="center"/>
    </xf>
    <xf numFmtId="167" fontId="6" fillId="52" borderId="18" xfId="57" applyFont="1" applyFill="1" applyBorder="1" applyAlignment="1">
      <alignment horizontal="center"/>
    </xf>
    <xf numFmtId="167" fontId="6" fillId="28" borderId="18" xfId="57" applyFont="1" applyFill="1" applyBorder="1" applyAlignment="1">
      <alignment horizontal="center"/>
    </xf>
    <xf numFmtId="0" fontId="95" fillId="46" borderId="23" xfId="56" applyFill="1" applyBorder="1" applyAlignment="1">
      <alignment horizontal="center"/>
    </xf>
    <xf numFmtId="4" fontId="155" fillId="0" borderId="0" xfId="50" applyNumberFormat="1" applyFont="1" applyFill="1" applyBorder="1" applyAlignment="1">
      <alignment vertical="center"/>
    </xf>
    <xf numFmtId="4" fontId="157" fillId="0" borderId="0" xfId="50" applyNumberFormat="1" applyFont="1" applyFill="1" applyBorder="1" applyAlignment="1">
      <alignment vertical="center"/>
    </xf>
    <xf numFmtId="177" fontId="98" fillId="0" borderId="0" xfId="56" applyNumberFormat="1" applyFont="1"/>
    <xf numFmtId="4" fontId="156" fillId="0" borderId="0" xfId="50" applyNumberFormat="1" applyFont="1" applyFill="1" applyBorder="1" applyAlignment="1">
      <alignment vertical="center"/>
    </xf>
    <xf numFmtId="177" fontId="98" fillId="53" borderId="17" xfId="56" applyNumberFormat="1" applyFont="1" applyFill="1" applyBorder="1" applyAlignment="1">
      <alignment horizontal="center"/>
    </xf>
    <xf numFmtId="177" fontId="98" fillId="42" borderId="17" xfId="56" applyNumberFormat="1" applyFont="1" applyFill="1" applyBorder="1" applyAlignment="1">
      <alignment horizontal="center"/>
    </xf>
    <xf numFmtId="167" fontId="100" fillId="50" borderId="17" xfId="57" applyFont="1" applyFill="1" applyBorder="1" applyAlignment="1">
      <alignment horizontal="center"/>
    </xf>
    <xf numFmtId="0" fontId="100" fillId="44" borderId="17" xfId="56" applyFont="1" applyFill="1" applyBorder="1" applyAlignment="1">
      <alignment horizontal="center"/>
    </xf>
    <xf numFmtId="4" fontId="156" fillId="0" borderId="0" xfId="50" applyNumberFormat="1" applyFont="1" applyFill="1" applyBorder="1" applyAlignment="1">
      <alignment horizontal="center" vertical="center"/>
    </xf>
    <xf numFmtId="167" fontId="40" fillId="0" borderId="17" xfId="57" applyFont="1" applyFill="1" applyBorder="1" applyAlignment="1">
      <alignment horizontal="center"/>
    </xf>
    <xf numFmtId="4" fontId="157" fillId="0" borderId="0" xfId="50" applyNumberFormat="1" applyFont="1" applyFill="1" applyBorder="1" applyAlignment="1">
      <alignment horizontal="center" vertical="center"/>
    </xf>
    <xf numFmtId="177" fontId="100" fillId="0" borderId="0" xfId="56" applyNumberFormat="1" applyFont="1" applyAlignment="1">
      <alignment horizontal="center"/>
    </xf>
    <xf numFmtId="167" fontId="40" fillId="46" borderId="17" xfId="57" applyFont="1" applyFill="1" applyBorder="1" applyAlignment="1">
      <alignment horizontal="center"/>
    </xf>
    <xf numFmtId="167" fontId="40" fillId="44" borderId="17" xfId="57" applyFont="1" applyFill="1" applyBorder="1" applyAlignment="1">
      <alignment horizontal="center"/>
    </xf>
    <xf numFmtId="167" fontId="40" fillId="28" borderId="17" xfId="57" applyFont="1" applyFill="1" applyBorder="1" applyAlignment="1">
      <alignment horizontal="center"/>
    </xf>
    <xf numFmtId="167" fontId="40" fillId="52" borderId="17" xfId="57" applyFont="1" applyFill="1" applyBorder="1" applyAlignment="1">
      <alignment horizontal="center"/>
    </xf>
    <xf numFmtId="0" fontId="65" fillId="46" borderId="16" xfId="56" applyFont="1" applyFill="1" applyBorder="1" applyAlignment="1">
      <alignment horizontal="center"/>
    </xf>
    <xf numFmtId="0" fontId="65" fillId="44" borderId="16" xfId="56" applyFont="1" applyFill="1" applyBorder="1" applyAlignment="1">
      <alignment horizontal="center"/>
    </xf>
    <xf numFmtId="0" fontId="65" fillId="52" borderId="16" xfId="56" applyFont="1" applyFill="1" applyBorder="1" applyAlignment="1">
      <alignment horizontal="center"/>
    </xf>
    <xf numFmtId="0" fontId="65" fillId="28" borderId="16" xfId="56" applyFont="1" applyFill="1" applyBorder="1" applyAlignment="1">
      <alignment horizontal="center"/>
    </xf>
    <xf numFmtId="0" fontId="69" fillId="46" borderId="24" xfId="56" applyFont="1" applyFill="1" applyBorder="1" applyAlignment="1">
      <alignment horizontal="center"/>
    </xf>
    <xf numFmtId="0" fontId="69" fillId="44" borderId="24" xfId="56" applyFont="1" applyFill="1" applyBorder="1" applyAlignment="1">
      <alignment horizontal="center"/>
    </xf>
    <xf numFmtId="0" fontId="69" fillId="52" borderId="24" xfId="56" applyFont="1" applyFill="1" applyBorder="1" applyAlignment="1">
      <alignment horizontal="center"/>
    </xf>
    <xf numFmtId="0" fontId="69" fillId="28" borderId="24" xfId="56" applyFont="1" applyFill="1" applyBorder="1" applyAlignment="1">
      <alignment horizontal="center"/>
    </xf>
    <xf numFmtId="0" fontId="69" fillId="43" borderId="24" xfId="56" applyFont="1" applyFill="1" applyBorder="1" applyAlignment="1">
      <alignment horizontal="center"/>
    </xf>
    <xf numFmtId="0" fontId="65" fillId="43" borderId="16" xfId="56" applyFont="1" applyFill="1" applyBorder="1" applyAlignment="1">
      <alignment horizontal="center"/>
    </xf>
    <xf numFmtId="0" fontId="81" fillId="0" borderId="21" xfId="56" applyFont="1" applyBorder="1" applyAlignment="1">
      <alignment horizontal="center" wrapText="1"/>
    </xf>
    <xf numFmtId="0" fontId="65" fillId="46" borderId="25" xfId="56" applyFont="1" applyFill="1" applyBorder="1" applyAlignment="1">
      <alignment horizontal="center"/>
    </xf>
    <xf numFmtId="0" fontId="70" fillId="0" borderId="21" xfId="56" applyFont="1" applyBorder="1" applyAlignment="1">
      <alignment horizontal="center" wrapText="1"/>
    </xf>
    <xf numFmtId="0" fontId="69" fillId="46" borderId="53" xfId="56" applyFont="1" applyFill="1" applyBorder="1" applyAlignment="1">
      <alignment horizontal="center"/>
    </xf>
    <xf numFmtId="0" fontId="100" fillId="0" borderId="95" xfId="56" applyFont="1" applyBorder="1" applyAlignment="1">
      <alignment horizontal="center"/>
    </xf>
    <xf numFmtId="167" fontId="95" fillId="0" borderId="129" xfId="57" applyFont="1" applyBorder="1" applyAlignment="1">
      <alignment horizontal="center"/>
    </xf>
    <xf numFmtId="167" fontId="69" fillId="0" borderId="99" xfId="57" applyFont="1" applyBorder="1" applyAlignment="1">
      <alignment horizontal="center"/>
    </xf>
    <xf numFmtId="167" fontId="68" fillId="0" borderId="0" xfId="57" applyFont="1" applyBorder="1" applyAlignment="1">
      <alignment horizontal="center"/>
    </xf>
    <xf numFmtId="167" fontId="69" fillId="0" borderId="139" xfId="57" applyFont="1" applyBorder="1" applyAlignment="1">
      <alignment horizontal="center"/>
    </xf>
    <xf numFmtId="9" fontId="6" fillId="46" borderId="19" xfId="39" applyFont="1" applyFill="1" applyBorder="1" applyAlignment="1">
      <alignment horizontal="center"/>
    </xf>
    <xf numFmtId="10" fontId="6" fillId="46" borderId="18" xfId="39" applyNumberFormat="1" applyFont="1" applyFill="1" applyBorder="1" applyAlignment="1">
      <alignment horizontal="center"/>
    </xf>
    <xf numFmtId="10" fontId="6" fillId="46" borderId="25" xfId="39" applyNumberFormat="1" applyFont="1" applyFill="1" applyBorder="1" applyAlignment="1">
      <alignment horizontal="center"/>
    </xf>
    <xf numFmtId="10" fontId="6" fillId="43" borderId="18" xfId="39" applyNumberFormat="1" applyFont="1" applyFill="1" applyBorder="1" applyAlignment="1">
      <alignment horizontal="center"/>
    </xf>
    <xf numFmtId="44" fontId="65" fillId="46" borderId="25" xfId="56" applyNumberFormat="1" applyFont="1" applyFill="1" applyBorder="1" applyAlignment="1">
      <alignment horizontal="center"/>
    </xf>
    <xf numFmtId="44" fontId="65" fillId="46" borderId="16" xfId="56" applyNumberFormat="1" applyFont="1" applyFill="1" applyBorder="1" applyAlignment="1">
      <alignment horizontal="center"/>
    </xf>
    <xf numFmtId="44" fontId="65" fillId="44" borderId="16" xfId="56" applyNumberFormat="1" applyFont="1" applyFill="1" applyBorder="1" applyAlignment="1">
      <alignment horizontal="center"/>
    </xf>
    <xf numFmtId="44" fontId="65" fillId="43" borderId="16" xfId="56" applyNumberFormat="1" applyFont="1" applyFill="1" applyBorder="1" applyAlignment="1">
      <alignment horizontal="center"/>
    </xf>
    <xf numFmtId="44" fontId="65" fillId="52" borderId="16" xfId="56" applyNumberFormat="1" applyFont="1" applyFill="1" applyBorder="1" applyAlignment="1">
      <alignment horizontal="center"/>
    </xf>
    <xf numFmtId="44" fontId="65" fillId="28" borderId="16" xfId="56" applyNumberFormat="1" applyFont="1" applyFill="1" applyBorder="1" applyAlignment="1">
      <alignment horizontal="center"/>
    </xf>
    <xf numFmtId="9" fontId="95" fillId="0" borderId="0" xfId="39" applyFont="1"/>
    <xf numFmtId="10" fontId="97" fillId="0" borderId="0" xfId="39" applyNumberFormat="1" applyFont="1" applyBorder="1" applyAlignment="1"/>
    <xf numFmtId="10" fontId="6" fillId="46" borderId="56" xfId="39" applyNumberFormat="1" applyFont="1" applyFill="1" applyBorder="1" applyAlignment="1">
      <alignment horizontal="center"/>
    </xf>
    <xf numFmtId="44" fontId="93" fillId="0" borderId="0" xfId="37" applyNumberFormat="1" applyFont="1"/>
    <xf numFmtId="167" fontId="10" fillId="0" borderId="0" xfId="32" applyFont="1" applyFill="1"/>
    <xf numFmtId="167" fontId="123" fillId="34" borderId="42" xfId="32" applyFont="1" applyFill="1" applyBorder="1" applyAlignment="1">
      <alignment horizontal="center"/>
    </xf>
    <xf numFmtId="4" fontId="6" fillId="0" borderId="0" xfId="50" applyNumberFormat="1" applyFont="1" applyFill="1" applyBorder="1" applyAlignment="1">
      <alignment vertical="center"/>
    </xf>
    <xf numFmtId="0" fontId="6" fillId="0" borderId="0" xfId="56" applyFont="1" applyAlignment="1">
      <alignment horizontal="center" wrapText="1"/>
    </xf>
    <xf numFmtId="175" fontId="16" fillId="0" borderId="0" xfId="39" applyNumberFormat="1" applyFont="1" applyAlignment="1">
      <alignment horizontal="center"/>
    </xf>
    <xf numFmtId="0" fontId="95" fillId="28" borderId="24" xfId="56" applyFill="1" applyBorder="1" applyAlignment="1">
      <alignment horizontal="center"/>
    </xf>
    <xf numFmtId="0" fontId="95" fillId="28" borderId="16" xfId="56" applyFill="1" applyBorder="1" applyAlignment="1">
      <alignment horizontal="center"/>
    </xf>
    <xf numFmtId="0" fontId="69" fillId="46" borderId="43" xfId="56" applyFont="1" applyFill="1" applyBorder="1" applyAlignment="1">
      <alignment horizontal="center"/>
    </xf>
    <xf numFmtId="0" fontId="65" fillId="46" borderId="56" xfId="56" applyFont="1" applyFill="1" applyBorder="1" applyAlignment="1">
      <alignment horizontal="center"/>
    </xf>
    <xf numFmtId="44" fontId="65" fillId="46" borderId="56" xfId="56" applyNumberFormat="1" applyFont="1" applyFill="1" applyBorder="1" applyAlignment="1">
      <alignment horizontal="center"/>
    </xf>
    <xf numFmtId="0" fontId="70" fillId="0" borderId="17" xfId="56" applyFont="1" applyBorder="1" applyAlignment="1">
      <alignment horizontal="center" wrapText="1"/>
    </xf>
    <xf numFmtId="0" fontId="81" fillId="0" borderId="17" xfId="56" applyFont="1" applyBorder="1" applyAlignment="1">
      <alignment horizontal="center" wrapText="1"/>
    </xf>
    <xf numFmtId="165" fontId="100" fillId="0" borderId="27" xfId="61" applyFont="1" applyBorder="1" applyAlignment="1">
      <alignment horizontal="center" wrapText="1"/>
    </xf>
    <xf numFmtId="167" fontId="159" fillId="0" borderId="0" xfId="32" applyFont="1" applyFill="1" applyAlignment="1">
      <alignment horizontal="center"/>
    </xf>
    <xf numFmtId="167" fontId="95" fillId="28" borderId="16" xfId="32" applyFont="1" applyFill="1" applyBorder="1" applyAlignment="1">
      <alignment horizontal="center"/>
    </xf>
    <xf numFmtId="43" fontId="102" fillId="0" borderId="0" xfId="62" applyNumberFormat="1" applyFont="1"/>
    <xf numFmtId="0" fontId="103" fillId="0" borderId="0" xfId="62" applyFont="1"/>
    <xf numFmtId="43" fontId="103" fillId="0" borderId="0" xfId="62" applyNumberFormat="1" applyFont="1"/>
    <xf numFmtId="0" fontId="95" fillId="44" borderId="24" xfId="56" applyFill="1" applyBorder="1" applyAlignment="1">
      <alignment horizontal="center"/>
    </xf>
    <xf numFmtId="10" fontId="6" fillId="44" borderId="18" xfId="39" applyNumberFormat="1" applyFont="1" applyFill="1" applyBorder="1" applyAlignment="1">
      <alignment horizontal="center"/>
    </xf>
    <xf numFmtId="0" fontId="69" fillId="0" borderId="0" xfId="37" applyFont="1" applyAlignment="1">
      <alignment horizontal="right"/>
    </xf>
    <xf numFmtId="166" fontId="69" fillId="0" borderId="0" xfId="50" applyFont="1" applyAlignment="1"/>
    <xf numFmtId="181" fontId="69" fillId="0" borderId="0" xfId="37" applyNumberFormat="1" applyFont="1"/>
    <xf numFmtId="167" fontId="73" fillId="0" borderId="33" xfId="32" applyFont="1" applyBorder="1"/>
    <xf numFmtId="167" fontId="123" fillId="0" borderId="33" xfId="32" applyFont="1" applyFill="1" applyBorder="1"/>
    <xf numFmtId="167" fontId="123" fillId="0" borderId="59" xfId="32" applyFont="1" applyBorder="1"/>
    <xf numFmtId="0" fontId="79" fillId="0" borderId="82" xfId="0" applyFont="1" applyBorder="1"/>
    <xf numFmtId="0" fontId="79" fillId="0" borderId="81" xfId="0" applyFont="1" applyBorder="1"/>
    <xf numFmtId="14" fontId="69" fillId="0" borderId="10" xfId="37" applyNumberFormat="1" applyFont="1" applyBorder="1"/>
    <xf numFmtId="0" fontId="69" fillId="0" borderId="10" xfId="37" applyFont="1" applyBorder="1"/>
    <xf numFmtId="166" fontId="6" fillId="0" borderId="0" xfId="50" applyFont="1" applyAlignment="1">
      <alignment horizontal="center"/>
    </xf>
    <xf numFmtId="166" fontId="69" fillId="0" borderId="0" xfId="50" applyFont="1" applyAlignment="1">
      <alignment horizontal="center"/>
    </xf>
    <xf numFmtId="49" fontId="95" fillId="44" borderId="118" xfId="61" applyNumberFormat="1" applyFill="1" applyBorder="1" applyAlignment="1"/>
    <xf numFmtId="49" fontId="95" fillId="44" borderId="129" xfId="61" applyNumberFormat="1" applyFill="1" applyBorder="1" applyAlignment="1"/>
    <xf numFmtId="49" fontId="95" fillId="46" borderId="118" xfId="61" applyNumberFormat="1" applyFill="1" applyBorder="1" applyAlignment="1"/>
    <xf numFmtId="49" fontId="95" fillId="46" borderId="129" xfId="61" applyNumberFormat="1" applyFill="1" applyBorder="1" applyAlignment="1"/>
    <xf numFmtId="49" fontId="95" fillId="28" borderId="118" xfId="61" applyNumberFormat="1" applyFill="1" applyBorder="1" applyAlignment="1"/>
    <xf numFmtId="49" fontId="95" fillId="28" borderId="129" xfId="61" applyNumberFormat="1" applyFill="1" applyBorder="1" applyAlignment="1"/>
    <xf numFmtId="14" fontId="40" fillId="46" borderId="178" xfId="56" applyNumberFormat="1" applyFont="1" applyFill="1" applyBorder="1" applyAlignment="1">
      <alignment horizontal="center"/>
    </xf>
    <xf numFmtId="14" fontId="40" fillId="46" borderId="196" xfId="56" applyNumberFormat="1" applyFont="1" applyFill="1" applyBorder="1" applyAlignment="1">
      <alignment horizontal="center"/>
    </xf>
    <xf numFmtId="167" fontId="6" fillId="46" borderId="144" xfId="57" applyFont="1" applyFill="1" applyBorder="1" applyAlignment="1">
      <alignment horizontal="center"/>
    </xf>
    <xf numFmtId="0" fontId="6" fillId="46" borderId="127" xfId="56" applyFont="1" applyFill="1" applyBorder="1" applyAlignment="1">
      <alignment horizontal="center"/>
    </xf>
    <xf numFmtId="167" fontId="69" fillId="26" borderId="0" xfId="32" applyFont="1" applyFill="1" applyAlignment="1">
      <alignment horizontal="center"/>
    </xf>
    <xf numFmtId="10" fontId="69" fillId="0" borderId="0" xfId="37" applyNumberFormat="1" applyFont="1"/>
    <xf numFmtId="175" fontId="65" fillId="0" borderId="0" xfId="39" applyNumberFormat="1" applyFont="1" applyAlignment="1">
      <alignment horizontal="center"/>
    </xf>
    <xf numFmtId="14" fontId="123" fillId="0" borderId="15" xfId="37" applyNumberFormat="1" applyFont="1" applyBorder="1"/>
    <xf numFmtId="0" fontId="123" fillId="0" borderId="45" xfId="37" applyFont="1" applyBorder="1"/>
    <xf numFmtId="0" fontId="106" fillId="0" borderId="10" xfId="0" applyFont="1" applyBorder="1" applyAlignment="1">
      <alignment horizontal="center"/>
    </xf>
    <xf numFmtId="0" fontId="123" fillId="0" borderId="10" xfId="0" applyFont="1" applyBorder="1" applyAlignment="1">
      <alignment horizontal="center"/>
    </xf>
    <xf numFmtId="167" fontId="123" fillId="0" borderId="10" xfId="32" applyFont="1" applyBorder="1"/>
    <xf numFmtId="167" fontId="123" fillId="0" borderId="33" xfId="32" applyFont="1" applyBorder="1"/>
    <xf numFmtId="0" fontId="95" fillId="27" borderId="120" xfId="56" applyFill="1" applyBorder="1"/>
    <xf numFmtId="14" fontId="65" fillId="0" borderId="0" xfId="32" applyNumberFormat="1" applyFont="1" applyFill="1" applyAlignment="1">
      <alignment horizontal="center"/>
    </xf>
    <xf numFmtId="0" fontId="106" fillId="0" borderId="10" xfId="37" applyFont="1" applyBorder="1"/>
    <xf numFmtId="0" fontId="65" fillId="0" borderId="10" xfId="37" applyFont="1" applyBorder="1"/>
    <xf numFmtId="14" fontId="106" fillId="0" borderId="85" xfId="37" applyNumberFormat="1" applyFont="1" applyBorder="1"/>
    <xf numFmtId="167" fontId="65" fillId="44" borderId="24" xfId="32" applyFont="1" applyFill="1" applyBorder="1"/>
    <xf numFmtId="167" fontId="79" fillId="0" borderId="59" xfId="32" applyFont="1" applyFill="1" applyBorder="1"/>
    <xf numFmtId="167" fontId="71" fillId="0" borderId="0" xfId="32" applyFont="1" applyFill="1" applyAlignment="1">
      <alignment horizontal="left"/>
    </xf>
    <xf numFmtId="167" fontId="6" fillId="29" borderId="18" xfId="57" applyFont="1" applyFill="1" applyBorder="1" applyAlignment="1">
      <alignment horizontal="center"/>
    </xf>
    <xf numFmtId="14" fontId="98" fillId="29" borderId="178" xfId="56" applyNumberFormat="1" applyFont="1" applyFill="1" applyBorder="1" applyAlignment="1">
      <alignment horizontal="center"/>
    </xf>
    <xf numFmtId="14" fontId="98" fillId="29" borderId="203" xfId="56" applyNumberFormat="1" applyFont="1" applyFill="1" applyBorder="1" applyAlignment="1">
      <alignment horizontal="center"/>
    </xf>
    <xf numFmtId="167" fontId="95" fillId="29" borderId="144" xfId="57" applyFont="1" applyFill="1" applyBorder="1" applyAlignment="1">
      <alignment horizontal="center"/>
    </xf>
    <xf numFmtId="0" fontId="95" fillId="29" borderId="127" xfId="56" applyFill="1" applyBorder="1" applyAlignment="1">
      <alignment horizontal="center"/>
    </xf>
    <xf numFmtId="0" fontId="69" fillId="29" borderId="24" xfId="56" applyFont="1" applyFill="1" applyBorder="1" applyAlignment="1">
      <alignment horizontal="center"/>
    </xf>
    <xf numFmtId="0" fontId="65" fillId="29" borderId="16" xfId="56" applyFont="1" applyFill="1" applyBorder="1" applyAlignment="1">
      <alignment horizontal="center"/>
    </xf>
    <xf numFmtId="44" fontId="65" fillId="29" borderId="16" xfId="56" applyNumberFormat="1" applyFont="1" applyFill="1" applyBorder="1" applyAlignment="1">
      <alignment horizontal="center"/>
    </xf>
    <xf numFmtId="4" fontId="6" fillId="26" borderId="0" xfId="50" applyNumberFormat="1" applyFont="1" applyFill="1" applyBorder="1" applyAlignment="1">
      <alignment vertical="center"/>
    </xf>
    <xf numFmtId="167" fontId="6" fillId="28" borderId="13" xfId="32" applyFont="1" applyFill="1" applyBorder="1"/>
    <xf numFmtId="14" fontId="123" fillId="0" borderId="85" xfId="37" applyNumberFormat="1" applyFont="1" applyBorder="1"/>
    <xf numFmtId="16" fontId="69" fillId="0" borderId="0" xfId="37" applyNumberFormat="1" applyFont="1" applyAlignment="1">
      <alignment horizontal="center"/>
    </xf>
    <xf numFmtId="14" fontId="154" fillId="28" borderId="100" xfId="56" applyNumberFormat="1" applyFont="1" applyFill="1" applyBorder="1"/>
    <xf numFmtId="10" fontId="97" fillId="0" borderId="0" xfId="39" applyNumberFormat="1" applyFont="1" applyFill="1" applyBorder="1" applyAlignment="1"/>
    <xf numFmtId="166" fontId="0" fillId="0" borderId="0" xfId="50" applyFont="1" applyFill="1"/>
    <xf numFmtId="49" fontId="95" fillId="46" borderId="200" xfId="61" applyNumberFormat="1" applyFill="1" applyBorder="1" applyAlignment="1"/>
    <xf numFmtId="49" fontId="95" fillId="46" borderId="201" xfId="61" applyNumberFormat="1" applyFill="1" applyBorder="1" applyAlignment="1"/>
    <xf numFmtId="49" fontId="6" fillId="46" borderId="118" xfId="61" applyNumberFormat="1" applyFont="1" applyFill="1" applyBorder="1" applyAlignment="1">
      <alignment horizontal="left"/>
    </xf>
    <xf numFmtId="49" fontId="6" fillId="46" borderId="129" xfId="61" applyNumberFormat="1" applyFont="1" applyFill="1" applyBorder="1" applyAlignment="1">
      <alignment horizontal="left"/>
    </xf>
    <xf numFmtId="167" fontId="6" fillId="32" borderId="13" xfId="32" applyFont="1" applyFill="1" applyBorder="1"/>
    <xf numFmtId="14" fontId="98" fillId="28" borderId="100" xfId="56" applyNumberFormat="1" applyFont="1" applyFill="1" applyBorder="1" applyAlignment="1">
      <alignment horizontal="center"/>
    </xf>
    <xf numFmtId="0" fontId="6" fillId="26" borderId="0" xfId="37" applyFont="1" applyFill="1" applyAlignment="1">
      <alignment horizontal="center"/>
    </xf>
    <xf numFmtId="167" fontId="72" fillId="26" borderId="0" xfId="32" applyFont="1" applyFill="1" applyAlignment="1">
      <alignment horizontal="center"/>
    </xf>
    <xf numFmtId="9" fontId="4" fillId="0" borderId="0" xfId="39" applyFont="1" applyAlignment="1">
      <alignment horizontal="center"/>
    </xf>
    <xf numFmtId="44" fontId="16" fillId="0" borderId="0" xfId="37" applyNumberFormat="1" applyAlignment="1">
      <alignment horizontal="center"/>
    </xf>
    <xf numFmtId="4" fontId="16" fillId="0" borderId="0" xfId="37" applyNumberFormat="1"/>
    <xf numFmtId="180" fontId="16" fillId="0" borderId="0" xfId="37" applyNumberFormat="1"/>
    <xf numFmtId="180" fontId="74" fillId="0" borderId="0" xfId="37" applyNumberFormat="1" applyFont="1"/>
    <xf numFmtId="4" fontId="32" fillId="0" borderId="0" xfId="37" applyNumberFormat="1" applyFont="1"/>
    <xf numFmtId="170" fontId="124" fillId="32" borderId="0" xfId="39" applyNumberFormat="1" applyFont="1" applyFill="1" applyBorder="1"/>
    <xf numFmtId="44" fontId="119" fillId="0" borderId="0" xfId="37" applyNumberFormat="1" applyFont="1"/>
    <xf numFmtId="167" fontId="119" fillId="0" borderId="0" xfId="32" applyFont="1" applyFill="1"/>
    <xf numFmtId="0" fontId="175" fillId="0" borderId="0" xfId="37" applyFont="1"/>
    <xf numFmtId="0" fontId="176" fillId="0" borderId="0" xfId="37" applyFont="1"/>
    <xf numFmtId="167" fontId="175" fillId="0" borderId="0" xfId="32" applyFont="1" applyFill="1"/>
    <xf numFmtId="170" fontId="109" fillId="0" borderId="0" xfId="39" applyNumberFormat="1" applyFont="1" applyFill="1" applyBorder="1"/>
    <xf numFmtId="167" fontId="178" fillId="0" borderId="0" xfId="32" applyFont="1"/>
    <xf numFmtId="170" fontId="179" fillId="0" borderId="0" xfId="39" applyNumberFormat="1" applyFont="1" applyFill="1" applyBorder="1"/>
    <xf numFmtId="44" fontId="70" fillId="32" borderId="0" xfId="37" applyNumberFormat="1" applyFont="1" applyFill="1"/>
    <xf numFmtId="0" fontId="177" fillId="32" borderId="0" xfId="37" applyFont="1" applyFill="1"/>
    <xf numFmtId="0" fontId="69" fillId="32" borderId="0" xfId="37" applyFont="1" applyFill="1"/>
    <xf numFmtId="0" fontId="4" fillId="0" borderId="63" xfId="62" applyBorder="1" applyAlignment="1">
      <alignment horizontal="center"/>
    </xf>
    <xf numFmtId="0" fontId="4" fillId="0" borderId="63" xfId="62" applyBorder="1"/>
    <xf numFmtId="44" fontId="0" fillId="0" borderId="63" xfId="63" applyFont="1" applyBorder="1"/>
    <xf numFmtId="49" fontId="95" fillId="46" borderId="198" xfId="61" applyNumberFormat="1" applyFill="1" applyBorder="1" applyAlignment="1"/>
    <xf numFmtId="49" fontId="95" fillId="46" borderId="199" xfId="61" applyNumberFormat="1" applyFill="1" applyBorder="1" applyAlignment="1"/>
    <xf numFmtId="166" fontId="128" fillId="0" borderId="0" xfId="50" applyFont="1"/>
    <xf numFmtId="0" fontId="50" fillId="26" borderId="0" xfId="37" applyFont="1" applyFill="1" applyAlignment="1">
      <alignment horizontal="center"/>
    </xf>
    <xf numFmtId="167" fontId="181" fillId="26" borderId="0" xfId="32" applyFont="1" applyFill="1"/>
    <xf numFmtId="49" fontId="95" fillId="46" borderId="194" xfId="61" applyNumberFormat="1" applyFill="1" applyBorder="1" applyAlignment="1"/>
    <xf numFmtId="49" fontId="95" fillId="46" borderId="195" xfId="61" applyNumberFormat="1" applyFill="1" applyBorder="1" applyAlignment="1"/>
    <xf numFmtId="0" fontId="6" fillId="43" borderId="52" xfId="37" applyFont="1" applyFill="1" applyBorder="1"/>
    <xf numFmtId="0" fontId="6" fillId="43" borderId="10" xfId="37" applyFont="1" applyFill="1" applyBorder="1" applyAlignment="1">
      <alignment horizontal="center"/>
    </xf>
    <xf numFmtId="0" fontId="6" fillId="43" borderId="41" xfId="37" applyFont="1" applyFill="1" applyBorder="1" applyAlignment="1">
      <alignment horizontal="center"/>
    </xf>
    <xf numFmtId="167" fontId="65" fillId="43" borderId="24" xfId="32" applyFont="1" applyFill="1" applyBorder="1"/>
    <xf numFmtId="10" fontId="6" fillId="28" borderId="18" xfId="39" applyNumberFormat="1" applyFont="1" applyFill="1" applyBorder="1" applyAlignment="1">
      <alignment horizontal="center"/>
    </xf>
    <xf numFmtId="0" fontId="32" fillId="0" borderId="25" xfId="37" applyFont="1" applyBorder="1" applyAlignment="1">
      <alignment vertical="center"/>
    </xf>
    <xf numFmtId="0" fontId="32" fillId="0" borderId="21" xfId="37" applyFont="1" applyBorder="1" applyAlignment="1">
      <alignment vertical="center"/>
    </xf>
    <xf numFmtId="0" fontId="39" fillId="0" borderId="11" xfId="37" applyFont="1" applyBorder="1" applyAlignment="1">
      <alignment horizontal="center" vertical="center"/>
    </xf>
    <xf numFmtId="0" fontId="39" fillId="0" borderId="12" xfId="37" applyFont="1" applyBorder="1" applyAlignment="1">
      <alignment horizontal="center" vertical="center"/>
    </xf>
    <xf numFmtId="0" fontId="39" fillId="0" borderId="51" xfId="37" applyFont="1" applyBorder="1" applyAlignment="1">
      <alignment horizontal="center" vertical="center"/>
    </xf>
    <xf numFmtId="0" fontId="39" fillId="0" borderId="32" xfId="37" applyFont="1" applyBorder="1" applyAlignment="1">
      <alignment horizontal="center" vertical="center"/>
    </xf>
    <xf numFmtId="49" fontId="33" fillId="0" borderId="14" xfId="37" applyNumberFormat="1" applyFont="1" applyBorder="1" applyAlignment="1">
      <alignment horizontal="center" vertical="center"/>
    </xf>
    <xf numFmtId="49" fontId="33" fillId="0" borderId="44" xfId="37" applyNumberFormat="1" applyFont="1" applyBorder="1" applyAlignment="1">
      <alignment horizontal="center" vertical="center"/>
    </xf>
    <xf numFmtId="49" fontId="33" fillId="0" borderId="27" xfId="37" applyNumberFormat="1" applyFont="1" applyBorder="1" applyAlignment="1">
      <alignment horizontal="center" vertical="center"/>
    </xf>
    <xf numFmtId="0" fontId="36" fillId="0" borderId="11" xfId="37" applyFont="1" applyBorder="1" applyAlignment="1">
      <alignment horizontal="center" vertical="center"/>
    </xf>
    <xf numFmtId="0" fontId="36" fillId="0" borderId="12" xfId="37" applyFont="1" applyBorder="1" applyAlignment="1">
      <alignment horizontal="center" vertical="center"/>
    </xf>
    <xf numFmtId="0" fontId="36" fillId="0" borderId="51" xfId="37" applyFont="1" applyBorder="1" applyAlignment="1">
      <alignment horizontal="center" vertical="center"/>
    </xf>
    <xf numFmtId="0" fontId="33" fillId="0" borderId="30" xfId="37" applyFont="1" applyBorder="1" applyAlignment="1">
      <alignment horizontal="right" vertical="center" wrapText="1"/>
    </xf>
    <xf numFmtId="0" fontId="33" fillId="0" borderId="63" xfId="37" applyFont="1" applyBorder="1" applyAlignment="1">
      <alignment horizontal="right" vertical="center" wrapText="1"/>
    </xf>
    <xf numFmtId="0" fontId="16" fillId="0" borderId="39" xfId="37" applyBorder="1" applyAlignment="1">
      <alignment horizontal="center"/>
    </xf>
    <xf numFmtId="0" fontId="16" fillId="0" borderId="22" xfId="37" applyBorder="1" applyAlignment="1">
      <alignment horizontal="center"/>
    </xf>
    <xf numFmtId="0" fontId="16" fillId="0" borderId="63" xfId="37" applyBorder="1" applyAlignment="1">
      <alignment horizontal="center"/>
    </xf>
    <xf numFmtId="0" fontId="16" fillId="0" borderId="31" xfId="37" applyBorder="1" applyAlignment="1">
      <alignment horizontal="center"/>
    </xf>
    <xf numFmtId="0" fontId="40" fillId="0" borderId="20" xfId="37" applyFont="1" applyBorder="1" applyAlignment="1">
      <alignment horizontal="center"/>
    </xf>
    <xf numFmtId="0" fontId="40" fillId="0" borderId="22" xfId="37" applyFont="1" applyBorder="1" applyAlignment="1">
      <alignment horizontal="center"/>
    </xf>
    <xf numFmtId="0" fontId="40" fillId="0" borderId="30" xfId="37" applyFont="1" applyBorder="1" applyAlignment="1">
      <alignment horizontal="center"/>
    </xf>
    <xf numFmtId="0" fontId="40" fillId="0" borderId="31" xfId="37" applyFont="1" applyBorder="1" applyAlignment="1">
      <alignment horizontal="center"/>
    </xf>
    <xf numFmtId="0" fontId="32" fillId="0" borderId="20" xfId="37" applyFont="1" applyBorder="1" applyAlignment="1">
      <alignment horizontal="center" wrapText="1"/>
    </xf>
    <xf numFmtId="0" fontId="32" fillId="0" borderId="22" xfId="37" applyFont="1" applyBorder="1" applyAlignment="1">
      <alignment horizontal="center" wrapText="1"/>
    </xf>
    <xf numFmtId="0" fontId="32" fillId="0" borderId="30" xfId="37" applyFont="1" applyBorder="1" applyAlignment="1">
      <alignment horizontal="center" wrapText="1"/>
    </xf>
    <xf numFmtId="0" fontId="32" fillId="0" borderId="31" xfId="37" applyFont="1" applyBorder="1" applyAlignment="1">
      <alignment horizontal="center" wrapText="1"/>
    </xf>
    <xf numFmtId="0" fontId="36" fillId="0" borderId="30" xfId="37" applyFont="1" applyBorder="1" applyAlignment="1">
      <alignment horizontal="center" vertical="center" wrapText="1"/>
    </xf>
    <xf numFmtId="0" fontId="36" fillId="0" borderId="63" xfId="37" applyFont="1" applyBorder="1" applyAlignment="1">
      <alignment horizontal="center" vertical="center" wrapText="1"/>
    </xf>
    <xf numFmtId="49" fontId="33" fillId="0" borderId="11" xfId="37" applyNumberFormat="1" applyFont="1" applyBorder="1" applyAlignment="1">
      <alignment horizontal="center" vertical="center"/>
    </xf>
    <xf numFmtId="49" fontId="33" fillId="0" borderId="12" xfId="37" applyNumberFormat="1" applyFont="1" applyBorder="1" applyAlignment="1">
      <alignment horizontal="center" vertical="center"/>
    </xf>
    <xf numFmtId="49" fontId="33" fillId="0" borderId="32" xfId="37" applyNumberFormat="1" applyFont="1" applyBorder="1" applyAlignment="1">
      <alignment horizontal="center" vertical="center"/>
    </xf>
    <xf numFmtId="0" fontId="32" fillId="0" borderId="25" xfId="37" applyFont="1" applyBorder="1" applyAlignment="1">
      <alignment horizontal="center" vertical="center"/>
    </xf>
    <xf numFmtId="0" fontId="32" fillId="0" borderId="16" xfId="37" applyFont="1" applyBorder="1" applyAlignment="1">
      <alignment horizontal="center" vertical="center"/>
    </xf>
    <xf numFmtId="0" fontId="32" fillId="0" borderId="23" xfId="37" applyFont="1" applyBorder="1" applyAlignment="1">
      <alignment horizontal="center" vertical="center"/>
    </xf>
    <xf numFmtId="0" fontId="32" fillId="0" borderId="20" xfId="37" applyFont="1" applyBorder="1" applyAlignment="1">
      <alignment horizontal="center"/>
    </xf>
    <xf numFmtId="0" fontId="32" fillId="0" borderId="22" xfId="37" applyFont="1" applyBorder="1" applyAlignment="1">
      <alignment horizontal="center"/>
    </xf>
    <xf numFmtId="0" fontId="32" fillId="0" borderId="30" xfId="37" applyFont="1" applyBorder="1" applyAlignment="1">
      <alignment horizontal="center"/>
    </xf>
    <xf numFmtId="0" fontId="32" fillId="0" borderId="31" xfId="37" applyFont="1" applyBorder="1" applyAlignment="1">
      <alignment horizontal="center"/>
    </xf>
    <xf numFmtId="0" fontId="32" fillId="0" borderId="21" xfId="37" applyFont="1" applyBorder="1" applyAlignment="1">
      <alignment horizontal="center" vertical="center"/>
    </xf>
    <xf numFmtId="0" fontId="32" fillId="0" borderId="66" xfId="37" applyFont="1" applyBorder="1" applyAlignment="1">
      <alignment horizontal="center" vertical="center"/>
    </xf>
    <xf numFmtId="0" fontId="32" fillId="0" borderId="58" xfId="37" applyFont="1" applyBorder="1" applyAlignment="1">
      <alignment horizontal="center" vertical="center"/>
    </xf>
    <xf numFmtId="0" fontId="36" fillId="0" borderId="30" xfId="37" quotePrefix="1" applyFont="1" applyBorder="1" applyAlignment="1">
      <alignment horizontal="center" vertical="center" wrapText="1"/>
    </xf>
    <xf numFmtId="0" fontId="33" fillId="0" borderId="30" xfId="37" applyFont="1" applyBorder="1" applyAlignment="1">
      <alignment horizontal="center" vertical="center" wrapText="1"/>
    </xf>
    <xf numFmtId="0" fontId="33" fillId="0" borderId="63" xfId="37" applyFont="1" applyBorder="1" applyAlignment="1">
      <alignment horizontal="center" vertical="center" wrapText="1"/>
    </xf>
    <xf numFmtId="0" fontId="26" fillId="0" borderId="28" xfId="37" applyFont="1" applyBorder="1" applyAlignment="1">
      <alignment horizontal="center"/>
    </xf>
    <xf numFmtId="0" fontId="26" fillId="0" borderId="0" xfId="37" applyFont="1" applyAlignment="1">
      <alignment horizontal="center"/>
    </xf>
    <xf numFmtId="0" fontId="65" fillId="0" borderId="28" xfId="37" applyFont="1" applyBorder="1" applyAlignment="1">
      <alignment horizontal="center"/>
    </xf>
    <xf numFmtId="0" fontId="65" fillId="0" borderId="0" xfId="37" applyFont="1" applyAlignment="1">
      <alignment horizontal="center"/>
    </xf>
    <xf numFmtId="0" fontId="47" fillId="0" borderId="14" xfId="0" applyFont="1" applyBorder="1" applyAlignment="1">
      <alignment horizontal="center"/>
    </xf>
    <xf numFmtId="0" fontId="47" fillId="0" borderId="44" xfId="0" applyFont="1" applyBorder="1" applyAlignment="1">
      <alignment horizontal="center"/>
    </xf>
    <xf numFmtId="0" fontId="47" fillId="0" borderId="27" xfId="0" applyFont="1" applyBorder="1" applyAlignment="1">
      <alignment horizontal="center"/>
    </xf>
    <xf numFmtId="1" fontId="7" fillId="0" borderId="0" xfId="32" applyNumberFormat="1" applyFont="1" applyAlignment="1">
      <alignment horizontal="right"/>
    </xf>
    <xf numFmtId="0" fontId="10" fillId="0" borderId="0" xfId="0" applyFont="1" applyAlignment="1">
      <alignment horizontal="right"/>
    </xf>
    <xf numFmtId="0" fontId="62" fillId="0" borderId="14" xfId="0" applyFont="1" applyBorder="1" applyAlignment="1">
      <alignment horizontal="center"/>
    </xf>
    <xf numFmtId="0" fontId="62" fillId="0" borderId="44" xfId="0" applyFont="1" applyBorder="1" applyAlignment="1">
      <alignment horizontal="center"/>
    </xf>
    <xf numFmtId="0" fontId="62" fillId="0" borderId="22" xfId="0" applyFont="1" applyBorder="1" applyAlignment="1">
      <alignment horizontal="center"/>
    </xf>
    <xf numFmtId="1" fontId="10" fillId="0" borderId="14" xfId="33" applyNumberFormat="1" applyFont="1" applyBorder="1" applyAlignment="1">
      <alignment horizontal="center"/>
    </xf>
    <xf numFmtId="1" fontId="10" fillId="0" borderId="27" xfId="33" applyNumberFormat="1" applyFont="1" applyBorder="1" applyAlignment="1">
      <alignment horizontal="center"/>
    </xf>
    <xf numFmtId="0" fontId="7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0" fontId="66" fillId="0" borderId="0" xfId="0" applyFont="1" applyAlignment="1">
      <alignment horizontal="right"/>
    </xf>
    <xf numFmtId="0" fontId="67" fillId="0" borderId="0" xfId="0" applyFont="1" applyAlignment="1">
      <alignment horizontal="right"/>
    </xf>
    <xf numFmtId="1" fontId="66" fillId="0" borderId="0" xfId="32" applyNumberFormat="1" applyFont="1" applyAlignment="1">
      <alignment horizontal="right"/>
    </xf>
    <xf numFmtId="0" fontId="36" fillId="0" borderId="14" xfId="37" applyFont="1" applyBorder="1" applyAlignment="1">
      <alignment horizontal="right" vertical="center" wrapText="1"/>
    </xf>
    <xf numFmtId="0" fontId="36" fillId="0" borderId="44" xfId="37" applyFont="1" applyBorder="1" applyAlignment="1">
      <alignment horizontal="right" vertical="center" wrapText="1"/>
    </xf>
    <xf numFmtId="0" fontId="36" fillId="0" borderId="27" xfId="37" applyFont="1" applyBorder="1" applyAlignment="1">
      <alignment horizontal="right" vertical="center" wrapText="1"/>
    </xf>
    <xf numFmtId="0" fontId="33" fillId="0" borderId="14" xfId="37" applyFont="1" applyBorder="1" applyAlignment="1">
      <alignment horizontal="right" vertical="center" wrapText="1"/>
    </xf>
    <xf numFmtId="0" fontId="33" fillId="0" borderId="44" xfId="37" applyFont="1" applyBorder="1" applyAlignment="1">
      <alignment horizontal="right" vertical="center" wrapText="1"/>
    </xf>
    <xf numFmtId="0" fontId="33" fillId="0" borderId="27" xfId="37" applyFont="1" applyBorder="1" applyAlignment="1">
      <alignment horizontal="right" vertical="center" wrapText="1"/>
    </xf>
    <xf numFmtId="0" fontId="36" fillId="0" borderId="14" xfId="37" applyFont="1" applyBorder="1" applyAlignment="1">
      <alignment horizontal="center" vertical="center"/>
    </xf>
    <xf numFmtId="0" fontId="36" fillId="0" borderId="44" xfId="37" applyFont="1" applyBorder="1" applyAlignment="1">
      <alignment horizontal="center" vertical="center"/>
    </xf>
    <xf numFmtId="0" fontId="36" fillId="0" borderId="27" xfId="37" applyFont="1" applyBorder="1" applyAlignment="1">
      <alignment horizontal="center" vertical="center"/>
    </xf>
    <xf numFmtId="0" fontId="32" fillId="0" borderId="62" xfId="37" applyFont="1" applyBorder="1" applyAlignment="1">
      <alignment horizontal="center" vertical="center"/>
    </xf>
    <xf numFmtId="0" fontId="32" fillId="0" borderId="18" xfId="37" applyFont="1" applyBorder="1" applyAlignment="1">
      <alignment horizontal="center" vertical="center"/>
    </xf>
    <xf numFmtId="0" fontId="32" fillId="0" borderId="19" xfId="37" applyFont="1" applyBorder="1" applyAlignment="1">
      <alignment horizontal="center" vertical="center"/>
    </xf>
    <xf numFmtId="0" fontId="32" fillId="0" borderId="34" xfId="37" applyFont="1" applyBorder="1" applyAlignment="1">
      <alignment horizontal="center" vertical="center"/>
    </xf>
    <xf numFmtId="0" fontId="32" fillId="0" borderId="15" xfId="37" applyFont="1" applyBorder="1" applyAlignment="1">
      <alignment horizontal="center" vertical="center"/>
    </xf>
    <xf numFmtId="0" fontId="32" fillId="0" borderId="48" xfId="37" applyFont="1" applyBorder="1" applyAlignment="1">
      <alignment horizontal="center" vertical="center"/>
    </xf>
    <xf numFmtId="0" fontId="32" fillId="0" borderId="55" xfId="37" applyFont="1" applyBorder="1" applyAlignment="1">
      <alignment horizontal="center" vertical="center"/>
    </xf>
    <xf numFmtId="167" fontId="26" fillId="0" borderId="28" xfId="32" applyFont="1" applyBorder="1" applyAlignment="1">
      <alignment horizontal="left"/>
    </xf>
    <xf numFmtId="167" fontId="26" fillId="0" borderId="0" xfId="32" applyFont="1" applyAlignment="1">
      <alignment horizontal="left"/>
    </xf>
    <xf numFmtId="0" fontId="16" fillId="0" borderId="0" xfId="37" applyAlignment="1">
      <alignment horizontal="right"/>
    </xf>
    <xf numFmtId="0" fontId="26" fillId="0" borderId="28" xfId="37" applyFont="1" applyBorder="1" applyAlignment="1">
      <alignment horizontal="left"/>
    </xf>
    <xf numFmtId="0" fontId="26" fillId="0" borderId="0" xfId="37" applyFont="1" applyAlignment="1">
      <alignment horizontal="left"/>
    </xf>
    <xf numFmtId="2" fontId="65" fillId="0" borderId="28" xfId="50" applyNumberFormat="1" applyFont="1" applyBorder="1" applyAlignment="1">
      <alignment horizontal="left"/>
    </xf>
    <xf numFmtId="166" fontId="26" fillId="0" borderId="28" xfId="50" applyFont="1" applyFill="1" applyBorder="1" applyAlignment="1">
      <alignment horizontal="left"/>
    </xf>
    <xf numFmtId="166" fontId="26" fillId="0" borderId="0" xfId="50" applyFont="1" applyFill="1" applyBorder="1" applyAlignment="1">
      <alignment horizontal="left"/>
    </xf>
    <xf numFmtId="166" fontId="65" fillId="0" borderId="28" xfId="50" applyFont="1" applyFill="1" applyBorder="1" applyAlignment="1">
      <alignment horizontal="left"/>
    </xf>
    <xf numFmtId="166" fontId="65" fillId="0" borderId="0" xfId="50" applyFont="1" applyFill="1" applyAlignment="1">
      <alignment horizontal="left"/>
    </xf>
    <xf numFmtId="0" fontId="65" fillId="0" borderId="28" xfId="37" applyFont="1" applyBorder="1" applyAlignment="1">
      <alignment horizontal="left"/>
    </xf>
    <xf numFmtId="0" fontId="65" fillId="0" borderId="0" xfId="37" applyFont="1" applyAlignment="1">
      <alignment horizontal="left"/>
    </xf>
    <xf numFmtId="166" fontId="65" fillId="0" borderId="28" xfId="50" applyFont="1" applyBorder="1" applyAlignment="1">
      <alignment horizontal="left"/>
    </xf>
    <xf numFmtId="166" fontId="65" fillId="0" borderId="0" xfId="50" applyFont="1" applyAlignment="1">
      <alignment horizontal="left"/>
    </xf>
    <xf numFmtId="166" fontId="65" fillId="0" borderId="0" xfId="50" applyFont="1" applyFill="1" applyBorder="1" applyAlignment="1">
      <alignment horizontal="left"/>
    </xf>
    <xf numFmtId="166" fontId="65" fillId="0" borderId="0" xfId="50" applyFont="1" applyBorder="1" applyAlignment="1">
      <alignment horizontal="left"/>
    </xf>
    <xf numFmtId="167" fontId="26" fillId="0" borderId="28" xfId="32" applyFont="1" applyFill="1" applyBorder="1" applyAlignment="1">
      <alignment horizontal="left"/>
    </xf>
    <xf numFmtId="167" fontId="26" fillId="0" borderId="0" xfId="32" applyFont="1" applyFill="1" applyAlignment="1">
      <alignment horizontal="left"/>
    </xf>
    <xf numFmtId="167" fontId="65" fillId="0" borderId="28" xfId="32" applyFont="1" applyFill="1" applyBorder="1" applyAlignment="1">
      <alignment horizontal="left"/>
    </xf>
    <xf numFmtId="167" fontId="65" fillId="0" borderId="0" xfId="32" applyFont="1" applyFill="1" applyAlignment="1">
      <alignment horizontal="left"/>
    </xf>
    <xf numFmtId="0" fontId="89" fillId="0" borderId="11" xfId="37" applyFont="1" applyBorder="1" applyAlignment="1">
      <alignment horizontal="center" vertical="center"/>
    </xf>
    <xf numFmtId="0" fontId="89" fillId="0" borderId="12" xfId="37" applyFont="1" applyBorder="1" applyAlignment="1">
      <alignment horizontal="center" vertical="center"/>
    </xf>
    <xf numFmtId="0" fontId="89" fillId="0" borderId="51" xfId="37" applyFont="1" applyBorder="1" applyAlignment="1">
      <alignment horizontal="center" vertical="center"/>
    </xf>
    <xf numFmtId="0" fontId="89" fillId="0" borderId="32" xfId="37" applyFont="1" applyBorder="1" applyAlignment="1">
      <alignment horizontal="center" vertical="center"/>
    </xf>
    <xf numFmtId="49" fontId="61" fillId="0" borderId="14" xfId="37" applyNumberFormat="1" applyFont="1" applyBorder="1" applyAlignment="1">
      <alignment horizontal="center" vertical="center"/>
    </xf>
    <xf numFmtId="49" fontId="61" fillId="0" borderId="44" xfId="37" applyNumberFormat="1" applyFont="1" applyBorder="1" applyAlignment="1">
      <alignment horizontal="center" vertical="center"/>
    </xf>
    <xf numFmtId="49" fontId="61" fillId="0" borderId="27" xfId="37" applyNumberFormat="1" applyFont="1" applyBorder="1" applyAlignment="1">
      <alignment horizontal="center" vertical="center"/>
    </xf>
    <xf numFmtId="0" fontId="40" fillId="0" borderId="25" xfId="37" applyFont="1" applyBorder="1" applyAlignment="1">
      <alignment horizontal="center" vertical="center"/>
    </xf>
    <xf numFmtId="0" fontId="40" fillId="0" borderId="16" xfId="37" applyFont="1" applyBorder="1" applyAlignment="1">
      <alignment horizontal="center" vertical="center"/>
    </xf>
    <xf numFmtId="0" fontId="40" fillId="0" borderId="23" xfId="37" applyFont="1" applyBorder="1" applyAlignment="1">
      <alignment horizontal="center" vertical="center"/>
    </xf>
    <xf numFmtId="0" fontId="40" fillId="0" borderId="21" xfId="37" applyFont="1" applyBorder="1" applyAlignment="1">
      <alignment horizontal="center" vertical="center"/>
    </xf>
    <xf numFmtId="0" fontId="40" fillId="0" borderId="66" xfId="37" applyFont="1" applyBorder="1" applyAlignment="1">
      <alignment horizontal="center" vertical="center"/>
    </xf>
    <xf numFmtId="0" fontId="40" fillId="0" borderId="58" xfId="37" applyFont="1" applyBorder="1" applyAlignment="1">
      <alignment horizontal="center" vertical="center"/>
    </xf>
    <xf numFmtId="0" fontId="40" fillId="0" borderId="55" xfId="37" applyFont="1" applyBorder="1" applyAlignment="1">
      <alignment horizontal="center" vertical="center"/>
    </xf>
    <xf numFmtId="0" fontId="40" fillId="0" borderId="14" xfId="37" applyFont="1" applyBorder="1" applyAlignment="1">
      <alignment horizontal="center"/>
    </xf>
    <xf numFmtId="0" fontId="40" fillId="0" borderId="27" xfId="37" applyFont="1" applyBorder="1" applyAlignment="1">
      <alignment horizontal="center"/>
    </xf>
    <xf numFmtId="167" fontId="65" fillId="0" borderId="0" xfId="32" applyFont="1" applyFill="1" applyBorder="1" applyAlignment="1">
      <alignment horizontal="left"/>
    </xf>
    <xf numFmtId="0" fontId="69" fillId="0" borderId="0" xfId="37" applyFont="1" applyAlignment="1">
      <alignment horizontal="right"/>
    </xf>
    <xf numFmtId="0" fontId="16" fillId="0" borderId="0" xfId="37" applyAlignment="1">
      <alignment horizontal="center"/>
    </xf>
    <xf numFmtId="0" fontId="95" fillId="0" borderId="0" xfId="56" applyAlignment="1">
      <alignment horizontal="center"/>
    </xf>
    <xf numFmtId="0" fontId="69" fillId="0" borderId="0" xfId="56" applyFont="1" applyAlignment="1">
      <alignment horizontal="right"/>
    </xf>
    <xf numFmtId="0" fontId="98" fillId="0" borderId="98" xfId="56" applyFont="1" applyBorder="1" applyAlignment="1">
      <alignment horizontal="center"/>
    </xf>
    <xf numFmtId="0" fontId="98" fillId="0" borderId="99" xfId="56" applyFont="1" applyBorder="1" applyAlignment="1">
      <alignment horizontal="center"/>
    </xf>
    <xf numFmtId="0" fontId="98" fillId="0" borderId="102" xfId="56" applyFont="1" applyBorder="1" applyAlignment="1">
      <alignment horizontal="center"/>
    </xf>
    <xf numFmtId="0" fontId="98" fillId="0" borderId="103" xfId="56" applyFont="1" applyBorder="1" applyAlignment="1">
      <alignment horizontal="center"/>
    </xf>
    <xf numFmtId="0" fontId="99" fillId="0" borderId="89" xfId="56" applyFont="1" applyBorder="1" applyAlignment="1">
      <alignment horizontal="center" vertical="center"/>
    </xf>
    <xf numFmtId="0" fontId="99" fillId="0" borderId="90" xfId="56" applyFont="1" applyBorder="1" applyAlignment="1">
      <alignment horizontal="center" vertical="center"/>
    </xf>
    <xf numFmtId="0" fontId="99" fillId="0" borderId="91" xfId="56" applyFont="1" applyBorder="1" applyAlignment="1">
      <alignment horizontal="center" vertical="center"/>
    </xf>
    <xf numFmtId="0" fontId="97" fillId="0" borderId="93" xfId="56" applyFont="1" applyBorder="1" applyAlignment="1">
      <alignment horizontal="right" vertical="center" wrapText="1"/>
    </xf>
    <xf numFmtId="0" fontId="97" fillId="0" borderId="94" xfId="56" applyFont="1" applyBorder="1" applyAlignment="1">
      <alignment horizontal="right" vertical="center" wrapText="1"/>
    </xf>
    <xf numFmtId="0" fontId="96" fillId="0" borderId="89" xfId="56" applyFont="1" applyBorder="1" applyAlignment="1">
      <alignment horizontal="center" vertical="center"/>
    </xf>
    <xf numFmtId="0" fontId="96" fillId="0" borderId="90" xfId="56" applyFont="1" applyBorder="1" applyAlignment="1">
      <alignment horizontal="center" vertical="center"/>
    </xf>
    <xf numFmtId="0" fontId="96" fillId="0" borderId="91" xfId="56" applyFont="1" applyBorder="1" applyAlignment="1">
      <alignment horizontal="center" vertical="center"/>
    </xf>
    <xf numFmtId="0" fontId="96" fillId="0" borderId="92" xfId="56" applyFont="1" applyBorder="1" applyAlignment="1">
      <alignment horizontal="center" vertical="center"/>
    </xf>
    <xf numFmtId="49" fontId="97" fillId="0" borderId="93" xfId="56" applyNumberFormat="1" applyFont="1" applyBorder="1" applyAlignment="1">
      <alignment horizontal="center" vertical="center"/>
    </xf>
    <xf numFmtId="49" fontId="97" fillId="0" borderId="94" xfId="56" applyNumberFormat="1" applyFont="1" applyBorder="1" applyAlignment="1">
      <alignment horizontal="center" vertical="center"/>
    </xf>
    <xf numFmtId="49" fontId="97" fillId="0" borderId="95" xfId="56" applyNumberFormat="1" applyFont="1" applyBorder="1" applyAlignment="1">
      <alignment horizontal="center" vertical="center"/>
    </xf>
    <xf numFmtId="14" fontId="98" fillId="0" borderId="96" xfId="56" applyNumberFormat="1" applyFont="1" applyBorder="1" applyAlignment="1">
      <alignment horizontal="center" vertical="center"/>
    </xf>
    <xf numFmtId="14" fontId="98" fillId="0" borderId="100" xfId="56" applyNumberFormat="1" applyFont="1" applyBorder="1" applyAlignment="1">
      <alignment horizontal="center" vertical="center"/>
    </xf>
    <xf numFmtId="14" fontId="98" fillId="0" borderId="104" xfId="56" applyNumberFormat="1" applyFont="1" applyBorder="1" applyAlignment="1">
      <alignment horizontal="center" vertical="center"/>
    </xf>
    <xf numFmtId="0" fontId="98" fillId="0" borderId="96" xfId="56" applyFont="1" applyBorder="1" applyAlignment="1">
      <alignment horizontal="center" vertical="center"/>
    </xf>
    <xf numFmtId="0" fontId="98" fillId="0" borderId="100" xfId="56" applyFont="1" applyBorder="1" applyAlignment="1">
      <alignment horizontal="center" vertical="center"/>
    </xf>
    <xf numFmtId="0" fontId="98" fillId="0" borderId="104" xfId="56" applyFont="1" applyBorder="1" applyAlignment="1">
      <alignment horizontal="center" vertical="center"/>
    </xf>
    <xf numFmtId="0" fontId="98" fillId="0" borderId="97" xfId="56" applyFont="1" applyBorder="1" applyAlignment="1">
      <alignment horizontal="center" vertical="center"/>
    </xf>
    <xf numFmtId="0" fontId="98" fillId="0" borderId="101" xfId="56" applyFont="1" applyBorder="1" applyAlignment="1">
      <alignment horizontal="center" vertical="center"/>
    </xf>
    <xf numFmtId="0" fontId="98" fillId="0" borderId="105" xfId="56" applyFont="1" applyBorder="1" applyAlignment="1">
      <alignment horizontal="center" vertical="center"/>
    </xf>
    <xf numFmtId="0" fontId="98" fillId="0" borderId="106" xfId="56" applyFont="1" applyBorder="1" applyAlignment="1">
      <alignment horizontal="center" vertical="center"/>
    </xf>
    <xf numFmtId="0" fontId="32" fillId="0" borderId="0" xfId="37" applyFont="1" applyAlignment="1">
      <alignment horizontal="center"/>
    </xf>
    <xf numFmtId="167" fontId="81" fillId="0" borderId="0" xfId="32" applyFont="1" applyFill="1" applyBorder="1" applyAlignment="1">
      <alignment horizontal="center"/>
    </xf>
    <xf numFmtId="167" fontId="40" fillId="0" borderId="0" xfId="32" applyFont="1" applyFill="1" applyBorder="1" applyAlignment="1">
      <alignment horizontal="center"/>
    </xf>
    <xf numFmtId="0" fontId="16" fillId="0" borderId="0" xfId="37" applyAlignment="1">
      <alignment horizontal="left"/>
    </xf>
    <xf numFmtId="167" fontId="6" fillId="0" borderId="0" xfId="32" applyFont="1" applyFill="1" applyBorder="1" applyAlignment="1">
      <alignment horizontal="left"/>
    </xf>
    <xf numFmtId="167" fontId="6" fillId="0" borderId="0" xfId="32" applyFont="1" applyBorder="1" applyAlignment="1">
      <alignment horizontal="left"/>
    </xf>
    <xf numFmtId="0" fontId="16" fillId="0" borderId="0" xfId="37"/>
    <xf numFmtId="0" fontId="65" fillId="0" borderId="0" xfId="37" applyFont="1"/>
    <xf numFmtId="167" fontId="65" fillId="0" borderId="0" xfId="32" applyFont="1" applyBorder="1" applyAlignment="1"/>
    <xf numFmtId="167" fontId="65" fillId="0" borderId="0" xfId="32" applyFont="1" applyBorder="1" applyAlignment="1">
      <alignment horizontal="left"/>
    </xf>
    <xf numFmtId="167" fontId="40" fillId="0" borderId="0" xfId="32" applyFont="1" applyBorder="1" applyAlignment="1">
      <alignment horizontal="center"/>
    </xf>
    <xf numFmtId="167" fontId="26" fillId="0" borderId="0" xfId="32" applyFont="1" applyBorder="1" applyAlignment="1">
      <alignment horizontal="center"/>
    </xf>
    <xf numFmtId="0" fontId="16" fillId="0" borderId="14" xfId="37" applyBorder="1" applyAlignment="1">
      <alignment horizontal="center"/>
    </xf>
    <xf numFmtId="0" fontId="16" fillId="0" borderId="44" xfId="37" applyBorder="1" applyAlignment="1">
      <alignment horizontal="center"/>
    </xf>
    <xf numFmtId="0" fontId="16" fillId="0" borderId="27" xfId="37" applyBorder="1" applyAlignment="1">
      <alignment horizontal="center"/>
    </xf>
    <xf numFmtId="14" fontId="77" fillId="0" borderId="14" xfId="32" applyNumberFormat="1" applyFont="1" applyBorder="1" applyAlignment="1">
      <alignment horizontal="center"/>
    </xf>
    <xf numFmtId="14" fontId="77" fillId="0" borderId="27" xfId="32" applyNumberFormat="1" applyFont="1" applyBorder="1" applyAlignment="1">
      <alignment horizontal="center"/>
    </xf>
    <xf numFmtId="0" fontId="52" fillId="0" borderId="14" xfId="37" applyFont="1" applyBorder="1" applyAlignment="1">
      <alignment horizontal="center"/>
    </xf>
    <xf numFmtId="0" fontId="52" fillId="0" borderId="44" xfId="37" applyFont="1" applyBorder="1" applyAlignment="1">
      <alignment horizontal="center"/>
    </xf>
    <xf numFmtId="0" fontId="52" fillId="0" borderId="27" xfId="37" applyFont="1" applyBorder="1" applyAlignment="1">
      <alignment horizontal="center"/>
    </xf>
    <xf numFmtId="0" fontId="33" fillId="0" borderId="20" xfId="37" applyFont="1" applyBorder="1" applyAlignment="1">
      <alignment horizontal="center"/>
    </xf>
    <xf numFmtId="0" fontId="33" fillId="0" borderId="39" xfId="37" applyFont="1" applyBorder="1" applyAlignment="1">
      <alignment horizontal="center"/>
    </xf>
    <xf numFmtId="0" fontId="33" fillId="0" borderId="22" xfId="37" applyFont="1" applyBorder="1" applyAlignment="1">
      <alignment horizontal="center"/>
    </xf>
    <xf numFmtId="0" fontId="10" fillId="0" borderId="14" xfId="0" applyFont="1" applyBorder="1" applyAlignment="1">
      <alignment horizontal="center" wrapText="1"/>
    </xf>
    <xf numFmtId="0" fontId="10" fillId="0" borderId="44" xfId="0" applyFont="1" applyBorder="1" applyAlignment="1">
      <alignment horizontal="center" wrapText="1"/>
    </xf>
    <xf numFmtId="0" fontId="10" fillId="0" borderId="27" xfId="0" applyFont="1" applyBorder="1" applyAlignment="1">
      <alignment horizontal="center" wrapText="1"/>
    </xf>
    <xf numFmtId="0" fontId="74" fillId="0" borderId="44" xfId="37" applyFont="1" applyBorder="1" applyAlignment="1">
      <alignment horizontal="left"/>
    </xf>
    <xf numFmtId="0" fontId="74" fillId="0" borderId="27" xfId="37" applyFont="1" applyBorder="1" applyAlignment="1">
      <alignment horizontal="left"/>
    </xf>
    <xf numFmtId="0" fontId="74" fillId="0" borderId="14" xfId="37" applyFont="1" applyBorder="1" applyAlignment="1">
      <alignment horizontal="center"/>
    </xf>
    <xf numFmtId="0" fontId="74" fillId="0" borderId="44" xfId="37" applyFont="1" applyBorder="1" applyAlignment="1">
      <alignment horizontal="center"/>
    </xf>
    <xf numFmtId="0" fontId="74" fillId="0" borderId="27" xfId="37" applyFont="1" applyBorder="1" applyAlignment="1">
      <alignment horizontal="center"/>
    </xf>
    <xf numFmtId="167" fontId="74" fillId="0" borderId="0" xfId="32" applyFont="1" applyBorder="1" applyAlignment="1">
      <alignment horizontal="right"/>
    </xf>
    <xf numFmtId="0" fontId="33" fillId="0" borderId="0" xfId="37" applyFont="1" applyAlignment="1">
      <alignment horizontal="center"/>
    </xf>
    <xf numFmtId="0" fontId="33" fillId="0" borderId="14" xfId="37" applyFont="1" applyBorder="1" applyAlignment="1">
      <alignment horizontal="center"/>
    </xf>
    <xf numFmtId="0" fontId="33" fillId="0" borderId="44" xfId="37" applyFont="1" applyBorder="1" applyAlignment="1">
      <alignment horizontal="center"/>
    </xf>
    <xf numFmtId="0" fontId="33" fillId="0" borderId="27" xfId="37" applyFont="1" applyBorder="1" applyAlignment="1">
      <alignment horizontal="center"/>
    </xf>
    <xf numFmtId="0" fontId="82" fillId="0" borderId="14" xfId="0" applyFont="1" applyBorder="1" applyAlignment="1">
      <alignment horizontal="center"/>
    </xf>
    <xf numFmtId="0" fontId="82" fillId="0" borderId="44" xfId="0" applyFont="1" applyBorder="1" applyAlignment="1">
      <alignment horizontal="center"/>
    </xf>
    <xf numFmtId="0" fontId="82" fillId="0" borderId="27" xfId="0" applyFont="1" applyBorder="1" applyAlignment="1">
      <alignment horizontal="center"/>
    </xf>
    <xf numFmtId="0" fontId="33" fillId="0" borderId="11" xfId="37" applyFont="1" applyBorder="1" applyAlignment="1">
      <alignment horizontal="center"/>
    </xf>
    <xf numFmtId="0" fontId="33" fillId="0" borderId="32" xfId="37" applyFont="1" applyBorder="1" applyAlignment="1">
      <alignment horizontal="center"/>
    </xf>
    <xf numFmtId="4" fontId="156" fillId="53" borderId="21" xfId="50" applyNumberFormat="1" applyFont="1" applyFill="1" applyBorder="1" applyAlignment="1">
      <alignment horizontal="center" vertical="center"/>
    </xf>
    <xf numFmtId="4" fontId="156" fillId="53" borderId="58" xfId="50" applyNumberFormat="1" applyFont="1" applyFill="1" applyBorder="1" applyAlignment="1">
      <alignment horizontal="center" vertical="center"/>
    </xf>
    <xf numFmtId="4" fontId="157" fillId="27" borderId="21" xfId="50" applyNumberFormat="1" applyFont="1" applyFill="1" applyBorder="1" applyAlignment="1">
      <alignment horizontal="center" vertical="center"/>
    </xf>
    <xf numFmtId="4" fontId="157" fillId="27" borderId="58" xfId="50" applyNumberFormat="1" applyFont="1" applyFill="1" applyBorder="1" applyAlignment="1">
      <alignment horizontal="center" vertical="center"/>
    </xf>
    <xf numFmtId="49" fontId="95" fillId="46" borderId="200" xfId="61" applyNumberFormat="1" applyFill="1" applyBorder="1" applyAlignment="1"/>
    <xf numFmtId="49" fontId="95" fillId="46" borderId="201" xfId="61" applyNumberFormat="1" applyFill="1" applyBorder="1" applyAlignment="1"/>
    <xf numFmtId="49" fontId="95" fillId="44" borderId="118" xfId="61" applyNumberFormat="1" applyFill="1" applyBorder="1" applyAlignment="1"/>
    <xf numFmtId="49" fontId="95" fillId="44" borderId="129" xfId="61" applyNumberFormat="1" applyFill="1" applyBorder="1" applyAlignment="1"/>
    <xf numFmtId="49" fontId="95" fillId="28" borderId="118" xfId="61" applyNumberFormat="1" applyFill="1" applyBorder="1" applyAlignment="1"/>
    <xf numFmtId="49" fontId="95" fillId="28" borderId="129" xfId="61" applyNumberFormat="1" applyFill="1" applyBorder="1" applyAlignment="1"/>
    <xf numFmtId="165" fontId="96" fillId="0" borderId="14" xfId="61" applyFont="1" applyBorder="1" applyAlignment="1">
      <alignment horizontal="center"/>
    </xf>
    <xf numFmtId="165" fontId="96" fillId="0" borderId="44" xfId="61" applyFont="1" applyBorder="1" applyAlignment="1">
      <alignment horizontal="center"/>
    </xf>
    <xf numFmtId="165" fontId="96" fillId="0" borderId="27" xfId="61" applyFont="1" applyBorder="1" applyAlignment="1">
      <alignment horizontal="center"/>
    </xf>
    <xf numFmtId="165" fontId="100" fillId="0" borderId="11" xfId="61" applyFont="1" applyBorder="1" applyAlignment="1">
      <alignment horizontal="left" wrapText="1"/>
    </xf>
    <xf numFmtId="165" fontId="100" fillId="0" borderId="51" xfId="61" applyFont="1" applyBorder="1" applyAlignment="1">
      <alignment horizontal="left" wrapText="1"/>
    </xf>
    <xf numFmtId="49" fontId="95" fillId="46" borderId="172" xfId="61" applyNumberFormat="1" applyFill="1" applyBorder="1" applyAlignment="1"/>
    <xf numFmtId="49" fontId="95" fillId="46" borderId="173" xfId="61" applyNumberFormat="1" applyFill="1" applyBorder="1" applyAlignment="1"/>
    <xf numFmtId="49" fontId="95" fillId="46" borderId="198" xfId="61" applyNumberFormat="1" applyFill="1" applyBorder="1" applyAlignment="1"/>
    <xf numFmtId="49" fontId="95" fillId="46" borderId="199" xfId="61" applyNumberFormat="1" applyFill="1" applyBorder="1" applyAlignment="1"/>
    <xf numFmtId="49" fontId="95" fillId="46" borderId="118" xfId="61" applyNumberFormat="1" applyFill="1" applyBorder="1" applyAlignment="1"/>
    <xf numFmtId="49" fontId="95" fillId="46" borderId="129" xfId="61" applyNumberFormat="1" applyFill="1" applyBorder="1" applyAlignment="1"/>
    <xf numFmtId="4" fontId="156" fillId="42" borderId="21" xfId="50" applyNumberFormat="1" applyFont="1" applyFill="1" applyBorder="1" applyAlignment="1">
      <alignment horizontal="center" vertical="center"/>
    </xf>
    <xf numFmtId="4" fontId="156" fillId="42" borderId="58" xfId="50" applyNumberFormat="1" applyFont="1" applyFill="1" applyBorder="1" applyAlignment="1">
      <alignment horizontal="center" vertical="center"/>
    </xf>
    <xf numFmtId="49" fontId="95" fillId="46" borderId="194" xfId="61" applyNumberFormat="1" applyFill="1" applyBorder="1" applyAlignment="1"/>
    <xf numFmtId="49" fontId="95" fillId="46" borderId="195" xfId="61" applyNumberFormat="1" applyFill="1" applyBorder="1" applyAlignment="1"/>
    <xf numFmtId="49" fontId="6" fillId="46" borderId="118" xfId="61" applyNumberFormat="1" applyFont="1" applyFill="1" applyBorder="1" applyAlignment="1">
      <alignment horizontal="left"/>
    </xf>
    <xf numFmtId="49" fontId="6" fillId="46" borderId="129" xfId="61" applyNumberFormat="1" applyFont="1" applyFill="1" applyBorder="1" applyAlignment="1">
      <alignment horizontal="left"/>
    </xf>
    <xf numFmtId="4" fontId="157" fillId="46" borderId="21" xfId="50" applyNumberFormat="1" applyFont="1" applyFill="1" applyBorder="1" applyAlignment="1">
      <alignment horizontal="center" vertical="center"/>
    </xf>
    <xf numFmtId="4" fontId="157" fillId="46" borderId="58" xfId="50" applyNumberFormat="1" applyFont="1" applyFill="1" applyBorder="1" applyAlignment="1">
      <alignment horizontal="center" vertical="center"/>
    </xf>
    <xf numFmtId="4" fontId="157" fillId="44" borderId="21" xfId="50" applyNumberFormat="1" applyFont="1" applyFill="1" applyBorder="1" applyAlignment="1">
      <alignment horizontal="center" vertical="center"/>
    </xf>
    <xf numFmtId="4" fontId="157" fillId="44" borderId="58" xfId="50" applyNumberFormat="1" applyFont="1" applyFill="1" applyBorder="1" applyAlignment="1">
      <alignment horizontal="center" vertical="center"/>
    </xf>
    <xf numFmtId="4" fontId="157" fillId="28" borderId="21" xfId="50" applyNumberFormat="1" applyFont="1" applyFill="1" applyBorder="1" applyAlignment="1">
      <alignment horizontal="center" vertical="center"/>
    </xf>
    <xf numFmtId="4" fontId="157" fillId="28" borderId="58" xfId="50" applyNumberFormat="1" applyFont="1" applyFill="1" applyBorder="1" applyAlignment="1">
      <alignment horizontal="center" vertical="center"/>
    </xf>
    <xf numFmtId="4" fontId="157" fillId="52" borderId="21" xfId="50" applyNumberFormat="1" applyFont="1" applyFill="1" applyBorder="1" applyAlignment="1">
      <alignment horizontal="center" vertical="center"/>
    </xf>
    <xf numFmtId="4" fontId="157" fillId="52" borderId="58" xfId="50" applyNumberFormat="1" applyFont="1" applyFill="1" applyBorder="1" applyAlignment="1">
      <alignment horizontal="center" vertical="center"/>
    </xf>
    <xf numFmtId="49" fontId="95" fillId="46" borderId="118" xfId="61" applyNumberFormat="1" applyFill="1" applyBorder="1" applyAlignment="1">
      <alignment horizontal="left"/>
    </xf>
    <xf numFmtId="49" fontId="95" fillId="46" borderId="129" xfId="61" applyNumberFormat="1" applyFill="1" applyBorder="1" applyAlignment="1">
      <alignment horizontal="left"/>
    </xf>
    <xf numFmtId="49" fontId="95" fillId="29" borderId="118" xfId="61" applyNumberFormat="1" applyFill="1" applyBorder="1" applyAlignment="1">
      <alignment horizontal="left"/>
    </xf>
    <xf numFmtId="49" fontId="95" fillId="29" borderId="129" xfId="61" applyNumberFormat="1" applyFill="1" applyBorder="1" applyAlignment="1">
      <alignment horizontal="left"/>
    </xf>
    <xf numFmtId="49" fontId="95" fillId="46" borderId="200" xfId="61" applyNumberFormat="1" applyFill="1" applyBorder="1" applyAlignment="1">
      <alignment wrapText="1"/>
    </xf>
    <xf numFmtId="49" fontId="95" fillId="46" borderId="201" xfId="61" applyNumberFormat="1" applyFill="1" applyBorder="1" applyAlignment="1">
      <alignment wrapText="1"/>
    </xf>
    <xf numFmtId="49" fontId="95" fillId="46" borderId="190" xfId="61" applyNumberFormat="1" applyFill="1" applyBorder="1" applyAlignment="1"/>
    <xf numFmtId="49" fontId="95" fillId="46" borderId="191" xfId="61" applyNumberFormat="1" applyFill="1" applyBorder="1" applyAlignment="1"/>
    <xf numFmtId="0" fontId="70" fillId="44" borderId="102" xfId="56" applyFont="1" applyFill="1" applyBorder="1" applyAlignment="1">
      <alignment horizontal="right"/>
    </xf>
    <xf numFmtId="0" fontId="70" fillId="44" borderId="141" xfId="56" applyFont="1" applyFill="1" applyBorder="1" applyAlignment="1">
      <alignment horizontal="right"/>
    </xf>
    <xf numFmtId="49" fontId="95" fillId="44" borderId="200" xfId="61" applyNumberFormat="1" applyFill="1" applyBorder="1" applyAlignment="1"/>
    <xf numFmtId="49" fontId="95" fillId="44" borderId="201" xfId="61" applyNumberFormat="1" applyFill="1" applyBorder="1" applyAlignment="1"/>
    <xf numFmtId="49" fontId="95" fillId="43" borderId="194" xfId="61" applyNumberFormat="1" applyFill="1" applyBorder="1" applyAlignment="1">
      <alignment horizontal="left"/>
    </xf>
    <xf numFmtId="49" fontId="95" fillId="43" borderId="195" xfId="61" applyNumberFormat="1" applyFill="1" applyBorder="1" applyAlignment="1">
      <alignment horizontal="left"/>
    </xf>
    <xf numFmtId="165" fontId="97" fillId="0" borderId="14" xfId="61" applyFont="1" applyBorder="1" applyAlignment="1">
      <alignment horizontal="center"/>
    </xf>
    <xf numFmtId="165" fontId="97" fillId="0" borderId="44" xfId="61" applyFont="1" applyBorder="1" applyAlignment="1">
      <alignment horizontal="center"/>
    </xf>
    <xf numFmtId="165" fontId="97" fillId="0" borderId="27" xfId="61" applyFont="1" applyBorder="1" applyAlignment="1">
      <alignment horizontal="center"/>
    </xf>
    <xf numFmtId="0" fontId="119" fillId="46" borderId="93" xfId="56" applyFont="1" applyFill="1" applyBorder="1" applyAlignment="1">
      <alignment horizontal="right"/>
    </xf>
    <xf numFmtId="0" fontId="119" fillId="46" borderId="94" xfId="56" applyFont="1" applyFill="1" applyBorder="1" applyAlignment="1">
      <alignment horizontal="right"/>
    </xf>
    <xf numFmtId="0" fontId="81" fillId="44" borderId="98" xfId="56" applyFont="1" applyFill="1" applyBorder="1" applyAlignment="1">
      <alignment horizontal="right"/>
    </xf>
    <xf numFmtId="0" fontId="81" fillId="44" borderId="142" xfId="56" applyFont="1" applyFill="1" applyBorder="1" applyAlignment="1">
      <alignment horizontal="right"/>
    </xf>
    <xf numFmtId="0" fontId="81" fillId="46" borderId="14" xfId="56" applyFont="1" applyFill="1" applyBorder="1" applyAlignment="1">
      <alignment horizontal="right"/>
    </xf>
    <xf numFmtId="0" fontId="81" fillId="46" borderId="44" xfId="56" applyFont="1" applyFill="1" applyBorder="1" applyAlignment="1">
      <alignment horizontal="right"/>
    </xf>
    <xf numFmtId="0" fontId="96" fillId="0" borderId="28" xfId="56" applyFont="1" applyBorder="1" applyAlignment="1">
      <alignment horizontal="center" vertical="center"/>
    </xf>
    <xf numFmtId="49" fontId="95" fillId="43" borderId="118" xfId="61" applyNumberFormat="1" applyFill="1" applyBorder="1" applyAlignment="1">
      <alignment horizontal="left"/>
    </xf>
    <xf numFmtId="49" fontId="95" fillId="43" borderId="129" xfId="61" applyNumberFormat="1" applyFill="1" applyBorder="1" applyAlignment="1">
      <alignment horizontal="left"/>
    </xf>
    <xf numFmtId="0" fontId="70" fillId="46" borderId="93" xfId="56" applyFont="1" applyFill="1" applyBorder="1" applyAlignment="1">
      <alignment horizontal="right"/>
    </xf>
    <xf numFmtId="0" fontId="70" fillId="46" borderId="94" xfId="56" applyFont="1" applyFill="1" applyBorder="1" applyAlignment="1">
      <alignment horizontal="right"/>
    </xf>
    <xf numFmtId="165" fontId="100" fillId="0" borderId="69" xfId="61" applyFont="1" applyBorder="1" applyAlignment="1">
      <alignment horizontal="left" wrapText="1"/>
    </xf>
    <xf numFmtId="0" fontId="81" fillId="44" borderId="14" xfId="56" applyFont="1" applyFill="1" applyBorder="1" applyAlignment="1">
      <alignment horizontal="right"/>
    </xf>
    <xf numFmtId="0" fontId="81" fillId="44" borderId="44" xfId="56" applyFont="1" applyFill="1" applyBorder="1" applyAlignment="1">
      <alignment horizontal="right"/>
    </xf>
    <xf numFmtId="0" fontId="81" fillId="44" borderId="146" xfId="56" applyFont="1" applyFill="1" applyBorder="1" applyAlignment="1">
      <alignment horizontal="right"/>
    </xf>
    <xf numFmtId="0" fontId="81" fillId="46" borderId="146" xfId="56" applyFont="1" applyFill="1" applyBorder="1" applyAlignment="1">
      <alignment horizontal="right"/>
    </xf>
    <xf numFmtId="0" fontId="81" fillId="0" borderId="14" xfId="56" applyFont="1" applyBorder="1" applyAlignment="1">
      <alignment horizontal="right"/>
    </xf>
    <xf numFmtId="0" fontId="81" fillId="0" borderId="44" xfId="56" applyFont="1" applyBorder="1" applyAlignment="1">
      <alignment horizontal="right"/>
    </xf>
    <xf numFmtId="0" fontId="81" fillId="0" borderId="146" xfId="56" applyFont="1" applyBorder="1" applyAlignment="1">
      <alignment horizontal="right"/>
    </xf>
    <xf numFmtId="49" fontId="95" fillId="46" borderId="153" xfId="61" applyNumberFormat="1" applyFill="1" applyBorder="1" applyAlignment="1"/>
    <xf numFmtId="49" fontId="95" fillId="46" borderId="186" xfId="61" applyNumberFormat="1" applyFill="1" applyBorder="1" applyAlignment="1"/>
    <xf numFmtId="167" fontId="121" fillId="0" borderId="28" xfId="56" applyNumberFormat="1" applyFont="1" applyBorder="1" applyAlignment="1">
      <alignment horizontal="center" vertical="center"/>
    </xf>
    <xf numFmtId="0" fontId="121" fillId="0" borderId="29" xfId="56" applyFont="1" applyBorder="1" applyAlignment="1">
      <alignment horizontal="center" vertical="center"/>
    </xf>
    <xf numFmtId="0" fontId="121" fillId="0" borderId="28" xfId="56" applyFont="1" applyBorder="1" applyAlignment="1">
      <alignment horizontal="center" vertical="center"/>
    </xf>
    <xf numFmtId="0" fontId="121" fillId="0" borderId="30" xfId="56" applyFont="1" applyBorder="1" applyAlignment="1">
      <alignment horizontal="center" vertical="center"/>
    </xf>
    <xf numFmtId="0" fontId="121" fillId="0" borderId="31" xfId="56" applyFont="1" applyBorder="1" applyAlignment="1">
      <alignment horizontal="center" vertical="center"/>
    </xf>
    <xf numFmtId="49" fontId="95" fillId="43" borderId="118" xfId="61" applyNumberFormat="1" applyFill="1" applyBorder="1" applyAlignment="1"/>
    <xf numFmtId="49" fontId="95" fillId="43" borderId="129" xfId="61" applyNumberFormat="1" applyFill="1" applyBorder="1" applyAlignment="1"/>
    <xf numFmtId="49" fontId="95" fillId="44" borderId="205" xfId="61" applyNumberFormat="1" applyFill="1" applyBorder="1" applyAlignment="1"/>
    <xf numFmtId="49" fontId="95" fillId="44" borderId="206" xfId="61" applyNumberFormat="1" applyFill="1" applyBorder="1" applyAlignment="1"/>
    <xf numFmtId="44" fontId="121" fillId="0" borderId="28" xfId="56" applyNumberFormat="1" applyFont="1" applyBorder="1" applyAlignment="1">
      <alignment horizontal="center" vertical="center"/>
    </xf>
    <xf numFmtId="49" fontId="95" fillId="46" borderId="198" xfId="61" applyNumberFormat="1" applyFill="1" applyBorder="1" applyAlignment="1">
      <alignment horizontal="left"/>
    </xf>
    <xf numFmtId="49" fontId="95" fillId="46" borderId="199" xfId="61" applyNumberFormat="1" applyFill="1" applyBorder="1" applyAlignment="1">
      <alignment horizontal="left"/>
    </xf>
    <xf numFmtId="49" fontId="95" fillId="46" borderId="208" xfId="61" applyNumberFormat="1" applyFill="1" applyBorder="1" applyAlignment="1"/>
    <xf numFmtId="49" fontId="95" fillId="46" borderId="209" xfId="61" applyNumberFormat="1" applyFill="1" applyBorder="1" applyAlignment="1"/>
    <xf numFmtId="49" fontId="95" fillId="44" borderId="153" xfId="61" applyNumberFormat="1" applyFill="1" applyBorder="1" applyAlignment="1"/>
    <xf numFmtId="49" fontId="95" fillId="44" borderId="186" xfId="61" applyNumberFormat="1" applyFill="1" applyBorder="1" applyAlignment="1"/>
    <xf numFmtId="49" fontId="138" fillId="46" borderId="172" xfId="61" applyNumberFormat="1" applyFont="1" applyFill="1" applyBorder="1" applyAlignment="1"/>
    <xf numFmtId="49" fontId="138" fillId="46" borderId="173" xfId="61" applyNumberFormat="1" applyFont="1" applyFill="1" applyBorder="1" applyAlignment="1"/>
    <xf numFmtId="49" fontId="138" fillId="46" borderId="198" xfId="61" applyNumberFormat="1" applyFont="1" applyFill="1" applyBorder="1" applyAlignment="1"/>
    <xf numFmtId="49" fontId="138" fillId="46" borderId="199" xfId="61" applyNumberFormat="1" applyFont="1" applyFill="1" applyBorder="1" applyAlignment="1"/>
    <xf numFmtId="49" fontId="138" fillId="46" borderId="118" xfId="61" applyNumberFormat="1" applyFont="1" applyFill="1" applyBorder="1" applyAlignment="1"/>
    <xf numFmtId="49" fontId="138" fillId="46" borderId="129" xfId="61" applyNumberFormat="1" applyFont="1" applyFill="1" applyBorder="1" applyAlignment="1"/>
    <xf numFmtId="49" fontId="138" fillId="44" borderId="118" xfId="61" applyNumberFormat="1" applyFont="1" applyFill="1" applyBorder="1" applyAlignment="1"/>
    <xf numFmtId="49" fontId="138" fillId="44" borderId="129" xfId="61" applyNumberFormat="1" applyFont="1" applyFill="1" applyBorder="1" applyAlignment="1"/>
    <xf numFmtId="165" fontId="97" fillId="0" borderId="98" xfId="61" applyFont="1" applyBorder="1" applyAlignment="1">
      <alignment horizontal="center"/>
    </xf>
    <xf numFmtId="165" fontId="97" fillId="0" borderId="142" xfId="61" applyFont="1" applyBorder="1" applyAlignment="1">
      <alignment horizontal="center"/>
    </xf>
    <xf numFmtId="165" fontId="97" fillId="0" borderId="99" xfId="61" applyFont="1" applyBorder="1" applyAlignment="1">
      <alignment horizontal="center"/>
    </xf>
    <xf numFmtId="49" fontId="95" fillId="0" borderId="172" xfId="61" applyNumberFormat="1" applyBorder="1" applyAlignment="1"/>
    <xf numFmtId="49" fontId="95" fillId="0" borderId="173" xfId="61" applyNumberFormat="1" applyBorder="1" applyAlignment="1"/>
    <xf numFmtId="49" fontId="95" fillId="0" borderId="118" xfId="61" applyNumberFormat="1" applyBorder="1" applyAlignment="1"/>
    <xf numFmtId="49" fontId="95" fillId="0" borderId="129" xfId="61" applyNumberFormat="1" applyBorder="1" applyAlignment="1"/>
    <xf numFmtId="0" fontId="70" fillId="0" borderId="14" xfId="56" applyFont="1" applyBorder="1" applyAlignment="1">
      <alignment horizontal="right"/>
    </xf>
    <xf numFmtId="0" fontId="70" fillId="0" borderId="44" xfId="56" applyFont="1" applyBorder="1" applyAlignment="1">
      <alignment horizontal="right"/>
    </xf>
    <xf numFmtId="167" fontId="121" fillId="0" borderId="20" xfId="56" applyNumberFormat="1" applyFont="1" applyBorder="1" applyAlignment="1">
      <alignment horizontal="center" vertical="center"/>
    </xf>
    <xf numFmtId="0" fontId="121" fillId="0" borderId="22" xfId="56" applyFont="1" applyBorder="1" applyAlignment="1">
      <alignment horizontal="center" vertical="center"/>
    </xf>
    <xf numFmtId="0" fontId="119" fillId="46" borderId="102" xfId="56" applyFont="1" applyFill="1" applyBorder="1" applyAlignment="1">
      <alignment horizontal="right"/>
    </xf>
    <xf numFmtId="0" fontId="119" fillId="46" borderId="141" xfId="56" applyFont="1" applyFill="1" applyBorder="1" applyAlignment="1">
      <alignment horizontal="right"/>
    </xf>
    <xf numFmtId="0" fontId="81" fillId="0" borderId="98" xfId="56" applyFont="1" applyBorder="1" applyAlignment="1">
      <alignment horizontal="right"/>
    </xf>
    <xf numFmtId="0" fontId="81" fillId="0" borderId="142" xfId="56" applyFont="1" applyBorder="1" applyAlignment="1">
      <alignment horizontal="right"/>
    </xf>
    <xf numFmtId="0" fontId="70" fillId="0" borderId="102" xfId="56" applyFont="1" applyBorder="1" applyAlignment="1">
      <alignment horizontal="right"/>
    </xf>
    <xf numFmtId="0" fontId="70" fillId="0" borderId="141" xfId="56" applyFont="1" applyBorder="1" applyAlignment="1">
      <alignment horizontal="right"/>
    </xf>
    <xf numFmtId="49" fontId="95" fillId="0" borderId="127" xfId="61" applyNumberFormat="1" applyBorder="1" applyAlignment="1"/>
    <xf numFmtId="49" fontId="95" fillId="0" borderId="143" xfId="61" applyNumberFormat="1" applyBorder="1" applyAlignment="1"/>
    <xf numFmtId="49" fontId="95" fillId="0" borderId="122" xfId="61" applyNumberFormat="1" applyBorder="1" applyAlignment="1"/>
    <xf numFmtId="49" fontId="95" fillId="0" borderId="138" xfId="61" applyNumberFormat="1" applyBorder="1" applyAlignment="1"/>
    <xf numFmtId="0" fontId="70" fillId="0" borderId="93" xfId="56" applyFont="1" applyBorder="1" applyAlignment="1">
      <alignment horizontal="right"/>
    </xf>
    <xf numFmtId="0" fontId="70" fillId="0" borderId="94" xfId="56" applyFont="1" applyBorder="1" applyAlignment="1">
      <alignment horizontal="right"/>
    </xf>
    <xf numFmtId="0" fontId="81" fillId="0" borderId="93" xfId="56" applyFont="1" applyBorder="1" applyAlignment="1">
      <alignment horizontal="right"/>
    </xf>
    <xf numFmtId="0" fontId="81" fillId="0" borderId="94" xfId="56" applyFont="1" applyBorder="1" applyAlignment="1">
      <alignment horizontal="right"/>
    </xf>
    <xf numFmtId="0" fontId="81" fillId="0" borderId="95" xfId="56" applyFont="1" applyBorder="1" applyAlignment="1">
      <alignment horizontal="right"/>
    </xf>
    <xf numFmtId="165" fontId="97" fillId="0" borderId="93" xfId="61" applyFont="1" applyBorder="1" applyAlignment="1">
      <alignment horizontal="center"/>
    </xf>
    <xf numFmtId="165" fontId="97" fillId="0" borderId="94" xfId="61" applyFont="1" applyBorder="1" applyAlignment="1">
      <alignment horizontal="center"/>
    </xf>
    <xf numFmtId="165" fontId="97" fillId="0" borderId="95" xfId="61" applyFont="1" applyBorder="1" applyAlignment="1">
      <alignment horizontal="center"/>
    </xf>
    <xf numFmtId="49" fontId="95" fillId="38" borderId="118" xfId="61" applyNumberFormat="1" applyFill="1" applyBorder="1" applyAlignment="1"/>
    <xf numFmtId="49" fontId="95" fillId="38" borderId="129" xfId="61" applyNumberFormat="1" applyFill="1" applyBorder="1" applyAlignment="1"/>
    <xf numFmtId="0" fontId="65" fillId="0" borderId="98" xfId="56" applyFont="1" applyBorder="1" applyAlignment="1">
      <alignment horizontal="center"/>
    </xf>
    <xf numFmtId="0" fontId="65" fillId="0" borderId="99" xfId="56" applyFont="1" applyBorder="1" applyAlignment="1">
      <alignment horizontal="center"/>
    </xf>
    <xf numFmtId="0" fontId="65" fillId="0" borderId="130" xfId="56" applyFont="1" applyBorder="1" applyAlignment="1">
      <alignment horizontal="center"/>
    </xf>
    <xf numFmtId="0" fontId="65" fillId="0" borderId="139" xfId="56" applyFont="1" applyBorder="1" applyAlignment="1">
      <alignment horizontal="center"/>
    </xf>
    <xf numFmtId="165" fontId="100" fillId="0" borderId="93" xfId="61" applyFont="1" applyBorder="1" applyAlignment="1">
      <alignment horizontal="center"/>
    </xf>
    <xf numFmtId="165" fontId="100" fillId="0" borderId="94" xfId="61" applyFont="1" applyBorder="1" applyAlignment="1">
      <alignment horizontal="center"/>
    </xf>
    <xf numFmtId="0" fontId="70" fillId="0" borderId="179" xfId="56" applyFont="1" applyBorder="1" applyAlignment="1">
      <alignment horizontal="right"/>
    </xf>
    <xf numFmtId="0" fontId="70" fillId="0" borderId="180" xfId="56" applyFont="1" applyBorder="1" applyAlignment="1">
      <alignment horizontal="right"/>
    </xf>
    <xf numFmtId="49" fontId="95" fillId="0" borderId="118" xfId="61" applyNumberFormat="1" applyBorder="1" applyAlignment="1">
      <alignment horizontal="left"/>
    </xf>
    <xf numFmtId="49" fontId="95" fillId="0" borderId="129" xfId="61" applyNumberFormat="1" applyBorder="1" applyAlignment="1">
      <alignment horizontal="left"/>
    </xf>
    <xf numFmtId="0" fontId="119" fillId="46" borderId="182" xfId="56" applyFont="1" applyFill="1" applyBorder="1" applyAlignment="1">
      <alignment horizontal="right"/>
    </xf>
    <xf numFmtId="0" fontId="119" fillId="46" borderId="183" xfId="56" applyFont="1" applyFill="1" applyBorder="1" applyAlignment="1">
      <alignment horizontal="right"/>
    </xf>
    <xf numFmtId="0" fontId="81" fillId="0" borderId="130" xfId="56" applyFont="1" applyBorder="1" applyAlignment="1">
      <alignment horizontal="right"/>
    </xf>
    <xf numFmtId="0" fontId="81" fillId="0" borderId="0" xfId="56" applyFont="1" applyAlignment="1">
      <alignment horizontal="right"/>
    </xf>
    <xf numFmtId="0" fontId="81" fillId="0" borderId="103" xfId="56" applyFont="1" applyBorder="1" applyAlignment="1">
      <alignment horizontal="right"/>
    </xf>
    <xf numFmtId="165" fontId="95" fillId="0" borderId="122" xfId="61" applyBorder="1" applyAlignment="1"/>
    <xf numFmtId="165" fontId="95" fillId="0" borderId="138" xfId="61" applyBorder="1" applyAlignment="1"/>
    <xf numFmtId="49" fontId="95" fillId="0" borderId="118" xfId="61" applyNumberFormat="1" applyFill="1" applyBorder="1" applyAlignment="1"/>
    <xf numFmtId="49" fontId="95" fillId="0" borderId="129" xfId="61" applyNumberFormat="1" applyFill="1" applyBorder="1" applyAlignment="1"/>
    <xf numFmtId="0" fontId="65" fillId="0" borderId="102" xfId="56" applyFont="1" applyBorder="1" applyAlignment="1">
      <alignment horizontal="center"/>
    </xf>
    <xf numFmtId="0" fontId="65" fillId="0" borderId="103" xfId="56" applyFont="1" applyBorder="1" applyAlignment="1">
      <alignment horizontal="center"/>
    </xf>
    <xf numFmtId="165" fontId="95" fillId="0" borderId="128" xfId="61" applyBorder="1" applyAlignment="1">
      <alignment horizontal="left"/>
    </xf>
    <xf numFmtId="165" fontId="95" fillId="0" borderId="120" xfId="61" applyBorder="1" applyAlignment="1">
      <alignment horizontal="left"/>
    </xf>
    <xf numFmtId="165" fontId="95" fillId="0" borderId="118" xfId="61" applyBorder="1" applyAlignment="1">
      <alignment horizontal="left"/>
    </xf>
    <xf numFmtId="165" fontId="95" fillId="0" borderId="129" xfId="61" applyBorder="1" applyAlignment="1">
      <alignment horizontal="left"/>
    </xf>
    <xf numFmtId="165" fontId="95" fillId="0" borderId="132" xfId="61" applyBorder="1" applyAlignment="1">
      <alignment horizontal="left"/>
    </xf>
    <xf numFmtId="165" fontId="95" fillId="0" borderId="145" xfId="61" applyBorder="1" applyAlignment="1">
      <alignment horizontal="left"/>
    </xf>
    <xf numFmtId="49" fontId="65" fillId="0" borderId="118" xfId="61" applyNumberFormat="1" applyFont="1" applyBorder="1" applyAlignment="1"/>
    <xf numFmtId="49" fontId="65" fillId="0" borderId="129" xfId="61" applyNumberFormat="1" applyFont="1" applyBorder="1" applyAlignment="1"/>
    <xf numFmtId="165" fontId="95" fillId="0" borderId="128" xfId="61" applyBorder="1" applyAlignment="1"/>
    <xf numFmtId="165" fontId="95" fillId="0" borderId="120" xfId="61" applyBorder="1" applyAlignment="1"/>
    <xf numFmtId="165" fontId="95" fillId="0" borderId="118" xfId="61" applyBorder="1" applyAlignment="1"/>
    <xf numFmtId="165" fontId="95" fillId="0" borderId="129" xfId="61" applyBorder="1" applyAlignment="1"/>
    <xf numFmtId="49" fontId="95" fillId="39" borderId="118" xfId="61" applyNumberFormat="1" applyFill="1" applyBorder="1" applyAlignment="1"/>
    <xf numFmtId="49" fontId="95" fillId="39" borderId="129" xfId="61" applyNumberFormat="1" applyFill="1" applyBorder="1" applyAlignment="1"/>
    <xf numFmtId="0" fontId="70" fillId="0" borderId="95" xfId="56" applyFont="1" applyBorder="1" applyAlignment="1">
      <alignment horizontal="right"/>
    </xf>
    <xf numFmtId="165" fontId="95" fillId="0" borderId="114" xfId="61" applyBorder="1" applyAlignment="1">
      <alignment horizontal="left"/>
    </xf>
    <xf numFmtId="165" fontId="95" fillId="0" borderId="115" xfId="61" applyBorder="1" applyAlignment="1">
      <alignment horizontal="left"/>
    </xf>
    <xf numFmtId="0" fontId="65" fillId="0" borderId="98" xfId="56" quotePrefix="1" applyFont="1" applyBorder="1" applyAlignment="1">
      <alignment horizontal="center"/>
    </xf>
    <xf numFmtId="165" fontId="69" fillId="0" borderId="118" xfId="61" applyFont="1" applyBorder="1" applyAlignment="1">
      <alignment horizontal="left"/>
    </xf>
    <xf numFmtId="165" fontId="69" fillId="0" borderId="129" xfId="61" applyFont="1" applyBorder="1" applyAlignment="1">
      <alignment horizontal="left"/>
    </xf>
    <xf numFmtId="165" fontId="65" fillId="0" borderId="118" xfId="61" applyFont="1" applyBorder="1" applyAlignment="1">
      <alignment horizontal="left"/>
    </xf>
    <xf numFmtId="165" fontId="65" fillId="0" borderId="129" xfId="61" applyFont="1" applyBorder="1" applyAlignment="1">
      <alignment horizontal="left"/>
    </xf>
    <xf numFmtId="165" fontId="74" fillId="0" borderId="118" xfId="61" applyFont="1" applyBorder="1" applyAlignment="1">
      <alignment horizontal="left"/>
    </xf>
    <xf numFmtId="165" fontId="74" fillId="0" borderId="129" xfId="61" applyFont="1" applyBorder="1" applyAlignment="1">
      <alignment horizontal="left"/>
    </xf>
    <xf numFmtId="165" fontId="74" fillId="0" borderId="118" xfId="61" applyFont="1" applyBorder="1" applyAlignment="1"/>
    <xf numFmtId="165" fontId="74" fillId="0" borderId="129" xfId="61" applyFont="1" applyBorder="1" applyAlignment="1"/>
    <xf numFmtId="165" fontId="95" fillId="0" borderId="106" xfId="61" applyBorder="1" applyAlignment="1"/>
    <xf numFmtId="165" fontId="95" fillId="0" borderId="140" xfId="61" applyBorder="1" applyAlignment="1"/>
    <xf numFmtId="165" fontId="95" fillId="0" borderId="112" xfId="61" applyBorder="1" applyAlignment="1"/>
    <xf numFmtId="165" fontId="95" fillId="0" borderId="136" xfId="61" applyBorder="1" applyAlignment="1"/>
    <xf numFmtId="165" fontId="69" fillId="0" borderId="118" xfId="61" applyFont="1" applyBorder="1" applyAlignment="1"/>
    <xf numFmtId="165" fontId="69" fillId="0" borderId="129" xfId="61" applyFont="1" applyBorder="1" applyAlignment="1"/>
    <xf numFmtId="0" fontId="95" fillId="0" borderId="118" xfId="56" applyBorder="1" applyAlignment="1">
      <alignment horizontal="left"/>
    </xf>
    <xf numFmtId="0" fontId="95" fillId="0" borderId="129" xfId="56" applyBorder="1" applyAlignment="1">
      <alignment horizontal="left"/>
    </xf>
    <xf numFmtId="165" fontId="95" fillId="0" borderId="112" xfId="61" applyBorder="1" applyAlignment="1">
      <alignment horizontal="left"/>
    </xf>
    <xf numFmtId="165" fontId="95" fillId="0" borderId="136" xfId="61" applyBorder="1" applyAlignment="1">
      <alignment horizontal="left"/>
    </xf>
    <xf numFmtId="49" fontId="95" fillId="0" borderId="118" xfId="56" applyNumberFormat="1" applyBorder="1" applyAlignment="1">
      <alignment horizontal="left"/>
    </xf>
    <xf numFmtId="49" fontId="95" fillId="0" borderId="129" xfId="56" applyNumberFormat="1" applyBorder="1" applyAlignment="1">
      <alignment horizontal="left"/>
    </xf>
    <xf numFmtId="49" fontId="74" fillId="0" borderId="118" xfId="61" applyNumberFormat="1" applyFont="1" applyBorder="1" applyAlignment="1"/>
    <xf numFmtId="49" fontId="74" fillId="0" borderId="129" xfId="61" applyNumberFormat="1" applyFont="1" applyBorder="1" applyAlignment="1"/>
    <xf numFmtId="167" fontId="68" fillId="0" borderId="118" xfId="57" applyFont="1" applyBorder="1" applyAlignment="1">
      <alignment horizontal="center"/>
    </xf>
    <xf numFmtId="167" fontId="68" fillId="0" borderId="129" xfId="57" applyFont="1" applyBorder="1" applyAlignment="1">
      <alignment horizontal="center"/>
    </xf>
    <xf numFmtId="49" fontId="98" fillId="0" borderId="118" xfId="61" applyNumberFormat="1" applyFont="1" applyBorder="1" applyAlignment="1">
      <alignment horizontal="left"/>
    </xf>
    <xf numFmtId="49" fontId="98" fillId="0" borderId="129" xfId="61" applyNumberFormat="1" applyFont="1" applyBorder="1" applyAlignment="1">
      <alignment horizontal="left"/>
    </xf>
    <xf numFmtId="165" fontId="100" fillId="0" borderId="98" xfId="61" applyFont="1" applyBorder="1" applyAlignment="1">
      <alignment horizontal="center"/>
    </xf>
    <xf numFmtId="165" fontId="100" fillId="0" borderId="142" xfId="61" applyFont="1" applyBorder="1" applyAlignment="1">
      <alignment horizontal="center"/>
    </xf>
    <xf numFmtId="49" fontId="95" fillId="40" borderId="112" xfId="61" applyNumberFormat="1" applyFill="1" applyBorder="1" applyAlignment="1">
      <alignment horizontal="left"/>
    </xf>
    <xf numFmtId="49" fontId="95" fillId="40" borderId="136" xfId="61" applyNumberFormat="1" applyFill="1" applyBorder="1" applyAlignment="1">
      <alignment horizontal="left"/>
    </xf>
    <xf numFmtId="0" fontId="100" fillId="40" borderId="97" xfId="56" applyFont="1" applyFill="1" applyBorder="1" applyAlignment="1">
      <alignment horizontal="center" textRotation="90" wrapText="1"/>
    </xf>
    <xf numFmtId="0" fontId="100" fillId="40" borderId="101" xfId="56" applyFont="1" applyFill="1" applyBorder="1" applyAlignment="1">
      <alignment horizontal="center" textRotation="90" wrapText="1"/>
    </xf>
    <xf numFmtId="0" fontId="100" fillId="40" borderId="105" xfId="56" applyFont="1" applyFill="1" applyBorder="1" applyAlignment="1">
      <alignment horizontal="center" textRotation="90" wrapText="1"/>
    </xf>
    <xf numFmtId="49" fontId="95" fillId="40" borderId="118" xfId="61" applyNumberFormat="1" applyFill="1" applyBorder="1" applyAlignment="1"/>
    <xf numFmtId="49" fontId="95" fillId="40" borderId="129" xfId="61" applyNumberFormat="1" applyFill="1" applyBorder="1" applyAlignment="1"/>
    <xf numFmtId="49" fontId="95" fillId="40" borderId="106" xfId="61" applyNumberFormat="1" applyFill="1" applyBorder="1" applyAlignment="1"/>
    <xf numFmtId="49" fontId="95" fillId="40" borderId="140" xfId="61" applyNumberFormat="1" applyFill="1" applyBorder="1" applyAlignment="1"/>
    <xf numFmtId="165" fontId="98" fillId="0" borderId="118" xfId="61" applyFont="1" applyBorder="1" applyAlignment="1"/>
    <xf numFmtId="165" fontId="98" fillId="0" borderId="129" xfId="61" applyFont="1" applyBorder="1" applyAlignment="1"/>
    <xf numFmtId="49" fontId="95" fillId="40" borderId="112" xfId="61" applyNumberFormat="1" applyFill="1" applyBorder="1" applyAlignment="1"/>
    <xf numFmtId="49" fontId="95" fillId="40" borderId="136" xfId="61" applyNumberFormat="1" applyFill="1" applyBorder="1" applyAlignment="1"/>
    <xf numFmtId="0" fontId="95" fillId="40" borderId="97" xfId="56" applyFill="1" applyBorder="1" applyAlignment="1">
      <alignment horizontal="center" vertical="center"/>
    </xf>
    <xf numFmtId="0" fontId="95" fillId="40" borderId="105" xfId="56" applyFill="1" applyBorder="1" applyAlignment="1">
      <alignment horizontal="center" vertical="center"/>
    </xf>
    <xf numFmtId="49" fontId="95" fillId="37" borderId="118" xfId="61" applyNumberFormat="1" applyFill="1" applyBorder="1" applyAlignment="1"/>
    <xf numFmtId="49" fontId="95" fillId="37" borderId="129" xfId="61" applyNumberFormat="1" applyFill="1" applyBorder="1" applyAlignment="1"/>
    <xf numFmtId="49" fontId="95" fillId="0" borderId="112" xfId="61" applyNumberFormat="1" applyBorder="1" applyAlignment="1"/>
    <xf numFmtId="49" fontId="95" fillId="0" borderId="136" xfId="61" applyNumberFormat="1" applyBorder="1" applyAlignment="1"/>
    <xf numFmtId="49" fontId="6" fillId="0" borderId="118" xfId="61" applyNumberFormat="1" applyFont="1" applyFill="1" applyBorder="1" applyAlignment="1"/>
    <xf numFmtId="49" fontId="6" fillId="0" borderId="129" xfId="61" applyNumberFormat="1" applyFont="1" applyFill="1" applyBorder="1" applyAlignment="1"/>
    <xf numFmtId="49" fontId="65" fillId="26" borderId="118" xfId="61" applyNumberFormat="1" applyFont="1" applyFill="1" applyBorder="1" applyAlignment="1"/>
    <xf numFmtId="49" fontId="65" fillId="26" borderId="129" xfId="61" applyNumberFormat="1" applyFont="1" applyFill="1" applyBorder="1" applyAlignment="1"/>
    <xf numFmtId="49" fontId="65" fillId="32" borderId="118" xfId="61" applyNumberFormat="1" applyFont="1" applyFill="1" applyBorder="1" applyAlignment="1"/>
    <xf numFmtId="49" fontId="65" fillId="32" borderId="129" xfId="61" applyNumberFormat="1" applyFont="1" applyFill="1" applyBorder="1" applyAlignment="1"/>
    <xf numFmtId="49" fontId="95" fillId="0" borderId="118" xfId="61" applyNumberFormat="1" applyBorder="1" applyAlignment="1">
      <alignment wrapText="1"/>
    </xf>
    <xf numFmtId="49" fontId="95" fillId="0" borderId="148" xfId="61" applyNumberFormat="1" applyBorder="1" applyAlignment="1"/>
    <xf numFmtId="49" fontId="95" fillId="0" borderId="165" xfId="61" applyNumberFormat="1" applyBorder="1" applyAlignment="1"/>
    <xf numFmtId="0" fontId="65" fillId="0" borderId="20" xfId="56" applyFont="1" applyBorder="1" applyAlignment="1">
      <alignment horizontal="center"/>
    </xf>
    <xf numFmtId="0" fontId="65" fillId="0" borderId="22" xfId="56" applyFont="1" applyBorder="1" applyAlignment="1">
      <alignment horizontal="center"/>
    </xf>
    <xf numFmtId="0" fontId="65" fillId="0" borderId="28" xfId="56" applyFont="1" applyBorder="1" applyAlignment="1">
      <alignment horizontal="center"/>
    </xf>
    <xf numFmtId="0" fontId="65" fillId="0" borderId="29" xfId="56" applyFont="1" applyBorder="1" applyAlignment="1">
      <alignment horizontal="center"/>
    </xf>
    <xf numFmtId="0" fontId="65" fillId="0" borderId="30" xfId="56" applyFont="1" applyBorder="1" applyAlignment="1">
      <alignment horizontal="center"/>
    </xf>
    <xf numFmtId="0" fontId="65" fillId="0" borderId="31" xfId="56" applyFont="1" applyBorder="1" applyAlignment="1">
      <alignment horizontal="center"/>
    </xf>
    <xf numFmtId="167" fontId="98" fillId="0" borderId="160" xfId="57" applyFont="1" applyBorder="1" applyAlignment="1">
      <alignment horizontal="center" vertical="center"/>
    </xf>
    <xf numFmtId="167" fontId="98" fillId="0" borderId="161" xfId="57" applyFont="1" applyBorder="1" applyAlignment="1">
      <alignment horizontal="center" vertical="center"/>
    </xf>
    <xf numFmtId="167" fontId="98" fillId="0" borderId="88" xfId="57" applyFont="1" applyBorder="1" applyAlignment="1">
      <alignment horizontal="center" vertical="center"/>
    </xf>
    <xf numFmtId="49" fontId="95" fillId="0" borderId="153" xfId="61" applyNumberFormat="1" applyBorder="1" applyAlignment="1"/>
    <xf numFmtId="49" fontId="95" fillId="0" borderId="186" xfId="61" applyNumberFormat="1" applyBorder="1" applyAlignment="1"/>
    <xf numFmtId="0" fontId="96" fillId="0" borderId="21" xfId="56" applyFont="1" applyBorder="1" applyAlignment="1">
      <alignment horizontal="center" vertical="center"/>
    </xf>
    <xf numFmtId="0" fontId="96" fillId="0" borderId="66" xfId="56" applyFont="1" applyBorder="1" applyAlignment="1">
      <alignment horizontal="center" vertical="center"/>
    </xf>
    <xf numFmtId="0" fontId="96" fillId="0" borderId="58" xfId="56" applyFont="1" applyBorder="1" applyAlignment="1">
      <alignment horizontal="center" vertical="center"/>
    </xf>
    <xf numFmtId="49" fontId="95" fillId="28" borderId="194" xfId="61" applyNumberFormat="1" applyFill="1" applyBorder="1" applyAlignment="1"/>
    <xf numFmtId="49" fontId="95" fillId="28" borderId="195" xfId="61" applyNumberFormat="1" applyFill="1" applyBorder="1" applyAlignment="1"/>
    <xf numFmtId="49" fontId="138" fillId="46" borderId="194" xfId="61" applyNumberFormat="1" applyFont="1" applyFill="1" applyBorder="1" applyAlignment="1"/>
    <xf numFmtId="49" fontId="138" fillId="46" borderId="195" xfId="61" applyNumberFormat="1" applyFont="1" applyFill="1" applyBorder="1" applyAlignment="1"/>
    <xf numFmtId="49" fontId="95" fillId="28" borderId="200" xfId="61" applyNumberFormat="1" applyFill="1" applyBorder="1" applyAlignment="1"/>
    <xf numFmtId="49" fontId="95" fillId="28" borderId="201" xfId="61" applyNumberFormat="1" applyFill="1" applyBorder="1" applyAlignment="1"/>
    <xf numFmtId="4" fontId="158" fillId="27" borderId="21" xfId="50" applyNumberFormat="1" applyFont="1" applyFill="1" applyBorder="1" applyAlignment="1">
      <alignment horizontal="center" vertical="center"/>
    </xf>
    <xf numFmtId="4" fontId="158" fillId="27" borderId="58" xfId="50" applyNumberFormat="1" applyFont="1" applyFill="1" applyBorder="1" applyAlignment="1">
      <alignment horizontal="center" vertical="center"/>
    </xf>
    <xf numFmtId="49" fontId="95" fillId="52" borderId="118" xfId="61" applyNumberFormat="1" applyFill="1" applyBorder="1" applyAlignment="1">
      <alignment horizontal="left"/>
    </xf>
    <xf numFmtId="49" fontId="95" fillId="52" borderId="129" xfId="61" applyNumberFormat="1" applyFill="1" applyBorder="1" applyAlignment="1">
      <alignment horizontal="left"/>
    </xf>
    <xf numFmtId="49" fontId="95" fillId="28" borderId="118" xfId="61" applyNumberFormat="1" applyFill="1" applyBorder="1" applyAlignment="1">
      <alignment horizontal="left"/>
    </xf>
    <xf numFmtId="49" fontId="95" fillId="28" borderId="129" xfId="61" applyNumberFormat="1" applyFill="1" applyBorder="1" applyAlignment="1">
      <alignment horizontal="left"/>
    </xf>
    <xf numFmtId="0" fontId="39" fillId="0" borderId="14" xfId="37" applyFont="1" applyBorder="1" applyAlignment="1">
      <alignment horizontal="center"/>
    </xf>
    <xf numFmtId="0" fontId="39" fillId="0" borderId="44" xfId="37" applyFont="1" applyBorder="1" applyAlignment="1">
      <alignment horizontal="center"/>
    </xf>
    <xf numFmtId="0" fontId="39" fillId="0" borderId="27" xfId="37" applyFont="1" applyBorder="1" applyAlignment="1">
      <alignment horizontal="center"/>
    </xf>
    <xf numFmtId="0" fontId="64" fillId="0" borderId="14" xfId="0" applyFont="1" applyBorder="1" applyAlignment="1">
      <alignment horizontal="right"/>
    </xf>
    <xf numFmtId="0" fontId="64" fillId="0" borderId="44" xfId="0" applyFont="1" applyBorder="1" applyAlignment="1">
      <alignment horizontal="right"/>
    </xf>
    <xf numFmtId="0" fontId="64" fillId="0" borderId="69" xfId="0" applyFont="1" applyBorder="1" applyAlignment="1">
      <alignment horizontal="right"/>
    </xf>
    <xf numFmtId="0" fontId="108" fillId="0" borderId="14" xfId="0" applyFont="1" applyBorder="1" applyAlignment="1">
      <alignment horizontal="right"/>
    </xf>
    <xf numFmtId="0" fontId="108" fillId="0" borderId="44" xfId="0" applyFont="1" applyBorder="1" applyAlignment="1">
      <alignment horizontal="right"/>
    </xf>
    <xf numFmtId="0" fontId="108" fillId="0" borderId="69" xfId="0" applyFont="1" applyBorder="1" applyAlignment="1">
      <alignment horizontal="right"/>
    </xf>
    <xf numFmtId="0" fontId="110" fillId="0" borderId="14" xfId="0" applyFont="1" applyBorder="1" applyAlignment="1">
      <alignment horizontal="right"/>
    </xf>
    <xf numFmtId="0" fontId="110" fillId="0" borderId="44" xfId="0" applyFont="1" applyBorder="1" applyAlignment="1">
      <alignment horizontal="right"/>
    </xf>
    <xf numFmtId="0" fontId="110" fillId="0" borderId="69" xfId="0" applyFont="1" applyBorder="1" applyAlignment="1">
      <alignment horizontal="right"/>
    </xf>
    <xf numFmtId="0" fontId="10" fillId="0" borderId="52" xfId="0" applyFont="1" applyBorder="1" applyAlignment="1">
      <alignment horizontal="right"/>
    </xf>
    <xf numFmtId="0" fontId="10" fillId="0" borderId="85" xfId="0" applyFont="1" applyBorder="1" applyAlignment="1">
      <alignment horizontal="right"/>
    </xf>
    <xf numFmtId="0" fontId="10" fillId="0" borderId="14" xfId="0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124" fillId="0" borderId="20" xfId="0" applyFont="1" applyBorder="1" applyAlignment="1">
      <alignment horizontal="right"/>
    </xf>
    <xf numFmtId="0" fontId="124" fillId="0" borderId="177" xfId="0" applyFont="1" applyBorder="1" applyAlignment="1">
      <alignment horizontal="right"/>
    </xf>
    <xf numFmtId="0" fontId="13" fillId="0" borderId="14" xfId="0" applyFont="1" applyBorder="1" applyAlignment="1">
      <alignment horizontal="center"/>
    </xf>
    <xf numFmtId="0" fontId="13" fillId="0" borderId="44" xfId="0" applyFont="1" applyBorder="1" applyAlignment="1">
      <alignment horizontal="center"/>
    </xf>
    <xf numFmtId="0" fontId="13" fillId="0" borderId="27" xfId="0" applyFont="1" applyBorder="1" applyAlignment="1">
      <alignment horizontal="center"/>
    </xf>
    <xf numFmtId="0" fontId="62" fillId="0" borderId="27" xfId="0" applyFont="1" applyBorder="1" applyAlignment="1">
      <alignment horizontal="center"/>
    </xf>
    <xf numFmtId="1" fontId="10" fillId="0" borderId="14" xfId="32" applyNumberFormat="1" applyFont="1" applyBorder="1" applyAlignment="1">
      <alignment horizontal="right"/>
    </xf>
    <xf numFmtId="1" fontId="10" fillId="0" borderId="44" xfId="32" applyNumberFormat="1" applyFont="1" applyBorder="1" applyAlignment="1">
      <alignment horizontal="right"/>
    </xf>
    <xf numFmtId="1" fontId="10" fillId="0" borderId="27" xfId="32" applyNumberFormat="1" applyFont="1" applyBorder="1" applyAlignment="1">
      <alignment horizontal="right"/>
    </xf>
    <xf numFmtId="1" fontId="10" fillId="0" borderId="0" xfId="32" applyNumberFormat="1" applyFont="1" applyAlignment="1">
      <alignment horizontal="right"/>
    </xf>
    <xf numFmtId="44" fontId="64" fillId="48" borderId="43" xfId="0" applyNumberFormat="1" applyFont="1" applyFill="1" applyBorder="1" applyAlignment="1">
      <alignment horizontal="center" vertical="center"/>
    </xf>
    <xf numFmtId="0" fontId="64" fillId="48" borderId="55" xfId="0" applyFont="1" applyFill="1" applyBorder="1" applyAlignment="1">
      <alignment horizontal="center" vertical="center"/>
    </xf>
    <xf numFmtId="167" fontId="73" fillId="48" borderId="21" xfId="32" applyFont="1" applyFill="1" applyBorder="1" applyAlignment="1">
      <alignment horizontal="center" vertical="center"/>
    </xf>
    <xf numFmtId="167" fontId="73" fillId="48" borderId="58" xfId="32" applyFont="1" applyFill="1" applyBorder="1" applyAlignment="1">
      <alignment horizontal="center" vertical="center"/>
    </xf>
    <xf numFmtId="9" fontId="73" fillId="48" borderId="66" xfId="39" applyFont="1" applyFill="1" applyBorder="1" applyAlignment="1">
      <alignment horizontal="center" vertical="center"/>
    </xf>
    <xf numFmtId="9" fontId="73" fillId="48" borderId="58" xfId="39" applyFont="1" applyFill="1" applyBorder="1" applyAlignment="1">
      <alignment horizontal="center" vertical="center"/>
    </xf>
    <xf numFmtId="44" fontId="64" fillId="0" borderId="53" xfId="0" applyNumberFormat="1" applyFont="1" applyBorder="1" applyAlignment="1">
      <alignment horizontal="center" vertical="center"/>
    </xf>
    <xf numFmtId="0" fontId="64" fillId="0" borderId="55" xfId="0" applyFont="1" applyBorder="1" applyAlignment="1">
      <alignment horizontal="center" vertical="center"/>
    </xf>
    <xf numFmtId="167" fontId="73" fillId="0" borderId="21" xfId="32" applyFont="1" applyBorder="1" applyAlignment="1">
      <alignment horizontal="center" vertical="center"/>
    </xf>
    <xf numFmtId="167" fontId="73" fillId="0" borderId="58" xfId="32" applyFont="1" applyBorder="1" applyAlignment="1">
      <alignment horizontal="center" vertical="center"/>
    </xf>
    <xf numFmtId="10" fontId="73" fillId="0" borderId="21" xfId="39" applyNumberFormat="1" applyFont="1" applyBorder="1" applyAlignment="1">
      <alignment horizontal="center" vertical="center"/>
    </xf>
    <xf numFmtId="10" fontId="73" fillId="0" borderId="58" xfId="39" applyNumberFormat="1" applyFont="1" applyBorder="1" applyAlignment="1">
      <alignment horizontal="center" vertical="center"/>
    </xf>
    <xf numFmtId="44" fontId="64" fillId="48" borderId="53" xfId="0" applyNumberFormat="1" applyFont="1" applyFill="1" applyBorder="1" applyAlignment="1">
      <alignment horizontal="center" vertical="center"/>
    </xf>
    <xf numFmtId="10" fontId="73" fillId="48" borderId="21" xfId="39" applyNumberFormat="1" applyFont="1" applyFill="1" applyBorder="1" applyAlignment="1">
      <alignment horizontal="center" vertical="center"/>
    </xf>
    <xf numFmtId="10" fontId="73" fillId="48" borderId="58" xfId="39" applyNumberFormat="1" applyFont="1" applyFill="1" applyBorder="1" applyAlignment="1">
      <alignment horizontal="center" vertical="center"/>
    </xf>
    <xf numFmtId="166" fontId="64" fillId="0" borderId="0" xfId="50" applyFont="1" applyAlignment="1">
      <alignment horizontal="center" wrapText="1"/>
    </xf>
    <xf numFmtId="44" fontId="7" fillId="0" borderId="0" xfId="63" applyFont="1" applyAlignment="1">
      <alignment horizontal="right"/>
    </xf>
    <xf numFmtId="166" fontId="10" fillId="0" borderId="0" xfId="50" applyFont="1" applyAlignment="1">
      <alignment horizontal="center"/>
    </xf>
    <xf numFmtId="167" fontId="10" fillId="0" borderId="0" xfId="32" applyFont="1" applyAlignment="1">
      <alignment horizontal="center"/>
    </xf>
    <xf numFmtId="167" fontId="7" fillId="0" borderId="0" xfId="32" applyFont="1" applyAlignment="1">
      <alignment horizontal="right"/>
    </xf>
    <xf numFmtId="0" fontId="7" fillId="41" borderId="52" xfId="0" applyFont="1" applyFill="1" applyBorder="1" applyAlignment="1">
      <alignment horizontal="center"/>
    </xf>
    <xf numFmtId="0" fontId="7" fillId="41" borderId="42" xfId="0" applyFont="1" applyFill="1" applyBorder="1" applyAlignment="1">
      <alignment horizontal="center"/>
    </xf>
    <xf numFmtId="0" fontId="7" fillId="41" borderId="85" xfId="0" applyFont="1" applyFill="1" applyBorder="1" applyAlignment="1">
      <alignment horizontal="center"/>
    </xf>
    <xf numFmtId="2" fontId="10" fillId="41" borderId="52" xfId="0" applyNumberFormat="1" applyFont="1" applyFill="1" applyBorder="1" applyAlignment="1">
      <alignment horizontal="center"/>
    </xf>
    <xf numFmtId="2" fontId="10" fillId="41" borderId="42" xfId="0" applyNumberFormat="1" applyFont="1" applyFill="1" applyBorder="1" applyAlignment="1">
      <alignment horizontal="center"/>
    </xf>
    <xf numFmtId="2" fontId="10" fillId="41" borderId="85" xfId="0" applyNumberFormat="1" applyFont="1" applyFill="1" applyBorder="1" applyAlignment="1">
      <alignment horizontal="center"/>
    </xf>
    <xf numFmtId="0" fontId="13" fillId="0" borderId="52" xfId="0" applyFont="1" applyBorder="1" applyAlignment="1">
      <alignment horizontal="center"/>
    </xf>
    <xf numFmtId="0" fontId="13" fillId="0" borderId="42" xfId="0" applyFont="1" applyBorder="1" applyAlignment="1">
      <alignment horizontal="center"/>
    </xf>
    <xf numFmtId="0" fontId="13" fillId="0" borderId="85" xfId="0" applyFont="1" applyBorder="1" applyAlignment="1">
      <alignment horizontal="center"/>
    </xf>
    <xf numFmtId="2" fontId="10" fillId="0" borderId="52" xfId="0" applyNumberFormat="1" applyFont="1" applyBorder="1" applyAlignment="1">
      <alignment horizontal="center"/>
    </xf>
    <xf numFmtId="2" fontId="10" fillId="0" borderId="85" xfId="0" applyNumberFormat="1" applyFont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7" fillId="0" borderId="85" xfId="0" applyFont="1" applyBorder="1" applyAlignment="1">
      <alignment horizontal="center"/>
    </xf>
    <xf numFmtId="2" fontId="10" fillId="0" borderId="10" xfId="0" applyNumberFormat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41" borderId="10" xfId="0" applyFont="1" applyFill="1" applyBorder="1" applyAlignment="1">
      <alignment horizontal="center"/>
    </xf>
    <xf numFmtId="167" fontId="0" fillId="41" borderId="52" xfId="32" applyFont="1" applyFill="1" applyBorder="1" applyAlignment="1">
      <alignment horizontal="center"/>
    </xf>
    <xf numFmtId="167" fontId="0" fillId="41" borderId="85" xfId="32" applyFont="1" applyFill="1" applyBorder="1" applyAlignment="1">
      <alignment horizontal="center"/>
    </xf>
    <xf numFmtId="167" fontId="67" fillId="41" borderId="52" xfId="32" applyFont="1" applyFill="1" applyBorder="1" applyAlignment="1">
      <alignment horizontal="center"/>
    </xf>
    <xf numFmtId="167" fontId="67" fillId="41" borderId="85" xfId="32" applyFont="1" applyFill="1" applyBorder="1" applyAlignment="1">
      <alignment horizontal="center"/>
    </xf>
    <xf numFmtId="167" fontId="0" fillId="41" borderId="42" xfId="32" applyFont="1" applyFill="1" applyBorder="1" applyAlignment="1">
      <alignment horizontal="center"/>
    </xf>
    <xf numFmtId="167" fontId="67" fillId="41" borderId="42" xfId="32" applyFont="1" applyFill="1" applyBorder="1" applyAlignment="1">
      <alignment horizontal="center"/>
    </xf>
    <xf numFmtId="167" fontId="67" fillId="0" borderId="52" xfId="32" applyFont="1" applyBorder="1" applyAlignment="1">
      <alignment horizontal="center"/>
    </xf>
    <xf numFmtId="167" fontId="67" fillId="0" borderId="85" xfId="32" applyFont="1" applyBorder="1" applyAlignment="1">
      <alignment horizontal="center"/>
    </xf>
    <xf numFmtId="167" fontId="0" fillId="0" borderId="52" xfId="32" applyFont="1" applyBorder="1" applyAlignment="1">
      <alignment horizontal="center"/>
    </xf>
    <xf numFmtId="167" fontId="0" fillId="0" borderId="85" xfId="32" applyFont="1" applyBorder="1" applyAlignment="1">
      <alignment horizontal="center"/>
    </xf>
    <xf numFmtId="0" fontId="0" fillId="0" borderId="0" xfId="0" applyAlignment="1">
      <alignment horizontal="center"/>
    </xf>
    <xf numFmtId="2" fontId="64" fillId="0" borderId="10" xfId="0" applyNumberFormat="1" applyFont="1" applyBorder="1" applyAlignment="1">
      <alignment horizontal="center"/>
    </xf>
    <xf numFmtId="2" fontId="10" fillId="41" borderId="10" xfId="0" applyNumberFormat="1" applyFont="1" applyFill="1" applyBorder="1" applyAlignment="1">
      <alignment horizontal="center"/>
    </xf>
    <xf numFmtId="2" fontId="64" fillId="41" borderId="10" xfId="0" applyNumberFormat="1" applyFont="1" applyFill="1" applyBorder="1" applyAlignment="1">
      <alignment horizontal="center"/>
    </xf>
    <xf numFmtId="0" fontId="57" fillId="0" borderId="14" xfId="0" applyFont="1" applyBorder="1" applyAlignment="1">
      <alignment horizontal="center"/>
    </xf>
    <xf numFmtId="0" fontId="57" fillId="0" borderId="44" xfId="0" applyFont="1" applyBorder="1" applyAlignment="1">
      <alignment horizontal="center"/>
    </xf>
    <xf numFmtId="0" fontId="57" fillId="0" borderId="27" xfId="0" applyFont="1" applyBorder="1" applyAlignment="1">
      <alignment horizontal="center"/>
    </xf>
    <xf numFmtId="0" fontId="66" fillId="0" borderId="0" xfId="0" applyFont="1" applyAlignment="1">
      <alignment horizontal="center"/>
    </xf>
    <xf numFmtId="2" fontId="66" fillId="0" borderId="0" xfId="32" applyNumberFormat="1" applyFont="1" applyAlignment="1">
      <alignment horizontal="right"/>
    </xf>
    <xf numFmtId="167" fontId="88" fillId="0" borderId="10" xfId="32" applyFont="1" applyBorder="1" applyAlignment="1">
      <alignment horizontal="center"/>
    </xf>
    <xf numFmtId="0" fontId="85" fillId="0" borderId="10" xfId="0" applyFont="1" applyBorder="1" applyAlignment="1">
      <alignment horizontal="center"/>
    </xf>
    <xf numFmtId="0" fontId="10" fillId="45" borderId="33" xfId="0" applyFont="1" applyFill="1" applyBorder="1" applyAlignment="1">
      <alignment horizontal="center"/>
    </xf>
    <xf numFmtId="0" fontId="10" fillId="45" borderId="46" xfId="0" applyFont="1" applyFill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46" xfId="0" applyFont="1" applyBorder="1" applyAlignment="1">
      <alignment horizontal="center"/>
    </xf>
    <xf numFmtId="0" fontId="10" fillId="0" borderId="52" xfId="0" applyFont="1" applyBorder="1" applyAlignment="1">
      <alignment horizontal="center"/>
    </xf>
    <xf numFmtId="0" fontId="10" fillId="0" borderId="42" xfId="0" applyFont="1" applyBorder="1" applyAlignment="1">
      <alignment horizontal="center"/>
    </xf>
    <xf numFmtId="0" fontId="10" fillId="0" borderId="85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44" borderId="33" xfId="0" applyFont="1" applyFill="1" applyBorder="1" applyAlignment="1">
      <alignment horizontal="center" wrapText="1"/>
    </xf>
    <xf numFmtId="0" fontId="10" fillId="44" borderId="46" xfId="0" applyFont="1" applyFill="1" applyBorder="1" applyAlignment="1">
      <alignment horizontal="center" wrapText="1"/>
    </xf>
    <xf numFmtId="0" fontId="10" fillId="32" borderId="33" xfId="0" applyFont="1" applyFill="1" applyBorder="1" applyAlignment="1">
      <alignment horizontal="center" wrapText="1"/>
    </xf>
    <xf numFmtId="0" fontId="10" fillId="32" borderId="46" xfId="0" applyFont="1" applyFill="1" applyBorder="1" applyAlignment="1">
      <alignment horizontal="center" wrapText="1"/>
    </xf>
    <xf numFmtId="0" fontId="10" fillId="42" borderId="33" xfId="0" applyFont="1" applyFill="1" applyBorder="1" applyAlignment="1">
      <alignment horizontal="center" wrapText="1"/>
    </xf>
    <xf numFmtId="0" fontId="10" fillId="42" borderId="46" xfId="0" applyFont="1" applyFill="1" applyBorder="1" applyAlignment="1">
      <alignment horizontal="center" wrapText="1"/>
    </xf>
    <xf numFmtId="0" fontId="10" fillId="0" borderId="73" xfId="0" applyFont="1" applyBorder="1" applyAlignment="1">
      <alignment horizontal="center" vertical="center" wrapText="1"/>
    </xf>
    <xf numFmtId="1" fontId="10" fillId="0" borderId="30" xfId="32" applyNumberFormat="1" applyFont="1" applyBorder="1" applyAlignment="1">
      <alignment horizontal="right"/>
    </xf>
    <xf numFmtId="1" fontId="10" fillId="0" borderId="63" xfId="32" applyNumberFormat="1" applyFont="1" applyBorder="1" applyAlignment="1">
      <alignment horizontal="right"/>
    </xf>
    <xf numFmtId="1" fontId="10" fillId="0" borderId="31" xfId="32" applyNumberFormat="1" applyFont="1" applyBorder="1" applyAlignment="1">
      <alignment horizontal="right"/>
    </xf>
    <xf numFmtId="0" fontId="66" fillId="0" borderId="52" xfId="0" applyFont="1" applyBorder="1" applyAlignment="1">
      <alignment horizontal="right"/>
    </xf>
    <xf numFmtId="0" fontId="66" fillId="0" borderId="42" xfId="0" applyFont="1" applyBorder="1" applyAlignment="1">
      <alignment horizontal="right"/>
    </xf>
    <xf numFmtId="0" fontId="66" fillId="0" borderId="85" xfId="0" applyFont="1" applyBorder="1" applyAlignment="1">
      <alignment horizontal="right"/>
    </xf>
    <xf numFmtId="0" fontId="73" fillId="0" borderId="52" xfId="0" applyFont="1" applyBorder="1" applyAlignment="1">
      <alignment horizontal="right"/>
    </xf>
    <xf numFmtId="0" fontId="73" fillId="0" borderId="42" xfId="0" applyFont="1" applyBorder="1" applyAlignment="1">
      <alignment horizontal="right"/>
    </xf>
    <xf numFmtId="0" fontId="73" fillId="0" borderId="85" xfId="0" applyFont="1" applyBorder="1" applyAlignment="1">
      <alignment horizontal="right"/>
    </xf>
    <xf numFmtId="167" fontId="88" fillId="0" borderId="0" xfId="32" applyFont="1" applyBorder="1" applyAlignment="1">
      <alignment horizontal="center"/>
    </xf>
    <xf numFmtId="2" fontId="7" fillId="0" borderId="0" xfId="32" applyNumberFormat="1" applyFont="1" applyAlignment="1">
      <alignment horizontal="right"/>
    </xf>
    <xf numFmtId="44" fontId="66" fillId="0" borderId="52" xfId="0" applyNumberFormat="1" applyFont="1" applyBorder="1"/>
    <xf numFmtId="44" fontId="66" fillId="0" borderId="85" xfId="0" applyNumberFormat="1" applyFont="1" applyBorder="1"/>
    <xf numFmtId="0" fontId="0" fillId="0" borderId="52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85" xfId="0" applyBorder="1" applyAlignment="1">
      <alignment horizontal="center"/>
    </xf>
    <xf numFmtId="2" fontId="0" fillId="0" borderId="22" xfId="0" applyNumberForma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44" fontId="66" fillId="0" borderId="10" xfId="0" applyNumberFormat="1" applyFont="1" applyBorder="1"/>
    <xf numFmtId="0" fontId="66" fillId="0" borderId="10" xfId="0" applyFont="1" applyBorder="1"/>
    <xf numFmtId="0" fontId="73" fillId="0" borderId="10" xfId="0" applyFont="1" applyBorder="1" applyAlignment="1">
      <alignment horizontal="left"/>
    </xf>
    <xf numFmtId="44" fontId="10" fillId="0" borderId="10" xfId="0" applyNumberFormat="1" applyFont="1" applyBorder="1" applyAlignment="1">
      <alignment horizontal="center"/>
    </xf>
    <xf numFmtId="44" fontId="66" fillId="0" borderId="10" xfId="0" applyNumberFormat="1" applyFont="1" applyBorder="1" applyAlignment="1">
      <alignment horizontal="left"/>
    </xf>
    <xf numFmtId="44" fontId="67" fillId="0" borderId="10" xfId="0" applyNumberFormat="1" applyFont="1" applyBorder="1" applyAlignment="1">
      <alignment horizontal="center" wrapText="1"/>
    </xf>
    <xf numFmtId="44" fontId="66" fillId="0" borderId="10" xfId="0" applyNumberFormat="1" applyFont="1" applyBorder="1" applyAlignment="1">
      <alignment horizontal="center" wrapText="1"/>
    </xf>
    <xf numFmtId="0" fontId="73" fillId="0" borderId="52" xfId="0" applyFont="1" applyBorder="1" applyAlignment="1">
      <alignment horizontal="left"/>
    </xf>
    <xf numFmtId="0" fontId="73" fillId="0" borderId="42" xfId="0" applyFont="1" applyBorder="1" applyAlignment="1">
      <alignment horizontal="left"/>
    </xf>
    <xf numFmtId="0" fontId="73" fillId="0" borderId="85" xfId="0" applyFont="1" applyBorder="1" applyAlignment="1">
      <alignment horizontal="left"/>
    </xf>
    <xf numFmtId="0" fontId="67" fillId="0" borderId="52" xfId="0" applyFont="1" applyBorder="1" applyAlignment="1">
      <alignment horizontal="right"/>
    </xf>
    <xf numFmtId="0" fontId="67" fillId="0" borderId="85" xfId="0" applyFont="1" applyBorder="1" applyAlignment="1">
      <alignment horizontal="right"/>
    </xf>
    <xf numFmtId="2" fontId="67" fillId="0" borderId="0" xfId="32" applyNumberFormat="1" applyFont="1" applyAlignment="1">
      <alignment horizontal="right"/>
    </xf>
    <xf numFmtId="44" fontId="67" fillId="0" borderId="52" xfId="0" applyNumberFormat="1" applyFont="1" applyBorder="1" applyAlignment="1">
      <alignment horizontal="right"/>
    </xf>
    <xf numFmtId="44" fontId="67" fillId="0" borderId="85" xfId="0" applyNumberFormat="1" applyFont="1" applyBorder="1" applyAlignment="1">
      <alignment horizontal="right"/>
    </xf>
    <xf numFmtId="44" fontId="66" fillId="0" borderId="52" xfId="0" applyNumberFormat="1" applyFont="1" applyBorder="1" applyAlignment="1">
      <alignment horizontal="center"/>
    </xf>
    <xf numFmtId="44" fontId="66" fillId="0" borderId="85" xfId="0" applyNumberFormat="1" applyFont="1" applyBorder="1" applyAlignment="1">
      <alignment horizontal="center"/>
    </xf>
    <xf numFmtId="0" fontId="66" fillId="0" borderId="52" xfId="0" applyFont="1" applyBorder="1" applyAlignment="1">
      <alignment horizontal="left"/>
    </xf>
    <xf numFmtId="0" fontId="66" fillId="0" borderId="42" xfId="0" applyFont="1" applyBorder="1" applyAlignment="1">
      <alignment horizontal="left"/>
    </xf>
    <xf numFmtId="0" fontId="66" fillId="0" borderId="85" xfId="0" applyFont="1" applyBorder="1" applyAlignment="1">
      <alignment horizontal="left"/>
    </xf>
    <xf numFmtId="49" fontId="73" fillId="0" borderId="52" xfId="0" applyNumberFormat="1" applyFont="1" applyBorder="1" applyAlignment="1">
      <alignment horizontal="center"/>
    </xf>
    <xf numFmtId="49" fontId="73" fillId="0" borderId="42" xfId="0" applyNumberFormat="1" applyFont="1" applyBorder="1" applyAlignment="1">
      <alignment horizontal="center"/>
    </xf>
    <xf numFmtId="49" fontId="73" fillId="0" borderId="85" xfId="0" applyNumberFormat="1" applyFont="1" applyBorder="1" applyAlignment="1">
      <alignment horizontal="center"/>
    </xf>
    <xf numFmtId="0" fontId="66" fillId="0" borderId="10" xfId="0" applyFont="1" applyBorder="1" applyAlignment="1">
      <alignment horizontal="right"/>
    </xf>
    <xf numFmtId="0" fontId="73" fillId="0" borderId="10" xfId="0" applyFont="1" applyBorder="1" applyAlignment="1">
      <alignment horizontal="right"/>
    </xf>
    <xf numFmtId="0" fontId="32" fillId="0" borderId="10" xfId="37" applyFont="1" applyBorder="1" applyAlignment="1">
      <alignment horizontal="center"/>
    </xf>
    <xf numFmtId="0" fontId="10" fillId="0" borderId="41" xfId="0" applyFont="1" applyBorder="1" applyAlignment="1">
      <alignment horizontal="center"/>
    </xf>
    <xf numFmtId="0" fontId="67" fillId="0" borderId="14" xfId="0" applyFont="1" applyBorder="1" applyAlignment="1">
      <alignment horizontal="center"/>
    </xf>
    <xf numFmtId="0" fontId="67" fillId="0" borderId="44" xfId="0" applyFont="1" applyBorder="1" applyAlignment="1">
      <alignment horizontal="center"/>
    </xf>
    <xf numFmtId="0" fontId="67" fillId="0" borderId="27" xfId="0" applyFont="1" applyBorder="1" applyAlignment="1">
      <alignment horizontal="center"/>
    </xf>
    <xf numFmtId="170" fontId="73" fillId="0" borderId="68" xfId="39" applyNumberFormat="1" applyFont="1" applyBorder="1" applyAlignment="1">
      <alignment horizontal="left"/>
    </xf>
    <xf numFmtId="170" fontId="66" fillId="0" borderId="68" xfId="39" applyNumberFormat="1" applyFont="1" applyBorder="1" applyAlignment="1">
      <alignment horizontal="left"/>
    </xf>
    <xf numFmtId="0" fontId="77" fillId="0" borderId="0" xfId="0" applyFont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44" xfId="0" applyFont="1" applyBorder="1" applyAlignment="1">
      <alignment horizontal="center"/>
    </xf>
    <xf numFmtId="0" fontId="7" fillId="0" borderId="27" xfId="0" applyFont="1" applyBorder="1" applyAlignment="1">
      <alignment horizontal="center"/>
    </xf>
    <xf numFmtId="0" fontId="84" fillId="0" borderId="0" xfId="0" applyFont="1" applyAlignment="1">
      <alignment horizontal="left" vertical="center" wrapText="1"/>
    </xf>
    <xf numFmtId="14" fontId="12" fillId="0" borderId="14" xfId="32" applyNumberFormat="1" applyFont="1" applyBorder="1" applyAlignment="1">
      <alignment horizontal="right"/>
    </xf>
    <xf numFmtId="14" fontId="12" fillId="0" borderId="44" xfId="32" applyNumberFormat="1" applyFont="1" applyBorder="1" applyAlignment="1">
      <alignment horizontal="right"/>
    </xf>
    <xf numFmtId="14" fontId="12" fillId="0" borderId="27" xfId="32" applyNumberFormat="1" applyFont="1" applyBorder="1" applyAlignment="1">
      <alignment horizontal="right"/>
    </xf>
    <xf numFmtId="14" fontId="8" fillId="0" borderId="14" xfId="0" applyNumberFormat="1" applyFont="1" applyBorder="1" applyAlignment="1">
      <alignment horizontal="center"/>
    </xf>
    <xf numFmtId="14" fontId="8" fillId="0" borderId="44" xfId="0" applyNumberFormat="1" applyFont="1" applyBorder="1" applyAlignment="1">
      <alignment horizontal="center"/>
    </xf>
    <xf numFmtId="14" fontId="8" fillId="0" borderId="27" xfId="0" applyNumberFormat="1" applyFont="1" applyBorder="1" applyAlignment="1">
      <alignment horizontal="center"/>
    </xf>
    <xf numFmtId="0" fontId="57" fillId="0" borderId="14" xfId="0" applyFont="1" applyBorder="1" applyAlignment="1">
      <alignment horizontal="center" wrapText="1"/>
    </xf>
    <xf numFmtId="0" fontId="57" fillId="0" borderId="27" xfId="0" applyFont="1" applyBorder="1" applyAlignment="1">
      <alignment horizontal="center" wrapText="1"/>
    </xf>
    <xf numFmtId="0" fontId="57" fillId="0" borderId="20" xfId="0" applyFont="1" applyBorder="1" applyAlignment="1">
      <alignment horizontal="center" wrapText="1"/>
    </xf>
    <xf numFmtId="0" fontId="57" fillId="0" borderId="22" xfId="0" applyFont="1" applyBorder="1" applyAlignment="1">
      <alignment horizontal="center" wrapText="1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10" fillId="0" borderId="70" xfId="0" applyFont="1" applyBorder="1" applyAlignment="1">
      <alignment horizontal="center"/>
    </xf>
    <xf numFmtId="0" fontId="10" fillId="0" borderId="39" xfId="0" applyFont="1" applyBorder="1" applyAlignment="1">
      <alignment horizontal="center"/>
    </xf>
    <xf numFmtId="0" fontId="10" fillId="0" borderId="71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right"/>
    </xf>
    <xf numFmtId="167" fontId="11" fillId="0" borderId="14" xfId="32" applyFont="1" applyBorder="1" applyAlignment="1">
      <alignment horizontal="center"/>
    </xf>
    <xf numFmtId="167" fontId="11" fillId="0" borderId="27" xfId="32" applyFont="1" applyBorder="1" applyAlignment="1">
      <alignment horizontal="center"/>
    </xf>
    <xf numFmtId="0" fontId="62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13" fillId="29" borderId="11" xfId="0" applyFont="1" applyFill="1" applyBorder="1" applyAlignment="1">
      <alignment horizontal="center"/>
    </xf>
    <xf numFmtId="0" fontId="13" fillId="29" borderId="12" xfId="0" applyFont="1" applyFill="1" applyBorder="1" applyAlignment="1">
      <alignment horizontal="center"/>
    </xf>
    <xf numFmtId="0" fontId="13" fillId="29" borderId="32" xfId="0" applyFont="1" applyFill="1" applyBorder="1" applyAlignment="1">
      <alignment horizontal="center"/>
    </xf>
    <xf numFmtId="0" fontId="15" fillId="29" borderId="14" xfId="0" applyFont="1" applyFill="1" applyBorder="1" applyAlignment="1">
      <alignment horizontal="center"/>
    </xf>
    <xf numFmtId="0" fontId="15" fillId="29" borderId="44" xfId="0" applyFont="1" applyFill="1" applyBorder="1" applyAlignment="1">
      <alignment horizontal="center"/>
    </xf>
    <xf numFmtId="0" fontId="15" fillId="29" borderId="27" xfId="0" applyFont="1" applyFill="1" applyBorder="1" applyAlignment="1">
      <alignment horizontal="center"/>
    </xf>
    <xf numFmtId="0" fontId="13" fillId="28" borderId="11" xfId="0" applyFont="1" applyFill="1" applyBorder="1" applyAlignment="1">
      <alignment horizontal="center"/>
    </xf>
    <xf numFmtId="0" fontId="13" fillId="28" borderId="12" xfId="0" applyFont="1" applyFill="1" applyBorder="1" applyAlignment="1">
      <alignment horizontal="center"/>
    </xf>
    <xf numFmtId="0" fontId="13" fillId="28" borderId="32" xfId="0" applyFont="1" applyFill="1" applyBorder="1" applyAlignment="1">
      <alignment horizontal="center"/>
    </xf>
    <xf numFmtId="0" fontId="15" fillId="28" borderId="14" xfId="0" applyFont="1" applyFill="1" applyBorder="1" applyAlignment="1">
      <alignment horizontal="center"/>
    </xf>
    <xf numFmtId="0" fontId="15" fillId="28" borderId="44" xfId="0" applyFont="1" applyFill="1" applyBorder="1" applyAlignment="1">
      <alignment horizontal="center"/>
    </xf>
    <xf numFmtId="0" fontId="15" fillId="28" borderId="27" xfId="0" applyFont="1" applyFill="1" applyBorder="1" applyAlignment="1">
      <alignment horizontal="center"/>
    </xf>
    <xf numFmtId="1" fontId="10" fillId="0" borderId="28" xfId="32" applyNumberFormat="1" applyFont="1" applyBorder="1" applyAlignment="1">
      <alignment horizontal="right"/>
    </xf>
    <xf numFmtId="1" fontId="10" fillId="0" borderId="29" xfId="32" applyNumberFormat="1" applyFont="1" applyBorder="1" applyAlignment="1">
      <alignment horizontal="right"/>
    </xf>
    <xf numFmtId="0" fontId="10" fillId="28" borderId="14" xfId="0" applyFont="1" applyFill="1" applyBorder="1" applyAlignment="1">
      <alignment horizontal="center"/>
    </xf>
    <xf numFmtId="0" fontId="10" fillId="28" borderId="44" xfId="0" applyFont="1" applyFill="1" applyBorder="1" applyAlignment="1">
      <alignment horizontal="center"/>
    </xf>
    <xf numFmtId="0" fontId="10" fillId="28" borderId="27" xfId="0" applyFont="1" applyFill="1" applyBorder="1" applyAlignment="1">
      <alignment horizontal="center"/>
    </xf>
    <xf numFmtId="1" fontId="10" fillId="0" borderId="30" xfId="32" applyNumberFormat="1" applyFont="1" applyBorder="1" applyAlignment="1">
      <alignment horizontal="center"/>
    </xf>
    <xf numFmtId="1" fontId="10" fillId="0" borderId="31" xfId="32" applyNumberFormat="1" applyFont="1" applyBorder="1" applyAlignment="1">
      <alignment horizontal="center"/>
    </xf>
    <xf numFmtId="0" fontId="92" fillId="0" borderId="14" xfId="0" applyFont="1" applyBorder="1" applyAlignment="1">
      <alignment horizontal="center"/>
    </xf>
    <xf numFmtId="0" fontId="92" fillId="0" borderId="44" xfId="0" applyFont="1" applyBorder="1" applyAlignment="1">
      <alignment horizontal="center"/>
    </xf>
    <xf numFmtId="0" fontId="92" fillId="0" borderId="27" xfId="0" applyFont="1" applyBorder="1" applyAlignment="1">
      <alignment horizontal="center"/>
    </xf>
    <xf numFmtId="1" fontId="7" fillId="0" borderId="0" xfId="32" applyNumberFormat="1" applyFont="1" applyAlignment="1">
      <alignment horizontal="center"/>
    </xf>
    <xf numFmtId="2" fontId="7" fillId="0" borderId="0" xfId="32" applyNumberFormat="1" applyFont="1" applyAlignment="1">
      <alignment horizontal="center"/>
    </xf>
    <xf numFmtId="2" fontId="7" fillId="0" borderId="0" xfId="0" applyNumberFormat="1" applyFont="1" applyAlignment="1">
      <alignment horizontal="right"/>
    </xf>
    <xf numFmtId="2" fontId="11" fillId="0" borderId="0" xfId="0" applyNumberFormat="1" applyFont="1" applyAlignment="1">
      <alignment horizontal="right"/>
    </xf>
    <xf numFmtId="0" fontId="13" fillId="0" borderId="11" xfId="0" applyFont="1" applyBorder="1" applyAlignment="1">
      <alignment horizontal="center"/>
    </xf>
    <xf numFmtId="0" fontId="13" fillId="0" borderId="12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1" fontId="10" fillId="0" borderId="14" xfId="32" applyNumberFormat="1" applyFont="1" applyBorder="1" applyAlignment="1">
      <alignment horizontal="center"/>
    </xf>
    <xf numFmtId="1" fontId="10" fillId="0" borderId="27" xfId="32" applyNumberFormat="1" applyFont="1" applyBorder="1" applyAlignment="1">
      <alignment horizontal="center"/>
    </xf>
    <xf numFmtId="0" fontId="14" fillId="0" borderId="63" xfId="0" applyFont="1" applyBorder="1" applyAlignment="1">
      <alignment horizontal="center"/>
    </xf>
    <xf numFmtId="0" fontId="13" fillId="0" borderId="1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0" fontId="10" fillId="0" borderId="44" xfId="0" applyFont="1" applyBorder="1" applyAlignment="1">
      <alignment horizontal="left"/>
    </xf>
    <xf numFmtId="0" fontId="10" fillId="0" borderId="27" xfId="0" applyFont="1" applyBorder="1" applyAlignment="1">
      <alignment horizontal="left"/>
    </xf>
    <xf numFmtId="167" fontId="13" fillId="0" borderId="14" xfId="32" applyFont="1" applyBorder="1" applyAlignment="1">
      <alignment horizontal="center"/>
    </xf>
    <xf numFmtId="167" fontId="13" fillId="0" borderId="44" xfId="32" applyFont="1" applyBorder="1" applyAlignment="1">
      <alignment horizontal="center"/>
    </xf>
    <xf numFmtId="0" fontId="10" fillId="0" borderId="20" xfId="0" applyFont="1" applyBorder="1" applyAlignment="1">
      <alignment horizontal="right"/>
    </xf>
    <xf numFmtId="0" fontId="10" fillId="0" borderId="39" xfId="0" applyFont="1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51" xfId="0" applyBorder="1" applyAlignment="1">
      <alignment horizontal="right"/>
    </xf>
    <xf numFmtId="167" fontId="0" fillId="0" borderId="14" xfId="32" applyFont="1" applyBorder="1" applyAlignment="1">
      <alignment horizontal="right"/>
    </xf>
    <xf numFmtId="167" fontId="0" fillId="0" borderId="44" xfId="32" applyFont="1" applyBorder="1" applyAlignment="1">
      <alignment horizontal="right"/>
    </xf>
    <xf numFmtId="49" fontId="10" fillId="0" borderId="14" xfId="32" applyNumberFormat="1" applyFont="1" applyBorder="1" applyAlignment="1">
      <alignment horizontal="center"/>
    </xf>
    <xf numFmtId="49" fontId="10" fillId="0" borderId="44" xfId="32" applyNumberFormat="1" applyFont="1" applyBorder="1" applyAlignment="1">
      <alignment horizontal="center"/>
    </xf>
    <xf numFmtId="49" fontId="10" fillId="0" borderId="27" xfId="32" applyNumberFormat="1" applyFont="1" applyBorder="1" applyAlignment="1">
      <alignment horizontal="center"/>
    </xf>
    <xf numFmtId="167" fontId="0" fillId="0" borderId="27" xfId="32" applyFont="1" applyBorder="1" applyAlignment="1">
      <alignment horizontal="right"/>
    </xf>
    <xf numFmtId="0" fontId="33" fillId="0" borderId="14" xfId="37" applyFont="1" applyBorder="1" applyAlignment="1">
      <alignment horizontal="right"/>
    </xf>
    <xf numFmtId="0" fontId="33" fillId="0" borderId="44" xfId="37" applyFont="1" applyBorder="1" applyAlignment="1">
      <alignment horizontal="right"/>
    </xf>
    <xf numFmtId="0" fontId="33" fillId="0" borderId="27" xfId="37" applyFont="1" applyBorder="1" applyAlignment="1">
      <alignment horizontal="right"/>
    </xf>
    <xf numFmtId="0" fontId="60" fillId="0" borderId="14" xfId="37" applyFont="1" applyBorder="1" applyAlignment="1">
      <alignment horizontal="center" vertical="center"/>
    </xf>
    <xf numFmtId="0" fontId="60" fillId="0" borderId="44" xfId="37" applyFont="1" applyBorder="1" applyAlignment="1">
      <alignment horizontal="center" vertical="center"/>
    </xf>
    <xf numFmtId="0" fontId="60" fillId="0" borderId="27" xfId="37" applyFont="1" applyBorder="1" applyAlignment="1">
      <alignment horizontal="center" vertical="center"/>
    </xf>
  </cellXfs>
  <cellStyles count="159">
    <cellStyle name="20% - Ênfase1" xfId="1" builtinId="30" customBuiltin="1"/>
    <cellStyle name="20% - Ênfase1 2" xfId="65" xr:uid="{AAFFEA23-6DF7-4C4F-93D8-D17B48C43089}"/>
    <cellStyle name="20% - Ênfase2" xfId="2" builtinId="34" customBuiltin="1"/>
    <cellStyle name="20% - Ênfase2 2" xfId="66" xr:uid="{003E31E1-CEA4-4557-8C56-7FA9BEB45C95}"/>
    <cellStyle name="20% - Ênfase3" xfId="3" builtinId="38" customBuiltin="1"/>
    <cellStyle name="20% - Ênfase3 2" xfId="67" xr:uid="{5BB7063C-7F2E-42C4-B584-F95B5CCCC9F8}"/>
    <cellStyle name="20% - Ênfase4" xfId="4" builtinId="42" customBuiltin="1"/>
    <cellStyle name="20% - Ênfase4 2" xfId="68" xr:uid="{759AD8A0-9A84-4A73-8E6B-1B2C14774B4C}"/>
    <cellStyle name="20% - Ênfase5" xfId="5" builtinId="46" customBuiltin="1"/>
    <cellStyle name="20% - Ênfase5 2" xfId="69" xr:uid="{A0DA38C1-8EB9-4EF5-B29C-D75D20B6AA20}"/>
    <cellStyle name="20% - Ênfase6" xfId="6" builtinId="50" customBuiltin="1"/>
    <cellStyle name="20% - Ênfase6 2" xfId="70" xr:uid="{AA2CF1C0-21A8-4AE9-874B-4BA038CFA329}"/>
    <cellStyle name="40% - Ênfase1" xfId="7" builtinId="31" customBuiltin="1"/>
    <cellStyle name="40% - Ênfase1 2" xfId="71" xr:uid="{DD542F91-E4B4-44FD-B858-812FEC547C34}"/>
    <cellStyle name="40% - Ênfase2" xfId="8" builtinId="35" customBuiltin="1"/>
    <cellStyle name="40% - Ênfase2 2" xfId="72" xr:uid="{4751F816-8194-4EFA-B5D6-E8B2A94D2B7F}"/>
    <cellStyle name="40% - Ênfase3" xfId="9" builtinId="39" customBuiltin="1"/>
    <cellStyle name="40% - Ênfase3 2" xfId="73" xr:uid="{4CE53FC2-DB8C-4C4A-B1F7-5F245D248E61}"/>
    <cellStyle name="40% - Ênfase4" xfId="10" builtinId="43" customBuiltin="1"/>
    <cellStyle name="40% - Ênfase4 2" xfId="74" xr:uid="{131D4BB8-AF6E-49A7-925A-8D0C542A4BF1}"/>
    <cellStyle name="40% - Ênfase5" xfId="11" builtinId="47" customBuiltin="1"/>
    <cellStyle name="40% - Ênfase5 2" xfId="75" xr:uid="{5F556431-8C70-4B31-B627-239F5DF48A75}"/>
    <cellStyle name="40% - Ênfase6" xfId="12" builtinId="51" customBuiltin="1"/>
    <cellStyle name="40% - Ênfase6 2" xfId="76" xr:uid="{788B2451-FD8F-439C-81A4-97E310E8B06F}"/>
    <cellStyle name="60% - Ênfase1" xfId="13" builtinId="32" customBuiltin="1"/>
    <cellStyle name="60% - Ênfase1 2" xfId="78" xr:uid="{A1D0DA9D-EBD7-4C48-862E-144338E23273}"/>
    <cellStyle name="60% - Ênfase1 3" xfId="77" xr:uid="{5C72B4FC-3BD2-4602-9C69-F60703975FC9}"/>
    <cellStyle name="60% - Ênfase2" xfId="14" builtinId="36" customBuiltin="1"/>
    <cellStyle name="60% - Ênfase2 2" xfId="80" xr:uid="{36C4FC9F-7ED6-4E6E-865B-6AA9AA0DF6D6}"/>
    <cellStyle name="60% - Ênfase2 3" xfId="79" xr:uid="{7CFA6FD2-B029-408B-9BD4-9EB5C1D8F786}"/>
    <cellStyle name="60% - Ênfase3" xfId="15" builtinId="40" customBuiltin="1"/>
    <cellStyle name="60% - Ênfase3 2" xfId="81" xr:uid="{EC873DDD-D09B-4CAA-A8F4-99FDFC70F971}"/>
    <cellStyle name="60% - Ênfase3 3" xfId="82" xr:uid="{83BED1C3-1828-4BE7-9679-4DB4F057B792}"/>
    <cellStyle name="60% - Ênfase4" xfId="16" builtinId="44" customBuiltin="1"/>
    <cellStyle name="60% - Ênfase4 2" xfId="83" xr:uid="{A6A097FC-DB46-4CB8-9366-057E75070B6E}"/>
    <cellStyle name="60% - Ênfase4 3" xfId="84" xr:uid="{A9852ACD-A81F-47FD-95F9-281EF1973BAB}"/>
    <cellStyle name="60% - Ênfase5" xfId="17" builtinId="48" customBuiltin="1"/>
    <cellStyle name="60% - Ênfase5 2" xfId="86" xr:uid="{DB31BB01-B461-4B2B-AF43-487941F35BB7}"/>
    <cellStyle name="60% - Ênfase5 3" xfId="85" xr:uid="{3ABAD943-48DE-4C58-9FCA-EDCB3A94F1C7}"/>
    <cellStyle name="60% - Ênfase6" xfId="18" builtinId="52" customBuiltin="1"/>
    <cellStyle name="60% - Ênfase6 2" xfId="87" xr:uid="{90B8392A-CB72-4B9C-8E57-AC561CCDA04A}"/>
    <cellStyle name="60% - Ênfase6 3" xfId="88" xr:uid="{3CFF137A-5C80-4B93-A185-D411C283F30E}"/>
    <cellStyle name="Bom" xfId="19" builtinId="26" customBuiltin="1"/>
    <cellStyle name="Bom 2" xfId="89" xr:uid="{6027CF80-D2D7-4933-AE95-639B460996A1}"/>
    <cellStyle name="Cálculo" xfId="20" builtinId="22" customBuiltin="1"/>
    <cellStyle name="Cálculo 2" xfId="90" xr:uid="{49C2EB25-CE8E-463B-AA5F-C1702C3F65EC}"/>
    <cellStyle name="Célula de Verificação" xfId="21" builtinId="23" customBuiltin="1"/>
    <cellStyle name="Célula de Verificação 2" xfId="91" xr:uid="{68CB3036-5C84-47ED-B485-8D7A7D066969}"/>
    <cellStyle name="Célula Vinculada" xfId="22" builtinId="24" customBuiltin="1"/>
    <cellStyle name="Célula Vinculada 2" xfId="92" xr:uid="{FA93DBDE-DD3F-4E44-B787-CDCBE0EFF731}"/>
    <cellStyle name="Ênfase1" xfId="23" builtinId="29" customBuiltin="1"/>
    <cellStyle name="Ênfase1 2" xfId="93" xr:uid="{60626672-7300-448F-8B6B-B4912723C3C3}"/>
    <cellStyle name="Ênfase2" xfId="24" builtinId="33" customBuiltin="1"/>
    <cellStyle name="Ênfase2 2" xfId="94" xr:uid="{784833E9-042F-495C-B77B-BB5BD4EA9753}"/>
    <cellStyle name="Ênfase3" xfId="25" builtinId="37" customBuiltin="1"/>
    <cellStyle name="Ênfase3 2" xfId="95" xr:uid="{4490DB53-05B5-42F6-8A3A-C259279B7527}"/>
    <cellStyle name="Ênfase4" xfId="26" builtinId="41" customBuiltin="1"/>
    <cellStyle name="Ênfase4 2" xfId="96" xr:uid="{4141E5D1-9F76-4FD0-A507-8C3D8E59200C}"/>
    <cellStyle name="Ênfase5" xfId="27" builtinId="45" customBuiltin="1"/>
    <cellStyle name="Ênfase5 2" xfId="97" xr:uid="{C3783730-8346-4E26-A5A5-8A48EF8349C9}"/>
    <cellStyle name="Ênfase6" xfId="28" builtinId="49" customBuiltin="1"/>
    <cellStyle name="Ênfase6 2" xfId="98" xr:uid="{CA9570D1-B1B7-4382-B639-04465E24F422}"/>
    <cellStyle name="Entrada" xfId="29" builtinId="20" customBuiltin="1"/>
    <cellStyle name="Entrada 2" xfId="99" xr:uid="{2D0C980F-7B64-4C76-862A-C8FBB3D8E3A4}"/>
    <cellStyle name="Hiperlink" xfId="30" builtinId="8"/>
    <cellStyle name="Hyperlink" xfId="52" xr:uid="{00000000-0005-0000-0000-00001E000000}"/>
    <cellStyle name="Moeda" xfId="32" builtinId="4"/>
    <cellStyle name="Moeda 2" xfId="33" xr:uid="{00000000-0005-0000-0000-000021000000}"/>
    <cellStyle name="Moeda 2 2" xfId="101" xr:uid="{A7C06C8C-99B3-4FA3-9ACF-148C1D6FC716}"/>
    <cellStyle name="Moeda 2 3" xfId="100" xr:uid="{96050BF8-CC4F-4BC2-B142-FAC6C49FBA88}"/>
    <cellStyle name="Moeda 3" xfId="55" xr:uid="{00000000-0005-0000-0000-000022000000}"/>
    <cellStyle name="Moeda 3 2" xfId="103" xr:uid="{B3A01D21-1C8E-4182-8B01-F6058BDA6338}"/>
    <cellStyle name="Moeda 3 3" xfId="102" xr:uid="{6A1DF207-957B-408A-8C90-CEADC5B3A472}"/>
    <cellStyle name="Moeda 4" xfId="57" xr:uid="{00000000-0005-0000-0000-000023000000}"/>
    <cellStyle name="Moeda 4 2" xfId="104" xr:uid="{8E059DA9-42AF-4FEF-AE49-A17541F0B4A2}"/>
    <cellStyle name="Moeda 5" xfId="63" xr:uid="{00000000-0005-0000-0000-000024000000}"/>
    <cellStyle name="Moeda 5 2" xfId="105" xr:uid="{7FC3195B-34EF-45EF-BF44-D7AF8BC6357B}"/>
    <cellStyle name="Moeda 6" xfId="106" xr:uid="{88B01444-48F3-4FE6-95BF-C7CC5B5A6B6A}"/>
    <cellStyle name="Moeda 6 2" xfId="107" xr:uid="{EA07151A-70D8-4707-8FDF-BEDD25D43270}"/>
    <cellStyle name="Moeda 7" xfId="108" xr:uid="{823C7A7B-E14D-4185-ACDF-B68FEFEE994B}"/>
    <cellStyle name="Moeda 7 2" xfId="109" xr:uid="{57B45C83-7D97-4B5A-B2D4-C2081E6777B1}"/>
    <cellStyle name="Moeda_Plan1" xfId="34" xr:uid="{00000000-0005-0000-0000-000025000000}"/>
    <cellStyle name="Moeda_Planilha Controle" xfId="35" xr:uid="{00000000-0005-0000-0000-000026000000}"/>
    <cellStyle name="Moeda_Planilha Controle 2" xfId="61" xr:uid="{00000000-0005-0000-0000-000027000000}"/>
    <cellStyle name="Neutro" xfId="36" builtinId="28" customBuiltin="1"/>
    <cellStyle name="Neutro 2" xfId="110" xr:uid="{59B45A44-37C3-4D77-A185-BD2A6D97EE6E}"/>
    <cellStyle name="Normal" xfId="0" builtinId="0"/>
    <cellStyle name="Normal 10" xfId="111" xr:uid="{D309B9E3-6FB4-4406-A156-A60AF012A0BA}"/>
    <cellStyle name="Normal 2" xfId="53" xr:uid="{00000000-0005-0000-0000-00002A000000}"/>
    <cellStyle name="Normal 2 2" xfId="112" xr:uid="{CE932783-2951-4562-A214-C9C6D75607F4}"/>
    <cellStyle name="Normal 3" xfId="54" xr:uid="{00000000-0005-0000-0000-00002B000000}"/>
    <cellStyle name="Normal 3 2" xfId="113" xr:uid="{7DA208F3-150C-497A-BABC-59A8CFD05454}"/>
    <cellStyle name="Normal 4" xfId="59" xr:uid="{00000000-0005-0000-0000-00002C000000}"/>
    <cellStyle name="Normal 4 2" xfId="114" xr:uid="{2C262431-A56C-4B31-9B35-9762957EF04F}"/>
    <cellStyle name="Normal 5" xfId="62" xr:uid="{00000000-0005-0000-0000-00002D000000}"/>
    <cellStyle name="Normal 7" xfId="115" xr:uid="{3A4D5779-E9AF-4258-A3F4-E3E8A92071EF}"/>
    <cellStyle name="Normal_Planilha Controle" xfId="37" xr:uid="{00000000-0005-0000-0000-00002E000000}"/>
    <cellStyle name="Normal_Planilha Controle 2" xfId="56" xr:uid="{00000000-0005-0000-0000-00002F000000}"/>
    <cellStyle name="Nota" xfId="38" builtinId="10" customBuiltin="1"/>
    <cellStyle name="Nota 2" xfId="116" xr:uid="{DB4A71F7-5171-424C-B98E-281EE878E4D3}"/>
    <cellStyle name="Porcentagem" xfId="39" builtinId="5"/>
    <cellStyle name="Porcentagem 2" xfId="40" xr:uid="{00000000-0005-0000-0000-000032000000}"/>
    <cellStyle name="Porcentagem 2 2" xfId="117" xr:uid="{1ACB228C-B088-47F9-98F5-262795995AFF}"/>
    <cellStyle name="Porcentagem 3" xfId="60" xr:uid="{00000000-0005-0000-0000-000033000000}"/>
    <cellStyle name="Porcentagem 3 2" xfId="119" xr:uid="{DAC4FC53-FC28-4689-9813-87043C774D1B}"/>
    <cellStyle name="Porcentagem 3 3" xfId="118" xr:uid="{C5F3C988-602F-42DE-98D0-2865E91EB389}"/>
    <cellStyle name="Porcentagem 4" xfId="64" xr:uid="{00000000-0005-0000-0000-000034000000}"/>
    <cellStyle name="Ruim" xfId="31" builtinId="27" customBuiltin="1"/>
    <cellStyle name="Ruim 2" xfId="120" xr:uid="{540A67D3-41B3-4AEF-86FF-775B9075913E}"/>
    <cellStyle name="Saída" xfId="41" builtinId="21" customBuiltin="1"/>
    <cellStyle name="Saída 2" xfId="121" xr:uid="{2AB54D31-6916-4CE1-8A0A-836F1E654F4E}"/>
    <cellStyle name="Texto de Aviso" xfId="42" builtinId="11" customBuiltin="1"/>
    <cellStyle name="Texto de Aviso 2" xfId="122" xr:uid="{31541E6D-FE25-44B1-87DA-32BB3142F1E0}"/>
    <cellStyle name="Texto Explicativo" xfId="43" builtinId="53" customBuiltin="1"/>
    <cellStyle name="Texto Explicativo 2" xfId="123" xr:uid="{9AE26E1D-0131-4185-85D3-CCD942500DB7}"/>
    <cellStyle name="Título" xfId="44" builtinId="15" customBuiltin="1"/>
    <cellStyle name="Título 1" xfId="45" builtinId="16" customBuiltin="1"/>
    <cellStyle name="Título 1 2" xfId="125" xr:uid="{235D6201-D5BD-4517-8249-14E00CB0B8D1}"/>
    <cellStyle name="Título 2" xfId="46" builtinId="17" customBuiltin="1"/>
    <cellStyle name="Título 2 2" xfId="126" xr:uid="{0BB2DF79-F51D-4AD9-B382-13F013E41CE9}"/>
    <cellStyle name="Título 3" xfId="47" builtinId="18" customBuiltin="1"/>
    <cellStyle name="Título 3 2" xfId="127" xr:uid="{F6A3044C-3D78-4240-9601-EB1607C3F8FF}"/>
    <cellStyle name="Título 4" xfId="48" builtinId="19" customBuiltin="1"/>
    <cellStyle name="Título 4 2" xfId="128" xr:uid="{8AA2D7C0-3F9D-492A-8280-0ADF2F5375C3}"/>
    <cellStyle name="Título 5" xfId="129" xr:uid="{4645895F-6832-4C00-AF1F-79440AC44025}"/>
    <cellStyle name="Título 6" xfId="124" xr:uid="{BA27BE15-B052-4E74-981D-6D48DC57DCAE}"/>
    <cellStyle name="Total" xfId="49" builtinId="25" customBuiltin="1"/>
    <cellStyle name="Total 2" xfId="130" xr:uid="{F0D4AA1A-6CF0-4EC3-AF8F-6CD1B60A73DA}"/>
    <cellStyle name="Vírgula" xfId="50" builtinId="3"/>
    <cellStyle name="Vírgula 10" xfId="131" xr:uid="{7C51EABB-E264-41AB-860A-E283CF098803}"/>
    <cellStyle name="Vírgula 10 2" xfId="132" xr:uid="{1DB23A53-5245-486D-9A09-8F1F542D2EAF}"/>
    <cellStyle name="Vírgula 2" xfId="51" xr:uid="{00000000-0005-0000-0000-00003F000000}"/>
    <cellStyle name="Vírgula 2 2" xfId="134" xr:uid="{F7299FB1-072B-4F09-B8C2-9FF8927ED3CF}"/>
    <cellStyle name="Vírgula 2 2 2" xfId="135" xr:uid="{B3BE2619-9F62-4FC4-B129-80380B4077E6}"/>
    <cellStyle name="Vírgula 2 3" xfId="136" xr:uid="{917EEC9A-8405-4471-83A4-777B0F4FEAAF}"/>
    <cellStyle name="Vírgula 2 4" xfId="133" xr:uid="{0D0F326A-B3DB-4B1F-8FD3-937627A919EB}"/>
    <cellStyle name="Vírgula 3" xfId="58" xr:uid="{00000000-0005-0000-0000-000040000000}"/>
    <cellStyle name="Vírgula 3 2" xfId="138" xr:uid="{105C88C2-2670-4A0A-ACC3-6BA18D3F0615}"/>
    <cellStyle name="Vírgula 3 2 2" xfId="139" xr:uid="{EEEA7D2A-FA0B-4F2E-A0B8-27F1A28C13A7}"/>
    <cellStyle name="Vírgula 3 3" xfId="140" xr:uid="{777201D9-0CE3-4182-A2D6-70D238791BEC}"/>
    <cellStyle name="Vírgula 3 4" xfId="137" xr:uid="{9DC4A468-B189-45BF-9614-79AD6328868B}"/>
    <cellStyle name="Vírgula 4" xfId="141" xr:uid="{E40C3A84-880C-4E70-BF9C-6A91C1746969}"/>
    <cellStyle name="Vírgula 4 2" xfId="142" xr:uid="{053E2892-592D-4BDE-A9B9-5CF57081099E}"/>
    <cellStyle name="Vírgula 4 2 2" xfId="143" xr:uid="{FD88CD39-F457-4D5D-9A81-25B0788AE730}"/>
    <cellStyle name="Vírgula 4 3" xfId="144" xr:uid="{76D2A7B0-3224-4327-B78A-D6069076BD36}"/>
    <cellStyle name="Vírgula 5" xfId="145" xr:uid="{9436F1AB-D86A-4B1A-AA2C-103765B8C50C}"/>
    <cellStyle name="Vírgula 5 2" xfId="146" xr:uid="{3D5BCD51-2B16-4903-9F64-DFDDC5D98E79}"/>
    <cellStyle name="Vírgula 5 2 2" xfId="147" xr:uid="{A6F0E7DB-288C-44A9-8927-12EF504FD5FB}"/>
    <cellStyle name="Vírgula 5 3" xfId="148" xr:uid="{DB7735A2-D303-425F-AFD4-F9B1BEE10877}"/>
    <cellStyle name="Vírgula 6" xfId="149" xr:uid="{BE3FB604-51D2-46F2-A414-3130B73332AB}"/>
    <cellStyle name="Vírgula 6 2" xfId="150" xr:uid="{2245D831-BBE8-4818-B9F3-B3B011297AD9}"/>
    <cellStyle name="Vírgula 7" xfId="151" xr:uid="{C87E087B-E999-4823-8876-4AB48CD18FC1}"/>
    <cellStyle name="Vírgula 7 2" xfId="152" xr:uid="{3ECA00E0-2160-4F32-A907-F10F86B85290}"/>
    <cellStyle name="Vírgula 8" xfId="153" xr:uid="{A3E8F805-9233-43FD-89B4-8B8D0156D5FE}"/>
    <cellStyle name="Vírgula 8 2" xfId="154" xr:uid="{F2D2FEEA-4490-432F-A2BC-5A8BAC5B0F87}"/>
    <cellStyle name="Vírgula 8 2 2" xfId="155" xr:uid="{15279C3A-F766-4048-B17B-3F9009CD8E67}"/>
    <cellStyle name="Vírgula 8 3" xfId="156" xr:uid="{00CEF31B-09E0-4D3E-A0E2-0A1AA592D758}"/>
    <cellStyle name="Vírgula 9" xfId="157" xr:uid="{99CFAF61-C6D6-43E0-A3AD-68D8005D268B}"/>
    <cellStyle name="Vírgula 9 2" xfId="158" xr:uid="{CA331F11-BAF0-463E-9AA1-846A630E9740}"/>
  </cellStyles>
  <dxfs count="63"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numFmt numFmtId="167" formatCode="_(&quot;R$&quot;* #,##0.00_);_(&quot;R$&quot;* \(#,##0.00\);_(&quot;R$&quot;* &quot;-&quot;??_);_(@_)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none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none">
          <fgColor rgb="FF000000"/>
          <bgColor rgb="FFFFFFFF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  <color rgb="FFFFFF99"/>
      <color rgb="FFFF6969"/>
      <color rgb="FFFF3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pivotCacheDefinition" Target="pivotCache/pivotCacheDefinition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sheetMetadata" Target="metadata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microsoft.com/office/2007/relationships/slicerCache" Target="slicerCaches/slicerCach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powerPivotData" Target="model/item.data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microsoft.com/office/2007/relationships/slicerCache" Target="slicerCaches/slicerCache2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calcChain" Target="calcChain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pivotCacheDefinition" Target="pivotCache/pivotCacheDefinition6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4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pivotCacheDefinition" Target="pivotCache/pivotCacheDefinition7.xml"/><Relationship Id="rId190" Type="http://schemas.openxmlformats.org/officeDocument/2006/relationships/worksheet" Target="worksheets/sheet190.xml"/><Relationship Id="rId204" Type="http://schemas.openxmlformats.org/officeDocument/2006/relationships/pivotCacheDefinition" Target="pivotCache/pivotCacheDefinition4.xml"/><Relationship Id="rId220" Type="http://schemas.openxmlformats.org/officeDocument/2006/relationships/customXml" Target="../customXml/item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pivotTable" Target="pivotTables/pivotTable1.xml"/><Relationship Id="rId215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customXml" Target="../customXml/item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pivotTable" Target="pivotTables/pivotTable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pivotCacheDefinition" Target="pivotCache/pivotCacheDefinition1.xml"/><Relationship Id="rId222" Type="http://schemas.openxmlformats.org/officeDocument/2006/relationships/customXml" Target="../customXml/item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theme" Target="theme/theme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pivotCacheDefinition" Target="pivotCache/pivotCacheDefinition2.xml"/><Relationship Id="rId223" Type="http://schemas.openxmlformats.org/officeDocument/2006/relationships/customXml" Target="../customXml/item5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pivotCacheDefinition" Target="pivotCache/pivotCacheDefinition3.xml"/><Relationship Id="rId19" Type="http://schemas.openxmlformats.org/officeDocument/2006/relationships/worksheet" Target="worksheets/sheet19.xml"/><Relationship Id="rId224" Type="http://schemas.openxmlformats.org/officeDocument/2006/relationships/customXml" Target="../customXml/item6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6202044340785382E-3"/>
          <c:y val="5.0187854180033929E-2"/>
          <c:w val="0.99027877339552894"/>
          <c:h val="0.84396930242115975"/>
        </c:manualLayout>
      </c:layout>
      <c:barChart>
        <c:barDir val="col"/>
        <c:grouping val="clustered"/>
        <c:varyColors val="0"/>
        <c:ser>
          <c:idx val="0"/>
          <c:order val="0"/>
          <c:tx>
            <c:v>Soma de Janeiro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1675.66</c:v>
              </c:pt>
            </c:numLit>
          </c:val>
          <c:extLst>
            <c:ext xmlns:c16="http://schemas.microsoft.com/office/drawing/2014/chart" uri="{C3380CC4-5D6E-409C-BE32-E72D297353CC}">
              <c16:uniqueId val="{00000000-F78E-42C5-B0D9-F37A2A2FCC43}"/>
            </c:ext>
          </c:extLst>
        </c:ser>
        <c:ser>
          <c:idx val="1"/>
          <c:order val="1"/>
          <c:tx>
            <c:v>Soma de Fevereiro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78E-42C5-B0D9-F37A2A2FCC43}"/>
              </c:ext>
            </c:extLst>
          </c:dPt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26.5</c:v>
              </c:pt>
            </c:numLit>
          </c:val>
          <c:extLst>
            <c:ext xmlns:c16="http://schemas.microsoft.com/office/drawing/2014/chart" uri="{C3380CC4-5D6E-409C-BE32-E72D297353CC}">
              <c16:uniqueId val="{00000002-F78E-42C5-B0D9-F37A2A2FCC43}"/>
            </c:ext>
          </c:extLst>
        </c:ser>
        <c:ser>
          <c:idx val="2"/>
          <c:order val="2"/>
          <c:tx>
            <c:v>Soma de Março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F78E-42C5-B0D9-F37A2A2FCC43}"/>
            </c:ext>
          </c:extLst>
        </c:ser>
        <c:ser>
          <c:idx val="3"/>
          <c:order val="3"/>
          <c:tx>
            <c:v>Soma de Abril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F78E-42C5-B0D9-F37A2A2FCC43}"/>
            </c:ext>
          </c:extLst>
        </c:ser>
        <c:ser>
          <c:idx val="4"/>
          <c:order val="4"/>
          <c:tx>
            <c:v>Soma de Maio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200.5</c:v>
              </c:pt>
            </c:numLit>
          </c:val>
          <c:extLst>
            <c:ext xmlns:c16="http://schemas.microsoft.com/office/drawing/2014/chart" uri="{C3380CC4-5D6E-409C-BE32-E72D297353CC}">
              <c16:uniqueId val="{00000005-F78E-42C5-B0D9-F37A2A2FCC43}"/>
            </c:ext>
          </c:extLst>
        </c:ser>
        <c:ser>
          <c:idx val="5"/>
          <c:order val="5"/>
          <c:tx>
            <c:v>Soma de Junho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266.66666666666669</c:v>
              </c:pt>
            </c:numLit>
          </c:val>
          <c:extLst>
            <c:ext xmlns:c16="http://schemas.microsoft.com/office/drawing/2014/chart" uri="{C3380CC4-5D6E-409C-BE32-E72D297353CC}">
              <c16:uniqueId val="{00000006-F78E-42C5-B0D9-F37A2A2FCC43}"/>
            </c:ext>
          </c:extLst>
        </c:ser>
        <c:ser>
          <c:idx val="6"/>
          <c:order val="6"/>
          <c:tx>
            <c:v>Soma de Julho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266.66666666666669</c:v>
              </c:pt>
            </c:numLit>
          </c:val>
          <c:extLst>
            <c:ext xmlns:c16="http://schemas.microsoft.com/office/drawing/2014/chart" uri="{C3380CC4-5D6E-409C-BE32-E72D297353CC}">
              <c16:uniqueId val="{00000007-F78E-42C5-B0D9-F37A2A2FCC43}"/>
            </c:ext>
          </c:extLst>
        </c:ser>
        <c:ser>
          <c:idx val="7"/>
          <c:order val="7"/>
          <c:tx>
            <c:v>Soma de Agosto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266.66666666666669</c:v>
              </c:pt>
            </c:numLit>
          </c:val>
          <c:extLst>
            <c:ext xmlns:c16="http://schemas.microsoft.com/office/drawing/2014/chart" uri="{C3380CC4-5D6E-409C-BE32-E72D297353CC}">
              <c16:uniqueId val="{00000008-F78E-42C5-B0D9-F37A2A2FCC43}"/>
            </c:ext>
          </c:extLst>
        </c:ser>
        <c:ser>
          <c:idx val="8"/>
          <c:order val="8"/>
          <c:tx>
            <c:v>Soma de Setembro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692</c:v>
              </c:pt>
            </c:numLit>
          </c:val>
          <c:extLst>
            <c:ext xmlns:c16="http://schemas.microsoft.com/office/drawing/2014/chart" uri="{C3380CC4-5D6E-409C-BE32-E72D297353CC}">
              <c16:uniqueId val="{00000009-F78E-42C5-B0D9-F37A2A2FCC43}"/>
            </c:ext>
          </c:extLst>
        </c:ser>
        <c:ser>
          <c:idx val="9"/>
          <c:order val="9"/>
          <c:tx>
            <c:v>Soma de Outubro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F78E-42C5-B0D9-F37A2A2FCC43}"/>
            </c:ext>
          </c:extLst>
        </c:ser>
        <c:ser>
          <c:idx val="10"/>
          <c:order val="10"/>
          <c:tx>
            <c:v>Soma de Novembro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167.74</c:v>
              </c:pt>
            </c:numLit>
          </c:val>
          <c:extLst>
            <c:ext xmlns:c16="http://schemas.microsoft.com/office/drawing/2014/chart" uri="{C3380CC4-5D6E-409C-BE32-E72D297353CC}">
              <c16:uniqueId val="{0000000B-F78E-42C5-B0D9-F37A2A2FCC43}"/>
            </c:ext>
          </c:extLst>
        </c:ser>
        <c:ser>
          <c:idx val="11"/>
          <c:order val="11"/>
          <c:tx>
            <c:v>Soma de Dezembro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Despesas com Carro</c:v>
              </c:pt>
            </c:strLit>
          </c:cat>
          <c:val>
            <c:numLit>
              <c:formatCode>General</c:formatCode>
              <c:ptCount val="1"/>
              <c:pt idx="0">
                <c:v>57.31</c:v>
              </c:pt>
            </c:numLit>
          </c:val>
          <c:extLst>
            <c:ext xmlns:c16="http://schemas.microsoft.com/office/drawing/2014/chart" uri="{C3380CC4-5D6E-409C-BE32-E72D297353CC}">
              <c16:uniqueId val="{0000000C-F78E-42C5-B0D9-F37A2A2FC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7156880"/>
        <c:axId val="187150160"/>
      </c:barChart>
      <c:catAx>
        <c:axId val="187156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15016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87150160"/>
        <c:scaling>
          <c:orientation val="minMax"/>
        </c:scaling>
        <c:delete val="1"/>
        <c:axPos val="l"/>
        <c:numFmt formatCode="General" sourceLinked="0"/>
        <c:majorTickMark val="out"/>
        <c:minorTickMark val="none"/>
        <c:tickLblPos val="nextTo"/>
        <c:crossAx val="18715688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solidFill>
          <a:schemeClr val="tx1">
            <a:lumMod val="95000"/>
            <a:lumOff val="5000"/>
          </a:schemeClr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>
        <a:lumMod val="95000"/>
        <a:lumOff val="5000"/>
      </a:schemeClr>
    </a:solidFill>
    <a:ln w="0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5="http://schemas.microsoft.com/office/drawing/2012/chart" uri="{723BEF56-08C2-4564-9609-F4CBC75E7E54}">
      <c15:pivotSource>
        <c15:name>[Formulario.xlsx]PivotChartTable2</c15:name>
        <c15:fmtId val="1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&quot;R$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1.6202044340785382E-3"/>
          <c:y val="5.0187854180033929E-2"/>
          <c:w val="0.99027877339552894"/>
          <c:h val="0.84396930242115975"/>
        </c:manualLayout>
      </c:layout>
      <c:barChart>
        <c:barDir val="col"/>
        <c:grouping val="clustered"/>
        <c:varyColors val="0"/>
        <c:ser>
          <c:idx val="0"/>
          <c:order val="0"/>
          <c:tx>
            <c:v>Soma de Janeiro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170.3</c:v>
              </c:pt>
            </c:numLit>
          </c:val>
          <c:extLst>
            <c:ext xmlns:c16="http://schemas.microsoft.com/office/drawing/2014/chart" uri="{C3380CC4-5D6E-409C-BE32-E72D297353CC}">
              <c16:uniqueId val="{00000028-A033-47F8-B9A1-C74C503B7482}"/>
            </c:ext>
          </c:extLst>
        </c:ser>
        <c:ser>
          <c:idx val="1"/>
          <c:order val="1"/>
          <c:tx>
            <c:v>Soma de Fevereiro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A3B-4169-B10F-46F6DB35FDEF}"/>
              </c:ext>
            </c:extLst>
          </c:dPt>
          <c:dLbls>
            <c:dLbl>
              <c:idx val="0"/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A3B-4169-B10F-46F6DB35FDEF}"/>
                </c:ext>
              </c:extLst>
            </c:dLbl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2A-A033-47F8-B9A1-C74C503B7482}"/>
            </c:ext>
          </c:extLst>
        </c:ser>
        <c:ser>
          <c:idx val="2"/>
          <c:order val="2"/>
          <c:tx>
            <c:v>Soma de Março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2C-A033-47F8-B9A1-C74C503B7482}"/>
            </c:ext>
          </c:extLst>
        </c:ser>
        <c:ser>
          <c:idx val="3"/>
          <c:order val="3"/>
          <c:tx>
            <c:v>Soma de Abril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2E-A033-47F8-B9A1-C74C503B7482}"/>
            </c:ext>
          </c:extLst>
        </c:ser>
        <c:ser>
          <c:idx val="4"/>
          <c:order val="4"/>
          <c:tx>
            <c:v>Soma de Maio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168.63</c:v>
              </c:pt>
            </c:numLit>
          </c:val>
          <c:extLst>
            <c:ext xmlns:c16="http://schemas.microsoft.com/office/drawing/2014/chart" uri="{C3380CC4-5D6E-409C-BE32-E72D297353CC}">
              <c16:uniqueId val="{00000030-A033-47F8-B9A1-C74C503B7482}"/>
            </c:ext>
          </c:extLst>
        </c:ser>
        <c:ser>
          <c:idx val="5"/>
          <c:order val="5"/>
          <c:tx>
            <c:v>Soma de Junho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153.9</c:v>
              </c:pt>
            </c:numLit>
          </c:val>
          <c:extLst>
            <c:ext xmlns:c16="http://schemas.microsoft.com/office/drawing/2014/chart" uri="{C3380CC4-5D6E-409C-BE32-E72D297353CC}">
              <c16:uniqueId val="{00000032-A033-47F8-B9A1-C74C503B7482}"/>
            </c:ext>
          </c:extLst>
        </c:ser>
        <c:ser>
          <c:idx val="6"/>
          <c:order val="6"/>
          <c:tx>
            <c:v>Soma de Julho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4-A033-47F8-B9A1-C74C503B7482}"/>
            </c:ext>
          </c:extLst>
        </c:ser>
        <c:ser>
          <c:idx val="7"/>
          <c:order val="7"/>
          <c:tx>
            <c:v>Soma de Agosto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6-A033-47F8-B9A1-C74C503B7482}"/>
            </c:ext>
          </c:extLst>
        </c:ser>
        <c:ser>
          <c:idx val="8"/>
          <c:order val="8"/>
          <c:tx>
            <c:v>Soma de Setembro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8-A033-47F8-B9A1-C74C503B7482}"/>
            </c:ext>
          </c:extLst>
        </c:ser>
        <c:ser>
          <c:idx val="9"/>
          <c:order val="9"/>
          <c:tx>
            <c:v>Soma de Outubro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184.07999999999998</c:v>
              </c:pt>
            </c:numLit>
          </c:val>
          <c:extLst>
            <c:ext xmlns:c16="http://schemas.microsoft.com/office/drawing/2014/chart" uri="{C3380CC4-5D6E-409C-BE32-E72D297353CC}">
              <c16:uniqueId val="{0000003A-A033-47F8-B9A1-C74C503B7482}"/>
            </c:ext>
          </c:extLst>
        </c:ser>
        <c:ser>
          <c:idx val="10"/>
          <c:order val="10"/>
          <c:tx>
            <c:v>Soma de Novembro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C-A033-47F8-B9A1-C74C503B7482}"/>
            </c:ext>
          </c:extLst>
        </c:ser>
        <c:ser>
          <c:idx val="11"/>
          <c:order val="11"/>
          <c:tx>
            <c:v>Soma de Dezembro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Academia/Suplemento/Alimentação</c:v>
              </c:pt>
            </c:strLit>
          </c:cat>
          <c:val>
            <c:numLit>
              <c:formatCode>General</c:formatCode>
              <c:ptCount val="1"/>
              <c:pt idx="0">
                <c:v>100</c:v>
              </c:pt>
            </c:numLit>
          </c:val>
          <c:extLst>
            <c:ext xmlns:c16="http://schemas.microsoft.com/office/drawing/2014/chart" uri="{C3380CC4-5D6E-409C-BE32-E72D297353CC}">
              <c16:uniqueId val="{0000003E-A033-47F8-B9A1-C74C503B7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7156880"/>
        <c:axId val="187150160"/>
      </c:barChart>
      <c:catAx>
        <c:axId val="187156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15016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87150160"/>
        <c:scaling>
          <c:orientation val="minMax"/>
        </c:scaling>
        <c:delete val="1"/>
        <c:axPos val="l"/>
        <c:numFmt formatCode="General" sourceLinked="0"/>
        <c:majorTickMark val="out"/>
        <c:minorTickMark val="none"/>
        <c:tickLblPos val="nextTo"/>
        <c:crossAx val="18715688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solidFill>
          <a:schemeClr val="tx1">
            <a:lumMod val="95000"/>
            <a:lumOff val="5000"/>
          </a:schemeClr>
        </a:soli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>
        <a:lumMod val="95000"/>
        <a:lumOff val="5000"/>
      </a:schemeClr>
    </a:solidFill>
    <a:ln w="0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5="http://schemas.microsoft.com/office/drawing/2012/chart" uri="{723BEF56-08C2-4564-9609-F4CBC75E7E54}">
      <c15:pivotSource>
        <c15:name>[Formulario.xlsx]PivotChartTable1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tmp"/><Relationship Id="rId2" Type="http://schemas.openxmlformats.org/officeDocument/2006/relationships/image" Target="../media/image6.tmp"/><Relationship Id="rId1" Type="http://schemas.openxmlformats.org/officeDocument/2006/relationships/image" Target="../media/image5.tmp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tmp"/><Relationship Id="rId2" Type="http://schemas.openxmlformats.org/officeDocument/2006/relationships/image" Target="../media/image9.tmp"/><Relationship Id="rId1" Type="http://schemas.openxmlformats.org/officeDocument/2006/relationships/image" Target="../media/image8.tmp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tmp"/><Relationship Id="rId1" Type="http://schemas.openxmlformats.org/officeDocument/2006/relationships/image" Target="../media/image11.tmp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tmp"/><Relationship Id="rId7" Type="http://schemas.openxmlformats.org/officeDocument/2006/relationships/image" Target="../media/image19.tmp"/><Relationship Id="rId2" Type="http://schemas.openxmlformats.org/officeDocument/2006/relationships/image" Target="../media/image14.tmp"/><Relationship Id="rId1" Type="http://schemas.openxmlformats.org/officeDocument/2006/relationships/image" Target="../media/image13.tmp"/><Relationship Id="rId6" Type="http://schemas.openxmlformats.org/officeDocument/2006/relationships/image" Target="../media/image18.tmp"/><Relationship Id="rId5" Type="http://schemas.openxmlformats.org/officeDocument/2006/relationships/image" Target="../media/image17.tmp"/><Relationship Id="rId4" Type="http://schemas.openxmlformats.org/officeDocument/2006/relationships/image" Target="../media/image16.tmp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tmp"/><Relationship Id="rId2" Type="http://schemas.openxmlformats.org/officeDocument/2006/relationships/image" Target="../media/image21.tmp"/><Relationship Id="rId1" Type="http://schemas.openxmlformats.org/officeDocument/2006/relationships/image" Target="../media/image20.tmp"/><Relationship Id="rId4" Type="http://schemas.openxmlformats.org/officeDocument/2006/relationships/image" Target="../media/image23.tmp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tmp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tmp"/><Relationship Id="rId1" Type="http://schemas.openxmlformats.org/officeDocument/2006/relationships/image" Target="../media/image25.tmp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tmp"/><Relationship Id="rId13" Type="http://schemas.openxmlformats.org/officeDocument/2006/relationships/image" Target="../media/image38.tmp"/><Relationship Id="rId3" Type="http://schemas.openxmlformats.org/officeDocument/2006/relationships/image" Target="../media/image29.tmp"/><Relationship Id="rId7" Type="http://schemas.openxmlformats.org/officeDocument/2006/relationships/image" Target="../media/image33.tmp"/><Relationship Id="rId12" Type="http://schemas.openxmlformats.org/officeDocument/2006/relationships/image" Target="../media/image25.tmp"/><Relationship Id="rId2" Type="http://schemas.openxmlformats.org/officeDocument/2006/relationships/image" Target="../media/image28.tmp"/><Relationship Id="rId1" Type="http://schemas.openxmlformats.org/officeDocument/2006/relationships/image" Target="../media/image27.tmp"/><Relationship Id="rId6" Type="http://schemas.openxmlformats.org/officeDocument/2006/relationships/image" Target="../media/image32.tmp"/><Relationship Id="rId11" Type="http://schemas.openxmlformats.org/officeDocument/2006/relationships/image" Target="../media/image37.png"/><Relationship Id="rId5" Type="http://schemas.openxmlformats.org/officeDocument/2006/relationships/image" Target="../media/image31.tmp"/><Relationship Id="rId15" Type="http://schemas.openxmlformats.org/officeDocument/2006/relationships/image" Target="../media/image40.tmp"/><Relationship Id="rId10" Type="http://schemas.openxmlformats.org/officeDocument/2006/relationships/image" Target="../media/image36.tmp"/><Relationship Id="rId4" Type="http://schemas.openxmlformats.org/officeDocument/2006/relationships/image" Target="../media/image30.tmp"/><Relationship Id="rId9" Type="http://schemas.openxmlformats.org/officeDocument/2006/relationships/image" Target="../media/image35.tmp"/><Relationship Id="rId14" Type="http://schemas.openxmlformats.org/officeDocument/2006/relationships/image" Target="../media/image39.tmp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tmp"/><Relationship Id="rId2" Type="http://schemas.openxmlformats.org/officeDocument/2006/relationships/image" Target="../media/image42.tmp"/><Relationship Id="rId1" Type="http://schemas.openxmlformats.org/officeDocument/2006/relationships/image" Target="../media/image41.tmp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tmp"/><Relationship Id="rId1" Type="http://schemas.openxmlformats.org/officeDocument/2006/relationships/image" Target="../media/image44.tmp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tmp"/><Relationship Id="rId3" Type="http://schemas.openxmlformats.org/officeDocument/2006/relationships/image" Target="../media/image48.tmp"/><Relationship Id="rId7" Type="http://schemas.openxmlformats.org/officeDocument/2006/relationships/image" Target="../media/image52.tmp"/><Relationship Id="rId2" Type="http://schemas.openxmlformats.org/officeDocument/2006/relationships/image" Target="../media/image47.tmp"/><Relationship Id="rId1" Type="http://schemas.openxmlformats.org/officeDocument/2006/relationships/image" Target="../media/image46.tmp"/><Relationship Id="rId6" Type="http://schemas.openxmlformats.org/officeDocument/2006/relationships/image" Target="../media/image51.tmp"/><Relationship Id="rId5" Type="http://schemas.openxmlformats.org/officeDocument/2006/relationships/image" Target="../media/image50.png"/><Relationship Id="rId4" Type="http://schemas.openxmlformats.org/officeDocument/2006/relationships/image" Target="../media/image49.tmp"/><Relationship Id="rId9" Type="http://schemas.openxmlformats.org/officeDocument/2006/relationships/image" Target="../media/image54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145677</xdr:colOff>
      <xdr:row>80</xdr:row>
      <xdr:rowOff>78442</xdr:rowOff>
    </xdr:from>
    <xdr:to>
      <xdr:col>23</xdr:col>
      <xdr:colOff>2193</xdr:colOff>
      <xdr:row>109</xdr:row>
      <xdr:rowOff>22056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80795" y="15307236"/>
          <a:ext cx="7678222" cy="54681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78441</xdr:colOff>
      <xdr:row>40</xdr:row>
      <xdr:rowOff>145677</xdr:rowOff>
    </xdr:from>
    <xdr:to>
      <xdr:col>24</xdr:col>
      <xdr:colOff>134469</xdr:colOff>
      <xdr:row>63</xdr:row>
      <xdr:rowOff>123264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3" r="6774" b="3798"/>
        <a:stretch/>
      </xdr:blipFill>
      <xdr:spPr>
        <a:xfrm>
          <a:off x="12113559" y="7877736"/>
          <a:ext cx="7272617" cy="43590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324972</xdr:colOff>
      <xdr:row>100</xdr:row>
      <xdr:rowOff>33617</xdr:rowOff>
    </xdr:from>
    <xdr:to>
      <xdr:col>21</xdr:col>
      <xdr:colOff>414618</xdr:colOff>
      <xdr:row>117</xdr:row>
      <xdr:rowOff>60038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1648" y="1322293"/>
          <a:ext cx="6028764" cy="32649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381001</xdr:colOff>
      <xdr:row>136</xdr:row>
      <xdr:rowOff>44826</xdr:rowOff>
    </xdr:from>
    <xdr:to>
      <xdr:col>17</xdr:col>
      <xdr:colOff>32080</xdr:colOff>
      <xdr:row>141</xdr:row>
      <xdr:rowOff>35433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266" y="26300208"/>
          <a:ext cx="5029902" cy="9431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22411</xdr:colOff>
      <xdr:row>215</xdr:row>
      <xdr:rowOff>56031</xdr:rowOff>
    </xdr:from>
    <xdr:to>
      <xdr:col>21</xdr:col>
      <xdr:colOff>149177</xdr:colOff>
      <xdr:row>254</xdr:row>
      <xdr:rowOff>66594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52C1704-EF5D-4B76-AFD8-8995B33D80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8"/>
        <a:stretch>
          <a:fillRect/>
        </a:stretch>
      </xdr:blipFill>
      <xdr:spPr>
        <a:xfrm>
          <a:off x="15677029" y="24260737"/>
          <a:ext cx="4866854" cy="7440063"/>
        </a:xfrm>
        <a:prstGeom prst="rect">
          <a:avLst/>
        </a:prstGeom>
      </xdr:spPr>
    </xdr:pic>
    <xdr:clientData/>
  </xdr:twoCellAnchor>
  <xdr:twoCellAnchor editAs="oneCell">
    <xdr:from>
      <xdr:col>7</xdr:col>
      <xdr:colOff>33618</xdr:colOff>
      <xdr:row>214</xdr:row>
      <xdr:rowOff>175833</xdr:rowOff>
    </xdr:from>
    <xdr:to>
      <xdr:col>11</xdr:col>
      <xdr:colOff>885265</xdr:colOff>
      <xdr:row>264</xdr:row>
      <xdr:rowOff>75198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50CC1DC-E143-51CC-76E6-EC6F0ADD2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24190039"/>
          <a:ext cx="4437530" cy="9424365"/>
        </a:xfrm>
        <a:prstGeom prst="rect">
          <a:avLst/>
        </a:prstGeom>
      </xdr:spPr>
    </xdr:pic>
    <xdr:clientData/>
  </xdr:twoCellAnchor>
  <xdr:twoCellAnchor editAs="oneCell">
    <xdr:from>
      <xdr:col>7</xdr:col>
      <xdr:colOff>11208</xdr:colOff>
      <xdr:row>260</xdr:row>
      <xdr:rowOff>0</xdr:rowOff>
    </xdr:from>
    <xdr:to>
      <xdr:col>12</xdr:col>
      <xdr:colOff>56031</xdr:colOff>
      <xdr:row>273</xdr:row>
      <xdr:rowOff>63930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9DB69F31-54F8-61DC-7A88-463372CF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7590" y="30087794"/>
          <a:ext cx="4527176" cy="25404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806824</xdr:colOff>
      <xdr:row>176</xdr:row>
      <xdr:rowOff>78441</xdr:rowOff>
    </xdr:from>
    <xdr:to>
      <xdr:col>20</xdr:col>
      <xdr:colOff>791742</xdr:colOff>
      <xdr:row>211</xdr:row>
      <xdr:rowOff>161749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2AC83F4-F003-2918-36FF-E7C7B9308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64971" y="18142323"/>
          <a:ext cx="4344006" cy="677322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213</xdr:row>
      <xdr:rowOff>0</xdr:rowOff>
    </xdr:from>
    <xdr:to>
      <xdr:col>20</xdr:col>
      <xdr:colOff>805178</xdr:colOff>
      <xdr:row>249</xdr:row>
      <xdr:rowOff>20010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D8A8BA2-4356-78C4-3A39-07EBB6F53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4618" y="25134794"/>
          <a:ext cx="4267796" cy="6878010"/>
        </a:xfrm>
        <a:prstGeom prst="rect">
          <a:avLst/>
        </a:prstGeom>
      </xdr:spPr>
    </xdr:pic>
    <xdr:clientData/>
  </xdr:twoCellAnchor>
  <xdr:twoCellAnchor editAs="oneCell">
    <xdr:from>
      <xdr:col>0</xdr:col>
      <xdr:colOff>526676</xdr:colOff>
      <xdr:row>203</xdr:row>
      <xdr:rowOff>33617</xdr:rowOff>
    </xdr:from>
    <xdr:to>
      <xdr:col>15</xdr:col>
      <xdr:colOff>530954</xdr:colOff>
      <xdr:row>241</xdr:row>
      <xdr:rowOff>72733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A146A8A-7A89-DE26-BD5B-535D34CA9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676" y="23263411"/>
          <a:ext cx="14594337" cy="72781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369368</xdr:colOff>
      <xdr:row>57</xdr:row>
      <xdr:rowOff>142875</xdr:rowOff>
    </xdr:from>
    <xdr:to>
      <xdr:col>16</xdr:col>
      <xdr:colOff>108272</xdr:colOff>
      <xdr:row>72</xdr:row>
      <xdr:rowOff>8405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783F451-32FD-4AFC-828A-B90939C84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84793" y="13258800"/>
          <a:ext cx="10578354" cy="329453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39</xdr:row>
      <xdr:rowOff>133350</xdr:rowOff>
    </xdr:from>
    <xdr:to>
      <xdr:col>17</xdr:col>
      <xdr:colOff>332254</xdr:colOff>
      <xdr:row>57</xdr:row>
      <xdr:rowOff>187065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2926173-C02D-432E-9EC5-3D85D0490C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68"/>
        <a:stretch/>
      </xdr:blipFill>
      <xdr:spPr>
        <a:xfrm>
          <a:off x="9210675" y="9134475"/>
          <a:ext cx="11867029" cy="41685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56031</xdr:colOff>
      <xdr:row>22</xdr:row>
      <xdr:rowOff>141194</xdr:rowOff>
    </xdr:from>
    <xdr:to>
      <xdr:col>9</xdr:col>
      <xdr:colOff>1221442</xdr:colOff>
      <xdr:row>41</xdr:row>
      <xdr:rowOff>100853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5A63B6D-B6DE-4A63-B2C3-DDD2F3DE5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324970</xdr:colOff>
      <xdr:row>22</xdr:row>
      <xdr:rowOff>168087</xdr:rowOff>
    </xdr:from>
    <xdr:to>
      <xdr:col>12</xdr:col>
      <xdr:colOff>1187824</xdr:colOff>
      <xdr:row>41</xdr:row>
      <xdr:rowOff>112058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Despesas 2026">
              <a:extLst>
                <a:ext uri="{FF2B5EF4-FFF2-40B4-BE49-F238E27FC236}">
                  <a16:creationId xmlns:a16="http://schemas.microsoft.com/office/drawing/2014/main" id="{ED84E502-9D57-4966-9D43-9BC27F54A1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pesas 202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51441" y="4392705"/>
              <a:ext cx="3115236" cy="35634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56031</xdr:colOff>
      <xdr:row>22</xdr:row>
      <xdr:rowOff>141194</xdr:rowOff>
    </xdr:from>
    <xdr:to>
      <xdr:col>9</xdr:col>
      <xdr:colOff>1221442</xdr:colOff>
      <xdr:row>41</xdr:row>
      <xdr:rowOff>100853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B8D6D25-C6F6-880F-4060-75397C3E7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324970</xdr:colOff>
      <xdr:row>22</xdr:row>
      <xdr:rowOff>168087</xdr:rowOff>
    </xdr:from>
    <xdr:to>
      <xdr:col>12</xdr:col>
      <xdr:colOff>1187824</xdr:colOff>
      <xdr:row>41</xdr:row>
      <xdr:rowOff>112058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espesas 2025">
              <a:extLst>
                <a:ext uri="{FF2B5EF4-FFF2-40B4-BE49-F238E27FC236}">
                  <a16:creationId xmlns:a16="http://schemas.microsoft.com/office/drawing/2014/main" id="{42930D94-5E7F-7502-A872-02558B2D4A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pesas 202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51441" y="4392705"/>
              <a:ext cx="3115236" cy="35634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60</xdr:row>
      <xdr:rowOff>0</xdr:rowOff>
    </xdr:from>
    <xdr:to>
      <xdr:col>9</xdr:col>
      <xdr:colOff>155742</xdr:colOff>
      <xdr:row>87</xdr:row>
      <xdr:rowOff>86455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F99CE4E-95F3-3B9C-D369-2B0C0DD0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7294" y="13727206"/>
          <a:ext cx="7887801" cy="5229955"/>
        </a:xfrm>
        <a:prstGeom prst="rect">
          <a:avLst/>
        </a:prstGeom>
      </xdr:spPr>
    </xdr:pic>
    <xdr:clientData/>
  </xdr:twoCellAnchor>
  <xdr:twoCellAnchor editAs="oneCell">
    <xdr:from>
      <xdr:col>9</xdr:col>
      <xdr:colOff>291353</xdr:colOff>
      <xdr:row>59</xdr:row>
      <xdr:rowOff>179294</xdr:rowOff>
    </xdr:from>
    <xdr:to>
      <xdr:col>16</xdr:col>
      <xdr:colOff>696983</xdr:colOff>
      <xdr:row>87</xdr:row>
      <xdr:rowOff>75249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F82BCDC-5600-3AA5-78B5-C07FA40EC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1912" y="13716000"/>
          <a:ext cx="7868748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183792</xdr:rowOff>
    </xdr:from>
    <xdr:to>
      <xdr:col>5</xdr:col>
      <xdr:colOff>649940</xdr:colOff>
      <xdr:row>119</xdr:row>
      <xdr:rowOff>175533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9CED8CE-0EF4-5B45-804F-AE0A733A0B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48"/>
        <a:stretch>
          <a:fillRect/>
        </a:stretch>
      </xdr:blipFill>
      <xdr:spPr>
        <a:xfrm>
          <a:off x="0" y="20768998"/>
          <a:ext cx="6589058" cy="4373241"/>
        </a:xfrm>
        <a:prstGeom prst="rect">
          <a:avLst/>
        </a:prstGeom>
      </xdr:spPr>
    </xdr:pic>
    <xdr:clientData/>
  </xdr:twoCellAnchor>
  <xdr:twoCellAnchor editAs="oneCell">
    <xdr:from>
      <xdr:col>2</xdr:col>
      <xdr:colOff>280147</xdr:colOff>
      <xdr:row>111</xdr:row>
      <xdr:rowOff>145680</xdr:rowOff>
    </xdr:from>
    <xdr:to>
      <xdr:col>3</xdr:col>
      <xdr:colOff>359249</xdr:colOff>
      <xdr:row>119</xdr:row>
      <xdr:rowOff>156883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7DA70021-61E9-9F68-E72E-7675A923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441" y="23588386"/>
          <a:ext cx="1154867" cy="1535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119907</xdr:rowOff>
    </xdr:from>
    <xdr:to>
      <xdr:col>5</xdr:col>
      <xdr:colOff>638734</xdr:colOff>
      <xdr:row>144</xdr:row>
      <xdr:rowOff>104210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0315680-B10C-4828-961A-5EE857C17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48"/>
        <a:stretch>
          <a:fillRect/>
        </a:stretch>
      </xdr:blipFill>
      <xdr:spPr>
        <a:xfrm>
          <a:off x="0" y="25467613"/>
          <a:ext cx="6577852" cy="4365803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179297</xdr:colOff>
      <xdr:row>137</xdr:row>
      <xdr:rowOff>6493</xdr:rowOff>
    </xdr:from>
    <xdr:to>
      <xdr:col>3</xdr:col>
      <xdr:colOff>381000</xdr:colOff>
      <xdr:row>144</xdr:row>
      <xdr:rowOff>189144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0B7FF00-458D-026E-4D17-BF4F34C293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75" b="38085"/>
        <a:stretch>
          <a:fillRect/>
        </a:stretch>
      </xdr:blipFill>
      <xdr:spPr>
        <a:xfrm>
          <a:off x="3406591" y="26676493"/>
          <a:ext cx="1277468" cy="1516151"/>
        </a:xfrm>
        <a:prstGeom prst="rect">
          <a:avLst/>
        </a:prstGeom>
      </xdr:spPr>
    </xdr:pic>
    <xdr:clientData/>
  </xdr:twoCellAnchor>
  <xdr:twoCellAnchor editAs="oneCell">
    <xdr:from>
      <xdr:col>6</xdr:col>
      <xdr:colOff>33617</xdr:colOff>
      <xdr:row>108</xdr:row>
      <xdr:rowOff>134469</xdr:rowOff>
    </xdr:from>
    <xdr:to>
      <xdr:col>11</xdr:col>
      <xdr:colOff>892097</xdr:colOff>
      <xdr:row>132</xdr:row>
      <xdr:rowOff>156882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AF17B927-5643-8AA8-F982-9708EED22D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" t="1131" r="451"/>
        <a:stretch>
          <a:fillRect/>
        </a:stretch>
      </xdr:blipFill>
      <xdr:spPr>
        <a:xfrm>
          <a:off x="7194176" y="21279969"/>
          <a:ext cx="6920862" cy="4594413"/>
        </a:xfrm>
        <a:prstGeom prst="rect">
          <a:avLst/>
        </a:prstGeom>
      </xdr:spPr>
    </xdr:pic>
    <xdr:clientData/>
  </xdr:twoCellAnchor>
  <xdr:twoCellAnchor editAs="oneCell">
    <xdr:from>
      <xdr:col>6</xdr:col>
      <xdr:colOff>33618</xdr:colOff>
      <xdr:row>134</xdr:row>
      <xdr:rowOff>117050</xdr:rowOff>
    </xdr:from>
    <xdr:to>
      <xdr:col>11</xdr:col>
      <xdr:colOff>963706</xdr:colOff>
      <xdr:row>159</xdr:row>
      <xdr:rowOff>64967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2C34A16B-F200-77DD-CDED-15CA50619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4"/>
        <a:stretch>
          <a:fillRect/>
        </a:stretch>
      </xdr:blipFill>
      <xdr:spPr>
        <a:xfrm>
          <a:off x="7194177" y="26215550"/>
          <a:ext cx="6992470" cy="471041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962026</xdr:colOff>
      <xdr:row>107</xdr:row>
      <xdr:rowOff>57150</xdr:rowOff>
    </xdr:from>
    <xdr:ext cx="13444156" cy="3971925"/>
    <xdr:pic>
      <xdr:nvPicPr>
        <xdr:cNvPr id="2" name="Imagem 1">
          <a:extLst>
            <a:ext uri="{FF2B5EF4-FFF2-40B4-BE49-F238E27FC236}">
              <a16:creationId xmlns:a16="http://schemas.microsoft.com/office/drawing/2014/main" id="{D47D3415-1EF8-4B1F-BD01-D2213B7BEB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2"/>
        <a:stretch/>
      </xdr:blipFill>
      <xdr:spPr>
        <a:xfrm>
          <a:off x="3800476" y="30299025"/>
          <a:ext cx="13444156" cy="3971925"/>
        </a:xfrm>
        <a:prstGeom prst="rect">
          <a:avLst/>
        </a:prstGeom>
      </xdr:spPr>
    </xdr:pic>
    <xdr:clientData/>
  </xdr:oneCellAnchor>
  <xdr:oneCellAnchor>
    <xdr:from>
      <xdr:col>1</xdr:col>
      <xdr:colOff>179774</xdr:colOff>
      <xdr:row>107</xdr:row>
      <xdr:rowOff>114300</xdr:rowOff>
    </xdr:from>
    <xdr:ext cx="3287785" cy="3981450"/>
    <xdr:pic>
      <xdr:nvPicPr>
        <xdr:cNvPr id="3" name="Imagem 2">
          <a:extLst>
            <a:ext uri="{FF2B5EF4-FFF2-40B4-BE49-F238E27FC236}">
              <a16:creationId xmlns:a16="http://schemas.microsoft.com/office/drawing/2014/main" id="{9DCA4BF9-B2F8-48A4-8D82-574087F47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199" y="30356175"/>
          <a:ext cx="3287785" cy="3981450"/>
        </a:xfrm>
        <a:prstGeom prst="rect">
          <a:avLst/>
        </a:prstGeom>
      </xdr:spPr>
    </xdr:pic>
    <xdr:clientData/>
  </xdr:oneCellAnchor>
  <xdr:twoCellAnchor>
    <xdr:from>
      <xdr:col>1</xdr:col>
      <xdr:colOff>400050</xdr:colOff>
      <xdr:row>117</xdr:row>
      <xdr:rowOff>9525</xdr:rowOff>
    </xdr:from>
    <xdr:to>
      <xdr:col>1</xdr:col>
      <xdr:colOff>581025</xdr:colOff>
      <xdr:row>124</xdr:row>
      <xdr:rowOff>66675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BE035AF7-FCEE-4FC5-80AD-C63056953AB7}"/>
            </a:ext>
          </a:extLst>
        </xdr:cNvPr>
        <xdr:cNvSpPr txBox="1"/>
      </xdr:nvSpPr>
      <xdr:spPr>
        <a:xfrm>
          <a:off x="752475" y="31870650"/>
          <a:ext cx="180975" cy="119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3,65</a:t>
          </a:r>
        </a:p>
      </xdr:txBody>
    </xdr:sp>
    <xdr:clientData/>
  </xdr:twoCellAnchor>
  <xdr:twoCellAnchor>
    <xdr:from>
      <xdr:col>8</xdr:col>
      <xdr:colOff>685800</xdr:colOff>
      <xdr:row>108</xdr:row>
      <xdr:rowOff>85725</xdr:rowOff>
    </xdr:from>
    <xdr:to>
      <xdr:col>8</xdr:col>
      <xdr:colOff>685800</xdr:colOff>
      <xdr:row>131</xdr:row>
      <xdr:rowOff>38100</xdr:rowOff>
    </xdr:to>
    <xdr:cxnSp macro="">
      <xdr:nvCxnSpPr>
        <xdr:cNvPr id="6" name="Conector reto 5">
          <a:extLst>
            <a:ext uri="{FF2B5EF4-FFF2-40B4-BE49-F238E27FC236}">
              <a16:creationId xmlns:a16="http://schemas.microsoft.com/office/drawing/2014/main" id="{76F46231-2B5C-47D7-9B2E-93AA5589ABCA}"/>
            </a:ext>
          </a:extLst>
        </xdr:cNvPr>
        <xdr:cNvCxnSpPr/>
      </xdr:nvCxnSpPr>
      <xdr:spPr>
        <a:xfrm>
          <a:off x="8334375" y="30489525"/>
          <a:ext cx="0" cy="367665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108</xdr:row>
      <xdr:rowOff>152400</xdr:rowOff>
    </xdr:from>
    <xdr:to>
      <xdr:col>7</xdr:col>
      <xdr:colOff>819150</xdr:colOff>
      <xdr:row>110</xdr:row>
      <xdr:rowOff>57150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475B7AB7-EB6A-49C1-AD62-87D6B49FE5FA}"/>
            </a:ext>
          </a:extLst>
        </xdr:cNvPr>
        <xdr:cNvSpPr txBox="1"/>
      </xdr:nvSpPr>
      <xdr:spPr>
        <a:xfrm>
          <a:off x="6096000" y="30556200"/>
          <a:ext cx="139065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2,60</a:t>
          </a:r>
        </a:p>
      </xdr:txBody>
    </xdr:sp>
    <xdr:clientData/>
  </xdr:twoCellAnchor>
  <xdr:twoCellAnchor>
    <xdr:from>
      <xdr:col>4</xdr:col>
      <xdr:colOff>2667000</xdr:colOff>
      <xdr:row>109</xdr:row>
      <xdr:rowOff>57150</xdr:rowOff>
    </xdr:from>
    <xdr:to>
      <xdr:col>4</xdr:col>
      <xdr:colOff>2828925</xdr:colOff>
      <xdr:row>114</xdr:row>
      <xdr:rowOff>133350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02CFA67-9042-4C5C-ABA6-89B7618757C6}"/>
            </a:ext>
          </a:extLst>
        </xdr:cNvPr>
        <xdr:cNvSpPr txBox="1"/>
      </xdr:nvSpPr>
      <xdr:spPr>
        <a:xfrm>
          <a:off x="5505450" y="30622875"/>
          <a:ext cx="161925" cy="885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1,40</a:t>
          </a:r>
        </a:p>
      </xdr:txBody>
    </xdr:sp>
    <xdr:clientData/>
  </xdr:twoCellAnchor>
  <xdr:twoCellAnchor>
    <xdr:from>
      <xdr:col>4</xdr:col>
      <xdr:colOff>2733675</xdr:colOff>
      <xdr:row>129</xdr:row>
      <xdr:rowOff>19050</xdr:rowOff>
    </xdr:from>
    <xdr:to>
      <xdr:col>7</xdr:col>
      <xdr:colOff>447675</xdr:colOff>
      <xdr:row>130</xdr:row>
      <xdr:rowOff>66675</xdr:rowOff>
    </xdr:to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4F00DA8B-5EF7-4543-B39C-3B9D467E327F}"/>
            </a:ext>
          </a:extLst>
        </xdr:cNvPr>
        <xdr:cNvSpPr txBox="1"/>
      </xdr:nvSpPr>
      <xdr:spPr>
        <a:xfrm>
          <a:off x="5572125" y="33823275"/>
          <a:ext cx="15430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4,50</a:t>
          </a:r>
        </a:p>
      </xdr:txBody>
    </xdr:sp>
    <xdr:clientData/>
  </xdr:twoCellAnchor>
  <xdr:twoCellAnchor>
    <xdr:from>
      <xdr:col>9</xdr:col>
      <xdr:colOff>942975</xdr:colOff>
      <xdr:row>108</xdr:row>
      <xdr:rowOff>114300</xdr:rowOff>
    </xdr:from>
    <xdr:to>
      <xdr:col>10</xdr:col>
      <xdr:colOff>390525</xdr:colOff>
      <xdr:row>110</xdr:row>
      <xdr:rowOff>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35E00142-ABBF-477E-84D6-746AAC9E81EF}"/>
            </a:ext>
          </a:extLst>
        </xdr:cNvPr>
        <xdr:cNvSpPr txBox="1"/>
      </xdr:nvSpPr>
      <xdr:spPr>
        <a:xfrm>
          <a:off x="9544050" y="30518100"/>
          <a:ext cx="144780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4,60</a:t>
          </a:r>
        </a:p>
      </xdr:txBody>
    </xdr:sp>
    <xdr:clientData/>
  </xdr:twoCellAnchor>
  <xdr:twoCellAnchor>
    <xdr:from>
      <xdr:col>5</xdr:col>
      <xdr:colOff>495300</xdr:colOff>
      <xdr:row>115</xdr:row>
      <xdr:rowOff>28575</xdr:rowOff>
    </xdr:from>
    <xdr:to>
      <xdr:col>5</xdr:col>
      <xdr:colOff>676275</xdr:colOff>
      <xdr:row>125</xdr:row>
      <xdr:rowOff>76200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D126B678-9C01-440E-BD77-BEBED358D720}"/>
            </a:ext>
          </a:extLst>
        </xdr:cNvPr>
        <xdr:cNvSpPr txBox="1"/>
      </xdr:nvSpPr>
      <xdr:spPr>
        <a:xfrm>
          <a:off x="8639175" y="98593275"/>
          <a:ext cx="180975" cy="1666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3,90</a:t>
          </a:r>
        </a:p>
        <a:p>
          <a:pPr algn="ctr"/>
          <a:endParaRPr lang="pt-BR" sz="1100"/>
        </a:p>
        <a:p>
          <a:pPr algn="ctr"/>
          <a:r>
            <a:rPr lang="pt-BR" sz="1100"/>
            <a:t>piso</a:t>
          </a:r>
        </a:p>
      </xdr:txBody>
    </xdr:sp>
    <xdr:clientData/>
  </xdr:twoCellAnchor>
  <xdr:twoCellAnchor>
    <xdr:from>
      <xdr:col>12</xdr:col>
      <xdr:colOff>304801</xdr:colOff>
      <xdr:row>129</xdr:row>
      <xdr:rowOff>66673</xdr:rowOff>
    </xdr:from>
    <xdr:to>
      <xdr:col>12</xdr:col>
      <xdr:colOff>1466851</xdr:colOff>
      <xdr:row>130</xdr:row>
      <xdr:rowOff>133349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26E75037-DAD9-4333-B18B-19EC1D2FFA0B}"/>
            </a:ext>
          </a:extLst>
        </xdr:cNvPr>
        <xdr:cNvSpPr txBox="1"/>
      </xdr:nvSpPr>
      <xdr:spPr>
        <a:xfrm>
          <a:off x="12677776" y="33870898"/>
          <a:ext cx="1162050" cy="228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1,65</a:t>
          </a:r>
        </a:p>
      </xdr:txBody>
    </xdr:sp>
    <xdr:clientData/>
  </xdr:twoCellAnchor>
  <xdr:twoCellAnchor>
    <xdr:from>
      <xdr:col>12</xdr:col>
      <xdr:colOff>104775</xdr:colOff>
      <xdr:row>121</xdr:row>
      <xdr:rowOff>9525</xdr:rowOff>
    </xdr:from>
    <xdr:to>
      <xdr:col>12</xdr:col>
      <xdr:colOff>285750</xdr:colOff>
      <xdr:row>128</xdr:row>
      <xdr:rowOff>66675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C48EA210-B550-41C5-B99E-1C89BD7D4804}"/>
            </a:ext>
          </a:extLst>
        </xdr:cNvPr>
        <xdr:cNvSpPr txBox="1"/>
      </xdr:nvSpPr>
      <xdr:spPr>
        <a:xfrm>
          <a:off x="12477750" y="32518350"/>
          <a:ext cx="180975" cy="119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2,70</a:t>
          </a:r>
        </a:p>
      </xdr:txBody>
    </xdr:sp>
    <xdr:clientData/>
  </xdr:twoCellAnchor>
  <xdr:twoCellAnchor>
    <xdr:from>
      <xdr:col>12</xdr:col>
      <xdr:colOff>1400175</xdr:colOff>
      <xdr:row>109</xdr:row>
      <xdr:rowOff>142875</xdr:rowOff>
    </xdr:from>
    <xdr:to>
      <xdr:col>13</xdr:col>
      <xdr:colOff>47625</xdr:colOff>
      <xdr:row>115</xdr:row>
      <xdr:rowOff>0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7C844833-05F0-4259-88A8-137A13103EB8}"/>
            </a:ext>
          </a:extLst>
        </xdr:cNvPr>
        <xdr:cNvSpPr txBox="1"/>
      </xdr:nvSpPr>
      <xdr:spPr>
        <a:xfrm>
          <a:off x="13773150" y="30708600"/>
          <a:ext cx="16192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1,17</a:t>
          </a:r>
        </a:p>
      </xdr:txBody>
    </xdr:sp>
    <xdr:clientData/>
  </xdr:twoCellAnchor>
  <xdr:twoCellAnchor>
    <xdr:from>
      <xdr:col>12</xdr:col>
      <xdr:colOff>171450</xdr:colOff>
      <xdr:row>108</xdr:row>
      <xdr:rowOff>66674</xdr:rowOff>
    </xdr:from>
    <xdr:to>
      <xdr:col>13</xdr:col>
      <xdr:colOff>19050</xdr:colOff>
      <xdr:row>109</xdr:row>
      <xdr:rowOff>123825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CE15885E-F981-4DDD-9F9E-52C3889A2CBC}"/>
            </a:ext>
          </a:extLst>
        </xdr:cNvPr>
        <xdr:cNvSpPr txBox="1"/>
      </xdr:nvSpPr>
      <xdr:spPr>
        <a:xfrm>
          <a:off x="12544425" y="30470474"/>
          <a:ext cx="1362075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1,73</a:t>
          </a:r>
        </a:p>
      </xdr:txBody>
    </xdr:sp>
    <xdr:clientData/>
  </xdr:twoCellAnchor>
  <xdr:twoCellAnchor>
    <xdr:from>
      <xdr:col>13</xdr:col>
      <xdr:colOff>1076325</xdr:colOff>
      <xdr:row>109</xdr:row>
      <xdr:rowOff>9525</xdr:rowOff>
    </xdr:from>
    <xdr:to>
      <xdr:col>14</xdr:col>
      <xdr:colOff>1095375</xdr:colOff>
      <xdr:row>110</xdr:row>
      <xdr:rowOff>57150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5E660188-60FD-40DB-8949-B2A51BB1E76B}"/>
            </a:ext>
          </a:extLst>
        </xdr:cNvPr>
        <xdr:cNvSpPr txBox="1"/>
      </xdr:nvSpPr>
      <xdr:spPr>
        <a:xfrm>
          <a:off x="14963775" y="30575250"/>
          <a:ext cx="111442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3,15</a:t>
          </a:r>
        </a:p>
      </xdr:txBody>
    </xdr:sp>
    <xdr:clientData/>
  </xdr:twoCellAnchor>
  <xdr:twoCellAnchor>
    <xdr:from>
      <xdr:col>13</xdr:col>
      <xdr:colOff>266700</xdr:colOff>
      <xdr:row>117</xdr:row>
      <xdr:rowOff>142875</xdr:rowOff>
    </xdr:from>
    <xdr:to>
      <xdr:col>13</xdr:col>
      <xdr:colOff>447675</xdr:colOff>
      <xdr:row>125</xdr:row>
      <xdr:rowOff>38100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14798ED4-B5A3-4239-AC23-48645FABEE41}"/>
            </a:ext>
          </a:extLst>
        </xdr:cNvPr>
        <xdr:cNvSpPr txBox="1"/>
      </xdr:nvSpPr>
      <xdr:spPr>
        <a:xfrm>
          <a:off x="14154150" y="32004000"/>
          <a:ext cx="180975" cy="119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4,10</a:t>
          </a:r>
        </a:p>
      </xdr:txBody>
    </xdr:sp>
    <xdr:clientData/>
  </xdr:twoCellAnchor>
  <xdr:twoCellAnchor>
    <xdr:from>
      <xdr:col>4</xdr:col>
      <xdr:colOff>1114426</xdr:colOff>
      <xdr:row>108</xdr:row>
      <xdr:rowOff>85726</xdr:rowOff>
    </xdr:from>
    <xdr:to>
      <xdr:col>4</xdr:col>
      <xdr:colOff>2066925</xdr:colOff>
      <xdr:row>109</xdr:row>
      <xdr:rowOff>133351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75B1B981-F115-413C-9BC9-C3F824CA5540}"/>
            </a:ext>
          </a:extLst>
        </xdr:cNvPr>
        <xdr:cNvSpPr txBox="1"/>
      </xdr:nvSpPr>
      <xdr:spPr>
        <a:xfrm>
          <a:off x="3952876" y="30489526"/>
          <a:ext cx="952499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1,80</a:t>
          </a:r>
        </a:p>
      </xdr:txBody>
    </xdr:sp>
    <xdr:clientData/>
  </xdr:twoCellAnchor>
  <xdr:twoCellAnchor>
    <xdr:from>
      <xdr:col>2</xdr:col>
      <xdr:colOff>371473</xdr:colOff>
      <xdr:row>116</xdr:row>
      <xdr:rowOff>152400</xdr:rowOff>
    </xdr:from>
    <xdr:to>
      <xdr:col>4</xdr:col>
      <xdr:colOff>219074</xdr:colOff>
      <xdr:row>118</xdr:row>
      <xdr:rowOff>133350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5A94CA17-AD6E-49C5-80AE-AB02FFE44EF0}"/>
            </a:ext>
          </a:extLst>
        </xdr:cNvPr>
        <xdr:cNvSpPr txBox="1"/>
      </xdr:nvSpPr>
      <xdr:spPr>
        <a:xfrm>
          <a:off x="1400173" y="31851600"/>
          <a:ext cx="1657351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12,23m2</a:t>
          </a:r>
          <a:endParaRPr lang="pt-BR" sz="1200" b="1"/>
        </a:p>
      </xdr:txBody>
    </xdr:sp>
    <xdr:clientData/>
  </xdr:twoCellAnchor>
  <xdr:twoCellAnchor>
    <xdr:from>
      <xdr:col>9</xdr:col>
      <xdr:colOff>600075</xdr:colOff>
      <xdr:row>115</xdr:row>
      <xdr:rowOff>95250</xdr:rowOff>
    </xdr:from>
    <xdr:to>
      <xdr:col>10</xdr:col>
      <xdr:colOff>476249</xdr:colOff>
      <xdr:row>117</xdr:row>
      <xdr:rowOff>76200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E0B045A5-68F5-4933-8CE4-0216B5999BA2}"/>
            </a:ext>
          </a:extLst>
        </xdr:cNvPr>
        <xdr:cNvSpPr txBox="1"/>
      </xdr:nvSpPr>
      <xdr:spPr>
        <a:xfrm>
          <a:off x="9201150" y="31632525"/>
          <a:ext cx="1876424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18,00 m2</a:t>
          </a:r>
          <a:endParaRPr lang="pt-BR" sz="1200" b="1"/>
        </a:p>
      </xdr:txBody>
    </xdr:sp>
    <xdr:clientData/>
  </xdr:twoCellAnchor>
  <xdr:twoCellAnchor>
    <xdr:from>
      <xdr:col>12</xdr:col>
      <xdr:colOff>333374</xdr:colOff>
      <xdr:row>125</xdr:row>
      <xdr:rowOff>9526</xdr:rowOff>
    </xdr:from>
    <xdr:to>
      <xdr:col>12</xdr:col>
      <xdr:colOff>1400175</xdr:colOff>
      <xdr:row>126</xdr:row>
      <xdr:rowOff>66675</xdr:rowOff>
    </xdr:to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D186D2C1-6E4C-4A02-993A-71920B60F6D2}"/>
            </a:ext>
          </a:extLst>
        </xdr:cNvPr>
        <xdr:cNvSpPr txBox="1"/>
      </xdr:nvSpPr>
      <xdr:spPr>
        <a:xfrm>
          <a:off x="12706349" y="33166051"/>
          <a:ext cx="1066801" cy="219074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800" b="1"/>
            <a:t>TOTAL</a:t>
          </a:r>
          <a:r>
            <a:rPr lang="pt-BR" sz="800" b="1" baseline="0"/>
            <a:t> PISO = 4,50 </a:t>
          </a:r>
          <a:r>
            <a:rPr lang="pt-BR" sz="1000" b="1" baseline="0"/>
            <a:t>m2</a:t>
          </a:r>
          <a:endParaRPr lang="pt-BR" sz="1000" b="1"/>
        </a:p>
      </xdr:txBody>
    </xdr:sp>
    <xdr:clientData/>
  </xdr:twoCellAnchor>
  <xdr:twoCellAnchor>
    <xdr:from>
      <xdr:col>9</xdr:col>
      <xdr:colOff>723899</xdr:colOff>
      <xdr:row>118</xdr:row>
      <xdr:rowOff>76200</xdr:rowOff>
    </xdr:from>
    <xdr:to>
      <xdr:col>10</xdr:col>
      <xdr:colOff>190500</xdr:colOff>
      <xdr:row>120</xdr:row>
      <xdr:rowOff>76199</xdr:rowOff>
    </xdr:to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5DFE8BA5-37D8-45C2-8BF2-10D2A9346EDA}"/>
            </a:ext>
          </a:extLst>
        </xdr:cNvPr>
        <xdr:cNvSpPr txBox="1"/>
      </xdr:nvSpPr>
      <xdr:spPr>
        <a:xfrm>
          <a:off x="9324974" y="32099250"/>
          <a:ext cx="1466851" cy="323849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REV PAREDE</a:t>
          </a:r>
          <a:r>
            <a:rPr lang="pt-BR" sz="1200" b="1" baseline="0"/>
            <a:t> = 22,50 m2</a:t>
          </a:r>
        </a:p>
        <a:p>
          <a:pPr algn="ctr"/>
          <a:endParaRPr lang="pt-BR" sz="1000" b="1"/>
        </a:p>
      </xdr:txBody>
    </xdr:sp>
    <xdr:clientData/>
  </xdr:twoCellAnchor>
  <xdr:twoCellAnchor>
    <xdr:from>
      <xdr:col>12</xdr:col>
      <xdr:colOff>190499</xdr:colOff>
      <xdr:row>112</xdr:row>
      <xdr:rowOff>95251</xdr:rowOff>
    </xdr:from>
    <xdr:to>
      <xdr:col>12</xdr:col>
      <xdr:colOff>1362075</xdr:colOff>
      <xdr:row>114</xdr:row>
      <xdr:rowOff>19050</xdr:rowOff>
    </xdr:to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87CF009F-59FC-4F69-964B-6BEBC2DBD839}"/>
            </a:ext>
          </a:extLst>
        </xdr:cNvPr>
        <xdr:cNvSpPr txBox="1"/>
      </xdr:nvSpPr>
      <xdr:spPr>
        <a:xfrm>
          <a:off x="12563474" y="31146751"/>
          <a:ext cx="1171576" cy="247649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800" b="1"/>
            <a:t>TOTAL</a:t>
          </a:r>
          <a:r>
            <a:rPr lang="pt-BR" sz="800" b="1" baseline="0"/>
            <a:t> PISO = 2,10 </a:t>
          </a:r>
          <a:r>
            <a:rPr lang="pt-BR" sz="1000" b="1" baseline="0"/>
            <a:t>m2</a:t>
          </a:r>
          <a:endParaRPr lang="pt-BR" sz="1000" b="1"/>
        </a:p>
      </xdr:txBody>
    </xdr:sp>
    <xdr:clientData/>
  </xdr:twoCellAnchor>
  <xdr:twoCellAnchor>
    <xdr:from>
      <xdr:col>13</xdr:col>
      <xdr:colOff>838202</xdr:colOff>
      <xdr:row>122</xdr:row>
      <xdr:rowOff>133350</xdr:rowOff>
    </xdr:from>
    <xdr:to>
      <xdr:col>15</xdr:col>
      <xdr:colOff>352426</xdr:colOff>
      <xdr:row>124</xdr:row>
      <xdr:rowOff>85725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BC870D2D-CE59-4090-B8C5-250780138441}"/>
            </a:ext>
          </a:extLst>
        </xdr:cNvPr>
        <xdr:cNvSpPr txBox="1"/>
      </xdr:nvSpPr>
      <xdr:spPr>
        <a:xfrm>
          <a:off x="14725652" y="32804100"/>
          <a:ext cx="1819274" cy="27622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13,00 m2</a:t>
          </a:r>
          <a:endParaRPr lang="pt-BR" sz="1200" b="1"/>
        </a:p>
      </xdr:txBody>
    </xdr:sp>
    <xdr:clientData/>
  </xdr:twoCellAnchor>
  <xdr:twoCellAnchor>
    <xdr:from>
      <xdr:col>11</xdr:col>
      <xdr:colOff>809625</xdr:colOff>
      <xdr:row>117</xdr:row>
      <xdr:rowOff>76200</xdr:rowOff>
    </xdr:from>
    <xdr:to>
      <xdr:col>11</xdr:col>
      <xdr:colOff>1047750</xdr:colOff>
      <xdr:row>129</xdr:row>
      <xdr:rowOff>114299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560B106F-FB84-4BC9-A80C-A897B3F1C043}"/>
            </a:ext>
          </a:extLst>
        </xdr:cNvPr>
        <xdr:cNvSpPr txBox="1"/>
      </xdr:nvSpPr>
      <xdr:spPr>
        <a:xfrm>
          <a:off x="11982450" y="31937325"/>
          <a:ext cx="238125" cy="1981199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2,90</a:t>
          </a:r>
        </a:p>
        <a:p>
          <a:pPr algn="ctr"/>
          <a:endParaRPr lang="pt-BR" sz="1100"/>
        </a:p>
        <a:p>
          <a:pPr algn="ctr"/>
          <a:r>
            <a:rPr lang="pt-BR" sz="1100"/>
            <a:t>parede</a:t>
          </a:r>
        </a:p>
      </xdr:txBody>
    </xdr:sp>
    <xdr:clientData/>
  </xdr:twoCellAnchor>
  <xdr:oneCellAnchor>
    <xdr:from>
      <xdr:col>1</xdr:col>
      <xdr:colOff>85725</xdr:colOff>
      <xdr:row>159</xdr:row>
      <xdr:rowOff>0</xdr:rowOff>
    </xdr:from>
    <xdr:ext cx="9477376" cy="4372585"/>
    <xdr:pic>
      <xdr:nvPicPr>
        <xdr:cNvPr id="30" name="Imagem 29">
          <a:extLst>
            <a:ext uri="{FF2B5EF4-FFF2-40B4-BE49-F238E27FC236}">
              <a16:creationId xmlns:a16="http://schemas.microsoft.com/office/drawing/2014/main" id="{58CE980C-3772-44C1-BECB-34E94833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" y="39662100"/>
          <a:ext cx="9477376" cy="4372585"/>
        </a:xfrm>
        <a:prstGeom prst="rect">
          <a:avLst/>
        </a:prstGeom>
      </xdr:spPr>
    </xdr:pic>
    <xdr:clientData/>
  </xdr:oneCellAnchor>
  <xdr:twoCellAnchor>
    <xdr:from>
      <xdr:col>2</xdr:col>
      <xdr:colOff>167368</xdr:colOff>
      <xdr:row>159</xdr:row>
      <xdr:rowOff>152400</xdr:rowOff>
    </xdr:from>
    <xdr:to>
      <xdr:col>2</xdr:col>
      <xdr:colOff>200025</xdr:colOff>
      <xdr:row>185</xdr:row>
      <xdr:rowOff>133960</xdr:rowOff>
    </xdr:to>
    <xdr:cxnSp macro="">
      <xdr:nvCxnSpPr>
        <xdr:cNvPr id="31" name="Conector reto 30">
          <a:extLst>
            <a:ext uri="{FF2B5EF4-FFF2-40B4-BE49-F238E27FC236}">
              <a16:creationId xmlns:a16="http://schemas.microsoft.com/office/drawing/2014/main" id="{27DBFA5D-DA09-4048-A9EC-1E7727AB168A}"/>
            </a:ext>
          </a:extLst>
        </xdr:cNvPr>
        <xdr:cNvCxnSpPr/>
      </xdr:nvCxnSpPr>
      <xdr:spPr>
        <a:xfrm flipH="1">
          <a:off x="5348968" y="105841800"/>
          <a:ext cx="32657" cy="419161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172</xdr:row>
      <xdr:rowOff>38100</xdr:rowOff>
    </xdr:from>
    <xdr:to>
      <xdr:col>5</xdr:col>
      <xdr:colOff>200025</xdr:colOff>
      <xdr:row>175</xdr:row>
      <xdr:rowOff>0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9224B5E4-509C-4DF3-BA10-8B73CDB51297}"/>
            </a:ext>
          </a:extLst>
        </xdr:cNvPr>
        <xdr:cNvSpPr txBox="1"/>
      </xdr:nvSpPr>
      <xdr:spPr>
        <a:xfrm>
          <a:off x="7277100" y="107832525"/>
          <a:ext cx="1066800" cy="447675"/>
        </a:xfrm>
        <a:prstGeom prst="rect">
          <a:avLst/>
        </a:prstGeom>
        <a:solidFill>
          <a:schemeClr val="lt1">
            <a:alpha val="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/>
            <a:t>Cozinha</a:t>
          </a:r>
        </a:p>
      </xdr:txBody>
    </xdr:sp>
    <xdr:clientData/>
  </xdr:twoCellAnchor>
  <xdr:oneCellAnchor>
    <xdr:from>
      <xdr:col>7</xdr:col>
      <xdr:colOff>171450</xdr:colOff>
      <xdr:row>159</xdr:row>
      <xdr:rowOff>19050</xdr:rowOff>
    </xdr:from>
    <xdr:ext cx="2057687" cy="1581371"/>
    <xdr:pic>
      <xdr:nvPicPr>
        <xdr:cNvPr id="33" name="Imagem 32">
          <a:extLst>
            <a:ext uri="{FF2B5EF4-FFF2-40B4-BE49-F238E27FC236}">
              <a16:creationId xmlns:a16="http://schemas.microsoft.com/office/drawing/2014/main" id="{D7EFE529-13A2-4A3F-88FA-239E6408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77450" y="105708450"/>
          <a:ext cx="2057687" cy="1581371"/>
        </a:xfrm>
        <a:prstGeom prst="rect">
          <a:avLst/>
        </a:prstGeom>
      </xdr:spPr>
    </xdr:pic>
    <xdr:clientData/>
  </xdr:oneCellAnchor>
  <xdr:twoCellAnchor>
    <xdr:from>
      <xdr:col>8</xdr:col>
      <xdr:colOff>1000125</xdr:colOff>
      <xdr:row>161</xdr:row>
      <xdr:rowOff>123826</xdr:rowOff>
    </xdr:from>
    <xdr:to>
      <xdr:col>8</xdr:col>
      <xdr:colOff>1162050</xdr:colOff>
      <xdr:row>166</xdr:row>
      <xdr:rowOff>142876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C8E70E95-480C-48EE-8488-185CF1D299F4}"/>
            </a:ext>
          </a:extLst>
        </xdr:cNvPr>
        <xdr:cNvSpPr txBox="1"/>
      </xdr:nvSpPr>
      <xdr:spPr>
        <a:xfrm>
          <a:off x="11753850" y="106137076"/>
          <a:ext cx="161925" cy="828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1,17</a:t>
          </a:r>
        </a:p>
      </xdr:txBody>
    </xdr:sp>
    <xdr:clientData/>
  </xdr:twoCellAnchor>
  <xdr:twoCellAnchor>
    <xdr:from>
      <xdr:col>7</xdr:col>
      <xdr:colOff>619125</xdr:colOff>
      <xdr:row>160</xdr:row>
      <xdr:rowOff>19050</xdr:rowOff>
    </xdr:from>
    <xdr:to>
      <xdr:col>8</xdr:col>
      <xdr:colOff>866775</xdr:colOff>
      <xdr:row>161</xdr:row>
      <xdr:rowOff>76200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23A9FDA9-9D97-460A-92FF-BF467B2EBFF3}"/>
            </a:ext>
          </a:extLst>
        </xdr:cNvPr>
        <xdr:cNvSpPr txBox="1"/>
      </xdr:nvSpPr>
      <xdr:spPr>
        <a:xfrm>
          <a:off x="10525125" y="105870375"/>
          <a:ext cx="109537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1,73</a:t>
          </a:r>
        </a:p>
      </xdr:txBody>
    </xdr:sp>
    <xdr:clientData/>
  </xdr:twoCellAnchor>
  <xdr:twoCellAnchor>
    <xdr:from>
      <xdr:col>7</xdr:col>
      <xdr:colOff>504825</xdr:colOff>
      <xdr:row>163</xdr:row>
      <xdr:rowOff>76198</xdr:rowOff>
    </xdr:from>
    <xdr:to>
      <xdr:col>8</xdr:col>
      <xdr:colOff>952502</xdr:colOff>
      <xdr:row>164</xdr:row>
      <xdr:rowOff>133350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FA1C52F-61E0-4A0A-BDCB-D519264858C9}"/>
            </a:ext>
          </a:extLst>
        </xdr:cNvPr>
        <xdr:cNvSpPr txBox="1"/>
      </xdr:nvSpPr>
      <xdr:spPr>
        <a:xfrm>
          <a:off x="10410825" y="106413298"/>
          <a:ext cx="1295402" cy="219077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900" b="1"/>
            <a:t>TOTAL</a:t>
          </a:r>
          <a:r>
            <a:rPr lang="pt-BR" sz="900" b="1" baseline="0"/>
            <a:t> PISO = 2,00 m2</a:t>
          </a:r>
          <a:endParaRPr lang="pt-BR" sz="900" b="1"/>
        </a:p>
      </xdr:txBody>
    </xdr:sp>
    <xdr:clientData/>
  </xdr:twoCellAnchor>
  <xdr:twoCellAnchor>
    <xdr:from>
      <xdr:col>6</xdr:col>
      <xdr:colOff>828675</xdr:colOff>
      <xdr:row>170</xdr:row>
      <xdr:rowOff>95250</xdr:rowOff>
    </xdr:from>
    <xdr:to>
      <xdr:col>7</xdr:col>
      <xdr:colOff>142874</xdr:colOff>
      <xdr:row>182</xdr:row>
      <xdr:rowOff>133349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D8E007EB-A7F9-440B-B60C-4B2CC9EEBE3D}"/>
            </a:ext>
          </a:extLst>
        </xdr:cNvPr>
        <xdr:cNvSpPr txBox="1"/>
      </xdr:nvSpPr>
      <xdr:spPr>
        <a:xfrm>
          <a:off x="9886950" y="107565825"/>
          <a:ext cx="161924" cy="1981199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2,90</a:t>
          </a:r>
        </a:p>
        <a:p>
          <a:pPr algn="ctr"/>
          <a:endParaRPr lang="pt-BR" sz="1100"/>
        </a:p>
        <a:p>
          <a:pPr algn="ctr"/>
          <a:r>
            <a:rPr lang="pt-BR" sz="1100"/>
            <a:t>parede</a:t>
          </a:r>
        </a:p>
      </xdr:txBody>
    </xdr:sp>
    <xdr:clientData/>
  </xdr:twoCellAnchor>
  <xdr:twoCellAnchor>
    <xdr:from>
      <xdr:col>3</xdr:col>
      <xdr:colOff>857250</xdr:colOff>
      <xdr:row>160</xdr:row>
      <xdr:rowOff>28575</xdr:rowOff>
    </xdr:from>
    <xdr:to>
      <xdr:col>5</xdr:col>
      <xdr:colOff>514350</xdr:colOff>
      <xdr:row>161</xdr:row>
      <xdr:rowOff>76200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AA9E384D-DA50-4F5D-B2B1-24580A167DEB}"/>
            </a:ext>
          </a:extLst>
        </xdr:cNvPr>
        <xdr:cNvSpPr txBox="1"/>
      </xdr:nvSpPr>
      <xdr:spPr>
        <a:xfrm>
          <a:off x="7038975" y="105879900"/>
          <a:ext cx="16192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4,60</a:t>
          </a:r>
        </a:p>
      </xdr:txBody>
    </xdr:sp>
    <xdr:clientData/>
  </xdr:twoCellAnchor>
  <xdr:twoCellAnchor>
    <xdr:from>
      <xdr:col>2</xdr:col>
      <xdr:colOff>247651</xdr:colOff>
      <xdr:row>169</xdr:row>
      <xdr:rowOff>47625</xdr:rowOff>
    </xdr:from>
    <xdr:to>
      <xdr:col>2</xdr:col>
      <xdr:colOff>419101</xdr:colOff>
      <xdr:row>175</xdr:row>
      <xdr:rowOff>0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EBE9D6E3-13FD-438C-A72C-095F0546E7CF}"/>
            </a:ext>
          </a:extLst>
        </xdr:cNvPr>
        <xdr:cNvSpPr txBox="1"/>
      </xdr:nvSpPr>
      <xdr:spPr>
        <a:xfrm>
          <a:off x="5429251" y="107356275"/>
          <a:ext cx="171450" cy="923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3,90</a:t>
          </a:r>
        </a:p>
        <a:p>
          <a:pPr algn="ctr"/>
          <a:endParaRPr lang="pt-BR" sz="1100"/>
        </a:p>
      </xdr:txBody>
    </xdr:sp>
    <xdr:clientData/>
  </xdr:twoCellAnchor>
  <xdr:twoCellAnchor>
    <xdr:from>
      <xdr:col>3</xdr:col>
      <xdr:colOff>628650</xdr:colOff>
      <xdr:row>169</xdr:row>
      <xdr:rowOff>76200</xdr:rowOff>
    </xdr:from>
    <xdr:to>
      <xdr:col>5</xdr:col>
      <xdr:colOff>333375</xdr:colOff>
      <xdr:row>171</xdr:row>
      <xdr:rowOff>57150</xdr:rowOff>
    </xdr:to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23E61A38-97DD-4628-B798-C59E72F388C9}"/>
            </a:ext>
          </a:extLst>
        </xdr:cNvPr>
        <xdr:cNvSpPr txBox="1"/>
      </xdr:nvSpPr>
      <xdr:spPr>
        <a:xfrm>
          <a:off x="6810375" y="107384850"/>
          <a:ext cx="1666875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18,00 m2</a:t>
          </a:r>
          <a:endParaRPr lang="pt-BR" sz="1200" b="1"/>
        </a:p>
      </xdr:txBody>
    </xdr:sp>
    <xdr:clientData/>
  </xdr:twoCellAnchor>
  <xdr:twoCellAnchor>
    <xdr:from>
      <xdr:col>3</xdr:col>
      <xdr:colOff>419099</xdr:colOff>
      <xdr:row>174</xdr:row>
      <xdr:rowOff>142876</xdr:rowOff>
    </xdr:from>
    <xdr:to>
      <xdr:col>5</xdr:col>
      <xdr:colOff>581024</xdr:colOff>
      <xdr:row>176</xdr:row>
      <xdr:rowOff>66676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5E6FCCAE-3C02-4C3F-966E-6F7D784CFE08}"/>
            </a:ext>
          </a:extLst>
        </xdr:cNvPr>
        <xdr:cNvSpPr txBox="1"/>
      </xdr:nvSpPr>
      <xdr:spPr>
        <a:xfrm>
          <a:off x="6600824" y="108261151"/>
          <a:ext cx="2124075" cy="24765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 PAREDE </a:t>
          </a:r>
          <a:r>
            <a:rPr lang="pt-BR" sz="1200" b="1" baseline="0"/>
            <a:t>= 22,50 m2</a:t>
          </a:r>
        </a:p>
        <a:p>
          <a:pPr algn="ctr"/>
          <a:endParaRPr lang="pt-BR" sz="1000" b="1"/>
        </a:p>
      </xdr:txBody>
    </xdr:sp>
    <xdr:clientData/>
  </xdr:twoCellAnchor>
  <xdr:twoCellAnchor>
    <xdr:from>
      <xdr:col>3</xdr:col>
      <xdr:colOff>495300</xdr:colOff>
      <xdr:row>183</xdr:row>
      <xdr:rowOff>76200</xdr:rowOff>
    </xdr:from>
    <xdr:to>
      <xdr:col>5</xdr:col>
      <xdr:colOff>152400</xdr:colOff>
      <xdr:row>184</xdr:row>
      <xdr:rowOff>123825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5D1DD519-DF9C-42EF-86B9-0A8C2F4F24CB}"/>
            </a:ext>
          </a:extLst>
        </xdr:cNvPr>
        <xdr:cNvSpPr txBox="1"/>
      </xdr:nvSpPr>
      <xdr:spPr>
        <a:xfrm>
          <a:off x="6677025" y="109651800"/>
          <a:ext cx="1619250" cy="20955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4,60 parede</a:t>
          </a:r>
        </a:p>
      </xdr:txBody>
    </xdr:sp>
    <xdr:clientData/>
  </xdr:twoCellAnchor>
  <xdr:twoCellAnchor>
    <xdr:from>
      <xdr:col>1</xdr:col>
      <xdr:colOff>2667000</xdr:colOff>
      <xdr:row>160</xdr:row>
      <xdr:rowOff>38100</xdr:rowOff>
    </xdr:from>
    <xdr:to>
      <xdr:col>1</xdr:col>
      <xdr:colOff>4200525</xdr:colOff>
      <xdr:row>161</xdr:row>
      <xdr:rowOff>85725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B01E1A4D-941A-4C86-9BC9-D14A33155150}"/>
            </a:ext>
          </a:extLst>
        </xdr:cNvPr>
        <xdr:cNvSpPr txBox="1"/>
      </xdr:nvSpPr>
      <xdr:spPr>
        <a:xfrm>
          <a:off x="3381375" y="105889425"/>
          <a:ext cx="153352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2,60</a:t>
          </a:r>
        </a:p>
      </xdr:txBody>
    </xdr:sp>
    <xdr:clientData/>
  </xdr:twoCellAnchor>
  <xdr:twoCellAnchor>
    <xdr:from>
      <xdr:col>1</xdr:col>
      <xdr:colOff>2114550</xdr:colOff>
      <xdr:row>161</xdr:row>
      <xdr:rowOff>28575</xdr:rowOff>
    </xdr:from>
    <xdr:to>
      <xdr:col>1</xdr:col>
      <xdr:colOff>2324100</xdr:colOff>
      <xdr:row>166</xdr:row>
      <xdr:rowOff>104775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F0A17FDE-55B0-4A0A-AF27-C71D959CC2B1}"/>
            </a:ext>
          </a:extLst>
        </xdr:cNvPr>
        <xdr:cNvSpPr txBox="1"/>
      </xdr:nvSpPr>
      <xdr:spPr>
        <a:xfrm>
          <a:off x="2828925" y="106041825"/>
          <a:ext cx="209550" cy="885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1,40</a:t>
          </a:r>
        </a:p>
      </xdr:txBody>
    </xdr:sp>
    <xdr:clientData/>
  </xdr:twoCellAnchor>
  <xdr:twoCellAnchor>
    <xdr:from>
      <xdr:col>1</xdr:col>
      <xdr:colOff>2190750</xdr:colOff>
      <xdr:row>183</xdr:row>
      <xdr:rowOff>57150</xdr:rowOff>
    </xdr:from>
    <xdr:to>
      <xdr:col>1</xdr:col>
      <xdr:colOff>3810000</xdr:colOff>
      <xdr:row>184</xdr:row>
      <xdr:rowOff>104775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1DA5B294-164C-40A1-9E4E-013B9F45CEDF}"/>
            </a:ext>
          </a:extLst>
        </xdr:cNvPr>
        <xdr:cNvSpPr txBox="1"/>
      </xdr:nvSpPr>
      <xdr:spPr>
        <a:xfrm>
          <a:off x="2905125" y="109632750"/>
          <a:ext cx="16192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4,50</a:t>
          </a:r>
        </a:p>
      </xdr:txBody>
    </xdr:sp>
    <xdr:clientData/>
  </xdr:twoCellAnchor>
  <xdr:twoCellAnchor>
    <xdr:from>
      <xdr:col>1</xdr:col>
      <xdr:colOff>314325</xdr:colOff>
      <xdr:row>176</xdr:row>
      <xdr:rowOff>9525</xdr:rowOff>
    </xdr:from>
    <xdr:to>
      <xdr:col>1</xdr:col>
      <xdr:colOff>523875</xdr:colOff>
      <xdr:row>181</xdr:row>
      <xdr:rowOff>85725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EBB1639A-F513-4299-A56E-FE406214A880}"/>
            </a:ext>
          </a:extLst>
        </xdr:cNvPr>
        <xdr:cNvSpPr txBox="1"/>
      </xdr:nvSpPr>
      <xdr:spPr>
        <a:xfrm>
          <a:off x="1028700" y="108451650"/>
          <a:ext cx="209550" cy="885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2,45</a:t>
          </a:r>
        </a:p>
      </xdr:txBody>
    </xdr:sp>
    <xdr:clientData/>
  </xdr:twoCellAnchor>
  <xdr:twoCellAnchor>
    <xdr:from>
      <xdr:col>1</xdr:col>
      <xdr:colOff>2143125</xdr:colOff>
      <xdr:row>168</xdr:row>
      <xdr:rowOff>19050</xdr:rowOff>
    </xdr:from>
    <xdr:to>
      <xdr:col>2</xdr:col>
      <xdr:colOff>123825</xdr:colOff>
      <xdr:row>168</xdr:row>
      <xdr:rowOff>28575</xdr:rowOff>
    </xdr:to>
    <xdr:cxnSp macro="">
      <xdr:nvCxnSpPr>
        <xdr:cNvPr id="47" name="Conector reto 46">
          <a:extLst>
            <a:ext uri="{FF2B5EF4-FFF2-40B4-BE49-F238E27FC236}">
              <a16:creationId xmlns:a16="http://schemas.microsoft.com/office/drawing/2014/main" id="{3D46FA44-51D9-4281-B85F-7F3A600F15EE}"/>
            </a:ext>
          </a:extLst>
        </xdr:cNvPr>
        <xdr:cNvCxnSpPr/>
      </xdr:nvCxnSpPr>
      <xdr:spPr>
        <a:xfrm>
          <a:off x="2857500" y="107165775"/>
          <a:ext cx="244792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2628900</xdr:colOff>
      <xdr:row>164</xdr:row>
      <xdr:rowOff>0</xdr:rowOff>
    </xdr:from>
    <xdr:to>
      <xdr:col>1</xdr:col>
      <xdr:colOff>4295775</xdr:colOff>
      <xdr:row>165</xdr:row>
      <xdr:rowOff>142875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866286D0-5ED2-4B50-AA0B-F8B84A81868A}"/>
            </a:ext>
          </a:extLst>
        </xdr:cNvPr>
        <xdr:cNvSpPr txBox="1"/>
      </xdr:nvSpPr>
      <xdr:spPr>
        <a:xfrm>
          <a:off x="3343275" y="106499025"/>
          <a:ext cx="1666875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3,60 m2</a:t>
          </a:r>
          <a:endParaRPr lang="pt-BR" sz="1200" b="1"/>
        </a:p>
      </xdr:txBody>
    </xdr:sp>
    <xdr:clientData/>
  </xdr:twoCellAnchor>
  <xdr:twoCellAnchor>
    <xdr:from>
      <xdr:col>1</xdr:col>
      <xdr:colOff>1885950</xdr:colOff>
      <xdr:row>176</xdr:row>
      <xdr:rowOff>28575</xdr:rowOff>
    </xdr:from>
    <xdr:to>
      <xdr:col>1</xdr:col>
      <xdr:colOff>3552825</xdr:colOff>
      <xdr:row>178</xdr:row>
      <xdr:rowOff>9525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1B016E93-6783-4014-AE24-2E8136D17D2F}"/>
            </a:ext>
          </a:extLst>
        </xdr:cNvPr>
        <xdr:cNvSpPr txBox="1"/>
      </xdr:nvSpPr>
      <xdr:spPr>
        <a:xfrm>
          <a:off x="2600325" y="108470700"/>
          <a:ext cx="1666875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11,00</a:t>
          </a:r>
          <a:endParaRPr lang="pt-BR" sz="1200" b="1"/>
        </a:p>
      </xdr:txBody>
    </xdr:sp>
    <xdr:clientData/>
  </xdr:twoCellAnchor>
  <xdr:twoCellAnchor>
    <xdr:from>
      <xdr:col>2</xdr:col>
      <xdr:colOff>581025</xdr:colOff>
      <xdr:row>108</xdr:row>
      <xdr:rowOff>114300</xdr:rowOff>
    </xdr:from>
    <xdr:to>
      <xdr:col>3</xdr:col>
      <xdr:colOff>1114423</xdr:colOff>
      <xdr:row>110</xdr:row>
      <xdr:rowOff>28575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B0180846-1D97-46A4-A69E-0C474D352B26}"/>
            </a:ext>
          </a:extLst>
        </xdr:cNvPr>
        <xdr:cNvSpPr txBox="1"/>
      </xdr:nvSpPr>
      <xdr:spPr>
        <a:xfrm>
          <a:off x="1609725" y="30518100"/>
          <a:ext cx="1209673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/>
            <a:t>3,35</a:t>
          </a:r>
        </a:p>
      </xdr:txBody>
    </xdr:sp>
    <xdr:clientData/>
  </xdr:twoCellAnchor>
  <xdr:twoCellAnchor>
    <xdr:from>
      <xdr:col>4</xdr:col>
      <xdr:colOff>2343149</xdr:colOff>
      <xdr:row>109</xdr:row>
      <xdr:rowOff>104775</xdr:rowOff>
    </xdr:from>
    <xdr:to>
      <xdr:col>4</xdr:col>
      <xdr:colOff>2505074</xdr:colOff>
      <xdr:row>114</xdr:row>
      <xdr:rowOff>104775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AD351103-923C-4BD2-9B1A-2A14FDA7E16F}"/>
            </a:ext>
          </a:extLst>
        </xdr:cNvPr>
        <xdr:cNvSpPr txBox="1"/>
      </xdr:nvSpPr>
      <xdr:spPr>
        <a:xfrm>
          <a:off x="5181599" y="30670500"/>
          <a:ext cx="161925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1,20</a:t>
          </a:r>
        </a:p>
      </xdr:txBody>
    </xdr:sp>
    <xdr:clientData/>
  </xdr:twoCellAnchor>
  <xdr:twoCellAnchor>
    <xdr:from>
      <xdr:col>4</xdr:col>
      <xdr:colOff>2741999</xdr:colOff>
      <xdr:row>117</xdr:row>
      <xdr:rowOff>104775</xdr:rowOff>
    </xdr:from>
    <xdr:to>
      <xdr:col>7</xdr:col>
      <xdr:colOff>455999</xdr:colOff>
      <xdr:row>119</xdr:row>
      <xdr:rowOff>85725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327D4C2C-FB51-4C04-9B96-23274C07DF6F}"/>
            </a:ext>
          </a:extLst>
        </xdr:cNvPr>
        <xdr:cNvSpPr txBox="1"/>
      </xdr:nvSpPr>
      <xdr:spPr>
        <a:xfrm>
          <a:off x="5580449" y="31965900"/>
          <a:ext cx="1543050" cy="304800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 b="1"/>
            <a:t>TOTAL</a:t>
          </a:r>
          <a:r>
            <a:rPr lang="pt-BR" sz="1200" b="1" baseline="0"/>
            <a:t> PISO = 14,70 m2</a:t>
          </a:r>
          <a:endParaRPr lang="pt-BR" sz="1200" b="1"/>
        </a:p>
      </xdr:txBody>
    </xdr:sp>
    <xdr:clientData/>
  </xdr:twoCellAnchor>
  <xdr:twoCellAnchor>
    <xdr:from>
      <xdr:col>4</xdr:col>
      <xdr:colOff>1019175</xdr:colOff>
      <xdr:row>122</xdr:row>
      <xdr:rowOff>19050</xdr:rowOff>
    </xdr:from>
    <xdr:to>
      <xdr:col>4</xdr:col>
      <xdr:colOff>1200150</xdr:colOff>
      <xdr:row>128</xdr:row>
      <xdr:rowOff>95250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B1C6844D-57EA-452C-A472-9EF9E246C9F7}"/>
            </a:ext>
          </a:extLst>
        </xdr:cNvPr>
        <xdr:cNvSpPr txBox="1"/>
      </xdr:nvSpPr>
      <xdr:spPr>
        <a:xfrm>
          <a:off x="3857625" y="32689800"/>
          <a:ext cx="180975" cy="1047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2,45</a:t>
          </a:r>
        </a:p>
      </xdr:txBody>
    </xdr:sp>
    <xdr:clientData/>
  </xdr:twoCellAnchor>
  <xdr:twoCellAnchor>
    <xdr:from>
      <xdr:col>8</xdr:col>
      <xdr:colOff>723900</xdr:colOff>
      <xdr:row>116</xdr:row>
      <xdr:rowOff>123825</xdr:rowOff>
    </xdr:from>
    <xdr:to>
      <xdr:col>8</xdr:col>
      <xdr:colOff>942975</xdr:colOff>
      <xdr:row>122</xdr:row>
      <xdr:rowOff>47625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89B72F25-F675-4710-BF1C-4A36C3F2AA30}"/>
            </a:ext>
          </a:extLst>
        </xdr:cNvPr>
        <xdr:cNvSpPr txBox="1"/>
      </xdr:nvSpPr>
      <xdr:spPr>
        <a:xfrm>
          <a:off x="8372475" y="31823025"/>
          <a:ext cx="219075" cy="895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>
              <a:rot lat="0" lon="0" rev="0"/>
            </a:camera>
            <a:lightRig rig="threePt" dir="t"/>
          </a:scene3d>
        </a:bodyPr>
        <a:lstStyle/>
        <a:p>
          <a:pPr algn="ctr"/>
          <a:r>
            <a:rPr lang="pt-BR" sz="1100"/>
            <a:t>3,90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57</xdr:row>
      <xdr:rowOff>209550</xdr:rowOff>
    </xdr:from>
    <xdr:to>
      <xdr:col>19</xdr:col>
      <xdr:colOff>658201</xdr:colOff>
      <xdr:row>62</xdr:row>
      <xdr:rowOff>190690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306C41E-FED2-F882-85D6-D9FE78304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16192500"/>
          <a:ext cx="6992326" cy="136226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174</xdr:row>
      <xdr:rowOff>0</xdr:rowOff>
    </xdr:from>
    <xdr:to>
      <xdr:col>12</xdr:col>
      <xdr:colOff>9526</xdr:colOff>
      <xdr:row>174</xdr:row>
      <xdr:rowOff>9526</xdr:rowOff>
    </xdr:to>
    <xdr:pic>
      <xdr:nvPicPr>
        <xdr:cNvPr id="3" name="Imagem 2" descr="Recorte de Tela">
          <a:extLst>
            <a:ext uri="{FF2B5EF4-FFF2-40B4-BE49-F238E27FC236}">
              <a16:creationId xmlns:a16="http://schemas.microsoft.com/office/drawing/2014/main" id="{00000000-0008-0000-8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67950" y="9982200"/>
          <a:ext cx="9526" cy="952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114300</xdr:rowOff>
    </xdr:from>
    <xdr:to>
      <xdr:col>15</xdr:col>
      <xdr:colOff>105658</xdr:colOff>
      <xdr:row>55</xdr:row>
      <xdr:rowOff>86263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F9AEBE5-12F3-4097-E527-CB604C74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5648325"/>
          <a:ext cx="6325483" cy="385816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138</xdr:row>
      <xdr:rowOff>10577</xdr:rowOff>
    </xdr:from>
    <xdr:to>
      <xdr:col>3</xdr:col>
      <xdr:colOff>182849</xdr:colOff>
      <xdr:row>157</xdr:row>
      <xdr:rowOff>129033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9736660"/>
          <a:ext cx="6162432" cy="4372956"/>
        </a:xfrm>
        <a:prstGeom prst="rect">
          <a:avLst/>
        </a:prstGeom>
      </xdr:spPr>
    </xdr:pic>
    <xdr:clientData/>
  </xdr:twoCellAnchor>
  <xdr:twoCellAnchor editAs="oneCell">
    <xdr:from>
      <xdr:col>4</xdr:col>
      <xdr:colOff>150775</xdr:colOff>
      <xdr:row>134</xdr:row>
      <xdr:rowOff>461388</xdr:rowOff>
    </xdr:from>
    <xdr:to>
      <xdr:col>8</xdr:col>
      <xdr:colOff>180408</xdr:colOff>
      <xdr:row>143</xdr:row>
      <xdr:rowOff>139427</xdr:rowOff>
    </xdr:to>
    <xdr:pic>
      <xdr:nvPicPr>
        <xdr:cNvPr id="3" name="Imagem 2" descr="Recorte de Tela">
          <a:extLst>
            <a:ext uri="{FF2B5EF4-FFF2-40B4-BE49-F238E27FC236}">
              <a16:creationId xmlns:a16="http://schemas.microsoft.com/office/drawing/2014/main" id="{00000000-0008-0000-9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8775" y="20283971"/>
          <a:ext cx="3352800" cy="2387373"/>
        </a:xfrm>
        <a:prstGeom prst="rect">
          <a:avLst/>
        </a:prstGeom>
      </xdr:spPr>
    </xdr:pic>
    <xdr:clientData/>
  </xdr:twoCellAnchor>
  <xdr:twoCellAnchor editAs="oneCell">
    <xdr:from>
      <xdr:col>4</xdr:col>
      <xdr:colOff>110280</xdr:colOff>
      <xdr:row>146</xdr:row>
      <xdr:rowOff>4734</xdr:rowOff>
    </xdr:from>
    <xdr:to>
      <xdr:col>8</xdr:col>
      <xdr:colOff>107382</xdr:colOff>
      <xdr:row>158</xdr:row>
      <xdr:rowOff>82978</xdr:rowOff>
    </xdr:to>
    <xdr:pic>
      <xdr:nvPicPr>
        <xdr:cNvPr id="4" name="Imagem 3" descr="Recorte de Tela">
          <a:extLst>
            <a:ext uri="{FF2B5EF4-FFF2-40B4-BE49-F238E27FC236}">
              <a16:creationId xmlns:a16="http://schemas.microsoft.com/office/drawing/2014/main" id="{00000000-0008-0000-9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8613" y="17139151"/>
          <a:ext cx="3320269" cy="2480660"/>
        </a:xfrm>
        <a:prstGeom prst="rect">
          <a:avLst/>
        </a:prstGeom>
      </xdr:spPr>
    </xdr:pic>
    <xdr:clientData/>
  </xdr:twoCellAnchor>
  <xdr:twoCellAnchor editAs="oneCell">
    <xdr:from>
      <xdr:col>4</xdr:col>
      <xdr:colOff>156398</xdr:colOff>
      <xdr:row>125</xdr:row>
      <xdr:rowOff>118434</xdr:rowOff>
    </xdr:from>
    <xdr:to>
      <xdr:col>8</xdr:col>
      <xdr:colOff>95741</xdr:colOff>
      <xdr:row>134</xdr:row>
      <xdr:rowOff>374646</xdr:rowOff>
    </xdr:to>
    <xdr:pic>
      <xdr:nvPicPr>
        <xdr:cNvPr id="5" name="Imagem 4" descr="Recorte de Tela">
          <a:extLst>
            <a:ext uri="{FF2B5EF4-FFF2-40B4-BE49-F238E27FC236}">
              <a16:creationId xmlns:a16="http://schemas.microsoft.com/office/drawing/2014/main" id="{00000000-0008-0000-9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4398" y="17930184"/>
          <a:ext cx="3262510" cy="22670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10578</xdr:rowOff>
    </xdr:from>
    <xdr:to>
      <xdr:col>4</xdr:col>
      <xdr:colOff>301404</xdr:colOff>
      <xdr:row>184</xdr:row>
      <xdr:rowOff>64293</xdr:rowOff>
    </xdr:to>
    <xdr:pic>
      <xdr:nvPicPr>
        <xdr:cNvPr id="6" name="Imagem 5" descr="Recorte de Tela">
          <a:extLst>
            <a:ext uri="{FF2B5EF4-FFF2-40B4-BE49-F238E27FC236}">
              <a16:creationId xmlns:a16="http://schemas.microsoft.com/office/drawing/2014/main" id="{00000000-0008-0000-9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92245"/>
          <a:ext cx="7159404" cy="4572799"/>
        </a:xfrm>
        <a:prstGeom prst="rect">
          <a:avLst/>
        </a:prstGeom>
      </xdr:spPr>
    </xdr:pic>
    <xdr:clientData/>
  </xdr:twoCellAnchor>
  <xdr:twoCellAnchor editAs="oneCell">
    <xdr:from>
      <xdr:col>0</xdr:col>
      <xdr:colOff>21167</xdr:colOff>
      <xdr:row>184</xdr:row>
      <xdr:rowOff>285745</xdr:rowOff>
    </xdr:from>
    <xdr:to>
      <xdr:col>4</xdr:col>
      <xdr:colOff>279596</xdr:colOff>
      <xdr:row>219</xdr:row>
      <xdr:rowOff>74994</xdr:rowOff>
    </xdr:to>
    <xdr:pic>
      <xdr:nvPicPr>
        <xdr:cNvPr id="7" name="Imagem 6" descr="Recorte de Tela">
          <a:extLst>
            <a:ext uri="{FF2B5EF4-FFF2-40B4-BE49-F238E27FC236}">
              <a16:creationId xmlns:a16="http://schemas.microsoft.com/office/drawing/2014/main" id="{00000000-0008-0000-9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67" y="18986495"/>
          <a:ext cx="7116429" cy="652024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167</xdr:row>
      <xdr:rowOff>25455</xdr:rowOff>
    </xdr:from>
    <xdr:to>
      <xdr:col>17</xdr:col>
      <xdr:colOff>176080</xdr:colOff>
      <xdr:row>193</xdr:row>
      <xdr:rowOff>645360</xdr:rowOff>
    </xdr:to>
    <xdr:pic>
      <xdr:nvPicPr>
        <xdr:cNvPr id="10" name="Imagem 9" descr="Recorte de Tela">
          <a:extLst>
            <a:ext uri="{FF2B5EF4-FFF2-40B4-BE49-F238E27FC236}">
              <a16:creationId xmlns:a16="http://schemas.microsoft.com/office/drawing/2014/main" id="{00000000-0008-0000-9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8250" y="15815788"/>
          <a:ext cx="9542330" cy="5498822"/>
        </a:xfrm>
        <a:prstGeom prst="rect">
          <a:avLst/>
        </a:prstGeom>
      </xdr:spPr>
    </xdr:pic>
    <xdr:clientData/>
  </xdr:twoCellAnchor>
  <xdr:twoCellAnchor editAs="oneCell">
    <xdr:from>
      <xdr:col>4</xdr:col>
      <xdr:colOff>501648</xdr:colOff>
      <xdr:row>194</xdr:row>
      <xdr:rowOff>63496</xdr:rowOff>
    </xdr:from>
    <xdr:to>
      <xdr:col>14</xdr:col>
      <xdr:colOff>414929</xdr:colOff>
      <xdr:row>213</xdr:row>
      <xdr:rowOff>74077</xdr:rowOff>
    </xdr:to>
    <xdr:pic>
      <xdr:nvPicPr>
        <xdr:cNvPr id="11" name="Imagem 10" descr="Recorte de Tela">
          <a:extLst>
            <a:ext uri="{FF2B5EF4-FFF2-40B4-BE49-F238E27FC236}">
              <a16:creationId xmlns:a16="http://schemas.microsoft.com/office/drawing/2014/main" id="{00000000-0008-0000-9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9981" y="26744079"/>
          <a:ext cx="8049748" cy="3164415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125</xdr:row>
      <xdr:rowOff>95245</xdr:rowOff>
    </xdr:from>
    <xdr:to>
      <xdr:col>4</xdr:col>
      <xdr:colOff>116417</xdr:colOff>
      <xdr:row>136</xdr:row>
      <xdr:rowOff>46562</xdr:rowOff>
    </xdr:to>
    <xdr:pic>
      <xdr:nvPicPr>
        <xdr:cNvPr id="9" name="Imagem 8" descr="Recorte de Tela">
          <a:extLst>
            <a:ext uri="{FF2B5EF4-FFF2-40B4-BE49-F238E27FC236}">
              <a16:creationId xmlns:a16="http://schemas.microsoft.com/office/drawing/2014/main" id="{00000000-0008-0000-9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6678078"/>
          <a:ext cx="6942667" cy="277706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190501</xdr:colOff>
      <xdr:row>98</xdr:row>
      <xdr:rowOff>137585</xdr:rowOff>
    </xdr:from>
    <xdr:to>
      <xdr:col>11</xdr:col>
      <xdr:colOff>719667</xdr:colOff>
      <xdr:row>108</xdr:row>
      <xdr:rowOff>153307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CC77C0B-F649-1E05-B6ED-306804113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1668" y="16711085"/>
          <a:ext cx="2783416" cy="1719639"/>
        </a:xfrm>
        <a:prstGeom prst="rect">
          <a:avLst/>
        </a:prstGeom>
      </xdr:spPr>
    </xdr:pic>
    <xdr:clientData/>
  </xdr:twoCellAnchor>
  <xdr:twoCellAnchor editAs="oneCell">
    <xdr:from>
      <xdr:col>8</xdr:col>
      <xdr:colOff>179917</xdr:colOff>
      <xdr:row>87</xdr:row>
      <xdr:rowOff>74084</xdr:rowOff>
    </xdr:from>
    <xdr:to>
      <xdr:col>11</xdr:col>
      <xdr:colOff>571500</xdr:colOff>
      <xdr:row>98</xdr:row>
      <xdr:rowOff>17047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8F2518FF-1E75-3D5C-ED79-AC0248D45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1084" y="14065251"/>
          <a:ext cx="2645833" cy="173154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6</xdr:col>
      <xdr:colOff>9526</xdr:colOff>
      <xdr:row>92</xdr:row>
      <xdr:rowOff>9526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2DAFE23D-F1C4-E50F-0E5E-297AFB20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44417" y="12467167"/>
          <a:ext cx="9526" cy="9526"/>
        </a:xfrm>
        <a:prstGeom prst="rect">
          <a:avLst/>
        </a:prstGeom>
      </xdr:spPr>
    </xdr:pic>
    <xdr:clientData/>
  </xdr:twoCellAnchor>
  <xdr:twoCellAnchor editAs="oneCell">
    <xdr:from>
      <xdr:col>8</xdr:col>
      <xdr:colOff>179914</xdr:colOff>
      <xdr:row>109</xdr:row>
      <xdr:rowOff>45364</xdr:rowOff>
    </xdr:from>
    <xdr:to>
      <xdr:col>11</xdr:col>
      <xdr:colOff>709082</xdr:colOff>
      <xdr:row>121</xdr:row>
      <xdr:rowOff>156037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DD4A1F1A-B6A4-9C4E-74A3-2DFE1D0E5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1081" y="17687781"/>
          <a:ext cx="2783418" cy="2121506"/>
        </a:xfrm>
        <a:prstGeom prst="rect">
          <a:avLst/>
        </a:prstGeom>
      </xdr:spPr>
    </xdr:pic>
    <xdr:clientData/>
  </xdr:twoCellAnchor>
  <xdr:twoCellAnchor editAs="oneCell">
    <xdr:from>
      <xdr:col>6</xdr:col>
      <xdr:colOff>264583</xdr:colOff>
      <xdr:row>31</xdr:row>
      <xdr:rowOff>105834</xdr:rowOff>
    </xdr:from>
    <xdr:to>
      <xdr:col>15</xdr:col>
      <xdr:colOff>318524</xdr:colOff>
      <xdr:row>42</xdr:row>
      <xdr:rowOff>150534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A51E361-BEA5-584F-131F-4AC912C2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0" y="5482167"/>
          <a:ext cx="7335274" cy="1790950"/>
        </a:xfrm>
        <a:prstGeom prst="rect">
          <a:avLst/>
        </a:prstGeom>
      </xdr:spPr>
    </xdr:pic>
    <xdr:clientData/>
  </xdr:twoCellAnchor>
  <xdr:twoCellAnchor editAs="oneCell">
    <xdr:from>
      <xdr:col>6</xdr:col>
      <xdr:colOff>74085</xdr:colOff>
      <xdr:row>42</xdr:row>
      <xdr:rowOff>105833</xdr:rowOff>
    </xdr:from>
    <xdr:to>
      <xdr:col>21</xdr:col>
      <xdr:colOff>116930</xdr:colOff>
      <xdr:row>80</xdr:row>
      <xdr:rowOff>141605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FFBE6962-4D41-BF26-C257-C32AF55B7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2" y="7704666"/>
          <a:ext cx="11250595" cy="606827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104775</xdr:rowOff>
    </xdr:from>
    <xdr:to>
      <xdr:col>3</xdr:col>
      <xdr:colOff>883032</xdr:colOff>
      <xdr:row>110</xdr:row>
      <xdr:rowOff>11642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81325"/>
          <a:ext cx="5988432" cy="10108142"/>
        </a:xfrm>
        <a:prstGeom prst="rect">
          <a:avLst/>
        </a:prstGeom>
      </xdr:spPr>
    </xdr:pic>
    <xdr:clientData/>
  </xdr:twoCellAnchor>
  <xdr:twoCellAnchor editAs="oneCell">
    <xdr:from>
      <xdr:col>6</xdr:col>
      <xdr:colOff>738530</xdr:colOff>
      <xdr:row>82</xdr:row>
      <xdr:rowOff>63499</xdr:rowOff>
    </xdr:from>
    <xdr:to>
      <xdr:col>14</xdr:col>
      <xdr:colOff>456113</xdr:colOff>
      <xdr:row>106</xdr:row>
      <xdr:rowOff>147221</xdr:rowOff>
    </xdr:to>
    <xdr:pic>
      <xdr:nvPicPr>
        <xdr:cNvPr id="3" name="Imagem 2" descr="Recorte de Tela">
          <a:extLst>
            <a:ext uri="{FF2B5EF4-FFF2-40B4-BE49-F238E27FC236}">
              <a16:creationId xmlns:a16="http://schemas.microsoft.com/office/drawing/2014/main" id="{00000000-0008-0000-9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7805" y="8607424"/>
          <a:ext cx="6918483" cy="3969922"/>
        </a:xfrm>
        <a:prstGeom prst="rect">
          <a:avLst/>
        </a:prstGeom>
      </xdr:spPr>
    </xdr:pic>
    <xdr:clientData/>
  </xdr:twoCellAnchor>
  <xdr:twoCellAnchor editAs="oneCell">
    <xdr:from>
      <xdr:col>4</xdr:col>
      <xdr:colOff>1111249</xdr:colOff>
      <xdr:row>76</xdr:row>
      <xdr:rowOff>123068</xdr:rowOff>
    </xdr:from>
    <xdr:to>
      <xdr:col>6</xdr:col>
      <xdr:colOff>698500</xdr:colOff>
      <xdr:row>106</xdr:row>
      <xdr:rowOff>143017</xdr:rowOff>
    </xdr:to>
    <xdr:pic>
      <xdr:nvPicPr>
        <xdr:cNvPr id="4" name="Imagem 3" descr="Recorte de Tela">
          <a:extLst>
            <a:ext uri="{FF2B5EF4-FFF2-40B4-BE49-F238E27FC236}">
              <a16:creationId xmlns:a16="http://schemas.microsoft.com/office/drawing/2014/main" id="{00000000-0008-0000-9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6799" y="7695443"/>
          <a:ext cx="2720976" cy="48776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752475</xdr:colOff>
      <xdr:row>289</xdr:row>
      <xdr:rowOff>247650</xdr:rowOff>
    </xdr:from>
    <xdr:to>
      <xdr:col>22</xdr:col>
      <xdr:colOff>499616</xdr:colOff>
      <xdr:row>308</xdr:row>
      <xdr:rowOff>200025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57130950"/>
          <a:ext cx="8472041" cy="4819650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311</xdr:row>
      <xdr:rowOff>0</xdr:rowOff>
    </xdr:from>
    <xdr:to>
      <xdr:col>22</xdr:col>
      <xdr:colOff>363181</xdr:colOff>
      <xdr:row>345</xdr:row>
      <xdr:rowOff>115361</xdr:rowOff>
    </xdr:to>
    <xdr:pic>
      <xdr:nvPicPr>
        <xdr:cNvPr id="3" name="Imagem 2" descr="Recorte de Tela">
          <a:extLst>
            <a:ext uri="{FF2B5EF4-FFF2-40B4-BE49-F238E27FC236}">
              <a16:creationId xmlns:a16="http://schemas.microsoft.com/office/drawing/2014/main" id="{00000000-0008-0000-9E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42"/>
        <a:stretch/>
      </xdr:blipFill>
      <xdr:spPr>
        <a:xfrm>
          <a:off x="8058150" y="62503050"/>
          <a:ext cx="8821381" cy="623041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137583</xdr:colOff>
      <xdr:row>34</xdr:row>
      <xdr:rowOff>158749</xdr:rowOff>
    </xdr:from>
    <xdr:to>
      <xdr:col>3</xdr:col>
      <xdr:colOff>826642</xdr:colOff>
      <xdr:row>49</xdr:row>
      <xdr:rowOff>84666</xdr:rowOff>
    </xdr:to>
    <xdr:pic>
      <xdr:nvPicPr>
        <xdr:cNvPr id="2" name="Imagem 1" descr="Recorte de Tela"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3" t="1075" r="3232" b="8616"/>
        <a:stretch/>
      </xdr:blipFill>
      <xdr:spPr>
        <a:xfrm>
          <a:off x="941916" y="7143749"/>
          <a:ext cx="4393226" cy="27834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476248</xdr:colOff>
      <xdr:row>62</xdr:row>
      <xdr:rowOff>158749</xdr:rowOff>
    </xdr:from>
    <xdr:to>
      <xdr:col>3</xdr:col>
      <xdr:colOff>338665</xdr:colOff>
      <xdr:row>77</xdr:row>
      <xdr:rowOff>84666</xdr:rowOff>
    </xdr:to>
    <xdr:pic>
      <xdr:nvPicPr>
        <xdr:cNvPr id="4" name="Imagem 3" descr="Recorte de Tela">
          <a:extLst>
            <a:ext uri="{FF2B5EF4-FFF2-40B4-BE49-F238E27FC236}">
              <a16:creationId xmlns:a16="http://schemas.microsoft.com/office/drawing/2014/main" id="{00000000-0008-0000-9F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1" t="1388" r="5422" b="7305"/>
        <a:stretch/>
      </xdr:blipFill>
      <xdr:spPr>
        <a:xfrm>
          <a:off x="476248" y="12477749"/>
          <a:ext cx="4370917" cy="2783417"/>
        </a:xfrm>
        <a:prstGeom prst="rect">
          <a:avLst/>
        </a:prstGeom>
      </xdr:spPr>
    </xdr:pic>
    <xdr:clientData/>
  </xdr:twoCellAnchor>
  <xdr:twoCellAnchor>
    <xdr:from>
      <xdr:col>0</xdr:col>
      <xdr:colOff>624418</xdr:colOff>
      <xdr:row>63</xdr:row>
      <xdr:rowOff>95249</xdr:rowOff>
    </xdr:from>
    <xdr:to>
      <xdr:col>1</xdr:col>
      <xdr:colOff>1333500</xdr:colOff>
      <xdr:row>77</xdr:row>
      <xdr:rowOff>179917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0000000-0008-0000-9F00-000003000000}"/>
            </a:ext>
          </a:extLst>
        </xdr:cNvPr>
        <xdr:cNvSpPr txBox="1"/>
      </xdr:nvSpPr>
      <xdr:spPr>
        <a:xfrm>
          <a:off x="624418" y="12604749"/>
          <a:ext cx="1513415" cy="2751668"/>
        </a:xfrm>
        <a:prstGeom prst="rect">
          <a:avLst/>
        </a:prstGeom>
        <a:solidFill>
          <a:schemeClr val="lt1">
            <a:alpha val="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800" baseline="0">
              <a:solidFill>
                <a:schemeClr val="tx2">
                  <a:lumMod val="75000"/>
                </a:schemeClr>
              </a:solidFill>
              <a:latin typeface="Forte" panose="03060902040502070203" pitchFamily="66" charset="0"/>
            </a:rPr>
            <a:t>  </a:t>
          </a:r>
          <a:r>
            <a:rPr lang="pt-BR" sz="2800" baseline="0">
              <a:solidFill>
                <a:schemeClr val="bg1"/>
              </a:solidFill>
              <a:latin typeface="Forte" panose="03060902040502070203" pitchFamily="66" charset="0"/>
            </a:rPr>
            <a:t>JOISE</a:t>
          </a:r>
        </a:p>
        <a:p>
          <a:endParaRPr lang="pt-BR" sz="1600" baseline="0">
            <a:solidFill>
              <a:schemeClr val="bg1"/>
            </a:solidFill>
            <a:latin typeface="Forte" panose="03060902040502070203" pitchFamily="66" charset="0"/>
          </a:endParaRPr>
        </a:p>
        <a:p>
          <a:r>
            <a:rPr lang="pt-BR" sz="1600" baseline="0">
              <a:solidFill>
                <a:schemeClr val="bg1"/>
              </a:solidFill>
              <a:latin typeface="Fugaz One" pitchFamily="2" charset="0"/>
            </a:rPr>
            <a:t>PARA:</a:t>
          </a:r>
        </a:p>
        <a:p>
          <a:endParaRPr lang="pt-BR" sz="1600" baseline="0">
            <a:solidFill>
              <a:schemeClr val="bg1"/>
            </a:solidFill>
            <a:latin typeface="Fugaz One" pitchFamily="2" charset="0"/>
          </a:endParaRPr>
        </a:p>
        <a:p>
          <a:r>
            <a:rPr lang="pt-BR" sz="1600" baseline="0">
              <a:solidFill>
                <a:schemeClr val="bg1"/>
              </a:solidFill>
              <a:latin typeface="Fugaz One" pitchFamily="2" charset="0"/>
            </a:rPr>
            <a:t>TLA </a:t>
          </a:r>
        </a:p>
        <a:p>
          <a:r>
            <a:rPr lang="pt-BR" sz="1600" baseline="0">
              <a:solidFill>
                <a:schemeClr val="bg1"/>
              </a:solidFill>
              <a:latin typeface="Fugaz One" pitchFamily="2" charset="0"/>
            </a:rPr>
            <a:t>ALEXANDRE</a:t>
          </a:r>
        </a:p>
        <a:p>
          <a:r>
            <a:rPr lang="pt-BR" sz="1600" baseline="0">
              <a:solidFill>
                <a:schemeClr val="bg1"/>
              </a:solidFill>
              <a:latin typeface="Fugaz One" pitchFamily="2" charset="0"/>
            </a:rPr>
            <a:t>      30/10/22</a:t>
          </a:r>
          <a:endParaRPr lang="pt-BR" sz="1600">
            <a:solidFill>
              <a:schemeClr val="bg1"/>
            </a:solidFill>
            <a:latin typeface="Fugaz One" pitchFamily="2" charset="0"/>
          </a:endParaRPr>
        </a:p>
      </xdr:txBody>
    </xdr:sp>
    <xdr:clientData/>
  </xdr:twoCellAnchor>
  <xdr:twoCellAnchor editAs="oneCell">
    <xdr:from>
      <xdr:col>0</xdr:col>
      <xdr:colOff>433917</xdr:colOff>
      <xdr:row>79</xdr:row>
      <xdr:rowOff>137583</xdr:rowOff>
    </xdr:from>
    <xdr:to>
      <xdr:col>3</xdr:col>
      <xdr:colOff>338667</xdr:colOff>
      <xdr:row>94</xdr:row>
      <xdr:rowOff>170258</xdr:rowOff>
    </xdr:to>
    <xdr:pic>
      <xdr:nvPicPr>
        <xdr:cNvPr id="6" name="Imagem 5" descr="Recorte de Tela">
          <a:extLst>
            <a:ext uri="{FF2B5EF4-FFF2-40B4-BE49-F238E27FC236}">
              <a16:creationId xmlns:a16="http://schemas.microsoft.com/office/drawing/2014/main" id="{00000000-0008-0000-9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917" y="15504583"/>
          <a:ext cx="4413250" cy="2890175"/>
        </a:xfrm>
        <a:prstGeom prst="rect">
          <a:avLst/>
        </a:prstGeom>
      </xdr:spPr>
    </xdr:pic>
    <xdr:clientData/>
  </xdr:twoCellAnchor>
  <xdr:twoCellAnchor>
    <xdr:from>
      <xdr:col>0</xdr:col>
      <xdr:colOff>444500</xdr:colOff>
      <xdr:row>79</xdr:row>
      <xdr:rowOff>158750</xdr:rowOff>
    </xdr:from>
    <xdr:to>
      <xdr:col>3</xdr:col>
      <xdr:colOff>328083</xdr:colOff>
      <xdr:row>84</xdr:row>
      <xdr:rowOff>31749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0000000-0008-0000-9F00-000007000000}"/>
            </a:ext>
          </a:extLst>
        </xdr:cNvPr>
        <xdr:cNvSpPr txBox="1"/>
      </xdr:nvSpPr>
      <xdr:spPr>
        <a:xfrm>
          <a:off x="444500" y="15525750"/>
          <a:ext cx="4392083" cy="825499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3200">
              <a:solidFill>
                <a:schemeClr val="bg1"/>
              </a:solidFill>
              <a:latin typeface="Kalam" panose="02000000000000000000" pitchFamily="2" charset="0"/>
              <a:cs typeface="Kalam" panose="02000000000000000000" pitchFamily="2" charset="0"/>
            </a:rPr>
            <a:t>FELIZ DIA DAS MÃES</a:t>
          </a:r>
          <a:r>
            <a:rPr lang="pt-BR" sz="3200" baseline="0">
              <a:solidFill>
                <a:schemeClr val="bg1"/>
              </a:solidFill>
              <a:latin typeface="Kalam" panose="02000000000000000000" pitchFamily="2" charset="0"/>
              <a:cs typeface="Kalam" panose="02000000000000000000" pitchFamily="2" charset="0"/>
            </a:rPr>
            <a:t>!!!</a:t>
          </a:r>
        </a:p>
        <a:p>
          <a:endParaRPr lang="pt-BR" sz="1800">
            <a:solidFill>
              <a:schemeClr val="bg1"/>
            </a:solidFill>
            <a:latin typeface="Kalam" panose="02000000000000000000" pitchFamily="2" charset="0"/>
            <a:cs typeface="Kalam" panose="02000000000000000000" pitchFamily="2" charset="0"/>
          </a:endParaRPr>
        </a:p>
      </xdr:txBody>
    </xdr:sp>
    <xdr:clientData/>
  </xdr:twoCellAnchor>
  <xdr:twoCellAnchor>
    <xdr:from>
      <xdr:col>2</xdr:col>
      <xdr:colOff>247651</xdr:colOff>
      <xdr:row>92</xdr:row>
      <xdr:rowOff>99484</xdr:rowOff>
    </xdr:from>
    <xdr:to>
      <xdr:col>3</xdr:col>
      <xdr:colOff>285751</xdr:colOff>
      <xdr:row>94</xdr:row>
      <xdr:rowOff>84667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00000000-0008-0000-9F00-000008000000}"/>
            </a:ext>
          </a:extLst>
        </xdr:cNvPr>
        <xdr:cNvSpPr txBox="1"/>
      </xdr:nvSpPr>
      <xdr:spPr>
        <a:xfrm>
          <a:off x="3718984" y="17942984"/>
          <a:ext cx="1075267" cy="366183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>
              <a:solidFill>
                <a:schemeClr val="bg1"/>
              </a:solidFill>
              <a:latin typeface="Kalam" panose="02000000000000000000" pitchFamily="2" charset="0"/>
              <a:cs typeface="Kalam" panose="02000000000000000000" pitchFamily="2" charset="0"/>
            </a:rPr>
            <a:t>MAIO/2025</a:t>
          </a:r>
        </a:p>
      </xdr:txBody>
    </xdr:sp>
    <xdr:clientData/>
  </xdr:twoCellAnchor>
  <xdr:twoCellAnchor editAs="oneCell">
    <xdr:from>
      <xdr:col>0</xdr:col>
      <xdr:colOff>158749</xdr:colOff>
      <xdr:row>127</xdr:row>
      <xdr:rowOff>105833</xdr:rowOff>
    </xdr:from>
    <xdr:to>
      <xdr:col>4</xdr:col>
      <xdr:colOff>1111250</xdr:colOff>
      <xdr:row>147</xdr:row>
      <xdr:rowOff>163472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71C6497-6FE9-8800-7782-052E937D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49" y="24807333"/>
          <a:ext cx="6540501" cy="3867639"/>
        </a:xfrm>
        <a:prstGeom prst="rect">
          <a:avLst/>
        </a:prstGeom>
      </xdr:spPr>
    </xdr:pic>
    <xdr:clientData/>
  </xdr:twoCellAnchor>
  <xdr:twoCellAnchor editAs="oneCell">
    <xdr:from>
      <xdr:col>0</xdr:col>
      <xdr:colOff>296334</xdr:colOff>
      <xdr:row>138</xdr:row>
      <xdr:rowOff>63501</xdr:rowOff>
    </xdr:from>
    <xdr:to>
      <xdr:col>1</xdr:col>
      <xdr:colOff>873402</xdr:colOff>
      <xdr:row>143</xdr:row>
      <xdr:rowOff>63500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A2AE67C7-7F33-2F74-BBED-97FC90233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334" y="26860501"/>
          <a:ext cx="1381401" cy="952499"/>
        </a:xfrm>
        <a:prstGeom prst="rect">
          <a:avLst/>
        </a:prstGeom>
      </xdr:spPr>
    </xdr:pic>
    <xdr:clientData/>
  </xdr:twoCellAnchor>
  <xdr:twoCellAnchor>
    <xdr:from>
      <xdr:col>0</xdr:col>
      <xdr:colOff>349251</xdr:colOff>
      <xdr:row>144</xdr:row>
      <xdr:rowOff>116417</xdr:rowOff>
    </xdr:from>
    <xdr:to>
      <xdr:col>1</xdr:col>
      <xdr:colOff>846668</xdr:colOff>
      <xdr:row>146</xdr:row>
      <xdr:rowOff>158750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04CE8FDA-3C10-434F-AACB-7E6293696504}"/>
            </a:ext>
          </a:extLst>
        </xdr:cNvPr>
        <xdr:cNvSpPr txBox="1"/>
      </xdr:nvSpPr>
      <xdr:spPr>
        <a:xfrm>
          <a:off x="349251" y="28056417"/>
          <a:ext cx="1301750" cy="423333"/>
        </a:xfrm>
        <a:prstGeom prst="rect">
          <a:avLst/>
        </a:prstGeom>
        <a:solidFill>
          <a:schemeClr val="tx1">
            <a:lumMod val="75000"/>
            <a:lumOff val="25000"/>
            <a:alpha val="0"/>
          </a:schemeClr>
        </a:solidFill>
        <a:ln w="9525" cmpd="sng">
          <a:solidFill>
            <a:schemeClr val="lt1">
              <a:shade val="50000"/>
              <a:alpha val="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rgbClr val="FF0000"/>
              </a:solidFill>
              <a:latin typeface="Kalam" panose="02000000000000000000" pitchFamily="2" charset="0"/>
              <a:cs typeface="Kalam" panose="02000000000000000000" pitchFamily="2" charset="0"/>
            </a:rPr>
            <a:t>18/09/2024</a:t>
          </a:r>
        </a:p>
      </xdr:txBody>
    </xdr:sp>
    <xdr:clientData/>
  </xdr:twoCellAnchor>
  <xdr:twoCellAnchor editAs="oneCell">
    <xdr:from>
      <xdr:col>0</xdr:col>
      <xdr:colOff>359833</xdr:colOff>
      <xdr:row>192</xdr:row>
      <xdr:rowOff>84667</xdr:rowOff>
    </xdr:from>
    <xdr:to>
      <xdr:col>1</xdr:col>
      <xdr:colOff>2624667</xdr:colOff>
      <xdr:row>198</xdr:row>
      <xdr:rowOff>7605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300FCDB-D3B2-FD60-1827-C89CF8BB2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833" y="37168667"/>
          <a:ext cx="3069167" cy="1065938"/>
        </a:xfrm>
        <a:prstGeom prst="rect">
          <a:avLst/>
        </a:prstGeom>
      </xdr:spPr>
    </xdr:pic>
    <xdr:clientData/>
  </xdr:twoCellAnchor>
  <xdr:twoCellAnchor editAs="oneCell">
    <xdr:from>
      <xdr:col>2</xdr:col>
      <xdr:colOff>137584</xdr:colOff>
      <xdr:row>192</xdr:row>
      <xdr:rowOff>63500</xdr:rowOff>
    </xdr:from>
    <xdr:to>
      <xdr:col>4</xdr:col>
      <xdr:colOff>1240816</xdr:colOff>
      <xdr:row>198</xdr:row>
      <xdr:rowOff>54133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5F3BDBB-B696-89AF-3A14-40614523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8917" y="37147500"/>
          <a:ext cx="3219899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199</xdr:row>
      <xdr:rowOff>116416</xdr:rowOff>
    </xdr:from>
    <xdr:to>
      <xdr:col>1</xdr:col>
      <xdr:colOff>2628277</xdr:colOff>
      <xdr:row>205</xdr:row>
      <xdr:rowOff>97523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B22E368F-0446-FC8B-E89D-EA03E02FF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8533916"/>
          <a:ext cx="3115110" cy="1124107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169334</xdr:colOff>
      <xdr:row>199</xdr:row>
      <xdr:rowOff>42333</xdr:rowOff>
    </xdr:from>
    <xdr:to>
      <xdr:col>4</xdr:col>
      <xdr:colOff>1224935</xdr:colOff>
      <xdr:row>205</xdr:row>
      <xdr:rowOff>99651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6A2D7233-6019-015C-807E-7E79D66D5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0667" y="38459833"/>
          <a:ext cx="3172268" cy="120031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" refreshedDate="45316.716365162036" createdVersion="8" refreshedVersion="8" minRefreshableVersion="3" recordCount="18" xr:uid="{305D8069-8444-409B-8011-FB44C94FE5FA}">
  <cacheSource type="worksheet">
    <worksheetSource ref="A2:O20" sheet="Acumulado 2023"/>
  </cacheSource>
  <cacheFields count="15">
    <cacheField name="Despesas 2023" numFmtId="0">
      <sharedItems count="18">
        <s v="Almoço"/>
        <s v="Gasolina/Alcool - Carro"/>
        <s v="Gasolina/Alcool - Moto"/>
        <s v="Lanches/Doces"/>
        <s v="Café"/>
        <s v="Contas Água e Luz"/>
        <s v="Academia/Suplemento/Alimentação"/>
        <s v="Despesas com Carro"/>
        <s v="Despesas com Moto"/>
        <s v="Bebidas/Churras/Balada/Lazer/Viagem"/>
        <s v="Roupas/Calçados/Acessórios/Corte cabelo"/>
        <s v="Construção"/>
        <s v="Filha"/>
        <s v="Ferramentas/Móveis/Acessórios/Eletrônicos"/>
        <s v="Internet/TV"/>
        <s v="Estudos"/>
        <s v="Imóvel"/>
        <s v="Outras Despesas"/>
      </sharedItems>
    </cacheField>
    <cacheField name="Média Mensal" numFmtId="167">
      <sharedItems containsSemiMixedTypes="0" containsString="0" containsNumber="1" minValue="0" maxValue="1343.927611111111"/>
    </cacheField>
    <cacheField name="Total do Ano" numFmtId="167">
      <sharedItems containsSemiMixedTypes="0" containsString="0" containsNumber="1" minValue="0" maxValue="16127.131333333333"/>
    </cacheField>
    <cacheField name="Janeiro" numFmtId="167">
      <sharedItems containsSemiMixedTypes="0" containsString="0" containsNumber="1" minValue="0" maxValue="1045.01"/>
    </cacheField>
    <cacheField name="Fevereiro" numFmtId="167">
      <sharedItems containsSemiMixedTypes="0" containsString="0" containsNumber="1" minValue="0" maxValue="739.8"/>
    </cacheField>
    <cacheField name="Março" numFmtId="167">
      <sharedItems containsSemiMixedTypes="0" containsString="0" containsNumber="1" minValue="0" maxValue="915.69"/>
    </cacheField>
    <cacheField name="Abril" numFmtId="167">
      <sharedItems containsSemiMixedTypes="0" containsString="0" containsNumber="1" minValue="0" maxValue="920.11"/>
    </cacheField>
    <cacheField name="Maio" numFmtId="167">
      <sharedItems containsSemiMixedTypes="0" containsString="0" containsNumber="1" minValue="0" maxValue="686.89"/>
    </cacheField>
    <cacheField name="Junho" numFmtId="167">
      <sharedItems containsSemiMixedTypes="0" containsString="0" containsNumber="1" minValue="0" maxValue="800"/>
    </cacheField>
    <cacheField name="Julho" numFmtId="167">
      <sharedItems containsSemiMixedTypes="0" containsString="0" containsNumber="1" minValue="0" maxValue="836"/>
    </cacheField>
    <cacheField name="Agosto" numFmtId="167">
      <sharedItems containsSemiMixedTypes="0" containsString="0" containsNumber="1" minValue="0" maxValue="3944.67"/>
    </cacheField>
    <cacheField name="Setembro" numFmtId="167">
      <sharedItems containsSemiMixedTypes="0" containsString="0" containsNumber="1" minValue="0" maxValue="2352.0700000000002"/>
    </cacheField>
    <cacheField name="Outubro" numFmtId="167">
      <sharedItems containsSemiMixedTypes="0" containsString="0" containsNumber="1" minValue="0" maxValue="3627.01"/>
    </cacheField>
    <cacheField name="Novembro" numFmtId="167">
      <sharedItems containsSemiMixedTypes="0" containsString="0" containsNumber="1" minValue="0" maxValue="1922.5"/>
    </cacheField>
    <cacheField name="Dezembro" numFmtId="167">
      <sharedItems containsSemiMixedTypes="0" containsString="0" containsNumber="1" minValue="0" maxValue="2188.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" refreshedDate="45946.712303935186" createdVersion="8" refreshedVersion="8" minRefreshableVersion="3" recordCount="18" xr:uid="{49FE9AEC-B70C-4367-96D7-6CABF1E1A428}">
  <cacheSource type="worksheet">
    <worksheetSource name="Tabela1"/>
  </cacheSource>
  <cacheFields count="15">
    <cacheField name="Despesas 2025" numFmtId="0">
      <sharedItems count="18">
        <s v="Almoço"/>
        <s v="Gasolina/Alcool - Carro"/>
        <s v="Lanches/Doces"/>
        <s v="Café"/>
        <s v="Contas Água e Luz"/>
        <s v="Academia/Suplemento/Alimentação"/>
        <s v="Despesas com Carro"/>
        <s v="Bebidas/Churras/Balada/Lazer/Viagem"/>
        <s v="Roupas/Calçados/Acessórios/Corte cabelo"/>
        <s v="Construção"/>
        <s v="Filha (Isabella)"/>
        <s v="Filha (Isadora)"/>
        <s v="Ferramentas/Móveis/Acessórios/Eletrônicos"/>
        <s v="Internet/TV"/>
        <s v="Estudos"/>
        <s v="Imóvel"/>
        <s v="Outras Despesas"/>
        <s v="Total"/>
      </sharedItems>
    </cacheField>
    <cacheField name="Média Mensal" numFmtId="167">
      <sharedItems containsSemiMixedTypes="0" containsString="0" containsNumber="1" minValue="0" maxValue="10017.512394047619"/>
    </cacheField>
    <cacheField name="Total do Ano" numFmtId="167">
      <sharedItems containsSemiMixedTypes="0" containsString="0" containsNumber="1" minValue="0" maxValue="100175.12394047617"/>
    </cacheField>
    <cacheField name="Janeiro" numFmtId="167">
      <sharedItems containsSemiMixedTypes="0" containsString="0" containsNumber="1" minValue="0" maxValue="9347.8866666666672"/>
    </cacheField>
    <cacheField name="Fevereiro" numFmtId="167">
      <sharedItems containsSemiMixedTypes="0" containsString="0" containsNumber="1" minValue="0" maxValue="6461.4266666666654"/>
    </cacheField>
    <cacheField name="Março" numFmtId="167">
      <sharedItems containsSemiMixedTypes="0" containsString="0" containsNumber="1" minValue="0" maxValue="14790.786666666667"/>
    </cacheField>
    <cacheField name="Abril" numFmtId="167">
      <sharedItems containsSemiMixedTypes="0" containsString="0" containsNumber="1" minValue="0" maxValue="16721.989166666663"/>
    </cacheField>
    <cacheField name="Maio" numFmtId="167">
      <sharedItems containsSemiMixedTypes="0" containsString="0" containsNumber="1" minValue="0" maxValue="10759.513499999999"/>
    </cacheField>
    <cacheField name="Junho" numFmtId="167">
      <sharedItems containsSemiMixedTypes="0" containsString="0" containsNumber="1" minValue="0" maxValue="13282.985642857144"/>
    </cacheField>
    <cacheField name="Julho" numFmtId="167">
      <sharedItems containsSemiMixedTypes="0" containsString="0" containsNumber="1" minValue="0" maxValue="11819.523571428572"/>
    </cacheField>
    <cacheField name="Agosto" numFmtId="167">
      <sharedItems containsSemiMixedTypes="0" containsString="0" containsNumber="1" minValue="0" maxValue="6766.9447380952379"/>
    </cacheField>
    <cacheField name="Setembro" numFmtId="167">
      <sharedItems containsSemiMixedTypes="0" containsString="0" containsNumber="1" minValue="0" maxValue="7100.174404761904"/>
    </cacheField>
    <cacheField name="Outubro" numFmtId="167">
      <sharedItems containsSemiMixedTypes="0" containsString="0" containsNumber="1" minValue="0" maxValue="3123.8929166666667"/>
    </cacheField>
    <cacheField name="Novembro" numFmtId="167">
      <sharedItems containsString="0" containsBlank="1" containsNumber="1" containsInteger="1" minValue="0" maxValue="0"/>
    </cacheField>
    <cacheField name="Dezembro" numFmtId="167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e" refreshedDate="45973.69233229167" createdVersion="8" refreshedVersion="8" minRefreshableVersion="3" recordCount="20" xr:uid="{5CF15258-2321-479F-B0A6-B0AF44BF9D6E}">
  <cacheSource type="worksheet">
    <worksheetSource ref="A1:R21" sheet="Acumulado por ano"/>
  </cacheSource>
  <cacheFields count="18">
    <cacheField name="Maiores Despesas " numFmtId="0">
      <sharedItems count="20">
        <s v="Almoço"/>
        <s v="Gasolina/Alcool - Carro"/>
        <s v="Gasolina/Alcool - Moto"/>
        <s v="Lanches/Doces"/>
        <s v="Café"/>
        <s v="Contas Água e Luz"/>
        <s v="Academia/Suplemento/Alimentação"/>
        <s v="Despesas com Carro"/>
        <s v="Despesas com Moto"/>
        <s v="Prestação Carro"/>
        <s v="Bebidas/Churras/Balada/Lazer"/>
        <s v="Roupas/Calçados/Acessórios/Corte cabelo"/>
        <s v="Construção"/>
        <s v="Filha (Isabella)"/>
        <s v="Filha (Isadora)"/>
        <s v="Ferramentas/Móveis/Acessórios"/>
        <s v="Internet/TV"/>
        <s v="Estudos"/>
        <s v="Imóvel"/>
        <s v="Outras Despesas"/>
      </sharedItems>
    </cacheField>
    <cacheField name="Média Anual" numFmtId="167">
      <sharedItems containsSemiMixedTypes="0" containsString="0" containsNumber="1" minValue="39.57692307692308" maxValue="9288.6941611721613"/>
    </cacheField>
    <cacheField name="Total " numFmtId="167">
      <sharedItems containsSemiMixedTypes="0" containsString="0" containsNumber="1" minValue="514.5" maxValue="120753.0240952381"/>
    </cacheField>
    <cacheField name="2011" numFmtId="167">
      <sharedItems containsSemiMixedTypes="0" containsString="0" containsNumber="1" containsInteger="1" minValue="0" maxValue="0"/>
    </cacheField>
    <cacheField name="2012" numFmtId="167">
      <sharedItems containsSemiMixedTypes="0" containsString="0" containsNumber="1" containsInteger="1" minValue="0" maxValue="0"/>
    </cacheField>
    <cacheField name="2013" numFmtId="167">
      <sharedItems containsSemiMixedTypes="0" containsString="0" containsNumber="1" minValue="0" maxValue="2794.91"/>
    </cacheField>
    <cacheField name="2014" numFmtId="167">
      <sharedItems containsSemiMixedTypes="0" containsString="0" containsNumber="1" minValue="0" maxValue="4650.99"/>
    </cacheField>
    <cacheField name="2015" numFmtId="167">
      <sharedItems containsSemiMixedTypes="0" containsString="0" containsNumber="1" minValue="0" maxValue="9329.2199999999993"/>
    </cacheField>
    <cacheField name="2016" numFmtId="167">
      <sharedItems containsSemiMixedTypes="0" containsString="0" containsNumber="1" minValue="0" maxValue="8320.7900000000009"/>
    </cacheField>
    <cacheField name="2017" numFmtId="167">
      <sharedItems containsSemiMixedTypes="0" containsString="0" containsNumber="1" minValue="0" maxValue="6909.32"/>
    </cacheField>
    <cacheField name="2018" numFmtId="167">
      <sharedItems containsSemiMixedTypes="0" containsString="0" containsNumber="1" minValue="0" maxValue="6345.3899999999994"/>
    </cacheField>
    <cacheField name="2019" numFmtId="167">
      <sharedItems containsSemiMixedTypes="0" containsString="0" containsNumber="1" minValue="0" maxValue="11513.369999999999"/>
    </cacheField>
    <cacheField name="2020" numFmtId="167">
      <sharedItems containsSemiMixedTypes="0" containsString="0" containsNumber="1" minValue="0" maxValue="6978.56"/>
    </cacheField>
    <cacheField name="2021" numFmtId="167">
      <sharedItems containsSemiMixedTypes="0" containsString="0" containsNumber="1" minValue="0" maxValue="8668.4500000000007"/>
    </cacheField>
    <cacheField name="2022" numFmtId="167">
      <sharedItems containsSemiMixedTypes="0" containsString="0" containsNumber="1" minValue="0" maxValue="10196.029999999999"/>
    </cacheField>
    <cacheField name="2023" numFmtId="167">
      <sharedItems containsSemiMixedTypes="0" containsString="0" containsNumber="1" minValue="0" maxValue="16127.131333333333"/>
    </cacheField>
    <cacheField name="2024" numFmtId="167">
      <sharedItems containsSemiMixedTypes="0" containsString="0" containsNumber="1" minValue="0" maxValue="47701.714999999997"/>
    </cacheField>
    <cacheField name="2025" numFmtId="44">
      <sharedItems containsSemiMixedTypes="0" containsString="0" containsNumber="1" minValue="0" maxValue="53661.449095238095"/>
    </cacheField>
  </cacheFields>
  <extLst>
    <ext xmlns:x14="http://schemas.microsoft.com/office/spreadsheetml/2009/9/main" uri="{725AE2AE-9491-48be-B2B4-4EB974FC3084}">
      <x14:pivotCacheDefinition pivotCacheId="1099824155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re" refreshedDate="46041.343648726855" backgroundQuery="1" createdVersion="3" refreshedVersion="8" minRefreshableVersion="3" recordCount="0" supportSubquery="1" supportAdvancedDrill="1" xr:uid="{69691374-74C0-47CA-BAC2-1A4DBFD9168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9">
    <cacheHierarchy uniqueName="[Tabela1].[Despesas 2025]" caption="Despesas 2025" attribute="1" defaultMemberUniqueName="[Tabela1].[Despesas 2025].[All]" allUniqueName="[Tabela1].[Despesas 2025].[All]" dimensionUniqueName="[Tabela1]" displayFolder="" count="2" memberValueDatatype="130" unbalanced="0"/>
    <cacheHierarchy uniqueName="[Tabela1].[Média Mensal]" caption="Média Mensal" attribute="1" defaultMemberUniqueName="[Tabela1].[Média Mensal].[All]" allUniqueName="[Tabela1].[Média Mensal].[All]" dimensionUniqueName="[Tabela1]" displayFolder="" count="0" memberValueDatatype="5" unbalanced="0"/>
    <cacheHierarchy uniqueName="[Tabela1].[Total do Ano]" caption="Total do Ano" attribute="1" defaultMemberUniqueName="[Tabela1].[Total do Ano].[All]" allUniqueName="[Tabela1].[Total do Ano].[All]" dimensionUniqueName="[Tabela1]" displayFolder="" count="0" memberValueDatatype="5" unbalanced="0"/>
    <cacheHierarchy uniqueName="[Tabela1].[Janeiro]" caption="Janeiro" attribute="1" defaultMemberUniqueName="[Tabela1].[Janeiro].[All]" allUniqueName="[Tabela1].[Janeiro].[All]" dimensionUniqueName="[Tabela1]" displayFolder="" count="0" memberValueDatatype="5" unbalanced="0"/>
    <cacheHierarchy uniqueName="[Tabela1].[Fevereiro]" caption="Fevereiro" attribute="1" defaultMemberUniqueName="[Tabela1].[Fevereiro].[All]" allUniqueName="[Tabela1].[Fevereiro].[All]" dimensionUniqueName="[Tabela1]" displayFolder="" count="0" memberValueDatatype="5" unbalanced="0"/>
    <cacheHierarchy uniqueName="[Tabela1].[Março]" caption="Março" attribute="1" defaultMemberUniqueName="[Tabela1].[Março].[All]" allUniqueName="[Tabela1].[Março].[All]" dimensionUniqueName="[Tabela1]" displayFolder="" count="0" memberValueDatatype="5" unbalanced="0"/>
    <cacheHierarchy uniqueName="[Tabela1].[Abril]" caption="Abril" attribute="1" defaultMemberUniqueName="[Tabela1].[Abril].[All]" allUniqueName="[Tabela1].[Abril].[All]" dimensionUniqueName="[Tabela1]" displayFolder="" count="0" memberValueDatatype="5" unbalanced="0"/>
    <cacheHierarchy uniqueName="[Tabela1].[Maio]" caption="Maio" attribute="1" defaultMemberUniqueName="[Tabela1].[Maio].[All]" allUniqueName="[Tabela1].[Maio].[All]" dimensionUniqueName="[Tabela1]" displayFolder="" count="0" memberValueDatatype="5" unbalanced="0"/>
    <cacheHierarchy uniqueName="[Tabela1].[Junho]" caption="Junho" attribute="1" defaultMemberUniqueName="[Tabela1].[Junho].[All]" allUniqueName="[Tabela1].[Junho].[All]" dimensionUniqueName="[Tabela1]" displayFolder="" count="0" memberValueDatatype="5" unbalanced="0"/>
    <cacheHierarchy uniqueName="[Tabela1].[Julho]" caption="Julho" attribute="1" defaultMemberUniqueName="[Tabela1].[Julho].[All]" allUniqueName="[Tabela1].[Julho].[All]" dimensionUniqueName="[Tabela1]" displayFolder="" count="0" memberValueDatatype="5" unbalanced="0"/>
    <cacheHierarchy uniqueName="[Tabela1].[Agosto]" caption="Agosto" attribute="1" defaultMemberUniqueName="[Tabela1].[Agosto].[All]" allUniqueName="[Tabela1].[Agosto].[All]" dimensionUniqueName="[Tabela1]" displayFolder="" count="0" memberValueDatatype="5" unbalanced="0"/>
    <cacheHierarchy uniqueName="[Tabela1].[Setembro]" caption="Setembro" attribute="1" defaultMemberUniqueName="[Tabela1].[Setembro].[All]" allUniqueName="[Tabela1].[Setembro].[All]" dimensionUniqueName="[Tabela1]" displayFolder="" count="0" memberValueDatatype="5" unbalanced="0"/>
    <cacheHierarchy uniqueName="[Tabela1].[Outubro]" caption="Outubro" attribute="1" defaultMemberUniqueName="[Tabela1].[Outubro].[All]" allUniqueName="[Tabela1].[Outubro].[All]" dimensionUniqueName="[Tabela1]" displayFolder="" count="0" memberValueDatatype="5" unbalanced="0"/>
    <cacheHierarchy uniqueName="[Tabela1].[Novembro]" caption="Novembro" attribute="1" defaultMemberUniqueName="[Tabela1].[Novembro].[All]" allUniqueName="[Tabela1].[Novembro].[All]" dimensionUniqueName="[Tabela1]" displayFolder="" count="0" memberValueDatatype="5" unbalanced="0"/>
    <cacheHierarchy uniqueName="[Tabela1].[Dezembro]" caption="Dezembro" attribute="1" defaultMemberUniqueName="[Tabela1].[Dezembro].[All]" allUniqueName="[Tabela1].[Dezembro].[All]" dimensionUniqueName="[Tabela1]" displayFolder="" count="0" memberValueDatatype="5" unbalanced="0"/>
    <cacheHierarchy uniqueName="[Measures].[__XL_Count Tabela1]" caption="__XL_Count Tabela1" measure="1" displayFolder="" measureGroup="Tabela1" count="0" hidden="1"/>
    <cacheHierarchy uniqueName="[Measures].[__XL_Count of Models]" caption="__XL_Count of Models" measure="1" displayFolder="" count="0" hidden="1"/>
    <cacheHierarchy uniqueName="[Measures].[Soma de Janeiro]" caption="Soma de Janeiro" measure="1" displayFolder="" measureGroup="Tabela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a de Fevereiro]" caption="Soma de Fevereiro" measure="1" displayFolder="" measureGroup="Tabela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Março]" caption="Soma de Março" measure="1" displayFolder="" measureGroup="Tabela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Abril]" caption="Soma de Abril" measure="1" displayFolder="" measureGroup="Tabela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Maio]" caption="Soma de Maio" measure="1" displayFolder="" measureGroup="Tabela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Junho]" caption="Soma de Junho" measure="1" displayFolder="" measureGroup="Tabela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Julho]" caption="Soma de Julho" measure="1" displayFolder="" measureGroup="Tabela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gosto]" caption="Soma de Agosto" measure="1" displayFolder="" measureGroup="Tabe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Setembro]" caption="Soma de Setembro" measure="1" displayFolder="" measureGroup="Tabe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Outubro]" caption="Soma de Outubro" measure="1" displayFolder="" measureGroup="Tabela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Novembro]" caption="Soma de Novembro" measure="1" displayFolder="" measureGroup="Tabela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zembro]" caption="Soma de Dezembro" measure="1" displayFolder="" measureGroup="Tabela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016817303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re" refreshedDate="46041.343654398152" backgroundQuery="1" createdVersion="3" refreshedVersion="8" minRefreshableVersion="3" recordCount="0" supportSubquery="1" supportAdvancedDrill="1" xr:uid="{2C797AB4-0039-4B76-8860-E55A6B290B6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9">
    <cacheHierarchy uniqueName="[Tabela1].[Despesas 2025]" caption="Despesas 2025" attribute="1" defaultMemberUniqueName="[Tabela1].[Despesas 2025].[All]" allUniqueName="[Tabela1].[Despesas 2025].[All]" dimensionUniqueName="[Tabela1]" displayFolder="" count="2" memberValueDatatype="130" unbalanced="0"/>
    <cacheHierarchy uniqueName="[Tabela1].[Média Mensal]" caption="Média Mensal" attribute="1" defaultMemberUniqueName="[Tabela1].[Média Mensal].[All]" allUniqueName="[Tabela1].[Média Mensal].[All]" dimensionUniqueName="[Tabela1]" displayFolder="" count="0" memberValueDatatype="5" unbalanced="0"/>
    <cacheHierarchy uniqueName="[Tabela1].[Total do Ano]" caption="Total do Ano" attribute="1" defaultMemberUniqueName="[Tabela1].[Total do Ano].[All]" allUniqueName="[Tabela1].[Total do Ano].[All]" dimensionUniqueName="[Tabela1]" displayFolder="" count="0" memberValueDatatype="5" unbalanced="0"/>
    <cacheHierarchy uniqueName="[Tabela1].[Janeiro]" caption="Janeiro" attribute="1" defaultMemberUniqueName="[Tabela1].[Janeiro].[All]" allUniqueName="[Tabela1].[Janeiro].[All]" dimensionUniqueName="[Tabela1]" displayFolder="" count="0" memberValueDatatype="5" unbalanced="0"/>
    <cacheHierarchy uniqueName="[Tabela1].[Fevereiro]" caption="Fevereiro" attribute="1" defaultMemberUniqueName="[Tabela1].[Fevereiro].[All]" allUniqueName="[Tabela1].[Fevereiro].[All]" dimensionUniqueName="[Tabela1]" displayFolder="" count="0" memberValueDatatype="5" unbalanced="0"/>
    <cacheHierarchy uniqueName="[Tabela1].[Março]" caption="Março" attribute="1" defaultMemberUniqueName="[Tabela1].[Março].[All]" allUniqueName="[Tabela1].[Março].[All]" dimensionUniqueName="[Tabela1]" displayFolder="" count="0" memberValueDatatype="5" unbalanced="0"/>
    <cacheHierarchy uniqueName="[Tabela1].[Abril]" caption="Abril" attribute="1" defaultMemberUniqueName="[Tabela1].[Abril].[All]" allUniqueName="[Tabela1].[Abril].[All]" dimensionUniqueName="[Tabela1]" displayFolder="" count="0" memberValueDatatype="5" unbalanced="0"/>
    <cacheHierarchy uniqueName="[Tabela1].[Maio]" caption="Maio" attribute="1" defaultMemberUniqueName="[Tabela1].[Maio].[All]" allUniqueName="[Tabela1].[Maio].[All]" dimensionUniqueName="[Tabela1]" displayFolder="" count="0" memberValueDatatype="5" unbalanced="0"/>
    <cacheHierarchy uniqueName="[Tabela1].[Junho]" caption="Junho" attribute="1" defaultMemberUniqueName="[Tabela1].[Junho].[All]" allUniqueName="[Tabela1].[Junho].[All]" dimensionUniqueName="[Tabela1]" displayFolder="" count="0" memberValueDatatype="5" unbalanced="0"/>
    <cacheHierarchy uniqueName="[Tabela1].[Julho]" caption="Julho" attribute="1" defaultMemberUniqueName="[Tabela1].[Julho].[All]" allUniqueName="[Tabela1].[Julho].[All]" dimensionUniqueName="[Tabela1]" displayFolder="" count="0" memberValueDatatype="5" unbalanced="0"/>
    <cacheHierarchy uniqueName="[Tabela1].[Agosto]" caption="Agosto" attribute="1" defaultMemberUniqueName="[Tabela1].[Agosto].[All]" allUniqueName="[Tabela1].[Agosto].[All]" dimensionUniqueName="[Tabela1]" displayFolder="" count="0" memberValueDatatype="5" unbalanced="0"/>
    <cacheHierarchy uniqueName="[Tabela1].[Setembro]" caption="Setembro" attribute="1" defaultMemberUniqueName="[Tabela1].[Setembro].[All]" allUniqueName="[Tabela1].[Setembro].[All]" dimensionUniqueName="[Tabela1]" displayFolder="" count="0" memberValueDatatype="5" unbalanced="0"/>
    <cacheHierarchy uniqueName="[Tabela1].[Outubro]" caption="Outubro" attribute="1" defaultMemberUniqueName="[Tabela1].[Outubro].[All]" allUniqueName="[Tabela1].[Outubro].[All]" dimensionUniqueName="[Tabela1]" displayFolder="" count="0" memberValueDatatype="5" unbalanced="0"/>
    <cacheHierarchy uniqueName="[Tabela1].[Novembro]" caption="Novembro" attribute="1" defaultMemberUniqueName="[Tabela1].[Novembro].[All]" allUniqueName="[Tabela1].[Novembro].[All]" dimensionUniqueName="[Tabela1]" displayFolder="" count="0" memberValueDatatype="5" unbalanced="0"/>
    <cacheHierarchy uniqueName="[Tabela1].[Dezembro]" caption="Dezembro" attribute="1" defaultMemberUniqueName="[Tabela1].[Dezembro].[All]" allUniqueName="[Tabela1].[Dezembro].[All]" dimensionUniqueName="[Tabela1]" displayFolder="" count="0" memberValueDatatype="5" unbalanced="0"/>
    <cacheHierarchy uniqueName="[Measures].[__XL_Count Tabela1]" caption="__XL_Count Tabela1" measure="1" displayFolder="" measureGroup="Tabela1" count="0" hidden="1"/>
    <cacheHierarchy uniqueName="[Measures].[__XL_Count of Models]" caption="__XL_Count of Models" measure="1" displayFolder="" count="0" hidden="1"/>
    <cacheHierarchy uniqueName="[Measures].[Soma de Janeiro]" caption="Soma de Janeiro" measure="1" displayFolder="" measureGroup="Tabela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a de Fevereiro]" caption="Soma de Fevereiro" measure="1" displayFolder="" measureGroup="Tabela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Março]" caption="Soma de Março" measure="1" displayFolder="" measureGroup="Tabela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Abril]" caption="Soma de Abril" measure="1" displayFolder="" measureGroup="Tabela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Maio]" caption="Soma de Maio" measure="1" displayFolder="" measureGroup="Tabela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Junho]" caption="Soma de Junho" measure="1" displayFolder="" measureGroup="Tabela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Julho]" caption="Soma de Julho" measure="1" displayFolder="" measureGroup="Tabela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gosto]" caption="Soma de Agosto" measure="1" displayFolder="" measureGroup="Tabe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Setembro]" caption="Soma de Setembro" measure="1" displayFolder="" measureGroup="Tabela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Outubro]" caption="Soma de Outubro" measure="1" displayFolder="" measureGroup="Tabela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Novembro]" caption="Soma de Novembro" measure="1" displayFolder="" measureGroup="Tabela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zembro]" caption="Soma de Dezembro" measure="1" displayFolder="" measureGroup="Tabela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75526261"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re" refreshedDate="46041.343653356482" backgroundQuery="1" createdVersion="8" refreshedVersion="8" minRefreshableVersion="3" recordCount="0" supportSubquery="1" supportAdvancedDrill="1" xr:uid="{628F4C60-87B1-4DB2-92F4-7237EEE7A7A6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3">
    <cacheField name="[Tabela1].[Despesas 2025].[Despesas 2025]" caption="Despesas 2025" numFmtId="0" level="1">
      <sharedItems count="2">
        <s v="Despesas com Carro"/>
        <s v="Academia/Suplemento/Alimentação" u="1"/>
      </sharedItems>
    </cacheField>
    <cacheField name="[Measures].[Soma de Janeiro]" caption="Soma de Janeiro" numFmtId="0" hierarchy="17" level="32767"/>
    <cacheField name="[Measures].[Soma de Fevereiro]" caption="Soma de Fevereiro" numFmtId="0" hierarchy="18" level="32767"/>
    <cacheField name="[Measures].[Soma de Março]" caption="Soma de Março" numFmtId="0" hierarchy="19" level="32767"/>
    <cacheField name="[Measures].[Soma de Abril]" caption="Soma de Abril" numFmtId="0" hierarchy="20" level="32767"/>
    <cacheField name="[Measures].[Soma de Maio]" caption="Soma de Maio" numFmtId="0" hierarchy="21" level="32767"/>
    <cacheField name="[Measures].[Soma de Junho]" caption="Soma de Junho" numFmtId="0" hierarchy="22" level="32767"/>
    <cacheField name="[Measures].[Soma de Julho]" caption="Soma de Julho" numFmtId="0" hierarchy="23" level="32767"/>
    <cacheField name="[Measures].[Soma de Agosto]" caption="Soma de Agosto" numFmtId="0" hierarchy="24" level="32767"/>
    <cacheField name="[Measures].[Soma de Setembro]" caption="Soma de Setembro" numFmtId="0" hierarchy="25" level="32767"/>
    <cacheField name="[Measures].[Soma de Outubro]" caption="Soma de Outubro" numFmtId="0" hierarchy="26" level="32767"/>
    <cacheField name="[Measures].[Soma de Novembro]" caption="Soma de Novembro" numFmtId="0" hierarchy="27" level="32767"/>
    <cacheField name="[Measures].[Soma de Dezembro]" caption="Soma de Dezembro" numFmtId="0" hierarchy="28" level="32767"/>
  </cacheFields>
  <cacheHierarchies count="29">
    <cacheHierarchy uniqueName="[Tabela1].[Despesas 2025]" caption="Despesas 2025" attribute="1" defaultMemberUniqueName="[Tabela1].[Despesas 2025].[All]" allUniqueName="[Tabela1].[Despesas 2025].[All]" dimensionUniqueName="[Tabela1]" displayFolder="" count="2" memberValueDatatype="130" unbalanced="0">
      <fieldsUsage count="2">
        <fieldUsage x="-1"/>
        <fieldUsage x="0"/>
      </fieldsUsage>
    </cacheHierarchy>
    <cacheHierarchy uniqueName="[Tabela1].[Média Mensal]" caption="Média Mensal" attribute="1" defaultMemberUniqueName="[Tabela1].[Média Mensal].[All]" allUniqueName="[Tabela1].[Média Mensal].[All]" dimensionUniqueName="[Tabela1]" displayFolder="" count="0" memberValueDatatype="5" unbalanced="0"/>
    <cacheHierarchy uniqueName="[Tabela1].[Total do Ano]" caption="Total do Ano" attribute="1" defaultMemberUniqueName="[Tabela1].[Total do Ano].[All]" allUniqueName="[Tabela1].[Total do Ano].[All]" dimensionUniqueName="[Tabela1]" displayFolder="" count="0" memberValueDatatype="5" unbalanced="0"/>
    <cacheHierarchy uniqueName="[Tabela1].[Janeiro]" caption="Janeiro" attribute="1" defaultMemberUniqueName="[Tabela1].[Janeiro].[All]" allUniqueName="[Tabela1].[Janeiro].[All]" dimensionUniqueName="[Tabela1]" displayFolder="" count="0" memberValueDatatype="5" unbalanced="0"/>
    <cacheHierarchy uniqueName="[Tabela1].[Fevereiro]" caption="Fevereiro" attribute="1" defaultMemberUniqueName="[Tabela1].[Fevereiro].[All]" allUniqueName="[Tabela1].[Fevereiro].[All]" dimensionUniqueName="[Tabela1]" displayFolder="" count="0" memberValueDatatype="5" unbalanced="0"/>
    <cacheHierarchy uniqueName="[Tabela1].[Março]" caption="Março" attribute="1" defaultMemberUniqueName="[Tabela1].[Março].[All]" allUniqueName="[Tabela1].[Março].[All]" dimensionUniqueName="[Tabela1]" displayFolder="" count="0" memberValueDatatype="5" unbalanced="0"/>
    <cacheHierarchy uniqueName="[Tabela1].[Abril]" caption="Abril" attribute="1" defaultMemberUniqueName="[Tabela1].[Abril].[All]" allUniqueName="[Tabela1].[Abril].[All]" dimensionUniqueName="[Tabela1]" displayFolder="" count="0" memberValueDatatype="5" unbalanced="0"/>
    <cacheHierarchy uniqueName="[Tabela1].[Maio]" caption="Maio" attribute="1" defaultMemberUniqueName="[Tabela1].[Maio].[All]" allUniqueName="[Tabela1].[Maio].[All]" dimensionUniqueName="[Tabela1]" displayFolder="" count="0" memberValueDatatype="5" unbalanced="0"/>
    <cacheHierarchy uniqueName="[Tabela1].[Junho]" caption="Junho" attribute="1" defaultMemberUniqueName="[Tabela1].[Junho].[All]" allUniqueName="[Tabela1].[Junho].[All]" dimensionUniqueName="[Tabela1]" displayFolder="" count="0" memberValueDatatype="5" unbalanced="0"/>
    <cacheHierarchy uniqueName="[Tabela1].[Julho]" caption="Julho" attribute="1" defaultMemberUniqueName="[Tabela1].[Julho].[All]" allUniqueName="[Tabela1].[Julho].[All]" dimensionUniqueName="[Tabela1]" displayFolder="" count="0" memberValueDatatype="5" unbalanced="0"/>
    <cacheHierarchy uniqueName="[Tabela1].[Agosto]" caption="Agosto" attribute="1" defaultMemberUniqueName="[Tabela1].[Agosto].[All]" allUniqueName="[Tabela1].[Agosto].[All]" dimensionUniqueName="[Tabela1]" displayFolder="" count="0" memberValueDatatype="5" unbalanced="0"/>
    <cacheHierarchy uniqueName="[Tabela1].[Setembro]" caption="Setembro" attribute="1" defaultMemberUniqueName="[Tabela1].[Setembro].[All]" allUniqueName="[Tabela1].[Setembro].[All]" dimensionUniqueName="[Tabela1]" displayFolder="" count="0" memberValueDatatype="5" unbalanced="0"/>
    <cacheHierarchy uniqueName="[Tabela1].[Outubro]" caption="Outubro" attribute="1" defaultMemberUniqueName="[Tabela1].[Outubro].[All]" allUniqueName="[Tabela1].[Outubro].[All]" dimensionUniqueName="[Tabela1]" displayFolder="" count="0" memberValueDatatype="5" unbalanced="0"/>
    <cacheHierarchy uniqueName="[Tabela1].[Novembro]" caption="Novembro" attribute="1" defaultMemberUniqueName="[Tabela1].[Novembro].[All]" allUniqueName="[Tabela1].[Novembro].[All]" dimensionUniqueName="[Tabela1]" displayFolder="" count="0" memberValueDatatype="5" unbalanced="0"/>
    <cacheHierarchy uniqueName="[Tabela1].[Dezembro]" caption="Dezembro" attribute="1" defaultMemberUniqueName="[Tabela1].[Dezembro].[All]" allUniqueName="[Tabela1].[Dezembro].[All]" dimensionUniqueName="[Tabela1]" displayFolder="" count="0" memberValueDatatype="5" unbalanced="0"/>
    <cacheHierarchy uniqueName="[Measures].[__XL_Count Tabela1]" caption="__XL_Count Tabela1" measure="1" displayFolder="" measureGroup="Tabela1" count="0" hidden="1"/>
    <cacheHierarchy uniqueName="[Measures].[__XL_Count of Models]" caption="__XL_Count of Models" measure="1" displayFolder="" count="0" hidden="1"/>
    <cacheHierarchy uniqueName="[Measures].[Soma de Janeiro]" caption="Soma de Janeiro" measure="1" displayFolder="" measureGroup="Tabe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a de Fevereiro]" caption="Soma de Fevereiro" measure="1" displayFolder="" measureGroup="Tabela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Março]" caption="Soma de Março" measure="1" displayFolder="" measureGroup="Tabela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Abril]" caption="Soma de Abril" measure="1" displayFolder="" measureGroup="Tabela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Maio]" caption="Soma de Maio" measure="1" displayFolder="" measureGroup="Tabela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Junho]" caption="Soma de Junho" measure="1" displayFolder="" measureGroup="Tabela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Julho]" caption="Soma de Julho" measure="1" displayFolder="" measureGroup="Tabela1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gosto]" caption="Soma de Agosto" measure="1" displayFolder="" measureGroup="Tabela1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Setembro]" caption="Soma de Setembro" measure="1" displayFolder="" measureGroup="Tabela1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Outubro]" caption="Soma de Outubro" measure="1" displayFolder="" measureGroup="Tabela1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Novembro]" caption="Soma de Novembro" measure="1" displayFolder="" measureGroup="Tabela1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zembro]" caption="Soma de Dezembro" measure="1" displayFolder="" measureGroup="Tabela1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measure="1" name="Measures" uniqueName="[Measures]" caption="Measures"/>
    <dimension name="Tabela1" uniqueName="[Tabela1]" caption="Tabela1"/>
  </dimensions>
  <measureGroups count="1">
    <measureGroup name="Tabela1" caption="Tabela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62372559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exandre" refreshedDate="46041.343655092591" backgroundQuery="1" createdVersion="8" refreshedVersion="8" minRefreshableVersion="3" recordCount="0" supportSubquery="1" supportAdvancedDrill="1" xr:uid="{8122E980-856C-4DB4-BA80-C9306B1C873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3">
    <cacheField name="[Tabela1].[Despesas 2025].[Despesas 2025]" caption="Despesas 2025" numFmtId="0" level="1">
      <sharedItems count="1">
        <s v="Academia/Suplemento/Alimentação"/>
      </sharedItems>
    </cacheField>
    <cacheField name="[Measures].[Soma de Janeiro]" caption="Soma de Janeiro" numFmtId="0" hierarchy="17" level="32767"/>
    <cacheField name="[Measures].[Soma de Fevereiro]" caption="Soma de Fevereiro" numFmtId="0" hierarchy="18" level="32767"/>
    <cacheField name="[Measures].[Soma de Março]" caption="Soma de Março" numFmtId="0" hierarchy="19" level="32767"/>
    <cacheField name="[Measures].[Soma de Abril]" caption="Soma de Abril" numFmtId="0" hierarchy="20" level="32767"/>
    <cacheField name="[Measures].[Soma de Maio]" caption="Soma de Maio" numFmtId="0" hierarchy="21" level="32767"/>
    <cacheField name="[Measures].[Soma de Junho]" caption="Soma de Junho" numFmtId="0" hierarchy="22" level="32767"/>
    <cacheField name="[Measures].[Soma de Julho]" caption="Soma de Julho" numFmtId="0" hierarchy="23" level="32767"/>
    <cacheField name="[Measures].[Soma de Agosto]" caption="Soma de Agosto" numFmtId="0" hierarchy="24" level="32767"/>
    <cacheField name="[Measures].[Soma de Setembro]" caption="Soma de Setembro" numFmtId="0" hierarchy="25" level="32767"/>
    <cacheField name="[Measures].[Soma de Outubro]" caption="Soma de Outubro" numFmtId="0" hierarchy="26" level="32767"/>
    <cacheField name="[Measures].[Soma de Novembro]" caption="Soma de Novembro" numFmtId="0" hierarchy="27" level="32767"/>
    <cacheField name="[Measures].[Soma de Dezembro]" caption="Soma de Dezembro" numFmtId="0" hierarchy="28" level="32767"/>
  </cacheFields>
  <cacheHierarchies count="29">
    <cacheHierarchy uniqueName="[Tabela1].[Despesas 2025]" caption="Despesas 2025" attribute="1" defaultMemberUniqueName="[Tabela1].[Despesas 2025].[All]" allUniqueName="[Tabela1].[Despesas 2025].[All]" dimensionUniqueName="[Tabela1]" displayFolder="" count="2" memberValueDatatype="130" unbalanced="0">
      <fieldsUsage count="2">
        <fieldUsage x="-1"/>
        <fieldUsage x="0"/>
      </fieldsUsage>
    </cacheHierarchy>
    <cacheHierarchy uniqueName="[Tabela1].[Média Mensal]" caption="Média Mensal" attribute="1" defaultMemberUniqueName="[Tabela1].[Média Mensal].[All]" allUniqueName="[Tabela1].[Média Mensal].[All]" dimensionUniqueName="[Tabela1]" displayFolder="" count="0" memberValueDatatype="5" unbalanced="0"/>
    <cacheHierarchy uniqueName="[Tabela1].[Total do Ano]" caption="Total do Ano" attribute="1" defaultMemberUniqueName="[Tabela1].[Total do Ano].[All]" allUniqueName="[Tabela1].[Total do Ano].[All]" dimensionUniqueName="[Tabela1]" displayFolder="" count="0" memberValueDatatype="5" unbalanced="0"/>
    <cacheHierarchy uniqueName="[Tabela1].[Janeiro]" caption="Janeiro" attribute="1" defaultMemberUniqueName="[Tabela1].[Janeiro].[All]" allUniqueName="[Tabela1].[Janeiro].[All]" dimensionUniqueName="[Tabela1]" displayFolder="" count="0" memberValueDatatype="5" unbalanced="0"/>
    <cacheHierarchy uniqueName="[Tabela1].[Fevereiro]" caption="Fevereiro" attribute="1" defaultMemberUniqueName="[Tabela1].[Fevereiro].[All]" allUniqueName="[Tabela1].[Fevereiro].[All]" dimensionUniqueName="[Tabela1]" displayFolder="" count="0" memberValueDatatype="5" unbalanced="0"/>
    <cacheHierarchy uniqueName="[Tabela1].[Março]" caption="Março" attribute="1" defaultMemberUniqueName="[Tabela1].[Março].[All]" allUniqueName="[Tabela1].[Março].[All]" dimensionUniqueName="[Tabela1]" displayFolder="" count="0" memberValueDatatype="5" unbalanced="0"/>
    <cacheHierarchy uniqueName="[Tabela1].[Abril]" caption="Abril" attribute="1" defaultMemberUniqueName="[Tabela1].[Abril].[All]" allUniqueName="[Tabela1].[Abril].[All]" dimensionUniqueName="[Tabela1]" displayFolder="" count="0" memberValueDatatype="5" unbalanced="0"/>
    <cacheHierarchy uniqueName="[Tabela1].[Maio]" caption="Maio" attribute="1" defaultMemberUniqueName="[Tabela1].[Maio].[All]" allUniqueName="[Tabela1].[Maio].[All]" dimensionUniqueName="[Tabela1]" displayFolder="" count="0" memberValueDatatype="5" unbalanced="0"/>
    <cacheHierarchy uniqueName="[Tabela1].[Junho]" caption="Junho" attribute="1" defaultMemberUniqueName="[Tabela1].[Junho].[All]" allUniqueName="[Tabela1].[Junho].[All]" dimensionUniqueName="[Tabela1]" displayFolder="" count="0" memberValueDatatype="5" unbalanced="0"/>
    <cacheHierarchy uniqueName="[Tabela1].[Julho]" caption="Julho" attribute="1" defaultMemberUniqueName="[Tabela1].[Julho].[All]" allUniqueName="[Tabela1].[Julho].[All]" dimensionUniqueName="[Tabela1]" displayFolder="" count="0" memberValueDatatype="5" unbalanced="0"/>
    <cacheHierarchy uniqueName="[Tabela1].[Agosto]" caption="Agosto" attribute="1" defaultMemberUniqueName="[Tabela1].[Agosto].[All]" allUniqueName="[Tabela1].[Agosto].[All]" dimensionUniqueName="[Tabela1]" displayFolder="" count="0" memberValueDatatype="5" unbalanced="0"/>
    <cacheHierarchy uniqueName="[Tabela1].[Setembro]" caption="Setembro" attribute="1" defaultMemberUniqueName="[Tabela1].[Setembro].[All]" allUniqueName="[Tabela1].[Setembro].[All]" dimensionUniqueName="[Tabela1]" displayFolder="" count="0" memberValueDatatype="5" unbalanced="0"/>
    <cacheHierarchy uniqueName="[Tabela1].[Outubro]" caption="Outubro" attribute="1" defaultMemberUniqueName="[Tabela1].[Outubro].[All]" allUniqueName="[Tabela1].[Outubro].[All]" dimensionUniqueName="[Tabela1]" displayFolder="" count="0" memberValueDatatype="5" unbalanced="0"/>
    <cacheHierarchy uniqueName="[Tabela1].[Novembro]" caption="Novembro" attribute="1" defaultMemberUniqueName="[Tabela1].[Novembro].[All]" allUniqueName="[Tabela1].[Novembro].[All]" dimensionUniqueName="[Tabela1]" displayFolder="" count="0" memberValueDatatype="5" unbalanced="0"/>
    <cacheHierarchy uniqueName="[Tabela1].[Dezembro]" caption="Dezembro" attribute="1" defaultMemberUniqueName="[Tabela1].[Dezembro].[All]" allUniqueName="[Tabela1].[Dezembro].[All]" dimensionUniqueName="[Tabela1]" displayFolder="" count="0" memberValueDatatype="5" unbalanced="0"/>
    <cacheHierarchy uniqueName="[Measures].[__XL_Count Tabela1]" caption="__XL_Count Tabela1" measure="1" displayFolder="" measureGroup="Tabela1" count="0" hidden="1"/>
    <cacheHierarchy uniqueName="[Measures].[__XL_Count of Models]" caption="__XL_Count of Models" measure="1" displayFolder="" count="0" hidden="1"/>
    <cacheHierarchy uniqueName="[Measures].[Soma de Janeiro]" caption="Soma de Janeiro" measure="1" displayFolder="" measureGroup="Tabe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oma de Fevereiro]" caption="Soma de Fevereiro" measure="1" displayFolder="" measureGroup="Tabela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oma de Março]" caption="Soma de Março" measure="1" displayFolder="" measureGroup="Tabela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a de Abril]" caption="Soma de Abril" measure="1" displayFolder="" measureGroup="Tabela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Maio]" caption="Soma de Maio" measure="1" displayFolder="" measureGroup="Tabela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Junho]" caption="Soma de Junho" measure="1" displayFolder="" measureGroup="Tabela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Julho]" caption="Soma de Julho" measure="1" displayFolder="" measureGroup="Tabela1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Agosto]" caption="Soma de Agosto" measure="1" displayFolder="" measureGroup="Tabela1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oma de Setembro]" caption="Soma de Setembro" measure="1" displayFolder="" measureGroup="Tabela1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Outubro]" caption="Soma de Outubro" measure="1" displayFolder="" measureGroup="Tabela1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a de Novembro]" caption="Soma de Novembro" measure="1" displayFolder="" measureGroup="Tabela1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Dezembro]" caption="Soma de Dezembro" measure="1" displayFolder="" measureGroup="Tabela1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2">
    <dimension measure="1" name="Measures" uniqueName="[Measures]" caption="Measures"/>
    <dimension name="Tabela1" uniqueName="[Tabela1]" caption="Tabela1"/>
  </dimensions>
  <measureGroups count="1">
    <measureGroup name="Tabela1" caption="Tabela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07433786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x v="0"/>
    <n v="407.82666666666665"/>
    <n v="4893.92"/>
    <n v="328.9"/>
    <n v="406.9"/>
    <n v="460"/>
    <n v="397.9"/>
    <n v="472"/>
    <n v="417"/>
    <n v="458.9"/>
    <n v="499.9"/>
    <n v="323.95"/>
    <n v="418.04999999999995"/>
    <n v="436.42"/>
    <n v="274"/>
  </r>
  <r>
    <x v="1"/>
    <n v="458.33333333333331"/>
    <n v="5500"/>
    <n v="590"/>
    <n v="470"/>
    <n v="430"/>
    <n v="410"/>
    <n v="490"/>
    <n v="460"/>
    <n v="450"/>
    <n v="490"/>
    <n v="460"/>
    <n v="430"/>
    <n v="400"/>
    <n v="420"/>
  </r>
  <r>
    <x v="2"/>
    <n v="0"/>
    <n v="0"/>
    <n v="0"/>
    <n v="0"/>
    <n v="0"/>
    <n v="0"/>
    <n v="0"/>
    <n v="0"/>
    <n v="0"/>
    <n v="0"/>
    <n v="0"/>
    <n v="0"/>
    <n v="0"/>
    <n v="0"/>
  </r>
  <r>
    <x v="3"/>
    <n v="309.32"/>
    <n v="3711.8399999999997"/>
    <n v="344.96999999999997"/>
    <n v="334.89"/>
    <n v="330.29999999999995"/>
    <n v="318.68999999999994"/>
    <n v="329.12"/>
    <n v="374.8"/>
    <n v="341.95"/>
    <n v="312.14"/>
    <n v="232.88"/>
    <n v="277.81999999999994"/>
    <n v="137.41999999999999"/>
    <n v="376.86000000000007"/>
  </r>
  <r>
    <x v="4"/>
    <n v="125.20666666666666"/>
    <n v="1502.48"/>
    <n v="80.28"/>
    <n v="125.00999999999999"/>
    <n v="224.56"/>
    <n v="172.86999999999998"/>
    <n v="114.74"/>
    <n v="150.19999999999999"/>
    <n v="125.82999999999997"/>
    <n v="109.78"/>
    <n v="111.22999999999999"/>
    <n v="106.27000000000001"/>
    <n v="73.66"/>
    <n v="108.05"/>
  </r>
  <r>
    <x v="5"/>
    <n v="76.232500000000002"/>
    <n v="914.79"/>
    <n v="130.63999999999999"/>
    <n v="81.61"/>
    <n v="51.239999999999995"/>
    <n v="96.09"/>
    <n v="98.240000000000009"/>
    <n v="33.79"/>
    <n v="91.97999999999999"/>
    <n v="0"/>
    <n v="66.7"/>
    <n v="128.68"/>
    <n v="59.38"/>
    <n v="76.44"/>
  </r>
  <r>
    <x v="6"/>
    <n v="127.42"/>
    <n v="1529.04"/>
    <n v="115.29"/>
    <n v="178.51"/>
    <n v="113.03333333333333"/>
    <n v="113.03333333333333"/>
    <n v="113.03333333333333"/>
    <n v="216.24"/>
    <n v="80"/>
    <n v="90"/>
    <n v="239.9"/>
    <n v="90"/>
    <n v="90"/>
    <n v="90"/>
  </r>
  <r>
    <x v="7"/>
    <n v="1343.927611111111"/>
    <n v="16127.131333333333"/>
    <n v="1045.01"/>
    <n v="670.99666666666667"/>
    <n v="505.99666666666667"/>
    <n v="721.66"/>
    <n v="319.33266666666668"/>
    <n v="289.33266666666668"/>
    <n v="249.33266666666665"/>
    <n v="3944.67"/>
    <n v="2352.0700000000002"/>
    <n v="1917.5"/>
    <n v="1922.5"/>
    <n v="2188.73"/>
  </r>
  <r>
    <x v="8"/>
    <n v="0"/>
    <n v="0"/>
    <n v="0"/>
    <n v="0"/>
    <n v="0"/>
    <n v="0"/>
    <n v="0"/>
    <n v="0"/>
    <n v="0"/>
    <n v="0"/>
    <n v="0"/>
    <n v="0"/>
    <n v="0"/>
    <n v="0"/>
  </r>
  <r>
    <x v="9"/>
    <n v="235.57749999999999"/>
    <n v="2826.93"/>
    <n v="696"/>
    <n v="62"/>
    <n v="20"/>
    <n v="141"/>
    <n v="244.6"/>
    <n v="44"/>
    <n v="25"/>
    <n v="57.9"/>
    <n v="523.02"/>
    <n v="145"/>
    <n v="365"/>
    <n v="503.40999999999997"/>
  </r>
  <r>
    <x v="10"/>
    <n v="238.10541666666668"/>
    <n v="2857.2650000000003"/>
    <n v="420"/>
    <n v="164"/>
    <n v="242"/>
    <n v="258.89999999999998"/>
    <n v="275"/>
    <n v="82"/>
    <n v="303"/>
    <n v="263.33333333333337"/>
    <n v="193.33333333333334"/>
    <n v="157.33333333333334"/>
    <n v="89.5"/>
    <n v="408.86500000000001"/>
  </r>
  <r>
    <x v="11"/>
    <n v="85.672499999999999"/>
    <n v="1028.07"/>
    <n v="279.46999999999997"/>
    <n v="349.4"/>
    <n v="72"/>
    <n v="59"/>
    <n v="59"/>
    <n v="9.5"/>
    <n v="0"/>
    <n v="0"/>
    <n v="0"/>
    <n v="0"/>
    <n v="0"/>
    <n v="199.70000000000002"/>
  </r>
  <r>
    <x v="12"/>
    <n v="821.0241666666667"/>
    <n v="9852.2900000000009"/>
    <n v="849.9"/>
    <n v="739.8"/>
    <n v="915.69"/>
    <n v="920.11"/>
    <n v="686.89"/>
    <n v="800"/>
    <n v="836"/>
    <n v="668.46"/>
    <n v="788.46"/>
    <n v="785"/>
    <n v="670"/>
    <n v="1191.98"/>
  </r>
  <r>
    <x v="13"/>
    <n v="238.65916666666666"/>
    <n v="2863.91"/>
    <n v="8"/>
    <n v="0"/>
    <n v="118"/>
    <n v="0"/>
    <n v="487.79999999999995"/>
    <n v="454.4"/>
    <n v="52"/>
    <n v="364.9"/>
    <n v="236.9"/>
    <n v="214.9"/>
    <n v="233.9"/>
    <n v="693.1099999999999"/>
  </r>
  <r>
    <x v="14"/>
    <n v="153.43750000000003"/>
    <n v="1841.2500000000005"/>
    <n v="132.49"/>
    <n v="144.44"/>
    <n v="152.39000000000001"/>
    <n v="148.53"/>
    <n v="158"/>
    <n v="157.9"/>
    <n v="158"/>
    <n v="157.9"/>
    <n v="157.9"/>
    <n v="157.9"/>
    <n v="157.9"/>
    <n v="157.9"/>
  </r>
  <r>
    <x v="15"/>
    <n v="0"/>
    <n v="0"/>
    <n v="0"/>
    <n v="0"/>
    <n v="0"/>
    <n v="0"/>
    <n v="0"/>
    <n v="0"/>
    <n v="0"/>
    <n v="0"/>
    <n v="0"/>
    <n v="0"/>
    <n v="0"/>
    <n v="0"/>
  </r>
  <r>
    <x v="16"/>
    <n v="762.93249999999989"/>
    <n v="9155.1899999999987"/>
    <n v="660.88"/>
    <n v="611.62"/>
    <n v="617.13"/>
    <n v="617.45000000000005"/>
    <n v="566.15"/>
    <n v="567.03"/>
    <n v="576.75"/>
    <n v="542"/>
    <n v="274.64"/>
    <n v="3627.01"/>
    <n v="253.8"/>
    <n v="240.73"/>
  </r>
  <r>
    <x v="17"/>
    <n v="343.9469444444444"/>
    <n v="4127.3633333333328"/>
    <n v="423.31333333333333"/>
    <n v="254.04999999999998"/>
    <n v="168.98000000000002"/>
    <n v="204.61"/>
    <n v="333.16999999999996"/>
    <n v="237.18"/>
    <n v="498.86"/>
    <n v="400.45"/>
    <n v="171.77000000000004"/>
    <n v="483.30999999999995"/>
    <n v="299.51"/>
    <n v="652.160000000000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x v="0"/>
    <n v="401.67700000000002"/>
    <n v="4016.7700000000004"/>
    <n v="441.5"/>
    <n v="430"/>
    <n v="459.9"/>
    <n v="355"/>
    <n v="507.77000000000004"/>
    <n v="343"/>
    <n v="397.76"/>
    <n v="415.84"/>
    <n v="466"/>
    <n v="200"/>
    <m/>
    <m/>
  </r>
  <r>
    <x v="1"/>
    <n v="8"/>
    <n v="80"/>
    <n v="30"/>
    <n v="0"/>
    <n v="0"/>
    <n v="0"/>
    <n v="0"/>
    <n v="0"/>
    <n v="0"/>
    <n v="50"/>
    <n v="0"/>
    <n v="0"/>
    <m/>
    <m/>
  </r>
  <r>
    <x v="2"/>
    <n v="296.95699999999999"/>
    <n v="2969.57"/>
    <n v="221.35"/>
    <n v="262.78000000000003"/>
    <n v="271"/>
    <n v="249.49"/>
    <n v="352.01"/>
    <n v="392.88000000000005"/>
    <n v="386.31"/>
    <n v="489.71999999999997"/>
    <n v="222.62999999999997"/>
    <n v="121.4"/>
    <m/>
    <m/>
  </r>
  <r>
    <x v="3"/>
    <n v="191.19720000000004"/>
    <n v="1911.9720000000004"/>
    <n v="190.69000000000003"/>
    <n v="138.74"/>
    <n v="200.84"/>
    <n v="179.32999999999998"/>
    <n v="168.95000000000002"/>
    <n v="269.43"/>
    <n v="228.62"/>
    <n v="199.02199999999999"/>
    <n v="232.17"/>
    <n v="104.18"/>
    <m/>
    <m/>
  </r>
  <r>
    <x v="4"/>
    <n v="165.8"/>
    <n v="1658"/>
    <n v="255.32"/>
    <n v="156.91"/>
    <n v="168.53"/>
    <n v="159.08000000000001"/>
    <n v="96.31"/>
    <n v="125.73"/>
    <n v="120"/>
    <n v="133.29"/>
    <n v="157.27000000000001"/>
    <n v="285.56"/>
    <m/>
    <m/>
  </r>
  <r>
    <x v="5"/>
    <n v="127.69099999999999"/>
    <n v="1276.9099999999999"/>
    <n v="170.3"/>
    <n v="100"/>
    <n v="100"/>
    <n v="100"/>
    <n v="168.63"/>
    <n v="153.9"/>
    <n v="100"/>
    <n v="100"/>
    <n v="100"/>
    <n v="184.07999999999998"/>
    <m/>
    <m/>
  </r>
  <r>
    <x v="6"/>
    <n v="339.46600000000001"/>
    <n v="3394.66"/>
    <n v="1675.66"/>
    <n v="26.5"/>
    <n v="0"/>
    <n v="0"/>
    <n v="200.5"/>
    <n v="266.66666666666669"/>
    <n v="266.66666666666669"/>
    <n v="266.66666666666669"/>
    <n v="692"/>
    <n v="0"/>
    <m/>
    <m/>
  </r>
  <r>
    <x v="7"/>
    <n v="140.166"/>
    <n v="1401.6599999999999"/>
    <n v="224"/>
    <n v="564.01"/>
    <n v="116.81"/>
    <n v="44.6"/>
    <n v="49.7"/>
    <n v="82.92"/>
    <n v="103"/>
    <n v="76.739999999999995"/>
    <n v="112.88"/>
    <n v="27"/>
    <m/>
    <m/>
  </r>
  <r>
    <x v="8"/>
    <n v="327.22900000000004"/>
    <n v="3272.2900000000004"/>
    <n v="420"/>
    <n v="887.29"/>
    <n v="304"/>
    <n v="344"/>
    <n v="372.9"/>
    <n v="151"/>
    <n v="195.32666666666665"/>
    <n v="179.32666666666665"/>
    <n v="223.44666666666666"/>
    <n v="195"/>
    <m/>
    <m/>
  </r>
  <r>
    <x v="9"/>
    <n v="5213.3836190476195"/>
    <n v="52133.836190476191"/>
    <n v="3005.6200000000003"/>
    <n v="1578"/>
    <n v="10872.16"/>
    <n v="12751.572499999997"/>
    <n v="5513.3285000000005"/>
    <n v="6900.4806428571428"/>
    <n v="7509.5120714285722"/>
    <n v="2302.7462380952379"/>
    <n v="1700.416238095238"/>
    <n v="0"/>
    <m/>
    <m/>
  </r>
  <r>
    <x v="10"/>
    <n v="970.53866666666636"/>
    <n v="9705.3866666666636"/>
    <n v="1196.9000000000001"/>
    <n v="1060.98"/>
    <n v="983.98"/>
    <n v="963.88"/>
    <n v="933.98"/>
    <n v="933.98"/>
    <n v="963.98"/>
    <n v="937.48"/>
    <n v="1025.1133333333332"/>
    <n v="705.11333333333334"/>
    <m/>
    <m/>
  </r>
  <r>
    <x v="11"/>
    <n v="433.22816666666665"/>
    <n v="4332.2816666666668"/>
    <n v="213.96"/>
    <n v="131.46"/>
    <n v="258.57"/>
    <n v="852.07999999999993"/>
    <n v="196.76333333333332"/>
    <n v="408.3966666666667"/>
    <n v="477.7766666666667"/>
    <n v="356.755"/>
    <n v="783.93"/>
    <n v="652.59"/>
    <m/>
    <m/>
  </r>
  <r>
    <x v="12"/>
    <n v="357.91307499999999"/>
    <n v="3579.1307499999998"/>
    <n v="715.56000000000006"/>
    <n v="460.95"/>
    <n v="162"/>
    <n v="155.85"/>
    <n v="236.5"/>
    <n v="45"/>
    <n v="622.36483333333331"/>
    <n v="401.02483333333333"/>
    <n v="483.2448333333333"/>
    <n v="296.63625000000002"/>
    <m/>
    <m/>
  </r>
  <r>
    <x v="13"/>
    <n v="187.67966666666666"/>
    <n v="1876.7966666666666"/>
    <n v="160.80666666666667"/>
    <n v="161.80666666666667"/>
    <n v="242.79666666666668"/>
    <n v="162.79666666666668"/>
    <n v="167.80666666666667"/>
    <n v="223.69666666666666"/>
    <n v="143.69666666666666"/>
    <n v="301.39"/>
    <n v="238.10999999999999"/>
    <n v="73.89"/>
    <m/>
    <m/>
  </r>
  <r>
    <x v="14"/>
    <n v="0"/>
    <n v="0"/>
    <n v="0"/>
    <n v="0"/>
    <n v="0"/>
    <n v="0"/>
    <n v="0"/>
    <n v="0"/>
    <n v="0"/>
    <n v="0"/>
    <n v="0"/>
    <n v="0"/>
    <m/>
    <m/>
  </r>
  <r>
    <x v="15"/>
    <n v="0"/>
    <n v="0"/>
    <n v="0"/>
    <n v="0"/>
    <n v="0"/>
    <n v="0"/>
    <n v="0"/>
    <n v="0"/>
    <n v="0"/>
    <n v="0"/>
    <n v="0"/>
    <n v="0"/>
    <m/>
    <m/>
  </r>
  <r>
    <x v="16"/>
    <n v="856.58600000000001"/>
    <n v="8565.86"/>
    <n v="426.22"/>
    <n v="502"/>
    <n v="650.20000000000005"/>
    <n v="404.30999999999995"/>
    <n v="1794.3649999999998"/>
    <n v="2985.9049999999997"/>
    <n v="304.51"/>
    <n v="556.94333333333338"/>
    <n v="662.96333333333337"/>
    <n v="278.44333333333333"/>
    <m/>
    <m/>
  </r>
  <r>
    <x v="17"/>
    <n v="10017.512394047619"/>
    <n v="100175.12394047617"/>
    <n v="9347.8866666666672"/>
    <n v="6461.4266666666654"/>
    <n v="14790.786666666667"/>
    <n v="16721.989166666663"/>
    <n v="10759.513499999999"/>
    <n v="13282.985642857144"/>
    <n v="11819.523571428572"/>
    <n v="6766.9447380952379"/>
    <n v="7100.174404761904"/>
    <n v="3123.8929166666667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">
  <r>
    <x v="0"/>
    <n v="3819.0192307692309"/>
    <n v="49647.25"/>
    <n v="0"/>
    <n v="0"/>
    <n v="1387.69"/>
    <n v="2101.65"/>
    <n v="2998.21"/>
    <n v="3562.04"/>
    <n v="3930.2"/>
    <n v="4172.9900000000007"/>
    <n v="4183.8900000000003"/>
    <n v="4042.21"/>
    <n v="4436.68"/>
    <n v="4464.9699999999993"/>
    <n v="4893.92"/>
    <n v="5157.29"/>
    <n v="4315.51"/>
  </r>
  <r>
    <x v="1"/>
    <n v="3782.8276923076924"/>
    <n v="49176.76"/>
    <n v="0"/>
    <n v="0"/>
    <n v="2284.75"/>
    <n v="2854.5"/>
    <n v="2779.9"/>
    <n v="3748.44"/>
    <n v="4260.1500000000005"/>
    <n v="4948.41"/>
    <n v="3994.4700000000003"/>
    <n v="3956.96"/>
    <n v="4950.09"/>
    <n v="6559.08"/>
    <n v="5500"/>
    <n v="3208.04"/>
    <n v="131.97"/>
  </r>
  <r>
    <x v="2"/>
    <n v="121.06000000000002"/>
    <n v="1573.7800000000002"/>
    <n v="0"/>
    <n v="0"/>
    <n v="0"/>
    <n v="0"/>
    <n v="0"/>
    <n v="0"/>
    <n v="0"/>
    <n v="0"/>
    <n v="288.34000000000003"/>
    <n v="301.34000000000003"/>
    <n v="914.1"/>
    <n v="70"/>
    <n v="0"/>
    <n v="0"/>
    <n v="0"/>
  </r>
  <r>
    <x v="3"/>
    <n v="2562.5969230769228"/>
    <n v="33313.759999999995"/>
    <n v="0"/>
    <n v="0"/>
    <n v="663.49"/>
    <n v="1782.1399999999999"/>
    <n v="1752.7000000000003"/>
    <n v="1672.17"/>
    <n v="2421.5"/>
    <n v="1736.6599999999996"/>
    <n v="2596.92"/>
    <n v="3190.0600000000004"/>
    <n v="3248.1699999999992"/>
    <n v="3425.5"/>
    <n v="3711.8399999999997"/>
    <n v="3887.45"/>
    <n v="3225.16"/>
  </r>
  <r>
    <x v="4"/>
    <n v="1586.7770769230769"/>
    <n v="20628.101999999999"/>
    <n v="0"/>
    <n v="0"/>
    <n v="274.47000000000003"/>
    <n v="1483.5"/>
    <n v="1548.0400000000002"/>
    <n v="2091.16"/>
    <n v="1977.32"/>
    <n v="1471.3800000000003"/>
    <n v="1640.0299999999997"/>
    <n v="1647.17"/>
    <n v="1806.4699999999998"/>
    <n v="1488.8"/>
    <n v="1502.48"/>
    <n v="1650.5499999999997"/>
    <n v="2046.7320000000002"/>
  </r>
  <r>
    <x v="5"/>
    <n v="1194.3869230769233"/>
    <n v="15527.030000000002"/>
    <n v="0"/>
    <n v="0"/>
    <n v="902.67"/>
    <n v="829.64999999999986"/>
    <n v="915.38"/>
    <n v="1239.71"/>
    <n v="1220.0200000000002"/>
    <n v="1321.0500000000002"/>
    <n v="1186.49"/>
    <n v="1222.4100000000003"/>
    <n v="1233.9199999999998"/>
    <n v="1276.69"/>
    <n v="914.79"/>
    <n v="1460.1799999999998"/>
    <n v="1804.07"/>
  </r>
  <r>
    <x v="6"/>
    <n v="1053.0998717948719"/>
    <n v="13690.298333333334"/>
    <n v="0"/>
    <n v="0"/>
    <n v="620.26"/>
    <n v="560"/>
    <n v="0"/>
    <n v="600"/>
    <n v="910"/>
    <n v="1431.65"/>
    <n v="1186.46"/>
    <n v="1091.4033333333332"/>
    <n v="1252.23"/>
    <n v="1724.12"/>
    <n v="1529.04"/>
    <n v="1408.2249999999999"/>
    <n v="1376.9099999999999"/>
  </r>
  <r>
    <x v="7"/>
    <n v="4872.5415128205123"/>
    <n v="63343.039666666664"/>
    <n v="0"/>
    <n v="0"/>
    <n v="2794.91"/>
    <n v="1764.7399999999998"/>
    <n v="9329.2199999999993"/>
    <n v="5232.9400000000005"/>
    <n v="4376.6499999999996"/>
    <n v="2193.16"/>
    <n v="2360.083333333333"/>
    <n v="3279.6699999999996"/>
    <n v="2669.0699999999997"/>
    <n v="5455.9000000000015"/>
    <n v="16127.131333333333"/>
    <n v="4364.9049999999997"/>
    <n v="3394.66"/>
  </r>
  <r>
    <x v="8"/>
    <n v="1064.69"/>
    <n v="13840.97"/>
    <n v="0"/>
    <n v="0"/>
    <n v="0"/>
    <n v="0"/>
    <n v="0"/>
    <n v="0"/>
    <n v="0"/>
    <n v="0"/>
    <n v="11513.369999999999"/>
    <n v="743.04"/>
    <n v="1500.06"/>
    <n v="84.5"/>
    <n v="0"/>
    <n v="0"/>
    <n v="0"/>
  </r>
  <r>
    <x v="9"/>
    <n v="894.33923076923065"/>
    <n v="11626.409999999998"/>
    <n v="0"/>
    <n v="0"/>
    <n v="1470.73"/>
    <n v="0"/>
    <n v="0"/>
    <n v="6822.3599999999979"/>
    <n v="3333.32"/>
    <n v="0"/>
    <n v="0"/>
    <n v="0"/>
    <n v="0"/>
    <n v="0"/>
    <n v="0"/>
    <n v="0"/>
    <n v="0"/>
  </r>
  <r>
    <x v="10"/>
    <n v="1294.2073076923077"/>
    <n v="16824.695"/>
    <n v="0"/>
    <n v="0"/>
    <n v="921.79000000000019"/>
    <n v="638.54000000000008"/>
    <n v="310.85000000000002"/>
    <n v="309.04000000000002"/>
    <n v="253.79"/>
    <n v="593.77"/>
    <n v="1355.47"/>
    <n v="1366.8899999999999"/>
    <n v="2023.49"/>
    <n v="2676.8150000000001"/>
    <n v="2826.93"/>
    <n v="2090.3200000000002"/>
    <n v="1456.9999999999998"/>
  </r>
  <r>
    <x v="11"/>
    <n v="3173.898461538462"/>
    <n v="41260.680000000008"/>
    <n v="0"/>
    <n v="0"/>
    <n v="2140.59"/>
    <n v="963.59000000000015"/>
    <n v="2995.2000000000003"/>
    <n v="3148.98"/>
    <n v="3930.21"/>
    <n v="4015.54"/>
    <n v="3324.25"/>
    <n v="4053.9300000000003"/>
    <n v="3169.4700000000003"/>
    <n v="4461.34"/>
    <n v="2857.2650000000003"/>
    <n v="2590.0249999999996"/>
    <n v="3610.2900000000004"/>
  </r>
  <r>
    <x v="12"/>
    <n v="9288.6941611721613"/>
    <n v="120753.0240952381"/>
    <n v="0"/>
    <n v="0"/>
    <n v="0"/>
    <n v="4650.99"/>
    <n v="6111.48"/>
    <n v="0"/>
    <n v="540"/>
    <n v="3641.0299999999997"/>
    <n v="1476.27"/>
    <n v="1294.96"/>
    <n v="129.66"/>
    <n v="517.4"/>
    <n v="1028.07"/>
    <n v="47701.714999999997"/>
    <n v="53661.449095238095"/>
  </r>
  <r>
    <x v="13"/>
    <n v="7353.5176923076906"/>
    <n v="95595.729999999981"/>
    <n v="0"/>
    <n v="0"/>
    <n v="0"/>
    <n v="1346.4099999999999"/>
    <n v="6684.6200000000008"/>
    <n v="8320.7900000000009"/>
    <n v="6909.32"/>
    <n v="6345.3899999999994"/>
    <n v="7106.31"/>
    <n v="6978.56"/>
    <n v="8668.4500000000007"/>
    <n v="10196.029999999999"/>
    <n v="9852.2900000000009"/>
    <n v="12451.06"/>
    <n v="10736.499999999996"/>
  </r>
  <r>
    <x v="14"/>
    <n v="480.54705128205137"/>
    <n v="6247.1116666666676"/>
    <n v="0"/>
    <n v="0"/>
    <n v="0"/>
    <n v="0"/>
    <n v="0"/>
    <n v="0"/>
    <n v="0"/>
    <n v="0"/>
    <n v="0"/>
    <n v="0"/>
    <n v="0"/>
    <n v="0"/>
    <n v="0"/>
    <n v="1223.4699999999998"/>
    <n v="5023.6416666666673"/>
  </r>
  <r>
    <x v="15"/>
    <n v="2444.6508076923078"/>
    <n v="31780.460500000001"/>
    <n v="0"/>
    <n v="0"/>
    <n v="0"/>
    <n v="0"/>
    <n v="3322.5"/>
    <n v="268.20999999999998"/>
    <n v="1281.8400000000001"/>
    <n v="877.63000000000011"/>
    <n v="4338.2"/>
    <n v="4686.1887500000003"/>
    <n v="723.8900000000001"/>
    <n v="4231.5599999999995"/>
    <n v="2863.91"/>
    <n v="4739.4449999999997"/>
    <n v="4447.0867500000004"/>
  </r>
  <r>
    <x v="16"/>
    <n v="1318.5823076923077"/>
    <n v="17141.57"/>
    <n v="0"/>
    <n v="0"/>
    <n v="0"/>
    <n v="0"/>
    <n v="0"/>
    <n v="0"/>
    <n v="1759.08"/>
    <n v="1756.9199999999996"/>
    <n v="2088.15"/>
    <n v="2291.71"/>
    <n v="1557.3700000000003"/>
    <n v="1740.73"/>
    <n v="1841.2500000000005"/>
    <n v="2001.653333333333"/>
    <n v="2104.7066666666665"/>
  </r>
  <r>
    <x v="17"/>
    <n v="39.57692307692308"/>
    <n v="514.5"/>
    <n v="0"/>
    <n v="0"/>
    <n v="0"/>
    <n v="0"/>
    <n v="0"/>
    <n v="0"/>
    <n v="0"/>
    <n v="0"/>
    <n v="396.3"/>
    <n v="118.2"/>
    <n v="0"/>
    <n v="0"/>
    <n v="0"/>
    <n v="0"/>
    <n v="0"/>
  </r>
  <r>
    <x v="18"/>
    <n v="2064.8561538461536"/>
    <n v="26843.129999999997"/>
    <n v="0"/>
    <n v="0"/>
    <n v="0"/>
    <n v="0"/>
    <n v="0"/>
    <n v="0"/>
    <n v="0"/>
    <n v="0"/>
    <n v="0"/>
    <n v="0"/>
    <n v="7162.6399999999994"/>
    <n v="9439.6400000000012"/>
    <n v="9155.1899999999987"/>
    <n v="1085.6599999999999"/>
    <n v="0"/>
  </r>
  <r>
    <x v="19"/>
    <n v="4063.3084615384619"/>
    <n v="52823.01"/>
    <n v="0"/>
    <n v="0"/>
    <n v="0"/>
    <n v="0"/>
    <n v="0"/>
    <n v="0"/>
    <n v="4748.79"/>
    <n v="5761.83"/>
    <n v="6150.1799999999994"/>
    <n v="5129.0800000000008"/>
    <n v="4735.21"/>
    <n v="5230.2166666666662"/>
    <n v="4127.3633333333328"/>
    <n v="7623.3"/>
    <n v="9317.04000000000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54CE3-D8A2-4827-AEA7-D7E5289B471C}" name="PivotChartTable2" cacheId="5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11">
  <location ref="A1:M3" firstHeaderRow="0" firstDataRow="1" firstDataCol="1"/>
  <pivotFields count="13">
    <pivotField axis="axisRow" allDrilled="1" subtotalTop="0" showAll="0" dataSourceSort="1" defaultSubtotal="0" defaultAttributeDrillState="1">
      <items count="2">
        <item s="1"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">
    <i>
      <x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oma de Janeiro" fld="1" baseField="0" baseItem="0"/>
    <dataField name="Soma de Fevereiro" fld="2" baseField="0" baseItem="0"/>
    <dataField name="Soma de Março" fld="3" baseField="0" baseItem="0"/>
    <dataField name="Soma de Abril" fld="4" baseField="0" baseItem="0"/>
    <dataField name="Soma de Maio" fld="5" baseField="0" baseItem="0"/>
    <dataField name="Soma de Junho" fld="6" baseField="0" baseItem="0"/>
    <dataField name="Soma de Julho" fld="7" baseField="0" baseItem="0"/>
    <dataField name="Soma de Agosto" fld="8" baseField="0" baseItem="0"/>
    <dataField name="Soma de Setembro" fld="9" baseField="0" baseItem="0"/>
    <dataField name="Soma de Outubro" fld="10" baseField="0" baseItem="0"/>
    <dataField name="Soma de Novembro" fld="11" baseField="0" baseItem="0"/>
    <dataField name="Soma de Dezembro" fld="12" baseField="0" baseItem="0"/>
  </dataFields>
  <chartFormats count="27">
    <chartFormat chart="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5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5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7"/>
          </reference>
          <reference field="0" count="1" selected="0">
            <x v="1"/>
          </reference>
        </references>
      </pivotArea>
    </chartFormat>
    <chartFormat chart="10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5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10" format="5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6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6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0" format="6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0" format="63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0" format="64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0" format="65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0" format="66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0" format="67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0" format="68" series="1">
      <pivotArea type="data" outline="0" fieldPosition="0">
        <references count="1">
          <reference field="4294967294" count="1" selected="0">
            <x v="11"/>
          </reference>
        </references>
      </pivotArea>
    </chartFormat>
  </chartFormats>
  <pivotHierarchies count="2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" columnCount="12" cacheId="623725597">
        <x15:pivotRow count="12">
          <x15:c>
            <x15:v>1675.66</x15:v>
          </x15:c>
          <x15:c>
            <x15:v>26.5</x15:v>
          </x15:c>
          <x15:c>
            <x15:v>0</x15:v>
          </x15:c>
          <x15:c>
            <x15:v>0</x15:v>
          </x15:c>
          <x15:c>
            <x15:v>200.5</x15:v>
          </x15:c>
          <x15:c>
            <x15:v>266.66666666666669</x15:v>
          </x15:c>
          <x15:c>
            <x15:v>266.66666666666669</x15:v>
          </x15:c>
          <x15:c>
            <x15:v>266.66666666666669</x15:v>
          </x15:c>
          <x15:c>
            <x15:v>692</x15:v>
          </x15:c>
          <x15:c>
            <x15:v>0</x15:v>
          </x15:c>
          <x15:c>
            <x15:v>167.74</x15:v>
          </x15:c>
          <x15:c>
            <x15:v>57.31</x15:v>
          </x15:c>
        </x15:pivotRow>
        <x15:pivotRow count="12">
          <x15:c>
            <x15:v>1675.66</x15:v>
          </x15:c>
          <x15:c>
            <x15:v>26.5</x15:v>
          </x15:c>
          <x15:c>
            <x15:v>0</x15:v>
          </x15:c>
          <x15:c>
            <x15:v>0</x15:v>
          </x15:c>
          <x15:c>
            <x15:v>200.5</x15:v>
          </x15:c>
          <x15:c>
            <x15:v>266.66666666666669</x15:v>
          </x15:c>
          <x15:c>
            <x15:v>266.66666666666669</x15:v>
          </x15:c>
          <x15:c>
            <x15:v>266.66666666666669</x15:v>
          </x15:c>
          <x15:c>
            <x15:v>692</x15:v>
          </x15:c>
          <x15:c>
            <x15:v>0</x15:v>
          </x15:c>
          <x15:c>
            <x15:v>167.74</x15:v>
          </x15:c>
          <x15:c>
            <x15:v>57.31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e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54CE3-D8A2-4827-AEA7-D7E5289B471C}" name="PivotChartTable1" cacheId="6" applyNumberFormats="0" applyBorderFormats="0" applyFontFormats="0" applyPatternFormats="0" applyAlignmentFormats="0" applyWidthHeightFormats="1" dataCaption="Valores" updatedVersion="8" minRefreshableVersion="3" useAutoFormatting="1" subtotalHiddenItems="1" itemPrintTitles="1" createdVersion="8" indent="0" outline="1" outlineData="1" multipleFieldFilters="0" chartFormat="10">
  <location ref="A1:M3" firstHeaderRow="0" firstDataRow="1" firstDataCol="1"/>
  <pivotFields count="1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">
    <i>
      <x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oma de Janeiro" fld="1" baseField="0" baseItem="0"/>
    <dataField name="Soma de Fevereiro" fld="2" baseField="0" baseItem="0"/>
    <dataField name="Soma de Março" fld="3" baseField="0" baseItem="0"/>
    <dataField name="Soma de Abril" fld="4" baseField="0" baseItem="0"/>
    <dataField name="Soma de Maio" fld="5" baseField="0" baseItem="0"/>
    <dataField name="Soma de Junho" fld="6" baseField="0" baseItem="0"/>
    <dataField name="Soma de Julho" fld="7" baseField="0" baseItem="0"/>
    <dataField name="Soma de Agosto" fld="8" baseField="0" baseItem="0"/>
    <dataField name="Soma de Setembro" fld="9" baseField="0" baseItem="0"/>
    <dataField name="Soma de Outubro" fld="10" baseField="0" baseItem="0"/>
    <dataField name="Soma de Novembro" fld="11" baseField="0" baseItem="0"/>
    <dataField name="Soma de Dezembro" fld="12" baseField="0" baseItem="0"/>
  </dataFields>
  <chartFormats count="14">
    <chartFormat chart="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5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5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5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55">
      <pivotArea type="data" outline="0" fieldPosition="0">
        <references count="2">
          <reference field="4294967294" count="1" selected="0">
            <x v="7"/>
          </reference>
          <reference field="0" count="1" selected="0">
            <x v="0"/>
          </reference>
        </references>
      </pivotArea>
    </chartFormat>
  </chartFormats>
  <pivotHierarchies count="29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" columnCount="12" cacheId="1074337866">
        <x15:pivotRow count="12">
          <x15:c>
            <x15:v>170.3</x15:v>
          </x15:c>
          <x15:c>
            <x15:v>100</x15:v>
          </x15:c>
          <x15:c>
            <x15:v>100</x15:v>
          </x15:c>
          <x15:c>
            <x15:v>100</x15:v>
          </x15:c>
          <x15:c>
            <x15:v>168.63</x15:v>
          </x15:c>
          <x15:c>
            <x15:v>153.9</x15:v>
          </x15:c>
          <x15:c>
            <x15:v>100</x15:v>
          </x15:c>
          <x15:c>
            <x15:v>100</x15:v>
          </x15:c>
          <x15:c>
            <x15:v>100</x15:v>
          </x15:c>
          <x15:c>
            <x15:v>184.07999999999998</x15:v>
          </x15:c>
          <x15:c>
            <x15:v>100</x15:v>
          </x15:c>
          <x15:c>
            <x15:v>100</x15:v>
          </x15:c>
        </x15:pivotRow>
        <x15:pivotRow count="12">
          <x15:c>
            <x15:v>170.3</x15:v>
          </x15:c>
          <x15:c>
            <x15:v>100</x15:v>
          </x15:c>
          <x15:c>
            <x15:v>100</x15:v>
          </x15:c>
          <x15:c>
            <x15:v>100</x15:v>
          </x15:c>
          <x15:c>
            <x15:v>168.63</x15:v>
          </x15:c>
          <x15:c>
            <x15:v>153.9</x15:v>
          </x15:c>
          <x15:c>
            <x15:v>100</x15:v>
          </x15:c>
          <x15:c>
            <x15:v>100</x15:v>
          </x15:c>
          <x15:c>
            <x15:v>100</x15:v>
          </x15:c>
          <x15:c>
            <x15:v>184.07999999999998</x15:v>
          </x15:c>
          <x15:c>
            <x15:v>100</x15:v>
          </x15:c>
          <x15:c>
            <x15:v>100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e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5A008-D1D3-4025-9FC4-8D510AC70F1E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A14:AM16" firstHeaderRow="0" firstDataRow="1" firstDataCol="1"/>
  <pivotFields count="15">
    <pivotField axis="axisRow" showAll="0">
      <items count="19">
        <item h="1" x="6"/>
        <item x="0"/>
        <item h="1" x="9"/>
        <item h="1" x="4"/>
        <item h="1" x="11"/>
        <item h="1" x="5"/>
        <item h="1" x="7"/>
        <item h="1" x="8"/>
        <item h="1" x="15"/>
        <item h="1" x="13"/>
        <item h="1" x="12"/>
        <item h="1" x="1"/>
        <item h="1" x="2"/>
        <item h="1" x="16"/>
        <item h="1" x="14"/>
        <item h="1" x="3"/>
        <item h="1" x="17"/>
        <item h="1" x="10"/>
        <item t="default"/>
      </items>
    </pivotField>
    <pivotField numFmtId="167" showAll="0"/>
    <pivotField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</pivotFields>
  <rowFields count="1">
    <field x="0"/>
  </rowFields>
  <rowItems count="2">
    <i>
      <x v="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oma de Janeiro" fld="3" baseField="0" baseItem="0"/>
    <dataField name="Soma de Fevereiro" fld="4" baseField="0" baseItem="0"/>
    <dataField name="Soma de Março" fld="5" baseField="0" baseItem="0"/>
    <dataField name="Soma de Abril" fld="6" baseField="0" baseItem="0"/>
    <dataField name="Soma de Junho" fld="8" baseField="0" baseItem="0"/>
    <dataField name="Soma de Maio" fld="7" baseField="0" baseItem="0"/>
    <dataField name="Soma de Julho" fld="9" baseField="0" baseItem="0"/>
    <dataField name="Soma de Agosto" fld="10" baseField="0" baseItem="0"/>
    <dataField name="Soma de Setembro" fld="11" baseField="0" baseItem="0"/>
    <dataField name="Soma de Outubro" fld="12" baseField="0" baseItem="0"/>
    <dataField name="Soma de Novembro" fld="13" baseField="0" baseItem="0"/>
    <dataField name="Soma de Dezembro" fld="14" baseField="0" baseItem="0"/>
  </dataField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77A1F-09BD-4389-B5CB-34787F21B8B3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V27:AF45" firstHeaderRow="0" firstDataRow="1" firstDataCol="1"/>
  <pivotFields count="15">
    <pivotField axis="axisRow" showAll="0">
      <items count="19">
        <item x="5"/>
        <item x="0"/>
        <item x="7"/>
        <item x="3"/>
        <item x="9"/>
        <item x="4"/>
        <item x="6"/>
        <item x="14"/>
        <item x="12"/>
        <item x="10"/>
        <item x="11"/>
        <item x="1"/>
        <item x="15"/>
        <item x="13"/>
        <item x="2"/>
        <item x="16"/>
        <item x="8"/>
        <item h="1" x="17"/>
        <item t="default"/>
      </items>
    </pivotField>
    <pivotField numFmtId="167" showAll="0"/>
    <pivotField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showAll="0"/>
    <pivotField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oma de Janeiro" fld="3" baseField="0" baseItem="0" numFmtId="167"/>
    <dataField name="Soma de Fevereiro" fld="4" baseField="0" baseItem="0" numFmtId="167"/>
    <dataField name="Soma de Março" fld="5" baseField="0" baseItem="0" numFmtId="167"/>
    <dataField name="Soma de Abril" fld="6" baseField="0" baseItem="0" numFmtId="167"/>
    <dataField name="Soma de Maio" fld="7" baseField="0" baseItem="0" numFmtId="167"/>
    <dataField name="Soma de Junho" fld="8" baseField="0" baseItem="0" numFmtId="167"/>
    <dataField name="Soma de Julho" fld="9" baseField="0" baseItem="0" numFmtId="167"/>
    <dataField name="Soma de Agosto" fld="10" baseField="0" baseItem="0" numFmtId="167"/>
    <dataField name="Soma de Setembro" fld="11" baseField="0" baseItem="0" numFmtId="167"/>
    <dataField name="Soma de Outubro" fld="12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50EBA3-379C-4A2E-B271-F90503487807}" name="Tabela dinâ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V27:AF45" firstHeaderRow="0" firstDataRow="1" firstDataCol="1"/>
  <pivotFields count="15">
    <pivotField axis="axisRow" showAll="0">
      <items count="19">
        <item x="5"/>
        <item x="0"/>
        <item x="7"/>
        <item x="3"/>
        <item x="9"/>
        <item x="4"/>
        <item x="6"/>
        <item x="14"/>
        <item x="12"/>
        <item x="10"/>
        <item x="11"/>
        <item x="1"/>
        <item x="15"/>
        <item x="13"/>
        <item x="2"/>
        <item x="16"/>
        <item x="8"/>
        <item h="1" x="17"/>
        <item t="default"/>
      </items>
    </pivotField>
    <pivotField numFmtId="167" showAll="0"/>
    <pivotField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showAll="0"/>
    <pivotField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oma de Janeiro" fld="3" baseField="0" baseItem="0" numFmtId="167"/>
    <dataField name="Soma de Fevereiro" fld="4" baseField="0" baseItem="0" numFmtId="167"/>
    <dataField name="Soma de Março" fld="5" baseField="0" baseItem="0" numFmtId="167"/>
    <dataField name="Soma de Abril" fld="6" baseField="0" baseItem="0" numFmtId="167"/>
    <dataField name="Soma de Maio" fld="7" baseField="0" baseItem="0" numFmtId="167"/>
    <dataField name="Soma de Junho" fld="8" baseField="0" baseItem="0" numFmtId="167"/>
    <dataField name="Soma de Julho" fld="9" baseField="0" baseItem="0" numFmtId="167"/>
    <dataField name="Soma de Agosto" fld="10" baseField="0" baseItem="0" numFmtId="167"/>
    <dataField name="Soma de Setembro" fld="11" baseField="0" baseItem="0" numFmtId="167"/>
    <dataField name="Soma de Outubro" fld="12" baseField="0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52D4C5-0ED9-4A30-AEE2-D71065D95254}" name="Tabela dinâ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X56:AK58" firstHeaderRow="0" firstDataRow="1" firstDataCol="1"/>
  <pivotFields count="18">
    <pivotField axis="axisRow" showAll="0">
      <items count="21">
        <item h="1" x="6"/>
        <item h="1" x="0"/>
        <item h="1" x="10"/>
        <item h="1" x="4"/>
        <item h="1" x="12"/>
        <item h="1" x="5"/>
        <item h="1" x="7"/>
        <item h="1" x="8"/>
        <item h="1" x="17"/>
        <item h="1" x="15"/>
        <item h="1" x="13"/>
        <item h="1" x="14"/>
        <item h="1" x="1"/>
        <item h="1" x="2"/>
        <item h="1" x="18"/>
        <item h="1" x="16"/>
        <item x="3"/>
        <item h="1" x="19"/>
        <item h="1" x="9"/>
        <item h="1" x="11"/>
        <item t="default"/>
      </items>
    </pivotField>
    <pivotField numFmtId="167" showAll="0"/>
    <pivotField numFmtId="167" showAll="0"/>
    <pivotField numFmtId="167" showAll="0"/>
    <pivotField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167" showAll="0"/>
    <pivotField dataField="1" numFmtId="44" showAll="0"/>
  </pivotFields>
  <rowFields count="1">
    <field x="0"/>
  </rowFields>
  <rowItems count="2">
    <i>
      <x v="16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Soma de 2013" fld="5" baseField="0" baseItem="0" numFmtId="167"/>
    <dataField name="Soma de 2014" fld="6" baseField="0" baseItem="0" numFmtId="167"/>
    <dataField name="Soma de 2015" fld="7" baseField="0" baseItem="0" numFmtId="167"/>
    <dataField name="Soma de 2016" fld="8" baseField="0" baseItem="0" numFmtId="167"/>
    <dataField name="Soma de 2017" fld="9" baseField="0" baseItem="0" numFmtId="167"/>
    <dataField name="Soma de 2018" fld="10" baseField="0" baseItem="0" numFmtId="167"/>
    <dataField name="Soma de 2019" fld="11" baseField="0" baseItem="0" numFmtId="167"/>
    <dataField name="Soma de 2020" fld="12" baseField="0" baseItem="0" numFmtId="167"/>
    <dataField name="Soma de 2021" fld="13" baseField="0" baseItem="0" numFmtId="167"/>
    <dataField name="Soma de 2022" fld="14" baseField="0" baseItem="0" numFmtId="167"/>
    <dataField name="Soma de 2023" fld="15" baseField="0" baseItem="0" numFmtId="167"/>
    <dataField name="Soma de 2024" fld="16" baseField="0" baseItem="0" numFmtId="167"/>
    <dataField name="Soma de 2025" fld="17" baseField="0" baseItem="0" numFmtId="44"/>
  </dataFields>
  <chartFormats count="13">
    <chartFormat chart="7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3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3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3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3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7" format="36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7" format="37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7" format="38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7" format="39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7" format="40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7" format="41" series="1">
      <pivotArea type="data" outline="0" fieldPosition="0">
        <references count="1">
          <reference field="429496729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espesas_2025" xr10:uid="{CCEF868A-0E45-41F2-9B2D-A60B995089FC}" sourceName="[Tabela1].[Despesas 2025]">
  <data>
    <olap pivotCacheId="275526261">
      <levels count="2">
        <level uniqueName="[Tabela1].[Despesas 2025].[(All)]" sourceCaption="(All)" count="0"/>
        <level uniqueName="[Tabela1].[Despesas 2025].[Despesas 2025]" sourceCaption="Despesas 2025" count="18">
          <ranges>
            <range startItem="0">
              <i n="[Tabela1].[Despesas 2025].&amp;[Academia/Suplemento/Alimentação]" c="Academia/Suplemento/Alimentação"/>
              <i n="[Tabela1].[Despesas 2025].&amp;[Almoço]" c="Almoço"/>
              <i n="[Tabela1].[Despesas 2025].&amp;[Bebidas/Churras/Balada/Lazer/Viagem]" c="Bebidas/Churras/Balada/Lazer/Viagem"/>
              <i n="[Tabela1].[Despesas 2025].&amp;[Café]" c="Café"/>
              <i n="[Tabela1].[Despesas 2025].&amp;[Construção]" c="Construção"/>
              <i n="[Tabela1].[Despesas 2025].&amp;[Contas Água e Luz]" c="Contas Água e Luz"/>
              <i n="[Tabela1].[Despesas 2025].&amp;[Despesas com Carro]" c="Despesas com Carro"/>
              <i n="[Tabela1].[Despesas 2025].&amp;[Estudos]" c="Estudos"/>
              <i n="[Tabela1].[Despesas 2025].&amp;[Ferramentas/Móveis/Acessórios/Eletrônicos]" c="Ferramentas/Móveis/Acessórios/Eletrônicos"/>
              <i n="[Tabela1].[Despesas 2025].&amp;[Filha (Isabella)]" c="Filha (Isabella)"/>
              <i n="[Tabela1].[Despesas 2025].&amp;[Filha (Isadora)]" c="Filha (Isadora)"/>
              <i n="[Tabela1].[Despesas 2025].&amp;[Gasolina/Alcool - Carro]" c="Gasolina/Alcool - Carro"/>
              <i n="[Tabela1].[Despesas 2025].&amp;[Imóvel]" c="Imóvel"/>
              <i n="[Tabela1].[Despesas 2025].&amp;[Internet/TV]" c="Internet/TV"/>
              <i n="[Tabela1].[Despesas 2025].&amp;[Lanches/Doces]" c="Lanches/Doces"/>
              <i n="[Tabela1].[Despesas 2025].&amp;[Outras Despesas]" c="Outras Despesas"/>
              <i n="[Tabela1].[Despesas 2025].&amp;[Roupas/Calçados/Acessórios/Corte cabelo]" c="Roupas/Calçados/Acessórios/Corte cabelo"/>
              <i n="[Tabela1].[Despesas 2025].&amp;[Total]" c="Total"/>
            </range>
          </ranges>
        </level>
      </levels>
      <selections count="1">
        <selection n="[Tabela1].[Despesas 2025].&amp;[Academia/Suplemento/Alimentação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Despesas_20251" xr10:uid="{1107A154-51DB-441C-AAF8-ACAD4385A0BA}" sourceName="[Tabela1].[Despesas 2025]">
  <data>
    <olap pivotCacheId="2016817303">
      <levels count="2">
        <level uniqueName="[Tabela1].[Despesas 2025].[(All)]" sourceCaption="(All)" count="0"/>
        <level uniqueName="[Tabela1].[Despesas 2025].[Despesas 2025]" sourceCaption="Despesas 2025" count="18">
          <ranges>
            <range startItem="0">
              <i n="[Tabela1].[Despesas 2025].&amp;[Academia/Suplemento/Alimentação]" c="Academia/Suplemento/Alimentação"/>
              <i n="[Tabela1].[Despesas 2025].&amp;[Almoço]" c="Almoço"/>
              <i n="[Tabela1].[Despesas 2025].&amp;[Bebidas/Churras/Balada/Lazer/Viagem]" c="Bebidas/Churras/Balada/Lazer/Viagem"/>
              <i n="[Tabela1].[Despesas 2025].&amp;[Café]" c="Café"/>
              <i n="[Tabela1].[Despesas 2025].&amp;[Construção]" c="Construção"/>
              <i n="[Tabela1].[Despesas 2025].&amp;[Contas Água e Luz]" c="Contas Água e Luz"/>
              <i n="[Tabela1].[Despesas 2025].&amp;[Despesas com Carro]" c="Despesas com Carro"/>
              <i n="[Tabela1].[Despesas 2025].&amp;[Estudos]" c="Estudos"/>
              <i n="[Tabela1].[Despesas 2025].&amp;[Ferramentas/Móveis/Acessórios/Eletrônicos]" c="Ferramentas/Móveis/Acessórios/Eletrônicos"/>
              <i n="[Tabela1].[Despesas 2025].&amp;[Filha (Isabella)]" c="Filha (Isabella)"/>
              <i n="[Tabela1].[Despesas 2025].&amp;[Filha (Isadora)]" c="Filha (Isadora)"/>
              <i n="[Tabela1].[Despesas 2025].&amp;[Gasolina/Alcool - Carro]" c="Gasolina/Alcool - Carro"/>
              <i n="[Tabela1].[Despesas 2025].&amp;[Imóvel]" c="Imóvel"/>
              <i n="[Tabela1].[Despesas 2025].&amp;[Internet/TV]" c="Internet/TV"/>
              <i n="[Tabela1].[Despesas 2025].&amp;[Lanches/Doces]" c="Lanches/Doces"/>
              <i n="[Tabela1].[Despesas 2025].&amp;[Outras Despesas]" c="Outras Despesas"/>
              <i n="[Tabela1].[Despesas 2025].&amp;[Roupas/Calçados/Acessórios/Corte cabelo]" c="Roupas/Calçados/Acessórios/Corte cabelo"/>
              <i n="[Tabela1].[Despesas 2025].&amp;[Total]" c="Total"/>
            </range>
          </ranges>
        </level>
      </levels>
      <selections count="1">
        <selection n="[Tabela1].[Despesas 2025].&amp;[Despesas com Carro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2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pesas 2026" xr10:uid="{A6C83353-135D-4207-815D-A606C1CDE223}" cache="SegmentaçãodeDados_Despesas_20251" caption="Despesas 2025" level="1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pesas 2025" xr10:uid="{EF0252B2-89C2-4870-B5A7-195A591E6861}" cache="SegmentaçãodeDados_Despesas_2025" caption="Despesas 2025" level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607D48-B14C-4334-A2AD-A93AF81DA681}" name="Tabela2" displayName="Tabela2" ref="A2:F508" totalsRowShown="0" headerRowDxfId="62" headerRowBorderDxfId="61" tableBorderDxfId="60">
  <autoFilter ref="A2:F508" xr:uid="{42607D48-B14C-4334-A2AD-A93AF81DA681}"/>
  <tableColumns count="6">
    <tableColumn id="1" xr3:uid="{85A645E2-C3F3-4AA0-A33C-2FD3FC6A46DE}" name="Data"/>
    <tableColumn id="2" xr3:uid="{1CA69EBC-C20F-42D0-8CA0-5E89C5FEB05E}" name="Descrição"/>
    <tableColumn id="3" xr3:uid="{7B0F8CBF-675C-4767-85C9-4B3512C6668C}" name="Histórico" dataDxfId="59"/>
    <tableColumn id="4" xr3:uid="{5EB49985-631B-4F5D-A0F8-6B666ED96EB7}" name="Valor Entrada"/>
    <tableColumn id="5" xr3:uid="{95F10930-FA82-4CC5-8FDC-72C27FAF7913}" name="Valor Saída"/>
    <tableColumn id="6" xr3:uid="{CB82DCA6-980C-4385-AFD8-8F7DB5E12DF7}" name="Saldo"/>
  </tableColumns>
  <tableStyleInfo name="TableStyleLight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E71435-F411-4544-B153-C673BE948C32}" name="Tabela14" displayName="Tabela14" ref="A2:Q20" totalsRowShown="0" headerRowDxfId="58" dataDxfId="57" headerRowCellStyle="Normal_Planilha Controle" dataCellStyle="Moeda">
  <autoFilter ref="A2:Q20" xr:uid="{49371E51-3E98-4DBE-A405-ED6BBA8C4F73}"/>
  <tableColumns count="17">
    <tableColumn id="1" xr3:uid="{CA42A666-8B03-4F74-88AD-5D687EC90596}" name="Despesas 2026" dataDxfId="56" dataCellStyle="Normal_Planilha Controle"/>
    <tableColumn id="2" xr3:uid="{A091FE0C-C106-4B84-87AC-145212EA6E99}" name="Média Mensal" dataDxfId="55" dataCellStyle="Moeda"/>
    <tableColumn id="3" xr3:uid="{F2F96188-1FE8-4CAE-A378-C249ABC10872}" name="Total do Ano" dataDxfId="54" dataCellStyle="Moeda"/>
    <tableColumn id="4" xr3:uid="{91E5AB66-B9A3-4804-9D55-9BDD0B5373C8}" name="Janeiro" dataDxfId="53" dataCellStyle="Moeda"/>
    <tableColumn id="5" xr3:uid="{8ACCEDC7-F203-4247-AC5D-98CC7D1DD408}" name="Fevereiro"/>
    <tableColumn id="6" xr3:uid="{512B359F-76B8-495D-BEEC-09C106C030FF}" name="Março"/>
    <tableColumn id="7" xr3:uid="{19F08116-57C2-4C51-884E-F712A9832392}" name="Abril" dataDxfId="52" dataCellStyle="Moeda"/>
    <tableColumn id="8" xr3:uid="{72C7703F-68A4-4A9D-8034-8EA1C0B7D4A4}" name="Maio"/>
    <tableColumn id="9" xr3:uid="{BAAC966B-4EE6-46D8-83F9-0318506A0EBA}" name="Junho" dataDxfId="51" dataCellStyle="Moeda"/>
    <tableColumn id="10" xr3:uid="{243C537B-41E0-4D31-B48E-212A42490EAC}" name="Julho" dataDxfId="50" dataCellStyle="Moeda"/>
    <tableColumn id="11" xr3:uid="{9E0343D5-281E-4FBF-8714-CC6B43916D57}" name="Agosto" dataDxfId="49" dataCellStyle="Moeda"/>
    <tableColumn id="12" xr3:uid="{B041BC4E-B349-4D16-9630-B122600368D3}" name="Setembro" dataDxfId="48" dataCellStyle="Moeda"/>
    <tableColumn id="13" xr3:uid="{419AEF71-4BAB-4A28-B9FC-C79754659A1A}" name="Outubro" dataDxfId="47" dataCellStyle="Moeda"/>
    <tableColumn id="14" xr3:uid="{A0E557AB-BB96-41DC-9C63-FCB933684C37}" name="Novembro" dataDxfId="46" dataCellStyle="Moeda"/>
    <tableColumn id="15" xr3:uid="{6E6F8DF0-0694-4790-954A-352398375B09}" name="Dezembro" dataDxfId="45" dataCellStyle="Moeda"/>
    <tableColumn id="16" xr3:uid="{95BF0C8A-0CB8-4661-9AA0-FD4E7AEAC2F6}" name="Dezembro2" dataDxfId="44" dataCellStyle="Moeda"/>
    <tableColumn id="17" xr3:uid="{1C96A830-D39F-4B9D-9C89-F39103078450}" name="Dezembro3" dataDxfId="43" dataCellStyle="Moeda">
      <calculatedColumnFormula>Tabela14[[#This Row],[Dezembro2]]-Tabela14[[#This Row],[Janeiro]]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371E51-3E98-4DBE-A405-ED6BBA8C4F73}" name="Tabela1" displayName="Tabela1" ref="A2:O20" totalsRowShown="0" headerRowDxfId="42" dataDxfId="41" headerRowCellStyle="Normal_Planilha Controle" dataCellStyle="Moeda">
  <autoFilter ref="A2:O20" xr:uid="{49371E51-3E98-4DBE-A405-ED6BBA8C4F73}"/>
  <tableColumns count="15">
    <tableColumn id="1" xr3:uid="{6CC57BAD-D446-4EE8-9FDC-7AD9267B34E9}" name="Despesas 2025" dataDxfId="40" dataCellStyle="Normal_Planilha Controle"/>
    <tableColumn id="2" xr3:uid="{7E60AC80-972C-4D84-9672-F1C8CD0534C6}" name="Média Mensal" dataDxfId="39" dataCellStyle="Moeda"/>
    <tableColumn id="3" xr3:uid="{D24D3342-A240-47E2-9D0C-3F7F02497544}" name="Total do Ano" dataDxfId="38" dataCellStyle="Moeda"/>
    <tableColumn id="4" xr3:uid="{BADD0A1B-C19D-4435-A2EB-53EC1B8AE1A8}" name="Janeiro" dataDxfId="37" dataCellStyle="Moeda"/>
    <tableColumn id="5" xr3:uid="{62A15922-EB5E-4454-8609-8BEA16FDDDCC}" name="Fevereiro"/>
    <tableColumn id="6" xr3:uid="{23B85156-A97B-4654-A1AF-8D62E40721D9}" name="Março"/>
    <tableColumn id="7" xr3:uid="{11C89E3A-E358-4A71-9418-5A078B187033}" name="Abril" dataDxfId="36" dataCellStyle="Moeda"/>
    <tableColumn id="8" xr3:uid="{7DB9BBCC-9413-4DDD-B9DA-AF6772C6EB1C}" name="Maio"/>
    <tableColumn id="9" xr3:uid="{C73A90A8-BA7E-40FD-BB17-1487C9F1572A}" name="Junho" dataDxfId="35" dataCellStyle="Moeda"/>
    <tableColumn id="10" xr3:uid="{441C798A-BF16-4093-B927-C0F2225FABB8}" name="Julho" dataDxfId="34" dataCellStyle="Moeda"/>
    <tableColumn id="11" xr3:uid="{B18F1768-35B6-430D-B1B5-A69D1DC6FC7F}" name="Agosto" dataDxfId="33" dataCellStyle="Moeda"/>
    <tableColumn id="12" xr3:uid="{38A42DD4-4EF7-4861-A558-300610AAFF9C}" name="Setembro" dataDxfId="32" dataCellStyle="Moeda"/>
    <tableColumn id="13" xr3:uid="{19AE7D46-DB18-4621-9B19-798F4D9FABB9}" name="Outubro" dataDxfId="31" dataCellStyle="Moeda"/>
    <tableColumn id="14" xr3:uid="{A174CEAE-9F3C-48BE-A4B4-8AD6E8C4AB9C}" name="Novembro" dataDxfId="30" dataCellStyle="Moeda"/>
    <tableColumn id="15" xr3:uid="{2C72F5DE-0A3E-4CC7-A578-E33145284FEA}" name="Dezembro" dataDxfId="29" dataCellStyle="Moeda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ivotTable" Target="../pivotTables/pivotTable3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79.bin"/><Relationship Id="rId1" Type="http://schemas.openxmlformats.org/officeDocument/2006/relationships/pivotTable" Target="../pivotTables/pivotTable4.xml"/><Relationship Id="rId5" Type="http://schemas.microsoft.com/office/2007/relationships/slicer" Target="../slicers/slicer1.xml"/><Relationship Id="rId4" Type="http://schemas.openxmlformats.org/officeDocument/2006/relationships/table" Target="../tables/table2.xml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80.bin"/><Relationship Id="rId1" Type="http://schemas.openxmlformats.org/officeDocument/2006/relationships/pivotTable" Target="../pivotTables/pivotTable5.xml"/><Relationship Id="rId5" Type="http://schemas.microsoft.com/office/2007/relationships/slicer" Target="../slicers/slicer2.xml"/><Relationship Id="rId4" Type="http://schemas.openxmlformats.org/officeDocument/2006/relationships/table" Target="../tables/table3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82.bin"/><Relationship Id="rId1" Type="http://schemas.openxmlformats.org/officeDocument/2006/relationships/pivotTable" Target="../pivotTables/pivotTable6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se5509@" TargetMode="External"/><Relationship Id="rId7" Type="http://schemas.openxmlformats.org/officeDocument/2006/relationships/drawing" Target="../drawings/drawing13.xml"/><Relationship Id="rId2" Type="http://schemas.openxmlformats.org/officeDocument/2006/relationships/hyperlink" Target="mailto:roseapmachadoo@gmail.com" TargetMode="External"/><Relationship Id="rId1" Type="http://schemas.openxmlformats.org/officeDocument/2006/relationships/hyperlink" Target="mailto:Aleocta5622@" TargetMode="External"/><Relationship Id="rId6" Type="http://schemas.openxmlformats.org/officeDocument/2006/relationships/printerSettings" Target="../printerSettings/printerSettings192.bin"/><Relationship Id="rId5" Type="http://schemas.openxmlformats.org/officeDocument/2006/relationships/hyperlink" Target="mailto:ALEXANDREOCTAVIOMACHADOMACHADO@MACHADO5509.ONMICROSOFT.COM" TargetMode="External"/><Relationship Id="rId4" Type="http://schemas.openxmlformats.org/officeDocument/2006/relationships/hyperlink" Target="mailto:Ale@5509" TargetMode="External"/><Relationship Id="rId9" Type="http://schemas.openxmlformats.org/officeDocument/2006/relationships/comments" Target="../comments1.xm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28"/>
  <dimension ref="A1:L87"/>
  <sheetViews>
    <sheetView zoomScale="75" zoomScaleNormal="85" workbookViewId="0">
      <pane ySplit="4" topLeftCell="A64" activePane="bottomLeft" state="frozen"/>
      <selection activeCell="C44" sqref="C44"/>
      <selection pane="bottomLeft" activeCell="B85" sqref="B85"/>
    </sheetView>
  </sheetViews>
  <sheetFormatPr defaultColWidth="9.140625" defaultRowHeight="15" x14ac:dyDescent="0.25"/>
  <cols>
    <col min="1" max="1" width="11.5703125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12" ht="27" customHeight="1" thickBot="1" x14ac:dyDescent="0.3">
      <c r="A1" s="3053" t="s">
        <v>0</v>
      </c>
      <c r="B1" s="3054"/>
      <c r="C1" s="3055"/>
      <c r="D1" s="3056"/>
      <c r="E1" s="3079" t="s">
        <v>1</v>
      </c>
      <c r="F1" s="3080"/>
      <c r="G1" s="3080"/>
      <c r="H1" s="3081"/>
    </row>
    <row r="2" spans="1:12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12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12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12" x14ac:dyDescent="0.25">
      <c r="A5" s="281">
        <v>41275</v>
      </c>
      <c r="B5" s="369" t="s">
        <v>10</v>
      </c>
      <c r="C5" s="370"/>
      <c r="D5" s="207"/>
      <c r="E5" s="179"/>
      <c r="F5" s="933" t="e">
        <f>#REF!</f>
        <v>#REF!</v>
      </c>
      <c r="G5" s="163"/>
      <c r="H5" s="98"/>
    </row>
    <row r="6" spans="1:12" s="224" customFormat="1" x14ac:dyDescent="0.25">
      <c r="A6" s="215">
        <v>41275</v>
      </c>
      <c r="B6" s="348" t="s">
        <v>11</v>
      </c>
      <c r="C6" s="351" t="s">
        <v>12</v>
      </c>
      <c r="D6" s="248" t="s">
        <v>13</v>
      </c>
      <c r="E6" s="250">
        <v>60.8</v>
      </c>
      <c r="F6" s="1473"/>
      <c r="G6" s="252"/>
      <c r="H6" s="251"/>
    </row>
    <row r="7" spans="1:12" s="224" customFormat="1" x14ac:dyDescent="0.25">
      <c r="A7" s="215">
        <v>41276</v>
      </c>
      <c r="B7" s="873" t="s">
        <v>14</v>
      </c>
      <c r="C7" s="879" t="s">
        <v>12</v>
      </c>
      <c r="D7" s="887" t="s">
        <v>13</v>
      </c>
      <c r="E7" s="250">
        <v>8.6</v>
      </c>
      <c r="F7" s="1473"/>
      <c r="G7" s="252"/>
      <c r="H7" s="251"/>
      <c r="K7" s="79"/>
      <c r="L7" s="79"/>
    </row>
    <row r="8" spans="1:12" s="224" customFormat="1" x14ac:dyDescent="0.25">
      <c r="A8" s="215">
        <v>41277</v>
      </c>
      <c r="B8" s="1474" t="s">
        <v>14</v>
      </c>
      <c r="C8" s="879" t="s">
        <v>12</v>
      </c>
      <c r="D8" s="1475" t="s">
        <v>15</v>
      </c>
      <c r="E8" s="250">
        <v>5</v>
      </c>
      <c r="F8" s="1473"/>
      <c r="G8" s="252"/>
      <c r="H8" s="251"/>
      <c r="K8" s="79"/>
      <c r="L8" s="79"/>
    </row>
    <row r="9" spans="1:12" s="224" customFormat="1" x14ac:dyDescent="0.25">
      <c r="A9" s="215">
        <v>41278</v>
      </c>
      <c r="B9" s="873" t="s">
        <v>16</v>
      </c>
      <c r="C9" s="879" t="s">
        <v>12</v>
      </c>
      <c r="D9" s="887" t="s">
        <v>15</v>
      </c>
      <c r="E9" s="250">
        <v>10</v>
      </c>
      <c r="F9" s="1473"/>
      <c r="G9" s="252"/>
      <c r="H9" s="251"/>
      <c r="K9" s="79"/>
      <c r="L9" s="79"/>
    </row>
    <row r="10" spans="1:12" s="224" customFormat="1" x14ac:dyDescent="0.25">
      <c r="A10" s="215">
        <v>41279</v>
      </c>
      <c r="B10" s="1474" t="s">
        <v>17</v>
      </c>
      <c r="C10" s="879" t="s">
        <v>12</v>
      </c>
      <c r="D10" s="1475" t="s">
        <v>15</v>
      </c>
      <c r="E10" s="250">
        <v>4.5</v>
      </c>
      <c r="F10" s="1473"/>
      <c r="G10" s="252"/>
      <c r="H10" s="251"/>
      <c r="K10" s="79"/>
      <c r="L10" s="79"/>
    </row>
    <row r="11" spans="1:12" s="224" customFormat="1" x14ac:dyDescent="0.25">
      <c r="A11" s="215">
        <v>41279</v>
      </c>
      <c r="B11" s="1474" t="s">
        <v>14</v>
      </c>
      <c r="C11" s="879" t="s">
        <v>12</v>
      </c>
      <c r="D11" s="1475" t="s">
        <v>15</v>
      </c>
      <c r="E11" s="250">
        <v>4</v>
      </c>
      <c r="F11" s="1473"/>
      <c r="G11" s="252"/>
      <c r="H11" s="251"/>
      <c r="K11" s="79"/>
      <c r="L11" s="79"/>
    </row>
    <row r="12" spans="1:12" s="224" customFormat="1" x14ac:dyDescent="0.25">
      <c r="A12" s="215">
        <v>41280</v>
      </c>
      <c r="B12" s="1474" t="s">
        <v>16</v>
      </c>
      <c r="C12" s="879" t="s">
        <v>12</v>
      </c>
      <c r="D12" s="1475" t="s">
        <v>13</v>
      </c>
      <c r="E12" s="250">
        <v>20</v>
      </c>
      <c r="F12" s="1473"/>
      <c r="G12" s="252"/>
      <c r="H12" s="251"/>
    </row>
    <row r="13" spans="1:12" s="224" customFormat="1" x14ac:dyDescent="0.25">
      <c r="A13" s="215">
        <v>41280</v>
      </c>
      <c r="B13" s="1474" t="s">
        <v>18</v>
      </c>
      <c r="C13" s="879" t="s">
        <v>19</v>
      </c>
      <c r="D13" s="1475" t="s">
        <v>15</v>
      </c>
      <c r="E13" s="250">
        <v>30</v>
      </c>
      <c r="F13" s="1473"/>
      <c r="G13" s="252"/>
      <c r="H13" s="251"/>
    </row>
    <row r="14" spans="1:12" s="224" customFormat="1" x14ac:dyDescent="0.25">
      <c r="A14" s="215">
        <v>41280</v>
      </c>
      <c r="B14" s="1474" t="s">
        <v>20</v>
      </c>
      <c r="C14" s="879" t="s">
        <v>19</v>
      </c>
      <c r="D14" s="1475" t="s">
        <v>15</v>
      </c>
      <c r="E14" s="250">
        <v>35</v>
      </c>
      <c r="F14" s="1473"/>
      <c r="G14" s="252"/>
      <c r="H14" s="251"/>
    </row>
    <row r="15" spans="1:12" s="224" customFormat="1" x14ac:dyDescent="0.25">
      <c r="A15" s="215">
        <v>41280</v>
      </c>
      <c r="B15" s="1474" t="s">
        <v>21</v>
      </c>
      <c r="C15" s="879" t="s">
        <v>19</v>
      </c>
      <c r="D15" s="1475" t="s">
        <v>15</v>
      </c>
      <c r="E15" s="250">
        <v>20</v>
      </c>
      <c r="F15" s="1473"/>
      <c r="G15" s="252"/>
      <c r="H15" s="251"/>
    </row>
    <row r="16" spans="1:12" s="224" customFormat="1" x14ac:dyDescent="0.25">
      <c r="A16" s="215">
        <v>41280</v>
      </c>
      <c r="B16" s="1474" t="s">
        <v>22</v>
      </c>
      <c r="C16" s="879" t="s">
        <v>19</v>
      </c>
      <c r="D16" s="1475" t="s">
        <v>15</v>
      </c>
      <c r="E16" s="250">
        <v>90</v>
      </c>
      <c r="F16" s="1473"/>
      <c r="G16" s="252"/>
      <c r="H16" s="251"/>
    </row>
    <row r="17" spans="1:12" s="224" customFormat="1" x14ac:dyDescent="0.25">
      <c r="A17" s="215">
        <v>41280</v>
      </c>
      <c r="B17" s="1474" t="s">
        <v>23</v>
      </c>
      <c r="C17" s="879" t="s">
        <v>12</v>
      </c>
      <c r="D17" s="1475" t="s">
        <v>15</v>
      </c>
      <c r="E17" s="250">
        <v>5.5</v>
      </c>
      <c r="F17" s="1473"/>
      <c r="G17" s="252"/>
      <c r="H17" s="251"/>
      <c r="K17" s="79"/>
      <c r="L17" s="79"/>
    </row>
    <row r="18" spans="1:12" s="224" customFormat="1" x14ac:dyDescent="0.25">
      <c r="A18" s="215">
        <v>41281</v>
      </c>
      <c r="B18" s="349" t="s">
        <v>24</v>
      </c>
      <c r="C18" s="879" t="s">
        <v>12</v>
      </c>
      <c r="D18" s="983" t="s">
        <v>25</v>
      </c>
      <c r="E18" s="250"/>
      <c r="F18" s="1473">
        <v>726</v>
      </c>
      <c r="G18" s="252"/>
      <c r="H18" s="251"/>
      <c r="K18" s="79"/>
      <c r="L18" s="79"/>
    </row>
    <row r="19" spans="1:12" s="224" customFormat="1" x14ac:dyDescent="0.25">
      <c r="A19" s="215">
        <v>41281</v>
      </c>
      <c r="B19" s="349" t="s">
        <v>26</v>
      </c>
      <c r="C19" s="879" t="s">
        <v>12</v>
      </c>
      <c r="D19" s="983" t="s">
        <v>13</v>
      </c>
      <c r="E19" s="250">
        <v>77.7</v>
      </c>
      <c r="F19" s="1473"/>
      <c r="G19" s="252"/>
      <c r="H19" s="251"/>
      <c r="K19" s="79"/>
      <c r="L19" s="79"/>
    </row>
    <row r="20" spans="1:12" s="224" customFormat="1" x14ac:dyDescent="0.25">
      <c r="A20" s="215">
        <v>41281</v>
      </c>
      <c r="B20" s="349" t="s">
        <v>27</v>
      </c>
      <c r="C20" s="879" t="s">
        <v>12</v>
      </c>
      <c r="D20" s="887" t="s">
        <v>15</v>
      </c>
      <c r="E20" s="250">
        <v>140</v>
      </c>
      <c r="F20" s="1473"/>
      <c r="G20" s="252"/>
      <c r="H20" s="251"/>
      <c r="K20" s="79"/>
      <c r="L20" s="79"/>
    </row>
    <row r="21" spans="1:12" s="316" customFormat="1" x14ac:dyDescent="0.25">
      <c r="A21" s="215">
        <v>41281</v>
      </c>
      <c r="B21" s="862" t="s">
        <v>28</v>
      </c>
      <c r="C21" s="879" t="s">
        <v>12</v>
      </c>
      <c r="D21" s="957" t="s">
        <v>15</v>
      </c>
      <c r="E21" s="250">
        <v>203</v>
      </c>
      <c r="F21" s="1473"/>
      <c r="G21" s="1476"/>
      <c r="H21" s="1473"/>
      <c r="I21" s="864"/>
      <c r="J21" s="864"/>
      <c r="K21" s="79"/>
      <c r="L21" s="79"/>
    </row>
    <row r="22" spans="1:12" s="224" customFormat="1" x14ac:dyDescent="0.25">
      <c r="A22" s="215">
        <v>41281</v>
      </c>
      <c r="B22" s="882" t="s">
        <v>29</v>
      </c>
      <c r="C22" s="879" t="s">
        <v>12</v>
      </c>
      <c r="D22" s="887" t="s">
        <v>13</v>
      </c>
      <c r="E22" s="250">
        <v>32.74</v>
      </c>
      <c r="F22" s="1473"/>
      <c r="G22" s="252"/>
      <c r="H22" s="251"/>
      <c r="K22" s="79"/>
      <c r="L22" s="79"/>
    </row>
    <row r="23" spans="1:12" s="224" customFormat="1" x14ac:dyDescent="0.25">
      <c r="A23" s="215">
        <v>41281</v>
      </c>
      <c r="B23" s="882" t="s">
        <v>30</v>
      </c>
      <c r="C23" s="879" t="s">
        <v>12</v>
      </c>
      <c r="D23" s="887" t="s">
        <v>13</v>
      </c>
      <c r="E23" s="250">
        <v>47.7</v>
      </c>
      <c r="F23" s="1473"/>
      <c r="G23" s="252"/>
      <c r="H23" s="251"/>
      <c r="K23" s="79"/>
      <c r="L23" s="79"/>
    </row>
    <row r="24" spans="1:12" s="316" customFormat="1" x14ac:dyDescent="0.25">
      <c r="A24" s="215">
        <v>41281</v>
      </c>
      <c r="B24" s="862" t="s">
        <v>31</v>
      </c>
      <c r="C24" s="879" t="s">
        <v>12</v>
      </c>
      <c r="D24" s="957" t="s">
        <v>15</v>
      </c>
      <c r="E24" s="250">
        <v>50</v>
      </c>
      <c r="F24" s="1473"/>
      <c r="G24" s="1476"/>
      <c r="H24" s="1473"/>
      <c r="I24" s="864"/>
      <c r="J24" s="864"/>
      <c r="K24" s="79"/>
      <c r="L24" s="79"/>
    </row>
    <row r="25" spans="1:12" x14ac:dyDescent="0.25">
      <c r="A25" s="215">
        <v>41281</v>
      </c>
      <c r="B25" s="349" t="s">
        <v>32</v>
      </c>
      <c r="C25" s="350" t="s">
        <v>12</v>
      </c>
      <c r="D25" s="141" t="s">
        <v>15</v>
      </c>
      <c r="E25" s="97">
        <v>9</v>
      </c>
      <c r="F25" s="946"/>
      <c r="G25" s="95"/>
      <c r="H25" s="91"/>
      <c r="K25" s="224"/>
      <c r="L25" s="224"/>
    </row>
    <row r="26" spans="1:12" x14ac:dyDescent="0.25">
      <c r="A26" s="215">
        <v>41282</v>
      </c>
      <c r="B26" s="349" t="s">
        <v>32</v>
      </c>
      <c r="C26" s="350" t="s">
        <v>12</v>
      </c>
      <c r="D26" s="141" t="s">
        <v>15</v>
      </c>
      <c r="E26" s="97">
        <v>6</v>
      </c>
      <c r="F26" s="946"/>
      <c r="G26" s="95"/>
      <c r="H26" s="91"/>
      <c r="K26" s="224"/>
      <c r="L26" s="224"/>
    </row>
    <row r="27" spans="1:12" x14ac:dyDescent="0.25">
      <c r="A27" s="215">
        <v>41282</v>
      </c>
      <c r="B27" s="349" t="s">
        <v>14</v>
      </c>
      <c r="C27" s="350" t="s">
        <v>12</v>
      </c>
      <c r="D27" s="141" t="s">
        <v>15</v>
      </c>
      <c r="E27" s="97">
        <v>2</v>
      </c>
      <c r="F27" s="946"/>
      <c r="G27" s="95"/>
      <c r="H27" s="91"/>
      <c r="K27" s="224"/>
      <c r="L27" s="224"/>
    </row>
    <row r="28" spans="1:12" s="224" customFormat="1" x14ac:dyDescent="0.25">
      <c r="A28" s="215">
        <v>41283</v>
      </c>
      <c r="B28" s="862" t="s">
        <v>32</v>
      </c>
      <c r="C28" s="879" t="s">
        <v>12</v>
      </c>
      <c r="D28" s="887" t="s">
        <v>15</v>
      </c>
      <c r="E28" s="250">
        <v>4.5</v>
      </c>
      <c r="F28" s="1473"/>
      <c r="G28" s="252"/>
      <c r="H28" s="251"/>
    </row>
    <row r="29" spans="1:12" s="224" customFormat="1" x14ac:dyDescent="0.25">
      <c r="A29" s="215">
        <v>41284</v>
      </c>
      <c r="B29" s="862" t="s">
        <v>16</v>
      </c>
      <c r="C29" s="879" t="s">
        <v>12</v>
      </c>
      <c r="D29" s="887" t="s">
        <v>15</v>
      </c>
      <c r="E29" s="250">
        <v>10</v>
      </c>
      <c r="F29" s="1473"/>
      <c r="G29" s="252"/>
      <c r="H29" s="251"/>
      <c r="K29" s="79"/>
      <c r="L29" s="79"/>
    </row>
    <row r="30" spans="1:12" x14ac:dyDescent="0.25">
      <c r="A30" s="215">
        <v>41285</v>
      </c>
      <c r="B30" s="349" t="s">
        <v>32</v>
      </c>
      <c r="C30" s="350" t="s">
        <v>12</v>
      </c>
      <c r="D30" s="141" t="s">
        <v>15</v>
      </c>
      <c r="E30" s="97">
        <v>5.5</v>
      </c>
      <c r="F30" s="946"/>
      <c r="G30" s="95"/>
      <c r="H30" s="91"/>
    </row>
    <row r="31" spans="1:12" x14ac:dyDescent="0.25">
      <c r="A31" s="215">
        <v>41285</v>
      </c>
      <c r="B31" s="349" t="s">
        <v>16</v>
      </c>
      <c r="C31" s="350" t="s">
        <v>12</v>
      </c>
      <c r="D31" s="141" t="s">
        <v>15</v>
      </c>
      <c r="E31" s="97">
        <v>10</v>
      </c>
      <c r="F31" s="946"/>
      <c r="G31" s="95"/>
      <c r="H31" s="91"/>
      <c r="K31" s="224"/>
      <c r="L31" s="224"/>
    </row>
    <row r="32" spans="1:12" x14ac:dyDescent="0.25">
      <c r="A32" s="215">
        <v>41285</v>
      </c>
      <c r="B32" s="349" t="s">
        <v>33</v>
      </c>
      <c r="C32" s="350" t="s">
        <v>12</v>
      </c>
      <c r="D32" s="141" t="s">
        <v>15</v>
      </c>
      <c r="E32" s="97">
        <v>66</v>
      </c>
      <c r="F32" s="946"/>
      <c r="G32" s="95"/>
      <c r="H32" s="91"/>
      <c r="K32" s="224"/>
      <c r="L32" s="224"/>
    </row>
    <row r="33" spans="1:8" s="224" customFormat="1" x14ac:dyDescent="0.25">
      <c r="A33" s="215">
        <v>41288</v>
      </c>
      <c r="B33" s="862" t="s">
        <v>16</v>
      </c>
      <c r="C33" s="105" t="s">
        <v>12</v>
      </c>
      <c r="D33" s="887" t="s">
        <v>15</v>
      </c>
      <c r="E33" s="250">
        <v>10</v>
      </c>
      <c r="F33" s="1473"/>
      <c r="G33" s="252"/>
      <c r="H33" s="251"/>
    </row>
    <row r="34" spans="1:8" s="224" customFormat="1" x14ac:dyDescent="0.25">
      <c r="A34" s="215">
        <v>41288</v>
      </c>
      <c r="B34" s="862" t="s">
        <v>32</v>
      </c>
      <c r="C34" s="105" t="s">
        <v>12</v>
      </c>
      <c r="D34" s="887" t="s">
        <v>15</v>
      </c>
      <c r="E34" s="250">
        <v>6</v>
      </c>
      <c r="F34" s="1473"/>
      <c r="G34" s="252"/>
      <c r="H34" s="251"/>
    </row>
    <row r="35" spans="1:8" x14ac:dyDescent="0.25">
      <c r="A35" s="215">
        <v>41289</v>
      </c>
      <c r="B35" s="364" t="s">
        <v>32</v>
      </c>
      <c r="C35" s="350" t="s">
        <v>12</v>
      </c>
      <c r="D35" s="141" t="s">
        <v>15</v>
      </c>
      <c r="E35" s="97">
        <v>5.5</v>
      </c>
      <c r="F35" s="946"/>
      <c r="G35" s="95"/>
      <c r="H35" s="91"/>
    </row>
    <row r="36" spans="1:8" x14ac:dyDescent="0.25">
      <c r="A36" s="215">
        <v>41289</v>
      </c>
      <c r="B36" s="364" t="s">
        <v>16</v>
      </c>
      <c r="C36" s="350" t="s">
        <v>12</v>
      </c>
      <c r="D36" s="141" t="s">
        <v>15</v>
      </c>
      <c r="E36" s="97">
        <v>10</v>
      </c>
      <c r="F36" s="946"/>
      <c r="G36" s="95"/>
      <c r="H36" s="91"/>
    </row>
    <row r="37" spans="1:8" x14ac:dyDescent="0.25">
      <c r="A37" s="215">
        <v>41290</v>
      </c>
      <c r="B37" s="349" t="s">
        <v>34</v>
      </c>
      <c r="C37" s="352" t="s">
        <v>12</v>
      </c>
      <c r="D37" s="142" t="s">
        <v>15</v>
      </c>
      <c r="E37" s="97">
        <v>9.3000000000000007</v>
      </c>
      <c r="F37" s="946"/>
      <c r="G37" s="95"/>
      <c r="H37" s="91"/>
    </row>
    <row r="38" spans="1:8" x14ac:dyDescent="0.25">
      <c r="A38" s="215">
        <v>41290</v>
      </c>
      <c r="B38" s="349" t="s">
        <v>35</v>
      </c>
      <c r="C38" s="352" t="s">
        <v>12</v>
      </c>
      <c r="D38" s="142" t="s">
        <v>13</v>
      </c>
      <c r="E38" s="97">
        <v>53</v>
      </c>
      <c r="F38" s="946"/>
      <c r="G38" s="95"/>
      <c r="H38" s="91"/>
    </row>
    <row r="39" spans="1:8" x14ac:dyDescent="0.25">
      <c r="A39" s="215">
        <v>41290</v>
      </c>
      <c r="B39" s="349" t="s">
        <v>36</v>
      </c>
      <c r="C39" s="352" t="s">
        <v>12</v>
      </c>
      <c r="D39" s="142" t="s">
        <v>13</v>
      </c>
      <c r="E39" s="97">
        <v>10.199999999999999</v>
      </c>
      <c r="F39" s="946"/>
      <c r="G39" s="95"/>
      <c r="H39" s="91"/>
    </row>
    <row r="40" spans="1:8" x14ac:dyDescent="0.25">
      <c r="A40" s="215">
        <v>41290</v>
      </c>
      <c r="B40" s="349" t="s">
        <v>37</v>
      </c>
      <c r="C40" s="352" t="s">
        <v>12</v>
      </c>
      <c r="D40" s="142" t="s">
        <v>13</v>
      </c>
      <c r="E40" s="176">
        <v>113.22</v>
      </c>
      <c r="F40" s="946"/>
      <c r="G40" s="95"/>
      <c r="H40" s="91"/>
    </row>
    <row r="41" spans="1:8" s="224" customFormat="1" x14ac:dyDescent="0.25">
      <c r="A41" s="215">
        <v>41291</v>
      </c>
      <c r="B41" s="862" t="s">
        <v>32</v>
      </c>
      <c r="C41" s="879" t="s">
        <v>12</v>
      </c>
      <c r="D41" s="887" t="s">
        <v>15</v>
      </c>
      <c r="E41" s="250">
        <v>4</v>
      </c>
      <c r="F41" s="1473"/>
      <c r="G41" s="252"/>
      <c r="H41" s="251"/>
    </row>
    <row r="42" spans="1:8" s="224" customFormat="1" x14ac:dyDescent="0.25">
      <c r="A42" s="215">
        <v>41291</v>
      </c>
      <c r="B42" s="862" t="s">
        <v>38</v>
      </c>
      <c r="C42" s="879" t="s">
        <v>12</v>
      </c>
      <c r="D42" s="887" t="s">
        <v>15</v>
      </c>
      <c r="E42" s="250">
        <v>13</v>
      </c>
      <c r="F42" s="1473"/>
      <c r="G42" s="252"/>
      <c r="H42" s="251"/>
    </row>
    <row r="43" spans="1:8" s="224" customFormat="1" x14ac:dyDescent="0.25">
      <c r="A43" s="215">
        <v>41291</v>
      </c>
      <c r="B43" s="862" t="s">
        <v>16</v>
      </c>
      <c r="C43" s="879" t="s">
        <v>12</v>
      </c>
      <c r="D43" s="887" t="s">
        <v>13</v>
      </c>
      <c r="E43" s="250">
        <v>10</v>
      </c>
      <c r="F43" s="1473"/>
      <c r="G43" s="252"/>
      <c r="H43" s="251"/>
    </row>
    <row r="44" spans="1:8" s="224" customFormat="1" x14ac:dyDescent="0.25">
      <c r="A44" s="215">
        <v>41291</v>
      </c>
      <c r="B44" s="862" t="s">
        <v>39</v>
      </c>
      <c r="C44" s="879" t="s">
        <v>12</v>
      </c>
      <c r="D44" s="887" t="s">
        <v>13</v>
      </c>
      <c r="E44" s="250">
        <v>52.91</v>
      </c>
      <c r="F44" s="1473"/>
      <c r="G44" s="252"/>
      <c r="H44" s="251"/>
    </row>
    <row r="45" spans="1:8" s="224" customFormat="1" x14ac:dyDescent="0.25">
      <c r="A45" s="215">
        <v>41291</v>
      </c>
      <c r="B45" s="862" t="s">
        <v>23</v>
      </c>
      <c r="C45" s="879" t="s">
        <v>12</v>
      </c>
      <c r="D45" s="887" t="s">
        <v>13</v>
      </c>
      <c r="E45" s="250">
        <v>5.5</v>
      </c>
      <c r="F45" s="1473"/>
      <c r="G45" s="252"/>
      <c r="H45" s="251"/>
    </row>
    <row r="46" spans="1:8" x14ac:dyDescent="0.25">
      <c r="A46" s="215">
        <v>41292</v>
      </c>
      <c r="B46" s="349" t="s">
        <v>40</v>
      </c>
      <c r="C46" s="350" t="s">
        <v>12</v>
      </c>
      <c r="D46" s="141" t="s">
        <v>25</v>
      </c>
      <c r="E46" s="97"/>
      <c r="F46" s="946">
        <v>575.52</v>
      </c>
      <c r="G46" s="95"/>
      <c r="H46" s="91"/>
    </row>
    <row r="47" spans="1:8" x14ac:dyDescent="0.25">
      <c r="A47" s="215">
        <v>41292</v>
      </c>
      <c r="B47" s="349" t="s">
        <v>32</v>
      </c>
      <c r="C47" s="350" t="s">
        <v>12</v>
      </c>
      <c r="D47" s="141" t="s">
        <v>15</v>
      </c>
      <c r="E47" s="97">
        <v>5.5</v>
      </c>
      <c r="F47" s="946"/>
      <c r="G47" s="95"/>
      <c r="H47" s="91"/>
    </row>
    <row r="48" spans="1:8" x14ac:dyDescent="0.25">
      <c r="A48" s="215">
        <v>41292</v>
      </c>
      <c r="B48" s="349" t="s">
        <v>41</v>
      </c>
      <c r="C48" s="350" t="s">
        <v>12</v>
      </c>
      <c r="D48" s="141" t="s">
        <v>13</v>
      </c>
      <c r="E48" s="97">
        <v>27.12</v>
      </c>
      <c r="F48" s="946"/>
      <c r="G48" s="95"/>
      <c r="H48" s="91"/>
    </row>
    <row r="49" spans="1:8" x14ac:dyDescent="0.25">
      <c r="A49" s="215">
        <v>41292</v>
      </c>
      <c r="B49" s="349" t="s">
        <v>16</v>
      </c>
      <c r="C49" s="350" t="s">
        <v>12</v>
      </c>
      <c r="D49" s="141" t="s">
        <v>13</v>
      </c>
      <c r="E49" s="97">
        <v>20</v>
      </c>
      <c r="F49" s="946"/>
      <c r="G49" s="95"/>
      <c r="H49" s="91"/>
    </row>
    <row r="50" spans="1:8" ht="13.5" customHeight="1" x14ac:dyDescent="0.25">
      <c r="A50" s="215">
        <v>41293</v>
      </c>
      <c r="B50" s="349" t="s">
        <v>42</v>
      </c>
      <c r="C50" s="350" t="s">
        <v>12</v>
      </c>
      <c r="D50" s="141" t="s">
        <v>15</v>
      </c>
      <c r="E50" s="97">
        <v>39</v>
      </c>
      <c r="F50" s="946"/>
      <c r="G50" s="95"/>
      <c r="H50" s="91"/>
    </row>
    <row r="51" spans="1:8" x14ac:dyDescent="0.25">
      <c r="A51" s="215">
        <v>41294</v>
      </c>
      <c r="B51" s="349" t="s">
        <v>16</v>
      </c>
      <c r="C51" s="350" t="s">
        <v>12</v>
      </c>
      <c r="D51" s="141" t="s">
        <v>15</v>
      </c>
      <c r="E51" s="97">
        <v>10</v>
      </c>
      <c r="F51" s="946"/>
      <c r="G51" s="95"/>
      <c r="H51" s="91"/>
    </row>
    <row r="52" spans="1:8" x14ac:dyDescent="0.25">
      <c r="A52" s="215">
        <v>41294</v>
      </c>
      <c r="B52" s="349" t="s">
        <v>43</v>
      </c>
      <c r="C52" s="350" t="s">
        <v>12</v>
      </c>
      <c r="D52" s="141" t="s">
        <v>15</v>
      </c>
      <c r="E52" s="97">
        <v>8</v>
      </c>
      <c r="F52" s="946"/>
      <c r="G52" s="95"/>
      <c r="H52" s="91"/>
    </row>
    <row r="53" spans="1:8" x14ac:dyDescent="0.25">
      <c r="A53" s="215">
        <v>41295</v>
      </c>
      <c r="B53" s="349"/>
      <c r="C53" s="350"/>
      <c r="D53" s="141"/>
      <c r="E53" s="97"/>
      <c r="F53" s="946"/>
      <c r="G53" s="95"/>
      <c r="H53" s="91"/>
    </row>
    <row r="54" spans="1:8" s="224" customFormat="1" x14ac:dyDescent="0.25">
      <c r="A54" s="215">
        <v>41296</v>
      </c>
      <c r="B54" s="862" t="s">
        <v>16</v>
      </c>
      <c r="C54" s="879" t="s">
        <v>12</v>
      </c>
      <c r="D54" s="887" t="s">
        <v>15</v>
      </c>
      <c r="E54" s="250">
        <v>10</v>
      </c>
      <c r="F54" s="1473"/>
      <c r="G54" s="252"/>
      <c r="H54" s="251"/>
    </row>
    <row r="55" spans="1:8" s="224" customFormat="1" x14ac:dyDescent="0.25">
      <c r="A55" s="215">
        <v>41296</v>
      </c>
      <c r="B55" s="862" t="s">
        <v>32</v>
      </c>
      <c r="C55" s="879" t="s">
        <v>12</v>
      </c>
      <c r="D55" s="887" t="s">
        <v>15</v>
      </c>
      <c r="E55" s="250">
        <v>4.25</v>
      </c>
      <c r="F55" s="1473"/>
      <c r="G55" s="252"/>
      <c r="H55" s="251"/>
    </row>
    <row r="56" spans="1:8" s="224" customFormat="1" x14ac:dyDescent="0.25">
      <c r="A56" s="215">
        <v>41297</v>
      </c>
      <c r="B56" s="862" t="s">
        <v>32</v>
      </c>
      <c r="C56" s="105" t="s">
        <v>12</v>
      </c>
      <c r="D56" s="887" t="s">
        <v>15</v>
      </c>
      <c r="E56" s="250">
        <v>5</v>
      </c>
      <c r="F56" s="1473"/>
      <c r="G56" s="252"/>
      <c r="H56" s="251"/>
    </row>
    <row r="57" spans="1:8" s="224" customFormat="1" x14ac:dyDescent="0.25">
      <c r="A57" s="215">
        <v>41297</v>
      </c>
      <c r="B57" s="862" t="s">
        <v>44</v>
      </c>
      <c r="C57" s="105" t="s">
        <v>12</v>
      </c>
      <c r="D57" s="887" t="s">
        <v>25</v>
      </c>
      <c r="E57" s="250"/>
      <c r="F57" s="1473">
        <v>27.94</v>
      </c>
      <c r="G57" s="252"/>
      <c r="H57" s="251"/>
    </row>
    <row r="58" spans="1:8" x14ac:dyDescent="0.25">
      <c r="A58" s="215">
        <v>41298</v>
      </c>
      <c r="B58" s="364" t="s">
        <v>16</v>
      </c>
      <c r="C58" s="350" t="s">
        <v>12</v>
      </c>
      <c r="D58" s="141" t="s">
        <v>15</v>
      </c>
      <c r="E58" s="97">
        <v>10</v>
      </c>
      <c r="F58" s="946"/>
      <c r="G58" s="95"/>
      <c r="H58" s="91"/>
    </row>
    <row r="59" spans="1:8" x14ac:dyDescent="0.25">
      <c r="A59" s="215">
        <v>41299</v>
      </c>
      <c r="B59" s="349" t="s">
        <v>32</v>
      </c>
      <c r="C59" s="352" t="s">
        <v>12</v>
      </c>
      <c r="D59" s="142" t="s">
        <v>15</v>
      </c>
      <c r="E59" s="97">
        <v>5.5</v>
      </c>
      <c r="F59" s="946"/>
      <c r="G59" s="95"/>
      <c r="H59" s="91"/>
    </row>
    <row r="60" spans="1:8" s="224" customFormat="1" x14ac:dyDescent="0.25">
      <c r="A60" s="215">
        <v>41300</v>
      </c>
      <c r="B60" s="862" t="s">
        <v>16</v>
      </c>
      <c r="C60" s="879" t="s">
        <v>12</v>
      </c>
      <c r="D60" s="887" t="s">
        <v>15</v>
      </c>
      <c r="E60" s="250">
        <v>10</v>
      </c>
      <c r="F60" s="1473"/>
      <c r="G60" s="252"/>
      <c r="H60" s="251"/>
    </row>
    <row r="61" spans="1:8" s="224" customFormat="1" x14ac:dyDescent="0.25">
      <c r="A61" s="215">
        <v>41300</v>
      </c>
      <c r="B61" s="862" t="s">
        <v>45</v>
      </c>
      <c r="C61" s="879" t="s">
        <v>12</v>
      </c>
      <c r="D61" s="887" t="s">
        <v>13</v>
      </c>
      <c r="E61" s="250">
        <v>15</v>
      </c>
      <c r="F61" s="1473"/>
      <c r="G61" s="252"/>
      <c r="H61" s="251"/>
    </row>
    <row r="62" spans="1:8" s="316" customFormat="1" x14ac:dyDescent="0.25">
      <c r="A62" s="215">
        <v>41301</v>
      </c>
      <c r="B62" s="349" t="s">
        <v>14</v>
      </c>
      <c r="C62" s="350" t="s">
        <v>12</v>
      </c>
      <c r="D62" s="142" t="s">
        <v>15</v>
      </c>
      <c r="E62" s="250">
        <v>5</v>
      </c>
      <c r="F62" s="1473"/>
      <c r="G62" s="1476"/>
      <c r="H62" s="1473"/>
    </row>
    <row r="63" spans="1:8" x14ac:dyDescent="0.25">
      <c r="A63" s="215">
        <v>41302</v>
      </c>
      <c r="B63" s="1477" t="s">
        <v>46</v>
      </c>
      <c r="C63" s="105" t="s">
        <v>12</v>
      </c>
      <c r="D63" s="105" t="s">
        <v>13</v>
      </c>
      <c r="E63" s="96">
        <v>366</v>
      </c>
      <c r="F63" s="946"/>
      <c r="G63" s="95"/>
      <c r="H63" s="91"/>
    </row>
    <row r="64" spans="1:8" x14ac:dyDescent="0.25">
      <c r="A64" s="215">
        <v>41302</v>
      </c>
      <c r="B64" s="349" t="s">
        <v>32</v>
      </c>
      <c r="C64" s="352" t="s">
        <v>12</v>
      </c>
      <c r="D64" s="142" t="s">
        <v>15</v>
      </c>
      <c r="E64" s="97">
        <v>4</v>
      </c>
      <c r="F64" s="946"/>
      <c r="G64" s="95"/>
      <c r="H64" s="91"/>
    </row>
    <row r="65" spans="1:8" s="224" customFormat="1" x14ac:dyDescent="0.25">
      <c r="A65" s="215">
        <v>41302</v>
      </c>
      <c r="B65" s="862" t="s">
        <v>16</v>
      </c>
      <c r="C65" s="879" t="s">
        <v>12</v>
      </c>
      <c r="D65" s="887" t="s">
        <v>15</v>
      </c>
      <c r="E65" s="250">
        <v>10</v>
      </c>
      <c r="F65" s="1473"/>
      <c r="G65" s="252"/>
      <c r="H65" s="251"/>
    </row>
    <row r="66" spans="1:8" s="224" customFormat="1" x14ac:dyDescent="0.25">
      <c r="A66" s="215">
        <v>41303</v>
      </c>
      <c r="B66" s="862" t="s">
        <v>32</v>
      </c>
      <c r="C66" s="879" t="s">
        <v>12</v>
      </c>
      <c r="D66" s="887" t="s">
        <v>15</v>
      </c>
      <c r="E66" s="250">
        <v>5.5</v>
      </c>
      <c r="F66" s="1473"/>
      <c r="G66" s="252"/>
      <c r="H66" s="251"/>
    </row>
    <row r="67" spans="1:8" s="224" customFormat="1" x14ac:dyDescent="0.25">
      <c r="A67" s="215">
        <v>41303</v>
      </c>
      <c r="B67" s="862" t="s">
        <v>16</v>
      </c>
      <c r="C67" s="879" t="s">
        <v>12</v>
      </c>
      <c r="D67" s="887" t="s">
        <v>15</v>
      </c>
      <c r="E67" s="250">
        <v>10</v>
      </c>
      <c r="F67" s="1473"/>
      <c r="G67" s="252"/>
      <c r="H67" s="251"/>
    </row>
    <row r="68" spans="1:8" s="224" customFormat="1" x14ac:dyDescent="0.25">
      <c r="A68" s="215">
        <v>41303</v>
      </c>
      <c r="B68" s="862" t="s">
        <v>47</v>
      </c>
      <c r="C68" s="879" t="s">
        <v>12</v>
      </c>
      <c r="D68" s="887" t="s">
        <v>15</v>
      </c>
      <c r="E68" s="250">
        <v>28.9</v>
      </c>
      <c r="F68" s="1473"/>
      <c r="G68" s="252"/>
      <c r="H68" s="251"/>
    </row>
    <row r="69" spans="1:8" s="224" customFormat="1" x14ac:dyDescent="0.25">
      <c r="A69" s="215">
        <v>41303</v>
      </c>
      <c r="B69" s="862" t="s">
        <v>48</v>
      </c>
      <c r="C69" s="879" t="s">
        <v>12</v>
      </c>
      <c r="D69" s="887" t="s">
        <v>15</v>
      </c>
      <c r="E69" s="250">
        <v>8.32</v>
      </c>
      <c r="F69" s="1473"/>
      <c r="G69" s="252"/>
      <c r="H69" s="251"/>
    </row>
    <row r="70" spans="1:8" s="224" customFormat="1" x14ac:dyDescent="0.25">
      <c r="A70" s="215">
        <v>41303</v>
      </c>
      <c r="B70" s="862" t="s">
        <v>23</v>
      </c>
      <c r="C70" s="879" t="s">
        <v>12</v>
      </c>
      <c r="D70" s="887" t="s">
        <v>15</v>
      </c>
      <c r="E70" s="250">
        <v>5.5</v>
      </c>
      <c r="F70" s="1473"/>
      <c r="G70" s="252"/>
      <c r="H70" s="251"/>
    </row>
    <row r="71" spans="1:8" s="316" customFormat="1" x14ac:dyDescent="0.25">
      <c r="A71" s="215">
        <v>41304</v>
      </c>
      <c r="B71" s="349" t="s">
        <v>32</v>
      </c>
      <c r="C71" s="350" t="s">
        <v>12</v>
      </c>
      <c r="D71" s="142" t="s">
        <v>15</v>
      </c>
      <c r="E71" s="250">
        <v>6.1</v>
      </c>
      <c r="F71" s="1473"/>
      <c r="G71" s="1476"/>
      <c r="H71" s="1473"/>
    </row>
    <row r="72" spans="1:8" x14ac:dyDescent="0.25">
      <c r="A72" s="215">
        <v>41305</v>
      </c>
      <c r="B72" s="349" t="s">
        <v>32</v>
      </c>
      <c r="C72" s="879" t="s">
        <v>12</v>
      </c>
      <c r="D72" s="983" t="s">
        <v>15</v>
      </c>
      <c r="E72" s="97">
        <v>4</v>
      </c>
      <c r="F72" s="946"/>
      <c r="G72" s="95"/>
      <c r="H72" s="91"/>
    </row>
    <row r="73" spans="1:8" ht="15.75" thickBot="1" x14ac:dyDescent="0.3">
      <c r="A73" s="215">
        <v>41305</v>
      </c>
      <c r="B73" s="349" t="s">
        <v>16</v>
      </c>
      <c r="C73" s="879" t="s">
        <v>12</v>
      </c>
      <c r="D73" s="983" t="s">
        <v>15</v>
      </c>
      <c r="E73" s="97">
        <v>10</v>
      </c>
      <c r="F73" s="946"/>
      <c r="G73" s="95"/>
      <c r="H73" s="91"/>
    </row>
    <row r="74" spans="1:8" ht="25.5" customHeight="1" thickBot="1" x14ac:dyDescent="0.3">
      <c r="A74" s="3060"/>
      <c r="B74" s="3061"/>
      <c r="C74" s="3062"/>
      <c r="D74" s="3062"/>
      <c r="E74" s="100">
        <f>SUM(E5:E73)</f>
        <v>1892.86</v>
      </c>
      <c r="F74" s="1065" t="e">
        <f>SUM(F5:F73)</f>
        <v>#REF!</v>
      </c>
      <c r="G74" s="101">
        <f>SUM(G5:G73)</f>
        <v>0</v>
      </c>
      <c r="H74" s="93">
        <f>SUM(H5:H73)</f>
        <v>0</v>
      </c>
    </row>
    <row r="75" spans="1:8" ht="25.5" customHeight="1" thickBot="1" x14ac:dyDescent="0.3">
      <c r="A75" s="3077" t="s">
        <v>49</v>
      </c>
      <c r="B75" s="3078"/>
      <c r="C75" s="3078"/>
      <c r="D75" s="3078"/>
      <c r="E75" s="102"/>
      <c r="F75" s="1478" t="e">
        <f>F74-E74</f>
        <v>#REF!</v>
      </c>
      <c r="G75" s="104"/>
      <c r="H75" s="103">
        <f>H74-G74</f>
        <v>0</v>
      </c>
    </row>
    <row r="77" spans="1:8" x14ac:dyDescent="0.25">
      <c r="B77" s="79" t="s">
        <v>32</v>
      </c>
      <c r="C77" s="178">
        <v>80.349999999999994</v>
      </c>
    </row>
    <row r="78" spans="1:8" x14ac:dyDescent="0.25">
      <c r="B78" s="79" t="s">
        <v>16</v>
      </c>
      <c r="C78" s="178">
        <v>170</v>
      </c>
    </row>
    <row r="79" spans="1:8" x14ac:dyDescent="0.25">
      <c r="B79" s="79" t="s">
        <v>50</v>
      </c>
      <c r="C79" s="178">
        <v>87.04</v>
      </c>
    </row>
    <row r="80" spans="1:8" x14ac:dyDescent="0.25">
      <c r="B80" s="79" t="s">
        <v>14</v>
      </c>
      <c r="C80" s="178">
        <v>33.9</v>
      </c>
    </row>
    <row r="81" spans="2:3" x14ac:dyDescent="0.25">
      <c r="B81" s="79" t="s">
        <v>51</v>
      </c>
      <c r="C81" s="178">
        <v>80.44</v>
      </c>
    </row>
    <row r="82" spans="2:3" x14ac:dyDescent="0.25">
      <c r="B82" s="79" t="s">
        <v>52</v>
      </c>
      <c r="C82" s="178">
        <v>50</v>
      </c>
    </row>
    <row r="83" spans="2:3" x14ac:dyDescent="0.25">
      <c r="B83" s="867" t="s">
        <v>53</v>
      </c>
      <c r="C83" s="178">
        <v>316.22000000000003</v>
      </c>
    </row>
    <row r="84" spans="2:3" x14ac:dyDescent="0.25">
      <c r="B84" s="79" t="s">
        <v>54</v>
      </c>
      <c r="C84" s="178">
        <v>366</v>
      </c>
    </row>
    <row r="85" spans="2:3" x14ac:dyDescent="0.25">
      <c r="B85" s="79" t="s">
        <v>55</v>
      </c>
      <c r="C85" s="178">
        <v>140</v>
      </c>
    </row>
    <row r="86" spans="2:3" x14ac:dyDescent="0.25">
      <c r="B86" s="79" t="s">
        <v>56</v>
      </c>
      <c r="C86" s="178">
        <v>66</v>
      </c>
    </row>
    <row r="87" spans="2:3" x14ac:dyDescent="0.25">
      <c r="B87" s="79" t="s">
        <v>57</v>
      </c>
      <c r="C87" s="178">
        <v>175</v>
      </c>
    </row>
  </sheetData>
  <autoFilter ref="A2:H75" xr:uid="{00000000-0009-0000-0000-000000000000}">
    <filterColumn colId="4" showButton="0"/>
    <filterColumn colId="6" showButton="0"/>
  </autoFilter>
  <mergeCells count="10">
    <mergeCell ref="A75:D75"/>
    <mergeCell ref="A1:D1"/>
    <mergeCell ref="A74:D74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9"/>
  <dimension ref="A1:H90"/>
  <sheetViews>
    <sheetView zoomScale="75" zoomScaleNormal="85" workbookViewId="0">
      <pane ySplit="4" topLeftCell="A26" activePane="bottomLeft" state="frozen"/>
      <selection activeCell="C44" sqref="C44"/>
      <selection pane="bottomLeft" activeCell="B26" sqref="B2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58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41306</v>
      </c>
      <c r="B5" s="369" t="s">
        <v>10</v>
      </c>
      <c r="C5" s="370"/>
      <c r="D5" s="207"/>
      <c r="E5" s="179"/>
      <c r="F5" s="933" t="e">
        <f>'Janeiro 13'!F75</f>
        <v>#REF!</v>
      </c>
      <c r="G5" s="163"/>
      <c r="H5" s="98"/>
    </row>
    <row r="6" spans="1:8" s="224" customFormat="1" x14ac:dyDescent="0.25">
      <c r="A6" s="215">
        <v>41306</v>
      </c>
      <c r="B6" s="348" t="s">
        <v>11</v>
      </c>
      <c r="C6" s="351" t="s">
        <v>12</v>
      </c>
      <c r="D6" s="248" t="s">
        <v>13</v>
      </c>
      <c r="E6" s="250"/>
      <c r="F6" s="1473"/>
      <c r="G6" s="252"/>
      <c r="H6" s="251"/>
    </row>
    <row r="7" spans="1:8" s="224" customFormat="1" x14ac:dyDescent="0.25">
      <c r="A7" s="215">
        <v>41306</v>
      </c>
      <c r="B7" s="873" t="s">
        <v>32</v>
      </c>
      <c r="C7" s="879" t="s">
        <v>12</v>
      </c>
      <c r="D7" s="887" t="s">
        <v>15</v>
      </c>
      <c r="E7" s="250">
        <v>5.5</v>
      </c>
      <c r="F7" s="1473"/>
      <c r="G7" s="252"/>
      <c r="H7" s="251"/>
    </row>
    <row r="8" spans="1:8" s="224" customFormat="1" x14ac:dyDescent="0.25">
      <c r="A8" s="215">
        <v>41306</v>
      </c>
      <c r="B8" s="1474" t="s">
        <v>16</v>
      </c>
      <c r="C8" s="879" t="s">
        <v>19</v>
      </c>
      <c r="D8" s="1475" t="s">
        <v>13</v>
      </c>
      <c r="E8" s="250">
        <v>20</v>
      </c>
      <c r="F8" s="1473"/>
      <c r="G8" s="252"/>
      <c r="H8" s="251"/>
    </row>
    <row r="9" spans="1:8" s="224" customFormat="1" x14ac:dyDescent="0.25">
      <c r="A9" s="215">
        <v>41306</v>
      </c>
      <c r="B9" s="1474" t="s">
        <v>59</v>
      </c>
      <c r="C9" s="879" t="s">
        <v>19</v>
      </c>
      <c r="D9" s="1475" t="s">
        <v>13</v>
      </c>
      <c r="E9" s="250">
        <v>34.53</v>
      </c>
      <c r="F9" s="1473"/>
      <c r="G9" s="252"/>
      <c r="H9" s="251"/>
    </row>
    <row r="10" spans="1:8" s="224" customFormat="1" x14ac:dyDescent="0.25">
      <c r="A10" s="215">
        <v>41307</v>
      </c>
      <c r="B10" s="1474" t="s">
        <v>60</v>
      </c>
      <c r="C10" s="879" t="s">
        <v>12</v>
      </c>
      <c r="D10" s="1475" t="s">
        <v>13</v>
      </c>
      <c r="E10" s="250">
        <v>42.46</v>
      </c>
      <c r="F10" s="1473"/>
      <c r="G10" s="252"/>
      <c r="H10" s="251"/>
    </row>
    <row r="11" spans="1:8" s="224" customFormat="1" x14ac:dyDescent="0.25">
      <c r="A11" s="215">
        <v>41308</v>
      </c>
      <c r="B11" s="873" t="s">
        <v>17</v>
      </c>
      <c r="C11" s="879" t="s">
        <v>12</v>
      </c>
      <c r="D11" s="887" t="s">
        <v>15</v>
      </c>
      <c r="E11" s="250">
        <v>4</v>
      </c>
      <c r="F11" s="1473"/>
      <c r="G11" s="252"/>
      <c r="H11" s="251"/>
    </row>
    <row r="12" spans="1:8" s="224" customFormat="1" x14ac:dyDescent="0.25">
      <c r="A12" s="215">
        <v>41308</v>
      </c>
      <c r="B12" s="873" t="s">
        <v>61</v>
      </c>
      <c r="C12" s="879" t="s">
        <v>12</v>
      </c>
      <c r="D12" s="887" t="s">
        <v>13</v>
      </c>
      <c r="E12" s="250">
        <v>11</v>
      </c>
      <c r="F12" s="1473"/>
      <c r="G12" s="252"/>
      <c r="H12" s="251"/>
    </row>
    <row r="13" spans="1:8" s="224" customFormat="1" x14ac:dyDescent="0.25">
      <c r="A13" s="215">
        <v>41309</v>
      </c>
      <c r="B13" s="1474" t="s">
        <v>16</v>
      </c>
      <c r="C13" s="879" t="s">
        <v>12</v>
      </c>
      <c r="D13" s="1475" t="s">
        <v>15</v>
      </c>
      <c r="E13" s="250">
        <v>10</v>
      </c>
      <c r="F13" s="1473"/>
      <c r="G13" s="252"/>
      <c r="H13" s="251"/>
    </row>
    <row r="14" spans="1:8" s="224" customFormat="1" x14ac:dyDescent="0.25">
      <c r="A14" s="215">
        <v>41309</v>
      </c>
      <c r="B14" s="1474" t="s">
        <v>32</v>
      </c>
      <c r="C14" s="879" t="s">
        <v>12</v>
      </c>
      <c r="D14" s="1475" t="s">
        <v>15</v>
      </c>
      <c r="E14" s="250">
        <v>4</v>
      </c>
      <c r="F14" s="1473"/>
      <c r="G14" s="252"/>
      <c r="H14" s="251"/>
    </row>
    <row r="15" spans="1:8" s="224" customFormat="1" x14ac:dyDescent="0.25">
      <c r="A15" s="215">
        <v>41310</v>
      </c>
      <c r="B15" s="873" t="s">
        <v>32</v>
      </c>
      <c r="C15" s="879" t="s">
        <v>12</v>
      </c>
      <c r="D15" s="887" t="s">
        <v>15</v>
      </c>
      <c r="E15" s="250">
        <v>4</v>
      </c>
      <c r="F15" s="1473"/>
      <c r="G15" s="252"/>
      <c r="H15" s="251"/>
    </row>
    <row r="16" spans="1:8" s="224" customFormat="1" x14ac:dyDescent="0.25">
      <c r="A16" s="215">
        <v>41310</v>
      </c>
      <c r="B16" s="873" t="s">
        <v>62</v>
      </c>
      <c r="C16" s="879" t="s">
        <v>12</v>
      </c>
      <c r="D16" s="887" t="s">
        <v>15</v>
      </c>
      <c r="E16" s="250">
        <v>33</v>
      </c>
      <c r="F16" s="1473"/>
      <c r="G16" s="252"/>
      <c r="H16" s="251"/>
    </row>
    <row r="17" spans="1:8" s="224" customFormat="1" x14ac:dyDescent="0.25">
      <c r="A17" s="215">
        <v>41310</v>
      </c>
      <c r="B17" s="873" t="s">
        <v>16</v>
      </c>
      <c r="C17" s="879" t="s">
        <v>12</v>
      </c>
      <c r="D17" s="887" t="s">
        <v>15</v>
      </c>
      <c r="E17" s="250">
        <v>10</v>
      </c>
      <c r="F17" s="1473"/>
      <c r="G17" s="252"/>
      <c r="H17" s="251"/>
    </row>
    <row r="18" spans="1:8" s="224" customFormat="1" x14ac:dyDescent="0.25">
      <c r="A18" s="215">
        <v>41311</v>
      </c>
      <c r="B18" s="349" t="s">
        <v>63</v>
      </c>
      <c r="C18" s="879" t="s">
        <v>12</v>
      </c>
      <c r="D18" s="983" t="s">
        <v>25</v>
      </c>
      <c r="E18" s="250"/>
      <c r="F18" s="1473">
        <v>918.29</v>
      </c>
      <c r="G18" s="252"/>
      <c r="H18" s="251"/>
    </row>
    <row r="19" spans="1:8" s="224" customFormat="1" x14ac:dyDescent="0.25">
      <c r="A19" s="215">
        <v>41311</v>
      </c>
      <c r="B19" s="349" t="s">
        <v>64</v>
      </c>
      <c r="C19" s="879" t="s">
        <v>12</v>
      </c>
      <c r="D19" s="887" t="s">
        <v>15</v>
      </c>
      <c r="E19" s="250">
        <v>140</v>
      </c>
      <c r="F19" s="1473"/>
      <c r="G19" s="252"/>
      <c r="H19" s="251"/>
    </row>
    <row r="20" spans="1:8" s="316" customFormat="1" x14ac:dyDescent="0.25">
      <c r="A20" s="215">
        <v>41311</v>
      </c>
      <c r="B20" s="862" t="s">
        <v>65</v>
      </c>
      <c r="C20" s="879" t="s">
        <v>12</v>
      </c>
      <c r="D20" s="957" t="s">
        <v>15</v>
      </c>
      <c r="E20" s="250">
        <v>203.5</v>
      </c>
      <c r="F20" s="1473"/>
      <c r="G20" s="1476"/>
      <c r="H20" s="1473"/>
    </row>
    <row r="21" spans="1:8" s="224" customFormat="1" x14ac:dyDescent="0.25">
      <c r="A21" s="215">
        <v>41311</v>
      </c>
      <c r="B21" s="882" t="s">
        <v>66</v>
      </c>
      <c r="C21" s="879" t="s">
        <v>12</v>
      </c>
      <c r="D21" s="887" t="s">
        <v>13</v>
      </c>
      <c r="E21" s="250">
        <v>42.78</v>
      </c>
      <c r="F21" s="1473"/>
      <c r="G21" s="252"/>
      <c r="H21" s="251"/>
    </row>
    <row r="22" spans="1:8" s="224" customFormat="1" x14ac:dyDescent="0.25">
      <c r="A22" s="215">
        <v>41311</v>
      </c>
      <c r="B22" s="882" t="s">
        <v>67</v>
      </c>
      <c r="C22" s="879" t="s">
        <v>12</v>
      </c>
      <c r="D22" s="887" t="s">
        <v>13</v>
      </c>
      <c r="E22" s="250">
        <v>48.72</v>
      </c>
      <c r="F22" s="1473"/>
      <c r="G22" s="252"/>
      <c r="H22" s="251"/>
    </row>
    <row r="23" spans="1:8" s="316" customFormat="1" x14ac:dyDescent="0.25">
      <c r="A23" s="215">
        <v>41311</v>
      </c>
      <c r="B23" s="862" t="s">
        <v>31</v>
      </c>
      <c r="C23" s="879" t="s">
        <v>12</v>
      </c>
      <c r="D23" s="957" t="s">
        <v>15</v>
      </c>
      <c r="E23" s="250">
        <v>50</v>
      </c>
      <c r="F23" s="1473"/>
      <c r="G23" s="1476"/>
      <c r="H23" s="1473"/>
    </row>
    <row r="24" spans="1:8" s="316" customFormat="1" x14ac:dyDescent="0.25">
      <c r="A24" s="215">
        <v>41311</v>
      </c>
      <c r="B24" s="862" t="s">
        <v>32</v>
      </c>
      <c r="C24" s="879" t="s">
        <v>12</v>
      </c>
      <c r="D24" s="957" t="s">
        <v>15</v>
      </c>
      <c r="E24" s="250">
        <v>5.5</v>
      </c>
      <c r="F24" s="1473"/>
      <c r="G24" s="1476"/>
      <c r="H24" s="1473"/>
    </row>
    <row r="25" spans="1:8" s="316" customFormat="1" x14ac:dyDescent="0.25">
      <c r="A25" s="215">
        <v>41312</v>
      </c>
      <c r="B25" s="862" t="s">
        <v>32</v>
      </c>
      <c r="C25" s="879" t="s">
        <v>12</v>
      </c>
      <c r="D25" s="957" t="s">
        <v>15</v>
      </c>
      <c r="E25" s="250">
        <v>4</v>
      </c>
      <c r="F25" s="1473"/>
      <c r="G25" s="1476"/>
      <c r="H25" s="1473"/>
    </row>
    <row r="26" spans="1:8" s="316" customFormat="1" x14ac:dyDescent="0.25">
      <c r="A26" s="215">
        <v>41312</v>
      </c>
      <c r="B26" s="862" t="s">
        <v>68</v>
      </c>
      <c r="C26" s="879" t="s">
        <v>12</v>
      </c>
      <c r="D26" s="957" t="s">
        <v>15</v>
      </c>
      <c r="E26" s="250">
        <v>20</v>
      </c>
      <c r="F26" s="1473"/>
      <c r="G26" s="1476"/>
      <c r="H26" s="1473"/>
    </row>
    <row r="27" spans="1:8" s="316" customFormat="1" x14ac:dyDescent="0.25">
      <c r="A27" s="215">
        <v>41312</v>
      </c>
      <c r="B27" s="862" t="s">
        <v>16</v>
      </c>
      <c r="C27" s="879" t="s">
        <v>12</v>
      </c>
      <c r="D27" s="957" t="s">
        <v>15</v>
      </c>
      <c r="E27" s="250">
        <v>10</v>
      </c>
      <c r="F27" s="1473"/>
      <c r="G27" s="1476"/>
      <c r="H27" s="1473"/>
    </row>
    <row r="28" spans="1:8" s="316" customFormat="1" x14ac:dyDescent="0.25">
      <c r="A28" s="215">
        <v>41312</v>
      </c>
      <c r="B28" s="862" t="s">
        <v>69</v>
      </c>
      <c r="C28" s="879" t="s">
        <v>12</v>
      </c>
      <c r="D28" s="957" t="s">
        <v>15</v>
      </c>
      <c r="E28" s="250">
        <v>46</v>
      </c>
      <c r="F28" s="1473"/>
      <c r="G28" s="1476"/>
      <c r="H28" s="1473"/>
    </row>
    <row r="29" spans="1:8" s="316" customFormat="1" x14ac:dyDescent="0.25">
      <c r="A29" s="215">
        <v>41312</v>
      </c>
      <c r="B29" s="862" t="s">
        <v>70</v>
      </c>
      <c r="C29" s="879" t="s">
        <v>12</v>
      </c>
      <c r="D29" s="957" t="s">
        <v>15</v>
      </c>
      <c r="E29" s="250">
        <v>2</v>
      </c>
      <c r="F29" s="1473"/>
      <c r="G29" s="1476"/>
      <c r="H29" s="1473"/>
    </row>
    <row r="30" spans="1:8" x14ac:dyDescent="0.25">
      <c r="A30" s="215">
        <v>41313</v>
      </c>
      <c r="B30" s="349" t="s">
        <v>32</v>
      </c>
      <c r="C30" s="350" t="s">
        <v>12</v>
      </c>
      <c r="D30" s="141" t="s">
        <v>15</v>
      </c>
      <c r="E30" s="97">
        <v>5.5</v>
      </c>
      <c r="F30" s="946"/>
      <c r="G30" s="95"/>
      <c r="H30" s="91"/>
    </row>
    <row r="31" spans="1:8" x14ac:dyDescent="0.25">
      <c r="A31" s="215">
        <v>41313</v>
      </c>
      <c r="B31" s="349" t="s">
        <v>71</v>
      </c>
      <c r="C31" s="350" t="s">
        <v>12</v>
      </c>
      <c r="D31" s="141" t="s">
        <v>13</v>
      </c>
      <c r="E31" s="97">
        <v>18.260000000000002</v>
      </c>
      <c r="F31" s="946"/>
      <c r="G31" s="95"/>
      <c r="H31" s="91"/>
    </row>
    <row r="32" spans="1:8" x14ac:dyDescent="0.25">
      <c r="A32" s="215">
        <v>41313</v>
      </c>
      <c r="B32" s="349" t="s">
        <v>72</v>
      </c>
      <c r="C32" s="350" t="s">
        <v>12</v>
      </c>
      <c r="D32" s="141" t="s">
        <v>15</v>
      </c>
      <c r="E32" s="97">
        <v>20</v>
      </c>
      <c r="F32" s="946"/>
      <c r="G32" s="95"/>
      <c r="H32" s="91"/>
    </row>
    <row r="33" spans="1:8" x14ac:dyDescent="0.25">
      <c r="A33" s="215">
        <v>41313</v>
      </c>
      <c r="B33" s="349" t="s">
        <v>16</v>
      </c>
      <c r="C33" s="350" t="s">
        <v>12</v>
      </c>
      <c r="D33" s="141" t="s">
        <v>15</v>
      </c>
      <c r="E33" s="97">
        <v>10</v>
      </c>
      <c r="F33" s="946"/>
      <c r="G33" s="95"/>
      <c r="H33" s="91"/>
    </row>
    <row r="34" spans="1:8" x14ac:dyDescent="0.25">
      <c r="A34" s="215">
        <v>41314</v>
      </c>
      <c r="B34" s="349"/>
      <c r="C34" s="350"/>
      <c r="D34" s="141"/>
      <c r="F34" s="946"/>
      <c r="G34" s="95"/>
      <c r="H34" s="91"/>
    </row>
    <row r="35" spans="1:8" x14ac:dyDescent="0.25">
      <c r="A35" s="215">
        <v>41315</v>
      </c>
      <c r="B35" s="349" t="s">
        <v>16</v>
      </c>
      <c r="C35" s="350" t="s">
        <v>12</v>
      </c>
      <c r="D35" s="141" t="s">
        <v>15</v>
      </c>
      <c r="E35" s="97">
        <v>10</v>
      </c>
      <c r="F35" s="946"/>
      <c r="G35" s="95"/>
      <c r="H35" s="91"/>
    </row>
    <row r="36" spans="1:8" x14ac:dyDescent="0.25">
      <c r="A36" s="215">
        <v>41315</v>
      </c>
      <c r="B36" s="349" t="s">
        <v>73</v>
      </c>
      <c r="C36" s="350" t="s">
        <v>12</v>
      </c>
      <c r="D36" s="141" t="s">
        <v>15</v>
      </c>
      <c r="E36" s="97">
        <v>17</v>
      </c>
      <c r="F36" s="946"/>
      <c r="G36" s="95"/>
      <c r="H36" s="91"/>
    </row>
    <row r="37" spans="1:8" s="224" customFormat="1" x14ac:dyDescent="0.25">
      <c r="A37" s="215">
        <v>41316</v>
      </c>
      <c r="B37" s="862" t="s">
        <v>14</v>
      </c>
      <c r="C37" s="879" t="s">
        <v>12</v>
      </c>
      <c r="D37" s="887" t="s">
        <v>15</v>
      </c>
      <c r="E37" s="250">
        <v>3</v>
      </c>
      <c r="F37" s="1473"/>
      <c r="G37" s="252"/>
      <c r="H37" s="251"/>
    </row>
    <row r="38" spans="1:8" s="224" customFormat="1" x14ac:dyDescent="0.25">
      <c r="A38" s="215">
        <v>41317</v>
      </c>
      <c r="B38" s="862" t="s">
        <v>16</v>
      </c>
      <c r="C38" s="879" t="s">
        <v>12</v>
      </c>
      <c r="D38" s="887" t="s">
        <v>15</v>
      </c>
      <c r="E38" s="250">
        <v>10</v>
      </c>
      <c r="F38" s="1473"/>
      <c r="G38" s="252"/>
      <c r="H38" s="251"/>
    </row>
    <row r="39" spans="1:8" s="224" customFormat="1" x14ac:dyDescent="0.25">
      <c r="A39" s="215">
        <v>41317</v>
      </c>
      <c r="B39" s="862" t="s">
        <v>73</v>
      </c>
      <c r="C39" s="879" t="s">
        <v>12</v>
      </c>
      <c r="D39" s="887" t="s">
        <v>15</v>
      </c>
      <c r="E39" s="250">
        <v>15</v>
      </c>
      <c r="F39" s="1473"/>
      <c r="G39" s="252"/>
      <c r="H39" s="251"/>
    </row>
    <row r="40" spans="1:8" s="224" customFormat="1" x14ac:dyDescent="0.25">
      <c r="A40" s="215">
        <v>41317</v>
      </c>
      <c r="B40" s="862" t="s">
        <v>68</v>
      </c>
      <c r="C40" s="879" t="s">
        <v>12</v>
      </c>
      <c r="D40" s="887" t="s">
        <v>15</v>
      </c>
      <c r="E40" s="250">
        <v>25</v>
      </c>
      <c r="F40" s="1473"/>
      <c r="G40" s="252"/>
      <c r="H40" s="251"/>
    </row>
    <row r="41" spans="1:8" x14ac:dyDescent="0.25">
      <c r="A41" s="215">
        <v>41318</v>
      </c>
      <c r="B41" s="349" t="s">
        <v>32</v>
      </c>
      <c r="C41" s="350" t="s">
        <v>12</v>
      </c>
      <c r="D41" s="141" t="s">
        <v>15</v>
      </c>
      <c r="E41" s="97">
        <v>4.5</v>
      </c>
      <c r="F41" s="946"/>
      <c r="G41" s="95"/>
      <c r="H41" s="91"/>
    </row>
    <row r="42" spans="1:8" x14ac:dyDescent="0.25">
      <c r="A42" s="215">
        <v>41319</v>
      </c>
      <c r="B42" s="349" t="s">
        <v>16</v>
      </c>
      <c r="C42" s="350" t="s">
        <v>12</v>
      </c>
      <c r="D42" s="141" t="s">
        <v>15</v>
      </c>
      <c r="E42" s="97">
        <v>10</v>
      </c>
      <c r="F42" s="946"/>
      <c r="G42" s="95"/>
      <c r="H42" s="91"/>
    </row>
    <row r="43" spans="1:8" x14ac:dyDescent="0.25">
      <c r="A43" s="215">
        <v>41319</v>
      </c>
      <c r="B43" s="349" t="s">
        <v>32</v>
      </c>
      <c r="C43" s="350" t="s">
        <v>12</v>
      </c>
      <c r="D43" s="141" t="s">
        <v>15</v>
      </c>
      <c r="E43" s="97">
        <v>5.5</v>
      </c>
      <c r="F43" s="946"/>
      <c r="G43" s="95"/>
      <c r="H43" s="91"/>
    </row>
    <row r="44" spans="1:8" x14ac:dyDescent="0.25">
      <c r="A44" s="215">
        <v>41320</v>
      </c>
      <c r="B44" s="349" t="s">
        <v>32</v>
      </c>
      <c r="C44" s="350" t="s">
        <v>12</v>
      </c>
      <c r="D44" s="141" t="s">
        <v>15</v>
      </c>
      <c r="E44" s="97">
        <v>4</v>
      </c>
      <c r="F44" s="946"/>
      <c r="G44" s="95"/>
      <c r="H44" s="91"/>
    </row>
    <row r="45" spans="1:8" x14ac:dyDescent="0.25">
      <c r="A45" s="215">
        <v>41320</v>
      </c>
      <c r="B45" s="349" t="s">
        <v>74</v>
      </c>
      <c r="C45" s="350" t="s">
        <v>12</v>
      </c>
      <c r="D45" s="141" t="s">
        <v>15</v>
      </c>
      <c r="E45" s="97">
        <v>3.2</v>
      </c>
      <c r="F45" s="946"/>
      <c r="G45" s="95"/>
      <c r="H45" s="91"/>
    </row>
    <row r="46" spans="1:8" x14ac:dyDescent="0.25">
      <c r="A46" s="215">
        <v>41320</v>
      </c>
      <c r="B46" s="349" t="s">
        <v>75</v>
      </c>
      <c r="C46" s="350" t="s">
        <v>12</v>
      </c>
      <c r="D46" s="141" t="s">
        <v>15</v>
      </c>
      <c r="E46" s="97">
        <v>38</v>
      </c>
      <c r="F46" s="946"/>
      <c r="G46" s="95"/>
      <c r="H46" s="91"/>
    </row>
    <row r="47" spans="1:8" s="224" customFormat="1" x14ac:dyDescent="0.25">
      <c r="A47" s="215">
        <v>41321</v>
      </c>
      <c r="B47" s="862"/>
      <c r="C47" s="879"/>
      <c r="D47" s="887"/>
      <c r="E47" s="250"/>
      <c r="F47" s="1473"/>
      <c r="G47" s="252"/>
      <c r="H47" s="251"/>
    </row>
    <row r="48" spans="1:8" s="224" customFormat="1" x14ac:dyDescent="0.25">
      <c r="A48" s="215">
        <v>41322</v>
      </c>
      <c r="B48" s="862" t="s">
        <v>14</v>
      </c>
      <c r="C48" s="879" t="s">
        <v>12</v>
      </c>
      <c r="D48" s="887" t="s">
        <v>15</v>
      </c>
      <c r="E48" s="250">
        <v>2</v>
      </c>
      <c r="F48" s="1473"/>
      <c r="G48" s="252"/>
      <c r="H48" s="251"/>
    </row>
    <row r="49" spans="1:8" x14ac:dyDescent="0.25">
      <c r="A49" s="215">
        <v>41322</v>
      </c>
      <c r="B49" s="349" t="s">
        <v>16</v>
      </c>
      <c r="C49" s="350" t="s">
        <v>12</v>
      </c>
      <c r="D49" s="141" t="s">
        <v>15</v>
      </c>
      <c r="E49" s="97">
        <v>10</v>
      </c>
      <c r="F49" s="946"/>
      <c r="G49" s="95"/>
      <c r="H49" s="91"/>
    </row>
    <row r="50" spans="1:8" x14ac:dyDescent="0.25">
      <c r="A50" s="215">
        <v>41323</v>
      </c>
      <c r="B50" s="349" t="s">
        <v>32</v>
      </c>
      <c r="C50" s="350" t="s">
        <v>12</v>
      </c>
      <c r="D50" s="141" t="s">
        <v>15</v>
      </c>
      <c r="E50" s="97">
        <v>5.5</v>
      </c>
      <c r="F50" s="946"/>
      <c r="G50" s="95"/>
      <c r="H50" s="91"/>
    </row>
    <row r="51" spans="1:8" x14ac:dyDescent="0.25">
      <c r="A51" s="215">
        <v>41323</v>
      </c>
      <c r="B51" s="349" t="s">
        <v>38</v>
      </c>
      <c r="C51" s="350" t="s">
        <v>12</v>
      </c>
      <c r="D51" s="141" t="s">
        <v>15</v>
      </c>
      <c r="E51" s="97">
        <v>13</v>
      </c>
      <c r="F51" s="946"/>
      <c r="G51" s="95"/>
      <c r="H51" s="91"/>
    </row>
    <row r="52" spans="1:8" x14ac:dyDescent="0.25">
      <c r="A52" s="215">
        <v>41323</v>
      </c>
      <c r="B52" s="349" t="s">
        <v>16</v>
      </c>
      <c r="C52" s="350" t="s">
        <v>12</v>
      </c>
      <c r="D52" s="141" t="s">
        <v>15</v>
      </c>
      <c r="E52" s="97">
        <v>10</v>
      </c>
      <c r="F52" s="946"/>
      <c r="G52" s="95"/>
      <c r="H52" s="91"/>
    </row>
    <row r="53" spans="1:8" x14ac:dyDescent="0.25">
      <c r="A53" s="215">
        <v>41324</v>
      </c>
      <c r="B53" s="349" t="s">
        <v>32</v>
      </c>
      <c r="C53" s="350" t="s">
        <v>12</v>
      </c>
      <c r="D53" s="141" t="s">
        <v>15</v>
      </c>
      <c r="E53" s="97">
        <v>4</v>
      </c>
      <c r="F53" s="946"/>
      <c r="G53" s="95"/>
      <c r="H53" s="91"/>
    </row>
    <row r="54" spans="1:8" x14ac:dyDescent="0.25">
      <c r="A54" s="215">
        <v>41324</v>
      </c>
      <c r="B54" s="349" t="s">
        <v>73</v>
      </c>
      <c r="C54" s="350" t="s">
        <v>12</v>
      </c>
      <c r="D54" s="141" t="s">
        <v>15</v>
      </c>
      <c r="E54" s="97">
        <v>16</v>
      </c>
      <c r="F54" s="946"/>
      <c r="G54" s="95"/>
      <c r="H54" s="91"/>
    </row>
    <row r="55" spans="1:8" x14ac:dyDescent="0.25">
      <c r="A55" s="215">
        <v>41324</v>
      </c>
      <c r="B55" s="349" t="s">
        <v>68</v>
      </c>
      <c r="C55" s="350" t="s">
        <v>12</v>
      </c>
      <c r="D55" s="141" t="s">
        <v>15</v>
      </c>
      <c r="E55" s="97"/>
      <c r="F55" s="946">
        <v>45</v>
      </c>
      <c r="G55" s="95"/>
      <c r="H55" s="91"/>
    </row>
    <row r="56" spans="1:8" x14ac:dyDescent="0.25">
      <c r="A56" s="215">
        <v>41324</v>
      </c>
      <c r="B56" s="349" t="s">
        <v>76</v>
      </c>
      <c r="C56" s="350" t="s">
        <v>19</v>
      </c>
      <c r="D56" s="141" t="s">
        <v>15</v>
      </c>
      <c r="E56" s="97">
        <v>5.5</v>
      </c>
      <c r="F56" s="946"/>
      <c r="G56" s="95"/>
      <c r="H56" s="91"/>
    </row>
    <row r="57" spans="1:8" x14ac:dyDescent="0.25">
      <c r="A57" s="215">
        <v>41324</v>
      </c>
      <c r="B57" s="349" t="s">
        <v>77</v>
      </c>
      <c r="C57" s="350" t="s">
        <v>19</v>
      </c>
      <c r="D57" s="141" t="s">
        <v>15</v>
      </c>
      <c r="E57" s="97">
        <v>11.5</v>
      </c>
      <c r="F57" s="946"/>
      <c r="G57" s="95"/>
      <c r="H57" s="91"/>
    </row>
    <row r="58" spans="1:8" x14ac:dyDescent="0.25">
      <c r="A58" s="215">
        <v>41324</v>
      </c>
      <c r="B58" s="349" t="s">
        <v>16</v>
      </c>
      <c r="C58" s="350" t="s">
        <v>12</v>
      </c>
      <c r="D58" s="141" t="s">
        <v>15</v>
      </c>
      <c r="E58" s="97">
        <v>10</v>
      </c>
      <c r="F58" s="946"/>
      <c r="G58" s="95"/>
      <c r="H58" s="91"/>
    </row>
    <row r="59" spans="1:8" x14ac:dyDescent="0.25">
      <c r="A59" s="215">
        <v>41325</v>
      </c>
      <c r="B59" s="349" t="s">
        <v>78</v>
      </c>
      <c r="C59" s="350" t="s">
        <v>12</v>
      </c>
      <c r="D59" s="141" t="s">
        <v>25</v>
      </c>
      <c r="E59" s="97"/>
      <c r="F59" s="946">
        <v>660</v>
      </c>
      <c r="G59" s="95"/>
      <c r="H59" s="91"/>
    </row>
    <row r="60" spans="1:8" x14ac:dyDescent="0.25">
      <c r="A60" s="215">
        <v>41325</v>
      </c>
      <c r="B60" s="1477" t="s">
        <v>79</v>
      </c>
      <c r="C60" s="105" t="s">
        <v>12</v>
      </c>
      <c r="D60" s="105" t="s">
        <v>13</v>
      </c>
      <c r="E60" s="96">
        <v>364.02</v>
      </c>
      <c r="F60" s="946"/>
      <c r="G60" s="95"/>
      <c r="H60" s="91"/>
    </row>
    <row r="61" spans="1:8" x14ac:dyDescent="0.25">
      <c r="A61" s="215">
        <v>41325</v>
      </c>
      <c r="B61" s="1477" t="s">
        <v>32</v>
      </c>
      <c r="C61" s="105" t="s">
        <v>12</v>
      </c>
      <c r="D61" s="105" t="s">
        <v>15</v>
      </c>
      <c r="E61" s="96">
        <v>5.5</v>
      </c>
      <c r="F61" s="946"/>
      <c r="G61" s="95"/>
      <c r="H61" s="91"/>
    </row>
    <row r="62" spans="1:8" x14ac:dyDescent="0.25">
      <c r="A62" s="215">
        <v>41326</v>
      </c>
      <c r="B62" s="349" t="s">
        <v>32</v>
      </c>
      <c r="C62" s="350" t="s">
        <v>12</v>
      </c>
      <c r="D62" s="141" t="s">
        <v>15</v>
      </c>
      <c r="E62" s="97">
        <v>5.5</v>
      </c>
      <c r="F62" s="946"/>
      <c r="G62" s="95"/>
      <c r="H62" s="91"/>
    </row>
    <row r="63" spans="1:8" x14ac:dyDescent="0.25">
      <c r="A63" s="215">
        <v>41326</v>
      </c>
      <c r="B63" s="349" t="s">
        <v>80</v>
      </c>
      <c r="C63" s="350" t="s">
        <v>12</v>
      </c>
      <c r="D63" s="141" t="s">
        <v>15</v>
      </c>
      <c r="E63" s="97">
        <v>15</v>
      </c>
      <c r="F63" s="946"/>
      <c r="G63" s="95"/>
      <c r="H63" s="91"/>
    </row>
    <row r="64" spans="1:8" x14ac:dyDescent="0.25">
      <c r="A64" s="215">
        <v>41326</v>
      </c>
      <c r="B64" s="349" t="s">
        <v>16</v>
      </c>
      <c r="C64" s="350" t="s">
        <v>12</v>
      </c>
      <c r="D64" s="141" t="s">
        <v>15</v>
      </c>
      <c r="E64" s="97">
        <v>16</v>
      </c>
      <c r="F64" s="946"/>
      <c r="G64" s="95"/>
      <c r="H64" s="91"/>
    </row>
    <row r="65" spans="1:8" x14ac:dyDescent="0.25">
      <c r="A65" s="215">
        <v>41327</v>
      </c>
      <c r="B65" s="349" t="s">
        <v>32</v>
      </c>
      <c r="C65" s="350" t="s">
        <v>12</v>
      </c>
      <c r="D65" s="141" t="s">
        <v>15</v>
      </c>
      <c r="E65" s="97">
        <v>5.5</v>
      </c>
      <c r="F65" s="946"/>
      <c r="G65" s="95"/>
      <c r="H65" s="91"/>
    </row>
    <row r="66" spans="1:8" s="224" customFormat="1" x14ac:dyDescent="0.25">
      <c r="A66" s="215">
        <v>41328</v>
      </c>
      <c r="B66" s="862" t="s">
        <v>16</v>
      </c>
      <c r="C66" s="879" t="s">
        <v>12</v>
      </c>
      <c r="D66" s="887" t="s">
        <v>15</v>
      </c>
      <c r="E66" s="250">
        <v>10</v>
      </c>
      <c r="F66" s="1473"/>
      <c r="G66" s="252"/>
      <c r="H66" s="251"/>
    </row>
    <row r="67" spans="1:8" s="224" customFormat="1" x14ac:dyDescent="0.25">
      <c r="A67" s="215">
        <v>41329</v>
      </c>
      <c r="B67" s="862" t="s">
        <v>81</v>
      </c>
      <c r="C67" s="105" t="s">
        <v>12</v>
      </c>
      <c r="D67" s="887" t="s">
        <v>15</v>
      </c>
      <c r="E67" s="250">
        <v>3</v>
      </c>
      <c r="F67" s="1473"/>
      <c r="G67" s="252"/>
      <c r="H67" s="251"/>
    </row>
    <row r="68" spans="1:8" s="224" customFormat="1" x14ac:dyDescent="0.25">
      <c r="A68" s="215">
        <v>41329</v>
      </c>
      <c r="B68" s="862" t="s">
        <v>82</v>
      </c>
      <c r="C68" s="105" t="s">
        <v>12</v>
      </c>
      <c r="D68" s="887" t="s">
        <v>15</v>
      </c>
      <c r="E68" s="250">
        <v>12</v>
      </c>
      <c r="F68" s="1473"/>
      <c r="G68" s="252"/>
      <c r="H68" s="251"/>
    </row>
    <row r="69" spans="1:8" s="224" customFormat="1" x14ac:dyDescent="0.25">
      <c r="A69" s="215">
        <v>41330</v>
      </c>
      <c r="B69" s="862" t="s">
        <v>32</v>
      </c>
      <c r="C69" s="105" t="s">
        <v>12</v>
      </c>
      <c r="D69" s="887" t="s">
        <v>15</v>
      </c>
      <c r="E69" s="250">
        <v>9</v>
      </c>
      <c r="F69" s="1473"/>
      <c r="G69" s="252"/>
      <c r="H69" s="251"/>
    </row>
    <row r="70" spans="1:8" s="224" customFormat="1" x14ac:dyDescent="0.25">
      <c r="A70" s="215">
        <v>41330</v>
      </c>
      <c r="B70" s="862" t="s">
        <v>16</v>
      </c>
      <c r="C70" s="105" t="s">
        <v>12</v>
      </c>
      <c r="D70" s="887" t="s">
        <v>13</v>
      </c>
      <c r="E70" s="250">
        <v>10</v>
      </c>
      <c r="F70" s="1473"/>
      <c r="G70" s="252"/>
      <c r="H70" s="251"/>
    </row>
    <row r="71" spans="1:8" x14ac:dyDescent="0.25">
      <c r="A71" s="215">
        <v>41331</v>
      </c>
      <c r="B71" s="364" t="s">
        <v>32</v>
      </c>
      <c r="C71" s="350" t="s">
        <v>12</v>
      </c>
      <c r="D71" s="141" t="s">
        <v>15</v>
      </c>
      <c r="E71" s="97">
        <v>5.5</v>
      </c>
      <c r="F71" s="946"/>
      <c r="G71" s="95"/>
      <c r="H71" s="91"/>
    </row>
    <row r="72" spans="1:8" x14ac:dyDescent="0.25">
      <c r="A72" s="215">
        <v>41332</v>
      </c>
      <c r="B72" s="349" t="s">
        <v>32</v>
      </c>
      <c r="C72" s="352" t="s">
        <v>12</v>
      </c>
      <c r="D72" s="142" t="s">
        <v>15</v>
      </c>
      <c r="E72" s="97">
        <v>5.5</v>
      </c>
      <c r="F72" s="946"/>
      <c r="G72" s="95"/>
      <c r="H72" s="91"/>
    </row>
    <row r="73" spans="1:8" x14ac:dyDescent="0.25">
      <c r="A73" s="215">
        <v>41332</v>
      </c>
      <c r="B73" s="349" t="s">
        <v>16</v>
      </c>
      <c r="C73" s="352" t="s">
        <v>12</v>
      </c>
      <c r="D73" s="142" t="s">
        <v>15</v>
      </c>
      <c r="E73" s="97">
        <v>10</v>
      </c>
      <c r="F73" s="946"/>
      <c r="G73" s="95"/>
      <c r="H73" s="91"/>
    </row>
    <row r="74" spans="1:8" x14ac:dyDescent="0.25">
      <c r="A74" s="215">
        <v>41333</v>
      </c>
      <c r="B74" s="349" t="s">
        <v>32</v>
      </c>
      <c r="C74" s="352" t="s">
        <v>12</v>
      </c>
      <c r="D74" s="142" t="s">
        <v>15</v>
      </c>
      <c r="E74" s="97">
        <v>4.75</v>
      </c>
      <c r="F74" s="946"/>
      <c r="G74" s="95"/>
      <c r="H74" s="91"/>
    </row>
    <row r="75" spans="1:8" x14ac:dyDescent="0.25">
      <c r="A75" s="215">
        <v>41333</v>
      </c>
      <c r="B75" s="349" t="s">
        <v>75</v>
      </c>
      <c r="C75" s="352" t="s">
        <v>12</v>
      </c>
      <c r="D75" s="142" t="s">
        <v>15</v>
      </c>
      <c r="E75" s="97">
        <v>12.5</v>
      </c>
      <c r="F75" s="946"/>
      <c r="G75" s="95"/>
      <c r="H75" s="91"/>
    </row>
    <row r="76" spans="1:8" ht="15.75" thickBot="1" x14ac:dyDescent="0.3">
      <c r="A76" s="215">
        <v>41333</v>
      </c>
      <c r="B76" s="349" t="s">
        <v>83</v>
      </c>
      <c r="C76" s="352" t="s">
        <v>12</v>
      </c>
      <c r="D76" s="142" t="s">
        <v>15</v>
      </c>
      <c r="E76" s="97">
        <v>32</v>
      </c>
      <c r="F76" s="946"/>
      <c r="G76" s="95"/>
      <c r="H76" s="91"/>
    </row>
    <row r="77" spans="1:8" ht="25.5" customHeight="1" thickBot="1" x14ac:dyDescent="0.3">
      <c r="A77" s="3060"/>
      <c r="B77" s="3061"/>
      <c r="C77" s="3062"/>
      <c r="D77" s="3062"/>
      <c r="E77" s="100">
        <f>SUM(E5:E76)</f>
        <v>1563.22</v>
      </c>
      <c r="F77" s="1065" t="e">
        <f>SUM(F5:F76)</f>
        <v>#REF!</v>
      </c>
      <c r="G77" s="101">
        <f>SUM(G5:G76)</f>
        <v>0</v>
      </c>
      <c r="H77" s="93">
        <f>SUM(H5:H76)</f>
        <v>0</v>
      </c>
    </row>
    <row r="78" spans="1:8" ht="25.5" customHeight="1" thickBot="1" x14ac:dyDescent="0.3">
      <c r="A78" s="3077" t="s">
        <v>49</v>
      </c>
      <c r="B78" s="3078"/>
      <c r="C78" s="3078"/>
      <c r="D78" s="3078"/>
      <c r="E78" s="102"/>
      <c r="F78" s="1478" t="e">
        <f>F77-E77</f>
        <v>#REF!</v>
      </c>
      <c r="G78" s="104"/>
      <c r="H78" s="103">
        <f>H77-G77</f>
        <v>0</v>
      </c>
    </row>
    <row r="80" spans="1:8" x14ac:dyDescent="0.25">
      <c r="B80" s="79" t="s">
        <v>32</v>
      </c>
      <c r="C80" s="176">
        <v>88.5</v>
      </c>
    </row>
    <row r="81" spans="2:3" x14ac:dyDescent="0.25">
      <c r="B81" s="79" t="s">
        <v>16</v>
      </c>
      <c r="C81" s="176">
        <v>166</v>
      </c>
    </row>
    <row r="82" spans="2:3" x14ac:dyDescent="0.25">
      <c r="B82" s="79" t="s">
        <v>50</v>
      </c>
      <c r="C82" s="176">
        <v>112.53</v>
      </c>
    </row>
    <row r="83" spans="2:3" x14ac:dyDescent="0.25">
      <c r="B83" s="79" t="s">
        <v>14</v>
      </c>
      <c r="C83" s="178">
        <v>5</v>
      </c>
    </row>
    <row r="84" spans="2:3" x14ac:dyDescent="0.25">
      <c r="B84" s="79" t="s">
        <v>51</v>
      </c>
      <c r="C84" s="178">
        <v>91.5</v>
      </c>
    </row>
    <row r="85" spans="2:3" x14ac:dyDescent="0.25">
      <c r="B85" s="79" t="s">
        <v>52</v>
      </c>
      <c r="C85" s="178">
        <v>50</v>
      </c>
    </row>
    <row r="86" spans="2:3" x14ac:dyDescent="0.25">
      <c r="B86" s="867" t="s">
        <v>53</v>
      </c>
      <c r="C86" s="178">
        <v>236.5</v>
      </c>
    </row>
    <row r="87" spans="2:3" x14ac:dyDescent="0.25">
      <c r="B87" s="79" t="s">
        <v>54</v>
      </c>
      <c r="C87" s="178">
        <v>364.02</v>
      </c>
    </row>
    <row r="88" spans="2:3" x14ac:dyDescent="0.25">
      <c r="B88" s="79" t="s">
        <v>55</v>
      </c>
      <c r="C88" s="178">
        <v>140</v>
      </c>
    </row>
    <row r="89" spans="2:3" x14ac:dyDescent="0.25">
      <c r="B89" s="79" t="s">
        <v>56</v>
      </c>
      <c r="C89" s="178">
        <v>138.96</v>
      </c>
    </row>
    <row r="90" spans="2:3" x14ac:dyDescent="0.25">
      <c r="B90" s="79" t="s">
        <v>57</v>
      </c>
      <c r="C90" s="178"/>
    </row>
  </sheetData>
  <autoFilter ref="A2:H78" xr:uid="{00000000-0009-0000-0000-000001000000}">
    <filterColumn colId="4" showButton="0"/>
    <filterColumn colId="6" showButton="0"/>
  </autoFilter>
  <mergeCells count="10">
    <mergeCell ref="A78:D78"/>
    <mergeCell ref="A1:D1"/>
    <mergeCell ref="A77:D77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0"/>
  <dimension ref="A1:H84"/>
  <sheetViews>
    <sheetView zoomScale="85" zoomScaleNormal="85" workbookViewId="0">
      <pane ySplit="4" topLeftCell="A5" activePane="bottomLeft" state="frozen"/>
      <selection activeCell="C44" sqref="C44"/>
      <selection pane="bottomLeft" activeCell="E25" sqref="E25:E5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84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41334</v>
      </c>
      <c r="B5" s="369" t="s">
        <v>10</v>
      </c>
      <c r="C5" s="370"/>
      <c r="D5" s="207"/>
      <c r="E5" s="179"/>
      <c r="F5" s="1479" t="e">
        <f>'Fevereiro 13'!F78</f>
        <v>#REF!</v>
      </c>
      <c r="G5" s="179"/>
      <c r="H5" s="98"/>
    </row>
    <row r="6" spans="1:8" s="224" customFormat="1" x14ac:dyDescent="0.25">
      <c r="A6" s="215">
        <v>41334</v>
      </c>
      <c r="B6" s="348" t="s">
        <v>11</v>
      </c>
      <c r="C6" s="351" t="s">
        <v>12</v>
      </c>
      <c r="D6" s="248" t="s">
        <v>13</v>
      </c>
      <c r="E6" s="250">
        <v>30</v>
      </c>
      <c r="F6" s="1480"/>
      <c r="G6" s="250"/>
      <c r="H6" s="251"/>
    </row>
    <row r="7" spans="1:8" s="224" customFormat="1" x14ac:dyDescent="0.25">
      <c r="A7" s="215">
        <v>41334</v>
      </c>
      <c r="B7" s="873" t="s">
        <v>16</v>
      </c>
      <c r="C7" s="879" t="s">
        <v>12</v>
      </c>
      <c r="D7" s="887" t="s">
        <v>15</v>
      </c>
      <c r="E7" s="250">
        <v>10</v>
      </c>
      <c r="F7" s="1480"/>
      <c r="G7" s="250"/>
      <c r="H7" s="251"/>
    </row>
    <row r="8" spans="1:8" s="224" customFormat="1" x14ac:dyDescent="0.25">
      <c r="A8" s="215">
        <v>41334</v>
      </c>
      <c r="B8" s="873" t="s">
        <v>85</v>
      </c>
      <c r="C8" s="879" t="s">
        <v>12</v>
      </c>
      <c r="D8" s="887" t="s">
        <v>15</v>
      </c>
      <c r="E8" s="250"/>
      <c r="F8" s="1480">
        <v>140</v>
      </c>
      <c r="G8" s="250"/>
      <c r="H8" s="251"/>
    </row>
    <row r="9" spans="1:8" s="224" customFormat="1" x14ac:dyDescent="0.25">
      <c r="A9" s="215">
        <v>41334</v>
      </c>
      <c r="B9" s="873" t="s">
        <v>32</v>
      </c>
      <c r="C9" s="879" t="s">
        <v>12</v>
      </c>
      <c r="D9" s="887" t="s">
        <v>15</v>
      </c>
      <c r="E9" s="250">
        <v>5.5</v>
      </c>
      <c r="F9" s="1480"/>
      <c r="G9" s="250"/>
      <c r="H9" s="251"/>
    </row>
    <row r="10" spans="1:8" s="224" customFormat="1" x14ac:dyDescent="0.25">
      <c r="A10" s="215">
        <v>41334</v>
      </c>
      <c r="B10" s="873" t="s">
        <v>86</v>
      </c>
      <c r="C10" s="879" t="s">
        <v>12</v>
      </c>
      <c r="D10" s="887" t="s">
        <v>15</v>
      </c>
      <c r="E10" s="250">
        <v>5</v>
      </c>
      <c r="F10" s="1480"/>
      <c r="G10" s="250"/>
      <c r="H10" s="251"/>
    </row>
    <row r="11" spans="1:8" s="224" customFormat="1" x14ac:dyDescent="0.25">
      <c r="A11" s="215">
        <v>41335</v>
      </c>
      <c r="B11" s="1474"/>
      <c r="C11" s="879"/>
      <c r="D11" s="1475"/>
      <c r="E11" s="250"/>
      <c r="F11" s="1480"/>
      <c r="G11" s="250"/>
      <c r="H11" s="251"/>
    </row>
    <row r="12" spans="1:8" s="224" customFormat="1" x14ac:dyDescent="0.25">
      <c r="A12" s="215">
        <v>41336</v>
      </c>
      <c r="B12" s="873" t="s">
        <v>16</v>
      </c>
      <c r="C12" s="879" t="s">
        <v>12</v>
      </c>
      <c r="D12" s="887" t="s">
        <v>15</v>
      </c>
      <c r="E12" s="250">
        <v>30</v>
      </c>
      <c r="F12" s="1480"/>
      <c r="G12" s="250"/>
      <c r="H12" s="251"/>
    </row>
    <row r="13" spans="1:8" s="224" customFormat="1" x14ac:dyDescent="0.25">
      <c r="A13" s="215">
        <v>41337</v>
      </c>
      <c r="B13" s="1474" t="s">
        <v>32</v>
      </c>
      <c r="C13" s="879" t="s">
        <v>12</v>
      </c>
      <c r="D13" s="1475" t="s">
        <v>15</v>
      </c>
      <c r="E13" s="250">
        <v>5.5</v>
      </c>
      <c r="F13" s="1480"/>
      <c r="G13" s="250"/>
      <c r="H13" s="251"/>
    </row>
    <row r="14" spans="1:8" s="224" customFormat="1" x14ac:dyDescent="0.25">
      <c r="A14" s="215">
        <v>41338</v>
      </c>
      <c r="B14" s="873" t="s">
        <v>16</v>
      </c>
      <c r="C14" s="879" t="s">
        <v>12</v>
      </c>
      <c r="D14" s="887" t="s">
        <v>15</v>
      </c>
      <c r="E14" s="250">
        <v>10</v>
      </c>
      <c r="F14" s="1480"/>
      <c r="G14" s="250"/>
      <c r="H14" s="251"/>
    </row>
    <row r="15" spans="1:8" s="224" customFormat="1" x14ac:dyDescent="0.25">
      <c r="A15" s="215">
        <v>41338</v>
      </c>
      <c r="B15" s="873" t="s">
        <v>32</v>
      </c>
      <c r="C15" s="879" t="s">
        <v>12</v>
      </c>
      <c r="D15" s="887" t="s">
        <v>15</v>
      </c>
      <c r="E15" s="250">
        <v>5.5</v>
      </c>
      <c r="F15" s="1480"/>
      <c r="G15" s="250"/>
      <c r="H15" s="251"/>
    </row>
    <row r="16" spans="1:8" s="224" customFormat="1" x14ac:dyDescent="0.25">
      <c r="A16" s="215">
        <v>41339</v>
      </c>
      <c r="B16" s="349" t="s">
        <v>87</v>
      </c>
      <c r="C16" s="879" t="s">
        <v>12</v>
      </c>
      <c r="D16" s="983" t="s">
        <v>25</v>
      </c>
      <c r="E16" s="250"/>
      <c r="F16" s="1480">
        <v>833.81</v>
      </c>
      <c r="G16" s="250"/>
      <c r="H16" s="251"/>
    </row>
    <row r="17" spans="1:8" s="224" customFormat="1" x14ac:dyDescent="0.25">
      <c r="A17" s="215">
        <v>41339</v>
      </c>
      <c r="B17" s="349" t="s">
        <v>88</v>
      </c>
      <c r="C17" s="879" t="s">
        <v>12</v>
      </c>
      <c r="D17" s="887" t="s">
        <v>15</v>
      </c>
      <c r="E17" s="250">
        <v>140</v>
      </c>
      <c r="F17" s="1480"/>
      <c r="G17" s="250"/>
      <c r="H17" s="251"/>
    </row>
    <row r="18" spans="1:8" s="316" customFormat="1" x14ac:dyDescent="0.25">
      <c r="A18" s="215">
        <v>41339</v>
      </c>
      <c r="B18" s="862" t="s">
        <v>89</v>
      </c>
      <c r="C18" s="879" t="s">
        <v>12</v>
      </c>
      <c r="D18" s="957" t="s">
        <v>15</v>
      </c>
      <c r="E18" s="250">
        <v>203.5</v>
      </c>
      <c r="F18" s="1480"/>
      <c r="G18" s="1481"/>
      <c r="H18" s="1473"/>
    </row>
    <row r="19" spans="1:8" s="224" customFormat="1" x14ac:dyDescent="0.25">
      <c r="A19" s="215">
        <v>41339</v>
      </c>
      <c r="B19" s="882" t="s">
        <v>90</v>
      </c>
      <c r="C19" s="879" t="s">
        <v>12</v>
      </c>
      <c r="D19" s="887" t="s">
        <v>13</v>
      </c>
      <c r="E19" s="250">
        <v>32.86</v>
      </c>
      <c r="F19" s="1480"/>
      <c r="G19" s="250"/>
      <c r="H19" s="251"/>
    </row>
    <row r="20" spans="1:8" s="224" customFormat="1" x14ac:dyDescent="0.25">
      <c r="A20" s="215">
        <v>41339</v>
      </c>
      <c r="B20" s="882" t="s">
        <v>91</v>
      </c>
      <c r="C20" s="879" t="s">
        <v>12</v>
      </c>
      <c r="D20" s="887" t="s">
        <v>13</v>
      </c>
      <c r="E20" s="250">
        <v>41.2</v>
      </c>
      <c r="F20" s="1480"/>
      <c r="G20" s="250"/>
      <c r="H20" s="251"/>
    </row>
    <row r="21" spans="1:8" s="316" customFormat="1" x14ac:dyDescent="0.25">
      <c r="A21" s="215">
        <v>41339</v>
      </c>
      <c r="B21" s="862" t="s">
        <v>31</v>
      </c>
      <c r="C21" s="879" t="s">
        <v>12</v>
      </c>
      <c r="D21" s="957" t="s">
        <v>15</v>
      </c>
      <c r="E21" s="250">
        <v>50</v>
      </c>
      <c r="F21" s="1480"/>
      <c r="G21" s="1481"/>
      <c r="H21" s="1473"/>
    </row>
    <row r="22" spans="1:8" s="316" customFormat="1" x14ac:dyDescent="0.25">
      <c r="A22" s="215">
        <v>41339</v>
      </c>
      <c r="B22" s="862" t="s">
        <v>32</v>
      </c>
      <c r="C22" s="879" t="s">
        <v>12</v>
      </c>
      <c r="D22" s="957" t="s">
        <v>15</v>
      </c>
      <c r="E22" s="250">
        <v>2.09</v>
      </c>
      <c r="F22" s="1480"/>
      <c r="G22" s="1481"/>
      <c r="H22" s="1473"/>
    </row>
    <row r="23" spans="1:8" x14ac:dyDescent="0.25">
      <c r="A23" s="215">
        <v>41340</v>
      </c>
      <c r="B23" s="349" t="s">
        <v>16</v>
      </c>
      <c r="C23" s="350" t="s">
        <v>12</v>
      </c>
      <c r="D23" s="141" t="s">
        <v>15</v>
      </c>
      <c r="E23" s="97">
        <v>10</v>
      </c>
      <c r="F23" s="1064"/>
      <c r="G23" s="97"/>
      <c r="H23" s="91"/>
    </row>
    <row r="24" spans="1:8" x14ac:dyDescent="0.25">
      <c r="A24" s="215">
        <v>41340</v>
      </c>
      <c r="B24" s="349" t="s">
        <v>32</v>
      </c>
      <c r="C24" s="350" t="s">
        <v>12</v>
      </c>
      <c r="D24" s="141" t="s">
        <v>15</v>
      </c>
      <c r="E24" s="97">
        <v>5.5</v>
      </c>
      <c r="F24" s="1064"/>
      <c r="G24" s="97"/>
      <c r="H24" s="91"/>
    </row>
    <row r="25" spans="1:8" x14ac:dyDescent="0.25">
      <c r="A25" s="215">
        <v>41340</v>
      </c>
      <c r="B25" s="349" t="s">
        <v>80</v>
      </c>
      <c r="C25" s="350" t="s">
        <v>12</v>
      </c>
      <c r="D25" s="141" t="s">
        <v>15</v>
      </c>
      <c r="E25" s="97">
        <v>10</v>
      </c>
      <c r="F25" s="1064"/>
      <c r="G25" s="97"/>
      <c r="H25" s="91"/>
    </row>
    <row r="26" spans="1:8" x14ac:dyDescent="0.25">
      <c r="A26" s="215">
        <v>41341</v>
      </c>
      <c r="B26" s="349" t="s">
        <v>32</v>
      </c>
      <c r="C26" s="350" t="s">
        <v>92</v>
      </c>
      <c r="D26" s="141" t="s">
        <v>15</v>
      </c>
      <c r="E26" s="97">
        <v>6</v>
      </c>
      <c r="F26" s="1064"/>
      <c r="G26" s="97"/>
      <c r="H26" s="91"/>
    </row>
    <row r="27" spans="1:8" x14ac:dyDescent="0.25">
      <c r="A27" s="215">
        <v>41342</v>
      </c>
      <c r="B27" s="349"/>
      <c r="C27" s="350"/>
      <c r="D27" s="141"/>
      <c r="E27" s="97"/>
      <c r="F27" s="1064"/>
      <c r="G27" s="97"/>
      <c r="H27" s="91"/>
    </row>
    <row r="28" spans="1:8" s="224" customFormat="1" x14ac:dyDescent="0.25">
      <c r="A28" s="215">
        <v>41343</v>
      </c>
      <c r="B28" s="862"/>
      <c r="C28" s="879"/>
      <c r="D28" s="887"/>
      <c r="E28" s="250"/>
      <c r="F28" s="1480"/>
      <c r="G28" s="250"/>
      <c r="H28" s="251"/>
    </row>
    <row r="29" spans="1:8" s="224" customFormat="1" x14ac:dyDescent="0.25">
      <c r="A29" s="215">
        <v>41344</v>
      </c>
      <c r="B29" s="862" t="s">
        <v>16</v>
      </c>
      <c r="C29" s="879" t="s">
        <v>12</v>
      </c>
      <c r="D29" s="887" t="s">
        <v>15</v>
      </c>
      <c r="E29" s="250">
        <v>10</v>
      </c>
      <c r="F29" s="1064"/>
      <c r="G29" s="250"/>
      <c r="H29" s="251"/>
    </row>
    <row r="30" spans="1:8" s="224" customFormat="1" x14ac:dyDescent="0.25">
      <c r="A30" s="215">
        <v>41344</v>
      </c>
      <c r="B30" s="862" t="s">
        <v>93</v>
      </c>
      <c r="C30" s="879" t="s">
        <v>12</v>
      </c>
      <c r="D30" s="887" t="s">
        <v>15</v>
      </c>
      <c r="E30" s="250">
        <v>18.5</v>
      </c>
      <c r="F30" s="1064"/>
      <c r="G30" s="250"/>
      <c r="H30" s="251"/>
    </row>
    <row r="31" spans="1:8" x14ac:dyDescent="0.25">
      <c r="A31" s="215">
        <v>41345</v>
      </c>
      <c r="B31" s="349" t="s">
        <v>14</v>
      </c>
      <c r="C31" s="350" t="s">
        <v>12</v>
      </c>
      <c r="D31" s="141" t="s">
        <v>15</v>
      </c>
      <c r="E31" s="97">
        <v>2.6</v>
      </c>
      <c r="F31" s="1064"/>
      <c r="G31" s="97"/>
      <c r="H31" s="91"/>
    </row>
    <row r="32" spans="1:8" x14ac:dyDescent="0.25">
      <c r="A32" s="215">
        <v>41345</v>
      </c>
      <c r="B32" s="349" t="s">
        <v>32</v>
      </c>
      <c r="C32" s="350" t="s">
        <v>12</v>
      </c>
      <c r="D32" s="141" t="s">
        <v>15</v>
      </c>
      <c r="E32" s="97">
        <v>2</v>
      </c>
      <c r="F32" s="1064"/>
      <c r="G32" s="97"/>
      <c r="H32" s="91"/>
    </row>
    <row r="33" spans="1:8" x14ac:dyDescent="0.25">
      <c r="A33" s="215">
        <v>41345</v>
      </c>
      <c r="B33" s="349" t="s">
        <v>16</v>
      </c>
      <c r="C33" s="350" t="s">
        <v>12</v>
      </c>
      <c r="D33" s="141" t="s">
        <v>15</v>
      </c>
      <c r="E33" s="97">
        <v>10</v>
      </c>
      <c r="F33" s="1064"/>
      <c r="G33" s="97"/>
      <c r="H33" s="91"/>
    </row>
    <row r="34" spans="1:8" x14ac:dyDescent="0.25">
      <c r="A34" s="215">
        <v>41346</v>
      </c>
      <c r="B34" s="349" t="s">
        <v>32</v>
      </c>
      <c r="C34" s="350" t="s">
        <v>12</v>
      </c>
      <c r="D34" s="141" t="s">
        <v>15</v>
      </c>
      <c r="E34" s="97">
        <v>5.5</v>
      </c>
      <c r="F34" s="364"/>
      <c r="G34" s="97"/>
      <c r="H34" s="91"/>
    </row>
    <row r="35" spans="1:8" s="224" customFormat="1" x14ac:dyDescent="0.25">
      <c r="A35" s="215">
        <v>41347</v>
      </c>
      <c r="B35" s="349" t="s">
        <v>32</v>
      </c>
      <c r="C35" s="350" t="s">
        <v>12</v>
      </c>
      <c r="D35" s="141" t="s">
        <v>15</v>
      </c>
      <c r="E35" s="97">
        <v>5.5</v>
      </c>
      <c r="F35" s="1480"/>
      <c r="G35" s="250"/>
      <c r="H35" s="251"/>
    </row>
    <row r="36" spans="1:8" s="224" customFormat="1" x14ac:dyDescent="0.25">
      <c r="A36" s="215">
        <v>41347</v>
      </c>
      <c r="B36" s="349" t="s">
        <v>16</v>
      </c>
      <c r="C36" s="350" t="s">
        <v>12</v>
      </c>
      <c r="D36" s="141" t="s">
        <v>15</v>
      </c>
      <c r="E36" s="97">
        <v>10</v>
      </c>
      <c r="F36" s="1480"/>
      <c r="G36" s="250"/>
      <c r="H36" s="251"/>
    </row>
    <row r="37" spans="1:8" s="224" customFormat="1" x14ac:dyDescent="0.25">
      <c r="A37" s="215">
        <v>41347</v>
      </c>
      <c r="B37" s="349" t="s">
        <v>80</v>
      </c>
      <c r="C37" s="350" t="s">
        <v>12</v>
      </c>
      <c r="D37" s="141" t="s">
        <v>15</v>
      </c>
      <c r="E37" s="97">
        <v>7.5</v>
      </c>
      <c r="F37" s="1480"/>
      <c r="G37" s="250"/>
      <c r="H37" s="251"/>
    </row>
    <row r="38" spans="1:8" s="224" customFormat="1" x14ac:dyDescent="0.25">
      <c r="A38" s="215">
        <v>41348</v>
      </c>
      <c r="B38" s="862" t="s">
        <v>32</v>
      </c>
      <c r="C38" s="879" t="s">
        <v>12</v>
      </c>
      <c r="D38" s="887" t="s">
        <v>15</v>
      </c>
      <c r="E38" s="250">
        <v>6</v>
      </c>
      <c r="F38" s="1480"/>
      <c r="G38" s="250"/>
      <c r="H38" s="251"/>
    </row>
    <row r="39" spans="1:8" s="224" customFormat="1" x14ac:dyDescent="0.25">
      <c r="A39" s="215">
        <v>41348</v>
      </c>
      <c r="B39" s="349" t="s">
        <v>16</v>
      </c>
      <c r="C39" s="350" t="s">
        <v>12</v>
      </c>
      <c r="D39" s="141" t="s">
        <v>15</v>
      </c>
      <c r="E39" s="97">
        <v>30</v>
      </c>
      <c r="F39" s="1064"/>
      <c r="G39" s="250"/>
      <c r="H39" s="251"/>
    </row>
    <row r="40" spans="1:8" s="224" customFormat="1" x14ac:dyDescent="0.25">
      <c r="A40" s="215">
        <v>41348</v>
      </c>
      <c r="B40" s="349" t="s">
        <v>80</v>
      </c>
      <c r="C40" s="350" t="s">
        <v>12</v>
      </c>
      <c r="D40" s="141" t="s">
        <v>15</v>
      </c>
      <c r="E40" s="97">
        <v>15</v>
      </c>
      <c r="F40" s="1064"/>
      <c r="G40" s="250"/>
      <c r="H40" s="251"/>
    </row>
    <row r="41" spans="1:8" x14ac:dyDescent="0.25">
      <c r="A41" s="215">
        <v>41349</v>
      </c>
      <c r="B41" s="349" t="s">
        <v>94</v>
      </c>
      <c r="C41" s="350" t="s">
        <v>12</v>
      </c>
      <c r="D41" s="141" t="s">
        <v>13</v>
      </c>
      <c r="E41" s="97">
        <v>28.75</v>
      </c>
      <c r="F41" s="1064"/>
      <c r="G41" s="97"/>
      <c r="H41" s="91"/>
    </row>
    <row r="42" spans="1:8" x14ac:dyDescent="0.25">
      <c r="A42" s="215">
        <v>41349</v>
      </c>
      <c r="B42" s="349" t="s">
        <v>95</v>
      </c>
      <c r="C42" s="350" t="s">
        <v>12</v>
      </c>
      <c r="D42" s="141" t="s">
        <v>15</v>
      </c>
      <c r="E42" s="97">
        <v>21.3</v>
      </c>
      <c r="F42" s="1064"/>
      <c r="G42" s="97"/>
      <c r="H42" s="91"/>
    </row>
    <row r="43" spans="1:8" x14ac:dyDescent="0.25">
      <c r="A43" s="215">
        <v>41350</v>
      </c>
      <c r="B43" s="349" t="s">
        <v>94</v>
      </c>
      <c r="C43" s="350" t="s">
        <v>92</v>
      </c>
      <c r="D43" s="141" t="s">
        <v>15</v>
      </c>
      <c r="E43" s="97">
        <v>10</v>
      </c>
      <c r="F43" s="1064"/>
      <c r="G43" s="97"/>
      <c r="H43" s="91"/>
    </row>
    <row r="44" spans="1:8" x14ac:dyDescent="0.25">
      <c r="A44" s="215">
        <v>41350</v>
      </c>
      <c r="B44" s="349" t="s">
        <v>96</v>
      </c>
      <c r="C44" s="350" t="s">
        <v>92</v>
      </c>
      <c r="D44" s="141" t="s">
        <v>15</v>
      </c>
      <c r="E44" s="97">
        <v>16.3</v>
      </c>
      <c r="F44" s="1064"/>
      <c r="G44" s="97"/>
      <c r="H44" s="91"/>
    </row>
    <row r="45" spans="1:8" x14ac:dyDescent="0.25">
      <c r="A45" s="215">
        <v>41351</v>
      </c>
      <c r="B45" s="349" t="s">
        <v>97</v>
      </c>
      <c r="C45" s="350" t="s">
        <v>12</v>
      </c>
      <c r="D45" s="141" t="s">
        <v>15</v>
      </c>
      <c r="E45" s="97">
        <v>193.14</v>
      </c>
      <c r="F45" s="1064"/>
      <c r="G45" s="97"/>
      <c r="H45" s="91"/>
    </row>
    <row r="46" spans="1:8" x14ac:dyDescent="0.25">
      <c r="A46" s="215">
        <v>41352</v>
      </c>
      <c r="B46" s="349" t="s">
        <v>32</v>
      </c>
      <c r="C46" s="352" t="s">
        <v>12</v>
      </c>
      <c r="D46" s="142" t="s">
        <v>15</v>
      </c>
      <c r="E46" s="176">
        <v>6</v>
      </c>
      <c r="F46" s="1064"/>
      <c r="G46" s="97"/>
      <c r="H46" s="91"/>
    </row>
    <row r="47" spans="1:8" x14ac:dyDescent="0.25">
      <c r="A47" s="215">
        <v>41353</v>
      </c>
      <c r="B47" s="349" t="s">
        <v>98</v>
      </c>
      <c r="C47" s="350" t="s">
        <v>12</v>
      </c>
      <c r="D47" s="141" t="s">
        <v>15</v>
      </c>
      <c r="E47" s="97"/>
      <c r="F47" s="1064">
        <v>660</v>
      </c>
      <c r="G47" s="97"/>
      <c r="H47" s="91"/>
    </row>
    <row r="48" spans="1:8" x14ac:dyDescent="0.25">
      <c r="A48" s="215">
        <v>41353</v>
      </c>
      <c r="B48" s="349" t="s">
        <v>85</v>
      </c>
      <c r="C48" s="350" t="s">
        <v>12</v>
      </c>
      <c r="D48" s="141" t="s">
        <v>15</v>
      </c>
      <c r="E48" s="97"/>
      <c r="F48" s="1064">
        <v>150</v>
      </c>
      <c r="G48" s="97"/>
      <c r="H48" s="91"/>
    </row>
    <row r="49" spans="1:8" x14ac:dyDescent="0.25">
      <c r="A49" s="215">
        <v>41353</v>
      </c>
      <c r="B49" s="1477" t="s">
        <v>99</v>
      </c>
      <c r="C49" s="105" t="s">
        <v>12</v>
      </c>
      <c r="D49" s="105" t="s">
        <v>13</v>
      </c>
      <c r="E49" s="96">
        <v>364.02</v>
      </c>
      <c r="F49" s="1064"/>
      <c r="G49" s="97"/>
      <c r="H49" s="91"/>
    </row>
    <row r="50" spans="1:8" x14ac:dyDescent="0.25">
      <c r="A50" s="215">
        <v>41353</v>
      </c>
      <c r="B50" s="349" t="s">
        <v>100</v>
      </c>
      <c r="C50" s="350" t="s">
        <v>12</v>
      </c>
      <c r="D50" s="141" t="s">
        <v>15</v>
      </c>
      <c r="E50" s="97">
        <v>40</v>
      </c>
      <c r="F50" s="1064"/>
      <c r="G50" s="97"/>
      <c r="H50" s="91"/>
    </row>
    <row r="51" spans="1:8" x14ac:dyDescent="0.25">
      <c r="A51" s="215">
        <v>41353</v>
      </c>
      <c r="B51" s="349" t="s">
        <v>32</v>
      </c>
      <c r="C51" s="350" t="s">
        <v>12</v>
      </c>
      <c r="D51" s="141" t="s">
        <v>15</v>
      </c>
      <c r="E51" s="97">
        <v>4.25</v>
      </c>
      <c r="F51" s="1064"/>
      <c r="G51" s="97"/>
      <c r="H51" s="91"/>
    </row>
    <row r="52" spans="1:8" x14ac:dyDescent="0.25">
      <c r="A52" s="215">
        <v>41353</v>
      </c>
      <c r="B52" s="349" t="s">
        <v>16</v>
      </c>
      <c r="C52" s="350" t="s">
        <v>12</v>
      </c>
      <c r="D52" s="141" t="s">
        <v>15</v>
      </c>
      <c r="E52" s="97">
        <v>10</v>
      </c>
      <c r="F52" s="1064"/>
      <c r="G52" s="97"/>
      <c r="H52" s="91"/>
    </row>
    <row r="53" spans="1:8" x14ac:dyDescent="0.25">
      <c r="A53" s="215">
        <v>41354</v>
      </c>
      <c r="B53" s="349" t="s">
        <v>32</v>
      </c>
      <c r="C53" s="350" t="s">
        <v>12</v>
      </c>
      <c r="D53" s="141" t="s">
        <v>15</v>
      </c>
      <c r="E53" s="97">
        <v>11</v>
      </c>
      <c r="F53" s="1064"/>
      <c r="G53" s="97"/>
      <c r="H53" s="91"/>
    </row>
    <row r="54" spans="1:8" x14ac:dyDescent="0.25">
      <c r="A54" s="215">
        <v>41354</v>
      </c>
      <c r="B54" s="349" t="s">
        <v>80</v>
      </c>
      <c r="C54" s="350" t="s">
        <v>12</v>
      </c>
      <c r="D54" s="141" t="s">
        <v>15</v>
      </c>
      <c r="E54" s="97">
        <v>15</v>
      </c>
      <c r="F54" s="1064"/>
      <c r="G54" s="97"/>
      <c r="H54" s="91"/>
    </row>
    <row r="55" spans="1:8" s="224" customFormat="1" x14ac:dyDescent="0.25">
      <c r="A55" s="215">
        <v>41355</v>
      </c>
      <c r="B55" s="862" t="s">
        <v>32</v>
      </c>
      <c r="C55" s="879" t="s">
        <v>12</v>
      </c>
      <c r="D55" s="887" t="s">
        <v>15</v>
      </c>
      <c r="E55" s="250">
        <v>7</v>
      </c>
      <c r="F55" s="1480"/>
      <c r="G55" s="250"/>
      <c r="H55" s="251"/>
    </row>
    <row r="56" spans="1:8" s="224" customFormat="1" x14ac:dyDescent="0.25">
      <c r="A56" s="215">
        <v>41356</v>
      </c>
      <c r="B56" s="862"/>
      <c r="C56" s="879"/>
      <c r="D56" s="887"/>
      <c r="E56" s="250"/>
      <c r="F56" s="1480"/>
      <c r="G56" s="250"/>
      <c r="H56" s="251"/>
    </row>
    <row r="57" spans="1:8" s="224" customFormat="1" x14ac:dyDescent="0.25">
      <c r="A57" s="215">
        <v>41357</v>
      </c>
      <c r="B57" s="862" t="s">
        <v>101</v>
      </c>
      <c r="C57" s="105" t="s">
        <v>12</v>
      </c>
      <c r="D57" s="887" t="s">
        <v>15</v>
      </c>
      <c r="E57" s="250">
        <v>6.8</v>
      </c>
      <c r="F57" s="1480"/>
      <c r="G57" s="250"/>
      <c r="H57" s="251"/>
    </row>
    <row r="58" spans="1:8" s="224" customFormat="1" x14ac:dyDescent="0.25">
      <c r="A58" s="215">
        <v>41358</v>
      </c>
      <c r="B58" s="862" t="s">
        <v>16</v>
      </c>
      <c r="C58" s="105" t="s">
        <v>12</v>
      </c>
      <c r="D58" s="887" t="s">
        <v>15</v>
      </c>
      <c r="E58" s="250">
        <v>20</v>
      </c>
      <c r="F58" s="1480"/>
      <c r="G58" s="250"/>
      <c r="H58" s="251"/>
    </row>
    <row r="59" spans="1:8" s="224" customFormat="1" x14ac:dyDescent="0.25">
      <c r="A59" s="215">
        <v>41358</v>
      </c>
      <c r="B59" s="862" t="s">
        <v>32</v>
      </c>
      <c r="C59" s="105" t="s">
        <v>12</v>
      </c>
      <c r="D59" s="887" t="s">
        <v>15</v>
      </c>
      <c r="E59" s="250">
        <v>5.5</v>
      </c>
      <c r="F59" s="1480"/>
      <c r="G59" s="250"/>
      <c r="H59" s="251"/>
    </row>
    <row r="60" spans="1:8" s="224" customFormat="1" x14ac:dyDescent="0.25">
      <c r="A60" s="215">
        <v>41358</v>
      </c>
      <c r="B60" s="862" t="s">
        <v>102</v>
      </c>
      <c r="C60" s="105" t="s">
        <v>19</v>
      </c>
      <c r="D60" s="887" t="s">
        <v>15</v>
      </c>
      <c r="E60" s="250">
        <v>69.900000000000006</v>
      </c>
      <c r="F60" s="1480"/>
      <c r="G60" s="250"/>
      <c r="H60" s="251"/>
    </row>
    <row r="61" spans="1:8" s="224" customFormat="1" x14ac:dyDescent="0.25">
      <c r="A61" s="215">
        <v>41358</v>
      </c>
      <c r="B61" s="862" t="s">
        <v>103</v>
      </c>
      <c r="C61" s="105" t="s">
        <v>12</v>
      </c>
      <c r="D61" s="887" t="s">
        <v>15</v>
      </c>
      <c r="E61" s="250">
        <v>5.5</v>
      </c>
      <c r="F61" s="1480"/>
      <c r="G61" s="250"/>
      <c r="H61" s="251"/>
    </row>
    <row r="62" spans="1:8" x14ac:dyDescent="0.25">
      <c r="A62" s="215">
        <v>41359</v>
      </c>
      <c r="B62" s="364" t="s">
        <v>32</v>
      </c>
      <c r="C62" s="350" t="s">
        <v>12</v>
      </c>
      <c r="D62" s="141" t="s">
        <v>15</v>
      </c>
      <c r="E62" s="97">
        <v>4.75</v>
      </c>
      <c r="F62" s="1064"/>
      <c r="G62" s="97"/>
      <c r="H62" s="91"/>
    </row>
    <row r="63" spans="1:8" x14ac:dyDescent="0.25">
      <c r="A63" s="215">
        <v>41359</v>
      </c>
      <c r="B63" s="364" t="s">
        <v>14</v>
      </c>
      <c r="C63" s="350" t="s">
        <v>12</v>
      </c>
      <c r="D63" s="141" t="s">
        <v>15</v>
      </c>
      <c r="E63" s="97">
        <v>2.2999999999999998</v>
      </c>
      <c r="F63" s="1064"/>
      <c r="G63" s="97"/>
      <c r="H63" s="91"/>
    </row>
    <row r="64" spans="1:8" x14ac:dyDescent="0.25">
      <c r="A64" s="215">
        <v>41360</v>
      </c>
      <c r="B64" s="349" t="s">
        <v>32</v>
      </c>
      <c r="C64" s="352" t="s">
        <v>12</v>
      </c>
      <c r="D64" s="142" t="s">
        <v>15</v>
      </c>
      <c r="E64" s="97">
        <v>5.25</v>
      </c>
      <c r="F64" s="1064"/>
      <c r="G64" s="97"/>
      <c r="H64" s="91"/>
    </row>
    <row r="65" spans="1:8" x14ac:dyDescent="0.25">
      <c r="A65" s="215">
        <v>41360</v>
      </c>
      <c r="B65" s="349" t="s">
        <v>16</v>
      </c>
      <c r="C65" s="352" t="s">
        <v>12</v>
      </c>
      <c r="D65" s="142" t="s">
        <v>15</v>
      </c>
      <c r="E65" s="97">
        <v>10</v>
      </c>
      <c r="F65" s="1064"/>
      <c r="G65" s="97"/>
      <c r="H65" s="91"/>
    </row>
    <row r="66" spans="1:8" x14ac:dyDescent="0.25">
      <c r="A66" s="215">
        <v>41361</v>
      </c>
      <c r="B66" s="364" t="s">
        <v>32</v>
      </c>
      <c r="C66" s="350" t="s">
        <v>12</v>
      </c>
      <c r="D66" s="141" t="s">
        <v>15</v>
      </c>
      <c r="E66" s="97">
        <v>5.5</v>
      </c>
      <c r="F66" s="1064"/>
      <c r="G66" s="97"/>
      <c r="H66" s="91"/>
    </row>
    <row r="67" spans="1:8" x14ac:dyDescent="0.25">
      <c r="A67" s="215">
        <v>41362</v>
      </c>
      <c r="B67" s="364" t="s">
        <v>14</v>
      </c>
      <c r="C67" s="350" t="s">
        <v>12</v>
      </c>
      <c r="D67" s="141" t="s">
        <v>13</v>
      </c>
      <c r="E67" s="97">
        <v>7.7</v>
      </c>
      <c r="F67" s="1064"/>
      <c r="G67" s="97"/>
      <c r="H67" s="91"/>
    </row>
    <row r="68" spans="1:8" x14ac:dyDescent="0.25">
      <c r="A68" s="215">
        <v>41362</v>
      </c>
      <c r="B68" s="364" t="s">
        <v>104</v>
      </c>
      <c r="C68" s="350" t="s">
        <v>19</v>
      </c>
      <c r="D68" s="141" t="s">
        <v>13</v>
      </c>
      <c r="E68" s="97">
        <v>47.98</v>
      </c>
      <c r="F68" s="1064"/>
      <c r="G68" s="97"/>
      <c r="H68" s="91"/>
    </row>
    <row r="69" spans="1:8" x14ac:dyDescent="0.25">
      <c r="A69" s="215">
        <v>41363</v>
      </c>
      <c r="B69" s="349" t="s">
        <v>16</v>
      </c>
      <c r="C69" s="352" t="s">
        <v>12</v>
      </c>
      <c r="D69" s="142" t="s">
        <v>15</v>
      </c>
      <c r="E69" s="97">
        <v>20</v>
      </c>
      <c r="F69" s="434"/>
      <c r="G69" s="97"/>
      <c r="H69" s="91"/>
    </row>
    <row r="70" spans="1:8" ht="15.75" thickBot="1" x14ac:dyDescent="0.3">
      <c r="A70" s="215">
        <v>41364</v>
      </c>
      <c r="B70" s="1477" t="s">
        <v>105</v>
      </c>
      <c r="C70" s="105" t="s">
        <v>12</v>
      </c>
      <c r="D70" s="105" t="s">
        <v>13</v>
      </c>
      <c r="E70" s="96">
        <v>52.5</v>
      </c>
      <c r="F70" s="1064"/>
      <c r="G70" s="416"/>
      <c r="H70" s="417"/>
    </row>
    <row r="71" spans="1:8" ht="25.5" customHeight="1" thickBot="1" x14ac:dyDescent="0.3">
      <c r="A71" s="3060"/>
      <c r="B71" s="3061"/>
      <c r="C71" s="3062"/>
      <c r="D71" s="3062"/>
      <c r="E71" s="100">
        <f>SUM(E5:E70)</f>
        <v>1715.69</v>
      </c>
      <c r="F71" s="1065" t="e">
        <f>SUM(F5:F70)</f>
        <v>#REF!</v>
      </c>
      <c r="G71" s="101">
        <f>SUM(G5:G70)</f>
        <v>0</v>
      </c>
      <c r="H71" s="93">
        <f>SUM(H5:H70)</f>
        <v>0</v>
      </c>
    </row>
    <row r="72" spans="1:8" ht="25.5" customHeight="1" thickBot="1" x14ac:dyDescent="0.3">
      <c r="A72" s="3077" t="s">
        <v>49</v>
      </c>
      <c r="B72" s="3078"/>
      <c r="C72" s="3078"/>
      <c r="D72" s="3078"/>
      <c r="E72" s="102"/>
      <c r="F72" s="1478" t="e">
        <f>F71-E71</f>
        <v>#REF!</v>
      </c>
      <c r="G72" s="104"/>
      <c r="H72" s="103">
        <f>H71-G71</f>
        <v>0</v>
      </c>
    </row>
    <row r="74" spans="1:8" x14ac:dyDescent="0.25">
      <c r="B74" s="79" t="s">
        <v>32</v>
      </c>
      <c r="C74" s="176">
        <v>116.84</v>
      </c>
    </row>
    <row r="75" spans="1:8" x14ac:dyDescent="0.25">
      <c r="B75" s="79" t="s">
        <v>16</v>
      </c>
      <c r="C75" s="176">
        <v>218.75</v>
      </c>
    </row>
    <row r="76" spans="1:8" x14ac:dyDescent="0.25">
      <c r="B76" s="79" t="s">
        <v>50</v>
      </c>
      <c r="C76" s="176">
        <v>11.8</v>
      </c>
    </row>
    <row r="77" spans="1:8" x14ac:dyDescent="0.25">
      <c r="B77" s="79" t="s">
        <v>14</v>
      </c>
      <c r="C77" s="178">
        <v>12.6</v>
      </c>
    </row>
    <row r="78" spans="1:8" x14ac:dyDescent="0.25">
      <c r="B78" s="79" t="s">
        <v>51</v>
      </c>
      <c r="C78" s="178">
        <v>74.06</v>
      </c>
    </row>
    <row r="79" spans="1:8" x14ac:dyDescent="0.25">
      <c r="B79" s="79" t="s">
        <v>52</v>
      </c>
      <c r="C79" s="178">
        <v>50</v>
      </c>
    </row>
    <row r="80" spans="1:8" x14ac:dyDescent="0.25">
      <c r="B80" s="867" t="s">
        <v>53</v>
      </c>
      <c r="C80" s="178">
        <v>203.5</v>
      </c>
    </row>
    <row r="81" spans="2:3" x14ac:dyDescent="0.25">
      <c r="B81" s="79" t="s">
        <v>54</v>
      </c>
      <c r="C81" s="178">
        <v>364.02</v>
      </c>
    </row>
    <row r="82" spans="2:3" x14ac:dyDescent="0.25">
      <c r="B82" s="79" t="s">
        <v>55</v>
      </c>
      <c r="C82" s="178">
        <v>140</v>
      </c>
    </row>
    <row r="83" spans="2:3" x14ac:dyDescent="0.25">
      <c r="B83" s="79" t="s">
        <v>56</v>
      </c>
      <c r="C83" s="178">
        <v>100</v>
      </c>
    </row>
    <row r="84" spans="2:3" x14ac:dyDescent="0.25">
      <c r="B84" s="79" t="s">
        <v>57</v>
      </c>
      <c r="C84" s="178">
        <v>109.9</v>
      </c>
    </row>
  </sheetData>
  <autoFilter ref="A2:H72" xr:uid="{00000000-0009-0000-0000-000002000000}">
    <filterColumn colId="4" showButton="0"/>
    <filterColumn colId="6" showButton="0"/>
  </autoFilter>
  <mergeCells count="10">
    <mergeCell ref="A72:D72"/>
    <mergeCell ref="A1:D1"/>
    <mergeCell ref="A71:D71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31"/>
  <dimension ref="A1:H92"/>
  <sheetViews>
    <sheetView zoomScale="85" zoomScaleNormal="85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106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41365</v>
      </c>
      <c r="B5" s="369" t="s">
        <v>10</v>
      </c>
      <c r="C5" s="370"/>
      <c r="D5" s="207"/>
      <c r="E5" s="179"/>
      <c r="F5" s="933" t="e">
        <f>'Março 13'!F72</f>
        <v>#REF!</v>
      </c>
      <c r="G5" s="163"/>
      <c r="H5" s="98"/>
    </row>
    <row r="6" spans="1:8" s="224" customFormat="1" x14ac:dyDescent="0.25">
      <c r="A6" s="215">
        <v>41365</v>
      </c>
      <c r="B6" s="348" t="s">
        <v>11</v>
      </c>
      <c r="C6" s="351" t="s">
        <v>12</v>
      </c>
      <c r="D6" s="248"/>
      <c r="E6" s="250">
        <v>42</v>
      </c>
      <c r="F6" s="1473"/>
      <c r="G6" s="252"/>
      <c r="H6" s="251"/>
    </row>
    <row r="7" spans="1:8" s="224" customFormat="1" x14ac:dyDescent="0.25">
      <c r="A7" s="215">
        <v>41365</v>
      </c>
      <c r="B7" s="873" t="s">
        <v>16</v>
      </c>
      <c r="C7" s="879" t="s">
        <v>12</v>
      </c>
      <c r="D7" s="887" t="s">
        <v>15</v>
      </c>
      <c r="E7" s="250">
        <v>20</v>
      </c>
      <c r="F7" s="1473"/>
      <c r="G7" s="252"/>
      <c r="H7" s="251"/>
    </row>
    <row r="8" spans="1:8" s="224" customFormat="1" x14ac:dyDescent="0.25">
      <c r="A8" s="215">
        <v>41365</v>
      </c>
      <c r="B8" s="873" t="s">
        <v>32</v>
      </c>
      <c r="C8" s="879" t="s">
        <v>12</v>
      </c>
      <c r="D8" s="887" t="s">
        <v>15</v>
      </c>
      <c r="E8" s="250">
        <v>5.25</v>
      </c>
      <c r="F8" s="1473"/>
      <c r="G8" s="252"/>
      <c r="H8" s="251"/>
    </row>
    <row r="9" spans="1:8" s="224" customFormat="1" x14ac:dyDescent="0.25">
      <c r="A9" s="215">
        <v>41366</v>
      </c>
      <c r="B9" s="873" t="s">
        <v>32</v>
      </c>
      <c r="C9" s="879" t="s">
        <v>12</v>
      </c>
      <c r="D9" s="887" t="s">
        <v>15</v>
      </c>
      <c r="E9" s="250">
        <v>6</v>
      </c>
      <c r="F9" s="1473"/>
      <c r="G9" s="252"/>
      <c r="H9" s="251"/>
    </row>
    <row r="10" spans="1:8" s="224" customFormat="1" x14ac:dyDescent="0.25">
      <c r="A10" s="215">
        <v>41367</v>
      </c>
      <c r="B10" s="873" t="s">
        <v>16</v>
      </c>
      <c r="C10" s="879" t="s">
        <v>12</v>
      </c>
      <c r="D10" s="887" t="s">
        <v>15</v>
      </c>
      <c r="E10" s="250">
        <v>10</v>
      </c>
      <c r="F10" s="1473"/>
      <c r="G10" s="252"/>
      <c r="H10" s="251"/>
    </row>
    <row r="11" spans="1:8" s="224" customFormat="1" x14ac:dyDescent="0.25">
      <c r="A11" s="215">
        <v>41368</v>
      </c>
      <c r="B11" s="1474" t="s">
        <v>32</v>
      </c>
      <c r="C11" s="879" t="s">
        <v>12</v>
      </c>
      <c r="D11" s="1475" t="s">
        <v>15</v>
      </c>
      <c r="E11" s="250">
        <v>5.5</v>
      </c>
      <c r="F11" s="1473"/>
      <c r="G11" s="252"/>
      <c r="H11" s="251"/>
    </row>
    <row r="12" spans="1:8" s="224" customFormat="1" x14ac:dyDescent="0.25">
      <c r="A12" s="215">
        <v>41369</v>
      </c>
      <c r="B12" s="873" t="s">
        <v>32</v>
      </c>
      <c r="C12" s="879" t="s">
        <v>12</v>
      </c>
      <c r="D12" s="887" t="s">
        <v>15</v>
      </c>
      <c r="E12" s="250">
        <v>4</v>
      </c>
      <c r="F12" s="1473"/>
      <c r="G12" s="252"/>
      <c r="H12" s="251"/>
    </row>
    <row r="13" spans="1:8" s="224" customFormat="1" x14ac:dyDescent="0.25">
      <c r="A13" s="215">
        <v>41369</v>
      </c>
      <c r="B13" s="873" t="s">
        <v>16</v>
      </c>
      <c r="C13" s="879" t="s">
        <v>12</v>
      </c>
      <c r="D13" s="887" t="s">
        <v>15</v>
      </c>
      <c r="E13" s="250">
        <v>20</v>
      </c>
      <c r="F13" s="1473"/>
      <c r="G13" s="252"/>
      <c r="H13" s="251"/>
    </row>
    <row r="14" spans="1:8" s="224" customFormat="1" x14ac:dyDescent="0.25">
      <c r="A14" s="215">
        <v>41370</v>
      </c>
      <c r="B14" s="349" t="s">
        <v>107</v>
      </c>
      <c r="C14" s="879" t="s">
        <v>12</v>
      </c>
      <c r="D14" s="983" t="s">
        <v>25</v>
      </c>
      <c r="E14" s="250"/>
      <c r="F14" s="1473">
        <v>833.81</v>
      </c>
      <c r="G14" s="252"/>
      <c r="H14" s="251"/>
    </row>
    <row r="15" spans="1:8" s="224" customFormat="1" x14ac:dyDescent="0.25">
      <c r="A15" s="215">
        <v>41370</v>
      </c>
      <c r="B15" s="349" t="s">
        <v>108</v>
      </c>
      <c r="C15" s="879" t="s">
        <v>12</v>
      </c>
      <c r="D15" s="983" t="s">
        <v>13</v>
      </c>
      <c r="E15" s="250">
        <v>55</v>
      </c>
      <c r="F15" s="1473"/>
      <c r="G15" s="252"/>
      <c r="H15" s="251"/>
    </row>
    <row r="16" spans="1:8" s="224" customFormat="1" x14ac:dyDescent="0.25">
      <c r="A16" s="215">
        <v>41370</v>
      </c>
      <c r="B16" s="882" t="s">
        <v>109</v>
      </c>
      <c r="C16" s="879" t="s">
        <v>12</v>
      </c>
      <c r="D16" s="887" t="s">
        <v>13</v>
      </c>
      <c r="E16" s="250">
        <v>33.200000000000003</v>
      </c>
      <c r="F16" s="1473"/>
      <c r="G16" s="252"/>
      <c r="H16" s="251"/>
    </row>
    <row r="17" spans="1:8" s="316" customFormat="1" x14ac:dyDescent="0.25">
      <c r="A17" s="215">
        <v>41370</v>
      </c>
      <c r="B17" s="882" t="s">
        <v>110</v>
      </c>
      <c r="C17" s="879" t="s">
        <v>12</v>
      </c>
      <c r="D17" s="887" t="s">
        <v>13</v>
      </c>
      <c r="E17" s="250">
        <v>41.65</v>
      </c>
      <c r="F17" s="1473"/>
      <c r="G17" s="1476"/>
      <c r="H17" s="1473"/>
    </row>
    <row r="18" spans="1:8" s="316" customFormat="1" x14ac:dyDescent="0.25">
      <c r="A18" s="215">
        <v>41370</v>
      </c>
      <c r="B18" s="862" t="s">
        <v>31</v>
      </c>
      <c r="C18" s="879" t="s">
        <v>12</v>
      </c>
      <c r="D18" s="957" t="s">
        <v>15</v>
      </c>
      <c r="E18" s="250">
        <v>50</v>
      </c>
      <c r="F18" s="1473"/>
      <c r="G18" s="1476"/>
      <c r="H18" s="1473"/>
    </row>
    <row r="19" spans="1:8" x14ac:dyDescent="0.25">
      <c r="A19" s="215">
        <v>41370</v>
      </c>
      <c r="B19" s="862" t="s">
        <v>111</v>
      </c>
      <c r="C19" s="879" t="s">
        <v>12</v>
      </c>
      <c r="D19" s="957" t="s">
        <v>15</v>
      </c>
      <c r="E19" s="250">
        <v>200</v>
      </c>
      <c r="F19" s="1064"/>
      <c r="G19" s="97"/>
      <c r="H19" s="91"/>
    </row>
    <row r="20" spans="1:8" x14ac:dyDescent="0.25">
      <c r="A20" s="215">
        <v>41371</v>
      </c>
      <c r="B20" s="349" t="s">
        <v>112</v>
      </c>
      <c r="C20" s="350" t="s">
        <v>12</v>
      </c>
      <c r="D20" s="141" t="s">
        <v>15</v>
      </c>
      <c r="E20" s="97">
        <v>20</v>
      </c>
      <c r="F20" s="946"/>
      <c r="G20" s="95"/>
      <c r="H20" s="91"/>
    </row>
    <row r="21" spans="1:8" x14ac:dyDescent="0.25">
      <c r="A21" s="215">
        <v>41371</v>
      </c>
      <c r="B21" s="349" t="s">
        <v>113</v>
      </c>
      <c r="C21" s="350" t="s">
        <v>12</v>
      </c>
      <c r="D21" s="141" t="s">
        <v>13</v>
      </c>
      <c r="E21" s="97">
        <v>100</v>
      </c>
      <c r="F21" s="946"/>
      <c r="G21" s="95"/>
      <c r="H21" s="91"/>
    </row>
    <row r="22" spans="1:8" x14ac:dyDescent="0.25">
      <c r="A22" s="215">
        <v>41372</v>
      </c>
      <c r="B22" s="349" t="s">
        <v>32</v>
      </c>
      <c r="C22" s="350" t="s">
        <v>12</v>
      </c>
      <c r="D22" s="141" t="s">
        <v>15</v>
      </c>
      <c r="E22" s="97">
        <v>5.5</v>
      </c>
      <c r="F22" s="946"/>
      <c r="G22" s="95"/>
      <c r="H22" s="91"/>
    </row>
    <row r="23" spans="1:8" x14ac:dyDescent="0.25">
      <c r="A23" s="215">
        <v>41373</v>
      </c>
      <c r="B23" s="349" t="s">
        <v>32</v>
      </c>
      <c r="C23" s="350" t="s">
        <v>12</v>
      </c>
      <c r="D23" s="141" t="s">
        <v>15</v>
      </c>
      <c r="E23" s="97">
        <v>5</v>
      </c>
      <c r="F23" s="946"/>
      <c r="G23" s="95"/>
      <c r="H23" s="91"/>
    </row>
    <row r="24" spans="1:8" x14ac:dyDescent="0.25">
      <c r="A24" s="215">
        <v>41373</v>
      </c>
      <c r="B24" s="349" t="s">
        <v>114</v>
      </c>
      <c r="C24" s="350" t="s">
        <v>12</v>
      </c>
      <c r="D24" s="141" t="s">
        <v>15</v>
      </c>
      <c r="E24" s="97">
        <v>10</v>
      </c>
      <c r="F24" s="946"/>
      <c r="G24" s="95"/>
      <c r="H24" s="91"/>
    </row>
    <row r="25" spans="1:8" x14ac:dyDescent="0.25">
      <c r="A25" s="215">
        <v>41373</v>
      </c>
      <c r="B25" s="349" t="s">
        <v>115</v>
      </c>
      <c r="C25" s="350" t="s">
        <v>12</v>
      </c>
      <c r="D25" s="141" t="s">
        <v>15</v>
      </c>
      <c r="E25" s="97">
        <v>2.2999999999999998</v>
      </c>
      <c r="F25" s="946"/>
      <c r="G25" s="95"/>
      <c r="H25" s="91"/>
    </row>
    <row r="26" spans="1:8" s="224" customFormat="1" x14ac:dyDescent="0.25">
      <c r="A26" s="215">
        <v>41374</v>
      </c>
      <c r="B26" s="349" t="s">
        <v>32</v>
      </c>
      <c r="C26" s="350" t="s">
        <v>12</v>
      </c>
      <c r="D26" s="141" t="s">
        <v>15</v>
      </c>
      <c r="E26" s="97">
        <v>5.5</v>
      </c>
      <c r="F26" s="1473"/>
      <c r="G26" s="252"/>
      <c r="H26" s="251"/>
    </row>
    <row r="27" spans="1:8" s="224" customFormat="1" x14ac:dyDescent="0.25">
      <c r="A27" s="215">
        <v>41374</v>
      </c>
      <c r="B27" s="349" t="s">
        <v>16</v>
      </c>
      <c r="C27" s="350" t="s">
        <v>12</v>
      </c>
      <c r="D27" s="141" t="s">
        <v>15</v>
      </c>
      <c r="E27" s="97">
        <v>20</v>
      </c>
      <c r="F27" s="1473"/>
      <c r="G27" s="252"/>
      <c r="H27" s="251"/>
    </row>
    <row r="28" spans="1:8" s="224" customFormat="1" x14ac:dyDescent="0.25">
      <c r="A28" s="215">
        <v>41375</v>
      </c>
      <c r="B28" s="862" t="s">
        <v>32</v>
      </c>
      <c r="C28" s="879" t="s">
        <v>12</v>
      </c>
      <c r="D28" s="887" t="s">
        <v>15</v>
      </c>
      <c r="E28" s="250">
        <v>4</v>
      </c>
      <c r="F28" s="1473"/>
      <c r="G28" s="252"/>
      <c r="H28" s="251"/>
    </row>
    <row r="29" spans="1:8" x14ac:dyDescent="0.25">
      <c r="A29" s="215">
        <v>41375</v>
      </c>
      <c r="B29" s="862" t="s">
        <v>80</v>
      </c>
      <c r="C29" s="879" t="s">
        <v>12</v>
      </c>
      <c r="D29" s="887" t="s">
        <v>15</v>
      </c>
      <c r="E29" s="250">
        <v>15</v>
      </c>
      <c r="F29" s="946"/>
      <c r="G29" s="95"/>
      <c r="H29" s="91"/>
    </row>
    <row r="30" spans="1:8" x14ac:dyDescent="0.25">
      <c r="A30" s="215">
        <v>41376</v>
      </c>
      <c r="B30" s="862" t="s">
        <v>32</v>
      </c>
      <c r="C30" s="879" t="s">
        <v>12</v>
      </c>
      <c r="D30" s="887" t="s">
        <v>15</v>
      </c>
      <c r="E30" s="250">
        <v>5.5</v>
      </c>
      <c r="F30" s="946"/>
      <c r="G30" s="95"/>
      <c r="H30" s="91"/>
    </row>
    <row r="31" spans="1:8" x14ac:dyDescent="0.25">
      <c r="A31" s="215">
        <v>41376</v>
      </c>
      <c r="B31" s="862" t="s">
        <v>116</v>
      </c>
      <c r="C31" s="879" t="s">
        <v>12</v>
      </c>
      <c r="D31" s="887" t="s">
        <v>13</v>
      </c>
      <c r="E31" s="250">
        <v>79.2</v>
      </c>
      <c r="F31" s="946"/>
      <c r="G31" s="95"/>
      <c r="H31" s="91"/>
    </row>
    <row r="32" spans="1:8" x14ac:dyDescent="0.25">
      <c r="A32" s="215">
        <v>41377</v>
      </c>
      <c r="B32" s="349" t="s">
        <v>16</v>
      </c>
      <c r="C32" s="350" t="s">
        <v>12</v>
      </c>
      <c r="D32" s="141" t="s">
        <v>15</v>
      </c>
      <c r="E32" s="97">
        <v>20</v>
      </c>
      <c r="F32" s="946"/>
      <c r="G32" s="95"/>
      <c r="H32" s="91"/>
    </row>
    <row r="33" spans="1:8" x14ac:dyDescent="0.25">
      <c r="A33" s="215">
        <v>41377</v>
      </c>
      <c r="B33" s="349" t="s">
        <v>117</v>
      </c>
      <c r="C33" s="350" t="s">
        <v>12</v>
      </c>
      <c r="D33" s="141" t="s">
        <v>15</v>
      </c>
      <c r="E33" s="97">
        <v>15.25</v>
      </c>
      <c r="F33" s="946"/>
      <c r="G33" s="95"/>
      <c r="H33" s="91"/>
    </row>
    <row r="34" spans="1:8" x14ac:dyDescent="0.25">
      <c r="A34" s="215">
        <v>41378</v>
      </c>
      <c r="B34" s="349" t="s">
        <v>16</v>
      </c>
      <c r="C34" s="350" t="s">
        <v>12</v>
      </c>
      <c r="D34" s="141" t="s">
        <v>15</v>
      </c>
      <c r="E34" s="97">
        <v>20</v>
      </c>
      <c r="F34" s="946"/>
      <c r="G34" s="95"/>
      <c r="H34" s="91"/>
    </row>
    <row r="35" spans="1:8" s="224" customFormat="1" x14ac:dyDescent="0.25">
      <c r="A35" s="215">
        <v>41378</v>
      </c>
      <c r="B35" s="349" t="s">
        <v>118</v>
      </c>
      <c r="C35" s="350" t="s">
        <v>12</v>
      </c>
      <c r="D35" s="141" t="s">
        <v>15</v>
      </c>
      <c r="E35" s="97">
        <v>12</v>
      </c>
      <c r="F35" s="1473"/>
      <c r="G35" s="252"/>
      <c r="H35" s="251"/>
    </row>
    <row r="36" spans="1:8" s="224" customFormat="1" x14ac:dyDescent="0.25">
      <c r="A36" s="215">
        <v>41379</v>
      </c>
      <c r="B36" s="862" t="s">
        <v>119</v>
      </c>
      <c r="C36" s="879" t="s">
        <v>12</v>
      </c>
      <c r="D36" s="887" t="s">
        <v>15</v>
      </c>
      <c r="E36" s="250">
        <v>100</v>
      </c>
      <c r="F36" s="1473"/>
      <c r="G36" s="252"/>
      <c r="H36" s="251"/>
    </row>
    <row r="37" spans="1:8" x14ac:dyDescent="0.25">
      <c r="A37" s="215">
        <v>41380</v>
      </c>
      <c r="B37" s="862" t="s">
        <v>32</v>
      </c>
      <c r="C37" s="879" t="s">
        <v>12</v>
      </c>
      <c r="D37" s="887" t="s">
        <v>15</v>
      </c>
      <c r="E37" s="250">
        <v>4</v>
      </c>
      <c r="F37" s="946"/>
      <c r="G37" s="95"/>
      <c r="H37" s="91"/>
    </row>
    <row r="38" spans="1:8" x14ac:dyDescent="0.25">
      <c r="A38" s="215">
        <v>41380</v>
      </c>
      <c r="B38" s="862" t="s">
        <v>16</v>
      </c>
      <c r="C38" s="879" t="s">
        <v>12</v>
      </c>
      <c r="D38" s="887" t="s">
        <v>13</v>
      </c>
      <c r="E38" s="250">
        <v>10</v>
      </c>
      <c r="F38" s="946"/>
      <c r="G38" s="95"/>
      <c r="H38" s="91"/>
    </row>
    <row r="39" spans="1:8" x14ac:dyDescent="0.25">
      <c r="A39" s="215">
        <v>41380</v>
      </c>
      <c r="B39" s="862" t="s">
        <v>120</v>
      </c>
      <c r="C39" s="879" t="s">
        <v>12</v>
      </c>
      <c r="D39" s="887" t="s">
        <v>13</v>
      </c>
      <c r="E39" s="250">
        <v>11</v>
      </c>
      <c r="F39" s="946"/>
      <c r="G39" s="95"/>
      <c r="H39" s="91"/>
    </row>
    <row r="40" spans="1:8" x14ac:dyDescent="0.25">
      <c r="A40" s="215">
        <v>41381</v>
      </c>
      <c r="B40" s="349" t="s">
        <v>32</v>
      </c>
      <c r="C40" s="350" t="s">
        <v>12</v>
      </c>
      <c r="D40" s="141" t="s">
        <v>15</v>
      </c>
      <c r="E40" s="97">
        <v>4.75</v>
      </c>
      <c r="F40" s="946"/>
      <c r="G40" s="95"/>
      <c r="H40" s="91"/>
    </row>
    <row r="41" spans="1:8" x14ac:dyDescent="0.25">
      <c r="A41" s="215">
        <v>41382</v>
      </c>
      <c r="B41" s="349" t="s">
        <v>14</v>
      </c>
      <c r="C41" s="350" t="s">
        <v>12</v>
      </c>
      <c r="D41" s="141" t="s">
        <v>15</v>
      </c>
      <c r="E41" s="97">
        <v>2</v>
      </c>
      <c r="F41" s="946"/>
      <c r="G41" s="95"/>
      <c r="H41" s="91"/>
    </row>
    <row r="42" spans="1:8" x14ac:dyDescent="0.25">
      <c r="A42" s="215">
        <v>41382</v>
      </c>
      <c r="B42" s="349" t="s">
        <v>32</v>
      </c>
      <c r="C42" s="350" t="s">
        <v>12</v>
      </c>
      <c r="D42" s="141" t="s">
        <v>15</v>
      </c>
      <c r="E42" s="97">
        <v>4</v>
      </c>
      <c r="F42" s="946"/>
      <c r="G42" s="95"/>
      <c r="H42" s="91"/>
    </row>
    <row r="43" spans="1:8" x14ac:dyDescent="0.25">
      <c r="A43" s="215">
        <v>41382</v>
      </c>
      <c r="B43" s="349" t="s">
        <v>16</v>
      </c>
      <c r="C43" s="350" t="s">
        <v>12</v>
      </c>
      <c r="D43" s="141" t="s">
        <v>15</v>
      </c>
      <c r="E43" s="97">
        <v>10</v>
      </c>
      <c r="F43" s="946"/>
      <c r="G43" s="95"/>
      <c r="H43" s="91"/>
    </row>
    <row r="44" spans="1:8" x14ac:dyDescent="0.25">
      <c r="A44" s="215">
        <v>41382</v>
      </c>
      <c r="B44" s="862" t="s">
        <v>121</v>
      </c>
      <c r="C44" s="350" t="s">
        <v>12</v>
      </c>
      <c r="D44" s="141" t="s">
        <v>15</v>
      </c>
      <c r="E44" s="97">
        <v>100</v>
      </c>
      <c r="F44" s="946"/>
      <c r="G44" s="95"/>
      <c r="H44" s="91"/>
    </row>
    <row r="45" spans="1:8" x14ac:dyDescent="0.25">
      <c r="A45" s="215">
        <v>41383</v>
      </c>
      <c r="B45" s="349" t="s">
        <v>122</v>
      </c>
      <c r="C45" s="350" t="s">
        <v>12</v>
      </c>
      <c r="D45" s="141" t="s">
        <v>25</v>
      </c>
      <c r="E45" s="97"/>
      <c r="F45" s="946">
        <v>660</v>
      </c>
      <c r="G45" s="95"/>
      <c r="H45" s="91"/>
    </row>
    <row r="46" spans="1:8" s="459" customFormat="1" x14ac:dyDescent="0.25">
      <c r="A46" s="452">
        <v>41383</v>
      </c>
      <c r="B46" s="453" t="s">
        <v>123</v>
      </c>
      <c r="C46" s="454" t="s">
        <v>12</v>
      </c>
      <c r="D46" s="455" t="s">
        <v>15</v>
      </c>
      <c r="E46" s="456"/>
      <c r="F46" s="457"/>
      <c r="G46" s="458"/>
      <c r="H46" s="457"/>
    </row>
    <row r="47" spans="1:8" x14ac:dyDescent="0.25">
      <c r="A47" s="215">
        <v>41383</v>
      </c>
      <c r="B47" s="349" t="s">
        <v>32</v>
      </c>
      <c r="C47" s="350" t="s">
        <v>12</v>
      </c>
      <c r="D47" s="141" t="s">
        <v>15</v>
      </c>
      <c r="E47" s="97">
        <v>4.25</v>
      </c>
      <c r="F47" s="946"/>
      <c r="G47" s="95"/>
      <c r="H47" s="91"/>
    </row>
    <row r="48" spans="1:8" x14ac:dyDescent="0.25">
      <c r="A48" s="215">
        <v>41383</v>
      </c>
      <c r="B48" s="349" t="s">
        <v>16</v>
      </c>
      <c r="C48" s="350" t="s">
        <v>12</v>
      </c>
      <c r="D48" s="141" t="s">
        <v>15</v>
      </c>
      <c r="E48" s="97">
        <v>10</v>
      </c>
      <c r="F48" s="946"/>
      <c r="G48" s="95"/>
      <c r="H48" s="91"/>
    </row>
    <row r="49" spans="1:8" x14ac:dyDescent="0.25">
      <c r="A49" s="215">
        <v>41383</v>
      </c>
      <c r="B49" s="349" t="s">
        <v>124</v>
      </c>
      <c r="C49" s="350" t="s">
        <v>12</v>
      </c>
      <c r="D49" s="141" t="s">
        <v>15</v>
      </c>
      <c r="E49" s="97">
        <v>15</v>
      </c>
      <c r="F49" s="946"/>
      <c r="G49" s="95"/>
      <c r="H49" s="91"/>
    </row>
    <row r="50" spans="1:8" x14ac:dyDescent="0.25">
      <c r="A50" s="215">
        <v>41383</v>
      </c>
      <c r="B50" s="349" t="s">
        <v>124</v>
      </c>
      <c r="C50" s="350" t="s">
        <v>12</v>
      </c>
      <c r="D50" s="141" t="s">
        <v>15</v>
      </c>
      <c r="E50" s="97">
        <v>5</v>
      </c>
      <c r="F50" s="946"/>
      <c r="G50" s="95"/>
      <c r="H50" s="91"/>
    </row>
    <row r="51" spans="1:8" x14ac:dyDescent="0.25">
      <c r="A51" s="215">
        <v>41383</v>
      </c>
      <c r="B51" s="349" t="s">
        <v>125</v>
      </c>
      <c r="C51" s="350" t="s">
        <v>12</v>
      </c>
      <c r="D51" s="141" t="s">
        <v>13</v>
      </c>
      <c r="E51" s="97">
        <v>45</v>
      </c>
      <c r="F51" s="946"/>
      <c r="G51" s="95"/>
      <c r="H51" s="91"/>
    </row>
    <row r="52" spans="1:8" x14ac:dyDescent="0.25">
      <c r="A52" s="215">
        <v>41383</v>
      </c>
      <c r="B52" s="349" t="s">
        <v>126</v>
      </c>
      <c r="C52" s="350" t="s">
        <v>12</v>
      </c>
      <c r="D52" s="141" t="s">
        <v>15</v>
      </c>
      <c r="E52" s="97">
        <v>135</v>
      </c>
      <c r="F52" s="946"/>
      <c r="G52" s="95"/>
      <c r="H52" s="91"/>
    </row>
    <row r="53" spans="1:8" x14ac:dyDescent="0.25">
      <c r="A53" s="215">
        <v>41384</v>
      </c>
      <c r="B53" s="349" t="s">
        <v>16</v>
      </c>
      <c r="C53" s="350" t="s">
        <v>12</v>
      </c>
      <c r="D53" s="141" t="s">
        <v>15</v>
      </c>
      <c r="E53" s="97">
        <v>10</v>
      </c>
      <c r="F53" s="946"/>
      <c r="G53" s="95"/>
      <c r="H53" s="91"/>
    </row>
    <row r="54" spans="1:8" x14ac:dyDescent="0.25">
      <c r="A54" s="215">
        <v>41385</v>
      </c>
      <c r="B54" s="349" t="s">
        <v>127</v>
      </c>
      <c r="C54" s="350" t="s">
        <v>12</v>
      </c>
      <c r="D54" s="141" t="s">
        <v>13</v>
      </c>
      <c r="E54" s="97">
        <v>4.7</v>
      </c>
      <c r="F54" s="946"/>
      <c r="G54" s="95"/>
      <c r="H54" s="91"/>
    </row>
    <row r="55" spans="1:8" x14ac:dyDescent="0.25">
      <c r="A55" s="215">
        <v>41385</v>
      </c>
      <c r="B55" s="349" t="s">
        <v>128</v>
      </c>
      <c r="C55" s="350" t="s">
        <v>12</v>
      </c>
      <c r="D55" s="141" t="s">
        <v>13</v>
      </c>
      <c r="E55" s="97">
        <v>6.6</v>
      </c>
      <c r="F55" s="946"/>
      <c r="G55" s="95"/>
      <c r="H55" s="91"/>
    </row>
    <row r="56" spans="1:8" x14ac:dyDescent="0.25">
      <c r="A56" s="215">
        <v>41385</v>
      </c>
      <c r="B56" s="349" t="s">
        <v>14</v>
      </c>
      <c r="C56" s="350" t="s">
        <v>12</v>
      </c>
      <c r="D56" s="141" t="s">
        <v>15</v>
      </c>
      <c r="E56" s="97">
        <v>3</v>
      </c>
      <c r="F56" s="946"/>
      <c r="G56" s="95"/>
      <c r="H56" s="91"/>
    </row>
    <row r="57" spans="1:8" x14ac:dyDescent="0.25">
      <c r="A57" s="215">
        <v>41385</v>
      </c>
      <c r="B57" s="349" t="s">
        <v>129</v>
      </c>
      <c r="C57" s="350" t="s">
        <v>12</v>
      </c>
      <c r="D57" s="141" t="s">
        <v>15</v>
      </c>
      <c r="E57" s="97">
        <v>8</v>
      </c>
      <c r="F57" s="946"/>
      <c r="G57" s="95"/>
      <c r="H57" s="91"/>
    </row>
    <row r="58" spans="1:8" x14ac:dyDescent="0.25">
      <c r="A58" s="215">
        <v>41386</v>
      </c>
      <c r="B58" s="349" t="s">
        <v>32</v>
      </c>
      <c r="C58" s="350" t="s">
        <v>12</v>
      </c>
      <c r="D58" s="141" t="s">
        <v>15</v>
      </c>
      <c r="E58" s="97">
        <v>5</v>
      </c>
      <c r="F58" s="946"/>
      <c r="G58" s="95"/>
      <c r="H58" s="91"/>
    </row>
    <row r="59" spans="1:8" x14ac:dyDescent="0.25">
      <c r="A59" s="215">
        <v>41386</v>
      </c>
      <c r="B59" s="349" t="s">
        <v>38</v>
      </c>
      <c r="C59" s="350" t="s">
        <v>12</v>
      </c>
      <c r="D59" s="141" t="s">
        <v>15</v>
      </c>
      <c r="E59" s="97">
        <v>13</v>
      </c>
      <c r="F59" s="946"/>
      <c r="G59" s="95"/>
      <c r="H59" s="91"/>
    </row>
    <row r="60" spans="1:8" x14ac:dyDescent="0.25">
      <c r="A60" s="215">
        <v>41386</v>
      </c>
      <c r="B60" s="349" t="s">
        <v>130</v>
      </c>
      <c r="C60" s="350" t="s">
        <v>12</v>
      </c>
      <c r="D60" s="141" t="s">
        <v>13</v>
      </c>
      <c r="E60" s="97">
        <v>100</v>
      </c>
      <c r="F60" s="946"/>
      <c r="G60" s="95"/>
      <c r="H60" s="91"/>
    </row>
    <row r="61" spans="1:8" x14ac:dyDescent="0.25">
      <c r="A61" s="215">
        <v>41386</v>
      </c>
      <c r="B61" s="349" t="s">
        <v>16</v>
      </c>
      <c r="C61" s="350" t="s">
        <v>12</v>
      </c>
      <c r="D61" s="141" t="s">
        <v>13</v>
      </c>
      <c r="E61" s="97">
        <v>10</v>
      </c>
      <c r="F61" s="946"/>
      <c r="G61" s="95"/>
      <c r="H61" s="91"/>
    </row>
    <row r="62" spans="1:8" x14ac:dyDescent="0.25">
      <c r="A62" s="215">
        <v>41386</v>
      </c>
      <c r="B62" s="349" t="s">
        <v>131</v>
      </c>
      <c r="C62" s="350" t="s">
        <v>12</v>
      </c>
      <c r="D62" s="141" t="s">
        <v>13</v>
      </c>
      <c r="E62" s="97">
        <v>2.1</v>
      </c>
      <c r="F62" s="946"/>
      <c r="G62" s="95"/>
      <c r="H62" s="91"/>
    </row>
    <row r="63" spans="1:8" s="224" customFormat="1" x14ac:dyDescent="0.25">
      <c r="A63" s="215">
        <v>41387</v>
      </c>
      <c r="B63" s="862" t="s">
        <v>32</v>
      </c>
      <c r="C63" s="879" t="s">
        <v>12</v>
      </c>
      <c r="D63" s="887" t="s">
        <v>15</v>
      </c>
      <c r="E63" s="250">
        <v>4</v>
      </c>
      <c r="F63" s="1473"/>
      <c r="G63" s="252"/>
      <c r="H63" s="251"/>
    </row>
    <row r="64" spans="1:8" s="224" customFormat="1" x14ac:dyDescent="0.25">
      <c r="A64" s="215">
        <v>41387</v>
      </c>
      <c r="B64" s="862" t="s">
        <v>14</v>
      </c>
      <c r="C64" s="879" t="s">
        <v>12</v>
      </c>
      <c r="D64" s="887" t="s">
        <v>15</v>
      </c>
      <c r="E64" s="250">
        <v>2.2999999999999998</v>
      </c>
      <c r="F64" s="1473"/>
      <c r="G64" s="252"/>
      <c r="H64" s="251"/>
    </row>
    <row r="65" spans="1:8" s="224" customFormat="1" x14ac:dyDescent="0.25">
      <c r="A65" s="215">
        <v>41388</v>
      </c>
      <c r="B65" s="862" t="s">
        <v>32</v>
      </c>
      <c r="C65" s="105" t="s">
        <v>12</v>
      </c>
      <c r="D65" s="887" t="s">
        <v>15</v>
      </c>
      <c r="E65" s="250">
        <v>5</v>
      </c>
      <c r="F65" s="1473"/>
      <c r="G65" s="252"/>
      <c r="H65" s="251"/>
    </row>
    <row r="66" spans="1:8" s="224" customFormat="1" x14ac:dyDescent="0.25">
      <c r="A66" s="215">
        <v>41388</v>
      </c>
      <c r="B66" s="862" t="s">
        <v>16</v>
      </c>
      <c r="C66" s="105" t="s">
        <v>12</v>
      </c>
      <c r="D66" s="887" t="s">
        <v>15</v>
      </c>
      <c r="E66" s="250">
        <v>10</v>
      </c>
      <c r="F66" s="1473"/>
      <c r="G66" s="252"/>
      <c r="H66" s="251"/>
    </row>
    <row r="67" spans="1:8" s="224" customFormat="1" x14ac:dyDescent="0.25">
      <c r="A67" s="215">
        <v>41388</v>
      </c>
      <c r="B67" s="862" t="s">
        <v>132</v>
      </c>
      <c r="C67" s="105" t="s">
        <v>12</v>
      </c>
      <c r="D67" s="887" t="s">
        <v>25</v>
      </c>
      <c r="E67" s="250"/>
      <c r="F67" s="1473">
        <v>33.270000000000003</v>
      </c>
      <c r="G67" s="252"/>
      <c r="H67" s="251"/>
    </row>
    <row r="68" spans="1:8" s="224" customFormat="1" x14ac:dyDescent="0.25">
      <c r="A68" s="215">
        <v>41389</v>
      </c>
      <c r="B68" s="862" t="s">
        <v>32</v>
      </c>
      <c r="C68" s="105" t="s">
        <v>12</v>
      </c>
      <c r="D68" s="887" t="s">
        <v>15</v>
      </c>
      <c r="E68" s="250">
        <v>5.5</v>
      </c>
      <c r="F68" s="1473"/>
      <c r="G68" s="252"/>
      <c r="H68" s="251"/>
    </row>
    <row r="69" spans="1:8" x14ac:dyDescent="0.25">
      <c r="A69" s="215">
        <v>41390</v>
      </c>
      <c r="B69" s="364" t="s">
        <v>32</v>
      </c>
      <c r="C69" s="350" t="s">
        <v>12</v>
      </c>
      <c r="D69" s="141" t="s">
        <v>15</v>
      </c>
      <c r="E69" s="97">
        <v>5.5</v>
      </c>
      <c r="F69" s="946"/>
      <c r="G69" s="95"/>
      <c r="H69" s="91"/>
    </row>
    <row r="70" spans="1:8" x14ac:dyDescent="0.25">
      <c r="A70" s="215">
        <v>41390</v>
      </c>
      <c r="B70" s="349" t="s">
        <v>133</v>
      </c>
      <c r="C70" s="352" t="s">
        <v>12</v>
      </c>
      <c r="D70" s="142" t="s">
        <v>15</v>
      </c>
      <c r="E70" s="97">
        <v>10</v>
      </c>
      <c r="F70" s="946"/>
      <c r="G70" s="95"/>
      <c r="H70" s="91"/>
    </row>
    <row r="71" spans="1:8" x14ac:dyDescent="0.25">
      <c r="A71" s="215">
        <v>41390</v>
      </c>
      <c r="B71" s="364" t="s">
        <v>80</v>
      </c>
      <c r="C71" s="350" t="s">
        <v>12</v>
      </c>
      <c r="D71" s="141" t="s">
        <v>15</v>
      </c>
      <c r="E71" s="97">
        <v>13</v>
      </c>
      <c r="F71" s="946"/>
      <c r="G71" s="95"/>
      <c r="H71" s="91"/>
    </row>
    <row r="72" spans="1:8" x14ac:dyDescent="0.25">
      <c r="A72" s="215">
        <v>41390</v>
      </c>
      <c r="B72" s="349" t="s">
        <v>16</v>
      </c>
      <c r="C72" s="352" t="s">
        <v>12</v>
      </c>
      <c r="D72" s="142" t="s">
        <v>15</v>
      </c>
      <c r="E72" s="97">
        <v>10</v>
      </c>
      <c r="F72" s="946"/>
      <c r="G72" s="95"/>
      <c r="H72" s="91"/>
    </row>
    <row r="73" spans="1:8" x14ac:dyDescent="0.25">
      <c r="A73" s="215">
        <v>41391</v>
      </c>
      <c r="B73" s="349" t="s">
        <v>14</v>
      </c>
      <c r="C73" s="352" t="s">
        <v>12</v>
      </c>
      <c r="D73" s="142" t="s">
        <v>13</v>
      </c>
      <c r="E73" s="97">
        <v>9</v>
      </c>
      <c r="F73" s="946"/>
      <c r="G73" s="95"/>
      <c r="H73" s="91"/>
    </row>
    <row r="74" spans="1:8" x14ac:dyDescent="0.25">
      <c r="A74" s="215">
        <v>41392</v>
      </c>
      <c r="B74" s="349" t="s">
        <v>134</v>
      </c>
      <c r="C74" s="352" t="s">
        <v>12</v>
      </c>
      <c r="D74" s="142" t="s">
        <v>15</v>
      </c>
      <c r="E74" s="97">
        <v>8.5</v>
      </c>
      <c r="F74" s="946"/>
      <c r="G74" s="95"/>
      <c r="H74" s="91"/>
    </row>
    <row r="75" spans="1:8" x14ac:dyDescent="0.25">
      <c r="A75" s="215">
        <v>41393</v>
      </c>
      <c r="B75" s="364" t="s">
        <v>16</v>
      </c>
      <c r="C75" s="350" t="s">
        <v>12</v>
      </c>
      <c r="D75" s="141" t="s">
        <v>15</v>
      </c>
      <c r="E75" s="97">
        <v>10</v>
      </c>
      <c r="F75" s="946"/>
      <c r="G75" s="95"/>
      <c r="H75" s="91"/>
    </row>
    <row r="76" spans="1:8" x14ac:dyDescent="0.25">
      <c r="A76" s="215">
        <v>41393</v>
      </c>
      <c r="B76" s="364" t="s">
        <v>32</v>
      </c>
      <c r="C76" s="350" t="s">
        <v>12</v>
      </c>
      <c r="D76" s="141" t="s">
        <v>15</v>
      </c>
      <c r="E76" s="97">
        <v>5.5</v>
      </c>
      <c r="F76" s="946"/>
      <c r="G76" s="95"/>
      <c r="H76" s="91"/>
    </row>
    <row r="77" spans="1:8" x14ac:dyDescent="0.25">
      <c r="A77" s="215">
        <v>41393</v>
      </c>
      <c r="B77" s="349" t="s">
        <v>14</v>
      </c>
      <c r="C77" s="352" t="s">
        <v>12</v>
      </c>
      <c r="D77" s="142" t="s">
        <v>13</v>
      </c>
      <c r="E77" s="97">
        <v>2</v>
      </c>
      <c r="F77" s="946"/>
      <c r="G77" s="95"/>
      <c r="H77" s="91"/>
    </row>
    <row r="78" spans="1:8" x14ac:dyDescent="0.25">
      <c r="A78" s="215">
        <v>41394</v>
      </c>
      <c r="B78" s="349" t="s">
        <v>32</v>
      </c>
      <c r="C78" s="352" t="s">
        <v>12</v>
      </c>
      <c r="D78" s="142" t="s">
        <v>15</v>
      </c>
      <c r="E78" s="97">
        <v>4</v>
      </c>
      <c r="F78" s="946"/>
      <c r="G78" s="95"/>
      <c r="H78" s="91"/>
    </row>
    <row r="79" spans="1:8" ht="15.75" thickBot="1" x14ac:dyDescent="0.3">
      <c r="A79" s="215">
        <v>41394</v>
      </c>
      <c r="B79" s="349" t="s">
        <v>16</v>
      </c>
      <c r="C79" s="352" t="s">
        <v>12</v>
      </c>
      <c r="D79" s="142" t="s">
        <v>15</v>
      </c>
      <c r="E79" s="97">
        <v>10</v>
      </c>
      <c r="F79" s="946"/>
      <c r="G79" s="95"/>
      <c r="H79" s="91"/>
    </row>
    <row r="80" spans="1:8" ht="25.5" customHeight="1" thickBot="1" x14ac:dyDescent="0.3">
      <c r="A80" s="3060"/>
      <c r="B80" s="3061"/>
      <c r="C80" s="3062"/>
      <c r="D80" s="3062"/>
      <c r="E80" s="100">
        <f>SUM(E5:E79)</f>
        <v>1568.5499999999997</v>
      </c>
      <c r="F80" s="1065" t="e">
        <f>SUM(F5:F79)</f>
        <v>#REF!</v>
      </c>
      <c r="G80" s="101">
        <f>SUM(G5:G79)</f>
        <v>0</v>
      </c>
      <c r="H80" s="93">
        <f>SUM(H5:H79)</f>
        <v>0</v>
      </c>
    </row>
    <row r="81" spans="1:8" ht="25.5" customHeight="1" thickBot="1" x14ac:dyDescent="0.3">
      <c r="A81" s="3092" t="s">
        <v>135</v>
      </c>
      <c r="B81" s="3078"/>
      <c r="C81" s="3078"/>
      <c r="D81" s="3078"/>
      <c r="E81" s="102"/>
      <c r="F81" s="1478" t="e">
        <f>F80-E80</f>
        <v>#REF!</v>
      </c>
      <c r="G81" s="104"/>
      <c r="H81" s="103">
        <f>H80-G80</f>
        <v>0</v>
      </c>
    </row>
    <row r="83" spans="1:8" x14ac:dyDescent="0.25">
      <c r="B83" s="79" t="s">
        <v>32</v>
      </c>
      <c r="C83" s="176">
        <v>97.75</v>
      </c>
    </row>
    <row r="84" spans="1:8" x14ac:dyDescent="0.25">
      <c r="B84" s="79" t="s">
        <v>16</v>
      </c>
      <c r="C84" s="176">
        <v>200</v>
      </c>
    </row>
    <row r="85" spans="1:8" x14ac:dyDescent="0.25">
      <c r="B85" s="79" t="s">
        <v>50</v>
      </c>
      <c r="C85" s="176">
        <v>35.75</v>
      </c>
    </row>
    <row r="86" spans="1:8" x14ac:dyDescent="0.25">
      <c r="B86" s="79" t="s">
        <v>14</v>
      </c>
      <c r="C86" s="178">
        <v>23</v>
      </c>
    </row>
    <row r="87" spans="1:8" x14ac:dyDescent="0.25">
      <c r="B87" s="79" t="s">
        <v>51</v>
      </c>
      <c r="C87" s="178">
        <v>74.849999999999994</v>
      </c>
      <c r="D87" s="79"/>
      <c r="E87" s="79"/>
    </row>
    <row r="88" spans="1:8" x14ac:dyDescent="0.25">
      <c r="B88" s="79" t="s">
        <v>52</v>
      </c>
      <c r="C88" s="178">
        <v>50</v>
      </c>
      <c r="D88" s="79"/>
      <c r="E88" s="79"/>
    </row>
    <row r="89" spans="1:8" x14ac:dyDescent="0.25">
      <c r="B89" s="867" t="s">
        <v>53</v>
      </c>
      <c r="C89" s="178">
        <v>246</v>
      </c>
      <c r="D89" s="79"/>
      <c r="E89" s="79"/>
    </row>
    <row r="90" spans="1:8" x14ac:dyDescent="0.25">
      <c r="B90" s="79" t="s">
        <v>54</v>
      </c>
      <c r="C90" s="178"/>
      <c r="D90" s="79"/>
      <c r="E90" s="79"/>
    </row>
    <row r="91" spans="1:8" x14ac:dyDescent="0.25">
      <c r="B91" s="79" t="s">
        <v>136</v>
      </c>
      <c r="C91" s="178">
        <v>93</v>
      </c>
      <c r="D91" s="79"/>
      <c r="E91" s="79"/>
    </row>
    <row r="92" spans="1:8" x14ac:dyDescent="0.25">
      <c r="B92" s="79" t="s">
        <v>57</v>
      </c>
      <c r="C92" s="178">
        <v>109.2</v>
      </c>
      <c r="D92" s="79"/>
      <c r="E92" s="79"/>
    </row>
  </sheetData>
  <autoFilter ref="A2:H81" xr:uid="{00000000-0009-0000-0000-000003000000}">
    <filterColumn colId="4" showButton="0"/>
    <filterColumn colId="6" showButton="0"/>
  </autoFilter>
  <mergeCells count="10">
    <mergeCell ref="A81:D81"/>
    <mergeCell ref="A1:D1"/>
    <mergeCell ref="A80:D80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32"/>
  <dimension ref="A1:H92"/>
  <sheetViews>
    <sheetView zoomScale="90" zoomScaleNormal="90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137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41395</v>
      </c>
      <c r="B5" s="369" t="s">
        <v>10</v>
      </c>
      <c r="C5" s="370"/>
      <c r="D5" s="207"/>
      <c r="E5" s="179"/>
      <c r="F5" s="933" t="e">
        <f>'Abril 13'!F81</f>
        <v>#REF!</v>
      </c>
      <c r="G5" s="163"/>
      <c r="H5" s="98"/>
    </row>
    <row r="6" spans="1:8" s="224" customFormat="1" x14ac:dyDescent="0.25">
      <c r="A6" s="215">
        <v>41395</v>
      </c>
      <c r="B6" s="348" t="s">
        <v>11</v>
      </c>
      <c r="C6" s="351" t="s">
        <v>12</v>
      </c>
      <c r="D6" s="248" t="s">
        <v>13</v>
      </c>
      <c r="E6" s="250"/>
      <c r="F6" s="1473"/>
      <c r="G6" s="252"/>
      <c r="H6" s="251"/>
    </row>
    <row r="7" spans="1:8" s="224" customFormat="1" x14ac:dyDescent="0.25">
      <c r="A7" s="215">
        <v>41395</v>
      </c>
      <c r="B7" s="873" t="s">
        <v>14</v>
      </c>
      <c r="C7" s="879" t="s">
        <v>12</v>
      </c>
      <c r="D7" s="887" t="s">
        <v>15</v>
      </c>
      <c r="E7" s="250">
        <v>4</v>
      </c>
      <c r="F7" s="1473"/>
      <c r="G7" s="252"/>
      <c r="H7" s="251"/>
    </row>
    <row r="8" spans="1:8" s="224" customFormat="1" x14ac:dyDescent="0.25">
      <c r="A8" s="215">
        <v>41396</v>
      </c>
      <c r="B8" s="1474" t="s">
        <v>32</v>
      </c>
      <c r="C8" s="879" t="s">
        <v>12</v>
      </c>
      <c r="D8" s="1475" t="s">
        <v>15</v>
      </c>
      <c r="E8" s="250">
        <v>4</v>
      </c>
      <c r="F8" s="1473"/>
      <c r="G8" s="252"/>
      <c r="H8" s="251"/>
    </row>
    <row r="9" spans="1:8" s="224" customFormat="1" x14ac:dyDescent="0.25">
      <c r="A9" s="215">
        <v>41396</v>
      </c>
      <c r="B9" s="1474" t="s">
        <v>138</v>
      </c>
      <c r="C9" s="879" t="s">
        <v>12</v>
      </c>
      <c r="D9" s="1475" t="s">
        <v>15</v>
      </c>
      <c r="E9" s="250">
        <v>10</v>
      </c>
      <c r="F9" s="1473"/>
      <c r="G9" s="252"/>
      <c r="H9" s="251"/>
    </row>
    <row r="10" spans="1:8" s="224" customFormat="1" x14ac:dyDescent="0.25">
      <c r="A10" s="215">
        <v>41397</v>
      </c>
      <c r="B10" s="873" t="s">
        <v>32</v>
      </c>
      <c r="C10" s="879" t="s">
        <v>12</v>
      </c>
      <c r="D10" s="887" t="s">
        <v>15</v>
      </c>
      <c r="E10" s="250">
        <v>6.25</v>
      </c>
      <c r="F10" s="1473"/>
      <c r="G10" s="252"/>
      <c r="H10" s="251"/>
    </row>
    <row r="11" spans="1:8" s="224" customFormat="1" x14ac:dyDescent="0.25">
      <c r="A11" s="215">
        <v>41398</v>
      </c>
      <c r="B11" s="1474" t="s">
        <v>139</v>
      </c>
      <c r="C11" s="879" t="s">
        <v>12</v>
      </c>
      <c r="D11" s="1475" t="s">
        <v>15</v>
      </c>
      <c r="E11" s="250">
        <v>5</v>
      </c>
      <c r="F11" s="1473"/>
      <c r="G11" s="252"/>
      <c r="H11" s="251"/>
    </row>
    <row r="12" spans="1:8" s="224" customFormat="1" x14ac:dyDescent="0.25">
      <c r="A12" s="215">
        <v>41399</v>
      </c>
      <c r="B12" s="873" t="s">
        <v>138</v>
      </c>
      <c r="C12" s="879" t="s">
        <v>12</v>
      </c>
      <c r="D12" s="887" t="s">
        <v>13</v>
      </c>
      <c r="E12" s="250">
        <v>10</v>
      </c>
      <c r="F12" s="1473"/>
      <c r="G12" s="252"/>
      <c r="H12" s="251"/>
    </row>
    <row r="13" spans="1:8" s="224" customFormat="1" x14ac:dyDescent="0.25">
      <c r="A13" s="215">
        <v>41399</v>
      </c>
      <c r="B13" s="873" t="s">
        <v>14</v>
      </c>
      <c r="C13" s="879" t="s">
        <v>12</v>
      </c>
      <c r="D13" s="887" t="s">
        <v>15</v>
      </c>
      <c r="E13" s="250">
        <v>4</v>
      </c>
      <c r="F13" s="1473"/>
      <c r="G13" s="252"/>
      <c r="H13" s="251"/>
    </row>
    <row r="14" spans="1:8" s="224" customFormat="1" x14ac:dyDescent="0.25">
      <c r="A14" s="215">
        <v>41399</v>
      </c>
      <c r="B14" s="873" t="s">
        <v>140</v>
      </c>
      <c r="C14" s="879" t="s">
        <v>12</v>
      </c>
      <c r="D14" s="887" t="s">
        <v>15</v>
      </c>
      <c r="E14" s="250">
        <v>2.5</v>
      </c>
      <c r="F14" s="1473"/>
      <c r="G14" s="252"/>
      <c r="H14" s="251"/>
    </row>
    <row r="15" spans="1:8" s="224" customFormat="1" x14ac:dyDescent="0.25">
      <c r="A15" s="215">
        <v>41400</v>
      </c>
      <c r="B15" s="873" t="s">
        <v>32</v>
      </c>
      <c r="C15" s="879" t="s">
        <v>12</v>
      </c>
      <c r="D15" s="887" t="s">
        <v>15</v>
      </c>
      <c r="E15" s="250">
        <v>5.5</v>
      </c>
      <c r="F15" s="1473"/>
      <c r="G15" s="252"/>
      <c r="H15" s="251"/>
    </row>
    <row r="16" spans="1:8" s="224" customFormat="1" x14ac:dyDescent="0.25">
      <c r="A16" s="215">
        <v>41401</v>
      </c>
      <c r="B16" s="349" t="s">
        <v>141</v>
      </c>
      <c r="C16" s="879" t="s">
        <v>12</v>
      </c>
      <c r="D16" s="983" t="s">
        <v>25</v>
      </c>
      <c r="E16" s="250"/>
      <c r="F16" s="1473">
        <v>833.81</v>
      </c>
      <c r="G16" s="252"/>
      <c r="H16" s="251"/>
    </row>
    <row r="17" spans="1:8" s="224" customFormat="1" x14ac:dyDescent="0.25">
      <c r="A17" s="215">
        <v>41401</v>
      </c>
      <c r="B17" s="882" t="s">
        <v>142</v>
      </c>
      <c r="C17" s="879" t="s">
        <v>12</v>
      </c>
      <c r="D17" s="887" t="s">
        <v>13</v>
      </c>
      <c r="E17" s="250">
        <v>37.75</v>
      </c>
      <c r="F17" s="1473"/>
      <c r="G17" s="252"/>
      <c r="H17" s="251"/>
    </row>
    <row r="18" spans="1:8" s="224" customFormat="1" x14ac:dyDescent="0.25">
      <c r="A18" s="215">
        <v>41401</v>
      </c>
      <c r="B18" s="882" t="s">
        <v>143</v>
      </c>
      <c r="C18" s="879" t="s">
        <v>12</v>
      </c>
      <c r="D18" s="887" t="s">
        <v>13</v>
      </c>
      <c r="E18" s="250">
        <v>46.67</v>
      </c>
      <c r="F18" s="1473"/>
      <c r="G18" s="252"/>
      <c r="H18" s="251"/>
    </row>
    <row r="19" spans="1:8" s="316" customFormat="1" x14ac:dyDescent="0.25">
      <c r="A19" s="215">
        <v>41401</v>
      </c>
      <c r="B19" s="862" t="s">
        <v>31</v>
      </c>
      <c r="C19" s="879" t="s">
        <v>12</v>
      </c>
      <c r="D19" s="957" t="s">
        <v>15</v>
      </c>
      <c r="E19" s="250">
        <v>50</v>
      </c>
      <c r="F19" s="1473"/>
      <c r="G19" s="1476"/>
      <c r="H19" s="1473"/>
    </row>
    <row r="20" spans="1:8" s="316" customFormat="1" x14ac:dyDescent="0.25">
      <c r="A20" s="215">
        <v>41401</v>
      </c>
      <c r="B20" s="862" t="s">
        <v>144</v>
      </c>
      <c r="C20" s="879" t="s">
        <v>12</v>
      </c>
      <c r="D20" s="957" t="s">
        <v>15</v>
      </c>
      <c r="E20" s="250">
        <v>200</v>
      </c>
      <c r="F20" s="1473"/>
      <c r="G20" s="1476"/>
      <c r="H20" s="1473"/>
    </row>
    <row r="21" spans="1:8" x14ac:dyDescent="0.25">
      <c r="A21" s="215">
        <v>41401</v>
      </c>
      <c r="B21" s="1477" t="s">
        <v>145</v>
      </c>
      <c r="C21" s="105" t="s">
        <v>12</v>
      </c>
      <c r="D21" s="105" t="s">
        <v>13</v>
      </c>
      <c r="E21" s="96">
        <v>376.69</v>
      </c>
      <c r="F21" s="946"/>
      <c r="G21" s="95"/>
      <c r="H21" s="91"/>
    </row>
    <row r="22" spans="1:8" s="316" customFormat="1" x14ac:dyDescent="0.25">
      <c r="A22" s="215">
        <v>41401</v>
      </c>
      <c r="B22" s="862" t="s">
        <v>146</v>
      </c>
      <c r="C22" s="879" t="s">
        <v>12</v>
      </c>
      <c r="D22" s="957" t="s">
        <v>15</v>
      </c>
      <c r="E22" s="250">
        <v>108.75</v>
      </c>
      <c r="F22" s="1473"/>
      <c r="G22" s="1476"/>
      <c r="H22" s="1473"/>
    </row>
    <row r="23" spans="1:8" x14ac:dyDescent="0.25">
      <c r="A23" s="215">
        <v>41401</v>
      </c>
      <c r="B23" s="349" t="s">
        <v>32</v>
      </c>
      <c r="C23" s="350" t="s">
        <v>12</v>
      </c>
      <c r="D23" s="141" t="s">
        <v>15</v>
      </c>
      <c r="E23" s="97">
        <v>4.75</v>
      </c>
      <c r="F23" s="946"/>
      <c r="G23" s="95"/>
      <c r="H23" s="91"/>
    </row>
    <row r="24" spans="1:8" x14ac:dyDescent="0.25">
      <c r="A24" s="215">
        <v>41401</v>
      </c>
      <c r="B24" s="349" t="s">
        <v>138</v>
      </c>
      <c r="C24" s="350" t="s">
        <v>12</v>
      </c>
      <c r="D24" s="141" t="s">
        <v>13</v>
      </c>
      <c r="E24" s="97">
        <v>10</v>
      </c>
      <c r="F24" s="946"/>
      <c r="G24" s="95"/>
      <c r="H24" s="91"/>
    </row>
    <row r="25" spans="1:8" x14ac:dyDescent="0.25">
      <c r="A25" s="215">
        <v>41401</v>
      </c>
      <c r="B25" s="349" t="s">
        <v>120</v>
      </c>
      <c r="C25" s="350" t="s">
        <v>12</v>
      </c>
      <c r="D25" s="141" t="s">
        <v>13</v>
      </c>
      <c r="E25" s="97">
        <v>11</v>
      </c>
      <c r="F25" s="946"/>
      <c r="G25" s="95"/>
      <c r="H25" s="91"/>
    </row>
    <row r="26" spans="1:8" x14ac:dyDescent="0.25">
      <c r="A26" s="215">
        <v>41401</v>
      </c>
      <c r="B26" s="349" t="s">
        <v>147</v>
      </c>
      <c r="C26" s="350" t="s">
        <v>12</v>
      </c>
      <c r="D26" s="141" t="s">
        <v>15</v>
      </c>
      <c r="E26" s="97">
        <v>8</v>
      </c>
      <c r="F26" s="946"/>
      <c r="G26" s="95"/>
      <c r="H26" s="91"/>
    </row>
    <row r="27" spans="1:8" x14ac:dyDescent="0.25">
      <c r="A27" s="215">
        <v>41402</v>
      </c>
      <c r="B27" s="349" t="s">
        <v>32</v>
      </c>
      <c r="C27" s="350" t="s">
        <v>12</v>
      </c>
      <c r="D27" s="141" t="s">
        <v>15</v>
      </c>
      <c r="E27" s="97">
        <v>4</v>
      </c>
      <c r="F27" s="946"/>
      <c r="G27" s="95"/>
      <c r="H27" s="91"/>
    </row>
    <row r="28" spans="1:8" x14ac:dyDescent="0.25">
      <c r="A28" s="215">
        <v>41402</v>
      </c>
      <c r="B28" s="349" t="s">
        <v>103</v>
      </c>
      <c r="C28" s="350" t="s">
        <v>12</v>
      </c>
      <c r="D28" s="141" t="s">
        <v>15</v>
      </c>
      <c r="E28" s="97">
        <v>3.5</v>
      </c>
      <c r="F28" s="946"/>
      <c r="G28" s="95"/>
      <c r="H28" s="91"/>
    </row>
    <row r="29" spans="1:8" x14ac:dyDescent="0.25">
      <c r="A29" s="215">
        <v>41403</v>
      </c>
      <c r="B29" s="349" t="s">
        <v>32</v>
      </c>
      <c r="C29" s="350" t="s">
        <v>12</v>
      </c>
      <c r="D29" s="141" t="s">
        <v>15</v>
      </c>
      <c r="E29" s="97">
        <v>5.5</v>
      </c>
      <c r="F29" s="946"/>
      <c r="G29" s="95"/>
      <c r="H29" s="91"/>
    </row>
    <row r="30" spans="1:8" x14ac:dyDescent="0.25">
      <c r="A30" s="215">
        <v>41403</v>
      </c>
      <c r="B30" s="349" t="s">
        <v>138</v>
      </c>
      <c r="C30" s="350" t="s">
        <v>12</v>
      </c>
      <c r="D30" s="141" t="s">
        <v>15</v>
      </c>
      <c r="E30" s="97">
        <v>10</v>
      </c>
      <c r="F30" s="946"/>
      <c r="G30" s="95"/>
      <c r="H30" s="91"/>
    </row>
    <row r="31" spans="1:8" s="224" customFormat="1" x14ac:dyDescent="0.25">
      <c r="A31" s="215">
        <v>41404</v>
      </c>
      <c r="B31" s="862" t="s">
        <v>32</v>
      </c>
      <c r="C31" s="879" t="s">
        <v>12</v>
      </c>
      <c r="D31" s="887" t="s">
        <v>15</v>
      </c>
      <c r="E31" s="250">
        <v>5.5</v>
      </c>
      <c r="F31" s="1473"/>
      <c r="G31" s="252"/>
      <c r="H31" s="251"/>
    </row>
    <row r="32" spans="1:8" s="224" customFormat="1" x14ac:dyDescent="0.25">
      <c r="A32" s="215">
        <v>41404</v>
      </c>
      <c r="B32" s="862" t="s">
        <v>80</v>
      </c>
      <c r="C32" s="879" t="s">
        <v>12</v>
      </c>
      <c r="D32" s="887" t="s">
        <v>15</v>
      </c>
      <c r="E32" s="250">
        <v>18</v>
      </c>
      <c r="F32" s="1473"/>
      <c r="G32" s="252"/>
      <c r="H32" s="251"/>
    </row>
    <row r="33" spans="1:8" s="224" customFormat="1" x14ac:dyDescent="0.25">
      <c r="A33" s="215">
        <v>41405</v>
      </c>
      <c r="B33" s="862" t="s">
        <v>138</v>
      </c>
      <c r="C33" s="879" t="s">
        <v>12</v>
      </c>
      <c r="D33" s="887" t="s">
        <v>15</v>
      </c>
      <c r="E33" s="250">
        <v>10</v>
      </c>
      <c r="F33" s="1473"/>
      <c r="G33" s="252"/>
      <c r="H33" s="251"/>
    </row>
    <row r="34" spans="1:8" s="224" customFormat="1" x14ac:dyDescent="0.25">
      <c r="A34" s="215">
        <v>41405</v>
      </c>
      <c r="B34" s="862" t="s">
        <v>14</v>
      </c>
      <c r="C34" s="879" t="s">
        <v>12</v>
      </c>
      <c r="D34" s="887" t="s">
        <v>13</v>
      </c>
      <c r="E34" s="250">
        <v>8.15</v>
      </c>
      <c r="F34" s="1473"/>
      <c r="G34" s="252"/>
      <c r="H34" s="251"/>
    </row>
    <row r="35" spans="1:8" x14ac:dyDescent="0.25">
      <c r="A35" s="215">
        <v>41406</v>
      </c>
      <c r="B35" s="349" t="s">
        <v>14</v>
      </c>
      <c r="C35" s="350" t="s">
        <v>12</v>
      </c>
      <c r="D35" s="141" t="s">
        <v>15</v>
      </c>
      <c r="E35" s="97">
        <v>2.5</v>
      </c>
      <c r="F35" s="946"/>
      <c r="G35" s="95"/>
      <c r="H35" s="91"/>
    </row>
    <row r="36" spans="1:8" x14ac:dyDescent="0.25">
      <c r="A36" s="215">
        <v>41407</v>
      </c>
      <c r="B36" s="349" t="s">
        <v>32</v>
      </c>
      <c r="C36" s="350" t="s">
        <v>12</v>
      </c>
      <c r="D36" s="141" t="s">
        <v>15</v>
      </c>
      <c r="E36" s="97">
        <v>5.5</v>
      </c>
      <c r="F36" s="946"/>
      <c r="G36" s="95"/>
      <c r="H36" s="91"/>
    </row>
    <row r="37" spans="1:8" x14ac:dyDescent="0.25">
      <c r="A37" s="215">
        <v>41407</v>
      </c>
      <c r="B37" s="349" t="s">
        <v>138</v>
      </c>
      <c r="C37" s="350" t="s">
        <v>12</v>
      </c>
      <c r="D37" s="141" t="s">
        <v>15</v>
      </c>
      <c r="E37" s="97">
        <v>10</v>
      </c>
      <c r="F37" s="946"/>
      <c r="G37" s="95"/>
      <c r="H37" s="91"/>
    </row>
    <row r="38" spans="1:8" s="224" customFormat="1" x14ac:dyDescent="0.25">
      <c r="A38" s="215">
        <v>41408</v>
      </c>
      <c r="B38" s="862" t="s">
        <v>32</v>
      </c>
      <c r="C38" s="879" t="s">
        <v>12</v>
      </c>
      <c r="D38" s="887" t="s">
        <v>15</v>
      </c>
      <c r="E38" s="250">
        <v>3.5</v>
      </c>
      <c r="F38" s="1473"/>
      <c r="G38" s="252"/>
      <c r="H38" s="251"/>
    </row>
    <row r="39" spans="1:8" s="224" customFormat="1" x14ac:dyDescent="0.25">
      <c r="A39" s="215">
        <v>41408</v>
      </c>
      <c r="B39" s="862" t="s">
        <v>14</v>
      </c>
      <c r="C39" s="879" t="s">
        <v>12</v>
      </c>
      <c r="D39" s="887" t="s">
        <v>15</v>
      </c>
      <c r="E39" s="250">
        <v>2.5</v>
      </c>
      <c r="F39" s="1473"/>
      <c r="G39" s="252"/>
      <c r="H39" s="251"/>
    </row>
    <row r="40" spans="1:8" s="224" customFormat="1" x14ac:dyDescent="0.25">
      <c r="A40" s="215">
        <v>41409</v>
      </c>
      <c r="B40" s="862" t="s">
        <v>138</v>
      </c>
      <c r="C40" s="879" t="s">
        <v>12</v>
      </c>
      <c r="D40" s="887" t="s">
        <v>13</v>
      </c>
      <c r="E40" s="250">
        <v>10</v>
      </c>
      <c r="F40" s="1473"/>
      <c r="G40" s="252"/>
      <c r="H40" s="251"/>
    </row>
    <row r="41" spans="1:8" s="224" customFormat="1" x14ac:dyDescent="0.25">
      <c r="A41" s="215">
        <v>41409</v>
      </c>
      <c r="B41" s="862" t="s">
        <v>32</v>
      </c>
      <c r="C41" s="879" t="s">
        <v>12</v>
      </c>
      <c r="D41" s="887" t="s">
        <v>15</v>
      </c>
      <c r="E41" s="250">
        <v>5.5</v>
      </c>
      <c r="F41" s="1473"/>
      <c r="G41" s="252"/>
      <c r="H41" s="251"/>
    </row>
    <row r="42" spans="1:8" x14ac:dyDescent="0.25">
      <c r="A42" s="215">
        <v>41410</v>
      </c>
      <c r="B42" s="349" t="s">
        <v>32</v>
      </c>
      <c r="C42" s="350" t="s">
        <v>12</v>
      </c>
      <c r="D42" s="141" t="s">
        <v>15</v>
      </c>
      <c r="E42" s="97">
        <v>4.75</v>
      </c>
      <c r="F42" s="946"/>
      <c r="G42" s="95"/>
      <c r="H42" s="91"/>
    </row>
    <row r="43" spans="1:8" x14ac:dyDescent="0.25">
      <c r="A43" s="215">
        <v>41411</v>
      </c>
      <c r="B43" s="349" t="s">
        <v>138</v>
      </c>
      <c r="C43" s="350" t="s">
        <v>12</v>
      </c>
      <c r="D43" s="141" t="s">
        <v>15</v>
      </c>
      <c r="E43" s="97">
        <v>10</v>
      </c>
      <c r="F43" s="946"/>
      <c r="G43" s="95"/>
      <c r="H43" s="91"/>
    </row>
    <row r="44" spans="1:8" x14ac:dyDescent="0.25">
      <c r="A44" s="215">
        <v>41411</v>
      </c>
      <c r="B44" s="349" t="s">
        <v>32</v>
      </c>
      <c r="C44" s="350" t="s">
        <v>12</v>
      </c>
      <c r="D44" s="141" t="s">
        <v>15</v>
      </c>
      <c r="E44" s="97">
        <v>5.5</v>
      </c>
      <c r="F44" s="946"/>
      <c r="G44" s="95"/>
      <c r="H44" s="91"/>
    </row>
    <row r="45" spans="1:8" x14ac:dyDescent="0.25">
      <c r="A45" s="215">
        <v>41411</v>
      </c>
      <c r="B45" s="349" t="s">
        <v>134</v>
      </c>
      <c r="C45" s="350" t="s">
        <v>12</v>
      </c>
      <c r="D45" s="141" t="s">
        <v>15</v>
      </c>
      <c r="E45" s="97">
        <v>4</v>
      </c>
      <c r="F45" s="946"/>
      <c r="G45" s="95"/>
      <c r="H45" s="91"/>
    </row>
    <row r="46" spans="1:8" x14ac:dyDescent="0.25">
      <c r="A46" s="215">
        <v>41412</v>
      </c>
      <c r="B46" s="349" t="s">
        <v>14</v>
      </c>
      <c r="C46" s="350" t="s">
        <v>12</v>
      </c>
      <c r="D46" s="141" t="s">
        <v>13</v>
      </c>
      <c r="E46" s="97">
        <v>8.24</v>
      </c>
      <c r="F46" s="946"/>
      <c r="G46" s="95"/>
      <c r="H46" s="91"/>
    </row>
    <row r="47" spans="1:8" x14ac:dyDescent="0.25">
      <c r="A47" s="215">
        <v>41413</v>
      </c>
      <c r="B47" s="349" t="s">
        <v>14</v>
      </c>
      <c r="C47" s="350" t="s">
        <v>12</v>
      </c>
      <c r="D47" s="141" t="s">
        <v>13</v>
      </c>
      <c r="E47" s="97">
        <v>7</v>
      </c>
      <c r="F47" s="946"/>
      <c r="G47" s="95"/>
      <c r="H47" s="91"/>
    </row>
    <row r="48" spans="1:8" x14ac:dyDescent="0.25">
      <c r="A48" s="215">
        <v>41413</v>
      </c>
      <c r="B48" s="349" t="s">
        <v>138</v>
      </c>
      <c r="C48" s="350" t="s">
        <v>12</v>
      </c>
      <c r="D48" s="141" t="s">
        <v>15</v>
      </c>
      <c r="E48" s="97">
        <v>10</v>
      </c>
      <c r="F48" s="946"/>
      <c r="G48" s="95"/>
      <c r="H48" s="91"/>
    </row>
    <row r="49" spans="1:8" x14ac:dyDescent="0.25">
      <c r="A49" s="215">
        <v>41414</v>
      </c>
      <c r="B49" s="349" t="s">
        <v>148</v>
      </c>
      <c r="C49" s="350" t="s">
        <v>12</v>
      </c>
      <c r="D49" s="141" t="s">
        <v>25</v>
      </c>
      <c r="E49" s="97"/>
      <c r="F49" s="946">
        <v>660</v>
      </c>
      <c r="G49" s="95"/>
      <c r="H49" s="91"/>
    </row>
    <row r="50" spans="1:8" x14ac:dyDescent="0.25">
      <c r="A50" s="215">
        <v>41414</v>
      </c>
      <c r="B50" s="349" t="s">
        <v>149</v>
      </c>
      <c r="C50" s="350" t="s">
        <v>12</v>
      </c>
      <c r="D50" s="141" t="s">
        <v>13</v>
      </c>
      <c r="E50" s="97">
        <v>114</v>
      </c>
      <c r="F50" s="946"/>
      <c r="G50" s="95"/>
      <c r="H50" s="91"/>
    </row>
    <row r="51" spans="1:8" s="316" customFormat="1" x14ac:dyDescent="0.25">
      <c r="A51" s="215">
        <v>41414</v>
      </c>
      <c r="B51" s="862" t="s">
        <v>150</v>
      </c>
      <c r="C51" s="879" t="s">
        <v>12</v>
      </c>
      <c r="D51" s="957" t="s">
        <v>15</v>
      </c>
      <c r="E51" s="250">
        <v>82</v>
      </c>
      <c r="F51" s="1473"/>
      <c r="G51" s="1476"/>
      <c r="H51" s="1473"/>
    </row>
    <row r="52" spans="1:8" x14ac:dyDescent="0.25">
      <c r="A52" s="215">
        <v>41414</v>
      </c>
      <c r="B52" s="349" t="s">
        <v>151</v>
      </c>
      <c r="C52" s="350" t="s">
        <v>12</v>
      </c>
      <c r="D52" s="141" t="s">
        <v>15</v>
      </c>
      <c r="E52" s="97">
        <v>5.5</v>
      </c>
      <c r="F52" s="946"/>
      <c r="G52" s="95"/>
      <c r="H52" s="91"/>
    </row>
    <row r="53" spans="1:8" x14ac:dyDescent="0.25">
      <c r="A53" s="215">
        <v>41415</v>
      </c>
      <c r="B53" s="349" t="s">
        <v>32</v>
      </c>
      <c r="C53" s="350" t="s">
        <v>12</v>
      </c>
      <c r="D53" s="141" t="s">
        <v>15</v>
      </c>
      <c r="E53" s="97">
        <v>5.5</v>
      </c>
      <c r="F53" s="946"/>
      <c r="G53" s="95"/>
      <c r="H53" s="91"/>
    </row>
    <row r="54" spans="1:8" x14ac:dyDescent="0.25">
      <c r="A54" s="215">
        <v>41415</v>
      </c>
      <c r="B54" s="349" t="s">
        <v>138</v>
      </c>
      <c r="C54" s="350" t="s">
        <v>12</v>
      </c>
      <c r="D54" s="141" t="s">
        <v>15</v>
      </c>
      <c r="E54" s="97">
        <v>10</v>
      </c>
      <c r="F54" s="946"/>
      <c r="G54" s="95"/>
      <c r="H54" s="91"/>
    </row>
    <row r="55" spans="1:8" s="224" customFormat="1" x14ac:dyDescent="0.25">
      <c r="A55" s="215">
        <v>41416</v>
      </c>
      <c r="B55" s="862" t="s">
        <v>32</v>
      </c>
      <c r="C55" s="879" t="s">
        <v>12</v>
      </c>
      <c r="D55" s="887" t="s">
        <v>15</v>
      </c>
      <c r="E55" s="250">
        <v>5.5</v>
      </c>
      <c r="F55" s="1473"/>
      <c r="G55" s="252"/>
      <c r="H55" s="251"/>
    </row>
    <row r="56" spans="1:8" s="224" customFormat="1" x14ac:dyDescent="0.25">
      <c r="A56" s="215">
        <v>41417</v>
      </c>
      <c r="B56" s="862" t="s">
        <v>152</v>
      </c>
      <c r="C56" s="105" t="s">
        <v>12</v>
      </c>
      <c r="D56" s="887" t="s">
        <v>15</v>
      </c>
      <c r="E56" s="250">
        <v>13</v>
      </c>
      <c r="F56" s="1473"/>
      <c r="G56" s="252"/>
      <c r="H56" s="251"/>
    </row>
    <row r="57" spans="1:8" s="224" customFormat="1" x14ac:dyDescent="0.25">
      <c r="A57" s="215">
        <v>41417</v>
      </c>
      <c r="B57" s="862" t="s">
        <v>138</v>
      </c>
      <c r="C57" s="105" t="s">
        <v>12</v>
      </c>
      <c r="D57" s="887" t="s">
        <v>15</v>
      </c>
      <c r="E57" s="250">
        <v>10</v>
      </c>
      <c r="F57" s="1473"/>
      <c r="G57" s="252"/>
      <c r="H57" s="251"/>
    </row>
    <row r="58" spans="1:8" s="224" customFormat="1" x14ac:dyDescent="0.25">
      <c r="A58" s="215">
        <v>41417</v>
      </c>
      <c r="B58" s="862" t="s">
        <v>32</v>
      </c>
      <c r="C58" s="105" t="s">
        <v>12</v>
      </c>
      <c r="D58" s="887" t="s">
        <v>15</v>
      </c>
      <c r="E58" s="250">
        <v>5.5</v>
      </c>
      <c r="F58" s="1473"/>
      <c r="G58" s="252"/>
      <c r="H58" s="251"/>
    </row>
    <row r="59" spans="1:8" s="224" customFormat="1" x14ac:dyDescent="0.25">
      <c r="A59" s="215">
        <v>41418</v>
      </c>
      <c r="B59" s="862" t="s">
        <v>32</v>
      </c>
      <c r="C59" s="105" t="s">
        <v>12</v>
      </c>
      <c r="D59" s="887" t="s">
        <v>15</v>
      </c>
      <c r="E59" s="250">
        <v>6.75</v>
      </c>
      <c r="F59" s="1473"/>
      <c r="G59" s="252"/>
      <c r="H59" s="251"/>
    </row>
    <row r="60" spans="1:8" s="224" customFormat="1" x14ac:dyDescent="0.25">
      <c r="A60" s="215">
        <v>41418</v>
      </c>
      <c r="B60" s="862" t="s">
        <v>80</v>
      </c>
      <c r="C60" s="105" t="s">
        <v>12</v>
      </c>
      <c r="D60" s="887" t="s">
        <v>15</v>
      </c>
      <c r="E60" s="250">
        <v>18</v>
      </c>
      <c r="F60" s="1473"/>
      <c r="G60" s="252"/>
      <c r="H60" s="251"/>
    </row>
    <row r="61" spans="1:8" s="224" customFormat="1" x14ac:dyDescent="0.25">
      <c r="A61" s="215">
        <v>41419</v>
      </c>
      <c r="B61" s="862" t="s">
        <v>14</v>
      </c>
      <c r="C61" s="879" t="s">
        <v>12</v>
      </c>
      <c r="D61" s="887" t="s">
        <v>15</v>
      </c>
      <c r="E61" s="250">
        <v>5</v>
      </c>
      <c r="F61" s="1473"/>
      <c r="G61" s="252"/>
      <c r="H61" s="251"/>
    </row>
    <row r="62" spans="1:8" s="224" customFormat="1" x14ac:dyDescent="0.25">
      <c r="A62" s="215">
        <v>41419</v>
      </c>
      <c r="B62" s="862" t="s">
        <v>138</v>
      </c>
      <c r="C62" s="879" t="s">
        <v>12</v>
      </c>
      <c r="D62" s="887" t="s">
        <v>15</v>
      </c>
      <c r="E62" s="250">
        <v>10</v>
      </c>
      <c r="F62" s="1473"/>
      <c r="G62" s="252"/>
      <c r="H62" s="251"/>
    </row>
    <row r="63" spans="1:8" s="224" customFormat="1" x14ac:dyDescent="0.25">
      <c r="A63" s="215">
        <v>41419</v>
      </c>
      <c r="B63" s="862" t="s">
        <v>82</v>
      </c>
      <c r="C63" s="879" t="s">
        <v>12</v>
      </c>
      <c r="D63" s="887" t="s">
        <v>15</v>
      </c>
      <c r="E63" s="250">
        <v>20</v>
      </c>
      <c r="F63" s="1473"/>
      <c r="G63" s="252"/>
      <c r="H63" s="251"/>
    </row>
    <row r="64" spans="1:8" s="224" customFormat="1" x14ac:dyDescent="0.25">
      <c r="A64" s="215">
        <v>41420</v>
      </c>
      <c r="B64" s="862" t="s">
        <v>134</v>
      </c>
      <c r="C64" s="105" t="s">
        <v>12</v>
      </c>
      <c r="D64" s="887" t="s">
        <v>15</v>
      </c>
      <c r="E64" s="250">
        <v>5</v>
      </c>
      <c r="F64" s="1473"/>
      <c r="G64" s="252"/>
      <c r="H64" s="251"/>
    </row>
    <row r="65" spans="1:8" s="224" customFormat="1" x14ac:dyDescent="0.25">
      <c r="A65" s="215">
        <v>41420</v>
      </c>
      <c r="B65" s="862" t="s">
        <v>153</v>
      </c>
      <c r="C65" s="105" t="s">
        <v>12</v>
      </c>
      <c r="D65" s="887" t="s">
        <v>15</v>
      </c>
      <c r="E65" s="250">
        <v>1.8</v>
      </c>
      <c r="F65" s="1473"/>
      <c r="G65" s="252"/>
      <c r="H65" s="251"/>
    </row>
    <row r="66" spans="1:8" s="224" customFormat="1" x14ac:dyDescent="0.25">
      <c r="A66" s="215">
        <v>41421</v>
      </c>
      <c r="B66" s="862" t="s">
        <v>32</v>
      </c>
      <c r="C66" s="105" t="s">
        <v>12</v>
      </c>
      <c r="D66" s="887" t="s">
        <v>15</v>
      </c>
      <c r="E66" s="250">
        <v>10</v>
      </c>
      <c r="F66" s="1473"/>
      <c r="G66" s="252"/>
      <c r="H66" s="251"/>
    </row>
    <row r="67" spans="1:8" s="224" customFormat="1" x14ac:dyDescent="0.25">
      <c r="A67" s="215">
        <v>41421</v>
      </c>
      <c r="B67" s="862" t="s">
        <v>138</v>
      </c>
      <c r="C67" s="105" t="s">
        <v>12</v>
      </c>
      <c r="D67" s="887" t="s">
        <v>15</v>
      </c>
      <c r="E67" s="250">
        <v>20</v>
      </c>
      <c r="F67" s="1473"/>
      <c r="G67" s="252"/>
      <c r="H67" s="251"/>
    </row>
    <row r="68" spans="1:8" s="224" customFormat="1" x14ac:dyDescent="0.25">
      <c r="A68" s="215">
        <v>41421</v>
      </c>
      <c r="B68" s="862" t="s">
        <v>154</v>
      </c>
      <c r="C68" s="105" t="s">
        <v>12</v>
      </c>
      <c r="D68" s="887" t="s">
        <v>15</v>
      </c>
      <c r="E68" s="250">
        <v>50</v>
      </c>
      <c r="F68" s="1473"/>
      <c r="G68" s="252"/>
      <c r="H68" s="251"/>
    </row>
    <row r="69" spans="1:8" s="224" customFormat="1" x14ac:dyDescent="0.25">
      <c r="A69" s="215">
        <v>41421</v>
      </c>
      <c r="B69" s="862" t="s">
        <v>103</v>
      </c>
      <c r="C69" s="105" t="s">
        <v>12</v>
      </c>
      <c r="D69" s="887" t="s">
        <v>15</v>
      </c>
      <c r="E69" s="250">
        <v>5.5</v>
      </c>
      <c r="F69" s="1473"/>
      <c r="G69" s="252"/>
      <c r="H69" s="251"/>
    </row>
    <row r="70" spans="1:8" x14ac:dyDescent="0.25">
      <c r="A70" s="215">
        <v>41422</v>
      </c>
      <c r="B70" s="1477" t="s">
        <v>32</v>
      </c>
      <c r="C70" s="105" t="s">
        <v>12</v>
      </c>
      <c r="D70" s="105" t="s">
        <v>15</v>
      </c>
      <c r="E70" s="97">
        <v>2</v>
      </c>
      <c r="F70" s="946"/>
      <c r="G70" s="95"/>
      <c r="H70" s="91"/>
    </row>
    <row r="71" spans="1:8" x14ac:dyDescent="0.25">
      <c r="A71" s="215">
        <v>41422</v>
      </c>
      <c r="B71" s="1477" t="s">
        <v>155</v>
      </c>
      <c r="C71" s="105" t="s">
        <v>12</v>
      </c>
      <c r="D71" s="105" t="s">
        <v>15</v>
      </c>
      <c r="E71" s="97">
        <v>27</v>
      </c>
      <c r="F71" s="946"/>
      <c r="G71" s="95"/>
      <c r="H71" s="91"/>
    </row>
    <row r="72" spans="1:8" x14ac:dyDescent="0.25">
      <c r="A72" s="215">
        <v>41422</v>
      </c>
      <c r="B72" s="1477" t="s">
        <v>156</v>
      </c>
      <c r="C72" s="105" t="s">
        <v>12</v>
      </c>
      <c r="D72" s="105" t="s">
        <v>13</v>
      </c>
      <c r="E72" s="97">
        <v>23.85</v>
      </c>
      <c r="F72" s="946"/>
      <c r="G72" s="95"/>
      <c r="H72" s="91"/>
    </row>
    <row r="73" spans="1:8" x14ac:dyDescent="0.25">
      <c r="A73" s="215">
        <v>41422</v>
      </c>
      <c r="B73" s="1477" t="s">
        <v>103</v>
      </c>
      <c r="C73" s="105" t="s">
        <v>12</v>
      </c>
      <c r="D73" s="105" t="s">
        <v>15</v>
      </c>
      <c r="E73" s="97">
        <v>5.5</v>
      </c>
      <c r="F73" s="946"/>
      <c r="G73" s="95"/>
      <c r="H73" s="91"/>
    </row>
    <row r="74" spans="1:8" x14ac:dyDescent="0.25">
      <c r="A74" s="215">
        <v>41423</v>
      </c>
      <c r="B74" s="349" t="s">
        <v>32</v>
      </c>
      <c r="C74" s="352" t="s">
        <v>12</v>
      </c>
      <c r="D74" s="142" t="s">
        <v>15</v>
      </c>
      <c r="E74" s="97">
        <v>6</v>
      </c>
      <c r="F74" s="946"/>
      <c r="G74" s="95"/>
      <c r="H74" s="91"/>
    </row>
    <row r="75" spans="1:8" x14ac:dyDescent="0.25">
      <c r="A75" s="247">
        <v>41424</v>
      </c>
      <c r="B75" s="479" t="s">
        <v>140</v>
      </c>
      <c r="C75" s="352" t="s">
        <v>12</v>
      </c>
      <c r="D75" s="142" t="s">
        <v>15</v>
      </c>
      <c r="E75" s="97">
        <v>2.5</v>
      </c>
      <c r="F75" s="946"/>
      <c r="G75" s="95"/>
      <c r="H75" s="91"/>
    </row>
    <row r="76" spans="1:8" x14ac:dyDescent="0.25">
      <c r="A76" s="215">
        <v>41424</v>
      </c>
      <c r="B76" s="364" t="s">
        <v>134</v>
      </c>
      <c r="C76" s="350" t="s">
        <v>12</v>
      </c>
      <c r="D76" s="480" t="s">
        <v>15</v>
      </c>
      <c r="E76" s="137">
        <v>2.8</v>
      </c>
      <c r="F76" s="1482"/>
      <c r="G76" s="94"/>
      <c r="H76" s="90"/>
    </row>
    <row r="77" spans="1:8" x14ac:dyDescent="0.25">
      <c r="A77" s="247">
        <v>41425</v>
      </c>
      <c r="B77" s="481" t="s">
        <v>138</v>
      </c>
      <c r="C77" s="352" t="s">
        <v>12</v>
      </c>
      <c r="D77" s="142" t="s">
        <v>15</v>
      </c>
      <c r="E77" s="96">
        <v>10</v>
      </c>
      <c r="F77" s="946"/>
      <c r="G77" s="95"/>
      <c r="H77" s="91"/>
    </row>
    <row r="78" spans="1:8" ht="15.75" thickBot="1" x14ac:dyDescent="0.3">
      <c r="A78" s="215">
        <v>41425</v>
      </c>
      <c r="B78" s="79" t="s">
        <v>32</v>
      </c>
      <c r="C78" s="352" t="s">
        <v>12</v>
      </c>
      <c r="D78" s="85" t="s">
        <v>15</v>
      </c>
      <c r="E78" s="96">
        <v>3.5</v>
      </c>
      <c r="F78" s="1482"/>
      <c r="G78" s="94"/>
      <c r="H78" s="90"/>
    </row>
    <row r="79" spans="1:8" ht="25.5" customHeight="1" thickBot="1" x14ac:dyDescent="0.3">
      <c r="A79" s="3060"/>
      <c r="B79" s="3061"/>
      <c r="C79" s="3062"/>
      <c r="D79" s="3062"/>
      <c r="E79" s="100">
        <f>SUM(E5:E78)</f>
        <v>1544.6999999999998</v>
      </c>
      <c r="F79" s="1065" t="e">
        <f>SUM(F5:F78)</f>
        <v>#REF!</v>
      </c>
      <c r="G79" s="101">
        <f>SUM(G5:G78)</f>
        <v>0</v>
      </c>
      <c r="H79" s="93">
        <f>SUM(H5:H78)</f>
        <v>0</v>
      </c>
    </row>
    <row r="80" spans="1:8" ht="25.5" customHeight="1" thickBot="1" x14ac:dyDescent="0.3">
      <c r="A80" s="3077" t="s">
        <v>49</v>
      </c>
      <c r="B80" s="3078"/>
      <c r="C80" s="3078"/>
      <c r="D80" s="3078"/>
      <c r="E80" s="102"/>
      <c r="F80" s="1478" t="e">
        <f>F79-E79</f>
        <v>#REF!</v>
      </c>
      <c r="G80" s="104"/>
      <c r="H80" s="103">
        <f>H79-G79</f>
        <v>0</v>
      </c>
    </row>
    <row r="82" spans="2:5" x14ac:dyDescent="0.25">
      <c r="B82" s="79" t="s">
        <v>32</v>
      </c>
      <c r="C82" s="176">
        <v>110.5</v>
      </c>
    </row>
    <row r="83" spans="2:5" x14ac:dyDescent="0.25">
      <c r="B83" s="79" t="s">
        <v>16</v>
      </c>
      <c r="C83" s="176">
        <v>150</v>
      </c>
    </row>
    <row r="84" spans="2:5" x14ac:dyDescent="0.25">
      <c r="B84" s="79" t="s">
        <v>50</v>
      </c>
      <c r="C84" s="176">
        <v>55.65</v>
      </c>
    </row>
    <row r="85" spans="2:5" x14ac:dyDescent="0.25">
      <c r="B85" s="79" t="s">
        <v>14</v>
      </c>
      <c r="C85" s="178">
        <v>41.39</v>
      </c>
    </row>
    <row r="86" spans="2:5" x14ac:dyDescent="0.25">
      <c r="B86" s="79" t="s">
        <v>51</v>
      </c>
      <c r="C86" s="178">
        <v>84.42</v>
      </c>
    </row>
    <row r="87" spans="2:5" x14ac:dyDescent="0.25">
      <c r="B87" s="79" t="s">
        <v>52</v>
      </c>
      <c r="C87" s="178">
        <v>50</v>
      </c>
    </row>
    <row r="88" spans="2:5" x14ac:dyDescent="0.25">
      <c r="B88" s="867" t="s">
        <v>53</v>
      </c>
      <c r="C88" s="178">
        <v>17.8</v>
      </c>
    </row>
    <row r="89" spans="2:5" x14ac:dyDescent="0.25">
      <c r="B89" s="79" t="s">
        <v>54</v>
      </c>
      <c r="C89" s="475">
        <v>376.69</v>
      </c>
      <c r="D89" s="79"/>
      <c r="E89" s="79"/>
    </row>
    <row r="90" spans="2:5" x14ac:dyDescent="0.25">
      <c r="B90" s="79" t="s">
        <v>56</v>
      </c>
      <c r="C90" s="475">
        <v>18</v>
      </c>
    </row>
    <row r="91" spans="2:5" x14ac:dyDescent="0.25">
      <c r="B91" s="79" t="s">
        <v>57</v>
      </c>
      <c r="C91" s="475">
        <v>50</v>
      </c>
    </row>
    <row r="92" spans="2:5" x14ac:dyDescent="0.25">
      <c r="C92" s="475"/>
    </row>
  </sheetData>
  <autoFilter ref="A2:H80" xr:uid="{00000000-0009-0000-0000-000004000000}">
    <filterColumn colId="4" showButton="0"/>
    <filterColumn colId="6" showButton="0"/>
  </autoFilter>
  <mergeCells count="10">
    <mergeCell ref="A80:D80"/>
    <mergeCell ref="A1:D1"/>
    <mergeCell ref="A79:D79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33"/>
  <dimension ref="A1:H82"/>
  <sheetViews>
    <sheetView zoomScale="90" zoomScaleNormal="90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157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41426</v>
      </c>
      <c r="B5" s="369" t="s">
        <v>10</v>
      </c>
      <c r="C5" s="370"/>
      <c r="D5" s="207"/>
      <c r="E5" s="179"/>
      <c r="F5" s="1479" t="e">
        <f>'Maio 13'!F80</f>
        <v>#REF!</v>
      </c>
      <c r="G5" s="179"/>
      <c r="H5" s="98"/>
    </row>
    <row r="6" spans="1:8" s="224" customFormat="1" x14ac:dyDescent="0.25">
      <c r="A6" s="215">
        <v>41426</v>
      </c>
      <c r="B6" s="348" t="s">
        <v>11</v>
      </c>
      <c r="C6" s="351" t="s">
        <v>12</v>
      </c>
      <c r="D6" s="248" t="s">
        <v>13</v>
      </c>
      <c r="E6" s="250"/>
      <c r="F6" s="1480"/>
      <c r="G6" s="250"/>
      <c r="H6" s="251"/>
    </row>
    <row r="7" spans="1:8" s="224" customFormat="1" x14ac:dyDescent="0.25">
      <c r="A7" s="215">
        <v>41426</v>
      </c>
      <c r="B7" s="873" t="s">
        <v>14</v>
      </c>
      <c r="C7" s="879" t="s">
        <v>12</v>
      </c>
      <c r="D7" s="887" t="s">
        <v>13</v>
      </c>
      <c r="E7" s="250">
        <v>4.75</v>
      </c>
      <c r="F7" s="1480"/>
      <c r="G7" s="250"/>
      <c r="H7" s="251"/>
    </row>
    <row r="8" spans="1:8" s="224" customFormat="1" x14ac:dyDescent="0.25">
      <c r="A8" s="215">
        <v>41426</v>
      </c>
      <c r="B8" s="873" t="s">
        <v>138</v>
      </c>
      <c r="C8" s="879" t="s">
        <v>12</v>
      </c>
      <c r="D8" s="887" t="s">
        <v>13</v>
      </c>
      <c r="E8" s="250">
        <v>10</v>
      </c>
      <c r="F8" s="1480"/>
      <c r="G8" s="250"/>
      <c r="H8" s="251"/>
    </row>
    <row r="9" spans="1:8" s="224" customFormat="1" x14ac:dyDescent="0.25">
      <c r="A9" s="215">
        <v>41427</v>
      </c>
      <c r="B9" s="1474"/>
      <c r="C9" s="879"/>
      <c r="D9" s="1475"/>
      <c r="E9" s="250"/>
      <c r="F9" s="1480"/>
      <c r="G9" s="250"/>
      <c r="H9" s="251"/>
    </row>
    <row r="10" spans="1:8" s="224" customFormat="1" x14ac:dyDescent="0.25">
      <c r="A10" s="215">
        <v>41428</v>
      </c>
      <c r="B10" s="873" t="s">
        <v>32</v>
      </c>
      <c r="C10" s="879" t="s">
        <v>12</v>
      </c>
      <c r="D10" s="887" t="s">
        <v>15</v>
      </c>
      <c r="E10" s="250">
        <v>5.5</v>
      </c>
      <c r="F10" s="1480"/>
      <c r="G10" s="250"/>
      <c r="H10" s="251"/>
    </row>
    <row r="11" spans="1:8" s="224" customFormat="1" x14ac:dyDescent="0.25">
      <c r="A11" s="215">
        <v>41428</v>
      </c>
      <c r="B11" s="873" t="s">
        <v>138</v>
      </c>
      <c r="C11" s="879" t="s">
        <v>12</v>
      </c>
      <c r="D11" s="887" t="s">
        <v>15</v>
      </c>
      <c r="E11" s="250">
        <v>10</v>
      </c>
      <c r="F11" s="1480"/>
      <c r="G11" s="250"/>
      <c r="H11" s="251"/>
    </row>
    <row r="12" spans="1:8" s="224" customFormat="1" x14ac:dyDescent="0.25">
      <c r="A12" s="215">
        <v>41429</v>
      </c>
      <c r="B12" s="873" t="s">
        <v>32</v>
      </c>
      <c r="C12" s="879" t="s">
        <v>12</v>
      </c>
      <c r="D12" s="887" t="s">
        <v>15</v>
      </c>
      <c r="E12" s="250">
        <v>5.5</v>
      </c>
      <c r="F12" s="1480"/>
      <c r="G12" s="250"/>
      <c r="H12" s="251"/>
    </row>
    <row r="13" spans="1:8" s="224" customFormat="1" x14ac:dyDescent="0.25">
      <c r="A13" s="215">
        <v>41430</v>
      </c>
      <c r="B13" s="873" t="s">
        <v>32</v>
      </c>
      <c r="C13" s="879" t="s">
        <v>12</v>
      </c>
      <c r="D13" s="887" t="s">
        <v>15</v>
      </c>
      <c r="E13" s="250">
        <v>4.75</v>
      </c>
      <c r="F13" s="1480"/>
      <c r="G13" s="250"/>
      <c r="H13" s="251"/>
    </row>
    <row r="14" spans="1:8" s="224" customFormat="1" x14ac:dyDescent="0.25">
      <c r="A14" s="215">
        <v>41430</v>
      </c>
      <c r="B14" s="873" t="s">
        <v>138</v>
      </c>
      <c r="C14" s="879" t="s">
        <v>12</v>
      </c>
      <c r="D14" s="887" t="s">
        <v>13</v>
      </c>
      <c r="E14" s="250">
        <v>10</v>
      </c>
      <c r="F14" s="1480"/>
      <c r="G14" s="250"/>
      <c r="H14" s="251"/>
    </row>
    <row r="15" spans="1:8" s="224" customFormat="1" x14ac:dyDescent="0.25">
      <c r="A15" s="215">
        <v>41430</v>
      </c>
      <c r="B15" s="873" t="s">
        <v>158</v>
      </c>
      <c r="C15" s="879" t="s">
        <v>12</v>
      </c>
      <c r="D15" s="887" t="s">
        <v>13</v>
      </c>
      <c r="E15" s="250">
        <v>11</v>
      </c>
      <c r="F15" s="1480"/>
      <c r="G15" s="250"/>
      <c r="H15" s="251"/>
    </row>
    <row r="16" spans="1:8" s="224" customFormat="1" x14ac:dyDescent="0.25">
      <c r="A16" s="215">
        <v>41430</v>
      </c>
      <c r="B16" s="873" t="s">
        <v>147</v>
      </c>
      <c r="C16" s="879" t="s">
        <v>12</v>
      </c>
      <c r="D16" s="887" t="s">
        <v>15</v>
      </c>
      <c r="E16" s="250">
        <v>8</v>
      </c>
      <c r="F16" s="1480"/>
      <c r="G16" s="250"/>
      <c r="H16" s="251"/>
    </row>
    <row r="17" spans="1:8" s="224" customFormat="1" x14ac:dyDescent="0.25">
      <c r="A17" s="215">
        <v>41431</v>
      </c>
      <c r="B17" s="349" t="s">
        <v>159</v>
      </c>
      <c r="C17" s="879" t="s">
        <v>12</v>
      </c>
      <c r="D17" s="983" t="s">
        <v>25</v>
      </c>
      <c r="E17" s="250"/>
      <c r="F17" s="1480">
        <v>833.81</v>
      </c>
      <c r="G17" s="250"/>
      <c r="H17" s="251"/>
    </row>
    <row r="18" spans="1:8" s="316" customFormat="1" x14ac:dyDescent="0.25">
      <c r="A18" s="215">
        <v>41431</v>
      </c>
      <c r="B18" s="862" t="s">
        <v>31</v>
      </c>
      <c r="C18" s="879" t="s">
        <v>12</v>
      </c>
      <c r="D18" s="957" t="s">
        <v>15</v>
      </c>
      <c r="E18" s="250">
        <v>50</v>
      </c>
      <c r="F18" s="1480"/>
      <c r="G18" s="1481"/>
      <c r="H18" s="1473"/>
    </row>
    <row r="19" spans="1:8" s="224" customFormat="1" x14ac:dyDescent="0.25">
      <c r="A19" s="215">
        <v>41431</v>
      </c>
      <c r="B19" s="862" t="s">
        <v>160</v>
      </c>
      <c r="C19" s="879" t="s">
        <v>12</v>
      </c>
      <c r="D19" s="887" t="s">
        <v>13</v>
      </c>
      <c r="E19" s="250">
        <v>105.89</v>
      </c>
      <c r="F19" s="1480"/>
      <c r="G19" s="250"/>
      <c r="H19" s="251"/>
    </row>
    <row r="20" spans="1:8" s="316" customFormat="1" x14ac:dyDescent="0.25">
      <c r="A20" s="215">
        <v>41431</v>
      </c>
      <c r="B20" s="862" t="s">
        <v>138</v>
      </c>
      <c r="C20" s="879" t="s">
        <v>12</v>
      </c>
      <c r="D20" s="957" t="s">
        <v>15</v>
      </c>
      <c r="E20" s="250">
        <v>10</v>
      </c>
      <c r="F20" s="1480"/>
      <c r="G20" s="1481"/>
      <c r="H20" s="1473"/>
    </row>
    <row r="21" spans="1:8" s="224" customFormat="1" x14ac:dyDescent="0.25">
      <c r="A21" s="215">
        <v>41431</v>
      </c>
      <c r="B21" s="882" t="s">
        <v>161</v>
      </c>
      <c r="C21" s="879" t="s">
        <v>12</v>
      </c>
      <c r="D21" s="887" t="s">
        <v>13</v>
      </c>
      <c r="E21" s="250">
        <v>33.94</v>
      </c>
      <c r="F21" s="1480"/>
      <c r="G21" s="250"/>
      <c r="H21" s="251"/>
    </row>
    <row r="22" spans="1:8" s="224" customFormat="1" x14ac:dyDescent="0.25">
      <c r="A22" s="215">
        <v>41431</v>
      </c>
      <c r="B22" s="882" t="s">
        <v>162</v>
      </c>
      <c r="C22" s="879" t="s">
        <v>12</v>
      </c>
      <c r="D22" s="887" t="s">
        <v>13</v>
      </c>
      <c r="E22" s="250">
        <v>43.37</v>
      </c>
      <c r="F22" s="1480"/>
      <c r="G22" s="250"/>
      <c r="H22" s="251"/>
    </row>
    <row r="23" spans="1:8" s="316" customFormat="1" x14ac:dyDescent="0.25">
      <c r="A23" s="215">
        <v>41431</v>
      </c>
      <c r="B23" s="862" t="s">
        <v>163</v>
      </c>
      <c r="C23" s="879" t="s">
        <v>12</v>
      </c>
      <c r="D23" s="957" t="s">
        <v>15</v>
      </c>
      <c r="E23" s="250">
        <v>200</v>
      </c>
      <c r="F23" s="1480"/>
      <c r="G23" s="1481"/>
      <c r="H23" s="1473"/>
    </row>
    <row r="24" spans="1:8" s="316" customFormat="1" x14ac:dyDescent="0.25">
      <c r="A24" s="215">
        <v>41431</v>
      </c>
      <c r="B24" s="862" t="s">
        <v>164</v>
      </c>
      <c r="C24" s="879" t="s">
        <v>12</v>
      </c>
      <c r="D24" s="957" t="s">
        <v>15</v>
      </c>
      <c r="E24" s="250">
        <v>108.75</v>
      </c>
      <c r="F24" s="1480"/>
      <c r="G24" s="1481"/>
      <c r="H24" s="1473"/>
    </row>
    <row r="25" spans="1:8" x14ac:dyDescent="0.25">
      <c r="A25" s="215">
        <v>41431</v>
      </c>
      <c r="B25" s="349" t="s">
        <v>165</v>
      </c>
      <c r="C25" s="350" t="s">
        <v>12</v>
      </c>
      <c r="D25" s="141" t="s">
        <v>13</v>
      </c>
      <c r="E25" s="97">
        <v>60</v>
      </c>
      <c r="F25" s="1064"/>
      <c r="G25" s="97"/>
      <c r="H25" s="91"/>
    </row>
    <row r="26" spans="1:8" x14ac:dyDescent="0.25">
      <c r="A26" s="215">
        <v>41432</v>
      </c>
      <c r="B26" s="349" t="s">
        <v>166</v>
      </c>
      <c r="C26" s="350" t="s">
        <v>12</v>
      </c>
      <c r="D26" s="141" t="s">
        <v>15</v>
      </c>
      <c r="E26" s="97">
        <v>44</v>
      </c>
      <c r="F26" s="1064"/>
      <c r="G26" s="97"/>
      <c r="H26" s="91"/>
    </row>
    <row r="27" spans="1:8" x14ac:dyDescent="0.25">
      <c r="A27" s="215">
        <v>41432</v>
      </c>
      <c r="B27" s="349" t="s">
        <v>32</v>
      </c>
      <c r="C27" s="350" t="s">
        <v>12</v>
      </c>
      <c r="D27" s="141" t="s">
        <v>15</v>
      </c>
      <c r="E27" s="97">
        <v>5.5</v>
      </c>
      <c r="F27" s="1064"/>
      <c r="G27" s="97"/>
      <c r="H27" s="91"/>
    </row>
    <row r="28" spans="1:8" x14ac:dyDescent="0.25">
      <c r="A28" s="215">
        <v>41432</v>
      </c>
      <c r="B28" s="349" t="s">
        <v>80</v>
      </c>
      <c r="C28" s="350" t="s">
        <v>12</v>
      </c>
      <c r="D28" s="141" t="s">
        <v>15</v>
      </c>
      <c r="E28" s="97">
        <v>15</v>
      </c>
      <c r="F28" s="1064"/>
      <c r="G28" s="97"/>
      <c r="H28" s="91"/>
    </row>
    <row r="29" spans="1:8" x14ac:dyDescent="0.25">
      <c r="A29" s="215">
        <v>41432</v>
      </c>
      <c r="B29" s="349" t="s">
        <v>138</v>
      </c>
      <c r="C29" s="350" t="s">
        <v>12</v>
      </c>
      <c r="D29" s="141" t="s">
        <v>15</v>
      </c>
      <c r="E29" s="97">
        <v>10</v>
      </c>
      <c r="F29" s="1064"/>
      <c r="G29" s="97"/>
      <c r="H29" s="91"/>
    </row>
    <row r="30" spans="1:8" x14ac:dyDescent="0.25">
      <c r="A30" s="215">
        <v>41433</v>
      </c>
      <c r="B30" s="349" t="s">
        <v>167</v>
      </c>
      <c r="C30" s="350" t="s">
        <v>12</v>
      </c>
      <c r="D30" s="141" t="s">
        <v>15</v>
      </c>
      <c r="E30" s="97">
        <v>10</v>
      </c>
      <c r="F30" s="1064"/>
      <c r="G30" s="97"/>
      <c r="H30" s="91"/>
    </row>
    <row r="31" spans="1:8" x14ac:dyDescent="0.25">
      <c r="A31" s="215">
        <v>41434</v>
      </c>
      <c r="B31" s="349" t="s">
        <v>14</v>
      </c>
      <c r="C31" s="350" t="s">
        <v>12</v>
      </c>
      <c r="D31" s="141" t="s">
        <v>15</v>
      </c>
      <c r="E31" s="97">
        <v>5</v>
      </c>
      <c r="F31" s="1064"/>
      <c r="G31" s="97"/>
      <c r="H31" s="91"/>
    </row>
    <row r="32" spans="1:8" s="224" customFormat="1" x14ac:dyDescent="0.25">
      <c r="A32" s="215">
        <v>41435</v>
      </c>
      <c r="B32" s="862" t="s">
        <v>32</v>
      </c>
      <c r="C32" s="879" t="s">
        <v>12</v>
      </c>
      <c r="D32" s="887" t="s">
        <v>15</v>
      </c>
      <c r="E32" s="250">
        <v>6.5</v>
      </c>
      <c r="F32" s="1480"/>
      <c r="G32" s="250"/>
      <c r="H32" s="251"/>
    </row>
    <row r="33" spans="1:8" s="224" customFormat="1" x14ac:dyDescent="0.25">
      <c r="A33" s="215">
        <v>41436</v>
      </c>
      <c r="B33" s="862" t="s">
        <v>32</v>
      </c>
      <c r="C33" s="879" t="s">
        <v>12</v>
      </c>
      <c r="D33" s="887" t="s">
        <v>15</v>
      </c>
      <c r="E33" s="250">
        <v>5.5</v>
      </c>
      <c r="F33" s="1480"/>
      <c r="G33" s="250"/>
      <c r="H33" s="251"/>
    </row>
    <row r="34" spans="1:8" s="224" customFormat="1" x14ac:dyDescent="0.25">
      <c r="A34" s="215">
        <v>41436</v>
      </c>
      <c r="B34" s="862" t="s">
        <v>138</v>
      </c>
      <c r="C34" s="879" t="s">
        <v>12</v>
      </c>
      <c r="D34" s="887" t="s">
        <v>13</v>
      </c>
      <c r="E34" s="250">
        <v>10</v>
      </c>
      <c r="F34" s="1480"/>
      <c r="G34" s="250"/>
      <c r="H34" s="251"/>
    </row>
    <row r="35" spans="1:8" s="224" customFormat="1" x14ac:dyDescent="0.25">
      <c r="A35" s="215">
        <v>41436</v>
      </c>
      <c r="B35" s="862" t="s">
        <v>14</v>
      </c>
      <c r="C35" s="879" t="s">
        <v>12</v>
      </c>
      <c r="D35" s="887" t="s">
        <v>15</v>
      </c>
      <c r="E35" s="250">
        <v>2</v>
      </c>
      <c r="F35" s="1480"/>
      <c r="G35" s="250"/>
      <c r="H35" s="251"/>
    </row>
    <row r="36" spans="1:8" x14ac:dyDescent="0.25">
      <c r="A36" s="215">
        <v>41437</v>
      </c>
      <c r="B36" s="349" t="s">
        <v>32</v>
      </c>
      <c r="C36" s="350" t="s">
        <v>12</v>
      </c>
      <c r="D36" s="141" t="s">
        <v>15</v>
      </c>
      <c r="E36" s="97">
        <v>5.5</v>
      </c>
      <c r="F36" s="1064"/>
      <c r="G36" s="97"/>
      <c r="H36" s="91"/>
    </row>
    <row r="37" spans="1:8" x14ac:dyDescent="0.25">
      <c r="A37" s="215">
        <v>41438</v>
      </c>
      <c r="B37" s="349" t="s">
        <v>32</v>
      </c>
      <c r="C37" s="350" t="s">
        <v>12</v>
      </c>
      <c r="D37" s="141" t="s">
        <v>15</v>
      </c>
      <c r="E37" s="97">
        <v>5.5</v>
      </c>
      <c r="F37" s="1064"/>
      <c r="G37" s="97"/>
      <c r="H37" s="91"/>
    </row>
    <row r="38" spans="1:8" x14ac:dyDescent="0.25">
      <c r="A38" s="215">
        <v>41438</v>
      </c>
      <c r="B38" s="349" t="s">
        <v>138</v>
      </c>
      <c r="C38" s="350" t="s">
        <v>12</v>
      </c>
      <c r="D38" s="141" t="s">
        <v>13</v>
      </c>
      <c r="E38" s="97">
        <v>10</v>
      </c>
      <c r="F38" s="1064"/>
      <c r="G38" s="97"/>
      <c r="H38" s="91"/>
    </row>
    <row r="39" spans="1:8" s="224" customFormat="1" x14ac:dyDescent="0.25">
      <c r="A39" s="215">
        <v>41439</v>
      </c>
      <c r="B39" s="862" t="s">
        <v>32</v>
      </c>
      <c r="C39" s="879" t="s">
        <v>12</v>
      </c>
      <c r="D39" s="887" t="s">
        <v>15</v>
      </c>
      <c r="E39" s="250">
        <v>5.5</v>
      </c>
      <c r="F39" s="1480"/>
      <c r="G39" s="250"/>
      <c r="H39" s="251"/>
    </row>
    <row r="40" spans="1:8" s="224" customFormat="1" x14ac:dyDescent="0.25">
      <c r="A40" s="215">
        <v>41440</v>
      </c>
      <c r="B40" s="862" t="s">
        <v>14</v>
      </c>
      <c r="C40" s="879" t="s">
        <v>12</v>
      </c>
      <c r="D40" s="887" t="s">
        <v>13</v>
      </c>
      <c r="E40" s="250">
        <v>6.15</v>
      </c>
      <c r="F40" s="1480"/>
      <c r="G40" s="250"/>
      <c r="H40" s="251"/>
    </row>
    <row r="41" spans="1:8" x14ac:dyDescent="0.25">
      <c r="A41" s="215">
        <v>41441</v>
      </c>
      <c r="B41" s="349" t="s">
        <v>14</v>
      </c>
      <c r="C41" s="350" t="s">
        <v>12</v>
      </c>
      <c r="D41" s="141" t="s">
        <v>15</v>
      </c>
      <c r="E41" s="97">
        <v>4.3</v>
      </c>
      <c r="F41" s="1064"/>
      <c r="G41" s="97"/>
      <c r="H41" s="91"/>
    </row>
    <row r="42" spans="1:8" x14ac:dyDescent="0.25">
      <c r="A42" s="215">
        <v>41442</v>
      </c>
      <c r="B42" s="349" t="s">
        <v>151</v>
      </c>
      <c r="C42" s="350" t="s">
        <v>12</v>
      </c>
      <c r="D42" s="141" t="s">
        <v>13</v>
      </c>
      <c r="E42" s="97">
        <v>5.5</v>
      </c>
      <c r="F42" s="1064"/>
      <c r="G42" s="97"/>
      <c r="H42" s="91"/>
    </row>
    <row r="43" spans="1:8" x14ac:dyDescent="0.25">
      <c r="A43" s="215">
        <v>41442</v>
      </c>
      <c r="B43" s="349" t="s">
        <v>138</v>
      </c>
      <c r="C43" s="350" t="s">
        <v>12</v>
      </c>
      <c r="D43" s="141" t="s">
        <v>13</v>
      </c>
      <c r="E43" s="97">
        <v>10</v>
      </c>
      <c r="F43" s="1064"/>
      <c r="G43" s="97"/>
      <c r="H43" s="91"/>
    </row>
    <row r="44" spans="1:8" x14ac:dyDescent="0.25">
      <c r="A44" s="215">
        <v>41443</v>
      </c>
      <c r="B44" s="349" t="s">
        <v>151</v>
      </c>
      <c r="C44" s="350" t="s">
        <v>12</v>
      </c>
      <c r="D44" s="141" t="s">
        <v>13</v>
      </c>
      <c r="E44" s="97">
        <v>5.5</v>
      </c>
      <c r="F44" s="1064"/>
      <c r="G44" s="97"/>
      <c r="H44" s="91"/>
    </row>
    <row r="45" spans="1:8" x14ac:dyDescent="0.25">
      <c r="A45" s="215">
        <v>41444</v>
      </c>
      <c r="B45" s="873" t="s">
        <v>85</v>
      </c>
      <c r="C45" s="879" t="s">
        <v>12</v>
      </c>
      <c r="D45" s="887" t="s">
        <v>25</v>
      </c>
      <c r="E45" s="250"/>
      <c r="F45" s="1480">
        <v>150</v>
      </c>
      <c r="G45" s="97"/>
      <c r="H45" s="91"/>
    </row>
    <row r="46" spans="1:8" x14ac:dyDescent="0.25">
      <c r="A46" s="215">
        <v>41444</v>
      </c>
      <c r="B46" s="349" t="s">
        <v>32</v>
      </c>
      <c r="C46" s="350" t="s">
        <v>12</v>
      </c>
      <c r="D46" s="141" t="s">
        <v>15</v>
      </c>
      <c r="E46" s="97">
        <v>10</v>
      </c>
      <c r="F46" s="1064"/>
      <c r="G46" s="97"/>
      <c r="H46" s="91"/>
    </row>
    <row r="47" spans="1:8" x14ac:dyDescent="0.25">
      <c r="A47" s="215">
        <v>41444</v>
      </c>
      <c r="B47" s="349" t="s">
        <v>138</v>
      </c>
      <c r="C47" s="350" t="s">
        <v>12</v>
      </c>
      <c r="D47" s="141" t="s">
        <v>15</v>
      </c>
      <c r="E47" s="97">
        <v>20</v>
      </c>
      <c r="F47" s="1064"/>
      <c r="G47" s="97"/>
      <c r="H47" s="91"/>
    </row>
    <row r="48" spans="1:8" x14ac:dyDescent="0.25">
      <c r="A48" s="215">
        <v>41445</v>
      </c>
      <c r="B48" s="349" t="s">
        <v>168</v>
      </c>
      <c r="C48" s="350" t="s">
        <v>12</v>
      </c>
      <c r="D48" s="141" t="s">
        <v>25</v>
      </c>
      <c r="E48" s="97"/>
      <c r="F48" s="1064">
        <v>660</v>
      </c>
      <c r="G48" s="97"/>
      <c r="H48" s="91"/>
    </row>
    <row r="49" spans="1:8" x14ac:dyDescent="0.25">
      <c r="A49" s="215">
        <v>41445</v>
      </c>
      <c r="B49" s="349" t="s">
        <v>32</v>
      </c>
      <c r="C49" s="350" t="s">
        <v>12</v>
      </c>
      <c r="D49" s="141" t="s">
        <v>15</v>
      </c>
      <c r="E49" s="97">
        <v>5.5</v>
      </c>
      <c r="F49" s="1064"/>
      <c r="G49" s="97"/>
      <c r="H49" s="91"/>
    </row>
    <row r="50" spans="1:8" x14ac:dyDescent="0.25">
      <c r="A50" s="215">
        <v>41445</v>
      </c>
      <c r="B50" s="349" t="s">
        <v>80</v>
      </c>
      <c r="C50" s="350" t="s">
        <v>12</v>
      </c>
      <c r="D50" s="141" t="s">
        <v>15</v>
      </c>
      <c r="E50" s="97">
        <v>20</v>
      </c>
      <c r="F50" s="1064"/>
      <c r="G50" s="97"/>
      <c r="H50" s="91"/>
    </row>
    <row r="51" spans="1:8" x14ac:dyDescent="0.25">
      <c r="A51" s="215">
        <v>41446</v>
      </c>
      <c r="B51" s="349" t="s">
        <v>169</v>
      </c>
      <c r="C51" s="350" t="s">
        <v>19</v>
      </c>
      <c r="D51" s="141" t="s">
        <v>13</v>
      </c>
      <c r="E51" s="97">
        <v>395.12</v>
      </c>
      <c r="F51" s="1064"/>
      <c r="G51" s="97"/>
      <c r="H51" s="91"/>
    </row>
    <row r="52" spans="1:8" x14ac:dyDescent="0.25">
      <c r="A52" s="215">
        <v>41446</v>
      </c>
      <c r="B52" s="349" t="s">
        <v>32</v>
      </c>
      <c r="C52" s="350" t="s">
        <v>12</v>
      </c>
      <c r="D52" s="141" t="s">
        <v>15</v>
      </c>
      <c r="E52" s="97">
        <v>6.5</v>
      </c>
      <c r="F52" s="1064"/>
      <c r="G52" s="97"/>
      <c r="H52" s="91"/>
    </row>
    <row r="53" spans="1:8" s="224" customFormat="1" x14ac:dyDescent="0.25">
      <c r="A53" s="215">
        <v>41447</v>
      </c>
      <c r="B53" s="862" t="s">
        <v>138</v>
      </c>
      <c r="C53" s="879" t="s">
        <v>12</v>
      </c>
      <c r="D53" s="887" t="s">
        <v>15</v>
      </c>
      <c r="E53" s="250">
        <v>20</v>
      </c>
      <c r="F53" s="1480"/>
      <c r="G53" s="250"/>
      <c r="H53" s="251"/>
    </row>
    <row r="54" spans="1:8" s="224" customFormat="1" x14ac:dyDescent="0.25">
      <c r="A54" s="215">
        <v>41447</v>
      </c>
      <c r="B54" s="862" t="s">
        <v>170</v>
      </c>
      <c r="C54" s="879" t="s">
        <v>12</v>
      </c>
      <c r="D54" s="887" t="s">
        <v>15</v>
      </c>
      <c r="E54" s="250">
        <v>5.99</v>
      </c>
      <c r="F54" s="1480"/>
      <c r="G54" s="250"/>
      <c r="H54" s="251"/>
    </row>
    <row r="55" spans="1:8" s="224" customFormat="1" x14ac:dyDescent="0.25">
      <c r="A55" s="215">
        <v>41447</v>
      </c>
      <c r="B55" s="862" t="s">
        <v>171</v>
      </c>
      <c r="C55" s="879" t="s">
        <v>12</v>
      </c>
      <c r="D55" s="887" t="s">
        <v>13</v>
      </c>
      <c r="E55" s="250">
        <v>13.94</v>
      </c>
      <c r="F55" s="1480"/>
      <c r="G55" s="250"/>
      <c r="H55" s="251"/>
    </row>
    <row r="56" spans="1:8" s="224" customFormat="1" x14ac:dyDescent="0.25">
      <c r="A56" s="215">
        <v>41447</v>
      </c>
      <c r="B56" s="862" t="s">
        <v>93</v>
      </c>
      <c r="C56" s="879" t="s">
        <v>12</v>
      </c>
      <c r="D56" s="887" t="s">
        <v>13</v>
      </c>
      <c r="E56" s="250">
        <v>16.850000000000001</v>
      </c>
      <c r="F56" s="1480"/>
      <c r="G56" s="250"/>
      <c r="H56" s="251"/>
    </row>
    <row r="57" spans="1:8" s="224" customFormat="1" x14ac:dyDescent="0.25">
      <c r="A57" s="215">
        <v>41448</v>
      </c>
      <c r="B57" s="862" t="s">
        <v>14</v>
      </c>
      <c r="C57" s="105" t="s">
        <v>12</v>
      </c>
      <c r="D57" s="887" t="s">
        <v>15</v>
      </c>
      <c r="E57" s="250">
        <v>3.6</v>
      </c>
      <c r="F57" s="1480"/>
      <c r="G57" s="250"/>
      <c r="H57" s="251"/>
    </row>
    <row r="58" spans="1:8" s="224" customFormat="1" x14ac:dyDescent="0.25">
      <c r="A58" s="215">
        <v>41449</v>
      </c>
      <c r="B58" s="862" t="s">
        <v>32</v>
      </c>
      <c r="C58" s="105" t="s">
        <v>12</v>
      </c>
      <c r="D58" s="887" t="s">
        <v>15</v>
      </c>
      <c r="E58" s="250">
        <v>5.5</v>
      </c>
      <c r="F58" s="1480"/>
      <c r="G58" s="250"/>
      <c r="H58" s="251"/>
    </row>
    <row r="59" spans="1:8" s="224" customFormat="1" x14ac:dyDescent="0.25">
      <c r="A59" s="215">
        <v>41450</v>
      </c>
      <c r="B59" s="862" t="s">
        <v>32</v>
      </c>
      <c r="C59" s="105" t="s">
        <v>12</v>
      </c>
      <c r="D59" s="887" t="s">
        <v>15</v>
      </c>
      <c r="E59" s="250">
        <v>5.5</v>
      </c>
      <c r="F59" s="1480"/>
      <c r="G59" s="250"/>
      <c r="H59" s="251"/>
    </row>
    <row r="60" spans="1:8" s="224" customFormat="1" x14ac:dyDescent="0.25">
      <c r="A60" s="215">
        <v>41451</v>
      </c>
      <c r="B60" s="862" t="s">
        <v>32</v>
      </c>
      <c r="C60" s="105" t="s">
        <v>12</v>
      </c>
      <c r="D60" s="887" t="s">
        <v>15</v>
      </c>
      <c r="E60" s="250">
        <v>4.75</v>
      </c>
      <c r="F60" s="1480"/>
      <c r="G60" s="250"/>
      <c r="H60" s="251"/>
    </row>
    <row r="61" spans="1:8" s="224" customFormat="1" x14ac:dyDescent="0.25">
      <c r="A61" s="215">
        <v>41451</v>
      </c>
      <c r="B61" s="862" t="s">
        <v>138</v>
      </c>
      <c r="C61" s="105" t="s">
        <v>12</v>
      </c>
      <c r="D61" s="887" t="s">
        <v>13</v>
      </c>
      <c r="E61" s="250">
        <v>20</v>
      </c>
      <c r="F61" s="1480"/>
      <c r="G61" s="250"/>
      <c r="H61" s="251"/>
    </row>
    <row r="62" spans="1:8" x14ac:dyDescent="0.25">
      <c r="A62" s="215">
        <v>41452</v>
      </c>
      <c r="B62" s="349" t="s">
        <v>172</v>
      </c>
      <c r="C62" s="350" t="s">
        <v>12</v>
      </c>
      <c r="D62" s="141" t="s">
        <v>13</v>
      </c>
      <c r="E62" s="97">
        <v>120</v>
      </c>
      <c r="F62" s="1064"/>
      <c r="G62" s="97"/>
      <c r="H62" s="91"/>
    </row>
    <row r="63" spans="1:8" s="224" customFormat="1" x14ac:dyDescent="0.25">
      <c r="A63" s="215">
        <v>41452</v>
      </c>
      <c r="B63" s="862" t="s">
        <v>173</v>
      </c>
      <c r="C63" s="105" t="s">
        <v>12</v>
      </c>
      <c r="D63" s="887" t="s">
        <v>13</v>
      </c>
      <c r="E63" s="250">
        <v>7.9</v>
      </c>
      <c r="F63" s="1480"/>
      <c r="G63" s="250"/>
      <c r="H63" s="251"/>
    </row>
    <row r="64" spans="1:8" s="224" customFormat="1" x14ac:dyDescent="0.25">
      <c r="A64" s="215">
        <v>41452</v>
      </c>
      <c r="B64" s="862" t="s">
        <v>32</v>
      </c>
      <c r="C64" s="105" t="s">
        <v>12</v>
      </c>
      <c r="D64" s="887" t="s">
        <v>15</v>
      </c>
      <c r="E64" s="250">
        <v>5.5</v>
      </c>
      <c r="F64" s="1480"/>
      <c r="G64" s="250"/>
      <c r="H64" s="251"/>
    </row>
    <row r="65" spans="1:8" x14ac:dyDescent="0.25">
      <c r="A65" s="215">
        <v>41453</v>
      </c>
      <c r="B65" s="1477" t="s">
        <v>32</v>
      </c>
      <c r="C65" s="105" t="s">
        <v>12</v>
      </c>
      <c r="D65" s="105" t="s">
        <v>15</v>
      </c>
      <c r="E65" s="97">
        <v>4.5</v>
      </c>
      <c r="F65" s="1064"/>
      <c r="G65" s="97"/>
      <c r="H65" s="91"/>
    </row>
    <row r="66" spans="1:8" x14ac:dyDescent="0.25">
      <c r="A66" s="215">
        <v>41453</v>
      </c>
      <c r="B66" s="1477" t="s">
        <v>174</v>
      </c>
      <c r="C66" s="105" t="s">
        <v>19</v>
      </c>
      <c r="D66" s="105" t="s">
        <v>13</v>
      </c>
      <c r="E66" s="97">
        <v>29.9</v>
      </c>
      <c r="F66" s="1064"/>
      <c r="G66" s="97"/>
      <c r="H66" s="91"/>
    </row>
    <row r="67" spans="1:8" x14ac:dyDescent="0.25">
      <c r="A67" s="215">
        <v>41453</v>
      </c>
      <c r="B67" s="1477" t="s">
        <v>103</v>
      </c>
      <c r="C67" s="105" t="s">
        <v>12</v>
      </c>
      <c r="D67" s="105" t="s">
        <v>15</v>
      </c>
      <c r="E67" s="97">
        <v>5.5</v>
      </c>
      <c r="F67" s="1064"/>
      <c r="G67" s="97"/>
      <c r="H67" s="91"/>
    </row>
    <row r="68" spans="1:8" x14ac:dyDescent="0.25">
      <c r="A68" s="215">
        <v>41454</v>
      </c>
      <c r="B68" s="349"/>
      <c r="C68" s="352"/>
      <c r="D68" s="142"/>
      <c r="E68" s="97"/>
      <c r="F68" s="1064"/>
      <c r="G68" s="97"/>
      <c r="H68" s="91"/>
    </row>
    <row r="69" spans="1:8" ht="15.75" thickBot="1" x14ac:dyDescent="0.3">
      <c r="A69" s="215">
        <v>41455</v>
      </c>
      <c r="B69" s="79" t="s">
        <v>14</v>
      </c>
      <c r="C69" s="350" t="s">
        <v>12</v>
      </c>
      <c r="D69" s="85" t="s">
        <v>15</v>
      </c>
      <c r="E69" s="96">
        <v>8.08</v>
      </c>
      <c r="F69" s="1064"/>
      <c r="G69" s="416"/>
      <c r="H69" s="417"/>
    </row>
    <row r="70" spans="1:8" ht="25.5" customHeight="1" thickBot="1" x14ac:dyDescent="0.3">
      <c r="A70" s="3060"/>
      <c r="B70" s="3061"/>
      <c r="C70" s="3062"/>
      <c r="D70" s="3062"/>
      <c r="E70" s="100">
        <f>SUM(E5:E69)</f>
        <v>1587.53</v>
      </c>
      <c r="F70" s="1065" t="e">
        <f>SUM(F5:F69)</f>
        <v>#REF!</v>
      </c>
      <c r="G70" s="101">
        <f>SUM(G5:G69)</f>
        <v>0</v>
      </c>
      <c r="H70" s="93">
        <f>SUM(H5:H69)</f>
        <v>0</v>
      </c>
    </row>
    <row r="71" spans="1:8" ht="25.5" customHeight="1" thickBot="1" x14ac:dyDescent="0.3">
      <c r="A71" s="3077" t="s">
        <v>49</v>
      </c>
      <c r="B71" s="3078"/>
      <c r="C71" s="3078"/>
      <c r="D71" s="3078"/>
      <c r="E71" s="102"/>
      <c r="F71" s="1478" t="e">
        <f>F70-E70</f>
        <v>#REF!</v>
      </c>
      <c r="G71" s="104"/>
      <c r="H71" s="103">
        <f>H70-G70</f>
        <v>0</v>
      </c>
    </row>
    <row r="73" spans="1:8" x14ac:dyDescent="0.25">
      <c r="B73" s="79" t="s">
        <v>32</v>
      </c>
      <c r="C73" s="176">
        <v>125.35</v>
      </c>
    </row>
    <row r="74" spans="1:8" x14ac:dyDescent="0.25">
      <c r="B74" s="79" t="s">
        <v>16</v>
      </c>
      <c r="C74" s="176">
        <v>140</v>
      </c>
    </row>
    <row r="75" spans="1:8" x14ac:dyDescent="0.25">
      <c r="B75" s="79" t="s">
        <v>50</v>
      </c>
      <c r="C75" s="176"/>
    </row>
    <row r="76" spans="1:8" x14ac:dyDescent="0.25">
      <c r="B76" s="79" t="s">
        <v>14</v>
      </c>
      <c r="C76" s="178">
        <v>33.880000000000003</v>
      </c>
    </row>
    <row r="77" spans="1:8" x14ac:dyDescent="0.25">
      <c r="B77" s="79" t="s">
        <v>51</v>
      </c>
      <c r="C77" s="178">
        <v>77.31</v>
      </c>
    </row>
    <row r="78" spans="1:8" x14ac:dyDescent="0.25">
      <c r="B78" s="79" t="s">
        <v>52</v>
      </c>
      <c r="C78" s="178">
        <v>50</v>
      </c>
    </row>
    <row r="79" spans="1:8" x14ac:dyDescent="0.25">
      <c r="B79" s="867" t="s">
        <v>53</v>
      </c>
      <c r="C79" s="178">
        <v>11</v>
      </c>
    </row>
    <row r="80" spans="1:8" x14ac:dyDescent="0.25">
      <c r="B80" s="79" t="s">
        <v>56</v>
      </c>
      <c r="C80" s="475">
        <v>35</v>
      </c>
    </row>
    <row r="81" spans="2:3" x14ac:dyDescent="0.25">
      <c r="B81" s="79" t="s">
        <v>57</v>
      </c>
      <c r="C81" s="475">
        <v>113.09</v>
      </c>
    </row>
    <row r="82" spans="2:3" x14ac:dyDescent="0.25">
      <c r="C82" s="475"/>
    </row>
  </sheetData>
  <autoFilter ref="A2:H71" xr:uid="{00000000-0009-0000-0000-000005000000}">
    <filterColumn colId="4" showButton="0"/>
    <filterColumn colId="6" showButton="0"/>
  </autoFilter>
  <mergeCells count="10">
    <mergeCell ref="A71:D71"/>
    <mergeCell ref="A1:D1"/>
    <mergeCell ref="A70:D70"/>
    <mergeCell ref="E1:H1"/>
    <mergeCell ref="A2:A4"/>
    <mergeCell ref="B2:B4"/>
    <mergeCell ref="D2:D4"/>
    <mergeCell ref="E2:F3"/>
    <mergeCell ref="G2:H3"/>
    <mergeCell ref="C2:C4"/>
  </mergeCells>
  <phoneticPr fontId="16" type="noConversion"/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34"/>
  <dimension ref="A1:H94"/>
  <sheetViews>
    <sheetView zoomScale="90" zoomScaleNormal="90" workbookViewId="0">
      <pane ySplit="4" topLeftCell="A5" activePane="bottomLeft" state="frozen"/>
      <selection activeCell="C44" sqref="C44"/>
      <selection pane="bottomLeft" activeCell="E18" sqref="E1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175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41456</v>
      </c>
      <c r="B5" s="369" t="s">
        <v>10</v>
      </c>
      <c r="C5" s="370"/>
      <c r="D5" s="207"/>
      <c r="E5" s="179"/>
      <c r="F5" s="933" t="e">
        <f>'Junho 13'!F71</f>
        <v>#REF!</v>
      </c>
      <c r="G5" s="163"/>
      <c r="H5" s="98"/>
    </row>
    <row r="6" spans="1:8" s="224" customFormat="1" x14ac:dyDescent="0.25">
      <c r="A6" s="215">
        <v>41456</v>
      </c>
      <c r="B6" s="348" t="s">
        <v>11</v>
      </c>
      <c r="C6" s="351" t="s">
        <v>12</v>
      </c>
      <c r="D6" s="248" t="s">
        <v>13</v>
      </c>
      <c r="E6" s="250"/>
      <c r="F6" s="1473"/>
      <c r="G6" s="252"/>
      <c r="H6" s="251"/>
    </row>
    <row r="7" spans="1:8" s="224" customFormat="1" x14ac:dyDescent="0.25">
      <c r="A7" s="215">
        <v>41456</v>
      </c>
      <c r="B7" s="873" t="s">
        <v>32</v>
      </c>
      <c r="C7" s="879" t="s">
        <v>12</v>
      </c>
      <c r="D7" s="887" t="s">
        <v>15</v>
      </c>
      <c r="E7" s="250">
        <v>5.5</v>
      </c>
      <c r="F7" s="1473"/>
      <c r="G7" s="252"/>
      <c r="H7" s="251"/>
    </row>
    <row r="8" spans="1:8" s="224" customFormat="1" x14ac:dyDescent="0.25">
      <c r="A8" s="215">
        <v>41456</v>
      </c>
      <c r="B8" s="873" t="s">
        <v>138</v>
      </c>
      <c r="C8" s="879" t="s">
        <v>12</v>
      </c>
      <c r="D8" s="887" t="s">
        <v>13</v>
      </c>
      <c r="E8" s="250">
        <v>20</v>
      </c>
      <c r="F8" s="1473"/>
      <c r="G8" s="252"/>
      <c r="H8" s="251"/>
    </row>
    <row r="9" spans="1:8" s="224" customFormat="1" x14ac:dyDescent="0.25">
      <c r="A9" s="215">
        <v>41457</v>
      </c>
      <c r="B9" s="1474" t="s">
        <v>32</v>
      </c>
      <c r="C9" s="879" t="s">
        <v>12</v>
      </c>
      <c r="D9" s="1475" t="s">
        <v>15</v>
      </c>
      <c r="E9" s="250">
        <v>6</v>
      </c>
      <c r="F9" s="1473"/>
      <c r="G9" s="252"/>
      <c r="H9" s="251"/>
    </row>
    <row r="10" spans="1:8" s="224" customFormat="1" x14ac:dyDescent="0.25">
      <c r="A10" s="215">
        <v>41458</v>
      </c>
      <c r="B10" s="873" t="s">
        <v>32</v>
      </c>
      <c r="C10" s="879" t="s">
        <v>12</v>
      </c>
      <c r="D10" s="1475" t="s">
        <v>15</v>
      </c>
      <c r="E10" s="250">
        <v>5.5</v>
      </c>
      <c r="F10" s="1473"/>
      <c r="G10" s="252"/>
      <c r="H10" s="251"/>
    </row>
    <row r="11" spans="1:8" s="224" customFormat="1" x14ac:dyDescent="0.25">
      <c r="A11" s="215">
        <v>41459</v>
      </c>
      <c r="B11" s="873" t="s">
        <v>32</v>
      </c>
      <c r="C11" s="879" t="s">
        <v>12</v>
      </c>
      <c r="D11" s="887" t="s">
        <v>15</v>
      </c>
      <c r="E11" s="250">
        <v>5.5</v>
      </c>
      <c r="F11" s="1473"/>
      <c r="G11" s="252"/>
      <c r="H11" s="251"/>
    </row>
    <row r="12" spans="1:8" s="224" customFormat="1" x14ac:dyDescent="0.25">
      <c r="A12" s="215">
        <v>41459</v>
      </c>
      <c r="B12" s="873" t="s">
        <v>138</v>
      </c>
      <c r="C12" s="879" t="s">
        <v>12</v>
      </c>
      <c r="D12" s="887" t="s">
        <v>15</v>
      </c>
      <c r="E12" s="250">
        <v>10</v>
      </c>
      <c r="F12" s="1473"/>
      <c r="G12" s="252"/>
      <c r="H12" s="251"/>
    </row>
    <row r="13" spans="1:8" s="224" customFormat="1" x14ac:dyDescent="0.25">
      <c r="A13" s="215">
        <v>41459</v>
      </c>
      <c r="B13" s="873" t="s">
        <v>176</v>
      </c>
      <c r="C13" s="879" t="s">
        <v>12</v>
      </c>
      <c r="D13" s="887" t="s">
        <v>13</v>
      </c>
      <c r="E13" s="250">
        <v>25</v>
      </c>
      <c r="F13" s="1473"/>
      <c r="G13" s="252"/>
      <c r="H13" s="251"/>
    </row>
    <row r="14" spans="1:8" s="224" customFormat="1" x14ac:dyDescent="0.25">
      <c r="A14" s="215">
        <v>41459</v>
      </c>
      <c r="B14" s="873" t="s">
        <v>177</v>
      </c>
      <c r="C14" s="879" t="s">
        <v>12</v>
      </c>
      <c r="D14" s="887" t="s">
        <v>13</v>
      </c>
      <c r="E14" s="250">
        <v>10</v>
      </c>
      <c r="F14" s="1473"/>
      <c r="G14" s="252"/>
      <c r="H14" s="251"/>
    </row>
    <row r="15" spans="1:8" s="224" customFormat="1" x14ac:dyDescent="0.25">
      <c r="A15" s="215">
        <v>41459</v>
      </c>
      <c r="B15" s="873" t="s">
        <v>178</v>
      </c>
      <c r="C15" s="879" t="s">
        <v>12</v>
      </c>
      <c r="D15" s="887" t="s">
        <v>15</v>
      </c>
      <c r="E15" s="250">
        <v>2.5</v>
      </c>
      <c r="F15" s="1473"/>
      <c r="G15" s="252"/>
      <c r="H15" s="251"/>
    </row>
    <row r="16" spans="1:8" s="224" customFormat="1" x14ac:dyDescent="0.25">
      <c r="A16" s="215">
        <v>41459</v>
      </c>
      <c r="B16" s="873" t="s">
        <v>14</v>
      </c>
      <c r="C16" s="879" t="s">
        <v>12</v>
      </c>
      <c r="D16" s="887" t="s">
        <v>15</v>
      </c>
      <c r="E16" s="250">
        <v>2.1</v>
      </c>
      <c r="F16" s="1473"/>
      <c r="G16" s="252"/>
      <c r="H16" s="251"/>
    </row>
    <row r="17" spans="1:8" s="224" customFormat="1" x14ac:dyDescent="0.25">
      <c r="A17" s="215">
        <v>41460</v>
      </c>
      <c r="B17" s="349" t="s">
        <v>179</v>
      </c>
      <c r="C17" s="879" t="s">
        <v>12</v>
      </c>
      <c r="D17" s="983" t="s">
        <v>25</v>
      </c>
      <c r="E17" s="250"/>
      <c r="F17" s="1473">
        <v>833.81</v>
      </c>
      <c r="G17" s="252"/>
      <c r="H17" s="251"/>
    </row>
    <row r="18" spans="1:8" s="224" customFormat="1" x14ac:dyDescent="0.25">
      <c r="A18" s="215">
        <v>41460</v>
      </c>
      <c r="B18" s="862" t="s">
        <v>180</v>
      </c>
      <c r="C18" s="879" t="s">
        <v>12</v>
      </c>
      <c r="D18" s="887" t="s">
        <v>13</v>
      </c>
      <c r="E18" s="250">
        <v>131.49</v>
      </c>
      <c r="F18" s="1473"/>
      <c r="G18" s="252"/>
      <c r="H18" s="251"/>
    </row>
    <row r="19" spans="1:8" s="224" customFormat="1" x14ac:dyDescent="0.25">
      <c r="A19" s="215">
        <v>41460</v>
      </c>
      <c r="B19" s="882" t="s">
        <v>181</v>
      </c>
      <c r="C19" s="879" t="s">
        <v>12</v>
      </c>
      <c r="D19" s="887" t="s">
        <v>13</v>
      </c>
      <c r="E19" s="250">
        <v>32.619999999999997</v>
      </c>
      <c r="F19" s="1473"/>
      <c r="G19" s="252"/>
      <c r="H19" s="251"/>
    </row>
    <row r="20" spans="1:8" s="224" customFormat="1" x14ac:dyDescent="0.25">
      <c r="A20" s="215">
        <v>41460</v>
      </c>
      <c r="B20" s="882" t="s">
        <v>182</v>
      </c>
      <c r="C20" s="879" t="s">
        <v>12</v>
      </c>
      <c r="D20" s="887" t="s">
        <v>13</v>
      </c>
      <c r="E20" s="250">
        <v>34.06</v>
      </c>
      <c r="F20" s="1473"/>
      <c r="G20" s="252"/>
      <c r="H20" s="251"/>
    </row>
    <row r="21" spans="1:8" s="316" customFormat="1" x14ac:dyDescent="0.25">
      <c r="A21" s="215">
        <v>41460</v>
      </c>
      <c r="B21" s="862" t="s">
        <v>31</v>
      </c>
      <c r="C21" s="879" t="s">
        <v>12</v>
      </c>
      <c r="D21" s="957" t="s">
        <v>15</v>
      </c>
      <c r="E21" s="250">
        <v>50</v>
      </c>
      <c r="F21" s="1473"/>
      <c r="G21" s="1476"/>
      <c r="H21" s="1473"/>
    </row>
    <row r="22" spans="1:8" s="316" customFormat="1" x14ac:dyDescent="0.25">
      <c r="A22" s="215">
        <v>41460</v>
      </c>
      <c r="B22" s="862" t="s">
        <v>183</v>
      </c>
      <c r="C22" s="879" t="s">
        <v>12</v>
      </c>
      <c r="D22" s="957" t="s">
        <v>184</v>
      </c>
      <c r="E22" s="250"/>
      <c r="F22" s="1473"/>
      <c r="G22" s="1476"/>
      <c r="H22" s="1473"/>
    </row>
    <row r="23" spans="1:8" s="316" customFormat="1" x14ac:dyDescent="0.25">
      <c r="A23" s="215">
        <v>41460</v>
      </c>
      <c r="B23" s="862" t="s">
        <v>185</v>
      </c>
      <c r="C23" s="879" t="s">
        <v>12</v>
      </c>
      <c r="D23" s="957" t="s">
        <v>15</v>
      </c>
      <c r="E23" s="250">
        <v>108.75</v>
      </c>
      <c r="F23" s="1473"/>
      <c r="G23" s="1476"/>
      <c r="H23" s="1473"/>
    </row>
    <row r="24" spans="1:8" s="316" customFormat="1" x14ac:dyDescent="0.25">
      <c r="A24" s="215">
        <v>41460</v>
      </c>
      <c r="B24" s="862" t="s">
        <v>32</v>
      </c>
      <c r="C24" s="879" t="s">
        <v>12</v>
      </c>
      <c r="D24" s="957" t="s">
        <v>15</v>
      </c>
      <c r="E24" s="250">
        <v>5.5</v>
      </c>
      <c r="F24" s="1473"/>
      <c r="G24" s="1476"/>
      <c r="H24" s="1473"/>
    </row>
    <row r="25" spans="1:8" x14ac:dyDescent="0.25">
      <c r="A25" s="215">
        <v>41461</v>
      </c>
      <c r="B25" s="349" t="s">
        <v>186</v>
      </c>
      <c r="C25" s="350" t="s">
        <v>12</v>
      </c>
      <c r="D25" s="141" t="s">
        <v>15</v>
      </c>
      <c r="E25" s="97">
        <v>5</v>
      </c>
      <c r="F25" s="946"/>
      <c r="G25" s="95"/>
      <c r="H25" s="91"/>
    </row>
    <row r="26" spans="1:8" x14ac:dyDescent="0.25">
      <c r="A26" s="215">
        <v>41461</v>
      </c>
      <c r="B26" s="349" t="s">
        <v>187</v>
      </c>
      <c r="C26" s="350" t="s">
        <v>12</v>
      </c>
      <c r="D26" s="141" t="s">
        <v>15</v>
      </c>
      <c r="E26" s="97">
        <v>6.5</v>
      </c>
      <c r="F26" s="946"/>
      <c r="G26" s="95"/>
      <c r="H26" s="91"/>
    </row>
    <row r="27" spans="1:8" x14ac:dyDescent="0.25">
      <c r="A27" s="215">
        <v>41461</v>
      </c>
      <c r="B27" s="349" t="s">
        <v>188</v>
      </c>
      <c r="C27" s="350" t="s">
        <v>12</v>
      </c>
      <c r="D27" s="141" t="s">
        <v>15</v>
      </c>
      <c r="E27" s="97">
        <v>6.5</v>
      </c>
      <c r="F27" s="946"/>
      <c r="G27" s="95"/>
      <c r="H27" s="91"/>
    </row>
    <row r="28" spans="1:8" x14ac:dyDescent="0.25">
      <c r="A28" s="215">
        <v>41461</v>
      </c>
      <c r="B28" s="349" t="s">
        <v>134</v>
      </c>
      <c r="C28" s="350" t="s">
        <v>12</v>
      </c>
      <c r="D28" s="141" t="s">
        <v>15</v>
      </c>
      <c r="E28" s="97">
        <v>4</v>
      </c>
      <c r="F28" s="946"/>
      <c r="G28" s="95"/>
      <c r="H28" s="91"/>
    </row>
    <row r="29" spans="1:8" x14ac:dyDescent="0.25">
      <c r="A29" s="215">
        <v>41461</v>
      </c>
      <c r="B29" s="349" t="s">
        <v>189</v>
      </c>
      <c r="C29" s="350" t="s">
        <v>12</v>
      </c>
      <c r="D29" s="141" t="s">
        <v>15</v>
      </c>
      <c r="E29" s="97"/>
      <c r="F29" s="946">
        <v>61</v>
      </c>
      <c r="G29" s="95"/>
      <c r="H29" s="91"/>
    </row>
    <row r="30" spans="1:8" x14ac:dyDescent="0.25">
      <c r="A30" s="215">
        <v>41462</v>
      </c>
      <c r="B30" s="349"/>
      <c r="C30" s="350"/>
      <c r="D30" s="141"/>
      <c r="E30" s="97"/>
      <c r="F30" s="946"/>
      <c r="G30" s="95"/>
      <c r="H30" s="91"/>
    </row>
    <row r="31" spans="1:8" x14ac:dyDescent="0.25">
      <c r="A31" s="215">
        <v>41463</v>
      </c>
      <c r="B31" s="349" t="s">
        <v>32</v>
      </c>
      <c r="C31" s="350" t="s">
        <v>12</v>
      </c>
      <c r="D31" s="141" t="s">
        <v>15</v>
      </c>
      <c r="E31" s="97">
        <v>10</v>
      </c>
      <c r="F31" s="946"/>
      <c r="G31" s="95"/>
      <c r="H31" s="91"/>
    </row>
    <row r="32" spans="1:8" x14ac:dyDescent="0.25">
      <c r="A32" s="215">
        <v>41463</v>
      </c>
      <c r="B32" s="349" t="s">
        <v>138</v>
      </c>
      <c r="C32" s="350" t="s">
        <v>12</v>
      </c>
      <c r="D32" s="141" t="s">
        <v>15</v>
      </c>
      <c r="E32" s="97">
        <v>20</v>
      </c>
      <c r="F32" s="946"/>
      <c r="G32" s="95"/>
      <c r="H32" s="91"/>
    </row>
    <row r="33" spans="1:8" x14ac:dyDescent="0.25">
      <c r="A33" s="215">
        <v>41463</v>
      </c>
      <c r="B33" s="349" t="s">
        <v>190</v>
      </c>
      <c r="C33" s="350" t="s">
        <v>12</v>
      </c>
      <c r="D33" s="141" t="s">
        <v>15</v>
      </c>
      <c r="E33" s="97">
        <v>30</v>
      </c>
      <c r="F33" s="946"/>
      <c r="G33" s="95"/>
      <c r="H33" s="91"/>
    </row>
    <row r="34" spans="1:8" s="224" customFormat="1" x14ac:dyDescent="0.25">
      <c r="A34" s="215">
        <v>41464</v>
      </c>
      <c r="B34" s="862"/>
      <c r="C34" s="879"/>
      <c r="D34" s="887"/>
      <c r="E34" s="250"/>
      <c r="F34" s="1473"/>
      <c r="G34" s="252"/>
      <c r="H34" s="251"/>
    </row>
    <row r="35" spans="1:8" s="224" customFormat="1" x14ac:dyDescent="0.25">
      <c r="A35" s="215">
        <v>41465</v>
      </c>
      <c r="B35" s="862" t="s">
        <v>32</v>
      </c>
      <c r="C35" s="879" t="s">
        <v>12</v>
      </c>
      <c r="D35" s="887" t="s">
        <v>15</v>
      </c>
      <c r="E35" s="250">
        <v>5.5</v>
      </c>
      <c r="F35" s="1473"/>
      <c r="G35" s="252"/>
      <c r="H35" s="251"/>
    </row>
    <row r="36" spans="1:8" s="224" customFormat="1" x14ac:dyDescent="0.25">
      <c r="A36" s="215">
        <v>41465</v>
      </c>
      <c r="B36" s="862" t="s">
        <v>138</v>
      </c>
      <c r="C36" s="879" t="s">
        <v>12</v>
      </c>
      <c r="D36" s="887" t="s">
        <v>15</v>
      </c>
      <c r="E36" s="250">
        <v>10</v>
      </c>
      <c r="F36" s="1473"/>
      <c r="G36" s="252"/>
      <c r="H36" s="251"/>
    </row>
    <row r="37" spans="1:8" x14ac:dyDescent="0.25">
      <c r="A37" s="215">
        <v>41466</v>
      </c>
      <c r="B37" s="349" t="s">
        <v>32</v>
      </c>
      <c r="C37" s="350" t="s">
        <v>12</v>
      </c>
      <c r="D37" s="141" t="s">
        <v>15</v>
      </c>
      <c r="E37" s="97">
        <v>5.5</v>
      </c>
      <c r="F37" s="946"/>
      <c r="G37" s="95"/>
      <c r="H37" s="91"/>
    </row>
    <row r="38" spans="1:8" x14ac:dyDescent="0.25">
      <c r="A38" s="215">
        <v>41466</v>
      </c>
      <c r="B38" s="349" t="s">
        <v>80</v>
      </c>
      <c r="C38" s="350" t="s">
        <v>12</v>
      </c>
      <c r="D38" s="141" t="s">
        <v>15</v>
      </c>
      <c r="E38" s="97">
        <v>16</v>
      </c>
      <c r="F38" s="946"/>
      <c r="G38" s="95"/>
      <c r="H38" s="91"/>
    </row>
    <row r="39" spans="1:8" x14ac:dyDescent="0.25">
      <c r="A39" s="215">
        <v>41467</v>
      </c>
      <c r="B39" s="349" t="s">
        <v>32</v>
      </c>
      <c r="C39" s="350" t="s">
        <v>12</v>
      </c>
      <c r="D39" s="141" t="s">
        <v>15</v>
      </c>
      <c r="E39" s="97">
        <v>5.5</v>
      </c>
      <c r="F39" s="946"/>
      <c r="G39" s="95"/>
      <c r="H39" s="91"/>
    </row>
    <row r="40" spans="1:8" x14ac:dyDescent="0.25">
      <c r="A40" s="215">
        <v>41467</v>
      </c>
      <c r="B40" s="349" t="s">
        <v>191</v>
      </c>
      <c r="C40" s="350" t="s">
        <v>19</v>
      </c>
      <c r="D40" s="141" t="s">
        <v>15</v>
      </c>
      <c r="E40" s="97">
        <v>71.8</v>
      </c>
      <c r="F40" s="946"/>
      <c r="G40" s="95"/>
      <c r="H40" s="91"/>
    </row>
    <row r="41" spans="1:8" x14ac:dyDescent="0.25">
      <c r="A41" s="215">
        <v>41467</v>
      </c>
      <c r="B41" s="349" t="s">
        <v>103</v>
      </c>
      <c r="C41" s="350" t="s">
        <v>12</v>
      </c>
      <c r="D41" s="141" t="s">
        <v>15</v>
      </c>
      <c r="E41" s="97">
        <v>5.5</v>
      </c>
      <c r="F41" s="946"/>
      <c r="G41" s="95"/>
      <c r="H41" s="91"/>
    </row>
    <row r="42" spans="1:8" x14ac:dyDescent="0.25">
      <c r="A42" s="215">
        <v>41467</v>
      </c>
      <c r="B42" s="349" t="s">
        <v>138</v>
      </c>
      <c r="C42" s="350" t="s">
        <v>12</v>
      </c>
      <c r="D42" s="141" t="s">
        <v>15</v>
      </c>
      <c r="E42" s="97">
        <v>20</v>
      </c>
      <c r="F42" s="946"/>
      <c r="G42" s="95"/>
      <c r="H42" s="91"/>
    </row>
    <row r="43" spans="1:8" s="224" customFormat="1" x14ac:dyDescent="0.25">
      <c r="A43" s="215">
        <v>41468</v>
      </c>
      <c r="B43" s="349" t="s">
        <v>192</v>
      </c>
      <c r="C43" s="879" t="s">
        <v>12</v>
      </c>
      <c r="D43" s="887" t="s">
        <v>15</v>
      </c>
      <c r="E43" s="250"/>
      <c r="F43" s="1473">
        <v>100</v>
      </c>
      <c r="G43" s="252"/>
      <c r="H43" s="251"/>
    </row>
    <row r="44" spans="1:8" s="224" customFormat="1" x14ac:dyDescent="0.25">
      <c r="A44" s="215">
        <v>41468</v>
      </c>
      <c r="B44" s="349" t="s">
        <v>193</v>
      </c>
      <c r="C44" s="879" t="s">
        <v>12</v>
      </c>
      <c r="D44" s="887" t="s">
        <v>15</v>
      </c>
      <c r="E44" s="250"/>
      <c r="F44" s="1473">
        <v>10</v>
      </c>
      <c r="G44" s="252"/>
      <c r="H44" s="251"/>
    </row>
    <row r="45" spans="1:8" s="224" customFormat="1" x14ac:dyDescent="0.25">
      <c r="A45" s="215">
        <v>41469</v>
      </c>
      <c r="B45" s="862" t="s">
        <v>134</v>
      </c>
      <c r="C45" s="879" t="s">
        <v>12</v>
      </c>
      <c r="D45" s="887" t="s">
        <v>15</v>
      </c>
      <c r="E45" s="250">
        <v>2</v>
      </c>
      <c r="F45" s="1473"/>
      <c r="G45" s="252"/>
      <c r="H45" s="251"/>
    </row>
    <row r="46" spans="1:8" s="224" customFormat="1" x14ac:dyDescent="0.25">
      <c r="A46" s="215">
        <v>41469</v>
      </c>
      <c r="B46" s="862" t="s">
        <v>14</v>
      </c>
      <c r="C46" s="879" t="s">
        <v>12</v>
      </c>
      <c r="D46" s="887" t="s">
        <v>15</v>
      </c>
      <c r="E46" s="250">
        <v>2</v>
      </c>
      <c r="F46" s="1473"/>
      <c r="G46" s="252"/>
      <c r="H46" s="251"/>
    </row>
    <row r="47" spans="1:8" x14ac:dyDescent="0.25">
      <c r="A47" s="215">
        <v>41470</v>
      </c>
      <c r="B47" s="349" t="s">
        <v>32</v>
      </c>
      <c r="C47" s="350" t="s">
        <v>12</v>
      </c>
      <c r="D47" s="141" t="s">
        <v>15</v>
      </c>
      <c r="E47" s="97">
        <v>5.5</v>
      </c>
      <c r="F47" s="946"/>
      <c r="G47" s="95"/>
      <c r="H47" s="91"/>
    </row>
    <row r="48" spans="1:8" x14ac:dyDescent="0.25">
      <c r="A48" s="215">
        <v>41470</v>
      </c>
      <c r="B48" s="349" t="s">
        <v>138</v>
      </c>
      <c r="C48" s="350" t="s">
        <v>12</v>
      </c>
      <c r="D48" s="141" t="s">
        <v>15</v>
      </c>
      <c r="E48" s="97">
        <v>20</v>
      </c>
      <c r="F48" s="946"/>
      <c r="G48" s="95"/>
      <c r="H48" s="91"/>
    </row>
    <row r="49" spans="1:8" x14ac:dyDescent="0.25">
      <c r="A49" s="215">
        <v>41471</v>
      </c>
      <c r="B49" s="349" t="s">
        <v>32</v>
      </c>
      <c r="C49" s="350" t="s">
        <v>12</v>
      </c>
      <c r="D49" s="141" t="s">
        <v>15</v>
      </c>
      <c r="E49" s="97">
        <v>5.5</v>
      </c>
      <c r="F49" s="946"/>
      <c r="G49" s="95"/>
      <c r="H49" s="91"/>
    </row>
    <row r="50" spans="1:8" x14ac:dyDescent="0.25">
      <c r="A50" s="215">
        <v>41471</v>
      </c>
      <c r="B50" s="349" t="s">
        <v>14</v>
      </c>
      <c r="C50" s="350" t="s">
        <v>12</v>
      </c>
      <c r="D50" s="141" t="s">
        <v>15</v>
      </c>
      <c r="E50" s="97">
        <v>1.8</v>
      </c>
      <c r="F50" s="946"/>
      <c r="G50" s="95"/>
      <c r="H50" s="91"/>
    </row>
    <row r="51" spans="1:8" x14ac:dyDescent="0.25">
      <c r="A51" s="215">
        <v>41472</v>
      </c>
      <c r="B51" s="349" t="s">
        <v>32</v>
      </c>
      <c r="C51" s="350" t="s">
        <v>12</v>
      </c>
      <c r="D51" s="141" t="s">
        <v>15</v>
      </c>
      <c r="E51" s="97">
        <v>5.5</v>
      </c>
      <c r="F51" s="946"/>
      <c r="G51" s="95"/>
      <c r="H51" s="91"/>
    </row>
    <row r="52" spans="1:8" x14ac:dyDescent="0.25">
      <c r="A52" s="215">
        <v>41473</v>
      </c>
      <c r="B52" s="349" t="s">
        <v>32</v>
      </c>
      <c r="C52" s="350" t="s">
        <v>12</v>
      </c>
      <c r="D52" s="141" t="s">
        <v>15</v>
      </c>
      <c r="E52" s="97">
        <v>5.5</v>
      </c>
      <c r="F52" s="946"/>
      <c r="G52" s="95"/>
      <c r="H52" s="91"/>
    </row>
    <row r="53" spans="1:8" x14ac:dyDescent="0.25">
      <c r="A53" s="215">
        <v>41473</v>
      </c>
      <c r="B53" s="349" t="s">
        <v>138</v>
      </c>
      <c r="C53" s="350" t="s">
        <v>12</v>
      </c>
      <c r="D53" s="141" t="s">
        <v>15</v>
      </c>
      <c r="E53" s="97">
        <v>20</v>
      </c>
      <c r="F53" s="946"/>
      <c r="G53" s="95"/>
      <c r="H53" s="91"/>
    </row>
    <row r="54" spans="1:8" x14ac:dyDescent="0.25">
      <c r="A54" s="215">
        <v>41473</v>
      </c>
      <c r="B54" s="349" t="s">
        <v>32</v>
      </c>
      <c r="C54" s="350" t="s">
        <v>12</v>
      </c>
      <c r="D54" s="141" t="s">
        <v>15</v>
      </c>
      <c r="E54" s="97">
        <v>5.5</v>
      </c>
      <c r="F54" s="946"/>
      <c r="G54" s="95"/>
      <c r="H54" s="91"/>
    </row>
    <row r="55" spans="1:8" x14ac:dyDescent="0.25">
      <c r="A55" s="215">
        <v>41473</v>
      </c>
      <c r="B55" s="1477" t="s">
        <v>194</v>
      </c>
      <c r="C55" s="105" t="s">
        <v>12</v>
      </c>
      <c r="D55" s="105" t="s">
        <v>15</v>
      </c>
      <c r="E55" s="97">
        <v>7</v>
      </c>
      <c r="F55" s="946"/>
      <c r="G55" s="95"/>
      <c r="H55" s="91"/>
    </row>
    <row r="56" spans="1:8" x14ac:dyDescent="0.25">
      <c r="A56" s="215">
        <v>41474</v>
      </c>
      <c r="B56" s="349" t="s">
        <v>195</v>
      </c>
      <c r="C56" s="350" t="s">
        <v>12</v>
      </c>
      <c r="D56" s="141" t="s">
        <v>25</v>
      </c>
      <c r="E56" s="97"/>
      <c r="F56" s="946">
        <v>660</v>
      </c>
      <c r="G56" s="95"/>
      <c r="H56" s="91"/>
    </row>
    <row r="57" spans="1:8" x14ac:dyDescent="0.25">
      <c r="A57" s="215">
        <v>41474</v>
      </c>
      <c r="B57" s="349" t="s">
        <v>32</v>
      </c>
      <c r="C57" s="350" t="s">
        <v>12</v>
      </c>
      <c r="D57" s="141" t="s">
        <v>15</v>
      </c>
      <c r="E57" s="97">
        <v>10</v>
      </c>
      <c r="F57" s="946"/>
      <c r="G57" s="95"/>
      <c r="H57" s="91"/>
    </row>
    <row r="58" spans="1:8" x14ac:dyDescent="0.25">
      <c r="A58" s="215">
        <v>41474</v>
      </c>
      <c r="B58" s="349" t="s">
        <v>138</v>
      </c>
      <c r="C58" s="350" t="s">
        <v>12</v>
      </c>
      <c r="D58" s="141" t="s">
        <v>15</v>
      </c>
      <c r="E58" s="97">
        <v>20</v>
      </c>
      <c r="F58" s="946"/>
      <c r="G58" s="95"/>
      <c r="H58" s="91"/>
    </row>
    <row r="59" spans="1:8" x14ac:dyDescent="0.25">
      <c r="A59" s="215">
        <v>41475</v>
      </c>
      <c r="B59" s="349"/>
      <c r="C59" s="350"/>
      <c r="D59" s="141"/>
      <c r="E59" s="97"/>
      <c r="F59" s="946"/>
      <c r="G59" s="95"/>
      <c r="H59" s="91"/>
    </row>
    <row r="60" spans="1:8" x14ac:dyDescent="0.25">
      <c r="A60" s="215">
        <v>41476</v>
      </c>
      <c r="B60" s="349" t="s">
        <v>138</v>
      </c>
      <c r="C60" s="350" t="s">
        <v>12</v>
      </c>
      <c r="D60" s="141" t="s">
        <v>15</v>
      </c>
      <c r="E60" s="97">
        <v>10</v>
      </c>
      <c r="F60" s="946"/>
      <c r="G60" s="95"/>
      <c r="H60" s="91"/>
    </row>
    <row r="61" spans="1:8" s="224" customFormat="1" x14ac:dyDescent="0.25">
      <c r="A61" s="215">
        <v>41477</v>
      </c>
      <c r="B61" s="862" t="s">
        <v>32</v>
      </c>
      <c r="C61" s="879" t="s">
        <v>12</v>
      </c>
      <c r="D61" s="887" t="s">
        <v>15</v>
      </c>
      <c r="E61" s="250">
        <v>5.5</v>
      </c>
      <c r="F61" s="1473"/>
      <c r="G61" s="252"/>
      <c r="H61" s="251"/>
    </row>
    <row r="62" spans="1:8" s="224" customFormat="1" x14ac:dyDescent="0.25">
      <c r="A62" s="215">
        <v>41477</v>
      </c>
      <c r="B62" s="862" t="s">
        <v>196</v>
      </c>
      <c r="C62" s="879" t="s">
        <v>12</v>
      </c>
      <c r="D62" s="887" t="s">
        <v>15</v>
      </c>
      <c r="E62" s="250">
        <v>13</v>
      </c>
      <c r="F62" s="1473"/>
      <c r="G62" s="252"/>
      <c r="H62" s="251"/>
    </row>
    <row r="63" spans="1:8" s="224" customFormat="1" x14ac:dyDescent="0.25">
      <c r="A63" s="215">
        <v>41478</v>
      </c>
      <c r="B63" s="862" t="s">
        <v>32</v>
      </c>
      <c r="C63" s="105" t="s">
        <v>12</v>
      </c>
      <c r="D63" s="887" t="s">
        <v>15</v>
      </c>
      <c r="E63" s="250">
        <v>5.5</v>
      </c>
      <c r="F63" s="1473"/>
      <c r="G63" s="252"/>
      <c r="H63" s="251"/>
    </row>
    <row r="64" spans="1:8" s="224" customFormat="1" x14ac:dyDescent="0.25">
      <c r="A64" s="215">
        <v>41478</v>
      </c>
      <c r="B64" s="862" t="s">
        <v>138</v>
      </c>
      <c r="C64" s="105" t="s">
        <v>12</v>
      </c>
      <c r="D64" s="887" t="s">
        <v>15</v>
      </c>
      <c r="E64" s="250">
        <v>20</v>
      </c>
      <c r="F64" s="1473"/>
      <c r="G64" s="252"/>
      <c r="H64" s="251"/>
    </row>
    <row r="65" spans="1:8" s="224" customFormat="1" x14ac:dyDescent="0.25">
      <c r="A65" s="215">
        <v>41479</v>
      </c>
      <c r="B65" s="862" t="s">
        <v>32</v>
      </c>
      <c r="C65" s="105" t="s">
        <v>12</v>
      </c>
      <c r="D65" s="887" t="s">
        <v>15</v>
      </c>
      <c r="E65" s="250">
        <v>5.5</v>
      </c>
      <c r="F65" s="1473"/>
      <c r="G65" s="252"/>
      <c r="H65" s="251"/>
    </row>
    <row r="66" spans="1:8" s="224" customFormat="1" x14ac:dyDescent="0.25">
      <c r="A66" s="215">
        <v>41479</v>
      </c>
      <c r="B66" s="862" t="s">
        <v>197</v>
      </c>
      <c r="C66" s="105" t="s">
        <v>19</v>
      </c>
      <c r="D66" s="887" t="s">
        <v>15</v>
      </c>
      <c r="E66" s="250">
        <v>69.900000000000006</v>
      </c>
      <c r="F66" s="1473"/>
      <c r="G66" s="252"/>
      <c r="H66" s="251"/>
    </row>
    <row r="67" spans="1:8" s="224" customFormat="1" x14ac:dyDescent="0.25">
      <c r="A67" s="215">
        <v>41479</v>
      </c>
      <c r="B67" s="862" t="s">
        <v>198</v>
      </c>
      <c r="C67" s="105" t="s">
        <v>19</v>
      </c>
      <c r="D67" s="887" t="s">
        <v>15</v>
      </c>
      <c r="E67" s="250">
        <v>69.900000000000006</v>
      </c>
      <c r="F67" s="1473"/>
      <c r="G67" s="252"/>
      <c r="H67" s="251"/>
    </row>
    <row r="68" spans="1:8" s="224" customFormat="1" x14ac:dyDescent="0.25">
      <c r="A68" s="215">
        <v>41479</v>
      </c>
      <c r="B68" s="862" t="s">
        <v>103</v>
      </c>
      <c r="C68" s="105" t="s">
        <v>12</v>
      </c>
      <c r="D68" s="887" t="s">
        <v>15</v>
      </c>
      <c r="E68" s="250">
        <v>5.5</v>
      </c>
      <c r="F68" s="1473"/>
      <c r="G68" s="252"/>
      <c r="H68" s="251"/>
    </row>
    <row r="69" spans="1:8" s="224" customFormat="1" x14ac:dyDescent="0.25">
      <c r="A69" s="215">
        <v>41479</v>
      </c>
      <c r="B69" s="862" t="s">
        <v>190</v>
      </c>
      <c r="C69" s="105" t="s">
        <v>12</v>
      </c>
      <c r="D69" s="887" t="s">
        <v>15</v>
      </c>
      <c r="E69" s="250">
        <v>30</v>
      </c>
      <c r="F69" s="1473"/>
      <c r="G69" s="252"/>
      <c r="H69" s="251"/>
    </row>
    <row r="70" spans="1:8" s="224" customFormat="1" x14ac:dyDescent="0.25">
      <c r="A70" s="215">
        <v>41480</v>
      </c>
      <c r="B70" s="862" t="s">
        <v>32</v>
      </c>
      <c r="C70" s="879" t="s">
        <v>12</v>
      </c>
      <c r="D70" s="887" t="s">
        <v>15</v>
      </c>
      <c r="E70" s="250">
        <v>5.5</v>
      </c>
      <c r="F70" s="1473"/>
      <c r="G70" s="252"/>
      <c r="H70" s="251"/>
    </row>
    <row r="71" spans="1:8" s="224" customFormat="1" x14ac:dyDescent="0.25">
      <c r="A71" s="215">
        <v>41481</v>
      </c>
      <c r="B71" s="862" t="s">
        <v>32</v>
      </c>
      <c r="C71" s="879" t="s">
        <v>12</v>
      </c>
      <c r="D71" s="887" t="s">
        <v>13</v>
      </c>
      <c r="E71" s="250">
        <v>24</v>
      </c>
      <c r="F71" s="1473"/>
      <c r="G71" s="252"/>
      <c r="H71" s="251"/>
    </row>
    <row r="72" spans="1:8" s="224" customFormat="1" x14ac:dyDescent="0.25">
      <c r="A72" s="215">
        <v>41481</v>
      </c>
      <c r="B72" s="862" t="s">
        <v>138</v>
      </c>
      <c r="C72" s="879" t="s">
        <v>12</v>
      </c>
      <c r="D72" s="887" t="s">
        <v>15</v>
      </c>
      <c r="E72" s="250">
        <v>20</v>
      </c>
      <c r="F72" s="1473"/>
      <c r="G72" s="252"/>
      <c r="H72" s="251"/>
    </row>
    <row r="73" spans="1:8" s="224" customFormat="1" x14ac:dyDescent="0.25">
      <c r="A73" s="215">
        <v>41481</v>
      </c>
      <c r="B73" s="862" t="s">
        <v>118</v>
      </c>
      <c r="C73" s="879" t="s">
        <v>12</v>
      </c>
      <c r="D73" s="887" t="s">
        <v>15</v>
      </c>
      <c r="E73" s="250">
        <v>6.5</v>
      </c>
      <c r="F73" s="1473"/>
      <c r="G73" s="252"/>
      <c r="H73" s="251"/>
    </row>
    <row r="74" spans="1:8" s="224" customFormat="1" x14ac:dyDescent="0.25">
      <c r="A74" s="215">
        <v>41481</v>
      </c>
      <c r="B74" s="862" t="s">
        <v>199</v>
      </c>
      <c r="C74" s="879" t="s">
        <v>12</v>
      </c>
      <c r="D74" s="887" t="s">
        <v>15</v>
      </c>
      <c r="E74" s="250">
        <v>10</v>
      </c>
      <c r="F74" s="1473"/>
      <c r="G74" s="252"/>
      <c r="H74" s="251"/>
    </row>
    <row r="75" spans="1:8" s="224" customFormat="1" x14ac:dyDescent="0.25">
      <c r="A75" s="215">
        <v>41482</v>
      </c>
      <c r="B75" s="862" t="s">
        <v>200</v>
      </c>
      <c r="C75" s="105" t="s">
        <v>12</v>
      </c>
      <c r="D75" s="887" t="s">
        <v>15</v>
      </c>
      <c r="E75" s="250">
        <v>11.6</v>
      </c>
      <c r="F75" s="1473"/>
      <c r="G75" s="252"/>
      <c r="H75" s="251"/>
    </row>
    <row r="76" spans="1:8" s="224" customFormat="1" x14ac:dyDescent="0.25">
      <c r="A76" s="215">
        <v>41482</v>
      </c>
      <c r="B76" s="349" t="s">
        <v>201</v>
      </c>
      <c r="C76" s="105" t="s">
        <v>12</v>
      </c>
      <c r="D76" s="887" t="s">
        <v>15</v>
      </c>
      <c r="E76" s="250"/>
      <c r="F76" s="1473">
        <v>100</v>
      </c>
      <c r="G76" s="252"/>
      <c r="H76" s="251"/>
    </row>
    <row r="77" spans="1:8" s="224" customFormat="1" x14ac:dyDescent="0.25">
      <c r="A77" s="215">
        <v>41483</v>
      </c>
      <c r="B77" s="862"/>
      <c r="C77" s="105"/>
      <c r="D77" s="887"/>
      <c r="E77" s="250"/>
      <c r="F77" s="1473"/>
      <c r="G77" s="252"/>
      <c r="H77" s="251"/>
    </row>
    <row r="78" spans="1:8" x14ac:dyDescent="0.25">
      <c r="A78" s="215">
        <v>41484</v>
      </c>
      <c r="B78" s="1477" t="s">
        <v>32</v>
      </c>
      <c r="C78" s="105" t="s">
        <v>12</v>
      </c>
      <c r="D78" s="105" t="s">
        <v>15</v>
      </c>
      <c r="E78" s="97">
        <v>4</v>
      </c>
      <c r="F78" s="946"/>
      <c r="G78" s="95"/>
      <c r="H78" s="91"/>
    </row>
    <row r="79" spans="1:8" x14ac:dyDescent="0.25">
      <c r="A79" s="215">
        <v>41484</v>
      </c>
      <c r="B79" s="1477" t="s">
        <v>202</v>
      </c>
      <c r="C79" s="105" t="s">
        <v>12</v>
      </c>
      <c r="D79" s="105" t="s">
        <v>15</v>
      </c>
      <c r="E79" s="97">
        <v>7</v>
      </c>
      <c r="F79" s="946"/>
      <c r="G79" s="95"/>
      <c r="H79" s="91"/>
    </row>
    <row r="80" spans="1:8" x14ac:dyDescent="0.25">
      <c r="A80" s="215">
        <v>41485</v>
      </c>
      <c r="B80" s="349" t="s">
        <v>32</v>
      </c>
      <c r="C80" s="352" t="s">
        <v>12</v>
      </c>
      <c r="D80" s="142" t="s">
        <v>15</v>
      </c>
      <c r="E80" s="97">
        <v>4.75</v>
      </c>
      <c r="F80" s="946"/>
      <c r="G80" s="95"/>
      <c r="H80" s="91"/>
    </row>
    <row r="81" spans="1:8" x14ac:dyDescent="0.25">
      <c r="A81" s="215">
        <v>41485</v>
      </c>
      <c r="B81" s="349" t="s">
        <v>14</v>
      </c>
      <c r="C81" s="352" t="s">
        <v>12</v>
      </c>
      <c r="D81" s="142" t="s">
        <v>15</v>
      </c>
      <c r="E81" s="97">
        <v>2.2000000000000002</v>
      </c>
      <c r="F81" s="946"/>
      <c r="G81" s="95"/>
      <c r="H81" s="91"/>
    </row>
    <row r="82" spans="1:8" ht="15.75" thickBot="1" x14ac:dyDescent="0.3">
      <c r="A82" s="215">
        <v>41486</v>
      </c>
      <c r="B82" s="79" t="s">
        <v>138</v>
      </c>
      <c r="C82" s="350" t="s">
        <v>12</v>
      </c>
      <c r="D82" s="85" t="s">
        <v>15</v>
      </c>
      <c r="E82" s="96">
        <v>20</v>
      </c>
      <c r="F82" s="946"/>
      <c r="G82" s="95"/>
      <c r="H82" s="91"/>
    </row>
    <row r="83" spans="1:8" ht="25.5" customHeight="1" thickBot="1" x14ac:dyDescent="0.3">
      <c r="A83" s="3060"/>
      <c r="B83" s="3061"/>
      <c r="C83" s="3062"/>
      <c r="D83" s="3062"/>
      <c r="E83" s="100">
        <f>SUM(E5:E82)</f>
        <v>1136.9699999999998</v>
      </c>
      <c r="F83" s="1065" t="e">
        <f>SUM(F5:F82)</f>
        <v>#REF!</v>
      </c>
      <c r="G83" s="101">
        <f>SUM(G5:G82)</f>
        <v>0</v>
      </c>
      <c r="H83" s="93">
        <f>SUM(H5:H82)</f>
        <v>0</v>
      </c>
    </row>
    <row r="84" spans="1:8" ht="25.5" customHeight="1" thickBot="1" x14ac:dyDescent="0.3">
      <c r="A84" s="3077" t="s">
        <v>49</v>
      </c>
      <c r="B84" s="3078"/>
      <c r="C84" s="3078"/>
      <c r="D84" s="3078"/>
      <c r="E84" s="102"/>
      <c r="F84" s="1478" t="e">
        <f>F83-E83</f>
        <v>#REF!</v>
      </c>
      <c r="G84" s="104"/>
      <c r="H84" s="103">
        <f>H83-G83</f>
        <v>0</v>
      </c>
    </row>
    <row r="86" spans="1:8" x14ac:dyDescent="0.25">
      <c r="B86" s="79" t="s">
        <v>32</v>
      </c>
      <c r="C86" s="176">
        <v>146.75</v>
      </c>
    </row>
    <row r="87" spans="1:8" x14ac:dyDescent="0.25">
      <c r="B87" s="79" t="s">
        <v>16</v>
      </c>
      <c r="C87" s="176">
        <v>210</v>
      </c>
    </row>
    <row r="88" spans="1:8" x14ac:dyDescent="0.25">
      <c r="B88" s="79" t="s">
        <v>50</v>
      </c>
      <c r="C88" s="484">
        <v>12.5</v>
      </c>
    </row>
    <row r="89" spans="1:8" s="85" customFormat="1" x14ac:dyDescent="0.25">
      <c r="A89" s="79"/>
      <c r="B89" s="79" t="s">
        <v>14</v>
      </c>
      <c r="C89" s="475">
        <v>6.1</v>
      </c>
      <c r="E89" s="89"/>
      <c r="F89" s="79"/>
      <c r="G89" s="79"/>
      <c r="H89" s="79"/>
    </row>
    <row r="90" spans="1:8" s="85" customFormat="1" x14ac:dyDescent="0.25">
      <c r="A90" s="79"/>
      <c r="B90" s="79" t="s">
        <v>51</v>
      </c>
      <c r="C90" s="475">
        <v>66.680000000000007</v>
      </c>
      <c r="E90" s="89"/>
      <c r="F90" s="79"/>
      <c r="G90" s="79"/>
      <c r="H90" s="79"/>
    </row>
    <row r="91" spans="1:8" s="85" customFormat="1" x14ac:dyDescent="0.25">
      <c r="A91" s="79"/>
      <c r="B91" s="79" t="s">
        <v>52</v>
      </c>
      <c r="C91" s="475">
        <v>50</v>
      </c>
      <c r="E91" s="89"/>
      <c r="F91" s="79"/>
      <c r="G91" s="79"/>
      <c r="H91" s="79"/>
    </row>
    <row r="92" spans="1:8" s="85" customFormat="1" x14ac:dyDescent="0.25">
      <c r="A92" s="79"/>
      <c r="B92" s="867" t="s">
        <v>53</v>
      </c>
      <c r="C92" s="475"/>
      <c r="E92" s="89"/>
      <c r="F92" s="79"/>
      <c r="G92" s="79"/>
      <c r="H92" s="79"/>
    </row>
    <row r="93" spans="1:8" s="85" customFormat="1" x14ac:dyDescent="0.25">
      <c r="A93" s="79"/>
      <c r="B93" s="79" t="s">
        <v>56</v>
      </c>
      <c r="C93" s="475">
        <v>16</v>
      </c>
      <c r="E93" s="89"/>
      <c r="F93" s="79"/>
      <c r="G93" s="79"/>
      <c r="H93" s="79"/>
    </row>
    <row r="94" spans="1:8" s="85" customFormat="1" x14ac:dyDescent="0.25">
      <c r="A94" s="79"/>
      <c r="B94" s="79" t="s">
        <v>57</v>
      </c>
      <c r="C94" s="475">
        <v>251.34</v>
      </c>
      <c r="E94" s="89"/>
      <c r="F94" s="79"/>
      <c r="G94" s="79"/>
      <c r="H94" s="79"/>
    </row>
  </sheetData>
  <autoFilter ref="A2:H84" xr:uid="{00000000-0009-0000-0000-000006000000}">
    <filterColumn colId="4" showButton="0"/>
    <filterColumn colId="6" showButton="0"/>
  </autoFilter>
  <mergeCells count="10">
    <mergeCell ref="A83:D83"/>
    <mergeCell ref="A84:D8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35"/>
  <dimension ref="A1:H84"/>
  <sheetViews>
    <sheetView zoomScale="90" zoomScaleNormal="90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9.57031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203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41487</v>
      </c>
      <c r="B5" s="369" t="s">
        <v>10</v>
      </c>
      <c r="C5" s="370"/>
      <c r="D5" s="207"/>
      <c r="E5" s="179"/>
      <c r="F5" s="933" t="e">
        <f>'Julho 13'!F84</f>
        <v>#REF!</v>
      </c>
      <c r="G5" s="163"/>
      <c r="H5" s="98"/>
    </row>
    <row r="6" spans="1:8" s="224" customFormat="1" x14ac:dyDescent="0.25">
      <c r="A6" s="215">
        <v>41487</v>
      </c>
      <c r="B6" s="348" t="s">
        <v>11</v>
      </c>
      <c r="C6" s="351" t="s">
        <v>12</v>
      </c>
      <c r="D6" s="248" t="s">
        <v>13</v>
      </c>
      <c r="E6" s="250">
        <v>100</v>
      </c>
      <c r="F6" s="1473"/>
      <c r="G6" s="252"/>
      <c r="H6" s="251"/>
    </row>
    <row r="7" spans="1:8" s="224" customFormat="1" x14ac:dyDescent="0.25">
      <c r="A7" s="215">
        <v>41487</v>
      </c>
      <c r="B7" s="873" t="s">
        <v>32</v>
      </c>
      <c r="C7" s="879" t="s">
        <v>12</v>
      </c>
      <c r="D7" s="887" t="s">
        <v>15</v>
      </c>
      <c r="E7" s="250">
        <v>10</v>
      </c>
      <c r="F7" s="1473"/>
      <c r="G7" s="252"/>
      <c r="H7" s="251"/>
    </row>
    <row r="8" spans="1:8" s="224" customFormat="1" x14ac:dyDescent="0.25">
      <c r="A8" s="215">
        <v>41488</v>
      </c>
      <c r="B8" s="1474" t="s">
        <v>32</v>
      </c>
      <c r="C8" s="879" t="s">
        <v>12</v>
      </c>
      <c r="D8" s="1475" t="s">
        <v>15</v>
      </c>
      <c r="E8" s="250">
        <v>5.5</v>
      </c>
      <c r="F8" s="1473"/>
      <c r="G8" s="252"/>
      <c r="H8" s="251"/>
    </row>
    <row r="9" spans="1:8" s="224" customFormat="1" x14ac:dyDescent="0.25">
      <c r="A9" s="215">
        <v>41488</v>
      </c>
      <c r="B9" s="1474" t="s">
        <v>80</v>
      </c>
      <c r="C9" s="879" t="s">
        <v>12</v>
      </c>
      <c r="D9" s="1475" t="s">
        <v>15</v>
      </c>
      <c r="E9" s="250">
        <v>32</v>
      </c>
      <c r="F9" s="1473"/>
      <c r="G9" s="252"/>
      <c r="H9" s="251"/>
    </row>
    <row r="10" spans="1:8" s="224" customFormat="1" x14ac:dyDescent="0.25">
      <c r="A10" s="215">
        <v>41489</v>
      </c>
      <c r="B10" s="873" t="s">
        <v>204</v>
      </c>
      <c r="C10" s="879" t="s">
        <v>12</v>
      </c>
      <c r="D10" s="887" t="s">
        <v>15</v>
      </c>
      <c r="E10" s="250">
        <v>7.9</v>
      </c>
      <c r="F10" s="1473"/>
      <c r="G10" s="252"/>
      <c r="H10" s="251"/>
    </row>
    <row r="11" spans="1:8" s="224" customFormat="1" x14ac:dyDescent="0.25">
      <c r="A11" s="215">
        <v>41490</v>
      </c>
      <c r="B11" s="873"/>
      <c r="C11" s="879"/>
      <c r="D11" s="887"/>
      <c r="E11" s="250"/>
      <c r="F11" s="1473"/>
      <c r="G11" s="252"/>
      <c r="H11" s="251"/>
    </row>
    <row r="12" spans="1:8" s="224" customFormat="1" x14ac:dyDescent="0.25">
      <c r="A12" s="215">
        <v>41491</v>
      </c>
      <c r="B12" s="873" t="s">
        <v>205</v>
      </c>
      <c r="C12" s="879" t="s">
        <v>12</v>
      </c>
      <c r="D12" s="887" t="s">
        <v>15</v>
      </c>
      <c r="E12" s="250">
        <v>10</v>
      </c>
      <c r="F12" s="1473"/>
      <c r="G12" s="252"/>
      <c r="H12" s="251"/>
    </row>
    <row r="13" spans="1:8" s="224" customFormat="1" x14ac:dyDescent="0.25">
      <c r="A13" s="215">
        <v>41491</v>
      </c>
      <c r="B13" s="873" t="s">
        <v>32</v>
      </c>
      <c r="C13" s="879" t="s">
        <v>12</v>
      </c>
      <c r="D13" s="887" t="s">
        <v>15</v>
      </c>
      <c r="E13" s="250">
        <v>5.5</v>
      </c>
      <c r="F13" s="1473"/>
      <c r="G13" s="252"/>
      <c r="H13" s="251"/>
    </row>
    <row r="14" spans="1:8" s="224" customFormat="1" x14ac:dyDescent="0.25">
      <c r="A14" s="215">
        <v>41491</v>
      </c>
      <c r="B14" s="873" t="s">
        <v>14</v>
      </c>
      <c r="C14" s="879" t="s">
        <v>12</v>
      </c>
      <c r="D14" s="887" t="s">
        <v>15</v>
      </c>
      <c r="E14" s="250">
        <v>2</v>
      </c>
      <c r="F14" s="1473"/>
      <c r="G14" s="252"/>
      <c r="H14" s="251"/>
    </row>
    <row r="15" spans="1:8" s="224" customFormat="1" x14ac:dyDescent="0.25">
      <c r="A15" s="215">
        <v>41492</v>
      </c>
      <c r="B15" s="349" t="s">
        <v>206</v>
      </c>
      <c r="C15" s="879" t="s">
        <v>12</v>
      </c>
      <c r="D15" s="983" t="s">
        <v>25</v>
      </c>
      <c r="E15" s="250"/>
      <c r="F15" s="1473">
        <v>883</v>
      </c>
      <c r="G15" s="252"/>
      <c r="H15" s="251"/>
    </row>
    <row r="16" spans="1:8" s="224" customFormat="1" x14ac:dyDescent="0.25">
      <c r="A16" s="215">
        <v>41492</v>
      </c>
      <c r="B16" s="882" t="s">
        <v>207</v>
      </c>
      <c r="C16" s="879" t="s">
        <v>12</v>
      </c>
      <c r="D16" s="887" t="s">
        <v>13</v>
      </c>
      <c r="E16" s="250">
        <v>33.57</v>
      </c>
      <c r="F16" s="1473"/>
      <c r="G16" s="252"/>
      <c r="H16" s="251"/>
    </row>
    <row r="17" spans="1:8" s="224" customFormat="1" x14ac:dyDescent="0.25">
      <c r="A17" s="215">
        <v>41492</v>
      </c>
      <c r="B17" s="882" t="s">
        <v>208</v>
      </c>
      <c r="C17" s="879" t="s">
        <v>12</v>
      </c>
      <c r="D17" s="887" t="s">
        <v>13</v>
      </c>
      <c r="E17" s="250">
        <v>36.69</v>
      </c>
      <c r="F17" s="1473"/>
      <c r="G17" s="252"/>
      <c r="H17" s="251"/>
    </row>
    <row r="18" spans="1:8" s="316" customFormat="1" x14ac:dyDescent="0.25">
      <c r="A18" s="215">
        <v>41492</v>
      </c>
      <c r="B18" s="862" t="s">
        <v>31</v>
      </c>
      <c r="C18" s="879" t="s">
        <v>12</v>
      </c>
      <c r="D18" s="957" t="s">
        <v>15</v>
      </c>
      <c r="E18" s="250">
        <v>50</v>
      </c>
      <c r="F18" s="1473"/>
      <c r="G18" s="1476"/>
      <c r="H18" s="1473"/>
    </row>
    <row r="19" spans="1:8" s="224" customFormat="1" x14ac:dyDescent="0.25">
      <c r="A19" s="215">
        <v>41492</v>
      </c>
      <c r="B19" s="862" t="s">
        <v>209</v>
      </c>
      <c r="C19" s="879" t="s">
        <v>12</v>
      </c>
      <c r="D19" s="887" t="s">
        <v>13</v>
      </c>
      <c r="E19" s="250">
        <v>221.41</v>
      </c>
      <c r="F19" s="1473"/>
      <c r="G19" s="252"/>
      <c r="H19" s="251"/>
    </row>
    <row r="20" spans="1:8" s="224" customFormat="1" x14ac:dyDescent="0.25">
      <c r="A20" s="215">
        <v>41492</v>
      </c>
      <c r="B20" s="862" t="s">
        <v>32</v>
      </c>
      <c r="C20" s="879" t="s">
        <v>12</v>
      </c>
      <c r="D20" s="887" t="s">
        <v>15</v>
      </c>
      <c r="E20" s="250">
        <v>5.5</v>
      </c>
      <c r="F20" s="1473"/>
      <c r="G20" s="252"/>
      <c r="H20" s="251"/>
    </row>
    <row r="21" spans="1:8" s="224" customFormat="1" x14ac:dyDescent="0.25">
      <c r="A21" s="215">
        <v>41492</v>
      </c>
      <c r="B21" s="862" t="s">
        <v>205</v>
      </c>
      <c r="C21" s="879" t="s">
        <v>12</v>
      </c>
      <c r="D21" s="887" t="s">
        <v>15</v>
      </c>
      <c r="E21" s="250">
        <v>20</v>
      </c>
      <c r="F21" s="1473"/>
      <c r="G21" s="252"/>
      <c r="H21" s="251"/>
    </row>
    <row r="22" spans="1:8" s="224" customFormat="1" x14ac:dyDescent="0.25">
      <c r="A22" s="215">
        <v>41492</v>
      </c>
      <c r="B22" s="862" t="s">
        <v>210</v>
      </c>
      <c r="C22" s="879" t="s">
        <v>19</v>
      </c>
      <c r="D22" s="887" t="s">
        <v>13</v>
      </c>
      <c r="E22" s="250">
        <v>20</v>
      </c>
      <c r="F22" s="1473"/>
      <c r="G22" s="252"/>
      <c r="H22" s="251"/>
    </row>
    <row r="23" spans="1:8" s="224" customFormat="1" x14ac:dyDescent="0.25">
      <c r="A23" s="215">
        <v>41492</v>
      </c>
      <c r="B23" s="862" t="s">
        <v>103</v>
      </c>
      <c r="C23" s="879" t="s">
        <v>12</v>
      </c>
      <c r="D23" s="887" t="s">
        <v>15</v>
      </c>
      <c r="E23" s="250">
        <v>6</v>
      </c>
      <c r="F23" s="1473"/>
      <c r="G23" s="252"/>
      <c r="H23" s="251"/>
    </row>
    <row r="24" spans="1:8" x14ac:dyDescent="0.25">
      <c r="A24" s="215">
        <v>41493</v>
      </c>
      <c r="B24" s="349" t="s">
        <v>32</v>
      </c>
      <c r="C24" s="350" t="s">
        <v>12</v>
      </c>
      <c r="D24" s="141" t="s">
        <v>15</v>
      </c>
      <c r="E24" s="97">
        <v>5.5</v>
      </c>
      <c r="F24" s="946"/>
      <c r="G24" s="95"/>
      <c r="H24" s="91"/>
    </row>
    <row r="25" spans="1:8" s="224" customFormat="1" x14ac:dyDescent="0.25">
      <c r="A25" s="215">
        <v>41493</v>
      </c>
      <c r="B25" s="1474" t="s">
        <v>80</v>
      </c>
      <c r="C25" s="879" t="s">
        <v>12</v>
      </c>
      <c r="D25" s="1475" t="s">
        <v>15</v>
      </c>
      <c r="E25" s="250">
        <v>30</v>
      </c>
      <c r="F25" s="1473"/>
      <c r="G25" s="252"/>
      <c r="H25" s="251"/>
    </row>
    <row r="26" spans="1:8" x14ac:dyDescent="0.25">
      <c r="A26" s="215">
        <v>41494</v>
      </c>
      <c r="B26" s="349" t="s">
        <v>32</v>
      </c>
      <c r="C26" s="350" t="s">
        <v>12</v>
      </c>
      <c r="D26" s="141" t="s">
        <v>15</v>
      </c>
      <c r="E26" s="97">
        <v>10</v>
      </c>
      <c r="F26" s="946"/>
      <c r="G26" s="95"/>
      <c r="H26" s="91"/>
    </row>
    <row r="27" spans="1:8" x14ac:dyDescent="0.25">
      <c r="A27" s="215">
        <v>41494</v>
      </c>
      <c r="B27" s="349" t="s">
        <v>14</v>
      </c>
      <c r="C27" s="350" t="s">
        <v>12</v>
      </c>
      <c r="D27" s="141" t="s">
        <v>15</v>
      </c>
      <c r="E27" s="97">
        <v>2.5</v>
      </c>
      <c r="F27" s="946"/>
      <c r="G27" s="95"/>
      <c r="H27" s="91"/>
    </row>
    <row r="28" spans="1:8" x14ac:dyDescent="0.25">
      <c r="A28" s="215">
        <v>41495</v>
      </c>
      <c r="B28" s="349" t="s">
        <v>32</v>
      </c>
      <c r="C28" s="350" t="s">
        <v>12</v>
      </c>
      <c r="D28" s="141" t="s">
        <v>15</v>
      </c>
      <c r="E28" s="97">
        <v>5.5</v>
      </c>
      <c r="F28" s="946"/>
      <c r="G28" s="95"/>
      <c r="H28" s="91"/>
    </row>
    <row r="29" spans="1:8" s="224" customFormat="1" x14ac:dyDescent="0.25">
      <c r="A29" s="215">
        <v>41496</v>
      </c>
      <c r="B29" s="349" t="s">
        <v>211</v>
      </c>
      <c r="C29" s="879" t="s">
        <v>12</v>
      </c>
      <c r="D29" s="887" t="s">
        <v>15</v>
      </c>
      <c r="E29" s="250"/>
      <c r="F29" s="1473">
        <v>100</v>
      </c>
      <c r="G29" s="252"/>
      <c r="H29" s="251"/>
    </row>
    <row r="30" spans="1:8" s="224" customFormat="1" x14ac:dyDescent="0.25">
      <c r="A30" s="215">
        <v>41496</v>
      </c>
      <c r="B30" s="862" t="s">
        <v>212</v>
      </c>
      <c r="C30" s="879" t="s">
        <v>12</v>
      </c>
      <c r="D30" s="887" t="s">
        <v>15</v>
      </c>
      <c r="E30" s="250">
        <v>11.6</v>
      </c>
      <c r="F30" s="1473"/>
      <c r="G30" s="252"/>
      <c r="H30" s="251"/>
    </row>
    <row r="31" spans="1:8" s="224" customFormat="1" x14ac:dyDescent="0.25">
      <c r="A31" s="215">
        <v>41497</v>
      </c>
      <c r="B31" s="862" t="s">
        <v>14</v>
      </c>
      <c r="C31" s="879" t="s">
        <v>12</v>
      </c>
      <c r="D31" s="887" t="s">
        <v>15</v>
      </c>
      <c r="E31" s="250">
        <v>2</v>
      </c>
      <c r="F31" s="1473"/>
      <c r="G31" s="252"/>
      <c r="H31" s="251"/>
    </row>
    <row r="32" spans="1:8" x14ac:dyDescent="0.25">
      <c r="A32" s="215">
        <v>41498</v>
      </c>
      <c r="B32" s="349" t="s">
        <v>205</v>
      </c>
      <c r="C32" s="350" t="s">
        <v>12</v>
      </c>
      <c r="D32" s="141" t="s">
        <v>15</v>
      </c>
      <c r="E32" s="97">
        <v>20</v>
      </c>
      <c r="F32" s="946"/>
      <c r="G32" s="95"/>
      <c r="H32" s="91"/>
    </row>
    <row r="33" spans="1:8" x14ac:dyDescent="0.25">
      <c r="A33" s="215">
        <v>41498</v>
      </c>
      <c r="B33" s="349" t="s">
        <v>32</v>
      </c>
      <c r="C33" s="350" t="s">
        <v>12</v>
      </c>
      <c r="D33" s="141" t="s">
        <v>15</v>
      </c>
      <c r="E33" s="97">
        <v>4</v>
      </c>
      <c r="F33" s="946"/>
      <c r="G33" s="95"/>
      <c r="H33" s="91"/>
    </row>
    <row r="34" spans="1:8" s="224" customFormat="1" x14ac:dyDescent="0.25">
      <c r="A34" s="215">
        <v>41499</v>
      </c>
      <c r="B34" s="862" t="s">
        <v>32</v>
      </c>
      <c r="C34" s="879" t="s">
        <v>12</v>
      </c>
      <c r="D34" s="887" t="s">
        <v>15</v>
      </c>
      <c r="E34" s="250">
        <v>3</v>
      </c>
      <c r="F34" s="1473"/>
      <c r="G34" s="252"/>
      <c r="H34" s="251"/>
    </row>
    <row r="35" spans="1:8" x14ac:dyDescent="0.25">
      <c r="A35" s="215">
        <v>41499</v>
      </c>
      <c r="B35" s="349" t="s">
        <v>213</v>
      </c>
      <c r="C35" s="350" t="s">
        <v>12</v>
      </c>
      <c r="D35" s="141" t="s">
        <v>13</v>
      </c>
      <c r="E35" s="97">
        <v>44</v>
      </c>
      <c r="F35" s="946"/>
      <c r="G35" s="95"/>
      <c r="H35" s="91"/>
    </row>
    <row r="36" spans="1:8" x14ac:dyDescent="0.25">
      <c r="A36" s="215">
        <v>41499</v>
      </c>
      <c r="B36" s="349" t="s">
        <v>214</v>
      </c>
      <c r="C36" s="350" t="s">
        <v>12</v>
      </c>
      <c r="D36" s="141" t="s">
        <v>13</v>
      </c>
      <c r="E36" s="97">
        <v>12</v>
      </c>
      <c r="F36" s="946"/>
      <c r="G36" s="95"/>
      <c r="H36" s="91"/>
    </row>
    <row r="37" spans="1:8" x14ac:dyDescent="0.25">
      <c r="A37" s="215">
        <v>41499</v>
      </c>
      <c r="B37" s="349" t="s">
        <v>190</v>
      </c>
      <c r="C37" s="350" t="s">
        <v>12</v>
      </c>
      <c r="D37" s="141" t="s">
        <v>15</v>
      </c>
      <c r="E37" s="97">
        <v>40</v>
      </c>
      <c r="F37" s="946"/>
      <c r="G37" s="95"/>
      <c r="H37" s="91"/>
    </row>
    <row r="38" spans="1:8" s="224" customFormat="1" x14ac:dyDescent="0.25">
      <c r="A38" s="215">
        <v>41499</v>
      </c>
      <c r="B38" s="862" t="s">
        <v>14</v>
      </c>
      <c r="C38" s="879" t="s">
        <v>12</v>
      </c>
      <c r="D38" s="887" t="s">
        <v>15</v>
      </c>
      <c r="E38" s="250">
        <v>2</v>
      </c>
      <c r="F38" s="1473"/>
      <c r="G38" s="252"/>
      <c r="H38" s="251"/>
    </row>
    <row r="39" spans="1:8" s="224" customFormat="1" x14ac:dyDescent="0.25">
      <c r="A39" s="215">
        <v>41500</v>
      </c>
      <c r="B39" s="862" t="s">
        <v>32</v>
      </c>
      <c r="C39" s="879" t="s">
        <v>12</v>
      </c>
      <c r="D39" s="887" t="s">
        <v>15</v>
      </c>
      <c r="E39" s="250">
        <v>5.5</v>
      </c>
      <c r="F39" s="1473"/>
      <c r="G39" s="252"/>
      <c r="H39" s="251"/>
    </row>
    <row r="40" spans="1:8" x14ac:dyDescent="0.25">
      <c r="A40" s="215">
        <v>41500</v>
      </c>
      <c r="B40" s="349" t="s">
        <v>205</v>
      </c>
      <c r="C40" s="350" t="s">
        <v>12</v>
      </c>
      <c r="D40" s="141" t="s">
        <v>15</v>
      </c>
      <c r="E40" s="97">
        <v>20</v>
      </c>
      <c r="F40" s="946"/>
      <c r="G40" s="95"/>
      <c r="H40" s="91"/>
    </row>
    <row r="41" spans="1:8" s="224" customFormat="1" x14ac:dyDescent="0.25">
      <c r="A41" s="215">
        <v>41501</v>
      </c>
      <c r="B41" s="862" t="s">
        <v>32</v>
      </c>
      <c r="C41" s="879" t="s">
        <v>12</v>
      </c>
      <c r="D41" s="887" t="s">
        <v>15</v>
      </c>
      <c r="E41" s="250">
        <v>4</v>
      </c>
      <c r="F41" s="1473"/>
      <c r="G41" s="252"/>
      <c r="H41" s="251"/>
    </row>
    <row r="42" spans="1:8" x14ac:dyDescent="0.25">
      <c r="A42" s="215">
        <v>41502</v>
      </c>
      <c r="B42" s="349" t="s">
        <v>32</v>
      </c>
      <c r="C42" s="350" t="s">
        <v>12</v>
      </c>
      <c r="D42" s="141" t="s">
        <v>15</v>
      </c>
      <c r="E42" s="97">
        <v>3.5</v>
      </c>
      <c r="F42" s="946"/>
      <c r="G42" s="95"/>
      <c r="H42" s="91"/>
    </row>
    <row r="43" spans="1:8" x14ac:dyDescent="0.25">
      <c r="A43" s="215">
        <v>41503</v>
      </c>
      <c r="B43" s="349" t="s">
        <v>14</v>
      </c>
      <c r="C43" s="350" t="s">
        <v>12</v>
      </c>
      <c r="D43" s="141" t="s">
        <v>15</v>
      </c>
      <c r="E43" s="97">
        <v>2</v>
      </c>
      <c r="F43" s="946"/>
      <c r="G43" s="95"/>
      <c r="H43" s="91"/>
    </row>
    <row r="44" spans="1:8" x14ac:dyDescent="0.25">
      <c r="A44" s="215">
        <v>41503</v>
      </c>
      <c r="B44" s="349" t="s">
        <v>215</v>
      </c>
      <c r="C44" s="350" t="s">
        <v>12</v>
      </c>
      <c r="D44" s="141" t="s">
        <v>15</v>
      </c>
      <c r="E44" s="97">
        <v>20</v>
      </c>
      <c r="F44" s="946"/>
      <c r="G44" s="95"/>
      <c r="H44" s="91"/>
    </row>
    <row r="45" spans="1:8" x14ac:dyDescent="0.25">
      <c r="A45" s="215">
        <v>41504</v>
      </c>
      <c r="B45" s="349" t="s">
        <v>216</v>
      </c>
      <c r="C45" s="350" t="s">
        <v>12</v>
      </c>
      <c r="D45" s="141" t="s">
        <v>15</v>
      </c>
      <c r="E45" s="97">
        <v>5</v>
      </c>
      <c r="F45" s="946"/>
      <c r="G45" s="95"/>
      <c r="H45" s="91"/>
    </row>
    <row r="46" spans="1:8" x14ac:dyDescent="0.25">
      <c r="A46" s="215">
        <v>41504</v>
      </c>
      <c r="B46" s="349" t="s">
        <v>217</v>
      </c>
      <c r="C46" s="350" t="s">
        <v>19</v>
      </c>
      <c r="D46" s="141" t="s">
        <v>13</v>
      </c>
      <c r="E46" s="97">
        <v>15.48</v>
      </c>
      <c r="F46" s="946"/>
      <c r="G46" s="95"/>
      <c r="H46" s="91"/>
    </row>
    <row r="47" spans="1:8" x14ac:dyDescent="0.25">
      <c r="A47" s="215">
        <v>41504</v>
      </c>
      <c r="B47" s="349" t="s">
        <v>205</v>
      </c>
      <c r="C47" s="350" t="s">
        <v>12</v>
      </c>
      <c r="D47" s="141" t="s">
        <v>15</v>
      </c>
      <c r="E47" s="97">
        <v>10</v>
      </c>
      <c r="F47" s="946"/>
      <c r="G47" s="95"/>
      <c r="H47" s="91"/>
    </row>
    <row r="48" spans="1:8" x14ac:dyDescent="0.25">
      <c r="A48" s="215">
        <v>41505</v>
      </c>
      <c r="B48" s="349" t="s">
        <v>32</v>
      </c>
      <c r="C48" s="350" t="s">
        <v>12</v>
      </c>
      <c r="D48" s="141" t="s">
        <v>15</v>
      </c>
      <c r="E48" s="97">
        <v>5.5</v>
      </c>
      <c r="F48" s="946"/>
      <c r="G48" s="95"/>
      <c r="H48" s="91"/>
    </row>
    <row r="49" spans="1:8" x14ac:dyDescent="0.25">
      <c r="A49" s="215">
        <v>41506</v>
      </c>
      <c r="B49" s="349" t="s">
        <v>218</v>
      </c>
      <c r="C49" s="350" t="s">
        <v>12</v>
      </c>
      <c r="D49" s="141" t="s">
        <v>25</v>
      </c>
      <c r="E49" s="97"/>
      <c r="F49" s="946">
        <v>660</v>
      </c>
      <c r="G49" s="95"/>
      <c r="H49" s="91"/>
    </row>
    <row r="50" spans="1:8" x14ac:dyDescent="0.25">
      <c r="A50" s="215">
        <v>41506</v>
      </c>
      <c r="B50" s="349" t="s">
        <v>32</v>
      </c>
      <c r="C50" s="350" t="s">
        <v>12</v>
      </c>
      <c r="D50" s="141" t="s">
        <v>15</v>
      </c>
      <c r="E50" s="97">
        <v>5.5</v>
      </c>
      <c r="F50" s="946"/>
      <c r="G50" s="95"/>
      <c r="H50" s="91"/>
    </row>
    <row r="51" spans="1:8" x14ac:dyDescent="0.25">
      <c r="A51" s="215">
        <v>41506</v>
      </c>
      <c r="B51" s="349" t="s">
        <v>219</v>
      </c>
      <c r="C51" s="350" t="s">
        <v>12</v>
      </c>
      <c r="D51" s="141" t="s">
        <v>15</v>
      </c>
      <c r="E51" s="97">
        <v>43</v>
      </c>
      <c r="F51" s="946"/>
      <c r="G51" s="95"/>
      <c r="H51" s="91"/>
    </row>
    <row r="52" spans="1:8" x14ac:dyDescent="0.25">
      <c r="A52" s="215">
        <v>41506</v>
      </c>
      <c r="B52" s="349" t="s">
        <v>205</v>
      </c>
      <c r="C52" s="350" t="s">
        <v>12</v>
      </c>
      <c r="D52" s="141" t="s">
        <v>13</v>
      </c>
      <c r="E52" s="97">
        <v>20</v>
      </c>
      <c r="F52" s="946"/>
      <c r="G52" s="95"/>
      <c r="H52" s="91"/>
    </row>
    <row r="53" spans="1:8" x14ac:dyDescent="0.25">
      <c r="A53" s="215">
        <v>41506</v>
      </c>
      <c r="B53" s="349" t="s">
        <v>220</v>
      </c>
      <c r="C53" s="350" t="s">
        <v>12</v>
      </c>
      <c r="D53" s="141" t="s">
        <v>15</v>
      </c>
      <c r="E53" s="97">
        <v>5</v>
      </c>
      <c r="F53" s="946"/>
      <c r="G53" s="95"/>
      <c r="H53" s="91"/>
    </row>
    <row r="54" spans="1:8" x14ac:dyDescent="0.25">
      <c r="A54" s="215">
        <v>41507</v>
      </c>
      <c r="B54" s="349" t="s">
        <v>32</v>
      </c>
      <c r="C54" s="350" t="s">
        <v>12</v>
      </c>
      <c r="D54" s="141" t="s">
        <v>15</v>
      </c>
      <c r="E54" s="97">
        <v>5.75</v>
      </c>
      <c r="F54" s="946"/>
      <c r="G54" s="95"/>
      <c r="H54" s="91"/>
    </row>
    <row r="55" spans="1:8" s="224" customFormat="1" x14ac:dyDescent="0.25">
      <c r="A55" s="215">
        <v>41508</v>
      </c>
      <c r="B55" s="862" t="s">
        <v>32</v>
      </c>
      <c r="C55" s="879" t="s">
        <v>12</v>
      </c>
      <c r="D55" s="887" t="s">
        <v>15</v>
      </c>
      <c r="E55" s="250">
        <v>10</v>
      </c>
      <c r="F55" s="1473"/>
      <c r="G55" s="252"/>
      <c r="H55" s="251"/>
    </row>
    <row r="56" spans="1:8" x14ac:dyDescent="0.25">
      <c r="A56" s="215">
        <v>41508</v>
      </c>
      <c r="B56" s="349" t="s">
        <v>221</v>
      </c>
      <c r="C56" s="350" t="s">
        <v>12</v>
      </c>
      <c r="D56" s="141" t="s">
        <v>15</v>
      </c>
      <c r="E56" s="97">
        <v>289.38</v>
      </c>
      <c r="F56" s="946"/>
      <c r="G56" s="95"/>
      <c r="H56" s="91"/>
    </row>
    <row r="57" spans="1:8" s="224" customFormat="1" x14ac:dyDescent="0.25">
      <c r="A57" s="215">
        <v>41508</v>
      </c>
      <c r="B57" s="862" t="s">
        <v>80</v>
      </c>
      <c r="C57" s="879" t="s">
        <v>12</v>
      </c>
      <c r="D57" s="887" t="s">
        <v>15</v>
      </c>
      <c r="E57" s="250">
        <v>32</v>
      </c>
      <c r="F57" s="1473"/>
      <c r="G57" s="252"/>
      <c r="H57" s="251"/>
    </row>
    <row r="58" spans="1:8" s="224" customFormat="1" x14ac:dyDescent="0.25">
      <c r="A58" s="215">
        <v>41509</v>
      </c>
      <c r="B58" s="862" t="s">
        <v>32</v>
      </c>
      <c r="C58" s="105" t="s">
        <v>12</v>
      </c>
      <c r="D58" s="887" t="s">
        <v>15</v>
      </c>
      <c r="E58" s="250">
        <v>6</v>
      </c>
      <c r="F58" s="1473"/>
      <c r="G58" s="252"/>
      <c r="H58" s="251"/>
    </row>
    <row r="59" spans="1:8" s="224" customFormat="1" x14ac:dyDescent="0.25">
      <c r="A59" s="215">
        <v>41510</v>
      </c>
      <c r="B59" s="349" t="s">
        <v>222</v>
      </c>
      <c r="C59" s="879" t="s">
        <v>12</v>
      </c>
      <c r="D59" s="887" t="s">
        <v>25</v>
      </c>
      <c r="E59" s="250"/>
      <c r="F59" s="1473">
        <v>100</v>
      </c>
      <c r="G59" s="252"/>
      <c r="H59" s="251"/>
    </row>
    <row r="60" spans="1:8" s="224" customFormat="1" x14ac:dyDescent="0.25">
      <c r="A60" s="215">
        <v>41510</v>
      </c>
      <c r="B60" s="862" t="s">
        <v>223</v>
      </c>
      <c r="C60" s="879" t="s">
        <v>12</v>
      </c>
      <c r="D60" s="887" t="s">
        <v>15</v>
      </c>
      <c r="E60" s="250">
        <v>5</v>
      </c>
      <c r="F60" s="1473"/>
      <c r="G60" s="252"/>
      <c r="H60" s="251"/>
    </row>
    <row r="61" spans="1:8" s="224" customFormat="1" x14ac:dyDescent="0.25">
      <c r="A61" s="215">
        <v>41511</v>
      </c>
      <c r="B61" s="862" t="s">
        <v>14</v>
      </c>
      <c r="C61" s="879" t="s">
        <v>12</v>
      </c>
      <c r="D61" s="887" t="s">
        <v>15</v>
      </c>
      <c r="E61" s="250">
        <v>9</v>
      </c>
      <c r="F61" s="1473"/>
      <c r="G61" s="252"/>
      <c r="H61" s="251"/>
    </row>
    <row r="62" spans="1:8" s="224" customFormat="1" x14ac:dyDescent="0.25">
      <c r="A62" s="215">
        <v>41512</v>
      </c>
      <c r="B62" s="862" t="s">
        <v>205</v>
      </c>
      <c r="C62" s="879" t="s">
        <v>12</v>
      </c>
      <c r="D62" s="887" t="s">
        <v>15</v>
      </c>
      <c r="E62" s="250">
        <v>20</v>
      </c>
      <c r="F62" s="1473"/>
      <c r="G62" s="252"/>
      <c r="H62" s="251"/>
    </row>
    <row r="63" spans="1:8" s="224" customFormat="1" x14ac:dyDescent="0.25">
      <c r="A63" s="215">
        <v>41512</v>
      </c>
      <c r="B63" s="862" t="s">
        <v>32</v>
      </c>
      <c r="C63" s="879" t="s">
        <v>12</v>
      </c>
      <c r="D63" s="887" t="s">
        <v>15</v>
      </c>
      <c r="E63" s="250">
        <v>6</v>
      </c>
      <c r="F63" s="1473"/>
      <c r="G63" s="252"/>
      <c r="H63" s="251"/>
    </row>
    <row r="64" spans="1:8" s="224" customFormat="1" x14ac:dyDescent="0.25">
      <c r="A64" s="215">
        <v>41512</v>
      </c>
      <c r="B64" s="862" t="s">
        <v>134</v>
      </c>
      <c r="C64" s="879" t="s">
        <v>12</v>
      </c>
      <c r="D64" s="887" t="s">
        <v>15</v>
      </c>
      <c r="E64" s="250">
        <v>6</v>
      </c>
      <c r="F64" s="1473"/>
      <c r="G64" s="252"/>
      <c r="H64" s="251"/>
    </row>
    <row r="65" spans="1:8" s="224" customFormat="1" x14ac:dyDescent="0.25">
      <c r="A65" s="215">
        <v>41513</v>
      </c>
      <c r="B65" s="862" t="s">
        <v>32</v>
      </c>
      <c r="C65" s="105" t="s">
        <v>12</v>
      </c>
      <c r="D65" s="887" t="s">
        <v>15</v>
      </c>
      <c r="E65" s="250">
        <v>6.5</v>
      </c>
      <c r="F65" s="1473"/>
      <c r="G65" s="252"/>
      <c r="H65" s="251"/>
    </row>
    <row r="66" spans="1:8" s="224" customFormat="1" x14ac:dyDescent="0.25">
      <c r="A66" s="215">
        <v>41514</v>
      </c>
      <c r="B66" s="862" t="s">
        <v>32</v>
      </c>
      <c r="C66" s="105" t="s">
        <v>12</v>
      </c>
      <c r="D66" s="887" t="s">
        <v>15</v>
      </c>
      <c r="E66" s="250">
        <v>5.5</v>
      </c>
      <c r="F66" s="1473"/>
      <c r="G66" s="252"/>
      <c r="H66" s="251"/>
    </row>
    <row r="67" spans="1:8" s="224" customFormat="1" x14ac:dyDescent="0.25">
      <c r="A67" s="215">
        <v>41514</v>
      </c>
      <c r="B67" s="862" t="s">
        <v>205</v>
      </c>
      <c r="C67" s="105" t="s">
        <v>12</v>
      </c>
      <c r="D67" s="887" t="s">
        <v>15</v>
      </c>
      <c r="E67" s="250">
        <v>20</v>
      </c>
      <c r="F67" s="1473"/>
      <c r="G67" s="252"/>
      <c r="H67" s="251"/>
    </row>
    <row r="68" spans="1:8" x14ac:dyDescent="0.25">
      <c r="A68" s="215">
        <v>41515</v>
      </c>
      <c r="B68" s="1477" t="s">
        <v>32</v>
      </c>
      <c r="C68" s="105" t="s">
        <v>12</v>
      </c>
      <c r="D68" s="105" t="s">
        <v>15</v>
      </c>
      <c r="E68" s="97">
        <v>6</v>
      </c>
      <c r="F68" s="946"/>
      <c r="G68" s="95"/>
      <c r="H68" s="91"/>
    </row>
    <row r="69" spans="1:8" x14ac:dyDescent="0.25">
      <c r="A69" s="215">
        <v>41515</v>
      </c>
      <c r="B69" s="1477" t="s">
        <v>14</v>
      </c>
      <c r="C69" s="105" t="s">
        <v>12</v>
      </c>
      <c r="D69" s="105" t="s">
        <v>15</v>
      </c>
      <c r="E69" s="97">
        <v>2.5</v>
      </c>
      <c r="F69" s="946"/>
      <c r="G69" s="95"/>
      <c r="H69" s="91"/>
    </row>
    <row r="70" spans="1:8" x14ac:dyDescent="0.25">
      <c r="A70" s="215">
        <v>41516</v>
      </c>
      <c r="B70" s="349" t="s">
        <v>32</v>
      </c>
      <c r="C70" s="352" t="s">
        <v>12</v>
      </c>
      <c r="D70" s="142" t="s">
        <v>15</v>
      </c>
      <c r="E70" s="97">
        <v>5</v>
      </c>
      <c r="F70" s="946"/>
      <c r="G70" s="95"/>
      <c r="H70" s="91"/>
    </row>
    <row r="71" spans="1:8" x14ac:dyDescent="0.25">
      <c r="A71" s="247">
        <v>41517</v>
      </c>
      <c r="B71" s="349" t="s">
        <v>224</v>
      </c>
      <c r="C71" s="350" t="s">
        <v>12</v>
      </c>
      <c r="D71" s="480" t="s">
        <v>15</v>
      </c>
      <c r="E71" s="97"/>
      <c r="F71" s="946">
        <v>100</v>
      </c>
      <c r="G71" s="95"/>
      <c r="H71" s="91"/>
    </row>
    <row r="72" spans="1:8" ht="15.75" thickBot="1" x14ac:dyDescent="0.3">
      <c r="A72" s="215">
        <v>41517</v>
      </c>
      <c r="B72" s="862" t="s">
        <v>225</v>
      </c>
      <c r="C72" s="352" t="s">
        <v>12</v>
      </c>
      <c r="D72" s="85" t="s">
        <v>15</v>
      </c>
      <c r="E72" s="96">
        <v>5</v>
      </c>
      <c r="F72" s="1482"/>
      <c r="G72" s="94"/>
      <c r="H72" s="90"/>
    </row>
    <row r="73" spans="1:8" ht="25.5" customHeight="1" thickBot="1" x14ac:dyDescent="0.3">
      <c r="A73" s="3060"/>
      <c r="B73" s="3061"/>
      <c r="C73" s="3062"/>
      <c r="D73" s="3062"/>
      <c r="E73" s="100">
        <f>SUM(E5:E72)</f>
        <v>1362.28</v>
      </c>
      <c r="F73" s="1065" t="e">
        <f>SUM(F5:F72)</f>
        <v>#REF!</v>
      </c>
      <c r="G73" s="101">
        <f>SUM(G5:G72)</f>
        <v>0</v>
      </c>
      <c r="H73" s="93">
        <f>SUM(H5:H72)</f>
        <v>0</v>
      </c>
    </row>
    <row r="74" spans="1:8" ht="25.5" customHeight="1" thickBot="1" x14ac:dyDescent="0.3">
      <c r="A74" s="3077" t="s">
        <v>49</v>
      </c>
      <c r="B74" s="3078"/>
      <c r="C74" s="3078"/>
      <c r="D74" s="3078"/>
      <c r="E74" s="102"/>
      <c r="F74" s="1478" t="e">
        <f>F73-E73</f>
        <v>#REF!</v>
      </c>
      <c r="G74" s="104"/>
      <c r="H74" s="103">
        <f>H73-G73</f>
        <v>0</v>
      </c>
    </row>
    <row r="76" spans="1:8" x14ac:dyDescent="0.25">
      <c r="B76" s="79" t="s">
        <v>32</v>
      </c>
      <c r="C76" s="484">
        <v>129.25</v>
      </c>
    </row>
    <row r="77" spans="1:8" x14ac:dyDescent="0.25">
      <c r="B77" s="79" t="s">
        <v>16</v>
      </c>
      <c r="C77" s="484">
        <v>140</v>
      </c>
    </row>
    <row r="78" spans="1:8" x14ac:dyDescent="0.25">
      <c r="B78" s="79" t="s">
        <v>50</v>
      </c>
      <c r="C78" s="484">
        <v>26</v>
      </c>
    </row>
    <row r="79" spans="1:8" s="85" customFormat="1" x14ac:dyDescent="0.25">
      <c r="A79" s="79"/>
      <c r="B79" s="79" t="s">
        <v>14</v>
      </c>
      <c r="C79" s="475">
        <v>22</v>
      </c>
      <c r="E79" s="89"/>
      <c r="F79" s="79"/>
      <c r="G79" s="79"/>
      <c r="H79" s="79"/>
    </row>
    <row r="80" spans="1:8" s="85" customFormat="1" x14ac:dyDescent="0.25">
      <c r="A80" s="79"/>
      <c r="B80" s="79" t="s">
        <v>51</v>
      </c>
      <c r="C80" s="475">
        <v>70.260000000000005</v>
      </c>
      <c r="E80" s="89"/>
      <c r="F80" s="79"/>
      <c r="G80" s="79"/>
      <c r="H80" s="79"/>
    </row>
    <row r="81" spans="1:8" s="85" customFormat="1" x14ac:dyDescent="0.25">
      <c r="A81" s="79"/>
      <c r="B81" s="79" t="s">
        <v>52</v>
      </c>
      <c r="C81" s="475">
        <v>70.260000000000005</v>
      </c>
      <c r="E81" s="89"/>
      <c r="F81" s="79"/>
      <c r="G81" s="79"/>
      <c r="H81" s="79"/>
    </row>
    <row r="82" spans="1:8" s="85" customFormat="1" x14ac:dyDescent="0.25">
      <c r="A82" s="79"/>
      <c r="B82" s="867" t="s">
        <v>53</v>
      </c>
      <c r="C82" s="475">
        <v>350.38</v>
      </c>
      <c r="E82" s="89"/>
      <c r="F82" s="79"/>
      <c r="G82" s="79"/>
      <c r="H82" s="79"/>
    </row>
    <row r="83" spans="1:8" s="85" customFormat="1" x14ac:dyDescent="0.25">
      <c r="A83" s="79"/>
      <c r="B83" s="79" t="s">
        <v>56</v>
      </c>
      <c r="C83" s="475">
        <v>109.48</v>
      </c>
      <c r="D83" s="85" t="s">
        <v>226</v>
      </c>
      <c r="E83" s="89"/>
      <c r="F83" s="79"/>
      <c r="G83" s="79"/>
      <c r="H83" s="79"/>
    </row>
    <row r="84" spans="1:8" s="85" customFormat="1" x14ac:dyDescent="0.25">
      <c r="A84" s="79"/>
      <c r="B84" s="79" t="s">
        <v>57</v>
      </c>
      <c r="C84" s="475">
        <v>151.51</v>
      </c>
      <c r="E84" s="89"/>
      <c r="F84" s="79"/>
      <c r="G84" s="79"/>
      <c r="H84" s="79"/>
    </row>
  </sheetData>
  <autoFilter ref="A2:H74" xr:uid="{00000000-0009-0000-0000-000007000000}">
    <filterColumn colId="4" showButton="0"/>
    <filterColumn colId="6" showButton="0"/>
  </autoFilter>
  <mergeCells count="10">
    <mergeCell ref="A73:D73"/>
    <mergeCell ref="A74:D7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36"/>
  <dimension ref="A1:H91"/>
  <sheetViews>
    <sheetView zoomScale="90" zoomScaleNormal="90" workbookViewId="0">
      <pane ySplit="4" topLeftCell="A5" activePane="bottomLeft" state="frozen"/>
      <selection activeCell="C44" sqref="C44"/>
      <selection pane="bottomLeft" activeCell="E21" sqref="E2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518" customWidth="1"/>
    <col min="8" max="8" width="12" style="146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227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515" t="s">
        <v>8</v>
      </c>
      <c r="H4" s="514" t="s">
        <v>9</v>
      </c>
    </row>
    <row r="5" spans="1:8" x14ac:dyDescent="0.25">
      <c r="A5" s="281">
        <v>41518</v>
      </c>
      <c r="B5" s="369" t="s">
        <v>10</v>
      </c>
      <c r="C5" s="370"/>
      <c r="D5" s="207"/>
      <c r="E5" s="179"/>
      <c r="F5" s="933" t="e">
        <f>'Agosto 13'!F74</f>
        <v>#REF!</v>
      </c>
      <c r="G5" s="486"/>
      <c r="H5" s="933"/>
    </row>
    <row r="6" spans="1:8" s="224" customFormat="1" x14ac:dyDescent="0.25">
      <c r="A6" s="215">
        <v>41518</v>
      </c>
      <c r="B6" s="348" t="s">
        <v>11</v>
      </c>
      <c r="C6" s="351" t="s">
        <v>12</v>
      </c>
      <c r="D6" s="248" t="s">
        <v>13</v>
      </c>
      <c r="E6" s="250">
        <v>93</v>
      </c>
      <c r="F6" s="1473"/>
      <c r="G6" s="458"/>
      <c r="H6" s="1473"/>
    </row>
    <row r="7" spans="1:8" s="224" customFormat="1" x14ac:dyDescent="0.25">
      <c r="A7" s="215">
        <v>41518</v>
      </c>
      <c r="B7" s="873" t="s">
        <v>14</v>
      </c>
      <c r="C7" s="879" t="s">
        <v>12</v>
      </c>
      <c r="D7" s="887" t="s">
        <v>15</v>
      </c>
      <c r="E7" s="250">
        <v>9.6</v>
      </c>
      <c r="F7" s="1473"/>
      <c r="G7" s="458"/>
      <c r="H7" s="1473"/>
    </row>
    <row r="8" spans="1:8" s="224" customFormat="1" x14ac:dyDescent="0.25">
      <c r="A8" s="215">
        <v>41518</v>
      </c>
      <c r="B8" s="873" t="s">
        <v>134</v>
      </c>
      <c r="C8" s="879" t="s">
        <v>12</v>
      </c>
      <c r="D8" s="887" t="s">
        <v>15</v>
      </c>
      <c r="E8" s="250">
        <v>5</v>
      </c>
      <c r="F8" s="1473"/>
      <c r="G8" s="458"/>
      <c r="H8" s="1473"/>
    </row>
    <row r="9" spans="1:8" s="224" customFormat="1" x14ac:dyDescent="0.25">
      <c r="A9" s="215">
        <v>41519</v>
      </c>
      <c r="B9" s="873" t="s">
        <v>32</v>
      </c>
      <c r="C9" s="879" t="s">
        <v>12</v>
      </c>
      <c r="D9" s="887" t="s">
        <v>15</v>
      </c>
      <c r="E9" s="250">
        <v>5</v>
      </c>
      <c r="F9" s="1473"/>
      <c r="G9" s="458"/>
      <c r="H9" s="1473"/>
    </row>
    <row r="10" spans="1:8" s="224" customFormat="1" x14ac:dyDescent="0.25">
      <c r="A10" s="215">
        <v>41519</v>
      </c>
      <c r="B10" s="873" t="s">
        <v>138</v>
      </c>
      <c r="C10" s="879" t="s">
        <v>12</v>
      </c>
      <c r="D10" s="887" t="s">
        <v>15</v>
      </c>
      <c r="E10" s="250">
        <v>20</v>
      </c>
      <c r="F10" s="1473"/>
      <c r="G10" s="458"/>
      <c r="H10" s="1473"/>
    </row>
    <row r="11" spans="1:8" s="224" customFormat="1" x14ac:dyDescent="0.25">
      <c r="A11" s="215">
        <v>41519</v>
      </c>
      <c r="B11" s="873" t="s">
        <v>190</v>
      </c>
      <c r="C11" s="879" t="s">
        <v>12</v>
      </c>
      <c r="D11" s="887" t="s">
        <v>15</v>
      </c>
      <c r="E11" s="250">
        <v>20</v>
      </c>
      <c r="F11" s="1473"/>
      <c r="G11" s="458"/>
      <c r="H11" s="1473"/>
    </row>
    <row r="12" spans="1:8" s="224" customFormat="1" x14ac:dyDescent="0.25">
      <c r="A12" s="215">
        <v>41520</v>
      </c>
      <c r="B12" s="862" t="s">
        <v>228</v>
      </c>
      <c r="C12" s="879" t="s">
        <v>12</v>
      </c>
      <c r="D12" s="887" t="s">
        <v>13</v>
      </c>
      <c r="E12" s="250">
        <v>208.67</v>
      </c>
      <c r="F12" s="1473"/>
      <c r="G12" s="458"/>
      <c r="H12" s="1473"/>
    </row>
    <row r="13" spans="1:8" s="224" customFormat="1" x14ac:dyDescent="0.25">
      <c r="A13" s="215">
        <v>41520</v>
      </c>
      <c r="B13" s="873" t="s">
        <v>32</v>
      </c>
      <c r="C13" s="879" t="s">
        <v>12</v>
      </c>
      <c r="D13" s="887" t="s">
        <v>15</v>
      </c>
      <c r="E13" s="250">
        <v>5.5</v>
      </c>
      <c r="F13" s="1473"/>
      <c r="G13" s="458"/>
      <c r="H13" s="1473"/>
    </row>
    <row r="14" spans="1:8" s="224" customFormat="1" x14ac:dyDescent="0.25">
      <c r="A14" s="215">
        <v>41521</v>
      </c>
      <c r="B14" s="873" t="s">
        <v>32</v>
      </c>
      <c r="C14" s="879" t="s">
        <v>12</v>
      </c>
      <c r="D14" s="887" t="s">
        <v>15</v>
      </c>
      <c r="E14" s="250">
        <v>10</v>
      </c>
      <c r="F14" s="1473"/>
      <c r="G14" s="458"/>
      <c r="H14" s="1473"/>
    </row>
    <row r="15" spans="1:8" s="224" customFormat="1" x14ac:dyDescent="0.25">
      <c r="A15" s="215">
        <v>41522</v>
      </c>
      <c r="B15" s="349" t="s">
        <v>229</v>
      </c>
      <c r="C15" s="350" t="s">
        <v>12</v>
      </c>
      <c r="D15" s="141" t="s">
        <v>15</v>
      </c>
      <c r="E15" s="97">
        <v>105.65</v>
      </c>
      <c r="F15" s="1473"/>
      <c r="G15" s="458"/>
      <c r="H15" s="1473"/>
    </row>
    <row r="16" spans="1:8" s="224" customFormat="1" x14ac:dyDescent="0.25">
      <c r="A16" s="215">
        <v>41522</v>
      </c>
      <c r="B16" s="349" t="s">
        <v>230</v>
      </c>
      <c r="C16" s="350" t="s">
        <v>12</v>
      </c>
      <c r="D16" s="141" t="s">
        <v>15</v>
      </c>
      <c r="E16" s="97">
        <v>65.86</v>
      </c>
      <c r="F16" s="1473"/>
      <c r="G16" s="458"/>
      <c r="H16" s="1473"/>
    </row>
    <row r="17" spans="1:8" s="224" customFormat="1" x14ac:dyDescent="0.25">
      <c r="A17" s="215">
        <v>41522</v>
      </c>
      <c r="B17" s="349" t="s">
        <v>231</v>
      </c>
      <c r="C17" s="350" t="s">
        <v>12</v>
      </c>
      <c r="D17" s="141" t="s">
        <v>15</v>
      </c>
      <c r="E17" s="97">
        <v>11</v>
      </c>
      <c r="F17" s="1473"/>
      <c r="G17" s="458"/>
      <c r="H17" s="1473"/>
    </row>
    <row r="18" spans="1:8" s="224" customFormat="1" x14ac:dyDescent="0.25">
      <c r="A18" s="215">
        <v>41522</v>
      </c>
      <c r="B18" s="873" t="s">
        <v>32</v>
      </c>
      <c r="C18" s="879" t="s">
        <v>12</v>
      </c>
      <c r="D18" s="887" t="s">
        <v>15</v>
      </c>
      <c r="E18" s="250">
        <v>10</v>
      </c>
      <c r="F18" s="1473"/>
      <c r="G18" s="458"/>
      <c r="H18" s="1473"/>
    </row>
    <row r="19" spans="1:8" s="224" customFormat="1" x14ac:dyDescent="0.25">
      <c r="A19" s="215">
        <v>41522</v>
      </c>
      <c r="B19" s="873" t="s">
        <v>138</v>
      </c>
      <c r="C19" s="879" t="s">
        <v>12</v>
      </c>
      <c r="D19" s="887" t="s">
        <v>15</v>
      </c>
      <c r="E19" s="250">
        <v>20</v>
      </c>
      <c r="F19" s="1473"/>
      <c r="G19" s="458"/>
      <c r="H19" s="1473"/>
    </row>
    <row r="20" spans="1:8" s="224" customFormat="1" x14ac:dyDescent="0.25">
      <c r="A20" s="215">
        <v>41523</v>
      </c>
      <c r="B20" s="349" t="s">
        <v>232</v>
      </c>
      <c r="C20" s="879" t="s">
        <v>12</v>
      </c>
      <c r="D20" s="983" t="s">
        <v>25</v>
      </c>
      <c r="E20" s="250"/>
      <c r="F20" s="1473">
        <v>833.81</v>
      </c>
      <c r="G20" s="458"/>
      <c r="H20" s="1473"/>
    </row>
    <row r="21" spans="1:8" s="224" customFormat="1" x14ac:dyDescent="0.25">
      <c r="A21" s="215">
        <v>41523</v>
      </c>
      <c r="B21" s="882" t="s">
        <v>233</v>
      </c>
      <c r="C21" s="879" t="s">
        <v>12</v>
      </c>
      <c r="D21" s="887" t="s">
        <v>13</v>
      </c>
      <c r="E21" s="250">
        <v>33.49</v>
      </c>
      <c r="F21" s="1473"/>
      <c r="G21" s="458"/>
      <c r="H21" s="1473"/>
    </row>
    <row r="22" spans="1:8" s="224" customFormat="1" x14ac:dyDescent="0.25">
      <c r="A22" s="215">
        <v>41523</v>
      </c>
      <c r="B22" s="882" t="s">
        <v>234</v>
      </c>
      <c r="C22" s="879" t="s">
        <v>12</v>
      </c>
      <c r="D22" s="887" t="s">
        <v>13</v>
      </c>
      <c r="E22" s="250">
        <v>36.86</v>
      </c>
      <c r="F22" s="1473"/>
      <c r="G22" s="458"/>
      <c r="H22" s="1473"/>
    </row>
    <row r="23" spans="1:8" s="316" customFormat="1" x14ac:dyDescent="0.25">
      <c r="A23" s="215">
        <v>41523</v>
      </c>
      <c r="B23" s="862" t="s">
        <v>31</v>
      </c>
      <c r="C23" s="879" t="s">
        <v>12</v>
      </c>
      <c r="D23" s="957" t="s">
        <v>15</v>
      </c>
      <c r="E23" s="250">
        <v>50</v>
      </c>
      <c r="F23" s="1473"/>
      <c r="G23" s="458"/>
      <c r="H23" s="1473"/>
    </row>
    <row r="24" spans="1:8" x14ac:dyDescent="0.25">
      <c r="A24" s="215">
        <v>41523</v>
      </c>
      <c r="B24" s="349" t="s">
        <v>32</v>
      </c>
      <c r="C24" s="350" t="s">
        <v>12</v>
      </c>
      <c r="D24" s="141" t="s">
        <v>15</v>
      </c>
      <c r="E24" s="97">
        <v>6</v>
      </c>
      <c r="F24" s="946"/>
      <c r="G24" s="516"/>
      <c r="H24" s="946"/>
    </row>
    <row r="25" spans="1:8" x14ac:dyDescent="0.25">
      <c r="A25" s="215">
        <v>41523</v>
      </c>
      <c r="B25" s="349" t="s">
        <v>235</v>
      </c>
      <c r="C25" s="350" t="s">
        <v>12</v>
      </c>
      <c r="D25" s="141" t="s">
        <v>15</v>
      </c>
      <c r="E25" s="97">
        <v>13</v>
      </c>
      <c r="F25" s="946"/>
      <c r="G25" s="516"/>
      <c r="H25" s="946"/>
    </row>
    <row r="26" spans="1:8" x14ac:dyDescent="0.25">
      <c r="A26" s="215">
        <v>41524</v>
      </c>
      <c r="B26" s="349" t="s">
        <v>201</v>
      </c>
      <c r="C26" s="350" t="s">
        <v>12</v>
      </c>
      <c r="D26" s="480" t="s">
        <v>15</v>
      </c>
      <c r="E26" s="97"/>
      <c r="F26" s="946">
        <v>100</v>
      </c>
      <c r="G26" s="516"/>
      <c r="H26" s="946"/>
    </row>
    <row r="27" spans="1:8" x14ac:dyDescent="0.25">
      <c r="A27" s="215">
        <v>41524</v>
      </c>
      <c r="B27" s="862" t="s">
        <v>236</v>
      </c>
      <c r="C27" s="352" t="s">
        <v>12</v>
      </c>
      <c r="D27" s="85" t="s">
        <v>15</v>
      </c>
      <c r="E27" s="96">
        <v>5</v>
      </c>
      <c r="F27" s="1482"/>
      <c r="G27" s="516"/>
      <c r="H27" s="946"/>
    </row>
    <row r="28" spans="1:8" x14ac:dyDescent="0.25">
      <c r="A28" s="215">
        <v>41524</v>
      </c>
      <c r="B28" s="349" t="s">
        <v>134</v>
      </c>
      <c r="C28" s="350" t="s">
        <v>12</v>
      </c>
      <c r="D28" s="141" t="s">
        <v>15</v>
      </c>
      <c r="E28" s="97">
        <v>3</v>
      </c>
      <c r="F28" s="946"/>
      <c r="G28" s="516"/>
      <c r="H28" s="946"/>
    </row>
    <row r="29" spans="1:8" x14ac:dyDescent="0.25">
      <c r="A29" s="215">
        <v>41525</v>
      </c>
      <c r="B29" s="349"/>
      <c r="C29" s="350"/>
      <c r="D29" s="141"/>
      <c r="E29" s="97"/>
      <c r="F29" s="946"/>
      <c r="G29" s="516"/>
      <c r="H29" s="946"/>
    </row>
    <row r="30" spans="1:8" s="224" customFormat="1" x14ac:dyDescent="0.25">
      <c r="A30" s="215">
        <v>41526</v>
      </c>
      <c r="B30" s="862" t="s">
        <v>32</v>
      </c>
      <c r="C30" s="879" t="s">
        <v>12</v>
      </c>
      <c r="D30" s="887" t="s">
        <v>15</v>
      </c>
      <c r="E30" s="250">
        <v>5.5</v>
      </c>
      <c r="F30" s="1473"/>
      <c r="G30" s="458"/>
      <c r="H30" s="1473"/>
    </row>
    <row r="31" spans="1:8" s="224" customFormat="1" x14ac:dyDescent="0.25">
      <c r="A31" s="215">
        <v>41526</v>
      </c>
      <c r="B31" s="862" t="s">
        <v>237</v>
      </c>
      <c r="C31" s="879" t="s">
        <v>19</v>
      </c>
      <c r="D31" s="887" t="s">
        <v>13</v>
      </c>
      <c r="E31" s="250">
        <v>109.98</v>
      </c>
      <c r="F31" s="1473"/>
      <c r="G31" s="458"/>
      <c r="H31" s="1473"/>
    </row>
    <row r="32" spans="1:8" s="224" customFormat="1" x14ac:dyDescent="0.25">
      <c r="A32" s="215">
        <v>41526</v>
      </c>
      <c r="B32" s="862" t="s">
        <v>103</v>
      </c>
      <c r="C32" s="879" t="s">
        <v>12</v>
      </c>
      <c r="D32" s="887" t="s">
        <v>15</v>
      </c>
      <c r="E32" s="250">
        <v>6</v>
      </c>
      <c r="F32" s="1473"/>
      <c r="G32" s="458"/>
      <c r="H32" s="1473"/>
    </row>
    <row r="33" spans="1:8" s="224" customFormat="1" x14ac:dyDescent="0.25">
      <c r="A33" s="215">
        <v>41526</v>
      </c>
      <c r="B33" s="862" t="s">
        <v>138</v>
      </c>
      <c r="C33" s="879" t="s">
        <v>12</v>
      </c>
      <c r="D33" s="887" t="s">
        <v>15</v>
      </c>
      <c r="E33" s="250">
        <v>20</v>
      </c>
      <c r="F33" s="1473"/>
      <c r="G33" s="458"/>
      <c r="H33" s="1473"/>
    </row>
    <row r="34" spans="1:8" s="224" customFormat="1" x14ac:dyDescent="0.25">
      <c r="A34" s="215">
        <v>41527</v>
      </c>
      <c r="B34" s="862" t="s">
        <v>32</v>
      </c>
      <c r="C34" s="879" t="s">
        <v>12</v>
      </c>
      <c r="D34" s="887" t="s">
        <v>15</v>
      </c>
      <c r="E34" s="250">
        <v>10</v>
      </c>
      <c r="F34" s="1473"/>
      <c r="G34" s="458"/>
      <c r="H34" s="1473"/>
    </row>
    <row r="35" spans="1:8" x14ac:dyDescent="0.25">
      <c r="A35" s="215">
        <v>41528</v>
      </c>
      <c r="B35" s="862" t="s">
        <v>32</v>
      </c>
      <c r="C35" s="879" t="s">
        <v>12</v>
      </c>
      <c r="D35" s="887" t="s">
        <v>15</v>
      </c>
      <c r="E35" s="250">
        <v>4.5</v>
      </c>
      <c r="F35" s="946"/>
      <c r="G35" s="516"/>
      <c r="H35" s="946"/>
    </row>
    <row r="36" spans="1:8" x14ac:dyDescent="0.25">
      <c r="A36" s="215">
        <v>41528</v>
      </c>
      <c r="B36" s="349" t="s">
        <v>238</v>
      </c>
      <c r="C36" s="350" t="s">
        <v>12</v>
      </c>
      <c r="D36" s="141" t="s">
        <v>15</v>
      </c>
      <c r="E36" s="97">
        <v>12</v>
      </c>
      <c r="F36" s="946"/>
      <c r="G36" s="516"/>
      <c r="H36" s="946"/>
    </row>
    <row r="37" spans="1:8" x14ac:dyDescent="0.25">
      <c r="A37" s="215">
        <v>41529</v>
      </c>
      <c r="B37" s="862" t="s">
        <v>32</v>
      </c>
      <c r="C37" s="879" t="s">
        <v>12</v>
      </c>
      <c r="D37" s="887" t="s">
        <v>15</v>
      </c>
      <c r="E37" s="250">
        <v>20</v>
      </c>
      <c r="F37" s="946"/>
      <c r="G37" s="516"/>
      <c r="H37" s="946"/>
    </row>
    <row r="38" spans="1:8" x14ac:dyDescent="0.25">
      <c r="A38" s="215">
        <v>41529</v>
      </c>
      <c r="B38" s="862" t="s">
        <v>239</v>
      </c>
      <c r="C38" s="879" t="s">
        <v>12</v>
      </c>
      <c r="D38" s="887" t="s">
        <v>15</v>
      </c>
      <c r="E38" s="250">
        <v>50</v>
      </c>
      <c r="F38" s="946"/>
      <c r="G38" s="516"/>
      <c r="H38" s="946"/>
    </row>
    <row r="39" spans="1:8" s="224" customFormat="1" x14ac:dyDescent="0.25">
      <c r="A39" s="215">
        <v>41530</v>
      </c>
      <c r="B39" s="862" t="s">
        <v>32</v>
      </c>
      <c r="C39" s="879" t="s">
        <v>12</v>
      </c>
      <c r="D39" s="887" t="s">
        <v>15</v>
      </c>
      <c r="E39" s="250">
        <v>5</v>
      </c>
      <c r="F39" s="1473"/>
      <c r="G39" s="458"/>
      <c r="H39" s="1473"/>
    </row>
    <row r="40" spans="1:8" s="224" customFormat="1" x14ac:dyDescent="0.25">
      <c r="A40" s="215">
        <v>41530</v>
      </c>
      <c r="B40" s="862" t="s">
        <v>235</v>
      </c>
      <c r="C40" s="879" t="s">
        <v>12</v>
      </c>
      <c r="D40" s="887" t="s">
        <v>15</v>
      </c>
      <c r="E40" s="250">
        <v>27</v>
      </c>
      <c r="F40" s="1473"/>
      <c r="G40" s="458"/>
      <c r="H40" s="1473"/>
    </row>
    <row r="41" spans="1:8" s="224" customFormat="1" x14ac:dyDescent="0.25">
      <c r="A41" s="215">
        <v>41531</v>
      </c>
      <c r="B41" s="862" t="s">
        <v>14</v>
      </c>
      <c r="C41" s="879" t="s">
        <v>12</v>
      </c>
      <c r="D41" s="887" t="s">
        <v>15</v>
      </c>
      <c r="E41" s="250">
        <v>4</v>
      </c>
      <c r="F41" s="1473"/>
      <c r="G41" s="458"/>
      <c r="H41" s="1473"/>
    </row>
    <row r="42" spans="1:8" x14ac:dyDescent="0.25">
      <c r="A42" s="215">
        <v>41531</v>
      </c>
      <c r="B42" s="349" t="s">
        <v>240</v>
      </c>
      <c r="C42" s="350" t="s">
        <v>12</v>
      </c>
      <c r="D42" s="480" t="s">
        <v>15</v>
      </c>
      <c r="E42" s="97"/>
      <c r="F42" s="946">
        <v>100</v>
      </c>
      <c r="G42" s="516"/>
      <c r="H42" s="946"/>
    </row>
    <row r="43" spans="1:8" x14ac:dyDescent="0.25">
      <c r="A43" s="215">
        <v>41531</v>
      </c>
      <c r="B43" s="862" t="s">
        <v>241</v>
      </c>
      <c r="C43" s="352" t="s">
        <v>12</v>
      </c>
      <c r="D43" s="85" t="s">
        <v>15</v>
      </c>
      <c r="E43" s="96">
        <v>5</v>
      </c>
      <c r="F43" s="1482"/>
      <c r="G43" s="516"/>
      <c r="H43" s="946"/>
    </row>
    <row r="44" spans="1:8" s="224" customFormat="1" x14ac:dyDescent="0.25">
      <c r="A44" s="215">
        <v>41532</v>
      </c>
      <c r="B44" s="862" t="s">
        <v>14</v>
      </c>
      <c r="C44" s="879" t="s">
        <v>12</v>
      </c>
      <c r="D44" s="887" t="s">
        <v>15</v>
      </c>
      <c r="E44" s="250">
        <v>7.2</v>
      </c>
      <c r="F44" s="1473"/>
      <c r="G44" s="458"/>
      <c r="H44" s="1473"/>
    </row>
    <row r="45" spans="1:8" x14ac:dyDescent="0.25">
      <c r="A45" s="215">
        <v>41533</v>
      </c>
      <c r="B45" s="349" t="s">
        <v>32</v>
      </c>
      <c r="C45" s="350" t="s">
        <v>12</v>
      </c>
      <c r="D45" s="141" t="s">
        <v>15</v>
      </c>
      <c r="E45" s="97">
        <v>6</v>
      </c>
      <c r="F45" s="946"/>
      <c r="G45" s="516"/>
      <c r="H45" s="946"/>
    </row>
    <row r="46" spans="1:8" s="224" customFormat="1" x14ac:dyDescent="0.25">
      <c r="A46" s="215">
        <v>41533</v>
      </c>
      <c r="B46" s="862" t="s">
        <v>14</v>
      </c>
      <c r="C46" s="879" t="s">
        <v>12</v>
      </c>
      <c r="D46" s="887" t="s">
        <v>15</v>
      </c>
      <c r="E46" s="250">
        <v>4.8</v>
      </c>
      <c r="F46" s="1473"/>
      <c r="G46" s="458"/>
      <c r="H46" s="1473"/>
    </row>
    <row r="47" spans="1:8" s="224" customFormat="1" x14ac:dyDescent="0.25">
      <c r="A47" s="215">
        <v>41533</v>
      </c>
      <c r="B47" s="862" t="s">
        <v>242</v>
      </c>
      <c r="C47" s="879" t="s">
        <v>12</v>
      </c>
      <c r="D47" s="887" t="s">
        <v>13</v>
      </c>
      <c r="E47" s="250">
        <v>8.1329999999999991</v>
      </c>
      <c r="F47" s="1473"/>
      <c r="G47" s="458"/>
      <c r="H47" s="1473"/>
    </row>
    <row r="48" spans="1:8" x14ac:dyDescent="0.25">
      <c r="A48" s="215">
        <v>41533</v>
      </c>
      <c r="B48" s="349" t="s">
        <v>138</v>
      </c>
      <c r="C48" s="350" t="s">
        <v>12</v>
      </c>
      <c r="D48" s="141" t="s">
        <v>15</v>
      </c>
      <c r="E48" s="97">
        <v>20</v>
      </c>
      <c r="F48" s="946"/>
      <c r="G48" s="516"/>
      <c r="H48" s="946"/>
    </row>
    <row r="49" spans="1:8" x14ac:dyDescent="0.25">
      <c r="A49" s="215">
        <v>41534</v>
      </c>
      <c r="B49" s="349" t="s">
        <v>32</v>
      </c>
      <c r="C49" s="350" t="s">
        <v>12</v>
      </c>
      <c r="D49" s="141" t="s">
        <v>15</v>
      </c>
      <c r="E49" s="97">
        <v>5</v>
      </c>
      <c r="F49" s="946"/>
      <c r="G49" s="516"/>
      <c r="H49" s="946"/>
    </row>
    <row r="50" spans="1:8" x14ac:dyDescent="0.25">
      <c r="A50" s="215">
        <v>41535</v>
      </c>
      <c r="B50" s="349" t="s">
        <v>32</v>
      </c>
      <c r="C50" s="350" t="s">
        <v>12</v>
      </c>
      <c r="D50" s="141" t="s">
        <v>15</v>
      </c>
      <c r="E50" s="97">
        <v>10</v>
      </c>
      <c r="F50" s="946"/>
      <c r="G50" s="516"/>
      <c r="H50" s="946"/>
    </row>
    <row r="51" spans="1:8" x14ac:dyDescent="0.25">
      <c r="A51" s="215">
        <v>41536</v>
      </c>
      <c r="B51" s="349" t="s">
        <v>190</v>
      </c>
      <c r="C51" s="350" t="s">
        <v>12</v>
      </c>
      <c r="D51" s="141" t="s">
        <v>15</v>
      </c>
      <c r="E51" s="97">
        <v>20</v>
      </c>
      <c r="F51" s="946"/>
      <c r="G51" s="516"/>
      <c r="H51" s="946"/>
    </row>
    <row r="52" spans="1:8" x14ac:dyDescent="0.25">
      <c r="A52" s="215">
        <v>41536</v>
      </c>
      <c r="B52" s="349" t="s">
        <v>32</v>
      </c>
      <c r="C52" s="350" t="s">
        <v>12</v>
      </c>
      <c r="D52" s="141" t="s">
        <v>15</v>
      </c>
      <c r="E52" s="97">
        <v>10</v>
      </c>
      <c r="F52" s="946"/>
      <c r="G52" s="516"/>
      <c r="H52" s="946"/>
    </row>
    <row r="53" spans="1:8" x14ac:dyDescent="0.25">
      <c r="A53" s="215">
        <v>41536</v>
      </c>
      <c r="B53" s="349" t="s">
        <v>243</v>
      </c>
      <c r="C53" s="350" t="s">
        <v>12</v>
      </c>
      <c r="D53" s="141" t="s">
        <v>15</v>
      </c>
      <c r="E53" s="97">
        <v>40</v>
      </c>
      <c r="F53" s="946"/>
      <c r="G53" s="516"/>
      <c r="H53" s="946"/>
    </row>
    <row r="54" spans="1:8" x14ac:dyDescent="0.25">
      <c r="A54" s="215">
        <v>41537</v>
      </c>
      <c r="B54" s="349" t="s">
        <v>244</v>
      </c>
      <c r="C54" s="350" t="s">
        <v>12</v>
      </c>
      <c r="D54" s="141" t="s">
        <v>25</v>
      </c>
      <c r="E54" s="97"/>
      <c r="F54" s="946">
        <v>660</v>
      </c>
      <c r="G54" s="516"/>
      <c r="H54" s="946"/>
    </row>
    <row r="55" spans="1:8" x14ac:dyDescent="0.25">
      <c r="A55" s="215">
        <v>41537</v>
      </c>
      <c r="B55" s="349" t="s">
        <v>32</v>
      </c>
      <c r="C55" s="350" t="s">
        <v>12</v>
      </c>
      <c r="D55" s="141" t="s">
        <v>15</v>
      </c>
      <c r="E55" s="97">
        <v>5</v>
      </c>
      <c r="F55" s="946"/>
      <c r="G55" s="516"/>
      <c r="H55" s="946"/>
    </row>
    <row r="56" spans="1:8" x14ac:dyDescent="0.25">
      <c r="A56" s="215">
        <v>41537</v>
      </c>
      <c r="B56" s="349" t="s">
        <v>245</v>
      </c>
      <c r="C56" s="350" t="s">
        <v>12</v>
      </c>
      <c r="D56" s="141" t="s">
        <v>15</v>
      </c>
      <c r="E56" s="97">
        <v>43</v>
      </c>
      <c r="F56" s="946"/>
      <c r="G56" s="516"/>
      <c r="H56" s="946"/>
    </row>
    <row r="57" spans="1:8" x14ac:dyDescent="0.25">
      <c r="A57" s="215">
        <v>41537</v>
      </c>
      <c r="B57" s="349" t="s">
        <v>246</v>
      </c>
      <c r="C57" s="350" t="s">
        <v>12</v>
      </c>
      <c r="D57" s="141" t="s">
        <v>15</v>
      </c>
      <c r="E57" s="97">
        <v>21</v>
      </c>
      <c r="F57" s="946"/>
      <c r="G57" s="516"/>
      <c r="H57" s="946"/>
    </row>
    <row r="58" spans="1:8" x14ac:dyDescent="0.25">
      <c r="A58" s="215">
        <v>41538</v>
      </c>
      <c r="B58" s="349" t="s">
        <v>247</v>
      </c>
      <c r="C58" s="350" t="s">
        <v>12</v>
      </c>
      <c r="D58" s="480" t="s">
        <v>15</v>
      </c>
      <c r="E58" s="97"/>
      <c r="F58" s="946">
        <v>100</v>
      </c>
      <c r="G58" s="516"/>
      <c r="H58" s="946"/>
    </row>
    <row r="59" spans="1:8" x14ac:dyDescent="0.25">
      <c r="A59" s="215">
        <v>41538</v>
      </c>
      <c r="B59" s="862" t="s">
        <v>248</v>
      </c>
      <c r="C59" s="352" t="s">
        <v>12</v>
      </c>
      <c r="D59" s="85" t="s">
        <v>15</v>
      </c>
      <c r="E59" s="96">
        <v>3.5</v>
      </c>
      <c r="F59" s="1482"/>
      <c r="G59" s="516"/>
      <c r="H59" s="946"/>
    </row>
    <row r="60" spans="1:8" s="224" customFormat="1" x14ac:dyDescent="0.25">
      <c r="A60" s="215">
        <v>41538</v>
      </c>
      <c r="B60" s="862" t="s">
        <v>249</v>
      </c>
      <c r="C60" s="879" t="s">
        <v>12</v>
      </c>
      <c r="D60" s="887" t="s">
        <v>15</v>
      </c>
      <c r="E60" s="250">
        <v>3</v>
      </c>
      <c r="F60" s="1473"/>
      <c r="G60" s="458"/>
      <c r="H60" s="1473"/>
    </row>
    <row r="61" spans="1:8" s="224" customFormat="1" x14ac:dyDescent="0.25">
      <c r="A61" s="215">
        <v>41539</v>
      </c>
      <c r="B61" s="862" t="s">
        <v>14</v>
      </c>
      <c r="C61" s="105" t="s">
        <v>12</v>
      </c>
      <c r="D61" s="887" t="s">
        <v>15</v>
      </c>
      <c r="E61" s="250">
        <v>8</v>
      </c>
      <c r="F61" s="1473"/>
      <c r="G61" s="458"/>
      <c r="H61" s="1473"/>
    </row>
    <row r="62" spans="1:8" s="224" customFormat="1" x14ac:dyDescent="0.25">
      <c r="A62" s="215">
        <v>41540</v>
      </c>
      <c r="B62" s="862" t="s">
        <v>138</v>
      </c>
      <c r="C62" s="105" t="s">
        <v>12</v>
      </c>
      <c r="D62" s="887" t="s">
        <v>15</v>
      </c>
      <c r="E62" s="250">
        <v>20</v>
      </c>
      <c r="F62" s="1473"/>
      <c r="G62" s="458"/>
      <c r="H62" s="1473"/>
    </row>
    <row r="63" spans="1:8" s="224" customFormat="1" x14ac:dyDescent="0.25">
      <c r="A63" s="215">
        <v>41540</v>
      </c>
      <c r="B63" s="862" t="s">
        <v>32</v>
      </c>
      <c r="C63" s="105" t="s">
        <v>12</v>
      </c>
      <c r="D63" s="887" t="s">
        <v>15</v>
      </c>
      <c r="E63" s="250">
        <v>10</v>
      </c>
      <c r="F63" s="1473"/>
      <c r="G63" s="458"/>
      <c r="H63" s="1473"/>
    </row>
    <row r="64" spans="1:8" s="224" customFormat="1" x14ac:dyDescent="0.25">
      <c r="A64" s="215">
        <v>41541</v>
      </c>
      <c r="B64" s="862" t="s">
        <v>32</v>
      </c>
      <c r="C64" s="105" t="s">
        <v>12</v>
      </c>
      <c r="D64" s="887" t="s">
        <v>15</v>
      </c>
      <c r="E64" s="250">
        <v>5.5</v>
      </c>
      <c r="F64" s="1473"/>
      <c r="G64" s="458"/>
      <c r="H64" s="1473"/>
    </row>
    <row r="65" spans="1:8" s="224" customFormat="1" x14ac:dyDescent="0.25">
      <c r="A65" s="215">
        <v>41541</v>
      </c>
      <c r="B65" s="862" t="s">
        <v>14</v>
      </c>
      <c r="C65" s="105" t="s">
        <v>12</v>
      </c>
      <c r="D65" s="887" t="s">
        <v>15</v>
      </c>
      <c r="E65" s="250">
        <v>2.5</v>
      </c>
      <c r="F65" s="1473"/>
      <c r="G65" s="458"/>
      <c r="H65" s="1473"/>
    </row>
    <row r="66" spans="1:8" s="224" customFormat="1" x14ac:dyDescent="0.25">
      <c r="A66" s="215">
        <v>41542</v>
      </c>
      <c r="B66" s="862" t="s">
        <v>32</v>
      </c>
      <c r="C66" s="879" t="s">
        <v>12</v>
      </c>
      <c r="D66" s="887" t="s">
        <v>15</v>
      </c>
      <c r="E66" s="250">
        <v>5</v>
      </c>
      <c r="F66" s="1473"/>
      <c r="G66" s="458"/>
      <c r="H66" s="1473"/>
    </row>
    <row r="67" spans="1:8" s="224" customFormat="1" x14ac:dyDescent="0.25">
      <c r="A67" s="215">
        <v>41542</v>
      </c>
      <c r="B67" s="862" t="s">
        <v>250</v>
      </c>
      <c r="C67" s="879" t="s">
        <v>12</v>
      </c>
      <c r="D67" s="887" t="s">
        <v>13</v>
      </c>
      <c r="E67" s="250">
        <v>1593.56</v>
      </c>
      <c r="F67" s="1473"/>
      <c r="G67" s="458"/>
      <c r="H67" s="1473">
        <v>1593.56</v>
      </c>
    </row>
    <row r="68" spans="1:8" s="224" customFormat="1" x14ac:dyDescent="0.25">
      <c r="A68" s="215">
        <v>41542</v>
      </c>
      <c r="B68" s="862" t="s">
        <v>138</v>
      </c>
      <c r="C68" s="879" t="s">
        <v>12</v>
      </c>
      <c r="D68" s="887" t="s">
        <v>13</v>
      </c>
      <c r="E68" s="250">
        <v>30</v>
      </c>
      <c r="F68" s="1473"/>
      <c r="G68" s="458"/>
      <c r="H68" s="1473"/>
    </row>
    <row r="69" spans="1:8" s="224" customFormat="1" x14ac:dyDescent="0.25">
      <c r="A69" s="215">
        <v>41542</v>
      </c>
      <c r="B69" s="862" t="s">
        <v>251</v>
      </c>
      <c r="C69" s="879" t="s">
        <v>19</v>
      </c>
      <c r="D69" s="887" t="s">
        <v>13</v>
      </c>
      <c r="E69" s="250">
        <v>69.900000000000006</v>
      </c>
      <c r="F69" s="1473"/>
      <c r="G69" s="458"/>
      <c r="H69" s="1473"/>
    </row>
    <row r="70" spans="1:8" s="224" customFormat="1" x14ac:dyDescent="0.25">
      <c r="A70" s="215">
        <v>41542</v>
      </c>
      <c r="B70" s="862" t="s">
        <v>252</v>
      </c>
      <c r="C70" s="879" t="s">
        <v>19</v>
      </c>
      <c r="D70" s="887" t="s">
        <v>13</v>
      </c>
      <c r="E70" s="250">
        <v>79.989999999999995</v>
      </c>
      <c r="F70" s="1473"/>
      <c r="G70" s="458"/>
      <c r="H70" s="1473"/>
    </row>
    <row r="71" spans="1:8" s="224" customFormat="1" x14ac:dyDescent="0.25">
      <c r="A71" s="215">
        <v>41542</v>
      </c>
      <c r="B71" s="862" t="s">
        <v>103</v>
      </c>
      <c r="C71" s="879" t="s">
        <v>12</v>
      </c>
      <c r="D71" s="887" t="s">
        <v>13</v>
      </c>
      <c r="E71" s="250">
        <v>6</v>
      </c>
      <c r="F71" s="1473"/>
      <c r="G71" s="458"/>
      <c r="H71" s="1473"/>
    </row>
    <row r="72" spans="1:8" s="224" customFormat="1" x14ac:dyDescent="0.25">
      <c r="A72" s="215">
        <v>41543</v>
      </c>
      <c r="B72" s="862" t="s">
        <v>253</v>
      </c>
      <c r="C72" s="105" t="s">
        <v>12</v>
      </c>
      <c r="D72" s="887" t="s">
        <v>25</v>
      </c>
      <c r="E72" s="250"/>
      <c r="F72" s="1473">
        <v>150</v>
      </c>
      <c r="G72" s="458"/>
      <c r="H72" s="1473"/>
    </row>
    <row r="73" spans="1:8" s="224" customFormat="1" x14ac:dyDescent="0.25">
      <c r="A73" s="215">
        <v>41543</v>
      </c>
      <c r="B73" s="862" t="s">
        <v>32</v>
      </c>
      <c r="C73" s="105" t="s">
        <v>12</v>
      </c>
      <c r="D73" s="887" t="s">
        <v>13</v>
      </c>
      <c r="E73" s="250">
        <v>10</v>
      </c>
      <c r="F73" s="1473"/>
      <c r="G73" s="458"/>
      <c r="H73" s="1473"/>
    </row>
    <row r="74" spans="1:8" s="224" customFormat="1" x14ac:dyDescent="0.25">
      <c r="A74" s="215">
        <v>41544</v>
      </c>
      <c r="B74" s="862" t="s">
        <v>32</v>
      </c>
      <c r="C74" s="105" t="s">
        <v>12</v>
      </c>
      <c r="D74" s="887" t="s">
        <v>13</v>
      </c>
      <c r="E74" s="250">
        <v>9</v>
      </c>
      <c r="F74" s="1473"/>
      <c r="G74" s="458"/>
      <c r="H74" s="1473"/>
    </row>
    <row r="75" spans="1:8" s="224" customFormat="1" x14ac:dyDescent="0.25">
      <c r="A75" s="215">
        <v>41544</v>
      </c>
      <c r="B75" s="862" t="s">
        <v>254</v>
      </c>
      <c r="C75" s="105" t="s">
        <v>12</v>
      </c>
      <c r="D75" s="887" t="s">
        <v>13</v>
      </c>
      <c r="E75" s="250">
        <v>22.95</v>
      </c>
      <c r="F75" s="1473"/>
      <c r="G75" s="458"/>
      <c r="H75" s="1473"/>
    </row>
    <row r="76" spans="1:8" x14ac:dyDescent="0.25">
      <c r="A76" s="215">
        <v>41545</v>
      </c>
      <c r="B76" s="1477" t="s">
        <v>156</v>
      </c>
      <c r="C76" s="105" t="s">
        <v>12</v>
      </c>
      <c r="D76" s="105" t="s">
        <v>15</v>
      </c>
      <c r="E76" s="97">
        <v>13.9</v>
      </c>
      <c r="F76" s="946"/>
      <c r="G76" s="516"/>
      <c r="H76" s="946"/>
    </row>
    <row r="77" spans="1:8" x14ac:dyDescent="0.25">
      <c r="A77" s="215">
        <v>41546</v>
      </c>
      <c r="B77" s="349" t="s">
        <v>14</v>
      </c>
      <c r="C77" s="352" t="s">
        <v>12</v>
      </c>
      <c r="D77" s="142" t="s">
        <v>15</v>
      </c>
      <c r="E77" s="97">
        <v>4.8</v>
      </c>
      <c r="F77" s="946"/>
      <c r="G77" s="516"/>
      <c r="H77" s="946"/>
    </row>
    <row r="78" spans="1:8" x14ac:dyDescent="0.25">
      <c r="A78" s="247">
        <v>41547</v>
      </c>
      <c r="B78" s="479" t="s">
        <v>32</v>
      </c>
      <c r="C78" s="350" t="s">
        <v>12</v>
      </c>
      <c r="D78" s="480" t="s">
        <v>15</v>
      </c>
      <c r="E78" s="97">
        <v>5.75</v>
      </c>
      <c r="F78" s="946"/>
      <c r="G78" s="516"/>
      <c r="H78" s="946"/>
    </row>
    <row r="79" spans="1:8" ht="15.75" thickBot="1" x14ac:dyDescent="0.3">
      <c r="A79" s="215">
        <v>41547</v>
      </c>
      <c r="B79" s="79" t="s">
        <v>138</v>
      </c>
      <c r="C79" s="352" t="s">
        <v>12</v>
      </c>
      <c r="D79" s="85" t="s">
        <v>15</v>
      </c>
      <c r="E79" s="96">
        <v>20</v>
      </c>
      <c r="F79" s="1482"/>
      <c r="G79" s="521"/>
      <c r="H79" s="1482"/>
    </row>
    <row r="80" spans="1:8" ht="25.5" customHeight="1" thickBot="1" x14ac:dyDescent="0.3">
      <c r="A80" s="3060"/>
      <c r="B80" s="3061"/>
      <c r="C80" s="3062"/>
      <c r="D80" s="3062"/>
      <c r="E80" s="100">
        <f>SUM(E5:E79)</f>
        <v>3139.0929999999998</v>
      </c>
      <c r="F80" s="1065" t="e">
        <f>SUM(F5:F79)</f>
        <v>#REF!</v>
      </c>
      <c r="G80" s="517">
        <f>SUM(G5:G79)</f>
        <v>0</v>
      </c>
      <c r="H80" s="1065">
        <f>SUM(H5:H79)</f>
        <v>1593.56</v>
      </c>
    </row>
    <row r="81" spans="1:8" s="81" customFormat="1" ht="25.5" customHeight="1" thickBot="1" x14ac:dyDescent="0.3">
      <c r="A81" s="3093" t="s">
        <v>49</v>
      </c>
      <c r="B81" s="3094"/>
      <c r="C81" s="3094"/>
      <c r="D81" s="3094"/>
      <c r="E81" s="144"/>
      <c r="F81" s="519" t="e">
        <f>F80-E80</f>
        <v>#REF!</v>
      </c>
      <c r="G81" s="520"/>
      <c r="H81" s="519">
        <f>H80-G80</f>
        <v>1593.56</v>
      </c>
    </row>
    <row r="83" spans="1:8" x14ac:dyDescent="0.25">
      <c r="B83" s="79" t="s">
        <v>32</v>
      </c>
      <c r="C83" s="484">
        <v>162.75</v>
      </c>
      <c r="H83" s="867"/>
    </row>
    <row r="84" spans="1:8" x14ac:dyDescent="0.25">
      <c r="B84" s="79" t="s">
        <v>16</v>
      </c>
      <c r="C84" s="484">
        <v>150</v>
      </c>
      <c r="H84" s="867"/>
    </row>
    <row r="85" spans="1:8" x14ac:dyDescent="0.25">
      <c r="B85" s="79" t="s">
        <v>50</v>
      </c>
      <c r="C85" s="484">
        <v>24.9</v>
      </c>
      <c r="H85" s="867"/>
    </row>
    <row r="86" spans="1:8" s="85" customFormat="1" x14ac:dyDescent="0.25">
      <c r="A86" s="79"/>
      <c r="B86" s="79" t="s">
        <v>14</v>
      </c>
      <c r="C86" s="475">
        <v>40.9</v>
      </c>
      <c r="E86" s="89"/>
      <c r="F86" s="79"/>
      <c r="G86" s="518"/>
      <c r="H86" s="867"/>
    </row>
    <row r="87" spans="1:8" s="85" customFormat="1" x14ac:dyDescent="0.25">
      <c r="A87" s="79"/>
      <c r="B87" s="79" t="s">
        <v>51</v>
      </c>
      <c r="C87" s="475">
        <v>70.349999999999994</v>
      </c>
      <c r="E87" s="89"/>
      <c r="F87" s="79"/>
      <c r="G87" s="518"/>
      <c r="H87" s="867"/>
    </row>
    <row r="88" spans="1:8" s="85" customFormat="1" x14ac:dyDescent="0.25">
      <c r="A88" s="79"/>
      <c r="B88" s="79" t="s">
        <v>52</v>
      </c>
      <c r="C88" s="475">
        <v>50</v>
      </c>
      <c r="E88" s="89"/>
      <c r="F88" s="79"/>
      <c r="G88" s="518"/>
      <c r="H88" s="867"/>
    </row>
    <row r="89" spans="1:8" s="85" customFormat="1" x14ac:dyDescent="0.25">
      <c r="A89" s="79"/>
      <c r="B89" s="867" t="s">
        <v>53</v>
      </c>
      <c r="C89" s="475">
        <v>182.51</v>
      </c>
      <c r="E89" s="89"/>
      <c r="F89" s="79"/>
      <c r="G89" s="518"/>
      <c r="H89" s="867"/>
    </row>
    <row r="90" spans="1:8" s="85" customFormat="1" x14ac:dyDescent="0.25">
      <c r="A90" s="79"/>
      <c r="B90" s="79" t="s">
        <v>56</v>
      </c>
      <c r="C90" s="475">
        <v>95.95</v>
      </c>
      <c r="E90" s="89"/>
      <c r="F90" s="79"/>
      <c r="G90" s="518"/>
      <c r="H90" s="867"/>
    </row>
    <row r="91" spans="1:8" s="85" customFormat="1" x14ac:dyDescent="0.25">
      <c r="A91" s="79"/>
      <c r="B91" s="79" t="s">
        <v>57</v>
      </c>
      <c r="C91" s="475">
        <v>424.01</v>
      </c>
      <c r="E91" s="89"/>
      <c r="F91" s="79"/>
      <c r="G91" s="518"/>
      <c r="H91" s="867"/>
    </row>
  </sheetData>
  <autoFilter ref="A2:H81" xr:uid="{00000000-0009-0000-0000-000008000000}">
    <filterColumn colId="4" showButton="0"/>
    <filterColumn colId="6" showButton="0"/>
  </autoFilter>
  <mergeCells count="10">
    <mergeCell ref="A80:D80"/>
    <mergeCell ref="A81:D81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37"/>
  <dimension ref="A1:H104"/>
  <sheetViews>
    <sheetView zoomScale="90" zoomScaleNormal="90" workbookViewId="0">
      <pane ySplit="4" topLeftCell="A5" activePane="bottomLeft" state="frozen"/>
      <selection activeCell="C44" sqref="C44"/>
      <selection pane="bottomLeft" activeCell="B35" sqref="B3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.140625" style="79" bestFit="1" customWidth="1"/>
    <col min="8" max="8" width="12.140625" style="146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255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514" t="s">
        <v>9</v>
      </c>
    </row>
    <row r="5" spans="1:8" x14ac:dyDescent="0.25">
      <c r="A5" s="281">
        <v>41548</v>
      </c>
      <c r="B5" s="369" t="s">
        <v>10</v>
      </c>
      <c r="C5" s="370"/>
      <c r="D5" s="207"/>
      <c r="E5" s="179"/>
      <c r="F5" s="933" t="e">
        <f>'Setembro 13'!F81</f>
        <v>#REF!</v>
      </c>
      <c r="G5" s="163"/>
      <c r="H5" s="933">
        <f>'Setembro 13'!H81</f>
        <v>1593.56</v>
      </c>
    </row>
    <row r="6" spans="1:8" s="224" customFormat="1" x14ac:dyDescent="0.25">
      <c r="A6" s="215">
        <v>41548</v>
      </c>
      <c r="B6" s="348" t="s">
        <v>11</v>
      </c>
      <c r="C6" s="351" t="s">
        <v>12</v>
      </c>
      <c r="D6" s="248"/>
      <c r="E6" s="250"/>
      <c r="F6" s="1473"/>
      <c r="G6" s="252"/>
      <c r="H6" s="1473"/>
    </row>
    <row r="7" spans="1:8" s="224" customFormat="1" x14ac:dyDescent="0.25">
      <c r="A7" s="215">
        <v>41548</v>
      </c>
      <c r="B7" s="873" t="s">
        <v>32</v>
      </c>
      <c r="C7" s="879" t="s">
        <v>12</v>
      </c>
      <c r="D7" s="887" t="s">
        <v>15</v>
      </c>
      <c r="E7" s="250">
        <v>5</v>
      </c>
      <c r="F7" s="1473"/>
      <c r="G7" s="252"/>
      <c r="H7" s="1473"/>
    </row>
    <row r="8" spans="1:8" s="224" customFormat="1" ht="15.75" customHeight="1" x14ac:dyDescent="0.25">
      <c r="A8" s="215">
        <v>41549</v>
      </c>
      <c r="B8" s="862" t="s">
        <v>256</v>
      </c>
      <c r="C8" s="350"/>
      <c r="D8" s="141"/>
      <c r="E8" s="97"/>
      <c r="F8" s="1473">
        <v>200</v>
      </c>
      <c r="G8" s="252">
        <v>200</v>
      </c>
      <c r="H8" s="1473"/>
    </row>
    <row r="9" spans="1:8" s="224" customFormat="1" ht="15.75" customHeight="1" x14ac:dyDescent="0.25">
      <c r="A9" s="215">
        <v>41549</v>
      </c>
      <c r="B9" s="862" t="s">
        <v>257</v>
      </c>
      <c r="C9" s="350" t="s">
        <v>12</v>
      </c>
      <c r="D9" s="141" t="s">
        <v>13</v>
      </c>
      <c r="E9" s="97">
        <v>210.61</v>
      </c>
      <c r="F9" s="1473"/>
      <c r="G9" s="252"/>
      <c r="H9" s="1473"/>
    </row>
    <row r="10" spans="1:8" s="224" customFormat="1" x14ac:dyDescent="0.25">
      <c r="A10" s="215">
        <v>41549</v>
      </c>
      <c r="B10" s="873" t="s">
        <v>32</v>
      </c>
      <c r="C10" s="879" t="s">
        <v>12</v>
      </c>
      <c r="D10" s="887" t="s">
        <v>15</v>
      </c>
      <c r="E10" s="250">
        <v>10</v>
      </c>
      <c r="F10" s="1473"/>
      <c r="G10" s="252"/>
      <c r="H10" s="1473"/>
    </row>
    <row r="11" spans="1:8" s="224" customFormat="1" x14ac:dyDescent="0.25">
      <c r="A11" s="215">
        <v>41549</v>
      </c>
      <c r="B11" s="873" t="s">
        <v>258</v>
      </c>
      <c r="C11" s="879" t="s">
        <v>12</v>
      </c>
      <c r="D11" s="887" t="s">
        <v>15</v>
      </c>
      <c r="E11" s="250">
        <v>8</v>
      </c>
      <c r="F11" s="1473"/>
      <c r="G11" s="252"/>
      <c r="H11" s="1473"/>
    </row>
    <row r="12" spans="1:8" s="224" customFormat="1" x14ac:dyDescent="0.25">
      <c r="A12" s="215">
        <v>41549</v>
      </c>
      <c r="B12" s="873" t="s">
        <v>259</v>
      </c>
      <c r="C12" s="879" t="s">
        <v>12</v>
      </c>
      <c r="D12" s="887" t="s">
        <v>15</v>
      </c>
      <c r="E12" s="250">
        <v>20</v>
      </c>
      <c r="F12" s="1473"/>
      <c r="G12" s="252"/>
      <c r="H12" s="1473"/>
    </row>
    <row r="13" spans="1:8" s="224" customFormat="1" x14ac:dyDescent="0.25">
      <c r="A13" s="215">
        <v>41550</v>
      </c>
      <c r="B13" s="862" t="s">
        <v>32</v>
      </c>
      <c r="C13" s="879" t="s">
        <v>12</v>
      </c>
      <c r="D13" s="887" t="s">
        <v>15</v>
      </c>
      <c r="E13" s="250">
        <v>10</v>
      </c>
      <c r="F13" s="1473"/>
      <c r="G13" s="252"/>
      <c r="H13" s="1473"/>
    </row>
    <row r="14" spans="1:8" s="224" customFormat="1" x14ac:dyDescent="0.25">
      <c r="A14" s="215">
        <v>41550</v>
      </c>
      <c r="B14" s="862" t="s">
        <v>80</v>
      </c>
      <c r="C14" s="879" t="s">
        <v>12</v>
      </c>
      <c r="D14" s="887" t="s">
        <v>15</v>
      </c>
      <c r="E14" s="250">
        <v>25</v>
      </c>
      <c r="F14" s="1473"/>
      <c r="G14" s="252"/>
      <c r="H14" s="1473"/>
    </row>
    <row r="15" spans="1:8" s="224" customFormat="1" x14ac:dyDescent="0.25">
      <c r="A15" s="215">
        <v>41551</v>
      </c>
      <c r="B15" s="862" t="s">
        <v>256</v>
      </c>
      <c r="C15" s="350"/>
      <c r="D15" s="141"/>
      <c r="F15" s="1473">
        <v>100</v>
      </c>
      <c r="G15" s="252">
        <v>100</v>
      </c>
      <c r="H15" s="1473"/>
    </row>
    <row r="16" spans="1:8" s="224" customFormat="1" x14ac:dyDescent="0.25">
      <c r="A16" s="215">
        <v>41551</v>
      </c>
      <c r="B16" s="862" t="s">
        <v>260</v>
      </c>
      <c r="C16" s="350"/>
      <c r="D16" s="141"/>
      <c r="E16" s="97">
        <v>500</v>
      </c>
      <c r="F16" s="1473"/>
      <c r="G16" s="252"/>
      <c r="H16" s="1473">
        <v>500</v>
      </c>
    </row>
    <row r="17" spans="1:8" s="224" customFormat="1" x14ac:dyDescent="0.25">
      <c r="A17" s="215">
        <v>41551</v>
      </c>
      <c r="B17" s="349" t="s">
        <v>261</v>
      </c>
      <c r="C17" s="879" t="s">
        <v>12</v>
      </c>
      <c r="D17" s="983" t="s">
        <v>25</v>
      </c>
      <c r="E17" s="97"/>
      <c r="F17" s="1473">
        <v>833</v>
      </c>
      <c r="G17" s="252"/>
      <c r="H17" s="1473"/>
    </row>
    <row r="18" spans="1:8" s="224" customFormat="1" x14ac:dyDescent="0.25">
      <c r="A18" s="215">
        <v>41551</v>
      </c>
      <c r="B18" s="882" t="s">
        <v>262</v>
      </c>
      <c r="C18" s="879" t="s">
        <v>12</v>
      </c>
      <c r="D18" s="887" t="s">
        <v>13</v>
      </c>
      <c r="E18" s="250">
        <v>33.5</v>
      </c>
      <c r="F18" s="1473"/>
      <c r="G18" s="252"/>
      <c r="H18" s="1473"/>
    </row>
    <row r="19" spans="1:8" s="224" customFormat="1" x14ac:dyDescent="0.25">
      <c r="A19" s="215">
        <v>41551</v>
      </c>
      <c r="B19" s="882" t="s">
        <v>263</v>
      </c>
      <c r="C19" s="350" t="s">
        <v>12</v>
      </c>
      <c r="D19" s="887" t="s">
        <v>13</v>
      </c>
      <c r="E19" s="97">
        <v>39.24</v>
      </c>
      <c r="F19" s="1473"/>
      <c r="G19" s="252"/>
      <c r="H19" s="1473"/>
    </row>
    <row r="20" spans="1:8" s="224" customFormat="1" x14ac:dyDescent="0.25">
      <c r="A20" s="215">
        <v>41551</v>
      </c>
      <c r="B20" s="862" t="s">
        <v>31</v>
      </c>
      <c r="C20" s="350" t="s">
        <v>12</v>
      </c>
      <c r="D20" s="957" t="s">
        <v>15</v>
      </c>
      <c r="E20" s="97">
        <v>50</v>
      </c>
      <c r="F20" s="1473"/>
      <c r="G20" s="252"/>
      <c r="H20" s="1473"/>
    </row>
    <row r="21" spans="1:8" s="224" customFormat="1" ht="15.75" customHeight="1" x14ac:dyDescent="0.25">
      <c r="A21" s="215">
        <v>41551</v>
      </c>
      <c r="B21" s="1483" t="s">
        <v>264</v>
      </c>
      <c r="C21" s="350" t="s">
        <v>12</v>
      </c>
      <c r="D21" s="141" t="s">
        <v>15</v>
      </c>
      <c r="E21" s="97">
        <v>60</v>
      </c>
      <c r="F21" s="1473"/>
      <c r="G21" s="252"/>
      <c r="H21" s="1473"/>
    </row>
    <row r="22" spans="1:8" s="224" customFormat="1" ht="15.75" customHeight="1" x14ac:dyDescent="0.25">
      <c r="A22" s="215">
        <v>41551</v>
      </c>
      <c r="B22" s="862" t="s">
        <v>32</v>
      </c>
      <c r="C22" s="350" t="s">
        <v>12</v>
      </c>
      <c r="D22" s="141" t="s">
        <v>15</v>
      </c>
      <c r="E22" s="97">
        <v>5</v>
      </c>
      <c r="F22" s="1473"/>
      <c r="G22" s="252"/>
      <c r="H22" s="1473"/>
    </row>
    <row r="23" spans="1:8" s="224" customFormat="1" ht="15.75" customHeight="1" x14ac:dyDescent="0.25">
      <c r="A23" s="215">
        <v>41551</v>
      </c>
      <c r="B23" s="1483" t="s">
        <v>205</v>
      </c>
      <c r="C23" s="350" t="s">
        <v>12</v>
      </c>
      <c r="D23" s="141" t="s">
        <v>13</v>
      </c>
      <c r="E23" s="97">
        <v>20</v>
      </c>
      <c r="F23" s="1473"/>
      <c r="G23" s="252"/>
      <c r="H23" s="1473"/>
    </row>
    <row r="24" spans="1:8" s="224" customFormat="1" ht="15.75" customHeight="1" x14ac:dyDescent="0.25">
      <c r="A24" s="215">
        <v>41551</v>
      </c>
      <c r="B24" s="1483" t="s">
        <v>14</v>
      </c>
      <c r="C24" s="350" t="s">
        <v>12</v>
      </c>
      <c r="D24" s="141" t="s">
        <v>15</v>
      </c>
      <c r="E24" s="97">
        <v>2.4</v>
      </c>
      <c r="F24" s="1473"/>
      <c r="G24" s="252"/>
      <c r="H24" s="1473"/>
    </row>
    <row r="25" spans="1:8" s="224" customFormat="1" x14ac:dyDescent="0.25">
      <c r="A25" s="215">
        <v>41552</v>
      </c>
      <c r="B25" s="873" t="s">
        <v>265</v>
      </c>
      <c r="C25" s="879" t="s">
        <v>19</v>
      </c>
      <c r="D25" s="887" t="s">
        <v>13</v>
      </c>
      <c r="E25" s="250">
        <v>78</v>
      </c>
      <c r="F25" s="1473"/>
      <c r="G25" s="252"/>
      <c r="H25" s="1473"/>
    </row>
    <row r="26" spans="1:8" s="224" customFormat="1" x14ac:dyDescent="0.25">
      <c r="A26" s="215">
        <v>41552</v>
      </c>
      <c r="B26" s="873" t="s">
        <v>266</v>
      </c>
      <c r="C26" s="879" t="s">
        <v>19</v>
      </c>
      <c r="D26" s="887" t="s">
        <v>13</v>
      </c>
      <c r="E26" s="250">
        <v>29.9</v>
      </c>
      <c r="F26" s="1473"/>
      <c r="G26" s="252"/>
      <c r="H26" s="1473"/>
    </row>
    <row r="27" spans="1:8" s="224" customFormat="1" x14ac:dyDescent="0.25">
      <c r="A27" s="215">
        <v>41552</v>
      </c>
      <c r="B27" s="873" t="s">
        <v>103</v>
      </c>
      <c r="C27" s="879" t="s">
        <v>12</v>
      </c>
      <c r="D27" s="887" t="s">
        <v>15</v>
      </c>
      <c r="E27" s="250">
        <v>6</v>
      </c>
      <c r="F27" s="1473"/>
      <c r="G27" s="252"/>
      <c r="H27" s="1473"/>
    </row>
    <row r="28" spans="1:8" s="224" customFormat="1" x14ac:dyDescent="0.25">
      <c r="A28" s="215">
        <v>41552</v>
      </c>
      <c r="B28" s="873" t="s">
        <v>190</v>
      </c>
      <c r="C28" s="879" t="s">
        <v>12</v>
      </c>
      <c r="D28" s="887" t="s">
        <v>15</v>
      </c>
      <c r="E28" s="250">
        <v>40</v>
      </c>
      <c r="F28" s="1473"/>
      <c r="G28" s="252"/>
      <c r="H28" s="1473"/>
    </row>
    <row r="29" spans="1:8" s="459" customFormat="1" x14ac:dyDescent="0.25">
      <c r="A29" s="1052">
        <v>41553</v>
      </c>
      <c r="B29" s="873" t="s">
        <v>153</v>
      </c>
      <c r="C29" s="879" t="s">
        <v>12</v>
      </c>
      <c r="D29" s="887" t="s">
        <v>15</v>
      </c>
      <c r="E29" s="456">
        <v>1.5</v>
      </c>
      <c r="F29" s="457"/>
      <c r="G29" s="458"/>
      <c r="H29" s="457"/>
    </row>
    <row r="30" spans="1:8" s="224" customFormat="1" x14ac:dyDescent="0.25">
      <c r="A30" s="215">
        <v>41554</v>
      </c>
      <c r="B30" s="349" t="s">
        <v>32</v>
      </c>
      <c r="C30" s="879" t="s">
        <v>12</v>
      </c>
      <c r="D30" s="983" t="s">
        <v>15</v>
      </c>
      <c r="E30" s="250">
        <v>6.25</v>
      </c>
      <c r="F30" s="1473"/>
      <c r="G30" s="252"/>
      <c r="H30" s="1473"/>
    </row>
    <row r="31" spans="1:8" s="224" customFormat="1" x14ac:dyDescent="0.25">
      <c r="A31" s="215">
        <v>41554</v>
      </c>
      <c r="B31" s="349" t="s">
        <v>205</v>
      </c>
      <c r="C31" s="879" t="s">
        <v>12</v>
      </c>
      <c r="D31" s="983" t="s">
        <v>15</v>
      </c>
      <c r="E31" s="250">
        <v>20</v>
      </c>
      <c r="F31" s="1473"/>
      <c r="G31" s="252"/>
      <c r="H31" s="1473"/>
    </row>
    <row r="32" spans="1:8" s="224" customFormat="1" x14ac:dyDescent="0.25">
      <c r="A32" s="215">
        <v>41555</v>
      </c>
      <c r="B32" s="882" t="s">
        <v>32</v>
      </c>
      <c r="C32" s="879" t="s">
        <v>12</v>
      </c>
      <c r="D32" s="887" t="s">
        <v>15</v>
      </c>
      <c r="E32" s="250">
        <v>10</v>
      </c>
      <c r="F32" s="1473"/>
      <c r="G32" s="252"/>
      <c r="H32" s="1473"/>
    </row>
    <row r="33" spans="1:8" s="224" customFormat="1" x14ac:dyDescent="0.25">
      <c r="A33" s="215">
        <v>41555</v>
      </c>
      <c r="B33" s="882" t="s">
        <v>267</v>
      </c>
      <c r="C33" s="879" t="s">
        <v>12</v>
      </c>
      <c r="D33" s="887" t="s">
        <v>15</v>
      </c>
      <c r="E33" s="250">
        <v>20</v>
      </c>
      <c r="F33" s="1473"/>
      <c r="G33" s="252"/>
      <c r="H33" s="1473"/>
    </row>
    <row r="34" spans="1:8" s="224" customFormat="1" x14ac:dyDescent="0.25">
      <c r="A34" s="215">
        <v>41555</v>
      </c>
      <c r="B34" s="882" t="s">
        <v>268</v>
      </c>
      <c r="C34" s="879" t="s">
        <v>12</v>
      </c>
      <c r="D34" s="887" t="s">
        <v>13</v>
      </c>
      <c r="E34" s="250">
        <v>100</v>
      </c>
      <c r="F34" s="1473"/>
      <c r="G34" s="252"/>
      <c r="H34" s="1473"/>
    </row>
    <row r="35" spans="1:8" s="224" customFormat="1" x14ac:dyDescent="0.25">
      <c r="A35" s="215">
        <v>41555</v>
      </c>
      <c r="B35" s="862" t="s">
        <v>269</v>
      </c>
      <c r="C35" s="350" t="s">
        <v>12</v>
      </c>
      <c r="D35" s="141"/>
      <c r="E35" s="97">
        <v>60</v>
      </c>
      <c r="F35" s="1473"/>
      <c r="G35" s="252"/>
      <c r="H35" s="1473">
        <v>60</v>
      </c>
    </row>
    <row r="36" spans="1:8" s="224" customFormat="1" x14ac:dyDescent="0.25">
      <c r="A36" s="215">
        <v>41556</v>
      </c>
      <c r="B36" s="862" t="s">
        <v>256</v>
      </c>
      <c r="C36" s="350"/>
      <c r="D36" s="141"/>
      <c r="E36" s="97"/>
      <c r="F36" s="1473">
        <v>300</v>
      </c>
      <c r="G36" s="252">
        <v>300</v>
      </c>
      <c r="H36" s="1473"/>
    </row>
    <row r="37" spans="1:8" s="224" customFormat="1" x14ac:dyDescent="0.25">
      <c r="A37" s="215">
        <v>41556</v>
      </c>
      <c r="B37" s="862" t="s">
        <v>32</v>
      </c>
      <c r="C37" s="350" t="s">
        <v>12</v>
      </c>
      <c r="D37" s="141" t="s">
        <v>15</v>
      </c>
      <c r="E37" s="137">
        <v>5</v>
      </c>
      <c r="F37" s="1473"/>
      <c r="G37" s="252"/>
      <c r="H37" s="1473"/>
    </row>
    <row r="38" spans="1:8" s="224" customFormat="1" x14ac:dyDescent="0.25">
      <c r="A38" s="215">
        <v>41556</v>
      </c>
      <c r="B38" s="882" t="s">
        <v>14</v>
      </c>
      <c r="C38" s="879" t="s">
        <v>12</v>
      </c>
      <c r="D38" s="887" t="s">
        <v>15</v>
      </c>
      <c r="E38" s="525">
        <v>3.5</v>
      </c>
      <c r="F38" s="1473"/>
      <c r="G38" s="252"/>
      <c r="H38" s="1473"/>
    </row>
    <row r="39" spans="1:8" s="316" customFormat="1" x14ac:dyDescent="0.25">
      <c r="A39" s="215">
        <v>41557</v>
      </c>
      <c r="B39" s="862" t="s">
        <v>32</v>
      </c>
      <c r="C39" s="879" t="s">
        <v>12</v>
      </c>
      <c r="D39" s="957" t="s">
        <v>15</v>
      </c>
      <c r="E39" s="525">
        <v>2.5</v>
      </c>
      <c r="F39" s="1473"/>
      <c r="G39" s="1476"/>
      <c r="H39" s="1473"/>
    </row>
    <row r="40" spans="1:8" s="316" customFormat="1" x14ac:dyDescent="0.25">
      <c r="A40" s="215">
        <v>41557</v>
      </c>
      <c r="B40" s="862" t="s">
        <v>270</v>
      </c>
      <c r="C40" s="879" t="s">
        <v>12</v>
      </c>
      <c r="D40" s="957" t="s">
        <v>15</v>
      </c>
      <c r="E40" s="250">
        <v>15</v>
      </c>
      <c r="F40" s="1473"/>
      <c r="G40" s="1476"/>
      <c r="H40" s="1473"/>
    </row>
    <row r="41" spans="1:8" s="224" customFormat="1" x14ac:dyDescent="0.25">
      <c r="A41" s="215">
        <v>41557</v>
      </c>
      <c r="B41" s="862" t="s">
        <v>80</v>
      </c>
      <c r="C41" s="879" t="s">
        <v>12</v>
      </c>
      <c r="D41" s="887" t="s">
        <v>15</v>
      </c>
      <c r="E41" s="250">
        <v>15</v>
      </c>
      <c r="F41" s="1473"/>
      <c r="G41" s="252"/>
      <c r="H41" s="1473"/>
    </row>
    <row r="42" spans="1:8" s="224" customFormat="1" x14ac:dyDescent="0.25">
      <c r="A42" s="215">
        <v>41557</v>
      </c>
      <c r="B42" s="349" t="s">
        <v>205</v>
      </c>
      <c r="C42" s="879" t="s">
        <v>12</v>
      </c>
      <c r="D42" s="983" t="s">
        <v>15</v>
      </c>
      <c r="E42" s="250">
        <v>20</v>
      </c>
      <c r="F42" s="1473"/>
      <c r="G42" s="252"/>
      <c r="H42" s="1473"/>
    </row>
    <row r="43" spans="1:8" x14ac:dyDescent="0.25">
      <c r="A43" s="215">
        <v>41558</v>
      </c>
      <c r="B43" s="862" t="s">
        <v>32</v>
      </c>
      <c r="C43" s="879" t="s">
        <v>12</v>
      </c>
      <c r="D43" s="141" t="s">
        <v>15</v>
      </c>
      <c r="E43" s="250">
        <v>10</v>
      </c>
      <c r="F43" s="946"/>
      <c r="G43" s="95"/>
      <c r="H43" s="946"/>
    </row>
    <row r="44" spans="1:8" x14ac:dyDescent="0.25">
      <c r="A44" s="215">
        <v>41559</v>
      </c>
      <c r="B44" s="349" t="s">
        <v>271</v>
      </c>
      <c r="C44" s="350" t="s">
        <v>12</v>
      </c>
      <c r="D44" s="480" t="s">
        <v>15</v>
      </c>
      <c r="E44" s="97">
        <v>5.75</v>
      </c>
      <c r="F44" s="946">
        <v>100</v>
      </c>
      <c r="G44" s="516"/>
      <c r="H44" s="946"/>
    </row>
    <row r="45" spans="1:8" x14ac:dyDescent="0.25">
      <c r="A45" s="215">
        <v>41559</v>
      </c>
      <c r="B45" s="862" t="s">
        <v>272</v>
      </c>
      <c r="C45" s="352" t="s">
        <v>12</v>
      </c>
      <c r="D45" s="85" t="s">
        <v>15</v>
      </c>
      <c r="E45" s="97"/>
      <c r="F45" s="1482"/>
      <c r="G45" s="516"/>
      <c r="H45" s="946"/>
    </row>
    <row r="46" spans="1:8" x14ac:dyDescent="0.25">
      <c r="A46" s="215">
        <v>41559</v>
      </c>
      <c r="B46" s="349" t="s">
        <v>134</v>
      </c>
      <c r="C46" s="350" t="s">
        <v>12</v>
      </c>
      <c r="D46" s="480" t="s">
        <v>15</v>
      </c>
      <c r="E46" s="96">
        <v>5</v>
      </c>
      <c r="F46" s="946"/>
      <c r="G46" s="95"/>
      <c r="H46" s="946"/>
    </row>
    <row r="47" spans="1:8" x14ac:dyDescent="0.25">
      <c r="A47" s="215">
        <v>41560</v>
      </c>
      <c r="B47" s="862" t="s">
        <v>14</v>
      </c>
      <c r="C47" s="352" t="s">
        <v>12</v>
      </c>
      <c r="D47" s="85" t="s">
        <v>15</v>
      </c>
      <c r="E47" s="97">
        <v>3</v>
      </c>
      <c r="F47" s="1482"/>
      <c r="G47" s="95"/>
      <c r="H47" s="946"/>
    </row>
    <row r="48" spans="1:8" x14ac:dyDescent="0.25">
      <c r="A48" s="215">
        <v>41561</v>
      </c>
      <c r="B48" s="349" t="s">
        <v>32</v>
      </c>
      <c r="C48" s="350" t="s">
        <v>12</v>
      </c>
      <c r="D48" s="141" t="s">
        <v>15</v>
      </c>
      <c r="E48" s="96">
        <v>4</v>
      </c>
      <c r="F48" s="946"/>
      <c r="G48" s="95"/>
      <c r="H48" s="946"/>
    </row>
    <row r="49" spans="1:8" s="224" customFormat="1" x14ac:dyDescent="0.25">
      <c r="A49" s="215">
        <v>41561</v>
      </c>
      <c r="B49" s="349" t="s">
        <v>205</v>
      </c>
      <c r="C49" s="879" t="s">
        <v>12</v>
      </c>
      <c r="D49" s="983" t="s">
        <v>15</v>
      </c>
      <c r="E49" s="97">
        <v>20</v>
      </c>
      <c r="F49" s="1473"/>
      <c r="G49" s="252"/>
      <c r="H49" s="1473"/>
    </row>
    <row r="50" spans="1:8" x14ac:dyDescent="0.25">
      <c r="A50" s="215">
        <v>41562</v>
      </c>
      <c r="B50" s="349" t="s">
        <v>32</v>
      </c>
      <c r="C50" s="350" t="s">
        <v>12</v>
      </c>
      <c r="D50" s="141" t="s">
        <v>15</v>
      </c>
      <c r="E50" s="250">
        <v>10</v>
      </c>
      <c r="F50" s="946"/>
      <c r="G50" s="95"/>
      <c r="H50" s="946"/>
    </row>
    <row r="51" spans="1:8" x14ac:dyDescent="0.25">
      <c r="A51" s="215">
        <v>41562</v>
      </c>
      <c r="B51" s="349" t="s">
        <v>273</v>
      </c>
      <c r="C51" s="350" t="s">
        <v>12</v>
      </c>
      <c r="D51" s="141" t="s">
        <v>15</v>
      </c>
      <c r="E51" s="97">
        <v>5</v>
      </c>
      <c r="F51" s="946"/>
      <c r="G51" s="95"/>
      <c r="H51" s="946"/>
    </row>
    <row r="52" spans="1:8" s="224" customFormat="1" x14ac:dyDescent="0.25">
      <c r="A52" s="215">
        <v>41563</v>
      </c>
      <c r="B52" s="862" t="s">
        <v>32</v>
      </c>
      <c r="C52" s="350" t="s">
        <v>12</v>
      </c>
      <c r="D52" s="141" t="s">
        <v>15</v>
      </c>
      <c r="E52" s="97">
        <v>10</v>
      </c>
      <c r="F52" s="1473"/>
      <c r="G52" s="252"/>
      <c r="H52" s="1473"/>
    </row>
    <row r="53" spans="1:8" x14ac:dyDescent="0.25">
      <c r="A53" s="215">
        <v>41564</v>
      </c>
      <c r="B53" s="349" t="s">
        <v>205</v>
      </c>
      <c r="C53" s="350" t="s">
        <v>12</v>
      </c>
      <c r="D53" s="141" t="s">
        <v>15</v>
      </c>
      <c r="E53" s="97">
        <v>20</v>
      </c>
      <c r="F53" s="946"/>
      <c r="G53" s="95"/>
      <c r="H53" s="946"/>
    </row>
    <row r="54" spans="1:8" x14ac:dyDescent="0.25">
      <c r="A54" s="215">
        <v>41565</v>
      </c>
      <c r="B54" s="349" t="s">
        <v>274</v>
      </c>
      <c r="C54" s="350" t="s">
        <v>12</v>
      </c>
      <c r="D54" s="141" t="s">
        <v>15</v>
      </c>
      <c r="E54" s="97">
        <v>25</v>
      </c>
      <c r="F54" s="946"/>
      <c r="G54" s="95"/>
      <c r="H54" s="946"/>
    </row>
    <row r="55" spans="1:8" s="224" customFormat="1" x14ac:dyDescent="0.25">
      <c r="A55" s="215">
        <v>41565</v>
      </c>
      <c r="B55" s="862" t="s">
        <v>32</v>
      </c>
      <c r="C55" s="879" t="s">
        <v>12</v>
      </c>
      <c r="D55" s="887" t="s">
        <v>15</v>
      </c>
      <c r="E55" s="97">
        <v>5</v>
      </c>
      <c r="F55" s="1473"/>
      <c r="G55" s="252"/>
      <c r="H55" s="1473"/>
    </row>
    <row r="56" spans="1:8" s="224" customFormat="1" x14ac:dyDescent="0.25">
      <c r="A56" s="215">
        <v>41565</v>
      </c>
      <c r="B56" s="349" t="s">
        <v>275</v>
      </c>
      <c r="C56" s="350" t="s">
        <v>12</v>
      </c>
      <c r="D56" s="141" t="s">
        <v>25</v>
      </c>
      <c r="E56" s="250"/>
      <c r="F56" s="1473">
        <v>660</v>
      </c>
      <c r="G56" s="252"/>
      <c r="H56" s="1473"/>
    </row>
    <row r="57" spans="1:8" s="224" customFormat="1" x14ac:dyDescent="0.25">
      <c r="A57" s="215">
        <v>41565</v>
      </c>
      <c r="B57" s="349" t="s">
        <v>276</v>
      </c>
      <c r="C57" s="350" t="s">
        <v>12</v>
      </c>
      <c r="D57" s="141" t="s">
        <v>13</v>
      </c>
      <c r="E57" s="250">
        <v>150</v>
      </c>
      <c r="F57" s="1473"/>
      <c r="G57" s="252"/>
      <c r="H57" s="1473"/>
    </row>
    <row r="58" spans="1:8" s="224" customFormat="1" x14ac:dyDescent="0.25">
      <c r="A58" s="215">
        <v>41565</v>
      </c>
      <c r="B58" s="862" t="s">
        <v>260</v>
      </c>
      <c r="C58" s="350"/>
      <c r="D58" s="141"/>
      <c r="E58" s="97">
        <v>200</v>
      </c>
      <c r="F58" s="1473"/>
      <c r="G58" s="252"/>
      <c r="H58" s="1473">
        <v>200</v>
      </c>
    </row>
    <row r="59" spans="1:8" x14ac:dyDescent="0.25">
      <c r="A59" s="215">
        <v>41566</v>
      </c>
      <c r="B59" s="349" t="s">
        <v>277</v>
      </c>
      <c r="C59" s="350" t="s">
        <v>12</v>
      </c>
      <c r="D59" s="480" t="s">
        <v>15</v>
      </c>
      <c r="E59" s="97"/>
      <c r="F59" s="946">
        <v>100</v>
      </c>
      <c r="G59" s="516"/>
      <c r="H59" s="946"/>
    </row>
    <row r="60" spans="1:8" x14ac:dyDescent="0.25">
      <c r="A60" s="1052">
        <v>41566</v>
      </c>
      <c r="B60" s="862" t="s">
        <v>278</v>
      </c>
      <c r="C60" s="874" t="s">
        <v>12</v>
      </c>
      <c r="D60" s="864" t="s">
        <v>15</v>
      </c>
      <c r="E60" s="96">
        <v>10</v>
      </c>
      <c r="F60" s="1482"/>
      <c r="G60" s="516"/>
      <c r="H60" s="946"/>
    </row>
    <row r="61" spans="1:8" x14ac:dyDescent="0.25">
      <c r="A61" s="1052">
        <v>41566</v>
      </c>
      <c r="B61" s="873" t="s">
        <v>134</v>
      </c>
      <c r="C61" s="879" t="s">
        <v>12</v>
      </c>
      <c r="D61" s="1475" t="s">
        <v>15</v>
      </c>
      <c r="E61" s="97">
        <v>3</v>
      </c>
      <c r="F61" s="946"/>
      <c r="G61" s="95"/>
      <c r="H61" s="946"/>
    </row>
    <row r="62" spans="1:8" x14ac:dyDescent="0.25">
      <c r="A62" s="1052">
        <v>41567</v>
      </c>
      <c r="B62" s="873" t="s">
        <v>279</v>
      </c>
      <c r="C62" s="879" t="s">
        <v>12</v>
      </c>
      <c r="D62" s="1475" t="s">
        <v>15</v>
      </c>
      <c r="E62" s="97">
        <v>40</v>
      </c>
      <c r="F62" s="946"/>
      <c r="G62" s="516"/>
      <c r="H62" s="946"/>
    </row>
    <row r="63" spans="1:8" s="518" customFormat="1" x14ac:dyDescent="0.25">
      <c r="A63" s="1052">
        <v>41567</v>
      </c>
      <c r="B63" s="873" t="s">
        <v>134</v>
      </c>
      <c r="C63" s="879" t="s">
        <v>12</v>
      </c>
      <c r="D63" s="1475" t="s">
        <v>15</v>
      </c>
      <c r="E63" s="523">
        <v>3.5</v>
      </c>
      <c r="F63" s="524"/>
      <c r="G63" s="516"/>
      <c r="H63" s="524" t="s">
        <v>280</v>
      </c>
    </row>
    <row r="64" spans="1:8" s="224" customFormat="1" ht="15.75" customHeight="1" x14ac:dyDescent="0.25">
      <c r="A64" s="1052">
        <v>41568</v>
      </c>
      <c r="B64" s="862" t="s">
        <v>281</v>
      </c>
      <c r="C64" s="879" t="s">
        <v>12</v>
      </c>
      <c r="D64" s="1475" t="s">
        <v>15</v>
      </c>
      <c r="E64" s="97">
        <v>90</v>
      </c>
      <c r="F64" s="1473"/>
      <c r="G64" s="252"/>
      <c r="H64" s="1473"/>
    </row>
    <row r="65" spans="1:8" x14ac:dyDescent="0.25">
      <c r="A65" s="1052">
        <v>41568</v>
      </c>
      <c r="B65" s="873" t="s">
        <v>32</v>
      </c>
      <c r="C65" s="879" t="s">
        <v>12</v>
      </c>
      <c r="D65" s="1475" t="s">
        <v>15</v>
      </c>
      <c r="E65" s="97">
        <v>10</v>
      </c>
      <c r="F65" s="946"/>
      <c r="G65" s="95"/>
      <c r="H65" s="946"/>
    </row>
    <row r="66" spans="1:8" x14ac:dyDescent="0.25">
      <c r="A66" s="1052">
        <v>41568</v>
      </c>
      <c r="B66" s="873" t="s">
        <v>196</v>
      </c>
      <c r="C66" s="879" t="s">
        <v>12</v>
      </c>
      <c r="D66" s="1475" t="s">
        <v>15</v>
      </c>
      <c r="E66" s="97">
        <v>13</v>
      </c>
      <c r="F66" s="946"/>
      <c r="G66" s="95"/>
      <c r="H66" s="946"/>
    </row>
    <row r="67" spans="1:8" s="224" customFormat="1" x14ac:dyDescent="0.25">
      <c r="A67" s="215">
        <v>41568</v>
      </c>
      <c r="B67" s="862" t="s">
        <v>260</v>
      </c>
      <c r="C67" s="350"/>
      <c r="D67" s="141"/>
      <c r="E67" s="97">
        <v>50</v>
      </c>
      <c r="F67" s="1473"/>
      <c r="G67" s="252"/>
      <c r="H67" s="1473">
        <v>50</v>
      </c>
    </row>
    <row r="68" spans="1:8" x14ac:dyDescent="0.25">
      <c r="A68" s="215">
        <v>41569</v>
      </c>
      <c r="B68" s="349" t="s">
        <v>32</v>
      </c>
      <c r="C68" s="350" t="s">
        <v>12</v>
      </c>
      <c r="D68" s="141" t="s">
        <v>15</v>
      </c>
      <c r="E68" s="97">
        <v>5</v>
      </c>
      <c r="F68" s="946"/>
      <c r="G68" s="95"/>
      <c r="H68" s="946"/>
    </row>
    <row r="69" spans="1:8" x14ac:dyDescent="0.25">
      <c r="A69" s="215">
        <v>41569</v>
      </c>
      <c r="B69" s="349" t="s">
        <v>205</v>
      </c>
      <c r="C69" s="350" t="s">
        <v>12</v>
      </c>
      <c r="D69" s="141" t="s">
        <v>15</v>
      </c>
      <c r="E69" s="97">
        <v>20</v>
      </c>
      <c r="F69" s="946"/>
      <c r="G69" s="95"/>
      <c r="H69" s="946"/>
    </row>
    <row r="70" spans="1:8" x14ac:dyDescent="0.25">
      <c r="A70" s="215">
        <v>41570</v>
      </c>
      <c r="B70" s="349" t="s">
        <v>32</v>
      </c>
      <c r="C70" s="350" t="s">
        <v>12</v>
      </c>
      <c r="D70" s="141" t="s">
        <v>13</v>
      </c>
      <c r="E70" s="97">
        <v>10</v>
      </c>
      <c r="F70" s="946"/>
      <c r="G70" s="95"/>
      <c r="H70" s="946"/>
    </row>
    <row r="71" spans="1:8" x14ac:dyDescent="0.25">
      <c r="A71" s="215">
        <v>41570</v>
      </c>
      <c r="B71" s="349" t="s">
        <v>14</v>
      </c>
      <c r="C71" s="350" t="s">
        <v>12</v>
      </c>
      <c r="D71" s="141" t="s">
        <v>15</v>
      </c>
      <c r="E71" s="97">
        <v>2</v>
      </c>
      <c r="F71" s="946"/>
      <c r="G71" s="95"/>
      <c r="H71" s="946"/>
    </row>
    <row r="72" spans="1:8" x14ac:dyDescent="0.25">
      <c r="A72" s="215">
        <v>41571</v>
      </c>
      <c r="B72" s="349" t="s">
        <v>32</v>
      </c>
      <c r="C72" s="350" t="s">
        <v>12</v>
      </c>
      <c r="D72" s="141" t="s">
        <v>13</v>
      </c>
      <c r="E72" s="97">
        <v>10</v>
      </c>
      <c r="F72" s="946"/>
      <c r="G72" s="95"/>
      <c r="H72" s="946"/>
    </row>
    <row r="73" spans="1:8" x14ac:dyDescent="0.25">
      <c r="A73" s="215">
        <v>41571</v>
      </c>
      <c r="B73" s="349" t="s">
        <v>190</v>
      </c>
      <c r="C73" s="350" t="s">
        <v>12</v>
      </c>
      <c r="D73" s="141" t="s">
        <v>15</v>
      </c>
      <c r="E73" s="97">
        <v>36</v>
      </c>
      <c r="F73" s="946"/>
      <c r="G73" s="95"/>
      <c r="H73" s="946"/>
    </row>
    <row r="74" spans="1:8" x14ac:dyDescent="0.25">
      <c r="A74" s="215">
        <v>41572</v>
      </c>
      <c r="B74" s="349" t="s">
        <v>32</v>
      </c>
      <c r="C74" s="350" t="s">
        <v>12</v>
      </c>
      <c r="D74" s="141" t="s">
        <v>15</v>
      </c>
      <c r="E74" s="97">
        <v>5</v>
      </c>
      <c r="F74" s="946"/>
      <c r="G74" s="95"/>
      <c r="H74" s="946"/>
    </row>
    <row r="75" spans="1:8" x14ac:dyDescent="0.25">
      <c r="A75" s="215">
        <v>41572</v>
      </c>
      <c r="B75" s="349" t="s">
        <v>282</v>
      </c>
      <c r="C75" s="350" t="s">
        <v>12</v>
      </c>
      <c r="D75" s="141" t="s">
        <v>13</v>
      </c>
      <c r="E75" s="97">
        <v>200</v>
      </c>
      <c r="F75" s="946"/>
      <c r="G75" s="95"/>
      <c r="H75" s="946"/>
    </row>
    <row r="76" spans="1:8" x14ac:dyDescent="0.25">
      <c r="A76" s="215">
        <v>41572</v>
      </c>
      <c r="B76" s="349" t="s">
        <v>205</v>
      </c>
      <c r="C76" s="350" t="s">
        <v>12</v>
      </c>
      <c r="D76" s="141" t="s">
        <v>13</v>
      </c>
      <c r="E76" s="97">
        <v>20</v>
      </c>
      <c r="F76" s="946"/>
      <c r="G76" s="95"/>
      <c r="H76" s="946"/>
    </row>
    <row r="77" spans="1:8" s="224" customFormat="1" x14ac:dyDescent="0.25">
      <c r="A77" s="215">
        <v>41572</v>
      </c>
      <c r="B77" s="862" t="s">
        <v>256</v>
      </c>
      <c r="C77" s="350"/>
      <c r="D77" s="141"/>
      <c r="E77" s="97"/>
      <c r="F77" s="1473">
        <v>200</v>
      </c>
      <c r="G77" s="252">
        <v>200</v>
      </c>
      <c r="H77" s="1473"/>
    </row>
    <row r="78" spans="1:8" s="224" customFormat="1" x14ac:dyDescent="0.25">
      <c r="A78" s="215">
        <v>41572</v>
      </c>
      <c r="B78" s="862" t="s">
        <v>80</v>
      </c>
      <c r="C78" s="350" t="s">
        <v>12</v>
      </c>
      <c r="D78" s="141" t="s">
        <v>15</v>
      </c>
      <c r="E78" s="97">
        <v>17</v>
      </c>
      <c r="F78" s="1473"/>
      <c r="G78" s="252"/>
      <c r="H78" s="1473"/>
    </row>
    <row r="79" spans="1:8" x14ac:dyDescent="0.25">
      <c r="A79" s="215">
        <v>41573</v>
      </c>
      <c r="B79" s="349" t="s">
        <v>14</v>
      </c>
      <c r="C79" s="350" t="s">
        <v>12</v>
      </c>
      <c r="D79" s="141" t="s">
        <v>13</v>
      </c>
      <c r="E79" s="97">
        <v>4</v>
      </c>
      <c r="F79" s="946"/>
      <c r="G79" s="95"/>
      <c r="H79" s="946"/>
    </row>
    <row r="80" spans="1:8" x14ac:dyDescent="0.25">
      <c r="A80" s="215">
        <v>41573</v>
      </c>
      <c r="B80" s="349" t="s">
        <v>134</v>
      </c>
      <c r="C80" s="350" t="s">
        <v>12</v>
      </c>
      <c r="D80" s="141" t="s">
        <v>13</v>
      </c>
      <c r="E80" s="97">
        <v>14.95</v>
      </c>
      <c r="F80" s="946"/>
      <c r="G80" s="95"/>
      <c r="H80" s="946"/>
    </row>
    <row r="81" spans="1:8" s="224" customFormat="1" x14ac:dyDescent="0.25">
      <c r="A81" s="215">
        <v>41574</v>
      </c>
      <c r="B81" s="862" t="s">
        <v>14</v>
      </c>
      <c r="C81" s="879" t="s">
        <v>12</v>
      </c>
      <c r="D81" s="887" t="s">
        <v>15</v>
      </c>
      <c r="E81" s="250">
        <v>4</v>
      </c>
      <c r="F81" s="1473"/>
      <c r="G81" s="252"/>
      <c r="H81" s="1473"/>
    </row>
    <row r="82" spans="1:8" s="224" customFormat="1" x14ac:dyDescent="0.25">
      <c r="A82" s="215">
        <v>41575</v>
      </c>
      <c r="B82" s="862" t="s">
        <v>32</v>
      </c>
      <c r="C82" s="105" t="s">
        <v>12</v>
      </c>
      <c r="D82" s="887" t="s">
        <v>13</v>
      </c>
      <c r="E82" s="250">
        <v>10</v>
      </c>
      <c r="F82" s="1473"/>
      <c r="G82" s="252"/>
      <c r="H82" s="1473"/>
    </row>
    <row r="83" spans="1:8" s="224" customFormat="1" x14ac:dyDescent="0.25">
      <c r="A83" s="215">
        <v>41575</v>
      </c>
      <c r="B83" s="862" t="s">
        <v>256</v>
      </c>
      <c r="C83" s="350"/>
      <c r="D83" s="141"/>
      <c r="E83" s="97"/>
      <c r="F83" s="1473">
        <v>200</v>
      </c>
      <c r="G83" s="252">
        <v>200</v>
      </c>
      <c r="H83" s="1473"/>
    </row>
    <row r="84" spans="1:8" x14ac:dyDescent="0.25">
      <c r="A84" s="215">
        <v>41575</v>
      </c>
      <c r="B84" s="349" t="s">
        <v>283</v>
      </c>
      <c r="C84" s="350" t="s">
        <v>19</v>
      </c>
      <c r="D84" s="141" t="s">
        <v>13</v>
      </c>
      <c r="E84" s="97">
        <v>227</v>
      </c>
      <c r="F84" s="946"/>
      <c r="G84" s="95"/>
      <c r="H84" s="946"/>
    </row>
    <row r="85" spans="1:8" x14ac:dyDescent="0.25">
      <c r="A85" s="215">
        <v>41575</v>
      </c>
      <c r="B85" s="349" t="s">
        <v>205</v>
      </c>
      <c r="C85" s="350" t="s">
        <v>12</v>
      </c>
      <c r="D85" s="141" t="s">
        <v>13</v>
      </c>
      <c r="E85" s="97">
        <v>10</v>
      </c>
      <c r="F85" s="946"/>
      <c r="G85" s="95"/>
      <c r="H85" s="946"/>
    </row>
    <row r="86" spans="1:8" s="224" customFormat="1" x14ac:dyDescent="0.25">
      <c r="A86" s="215">
        <v>41576</v>
      </c>
      <c r="B86" s="862" t="s">
        <v>32</v>
      </c>
      <c r="C86" s="105" t="s">
        <v>12</v>
      </c>
      <c r="D86" s="887" t="s">
        <v>15</v>
      </c>
      <c r="E86" s="250">
        <v>5.25</v>
      </c>
      <c r="F86" s="1473"/>
      <c r="G86" s="252"/>
      <c r="H86" s="1473"/>
    </row>
    <row r="87" spans="1:8" s="224" customFormat="1" x14ac:dyDescent="0.25">
      <c r="A87" s="215">
        <v>41576</v>
      </c>
      <c r="B87" s="862" t="s">
        <v>205</v>
      </c>
      <c r="C87" s="105" t="s">
        <v>12</v>
      </c>
      <c r="D87" s="887" t="s">
        <v>15</v>
      </c>
      <c r="E87" s="250">
        <v>10</v>
      </c>
      <c r="F87" s="1473"/>
      <c r="G87" s="252"/>
      <c r="H87" s="1473"/>
    </row>
    <row r="88" spans="1:8" s="224" customFormat="1" x14ac:dyDescent="0.25">
      <c r="A88" s="215">
        <v>41576</v>
      </c>
      <c r="B88" s="862" t="s">
        <v>14</v>
      </c>
      <c r="C88" s="105" t="s">
        <v>12</v>
      </c>
      <c r="D88" s="887" t="s">
        <v>15</v>
      </c>
      <c r="E88" s="250">
        <v>2.5</v>
      </c>
      <c r="F88" s="1473"/>
      <c r="G88" s="252"/>
      <c r="H88" s="1473"/>
    </row>
    <row r="89" spans="1:8" s="224" customFormat="1" x14ac:dyDescent="0.25">
      <c r="A89" s="215">
        <v>41577</v>
      </c>
      <c r="B89" s="862" t="s">
        <v>32</v>
      </c>
      <c r="C89" s="879" t="s">
        <v>12</v>
      </c>
      <c r="D89" s="887" t="s">
        <v>15</v>
      </c>
      <c r="E89" s="250">
        <v>5</v>
      </c>
      <c r="F89" s="1473"/>
      <c r="G89" s="252"/>
      <c r="H89" s="1473"/>
    </row>
    <row r="90" spans="1:8" s="224" customFormat="1" x14ac:dyDescent="0.25">
      <c r="A90" s="215">
        <v>41577</v>
      </c>
      <c r="B90" s="862" t="s">
        <v>205</v>
      </c>
      <c r="C90" s="879" t="s">
        <v>12</v>
      </c>
      <c r="D90" s="887" t="s">
        <v>15</v>
      </c>
      <c r="E90" s="250">
        <v>20</v>
      </c>
      <c r="F90" s="1473"/>
      <c r="G90" s="252"/>
      <c r="H90" s="1473"/>
    </row>
    <row r="91" spans="1:8" s="224" customFormat="1" x14ac:dyDescent="0.25">
      <c r="A91" s="215">
        <v>41578</v>
      </c>
      <c r="B91" s="862" t="s">
        <v>32</v>
      </c>
      <c r="C91" s="879" t="s">
        <v>12</v>
      </c>
      <c r="D91" s="887" t="s">
        <v>15</v>
      </c>
      <c r="E91" s="250">
        <v>5</v>
      </c>
      <c r="F91" s="1473"/>
      <c r="G91" s="252"/>
      <c r="H91" s="1473"/>
    </row>
    <row r="92" spans="1:8" s="224" customFormat="1" ht="15.75" thickBot="1" x14ac:dyDescent="0.3">
      <c r="A92" s="215">
        <v>41578</v>
      </c>
      <c r="B92" s="862" t="s">
        <v>284</v>
      </c>
      <c r="C92" s="879" t="s">
        <v>12</v>
      </c>
      <c r="D92" s="887" t="s">
        <v>25</v>
      </c>
      <c r="E92" s="250"/>
      <c r="F92" s="1473">
        <v>1939.46</v>
      </c>
      <c r="G92" s="252"/>
      <c r="H92" s="1473"/>
    </row>
    <row r="93" spans="1:8" ht="25.5" customHeight="1" thickBot="1" x14ac:dyDescent="0.3">
      <c r="A93" s="3060"/>
      <c r="B93" s="3061"/>
      <c r="C93" s="3062"/>
      <c r="D93" s="3062"/>
      <c r="E93" s="100">
        <f>SUM(E5:E92)</f>
        <v>2766.35</v>
      </c>
      <c r="F93" s="1065" t="e">
        <f>SUM(F5:F92)</f>
        <v>#REF!</v>
      </c>
      <c r="G93" s="101">
        <f>SUM(G5:G92)</f>
        <v>1000</v>
      </c>
      <c r="H93" s="1065">
        <f>SUM(H5:H92)</f>
        <v>2403.56</v>
      </c>
    </row>
    <row r="94" spans="1:8" ht="25.5" customHeight="1" thickBot="1" x14ac:dyDescent="0.3">
      <c r="A94" s="3077" t="s">
        <v>49</v>
      </c>
      <c r="B94" s="3078"/>
      <c r="C94" s="3078"/>
      <c r="D94" s="3078"/>
      <c r="E94" s="102"/>
      <c r="F94" s="1478" t="e">
        <f>F93-E93</f>
        <v>#REF!</v>
      </c>
      <c r="G94" s="104"/>
      <c r="H94" s="1478">
        <f>H93-G93</f>
        <v>1403.56</v>
      </c>
    </row>
    <row r="96" spans="1:8" x14ac:dyDescent="0.25">
      <c r="B96" s="79" t="s">
        <v>32</v>
      </c>
      <c r="C96" s="484">
        <v>158</v>
      </c>
      <c r="H96" s="867"/>
    </row>
    <row r="97" spans="1:8" x14ac:dyDescent="0.25">
      <c r="B97" s="79" t="s">
        <v>16</v>
      </c>
      <c r="C97" s="484">
        <v>180</v>
      </c>
      <c r="H97" s="867"/>
    </row>
    <row r="98" spans="1:8" x14ac:dyDescent="0.25">
      <c r="B98" s="79" t="s">
        <v>50</v>
      </c>
      <c r="C98" s="484">
        <v>46.32</v>
      </c>
      <c r="H98" s="867"/>
    </row>
    <row r="99" spans="1:8" s="85" customFormat="1" x14ac:dyDescent="0.25">
      <c r="A99" s="79"/>
      <c r="B99" s="79" t="s">
        <v>14</v>
      </c>
      <c r="C99" s="475">
        <v>21.4</v>
      </c>
      <c r="E99" s="89"/>
      <c r="F99" s="79"/>
      <c r="G99" s="79"/>
      <c r="H99" s="867"/>
    </row>
    <row r="100" spans="1:8" s="85" customFormat="1" x14ac:dyDescent="0.25">
      <c r="A100" s="79"/>
      <c r="B100" s="79" t="s">
        <v>51</v>
      </c>
      <c r="C100" s="475">
        <v>72.739999999999995</v>
      </c>
      <c r="E100" s="89"/>
      <c r="F100" s="79"/>
      <c r="G100" s="79"/>
      <c r="H100" s="867"/>
    </row>
    <row r="101" spans="1:8" s="85" customFormat="1" x14ac:dyDescent="0.25">
      <c r="A101" s="79"/>
      <c r="B101" s="79" t="s">
        <v>52</v>
      </c>
      <c r="C101" s="475">
        <v>50</v>
      </c>
      <c r="E101" s="89"/>
      <c r="F101" s="79"/>
      <c r="G101" s="79"/>
      <c r="H101" s="867"/>
    </row>
    <row r="102" spans="1:8" s="85" customFormat="1" x14ac:dyDescent="0.25">
      <c r="A102" s="79"/>
      <c r="B102" s="867" t="s">
        <v>53</v>
      </c>
      <c r="C102" s="475">
        <v>591.5</v>
      </c>
      <c r="E102" s="89"/>
      <c r="F102" s="79"/>
      <c r="G102" s="79"/>
      <c r="H102" s="867"/>
    </row>
    <row r="103" spans="1:8" s="85" customFormat="1" x14ac:dyDescent="0.25">
      <c r="A103" s="79"/>
      <c r="B103" s="79" t="s">
        <v>56</v>
      </c>
      <c r="C103" s="475">
        <v>40</v>
      </c>
      <c r="E103" s="89"/>
      <c r="F103" s="79"/>
      <c r="G103" s="79"/>
      <c r="H103" s="867"/>
    </row>
    <row r="104" spans="1:8" s="85" customFormat="1" x14ac:dyDescent="0.25">
      <c r="A104" s="79"/>
      <c r="B104" s="79" t="s">
        <v>57</v>
      </c>
      <c r="C104" s="475">
        <v>202.61</v>
      </c>
      <c r="E104" s="89"/>
      <c r="F104" s="79"/>
      <c r="G104" s="79"/>
      <c r="H104" s="867"/>
    </row>
  </sheetData>
  <autoFilter ref="A2:H94" xr:uid="{00000000-0009-0000-0000-000009000000}">
    <filterColumn colId="4" showButton="0"/>
    <filterColumn colId="6" showButton="0"/>
  </autoFilter>
  <mergeCells count="10">
    <mergeCell ref="A93:D93"/>
    <mergeCell ref="A94:D9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38"/>
  <dimension ref="A1:H86"/>
  <sheetViews>
    <sheetView zoomScale="90" zoomScaleNormal="90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1.28515625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285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41579</v>
      </c>
      <c r="B5" s="369" t="s">
        <v>10</v>
      </c>
      <c r="C5" s="370"/>
      <c r="D5" s="207"/>
      <c r="E5" s="179"/>
      <c r="F5" s="933" t="e">
        <f>'Outubro-13'!F94</f>
        <v>#REF!</v>
      </c>
      <c r="G5" s="179"/>
      <c r="H5" s="98">
        <f>'Outubro-13'!H94</f>
        <v>1403.56</v>
      </c>
    </row>
    <row r="6" spans="1:8" s="224" customFormat="1" x14ac:dyDescent="0.25">
      <c r="A6" s="215">
        <v>41579</v>
      </c>
      <c r="B6" s="348" t="s">
        <v>11</v>
      </c>
      <c r="C6" s="351"/>
      <c r="D6" s="248"/>
      <c r="E6" s="250">
        <v>30.5</v>
      </c>
      <c r="F6" s="1473"/>
      <c r="G6" s="250"/>
      <c r="H6" s="251"/>
    </row>
    <row r="7" spans="1:8" s="224" customFormat="1" ht="15.75" customHeight="1" x14ac:dyDescent="0.25">
      <c r="A7" s="215">
        <v>41579</v>
      </c>
      <c r="B7" s="862" t="s">
        <v>286</v>
      </c>
      <c r="C7" s="350" t="s">
        <v>12</v>
      </c>
      <c r="D7" s="141" t="s">
        <v>13</v>
      </c>
      <c r="E7" s="97">
        <v>302.19</v>
      </c>
      <c r="F7" s="1473"/>
      <c r="G7" s="252"/>
      <c r="H7" s="1473"/>
    </row>
    <row r="8" spans="1:8" s="224" customFormat="1" x14ac:dyDescent="0.25">
      <c r="A8" s="215">
        <v>41579</v>
      </c>
      <c r="B8" s="862" t="s">
        <v>260</v>
      </c>
      <c r="C8" s="350"/>
      <c r="D8" s="141"/>
      <c r="E8" s="97">
        <v>1000</v>
      </c>
      <c r="F8" s="1473"/>
      <c r="G8" s="252"/>
      <c r="H8" s="1473">
        <v>1000</v>
      </c>
    </row>
    <row r="9" spans="1:8" s="224" customFormat="1" x14ac:dyDescent="0.25">
      <c r="A9" s="215">
        <v>41579</v>
      </c>
      <c r="B9" s="873" t="s">
        <v>32</v>
      </c>
      <c r="C9" s="879" t="s">
        <v>12</v>
      </c>
      <c r="D9" s="887" t="s">
        <v>15</v>
      </c>
      <c r="E9" s="250">
        <v>10</v>
      </c>
      <c r="F9" s="1473"/>
      <c r="G9" s="250"/>
      <c r="H9" s="251"/>
    </row>
    <row r="10" spans="1:8" s="224" customFormat="1" x14ac:dyDescent="0.25">
      <c r="A10" s="215">
        <v>41579</v>
      </c>
      <c r="B10" s="873" t="s">
        <v>287</v>
      </c>
      <c r="C10" s="879" t="s">
        <v>12</v>
      </c>
      <c r="D10" s="887" t="s">
        <v>15</v>
      </c>
      <c r="E10" s="250">
        <v>300</v>
      </c>
      <c r="F10" s="1473"/>
      <c r="G10" s="250"/>
      <c r="H10" s="251"/>
    </row>
    <row r="11" spans="1:8" s="224" customFormat="1" x14ac:dyDescent="0.25">
      <c r="A11" s="215">
        <v>41580</v>
      </c>
      <c r="B11" s="873" t="s">
        <v>14</v>
      </c>
      <c r="C11" s="879" t="s">
        <v>12</v>
      </c>
      <c r="D11" s="887" t="s">
        <v>15</v>
      </c>
      <c r="E11" s="250">
        <v>6</v>
      </c>
      <c r="F11" s="1473"/>
      <c r="G11" s="250"/>
      <c r="H11" s="251"/>
    </row>
    <row r="12" spans="1:8" s="224" customFormat="1" x14ac:dyDescent="0.25">
      <c r="A12" s="215">
        <v>41581</v>
      </c>
      <c r="B12" s="873" t="s">
        <v>138</v>
      </c>
      <c r="C12" s="879" t="s">
        <v>12</v>
      </c>
      <c r="D12" s="887" t="s">
        <v>15</v>
      </c>
      <c r="E12" s="250">
        <v>20</v>
      </c>
      <c r="F12" s="1473"/>
      <c r="G12" s="250"/>
      <c r="H12" s="251"/>
    </row>
    <row r="13" spans="1:8" s="224" customFormat="1" x14ac:dyDescent="0.25">
      <c r="A13" s="215">
        <v>41581</v>
      </c>
      <c r="B13" s="873" t="s">
        <v>134</v>
      </c>
      <c r="C13" s="879" t="s">
        <v>12</v>
      </c>
      <c r="D13" s="887" t="s">
        <v>15</v>
      </c>
      <c r="E13" s="250">
        <v>4</v>
      </c>
      <c r="F13" s="1473"/>
      <c r="G13" s="250"/>
      <c r="H13" s="251"/>
    </row>
    <row r="14" spans="1:8" s="224" customFormat="1" x14ac:dyDescent="0.25">
      <c r="A14" s="215">
        <v>41582</v>
      </c>
      <c r="B14" s="873" t="s">
        <v>32</v>
      </c>
      <c r="C14" s="879" t="s">
        <v>12</v>
      </c>
      <c r="D14" s="887" t="s">
        <v>15</v>
      </c>
      <c r="E14" s="250">
        <v>10</v>
      </c>
      <c r="F14" s="1473"/>
      <c r="G14" s="250"/>
      <c r="H14" s="526"/>
    </row>
    <row r="15" spans="1:8" s="224" customFormat="1" x14ac:dyDescent="0.25">
      <c r="A15" s="215">
        <v>41583</v>
      </c>
      <c r="B15" s="349" t="s">
        <v>32</v>
      </c>
      <c r="C15" s="879" t="s">
        <v>12</v>
      </c>
      <c r="D15" s="983" t="s">
        <v>15</v>
      </c>
      <c r="E15" s="250">
        <v>5</v>
      </c>
      <c r="F15" s="1473"/>
      <c r="G15" s="250"/>
      <c r="H15" s="251"/>
    </row>
    <row r="16" spans="1:8" s="224" customFormat="1" x14ac:dyDescent="0.25">
      <c r="A16" s="215">
        <v>41583</v>
      </c>
      <c r="B16" s="349" t="s">
        <v>138</v>
      </c>
      <c r="C16" s="879" t="s">
        <v>12</v>
      </c>
      <c r="D16" s="983" t="s">
        <v>13</v>
      </c>
      <c r="E16" s="250">
        <v>20</v>
      </c>
      <c r="F16" s="1473"/>
      <c r="G16" s="250"/>
      <c r="H16" s="251"/>
    </row>
    <row r="17" spans="1:8" s="224" customFormat="1" x14ac:dyDescent="0.25">
      <c r="A17" s="215">
        <v>41583</v>
      </c>
      <c r="B17" s="349" t="s">
        <v>14</v>
      </c>
      <c r="C17" s="879" t="s">
        <v>12</v>
      </c>
      <c r="D17" s="983" t="s">
        <v>15</v>
      </c>
      <c r="E17" s="250">
        <v>2.6</v>
      </c>
      <c r="F17" s="1473"/>
      <c r="G17" s="250"/>
      <c r="H17" s="251"/>
    </row>
    <row r="18" spans="1:8" s="224" customFormat="1" x14ac:dyDescent="0.25">
      <c r="A18" s="215">
        <v>41584</v>
      </c>
      <c r="B18" s="882" t="s">
        <v>32</v>
      </c>
      <c r="C18" s="879" t="s">
        <v>12</v>
      </c>
      <c r="D18" s="887" t="s">
        <v>15</v>
      </c>
      <c r="E18" s="250">
        <v>6.25</v>
      </c>
      <c r="F18" s="1473"/>
      <c r="G18" s="250"/>
      <c r="H18" s="251"/>
    </row>
    <row r="19" spans="1:8" s="224" customFormat="1" x14ac:dyDescent="0.25">
      <c r="A19" s="215">
        <v>41585</v>
      </c>
      <c r="B19" s="882" t="s">
        <v>32</v>
      </c>
      <c r="C19" s="879" t="s">
        <v>12</v>
      </c>
      <c r="D19" s="887" t="s">
        <v>15</v>
      </c>
      <c r="E19" s="250">
        <v>10</v>
      </c>
      <c r="F19" s="1473"/>
      <c r="G19" s="250"/>
      <c r="H19" s="251"/>
    </row>
    <row r="20" spans="1:8" s="224" customFormat="1" x14ac:dyDescent="0.25">
      <c r="A20" s="215">
        <v>41585</v>
      </c>
      <c r="B20" s="862" t="s">
        <v>260</v>
      </c>
      <c r="C20" s="879"/>
      <c r="D20" s="141"/>
      <c r="E20" s="97">
        <v>200</v>
      </c>
      <c r="F20" s="1473"/>
      <c r="G20" s="252"/>
      <c r="H20" s="1473">
        <v>200</v>
      </c>
    </row>
    <row r="21" spans="1:8" s="224" customFormat="1" x14ac:dyDescent="0.25">
      <c r="A21" s="215">
        <v>41585</v>
      </c>
      <c r="B21" s="349" t="s">
        <v>288</v>
      </c>
      <c r="C21" s="879" t="s">
        <v>12</v>
      </c>
      <c r="D21" s="983" t="s">
        <v>25</v>
      </c>
      <c r="E21" s="250"/>
      <c r="F21" s="1473">
        <v>833.27</v>
      </c>
      <c r="G21" s="250"/>
      <c r="H21" s="251"/>
    </row>
    <row r="22" spans="1:8" s="536" customFormat="1" x14ac:dyDescent="0.25">
      <c r="A22" s="533">
        <v>41585</v>
      </c>
      <c r="B22" s="1484" t="s">
        <v>289</v>
      </c>
      <c r="C22" s="1485"/>
      <c r="D22" s="1486"/>
      <c r="E22" s="534">
        <v>36.78</v>
      </c>
      <c r="F22" s="1487"/>
      <c r="G22" s="534"/>
      <c r="H22" s="535"/>
    </row>
    <row r="23" spans="1:8" s="224" customFormat="1" x14ac:dyDescent="0.25">
      <c r="A23" s="215">
        <v>41585</v>
      </c>
      <c r="B23" s="882" t="s">
        <v>290</v>
      </c>
      <c r="C23" s="350" t="s">
        <v>12</v>
      </c>
      <c r="D23" s="887" t="s">
        <v>15</v>
      </c>
      <c r="E23" s="97">
        <v>34.39</v>
      </c>
      <c r="F23" s="1473"/>
      <c r="G23" s="250"/>
      <c r="H23" s="251"/>
    </row>
    <row r="24" spans="1:8" s="224" customFormat="1" x14ac:dyDescent="0.25">
      <c r="A24" s="215">
        <v>41585</v>
      </c>
      <c r="B24" s="862" t="s">
        <v>31</v>
      </c>
      <c r="C24" s="350"/>
      <c r="D24" s="957"/>
      <c r="E24" s="97">
        <v>50</v>
      </c>
      <c r="F24" s="1473"/>
      <c r="G24" s="250"/>
      <c r="H24" s="251"/>
    </row>
    <row r="25" spans="1:8" s="224" customFormat="1" ht="15.75" customHeight="1" x14ac:dyDescent="0.25">
      <c r="A25" s="215">
        <v>41585</v>
      </c>
      <c r="B25" s="1483" t="s">
        <v>264</v>
      </c>
      <c r="C25" s="350" t="s">
        <v>12</v>
      </c>
      <c r="D25" s="141" t="s">
        <v>15</v>
      </c>
      <c r="E25" s="97">
        <v>60</v>
      </c>
      <c r="F25" s="1473"/>
      <c r="G25" s="250"/>
      <c r="H25" s="251"/>
    </row>
    <row r="26" spans="1:8" s="224" customFormat="1" ht="15.75" customHeight="1" x14ac:dyDescent="0.25">
      <c r="A26" s="215">
        <v>41585</v>
      </c>
      <c r="B26" s="862" t="s">
        <v>80</v>
      </c>
      <c r="C26" s="350" t="s">
        <v>12</v>
      </c>
      <c r="D26" s="141" t="s">
        <v>15</v>
      </c>
      <c r="E26" s="97">
        <v>20</v>
      </c>
      <c r="F26" s="1473"/>
      <c r="G26" s="250"/>
      <c r="H26" s="251"/>
    </row>
    <row r="27" spans="1:8" s="224" customFormat="1" x14ac:dyDescent="0.25">
      <c r="A27" s="215">
        <v>41585</v>
      </c>
      <c r="B27" s="862" t="s">
        <v>260</v>
      </c>
      <c r="C27" s="879"/>
      <c r="D27" s="141"/>
      <c r="E27" s="97">
        <v>50</v>
      </c>
      <c r="F27" s="1473"/>
      <c r="G27" s="252"/>
      <c r="H27" s="1473">
        <v>50</v>
      </c>
    </row>
    <row r="28" spans="1:8" s="224" customFormat="1" x14ac:dyDescent="0.25">
      <c r="A28" s="215">
        <v>41586</v>
      </c>
      <c r="B28" s="882" t="s">
        <v>32</v>
      </c>
      <c r="C28" s="879" t="s">
        <v>12</v>
      </c>
      <c r="D28" s="887" t="s">
        <v>15</v>
      </c>
      <c r="E28" s="250">
        <v>6.25</v>
      </c>
      <c r="F28" s="1473"/>
      <c r="G28" s="250"/>
      <c r="H28" s="251"/>
    </row>
    <row r="29" spans="1:8" s="224" customFormat="1" x14ac:dyDescent="0.25">
      <c r="A29" s="215">
        <v>41586</v>
      </c>
      <c r="B29" s="882" t="s">
        <v>138</v>
      </c>
      <c r="C29" s="879" t="s">
        <v>12</v>
      </c>
      <c r="D29" s="887" t="s">
        <v>13</v>
      </c>
      <c r="E29" s="250">
        <v>20</v>
      </c>
      <c r="F29" s="1473"/>
      <c r="G29" s="250"/>
      <c r="H29" s="251"/>
    </row>
    <row r="30" spans="1:8" s="224" customFormat="1" x14ac:dyDescent="0.25">
      <c r="A30" s="215">
        <v>41586</v>
      </c>
      <c r="B30" s="882" t="s">
        <v>14</v>
      </c>
      <c r="C30" s="879" t="s">
        <v>12</v>
      </c>
      <c r="D30" s="887" t="s">
        <v>15</v>
      </c>
      <c r="E30" s="250">
        <v>2.5</v>
      </c>
      <c r="F30" s="1473"/>
      <c r="G30" s="250"/>
      <c r="H30" s="251"/>
    </row>
    <row r="31" spans="1:8" s="224" customFormat="1" x14ac:dyDescent="0.25">
      <c r="A31" s="215">
        <v>41587</v>
      </c>
      <c r="B31" s="882" t="s">
        <v>291</v>
      </c>
      <c r="C31" s="879" t="s">
        <v>12</v>
      </c>
      <c r="D31" s="887" t="s">
        <v>13</v>
      </c>
      <c r="E31" s="250">
        <v>30</v>
      </c>
      <c r="F31" s="1473"/>
      <c r="G31" s="250"/>
      <c r="H31" s="251"/>
    </row>
    <row r="32" spans="1:8" s="224" customFormat="1" x14ac:dyDescent="0.25">
      <c r="A32" s="215">
        <v>41587</v>
      </c>
      <c r="B32" s="882" t="s">
        <v>292</v>
      </c>
      <c r="C32" s="879" t="s">
        <v>12</v>
      </c>
      <c r="D32" s="887" t="s">
        <v>13</v>
      </c>
      <c r="E32" s="250">
        <v>2</v>
      </c>
      <c r="F32" s="1473"/>
      <c r="G32" s="250"/>
      <c r="H32" s="251"/>
    </row>
    <row r="33" spans="1:8" s="224" customFormat="1" x14ac:dyDescent="0.25">
      <c r="A33" s="215">
        <v>41587</v>
      </c>
      <c r="B33" s="882" t="s">
        <v>293</v>
      </c>
      <c r="C33" s="879" t="s">
        <v>12</v>
      </c>
      <c r="D33" s="887" t="s">
        <v>13</v>
      </c>
      <c r="E33" s="250">
        <v>25</v>
      </c>
      <c r="F33" s="1473"/>
      <c r="G33" s="250"/>
      <c r="H33" s="251"/>
    </row>
    <row r="34" spans="1:8" s="224" customFormat="1" x14ac:dyDescent="0.25">
      <c r="A34" s="215">
        <v>41587</v>
      </c>
      <c r="B34" s="882" t="s">
        <v>294</v>
      </c>
      <c r="C34" s="879" t="s">
        <v>19</v>
      </c>
      <c r="D34" s="887" t="s">
        <v>13</v>
      </c>
      <c r="E34" s="250">
        <v>16.989999999999998</v>
      </c>
      <c r="F34" s="1473"/>
      <c r="G34" s="250"/>
      <c r="H34" s="251"/>
    </row>
    <row r="35" spans="1:8" s="224" customFormat="1" x14ac:dyDescent="0.25">
      <c r="A35" s="215">
        <v>41587</v>
      </c>
      <c r="B35" s="882" t="s">
        <v>295</v>
      </c>
      <c r="C35" s="879" t="s">
        <v>12</v>
      </c>
      <c r="D35" s="887" t="s">
        <v>13</v>
      </c>
      <c r="E35" s="250">
        <v>26</v>
      </c>
      <c r="F35" s="1473"/>
      <c r="G35" s="250"/>
      <c r="H35" s="251"/>
    </row>
    <row r="36" spans="1:8" s="224" customFormat="1" x14ac:dyDescent="0.25">
      <c r="A36" s="215">
        <v>41588</v>
      </c>
      <c r="B36" s="882" t="s">
        <v>134</v>
      </c>
      <c r="C36" s="879" t="s">
        <v>12</v>
      </c>
      <c r="D36" s="887" t="s">
        <v>15</v>
      </c>
      <c r="E36" s="250">
        <v>9</v>
      </c>
      <c r="F36" s="1473"/>
      <c r="G36" s="250"/>
      <c r="H36" s="251"/>
    </row>
    <row r="37" spans="1:8" x14ac:dyDescent="0.25">
      <c r="A37" s="215">
        <v>41589</v>
      </c>
      <c r="B37" s="349" t="s">
        <v>32</v>
      </c>
      <c r="C37" s="350" t="s">
        <v>12</v>
      </c>
      <c r="D37" s="141" t="s">
        <v>15</v>
      </c>
      <c r="E37" s="97">
        <v>11.5</v>
      </c>
      <c r="F37" s="946"/>
      <c r="G37" s="523"/>
      <c r="H37" s="946"/>
    </row>
    <row r="38" spans="1:8" s="316" customFormat="1" x14ac:dyDescent="0.25">
      <c r="A38" s="215">
        <v>41589</v>
      </c>
      <c r="B38" s="862" t="s">
        <v>80</v>
      </c>
      <c r="C38" s="879" t="s">
        <v>12</v>
      </c>
      <c r="D38" s="957" t="s">
        <v>15</v>
      </c>
      <c r="E38" s="250">
        <v>14</v>
      </c>
      <c r="F38" s="1473"/>
      <c r="G38" s="1481"/>
      <c r="H38" s="1473"/>
    </row>
    <row r="39" spans="1:8" x14ac:dyDescent="0.25">
      <c r="A39" s="215">
        <v>41590</v>
      </c>
      <c r="B39" s="862" t="s">
        <v>296</v>
      </c>
      <c r="C39" s="879" t="s">
        <v>12</v>
      </c>
      <c r="D39" s="141" t="s">
        <v>13</v>
      </c>
      <c r="E39" s="97">
        <v>33</v>
      </c>
      <c r="F39" s="946"/>
      <c r="G39" s="97"/>
      <c r="H39" s="91"/>
    </row>
    <row r="40" spans="1:8" x14ac:dyDescent="0.25">
      <c r="A40" s="215">
        <v>41590</v>
      </c>
      <c r="B40" s="862" t="s">
        <v>297</v>
      </c>
      <c r="C40" s="879" t="s">
        <v>12</v>
      </c>
      <c r="D40" s="141" t="s">
        <v>13</v>
      </c>
      <c r="E40" s="97">
        <v>15.5</v>
      </c>
      <c r="F40" s="946"/>
      <c r="G40" s="97"/>
      <c r="H40" s="91"/>
    </row>
    <row r="41" spans="1:8" x14ac:dyDescent="0.25">
      <c r="A41" s="215">
        <v>41590</v>
      </c>
      <c r="B41" s="862" t="s">
        <v>298</v>
      </c>
      <c r="C41" s="879" t="s">
        <v>12</v>
      </c>
      <c r="D41" s="141" t="s">
        <v>13</v>
      </c>
      <c r="E41" s="97">
        <v>11</v>
      </c>
      <c r="F41" s="946"/>
      <c r="G41" s="97"/>
      <c r="H41" s="91"/>
    </row>
    <row r="42" spans="1:8" x14ac:dyDescent="0.25">
      <c r="A42" s="215">
        <v>41590</v>
      </c>
      <c r="B42" s="862" t="s">
        <v>299</v>
      </c>
      <c r="C42" s="879" t="s">
        <v>12</v>
      </c>
      <c r="D42" s="141" t="s">
        <v>15</v>
      </c>
      <c r="E42" s="97">
        <v>30</v>
      </c>
      <c r="F42" s="946"/>
      <c r="G42" s="97"/>
      <c r="H42" s="91"/>
    </row>
    <row r="43" spans="1:8" x14ac:dyDescent="0.25">
      <c r="A43" s="215">
        <v>41590</v>
      </c>
      <c r="B43" s="862" t="s">
        <v>138</v>
      </c>
      <c r="C43" s="879" t="s">
        <v>12</v>
      </c>
      <c r="D43" s="141" t="s">
        <v>13</v>
      </c>
      <c r="E43" s="97">
        <v>10</v>
      </c>
      <c r="F43" s="946"/>
      <c r="G43" s="97"/>
      <c r="H43" s="91"/>
    </row>
    <row r="44" spans="1:8" x14ac:dyDescent="0.25">
      <c r="A44" s="215">
        <v>41590</v>
      </c>
      <c r="B44" s="862" t="s">
        <v>300</v>
      </c>
      <c r="C44" s="879" t="s">
        <v>19</v>
      </c>
      <c r="D44" s="141" t="s">
        <v>13</v>
      </c>
      <c r="E44" s="97">
        <v>60</v>
      </c>
      <c r="F44" s="946"/>
      <c r="G44" s="97"/>
      <c r="H44" s="91"/>
    </row>
    <row r="45" spans="1:8" x14ac:dyDescent="0.25">
      <c r="A45" s="356">
        <v>41590</v>
      </c>
      <c r="B45" s="537" t="s">
        <v>301</v>
      </c>
      <c r="C45" s="879" t="s">
        <v>19</v>
      </c>
      <c r="D45" s="141" t="s">
        <v>13</v>
      </c>
      <c r="E45" s="97">
        <v>40</v>
      </c>
      <c r="F45" s="946"/>
      <c r="G45" s="97"/>
      <c r="H45" s="91"/>
    </row>
    <row r="46" spans="1:8" x14ac:dyDescent="0.25">
      <c r="A46" s="356">
        <v>41590</v>
      </c>
      <c r="B46" s="537" t="s">
        <v>302</v>
      </c>
      <c r="C46" s="350" t="s">
        <v>19</v>
      </c>
      <c r="D46" s="141" t="s">
        <v>13</v>
      </c>
      <c r="E46" s="97">
        <v>39.9</v>
      </c>
      <c r="F46" s="946"/>
      <c r="G46" s="97"/>
      <c r="H46" s="91"/>
    </row>
    <row r="47" spans="1:8" s="224" customFormat="1" x14ac:dyDescent="0.25">
      <c r="A47" s="215">
        <v>41590</v>
      </c>
      <c r="B47" s="862" t="s">
        <v>256</v>
      </c>
      <c r="C47" s="350" t="s">
        <v>12</v>
      </c>
      <c r="D47" s="141"/>
      <c r="E47" s="97"/>
      <c r="F47" s="1473">
        <v>200</v>
      </c>
      <c r="G47" s="252">
        <v>200</v>
      </c>
      <c r="H47" s="1473"/>
    </row>
    <row r="48" spans="1:8" x14ac:dyDescent="0.25">
      <c r="A48" s="215">
        <v>41591</v>
      </c>
      <c r="B48" s="862" t="s">
        <v>300</v>
      </c>
      <c r="C48" s="879" t="s">
        <v>12</v>
      </c>
      <c r="D48" s="141" t="s">
        <v>15</v>
      </c>
      <c r="E48" s="97">
        <v>50</v>
      </c>
      <c r="F48" s="946"/>
      <c r="G48" s="97"/>
      <c r="H48" s="91"/>
    </row>
    <row r="49" spans="1:8" x14ac:dyDescent="0.25">
      <c r="A49" s="215">
        <v>41591</v>
      </c>
      <c r="B49" s="349" t="s">
        <v>80</v>
      </c>
      <c r="C49" s="350" t="s">
        <v>12</v>
      </c>
      <c r="D49" s="141" t="s">
        <v>15</v>
      </c>
      <c r="E49" s="97">
        <v>22</v>
      </c>
      <c r="F49" s="946"/>
      <c r="G49" s="97"/>
      <c r="H49" s="91"/>
    </row>
    <row r="50" spans="1:8" x14ac:dyDescent="0.25">
      <c r="A50" s="215">
        <v>41592</v>
      </c>
      <c r="B50" s="862" t="s">
        <v>82</v>
      </c>
      <c r="C50" s="352" t="s">
        <v>12</v>
      </c>
      <c r="D50" s="85" t="s">
        <v>13</v>
      </c>
      <c r="E50" s="96">
        <v>26.5</v>
      </c>
      <c r="F50" s="1482"/>
      <c r="G50" s="97"/>
      <c r="H50" s="91"/>
    </row>
    <row r="51" spans="1:8" x14ac:dyDescent="0.25">
      <c r="A51" s="215">
        <v>41593</v>
      </c>
      <c r="B51" s="349" t="s">
        <v>303</v>
      </c>
      <c r="C51" s="350" t="s">
        <v>12</v>
      </c>
      <c r="D51" s="141" t="s">
        <v>13</v>
      </c>
      <c r="E51" s="97">
        <v>17.97</v>
      </c>
      <c r="F51" s="946"/>
      <c r="G51" s="97"/>
      <c r="H51" s="91"/>
    </row>
    <row r="52" spans="1:8" x14ac:dyDescent="0.25">
      <c r="A52" s="215">
        <v>41593</v>
      </c>
      <c r="B52" s="349" t="s">
        <v>80</v>
      </c>
      <c r="C52" s="350" t="s">
        <v>12</v>
      </c>
      <c r="D52" s="141" t="s">
        <v>15</v>
      </c>
      <c r="E52" s="97">
        <v>5</v>
      </c>
      <c r="F52" s="946"/>
      <c r="G52" s="97"/>
      <c r="H52" s="91"/>
    </row>
    <row r="53" spans="1:8" s="224" customFormat="1" x14ac:dyDescent="0.25">
      <c r="A53" s="215">
        <v>41595</v>
      </c>
      <c r="B53" s="862" t="s">
        <v>138</v>
      </c>
      <c r="C53" s="879" t="s">
        <v>12</v>
      </c>
      <c r="D53" s="141" t="s">
        <v>15</v>
      </c>
      <c r="E53" s="97">
        <v>30</v>
      </c>
      <c r="F53" s="1473"/>
      <c r="G53" s="250"/>
      <c r="H53" s="251"/>
    </row>
    <row r="54" spans="1:8" s="224" customFormat="1" x14ac:dyDescent="0.25">
      <c r="A54" s="215">
        <v>41595</v>
      </c>
      <c r="B54" s="349" t="s">
        <v>80</v>
      </c>
      <c r="C54" s="350" t="s">
        <v>12</v>
      </c>
      <c r="D54" s="141" t="s">
        <v>13</v>
      </c>
      <c r="E54" s="97">
        <v>19.2</v>
      </c>
      <c r="F54" s="1473"/>
      <c r="G54" s="250"/>
      <c r="H54" s="251"/>
    </row>
    <row r="55" spans="1:8" x14ac:dyDescent="0.25">
      <c r="A55" s="215">
        <v>41596</v>
      </c>
      <c r="B55" s="349" t="s">
        <v>14</v>
      </c>
      <c r="C55" s="350" t="s">
        <v>304</v>
      </c>
      <c r="D55" s="141" t="s">
        <v>15</v>
      </c>
      <c r="E55" s="97">
        <v>7</v>
      </c>
      <c r="F55" s="946"/>
      <c r="G55" s="97"/>
      <c r="H55" s="91"/>
    </row>
    <row r="56" spans="1:8" x14ac:dyDescent="0.25">
      <c r="A56" s="215">
        <v>41597</v>
      </c>
      <c r="B56" s="349" t="s">
        <v>80</v>
      </c>
      <c r="C56" s="350" t="s">
        <v>12</v>
      </c>
      <c r="D56" s="141" t="s">
        <v>15</v>
      </c>
      <c r="E56" s="97">
        <v>10</v>
      </c>
      <c r="F56" s="946"/>
      <c r="G56" s="97"/>
      <c r="H56" s="91"/>
    </row>
    <row r="57" spans="1:8" s="224" customFormat="1" x14ac:dyDescent="0.25">
      <c r="A57" s="215">
        <v>41597</v>
      </c>
      <c r="B57" s="349" t="s">
        <v>305</v>
      </c>
      <c r="C57" s="350" t="s">
        <v>12</v>
      </c>
      <c r="D57" s="141" t="s">
        <v>25</v>
      </c>
      <c r="E57" s="250"/>
      <c r="F57" s="1473">
        <v>66</v>
      </c>
      <c r="G57" s="250"/>
      <c r="H57" s="251"/>
    </row>
    <row r="58" spans="1:8" s="224" customFormat="1" x14ac:dyDescent="0.25">
      <c r="A58" s="215">
        <v>41598</v>
      </c>
      <c r="B58" s="862" t="s">
        <v>260</v>
      </c>
      <c r="C58" s="879"/>
      <c r="D58" s="141"/>
      <c r="E58" s="97">
        <v>50</v>
      </c>
      <c r="F58" s="1473"/>
      <c r="G58" s="252"/>
      <c r="H58" s="1473">
        <v>50</v>
      </c>
    </row>
    <row r="59" spans="1:8" x14ac:dyDescent="0.25">
      <c r="A59" s="215">
        <v>41599</v>
      </c>
      <c r="B59" s="349" t="s">
        <v>306</v>
      </c>
      <c r="C59" s="350" t="s">
        <v>12</v>
      </c>
      <c r="D59" s="141" t="s">
        <v>13</v>
      </c>
      <c r="E59" s="97">
        <v>60</v>
      </c>
      <c r="F59" s="946"/>
      <c r="G59" s="97"/>
      <c r="H59" s="91"/>
    </row>
    <row r="60" spans="1:8" x14ac:dyDescent="0.25">
      <c r="A60" s="215">
        <v>41599</v>
      </c>
      <c r="B60" s="349" t="s">
        <v>306</v>
      </c>
      <c r="C60" s="350" t="s">
        <v>19</v>
      </c>
      <c r="D60" s="141" t="s">
        <v>13</v>
      </c>
      <c r="E60" s="97">
        <v>50</v>
      </c>
      <c r="F60" s="946"/>
      <c r="G60" s="97"/>
      <c r="H60" s="91"/>
    </row>
    <row r="61" spans="1:8" x14ac:dyDescent="0.25">
      <c r="A61" s="215">
        <v>41599</v>
      </c>
      <c r="B61" s="349" t="s">
        <v>307</v>
      </c>
      <c r="C61" s="350" t="s">
        <v>12</v>
      </c>
      <c r="D61" s="141" t="s">
        <v>15</v>
      </c>
      <c r="E61" s="97">
        <v>45</v>
      </c>
      <c r="F61" s="946"/>
      <c r="G61" s="97"/>
      <c r="H61" s="91"/>
    </row>
    <row r="62" spans="1:8" x14ac:dyDescent="0.25">
      <c r="A62" s="215">
        <v>41600</v>
      </c>
      <c r="B62" s="349"/>
      <c r="C62" s="350"/>
      <c r="D62" s="141"/>
      <c r="E62" s="97"/>
      <c r="F62" s="946"/>
      <c r="G62" s="97"/>
      <c r="H62" s="91"/>
    </row>
    <row r="63" spans="1:8" x14ac:dyDescent="0.25">
      <c r="A63" s="215">
        <v>41601</v>
      </c>
      <c r="B63" s="349"/>
      <c r="C63" s="350"/>
      <c r="D63" s="141"/>
      <c r="E63" s="97"/>
      <c r="F63" s="946"/>
      <c r="G63" s="97"/>
      <c r="H63" s="91"/>
    </row>
    <row r="64" spans="1:8" x14ac:dyDescent="0.25">
      <c r="A64" s="215">
        <v>41602</v>
      </c>
      <c r="B64" s="349" t="s">
        <v>134</v>
      </c>
      <c r="C64" s="350" t="s">
        <v>12</v>
      </c>
      <c r="D64" s="141" t="s">
        <v>15</v>
      </c>
      <c r="E64" s="97">
        <v>5</v>
      </c>
      <c r="F64" s="946"/>
      <c r="G64" s="97"/>
      <c r="H64" s="91"/>
    </row>
    <row r="65" spans="1:8" x14ac:dyDescent="0.25">
      <c r="A65" s="215">
        <v>41603</v>
      </c>
      <c r="B65" s="349" t="s">
        <v>134</v>
      </c>
      <c r="C65" s="350" t="s">
        <v>12</v>
      </c>
      <c r="D65" s="141" t="s">
        <v>15</v>
      </c>
      <c r="E65" s="97">
        <v>9</v>
      </c>
      <c r="F65" s="946"/>
      <c r="G65" s="97"/>
      <c r="H65" s="91"/>
    </row>
    <row r="66" spans="1:8" s="224" customFormat="1" x14ac:dyDescent="0.25">
      <c r="A66" s="215">
        <v>41604</v>
      </c>
      <c r="B66" s="862" t="s">
        <v>14</v>
      </c>
      <c r="C66" s="879" t="s">
        <v>12</v>
      </c>
      <c r="D66" s="887" t="s">
        <v>15</v>
      </c>
      <c r="E66" s="250">
        <v>2.2000000000000002</v>
      </c>
      <c r="F66" s="1473"/>
      <c r="G66" s="250"/>
      <c r="H66" s="251"/>
    </row>
    <row r="67" spans="1:8" s="224" customFormat="1" x14ac:dyDescent="0.25">
      <c r="A67" s="215">
        <v>41604</v>
      </c>
      <c r="B67" s="862" t="s">
        <v>134</v>
      </c>
      <c r="C67" s="879" t="s">
        <v>19</v>
      </c>
      <c r="D67" s="887" t="s">
        <v>13</v>
      </c>
      <c r="E67" s="250">
        <v>41</v>
      </c>
      <c r="F67" s="1473"/>
      <c r="G67" s="250"/>
      <c r="H67" s="251"/>
    </row>
    <row r="68" spans="1:8" s="224" customFormat="1" x14ac:dyDescent="0.25">
      <c r="A68" s="215">
        <v>41605</v>
      </c>
      <c r="B68" s="862"/>
      <c r="C68" s="105"/>
      <c r="D68" s="887"/>
      <c r="E68" s="250"/>
      <c r="F68" s="1473"/>
      <c r="G68" s="250"/>
      <c r="H68" s="251"/>
    </row>
    <row r="69" spans="1:8" s="224" customFormat="1" x14ac:dyDescent="0.25">
      <c r="A69" s="215">
        <v>41606</v>
      </c>
      <c r="B69" s="862" t="s">
        <v>138</v>
      </c>
      <c r="C69" s="105" t="s">
        <v>12</v>
      </c>
      <c r="D69" s="887" t="s">
        <v>13</v>
      </c>
      <c r="E69" s="250">
        <v>20</v>
      </c>
      <c r="F69" s="1473"/>
      <c r="G69" s="250"/>
      <c r="H69" s="251"/>
    </row>
    <row r="70" spans="1:8" s="224" customFormat="1" x14ac:dyDescent="0.25">
      <c r="A70" s="215">
        <v>41607</v>
      </c>
      <c r="B70" s="364" t="s">
        <v>308</v>
      </c>
      <c r="C70" s="879" t="s">
        <v>12</v>
      </c>
      <c r="D70" s="887" t="s">
        <v>25</v>
      </c>
      <c r="E70" s="250"/>
      <c r="F70" s="1473">
        <v>825</v>
      </c>
      <c r="G70" s="250"/>
      <c r="H70" s="251"/>
    </row>
    <row r="71" spans="1:8" s="224" customFormat="1" x14ac:dyDescent="0.25">
      <c r="A71" s="215">
        <v>41607</v>
      </c>
      <c r="B71" s="364" t="s">
        <v>134</v>
      </c>
      <c r="C71" s="879" t="s">
        <v>12</v>
      </c>
      <c r="D71" s="887" t="s">
        <v>15</v>
      </c>
      <c r="E71" s="250">
        <v>7.5</v>
      </c>
      <c r="F71" s="1473"/>
      <c r="G71" s="250"/>
      <c r="H71" s="251"/>
    </row>
    <row r="72" spans="1:8" s="224" customFormat="1" x14ac:dyDescent="0.25">
      <c r="A72" s="215">
        <v>41607</v>
      </c>
      <c r="B72" s="364" t="s">
        <v>309</v>
      </c>
      <c r="C72" s="879" t="s">
        <v>19</v>
      </c>
      <c r="D72" s="887" t="s">
        <v>13</v>
      </c>
      <c r="E72" s="250">
        <v>799</v>
      </c>
      <c r="F72" s="1473"/>
      <c r="G72" s="250"/>
      <c r="H72" s="251"/>
    </row>
    <row r="73" spans="1:8" s="224" customFormat="1" x14ac:dyDescent="0.25">
      <c r="A73" s="215">
        <v>41607</v>
      </c>
      <c r="B73" s="364" t="s">
        <v>256</v>
      </c>
      <c r="C73" s="879"/>
      <c r="D73" s="887"/>
      <c r="E73" s="250"/>
      <c r="F73" s="1473">
        <v>600</v>
      </c>
      <c r="G73" s="250">
        <v>600</v>
      </c>
      <c r="H73" s="251"/>
    </row>
    <row r="74" spans="1:8" s="224" customFormat="1" ht="15.75" thickBot="1" x14ac:dyDescent="0.3">
      <c r="A74" s="215">
        <v>41608</v>
      </c>
      <c r="B74" s="862"/>
      <c r="C74" s="874"/>
      <c r="D74" s="887"/>
      <c r="E74" s="250"/>
      <c r="F74" s="1473"/>
      <c r="G74" s="250"/>
      <c r="H74" s="251"/>
    </row>
    <row r="75" spans="1:8" ht="25.5" customHeight="1" thickBot="1" x14ac:dyDescent="0.3">
      <c r="A75" s="3060"/>
      <c r="B75" s="3061"/>
      <c r="C75" s="3062"/>
      <c r="D75" s="3062"/>
      <c r="E75" s="100">
        <f>SUM(E5:E74)</f>
        <v>3856.7199999999993</v>
      </c>
      <c r="F75" s="1065" t="e">
        <f>SUM(F5:F74)</f>
        <v>#REF!</v>
      </c>
      <c r="G75" s="527">
        <f>SUM(G5:G74)</f>
        <v>800</v>
      </c>
      <c r="H75" s="93">
        <f>SUM(H5:H74)</f>
        <v>2703.56</v>
      </c>
    </row>
    <row r="76" spans="1:8" ht="25.5" customHeight="1" thickBot="1" x14ac:dyDescent="0.3">
      <c r="A76" s="3077" t="s">
        <v>49</v>
      </c>
      <c r="B76" s="3078"/>
      <c r="C76" s="3078"/>
      <c r="D76" s="3078"/>
      <c r="E76" s="102"/>
      <c r="F76" s="1478" t="e">
        <f>F75-E75</f>
        <v>#REF!</v>
      </c>
      <c r="G76" s="528"/>
      <c r="H76" s="103">
        <f>H75-G75</f>
        <v>1903.56</v>
      </c>
    </row>
    <row r="78" spans="1:8" x14ac:dyDescent="0.25">
      <c r="B78" s="79" t="s">
        <v>32</v>
      </c>
      <c r="C78" s="484">
        <v>59</v>
      </c>
    </row>
    <row r="79" spans="1:8" x14ac:dyDescent="0.25">
      <c r="B79" s="79" t="s">
        <v>16</v>
      </c>
      <c r="C79" s="484">
        <v>340</v>
      </c>
    </row>
    <row r="80" spans="1:8" x14ac:dyDescent="0.25">
      <c r="B80" s="79" t="s">
        <v>50</v>
      </c>
      <c r="C80" s="484">
        <v>102</v>
      </c>
    </row>
    <row r="81" spans="1:8" s="85" customFormat="1" x14ac:dyDescent="0.25">
      <c r="A81" s="79"/>
      <c r="B81" s="79" t="s">
        <v>14</v>
      </c>
      <c r="C81" s="475">
        <v>20.3</v>
      </c>
      <c r="E81" s="89"/>
      <c r="F81" s="79"/>
      <c r="G81" s="79"/>
      <c r="H81" s="79"/>
    </row>
    <row r="82" spans="1:8" s="85" customFormat="1" x14ac:dyDescent="0.25">
      <c r="A82" s="79"/>
      <c r="B82" s="79" t="s">
        <v>51</v>
      </c>
      <c r="C82" s="475">
        <v>71.17</v>
      </c>
      <c r="E82" s="89"/>
      <c r="F82" s="79"/>
      <c r="G82" s="79"/>
      <c r="H82" s="79"/>
    </row>
    <row r="83" spans="1:8" s="85" customFormat="1" x14ac:dyDescent="0.25">
      <c r="A83" s="79"/>
      <c r="B83" s="79" t="s">
        <v>52</v>
      </c>
      <c r="C83" s="475">
        <v>50</v>
      </c>
      <c r="E83" s="89"/>
      <c r="F83" s="79"/>
      <c r="G83" s="79"/>
      <c r="H83" s="79"/>
    </row>
    <row r="84" spans="1:8" s="85" customFormat="1" x14ac:dyDescent="0.25">
      <c r="A84" s="79"/>
      <c r="B84" s="867" t="s">
        <v>53</v>
      </c>
      <c r="C84" s="475">
        <v>421.5</v>
      </c>
      <c r="E84" s="89"/>
      <c r="F84" s="79"/>
      <c r="G84" s="79"/>
      <c r="H84" s="79"/>
    </row>
    <row r="85" spans="1:8" s="85" customFormat="1" x14ac:dyDescent="0.25">
      <c r="A85" s="79"/>
      <c r="B85" s="79" t="s">
        <v>56</v>
      </c>
      <c r="C85" s="475">
        <v>116.2</v>
      </c>
      <c r="E85" s="89"/>
      <c r="F85" s="79"/>
      <c r="G85" s="79"/>
      <c r="H85" s="79"/>
    </row>
    <row r="86" spans="1:8" s="85" customFormat="1" x14ac:dyDescent="0.25">
      <c r="A86" s="79"/>
      <c r="B86" s="79" t="s">
        <v>57</v>
      </c>
      <c r="C86" s="475">
        <v>284.70999999999998</v>
      </c>
      <c r="E86" s="89"/>
      <c r="F86" s="79"/>
      <c r="G86" s="79"/>
      <c r="H86" s="79"/>
    </row>
  </sheetData>
  <autoFilter ref="A2:H76" xr:uid="{00000000-0009-0000-0000-00000A000000}">
    <filterColumn colId="4" showButton="0"/>
    <filterColumn colId="6" showButton="0"/>
  </autoFilter>
  <mergeCells count="10">
    <mergeCell ref="A75:D75"/>
    <mergeCell ref="A76:D7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39"/>
  <dimension ref="A1:H101"/>
  <sheetViews>
    <sheetView zoomScale="90" zoomScaleNormal="90" workbookViewId="0">
      <pane ySplit="4" topLeftCell="A28" activePane="bottomLeft" state="frozen"/>
      <selection activeCell="C44" sqref="C44"/>
      <selection pane="bottomLeft" activeCell="B28" sqref="B2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310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41609</v>
      </c>
      <c r="B5" s="369" t="s">
        <v>10</v>
      </c>
      <c r="C5" s="370"/>
      <c r="D5" s="207"/>
      <c r="E5" s="179"/>
      <c r="F5" s="933" t="e">
        <f>'Novembro-13'!F76</f>
        <v>#REF!</v>
      </c>
      <c r="G5" s="163"/>
      <c r="H5" s="933">
        <f>'Novembro-13'!H76</f>
        <v>1903.56</v>
      </c>
    </row>
    <row r="6" spans="1:8" s="224" customFormat="1" x14ac:dyDescent="0.25">
      <c r="A6" s="215">
        <v>41609</v>
      </c>
      <c r="B6" s="348" t="s">
        <v>11</v>
      </c>
      <c r="C6" s="351"/>
      <c r="D6" s="248"/>
      <c r="E6" s="250">
        <v>148</v>
      </c>
      <c r="F6" s="1473"/>
      <c r="G6" s="252"/>
      <c r="H6" s="1473"/>
    </row>
    <row r="7" spans="1:8" s="224" customFormat="1" x14ac:dyDescent="0.25">
      <c r="A7" s="215">
        <v>41609</v>
      </c>
      <c r="B7" s="873" t="s">
        <v>311</v>
      </c>
      <c r="C7" s="879" t="s">
        <v>12</v>
      </c>
      <c r="D7" s="887" t="s">
        <v>25</v>
      </c>
      <c r="E7" s="250"/>
      <c r="F7" s="1473"/>
      <c r="G7" s="252"/>
      <c r="H7" s="1473">
        <v>34.44</v>
      </c>
    </row>
    <row r="8" spans="1:8" s="224" customFormat="1" x14ac:dyDescent="0.25">
      <c r="A8" s="215">
        <v>41609</v>
      </c>
      <c r="B8" s="873" t="s">
        <v>14</v>
      </c>
      <c r="C8" s="879" t="s">
        <v>12</v>
      </c>
      <c r="D8" s="887" t="s">
        <v>15</v>
      </c>
      <c r="E8" s="250">
        <v>7</v>
      </c>
      <c r="F8" s="1473"/>
      <c r="G8" s="252"/>
      <c r="H8" s="1473"/>
    </row>
    <row r="9" spans="1:8" s="224" customFormat="1" x14ac:dyDescent="0.25">
      <c r="A9" s="215">
        <v>41610</v>
      </c>
      <c r="B9" s="873" t="s">
        <v>312</v>
      </c>
      <c r="C9" s="879" t="s">
        <v>12</v>
      </c>
      <c r="D9" s="887" t="s">
        <v>13</v>
      </c>
      <c r="E9" s="250">
        <v>39</v>
      </c>
      <c r="F9" s="1473"/>
      <c r="G9" s="252"/>
      <c r="H9" s="1473"/>
    </row>
    <row r="10" spans="1:8" s="224" customFormat="1" x14ac:dyDescent="0.25">
      <c r="A10" s="215">
        <v>41610</v>
      </c>
      <c r="B10" s="873" t="s">
        <v>313</v>
      </c>
      <c r="C10" s="879" t="s">
        <v>12</v>
      </c>
      <c r="D10" s="887" t="s">
        <v>25</v>
      </c>
      <c r="E10" s="250"/>
      <c r="F10" s="1473">
        <v>200</v>
      </c>
      <c r="G10" s="252"/>
      <c r="H10" s="1473"/>
    </row>
    <row r="11" spans="1:8" s="224" customFormat="1" x14ac:dyDescent="0.25">
      <c r="A11" s="215">
        <v>41610</v>
      </c>
      <c r="B11" s="873" t="s">
        <v>138</v>
      </c>
      <c r="C11" s="879" t="s">
        <v>12</v>
      </c>
      <c r="D11" s="887" t="s">
        <v>15</v>
      </c>
      <c r="E11" s="250">
        <v>20</v>
      </c>
      <c r="F11" s="1473"/>
      <c r="G11" s="252"/>
      <c r="H11" s="1473"/>
    </row>
    <row r="12" spans="1:8" s="224" customFormat="1" x14ac:dyDescent="0.25">
      <c r="A12" s="215">
        <v>41611</v>
      </c>
      <c r="B12" s="873" t="s">
        <v>134</v>
      </c>
      <c r="C12" s="879" t="s">
        <v>12</v>
      </c>
      <c r="D12" s="887" t="s">
        <v>13</v>
      </c>
      <c r="E12" s="250">
        <v>30</v>
      </c>
      <c r="F12" s="1473"/>
      <c r="G12" s="252"/>
      <c r="H12" s="1473"/>
    </row>
    <row r="13" spans="1:8" s="224" customFormat="1" x14ac:dyDescent="0.25">
      <c r="A13" s="215">
        <v>41611</v>
      </c>
      <c r="B13" s="873" t="s">
        <v>314</v>
      </c>
      <c r="C13" s="879" t="s">
        <v>12</v>
      </c>
      <c r="D13" s="887" t="s">
        <v>15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41612</v>
      </c>
      <c r="B14" s="364" t="s">
        <v>256</v>
      </c>
      <c r="C14" s="879"/>
      <c r="D14" s="887"/>
      <c r="E14" s="250"/>
      <c r="F14" s="1473">
        <v>136</v>
      </c>
      <c r="G14" s="250">
        <v>136</v>
      </c>
      <c r="H14" s="1473"/>
    </row>
    <row r="15" spans="1:8" s="224" customFormat="1" x14ac:dyDescent="0.25">
      <c r="A15" s="215">
        <v>41612</v>
      </c>
      <c r="B15" s="873" t="s">
        <v>32</v>
      </c>
      <c r="C15" s="879" t="s">
        <v>12</v>
      </c>
      <c r="D15" s="887" t="s">
        <v>15</v>
      </c>
      <c r="E15" s="250">
        <v>5</v>
      </c>
      <c r="F15" s="1473"/>
      <c r="G15" s="252"/>
      <c r="H15" s="1473"/>
    </row>
    <row r="16" spans="1:8" s="224" customFormat="1" ht="15.75" customHeight="1" x14ac:dyDescent="0.25">
      <c r="A16" s="215">
        <v>41612</v>
      </c>
      <c r="B16" s="862" t="s">
        <v>286</v>
      </c>
      <c r="C16" s="350" t="s">
        <v>12</v>
      </c>
      <c r="D16" s="141" t="s">
        <v>13</v>
      </c>
      <c r="E16" s="97">
        <v>302.19</v>
      </c>
      <c r="F16" s="1473"/>
      <c r="G16" s="252"/>
      <c r="H16" s="1473"/>
    </row>
    <row r="17" spans="1:8" s="224" customFormat="1" ht="15.75" customHeight="1" x14ac:dyDescent="0.25">
      <c r="A17" s="215">
        <v>41612</v>
      </c>
      <c r="B17" s="862" t="s">
        <v>14</v>
      </c>
      <c r="C17" s="350" t="s">
        <v>12</v>
      </c>
      <c r="D17" s="141" t="s">
        <v>15</v>
      </c>
      <c r="E17" s="97">
        <v>2.5</v>
      </c>
      <c r="F17" s="1473"/>
      <c r="G17" s="252"/>
      <c r="H17" s="1473"/>
    </row>
    <row r="18" spans="1:8" s="224" customFormat="1" x14ac:dyDescent="0.25">
      <c r="A18" s="215">
        <v>41613</v>
      </c>
      <c r="B18" s="349" t="s">
        <v>315</v>
      </c>
      <c r="C18" s="879" t="s">
        <v>12</v>
      </c>
      <c r="D18" s="983" t="s">
        <v>25</v>
      </c>
      <c r="E18" s="250"/>
      <c r="F18" s="1473">
        <v>96.82</v>
      </c>
      <c r="G18" s="252"/>
      <c r="H18" s="1473"/>
    </row>
    <row r="19" spans="1:8" s="224" customFormat="1" x14ac:dyDescent="0.25">
      <c r="A19" s="215">
        <v>41613</v>
      </c>
      <c r="B19" s="349" t="s">
        <v>316</v>
      </c>
      <c r="C19" s="879" t="s">
        <v>12</v>
      </c>
      <c r="D19" s="983" t="s">
        <v>25</v>
      </c>
      <c r="E19" s="250"/>
      <c r="F19" s="1473">
        <v>165</v>
      </c>
      <c r="G19" s="252"/>
      <c r="H19" s="1473"/>
    </row>
    <row r="20" spans="1:8" s="224" customFormat="1" x14ac:dyDescent="0.25">
      <c r="A20" s="215">
        <v>41613</v>
      </c>
      <c r="B20" s="882" t="s">
        <v>317</v>
      </c>
      <c r="C20" s="879" t="s">
        <v>12</v>
      </c>
      <c r="D20" s="887" t="s">
        <v>13</v>
      </c>
      <c r="E20" s="538">
        <v>33.47</v>
      </c>
      <c r="F20" s="1002"/>
      <c r="G20" s="539"/>
      <c r="H20" s="1002"/>
    </row>
    <row r="21" spans="1:8" s="224" customFormat="1" x14ac:dyDescent="0.25">
      <c r="A21" s="215">
        <v>41613</v>
      </c>
      <c r="B21" s="882" t="s">
        <v>318</v>
      </c>
      <c r="C21" s="350" t="s">
        <v>12</v>
      </c>
      <c r="D21" s="887" t="s">
        <v>13</v>
      </c>
      <c r="E21" s="97">
        <v>35.42</v>
      </c>
      <c r="F21" s="1473"/>
      <c r="G21" s="252"/>
      <c r="H21" s="1473"/>
    </row>
    <row r="22" spans="1:8" s="224" customFormat="1" x14ac:dyDescent="0.25">
      <c r="A22" s="215">
        <v>41613</v>
      </c>
      <c r="B22" s="862" t="s">
        <v>31</v>
      </c>
      <c r="C22" s="350" t="s">
        <v>12</v>
      </c>
      <c r="D22" s="957" t="s">
        <v>15</v>
      </c>
      <c r="E22" s="97">
        <v>50</v>
      </c>
      <c r="F22" s="1473"/>
      <c r="G22" s="252"/>
      <c r="H22" s="1473"/>
    </row>
    <row r="23" spans="1:8" s="224" customFormat="1" ht="15.75" customHeight="1" x14ac:dyDescent="0.25">
      <c r="A23" s="215">
        <v>41613</v>
      </c>
      <c r="B23" s="1483" t="s">
        <v>264</v>
      </c>
      <c r="C23" s="350" t="s">
        <v>12</v>
      </c>
      <c r="D23" s="141" t="s">
        <v>15</v>
      </c>
      <c r="E23" s="97">
        <v>60</v>
      </c>
      <c r="F23" s="1473"/>
      <c r="G23" s="252"/>
      <c r="H23" s="1473"/>
    </row>
    <row r="24" spans="1:8" s="224" customFormat="1" ht="15.75" customHeight="1" x14ac:dyDescent="0.25">
      <c r="A24" s="215">
        <v>41613</v>
      </c>
      <c r="B24" s="862" t="s">
        <v>32</v>
      </c>
      <c r="C24" s="350" t="s">
        <v>12</v>
      </c>
      <c r="D24" s="141" t="s">
        <v>15</v>
      </c>
      <c r="E24" s="97">
        <v>5</v>
      </c>
      <c r="F24" s="1473"/>
      <c r="G24" s="252"/>
      <c r="H24" s="1473"/>
    </row>
    <row r="25" spans="1:8" s="224" customFormat="1" ht="15.75" customHeight="1" x14ac:dyDescent="0.25">
      <c r="A25" s="215">
        <v>41614</v>
      </c>
      <c r="B25" s="862" t="s">
        <v>32</v>
      </c>
      <c r="C25" s="350" t="s">
        <v>12</v>
      </c>
      <c r="D25" s="141" t="s">
        <v>15</v>
      </c>
      <c r="E25" s="97">
        <v>5</v>
      </c>
      <c r="F25" s="1473"/>
      <c r="G25" s="252"/>
      <c r="H25" s="1473"/>
    </row>
    <row r="26" spans="1:8" x14ac:dyDescent="0.25">
      <c r="A26" s="215">
        <v>41614</v>
      </c>
      <c r="B26" s="349" t="s">
        <v>319</v>
      </c>
      <c r="C26" s="350" t="s">
        <v>12</v>
      </c>
      <c r="D26" s="141" t="s">
        <v>15</v>
      </c>
      <c r="E26" s="97">
        <v>72</v>
      </c>
      <c r="F26" s="946"/>
      <c r="G26" s="97"/>
      <c r="H26" s="946"/>
    </row>
    <row r="27" spans="1:8" s="224" customFormat="1" x14ac:dyDescent="0.25">
      <c r="A27" s="215">
        <v>41614</v>
      </c>
      <c r="B27" s="364" t="s">
        <v>256</v>
      </c>
      <c r="C27" s="879"/>
      <c r="D27" s="887"/>
      <c r="E27" s="250"/>
      <c r="F27" s="1473">
        <v>910</v>
      </c>
      <c r="G27" s="250">
        <v>910</v>
      </c>
      <c r="H27" s="1473"/>
    </row>
    <row r="28" spans="1:8" s="224" customFormat="1" x14ac:dyDescent="0.25">
      <c r="A28" s="215">
        <v>41614</v>
      </c>
      <c r="B28" s="873" t="s">
        <v>320</v>
      </c>
      <c r="C28" s="879" t="s">
        <v>19</v>
      </c>
      <c r="D28" s="887" t="s">
        <v>13</v>
      </c>
      <c r="E28" s="250">
        <v>820</v>
      </c>
      <c r="F28" s="1473"/>
      <c r="G28" s="252"/>
      <c r="H28" s="1473"/>
    </row>
    <row r="29" spans="1:8" s="224" customFormat="1" x14ac:dyDescent="0.25">
      <c r="A29" s="215">
        <v>41614</v>
      </c>
      <c r="B29" s="873" t="s">
        <v>321</v>
      </c>
      <c r="C29" s="879" t="s">
        <v>19</v>
      </c>
      <c r="D29" s="887" t="s">
        <v>13</v>
      </c>
      <c r="E29" s="250">
        <v>30</v>
      </c>
      <c r="F29" s="1473"/>
      <c r="G29" s="252"/>
      <c r="H29" s="1473"/>
    </row>
    <row r="30" spans="1:8" s="224" customFormat="1" x14ac:dyDescent="0.25">
      <c r="A30" s="215">
        <v>41614</v>
      </c>
      <c r="B30" s="862" t="s">
        <v>260</v>
      </c>
      <c r="C30" s="879"/>
      <c r="D30" s="141"/>
      <c r="E30" s="97">
        <v>50</v>
      </c>
      <c r="F30" s="1473"/>
      <c r="G30" s="252"/>
      <c r="H30" s="1473">
        <v>50</v>
      </c>
    </row>
    <row r="31" spans="1:8" s="224" customFormat="1" x14ac:dyDescent="0.25">
      <c r="A31" s="215">
        <v>41615</v>
      </c>
      <c r="B31" s="349" t="s">
        <v>80</v>
      </c>
      <c r="C31" s="879" t="s">
        <v>12</v>
      </c>
      <c r="D31" s="983" t="s">
        <v>13</v>
      </c>
      <c r="E31" s="250">
        <v>30</v>
      </c>
      <c r="F31" s="1473"/>
      <c r="G31" s="252"/>
      <c r="H31" s="1473"/>
    </row>
    <row r="32" spans="1:8" s="224" customFormat="1" x14ac:dyDescent="0.25">
      <c r="A32" s="215">
        <v>41615</v>
      </c>
      <c r="B32" s="349" t="s">
        <v>80</v>
      </c>
      <c r="C32" s="879" t="s">
        <v>12</v>
      </c>
      <c r="D32" s="983" t="s">
        <v>13</v>
      </c>
      <c r="E32" s="250">
        <v>21.35</v>
      </c>
      <c r="F32" s="1473"/>
      <c r="G32" s="252"/>
      <c r="H32" s="1473"/>
    </row>
    <row r="33" spans="1:8" s="224" customFormat="1" x14ac:dyDescent="0.25">
      <c r="A33" s="215">
        <v>41615</v>
      </c>
      <c r="B33" s="349" t="s">
        <v>82</v>
      </c>
      <c r="C33" s="879" t="s">
        <v>12</v>
      </c>
      <c r="D33" s="983" t="s">
        <v>13</v>
      </c>
      <c r="E33" s="250">
        <v>20</v>
      </c>
      <c r="F33" s="1473"/>
      <c r="G33" s="252"/>
      <c r="H33" s="1473"/>
    </row>
    <row r="34" spans="1:8" s="224" customFormat="1" x14ac:dyDescent="0.25">
      <c r="A34" s="215">
        <v>41616</v>
      </c>
      <c r="B34" s="349" t="s">
        <v>322</v>
      </c>
      <c r="C34" s="879" t="s">
        <v>12</v>
      </c>
      <c r="D34" s="983" t="s">
        <v>15</v>
      </c>
      <c r="E34" s="250">
        <v>20</v>
      </c>
      <c r="F34" s="1473"/>
      <c r="G34" s="252"/>
      <c r="H34" s="1473"/>
    </row>
    <row r="35" spans="1:8" s="224" customFormat="1" x14ac:dyDescent="0.25">
      <c r="A35" s="215">
        <v>41617</v>
      </c>
      <c r="B35" s="882" t="s">
        <v>32</v>
      </c>
      <c r="C35" s="879" t="s">
        <v>12</v>
      </c>
      <c r="D35" s="887" t="s">
        <v>13</v>
      </c>
      <c r="E35" s="250">
        <v>10</v>
      </c>
      <c r="F35" s="1473"/>
      <c r="G35" s="252"/>
      <c r="H35" s="1473"/>
    </row>
    <row r="36" spans="1:8" s="224" customFormat="1" x14ac:dyDescent="0.25">
      <c r="A36" s="215">
        <v>41617</v>
      </c>
      <c r="B36" s="882" t="s">
        <v>138</v>
      </c>
      <c r="C36" s="879" t="s">
        <v>12</v>
      </c>
      <c r="D36" s="887" t="s">
        <v>13</v>
      </c>
      <c r="E36" s="250">
        <v>20</v>
      </c>
      <c r="F36" s="1473"/>
      <c r="G36" s="252"/>
      <c r="H36" s="1473"/>
    </row>
    <row r="37" spans="1:8" s="224" customFormat="1" x14ac:dyDescent="0.25">
      <c r="A37" s="215">
        <v>41617</v>
      </c>
      <c r="B37" s="862" t="s">
        <v>260</v>
      </c>
      <c r="C37" s="879"/>
      <c r="D37" s="141"/>
      <c r="E37" s="97">
        <v>10</v>
      </c>
      <c r="F37" s="1473"/>
      <c r="G37" s="252"/>
      <c r="H37" s="1473">
        <v>10</v>
      </c>
    </row>
    <row r="38" spans="1:8" s="224" customFormat="1" x14ac:dyDescent="0.25">
      <c r="A38" s="215">
        <v>41618</v>
      </c>
      <c r="B38" s="364" t="s">
        <v>256</v>
      </c>
      <c r="C38" s="879"/>
      <c r="D38" s="887"/>
      <c r="E38" s="250"/>
      <c r="F38" s="1473">
        <v>350</v>
      </c>
      <c r="G38" s="250">
        <v>350</v>
      </c>
      <c r="H38" s="1473"/>
    </row>
    <row r="39" spans="1:8" s="224" customFormat="1" x14ac:dyDescent="0.25">
      <c r="A39" s="215">
        <v>41618</v>
      </c>
      <c r="B39" s="882" t="s">
        <v>32</v>
      </c>
      <c r="C39" s="879" t="s">
        <v>12</v>
      </c>
      <c r="D39" s="887" t="s">
        <v>15</v>
      </c>
      <c r="E39" s="250">
        <v>5</v>
      </c>
      <c r="F39" s="1473"/>
      <c r="G39" s="252"/>
      <c r="H39" s="1473"/>
    </row>
    <row r="40" spans="1:8" s="224" customFormat="1" x14ac:dyDescent="0.25">
      <c r="A40" s="215">
        <v>41618</v>
      </c>
      <c r="B40" s="882" t="s">
        <v>323</v>
      </c>
      <c r="C40" s="879" t="s">
        <v>12</v>
      </c>
      <c r="D40" s="887" t="s">
        <v>13</v>
      </c>
      <c r="E40" s="250">
        <v>270</v>
      </c>
      <c r="F40" s="1473"/>
      <c r="G40" s="252"/>
      <c r="H40" s="1473"/>
    </row>
    <row r="41" spans="1:8" s="224" customFormat="1" x14ac:dyDescent="0.25">
      <c r="A41" s="215">
        <v>41618</v>
      </c>
      <c r="B41" s="882" t="s">
        <v>324</v>
      </c>
      <c r="C41" s="879" t="s">
        <v>12</v>
      </c>
      <c r="D41" s="887" t="s">
        <v>15</v>
      </c>
      <c r="E41" s="250">
        <v>20</v>
      </c>
      <c r="F41" s="1473"/>
      <c r="G41" s="252"/>
      <c r="H41" s="1473"/>
    </row>
    <row r="42" spans="1:8" s="224" customFormat="1" x14ac:dyDescent="0.25">
      <c r="A42" s="215">
        <v>41618</v>
      </c>
      <c r="B42" s="873" t="s">
        <v>287</v>
      </c>
      <c r="C42" s="879" t="s">
        <v>12</v>
      </c>
      <c r="D42" s="887" t="s">
        <v>13</v>
      </c>
      <c r="E42" s="250">
        <v>215</v>
      </c>
      <c r="F42" s="1473"/>
      <c r="G42" s="252"/>
      <c r="H42" s="1473"/>
    </row>
    <row r="43" spans="1:8" s="316" customFormat="1" x14ac:dyDescent="0.25">
      <c r="A43" s="215">
        <v>41619</v>
      </c>
      <c r="B43" s="862" t="s">
        <v>32</v>
      </c>
      <c r="C43" s="879" t="s">
        <v>12</v>
      </c>
      <c r="D43" s="957" t="s">
        <v>15</v>
      </c>
      <c r="E43" s="250">
        <v>5</v>
      </c>
      <c r="F43" s="1473"/>
      <c r="G43" s="1476"/>
      <c r="H43" s="1473"/>
    </row>
    <row r="44" spans="1:8" s="316" customFormat="1" x14ac:dyDescent="0.25">
      <c r="A44" s="215">
        <v>41619</v>
      </c>
      <c r="B44" s="862" t="s">
        <v>138</v>
      </c>
      <c r="C44" s="879" t="s">
        <v>12</v>
      </c>
      <c r="D44" s="957" t="s">
        <v>15</v>
      </c>
      <c r="E44" s="250">
        <v>20</v>
      </c>
      <c r="F44" s="1473"/>
      <c r="G44" s="1476"/>
      <c r="H44" s="1473"/>
    </row>
    <row r="45" spans="1:8" x14ac:dyDescent="0.25">
      <c r="A45" s="215">
        <v>41620</v>
      </c>
      <c r="B45" s="862" t="s">
        <v>32</v>
      </c>
      <c r="C45" s="879" t="s">
        <v>12</v>
      </c>
      <c r="D45" s="141" t="s">
        <v>15</v>
      </c>
      <c r="E45" s="97">
        <v>6</v>
      </c>
      <c r="F45" s="946"/>
      <c r="G45" s="95"/>
      <c r="H45" s="946"/>
    </row>
    <row r="46" spans="1:8" x14ac:dyDescent="0.25">
      <c r="A46" s="215">
        <v>41621</v>
      </c>
      <c r="B46" s="862" t="s">
        <v>32</v>
      </c>
      <c r="C46" s="879" t="s">
        <v>12</v>
      </c>
      <c r="D46" s="141" t="s">
        <v>15</v>
      </c>
      <c r="E46" s="97">
        <v>6.25</v>
      </c>
      <c r="F46" s="946"/>
      <c r="G46" s="95"/>
      <c r="H46" s="946"/>
    </row>
    <row r="47" spans="1:8" x14ac:dyDescent="0.25">
      <c r="A47" s="215">
        <v>41622</v>
      </c>
      <c r="B47" s="862" t="s">
        <v>138</v>
      </c>
      <c r="C47" s="352" t="s">
        <v>12</v>
      </c>
      <c r="D47" s="85" t="s">
        <v>13</v>
      </c>
      <c r="E47" s="96">
        <v>20</v>
      </c>
      <c r="F47" s="1482"/>
      <c r="G47" s="95"/>
      <c r="H47" s="946"/>
    </row>
    <row r="48" spans="1:8" x14ac:dyDescent="0.25">
      <c r="A48" s="215">
        <v>41622</v>
      </c>
      <c r="B48" s="862" t="s">
        <v>325</v>
      </c>
      <c r="C48" s="352" t="s">
        <v>12</v>
      </c>
      <c r="D48" s="141" t="s">
        <v>13</v>
      </c>
      <c r="E48" s="96">
        <v>40</v>
      </c>
      <c r="F48" s="1482"/>
      <c r="G48" s="95"/>
      <c r="H48" s="946"/>
    </row>
    <row r="49" spans="1:8" x14ac:dyDescent="0.25">
      <c r="A49" s="215">
        <v>41622</v>
      </c>
      <c r="B49" s="862" t="s">
        <v>326</v>
      </c>
      <c r="C49" s="352" t="s">
        <v>12</v>
      </c>
      <c r="D49" s="141" t="s">
        <v>15</v>
      </c>
      <c r="E49" s="96">
        <v>30</v>
      </c>
      <c r="F49" s="1482"/>
      <c r="G49" s="95"/>
      <c r="H49" s="946"/>
    </row>
    <row r="50" spans="1:8" x14ac:dyDescent="0.25">
      <c r="A50" s="215">
        <v>41622</v>
      </c>
      <c r="B50" s="862" t="s">
        <v>327</v>
      </c>
      <c r="C50" s="352" t="s">
        <v>12</v>
      </c>
      <c r="D50" s="85" t="s">
        <v>15</v>
      </c>
      <c r="E50" s="96">
        <v>25</v>
      </c>
      <c r="F50" s="1482"/>
      <c r="G50" s="95"/>
      <c r="H50" s="946"/>
    </row>
    <row r="51" spans="1:8" x14ac:dyDescent="0.25">
      <c r="A51" s="215">
        <v>41622</v>
      </c>
      <c r="B51" s="862" t="s">
        <v>328</v>
      </c>
      <c r="C51" s="352" t="s">
        <v>12</v>
      </c>
      <c r="D51" s="141" t="s">
        <v>15</v>
      </c>
      <c r="E51" s="96">
        <v>50</v>
      </c>
      <c r="F51" s="1482"/>
      <c r="G51" s="95"/>
      <c r="H51" s="946"/>
    </row>
    <row r="52" spans="1:8" x14ac:dyDescent="0.25">
      <c r="A52" s="215">
        <v>41622</v>
      </c>
      <c r="B52" s="862" t="s">
        <v>329</v>
      </c>
      <c r="C52" s="352" t="s">
        <v>12</v>
      </c>
      <c r="D52" s="145" t="s">
        <v>15</v>
      </c>
      <c r="E52" s="137">
        <v>20</v>
      </c>
      <c r="F52" s="1482"/>
      <c r="G52" s="95"/>
      <c r="H52" s="946"/>
    </row>
    <row r="53" spans="1:8" x14ac:dyDescent="0.25">
      <c r="A53" s="215">
        <v>41622</v>
      </c>
      <c r="B53" s="862" t="s">
        <v>330</v>
      </c>
      <c r="C53" s="352" t="s">
        <v>12</v>
      </c>
      <c r="D53" s="85" t="s">
        <v>15</v>
      </c>
      <c r="E53" s="96">
        <v>16</v>
      </c>
      <c r="F53" s="1482"/>
      <c r="G53" s="95"/>
      <c r="H53" s="946"/>
    </row>
    <row r="54" spans="1:8" x14ac:dyDescent="0.25">
      <c r="A54" s="215">
        <v>41623</v>
      </c>
      <c r="B54" s="364" t="s">
        <v>256</v>
      </c>
      <c r="C54" s="879"/>
      <c r="D54" s="887"/>
      <c r="E54" s="250"/>
      <c r="F54" s="1473">
        <v>248</v>
      </c>
      <c r="G54" s="250">
        <v>248</v>
      </c>
      <c r="H54" s="946"/>
    </row>
    <row r="55" spans="1:8" x14ac:dyDescent="0.25">
      <c r="A55" s="247">
        <v>41623</v>
      </c>
      <c r="B55" s="479" t="s">
        <v>80</v>
      </c>
      <c r="C55" s="350" t="s">
        <v>12</v>
      </c>
      <c r="D55" s="141" t="s">
        <v>13</v>
      </c>
      <c r="E55" s="97">
        <v>23.85</v>
      </c>
      <c r="F55" s="946"/>
      <c r="G55" s="95"/>
      <c r="H55" s="946"/>
    </row>
    <row r="56" spans="1:8" x14ac:dyDescent="0.25">
      <c r="A56" s="215">
        <v>41623</v>
      </c>
      <c r="B56" s="79" t="s">
        <v>331</v>
      </c>
      <c r="C56" s="352" t="s">
        <v>12</v>
      </c>
      <c r="D56" s="142" t="s">
        <v>13</v>
      </c>
      <c r="E56" s="96">
        <v>24.85</v>
      </c>
      <c r="F56" s="1482"/>
      <c r="G56" s="94"/>
      <c r="H56" s="1482"/>
    </row>
    <row r="57" spans="1:8" x14ac:dyDescent="0.25">
      <c r="A57" s="247">
        <v>41623</v>
      </c>
      <c r="B57" s="479" t="s">
        <v>332</v>
      </c>
      <c r="C57" s="350" t="s">
        <v>12</v>
      </c>
      <c r="D57" s="141" t="s">
        <v>13</v>
      </c>
      <c r="E57" s="97">
        <v>23</v>
      </c>
      <c r="F57" s="946"/>
      <c r="G57" s="95"/>
      <c r="H57" s="946"/>
    </row>
    <row r="58" spans="1:8" x14ac:dyDescent="0.25">
      <c r="A58" s="247">
        <v>41623</v>
      </c>
      <c r="B58" s="479" t="s">
        <v>80</v>
      </c>
      <c r="C58" s="350" t="s">
        <v>12</v>
      </c>
      <c r="D58" s="141" t="s">
        <v>13</v>
      </c>
      <c r="E58" s="97">
        <v>18</v>
      </c>
      <c r="F58" s="946"/>
      <c r="G58" s="95"/>
      <c r="H58" s="946"/>
    </row>
    <row r="59" spans="1:8" s="224" customFormat="1" x14ac:dyDescent="0.25">
      <c r="A59" s="215">
        <v>41624</v>
      </c>
      <c r="B59" s="364" t="s">
        <v>32</v>
      </c>
      <c r="C59" s="879" t="s">
        <v>12</v>
      </c>
      <c r="D59" s="887" t="s">
        <v>15</v>
      </c>
      <c r="E59" s="250">
        <v>5</v>
      </c>
      <c r="F59" s="1473"/>
      <c r="G59" s="250"/>
      <c r="H59" s="1473"/>
    </row>
    <row r="60" spans="1:8" s="224" customFormat="1" x14ac:dyDescent="0.25">
      <c r="A60" s="215">
        <v>41625</v>
      </c>
      <c r="B60" s="862" t="s">
        <v>32</v>
      </c>
      <c r="C60" s="879" t="s">
        <v>12</v>
      </c>
      <c r="D60" s="887" t="s">
        <v>15</v>
      </c>
      <c r="E60" s="250">
        <v>5</v>
      </c>
      <c r="F60" s="1473"/>
      <c r="G60" s="252"/>
      <c r="H60" s="1473"/>
    </row>
    <row r="61" spans="1:8" s="224" customFormat="1" x14ac:dyDescent="0.25">
      <c r="A61" s="215">
        <v>41625</v>
      </c>
      <c r="B61" s="862" t="s">
        <v>14</v>
      </c>
      <c r="C61" s="879" t="s">
        <v>12</v>
      </c>
      <c r="D61" s="887" t="s">
        <v>15</v>
      </c>
      <c r="E61" s="250">
        <v>2</v>
      </c>
      <c r="F61" s="1473"/>
      <c r="G61" s="252"/>
      <c r="H61" s="1473"/>
    </row>
    <row r="62" spans="1:8" x14ac:dyDescent="0.25">
      <c r="A62" s="215">
        <v>41626</v>
      </c>
      <c r="B62" s="349" t="s">
        <v>32</v>
      </c>
      <c r="C62" s="350" t="s">
        <v>12</v>
      </c>
      <c r="D62" s="141" t="s">
        <v>15</v>
      </c>
      <c r="E62" s="97">
        <v>10</v>
      </c>
      <c r="F62" s="946"/>
      <c r="G62" s="95"/>
      <c r="H62" s="946"/>
    </row>
    <row r="63" spans="1:8" x14ac:dyDescent="0.25">
      <c r="A63" s="215">
        <v>41626</v>
      </c>
      <c r="B63" s="349" t="s">
        <v>333</v>
      </c>
      <c r="C63" s="350" t="s">
        <v>12</v>
      </c>
      <c r="D63" s="141" t="s">
        <v>15</v>
      </c>
      <c r="E63" s="97">
        <v>30</v>
      </c>
      <c r="F63" s="946"/>
      <c r="G63" s="95"/>
      <c r="H63" s="946"/>
    </row>
    <row r="64" spans="1:8" x14ac:dyDescent="0.25">
      <c r="A64" s="215">
        <v>41626</v>
      </c>
      <c r="B64" s="349" t="s">
        <v>138</v>
      </c>
      <c r="C64" s="350" t="s">
        <v>12</v>
      </c>
      <c r="D64" s="141" t="s">
        <v>15</v>
      </c>
      <c r="E64" s="97">
        <v>10</v>
      </c>
      <c r="F64" s="946"/>
      <c r="G64" s="95"/>
      <c r="H64" s="946"/>
    </row>
    <row r="65" spans="1:8" x14ac:dyDescent="0.25">
      <c r="A65" s="215">
        <v>41627</v>
      </c>
      <c r="B65" s="349" t="s">
        <v>32</v>
      </c>
      <c r="C65" s="350" t="s">
        <v>12</v>
      </c>
      <c r="D65" s="141" t="s">
        <v>15</v>
      </c>
      <c r="E65" s="97">
        <v>6</v>
      </c>
      <c r="F65" s="946"/>
      <c r="G65" s="95"/>
      <c r="H65" s="946"/>
    </row>
    <row r="66" spans="1:8" x14ac:dyDescent="0.25">
      <c r="A66" s="215">
        <v>41627</v>
      </c>
      <c r="B66" s="349" t="s">
        <v>334</v>
      </c>
      <c r="C66" s="350" t="s">
        <v>12</v>
      </c>
      <c r="D66" s="141" t="s">
        <v>15</v>
      </c>
      <c r="E66" s="97">
        <v>80</v>
      </c>
      <c r="F66" s="946"/>
      <c r="G66" s="95"/>
      <c r="H66" s="946"/>
    </row>
    <row r="67" spans="1:8" s="224" customFormat="1" x14ac:dyDescent="0.25">
      <c r="A67" s="215">
        <v>41628</v>
      </c>
      <c r="B67" s="349" t="s">
        <v>335</v>
      </c>
      <c r="C67" s="350" t="s">
        <v>12</v>
      </c>
      <c r="D67" s="141" t="s">
        <v>25</v>
      </c>
      <c r="E67" s="250"/>
      <c r="F67" s="1473">
        <v>594</v>
      </c>
      <c r="G67" s="252"/>
      <c r="H67" s="1473"/>
    </row>
    <row r="68" spans="1:8" x14ac:dyDescent="0.25">
      <c r="A68" s="215">
        <v>41628</v>
      </c>
      <c r="B68" s="862" t="s">
        <v>336</v>
      </c>
      <c r="C68" s="879" t="s">
        <v>12</v>
      </c>
      <c r="D68" s="887" t="s">
        <v>25</v>
      </c>
      <c r="E68" s="97"/>
      <c r="F68" s="946">
        <v>676.5</v>
      </c>
      <c r="G68" s="516"/>
      <c r="H68" s="946"/>
    </row>
    <row r="69" spans="1:8" s="224" customFormat="1" x14ac:dyDescent="0.25">
      <c r="A69" s="215">
        <v>41628</v>
      </c>
      <c r="B69" s="349" t="s">
        <v>337</v>
      </c>
      <c r="C69" s="879" t="s">
        <v>12</v>
      </c>
      <c r="D69" s="983" t="s">
        <v>25</v>
      </c>
      <c r="E69" s="250"/>
      <c r="F69" s="1473">
        <v>165</v>
      </c>
      <c r="G69" s="252"/>
      <c r="H69" s="1473"/>
    </row>
    <row r="70" spans="1:8" s="224" customFormat="1" x14ac:dyDescent="0.25">
      <c r="A70" s="215">
        <v>41628</v>
      </c>
      <c r="B70" s="349" t="s">
        <v>260</v>
      </c>
      <c r="C70" s="350"/>
      <c r="D70" s="141"/>
      <c r="E70" s="250">
        <v>950</v>
      </c>
      <c r="F70" s="1473"/>
      <c r="G70" s="252"/>
      <c r="H70" s="1473">
        <v>950</v>
      </c>
    </row>
    <row r="71" spans="1:8" x14ac:dyDescent="0.25">
      <c r="A71" s="215">
        <v>41628</v>
      </c>
      <c r="B71" s="349" t="s">
        <v>32</v>
      </c>
      <c r="C71" s="350" t="s">
        <v>12</v>
      </c>
      <c r="D71" s="141" t="s">
        <v>15</v>
      </c>
      <c r="E71" s="97">
        <v>6</v>
      </c>
      <c r="F71" s="946"/>
      <c r="G71" s="95"/>
      <c r="H71" s="946"/>
    </row>
    <row r="72" spans="1:8" x14ac:dyDescent="0.25">
      <c r="A72" s="215">
        <v>41629</v>
      </c>
      <c r="B72" s="349" t="s">
        <v>338</v>
      </c>
      <c r="C72" s="350" t="s">
        <v>12</v>
      </c>
      <c r="D72" s="141" t="s">
        <v>13</v>
      </c>
      <c r="E72" s="97">
        <v>30</v>
      </c>
      <c r="F72" s="946"/>
      <c r="G72" s="95"/>
      <c r="H72" s="946"/>
    </row>
    <row r="73" spans="1:8" x14ac:dyDescent="0.25">
      <c r="A73" s="215">
        <v>41629</v>
      </c>
      <c r="B73" s="349" t="s">
        <v>138</v>
      </c>
      <c r="C73" s="350" t="s">
        <v>12</v>
      </c>
      <c r="D73" s="141" t="s">
        <v>15</v>
      </c>
      <c r="E73" s="97">
        <v>10</v>
      </c>
      <c r="F73" s="946"/>
      <c r="G73" s="95"/>
      <c r="H73" s="946"/>
    </row>
    <row r="74" spans="1:8" x14ac:dyDescent="0.25">
      <c r="A74" s="215">
        <v>41630</v>
      </c>
      <c r="B74" s="349"/>
      <c r="C74" s="350"/>
      <c r="D74" s="141"/>
      <c r="E74" s="97"/>
      <c r="F74" s="946"/>
      <c r="G74" s="95"/>
      <c r="H74" s="946"/>
    </row>
    <row r="75" spans="1:8" x14ac:dyDescent="0.25">
      <c r="A75" s="215">
        <v>41631</v>
      </c>
      <c r="B75" s="349" t="s">
        <v>32</v>
      </c>
      <c r="C75" s="350" t="s">
        <v>12</v>
      </c>
      <c r="D75" s="141" t="s">
        <v>13</v>
      </c>
      <c r="E75" s="97">
        <v>18.399999999999999</v>
      </c>
      <c r="F75" s="946"/>
      <c r="G75" s="95"/>
      <c r="H75" s="946"/>
    </row>
    <row r="76" spans="1:8" x14ac:dyDescent="0.25">
      <c r="A76" s="215">
        <v>41631</v>
      </c>
      <c r="B76" s="349" t="s">
        <v>138</v>
      </c>
      <c r="C76" s="350" t="s">
        <v>12</v>
      </c>
      <c r="D76" s="141" t="s">
        <v>13</v>
      </c>
      <c r="E76" s="97">
        <v>20</v>
      </c>
      <c r="F76" s="946"/>
      <c r="G76" s="95"/>
      <c r="H76" s="946"/>
    </row>
    <row r="77" spans="1:8" x14ac:dyDescent="0.25">
      <c r="A77" s="215">
        <v>41632</v>
      </c>
      <c r="B77" s="349" t="s">
        <v>339</v>
      </c>
      <c r="C77" s="350" t="s">
        <v>12</v>
      </c>
      <c r="D77" s="141" t="s">
        <v>15</v>
      </c>
      <c r="E77" s="97">
        <v>3</v>
      </c>
      <c r="F77" s="946"/>
      <c r="G77" s="95"/>
      <c r="H77" s="946"/>
    </row>
    <row r="78" spans="1:8" x14ac:dyDescent="0.25">
      <c r="A78" s="215">
        <v>41632</v>
      </c>
      <c r="B78" s="349" t="s">
        <v>138</v>
      </c>
      <c r="C78" s="350" t="s">
        <v>12</v>
      </c>
      <c r="D78" s="141" t="s">
        <v>13</v>
      </c>
      <c r="E78" s="97">
        <v>20</v>
      </c>
      <c r="F78" s="946"/>
      <c r="G78" s="95"/>
      <c r="H78" s="946"/>
    </row>
    <row r="79" spans="1:8" x14ac:dyDescent="0.25">
      <c r="A79" s="215">
        <v>41633</v>
      </c>
      <c r="B79" s="349"/>
      <c r="C79" s="350"/>
      <c r="D79" s="141"/>
      <c r="E79" s="97"/>
      <c r="F79" s="946"/>
      <c r="G79" s="95"/>
      <c r="H79" s="946"/>
    </row>
    <row r="80" spans="1:8" s="224" customFormat="1" x14ac:dyDescent="0.25">
      <c r="A80" s="215">
        <v>41634</v>
      </c>
      <c r="B80" s="862" t="s">
        <v>32</v>
      </c>
      <c r="C80" s="879" t="s">
        <v>12</v>
      </c>
      <c r="D80" s="887" t="s">
        <v>15</v>
      </c>
      <c r="E80" s="250">
        <v>5</v>
      </c>
      <c r="F80" s="1473"/>
      <c r="G80" s="252"/>
      <c r="H80" s="1473"/>
    </row>
    <row r="81" spans="1:8" x14ac:dyDescent="0.25">
      <c r="A81" s="215">
        <v>41634</v>
      </c>
      <c r="B81" s="349" t="s">
        <v>138</v>
      </c>
      <c r="C81" s="350" t="s">
        <v>12</v>
      </c>
      <c r="D81" s="141" t="s">
        <v>13</v>
      </c>
      <c r="E81" s="97">
        <v>20</v>
      </c>
      <c r="F81" s="946"/>
      <c r="G81" s="95"/>
      <c r="H81" s="946"/>
    </row>
    <row r="82" spans="1:8" s="224" customFormat="1" x14ac:dyDescent="0.25">
      <c r="A82" s="215">
        <v>41635</v>
      </c>
      <c r="B82" s="862" t="s">
        <v>32</v>
      </c>
      <c r="C82" s="879" t="s">
        <v>12</v>
      </c>
      <c r="D82" s="887" t="s">
        <v>15</v>
      </c>
      <c r="E82" s="250">
        <v>10</v>
      </c>
      <c r="F82" s="1473"/>
      <c r="G82" s="252"/>
      <c r="H82" s="1473"/>
    </row>
    <row r="83" spans="1:8" s="224" customFormat="1" x14ac:dyDescent="0.25">
      <c r="A83" s="215">
        <v>41635</v>
      </c>
      <c r="B83" s="862" t="s">
        <v>14</v>
      </c>
      <c r="C83" s="879" t="s">
        <v>12</v>
      </c>
      <c r="D83" s="887" t="s">
        <v>15</v>
      </c>
      <c r="E83" s="250">
        <v>2.5</v>
      </c>
      <c r="F83" s="1473"/>
      <c r="G83" s="252"/>
      <c r="H83" s="1473"/>
    </row>
    <row r="84" spans="1:8" s="224" customFormat="1" x14ac:dyDescent="0.25">
      <c r="A84" s="215">
        <v>41636</v>
      </c>
      <c r="B84" s="862"/>
      <c r="C84" s="105"/>
      <c r="D84" s="887"/>
      <c r="E84" s="250"/>
      <c r="F84" s="1473"/>
      <c r="G84" s="252"/>
      <c r="H84" s="1473"/>
    </row>
    <row r="85" spans="1:8" s="224" customFormat="1" x14ac:dyDescent="0.25">
      <c r="A85" s="215">
        <v>41637</v>
      </c>
      <c r="B85" s="862" t="s">
        <v>340</v>
      </c>
      <c r="C85" s="105" t="s">
        <v>12</v>
      </c>
      <c r="D85" s="887" t="s">
        <v>13</v>
      </c>
      <c r="E85" s="250">
        <v>87.37</v>
      </c>
      <c r="F85" s="1473"/>
      <c r="G85" s="252"/>
      <c r="H85" s="1473"/>
    </row>
    <row r="86" spans="1:8" s="224" customFormat="1" x14ac:dyDescent="0.25">
      <c r="A86" s="215">
        <v>41637</v>
      </c>
      <c r="B86" s="862" t="s">
        <v>341</v>
      </c>
      <c r="C86" s="105" t="s">
        <v>12</v>
      </c>
      <c r="D86" s="887" t="s">
        <v>13</v>
      </c>
      <c r="E86" s="250">
        <v>25</v>
      </c>
      <c r="F86" s="1473"/>
      <c r="G86" s="252"/>
      <c r="H86" s="1473"/>
    </row>
    <row r="87" spans="1:8" s="224" customFormat="1" x14ac:dyDescent="0.25">
      <c r="A87" s="215">
        <v>41637</v>
      </c>
      <c r="B87" s="862" t="s">
        <v>342</v>
      </c>
      <c r="C87" s="105" t="s">
        <v>12</v>
      </c>
      <c r="D87" s="887" t="s">
        <v>15</v>
      </c>
      <c r="E87" s="250">
        <v>10</v>
      </c>
      <c r="F87" s="1473"/>
      <c r="G87" s="252"/>
      <c r="H87" s="1473"/>
    </row>
    <row r="88" spans="1:8" s="224" customFormat="1" x14ac:dyDescent="0.25">
      <c r="A88" s="215">
        <v>41638</v>
      </c>
      <c r="B88" s="862" t="s">
        <v>138</v>
      </c>
      <c r="C88" s="879" t="s">
        <v>12</v>
      </c>
      <c r="D88" s="887" t="s">
        <v>13</v>
      </c>
      <c r="E88" s="250">
        <v>30</v>
      </c>
      <c r="F88" s="1473"/>
      <c r="G88" s="252"/>
      <c r="H88" s="1473"/>
    </row>
    <row r="89" spans="1:8" s="224" customFormat="1" ht="15.75" thickBot="1" x14ac:dyDescent="0.3">
      <c r="A89" s="215">
        <v>41639</v>
      </c>
      <c r="B89" s="862"/>
      <c r="C89" s="879"/>
      <c r="D89" s="887"/>
      <c r="E89" s="250"/>
      <c r="F89" s="1473"/>
      <c r="G89" s="252"/>
      <c r="H89" s="1473"/>
    </row>
    <row r="90" spans="1:8" ht="25.5" customHeight="1" thickBot="1" x14ac:dyDescent="0.3">
      <c r="A90" s="3060"/>
      <c r="B90" s="3061"/>
      <c r="C90" s="3062"/>
      <c r="D90" s="3062"/>
      <c r="E90" s="100">
        <f>SUM(E5:E89)</f>
        <v>4084.1499999999996</v>
      </c>
      <c r="F90" s="1065" t="e">
        <f>SUM(F5:F89)</f>
        <v>#REF!</v>
      </c>
      <c r="G90" s="101">
        <f>SUM(G5:G89)</f>
        <v>1644</v>
      </c>
      <c r="H90" s="93">
        <f>SUM(H5:H89)</f>
        <v>2948</v>
      </c>
    </row>
    <row r="91" spans="1:8" ht="25.5" customHeight="1" thickBot="1" x14ac:dyDescent="0.3">
      <c r="A91" s="3077" t="s">
        <v>49</v>
      </c>
      <c r="B91" s="3078"/>
      <c r="C91" s="3078"/>
      <c r="D91" s="3078"/>
      <c r="E91" s="102"/>
      <c r="F91" s="1478" t="e">
        <f>F90-E90</f>
        <v>#REF!</v>
      </c>
      <c r="G91" s="104"/>
      <c r="H91" s="103">
        <f>H90-G90</f>
        <v>1304</v>
      </c>
    </row>
    <row r="93" spans="1:8" x14ac:dyDescent="0.25">
      <c r="B93" s="79" t="s">
        <v>32</v>
      </c>
      <c r="C93" s="484">
        <v>112.65</v>
      </c>
    </row>
    <row r="94" spans="1:8" x14ac:dyDescent="0.25">
      <c r="B94" s="79" t="s">
        <v>16</v>
      </c>
      <c r="C94" s="484">
        <v>220</v>
      </c>
    </row>
    <row r="95" spans="1:8" x14ac:dyDescent="0.25">
      <c r="B95" s="79" t="s">
        <v>50</v>
      </c>
      <c r="C95" s="484">
        <v>149</v>
      </c>
    </row>
    <row r="96" spans="1:8" s="85" customFormat="1" x14ac:dyDescent="0.25">
      <c r="A96" s="79"/>
      <c r="B96" s="79" t="s">
        <v>14</v>
      </c>
      <c r="C96" s="475">
        <v>14</v>
      </c>
      <c r="E96" s="89"/>
      <c r="F96" s="79"/>
      <c r="G96" s="79"/>
      <c r="H96" s="79"/>
    </row>
    <row r="97" spans="1:8" s="85" customFormat="1" x14ac:dyDescent="0.25">
      <c r="A97" s="79"/>
      <c r="B97" s="79" t="s">
        <v>51</v>
      </c>
      <c r="C97" s="475">
        <v>68.89</v>
      </c>
      <c r="E97" s="89"/>
      <c r="F97" s="79"/>
      <c r="G97" s="79"/>
      <c r="H97" s="79"/>
    </row>
    <row r="98" spans="1:8" s="85" customFormat="1" x14ac:dyDescent="0.25">
      <c r="A98" s="79"/>
      <c r="B98" s="79" t="s">
        <v>52</v>
      </c>
      <c r="C98" s="475">
        <v>50</v>
      </c>
      <c r="E98" s="89"/>
      <c r="F98" s="79"/>
      <c r="G98" s="79"/>
      <c r="H98" s="79"/>
    </row>
    <row r="99" spans="1:8" s="85" customFormat="1" x14ac:dyDescent="0.25">
      <c r="A99" s="79"/>
      <c r="B99" s="867" t="s">
        <v>53</v>
      </c>
      <c r="C99" s="475">
        <v>218</v>
      </c>
      <c r="E99" s="89"/>
      <c r="F99" s="79"/>
      <c r="G99" s="79"/>
      <c r="H99" s="79"/>
    </row>
    <row r="100" spans="1:8" s="85" customFormat="1" x14ac:dyDescent="0.25">
      <c r="A100" s="79"/>
      <c r="B100" s="79" t="s">
        <v>56</v>
      </c>
      <c r="C100" s="475">
        <v>93.2</v>
      </c>
      <c r="E100" s="89"/>
      <c r="F100" s="79"/>
      <c r="G100" s="79"/>
      <c r="H100" s="79"/>
    </row>
    <row r="101" spans="1:8" s="85" customFormat="1" x14ac:dyDescent="0.25">
      <c r="A101" s="79"/>
      <c r="B101" s="79" t="s">
        <v>57</v>
      </c>
      <c r="C101" s="475">
        <v>269.22000000000003</v>
      </c>
      <c r="E101" s="89"/>
      <c r="F101" s="79"/>
      <c r="G101" s="79"/>
      <c r="H101" s="79"/>
    </row>
  </sheetData>
  <autoFilter ref="A2:H91" xr:uid="{00000000-0009-0000-0000-00000B000000}">
    <filterColumn colId="4" showButton="0"/>
    <filterColumn colId="6" showButton="0"/>
  </autoFilter>
  <mergeCells count="10">
    <mergeCell ref="A90:D90"/>
    <mergeCell ref="A91:D91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3"/>
  <dimension ref="A1:R80"/>
  <sheetViews>
    <sheetView workbookViewId="0">
      <selection activeCell="C12" sqref="C12:O12"/>
    </sheetView>
  </sheetViews>
  <sheetFormatPr defaultColWidth="9.140625" defaultRowHeight="15" x14ac:dyDescent="0.25"/>
  <cols>
    <col min="1" max="1" width="28.7109375" style="79" customWidth="1"/>
    <col min="2" max="2" width="17.5703125" style="79" customWidth="1"/>
    <col min="3" max="3" width="15.140625" style="89" customWidth="1"/>
    <col min="4" max="5" width="13.42578125" style="85" bestFit="1" customWidth="1"/>
    <col min="6" max="6" width="13.42578125" style="89" bestFit="1" customWidth="1"/>
    <col min="7" max="11" width="13.42578125" style="79" bestFit="1" customWidth="1"/>
    <col min="12" max="12" width="13.42578125" style="79" customWidth="1"/>
    <col min="13" max="13" width="15.28515625" style="79" customWidth="1"/>
    <col min="14" max="14" width="17.7109375" style="79" bestFit="1" customWidth="1"/>
    <col min="15" max="15" width="17.7109375" style="79" customWidth="1"/>
    <col min="16" max="16384" width="9.140625" style="79"/>
  </cols>
  <sheetData>
    <row r="1" spans="1:18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</row>
    <row r="2" spans="1:18" ht="15.75" x14ac:dyDescent="0.25">
      <c r="A2" s="333" t="s">
        <v>343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  <c r="Q2" s="329"/>
      <c r="R2" s="329"/>
    </row>
    <row r="3" spans="1:18" x14ac:dyDescent="0.25">
      <c r="A3" s="329" t="s">
        <v>32</v>
      </c>
      <c r="B3" s="336">
        <f>C3/12</f>
        <v>115.64083333333333</v>
      </c>
      <c r="C3" s="332">
        <f t="shared" ref="C3:C13" si="0">D3+E3+F3+G3+H3+I3+J3+K3+L3+M3+N3+O3</f>
        <v>1387.69</v>
      </c>
      <c r="D3" s="337">
        <f>'Janeiro 13'!C77</f>
        <v>80.349999999999994</v>
      </c>
      <c r="E3" s="338">
        <f>'Fevereiro 13'!C80</f>
        <v>88.5</v>
      </c>
      <c r="F3" s="337">
        <f>'Março 13'!C74</f>
        <v>116.84</v>
      </c>
      <c r="G3" s="337">
        <f>'Abril 13'!C83</f>
        <v>97.75</v>
      </c>
      <c r="H3" s="337">
        <f>'Maio 13'!C82</f>
        <v>110.5</v>
      </c>
      <c r="I3" s="337">
        <f>'Junho 13'!C73</f>
        <v>125.35</v>
      </c>
      <c r="J3" s="337">
        <f>'Julho 13'!C86</f>
        <v>146.75</v>
      </c>
      <c r="K3" s="337">
        <f>'Agosto 13'!C76</f>
        <v>129.25</v>
      </c>
      <c r="L3" s="337">
        <f>'Setembro 13'!C83</f>
        <v>162.75</v>
      </c>
      <c r="M3" s="388">
        <f>'Outubro-13'!C96</f>
        <v>158</v>
      </c>
      <c r="N3" s="388">
        <f>'Novembro-13'!C78</f>
        <v>59</v>
      </c>
      <c r="O3" s="388">
        <f>'Dezembro-13'!C93</f>
        <v>112.65</v>
      </c>
      <c r="P3" s="329"/>
      <c r="Q3" s="329"/>
      <c r="R3" s="329"/>
    </row>
    <row r="4" spans="1:18" x14ac:dyDescent="0.25">
      <c r="A4" s="329" t="s">
        <v>16</v>
      </c>
      <c r="B4" s="336">
        <f>C4/12</f>
        <v>190.39583333333334</v>
      </c>
      <c r="C4" s="332">
        <f t="shared" si="0"/>
        <v>2284.75</v>
      </c>
      <c r="D4" s="337">
        <f>'Janeiro 13'!C78</f>
        <v>170</v>
      </c>
      <c r="E4" s="338">
        <f>'Fevereiro 13'!C81</f>
        <v>166</v>
      </c>
      <c r="F4" s="337">
        <f>'Março 13'!C75</f>
        <v>218.75</v>
      </c>
      <c r="G4" s="337">
        <f>'Abril 13'!C84</f>
        <v>200</v>
      </c>
      <c r="H4" s="337">
        <f>'Maio 13'!C83</f>
        <v>150</v>
      </c>
      <c r="I4" s="337">
        <f>'Junho 13'!C74</f>
        <v>140</v>
      </c>
      <c r="J4" s="337">
        <f>'Julho 13'!C87</f>
        <v>210</v>
      </c>
      <c r="K4" s="337">
        <f>'Agosto 13'!C77</f>
        <v>140</v>
      </c>
      <c r="L4" s="337">
        <f>'Setembro 13'!C84</f>
        <v>150</v>
      </c>
      <c r="M4" s="388">
        <f>'Outubro-13'!C97</f>
        <v>180</v>
      </c>
      <c r="N4" s="388">
        <f>'Novembro-13'!C79</f>
        <v>340</v>
      </c>
      <c r="O4" s="388">
        <f>'Dezembro-13'!C94</f>
        <v>220</v>
      </c>
      <c r="P4" s="329"/>
      <c r="Q4" s="329"/>
      <c r="R4" s="329"/>
    </row>
    <row r="5" spans="1:18" x14ac:dyDescent="0.25">
      <c r="A5" s="329" t="s">
        <v>50</v>
      </c>
      <c r="B5" s="336">
        <f t="shared" ref="B5:B12" si="1">C5/12</f>
        <v>55.290833333333332</v>
      </c>
      <c r="C5" s="332">
        <f t="shared" si="0"/>
        <v>663.49</v>
      </c>
      <c r="D5" s="337">
        <f>'Janeiro 13'!C79</f>
        <v>87.04</v>
      </c>
      <c r="E5" s="338">
        <f>'Fevereiro 13'!C82</f>
        <v>112.53</v>
      </c>
      <c r="F5" s="337">
        <f>'Março 13'!C76</f>
        <v>11.8</v>
      </c>
      <c r="G5" s="337">
        <f>'Abril 13'!C85</f>
        <v>35.75</v>
      </c>
      <c r="H5" s="337">
        <f>'Maio 13'!C84</f>
        <v>55.65</v>
      </c>
      <c r="I5" s="337">
        <f>'Junho 13'!C75</f>
        <v>0</v>
      </c>
      <c r="J5" s="337">
        <f>'Julho 13'!C88</f>
        <v>12.5</v>
      </c>
      <c r="K5" s="337">
        <f>'Agosto 13'!C78</f>
        <v>26</v>
      </c>
      <c r="L5" s="337">
        <f>'Setembro 13'!C85</f>
        <v>24.9</v>
      </c>
      <c r="M5" s="388">
        <f>'Outubro-13'!C98</f>
        <v>46.32</v>
      </c>
      <c r="N5" s="388">
        <f>'Novembro-13'!C80</f>
        <v>102</v>
      </c>
      <c r="O5" s="388">
        <f>'Dezembro-13'!C95</f>
        <v>149</v>
      </c>
      <c r="P5" s="329"/>
      <c r="Q5" s="329"/>
      <c r="R5" s="329"/>
    </row>
    <row r="6" spans="1:18" x14ac:dyDescent="0.25">
      <c r="A6" s="329" t="s">
        <v>14</v>
      </c>
      <c r="B6" s="336">
        <f t="shared" si="1"/>
        <v>22.872500000000002</v>
      </c>
      <c r="C6" s="332">
        <f t="shared" si="0"/>
        <v>274.47000000000003</v>
      </c>
      <c r="D6" s="337">
        <f>'Janeiro 13'!C80</f>
        <v>33.9</v>
      </c>
      <c r="E6" s="338">
        <f>'Fevereiro 13'!C83</f>
        <v>5</v>
      </c>
      <c r="F6" s="337">
        <f>'Março 13'!C77</f>
        <v>12.6</v>
      </c>
      <c r="G6" s="337">
        <f>'Abril 13'!C86</f>
        <v>23</v>
      </c>
      <c r="H6" s="337">
        <f>'Maio 13'!C85</f>
        <v>41.39</v>
      </c>
      <c r="I6" s="337">
        <f>'Junho 13'!C76</f>
        <v>33.880000000000003</v>
      </c>
      <c r="J6" s="337">
        <f>'Julho 13'!C89</f>
        <v>6.1</v>
      </c>
      <c r="K6" s="337">
        <f>'Agosto 13'!C79</f>
        <v>22</v>
      </c>
      <c r="L6" s="337">
        <f>'Setembro 13'!C86</f>
        <v>40.9</v>
      </c>
      <c r="M6" s="388">
        <f>'Outubro-13'!C99</f>
        <v>21.4</v>
      </c>
      <c r="N6" s="388">
        <f>'Novembro-13'!C81</f>
        <v>20.3</v>
      </c>
      <c r="O6" s="388">
        <f>'Dezembro-13'!C96</f>
        <v>14</v>
      </c>
      <c r="P6" s="329"/>
      <c r="Q6" s="329"/>
      <c r="R6" s="329"/>
    </row>
    <row r="7" spans="1:18" x14ac:dyDescent="0.25">
      <c r="A7" s="329" t="s">
        <v>358</v>
      </c>
      <c r="B7" s="336">
        <f t="shared" si="1"/>
        <v>75.222499999999997</v>
      </c>
      <c r="C7" s="332">
        <f t="shared" si="0"/>
        <v>902.67</v>
      </c>
      <c r="D7" s="337">
        <f>'Janeiro 13'!C81</f>
        <v>80.44</v>
      </c>
      <c r="E7" s="338">
        <f>'Fevereiro 13'!C84</f>
        <v>91.5</v>
      </c>
      <c r="F7" s="337">
        <f>'Março 13'!C78</f>
        <v>74.06</v>
      </c>
      <c r="G7" s="337">
        <f>'Abril 13'!C87</f>
        <v>74.849999999999994</v>
      </c>
      <c r="H7" s="337">
        <f>'Maio 13'!C86</f>
        <v>84.42</v>
      </c>
      <c r="I7" s="337">
        <f>'Junho 13'!C77</f>
        <v>77.31</v>
      </c>
      <c r="J7" s="337">
        <f>'Julho 13'!C90</f>
        <v>66.680000000000007</v>
      </c>
      <c r="K7" s="337">
        <f>'Agosto 13'!C80</f>
        <v>70.260000000000005</v>
      </c>
      <c r="L7" s="337">
        <f>'Setembro 13'!C87</f>
        <v>70.349999999999994</v>
      </c>
      <c r="M7" s="388">
        <f>'Outubro-13'!C100</f>
        <v>72.739999999999995</v>
      </c>
      <c r="N7" s="388">
        <f>'Novembro-13'!C82</f>
        <v>71.17</v>
      </c>
      <c r="O7" s="388">
        <f>'Dezembro-13'!C97</f>
        <v>68.89</v>
      </c>
      <c r="P7" s="329"/>
      <c r="Q7" s="329"/>
      <c r="R7" s="329"/>
    </row>
    <row r="8" spans="1:18" x14ac:dyDescent="0.25">
      <c r="A8" s="329" t="s">
        <v>52</v>
      </c>
      <c r="B8" s="336">
        <f t="shared" si="1"/>
        <v>51.688333333333333</v>
      </c>
      <c r="C8" s="332">
        <f t="shared" si="0"/>
        <v>620.26</v>
      </c>
      <c r="D8" s="337">
        <f>'Janeiro 13'!C82</f>
        <v>50</v>
      </c>
      <c r="E8" s="338">
        <f>'Fevereiro 13'!C85</f>
        <v>50</v>
      </c>
      <c r="F8" s="337">
        <f>'Março 13'!C79</f>
        <v>50</v>
      </c>
      <c r="G8" s="337">
        <f>'Abril 13'!C88</f>
        <v>50</v>
      </c>
      <c r="H8" s="337">
        <f>'Maio 13'!C87</f>
        <v>50</v>
      </c>
      <c r="I8" s="337">
        <f>'Junho 13'!C78</f>
        <v>50</v>
      </c>
      <c r="J8" s="337">
        <f>'Julho 13'!C91</f>
        <v>50</v>
      </c>
      <c r="K8" s="337">
        <f>'Agosto 13'!C81</f>
        <v>70.260000000000005</v>
      </c>
      <c r="L8" s="337">
        <f>'Setembro 13'!C88</f>
        <v>50</v>
      </c>
      <c r="M8" s="388">
        <f>'Outubro-13'!C101</f>
        <v>50</v>
      </c>
      <c r="N8" s="388">
        <f>'Novembro-13'!C83</f>
        <v>50</v>
      </c>
      <c r="O8" s="388">
        <f>'Dezembro-13'!C98</f>
        <v>50</v>
      </c>
      <c r="P8" s="329"/>
      <c r="Q8" s="329"/>
      <c r="R8" s="329"/>
    </row>
    <row r="9" spans="1:18" x14ac:dyDescent="0.25">
      <c r="A9" s="329" t="s">
        <v>53</v>
      </c>
      <c r="B9" s="336">
        <f t="shared" si="1"/>
        <v>232.90916666666666</v>
      </c>
      <c r="C9" s="332">
        <f t="shared" si="0"/>
        <v>2794.91</v>
      </c>
      <c r="D9" s="337">
        <f>'Janeiro 13'!C83</f>
        <v>316.22000000000003</v>
      </c>
      <c r="E9" s="338">
        <f>'Fevereiro 13'!C86</f>
        <v>236.5</v>
      </c>
      <c r="F9" s="337">
        <f>'Março 13'!C80</f>
        <v>203.5</v>
      </c>
      <c r="G9" s="337">
        <f>'Abril 13'!C89</f>
        <v>246</v>
      </c>
      <c r="H9" s="337">
        <f>'Maio 13'!C88</f>
        <v>17.8</v>
      </c>
      <c r="I9" s="337">
        <f>'Junho 13'!C79</f>
        <v>11</v>
      </c>
      <c r="J9" s="337">
        <f>'Julho 13'!C92</f>
        <v>0</v>
      </c>
      <c r="K9" s="337">
        <f>'Agosto 13'!C82</f>
        <v>350.38</v>
      </c>
      <c r="L9" s="337">
        <f>'Setembro 13'!C89</f>
        <v>182.51</v>
      </c>
      <c r="M9" s="388">
        <f>'Outubro-13'!C102</f>
        <v>591.5</v>
      </c>
      <c r="N9" s="388">
        <f>'Novembro-13'!C84</f>
        <v>421.5</v>
      </c>
      <c r="O9" s="388">
        <f>'Dezembro-13'!C99</f>
        <v>218</v>
      </c>
      <c r="P9" s="329"/>
      <c r="Q9" s="329"/>
      <c r="R9" s="329"/>
    </row>
    <row r="10" spans="1:18" x14ac:dyDescent="0.25">
      <c r="A10" s="329" t="s">
        <v>359</v>
      </c>
      <c r="B10" s="336">
        <f t="shared" si="1"/>
        <v>122.56083333333333</v>
      </c>
      <c r="C10" s="332">
        <f t="shared" si="0"/>
        <v>1470.73</v>
      </c>
      <c r="D10" s="337">
        <f>'Janeiro 13'!C84</f>
        <v>366</v>
      </c>
      <c r="E10" s="338">
        <f>'Fevereiro 13'!C87</f>
        <v>364.02</v>
      </c>
      <c r="F10" s="337">
        <f>'Março 13'!C81</f>
        <v>364.02</v>
      </c>
      <c r="G10" s="337">
        <f>'Abril 13'!C90</f>
        <v>0</v>
      </c>
      <c r="H10" s="337">
        <f>'Maio 13'!C89</f>
        <v>376.69</v>
      </c>
      <c r="I10" s="337">
        <v>0</v>
      </c>
      <c r="J10" s="337">
        <v>0</v>
      </c>
      <c r="K10" s="337">
        <v>0</v>
      </c>
      <c r="L10" s="337">
        <v>0</v>
      </c>
      <c r="M10" s="388">
        <v>0</v>
      </c>
      <c r="N10" s="388">
        <v>0</v>
      </c>
      <c r="O10" s="388">
        <v>0</v>
      </c>
      <c r="P10" s="329"/>
      <c r="Q10" s="329"/>
      <c r="R10" s="329"/>
    </row>
    <row r="11" spans="1:18" x14ac:dyDescent="0.25">
      <c r="A11" s="329" t="s">
        <v>360</v>
      </c>
      <c r="B11" s="336">
        <f t="shared" si="1"/>
        <v>35</v>
      </c>
      <c r="C11" s="332">
        <f t="shared" si="0"/>
        <v>420</v>
      </c>
      <c r="D11" s="337">
        <f>'Janeiro 13'!C85</f>
        <v>140</v>
      </c>
      <c r="E11" s="338">
        <f>'Fevereiro 13'!C88</f>
        <v>140</v>
      </c>
      <c r="F11" s="338">
        <f>'Março 13'!C82</f>
        <v>140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29"/>
      <c r="Q11" s="329"/>
      <c r="R11" s="329"/>
    </row>
    <row r="12" spans="1:18" x14ac:dyDescent="0.25">
      <c r="A12" s="329" t="s">
        <v>56</v>
      </c>
      <c r="B12" s="336">
        <f t="shared" si="1"/>
        <v>76.815833333333345</v>
      </c>
      <c r="C12" s="332">
        <f t="shared" si="0"/>
        <v>921.79000000000019</v>
      </c>
      <c r="D12" s="338">
        <f>'Janeiro 13'!C86</f>
        <v>66</v>
      </c>
      <c r="E12" s="338">
        <f>'Fevereiro 13'!C89</f>
        <v>138.96</v>
      </c>
      <c r="F12" s="337">
        <f>'Março 13'!C83</f>
        <v>100</v>
      </c>
      <c r="G12" s="388">
        <f>'Abril 13'!C91</f>
        <v>93</v>
      </c>
      <c r="H12" s="388">
        <f>'Maio 13'!C90</f>
        <v>18</v>
      </c>
      <c r="I12" s="388">
        <f>'Junho 13'!C80</f>
        <v>35</v>
      </c>
      <c r="J12" s="388">
        <f>'Julho 13'!C93</f>
        <v>16</v>
      </c>
      <c r="K12" s="388">
        <f>'Agosto 13'!C83</f>
        <v>109.48</v>
      </c>
      <c r="L12" s="388">
        <f>'Setembro 13'!C90</f>
        <v>95.95</v>
      </c>
      <c r="M12" s="388">
        <f>'Outubro-13'!C103</f>
        <v>40</v>
      </c>
      <c r="N12" s="388">
        <f>'Novembro-13'!C85</f>
        <v>116.2</v>
      </c>
      <c r="O12" s="388">
        <f>'Dezembro-13'!C100</f>
        <v>93.2</v>
      </c>
      <c r="P12" s="329"/>
      <c r="Q12" s="329"/>
      <c r="R12" s="329"/>
    </row>
    <row r="13" spans="1:18" x14ac:dyDescent="0.25">
      <c r="A13" s="329" t="s">
        <v>57</v>
      </c>
      <c r="B13" s="336">
        <f>C13/12</f>
        <v>178.38250000000002</v>
      </c>
      <c r="C13" s="332">
        <f t="shared" si="0"/>
        <v>2140.59</v>
      </c>
      <c r="D13" s="420">
        <f>'Janeiro 13'!C87</f>
        <v>175</v>
      </c>
      <c r="E13" s="338">
        <f>'Fevereiro 13'!C90</f>
        <v>0</v>
      </c>
      <c r="F13" s="337">
        <f>'Março 13'!C84</f>
        <v>109.9</v>
      </c>
      <c r="G13" s="388">
        <f>'Abril 13'!C92</f>
        <v>109.2</v>
      </c>
      <c r="H13" s="388">
        <f>'Maio 13'!C91</f>
        <v>50</v>
      </c>
      <c r="I13" s="388">
        <f>'Junho 13'!C81</f>
        <v>113.09</v>
      </c>
      <c r="J13" s="388">
        <f>'Julho 13'!C94</f>
        <v>251.34</v>
      </c>
      <c r="K13" s="388">
        <f>'Agosto 13'!C84</f>
        <v>151.51</v>
      </c>
      <c r="L13" s="388">
        <f>'Setembro 13'!C91</f>
        <v>424.01</v>
      </c>
      <c r="M13" s="388">
        <f>'Outubro-13'!C104</f>
        <v>202.61</v>
      </c>
      <c r="N13" s="388">
        <f>'Novembro-13'!C86</f>
        <v>284.70999999999998</v>
      </c>
      <c r="O13" s="388">
        <f>'Dezembro-13'!C101</f>
        <v>269.22000000000003</v>
      </c>
    </row>
    <row r="14" spans="1:18" ht="15.75" x14ac:dyDescent="0.25">
      <c r="A14" s="389" t="s">
        <v>361</v>
      </c>
      <c r="B14" s="390">
        <f t="shared" ref="B14:O14" si="2">SUM(B3:B13)</f>
        <v>1156.7791666666667</v>
      </c>
      <c r="C14" s="332">
        <f>SUM(C3:C13)</f>
        <v>13881.350000000002</v>
      </c>
      <c r="D14" s="391">
        <f t="shared" si="2"/>
        <v>1564.95</v>
      </c>
      <c r="E14" s="391">
        <f t="shared" si="2"/>
        <v>1393.01</v>
      </c>
      <c r="F14" s="391">
        <f t="shared" si="2"/>
        <v>1401.4700000000003</v>
      </c>
      <c r="G14" s="391">
        <f>SUM(G3:G13)</f>
        <v>929.55000000000007</v>
      </c>
      <c r="H14" s="391">
        <f>SUM(H3:H13)</f>
        <v>954.45</v>
      </c>
      <c r="I14" s="391">
        <f t="shared" si="2"/>
        <v>585.63</v>
      </c>
      <c r="J14" s="391">
        <f t="shared" si="2"/>
        <v>759.37</v>
      </c>
      <c r="K14" s="391">
        <f t="shared" si="2"/>
        <v>1069.1399999999999</v>
      </c>
      <c r="L14" s="391">
        <f t="shared" si="2"/>
        <v>1201.3699999999999</v>
      </c>
      <c r="M14" s="391">
        <f t="shared" si="2"/>
        <v>1362.5700000000002</v>
      </c>
      <c r="N14" s="391">
        <f t="shared" si="2"/>
        <v>1464.8799999999999</v>
      </c>
      <c r="O14" s="391">
        <f t="shared" si="2"/>
        <v>1194.96</v>
      </c>
    </row>
    <row r="30" ht="23.25" customHeight="1" x14ac:dyDescent="0.25"/>
    <row r="31" ht="23.25" customHeight="1" x14ac:dyDescent="0.25"/>
    <row r="32" ht="23.25" customHeight="1" x14ac:dyDescent="0.25"/>
    <row r="33" spans="1:15" ht="23.25" customHeight="1" x14ac:dyDescent="0.25"/>
    <row r="34" spans="1:15" ht="23.25" customHeight="1" x14ac:dyDescent="0.25"/>
    <row r="35" spans="1:15" ht="23.25" customHeight="1" x14ac:dyDescent="0.25"/>
    <row r="36" spans="1:15" ht="23.25" customHeight="1" x14ac:dyDescent="0.25"/>
    <row r="37" spans="1:15" ht="23.25" customHeight="1" x14ac:dyDescent="0.25"/>
    <row r="38" spans="1:15" ht="23.25" customHeight="1" x14ac:dyDescent="0.25"/>
    <row r="42" spans="1:15" s="200" customFormat="1" ht="17.25" customHeight="1" x14ac:dyDescent="0.3">
      <c r="A42" s="198" t="s">
        <v>362</v>
      </c>
      <c r="B42" s="199">
        <v>1650</v>
      </c>
      <c r="C42" s="196"/>
      <c r="D42" s="196"/>
      <c r="E42" s="196"/>
      <c r="F42" s="196"/>
      <c r="G42" s="196"/>
      <c r="H42" s="196"/>
      <c r="I42" s="196"/>
      <c r="J42" s="196"/>
      <c r="K42" s="196"/>
      <c r="L42" s="196"/>
      <c r="M42" s="196"/>
      <c r="N42" s="196"/>
    </row>
    <row r="43" spans="1:15" s="200" customFormat="1" ht="17.25" customHeight="1" x14ac:dyDescent="0.3">
      <c r="A43" s="198"/>
      <c r="B43" s="199"/>
      <c r="C43" s="196"/>
      <c r="D43" s="196"/>
      <c r="E43" s="196"/>
      <c r="F43" s="196"/>
      <c r="G43" s="196"/>
      <c r="H43" s="196"/>
      <c r="I43" s="196"/>
      <c r="J43" s="196"/>
      <c r="K43" s="196"/>
      <c r="L43" s="196"/>
      <c r="M43" s="196"/>
      <c r="N43" s="196"/>
    </row>
    <row r="44" spans="1:15" ht="15.75" x14ac:dyDescent="0.25">
      <c r="A44" s="197" t="s">
        <v>363</v>
      </c>
      <c r="B44" s="278" t="s">
        <v>345</v>
      </c>
      <c r="C44" s="193" t="s">
        <v>346</v>
      </c>
      <c r="D44" s="195" t="s">
        <v>347</v>
      </c>
      <c r="E44" s="195" t="s">
        <v>348</v>
      </c>
      <c r="F44" s="195" t="s">
        <v>349</v>
      </c>
      <c r="G44" s="195" t="s">
        <v>364</v>
      </c>
      <c r="H44" s="195" t="s">
        <v>351</v>
      </c>
      <c r="I44" s="195" t="s">
        <v>352</v>
      </c>
      <c r="J44" s="193" t="s">
        <v>353</v>
      </c>
      <c r="K44" s="193" t="s">
        <v>354</v>
      </c>
      <c r="L44" s="193" t="s">
        <v>355</v>
      </c>
      <c r="M44" s="193" t="s">
        <v>365</v>
      </c>
      <c r="N44" s="193" t="s">
        <v>357</v>
      </c>
    </row>
    <row r="45" spans="1:15" x14ac:dyDescent="0.25">
      <c r="A45" s="79" t="s">
        <v>366</v>
      </c>
      <c r="B45" s="279">
        <f>C45+D45+E45+F45+G45+H45+I45+J45+K45+L45+M45+O45</f>
        <v>6515</v>
      </c>
      <c r="C45" s="865">
        <v>575</v>
      </c>
      <c r="D45" s="865">
        <v>660</v>
      </c>
      <c r="E45" s="865">
        <v>660</v>
      </c>
      <c r="F45" s="865">
        <v>660</v>
      </c>
      <c r="G45" s="865">
        <v>660</v>
      </c>
      <c r="H45" s="865">
        <v>660</v>
      </c>
      <c r="I45" s="865">
        <v>660</v>
      </c>
      <c r="J45" s="865">
        <v>660</v>
      </c>
      <c r="K45" s="865">
        <v>660</v>
      </c>
      <c r="L45" s="865">
        <v>660</v>
      </c>
      <c r="M45" s="865"/>
      <c r="N45" s="216">
        <v>594</v>
      </c>
      <c r="O45" s="865"/>
    </row>
    <row r="46" spans="1:15" x14ac:dyDescent="0.25">
      <c r="A46" s="79" t="s">
        <v>367</v>
      </c>
      <c r="B46" s="279">
        <f>C46+D46+E46+F46+G46+H46+I46+J46+K46+L46+M46+N46</f>
        <v>9239.64</v>
      </c>
      <c r="C46" s="865">
        <v>918.29</v>
      </c>
      <c r="D46" s="865">
        <v>833.81</v>
      </c>
      <c r="E46" s="865">
        <v>833.81</v>
      </c>
      <c r="F46" s="865">
        <v>833.81</v>
      </c>
      <c r="G46" s="865">
        <v>833.81</v>
      </c>
      <c r="H46" s="865">
        <v>833.81</v>
      </c>
      <c r="I46" s="865">
        <v>833.81</v>
      </c>
      <c r="J46" s="865">
        <v>833.81</v>
      </c>
      <c r="K46" s="865">
        <v>833.27</v>
      </c>
      <c r="L46" s="865">
        <v>833.27</v>
      </c>
      <c r="M46" s="865">
        <v>96.82</v>
      </c>
      <c r="N46" s="865">
        <v>721.32</v>
      </c>
      <c r="O46" s="216"/>
    </row>
    <row r="47" spans="1:15" x14ac:dyDescent="0.25">
      <c r="A47" s="79" t="s">
        <v>368</v>
      </c>
      <c r="B47" s="279"/>
      <c r="C47" s="865"/>
      <c r="D47" s="865"/>
      <c r="E47" s="865"/>
      <c r="F47" s="865"/>
      <c r="G47" s="865"/>
      <c r="H47" s="865"/>
      <c r="I47" s="865"/>
      <c r="J47" s="865"/>
      <c r="K47" s="865"/>
      <c r="L47" s="216"/>
      <c r="M47" s="865">
        <v>1939.46</v>
      </c>
      <c r="N47" s="865"/>
      <c r="O47" s="865"/>
    </row>
    <row r="48" spans="1:15" x14ac:dyDescent="0.25">
      <c r="A48" s="79" t="s">
        <v>369</v>
      </c>
      <c r="B48" s="279"/>
      <c r="C48" s="865"/>
      <c r="D48" s="865"/>
      <c r="E48" s="865"/>
      <c r="F48" s="865"/>
      <c r="G48" s="865"/>
      <c r="H48" s="865"/>
      <c r="I48" s="865"/>
      <c r="J48" s="865"/>
      <c r="K48" s="865"/>
      <c r="L48" s="216"/>
      <c r="M48" s="216">
        <v>825</v>
      </c>
      <c r="N48" s="216">
        <v>676.5</v>
      </c>
      <c r="O48" s="216"/>
    </row>
    <row r="49" spans="1:15" x14ac:dyDescent="0.25">
      <c r="A49" s="79" t="s">
        <v>370</v>
      </c>
      <c r="B49" s="279"/>
      <c r="C49" s="865"/>
      <c r="D49" s="865"/>
      <c r="E49" s="865"/>
      <c r="F49" s="865"/>
      <c r="G49" s="865"/>
      <c r="H49" s="865"/>
      <c r="I49" s="865"/>
      <c r="J49" s="865"/>
      <c r="K49" s="865"/>
      <c r="L49" s="216"/>
      <c r="M49" s="216">
        <v>165</v>
      </c>
      <c r="N49" s="216">
        <v>165</v>
      </c>
      <c r="O49" s="216"/>
    </row>
    <row r="50" spans="1:15" x14ac:dyDescent="0.25">
      <c r="B50" s="279"/>
      <c r="C50" s="865"/>
      <c r="D50" s="865"/>
      <c r="E50" s="865"/>
      <c r="F50" s="865"/>
      <c r="G50" s="865"/>
      <c r="H50" s="865"/>
      <c r="I50" s="865"/>
      <c r="J50" s="865"/>
      <c r="K50" s="865"/>
      <c r="L50" s="216"/>
      <c r="M50" s="216"/>
      <c r="N50" s="216"/>
      <c r="O50" s="216"/>
    </row>
    <row r="51" spans="1:15" ht="15.75" x14ac:dyDescent="0.25">
      <c r="A51" s="280" t="s">
        <v>361</v>
      </c>
      <c r="B51" s="206">
        <f>SUM(C51:N51)</f>
        <v>20119.599999999999</v>
      </c>
      <c r="C51" s="206">
        <f t="shared" ref="C51:L51" si="3">SUM(C45:C46)</f>
        <v>1493.29</v>
      </c>
      <c r="D51" s="206">
        <f t="shared" si="3"/>
        <v>1493.81</v>
      </c>
      <c r="E51" s="206">
        <f t="shared" si="3"/>
        <v>1493.81</v>
      </c>
      <c r="F51" s="206">
        <f t="shared" si="3"/>
        <v>1493.81</v>
      </c>
      <c r="G51" s="206">
        <f t="shared" si="3"/>
        <v>1493.81</v>
      </c>
      <c r="H51" s="206">
        <f t="shared" si="3"/>
        <v>1493.81</v>
      </c>
      <c r="I51" s="206">
        <f t="shared" si="3"/>
        <v>1493.81</v>
      </c>
      <c r="J51" s="206">
        <f t="shared" si="3"/>
        <v>1493.81</v>
      </c>
      <c r="K51" s="206">
        <f t="shared" si="3"/>
        <v>1493.27</v>
      </c>
      <c r="L51" s="206">
        <f t="shared" si="3"/>
        <v>1493.27</v>
      </c>
      <c r="M51" s="206">
        <f>SUM(M45:M50)</f>
        <v>3026.2799999999997</v>
      </c>
      <c r="N51" s="1488">
        <f>SUM(N45:N50)</f>
        <v>2156.8200000000002</v>
      </c>
      <c r="O51" s="206"/>
    </row>
    <row r="52" spans="1:15" x14ac:dyDescent="0.25">
      <c r="B52" s="206"/>
      <c r="C52" s="865"/>
      <c r="D52" s="865"/>
      <c r="E52" s="865"/>
      <c r="F52" s="865"/>
      <c r="G52" s="865"/>
      <c r="H52" s="865"/>
      <c r="I52" s="865"/>
    </row>
    <row r="53" spans="1:15" x14ac:dyDescent="0.25">
      <c r="A53" s="81" t="s">
        <v>371</v>
      </c>
      <c r="B53" s="206">
        <f>C53+D53+E53+F53+G53+H53+I53+J53+K53+M53+O53+L53+N53</f>
        <v>1456.4</v>
      </c>
      <c r="C53" s="177">
        <v>132</v>
      </c>
      <c r="D53" s="177">
        <v>132</v>
      </c>
      <c r="E53" s="177">
        <v>132</v>
      </c>
      <c r="F53" s="177">
        <v>132</v>
      </c>
      <c r="G53" s="177">
        <v>132</v>
      </c>
      <c r="H53" s="177">
        <v>132</v>
      </c>
      <c r="I53" s="177">
        <v>132</v>
      </c>
      <c r="J53" s="177">
        <v>132</v>
      </c>
      <c r="K53" s="177">
        <v>132</v>
      </c>
      <c r="L53" s="177">
        <v>132</v>
      </c>
      <c r="M53" s="177"/>
      <c r="N53" s="216">
        <v>136.4</v>
      </c>
      <c r="O53" s="177"/>
    </row>
    <row r="54" spans="1:15" x14ac:dyDescent="0.25">
      <c r="A54" s="81" t="s">
        <v>372</v>
      </c>
      <c r="B54" s="206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>
        <v>176</v>
      </c>
      <c r="N54" s="216"/>
      <c r="O54" s="177"/>
    </row>
    <row r="55" spans="1:15" x14ac:dyDescent="0.25">
      <c r="A55" s="81" t="s">
        <v>373</v>
      </c>
      <c r="B55" s="206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>
        <v>66</v>
      </c>
      <c r="N55" s="216">
        <v>66</v>
      </c>
      <c r="O55" s="177"/>
    </row>
    <row r="56" spans="1:15" x14ac:dyDescent="0.25">
      <c r="A56" s="81"/>
      <c r="B56" s="206"/>
      <c r="C56" s="177"/>
      <c r="D56" s="177"/>
      <c r="E56" s="177"/>
      <c r="F56" s="177"/>
      <c r="G56" s="177"/>
      <c r="H56" s="177"/>
      <c r="I56" s="177"/>
      <c r="J56" s="177"/>
      <c r="K56" s="177"/>
      <c r="L56" s="177"/>
      <c r="M56" s="177"/>
      <c r="N56" s="216"/>
      <c r="O56" s="177"/>
    </row>
    <row r="57" spans="1:15" ht="15.75" x14ac:dyDescent="0.25">
      <c r="A57" s="280" t="s">
        <v>361</v>
      </c>
      <c r="B57" s="206">
        <f>SUM(C57:N57)</f>
        <v>1764.4</v>
      </c>
      <c r="C57" s="206">
        <f t="shared" ref="C57:N57" si="4">SUM(C53:C56)</f>
        <v>132</v>
      </c>
      <c r="D57" s="206">
        <f t="shared" si="4"/>
        <v>132</v>
      </c>
      <c r="E57" s="206">
        <f t="shared" si="4"/>
        <v>132</v>
      </c>
      <c r="F57" s="206">
        <f t="shared" si="4"/>
        <v>132</v>
      </c>
      <c r="G57" s="206">
        <f t="shared" si="4"/>
        <v>132</v>
      </c>
      <c r="H57" s="206">
        <f t="shared" si="4"/>
        <v>132</v>
      </c>
      <c r="I57" s="206">
        <f t="shared" si="4"/>
        <v>132</v>
      </c>
      <c r="J57" s="206">
        <f t="shared" si="4"/>
        <v>132</v>
      </c>
      <c r="K57" s="206">
        <f t="shared" si="4"/>
        <v>132</v>
      </c>
      <c r="L57" s="206">
        <f t="shared" si="4"/>
        <v>132</v>
      </c>
      <c r="M57" s="206">
        <f t="shared" si="4"/>
        <v>242</v>
      </c>
      <c r="N57" s="206">
        <f t="shared" si="4"/>
        <v>202.4</v>
      </c>
      <c r="O57" s="177"/>
    </row>
    <row r="58" spans="1:15" x14ac:dyDescent="0.25">
      <c r="A58" s="81"/>
      <c r="B58" s="206"/>
      <c r="C58" s="177"/>
      <c r="D58" s="177"/>
      <c r="E58" s="177"/>
      <c r="F58" s="177"/>
      <c r="G58" s="177"/>
      <c r="H58" s="177"/>
      <c r="I58" s="177"/>
      <c r="J58" s="177"/>
      <c r="K58" s="177"/>
      <c r="L58" s="177"/>
      <c r="M58" s="177"/>
      <c r="O58" s="177"/>
    </row>
    <row r="59" spans="1:15" ht="15.75" x14ac:dyDescent="0.25">
      <c r="A59" s="197" t="s">
        <v>374</v>
      </c>
      <c r="B59" s="278" t="s">
        <v>345</v>
      </c>
      <c r="C59" s="193" t="s">
        <v>346</v>
      </c>
      <c r="D59" s="195" t="s">
        <v>347</v>
      </c>
      <c r="E59" s="195" t="s">
        <v>348</v>
      </c>
      <c r="F59" s="195" t="s">
        <v>349</v>
      </c>
      <c r="G59" s="195" t="s">
        <v>364</v>
      </c>
      <c r="H59" s="195" t="s">
        <v>351</v>
      </c>
      <c r="I59" s="195" t="s">
        <v>352</v>
      </c>
      <c r="J59" s="193" t="s">
        <v>353</v>
      </c>
      <c r="K59" s="193" t="s">
        <v>354</v>
      </c>
      <c r="L59" s="193" t="s">
        <v>355</v>
      </c>
      <c r="M59" s="193" t="s">
        <v>356</v>
      </c>
      <c r="N59" s="193" t="s">
        <v>357</v>
      </c>
    </row>
    <row r="60" spans="1:15" x14ac:dyDescent="0.25">
      <c r="A60" s="79" t="s">
        <v>375</v>
      </c>
      <c r="B60" s="279">
        <f>C60+D60+E60+F60+G60+H60+I60+J60+K60+L60+M60+N60+O60</f>
        <v>1636.8000000000002</v>
      </c>
      <c r="C60" s="865">
        <f>B42*9%</f>
        <v>148.5</v>
      </c>
      <c r="D60" s="865">
        <v>148.5</v>
      </c>
      <c r="E60" s="865">
        <v>148.5</v>
      </c>
      <c r="F60" s="865">
        <v>148.5</v>
      </c>
      <c r="G60" s="865">
        <v>148.5</v>
      </c>
      <c r="H60" s="865">
        <v>148.5</v>
      </c>
      <c r="I60" s="865">
        <v>148.5</v>
      </c>
      <c r="J60" s="865">
        <v>148.5</v>
      </c>
      <c r="K60" s="865">
        <v>148.5</v>
      </c>
      <c r="L60" s="865">
        <v>148.5</v>
      </c>
      <c r="M60" s="865">
        <v>18.149999999999999</v>
      </c>
      <c r="N60" s="865">
        <v>133.65</v>
      </c>
      <c r="O60" s="865"/>
    </row>
    <row r="61" spans="1:15" x14ac:dyDescent="0.25">
      <c r="A61" s="79" t="s">
        <v>376</v>
      </c>
      <c r="B61" s="279">
        <f>C61+D61+E61+F61+G61+H61+I61+J61+K61+L61+M61+N61+O61</f>
        <v>242</v>
      </c>
      <c r="C61" s="865"/>
      <c r="D61" s="865"/>
      <c r="E61" s="865"/>
      <c r="F61" s="865"/>
      <c r="G61" s="865"/>
      <c r="H61" s="865"/>
      <c r="I61" s="865"/>
      <c r="J61" s="865"/>
      <c r="K61" s="865"/>
      <c r="L61" s="865"/>
      <c r="M61" s="865">
        <v>242</v>
      </c>
      <c r="N61" s="865"/>
      <c r="O61" s="865"/>
    </row>
    <row r="62" spans="1:15" x14ac:dyDescent="0.25">
      <c r="A62" s="79" t="s">
        <v>377</v>
      </c>
      <c r="B62" s="279">
        <f>C62+D62+E62+F62+G62+H62+I62+J62+K62+L62+M62+N62+O62</f>
        <v>148.5</v>
      </c>
      <c r="C62" s="865"/>
      <c r="D62" s="865"/>
      <c r="E62" s="865"/>
      <c r="F62" s="865"/>
      <c r="G62" s="865"/>
      <c r="H62" s="865"/>
      <c r="I62" s="865"/>
      <c r="J62" s="865"/>
      <c r="K62" s="865"/>
      <c r="L62" s="865"/>
      <c r="M62" s="865">
        <v>148.5</v>
      </c>
      <c r="N62" s="865"/>
      <c r="O62" s="865"/>
    </row>
    <row r="63" spans="1:15" x14ac:dyDescent="0.25">
      <c r="A63" s="79" t="s">
        <v>378</v>
      </c>
      <c r="B63" s="279">
        <f>C63+D63+E63+F63+G63+H63+I63+J63+K63+L63+M63+N63</f>
        <v>94.440000000000012</v>
      </c>
      <c r="C63" s="865">
        <v>7.69</v>
      </c>
      <c r="D63" s="865">
        <v>7.69</v>
      </c>
      <c r="E63" s="865">
        <v>7.69</v>
      </c>
      <c r="F63" s="865">
        <v>7.69</v>
      </c>
      <c r="G63" s="865">
        <v>7.69</v>
      </c>
      <c r="H63" s="865">
        <v>7.69</v>
      </c>
      <c r="I63" s="865">
        <v>7.69</v>
      </c>
      <c r="J63" s="216">
        <v>7.69</v>
      </c>
      <c r="K63" s="216">
        <v>8.23</v>
      </c>
      <c r="L63" s="216">
        <v>8.23</v>
      </c>
      <c r="M63" s="216">
        <v>8.23</v>
      </c>
      <c r="N63" s="216">
        <v>8.23</v>
      </c>
    </row>
    <row r="64" spans="1:15" x14ac:dyDescent="0.25">
      <c r="A64" s="79" t="s">
        <v>379</v>
      </c>
      <c r="B64" s="279">
        <f>C64+D64+E64+F64+G64+H64+I64+J64+K64+L64+M64+N64</f>
        <v>132.69</v>
      </c>
      <c r="C64" s="865">
        <v>77.69</v>
      </c>
      <c r="D64" s="865"/>
      <c r="E64" s="865">
        <v>55</v>
      </c>
      <c r="F64" s="865"/>
      <c r="G64" s="865"/>
      <c r="H64" s="865"/>
      <c r="I64" s="865"/>
      <c r="J64" s="216"/>
      <c r="K64" s="216"/>
      <c r="L64" s="216"/>
      <c r="M64" s="216"/>
      <c r="N64" s="216"/>
    </row>
    <row r="65" spans="1:9" ht="15.75" x14ac:dyDescent="0.25">
      <c r="A65" s="280" t="s">
        <v>361</v>
      </c>
      <c r="B65" s="206">
        <f>SUM(B60:B64)</f>
        <v>2254.4300000000003</v>
      </c>
      <c r="C65" s="865"/>
      <c r="D65" s="865"/>
      <c r="E65" s="865"/>
      <c r="F65" s="865"/>
      <c r="G65" s="865"/>
      <c r="H65" s="865"/>
      <c r="I65" s="865"/>
    </row>
    <row r="66" spans="1:9" x14ac:dyDescent="0.25">
      <c r="B66" s="194"/>
      <c r="C66" s="865"/>
      <c r="D66" s="865"/>
      <c r="E66" s="865"/>
      <c r="F66" s="865"/>
      <c r="G66" s="865"/>
      <c r="H66" s="865"/>
      <c r="I66" s="865"/>
    </row>
    <row r="67" spans="1:9" ht="18.75" x14ac:dyDescent="0.3">
      <c r="A67" s="353" t="s">
        <v>380</v>
      </c>
      <c r="B67" s="200" t="s">
        <v>381</v>
      </c>
      <c r="C67" s="354" t="s">
        <v>382</v>
      </c>
      <c r="D67" s="355" t="s">
        <v>383</v>
      </c>
    </row>
    <row r="68" spans="1:9" x14ac:dyDescent="0.25">
      <c r="A68" s="216">
        <f>'Programação Pagtos.'!B10</f>
        <v>5422.7419999999993</v>
      </c>
      <c r="B68" s="220" t="s">
        <v>138</v>
      </c>
      <c r="C68" s="176">
        <f>B4</f>
        <v>190.39583333333334</v>
      </c>
      <c r="D68" s="222">
        <f>C68/A68</f>
        <v>3.511061992868799E-2</v>
      </c>
    </row>
    <row r="69" spans="1:9" x14ac:dyDescent="0.25">
      <c r="A69" s="216"/>
      <c r="B69" s="220" t="s">
        <v>54</v>
      </c>
      <c r="C69" s="176">
        <f>B10</f>
        <v>122.56083333333333</v>
      </c>
      <c r="D69" s="222">
        <f>C69/A68</f>
        <v>2.2601265804888623E-2</v>
      </c>
    </row>
    <row r="70" spans="1:9" x14ac:dyDescent="0.25">
      <c r="B70" s="220" t="s">
        <v>32</v>
      </c>
      <c r="C70" s="176">
        <f>B3</f>
        <v>115.64083333333333</v>
      </c>
      <c r="D70" s="222">
        <f>C70/A68</f>
        <v>2.1325158625162943E-2</v>
      </c>
      <c r="E70" s="177"/>
      <c r="F70" s="176"/>
    </row>
    <row r="71" spans="1:9" x14ac:dyDescent="0.25">
      <c r="B71" s="79" t="s">
        <v>14</v>
      </c>
      <c r="C71" s="223">
        <f>B6</f>
        <v>22.872500000000002</v>
      </c>
      <c r="D71" s="222">
        <f>C71/A68</f>
        <v>4.2178846052421462E-3</v>
      </c>
      <c r="E71" s="177"/>
      <c r="F71" s="176"/>
    </row>
    <row r="72" spans="1:9" x14ac:dyDescent="0.25">
      <c r="B72" s="79" t="s">
        <v>81</v>
      </c>
      <c r="C72" s="223">
        <f>B5</f>
        <v>55.290833333333332</v>
      </c>
      <c r="D72" s="222">
        <f>C72/A68</f>
        <v>1.0196102512959927E-2</v>
      </c>
      <c r="E72" s="177"/>
      <c r="F72" s="176"/>
    </row>
    <row r="73" spans="1:9" x14ac:dyDescent="0.25">
      <c r="B73" s="79" t="s">
        <v>384</v>
      </c>
      <c r="C73" s="223">
        <f>B7</f>
        <v>75.222499999999997</v>
      </c>
      <c r="D73" s="222">
        <f>C73/A68</f>
        <v>1.3871672301577322E-2</v>
      </c>
      <c r="E73" s="177"/>
      <c r="F73" s="176"/>
    </row>
    <row r="74" spans="1:9" x14ac:dyDescent="0.25">
      <c r="B74" s="79" t="s">
        <v>52</v>
      </c>
      <c r="C74" s="223">
        <f>B8</f>
        <v>51.688333333333333</v>
      </c>
      <c r="D74" s="225">
        <f>C74/A68</f>
        <v>9.531770704439441E-3</v>
      </c>
      <c r="E74" s="177"/>
      <c r="F74" s="176"/>
    </row>
    <row r="75" spans="1:9" x14ac:dyDescent="0.25">
      <c r="B75" s="79" t="s">
        <v>385</v>
      </c>
      <c r="C75" s="223">
        <f>B9</f>
        <v>232.90916666666666</v>
      </c>
      <c r="D75" s="225">
        <f>C75/A68</f>
        <v>4.2950442168679E-2</v>
      </c>
      <c r="E75" s="177"/>
      <c r="F75" s="176"/>
    </row>
    <row r="76" spans="1:9" x14ac:dyDescent="0.25">
      <c r="B76" s="79" t="s">
        <v>386</v>
      </c>
      <c r="C76" s="223">
        <f>B11</f>
        <v>35</v>
      </c>
      <c r="D76" s="225">
        <f>C76/A68</f>
        <v>6.4542993194217991E-3</v>
      </c>
      <c r="E76" s="177"/>
      <c r="F76" s="176"/>
    </row>
    <row r="77" spans="1:9" x14ac:dyDescent="0.25">
      <c r="B77" s="79" t="s">
        <v>56</v>
      </c>
      <c r="C77" s="223">
        <f>B12</f>
        <v>76.815833333333345</v>
      </c>
      <c r="D77" s="225">
        <f>C77/A68</f>
        <v>1.4165496594404336E-2</v>
      </c>
      <c r="E77" s="177"/>
      <c r="F77" s="176"/>
    </row>
    <row r="78" spans="1:9" x14ac:dyDescent="0.25">
      <c r="B78" s="79" t="s">
        <v>387</v>
      </c>
      <c r="C78" s="223">
        <f>B13</f>
        <v>178.38250000000002</v>
      </c>
      <c r="D78" s="225">
        <f>C78/A68</f>
        <v>3.2895258524193116E-2</v>
      </c>
      <c r="E78" s="177"/>
      <c r="F78" s="176"/>
    </row>
    <row r="79" spans="1:9" ht="15.75" x14ac:dyDescent="0.25">
      <c r="B79" s="197" t="s">
        <v>388</v>
      </c>
      <c r="C79" s="226">
        <f>SUM(C68:C78)</f>
        <v>1156.7791666666667</v>
      </c>
      <c r="D79" s="227">
        <f>SUM(D68:D78)</f>
        <v>0.21331997108965664</v>
      </c>
      <c r="E79" s="177"/>
      <c r="F79" s="176"/>
    </row>
    <row r="80" spans="1:9" x14ac:dyDescent="0.25">
      <c r="C80" s="176"/>
      <c r="D80" s="177"/>
      <c r="E80" s="177"/>
      <c r="F80" s="176"/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5"/>
  <dimension ref="A1:I103"/>
  <sheetViews>
    <sheetView workbookViewId="0">
      <selection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389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41640</v>
      </c>
      <c r="B5" s="369" t="s">
        <v>10</v>
      </c>
      <c r="C5" s="370"/>
      <c r="D5" s="207"/>
      <c r="E5" s="179"/>
      <c r="F5" s="933">
        <v>245.1</v>
      </c>
      <c r="G5" s="163"/>
      <c r="H5" s="933">
        <f>'Dezembro-13'!H91</f>
        <v>1304</v>
      </c>
    </row>
    <row r="6" spans="1:8" s="224" customFormat="1" x14ac:dyDescent="0.25">
      <c r="A6" s="215">
        <v>41640</v>
      </c>
      <c r="B6" s="348" t="s">
        <v>11</v>
      </c>
      <c r="C6" s="351"/>
      <c r="D6" s="248"/>
      <c r="E6" s="250">
        <v>78</v>
      </c>
      <c r="F6" s="1473"/>
      <c r="G6" s="252"/>
      <c r="H6" s="1473"/>
    </row>
    <row r="7" spans="1:8" s="224" customFormat="1" x14ac:dyDescent="0.25">
      <c r="A7" s="215">
        <v>41641</v>
      </c>
      <c r="B7" s="873" t="s">
        <v>32</v>
      </c>
      <c r="C7" s="879" t="s">
        <v>12</v>
      </c>
      <c r="D7" s="887" t="s">
        <v>15</v>
      </c>
      <c r="E7" s="250">
        <v>10</v>
      </c>
      <c r="F7" s="1473"/>
      <c r="G7" s="252"/>
      <c r="H7" s="1473"/>
    </row>
    <row r="8" spans="1:8" s="224" customFormat="1" x14ac:dyDescent="0.25">
      <c r="A8" s="215">
        <v>41641</v>
      </c>
      <c r="B8" s="873" t="s">
        <v>390</v>
      </c>
      <c r="C8" s="879" t="s">
        <v>12</v>
      </c>
      <c r="D8" s="887" t="s">
        <v>15</v>
      </c>
      <c r="E8" s="250"/>
      <c r="F8" s="1473">
        <v>400</v>
      </c>
      <c r="G8" s="252">
        <v>400</v>
      </c>
      <c r="H8" s="1473"/>
    </row>
    <row r="9" spans="1:8" s="224" customFormat="1" ht="15.75" customHeight="1" x14ac:dyDescent="0.25">
      <c r="A9" s="215">
        <v>41641</v>
      </c>
      <c r="B9" s="862" t="s">
        <v>391</v>
      </c>
      <c r="C9" s="350" t="s">
        <v>12</v>
      </c>
      <c r="D9" s="141" t="s">
        <v>13</v>
      </c>
      <c r="E9" s="97">
        <v>290.29000000000002</v>
      </c>
      <c r="F9" s="1473"/>
      <c r="G9" s="252"/>
      <c r="H9" s="1473"/>
    </row>
    <row r="10" spans="1:8" s="224" customFormat="1" x14ac:dyDescent="0.25">
      <c r="A10" s="215">
        <v>41641</v>
      </c>
      <c r="B10" s="873" t="s">
        <v>14</v>
      </c>
      <c r="C10" s="879" t="s">
        <v>12</v>
      </c>
      <c r="D10" s="887" t="s">
        <v>15</v>
      </c>
      <c r="E10" s="250">
        <v>2.5</v>
      </c>
      <c r="F10" s="1473"/>
      <c r="G10" s="252"/>
      <c r="H10" s="1473"/>
    </row>
    <row r="11" spans="1:8" s="224" customFormat="1" x14ac:dyDescent="0.25">
      <c r="A11" s="215">
        <v>41641</v>
      </c>
      <c r="B11" s="873" t="s">
        <v>138</v>
      </c>
      <c r="C11" s="879" t="s">
        <v>12</v>
      </c>
      <c r="D11" s="887" t="s">
        <v>15</v>
      </c>
      <c r="E11" s="250">
        <v>10</v>
      </c>
      <c r="F11" s="1473"/>
      <c r="G11" s="252"/>
      <c r="H11" s="1473"/>
    </row>
    <row r="12" spans="1:8" s="224" customFormat="1" x14ac:dyDescent="0.25">
      <c r="A12" s="215">
        <v>41642</v>
      </c>
      <c r="B12" s="873" t="s">
        <v>32</v>
      </c>
      <c r="C12" s="879" t="s">
        <v>12</v>
      </c>
      <c r="D12" s="887" t="s">
        <v>15</v>
      </c>
      <c r="E12" s="250">
        <v>6</v>
      </c>
      <c r="F12" s="1473"/>
      <c r="G12" s="252"/>
      <c r="H12" s="1473"/>
    </row>
    <row r="13" spans="1:8" s="224" customFormat="1" x14ac:dyDescent="0.25">
      <c r="A13" s="215">
        <v>41643</v>
      </c>
      <c r="B13" s="873" t="s">
        <v>392</v>
      </c>
      <c r="C13" s="879" t="s">
        <v>19</v>
      </c>
      <c r="D13" s="887" t="s">
        <v>13</v>
      </c>
      <c r="E13" s="250">
        <v>11.34</v>
      </c>
      <c r="F13" s="1473"/>
      <c r="G13" s="252"/>
      <c r="H13" s="1473"/>
    </row>
    <row r="14" spans="1:8" s="224" customFormat="1" x14ac:dyDescent="0.25">
      <c r="A14" s="215">
        <v>41643</v>
      </c>
      <c r="B14" s="873" t="s">
        <v>338</v>
      </c>
      <c r="C14" s="879" t="s">
        <v>12</v>
      </c>
      <c r="D14" s="887" t="s">
        <v>13</v>
      </c>
      <c r="E14" s="250">
        <v>22</v>
      </c>
      <c r="F14" s="1473"/>
      <c r="G14" s="252"/>
      <c r="H14" s="1473"/>
    </row>
    <row r="15" spans="1:8" s="224" customFormat="1" x14ac:dyDescent="0.25">
      <c r="A15" s="215">
        <v>41643</v>
      </c>
      <c r="B15" s="873" t="s">
        <v>393</v>
      </c>
      <c r="C15" s="879" t="s">
        <v>12</v>
      </c>
      <c r="D15" s="887" t="s">
        <v>13</v>
      </c>
      <c r="E15" s="250">
        <v>25.6</v>
      </c>
      <c r="F15" s="1473"/>
      <c r="G15" s="252"/>
      <c r="H15" s="1473"/>
    </row>
    <row r="16" spans="1:8" s="224" customFormat="1" x14ac:dyDescent="0.25">
      <c r="A16" s="215">
        <v>41644</v>
      </c>
      <c r="B16" s="873" t="s">
        <v>138</v>
      </c>
      <c r="C16" s="879" t="s">
        <v>12</v>
      </c>
      <c r="D16" s="887" t="s">
        <v>13</v>
      </c>
      <c r="E16" s="250">
        <v>30</v>
      </c>
      <c r="F16" s="1473"/>
      <c r="G16" s="252"/>
      <c r="H16" s="1473"/>
    </row>
    <row r="17" spans="1:9" s="224" customFormat="1" x14ac:dyDescent="0.25">
      <c r="A17" s="215">
        <v>41645</v>
      </c>
      <c r="B17" s="873" t="s">
        <v>32</v>
      </c>
      <c r="C17" s="879" t="s">
        <v>12</v>
      </c>
      <c r="D17" s="887" t="s">
        <v>15</v>
      </c>
      <c r="E17" s="250">
        <v>5</v>
      </c>
      <c r="F17" s="1473"/>
      <c r="G17" s="252"/>
      <c r="H17" s="1473"/>
    </row>
    <row r="18" spans="1:9" s="224" customFormat="1" x14ac:dyDescent="0.25">
      <c r="A18" s="215">
        <v>41645</v>
      </c>
      <c r="B18" s="873" t="s">
        <v>390</v>
      </c>
      <c r="C18" s="879"/>
      <c r="D18" s="887"/>
      <c r="E18" s="250"/>
      <c r="F18" s="1473">
        <v>310</v>
      </c>
      <c r="G18" s="252">
        <v>310</v>
      </c>
      <c r="H18" s="1473"/>
    </row>
    <row r="19" spans="1:9" s="224" customFormat="1" x14ac:dyDescent="0.25">
      <c r="A19" s="215">
        <v>41645</v>
      </c>
      <c r="B19" s="873" t="s">
        <v>138</v>
      </c>
      <c r="C19" s="879" t="s">
        <v>12</v>
      </c>
      <c r="D19" s="887" t="s">
        <v>13</v>
      </c>
      <c r="E19" s="250">
        <v>20</v>
      </c>
      <c r="F19" s="1473"/>
      <c r="G19" s="252"/>
      <c r="H19" s="1473"/>
    </row>
    <row r="20" spans="1:9" s="224" customFormat="1" x14ac:dyDescent="0.25">
      <c r="A20" s="215">
        <v>41646</v>
      </c>
      <c r="B20" s="349" t="s">
        <v>394</v>
      </c>
      <c r="C20" s="879" t="s">
        <v>12</v>
      </c>
      <c r="D20" s="983" t="s">
        <v>25</v>
      </c>
      <c r="E20" s="250"/>
      <c r="F20" s="1473">
        <v>721.32</v>
      </c>
      <c r="G20" s="252"/>
      <c r="H20" s="1473"/>
    </row>
    <row r="21" spans="1:9" s="224" customFormat="1" x14ac:dyDescent="0.25">
      <c r="A21" s="215">
        <v>41646</v>
      </c>
      <c r="B21" s="882" t="s">
        <v>395</v>
      </c>
      <c r="C21" s="879" t="s">
        <v>12</v>
      </c>
      <c r="D21" s="887" t="s">
        <v>13</v>
      </c>
      <c r="E21" s="538">
        <v>0</v>
      </c>
      <c r="F21" s="1002"/>
      <c r="G21" s="539"/>
      <c r="H21" s="1002"/>
      <c r="I21" s="709" t="s">
        <v>396</v>
      </c>
    </row>
    <row r="22" spans="1:9" s="224" customFormat="1" x14ac:dyDescent="0.25">
      <c r="A22" s="215">
        <v>41646</v>
      </c>
      <c r="B22" s="882" t="s">
        <v>397</v>
      </c>
      <c r="C22" s="350" t="s">
        <v>12</v>
      </c>
      <c r="D22" s="887" t="s">
        <v>13</v>
      </c>
      <c r="E22" s="97">
        <v>34.299999999999997</v>
      </c>
      <c r="F22" s="1473"/>
      <c r="G22" s="252"/>
      <c r="H22" s="1473"/>
    </row>
    <row r="23" spans="1:9" s="224" customFormat="1" x14ac:dyDescent="0.25">
      <c r="A23" s="215">
        <v>41646</v>
      </c>
      <c r="B23" s="873" t="s">
        <v>398</v>
      </c>
      <c r="C23" s="879"/>
      <c r="D23" s="887"/>
      <c r="E23" s="250">
        <v>600</v>
      </c>
      <c r="F23" s="1473"/>
      <c r="G23" s="252"/>
      <c r="H23" s="1473">
        <v>600</v>
      </c>
    </row>
    <row r="24" spans="1:9" s="224" customFormat="1" x14ac:dyDescent="0.25">
      <c r="A24" s="215">
        <v>41646</v>
      </c>
      <c r="B24" s="862" t="s">
        <v>31</v>
      </c>
      <c r="C24" s="350" t="s">
        <v>12</v>
      </c>
      <c r="D24" s="957" t="s">
        <v>15</v>
      </c>
      <c r="E24" s="97">
        <v>50</v>
      </c>
      <c r="F24" s="1473"/>
      <c r="G24" s="252"/>
      <c r="H24" s="1473"/>
    </row>
    <row r="25" spans="1:9" s="224" customFormat="1" x14ac:dyDescent="0.25">
      <c r="A25" s="215">
        <v>41646</v>
      </c>
      <c r="B25" s="862" t="s">
        <v>399</v>
      </c>
      <c r="C25" s="350" t="s">
        <v>12</v>
      </c>
      <c r="D25" s="957" t="s">
        <v>15</v>
      </c>
      <c r="E25" s="97">
        <v>25</v>
      </c>
      <c r="F25" s="1473"/>
      <c r="G25" s="252"/>
      <c r="H25" s="1473"/>
    </row>
    <row r="26" spans="1:9" s="224" customFormat="1" x14ac:dyDescent="0.25">
      <c r="A26" s="215">
        <v>41646</v>
      </c>
      <c r="B26" s="873" t="s">
        <v>287</v>
      </c>
      <c r="C26" s="879" t="s">
        <v>12</v>
      </c>
      <c r="D26" s="887" t="s">
        <v>13</v>
      </c>
      <c r="E26" s="250">
        <v>200</v>
      </c>
      <c r="F26" s="1473"/>
      <c r="G26" s="252"/>
      <c r="H26" s="1473"/>
    </row>
    <row r="27" spans="1:9" s="224" customFormat="1" x14ac:dyDescent="0.25">
      <c r="A27" s="215">
        <v>41646</v>
      </c>
      <c r="B27" s="873" t="s">
        <v>400</v>
      </c>
      <c r="C27" s="879" t="s">
        <v>12</v>
      </c>
      <c r="D27" s="887" t="s">
        <v>15</v>
      </c>
      <c r="E27" s="250">
        <v>75</v>
      </c>
      <c r="F27" s="1473"/>
      <c r="G27" s="252"/>
      <c r="H27" s="1473"/>
    </row>
    <row r="28" spans="1:9" s="224" customFormat="1" ht="15.75" customHeight="1" x14ac:dyDescent="0.25">
      <c r="A28" s="215">
        <v>41646</v>
      </c>
      <c r="B28" s="862" t="s">
        <v>14</v>
      </c>
      <c r="C28" s="350" t="s">
        <v>12</v>
      </c>
      <c r="D28" s="141" t="s">
        <v>15</v>
      </c>
      <c r="E28" s="97">
        <v>2.5</v>
      </c>
      <c r="F28" s="1473"/>
      <c r="G28" s="252"/>
      <c r="H28" s="1473"/>
    </row>
    <row r="29" spans="1:9" x14ac:dyDescent="0.25">
      <c r="A29" s="215">
        <v>41647</v>
      </c>
      <c r="B29" s="349" t="s">
        <v>32</v>
      </c>
      <c r="C29" s="350" t="s">
        <v>12</v>
      </c>
      <c r="D29" s="141" t="s">
        <v>15</v>
      </c>
      <c r="E29" s="97">
        <v>5.5</v>
      </c>
      <c r="F29" s="946"/>
      <c r="G29" s="97"/>
      <c r="H29" s="946"/>
    </row>
    <row r="30" spans="1:9" x14ac:dyDescent="0.25">
      <c r="A30" s="215">
        <v>41647</v>
      </c>
      <c r="B30" s="349" t="s">
        <v>80</v>
      </c>
      <c r="C30" s="350" t="s">
        <v>12</v>
      </c>
      <c r="D30" s="141" t="s">
        <v>13</v>
      </c>
      <c r="E30" s="97">
        <v>63.5</v>
      </c>
      <c r="F30" s="946"/>
      <c r="G30" s="97"/>
      <c r="H30" s="946"/>
    </row>
    <row r="31" spans="1:9" x14ac:dyDescent="0.25">
      <c r="A31" s="215">
        <v>41647</v>
      </c>
      <c r="B31" s="873" t="s">
        <v>398</v>
      </c>
      <c r="C31" s="879"/>
      <c r="D31" s="887"/>
      <c r="E31" s="250">
        <v>60</v>
      </c>
      <c r="F31" s="1473"/>
      <c r="G31" s="252"/>
      <c r="H31" s="1473">
        <v>60</v>
      </c>
    </row>
    <row r="32" spans="1:9" s="224" customFormat="1" x14ac:dyDescent="0.25">
      <c r="A32" s="215">
        <v>41648</v>
      </c>
      <c r="B32" s="364" t="s">
        <v>32</v>
      </c>
      <c r="C32" s="879" t="s">
        <v>12</v>
      </c>
      <c r="D32" s="887" t="s">
        <v>15</v>
      </c>
      <c r="E32" s="250">
        <v>5.5</v>
      </c>
      <c r="F32" s="1473"/>
      <c r="G32" s="250"/>
      <c r="H32" s="1473"/>
    </row>
    <row r="33" spans="1:8" s="224" customFormat="1" x14ac:dyDescent="0.25">
      <c r="A33" s="215">
        <v>41649</v>
      </c>
      <c r="B33" s="873" t="s">
        <v>390</v>
      </c>
      <c r="C33" s="879"/>
      <c r="D33" s="887"/>
      <c r="E33" s="250"/>
      <c r="F33" s="1473">
        <v>300</v>
      </c>
      <c r="G33" s="252">
        <v>300</v>
      </c>
      <c r="H33" s="1473"/>
    </row>
    <row r="34" spans="1:8" s="224" customFormat="1" x14ac:dyDescent="0.25">
      <c r="A34" s="215">
        <v>41649</v>
      </c>
      <c r="B34" s="873" t="s">
        <v>32</v>
      </c>
      <c r="C34" s="879" t="s">
        <v>12</v>
      </c>
      <c r="D34" s="887" t="s">
        <v>15</v>
      </c>
      <c r="E34" s="250">
        <v>10</v>
      </c>
      <c r="F34" s="1473"/>
      <c r="G34" s="252"/>
      <c r="H34" s="1473"/>
    </row>
    <row r="35" spans="1:8" s="224" customFormat="1" x14ac:dyDescent="0.25">
      <c r="A35" s="215">
        <v>41649</v>
      </c>
      <c r="B35" s="873" t="s">
        <v>138</v>
      </c>
      <c r="C35" s="879" t="s">
        <v>12</v>
      </c>
      <c r="D35" s="887" t="s">
        <v>13</v>
      </c>
      <c r="E35" s="250">
        <v>20</v>
      </c>
      <c r="F35" s="1473"/>
      <c r="G35" s="252"/>
      <c r="H35" s="1473"/>
    </row>
    <row r="36" spans="1:8" s="224" customFormat="1" x14ac:dyDescent="0.25">
      <c r="A36" s="215">
        <v>41649</v>
      </c>
      <c r="B36" s="873" t="s">
        <v>401</v>
      </c>
      <c r="C36" s="879" t="s">
        <v>12</v>
      </c>
      <c r="D36" s="887" t="s">
        <v>13</v>
      </c>
      <c r="E36" s="250">
        <v>104.5</v>
      </c>
      <c r="F36" s="1473"/>
      <c r="G36" s="252"/>
      <c r="H36" s="1473"/>
    </row>
    <row r="37" spans="1:8" s="224" customFormat="1" x14ac:dyDescent="0.25">
      <c r="A37" s="215">
        <v>41650</v>
      </c>
      <c r="B37" s="873" t="s">
        <v>14</v>
      </c>
      <c r="C37" s="879" t="s">
        <v>12</v>
      </c>
      <c r="D37" s="887" t="s">
        <v>13</v>
      </c>
      <c r="E37" s="250">
        <v>9.2899999999999991</v>
      </c>
      <c r="F37" s="1473"/>
      <c r="G37" s="252"/>
      <c r="H37" s="1473"/>
    </row>
    <row r="38" spans="1:8" s="224" customFormat="1" x14ac:dyDescent="0.25">
      <c r="A38" s="215">
        <v>41651</v>
      </c>
      <c r="B38" s="873" t="s">
        <v>14</v>
      </c>
      <c r="C38" s="879" t="s">
        <v>12</v>
      </c>
      <c r="D38" s="887" t="s">
        <v>13</v>
      </c>
      <c r="E38" s="97">
        <v>5.29</v>
      </c>
      <c r="F38" s="1473"/>
      <c r="G38" s="252"/>
      <c r="H38" s="1473"/>
    </row>
    <row r="39" spans="1:8" s="224" customFormat="1" x14ac:dyDescent="0.25">
      <c r="A39" s="215">
        <v>41652</v>
      </c>
      <c r="B39" s="349" t="s">
        <v>32</v>
      </c>
      <c r="C39" s="879" t="s">
        <v>12</v>
      </c>
      <c r="D39" s="983" t="s">
        <v>13</v>
      </c>
      <c r="E39" s="250">
        <v>10</v>
      </c>
      <c r="F39" s="1473"/>
      <c r="G39" s="252"/>
      <c r="H39" s="1473"/>
    </row>
    <row r="40" spans="1:8" s="224" customFormat="1" x14ac:dyDescent="0.25">
      <c r="A40" s="215">
        <v>41652</v>
      </c>
      <c r="B40" s="873" t="s">
        <v>138</v>
      </c>
      <c r="C40" s="879" t="s">
        <v>12</v>
      </c>
      <c r="D40" s="887" t="s">
        <v>13</v>
      </c>
      <c r="E40" s="250">
        <v>20</v>
      </c>
      <c r="F40" s="1473"/>
      <c r="G40" s="252"/>
      <c r="H40" s="1473"/>
    </row>
    <row r="41" spans="1:8" s="224" customFormat="1" x14ac:dyDescent="0.25">
      <c r="A41" s="215">
        <v>41653</v>
      </c>
      <c r="B41" s="349" t="s">
        <v>32</v>
      </c>
      <c r="C41" s="879" t="s">
        <v>12</v>
      </c>
      <c r="D41" s="983" t="s">
        <v>15</v>
      </c>
      <c r="E41" s="250">
        <v>6</v>
      </c>
      <c r="F41" s="1473"/>
      <c r="G41" s="252"/>
      <c r="H41" s="1473"/>
    </row>
    <row r="42" spans="1:8" s="224" customFormat="1" x14ac:dyDescent="0.25">
      <c r="A42" s="215">
        <v>41654</v>
      </c>
      <c r="B42" s="349" t="s">
        <v>32</v>
      </c>
      <c r="C42" s="879" t="s">
        <v>12</v>
      </c>
      <c r="D42" s="983" t="s">
        <v>15</v>
      </c>
      <c r="E42" s="250">
        <v>5.5</v>
      </c>
      <c r="F42" s="1473"/>
      <c r="G42" s="252"/>
      <c r="H42" s="1473"/>
    </row>
    <row r="43" spans="1:8" s="224" customFormat="1" x14ac:dyDescent="0.25">
      <c r="A43" s="215">
        <v>41654</v>
      </c>
      <c r="B43" s="349" t="s">
        <v>402</v>
      </c>
      <c r="C43" s="879" t="s">
        <v>12</v>
      </c>
      <c r="D43" s="983" t="s">
        <v>13</v>
      </c>
      <c r="E43" s="250">
        <v>30</v>
      </c>
      <c r="F43" s="1473"/>
      <c r="G43" s="252"/>
      <c r="H43" s="1473"/>
    </row>
    <row r="44" spans="1:8" s="224" customFormat="1" x14ac:dyDescent="0.25">
      <c r="A44" s="215">
        <v>41654</v>
      </c>
      <c r="B44" s="349" t="s">
        <v>138</v>
      </c>
      <c r="C44" s="879" t="s">
        <v>12</v>
      </c>
      <c r="D44" s="983" t="s">
        <v>13</v>
      </c>
      <c r="E44" s="250">
        <v>20</v>
      </c>
      <c r="F44" s="1473"/>
      <c r="G44" s="252"/>
      <c r="H44" s="1473"/>
    </row>
    <row r="45" spans="1:8" s="224" customFormat="1" x14ac:dyDescent="0.25">
      <c r="A45" s="215">
        <v>41655</v>
      </c>
      <c r="B45" s="873" t="s">
        <v>390</v>
      </c>
      <c r="C45" s="879"/>
      <c r="D45" s="887"/>
      <c r="E45" s="250"/>
      <c r="F45" s="1473">
        <v>200</v>
      </c>
      <c r="G45" s="252">
        <v>200</v>
      </c>
      <c r="H45" s="1473"/>
    </row>
    <row r="46" spans="1:8" s="224" customFormat="1" x14ac:dyDescent="0.25">
      <c r="A46" s="215">
        <v>41655</v>
      </c>
      <c r="B46" s="349" t="s">
        <v>32</v>
      </c>
      <c r="C46" s="879" t="s">
        <v>12</v>
      </c>
      <c r="D46" s="983" t="s">
        <v>13</v>
      </c>
      <c r="E46" s="250">
        <v>5.5</v>
      </c>
      <c r="F46" s="1473"/>
      <c r="G46" s="252"/>
      <c r="H46" s="1473"/>
    </row>
    <row r="47" spans="1:8" s="224" customFormat="1" x14ac:dyDescent="0.25">
      <c r="A47" s="215">
        <v>41655</v>
      </c>
      <c r="B47" s="349" t="s">
        <v>403</v>
      </c>
      <c r="C47" s="879" t="s">
        <v>19</v>
      </c>
      <c r="D47" s="983" t="s">
        <v>13</v>
      </c>
      <c r="E47" s="250">
        <v>13.94</v>
      </c>
      <c r="F47" s="1473"/>
      <c r="G47" s="252"/>
      <c r="H47" s="1473"/>
    </row>
    <row r="48" spans="1:8" s="224" customFormat="1" x14ac:dyDescent="0.25">
      <c r="A48" s="215">
        <v>41655</v>
      </c>
      <c r="B48" s="349" t="s">
        <v>404</v>
      </c>
      <c r="C48" s="879" t="s">
        <v>12</v>
      </c>
      <c r="D48" s="983" t="s">
        <v>15</v>
      </c>
      <c r="E48" s="250">
        <v>7</v>
      </c>
      <c r="F48" s="1473"/>
      <c r="G48" s="252"/>
      <c r="H48" s="1473"/>
    </row>
    <row r="49" spans="1:9" s="224" customFormat="1" x14ac:dyDescent="0.25">
      <c r="A49" s="215">
        <v>41656</v>
      </c>
      <c r="B49" s="349" t="s">
        <v>32</v>
      </c>
      <c r="C49" s="879" t="s">
        <v>12</v>
      </c>
      <c r="D49" s="983" t="s">
        <v>13</v>
      </c>
      <c r="E49" s="250">
        <v>10</v>
      </c>
      <c r="F49" s="1473"/>
      <c r="G49" s="252"/>
      <c r="H49" s="1473"/>
    </row>
    <row r="50" spans="1:9" s="224" customFormat="1" x14ac:dyDescent="0.25">
      <c r="A50" s="215">
        <v>41656</v>
      </c>
      <c r="B50" s="349" t="s">
        <v>80</v>
      </c>
      <c r="C50" s="879" t="s">
        <v>12</v>
      </c>
      <c r="D50" s="983" t="s">
        <v>13</v>
      </c>
      <c r="E50" s="250">
        <v>24.4</v>
      </c>
      <c r="F50" s="1473"/>
      <c r="G50" s="252"/>
      <c r="H50" s="1473"/>
    </row>
    <row r="51" spans="1:9" s="224" customFormat="1" x14ac:dyDescent="0.25">
      <c r="A51" s="215">
        <v>41658</v>
      </c>
      <c r="B51" s="862" t="s">
        <v>138</v>
      </c>
      <c r="C51" s="879" t="s">
        <v>12</v>
      </c>
      <c r="D51" s="141" t="s">
        <v>15</v>
      </c>
      <c r="E51" s="97">
        <v>10</v>
      </c>
      <c r="F51" s="1473"/>
      <c r="G51" s="252"/>
      <c r="H51" s="1473"/>
    </row>
    <row r="52" spans="1:9" s="224" customFormat="1" x14ac:dyDescent="0.25">
      <c r="A52" s="215">
        <v>41658</v>
      </c>
      <c r="B52" s="862" t="s">
        <v>405</v>
      </c>
      <c r="C52" s="879" t="s">
        <v>12</v>
      </c>
      <c r="D52" s="141" t="s">
        <v>13</v>
      </c>
      <c r="E52" s="97">
        <v>75.5</v>
      </c>
      <c r="F52" s="1473"/>
      <c r="G52" s="252"/>
      <c r="H52" s="1473"/>
    </row>
    <row r="53" spans="1:9" s="224" customFormat="1" x14ac:dyDescent="0.25">
      <c r="A53" s="215">
        <v>41658</v>
      </c>
      <c r="B53" s="862" t="s">
        <v>134</v>
      </c>
      <c r="C53" s="879" t="s">
        <v>12</v>
      </c>
      <c r="D53" s="141" t="s">
        <v>13</v>
      </c>
      <c r="E53" s="97">
        <v>10</v>
      </c>
      <c r="F53" s="1473"/>
      <c r="G53" s="252"/>
      <c r="H53" s="1473"/>
    </row>
    <row r="54" spans="1:9" s="224" customFormat="1" x14ac:dyDescent="0.25">
      <c r="A54" s="215">
        <v>41659</v>
      </c>
      <c r="B54" s="349" t="s">
        <v>406</v>
      </c>
      <c r="C54" s="350" t="s">
        <v>12</v>
      </c>
      <c r="D54" s="141" t="s">
        <v>25</v>
      </c>
      <c r="E54" s="250"/>
      <c r="F54" s="1473">
        <v>660</v>
      </c>
      <c r="G54" s="252"/>
      <c r="H54" s="1473"/>
    </row>
    <row r="55" spans="1:9" s="224" customFormat="1" x14ac:dyDescent="0.25">
      <c r="A55" s="215">
        <v>41659</v>
      </c>
      <c r="B55" s="873" t="s">
        <v>407</v>
      </c>
      <c r="C55" s="879" t="s">
        <v>12</v>
      </c>
      <c r="D55" s="887" t="s">
        <v>15</v>
      </c>
      <c r="E55" s="250">
        <v>75</v>
      </c>
      <c r="F55" s="1473"/>
      <c r="G55" s="252"/>
      <c r="H55" s="1473"/>
    </row>
    <row r="56" spans="1:9" x14ac:dyDescent="0.25">
      <c r="A56" s="215">
        <v>41659</v>
      </c>
      <c r="B56" s="349" t="s">
        <v>32</v>
      </c>
      <c r="C56" s="350" t="s">
        <v>12</v>
      </c>
      <c r="D56" s="141" t="s">
        <v>15</v>
      </c>
      <c r="E56" s="97">
        <v>5</v>
      </c>
      <c r="F56" s="946"/>
      <c r="G56" s="95"/>
      <c r="H56" s="946"/>
    </row>
    <row r="57" spans="1:9" s="224" customFormat="1" x14ac:dyDescent="0.25">
      <c r="A57" s="215">
        <v>41659</v>
      </c>
      <c r="B57" s="882" t="s">
        <v>147</v>
      </c>
      <c r="C57" s="879" t="s">
        <v>12</v>
      </c>
      <c r="D57" s="887" t="s">
        <v>15</v>
      </c>
      <c r="E57" s="538">
        <v>10</v>
      </c>
      <c r="F57" s="1002"/>
      <c r="G57" s="539"/>
      <c r="H57" s="1002"/>
      <c r="I57" s="709"/>
    </row>
    <row r="58" spans="1:9" s="224" customFormat="1" x14ac:dyDescent="0.25">
      <c r="A58" s="215">
        <v>41659</v>
      </c>
      <c r="B58" s="882" t="s">
        <v>408</v>
      </c>
      <c r="C58" s="879" t="s">
        <v>12</v>
      </c>
      <c r="D58" s="887" t="s">
        <v>13</v>
      </c>
      <c r="E58" s="538">
        <v>34.58</v>
      </c>
      <c r="F58" s="1002"/>
      <c r="G58" s="539"/>
      <c r="H58" s="1002"/>
      <c r="I58" s="709"/>
    </row>
    <row r="59" spans="1:9" s="224" customFormat="1" x14ac:dyDescent="0.25">
      <c r="A59" s="215">
        <v>41659</v>
      </c>
      <c r="B59" s="882" t="s">
        <v>409</v>
      </c>
      <c r="C59" s="350" t="s">
        <v>12</v>
      </c>
      <c r="D59" s="887" t="s">
        <v>13</v>
      </c>
      <c r="E59" s="97">
        <v>39.72</v>
      </c>
      <c r="F59" s="1473"/>
      <c r="G59" s="252"/>
      <c r="H59" s="1473"/>
    </row>
    <row r="60" spans="1:9" s="224" customFormat="1" x14ac:dyDescent="0.25">
      <c r="A60" s="215">
        <v>41659</v>
      </c>
      <c r="B60" s="862" t="s">
        <v>138</v>
      </c>
      <c r="C60" s="879" t="s">
        <v>12</v>
      </c>
      <c r="D60" s="141" t="s">
        <v>15</v>
      </c>
      <c r="E60" s="97">
        <v>20</v>
      </c>
      <c r="F60" s="1473"/>
      <c r="G60" s="252"/>
      <c r="H60" s="1473"/>
    </row>
    <row r="61" spans="1:9" x14ac:dyDescent="0.25">
      <c r="A61" s="215">
        <v>41659</v>
      </c>
      <c r="B61" s="873" t="s">
        <v>398</v>
      </c>
      <c r="C61" s="879"/>
      <c r="D61" s="887"/>
      <c r="E61" s="250">
        <v>50</v>
      </c>
      <c r="F61" s="1473"/>
      <c r="G61" s="252"/>
      <c r="H61" s="1473">
        <v>50</v>
      </c>
    </row>
    <row r="62" spans="1:9" x14ac:dyDescent="0.25">
      <c r="A62" s="215">
        <v>41660</v>
      </c>
      <c r="B62" s="349" t="s">
        <v>410</v>
      </c>
      <c r="C62" s="350" t="s">
        <v>12</v>
      </c>
      <c r="D62" s="141" t="s">
        <v>13</v>
      </c>
      <c r="E62" s="97">
        <v>21.5</v>
      </c>
      <c r="F62" s="946"/>
      <c r="G62" s="95"/>
      <c r="H62" s="946"/>
    </row>
    <row r="63" spans="1:9" x14ac:dyDescent="0.25">
      <c r="A63" s="215">
        <v>41660</v>
      </c>
      <c r="B63" s="349" t="s">
        <v>80</v>
      </c>
      <c r="C63" s="350" t="s">
        <v>12</v>
      </c>
      <c r="D63" s="141" t="s">
        <v>13</v>
      </c>
      <c r="E63" s="97">
        <v>19.899999999999999</v>
      </c>
      <c r="F63" s="946"/>
      <c r="G63" s="95"/>
      <c r="H63" s="946"/>
    </row>
    <row r="64" spans="1:9" x14ac:dyDescent="0.25">
      <c r="A64" s="215">
        <v>41660</v>
      </c>
      <c r="B64" s="349" t="s">
        <v>411</v>
      </c>
      <c r="C64" s="350" t="s">
        <v>12</v>
      </c>
      <c r="D64" s="141" t="s">
        <v>15</v>
      </c>
      <c r="E64" s="97">
        <v>61.5</v>
      </c>
      <c r="F64" s="946"/>
      <c r="G64" s="95"/>
      <c r="H64" s="946"/>
    </row>
    <row r="65" spans="1:8" x14ac:dyDescent="0.25">
      <c r="A65" s="215">
        <v>41661</v>
      </c>
      <c r="B65" s="349" t="s">
        <v>32</v>
      </c>
      <c r="C65" s="350" t="s">
        <v>12</v>
      </c>
      <c r="D65" s="141" t="s">
        <v>15</v>
      </c>
      <c r="E65" s="97">
        <v>4.5</v>
      </c>
      <c r="F65" s="946"/>
      <c r="G65" s="95"/>
      <c r="H65" s="946"/>
    </row>
    <row r="66" spans="1:8" x14ac:dyDescent="0.25">
      <c r="A66" s="215">
        <v>41661</v>
      </c>
      <c r="B66" s="349" t="s">
        <v>138</v>
      </c>
      <c r="C66" s="350" t="s">
        <v>12</v>
      </c>
      <c r="D66" s="141" t="s">
        <v>15</v>
      </c>
      <c r="E66" s="97">
        <v>10</v>
      </c>
      <c r="F66" s="946"/>
      <c r="G66" s="95"/>
      <c r="H66" s="946"/>
    </row>
    <row r="67" spans="1:8" x14ac:dyDescent="0.25">
      <c r="A67" s="215">
        <v>41662</v>
      </c>
      <c r="B67" s="349" t="s">
        <v>32</v>
      </c>
      <c r="C67" s="350" t="s">
        <v>12</v>
      </c>
      <c r="D67" s="141" t="s">
        <v>15</v>
      </c>
      <c r="E67" s="97">
        <v>4.5</v>
      </c>
      <c r="F67" s="946"/>
      <c r="G67" s="95"/>
      <c r="H67" s="946"/>
    </row>
    <row r="68" spans="1:8" x14ac:dyDescent="0.25">
      <c r="A68" s="215">
        <v>41663</v>
      </c>
      <c r="B68" s="349" t="s">
        <v>138</v>
      </c>
      <c r="C68" s="350" t="s">
        <v>12</v>
      </c>
      <c r="D68" s="141" t="s">
        <v>15</v>
      </c>
      <c r="E68" s="97">
        <v>10</v>
      </c>
      <c r="F68" s="946"/>
      <c r="G68" s="95"/>
      <c r="H68" s="946"/>
    </row>
    <row r="69" spans="1:8" x14ac:dyDescent="0.25">
      <c r="A69" s="215">
        <v>41663</v>
      </c>
      <c r="B69" s="349" t="s">
        <v>32</v>
      </c>
      <c r="C69" s="350" t="s">
        <v>12</v>
      </c>
      <c r="D69" s="141" t="s">
        <v>15</v>
      </c>
      <c r="E69" s="97">
        <v>5</v>
      </c>
      <c r="F69" s="946"/>
      <c r="G69" s="95"/>
      <c r="H69" s="946"/>
    </row>
    <row r="70" spans="1:8" x14ac:dyDescent="0.25">
      <c r="A70" s="215">
        <v>41664</v>
      </c>
      <c r="B70" s="349" t="s">
        <v>138</v>
      </c>
      <c r="C70" s="350" t="s">
        <v>12</v>
      </c>
      <c r="D70" s="141" t="s">
        <v>13</v>
      </c>
      <c r="E70" s="97">
        <v>40</v>
      </c>
      <c r="F70" s="946"/>
      <c r="G70" s="95"/>
      <c r="H70" s="946"/>
    </row>
    <row r="71" spans="1:8" x14ac:dyDescent="0.25">
      <c r="A71" s="215">
        <v>41664</v>
      </c>
      <c r="B71" s="349" t="s">
        <v>412</v>
      </c>
      <c r="C71" s="350" t="s">
        <v>12</v>
      </c>
      <c r="D71" s="141" t="s">
        <v>13</v>
      </c>
      <c r="E71" s="97">
        <v>46.8</v>
      </c>
      <c r="F71" s="946"/>
      <c r="G71" s="95"/>
      <c r="H71" s="946"/>
    </row>
    <row r="72" spans="1:8" s="224" customFormat="1" x14ac:dyDescent="0.25">
      <c r="A72" s="215">
        <v>41664</v>
      </c>
      <c r="B72" s="862" t="s">
        <v>413</v>
      </c>
      <c r="C72" s="879" t="s">
        <v>12</v>
      </c>
      <c r="D72" s="887" t="s">
        <v>13</v>
      </c>
      <c r="E72" s="250">
        <v>102</v>
      </c>
      <c r="F72" s="1473"/>
      <c r="G72" s="252"/>
      <c r="H72" s="1473"/>
    </row>
    <row r="73" spans="1:8" s="224" customFormat="1" x14ac:dyDescent="0.25">
      <c r="A73" s="215">
        <v>41665</v>
      </c>
      <c r="B73" s="862" t="s">
        <v>414</v>
      </c>
      <c r="C73" s="879" t="s">
        <v>12</v>
      </c>
      <c r="D73" s="887" t="s">
        <v>13</v>
      </c>
      <c r="E73" s="250">
        <v>36.4</v>
      </c>
      <c r="F73" s="1473"/>
      <c r="G73" s="252"/>
      <c r="H73" s="1473"/>
    </row>
    <row r="74" spans="1:8" s="224" customFormat="1" x14ac:dyDescent="0.25">
      <c r="A74" s="215">
        <v>41665</v>
      </c>
      <c r="B74" s="862" t="s">
        <v>32</v>
      </c>
      <c r="C74" s="879" t="s">
        <v>12</v>
      </c>
      <c r="D74" s="887" t="s">
        <v>15</v>
      </c>
      <c r="E74" s="250">
        <v>5</v>
      </c>
      <c r="F74" s="1473"/>
      <c r="G74" s="252"/>
      <c r="H74" s="1473"/>
    </row>
    <row r="75" spans="1:8" s="224" customFormat="1" x14ac:dyDescent="0.25">
      <c r="A75" s="215">
        <v>41666</v>
      </c>
      <c r="B75" s="862" t="s">
        <v>32</v>
      </c>
      <c r="C75" s="879" t="s">
        <v>12</v>
      </c>
      <c r="D75" s="887" t="s">
        <v>15</v>
      </c>
      <c r="E75" s="250">
        <v>5</v>
      </c>
      <c r="F75" s="1473"/>
      <c r="G75" s="252"/>
      <c r="H75" s="1473"/>
    </row>
    <row r="76" spans="1:8" s="224" customFormat="1" x14ac:dyDescent="0.25">
      <c r="A76" s="215">
        <v>41666</v>
      </c>
      <c r="B76" s="349" t="s">
        <v>138</v>
      </c>
      <c r="C76" s="350" t="s">
        <v>12</v>
      </c>
      <c r="D76" s="141" t="s">
        <v>15</v>
      </c>
      <c r="E76" s="97">
        <v>20</v>
      </c>
      <c r="F76" s="1473"/>
      <c r="G76" s="252"/>
      <c r="H76" s="1473"/>
    </row>
    <row r="77" spans="1:8" s="224" customFormat="1" x14ac:dyDescent="0.25">
      <c r="A77" s="215">
        <v>41667</v>
      </c>
      <c r="B77" s="862" t="s">
        <v>32</v>
      </c>
      <c r="C77" s="879" t="s">
        <v>12</v>
      </c>
      <c r="D77" s="887" t="s">
        <v>15</v>
      </c>
      <c r="E77" s="250">
        <v>5.5</v>
      </c>
      <c r="F77" s="1473"/>
      <c r="G77" s="252"/>
      <c r="H77" s="1473"/>
    </row>
    <row r="78" spans="1:8" s="224" customFormat="1" x14ac:dyDescent="0.25">
      <c r="A78" s="215">
        <v>41667</v>
      </c>
      <c r="B78" s="862" t="s">
        <v>14</v>
      </c>
      <c r="C78" s="879" t="s">
        <v>12</v>
      </c>
      <c r="D78" s="887" t="s">
        <v>15</v>
      </c>
      <c r="E78" s="250">
        <v>2.6</v>
      </c>
      <c r="F78" s="1473"/>
      <c r="G78" s="252"/>
      <c r="H78" s="1473"/>
    </row>
    <row r="79" spans="1:8" s="224" customFormat="1" x14ac:dyDescent="0.25">
      <c r="A79" s="215">
        <v>41667</v>
      </c>
      <c r="B79" s="862" t="s">
        <v>415</v>
      </c>
      <c r="C79" s="879" t="s">
        <v>12</v>
      </c>
      <c r="D79" s="887" t="s">
        <v>15</v>
      </c>
      <c r="E79" s="250">
        <v>6.5</v>
      </c>
      <c r="F79" s="1473"/>
      <c r="G79" s="252"/>
      <c r="H79" s="1473"/>
    </row>
    <row r="80" spans="1:8" s="224" customFormat="1" x14ac:dyDescent="0.25">
      <c r="A80" s="215">
        <v>41668</v>
      </c>
      <c r="B80" s="862" t="s">
        <v>32</v>
      </c>
      <c r="C80" s="879" t="s">
        <v>12</v>
      </c>
      <c r="D80" s="887" t="s">
        <v>15</v>
      </c>
      <c r="E80" s="250">
        <v>10</v>
      </c>
      <c r="F80" s="1473"/>
      <c r="G80" s="252"/>
      <c r="H80" s="1473"/>
    </row>
    <row r="81" spans="1:8" s="224" customFormat="1" x14ac:dyDescent="0.25">
      <c r="A81" s="215">
        <v>41668</v>
      </c>
      <c r="B81" s="862" t="s">
        <v>416</v>
      </c>
      <c r="C81" s="879" t="s">
        <v>12</v>
      </c>
      <c r="D81" s="887" t="s">
        <v>15</v>
      </c>
      <c r="E81" s="250">
        <v>40.950000000000003</v>
      </c>
      <c r="F81" s="1473"/>
      <c r="G81" s="252"/>
      <c r="H81" s="1473"/>
    </row>
    <row r="82" spans="1:8" s="224" customFormat="1" x14ac:dyDescent="0.25">
      <c r="A82" s="215">
        <v>41668</v>
      </c>
      <c r="B82" s="873" t="s">
        <v>390</v>
      </c>
      <c r="C82" s="879"/>
      <c r="D82" s="887"/>
      <c r="E82" s="250"/>
      <c r="F82" s="1473">
        <v>217</v>
      </c>
      <c r="G82" s="252">
        <v>217</v>
      </c>
      <c r="H82" s="1473"/>
    </row>
    <row r="83" spans="1:8" s="224" customFormat="1" x14ac:dyDescent="0.25">
      <c r="A83" s="215">
        <v>41668</v>
      </c>
      <c r="B83" s="873" t="s">
        <v>311</v>
      </c>
      <c r="C83" s="879" t="s">
        <v>12</v>
      </c>
      <c r="D83" s="887" t="s">
        <v>25</v>
      </c>
      <c r="E83" s="250"/>
      <c r="F83" s="1473"/>
      <c r="G83" s="252"/>
      <c r="H83" s="1473">
        <v>13</v>
      </c>
    </row>
    <row r="84" spans="1:8" s="224" customFormat="1" x14ac:dyDescent="0.25">
      <c r="A84" s="215">
        <v>41668</v>
      </c>
      <c r="B84" s="862" t="s">
        <v>417</v>
      </c>
      <c r="C84" s="879" t="s">
        <v>12</v>
      </c>
      <c r="D84" s="887" t="s">
        <v>13</v>
      </c>
      <c r="E84" s="250">
        <v>31.5</v>
      </c>
      <c r="F84" s="1473"/>
      <c r="G84" s="252"/>
      <c r="H84" s="1473"/>
    </row>
    <row r="85" spans="1:8" s="224" customFormat="1" x14ac:dyDescent="0.25">
      <c r="A85" s="215">
        <v>41669</v>
      </c>
      <c r="B85" s="862" t="s">
        <v>32</v>
      </c>
      <c r="C85" s="879" t="s">
        <v>12</v>
      </c>
      <c r="D85" s="887" t="s">
        <v>15</v>
      </c>
      <c r="E85" s="250">
        <v>5.5</v>
      </c>
      <c r="F85" s="1473"/>
      <c r="G85" s="252"/>
      <c r="H85" s="1473"/>
    </row>
    <row r="86" spans="1:8" s="224" customFormat="1" x14ac:dyDescent="0.25">
      <c r="A86" s="215">
        <v>41669</v>
      </c>
      <c r="B86" s="862" t="s">
        <v>80</v>
      </c>
      <c r="C86" s="879" t="s">
        <v>12</v>
      </c>
      <c r="D86" s="887" t="s">
        <v>13</v>
      </c>
      <c r="E86" s="250">
        <v>21.5</v>
      </c>
      <c r="F86" s="1473"/>
      <c r="G86" s="252"/>
      <c r="H86" s="1473"/>
    </row>
    <row r="87" spans="1:8" s="224" customFormat="1" x14ac:dyDescent="0.25">
      <c r="A87" s="215">
        <v>41669</v>
      </c>
      <c r="B87" s="349" t="s">
        <v>138</v>
      </c>
      <c r="C87" s="350" t="s">
        <v>12</v>
      </c>
      <c r="D87" s="141" t="s">
        <v>13</v>
      </c>
      <c r="E87" s="97">
        <v>20</v>
      </c>
      <c r="F87" s="1473"/>
      <c r="G87" s="252"/>
      <c r="H87" s="1473"/>
    </row>
    <row r="88" spans="1:8" s="224" customFormat="1" ht="15.75" thickBot="1" x14ac:dyDescent="0.3">
      <c r="A88" s="215">
        <v>41670</v>
      </c>
      <c r="B88" s="862" t="s">
        <v>32</v>
      </c>
      <c r="C88" s="879" t="s">
        <v>12</v>
      </c>
      <c r="D88" s="887" t="s">
        <v>15</v>
      </c>
      <c r="E88" s="250">
        <v>6</v>
      </c>
      <c r="F88" s="1473"/>
      <c r="G88" s="252"/>
      <c r="H88" s="1473"/>
    </row>
    <row r="89" spans="1:8" ht="25.5" customHeight="1" thickBot="1" x14ac:dyDescent="0.3">
      <c r="A89" s="689"/>
      <c r="B89" s="690"/>
      <c r="C89" s="691"/>
      <c r="D89" s="691"/>
      <c r="E89" s="100">
        <f>SUM(E5:E88)</f>
        <v>2805.3999999999996</v>
      </c>
      <c r="F89" s="1065">
        <f>SUM(F5:F88)</f>
        <v>3053.42</v>
      </c>
      <c r="G89" s="101">
        <f>SUM(G5:G88)</f>
        <v>1427</v>
      </c>
      <c r="H89" s="93">
        <f>SUM(H5:H88)</f>
        <v>2027</v>
      </c>
    </row>
    <row r="90" spans="1:8" ht="25.5" customHeight="1" thickBot="1" x14ac:dyDescent="0.3">
      <c r="A90" s="683" t="s">
        <v>49</v>
      </c>
      <c r="B90" s="684"/>
      <c r="C90" s="684"/>
      <c r="D90" s="684"/>
      <c r="E90" s="102"/>
      <c r="F90" s="1478">
        <f>F89-E89</f>
        <v>248.02000000000044</v>
      </c>
      <c r="G90" s="104"/>
      <c r="H90" s="103">
        <f>H89-G89</f>
        <v>600</v>
      </c>
    </row>
    <row r="92" spans="1:8" x14ac:dyDescent="0.25">
      <c r="B92" s="79" t="s">
        <v>32</v>
      </c>
      <c r="C92" s="484">
        <v>156.5</v>
      </c>
    </row>
    <row r="93" spans="1:8" x14ac:dyDescent="0.25">
      <c r="B93" s="79" t="s">
        <v>16</v>
      </c>
      <c r="C93" s="484">
        <v>250</v>
      </c>
    </row>
    <row r="94" spans="1:8" x14ac:dyDescent="0.25">
      <c r="B94" s="79" t="s">
        <v>50</v>
      </c>
      <c r="C94" s="484">
        <v>140.30000000000001</v>
      </c>
    </row>
    <row r="95" spans="1:8" s="85" customFormat="1" x14ac:dyDescent="0.25">
      <c r="A95" s="79"/>
      <c r="B95" s="79" t="s">
        <v>14</v>
      </c>
      <c r="C95" s="475">
        <v>19.68</v>
      </c>
      <c r="E95" s="89"/>
      <c r="F95" s="79"/>
      <c r="G95" s="79"/>
      <c r="H95" s="79"/>
    </row>
    <row r="96" spans="1:8" s="85" customFormat="1" x14ac:dyDescent="0.25">
      <c r="A96" s="79"/>
      <c r="B96" s="79" t="s">
        <v>51</v>
      </c>
      <c r="C96" s="475">
        <v>108.6</v>
      </c>
      <c r="E96" s="89"/>
      <c r="F96" s="79"/>
      <c r="G96" s="79"/>
      <c r="H96" s="79"/>
    </row>
    <row r="97" spans="1:8" s="85" customFormat="1" x14ac:dyDescent="0.25">
      <c r="A97" s="79"/>
      <c r="B97" s="79" t="s">
        <v>52</v>
      </c>
      <c r="C97" s="475">
        <v>50</v>
      </c>
      <c r="E97" s="89"/>
      <c r="F97" s="79"/>
      <c r="G97" s="79"/>
      <c r="H97" s="79"/>
    </row>
    <row r="98" spans="1:8" s="85" customFormat="1" x14ac:dyDescent="0.25">
      <c r="A98" s="79"/>
      <c r="B98" s="867" t="s">
        <v>53</v>
      </c>
      <c r="C98" s="475">
        <v>200</v>
      </c>
      <c r="D98" s="85" t="s">
        <v>280</v>
      </c>
      <c r="E98" s="89"/>
      <c r="F98" s="79"/>
      <c r="G98" s="79"/>
      <c r="H98" s="79"/>
    </row>
    <row r="99" spans="1:8" s="85" customFormat="1" x14ac:dyDescent="0.25">
      <c r="A99" s="79"/>
      <c r="B99" s="79" t="s">
        <v>56</v>
      </c>
      <c r="C99" s="475">
        <v>320.64</v>
      </c>
      <c r="E99" s="89"/>
      <c r="F99" s="79"/>
      <c r="G99" s="79"/>
      <c r="H99" s="79"/>
    </row>
    <row r="100" spans="1:8" s="85" customFormat="1" x14ac:dyDescent="0.25">
      <c r="A100" s="79"/>
      <c r="B100" s="79" t="s">
        <v>57</v>
      </c>
      <c r="C100" s="475">
        <v>146.80000000000001</v>
      </c>
      <c r="E100" s="89"/>
      <c r="F100" s="79"/>
      <c r="G100" s="79"/>
      <c r="H100" s="79"/>
    </row>
    <row r="101" spans="1:8" s="85" customFormat="1" x14ac:dyDescent="0.25">
      <c r="A101" s="79"/>
      <c r="B101" s="79" t="s">
        <v>418</v>
      </c>
      <c r="C101" s="475">
        <v>175.6</v>
      </c>
      <c r="E101" s="89"/>
      <c r="F101" s="79"/>
      <c r="G101" s="79"/>
      <c r="H101" s="79"/>
    </row>
    <row r="102" spans="1:8" s="85" customFormat="1" x14ac:dyDescent="0.25">
      <c r="A102" s="79"/>
      <c r="B102" s="79" t="s">
        <v>419</v>
      </c>
      <c r="C102" s="475">
        <v>40.950000000000003</v>
      </c>
      <c r="E102" s="89"/>
      <c r="F102" s="79"/>
      <c r="G102" s="79"/>
      <c r="H102" s="79"/>
    </row>
    <row r="103" spans="1:8" s="85" customFormat="1" x14ac:dyDescent="0.25">
      <c r="A103" s="79"/>
      <c r="B103" s="79"/>
      <c r="C103" s="475"/>
      <c r="E103" s="89"/>
      <c r="F103" s="79"/>
      <c r="G103" s="79"/>
      <c r="H103" s="79"/>
    </row>
  </sheetData>
  <autoFilter ref="A2:H90" xr:uid="{00000000-0009-0000-0000-00000D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6"/>
  <dimension ref="A1:L96"/>
  <sheetViews>
    <sheetView workbookViewId="0">
      <selection activeCell="E19" sqref="E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420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41671</v>
      </c>
      <c r="B5" s="369" t="s">
        <v>10</v>
      </c>
      <c r="C5" s="370"/>
      <c r="D5" s="207"/>
      <c r="E5" s="179"/>
      <c r="F5" s="933">
        <f>'Janeiro-14'!F90</f>
        <v>248.02000000000044</v>
      </c>
      <c r="G5" s="163"/>
      <c r="H5" s="933">
        <f>'Janeiro-14'!H90</f>
        <v>600</v>
      </c>
    </row>
    <row r="6" spans="1:8" s="224" customFormat="1" x14ac:dyDescent="0.25">
      <c r="A6" s="215">
        <v>41671</v>
      </c>
      <c r="B6" s="348" t="s">
        <v>11</v>
      </c>
      <c r="C6" s="351"/>
      <c r="D6" s="248"/>
      <c r="E6" s="250">
        <v>20</v>
      </c>
      <c r="F6" s="1473"/>
      <c r="G6" s="252"/>
      <c r="H6" s="1473"/>
    </row>
    <row r="7" spans="1:8" s="224" customFormat="1" x14ac:dyDescent="0.25">
      <c r="A7" s="215">
        <v>41671</v>
      </c>
      <c r="B7" s="862" t="s">
        <v>138</v>
      </c>
      <c r="C7" s="879" t="s">
        <v>12</v>
      </c>
      <c r="D7" s="887" t="s">
        <v>13</v>
      </c>
      <c r="E7" s="250">
        <v>20</v>
      </c>
      <c r="F7" s="1473"/>
      <c r="G7" s="252"/>
      <c r="H7" s="1473"/>
    </row>
    <row r="8" spans="1:8" s="224" customFormat="1" x14ac:dyDescent="0.25">
      <c r="A8" s="215">
        <v>41671</v>
      </c>
      <c r="B8" s="862" t="s">
        <v>421</v>
      </c>
      <c r="C8" s="879" t="s">
        <v>19</v>
      </c>
      <c r="D8" s="887" t="s">
        <v>13</v>
      </c>
      <c r="E8" s="250">
        <v>39.5</v>
      </c>
      <c r="F8" s="1473"/>
      <c r="G8" s="252"/>
      <c r="H8" s="1473"/>
    </row>
    <row r="9" spans="1:8" s="224" customFormat="1" x14ac:dyDescent="0.25">
      <c r="A9" s="215">
        <v>41672</v>
      </c>
      <c r="B9" s="873" t="s">
        <v>14</v>
      </c>
      <c r="C9" s="879" t="s">
        <v>12</v>
      </c>
      <c r="D9" s="887" t="s">
        <v>13</v>
      </c>
      <c r="E9" s="250">
        <v>4.5</v>
      </c>
      <c r="F9" s="1473"/>
      <c r="G9" s="252"/>
      <c r="H9" s="1473"/>
    </row>
    <row r="10" spans="1:8" s="224" customFormat="1" x14ac:dyDescent="0.25">
      <c r="A10" s="215">
        <v>41672</v>
      </c>
      <c r="B10" s="873" t="s">
        <v>138</v>
      </c>
      <c r="C10" s="879" t="s">
        <v>12</v>
      </c>
      <c r="D10" s="887" t="s">
        <v>13</v>
      </c>
      <c r="E10" s="250">
        <v>20</v>
      </c>
      <c r="F10" s="1473"/>
      <c r="G10" s="252"/>
      <c r="H10" s="1473"/>
    </row>
    <row r="11" spans="1:8" s="224" customFormat="1" x14ac:dyDescent="0.25">
      <c r="A11" s="215">
        <v>41673</v>
      </c>
      <c r="B11" s="873" t="s">
        <v>32</v>
      </c>
      <c r="C11" s="879" t="s">
        <v>12</v>
      </c>
      <c r="D11" s="887" t="s">
        <v>13</v>
      </c>
      <c r="E11" s="250">
        <v>5.5</v>
      </c>
      <c r="F11" s="1473"/>
      <c r="G11" s="252"/>
      <c r="H11" s="1473"/>
    </row>
    <row r="12" spans="1:8" s="224" customFormat="1" x14ac:dyDescent="0.25">
      <c r="A12" s="215">
        <v>41674</v>
      </c>
      <c r="B12" s="873" t="s">
        <v>32</v>
      </c>
      <c r="C12" s="879" t="s">
        <v>12</v>
      </c>
      <c r="D12" s="887" t="s">
        <v>13</v>
      </c>
      <c r="E12" s="250">
        <v>10</v>
      </c>
      <c r="F12" s="1473"/>
      <c r="G12" s="252"/>
      <c r="H12" s="1473"/>
    </row>
    <row r="13" spans="1:8" s="224" customFormat="1" x14ac:dyDescent="0.25">
      <c r="A13" s="215">
        <v>41674</v>
      </c>
      <c r="B13" s="873" t="s">
        <v>422</v>
      </c>
      <c r="C13" s="879" t="s">
        <v>12</v>
      </c>
      <c r="D13" s="887" t="s">
        <v>13</v>
      </c>
      <c r="E13" s="250">
        <v>45.9</v>
      </c>
      <c r="F13" s="1473"/>
      <c r="G13" s="252"/>
      <c r="H13" s="1473"/>
    </row>
    <row r="14" spans="1:8" s="224" customFormat="1" x14ac:dyDescent="0.25">
      <c r="A14" s="215">
        <v>41675</v>
      </c>
      <c r="B14" s="873" t="s">
        <v>32</v>
      </c>
      <c r="C14" s="879" t="s">
        <v>12</v>
      </c>
      <c r="D14" s="887" t="s">
        <v>13</v>
      </c>
      <c r="E14" s="250">
        <v>5.5</v>
      </c>
      <c r="F14" s="1473"/>
      <c r="G14" s="252"/>
      <c r="H14" s="1473"/>
    </row>
    <row r="15" spans="1:8" s="224" customFormat="1" x14ac:dyDescent="0.25">
      <c r="A15" s="215">
        <v>41675</v>
      </c>
      <c r="B15" s="873" t="s">
        <v>390</v>
      </c>
      <c r="C15" s="879"/>
      <c r="D15" s="887"/>
      <c r="E15" s="250"/>
      <c r="F15" s="1473">
        <v>100</v>
      </c>
      <c r="G15" s="252">
        <v>100</v>
      </c>
      <c r="H15" s="1473"/>
    </row>
    <row r="16" spans="1:8" s="224" customFormat="1" x14ac:dyDescent="0.25">
      <c r="A16" s="215">
        <v>41675</v>
      </c>
      <c r="B16" s="873" t="s">
        <v>138</v>
      </c>
      <c r="C16" s="879" t="s">
        <v>12</v>
      </c>
      <c r="D16" s="887" t="s">
        <v>15</v>
      </c>
      <c r="E16" s="250">
        <v>20</v>
      </c>
      <c r="F16" s="1473"/>
      <c r="G16" s="252"/>
      <c r="H16" s="1473"/>
    </row>
    <row r="17" spans="1:12" s="224" customFormat="1" x14ac:dyDescent="0.25">
      <c r="A17" s="215">
        <v>41676</v>
      </c>
      <c r="B17" s="349" t="s">
        <v>423</v>
      </c>
      <c r="C17" s="879" t="s">
        <v>12</v>
      </c>
      <c r="D17" s="983" t="s">
        <v>25</v>
      </c>
      <c r="E17" s="250"/>
      <c r="F17" s="1473">
        <v>983.42</v>
      </c>
      <c r="G17" s="252"/>
      <c r="H17" s="1473"/>
    </row>
    <row r="18" spans="1:12" s="224" customFormat="1" x14ac:dyDescent="0.25">
      <c r="A18" s="215">
        <v>41676</v>
      </c>
      <c r="B18" s="349" t="s">
        <v>424</v>
      </c>
      <c r="C18" s="879" t="s">
        <v>12</v>
      </c>
      <c r="D18" s="983" t="s">
        <v>13</v>
      </c>
      <c r="E18" s="250">
        <v>90.75</v>
      </c>
      <c r="F18" s="1473"/>
      <c r="G18" s="252"/>
      <c r="H18" s="251"/>
      <c r="K18" s="79"/>
      <c r="L18" s="79"/>
    </row>
    <row r="19" spans="1:12" s="224" customFormat="1" ht="15.75" customHeight="1" x14ac:dyDescent="0.25">
      <c r="A19" s="215">
        <v>41676</v>
      </c>
      <c r="B19" s="862" t="s">
        <v>425</v>
      </c>
      <c r="C19" s="350" t="s">
        <v>12</v>
      </c>
      <c r="D19" s="141" t="s">
        <v>13</v>
      </c>
      <c r="E19" s="97">
        <v>200.49</v>
      </c>
      <c r="F19" s="1473"/>
      <c r="G19" s="252"/>
      <c r="H19" s="1473"/>
    </row>
    <row r="20" spans="1:12" s="224" customFormat="1" ht="14.25" customHeight="1" x14ac:dyDescent="0.25">
      <c r="A20" s="215">
        <v>41676</v>
      </c>
      <c r="B20" s="862" t="s">
        <v>31</v>
      </c>
      <c r="C20" s="350" t="s">
        <v>12</v>
      </c>
      <c r="D20" s="957" t="s">
        <v>15</v>
      </c>
      <c r="E20" s="97">
        <v>50</v>
      </c>
      <c r="F20" s="1473"/>
      <c r="G20" s="252"/>
      <c r="H20" s="1473"/>
    </row>
    <row r="21" spans="1:12" s="224" customFormat="1" x14ac:dyDescent="0.25">
      <c r="A21" s="215">
        <v>41676</v>
      </c>
      <c r="B21" s="862" t="s">
        <v>399</v>
      </c>
      <c r="C21" s="350" t="s">
        <v>12</v>
      </c>
      <c r="D21" s="957" t="s">
        <v>15</v>
      </c>
      <c r="E21" s="97">
        <v>25</v>
      </c>
      <c r="F21" s="1473"/>
      <c r="G21" s="252"/>
      <c r="H21" s="1473"/>
    </row>
    <row r="22" spans="1:12" s="224" customFormat="1" ht="15.75" customHeight="1" x14ac:dyDescent="0.25">
      <c r="A22" s="215">
        <v>41676</v>
      </c>
      <c r="B22" s="862" t="s">
        <v>32</v>
      </c>
      <c r="C22" s="350" t="s">
        <v>12</v>
      </c>
      <c r="D22" s="141" t="s">
        <v>15</v>
      </c>
      <c r="E22" s="97">
        <v>21.5</v>
      </c>
      <c r="F22" s="1473"/>
      <c r="G22" s="252"/>
      <c r="H22" s="1473"/>
    </row>
    <row r="23" spans="1:12" s="224" customFormat="1" ht="15.75" customHeight="1" x14ac:dyDescent="0.25">
      <c r="A23" s="215">
        <v>41676</v>
      </c>
      <c r="B23" s="862" t="s">
        <v>390</v>
      </c>
      <c r="C23" s="350"/>
      <c r="D23" s="141"/>
      <c r="E23" s="97"/>
      <c r="F23" s="1473">
        <v>300</v>
      </c>
      <c r="G23" s="252">
        <v>300</v>
      </c>
      <c r="H23" s="1473"/>
    </row>
    <row r="24" spans="1:12" s="224" customFormat="1" ht="15.75" customHeight="1" x14ac:dyDescent="0.25">
      <c r="A24" s="215">
        <v>41676</v>
      </c>
      <c r="B24" s="862" t="s">
        <v>80</v>
      </c>
      <c r="C24" s="350" t="s">
        <v>12</v>
      </c>
      <c r="D24" s="141" t="s">
        <v>13</v>
      </c>
      <c r="E24" s="97">
        <v>16.25</v>
      </c>
      <c r="F24" s="1473"/>
      <c r="G24" s="252"/>
      <c r="H24" s="1473"/>
    </row>
    <row r="25" spans="1:12" x14ac:dyDescent="0.25">
      <c r="A25" s="215">
        <v>41677</v>
      </c>
      <c r="B25" s="349" t="s">
        <v>260</v>
      </c>
      <c r="C25" s="350"/>
      <c r="D25" s="141"/>
      <c r="E25" s="97">
        <v>500</v>
      </c>
      <c r="F25" s="946"/>
      <c r="G25" s="97"/>
      <c r="H25" s="946">
        <v>500</v>
      </c>
    </row>
    <row r="26" spans="1:12" x14ac:dyDescent="0.25">
      <c r="A26" s="215">
        <v>41677</v>
      </c>
      <c r="B26" s="873" t="s">
        <v>138</v>
      </c>
      <c r="C26" s="879" t="s">
        <v>12</v>
      </c>
      <c r="D26" s="887" t="s">
        <v>15</v>
      </c>
      <c r="E26" s="250">
        <v>20</v>
      </c>
      <c r="F26" s="946"/>
      <c r="G26" s="97"/>
      <c r="H26" s="946"/>
    </row>
    <row r="27" spans="1:12" ht="15.75" customHeight="1" x14ac:dyDescent="0.25">
      <c r="A27" s="215">
        <v>41677</v>
      </c>
      <c r="B27" s="349" t="s">
        <v>426</v>
      </c>
      <c r="C27" s="350" t="s">
        <v>12</v>
      </c>
      <c r="D27" s="141" t="s">
        <v>13</v>
      </c>
      <c r="E27" s="97">
        <v>19.899999999999999</v>
      </c>
      <c r="F27" s="946"/>
      <c r="G27" s="97"/>
      <c r="H27" s="946"/>
    </row>
    <row r="28" spans="1:12" x14ac:dyDescent="0.25">
      <c r="A28" s="215">
        <v>41677</v>
      </c>
      <c r="B28" s="873" t="s">
        <v>427</v>
      </c>
      <c r="C28" s="879" t="s">
        <v>12</v>
      </c>
      <c r="D28" s="887" t="s">
        <v>13</v>
      </c>
      <c r="E28" s="250">
        <v>45</v>
      </c>
      <c r="F28" s="946"/>
      <c r="G28" s="97"/>
      <c r="H28" s="946"/>
    </row>
    <row r="29" spans="1:12" x14ac:dyDescent="0.25">
      <c r="A29" s="215">
        <v>41677</v>
      </c>
      <c r="B29" s="349" t="s">
        <v>156</v>
      </c>
      <c r="C29" s="350" t="s">
        <v>12</v>
      </c>
      <c r="D29" s="141" t="s">
        <v>13</v>
      </c>
      <c r="E29" s="97">
        <v>36.200000000000003</v>
      </c>
      <c r="F29" s="946"/>
      <c r="G29" s="97"/>
      <c r="H29" s="946"/>
    </row>
    <row r="30" spans="1:12" x14ac:dyDescent="0.25">
      <c r="A30" s="215">
        <v>41678</v>
      </c>
      <c r="B30" s="349" t="s">
        <v>260</v>
      </c>
      <c r="C30" s="350"/>
      <c r="D30" s="141"/>
      <c r="E30" s="97">
        <v>60</v>
      </c>
      <c r="F30" s="946"/>
      <c r="G30" s="97"/>
      <c r="H30" s="946">
        <v>60</v>
      </c>
    </row>
    <row r="31" spans="1:12" x14ac:dyDescent="0.25">
      <c r="A31" s="215">
        <v>41679</v>
      </c>
      <c r="B31" s="873" t="s">
        <v>14</v>
      </c>
      <c r="C31" s="879" t="s">
        <v>12</v>
      </c>
      <c r="D31" s="887" t="s">
        <v>13</v>
      </c>
      <c r="E31" s="250">
        <v>10.46</v>
      </c>
      <c r="F31" s="1473"/>
      <c r="G31" s="252"/>
      <c r="H31" s="1473"/>
    </row>
    <row r="32" spans="1:12" x14ac:dyDescent="0.25">
      <c r="A32" s="215">
        <v>41679</v>
      </c>
      <c r="B32" s="873" t="s">
        <v>17</v>
      </c>
      <c r="C32" s="879" t="s">
        <v>12</v>
      </c>
      <c r="D32" s="887" t="s">
        <v>15</v>
      </c>
      <c r="E32" s="250">
        <v>12</v>
      </c>
      <c r="F32" s="1473"/>
      <c r="G32" s="252"/>
      <c r="H32" s="1473"/>
    </row>
    <row r="33" spans="1:8" s="224" customFormat="1" x14ac:dyDescent="0.25">
      <c r="A33" s="215">
        <v>41680</v>
      </c>
      <c r="B33" s="364" t="s">
        <v>32</v>
      </c>
      <c r="C33" s="879" t="s">
        <v>12</v>
      </c>
      <c r="D33" s="887" t="s">
        <v>15</v>
      </c>
      <c r="E33" s="250">
        <v>5.5</v>
      </c>
      <c r="F33" s="1473"/>
      <c r="G33" s="250"/>
      <c r="H33" s="1473"/>
    </row>
    <row r="34" spans="1:8" s="224" customFormat="1" x14ac:dyDescent="0.25">
      <c r="A34" s="215">
        <v>41680</v>
      </c>
      <c r="B34" s="364" t="s">
        <v>428</v>
      </c>
      <c r="C34" s="879" t="s">
        <v>12</v>
      </c>
      <c r="D34" s="887" t="s">
        <v>15</v>
      </c>
      <c r="E34" s="250">
        <v>10</v>
      </c>
      <c r="F34" s="1473"/>
      <c r="G34" s="250"/>
      <c r="H34" s="1473"/>
    </row>
    <row r="35" spans="1:8" s="224" customFormat="1" x14ac:dyDescent="0.25">
      <c r="A35" s="215">
        <v>41681</v>
      </c>
      <c r="B35" s="364" t="s">
        <v>32</v>
      </c>
      <c r="C35" s="879" t="s">
        <v>12</v>
      </c>
      <c r="D35" s="887" t="s">
        <v>15</v>
      </c>
      <c r="E35" s="250">
        <v>5.5</v>
      </c>
      <c r="F35" s="1473"/>
      <c r="G35" s="252"/>
      <c r="H35" s="1473"/>
    </row>
    <row r="36" spans="1:8" s="224" customFormat="1" x14ac:dyDescent="0.25">
      <c r="A36" s="215">
        <v>41681</v>
      </c>
      <c r="B36" s="873" t="s">
        <v>138</v>
      </c>
      <c r="C36" s="879" t="s">
        <v>12</v>
      </c>
      <c r="D36" s="887" t="s">
        <v>15</v>
      </c>
      <c r="E36" s="250">
        <v>20</v>
      </c>
      <c r="F36" s="1473"/>
      <c r="G36" s="252"/>
      <c r="H36" s="1473"/>
    </row>
    <row r="37" spans="1:8" s="224" customFormat="1" x14ac:dyDescent="0.25">
      <c r="A37" s="215">
        <v>41682</v>
      </c>
      <c r="B37" s="364" t="s">
        <v>32</v>
      </c>
      <c r="C37" s="879" t="s">
        <v>12</v>
      </c>
      <c r="D37" s="887" t="s">
        <v>15</v>
      </c>
      <c r="E37" s="250">
        <v>10</v>
      </c>
      <c r="F37" s="1473"/>
      <c r="G37" s="252"/>
      <c r="H37" s="1473"/>
    </row>
    <row r="38" spans="1:8" x14ac:dyDescent="0.25">
      <c r="A38" s="215">
        <v>41682</v>
      </c>
      <c r="B38" s="873" t="s">
        <v>14</v>
      </c>
      <c r="C38" s="879" t="s">
        <v>12</v>
      </c>
      <c r="D38" s="887" t="s">
        <v>13</v>
      </c>
      <c r="E38" s="250">
        <v>8</v>
      </c>
      <c r="F38" s="1473"/>
      <c r="G38" s="252"/>
      <c r="H38" s="1473"/>
    </row>
    <row r="39" spans="1:8" s="224" customFormat="1" x14ac:dyDescent="0.25">
      <c r="A39" s="215">
        <v>41683</v>
      </c>
      <c r="B39" s="364" t="s">
        <v>32</v>
      </c>
      <c r="C39" s="879" t="s">
        <v>12</v>
      </c>
      <c r="D39" s="887" t="s">
        <v>13</v>
      </c>
      <c r="E39" s="250">
        <v>5.5</v>
      </c>
      <c r="F39" s="1473"/>
      <c r="G39" s="252"/>
      <c r="H39" s="1473"/>
    </row>
    <row r="40" spans="1:8" s="224" customFormat="1" x14ac:dyDescent="0.25">
      <c r="A40" s="215">
        <v>41683</v>
      </c>
      <c r="B40" s="862" t="s">
        <v>417</v>
      </c>
      <c r="C40" s="879" t="s">
        <v>12</v>
      </c>
      <c r="D40" s="887" t="s">
        <v>13</v>
      </c>
      <c r="E40" s="250">
        <v>31.5</v>
      </c>
      <c r="F40" s="1473"/>
      <c r="G40" s="252"/>
      <c r="H40" s="1473"/>
    </row>
    <row r="41" spans="1:8" s="224" customFormat="1" x14ac:dyDescent="0.25">
      <c r="A41" s="215">
        <v>41683</v>
      </c>
      <c r="B41" s="873" t="s">
        <v>138</v>
      </c>
      <c r="C41" s="879" t="s">
        <v>12</v>
      </c>
      <c r="D41" s="887" t="s">
        <v>13</v>
      </c>
      <c r="E41" s="250">
        <v>20</v>
      </c>
      <c r="F41" s="1473"/>
      <c r="G41" s="252"/>
      <c r="H41" s="1473"/>
    </row>
    <row r="42" spans="1:8" s="224" customFormat="1" x14ac:dyDescent="0.25">
      <c r="A42" s="215">
        <v>41684</v>
      </c>
      <c r="B42" s="364" t="s">
        <v>32</v>
      </c>
      <c r="C42" s="879" t="s">
        <v>12</v>
      </c>
      <c r="D42" s="887" t="s">
        <v>13</v>
      </c>
      <c r="E42" s="250">
        <v>5</v>
      </c>
      <c r="F42" s="1473"/>
      <c r="G42" s="252"/>
      <c r="H42" s="1473"/>
    </row>
    <row r="43" spans="1:8" s="224" customFormat="1" x14ac:dyDescent="0.25">
      <c r="A43" s="215">
        <v>41684</v>
      </c>
      <c r="B43" s="364" t="s">
        <v>429</v>
      </c>
      <c r="C43" s="879" t="s">
        <v>12</v>
      </c>
      <c r="D43" s="887" t="s">
        <v>13</v>
      </c>
      <c r="E43" s="250">
        <v>14.8</v>
      </c>
      <c r="F43" s="1473"/>
      <c r="G43" s="252"/>
      <c r="H43" s="1473"/>
    </row>
    <row r="44" spans="1:8" s="224" customFormat="1" x14ac:dyDescent="0.25">
      <c r="A44" s="215">
        <v>41685</v>
      </c>
      <c r="B44" s="873" t="s">
        <v>430</v>
      </c>
      <c r="C44" s="879" t="s">
        <v>12</v>
      </c>
      <c r="D44" s="887" t="s">
        <v>13</v>
      </c>
      <c r="E44" s="250">
        <v>20</v>
      </c>
      <c r="F44" s="1473"/>
      <c r="G44" s="252"/>
      <c r="H44" s="1473"/>
    </row>
    <row r="45" spans="1:8" s="224" customFormat="1" x14ac:dyDescent="0.25">
      <c r="A45" s="215">
        <v>41685</v>
      </c>
      <c r="B45" s="873" t="s">
        <v>134</v>
      </c>
      <c r="C45" s="879" t="s">
        <v>12</v>
      </c>
      <c r="D45" s="887" t="s">
        <v>15</v>
      </c>
      <c r="E45" s="250">
        <v>10</v>
      </c>
      <c r="F45" s="1473"/>
      <c r="G45" s="252"/>
      <c r="H45" s="1473"/>
    </row>
    <row r="46" spans="1:8" s="224" customFormat="1" x14ac:dyDescent="0.25">
      <c r="A46" s="215">
        <v>41686</v>
      </c>
      <c r="B46" s="873" t="s">
        <v>14</v>
      </c>
      <c r="C46" s="879" t="s">
        <v>12</v>
      </c>
      <c r="D46" s="887" t="s">
        <v>13</v>
      </c>
      <c r="E46" s="97">
        <v>10.45</v>
      </c>
      <c r="F46" s="1473"/>
      <c r="G46" s="252"/>
      <c r="H46" s="1473"/>
    </row>
    <row r="47" spans="1:8" s="224" customFormat="1" x14ac:dyDescent="0.25">
      <c r="A47" s="215">
        <v>41687</v>
      </c>
      <c r="B47" s="364" t="s">
        <v>32</v>
      </c>
      <c r="C47" s="879" t="s">
        <v>12</v>
      </c>
      <c r="D47" s="887" t="s">
        <v>13</v>
      </c>
      <c r="E47" s="250">
        <v>5</v>
      </c>
      <c r="F47" s="1473"/>
      <c r="G47" s="252"/>
      <c r="H47" s="1473"/>
    </row>
    <row r="48" spans="1:8" s="224" customFormat="1" x14ac:dyDescent="0.25">
      <c r="A48" s="215">
        <v>41687</v>
      </c>
      <c r="B48" s="364" t="s">
        <v>431</v>
      </c>
      <c r="C48" s="879" t="s">
        <v>12</v>
      </c>
      <c r="D48" s="887" t="s">
        <v>13</v>
      </c>
      <c r="E48" s="250">
        <v>13.3</v>
      </c>
      <c r="F48" s="1473"/>
      <c r="G48" s="252"/>
      <c r="H48" s="1473"/>
    </row>
    <row r="49" spans="1:9" s="224" customFormat="1" x14ac:dyDescent="0.25">
      <c r="A49" s="215">
        <v>41687</v>
      </c>
      <c r="B49" s="364" t="s">
        <v>138</v>
      </c>
      <c r="C49" s="879" t="s">
        <v>12</v>
      </c>
      <c r="D49" s="887" t="s">
        <v>13</v>
      </c>
      <c r="E49" s="250">
        <v>20</v>
      </c>
      <c r="F49" s="1473"/>
      <c r="G49" s="252"/>
      <c r="H49" s="1473"/>
    </row>
    <row r="50" spans="1:9" s="224" customFormat="1" x14ac:dyDescent="0.25">
      <c r="A50" s="215">
        <v>41688</v>
      </c>
      <c r="B50" s="862" t="s">
        <v>390</v>
      </c>
      <c r="C50" s="350"/>
      <c r="D50" s="141"/>
      <c r="E50" s="97"/>
      <c r="F50" s="1473">
        <v>100</v>
      </c>
      <c r="G50" s="252">
        <v>100</v>
      </c>
      <c r="H50" s="1473"/>
    </row>
    <row r="51" spans="1:9" s="224" customFormat="1" x14ac:dyDescent="0.25">
      <c r="A51" s="215">
        <v>41688</v>
      </c>
      <c r="B51" s="364" t="s">
        <v>32</v>
      </c>
      <c r="C51" s="879" t="s">
        <v>12</v>
      </c>
      <c r="D51" s="887" t="s">
        <v>13</v>
      </c>
      <c r="E51" s="250">
        <v>5.5</v>
      </c>
      <c r="F51" s="1473"/>
      <c r="G51" s="252"/>
      <c r="H51" s="1473"/>
    </row>
    <row r="52" spans="1:9" s="224" customFormat="1" x14ac:dyDescent="0.25">
      <c r="A52" s="215">
        <v>41688</v>
      </c>
      <c r="B52" s="364" t="s">
        <v>14</v>
      </c>
      <c r="C52" s="879" t="s">
        <v>12</v>
      </c>
      <c r="D52" s="887" t="s">
        <v>13</v>
      </c>
      <c r="E52" s="250">
        <v>7</v>
      </c>
      <c r="F52" s="1473"/>
      <c r="G52" s="252"/>
      <c r="H52" s="1473"/>
    </row>
    <row r="53" spans="1:9" s="224" customFormat="1" x14ac:dyDescent="0.25">
      <c r="A53" s="215">
        <v>41689</v>
      </c>
      <c r="B53" s="364" t="s">
        <v>14</v>
      </c>
      <c r="C53" s="879" t="s">
        <v>12</v>
      </c>
      <c r="D53" s="887" t="s">
        <v>13</v>
      </c>
      <c r="E53" s="250">
        <v>8</v>
      </c>
      <c r="F53" s="1473"/>
      <c r="G53" s="252"/>
      <c r="H53" s="1473"/>
    </row>
    <row r="54" spans="1:9" s="224" customFormat="1" x14ac:dyDescent="0.25">
      <c r="A54" s="215">
        <v>41689</v>
      </c>
      <c r="B54" s="364" t="s">
        <v>138</v>
      </c>
      <c r="C54" s="879" t="s">
        <v>12</v>
      </c>
      <c r="D54" s="887" t="s">
        <v>13</v>
      </c>
      <c r="E54" s="250">
        <v>20</v>
      </c>
      <c r="F54" s="1473"/>
      <c r="G54" s="252"/>
      <c r="H54" s="1473"/>
    </row>
    <row r="55" spans="1:9" s="224" customFormat="1" x14ac:dyDescent="0.25">
      <c r="A55" s="215">
        <v>41689</v>
      </c>
      <c r="B55" s="364" t="s">
        <v>32</v>
      </c>
      <c r="C55" s="879" t="s">
        <v>12</v>
      </c>
      <c r="D55" s="887" t="s">
        <v>13</v>
      </c>
      <c r="E55" s="250">
        <v>24.9</v>
      </c>
      <c r="F55" s="1473"/>
      <c r="G55" s="252"/>
      <c r="H55" s="1473"/>
    </row>
    <row r="56" spans="1:9" s="224" customFormat="1" x14ac:dyDescent="0.25">
      <c r="A56" s="215">
        <v>41690</v>
      </c>
      <c r="B56" s="349" t="s">
        <v>432</v>
      </c>
      <c r="C56" s="350" t="s">
        <v>12</v>
      </c>
      <c r="D56" s="141" t="s">
        <v>25</v>
      </c>
      <c r="E56" s="250"/>
      <c r="F56" s="1473">
        <v>726</v>
      </c>
      <c r="G56" s="252"/>
      <c r="H56" s="1473"/>
    </row>
    <row r="57" spans="1:9" s="224" customFormat="1" x14ac:dyDescent="0.25">
      <c r="A57" s="215">
        <v>41690</v>
      </c>
      <c r="B57" s="882" t="s">
        <v>433</v>
      </c>
      <c r="C57" s="879" t="s">
        <v>12</v>
      </c>
      <c r="D57" s="887" t="s">
        <v>13</v>
      </c>
      <c r="E57" s="538">
        <v>44.85</v>
      </c>
      <c r="F57" s="1002"/>
      <c r="G57" s="539"/>
      <c r="H57" s="1002"/>
      <c r="I57" s="709"/>
    </row>
    <row r="58" spans="1:9" s="224" customFormat="1" x14ac:dyDescent="0.25">
      <c r="A58" s="215">
        <v>41690</v>
      </c>
      <c r="B58" s="882" t="s">
        <v>434</v>
      </c>
      <c r="C58" s="350" t="s">
        <v>12</v>
      </c>
      <c r="D58" s="887" t="s">
        <v>13</v>
      </c>
      <c r="E58" s="97">
        <v>40.75</v>
      </c>
      <c r="F58" s="1473"/>
      <c r="G58" s="252"/>
      <c r="H58" s="1473"/>
    </row>
    <row r="59" spans="1:9" x14ac:dyDescent="0.25">
      <c r="A59" s="215">
        <v>41690</v>
      </c>
      <c r="B59" s="349" t="s">
        <v>435</v>
      </c>
      <c r="C59" s="350" t="s">
        <v>12</v>
      </c>
      <c r="D59" s="887" t="s">
        <v>13</v>
      </c>
      <c r="E59" s="97">
        <v>225</v>
      </c>
      <c r="F59" s="946"/>
      <c r="G59" s="95"/>
      <c r="H59" s="946"/>
    </row>
    <row r="60" spans="1:9" x14ac:dyDescent="0.25">
      <c r="A60" s="215">
        <v>41690</v>
      </c>
      <c r="B60" s="364" t="s">
        <v>32</v>
      </c>
      <c r="C60" s="879" t="s">
        <v>12</v>
      </c>
      <c r="D60" s="887" t="s">
        <v>13</v>
      </c>
      <c r="E60" s="250">
        <v>5</v>
      </c>
      <c r="F60" s="946"/>
      <c r="G60" s="95"/>
      <c r="H60" s="946"/>
    </row>
    <row r="61" spans="1:9" x14ac:dyDescent="0.25">
      <c r="A61" s="215">
        <v>41690</v>
      </c>
      <c r="B61" s="364" t="s">
        <v>80</v>
      </c>
      <c r="C61" s="879" t="s">
        <v>12</v>
      </c>
      <c r="D61" s="887" t="s">
        <v>13</v>
      </c>
      <c r="E61" s="250">
        <v>31</v>
      </c>
      <c r="F61" s="946"/>
      <c r="G61" s="95"/>
      <c r="H61" s="946"/>
    </row>
    <row r="62" spans="1:9" x14ac:dyDescent="0.25">
      <c r="A62" s="215">
        <v>41691</v>
      </c>
      <c r="B62" s="349" t="s">
        <v>260</v>
      </c>
      <c r="C62" s="350"/>
      <c r="D62" s="141"/>
      <c r="E62" s="97">
        <v>50</v>
      </c>
      <c r="F62" s="946"/>
      <c r="G62" s="97"/>
      <c r="H62" s="946">
        <v>50</v>
      </c>
    </row>
    <row r="63" spans="1:9" x14ac:dyDescent="0.25">
      <c r="A63" s="215">
        <v>41691</v>
      </c>
      <c r="B63" s="364" t="s">
        <v>32</v>
      </c>
      <c r="C63" s="879" t="s">
        <v>12</v>
      </c>
      <c r="D63" s="887" t="s">
        <v>13</v>
      </c>
      <c r="E63" s="250">
        <v>7</v>
      </c>
      <c r="F63" s="946"/>
      <c r="G63" s="95"/>
      <c r="H63" s="946"/>
    </row>
    <row r="64" spans="1:9" x14ac:dyDescent="0.25">
      <c r="A64" s="215">
        <v>41691</v>
      </c>
      <c r="B64" s="364" t="s">
        <v>421</v>
      </c>
      <c r="C64" s="879" t="s">
        <v>12</v>
      </c>
      <c r="D64" s="887" t="s">
        <v>13</v>
      </c>
      <c r="E64" s="250">
        <v>39.5</v>
      </c>
      <c r="F64" s="946"/>
      <c r="G64" s="95"/>
      <c r="H64" s="946"/>
    </row>
    <row r="65" spans="1:8" x14ac:dyDescent="0.25">
      <c r="A65" s="215">
        <v>41692</v>
      </c>
      <c r="B65" s="349" t="s">
        <v>436</v>
      </c>
      <c r="C65" s="350" t="s">
        <v>12</v>
      </c>
      <c r="D65" s="141" t="s">
        <v>13</v>
      </c>
      <c r="E65" s="97">
        <v>33</v>
      </c>
      <c r="F65" s="946"/>
      <c r="G65" s="95"/>
      <c r="H65" s="946"/>
    </row>
    <row r="66" spans="1:8" x14ac:dyDescent="0.25">
      <c r="A66" s="215">
        <v>41692</v>
      </c>
      <c r="B66" s="349" t="s">
        <v>437</v>
      </c>
      <c r="C66" s="350" t="s">
        <v>12</v>
      </c>
      <c r="D66" s="141" t="s">
        <v>13</v>
      </c>
      <c r="E66" s="97">
        <v>6.5</v>
      </c>
      <c r="F66" s="946"/>
      <c r="G66" s="95"/>
      <c r="H66" s="946"/>
    </row>
    <row r="67" spans="1:8" x14ac:dyDescent="0.25">
      <c r="A67" s="215">
        <v>41692</v>
      </c>
      <c r="B67" s="349" t="s">
        <v>438</v>
      </c>
      <c r="C67" s="350" t="s">
        <v>12</v>
      </c>
      <c r="D67" s="141" t="s">
        <v>13</v>
      </c>
      <c r="E67" s="97">
        <v>4</v>
      </c>
      <c r="F67" s="946"/>
      <c r="G67" s="95"/>
      <c r="H67" s="946"/>
    </row>
    <row r="68" spans="1:8" x14ac:dyDescent="0.25">
      <c r="A68" s="215">
        <v>41692</v>
      </c>
      <c r="B68" s="349" t="s">
        <v>138</v>
      </c>
      <c r="C68" s="350" t="s">
        <v>12</v>
      </c>
      <c r="D68" s="141" t="s">
        <v>13</v>
      </c>
      <c r="E68" s="97">
        <v>20</v>
      </c>
      <c r="F68" s="946"/>
      <c r="G68" s="95"/>
      <c r="H68" s="946"/>
    </row>
    <row r="69" spans="1:8" x14ac:dyDescent="0.25">
      <c r="A69" s="215">
        <v>41692</v>
      </c>
      <c r="B69" s="349" t="s">
        <v>14</v>
      </c>
      <c r="C69" s="350" t="s">
        <v>12</v>
      </c>
      <c r="D69" s="141" t="s">
        <v>13</v>
      </c>
      <c r="E69" s="97">
        <v>4.8600000000000003</v>
      </c>
      <c r="F69" s="946"/>
      <c r="G69" s="95"/>
      <c r="H69" s="946"/>
    </row>
    <row r="70" spans="1:8" x14ac:dyDescent="0.25">
      <c r="A70" s="215">
        <v>41692</v>
      </c>
      <c r="B70" s="349" t="s">
        <v>439</v>
      </c>
      <c r="C70" s="350" t="s">
        <v>12</v>
      </c>
      <c r="D70" s="141" t="s">
        <v>13</v>
      </c>
      <c r="E70" s="97">
        <v>20.28</v>
      </c>
      <c r="F70" s="946"/>
      <c r="G70" s="95"/>
      <c r="H70" s="946"/>
    </row>
    <row r="71" spans="1:8" x14ac:dyDescent="0.25">
      <c r="A71" s="215">
        <v>41692</v>
      </c>
      <c r="B71" s="349" t="s">
        <v>138</v>
      </c>
      <c r="C71" s="350" t="s">
        <v>12</v>
      </c>
      <c r="D71" s="141" t="s">
        <v>13</v>
      </c>
      <c r="E71" s="97">
        <v>20</v>
      </c>
      <c r="F71" s="946"/>
      <c r="G71" s="95"/>
      <c r="H71" s="946"/>
    </row>
    <row r="72" spans="1:8" x14ac:dyDescent="0.25">
      <c r="A72" s="215">
        <v>41693</v>
      </c>
      <c r="B72" s="349" t="s">
        <v>14</v>
      </c>
      <c r="C72" s="350" t="s">
        <v>12</v>
      </c>
      <c r="D72" s="141" t="s">
        <v>13</v>
      </c>
      <c r="E72" s="97">
        <v>8.61</v>
      </c>
      <c r="F72" s="946"/>
      <c r="G72" s="95"/>
      <c r="H72" s="946"/>
    </row>
    <row r="73" spans="1:8" x14ac:dyDescent="0.25">
      <c r="A73" s="215">
        <v>41693</v>
      </c>
      <c r="B73" s="349" t="s">
        <v>32</v>
      </c>
      <c r="C73" s="350" t="s">
        <v>12</v>
      </c>
      <c r="D73" s="141" t="s">
        <v>13</v>
      </c>
      <c r="E73" s="97">
        <v>20.8</v>
      </c>
      <c r="F73" s="946"/>
      <c r="G73" s="95"/>
      <c r="H73" s="946"/>
    </row>
    <row r="74" spans="1:8" x14ac:dyDescent="0.25">
      <c r="A74" s="215">
        <v>41694</v>
      </c>
      <c r="B74" s="364" t="s">
        <v>32</v>
      </c>
      <c r="C74" s="879" t="s">
        <v>12</v>
      </c>
      <c r="D74" s="887" t="s">
        <v>15</v>
      </c>
      <c r="E74" s="250">
        <v>5.5</v>
      </c>
      <c r="F74" s="946"/>
      <c r="G74" s="95"/>
      <c r="H74" s="946"/>
    </row>
    <row r="75" spans="1:8" x14ac:dyDescent="0.25">
      <c r="A75" s="215">
        <v>41695</v>
      </c>
      <c r="B75" s="364" t="s">
        <v>32</v>
      </c>
      <c r="C75" s="879" t="s">
        <v>12</v>
      </c>
      <c r="D75" s="887" t="s">
        <v>15</v>
      </c>
      <c r="E75" s="250">
        <v>5.5</v>
      </c>
      <c r="F75" s="946"/>
      <c r="G75" s="95"/>
      <c r="H75" s="946"/>
    </row>
    <row r="76" spans="1:8" x14ac:dyDescent="0.25">
      <c r="A76" s="215">
        <v>41695</v>
      </c>
      <c r="B76" s="364" t="s">
        <v>138</v>
      </c>
      <c r="C76" s="879" t="s">
        <v>12</v>
      </c>
      <c r="D76" s="887" t="s">
        <v>13</v>
      </c>
      <c r="E76" s="250">
        <v>20</v>
      </c>
      <c r="F76" s="946"/>
      <c r="G76" s="95"/>
      <c r="H76" s="946"/>
    </row>
    <row r="77" spans="1:8" s="224" customFormat="1" x14ac:dyDescent="0.25">
      <c r="A77" s="215">
        <v>41696</v>
      </c>
      <c r="B77" s="364" t="s">
        <v>32</v>
      </c>
      <c r="C77" s="879" t="s">
        <v>12</v>
      </c>
      <c r="D77" s="887" t="s">
        <v>15</v>
      </c>
      <c r="E77" s="250">
        <v>10</v>
      </c>
      <c r="F77" s="1473"/>
      <c r="G77" s="252"/>
      <c r="H77" s="1473"/>
    </row>
    <row r="78" spans="1:8" s="224" customFormat="1" x14ac:dyDescent="0.25">
      <c r="A78" s="215">
        <v>41697</v>
      </c>
      <c r="B78" s="364" t="s">
        <v>32</v>
      </c>
      <c r="C78" s="879" t="s">
        <v>12</v>
      </c>
      <c r="D78" s="887" t="s">
        <v>15</v>
      </c>
      <c r="E78" s="250">
        <v>5.5</v>
      </c>
      <c r="F78" s="1473"/>
      <c r="G78" s="252"/>
      <c r="H78" s="1473"/>
    </row>
    <row r="79" spans="1:8" s="224" customFormat="1" x14ac:dyDescent="0.25">
      <c r="A79" s="215">
        <v>41697</v>
      </c>
      <c r="B79" s="364" t="s">
        <v>14</v>
      </c>
      <c r="C79" s="879" t="s">
        <v>12</v>
      </c>
      <c r="D79" s="887" t="s">
        <v>13</v>
      </c>
      <c r="E79" s="250">
        <v>6.44</v>
      </c>
      <c r="F79" s="1473"/>
      <c r="G79" s="252"/>
      <c r="H79" s="1473"/>
    </row>
    <row r="80" spans="1:8" s="224" customFormat="1" x14ac:dyDescent="0.25">
      <c r="A80" s="215">
        <v>41697</v>
      </c>
      <c r="B80" s="364" t="s">
        <v>138</v>
      </c>
      <c r="C80" s="879" t="s">
        <v>12</v>
      </c>
      <c r="D80" s="887" t="s">
        <v>13</v>
      </c>
      <c r="E80" s="250">
        <v>10</v>
      </c>
      <c r="F80" s="1473"/>
      <c r="G80" s="252"/>
      <c r="H80" s="1473"/>
    </row>
    <row r="81" spans="1:8" s="224" customFormat="1" x14ac:dyDescent="0.25">
      <c r="A81" s="215">
        <v>41698</v>
      </c>
      <c r="B81" s="364" t="s">
        <v>32</v>
      </c>
      <c r="C81" s="879" t="s">
        <v>12</v>
      </c>
      <c r="D81" s="887" t="s">
        <v>15</v>
      </c>
      <c r="E81" s="250">
        <v>6.5</v>
      </c>
      <c r="F81" s="1473"/>
      <c r="G81" s="252"/>
      <c r="H81" s="1473"/>
    </row>
    <row r="82" spans="1:8" s="224" customFormat="1" ht="15.75" thickBot="1" x14ac:dyDescent="0.3">
      <c r="A82" s="215">
        <v>41698</v>
      </c>
      <c r="B82" s="364" t="s">
        <v>80</v>
      </c>
      <c r="C82" s="879" t="s">
        <v>12</v>
      </c>
      <c r="D82" s="887" t="s">
        <v>13</v>
      </c>
      <c r="E82" s="250">
        <v>24.9</v>
      </c>
      <c r="F82" s="1473"/>
      <c r="G82" s="252"/>
      <c r="H82" s="1473"/>
    </row>
    <row r="83" spans="1:8" ht="25.5" customHeight="1" thickBot="1" x14ac:dyDescent="0.3">
      <c r="A83" s="689"/>
      <c r="B83" s="690"/>
      <c r="C83" s="691"/>
      <c r="D83" s="691"/>
      <c r="E83" s="100">
        <f>SUM(E5:E82)</f>
        <v>2253.8900000000008</v>
      </c>
      <c r="F83" s="1065">
        <f>SUM(F5:F82)</f>
        <v>2457.4400000000005</v>
      </c>
      <c r="G83" s="101">
        <f>SUM(G5:G82)</f>
        <v>500</v>
      </c>
      <c r="H83" s="93">
        <f>SUM(H5:H82)</f>
        <v>1210</v>
      </c>
    </row>
    <row r="84" spans="1:8" ht="25.5" customHeight="1" thickBot="1" x14ac:dyDescent="0.3">
      <c r="A84" s="683" t="s">
        <v>49</v>
      </c>
      <c r="B84" s="684"/>
      <c r="C84" s="684"/>
      <c r="D84" s="684"/>
      <c r="E84" s="102"/>
      <c r="F84" s="1478">
        <f>F83-E83</f>
        <v>203.54999999999973</v>
      </c>
      <c r="G84" s="104"/>
      <c r="H84" s="103">
        <f>H83-G83</f>
        <v>710</v>
      </c>
    </row>
    <row r="86" spans="1:8" x14ac:dyDescent="0.25">
      <c r="B86" s="79" t="s">
        <v>32</v>
      </c>
      <c r="C86" s="484">
        <v>175.2</v>
      </c>
    </row>
    <row r="87" spans="1:8" x14ac:dyDescent="0.25">
      <c r="B87" s="79" t="s">
        <v>16</v>
      </c>
      <c r="C87" s="484">
        <v>230</v>
      </c>
    </row>
    <row r="88" spans="1:8" x14ac:dyDescent="0.25">
      <c r="B88" s="79" t="s">
        <v>50</v>
      </c>
      <c r="C88" s="484">
        <v>168.7</v>
      </c>
    </row>
    <row r="89" spans="1:8" s="85" customFormat="1" x14ac:dyDescent="0.25">
      <c r="A89" s="79"/>
      <c r="B89" s="79" t="s">
        <v>14</v>
      </c>
      <c r="C89" s="475">
        <v>68.319999999999993</v>
      </c>
      <c r="E89" s="89"/>
      <c r="F89" s="79"/>
      <c r="G89" s="79"/>
      <c r="H89" s="79"/>
    </row>
    <row r="90" spans="1:8" s="85" customFormat="1" x14ac:dyDescent="0.25">
      <c r="A90" s="79"/>
      <c r="B90" s="79" t="s">
        <v>51</v>
      </c>
      <c r="C90" s="475">
        <v>85.6</v>
      </c>
      <c r="E90" s="89"/>
      <c r="F90" s="79"/>
      <c r="G90" s="79"/>
      <c r="H90" s="79"/>
    </row>
    <row r="91" spans="1:8" s="85" customFormat="1" x14ac:dyDescent="0.25">
      <c r="A91" s="79"/>
      <c r="B91" s="79" t="s">
        <v>52</v>
      </c>
      <c r="C91" s="475">
        <v>50</v>
      </c>
      <c r="E91" s="89"/>
      <c r="F91" s="79"/>
      <c r="G91" s="79"/>
      <c r="H91" s="79"/>
    </row>
    <row r="92" spans="1:8" s="85" customFormat="1" x14ac:dyDescent="0.25">
      <c r="A92" s="79"/>
      <c r="B92" s="867" t="s">
        <v>53</v>
      </c>
      <c r="C92" s="475">
        <v>63.5</v>
      </c>
      <c r="E92" s="89"/>
      <c r="F92" s="79"/>
      <c r="G92" s="79"/>
      <c r="H92" s="79"/>
    </row>
    <row r="93" spans="1:8" s="85" customFormat="1" x14ac:dyDescent="0.25">
      <c r="A93" s="79"/>
      <c r="B93" s="79" t="s">
        <v>56</v>
      </c>
      <c r="C93" s="475">
        <v>92.43</v>
      </c>
      <c r="E93" s="89"/>
      <c r="F93" s="79"/>
      <c r="G93" s="79"/>
      <c r="H93" s="79"/>
    </row>
    <row r="94" spans="1:8" s="85" customFormat="1" x14ac:dyDescent="0.25">
      <c r="A94" s="79"/>
      <c r="B94" s="79" t="s">
        <v>57</v>
      </c>
      <c r="C94" s="475">
        <v>50</v>
      </c>
      <c r="E94" s="89"/>
      <c r="F94" s="79"/>
      <c r="G94" s="79"/>
      <c r="H94" s="79"/>
    </row>
    <row r="95" spans="1:8" s="85" customFormat="1" x14ac:dyDescent="0.25">
      <c r="A95" s="79"/>
      <c r="B95" s="79" t="s">
        <v>418</v>
      </c>
      <c r="C95" s="475">
        <v>0</v>
      </c>
      <c r="E95" s="89"/>
      <c r="F95" s="79"/>
      <c r="G95" s="79"/>
      <c r="H95" s="79"/>
    </row>
    <row r="96" spans="1:8" s="85" customFormat="1" x14ac:dyDescent="0.25">
      <c r="A96" s="79"/>
      <c r="B96" s="79" t="s">
        <v>419</v>
      </c>
      <c r="C96" s="475">
        <v>0</v>
      </c>
      <c r="E96" s="89"/>
      <c r="F96" s="79"/>
      <c r="G96" s="79"/>
      <c r="H96" s="79"/>
    </row>
  </sheetData>
  <autoFilter ref="A2:H84" xr:uid="{00000000-0009-0000-0000-00000E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7"/>
  <dimension ref="A1:I107"/>
  <sheetViews>
    <sheetView workbookViewId="0">
      <selection activeCell="E19" sqref="E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440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41699</v>
      </c>
      <c r="B5" s="369" t="s">
        <v>10</v>
      </c>
      <c r="C5" s="370"/>
      <c r="D5" s="207"/>
      <c r="E5" s="179"/>
      <c r="F5" s="933">
        <f>'Fevereiro-14'!F84</f>
        <v>203.54999999999973</v>
      </c>
      <c r="G5" s="163"/>
      <c r="H5" s="933">
        <f>'Fevereiro-14'!H84</f>
        <v>710</v>
      </c>
    </row>
    <row r="6" spans="1:8" s="224" customFormat="1" x14ac:dyDescent="0.25">
      <c r="A6" s="215">
        <v>41699</v>
      </c>
      <c r="B6" s="348" t="s">
        <v>11</v>
      </c>
      <c r="C6" s="351"/>
      <c r="D6" s="248"/>
      <c r="E6" s="250">
        <v>53</v>
      </c>
      <c r="F6" s="1473"/>
      <c r="G6" s="252"/>
      <c r="H6" s="1473"/>
    </row>
    <row r="7" spans="1:8" s="224" customFormat="1" x14ac:dyDescent="0.25">
      <c r="A7" s="215">
        <v>41699</v>
      </c>
      <c r="B7" s="862" t="s">
        <v>134</v>
      </c>
      <c r="C7" s="879" t="s">
        <v>12</v>
      </c>
      <c r="D7" s="887" t="s">
        <v>15</v>
      </c>
      <c r="E7" s="250">
        <v>5.8</v>
      </c>
      <c r="F7" s="1473"/>
      <c r="G7" s="252"/>
      <c r="H7" s="1473"/>
    </row>
    <row r="8" spans="1:8" s="224" customFormat="1" x14ac:dyDescent="0.25">
      <c r="A8" s="215">
        <v>41699</v>
      </c>
      <c r="B8" s="862" t="s">
        <v>138</v>
      </c>
      <c r="C8" s="879" t="s">
        <v>12</v>
      </c>
      <c r="D8" s="887" t="s">
        <v>13</v>
      </c>
      <c r="E8" s="250">
        <v>20</v>
      </c>
      <c r="F8" s="1473"/>
      <c r="G8" s="252"/>
      <c r="H8" s="1473"/>
    </row>
    <row r="9" spans="1:8" s="224" customFormat="1" x14ac:dyDescent="0.25">
      <c r="A9" s="215">
        <v>41699</v>
      </c>
      <c r="B9" s="862" t="s">
        <v>82</v>
      </c>
      <c r="C9" s="879" t="s">
        <v>12</v>
      </c>
      <c r="D9" s="887" t="s">
        <v>13</v>
      </c>
      <c r="E9" s="250">
        <v>25</v>
      </c>
      <c r="F9" s="1473"/>
      <c r="G9" s="252"/>
      <c r="H9" s="1473"/>
    </row>
    <row r="10" spans="1:8" s="224" customFormat="1" x14ac:dyDescent="0.25">
      <c r="A10" s="215">
        <v>41700</v>
      </c>
      <c r="B10" s="873" t="s">
        <v>14</v>
      </c>
      <c r="C10" s="879" t="s">
        <v>12</v>
      </c>
      <c r="D10" s="887" t="s">
        <v>13</v>
      </c>
      <c r="E10" s="250">
        <v>5.33</v>
      </c>
      <c r="F10" s="1473"/>
      <c r="G10" s="252"/>
      <c r="H10" s="1473"/>
    </row>
    <row r="11" spans="1:8" s="224" customFormat="1" x14ac:dyDescent="0.25">
      <c r="A11" s="215">
        <v>41700</v>
      </c>
      <c r="B11" s="862" t="s">
        <v>118</v>
      </c>
      <c r="C11" s="879" t="s">
        <v>12</v>
      </c>
      <c r="D11" s="887" t="s">
        <v>15</v>
      </c>
      <c r="E11" s="250">
        <v>6</v>
      </c>
      <c r="F11" s="1473"/>
      <c r="G11" s="252"/>
      <c r="H11" s="1473"/>
    </row>
    <row r="12" spans="1:8" s="224" customFormat="1" x14ac:dyDescent="0.25">
      <c r="A12" s="215">
        <v>41701</v>
      </c>
      <c r="B12" s="873" t="s">
        <v>32</v>
      </c>
      <c r="C12" s="879" t="s">
        <v>12</v>
      </c>
      <c r="D12" s="887" t="s">
        <v>13</v>
      </c>
      <c r="E12" s="250">
        <v>12</v>
      </c>
      <c r="F12" s="1473"/>
      <c r="G12" s="252"/>
      <c r="H12" s="1473"/>
    </row>
    <row r="13" spans="1:8" s="224" customFormat="1" x14ac:dyDescent="0.25">
      <c r="A13" s="215">
        <v>41701</v>
      </c>
      <c r="B13" s="873" t="s">
        <v>14</v>
      </c>
      <c r="C13" s="879" t="s">
        <v>12</v>
      </c>
      <c r="D13" s="887" t="s">
        <v>13</v>
      </c>
      <c r="E13" s="250">
        <v>3.44</v>
      </c>
      <c r="F13" s="1473"/>
      <c r="G13" s="252"/>
      <c r="H13" s="1473"/>
    </row>
    <row r="14" spans="1:8" s="224" customFormat="1" x14ac:dyDescent="0.25">
      <c r="A14" s="215">
        <v>41702</v>
      </c>
      <c r="B14" s="873" t="s">
        <v>32</v>
      </c>
      <c r="C14" s="879" t="s">
        <v>12</v>
      </c>
      <c r="D14" s="887" t="s">
        <v>13</v>
      </c>
      <c r="E14" s="250">
        <v>10</v>
      </c>
      <c r="F14" s="1473"/>
      <c r="G14" s="252"/>
      <c r="H14" s="1473"/>
    </row>
    <row r="15" spans="1:8" s="224" customFormat="1" x14ac:dyDescent="0.25">
      <c r="A15" s="215">
        <v>41703</v>
      </c>
      <c r="B15" s="862" t="s">
        <v>138</v>
      </c>
      <c r="C15" s="879" t="s">
        <v>12</v>
      </c>
      <c r="D15" s="887" t="s">
        <v>13</v>
      </c>
      <c r="E15" s="250">
        <v>20</v>
      </c>
      <c r="F15" s="1473"/>
      <c r="G15" s="252"/>
      <c r="H15" s="1473"/>
    </row>
    <row r="16" spans="1:8" s="224" customFormat="1" x14ac:dyDescent="0.25">
      <c r="A16" s="215">
        <v>41703</v>
      </c>
      <c r="B16" s="873" t="s">
        <v>32</v>
      </c>
      <c r="C16" s="879" t="s">
        <v>12</v>
      </c>
      <c r="D16" s="887" t="s">
        <v>13</v>
      </c>
      <c r="E16" s="250">
        <v>5.5</v>
      </c>
      <c r="F16" s="1473"/>
      <c r="G16" s="252"/>
      <c r="H16" s="1473"/>
    </row>
    <row r="17" spans="1:8" s="224" customFormat="1" x14ac:dyDescent="0.25">
      <c r="A17" s="215">
        <v>41703</v>
      </c>
      <c r="B17" s="873" t="s">
        <v>14</v>
      </c>
      <c r="C17" s="879" t="s">
        <v>12</v>
      </c>
      <c r="D17" s="887" t="s">
        <v>13</v>
      </c>
      <c r="E17" s="250">
        <v>7.72</v>
      </c>
      <c r="F17" s="1473"/>
      <c r="G17" s="252"/>
      <c r="H17" s="1473"/>
    </row>
    <row r="18" spans="1:8" s="224" customFormat="1" x14ac:dyDescent="0.25">
      <c r="A18" s="215">
        <v>41704</v>
      </c>
      <c r="B18" s="349" t="s">
        <v>441</v>
      </c>
      <c r="C18" s="879" t="s">
        <v>12</v>
      </c>
      <c r="D18" s="983" t="s">
        <v>25</v>
      </c>
      <c r="E18" s="250"/>
      <c r="F18" s="1473">
        <v>917.42</v>
      </c>
      <c r="G18" s="252"/>
      <c r="H18" s="1473"/>
    </row>
    <row r="19" spans="1:8" s="224" customFormat="1" ht="15.75" customHeight="1" x14ac:dyDescent="0.25">
      <c r="A19" s="215">
        <v>41704</v>
      </c>
      <c r="B19" s="862" t="s">
        <v>442</v>
      </c>
      <c r="C19" s="350" t="s">
        <v>12</v>
      </c>
      <c r="D19" s="141" t="s">
        <v>13</v>
      </c>
      <c r="E19" s="97">
        <v>150.49</v>
      </c>
      <c r="F19" s="1473"/>
      <c r="G19" s="252"/>
      <c r="H19" s="1473"/>
    </row>
    <row r="20" spans="1:8" s="224" customFormat="1" ht="14.25" customHeight="1" x14ac:dyDescent="0.25">
      <c r="A20" s="215">
        <v>41704</v>
      </c>
      <c r="B20" s="862" t="s">
        <v>31</v>
      </c>
      <c r="C20" s="350" t="s">
        <v>12</v>
      </c>
      <c r="D20" s="957" t="s">
        <v>15</v>
      </c>
      <c r="E20" s="97">
        <v>50</v>
      </c>
      <c r="F20" s="1473"/>
      <c r="G20" s="252"/>
      <c r="H20" s="1473"/>
    </row>
    <row r="21" spans="1:8" s="224" customFormat="1" x14ac:dyDescent="0.25">
      <c r="A21" s="215">
        <v>41704</v>
      </c>
      <c r="B21" s="862" t="s">
        <v>399</v>
      </c>
      <c r="C21" s="350" t="s">
        <v>12</v>
      </c>
      <c r="D21" s="957" t="s">
        <v>15</v>
      </c>
      <c r="E21" s="97">
        <v>25</v>
      </c>
      <c r="F21" s="1473"/>
      <c r="G21" s="252"/>
      <c r="H21" s="1473"/>
    </row>
    <row r="22" spans="1:8" x14ac:dyDescent="0.25">
      <c r="A22" s="215">
        <v>41704</v>
      </c>
      <c r="B22" s="349" t="s">
        <v>260</v>
      </c>
      <c r="C22" s="350"/>
      <c r="D22" s="141"/>
      <c r="E22" s="97">
        <v>300</v>
      </c>
      <c r="F22" s="946"/>
      <c r="G22" s="97"/>
      <c r="H22" s="946">
        <v>300</v>
      </c>
    </row>
    <row r="23" spans="1:8" s="224" customFormat="1" ht="15.75" customHeight="1" x14ac:dyDescent="0.25">
      <c r="A23" s="215">
        <v>41704</v>
      </c>
      <c r="B23" s="873" t="s">
        <v>32</v>
      </c>
      <c r="C23" s="879" t="s">
        <v>12</v>
      </c>
      <c r="D23" s="887" t="s">
        <v>13</v>
      </c>
      <c r="E23" s="250">
        <v>6</v>
      </c>
      <c r="F23" s="1473"/>
      <c r="G23" s="252"/>
      <c r="H23" s="1473"/>
    </row>
    <row r="24" spans="1:8" s="224" customFormat="1" ht="15.75" customHeight="1" x14ac:dyDescent="0.25">
      <c r="A24" s="215">
        <v>41705</v>
      </c>
      <c r="B24" s="873" t="s">
        <v>32</v>
      </c>
      <c r="C24" s="879" t="s">
        <v>12</v>
      </c>
      <c r="D24" s="887" t="s">
        <v>13</v>
      </c>
      <c r="E24" s="250">
        <v>5.5</v>
      </c>
      <c r="F24" s="1473"/>
      <c r="G24" s="252"/>
      <c r="H24" s="1473"/>
    </row>
    <row r="25" spans="1:8" x14ac:dyDescent="0.25">
      <c r="A25" s="215">
        <v>41706</v>
      </c>
      <c r="B25" s="873" t="s">
        <v>14</v>
      </c>
      <c r="C25" s="879" t="s">
        <v>12</v>
      </c>
      <c r="D25" s="887" t="s">
        <v>13</v>
      </c>
      <c r="E25" s="250">
        <v>11.3</v>
      </c>
      <c r="F25" s="946"/>
      <c r="G25" s="97"/>
      <c r="H25" s="946"/>
    </row>
    <row r="26" spans="1:8" x14ac:dyDescent="0.25">
      <c r="A26" s="215">
        <v>41706</v>
      </c>
      <c r="B26" s="862" t="s">
        <v>138</v>
      </c>
      <c r="C26" s="879" t="s">
        <v>12</v>
      </c>
      <c r="D26" s="887" t="s">
        <v>13</v>
      </c>
      <c r="E26" s="250">
        <v>20</v>
      </c>
      <c r="F26" s="946"/>
      <c r="G26" s="97"/>
      <c r="H26" s="946"/>
    </row>
    <row r="27" spans="1:8" x14ac:dyDescent="0.25">
      <c r="A27" s="215">
        <v>41706</v>
      </c>
      <c r="B27" s="862" t="s">
        <v>443</v>
      </c>
      <c r="C27" s="879" t="s">
        <v>12</v>
      </c>
      <c r="D27" s="887" t="s">
        <v>13</v>
      </c>
      <c r="E27" s="250">
        <v>29.22</v>
      </c>
      <c r="F27" s="946"/>
      <c r="G27" s="97"/>
      <c r="H27" s="946"/>
    </row>
    <row r="28" spans="1:8" ht="15.75" customHeight="1" x14ac:dyDescent="0.25">
      <c r="A28" s="215">
        <v>41707</v>
      </c>
      <c r="B28" s="349" t="s">
        <v>14</v>
      </c>
      <c r="C28" s="350" t="s">
        <v>12</v>
      </c>
      <c r="D28" s="141" t="s">
        <v>15</v>
      </c>
      <c r="E28" s="97">
        <v>2.7</v>
      </c>
      <c r="F28" s="946"/>
      <c r="G28" s="97"/>
      <c r="H28" s="946"/>
    </row>
    <row r="29" spans="1:8" x14ac:dyDescent="0.25">
      <c r="A29" s="215">
        <v>41708</v>
      </c>
      <c r="B29" s="873" t="s">
        <v>32</v>
      </c>
      <c r="C29" s="879" t="s">
        <v>12</v>
      </c>
      <c r="D29" s="887" t="s">
        <v>15</v>
      </c>
      <c r="E29" s="250">
        <v>10</v>
      </c>
      <c r="F29" s="946"/>
      <c r="G29" s="97"/>
      <c r="H29" s="946"/>
    </row>
    <row r="30" spans="1:8" x14ac:dyDescent="0.25">
      <c r="A30" s="215">
        <v>41708</v>
      </c>
      <c r="B30" s="862" t="s">
        <v>138</v>
      </c>
      <c r="C30" s="879" t="s">
        <v>12</v>
      </c>
      <c r="D30" s="887" t="s">
        <v>13</v>
      </c>
      <c r="E30" s="250">
        <v>20</v>
      </c>
      <c r="F30" s="946"/>
      <c r="G30" s="97"/>
      <c r="H30" s="946"/>
    </row>
    <row r="31" spans="1:8" x14ac:dyDescent="0.25">
      <c r="A31" s="215">
        <v>41708</v>
      </c>
      <c r="B31" s="349" t="s">
        <v>260</v>
      </c>
      <c r="C31" s="350"/>
      <c r="D31" s="141"/>
      <c r="E31" s="97">
        <v>60</v>
      </c>
      <c r="F31" s="946"/>
      <c r="G31" s="97"/>
      <c r="H31" s="946">
        <v>60</v>
      </c>
    </row>
    <row r="32" spans="1:8" x14ac:dyDescent="0.25">
      <c r="A32" s="215">
        <v>41709</v>
      </c>
      <c r="B32" s="873" t="s">
        <v>32</v>
      </c>
      <c r="C32" s="879" t="s">
        <v>12</v>
      </c>
      <c r="D32" s="887" t="s">
        <v>15</v>
      </c>
      <c r="E32" s="250">
        <v>5.5</v>
      </c>
      <c r="F32" s="946"/>
      <c r="G32" s="97"/>
      <c r="H32" s="946"/>
    </row>
    <row r="33" spans="1:8" x14ac:dyDescent="0.25">
      <c r="A33" s="215">
        <v>41710</v>
      </c>
      <c r="B33" s="873" t="s">
        <v>32</v>
      </c>
      <c r="C33" s="879" t="s">
        <v>12</v>
      </c>
      <c r="D33" s="887" t="s">
        <v>15</v>
      </c>
      <c r="E33" s="250">
        <v>5.5</v>
      </c>
      <c r="F33" s="946"/>
      <c r="G33" s="97"/>
      <c r="H33" s="946"/>
    </row>
    <row r="34" spans="1:8" x14ac:dyDescent="0.25">
      <c r="A34" s="215">
        <v>41710</v>
      </c>
      <c r="B34" s="873" t="s">
        <v>14</v>
      </c>
      <c r="C34" s="879" t="s">
        <v>12</v>
      </c>
      <c r="D34" s="887" t="s">
        <v>15</v>
      </c>
      <c r="E34" s="250">
        <v>5.81</v>
      </c>
      <c r="F34" s="946"/>
      <c r="G34" s="97"/>
      <c r="H34" s="946"/>
    </row>
    <row r="35" spans="1:8" x14ac:dyDescent="0.25">
      <c r="A35" s="215">
        <v>41711</v>
      </c>
      <c r="B35" s="873" t="s">
        <v>32</v>
      </c>
      <c r="C35" s="879" t="s">
        <v>12</v>
      </c>
      <c r="D35" s="887" t="s">
        <v>15</v>
      </c>
      <c r="E35" s="250">
        <v>5.5</v>
      </c>
      <c r="F35" s="1473"/>
      <c r="G35" s="252"/>
      <c r="H35" s="1473"/>
    </row>
    <row r="36" spans="1:8" x14ac:dyDescent="0.25">
      <c r="A36" s="215">
        <v>41711</v>
      </c>
      <c r="B36" s="862" t="s">
        <v>138</v>
      </c>
      <c r="C36" s="879" t="s">
        <v>12</v>
      </c>
      <c r="D36" s="887" t="s">
        <v>13</v>
      </c>
      <c r="E36" s="250">
        <v>20</v>
      </c>
      <c r="F36" s="1473"/>
      <c r="G36" s="252"/>
      <c r="H36" s="1473"/>
    </row>
    <row r="37" spans="1:8" x14ac:dyDescent="0.25">
      <c r="A37" s="215">
        <v>41712</v>
      </c>
      <c r="B37" s="873" t="s">
        <v>32</v>
      </c>
      <c r="C37" s="879" t="s">
        <v>12</v>
      </c>
      <c r="D37" s="887" t="s">
        <v>15</v>
      </c>
      <c r="E37" s="250">
        <v>5.5</v>
      </c>
      <c r="F37" s="1473"/>
      <c r="G37" s="252"/>
      <c r="H37" s="1473"/>
    </row>
    <row r="38" spans="1:8" x14ac:dyDescent="0.25">
      <c r="A38" s="215">
        <v>41712</v>
      </c>
      <c r="B38" s="873" t="s">
        <v>444</v>
      </c>
      <c r="C38" s="879" t="s">
        <v>12</v>
      </c>
      <c r="D38" s="887" t="s">
        <v>15</v>
      </c>
      <c r="E38" s="250">
        <v>25</v>
      </c>
      <c r="F38" s="1473"/>
      <c r="G38" s="252"/>
      <c r="H38" s="1473"/>
    </row>
    <row r="39" spans="1:8" s="224" customFormat="1" x14ac:dyDescent="0.25">
      <c r="A39" s="215">
        <v>41713</v>
      </c>
      <c r="B39" s="364" t="s">
        <v>138</v>
      </c>
      <c r="C39" s="879" t="s">
        <v>12</v>
      </c>
      <c r="D39" s="887" t="s">
        <v>15</v>
      </c>
      <c r="E39" s="250">
        <v>20</v>
      </c>
      <c r="F39" s="1473"/>
      <c r="G39" s="250"/>
      <c r="H39" s="1473"/>
    </row>
    <row r="40" spans="1:8" s="224" customFormat="1" x14ac:dyDescent="0.25">
      <c r="A40" s="215">
        <v>41713</v>
      </c>
      <c r="B40" s="364" t="s">
        <v>82</v>
      </c>
      <c r="C40" s="879" t="s">
        <v>12</v>
      </c>
      <c r="D40" s="887" t="s">
        <v>15</v>
      </c>
      <c r="E40" s="250">
        <v>26</v>
      </c>
      <c r="F40" s="1473"/>
      <c r="G40" s="250"/>
      <c r="H40" s="1473"/>
    </row>
    <row r="41" spans="1:8" s="224" customFormat="1" x14ac:dyDescent="0.25">
      <c r="A41" s="215">
        <v>41713</v>
      </c>
      <c r="B41" s="364" t="s">
        <v>134</v>
      </c>
      <c r="C41" s="879" t="s">
        <v>12</v>
      </c>
      <c r="D41" s="887" t="s">
        <v>15</v>
      </c>
      <c r="E41" s="250">
        <v>13</v>
      </c>
      <c r="F41" s="1473"/>
      <c r="G41" s="250"/>
      <c r="H41" s="1473"/>
    </row>
    <row r="42" spans="1:8" s="224" customFormat="1" x14ac:dyDescent="0.25">
      <c r="A42" s="215">
        <v>41714</v>
      </c>
      <c r="B42" s="364" t="s">
        <v>14</v>
      </c>
      <c r="C42" s="879" t="s">
        <v>12</v>
      </c>
      <c r="D42" s="887" t="s">
        <v>13</v>
      </c>
      <c r="E42" s="250">
        <v>13.66</v>
      </c>
      <c r="F42" s="1473"/>
      <c r="G42" s="250"/>
      <c r="H42" s="1473"/>
    </row>
    <row r="43" spans="1:8" s="224" customFormat="1" x14ac:dyDescent="0.25">
      <c r="A43" s="215">
        <v>41715</v>
      </c>
      <c r="B43" s="364" t="s">
        <v>32</v>
      </c>
      <c r="C43" s="879" t="s">
        <v>12</v>
      </c>
      <c r="D43" s="887" t="s">
        <v>15</v>
      </c>
      <c r="E43" s="250">
        <v>7</v>
      </c>
      <c r="F43" s="1473"/>
      <c r="G43" s="252"/>
      <c r="H43" s="1473"/>
    </row>
    <row r="44" spans="1:8" s="224" customFormat="1" x14ac:dyDescent="0.25">
      <c r="A44" s="215">
        <v>41715</v>
      </c>
      <c r="B44" s="364" t="s">
        <v>138</v>
      </c>
      <c r="C44" s="879" t="s">
        <v>12</v>
      </c>
      <c r="D44" s="887" t="s">
        <v>13</v>
      </c>
      <c r="E44" s="250">
        <v>20</v>
      </c>
      <c r="F44" s="1473"/>
      <c r="G44" s="252"/>
      <c r="H44" s="1473"/>
    </row>
    <row r="45" spans="1:8" s="224" customFormat="1" x14ac:dyDescent="0.25">
      <c r="A45" s="215">
        <v>41715</v>
      </c>
      <c r="B45" s="364" t="s">
        <v>14</v>
      </c>
      <c r="C45" s="879" t="s">
        <v>12</v>
      </c>
      <c r="D45" s="887" t="s">
        <v>15</v>
      </c>
      <c r="E45" s="250">
        <v>2</v>
      </c>
      <c r="F45" s="1473"/>
      <c r="G45" s="252"/>
      <c r="H45" s="1473"/>
    </row>
    <row r="46" spans="1:8" s="224" customFormat="1" x14ac:dyDescent="0.25">
      <c r="A46" s="215">
        <v>41716</v>
      </c>
      <c r="B46" s="364" t="s">
        <v>32</v>
      </c>
      <c r="C46" s="879" t="s">
        <v>12</v>
      </c>
      <c r="D46" s="887" t="s">
        <v>13</v>
      </c>
      <c r="E46" s="250">
        <v>10</v>
      </c>
      <c r="F46" s="1473"/>
      <c r="G46" s="252"/>
      <c r="H46" s="1473"/>
    </row>
    <row r="47" spans="1:8" s="224" customFormat="1" x14ac:dyDescent="0.25">
      <c r="A47" s="215">
        <v>41716</v>
      </c>
      <c r="B47" s="364" t="s">
        <v>445</v>
      </c>
      <c r="C47" s="879" t="s">
        <v>12</v>
      </c>
      <c r="D47" s="887" t="s">
        <v>13</v>
      </c>
      <c r="E47" s="250">
        <v>4.5</v>
      </c>
      <c r="F47" s="1473"/>
      <c r="G47" s="252"/>
      <c r="H47" s="1473"/>
    </row>
    <row r="48" spans="1:8" s="224" customFormat="1" x14ac:dyDescent="0.25">
      <c r="A48" s="215">
        <v>41716</v>
      </c>
      <c r="B48" s="364" t="s">
        <v>14</v>
      </c>
      <c r="C48" s="879" t="s">
        <v>12</v>
      </c>
      <c r="D48" s="887" t="s">
        <v>13</v>
      </c>
      <c r="E48" s="250">
        <v>19.02</v>
      </c>
      <c r="F48" s="1473"/>
      <c r="G48" s="252"/>
      <c r="H48" s="1473"/>
    </row>
    <row r="49" spans="1:9" s="224" customFormat="1" x14ac:dyDescent="0.25">
      <c r="A49" s="215">
        <v>41717</v>
      </c>
      <c r="B49" s="364" t="s">
        <v>14</v>
      </c>
      <c r="C49" s="879" t="s">
        <v>12</v>
      </c>
      <c r="D49" s="887" t="s">
        <v>15</v>
      </c>
      <c r="E49" s="250">
        <v>2.5</v>
      </c>
      <c r="F49" s="1473"/>
      <c r="G49" s="252"/>
      <c r="H49" s="1473"/>
    </row>
    <row r="50" spans="1:9" x14ac:dyDescent="0.25">
      <c r="A50" s="215">
        <v>41718</v>
      </c>
      <c r="B50" s="873" t="s">
        <v>138</v>
      </c>
      <c r="C50" s="879" t="s">
        <v>12</v>
      </c>
      <c r="D50" s="887" t="s">
        <v>15</v>
      </c>
      <c r="E50" s="250">
        <v>20</v>
      </c>
      <c r="F50" s="1473"/>
      <c r="G50" s="252"/>
      <c r="H50" s="1473"/>
    </row>
    <row r="51" spans="1:9" s="224" customFormat="1" x14ac:dyDescent="0.25">
      <c r="A51" s="215">
        <v>41718</v>
      </c>
      <c r="B51" s="349" t="s">
        <v>446</v>
      </c>
      <c r="C51" s="350" t="s">
        <v>12</v>
      </c>
      <c r="D51" s="141" t="s">
        <v>25</v>
      </c>
      <c r="E51" s="250"/>
      <c r="F51" s="1473">
        <v>726</v>
      </c>
      <c r="G51" s="252"/>
      <c r="H51" s="1473"/>
    </row>
    <row r="52" spans="1:9" s="224" customFormat="1" x14ac:dyDescent="0.25">
      <c r="A52" s="215">
        <v>41718</v>
      </c>
      <c r="B52" s="882" t="s">
        <v>447</v>
      </c>
      <c r="C52" s="879" t="s">
        <v>12</v>
      </c>
      <c r="D52" s="887" t="s">
        <v>13</v>
      </c>
      <c r="E52" s="538">
        <v>34.6</v>
      </c>
      <c r="F52" s="1002"/>
      <c r="G52" s="539"/>
      <c r="H52" s="1002"/>
      <c r="I52" s="709"/>
    </row>
    <row r="53" spans="1:9" s="224" customFormat="1" x14ac:dyDescent="0.25">
      <c r="A53" s="215">
        <v>41718</v>
      </c>
      <c r="B53" s="882" t="s">
        <v>448</v>
      </c>
      <c r="C53" s="350" t="s">
        <v>12</v>
      </c>
      <c r="D53" s="887" t="s">
        <v>13</v>
      </c>
      <c r="E53" s="97">
        <v>45.64</v>
      </c>
      <c r="F53" s="1473"/>
      <c r="G53" s="252"/>
      <c r="H53" s="1473"/>
    </row>
    <row r="54" spans="1:9" x14ac:dyDescent="0.25">
      <c r="A54" s="215">
        <v>41718</v>
      </c>
      <c r="B54" s="349" t="s">
        <v>449</v>
      </c>
      <c r="C54" s="350" t="s">
        <v>12</v>
      </c>
      <c r="D54" s="887" t="s">
        <v>13</v>
      </c>
      <c r="E54" s="97">
        <v>225</v>
      </c>
      <c r="F54" s="946"/>
      <c r="G54" s="95"/>
      <c r="H54" s="946"/>
    </row>
    <row r="55" spans="1:9" x14ac:dyDescent="0.25">
      <c r="A55" s="215">
        <v>41718</v>
      </c>
      <c r="B55" s="364" t="s">
        <v>32</v>
      </c>
      <c r="C55" s="879" t="s">
        <v>12</v>
      </c>
      <c r="D55" s="887" t="s">
        <v>13</v>
      </c>
      <c r="E55" s="250">
        <v>4</v>
      </c>
      <c r="F55" s="946"/>
      <c r="G55" s="95"/>
      <c r="H55" s="946"/>
    </row>
    <row r="56" spans="1:9" x14ac:dyDescent="0.25">
      <c r="A56" s="215">
        <v>41718</v>
      </c>
      <c r="B56" s="349" t="s">
        <v>260</v>
      </c>
      <c r="C56" s="350"/>
      <c r="D56" s="141"/>
      <c r="E56" s="97">
        <v>50</v>
      </c>
      <c r="F56" s="946"/>
      <c r="G56" s="97"/>
      <c r="H56" s="946">
        <v>50</v>
      </c>
    </row>
    <row r="57" spans="1:9" x14ac:dyDescent="0.25">
      <c r="A57" s="356">
        <v>41718</v>
      </c>
      <c r="B57" s="548" t="s">
        <v>450</v>
      </c>
      <c r="C57" s="109" t="s">
        <v>19</v>
      </c>
      <c r="D57" s="887" t="s">
        <v>13</v>
      </c>
      <c r="E57" s="250">
        <v>55.8</v>
      </c>
      <c r="F57" s="946"/>
      <c r="G57" s="95"/>
      <c r="H57" s="946"/>
    </row>
    <row r="58" spans="1:9" x14ac:dyDescent="0.25">
      <c r="A58" s="356">
        <v>41718</v>
      </c>
      <c r="B58" s="548" t="s">
        <v>451</v>
      </c>
      <c r="C58" s="109" t="s">
        <v>19</v>
      </c>
      <c r="D58" s="887" t="s">
        <v>13</v>
      </c>
      <c r="E58" s="250">
        <v>30</v>
      </c>
      <c r="F58" s="946"/>
      <c r="G58" s="95"/>
      <c r="H58" s="946"/>
    </row>
    <row r="59" spans="1:9" ht="14.25" customHeight="1" x14ac:dyDescent="0.25">
      <c r="A59" s="356">
        <v>41718</v>
      </c>
      <c r="B59" s="548" t="s">
        <v>452</v>
      </c>
      <c r="C59" s="109" t="s">
        <v>19</v>
      </c>
      <c r="D59" s="887" t="s">
        <v>13</v>
      </c>
      <c r="E59" s="250">
        <v>40</v>
      </c>
      <c r="F59" s="946"/>
      <c r="G59" s="95"/>
      <c r="H59" s="946"/>
    </row>
    <row r="60" spans="1:9" x14ac:dyDescent="0.25">
      <c r="A60" s="215">
        <v>41719</v>
      </c>
      <c r="B60" s="364" t="s">
        <v>32</v>
      </c>
      <c r="C60" s="879" t="s">
        <v>12</v>
      </c>
      <c r="D60" s="887" t="s">
        <v>13</v>
      </c>
      <c r="E60" s="250">
        <v>10</v>
      </c>
      <c r="F60" s="946"/>
      <c r="G60" s="95"/>
      <c r="H60" s="946"/>
    </row>
    <row r="61" spans="1:9" x14ac:dyDescent="0.25">
      <c r="A61" s="215">
        <v>41719</v>
      </c>
      <c r="B61" s="364" t="s">
        <v>134</v>
      </c>
      <c r="C61" s="879" t="s">
        <v>12</v>
      </c>
      <c r="D61" s="887" t="s">
        <v>13</v>
      </c>
      <c r="E61" s="250">
        <v>39.799999999999997</v>
      </c>
      <c r="F61" s="946"/>
      <c r="G61" s="95"/>
      <c r="H61" s="946"/>
    </row>
    <row r="62" spans="1:9" x14ac:dyDescent="0.25">
      <c r="A62" s="215">
        <v>41720</v>
      </c>
      <c r="B62" s="349" t="s">
        <v>138</v>
      </c>
      <c r="C62" s="350" t="s">
        <v>12</v>
      </c>
      <c r="D62" s="141" t="s">
        <v>13</v>
      </c>
      <c r="E62" s="97">
        <v>20</v>
      </c>
      <c r="F62" s="946"/>
      <c r="G62" s="95"/>
      <c r="H62" s="946"/>
    </row>
    <row r="63" spans="1:9" x14ac:dyDescent="0.25">
      <c r="A63" s="215">
        <v>41720</v>
      </c>
      <c r="B63" s="349" t="s">
        <v>14</v>
      </c>
      <c r="C63" s="350" t="s">
        <v>12</v>
      </c>
      <c r="D63" s="141" t="s">
        <v>13</v>
      </c>
      <c r="E63" s="97">
        <v>7.05</v>
      </c>
      <c r="F63" s="946"/>
      <c r="G63" s="95"/>
      <c r="H63" s="946"/>
    </row>
    <row r="64" spans="1:9" x14ac:dyDescent="0.25">
      <c r="A64" s="215">
        <v>41720</v>
      </c>
      <c r="B64" s="349" t="s">
        <v>80</v>
      </c>
      <c r="C64" s="350" t="s">
        <v>12</v>
      </c>
      <c r="D64" s="141" t="s">
        <v>13</v>
      </c>
      <c r="E64" s="97">
        <v>21.48</v>
      </c>
      <c r="F64" s="946"/>
      <c r="G64" s="95"/>
      <c r="H64" s="946"/>
    </row>
    <row r="65" spans="1:8" x14ac:dyDescent="0.25">
      <c r="A65" s="215">
        <v>41721</v>
      </c>
      <c r="B65" s="349" t="s">
        <v>14</v>
      </c>
      <c r="C65" s="350" t="s">
        <v>12</v>
      </c>
      <c r="D65" s="141" t="s">
        <v>13</v>
      </c>
      <c r="E65" s="97">
        <v>11.01</v>
      </c>
      <c r="F65" s="946"/>
      <c r="G65" s="95"/>
      <c r="H65" s="946"/>
    </row>
    <row r="66" spans="1:8" x14ac:dyDescent="0.25">
      <c r="A66" s="215">
        <v>41721</v>
      </c>
      <c r="B66" s="349" t="s">
        <v>134</v>
      </c>
      <c r="C66" s="350" t="s">
        <v>12</v>
      </c>
      <c r="D66" s="141" t="s">
        <v>15</v>
      </c>
      <c r="E66" s="97">
        <v>10.5</v>
      </c>
      <c r="F66" s="946"/>
      <c r="G66" s="95"/>
      <c r="H66" s="946"/>
    </row>
    <row r="67" spans="1:8" x14ac:dyDescent="0.25">
      <c r="A67" s="215">
        <v>41722</v>
      </c>
      <c r="B67" s="349" t="s">
        <v>138</v>
      </c>
      <c r="C67" s="350" t="s">
        <v>12</v>
      </c>
      <c r="D67" s="141" t="s">
        <v>15</v>
      </c>
      <c r="E67" s="97">
        <v>20</v>
      </c>
      <c r="F67" s="946"/>
      <c r="G67" s="95"/>
      <c r="H67" s="946"/>
    </row>
    <row r="68" spans="1:8" x14ac:dyDescent="0.25">
      <c r="A68" s="215">
        <v>41722</v>
      </c>
      <c r="B68" s="349" t="s">
        <v>32</v>
      </c>
      <c r="C68" s="350" t="s">
        <v>12</v>
      </c>
      <c r="D68" s="141" t="s">
        <v>13</v>
      </c>
      <c r="E68" s="97">
        <v>10</v>
      </c>
      <c r="F68" s="946"/>
      <c r="G68" s="95"/>
      <c r="H68" s="946"/>
    </row>
    <row r="69" spans="1:8" x14ac:dyDescent="0.25">
      <c r="A69" s="215">
        <v>41722</v>
      </c>
      <c r="B69" s="349" t="s">
        <v>147</v>
      </c>
      <c r="C69" s="350" t="s">
        <v>12</v>
      </c>
      <c r="D69" s="141" t="s">
        <v>15</v>
      </c>
      <c r="E69" s="97">
        <v>10</v>
      </c>
      <c r="F69" s="946"/>
      <c r="G69" s="95"/>
      <c r="H69" s="946"/>
    </row>
    <row r="70" spans="1:8" s="224" customFormat="1" x14ac:dyDescent="0.25">
      <c r="A70" s="215">
        <v>41723</v>
      </c>
      <c r="B70" s="862" t="s">
        <v>390</v>
      </c>
      <c r="C70" s="350"/>
      <c r="D70" s="141"/>
      <c r="E70" s="97"/>
      <c r="F70" s="1473">
        <v>200</v>
      </c>
      <c r="G70" s="252">
        <v>200</v>
      </c>
      <c r="H70" s="1473"/>
    </row>
    <row r="71" spans="1:8" x14ac:dyDescent="0.25">
      <c r="A71" s="215">
        <v>41723</v>
      </c>
      <c r="B71" s="349" t="s">
        <v>32</v>
      </c>
      <c r="C71" s="350" t="s">
        <v>12</v>
      </c>
      <c r="D71" s="141" t="s">
        <v>13</v>
      </c>
      <c r="E71" s="97">
        <v>5.5</v>
      </c>
      <c r="F71" s="946"/>
      <c r="G71" s="95"/>
      <c r="H71" s="946"/>
    </row>
    <row r="72" spans="1:8" x14ac:dyDescent="0.25">
      <c r="A72" s="215">
        <v>41723</v>
      </c>
      <c r="B72" s="349" t="s">
        <v>453</v>
      </c>
      <c r="C72" s="350" t="s">
        <v>12</v>
      </c>
      <c r="D72" s="141" t="s">
        <v>15</v>
      </c>
      <c r="E72" s="97">
        <v>2.4</v>
      </c>
      <c r="F72" s="946"/>
      <c r="G72" s="95"/>
      <c r="H72" s="946"/>
    </row>
    <row r="73" spans="1:8" x14ac:dyDescent="0.25">
      <c r="A73" s="215">
        <v>41723</v>
      </c>
      <c r="B73" s="349" t="s">
        <v>454</v>
      </c>
      <c r="C73" s="350" t="s">
        <v>19</v>
      </c>
      <c r="D73" s="141" t="s">
        <v>13</v>
      </c>
      <c r="E73" s="97">
        <v>19</v>
      </c>
      <c r="F73" s="946"/>
      <c r="G73" s="95"/>
      <c r="H73" s="946"/>
    </row>
    <row r="74" spans="1:8" x14ac:dyDescent="0.25">
      <c r="A74" s="215">
        <v>41723</v>
      </c>
      <c r="B74" s="349" t="s">
        <v>118</v>
      </c>
      <c r="C74" s="350" t="s">
        <v>19</v>
      </c>
      <c r="D74" s="141" t="s">
        <v>13</v>
      </c>
      <c r="E74" s="97">
        <v>3.67</v>
      </c>
      <c r="F74" s="946"/>
      <c r="G74" s="95"/>
      <c r="H74" s="946"/>
    </row>
    <row r="75" spans="1:8" x14ac:dyDescent="0.25">
      <c r="A75" s="215">
        <v>41723</v>
      </c>
      <c r="B75" s="349" t="s">
        <v>455</v>
      </c>
      <c r="C75" s="350" t="s">
        <v>12</v>
      </c>
      <c r="D75" s="141" t="s">
        <v>13</v>
      </c>
      <c r="E75" s="97">
        <v>41.56</v>
      </c>
      <c r="F75" s="946"/>
      <c r="G75" s="95"/>
      <c r="H75" s="946"/>
    </row>
    <row r="76" spans="1:8" x14ac:dyDescent="0.25">
      <c r="A76" s="215">
        <v>41723</v>
      </c>
      <c r="B76" s="349" t="s">
        <v>456</v>
      </c>
      <c r="C76" s="350" t="s">
        <v>12</v>
      </c>
      <c r="D76" s="141" t="s">
        <v>15</v>
      </c>
      <c r="E76" s="97">
        <v>6</v>
      </c>
      <c r="F76" s="946"/>
      <c r="G76" s="95"/>
      <c r="H76" s="946"/>
    </row>
    <row r="77" spans="1:8" s="224" customFormat="1" x14ac:dyDescent="0.25">
      <c r="A77" s="215">
        <v>41724</v>
      </c>
      <c r="B77" s="862" t="s">
        <v>138</v>
      </c>
      <c r="C77" s="879" t="s">
        <v>12</v>
      </c>
      <c r="D77" s="887" t="s">
        <v>15</v>
      </c>
      <c r="E77" s="250">
        <v>20</v>
      </c>
      <c r="F77" s="1473"/>
      <c r="G77" s="252"/>
      <c r="H77" s="1473"/>
    </row>
    <row r="78" spans="1:8" s="224" customFormat="1" x14ac:dyDescent="0.25">
      <c r="A78" s="215">
        <v>41724</v>
      </c>
      <c r="B78" s="862" t="s">
        <v>32</v>
      </c>
      <c r="C78" s="879" t="s">
        <v>12</v>
      </c>
      <c r="D78" s="887" t="s">
        <v>13</v>
      </c>
      <c r="E78" s="250">
        <v>48.3</v>
      </c>
      <c r="F78" s="1473"/>
      <c r="G78" s="252"/>
      <c r="H78" s="1473"/>
    </row>
    <row r="79" spans="1:8" x14ac:dyDescent="0.25">
      <c r="A79" s="215">
        <v>41725</v>
      </c>
      <c r="B79" s="862" t="s">
        <v>32</v>
      </c>
      <c r="C79" s="879" t="s">
        <v>12</v>
      </c>
      <c r="D79" s="887" t="s">
        <v>13</v>
      </c>
      <c r="E79" s="250">
        <v>7.5</v>
      </c>
      <c r="F79" s="946"/>
      <c r="G79" s="95"/>
      <c r="H79" s="946"/>
    </row>
    <row r="80" spans="1:8" x14ac:dyDescent="0.25">
      <c r="A80" s="215">
        <v>41725</v>
      </c>
      <c r="B80" s="862" t="s">
        <v>14</v>
      </c>
      <c r="C80" s="879" t="s">
        <v>12</v>
      </c>
      <c r="D80" s="887" t="s">
        <v>13</v>
      </c>
      <c r="E80" s="250">
        <v>7.55</v>
      </c>
      <c r="F80" s="946"/>
      <c r="G80" s="95"/>
      <c r="H80" s="946"/>
    </row>
    <row r="81" spans="1:8" x14ac:dyDescent="0.25">
      <c r="A81" s="215">
        <v>41726</v>
      </c>
      <c r="B81" s="349" t="s">
        <v>32</v>
      </c>
      <c r="C81" s="350" t="s">
        <v>12</v>
      </c>
      <c r="D81" s="141" t="s">
        <v>13</v>
      </c>
      <c r="E81" s="97">
        <v>9</v>
      </c>
      <c r="F81" s="946"/>
      <c r="G81" s="95"/>
      <c r="H81" s="946"/>
    </row>
    <row r="82" spans="1:8" s="224" customFormat="1" x14ac:dyDescent="0.25">
      <c r="A82" s="215">
        <v>41727</v>
      </c>
      <c r="B82" s="862" t="s">
        <v>390</v>
      </c>
      <c r="C82" s="350"/>
      <c r="D82" s="141"/>
      <c r="E82" s="97"/>
      <c r="F82" s="1473">
        <v>200</v>
      </c>
      <c r="G82" s="252">
        <v>200</v>
      </c>
      <c r="H82" s="1473"/>
    </row>
    <row r="83" spans="1:8" s="224" customFormat="1" x14ac:dyDescent="0.25">
      <c r="A83" s="215">
        <v>41727</v>
      </c>
      <c r="B83" s="862" t="s">
        <v>321</v>
      </c>
      <c r="C83" s="879" t="s">
        <v>12</v>
      </c>
      <c r="D83" s="887" t="s">
        <v>13</v>
      </c>
      <c r="E83" s="250">
        <v>60</v>
      </c>
      <c r="F83" s="1473"/>
      <c r="G83" s="252"/>
      <c r="H83" s="1473"/>
    </row>
    <row r="84" spans="1:8" s="224" customFormat="1" x14ac:dyDescent="0.25">
      <c r="A84" s="215">
        <v>41727</v>
      </c>
      <c r="B84" s="862" t="s">
        <v>457</v>
      </c>
      <c r="C84" s="879" t="s">
        <v>12</v>
      </c>
      <c r="D84" s="887" t="s">
        <v>13</v>
      </c>
      <c r="E84" s="250">
        <v>8.5</v>
      </c>
      <c r="F84" s="1473"/>
      <c r="G84" s="252"/>
      <c r="H84" s="1473"/>
    </row>
    <row r="85" spans="1:8" s="224" customFormat="1" x14ac:dyDescent="0.25">
      <c r="A85" s="215">
        <v>41727</v>
      </c>
      <c r="B85" s="862" t="s">
        <v>458</v>
      </c>
      <c r="C85" s="879" t="s">
        <v>12</v>
      </c>
      <c r="D85" s="887" t="s">
        <v>15</v>
      </c>
      <c r="E85" s="250">
        <v>21.6</v>
      </c>
      <c r="F85" s="1473"/>
      <c r="G85" s="252"/>
      <c r="H85" s="1473"/>
    </row>
    <row r="86" spans="1:8" s="224" customFormat="1" x14ac:dyDescent="0.25">
      <c r="A86" s="215">
        <v>41727</v>
      </c>
      <c r="B86" s="862" t="s">
        <v>458</v>
      </c>
      <c r="C86" s="879" t="s">
        <v>12</v>
      </c>
      <c r="D86" s="887" t="s">
        <v>15</v>
      </c>
      <c r="E86" s="250">
        <v>2.6</v>
      </c>
      <c r="F86" s="1473"/>
      <c r="G86" s="252"/>
      <c r="H86" s="1473"/>
    </row>
    <row r="87" spans="1:8" s="224" customFormat="1" x14ac:dyDescent="0.25">
      <c r="A87" s="215">
        <v>41727</v>
      </c>
      <c r="B87" s="862" t="s">
        <v>459</v>
      </c>
      <c r="C87" s="879" t="s">
        <v>12</v>
      </c>
      <c r="D87" s="887" t="s">
        <v>15</v>
      </c>
      <c r="E87" s="250">
        <v>5</v>
      </c>
      <c r="F87" s="1473"/>
      <c r="G87" s="252"/>
      <c r="H87" s="1473"/>
    </row>
    <row r="88" spans="1:8" s="224" customFormat="1" x14ac:dyDescent="0.25">
      <c r="A88" s="215">
        <v>41727</v>
      </c>
      <c r="B88" s="862" t="s">
        <v>459</v>
      </c>
      <c r="C88" s="879" t="s">
        <v>12</v>
      </c>
      <c r="D88" s="887" t="s">
        <v>15</v>
      </c>
      <c r="E88" s="250">
        <v>2</v>
      </c>
      <c r="F88" s="1473"/>
      <c r="G88" s="252"/>
      <c r="H88" s="1473"/>
    </row>
    <row r="89" spans="1:8" s="224" customFormat="1" x14ac:dyDescent="0.25">
      <c r="A89" s="215">
        <v>41727</v>
      </c>
      <c r="B89" s="862" t="s">
        <v>460</v>
      </c>
      <c r="C89" s="879" t="s">
        <v>19</v>
      </c>
      <c r="D89" s="887" t="s">
        <v>13</v>
      </c>
      <c r="E89" s="250">
        <v>47.71</v>
      </c>
      <c r="F89" s="1473"/>
      <c r="G89" s="252"/>
      <c r="H89" s="1473"/>
    </row>
    <row r="90" spans="1:8" s="224" customFormat="1" x14ac:dyDescent="0.25">
      <c r="A90" s="215">
        <v>41728</v>
      </c>
      <c r="B90" s="862" t="s">
        <v>14</v>
      </c>
      <c r="C90" s="879" t="s">
        <v>12</v>
      </c>
      <c r="D90" s="887" t="s">
        <v>15</v>
      </c>
      <c r="E90" s="250">
        <v>6.17</v>
      </c>
      <c r="F90" s="1473"/>
      <c r="G90" s="252"/>
      <c r="H90" s="1473"/>
    </row>
    <row r="91" spans="1:8" s="224" customFormat="1" x14ac:dyDescent="0.25">
      <c r="A91" s="215">
        <v>41729</v>
      </c>
      <c r="B91" s="862" t="s">
        <v>32</v>
      </c>
      <c r="C91" s="105" t="s">
        <v>12</v>
      </c>
      <c r="D91" s="887" t="s">
        <v>13</v>
      </c>
      <c r="E91" s="250">
        <v>10</v>
      </c>
      <c r="F91" s="1473"/>
      <c r="G91" s="252"/>
      <c r="H91" s="1473"/>
    </row>
    <row r="92" spans="1:8" s="224" customFormat="1" x14ac:dyDescent="0.25">
      <c r="A92" s="215">
        <v>41729</v>
      </c>
      <c r="B92" s="862" t="s">
        <v>461</v>
      </c>
      <c r="C92" s="105" t="s">
        <v>12</v>
      </c>
      <c r="D92" s="887" t="s">
        <v>13</v>
      </c>
      <c r="E92" s="250">
        <v>11.9</v>
      </c>
      <c r="F92" s="1473"/>
      <c r="G92" s="252"/>
      <c r="H92" s="1473"/>
    </row>
    <row r="93" spans="1:8" s="224" customFormat="1" ht="15.75" thickBot="1" x14ac:dyDescent="0.3">
      <c r="A93" s="215">
        <v>41729</v>
      </c>
      <c r="B93" s="862" t="s">
        <v>14</v>
      </c>
      <c r="C93" s="105" t="s">
        <v>12</v>
      </c>
      <c r="D93" s="887" t="s">
        <v>13</v>
      </c>
      <c r="E93" s="250">
        <v>3.5</v>
      </c>
      <c r="F93" s="1473"/>
      <c r="G93" s="252"/>
      <c r="H93" s="1473"/>
    </row>
    <row r="94" spans="1:8" ht="25.5" customHeight="1" thickBot="1" x14ac:dyDescent="0.3">
      <c r="A94" s="689"/>
      <c r="B94" s="690"/>
      <c r="C94" s="691"/>
      <c r="D94" s="691"/>
      <c r="E94" s="100">
        <f>SUM(E5:E93)</f>
        <v>2088.8299999999995</v>
      </c>
      <c r="F94" s="1065">
        <f>SUM(F5:F93)</f>
        <v>2246.9699999999998</v>
      </c>
      <c r="G94" s="101">
        <f>SUM(G5:G93)</f>
        <v>400</v>
      </c>
      <c r="H94" s="93">
        <f>SUM(H5:H93)</f>
        <v>1120</v>
      </c>
    </row>
    <row r="95" spans="1:8" ht="25.5" customHeight="1" thickBot="1" x14ac:dyDescent="0.3">
      <c r="A95" s="683" t="s">
        <v>49</v>
      </c>
      <c r="B95" s="684"/>
      <c r="C95" s="684"/>
      <c r="D95" s="684"/>
      <c r="E95" s="102"/>
      <c r="F95" s="1478">
        <f>F94-E94</f>
        <v>158.14000000000033</v>
      </c>
      <c r="G95" s="104"/>
      <c r="H95" s="103">
        <f>H94-G94</f>
        <v>720</v>
      </c>
    </row>
    <row r="97" spans="1:8" x14ac:dyDescent="0.25">
      <c r="B97" s="79" t="s">
        <v>32</v>
      </c>
      <c r="C97" s="484">
        <v>192.3</v>
      </c>
    </row>
    <row r="98" spans="1:8" x14ac:dyDescent="0.25">
      <c r="B98" s="79" t="s">
        <v>16</v>
      </c>
      <c r="C98" s="484">
        <v>280</v>
      </c>
    </row>
    <row r="99" spans="1:8" x14ac:dyDescent="0.25">
      <c r="B99" s="79" t="s">
        <v>50</v>
      </c>
      <c r="C99" s="484">
        <v>205.05</v>
      </c>
    </row>
    <row r="100" spans="1:8" s="85" customFormat="1" x14ac:dyDescent="0.25">
      <c r="A100" s="79"/>
      <c r="B100" s="79" t="s">
        <v>14</v>
      </c>
      <c r="C100" s="475">
        <v>108.76</v>
      </c>
      <c r="E100" s="89"/>
      <c r="F100" s="79"/>
      <c r="G100" s="79"/>
      <c r="H100" s="79"/>
    </row>
    <row r="101" spans="1:8" s="85" customFormat="1" x14ac:dyDescent="0.25">
      <c r="A101" s="79"/>
      <c r="B101" s="79" t="s">
        <v>51</v>
      </c>
      <c r="C101" s="475">
        <v>80.239999999999995</v>
      </c>
      <c r="E101" s="89"/>
      <c r="F101" s="79"/>
      <c r="G101" s="79"/>
      <c r="H101" s="79"/>
    </row>
    <row r="102" spans="1:8" s="85" customFormat="1" x14ac:dyDescent="0.25">
      <c r="A102" s="79"/>
      <c r="B102" s="79" t="s">
        <v>52</v>
      </c>
      <c r="C102" s="475">
        <v>50</v>
      </c>
      <c r="E102" s="89"/>
      <c r="F102" s="79"/>
      <c r="G102" s="79"/>
      <c r="H102" s="79"/>
    </row>
    <row r="103" spans="1:8" s="85" customFormat="1" x14ac:dyDescent="0.25">
      <c r="A103" s="79"/>
      <c r="B103" s="867" t="s">
        <v>53</v>
      </c>
      <c r="C103" s="475">
        <v>25</v>
      </c>
      <c r="E103" s="89"/>
      <c r="F103" s="79"/>
      <c r="G103" s="79"/>
      <c r="H103" s="79"/>
    </row>
    <row r="104" spans="1:8" s="85" customFormat="1" x14ac:dyDescent="0.25">
      <c r="A104" s="79"/>
      <c r="B104" s="79" t="s">
        <v>56</v>
      </c>
      <c r="C104" s="475">
        <v>40.479999999999997</v>
      </c>
      <c r="E104" s="89"/>
      <c r="F104" s="79"/>
      <c r="G104" s="79"/>
      <c r="H104" s="79"/>
    </row>
    <row r="105" spans="1:8" s="85" customFormat="1" x14ac:dyDescent="0.25">
      <c r="A105" s="79"/>
      <c r="B105" s="79" t="s">
        <v>57</v>
      </c>
      <c r="C105" s="475">
        <v>137.69999999999999</v>
      </c>
      <c r="E105" s="89"/>
      <c r="F105" s="79"/>
      <c r="G105" s="79"/>
      <c r="H105" s="79"/>
    </row>
    <row r="106" spans="1:8" s="85" customFormat="1" x14ac:dyDescent="0.25">
      <c r="A106" s="79"/>
      <c r="B106" s="79" t="s">
        <v>418</v>
      </c>
      <c r="C106" s="475">
        <v>0</v>
      </c>
      <c r="E106" s="89"/>
      <c r="F106" s="79"/>
      <c r="G106" s="79"/>
      <c r="H106" s="79"/>
    </row>
    <row r="107" spans="1:8" s="85" customFormat="1" x14ac:dyDescent="0.25">
      <c r="A107" s="79"/>
      <c r="B107" s="79" t="s">
        <v>419</v>
      </c>
      <c r="C107" s="475">
        <v>0</v>
      </c>
      <c r="E107" s="89"/>
      <c r="F107" s="79"/>
      <c r="G107" s="79"/>
      <c r="H107" s="79"/>
    </row>
  </sheetData>
  <autoFilter ref="A2:H95" xr:uid="{00000000-0009-0000-0000-00000F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8"/>
  <dimension ref="A1:L116"/>
  <sheetViews>
    <sheetView workbookViewId="0">
      <selection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462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41730</v>
      </c>
      <c r="B5" s="369" t="s">
        <v>10</v>
      </c>
      <c r="C5" s="370"/>
      <c r="D5" s="207"/>
      <c r="E5" s="179"/>
      <c r="F5" s="933">
        <f>'Março-14'!F95</f>
        <v>158.14000000000033</v>
      </c>
      <c r="G5" s="163"/>
      <c r="H5" s="933">
        <f>'Março-14'!H95</f>
        <v>720</v>
      </c>
    </row>
    <row r="6" spans="1:8" s="224" customFormat="1" x14ac:dyDescent="0.25">
      <c r="A6" s="215">
        <v>41730</v>
      </c>
      <c r="B6" s="348" t="s">
        <v>11</v>
      </c>
      <c r="C6" s="351"/>
      <c r="D6" s="248"/>
      <c r="E6" s="250">
        <v>91</v>
      </c>
      <c r="F6" s="1473"/>
      <c r="G6" s="252"/>
      <c r="H6" s="1473"/>
    </row>
    <row r="7" spans="1:8" s="224" customFormat="1" x14ac:dyDescent="0.25">
      <c r="A7" s="215">
        <v>41730</v>
      </c>
      <c r="B7" s="862" t="s">
        <v>32</v>
      </c>
      <c r="C7" s="879" t="s">
        <v>12</v>
      </c>
      <c r="D7" s="887" t="s">
        <v>13</v>
      </c>
      <c r="E7" s="250">
        <v>7</v>
      </c>
      <c r="F7" s="1473"/>
      <c r="G7" s="252"/>
      <c r="H7" s="1473"/>
    </row>
    <row r="8" spans="1:8" s="224" customFormat="1" x14ac:dyDescent="0.25">
      <c r="A8" s="215">
        <v>41730</v>
      </c>
      <c r="B8" s="862" t="s">
        <v>138</v>
      </c>
      <c r="C8" s="879" t="s">
        <v>12</v>
      </c>
      <c r="D8" s="887" t="s">
        <v>13</v>
      </c>
      <c r="E8" s="250">
        <v>20</v>
      </c>
      <c r="F8" s="1473"/>
      <c r="G8" s="252"/>
      <c r="H8" s="1473"/>
    </row>
    <row r="9" spans="1:8" s="224" customFormat="1" x14ac:dyDescent="0.25">
      <c r="A9" s="215">
        <v>41730</v>
      </c>
      <c r="B9" s="862" t="s">
        <v>14</v>
      </c>
      <c r="C9" s="879" t="s">
        <v>12</v>
      </c>
      <c r="D9" s="887" t="s">
        <v>15</v>
      </c>
      <c r="E9" s="250">
        <v>8.5</v>
      </c>
      <c r="F9" s="1473"/>
      <c r="G9" s="252"/>
      <c r="H9" s="1473"/>
    </row>
    <row r="10" spans="1:8" s="224" customFormat="1" x14ac:dyDescent="0.25">
      <c r="A10" s="215">
        <v>41731</v>
      </c>
      <c r="B10" s="873" t="s">
        <v>32</v>
      </c>
      <c r="C10" s="879" t="s">
        <v>12</v>
      </c>
      <c r="D10" s="887" t="s">
        <v>15</v>
      </c>
      <c r="E10" s="250">
        <v>6</v>
      </c>
      <c r="F10" s="1473"/>
      <c r="G10" s="252"/>
      <c r="H10" s="1473"/>
    </row>
    <row r="11" spans="1:8" s="224" customFormat="1" x14ac:dyDescent="0.25">
      <c r="A11" s="215">
        <v>41731</v>
      </c>
      <c r="B11" s="873" t="s">
        <v>14</v>
      </c>
      <c r="C11" s="879" t="s">
        <v>12</v>
      </c>
      <c r="D11" s="887" t="s">
        <v>15</v>
      </c>
      <c r="E11" s="250">
        <v>5.8</v>
      </c>
      <c r="F11" s="1473"/>
      <c r="G11" s="252"/>
      <c r="H11" s="1473"/>
    </row>
    <row r="12" spans="1:8" s="224" customFormat="1" x14ac:dyDescent="0.25">
      <c r="A12" s="215">
        <v>41732</v>
      </c>
      <c r="B12" s="873" t="s">
        <v>32</v>
      </c>
      <c r="C12" s="879" t="s">
        <v>12</v>
      </c>
      <c r="D12" s="887" t="s">
        <v>15</v>
      </c>
      <c r="E12" s="250">
        <v>6.5</v>
      </c>
      <c r="F12" s="1473"/>
      <c r="G12" s="252"/>
      <c r="H12" s="1473"/>
    </row>
    <row r="13" spans="1:8" s="224" customFormat="1" x14ac:dyDescent="0.25">
      <c r="A13" s="215">
        <v>41732</v>
      </c>
      <c r="B13" s="873" t="s">
        <v>14</v>
      </c>
      <c r="C13" s="879" t="s">
        <v>12</v>
      </c>
      <c r="D13" s="887" t="s">
        <v>15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41732</v>
      </c>
      <c r="B14" s="862" t="s">
        <v>138</v>
      </c>
      <c r="C14" s="879" t="s">
        <v>12</v>
      </c>
      <c r="D14" s="887" t="s">
        <v>13</v>
      </c>
      <c r="E14" s="250">
        <v>20</v>
      </c>
      <c r="F14" s="1473"/>
      <c r="G14" s="252"/>
      <c r="H14" s="1473"/>
    </row>
    <row r="15" spans="1:8" s="224" customFormat="1" x14ac:dyDescent="0.25">
      <c r="A15" s="215">
        <v>41733</v>
      </c>
      <c r="B15" s="873" t="s">
        <v>32</v>
      </c>
      <c r="C15" s="879" t="s">
        <v>12</v>
      </c>
      <c r="D15" s="887" t="s">
        <v>15</v>
      </c>
      <c r="E15" s="250">
        <v>7</v>
      </c>
      <c r="F15" s="1473"/>
      <c r="G15" s="252"/>
      <c r="H15" s="1473"/>
    </row>
    <row r="16" spans="1:8" s="224" customFormat="1" x14ac:dyDescent="0.25">
      <c r="A16" s="215">
        <v>41733</v>
      </c>
      <c r="B16" s="349" t="s">
        <v>463</v>
      </c>
      <c r="C16" s="879" t="s">
        <v>12</v>
      </c>
      <c r="D16" s="983" t="s">
        <v>25</v>
      </c>
      <c r="E16" s="250"/>
      <c r="F16" s="1473">
        <v>917.05</v>
      </c>
      <c r="G16" s="252"/>
      <c r="H16" s="1473"/>
    </row>
    <row r="17" spans="1:12" s="224" customFormat="1" x14ac:dyDescent="0.25">
      <c r="A17" s="215">
        <v>41733</v>
      </c>
      <c r="B17" s="349" t="s">
        <v>464</v>
      </c>
      <c r="C17" s="879" t="s">
        <v>12</v>
      </c>
      <c r="D17" s="983" t="s">
        <v>13</v>
      </c>
      <c r="E17" s="250">
        <v>60.5</v>
      </c>
      <c r="F17" s="1473"/>
      <c r="G17" s="252"/>
      <c r="H17" s="251"/>
      <c r="K17" s="79"/>
      <c r="L17" s="79"/>
    </row>
    <row r="18" spans="1:12" s="224" customFormat="1" ht="15.75" customHeight="1" x14ac:dyDescent="0.25">
      <c r="A18" s="215">
        <v>41733</v>
      </c>
      <c r="B18" s="862" t="s">
        <v>465</v>
      </c>
      <c r="C18" s="350" t="s">
        <v>12</v>
      </c>
      <c r="D18" s="141" t="s">
        <v>13</v>
      </c>
      <c r="E18" s="97">
        <v>273.76</v>
      </c>
      <c r="F18" s="1473"/>
      <c r="G18" s="252"/>
      <c r="H18" s="1473"/>
    </row>
    <row r="19" spans="1:12" s="224" customFormat="1" ht="14.25" customHeight="1" x14ac:dyDescent="0.25">
      <c r="A19" s="215">
        <v>41733</v>
      </c>
      <c r="B19" s="862" t="s">
        <v>31</v>
      </c>
      <c r="C19" s="350" t="s">
        <v>12</v>
      </c>
      <c r="D19" s="957" t="s">
        <v>15</v>
      </c>
      <c r="E19" s="97">
        <v>50</v>
      </c>
      <c r="F19" s="1473"/>
      <c r="G19" s="252"/>
      <c r="H19" s="1473"/>
    </row>
    <row r="20" spans="1:12" s="224" customFormat="1" x14ac:dyDescent="0.25">
      <c r="A20" s="215">
        <v>41733</v>
      </c>
      <c r="B20" s="862" t="s">
        <v>399</v>
      </c>
      <c r="C20" s="350" t="s">
        <v>12</v>
      </c>
      <c r="D20" s="957" t="s">
        <v>15</v>
      </c>
      <c r="E20" s="97">
        <v>25</v>
      </c>
      <c r="F20" s="1473"/>
      <c r="G20" s="252"/>
      <c r="H20" s="1473"/>
    </row>
    <row r="21" spans="1:12" s="224" customFormat="1" ht="15.75" customHeight="1" x14ac:dyDescent="0.25">
      <c r="A21" s="215">
        <v>41733</v>
      </c>
      <c r="B21" s="349" t="s">
        <v>256</v>
      </c>
      <c r="C21" s="350"/>
      <c r="D21" s="141"/>
      <c r="E21" s="97"/>
      <c r="F21" s="946">
        <v>100</v>
      </c>
      <c r="G21" s="97">
        <v>100</v>
      </c>
      <c r="H21" s="946"/>
    </row>
    <row r="22" spans="1:12" s="224" customFormat="1" ht="15.75" customHeight="1" x14ac:dyDescent="0.25">
      <c r="A22" s="215">
        <v>41733</v>
      </c>
      <c r="B22" s="349" t="s">
        <v>260</v>
      </c>
      <c r="C22" s="350"/>
      <c r="D22" s="141"/>
      <c r="E22" s="97">
        <v>200</v>
      </c>
      <c r="F22" s="946"/>
      <c r="G22" s="97"/>
      <c r="H22" s="946">
        <v>200</v>
      </c>
    </row>
    <row r="23" spans="1:12" s="224" customFormat="1" x14ac:dyDescent="0.25">
      <c r="A23" s="215">
        <v>41733</v>
      </c>
      <c r="B23" s="873" t="s">
        <v>14</v>
      </c>
      <c r="C23" s="879" t="s">
        <v>12</v>
      </c>
      <c r="D23" s="887" t="s">
        <v>15</v>
      </c>
      <c r="E23" s="250">
        <v>5.5</v>
      </c>
      <c r="F23" s="1473"/>
      <c r="G23" s="252"/>
      <c r="H23" s="1473"/>
    </row>
    <row r="24" spans="1:12" s="224" customFormat="1" ht="15.75" customHeight="1" x14ac:dyDescent="0.25">
      <c r="A24" s="215">
        <v>41734</v>
      </c>
      <c r="B24" s="862" t="s">
        <v>138</v>
      </c>
      <c r="C24" s="350" t="s">
        <v>12</v>
      </c>
      <c r="D24" s="141" t="s">
        <v>15</v>
      </c>
      <c r="E24" s="97">
        <v>20</v>
      </c>
      <c r="F24" s="1473"/>
      <c r="G24" s="252"/>
      <c r="H24" s="1473"/>
    </row>
    <row r="25" spans="1:12" s="224" customFormat="1" ht="15.75" customHeight="1" x14ac:dyDescent="0.25">
      <c r="A25" s="215">
        <v>41734</v>
      </c>
      <c r="B25" s="862" t="s">
        <v>466</v>
      </c>
      <c r="C25" s="350" t="s">
        <v>12</v>
      </c>
      <c r="D25" s="141" t="s">
        <v>15</v>
      </c>
      <c r="E25" s="97">
        <v>9</v>
      </c>
      <c r="F25" s="1473"/>
      <c r="G25" s="252"/>
      <c r="H25" s="1473"/>
    </row>
    <row r="26" spans="1:12" s="224" customFormat="1" ht="15.75" customHeight="1" x14ac:dyDescent="0.25">
      <c r="A26" s="215">
        <v>41734</v>
      </c>
      <c r="B26" s="862" t="s">
        <v>467</v>
      </c>
      <c r="C26" s="350" t="s">
        <v>12</v>
      </c>
      <c r="D26" s="141" t="s">
        <v>13</v>
      </c>
      <c r="E26" s="97">
        <v>6.4</v>
      </c>
      <c r="F26" s="1473"/>
      <c r="G26" s="252"/>
      <c r="H26" s="1473"/>
    </row>
    <row r="27" spans="1:12" s="224" customFormat="1" ht="15.75" customHeight="1" x14ac:dyDescent="0.25">
      <c r="A27" s="215">
        <v>41734</v>
      </c>
      <c r="B27" s="862" t="s">
        <v>82</v>
      </c>
      <c r="C27" s="350" t="s">
        <v>12</v>
      </c>
      <c r="D27" s="141" t="s">
        <v>13</v>
      </c>
      <c r="E27" s="97">
        <v>25</v>
      </c>
      <c r="F27" s="1473"/>
      <c r="G27" s="252"/>
      <c r="H27" s="1473"/>
    </row>
    <row r="28" spans="1:12" s="224" customFormat="1" ht="15.75" customHeight="1" x14ac:dyDescent="0.25">
      <c r="A28" s="215">
        <v>41734</v>
      </c>
      <c r="B28" s="862" t="s">
        <v>468</v>
      </c>
      <c r="C28" s="350" t="s">
        <v>12</v>
      </c>
      <c r="D28" s="141" t="s">
        <v>15</v>
      </c>
      <c r="E28" s="97">
        <v>10</v>
      </c>
      <c r="F28" s="1473"/>
      <c r="G28" s="252"/>
      <c r="H28" s="1473"/>
    </row>
    <row r="29" spans="1:12" s="224" customFormat="1" ht="15.75" customHeight="1" x14ac:dyDescent="0.25">
      <c r="A29" s="215">
        <v>41735</v>
      </c>
      <c r="B29" s="862" t="s">
        <v>134</v>
      </c>
      <c r="C29" s="350" t="s">
        <v>12</v>
      </c>
      <c r="D29" s="141" t="s">
        <v>15</v>
      </c>
      <c r="E29" s="97">
        <v>13.5</v>
      </c>
      <c r="F29" s="1473"/>
      <c r="G29" s="252"/>
      <c r="H29" s="1473"/>
    </row>
    <row r="30" spans="1:12" s="224" customFormat="1" ht="15.75" customHeight="1" x14ac:dyDescent="0.25">
      <c r="A30" s="215">
        <v>41735</v>
      </c>
      <c r="B30" s="862" t="s">
        <v>14</v>
      </c>
      <c r="C30" s="350" t="s">
        <v>12</v>
      </c>
      <c r="D30" s="141" t="s">
        <v>13</v>
      </c>
      <c r="E30" s="97">
        <v>10.76</v>
      </c>
      <c r="F30" s="1473"/>
      <c r="G30" s="252"/>
      <c r="H30" s="1473"/>
    </row>
    <row r="31" spans="1:12" s="224" customFormat="1" ht="15.75" customHeight="1" x14ac:dyDescent="0.25">
      <c r="A31" s="215">
        <v>41735</v>
      </c>
      <c r="B31" s="862" t="s">
        <v>469</v>
      </c>
      <c r="C31" s="350" t="s">
        <v>12</v>
      </c>
      <c r="D31" s="141" t="s">
        <v>13</v>
      </c>
      <c r="E31" s="97">
        <v>6.5</v>
      </c>
      <c r="F31" s="1473"/>
      <c r="G31" s="252"/>
      <c r="H31" s="1473"/>
    </row>
    <row r="32" spans="1:12" s="224" customFormat="1" ht="15.75" customHeight="1" x14ac:dyDescent="0.25">
      <c r="A32" s="215">
        <v>41736</v>
      </c>
      <c r="B32" s="862" t="s">
        <v>32</v>
      </c>
      <c r="C32" s="350" t="s">
        <v>12</v>
      </c>
      <c r="D32" s="141" t="s">
        <v>13</v>
      </c>
      <c r="E32" s="97">
        <v>10</v>
      </c>
      <c r="F32" s="1473"/>
      <c r="G32" s="252"/>
      <c r="H32" s="1473"/>
    </row>
    <row r="33" spans="1:8" s="224" customFormat="1" ht="15.75" customHeight="1" x14ac:dyDescent="0.25">
      <c r="A33" s="215">
        <v>41736</v>
      </c>
      <c r="B33" s="862" t="s">
        <v>14</v>
      </c>
      <c r="C33" s="350" t="s">
        <v>12</v>
      </c>
      <c r="D33" s="141" t="s">
        <v>13</v>
      </c>
      <c r="E33" s="97">
        <v>2.5</v>
      </c>
      <c r="F33" s="1473"/>
      <c r="G33" s="252"/>
      <c r="H33" s="1473"/>
    </row>
    <row r="34" spans="1:8" s="224" customFormat="1" ht="15.75" customHeight="1" x14ac:dyDescent="0.25">
      <c r="A34" s="215">
        <v>41737</v>
      </c>
      <c r="B34" s="349" t="s">
        <v>260</v>
      </c>
      <c r="C34" s="350"/>
      <c r="D34" s="141"/>
      <c r="E34" s="97">
        <v>50</v>
      </c>
      <c r="F34" s="946"/>
      <c r="G34" s="97"/>
      <c r="H34" s="946">
        <v>50</v>
      </c>
    </row>
    <row r="35" spans="1:8" s="224" customFormat="1" ht="15.75" customHeight="1" x14ac:dyDescent="0.25">
      <c r="A35" s="215">
        <v>41737</v>
      </c>
      <c r="B35" s="862" t="s">
        <v>32</v>
      </c>
      <c r="C35" s="350" t="s">
        <v>12</v>
      </c>
      <c r="D35" s="141" t="s">
        <v>13</v>
      </c>
      <c r="E35" s="97">
        <v>7</v>
      </c>
      <c r="F35" s="1473"/>
      <c r="G35" s="252"/>
      <c r="H35" s="1473"/>
    </row>
    <row r="36" spans="1:8" s="224" customFormat="1" ht="15.75" customHeight="1" x14ac:dyDescent="0.25">
      <c r="A36" s="215">
        <v>41737</v>
      </c>
      <c r="B36" s="862" t="s">
        <v>80</v>
      </c>
      <c r="C36" s="879" t="s">
        <v>12</v>
      </c>
      <c r="D36" s="887" t="s">
        <v>13</v>
      </c>
      <c r="E36" s="250">
        <v>17.899999999999999</v>
      </c>
      <c r="F36" s="1473"/>
      <c r="G36" s="252"/>
      <c r="H36" s="1473"/>
    </row>
    <row r="37" spans="1:8" s="224" customFormat="1" ht="15.75" customHeight="1" x14ac:dyDescent="0.25">
      <c r="A37" s="215">
        <v>41737</v>
      </c>
      <c r="B37" s="862" t="s">
        <v>138</v>
      </c>
      <c r="C37" s="879" t="s">
        <v>12</v>
      </c>
      <c r="D37" s="887" t="s">
        <v>13</v>
      </c>
      <c r="E37" s="250">
        <v>20</v>
      </c>
      <c r="F37" s="1473"/>
      <c r="G37" s="252"/>
      <c r="H37" s="1473"/>
    </row>
    <row r="38" spans="1:8" s="224" customFormat="1" ht="15.75" customHeight="1" x14ac:dyDescent="0.25">
      <c r="A38" s="215">
        <v>41737</v>
      </c>
      <c r="B38" s="349" t="s">
        <v>260</v>
      </c>
      <c r="C38" s="350"/>
      <c r="D38" s="141"/>
      <c r="E38" s="97">
        <v>10</v>
      </c>
      <c r="F38" s="946"/>
      <c r="G38" s="97"/>
      <c r="H38" s="946">
        <v>10</v>
      </c>
    </row>
    <row r="39" spans="1:8" s="224" customFormat="1" ht="15.75" customHeight="1" x14ac:dyDescent="0.25">
      <c r="A39" s="215">
        <v>41738</v>
      </c>
      <c r="B39" s="349" t="s">
        <v>256</v>
      </c>
      <c r="C39" s="350"/>
      <c r="D39" s="141"/>
      <c r="E39" s="97"/>
      <c r="F39" s="946">
        <v>100</v>
      </c>
      <c r="G39" s="97">
        <v>100</v>
      </c>
      <c r="H39" s="1473"/>
    </row>
    <row r="40" spans="1:8" s="224" customFormat="1" ht="15.75" customHeight="1" x14ac:dyDescent="0.25">
      <c r="A40" s="215">
        <v>41738</v>
      </c>
      <c r="B40" s="862" t="s">
        <v>32</v>
      </c>
      <c r="C40" s="350" t="s">
        <v>12</v>
      </c>
      <c r="D40" s="141" t="s">
        <v>13</v>
      </c>
      <c r="E40" s="97">
        <v>10</v>
      </c>
      <c r="F40" s="946"/>
      <c r="G40" s="97"/>
      <c r="H40" s="1473"/>
    </row>
    <row r="41" spans="1:8" x14ac:dyDescent="0.25">
      <c r="A41" s="215">
        <v>41739</v>
      </c>
      <c r="B41" s="349" t="s">
        <v>470</v>
      </c>
      <c r="C41" s="350" t="s">
        <v>12</v>
      </c>
      <c r="D41" s="141" t="s">
        <v>15</v>
      </c>
      <c r="E41" s="97">
        <v>50</v>
      </c>
      <c r="F41" s="946"/>
      <c r="G41" s="97"/>
      <c r="H41" s="946"/>
    </row>
    <row r="42" spans="1:8" x14ac:dyDescent="0.25">
      <c r="A42" s="215">
        <v>41739</v>
      </c>
      <c r="B42" s="862" t="s">
        <v>32</v>
      </c>
      <c r="C42" s="350" t="s">
        <v>12</v>
      </c>
      <c r="D42" s="141" t="s">
        <v>13</v>
      </c>
      <c r="E42" s="97">
        <v>6</v>
      </c>
      <c r="F42" s="946"/>
      <c r="G42" s="97"/>
      <c r="H42" s="946"/>
    </row>
    <row r="43" spans="1:8" s="224" customFormat="1" ht="15.75" customHeight="1" x14ac:dyDescent="0.25">
      <c r="A43" s="215">
        <v>41739</v>
      </c>
      <c r="B43" s="862" t="s">
        <v>14</v>
      </c>
      <c r="C43" s="350" t="s">
        <v>12</v>
      </c>
      <c r="D43" s="141" t="s">
        <v>15</v>
      </c>
      <c r="E43" s="97">
        <v>2.5</v>
      </c>
      <c r="F43" s="1473"/>
      <c r="G43" s="252"/>
      <c r="H43" s="1473"/>
    </row>
    <row r="44" spans="1:8" s="224" customFormat="1" ht="15.75" customHeight="1" x14ac:dyDescent="0.25">
      <c r="A44" s="215">
        <v>41739</v>
      </c>
      <c r="B44" s="862" t="s">
        <v>471</v>
      </c>
      <c r="C44" s="350" t="s">
        <v>12</v>
      </c>
      <c r="D44" s="141" t="s">
        <v>15</v>
      </c>
      <c r="E44" s="97">
        <v>2.5</v>
      </c>
      <c r="F44" s="1473"/>
      <c r="G44" s="252"/>
      <c r="H44" s="1473"/>
    </row>
    <row r="45" spans="1:8" x14ac:dyDescent="0.25">
      <c r="A45" s="215">
        <v>41740</v>
      </c>
      <c r="B45" s="873" t="s">
        <v>32</v>
      </c>
      <c r="C45" s="879" t="s">
        <v>12</v>
      </c>
      <c r="D45" s="887" t="s">
        <v>13</v>
      </c>
      <c r="E45" s="250">
        <v>6</v>
      </c>
      <c r="F45" s="946"/>
      <c r="G45" s="97"/>
      <c r="H45" s="946"/>
    </row>
    <row r="46" spans="1:8" x14ac:dyDescent="0.25">
      <c r="A46" s="215">
        <v>41740</v>
      </c>
      <c r="B46" s="873" t="s">
        <v>14</v>
      </c>
      <c r="C46" s="879" t="s">
        <v>12</v>
      </c>
      <c r="D46" s="887" t="s">
        <v>13</v>
      </c>
      <c r="E46" s="250">
        <v>6.41</v>
      </c>
      <c r="F46" s="946"/>
      <c r="G46" s="97"/>
      <c r="H46" s="946"/>
    </row>
    <row r="47" spans="1:8" x14ac:dyDescent="0.25">
      <c r="A47" s="215">
        <v>41740</v>
      </c>
      <c r="B47" s="873" t="s">
        <v>138</v>
      </c>
      <c r="C47" s="879" t="s">
        <v>12</v>
      </c>
      <c r="D47" s="887" t="s">
        <v>13</v>
      </c>
      <c r="E47" s="250">
        <v>20</v>
      </c>
      <c r="F47" s="946"/>
      <c r="G47" s="97"/>
      <c r="H47" s="946"/>
    </row>
    <row r="48" spans="1:8" ht="15.75" customHeight="1" x14ac:dyDescent="0.25">
      <c r="A48" s="215">
        <v>41741</v>
      </c>
      <c r="B48" s="349" t="s">
        <v>82</v>
      </c>
      <c r="C48" s="350" t="s">
        <v>12</v>
      </c>
      <c r="D48" s="141" t="s">
        <v>13</v>
      </c>
      <c r="E48" s="97">
        <v>25</v>
      </c>
      <c r="F48" s="946"/>
      <c r="G48" s="97"/>
      <c r="H48" s="946"/>
    </row>
    <row r="49" spans="1:9" x14ac:dyDescent="0.25">
      <c r="A49" s="215">
        <v>41742</v>
      </c>
      <c r="B49" s="873" t="s">
        <v>138</v>
      </c>
      <c r="C49" s="879" t="s">
        <v>12</v>
      </c>
      <c r="D49" s="887" t="s">
        <v>13</v>
      </c>
      <c r="E49" s="250">
        <v>20</v>
      </c>
      <c r="F49" s="946"/>
      <c r="G49" s="97"/>
      <c r="H49" s="946"/>
    </row>
    <row r="50" spans="1:9" x14ac:dyDescent="0.25">
      <c r="A50" s="215">
        <v>41743</v>
      </c>
      <c r="B50" s="873" t="s">
        <v>32</v>
      </c>
      <c r="C50" s="879" t="s">
        <v>12</v>
      </c>
      <c r="D50" s="887" t="s">
        <v>13</v>
      </c>
      <c r="E50" s="250">
        <v>10</v>
      </c>
      <c r="F50" s="946"/>
      <c r="G50" s="97"/>
      <c r="H50" s="946"/>
    </row>
    <row r="51" spans="1:9" x14ac:dyDescent="0.25">
      <c r="A51" s="215">
        <v>41743</v>
      </c>
      <c r="B51" s="349" t="s">
        <v>256</v>
      </c>
      <c r="C51" s="350"/>
      <c r="D51" s="141"/>
      <c r="E51" s="97"/>
      <c r="F51" s="946">
        <v>40</v>
      </c>
      <c r="G51" s="97">
        <v>40</v>
      </c>
      <c r="H51" s="946"/>
    </row>
    <row r="52" spans="1:9" x14ac:dyDescent="0.25">
      <c r="A52" s="215">
        <v>41743</v>
      </c>
      <c r="B52" s="873" t="s">
        <v>14</v>
      </c>
      <c r="C52" s="879" t="s">
        <v>12</v>
      </c>
      <c r="D52" s="887" t="s">
        <v>13</v>
      </c>
      <c r="E52" s="250">
        <v>3.6</v>
      </c>
      <c r="F52" s="946"/>
      <c r="G52" s="97"/>
      <c r="H52" s="946"/>
    </row>
    <row r="53" spans="1:9" x14ac:dyDescent="0.25">
      <c r="A53" s="215">
        <v>41744</v>
      </c>
      <c r="B53" s="873" t="s">
        <v>32</v>
      </c>
      <c r="C53" s="879" t="s">
        <v>12</v>
      </c>
      <c r="D53" s="887" t="s">
        <v>15</v>
      </c>
      <c r="E53" s="250">
        <v>6.5</v>
      </c>
      <c r="F53" s="1473"/>
      <c r="G53" s="252"/>
      <c r="H53" s="1473"/>
    </row>
    <row r="54" spans="1:9" x14ac:dyDescent="0.25">
      <c r="A54" s="215">
        <v>41745</v>
      </c>
      <c r="B54" s="873" t="s">
        <v>138</v>
      </c>
      <c r="C54" s="879" t="s">
        <v>12</v>
      </c>
      <c r="D54" s="887" t="s">
        <v>13</v>
      </c>
      <c r="E54" s="250">
        <v>10</v>
      </c>
      <c r="F54" s="946"/>
      <c r="G54" s="97"/>
      <c r="H54" s="946"/>
    </row>
    <row r="55" spans="1:9" x14ac:dyDescent="0.25">
      <c r="A55" s="215">
        <v>41745</v>
      </c>
      <c r="B55" s="873" t="s">
        <v>32</v>
      </c>
      <c r="C55" s="879" t="s">
        <v>12</v>
      </c>
      <c r="D55" s="887" t="s">
        <v>13</v>
      </c>
      <c r="E55" s="250">
        <v>4.5</v>
      </c>
      <c r="F55" s="1473"/>
      <c r="G55" s="252"/>
      <c r="H55" s="1473"/>
    </row>
    <row r="56" spans="1:9" x14ac:dyDescent="0.25">
      <c r="A56" s="215">
        <v>41746</v>
      </c>
      <c r="B56" s="873" t="s">
        <v>472</v>
      </c>
      <c r="C56" s="879" t="s">
        <v>12</v>
      </c>
      <c r="D56" s="887" t="s">
        <v>13</v>
      </c>
      <c r="E56" s="250">
        <v>4.8</v>
      </c>
      <c r="F56" s="1473"/>
      <c r="G56" s="252"/>
      <c r="H56" s="1473"/>
    </row>
    <row r="57" spans="1:9" x14ac:dyDescent="0.25">
      <c r="A57" s="215">
        <v>41746</v>
      </c>
      <c r="B57" s="873" t="s">
        <v>14</v>
      </c>
      <c r="C57" s="879" t="s">
        <v>12</v>
      </c>
      <c r="D57" s="887" t="s">
        <v>13</v>
      </c>
      <c r="E57" s="250">
        <v>2.8</v>
      </c>
      <c r="F57" s="1473"/>
      <c r="G57" s="252"/>
      <c r="H57" s="1473"/>
    </row>
    <row r="58" spans="1:9" x14ac:dyDescent="0.25">
      <c r="A58" s="215">
        <v>41746</v>
      </c>
      <c r="B58" s="873" t="s">
        <v>32</v>
      </c>
      <c r="C58" s="879" t="s">
        <v>12</v>
      </c>
      <c r="D58" s="887" t="s">
        <v>13</v>
      </c>
      <c r="E58" s="250">
        <v>10</v>
      </c>
      <c r="F58" s="1473"/>
      <c r="G58" s="252"/>
      <c r="H58" s="1473"/>
    </row>
    <row r="59" spans="1:9" s="224" customFormat="1" x14ac:dyDescent="0.25">
      <c r="A59" s="215">
        <v>41746</v>
      </c>
      <c r="B59" s="349" t="s">
        <v>473</v>
      </c>
      <c r="C59" s="350" t="s">
        <v>12</v>
      </c>
      <c r="D59" s="141" t="s">
        <v>25</v>
      </c>
      <c r="E59" s="250"/>
      <c r="F59" s="1473">
        <v>726</v>
      </c>
      <c r="G59" s="252"/>
      <c r="H59" s="1473"/>
    </row>
    <row r="60" spans="1:9" s="224" customFormat="1" x14ac:dyDescent="0.25">
      <c r="A60" s="215">
        <v>41746</v>
      </c>
      <c r="B60" s="882" t="s">
        <v>474</v>
      </c>
      <c r="C60" s="879" t="s">
        <v>12</v>
      </c>
      <c r="D60" s="887" t="s">
        <v>13</v>
      </c>
      <c r="E60" s="538">
        <v>33.64</v>
      </c>
      <c r="F60" s="1002"/>
      <c r="G60" s="539"/>
      <c r="H60" s="1002"/>
      <c r="I60" s="709"/>
    </row>
    <row r="61" spans="1:9" s="224" customFormat="1" x14ac:dyDescent="0.25">
      <c r="A61" s="215">
        <v>41746</v>
      </c>
      <c r="B61" s="882" t="s">
        <v>475</v>
      </c>
      <c r="C61" s="350" t="s">
        <v>12</v>
      </c>
      <c r="D61" s="887" t="s">
        <v>13</v>
      </c>
      <c r="E61" s="97">
        <v>52.69</v>
      </c>
      <c r="F61" s="1473"/>
      <c r="G61" s="252"/>
      <c r="H61" s="1473"/>
    </row>
    <row r="62" spans="1:9" x14ac:dyDescent="0.25">
      <c r="A62" s="215">
        <v>41746</v>
      </c>
      <c r="B62" s="349" t="s">
        <v>476</v>
      </c>
      <c r="C62" s="350" t="s">
        <v>12</v>
      </c>
      <c r="D62" s="887" t="s">
        <v>13</v>
      </c>
      <c r="E62" s="97">
        <v>225</v>
      </c>
      <c r="F62" s="946"/>
      <c r="G62" s="95"/>
      <c r="H62" s="946"/>
    </row>
    <row r="63" spans="1:9" s="224" customFormat="1" x14ac:dyDescent="0.25">
      <c r="A63" s="215">
        <v>41746</v>
      </c>
      <c r="B63" s="364" t="s">
        <v>14</v>
      </c>
      <c r="C63" s="879" t="s">
        <v>12</v>
      </c>
      <c r="D63" s="887" t="s">
        <v>13</v>
      </c>
      <c r="E63" s="250">
        <v>11.7</v>
      </c>
      <c r="F63" s="1473"/>
      <c r="G63" s="252"/>
      <c r="H63" s="1473"/>
    </row>
    <row r="64" spans="1:9" x14ac:dyDescent="0.25">
      <c r="A64" s="215">
        <v>41747</v>
      </c>
      <c r="B64" s="349" t="s">
        <v>477</v>
      </c>
      <c r="C64" s="350" t="s">
        <v>12</v>
      </c>
      <c r="D64" s="141" t="s">
        <v>13</v>
      </c>
      <c r="E64" s="97">
        <v>19.61</v>
      </c>
      <c r="F64" s="946"/>
      <c r="G64" s="95"/>
      <c r="H64" s="946"/>
    </row>
    <row r="65" spans="1:8" x14ac:dyDescent="0.25">
      <c r="A65" s="215">
        <v>41747</v>
      </c>
      <c r="B65" s="349" t="s">
        <v>138</v>
      </c>
      <c r="C65" s="350" t="s">
        <v>12</v>
      </c>
      <c r="D65" s="141" t="s">
        <v>13</v>
      </c>
      <c r="E65" s="97">
        <v>20</v>
      </c>
      <c r="F65" s="946"/>
      <c r="G65" s="95"/>
      <c r="H65" s="946"/>
    </row>
    <row r="66" spans="1:8" x14ac:dyDescent="0.25">
      <c r="A66" s="215">
        <v>41747</v>
      </c>
      <c r="B66" s="349" t="s">
        <v>478</v>
      </c>
      <c r="C66" s="350" t="s">
        <v>12</v>
      </c>
      <c r="D66" s="141" t="s">
        <v>13</v>
      </c>
      <c r="E66" s="97">
        <v>19.2</v>
      </c>
      <c r="F66" s="946"/>
      <c r="G66" s="95"/>
      <c r="H66" s="946"/>
    </row>
    <row r="67" spans="1:8" x14ac:dyDescent="0.25">
      <c r="A67" s="215">
        <v>41747</v>
      </c>
      <c r="B67" s="349" t="s">
        <v>81</v>
      </c>
      <c r="C67" s="350" t="s">
        <v>12</v>
      </c>
      <c r="D67" s="141" t="s">
        <v>15</v>
      </c>
      <c r="E67" s="97">
        <v>10</v>
      </c>
      <c r="F67" s="946"/>
      <c r="G67" s="95"/>
      <c r="H67" s="946"/>
    </row>
    <row r="68" spans="1:8" x14ac:dyDescent="0.25">
      <c r="A68" s="215">
        <v>41748</v>
      </c>
      <c r="B68" s="349" t="s">
        <v>479</v>
      </c>
      <c r="C68" s="350" t="s">
        <v>19</v>
      </c>
      <c r="D68" s="141" t="s">
        <v>13</v>
      </c>
      <c r="E68" s="97">
        <v>44.9</v>
      </c>
      <c r="F68" s="946"/>
      <c r="G68" s="95"/>
      <c r="H68" s="946"/>
    </row>
    <row r="69" spans="1:8" x14ac:dyDescent="0.25">
      <c r="A69" s="215">
        <v>41748</v>
      </c>
      <c r="B69" s="349" t="s">
        <v>480</v>
      </c>
      <c r="C69" s="350" t="s">
        <v>12</v>
      </c>
      <c r="D69" s="141" t="s">
        <v>13</v>
      </c>
      <c r="E69" s="97">
        <v>16</v>
      </c>
      <c r="F69" s="946"/>
      <c r="G69" s="95"/>
      <c r="H69" s="946"/>
    </row>
    <row r="70" spans="1:8" x14ac:dyDescent="0.25">
      <c r="A70" s="215">
        <v>41749</v>
      </c>
      <c r="B70" s="349" t="s">
        <v>481</v>
      </c>
      <c r="C70" s="350" t="s">
        <v>12</v>
      </c>
      <c r="D70" s="141" t="s">
        <v>15</v>
      </c>
      <c r="E70" s="97">
        <v>30</v>
      </c>
      <c r="F70" s="946"/>
      <c r="G70" s="95"/>
      <c r="H70" s="946"/>
    </row>
    <row r="71" spans="1:8" x14ac:dyDescent="0.25">
      <c r="A71" s="215">
        <v>41750</v>
      </c>
      <c r="B71" s="349" t="s">
        <v>14</v>
      </c>
      <c r="C71" s="350" t="s">
        <v>12</v>
      </c>
      <c r="D71" s="141" t="s">
        <v>13</v>
      </c>
      <c r="E71" s="97">
        <v>10.23</v>
      </c>
      <c r="F71" s="946"/>
      <c r="G71" s="95"/>
      <c r="H71" s="946"/>
    </row>
    <row r="72" spans="1:8" x14ac:dyDescent="0.25">
      <c r="A72" s="215">
        <v>41750</v>
      </c>
      <c r="B72" s="349" t="s">
        <v>138</v>
      </c>
      <c r="C72" s="350" t="s">
        <v>12</v>
      </c>
      <c r="D72" s="141" t="s">
        <v>15</v>
      </c>
      <c r="E72" s="97">
        <v>10</v>
      </c>
      <c r="F72" s="946"/>
      <c r="G72" s="95"/>
      <c r="H72" s="946"/>
    </row>
    <row r="73" spans="1:8" x14ac:dyDescent="0.25">
      <c r="A73" s="215">
        <v>41750</v>
      </c>
      <c r="B73" s="349" t="s">
        <v>482</v>
      </c>
      <c r="C73" s="350" t="s">
        <v>12</v>
      </c>
      <c r="D73" s="141" t="s">
        <v>15</v>
      </c>
      <c r="E73" s="97">
        <v>10</v>
      </c>
      <c r="F73" s="946"/>
      <c r="G73" s="95"/>
      <c r="H73" s="946"/>
    </row>
    <row r="74" spans="1:8" x14ac:dyDescent="0.25">
      <c r="A74" s="215">
        <v>41751</v>
      </c>
      <c r="B74" s="349" t="s">
        <v>32</v>
      </c>
      <c r="C74" s="350" t="s">
        <v>12</v>
      </c>
      <c r="D74" s="141" t="s">
        <v>15</v>
      </c>
      <c r="E74" s="97">
        <v>4</v>
      </c>
      <c r="F74" s="946"/>
      <c r="G74" s="95"/>
      <c r="H74" s="946"/>
    </row>
    <row r="75" spans="1:8" x14ac:dyDescent="0.25">
      <c r="A75" s="215">
        <v>41751</v>
      </c>
      <c r="B75" s="349" t="s">
        <v>138</v>
      </c>
      <c r="C75" s="350" t="s">
        <v>12</v>
      </c>
      <c r="D75" s="141" t="s">
        <v>15</v>
      </c>
      <c r="E75" s="97">
        <v>20</v>
      </c>
      <c r="F75" s="946"/>
      <c r="G75" s="95"/>
      <c r="H75" s="946"/>
    </row>
    <row r="76" spans="1:8" x14ac:dyDescent="0.25">
      <c r="A76" s="215">
        <v>41751</v>
      </c>
      <c r="B76" s="349" t="s">
        <v>120</v>
      </c>
      <c r="C76" s="350" t="s">
        <v>12</v>
      </c>
      <c r="D76" s="141" t="s">
        <v>15</v>
      </c>
      <c r="E76" s="97">
        <v>11.5</v>
      </c>
      <c r="F76" s="946"/>
      <c r="G76" s="95"/>
      <c r="H76" s="946"/>
    </row>
    <row r="77" spans="1:8" s="224" customFormat="1" ht="15.75" customHeight="1" x14ac:dyDescent="0.25">
      <c r="A77" s="215">
        <v>41751</v>
      </c>
      <c r="B77" s="349" t="s">
        <v>260</v>
      </c>
      <c r="C77" s="350"/>
      <c r="D77" s="141"/>
      <c r="E77" s="97">
        <v>50</v>
      </c>
      <c r="F77" s="946"/>
      <c r="G77" s="97"/>
      <c r="H77" s="946">
        <v>50</v>
      </c>
    </row>
    <row r="78" spans="1:8" x14ac:dyDescent="0.25">
      <c r="A78" s="215">
        <v>41752</v>
      </c>
      <c r="B78" s="349" t="s">
        <v>32</v>
      </c>
      <c r="C78" s="350" t="s">
        <v>12</v>
      </c>
      <c r="D78" s="141" t="s">
        <v>13</v>
      </c>
      <c r="E78" s="97">
        <v>6</v>
      </c>
      <c r="F78" s="946"/>
      <c r="G78" s="95"/>
      <c r="H78" s="946"/>
    </row>
    <row r="79" spans="1:8" x14ac:dyDescent="0.25">
      <c r="A79" s="215">
        <v>41752</v>
      </c>
      <c r="B79" s="349" t="s">
        <v>81</v>
      </c>
      <c r="C79" s="350" t="s">
        <v>12</v>
      </c>
      <c r="D79" s="141" t="s">
        <v>15</v>
      </c>
      <c r="E79" s="97">
        <v>22.5</v>
      </c>
      <c r="F79" s="946"/>
      <c r="G79" s="95"/>
      <c r="H79" s="946"/>
    </row>
    <row r="80" spans="1:8" x14ac:dyDescent="0.25">
      <c r="A80" s="215">
        <v>41753</v>
      </c>
      <c r="B80" s="349" t="s">
        <v>32</v>
      </c>
      <c r="C80" s="350" t="s">
        <v>12</v>
      </c>
      <c r="D80" s="141" t="s">
        <v>13</v>
      </c>
      <c r="E80" s="97">
        <v>10</v>
      </c>
      <c r="F80" s="946"/>
      <c r="G80" s="95"/>
      <c r="H80" s="946"/>
    </row>
    <row r="81" spans="1:8" x14ac:dyDescent="0.25">
      <c r="A81" s="215">
        <v>41753</v>
      </c>
      <c r="B81" s="349" t="s">
        <v>138</v>
      </c>
      <c r="C81" s="350" t="s">
        <v>12</v>
      </c>
      <c r="D81" s="141" t="s">
        <v>13</v>
      </c>
      <c r="E81" s="97">
        <v>20</v>
      </c>
      <c r="F81" s="946"/>
      <c r="G81" s="95"/>
      <c r="H81" s="946"/>
    </row>
    <row r="82" spans="1:8" x14ac:dyDescent="0.25">
      <c r="A82" s="215">
        <v>41753</v>
      </c>
      <c r="B82" s="349" t="s">
        <v>14</v>
      </c>
      <c r="C82" s="350" t="s">
        <v>12</v>
      </c>
      <c r="D82" s="141" t="s">
        <v>13</v>
      </c>
      <c r="E82" s="97">
        <v>10.5</v>
      </c>
      <c r="F82" s="946"/>
      <c r="G82" s="95"/>
      <c r="H82" s="946"/>
    </row>
    <row r="83" spans="1:8" x14ac:dyDescent="0.25">
      <c r="A83" s="215">
        <v>41754</v>
      </c>
      <c r="B83" s="349" t="s">
        <v>32</v>
      </c>
      <c r="C83" s="350" t="s">
        <v>12</v>
      </c>
      <c r="D83" s="141" t="s">
        <v>13</v>
      </c>
      <c r="E83" s="97">
        <v>7.25</v>
      </c>
      <c r="F83" s="946"/>
      <c r="G83" s="95"/>
      <c r="H83" s="946"/>
    </row>
    <row r="84" spans="1:8" s="224" customFormat="1" x14ac:dyDescent="0.25">
      <c r="A84" s="215">
        <v>41755</v>
      </c>
      <c r="B84" s="862"/>
      <c r="C84" s="879"/>
      <c r="D84" s="887"/>
      <c r="E84" s="250"/>
      <c r="F84" s="1473"/>
      <c r="G84" s="252"/>
      <c r="H84" s="1473"/>
    </row>
    <row r="85" spans="1:8" x14ac:dyDescent="0.25">
      <c r="A85" s="215">
        <v>41756</v>
      </c>
      <c r="B85" s="349" t="s">
        <v>483</v>
      </c>
      <c r="C85" s="350" t="s">
        <v>12</v>
      </c>
      <c r="D85" s="141" t="s">
        <v>13</v>
      </c>
      <c r="E85" s="97">
        <v>50</v>
      </c>
      <c r="F85" s="946"/>
      <c r="G85" s="95"/>
      <c r="H85" s="946"/>
    </row>
    <row r="86" spans="1:8" x14ac:dyDescent="0.25">
      <c r="A86" s="215">
        <v>41756</v>
      </c>
      <c r="B86" s="349" t="s">
        <v>138</v>
      </c>
      <c r="C86" s="350" t="s">
        <v>12</v>
      </c>
      <c r="D86" s="141" t="s">
        <v>15</v>
      </c>
      <c r="E86" s="97">
        <v>10</v>
      </c>
      <c r="F86" s="946"/>
      <c r="G86" s="95"/>
      <c r="H86" s="946"/>
    </row>
    <row r="87" spans="1:8" x14ac:dyDescent="0.25">
      <c r="A87" s="215">
        <v>41756</v>
      </c>
      <c r="B87" s="349" t="s">
        <v>134</v>
      </c>
      <c r="C87" s="350" t="s">
        <v>12</v>
      </c>
      <c r="D87" s="141" t="s">
        <v>15</v>
      </c>
      <c r="E87" s="97">
        <v>3</v>
      </c>
      <c r="F87" s="946"/>
      <c r="G87" s="95"/>
      <c r="H87" s="946"/>
    </row>
    <row r="88" spans="1:8" x14ac:dyDescent="0.25">
      <c r="A88" s="215">
        <v>41756</v>
      </c>
      <c r="B88" s="349" t="s">
        <v>14</v>
      </c>
      <c r="C88" s="350" t="s">
        <v>12</v>
      </c>
      <c r="D88" s="141" t="s">
        <v>13</v>
      </c>
      <c r="E88" s="97">
        <v>6.2</v>
      </c>
      <c r="F88" s="946"/>
      <c r="G88" s="95"/>
      <c r="H88" s="946"/>
    </row>
    <row r="89" spans="1:8" x14ac:dyDescent="0.25">
      <c r="A89" s="215">
        <v>41757</v>
      </c>
      <c r="B89" s="349" t="s">
        <v>32</v>
      </c>
      <c r="C89" s="350" t="s">
        <v>12</v>
      </c>
      <c r="D89" s="141" t="s">
        <v>13</v>
      </c>
      <c r="E89" s="97">
        <v>6.5</v>
      </c>
      <c r="F89" s="946"/>
      <c r="G89" s="95"/>
      <c r="H89" s="946"/>
    </row>
    <row r="90" spans="1:8" x14ac:dyDescent="0.25">
      <c r="A90" s="215">
        <v>41757</v>
      </c>
      <c r="B90" s="349" t="s">
        <v>138</v>
      </c>
      <c r="C90" s="350" t="s">
        <v>12</v>
      </c>
      <c r="D90" s="141" t="s">
        <v>13</v>
      </c>
      <c r="E90" s="97">
        <v>20</v>
      </c>
      <c r="F90" s="946"/>
      <c r="G90" s="95"/>
      <c r="H90" s="946"/>
    </row>
    <row r="91" spans="1:8" x14ac:dyDescent="0.25">
      <c r="A91" s="215">
        <v>41757</v>
      </c>
      <c r="B91" s="349" t="s">
        <v>147</v>
      </c>
      <c r="C91" s="350" t="s">
        <v>12</v>
      </c>
      <c r="D91" s="141" t="s">
        <v>15</v>
      </c>
      <c r="E91" s="97">
        <v>10</v>
      </c>
      <c r="F91" s="946"/>
      <c r="G91" s="95"/>
      <c r="H91" s="946"/>
    </row>
    <row r="92" spans="1:8" s="224" customFormat="1" x14ac:dyDescent="0.25">
      <c r="A92" s="215">
        <v>41757</v>
      </c>
      <c r="B92" s="873" t="s">
        <v>311</v>
      </c>
      <c r="C92" s="879" t="s">
        <v>12</v>
      </c>
      <c r="D92" s="887" t="s">
        <v>25</v>
      </c>
      <c r="E92" s="250"/>
      <c r="F92" s="1473"/>
      <c r="G92" s="252"/>
      <c r="H92" s="1473">
        <v>9</v>
      </c>
    </row>
    <row r="93" spans="1:8" s="224" customFormat="1" x14ac:dyDescent="0.25">
      <c r="A93" s="215">
        <v>41758</v>
      </c>
      <c r="B93" s="349" t="s">
        <v>256</v>
      </c>
      <c r="C93" s="350"/>
      <c r="D93" s="141"/>
      <c r="E93" s="97"/>
      <c r="F93" s="946">
        <v>99</v>
      </c>
      <c r="G93" s="97">
        <v>99</v>
      </c>
      <c r="H93" s="1473"/>
    </row>
    <row r="94" spans="1:8" x14ac:dyDescent="0.25">
      <c r="A94" s="215">
        <v>41758</v>
      </c>
      <c r="B94" s="349" t="s">
        <v>32</v>
      </c>
      <c r="C94" s="350" t="s">
        <v>12</v>
      </c>
      <c r="D94" s="141" t="s">
        <v>13</v>
      </c>
      <c r="E94" s="97">
        <v>4</v>
      </c>
      <c r="F94" s="946"/>
      <c r="G94" s="95"/>
      <c r="H94" s="946"/>
    </row>
    <row r="95" spans="1:8" x14ac:dyDescent="0.25">
      <c r="A95" s="215">
        <v>41758</v>
      </c>
      <c r="B95" s="349" t="s">
        <v>14</v>
      </c>
      <c r="C95" s="350" t="s">
        <v>12</v>
      </c>
      <c r="D95" s="141" t="s">
        <v>13</v>
      </c>
      <c r="E95" s="97">
        <v>9.7799999999999994</v>
      </c>
      <c r="F95" s="946"/>
      <c r="G95" s="95"/>
      <c r="H95" s="946"/>
    </row>
    <row r="96" spans="1:8" x14ac:dyDescent="0.25">
      <c r="A96" s="215">
        <v>41758</v>
      </c>
      <c r="B96" s="349" t="s">
        <v>132</v>
      </c>
      <c r="C96" s="350" t="s">
        <v>12</v>
      </c>
      <c r="D96" s="141" t="s">
        <v>25</v>
      </c>
      <c r="E96" s="97"/>
      <c r="F96" s="946">
        <v>61.63</v>
      </c>
      <c r="G96" s="95"/>
      <c r="H96" s="946"/>
    </row>
    <row r="97" spans="1:12" s="224" customFormat="1" x14ac:dyDescent="0.25">
      <c r="A97" s="215">
        <v>41759</v>
      </c>
      <c r="B97" s="349" t="s">
        <v>484</v>
      </c>
      <c r="C97" s="879" t="s">
        <v>12</v>
      </c>
      <c r="D97" s="983" t="s">
        <v>13</v>
      </c>
      <c r="E97" s="250">
        <v>102.15</v>
      </c>
      <c r="F97" s="1473"/>
      <c r="G97" s="252"/>
      <c r="H97" s="251"/>
      <c r="K97" s="79"/>
      <c r="L97" s="79"/>
    </row>
    <row r="98" spans="1:12" s="224" customFormat="1" x14ac:dyDescent="0.25">
      <c r="A98" s="215">
        <v>41759</v>
      </c>
      <c r="B98" s="862" t="s">
        <v>485</v>
      </c>
      <c r="C98" s="105" t="s">
        <v>12</v>
      </c>
      <c r="D98" s="887" t="s">
        <v>25</v>
      </c>
      <c r="E98" s="250"/>
      <c r="F98" s="1473">
        <v>150</v>
      </c>
      <c r="G98" s="252"/>
      <c r="H98" s="1473"/>
    </row>
    <row r="99" spans="1:12" s="224" customFormat="1" x14ac:dyDescent="0.25">
      <c r="A99" s="215">
        <v>41759</v>
      </c>
      <c r="B99" s="862" t="s">
        <v>32</v>
      </c>
      <c r="C99" s="105" t="s">
        <v>12</v>
      </c>
      <c r="D99" s="887" t="s">
        <v>13</v>
      </c>
      <c r="E99" s="250">
        <v>6.5</v>
      </c>
      <c r="F99" s="1473"/>
      <c r="G99" s="252"/>
      <c r="H99" s="1473"/>
    </row>
    <row r="100" spans="1:12" ht="15.75" thickBot="1" x14ac:dyDescent="0.3">
      <c r="A100" s="215">
        <v>41759</v>
      </c>
      <c r="B100" s="349" t="s">
        <v>14</v>
      </c>
      <c r="C100" s="350" t="s">
        <v>12</v>
      </c>
      <c r="D100" s="141" t="s">
        <v>13</v>
      </c>
      <c r="E100" s="97">
        <v>3</v>
      </c>
      <c r="F100" s="946"/>
      <c r="G100" s="95"/>
      <c r="H100" s="946"/>
    </row>
    <row r="101" spans="1:12" ht="25.5" customHeight="1" thickBot="1" x14ac:dyDescent="0.3">
      <c r="A101" s="689"/>
      <c r="B101" s="690"/>
      <c r="C101" s="691"/>
      <c r="D101" s="691"/>
      <c r="E101" s="100">
        <f>SUM(E5:E99)</f>
        <v>2113.58</v>
      </c>
      <c r="F101" s="1065">
        <f>SUM(F5:F99)</f>
        <v>2351.8200000000006</v>
      </c>
      <c r="G101" s="101">
        <f>SUM(G5:G99)</f>
        <v>339</v>
      </c>
      <c r="H101" s="93">
        <f>SUM(H5:H99)</f>
        <v>1039</v>
      </c>
    </row>
    <row r="102" spans="1:12" ht="25.5" customHeight="1" thickBot="1" x14ac:dyDescent="0.3">
      <c r="A102" s="683" t="s">
        <v>49</v>
      </c>
      <c r="B102" s="684"/>
      <c r="C102" s="684"/>
      <c r="D102" s="684"/>
      <c r="E102" s="102"/>
      <c r="F102" s="1478">
        <f>F101-E101</f>
        <v>238.24000000000069</v>
      </c>
      <c r="G102" s="104"/>
      <c r="H102" s="103">
        <f>H101-G101</f>
        <v>700</v>
      </c>
    </row>
    <row r="104" spans="1:12" x14ac:dyDescent="0.25">
      <c r="B104" s="79" t="s">
        <v>32</v>
      </c>
      <c r="C104" s="484">
        <v>140.75</v>
      </c>
    </row>
    <row r="105" spans="1:12" x14ac:dyDescent="0.25">
      <c r="B105" s="79" t="s">
        <v>16</v>
      </c>
      <c r="C105" s="484">
        <v>230</v>
      </c>
      <c r="D105" s="79"/>
    </row>
    <row r="106" spans="1:12" x14ac:dyDescent="0.25">
      <c r="B106" s="79" t="s">
        <v>50</v>
      </c>
      <c r="C106" s="484">
        <v>105.4</v>
      </c>
    </row>
    <row r="107" spans="1:12" s="85" customFormat="1" x14ac:dyDescent="0.25">
      <c r="A107" s="79"/>
      <c r="B107" s="79" t="s">
        <v>14</v>
      </c>
      <c r="C107" s="475">
        <v>104.78</v>
      </c>
      <c r="E107" s="89"/>
      <c r="F107" s="79"/>
      <c r="G107" s="79"/>
    </row>
    <row r="108" spans="1:12" s="85" customFormat="1" x14ac:dyDescent="0.25">
      <c r="A108" s="79"/>
      <c r="B108" s="79" t="s">
        <v>51</v>
      </c>
      <c r="C108" s="475">
        <v>86.33</v>
      </c>
      <c r="E108" s="89"/>
      <c r="F108" s="79"/>
      <c r="G108" s="79"/>
      <c r="H108" s="79"/>
    </row>
    <row r="109" spans="1:12" s="85" customFormat="1" x14ac:dyDescent="0.25">
      <c r="A109" s="79"/>
      <c r="B109" s="79" t="s">
        <v>52</v>
      </c>
      <c r="C109" s="475">
        <v>50</v>
      </c>
      <c r="E109" s="89"/>
      <c r="F109" s="79"/>
      <c r="G109" s="79"/>
      <c r="H109" s="79"/>
    </row>
    <row r="110" spans="1:12" s="85" customFormat="1" x14ac:dyDescent="0.25">
      <c r="A110" s="79"/>
      <c r="B110" s="867" t="s">
        <v>53</v>
      </c>
      <c r="C110" s="176">
        <v>113.65</v>
      </c>
      <c r="D110" s="89"/>
      <c r="E110" s="89"/>
      <c r="F110" s="79"/>
      <c r="G110" s="79"/>
      <c r="H110" s="79"/>
    </row>
    <row r="111" spans="1:12" s="85" customFormat="1" x14ac:dyDescent="0.25">
      <c r="A111" s="79"/>
      <c r="B111" s="79" t="s">
        <v>56</v>
      </c>
      <c r="C111" s="475">
        <v>17.899999999999999</v>
      </c>
      <c r="E111" s="89"/>
      <c r="F111" s="79"/>
      <c r="G111" s="79"/>
      <c r="H111" s="79"/>
    </row>
    <row r="112" spans="1:12" s="85" customFormat="1" x14ac:dyDescent="0.25">
      <c r="A112" s="79"/>
      <c r="B112" s="79" t="s">
        <v>57</v>
      </c>
      <c r="C112" s="475">
        <v>123.27</v>
      </c>
      <c r="E112" s="89"/>
      <c r="F112" s="79"/>
      <c r="G112" s="79"/>
      <c r="H112" s="79"/>
    </row>
    <row r="113" spans="1:9" s="85" customFormat="1" x14ac:dyDescent="0.25">
      <c r="A113" s="79"/>
      <c r="B113" s="79" t="s">
        <v>418</v>
      </c>
      <c r="C113" s="475">
        <v>0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419</v>
      </c>
      <c r="C114" s="475">
        <v>19</v>
      </c>
      <c r="E114" s="89"/>
      <c r="F114" s="79"/>
      <c r="G114" s="79"/>
      <c r="H114" s="79"/>
    </row>
    <row r="116" spans="1:9" x14ac:dyDescent="0.25">
      <c r="B116" s="79" t="s">
        <v>486</v>
      </c>
      <c r="C116" s="475">
        <f>G116/I116</f>
        <v>55.307931034482763</v>
      </c>
      <c r="E116" s="224" t="s">
        <v>487</v>
      </c>
      <c r="F116" s="224"/>
      <c r="G116" s="216">
        <v>1603.93</v>
      </c>
      <c r="H116" s="518" t="s">
        <v>488</v>
      </c>
      <c r="I116" s="85">
        <v>29</v>
      </c>
    </row>
  </sheetData>
  <autoFilter ref="A2:H102" xr:uid="{00000000-0009-0000-0000-000010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9"/>
  <dimension ref="A1:I105"/>
  <sheetViews>
    <sheetView topLeftCell="A64" workbookViewId="0">
      <selection activeCell="E82" sqref="E82"/>
    </sheetView>
  </sheetViews>
  <sheetFormatPr defaultColWidth="9.140625" defaultRowHeight="15" x14ac:dyDescent="0.25"/>
  <cols>
    <col min="1" max="1" width="12" style="79" bestFit="1" customWidth="1"/>
    <col min="2" max="2" width="37.7109375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489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41760</v>
      </c>
      <c r="B5" s="369" t="s">
        <v>10</v>
      </c>
      <c r="C5" s="370"/>
      <c r="D5" s="207"/>
      <c r="E5" s="179"/>
      <c r="F5" s="933">
        <f>'Abril-14'!F102</f>
        <v>238.24000000000069</v>
      </c>
      <c r="G5" s="163"/>
      <c r="H5" s="933">
        <f>'Abril-14'!H102</f>
        <v>700</v>
      </c>
    </row>
    <row r="6" spans="1:8" s="224" customFormat="1" x14ac:dyDescent="0.25">
      <c r="A6" s="215">
        <v>41760</v>
      </c>
      <c r="B6" s="348" t="s">
        <v>11</v>
      </c>
      <c r="C6" s="351"/>
      <c r="D6" s="248"/>
      <c r="E6" s="250">
        <v>20</v>
      </c>
      <c r="F6" s="1473"/>
      <c r="G6" s="252"/>
      <c r="H6" s="1473"/>
    </row>
    <row r="7" spans="1:8" s="224" customFormat="1" x14ac:dyDescent="0.25">
      <c r="A7" s="215">
        <v>41760</v>
      </c>
      <c r="B7" s="862" t="s">
        <v>14</v>
      </c>
      <c r="C7" s="879" t="s">
        <v>12</v>
      </c>
      <c r="D7" s="887" t="s">
        <v>15</v>
      </c>
      <c r="E7" s="250">
        <v>7.2</v>
      </c>
      <c r="F7" s="1473"/>
      <c r="G7" s="252"/>
      <c r="H7" s="1473"/>
    </row>
    <row r="8" spans="1:8" s="224" customFormat="1" x14ac:dyDescent="0.25">
      <c r="A8" s="215">
        <v>41760</v>
      </c>
      <c r="B8" s="862" t="s">
        <v>134</v>
      </c>
      <c r="C8" s="879" t="s">
        <v>12</v>
      </c>
      <c r="D8" s="887" t="s">
        <v>15</v>
      </c>
      <c r="E8" s="250">
        <v>8</v>
      </c>
      <c r="F8" s="1473"/>
      <c r="G8" s="252"/>
      <c r="H8" s="1473"/>
    </row>
    <row r="9" spans="1:8" s="224" customFormat="1" x14ac:dyDescent="0.25">
      <c r="A9" s="215">
        <v>41760</v>
      </c>
      <c r="B9" s="862" t="s">
        <v>138</v>
      </c>
      <c r="C9" s="879" t="s">
        <v>12</v>
      </c>
      <c r="D9" s="887" t="s">
        <v>15</v>
      </c>
      <c r="E9" s="250">
        <v>20</v>
      </c>
      <c r="F9" s="1473"/>
      <c r="G9" s="252"/>
      <c r="H9" s="1473"/>
    </row>
    <row r="10" spans="1:8" s="224" customFormat="1" x14ac:dyDescent="0.25">
      <c r="A10" s="215">
        <v>41761</v>
      </c>
      <c r="B10" s="873" t="s">
        <v>32</v>
      </c>
      <c r="C10" s="879" t="s">
        <v>12</v>
      </c>
      <c r="D10" s="887" t="s">
        <v>15</v>
      </c>
      <c r="E10" s="250">
        <v>7</v>
      </c>
      <c r="F10" s="1473"/>
      <c r="G10" s="252"/>
      <c r="H10" s="1473"/>
    </row>
    <row r="11" spans="1:8" s="224" customFormat="1" x14ac:dyDescent="0.25">
      <c r="A11" s="215">
        <v>41762</v>
      </c>
      <c r="B11" s="862" t="s">
        <v>14</v>
      </c>
      <c r="C11" s="879" t="s">
        <v>12</v>
      </c>
      <c r="D11" s="887" t="s">
        <v>15</v>
      </c>
      <c r="E11" s="250">
        <v>6</v>
      </c>
      <c r="F11" s="1473"/>
      <c r="G11" s="252"/>
      <c r="H11" s="1473"/>
    </row>
    <row r="12" spans="1:8" s="224" customFormat="1" x14ac:dyDescent="0.25">
      <c r="A12" s="215">
        <v>41762</v>
      </c>
      <c r="B12" s="873" t="s">
        <v>82</v>
      </c>
      <c r="C12" s="879" t="s">
        <v>12</v>
      </c>
      <c r="D12" s="887" t="s">
        <v>13</v>
      </c>
      <c r="E12" s="250">
        <v>26</v>
      </c>
      <c r="F12" s="1473"/>
      <c r="G12" s="252"/>
      <c r="H12" s="1473"/>
    </row>
    <row r="13" spans="1:8" s="224" customFormat="1" x14ac:dyDescent="0.25">
      <c r="A13" s="215" t="s">
        <v>2</v>
      </c>
      <c r="B13" s="862" t="s">
        <v>134</v>
      </c>
      <c r="C13" s="879" t="s">
        <v>12</v>
      </c>
      <c r="D13" s="887" t="s">
        <v>15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41763</v>
      </c>
      <c r="B14" s="873" t="s">
        <v>138</v>
      </c>
      <c r="C14" s="879" t="s">
        <v>12</v>
      </c>
      <c r="D14" s="887" t="s">
        <v>15</v>
      </c>
      <c r="E14" s="250">
        <v>20</v>
      </c>
      <c r="F14" s="1473"/>
      <c r="G14" s="252"/>
      <c r="H14" s="1473"/>
    </row>
    <row r="15" spans="1:8" s="224" customFormat="1" x14ac:dyDescent="0.25">
      <c r="A15" s="215">
        <v>41764</v>
      </c>
      <c r="B15" s="873" t="s">
        <v>32</v>
      </c>
      <c r="C15" s="879" t="s">
        <v>12</v>
      </c>
      <c r="D15" s="887" t="s">
        <v>15</v>
      </c>
      <c r="E15" s="250">
        <v>5.5</v>
      </c>
      <c r="F15" s="1473"/>
      <c r="G15" s="252"/>
      <c r="H15" s="1473"/>
    </row>
    <row r="16" spans="1:8" s="224" customFormat="1" x14ac:dyDescent="0.25">
      <c r="A16" s="215">
        <v>41764</v>
      </c>
      <c r="B16" s="873" t="s">
        <v>134</v>
      </c>
      <c r="C16" s="879" t="s">
        <v>12</v>
      </c>
      <c r="D16" s="887" t="s">
        <v>15</v>
      </c>
      <c r="E16" s="250">
        <v>7.6</v>
      </c>
      <c r="F16" s="1473"/>
      <c r="G16" s="252"/>
      <c r="H16" s="1473"/>
    </row>
    <row r="17" spans="1:8" s="224" customFormat="1" x14ac:dyDescent="0.25">
      <c r="A17" s="215">
        <v>41764</v>
      </c>
      <c r="B17" s="873" t="s">
        <v>14</v>
      </c>
      <c r="C17" s="879" t="s">
        <v>12</v>
      </c>
      <c r="D17" s="887" t="s">
        <v>15</v>
      </c>
      <c r="E17" s="250">
        <v>2</v>
      </c>
      <c r="F17" s="1473"/>
      <c r="G17" s="252"/>
      <c r="H17" s="1473"/>
    </row>
    <row r="18" spans="1:8" s="224" customFormat="1" x14ac:dyDescent="0.25">
      <c r="A18" s="215">
        <v>41765</v>
      </c>
      <c r="B18" s="873" t="s">
        <v>32</v>
      </c>
      <c r="C18" s="879" t="s">
        <v>12</v>
      </c>
      <c r="D18" s="887" t="s">
        <v>13</v>
      </c>
      <c r="E18" s="250">
        <v>10</v>
      </c>
      <c r="F18" s="1473"/>
      <c r="G18" s="252"/>
      <c r="H18" s="1473"/>
    </row>
    <row r="19" spans="1:8" s="224" customFormat="1" x14ac:dyDescent="0.25">
      <c r="A19" s="215">
        <v>41766</v>
      </c>
      <c r="B19" s="873" t="s">
        <v>32</v>
      </c>
      <c r="C19" s="879" t="s">
        <v>12</v>
      </c>
      <c r="D19" s="887" t="s">
        <v>13</v>
      </c>
      <c r="E19" s="250">
        <v>6.5</v>
      </c>
      <c r="F19" s="1473"/>
      <c r="G19" s="252"/>
      <c r="H19" s="1473"/>
    </row>
    <row r="20" spans="1:8" s="224" customFormat="1" x14ac:dyDescent="0.25">
      <c r="A20" s="215">
        <v>41766</v>
      </c>
      <c r="B20" s="349" t="s">
        <v>490</v>
      </c>
      <c r="C20" s="879" t="s">
        <v>12</v>
      </c>
      <c r="D20" s="983" t="s">
        <v>25</v>
      </c>
      <c r="E20" s="250"/>
      <c r="F20" s="1473">
        <v>917.05</v>
      </c>
      <c r="G20" s="252"/>
      <c r="H20" s="1473"/>
    </row>
    <row r="21" spans="1:8" s="224" customFormat="1" ht="15.75" customHeight="1" x14ac:dyDescent="0.25">
      <c r="A21" s="215">
        <v>41766</v>
      </c>
      <c r="B21" s="862" t="s">
        <v>491</v>
      </c>
      <c r="C21" s="350" t="s">
        <v>12</v>
      </c>
      <c r="D21" s="141" t="s">
        <v>13</v>
      </c>
      <c r="E21" s="97">
        <v>136.27000000000001</v>
      </c>
      <c r="F21" s="1473"/>
      <c r="G21" s="252"/>
      <c r="H21" s="1473"/>
    </row>
    <row r="22" spans="1:8" s="224" customFormat="1" ht="14.25" customHeight="1" x14ac:dyDescent="0.25">
      <c r="A22" s="215">
        <v>41766</v>
      </c>
      <c r="B22" s="862" t="s">
        <v>31</v>
      </c>
      <c r="C22" s="350" t="s">
        <v>12</v>
      </c>
      <c r="D22" s="957" t="s">
        <v>15</v>
      </c>
      <c r="E22" s="97">
        <v>50</v>
      </c>
      <c r="F22" s="1473"/>
      <c r="G22" s="252"/>
      <c r="H22" s="1473"/>
    </row>
    <row r="23" spans="1:8" s="224" customFormat="1" ht="14.25" customHeight="1" x14ac:dyDescent="0.25">
      <c r="A23" s="215">
        <v>41766</v>
      </c>
      <c r="B23" s="862" t="s">
        <v>492</v>
      </c>
      <c r="C23" s="350" t="s">
        <v>12</v>
      </c>
      <c r="D23" s="957" t="s">
        <v>15</v>
      </c>
      <c r="E23" s="97">
        <v>10</v>
      </c>
      <c r="F23" s="1473"/>
      <c r="G23" s="252"/>
      <c r="H23" s="1473"/>
    </row>
    <row r="24" spans="1:8" s="224" customFormat="1" x14ac:dyDescent="0.25">
      <c r="A24" s="215">
        <v>41766</v>
      </c>
      <c r="B24" s="862" t="s">
        <v>399</v>
      </c>
      <c r="C24" s="350" t="s">
        <v>12</v>
      </c>
      <c r="D24" s="957" t="s">
        <v>15</v>
      </c>
      <c r="E24" s="97">
        <v>25</v>
      </c>
      <c r="F24" s="1473"/>
      <c r="G24" s="252"/>
      <c r="H24" s="1473"/>
    </row>
    <row r="25" spans="1:8" s="224" customFormat="1" ht="15.75" customHeight="1" x14ac:dyDescent="0.25">
      <c r="A25" s="215">
        <v>41766</v>
      </c>
      <c r="B25" s="349" t="s">
        <v>260</v>
      </c>
      <c r="C25" s="350"/>
      <c r="D25" s="141"/>
      <c r="E25" s="97">
        <v>250</v>
      </c>
      <c r="F25" s="946"/>
      <c r="G25" s="97"/>
      <c r="H25" s="946">
        <v>250</v>
      </c>
    </row>
    <row r="26" spans="1:8" s="224" customFormat="1" ht="15.75" customHeight="1" x14ac:dyDescent="0.25">
      <c r="A26" s="215">
        <v>41766</v>
      </c>
      <c r="B26" s="349" t="s">
        <v>493</v>
      </c>
      <c r="C26" s="350" t="s">
        <v>12</v>
      </c>
      <c r="D26" s="141" t="s">
        <v>15</v>
      </c>
      <c r="E26" s="97">
        <v>15</v>
      </c>
      <c r="F26" s="946"/>
      <c r="G26" s="97"/>
      <c r="H26" s="946"/>
    </row>
    <row r="27" spans="1:8" s="224" customFormat="1" ht="15.75" customHeight="1" x14ac:dyDescent="0.25">
      <c r="A27" s="215">
        <v>41766</v>
      </c>
      <c r="B27" s="349" t="s">
        <v>494</v>
      </c>
      <c r="C27" s="350" t="s">
        <v>12</v>
      </c>
      <c r="D27" s="141" t="s">
        <v>13</v>
      </c>
      <c r="E27" s="97">
        <v>51</v>
      </c>
      <c r="F27" s="946"/>
      <c r="G27" s="97"/>
      <c r="H27" s="946"/>
    </row>
    <row r="28" spans="1:8" s="224" customFormat="1" ht="15.75" customHeight="1" x14ac:dyDescent="0.25">
      <c r="A28" s="215">
        <v>41766</v>
      </c>
      <c r="B28" s="349" t="s">
        <v>138</v>
      </c>
      <c r="C28" s="350" t="s">
        <v>12</v>
      </c>
      <c r="D28" s="141" t="s">
        <v>13</v>
      </c>
      <c r="E28" s="97">
        <v>20</v>
      </c>
      <c r="F28" s="946"/>
      <c r="G28" s="97"/>
      <c r="H28" s="946"/>
    </row>
    <row r="29" spans="1:8" s="224" customFormat="1" ht="15.75" customHeight="1" x14ac:dyDescent="0.25">
      <c r="A29" s="215">
        <v>41767</v>
      </c>
      <c r="B29" s="349" t="s">
        <v>32</v>
      </c>
      <c r="C29" s="350" t="s">
        <v>12</v>
      </c>
      <c r="D29" s="141" t="s">
        <v>13</v>
      </c>
      <c r="E29" s="97">
        <v>6.5</v>
      </c>
      <c r="F29" s="946"/>
      <c r="G29" s="97"/>
      <c r="H29" s="946"/>
    </row>
    <row r="30" spans="1:8" s="224" customFormat="1" ht="15.75" customHeight="1" x14ac:dyDescent="0.25">
      <c r="A30" s="215">
        <v>41767</v>
      </c>
      <c r="B30" s="349" t="s">
        <v>260</v>
      </c>
      <c r="C30" s="350"/>
      <c r="D30" s="141"/>
      <c r="E30" s="97">
        <v>60</v>
      </c>
      <c r="F30" s="946"/>
      <c r="G30" s="97"/>
      <c r="H30" s="946">
        <v>60</v>
      </c>
    </row>
    <row r="31" spans="1:8" s="224" customFormat="1" ht="15.75" customHeight="1" x14ac:dyDescent="0.25">
      <c r="A31" s="215">
        <v>41767</v>
      </c>
      <c r="B31" s="349" t="s">
        <v>14</v>
      </c>
      <c r="C31" s="350" t="s">
        <v>12</v>
      </c>
      <c r="D31" s="141" t="s">
        <v>15</v>
      </c>
      <c r="E31" s="97">
        <v>2</v>
      </c>
      <c r="F31" s="946"/>
      <c r="G31" s="97"/>
      <c r="H31" s="946"/>
    </row>
    <row r="32" spans="1:8" s="224" customFormat="1" ht="15.75" customHeight="1" x14ac:dyDescent="0.25">
      <c r="A32" s="215">
        <v>41768</v>
      </c>
      <c r="B32" s="349" t="s">
        <v>32</v>
      </c>
      <c r="C32" s="350" t="s">
        <v>12</v>
      </c>
      <c r="D32" s="141" t="s">
        <v>13</v>
      </c>
      <c r="E32" s="97">
        <v>10</v>
      </c>
      <c r="F32" s="946"/>
      <c r="G32" s="97"/>
      <c r="H32" s="946"/>
    </row>
    <row r="33" spans="1:8" s="224" customFormat="1" ht="15.75" customHeight="1" x14ac:dyDescent="0.25">
      <c r="A33" s="215">
        <v>41768</v>
      </c>
      <c r="B33" s="349" t="s">
        <v>134</v>
      </c>
      <c r="C33" s="350" t="s">
        <v>12</v>
      </c>
      <c r="D33" s="141" t="s">
        <v>15</v>
      </c>
      <c r="E33" s="97">
        <v>10</v>
      </c>
      <c r="F33" s="946"/>
      <c r="G33" s="97"/>
      <c r="H33" s="946"/>
    </row>
    <row r="34" spans="1:8" s="224" customFormat="1" x14ac:dyDescent="0.25">
      <c r="A34" s="215">
        <v>41769</v>
      </c>
      <c r="B34" s="873" t="s">
        <v>14</v>
      </c>
      <c r="C34" s="879" t="s">
        <v>12</v>
      </c>
      <c r="D34" s="887" t="s">
        <v>13</v>
      </c>
      <c r="E34" s="250">
        <v>5.7</v>
      </c>
      <c r="F34" s="1473"/>
      <c r="G34" s="252"/>
      <c r="H34" s="1473"/>
    </row>
    <row r="35" spans="1:8" s="224" customFormat="1" ht="15.75" customHeight="1" x14ac:dyDescent="0.25">
      <c r="A35" s="215">
        <v>41770</v>
      </c>
      <c r="B35" s="862" t="s">
        <v>138</v>
      </c>
      <c r="C35" s="350" t="s">
        <v>12</v>
      </c>
      <c r="D35" s="141" t="s">
        <v>15</v>
      </c>
      <c r="E35" s="97">
        <v>30</v>
      </c>
      <c r="F35" s="1473"/>
      <c r="G35" s="252"/>
      <c r="H35" s="1473"/>
    </row>
    <row r="36" spans="1:8" s="224" customFormat="1" ht="15.75" customHeight="1" x14ac:dyDescent="0.25">
      <c r="A36" s="215">
        <v>41771</v>
      </c>
      <c r="B36" s="862" t="s">
        <v>32</v>
      </c>
      <c r="C36" s="350" t="s">
        <v>12</v>
      </c>
      <c r="D36" s="141" t="s">
        <v>13</v>
      </c>
      <c r="E36" s="97">
        <v>10</v>
      </c>
      <c r="F36" s="1473"/>
      <c r="G36" s="252"/>
      <c r="H36" s="1473"/>
    </row>
    <row r="37" spans="1:8" s="224" customFormat="1" x14ac:dyDescent="0.25">
      <c r="A37" s="215">
        <v>41771</v>
      </c>
      <c r="B37" s="873" t="s">
        <v>14</v>
      </c>
      <c r="C37" s="879" t="s">
        <v>12</v>
      </c>
      <c r="D37" s="887" t="s">
        <v>13</v>
      </c>
      <c r="E37" s="250">
        <v>3.6</v>
      </c>
      <c r="F37" s="1473"/>
      <c r="G37" s="252"/>
      <c r="H37" s="1473"/>
    </row>
    <row r="38" spans="1:8" s="224" customFormat="1" ht="15.75" customHeight="1" x14ac:dyDescent="0.25">
      <c r="A38" s="215">
        <v>41771</v>
      </c>
      <c r="B38" s="862" t="s">
        <v>138</v>
      </c>
      <c r="C38" s="350" t="s">
        <v>12</v>
      </c>
      <c r="D38" s="141" t="s">
        <v>13</v>
      </c>
      <c r="E38" s="97">
        <v>20</v>
      </c>
      <c r="F38" s="1473"/>
      <c r="G38" s="252"/>
      <c r="H38" s="1473"/>
    </row>
    <row r="39" spans="1:8" s="224" customFormat="1" ht="15.75" customHeight="1" x14ac:dyDescent="0.25">
      <c r="A39" s="215">
        <v>41772</v>
      </c>
      <c r="B39" s="862" t="s">
        <v>32</v>
      </c>
      <c r="C39" s="350" t="s">
        <v>12</v>
      </c>
      <c r="D39" s="141" t="s">
        <v>15</v>
      </c>
      <c r="E39" s="97">
        <v>6.5</v>
      </c>
      <c r="F39" s="1473"/>
      <c r="G39" s="252"/>
      <c r="H39" s="1473"/>
    </row>
    <row r="40" spans="1:8" s="224" customFormat="1" ht="15.75" customHeight="1" x14ac:dyDescent="0.25">
      <c r="A40" s="215">
        <v>41772</v>
      </c>
      <c r="B40" s="862" t="s">
        <v>14</v>
      </c>
      <c r="C40" s="350" t="s">
        <v>12</v>
      </c>
      <c r="D40" s="141" t="s">
        <v>15</v>
      </c>
      <c r="E40" s="97">
        <v>2</v>
      </c>
      <c r="F40" s="1473"/>
      <c r="G40" s="252"/>
      <c r="H40" s="1473"/>
    </row>
    <row r="41" spans="1:8" s="224" customFormat="1" ht="15.75" customHeight="1" x14ac:dyDescent="0.25">
      <c r="A41" s="215">
        <v>41773</v>
      </c>
      <c r="B41" s="862" t="s">
        <v>32</v>
      </c>
      <c r="C41" s="350" t="s">
        <v>12</v>
      </c>
      <c r="D41" s="141" t="s">
        <v>15</v>
      </c>
      <c r="E41" s="97">
        <v>5.5</v>
      </c>
      <c r="F41" s="1473"/>
      <c r="G41" s="252"/>
      <c r="H41" s="1473"/>
    </row>
    <row r="42" spans="1:8" s="224" customFormat="1" ht="15.75" customHeight="1" x14ac:dyDescent="0.25">
      <c r="A42" s="215">
        <v>41773</v>
      </c>
      <c r="B42" s="862" t="s">
        <v>14</v>
      </c>
      <c r="C42" s="350" t="s">
        <v>12</v>
      </c>
      <c r="D42" s="141" t="s">
        <v>15</v>
      </c>
      <c r="E42" s="97">
        <v>3.5</v>
      </c>
      <c r="F42" s="1473"/>
      <c r="G42" s="252"/>
      <c r="H42" s="1473"/>
    </row>
    <row r="43" spans="1:8" s="224" customFormat="1" ht="15.75" customHeight="1" x14ac:dyDescent="0.25">
      <c r="A43" s="215">
        <v>41774</v>
      </c>
      <c r="B43" s="862" t="s">
        <v>32</v>
      </c>
      <c r="C43" s="350" t="s">
        <v>12</v>
      </c>
      <c r="D43" s="141" t="s">
        <v>13</v>
      </c>
      <c r="E43" s="97">
        <v>10</v>
      </c>
      <c r="F43" s="1473"/>
      <c r="G43" s="252"/>
      <c r="H43" s="1473"/>
    </row>
    <row r="44" spans="1:8" s="224" customFormat="1" ht="15.75" customHeight="1" x14ac:dyDescent="0.25">
      <c r="A44" s="215">
        <v>41774</v>
      </c>
      <c r="B44" s="862" t="s">
        <v>81</v>
      </c>
      <c r="C44" s="350" t="s">
        <v>12</v>
      </c>
      <c r="D44" s="141" t="s">
        <v>13</v>
      </c>
      <c r="E44" s="97">
        <v>2.5</v>
      </c>
      <c r="F44" s="1473"/>
      <c r="G44" s="252"/>
      <c r="H44" s="1473"/>
    </row>
    <row r="45" spans="1:8" s="224" customFormat="1" ht="15.75" customHeight="1" x14ac:dyDescent="0.25">
      <c r="A45" s="215">
        <v>41774</v>
      </c>
      <c r="B45" s="862" t="s">
        <v>468</v>
      </c>
      <c r="C45" s="350" t="s">
        <v>12</v>
      </c>
      <c r="D45" s="141" t="s">
        <v>15</v>
      </c>
      <c r="E45" s="97">
        <v>20</v>
      </c>
      <c r="F45" s="1473"/>
      <c r="G45" s="252"/>
      <c r="H45" s="1473"/>
    </row>
    <row r="46" spans="1:8" s="224" customFormat="1" ht="15.75" customHeight="1" x14ac:dyDescent="0.25">
      <c r="A46" s="215">
        <v>41775</v>
      </c>
      <c r="B46" s="862" t="s">
        <v>32</v>
      </c>
      <c r="C46" s="350" t="s">
        <v>12</v>
      </c>
      <c r="D46" s="141" t="s">
        <v>13</v>
      </c>
      <c r="E46" s="97">
        <v>6.5</v>
      </c>
      <c r="F46" s="1473"/>
      <c r="G46" s="252"/>
      <c r="H46" s="1473"/>
    </row>
    <row r="47" spans="1:8" s="224" customFormat="1" ht="15.75" customHeight="1" x14ac:dyDescent="0.25">
      <c r="A47" s="215">
        <v>41775</v>
      </c>
      <c r="B47" s="862" t="s">
        <v>138</v>
      </c>
      <c r="C47" s="350" t="s">
        <v>12</v>
      </c>
      <c r="D47" s="141" t="s">
        <v>13</v>
      </c>
      <c r="E47" s="97">
        <v>20</v>
      </c>
      <c r="F47" s="1473"/>
      <c r="G47" s="252"/>
      <c r="H47" s="1473"/>
    </row>
    <row r="48" spans="1:8" s="224" customFormat="1" ht="15.75" customHeight="1" x14ac:dyDescent="0.25">
      <c r="A48" s="215">
        <v>41776</v>
      </c>
      <c r="B48" s="862" t="s">
        <v>495</v>
      </c>
      <c r="C48" s="350" t="s">
        <v>19</v>
      </c>
      <c r="D48" s="141" t="s">
        <v>13</v>
      </c>
      <c r="E48" s="97">
        <v>43.8</v>
      </c>
      <c r="F48" s="1473"/>
      <c r="G48" s="252"/>
      <c r="H48" s="1473"/>
    </row>
    <row r="49" spans="1:9" s="224" customFormat="1" ht="15.75" customHeight="1" x14ac:dyDescent="0.25">
      <c r="A49" s="215">
        <v>41776</v>
      </c>
      <c r="B49" s="862" t="s">
        <v>14</v>
      </c>
      <c r="C49" s="350" t="s">
        <v>12</v>
      </c>
      <c r="D49" s="141" t="s">
        <v>13</v>
      </c>
      <c r="E49" s="97">
        <v>21.99</v>
      </c>
      <c r="F49" s="1473"/>
      <c r="G49" s="252"/>
      <c r="H49" s="1473"/>
    </row>
    <row r="50" spans="1:9" s="224" customFormat="1" ht="15.75" customHeight="1" x14ac:dyDescent="0.25">
      <c r="A50" s="215">
        <v>41776</v>
      </c>
      <c r="B50" s="862" t="s">
        <v>496</v>
      </c>
      <c r="C50" s="350" t="s">
        <v>12</v>
      </c>
      <c r="D50" s="141" t="s">
        <v>15</v>
      </c>
      <c r="E50" s="97">
        <v>17</v>
      </c>
      <c r="F50" s="1473"/>
      <c r="G50" s="252"/>
      <c r="H50" s="1473"/>
    </row>
    <row r="51" spans="1:9" s="224" customFormat="1" ht="15.75" customHeight="1" x14ac:dyDescent="0.25">
      <c r="A51" s="215">
        <v>41777</v>
      </c>
      <c r="B51" s="862" t="s">
        <v>32</v>
      </c>
      <c r="C51" s="350" t="s">
        <v>12</v>
      </c>
      <c r="D51" s="141" t="s">
        <v>13</v>
      </c>
      <c r="E51" s="97">
        <v>16.75</v>
      </c>
      <c r="F51" s="1473"/>
      <c r="G51" s="252"/>
      <c r="H51" s="1473"/>
    </row>
    <row r="52" spans="1:9" s="224" customFormat="1" ht="15.75" customHeight="1" x14ac:dyDescent="0.25">
      <c r="A52" s="215">
        <v>41778</v>
      </c>
      <c r="B52" s="862" t="s">
        <v>32</v>
      </c>
      <c r="C52" s="350" t="s">
        <v>12</v>
      </c>
      <c r="D52" s="141" t="s">
        <v>13</v>
      </c>
      <c r="E52" s="97">
        <v>6.5</v>
      </c>
      <c r="F52" s="1473"/>
      <c r="G52" s="252"/>
      <c r="H52" s="1473"/>
    </row>
    <row r="53" spans="1:9" s="224" customFormat="1" ht="15.75" customHeight="1" x14ac:dyDescent="0.25">
      <c r="A53" s="215">
        <v>41778</v>
      </c>
      <c r="B53" s="862" t="s">
        <v>138</v>
      </c>
      <c r="C53" s="350" t="s">
        <v>12</v>
      </c>
      <c r="D53" s="141" t="s">
        <v>13</v>
      </c>
      <c r="E53" s="97">
        <v>20</v>
      </c>
      <c r="F53" s="1473"/>
      <c r="G53" s="252"/>
      <c r="H53" s="1473"/>
    </row>
    <row r="54" spans="1:9" s="224" customFormat="1" ht="15.75" customHeight="1" x14ac:dyDescent="0.25">
      <c r="A54" s="215">
        <v>41778</v>
      </c>
      <c r="B54" s="862" t="s">
        <v>14</v>
      </c>
      <c r="C54" s="350" t="s">
        <v>12</v>
      </c>
      <c r="D54" s="141" t="s">
        <v>15</v>
      </c>
      <c r="E54" s="97">
        <v>2</v>
      </c>
      <c r="F54" s="1473"/>
      <c r="G54" s="252"/>
      <c r="H54" s="1473"/>
    </row>
    <row r="55" spans="1:9" s="224" customFormat="1" x14ac:dyDescent="0.25">
      <c r="A55" s="215">
        <v>41779</v>
      </c>
      <c r="B55" s="349" t="s">
        <v>497</v>
      </c>
      <c r="C55" s="350" t="s">
        <v>12</v>
      </c>
      <c r="D55" s="141" t="s">
        <v>25</v>
      </c>
      <c r="E55" s="250"/>
      <c r="F55" s="1473">
        <v>726</v>
      </c>
      <c r="G55" s="252"/>
      <c r="H55" s="1473"/>
    </row>
    <row r="56" spans="1:9" s="224" customFormat="1" x14ac:dyDescent="0.25">
      <c r="A56" s="215">
        <v>41779</v>
      </c>
      <c r="B56" s="882" t="s">
        <v>498</v>
      </c>
      <c r="C56" s="879"/>
      <c r="D56" s="887"/>
      <c r="E56" s="538">
        <v>33.64</v>
      </c>
      <c r="F56" s="1002"/>
      <c r="G56" s="539"/>
      <c r="H56" s="1002"/>
      <c r="I56" s="709"/>
    </row>
    <row r="57" spans="1:9" x14ac:dyDescent="0.25">
      <c r="A57" s="215">
        <v>41779</v>
      </c>
      <c r="B57" s="349" t="s">
        <v>499</v>
      </c>
      <c r="C57" s="350"/>
      <c r="D57" s="887"/>
      <c r="E57" s="97">
        <v>225</v>
      </c>
      <c r="F57" s="946"/>
      <c r="G57" s="95"/>
      <c r="H57" s="946"/>
    </row>
    <row r="58" spans="1:9" s="224" customFormat="1" ht="15.75" customHeight="1" x14ac:dyDescent="0.25">
      <c r="A58" s="215">
        <v>41779</v>
      </c>
      <c r="B58" s="349" t="s">
        <v>260</v>
      </c>
      <c r="C58" s="350"/>
      <c r="D58" s="141"/>
      <c r="E58" s="97">
        <v>250</v>
      </c>
      <c r="F58" s="946"/>
      <c r="G58" s="97"/>
      <c r="H58" s="946">
        <v>250</v>
      </c>
    </row>
    <row r="59" spans="1:9" x14ac:dyDescent="0.25">
      <c r="A59" s="215">
        <v>41779</v>
      </c>
      <c r="B59" s="862" t="s">
        <v>32</v>
      </c>
      <c r="C59" s="350" t="s">
        <v>12</v>
      </c>
      <c r="D59" s="141" t="s">
        <v>13</v>
      </c>
      <c r="E59" s="97">
        <v>6.5</v>
      </c>
      <c r="F59" s="946"/>
      <c r="G59" s="95"/>
      <c r="H59" s="946"/>
    </row>
    <row r="60" spans="1:9" x14ac:dyDescent="0.25">
      <c r="A60" s="215">
        <v>41780</v>
      </c>
      <c r="B60" s="862" t="s">
        <v>32</v>
      </c>
      <c r="C60" s="350" t="s">
        <v>12</v>
      </c>
      <c r="D60" s="141" t="s">
        <v>13</v>
      </c>
      <c r="E60" s="97">
        <v>6.5</v>
      </c>
      <c r="F60" s="946"/>
      <c r="G60" s="95"/>
      <c r="H60" s="946"/>
    </row>
    <row r="61" spans="1:9" x14ac:dyDescent="0.25">
      <c r="A61" s="215">
        <v>41780</v>
      </c>
      <c r="B61" s="862" t="s">
        <v>500</v>
      </c>
      <c r="C61" s="350" t="s">
        <v>12</v>
      </c>
      <c r="D61" s="141" t="s">
        <v>25</v>
      </c>
      <c r="E61" s="97"/>
      <c r="F61" s="946">
        <v>50</v>
      </c>
      <c r="G61" s="95"/>
      <c r="H61" s="946"/>
    </row>
    <row r="62" spans="1:9" x14ac:dyDescent="0.25">
      <c r="A62" s="215">
        <v>41780</v>
      </c>
      <c r="B62" s="862" t="s">
        <v>500</v>
      </c>
      <c r="C62" s="350" t="s">
        <v>12</v>
      </c>
      <c r="D62" s="141" t="s">
        <v>13</v>
      </c>
      <c r="E62" s="97">
        <v>50</v>
      </c>
      <c r="F62" s="946"/>
      <c r="G62" s="95"/>
      <c r="H62" s="946"/>
    </row>
    <row r="63" spans="1:9" x14ac:dyDescent="0.25">
      <c r="A63" s="215">
        <v>41780</v>
      </c>
      <c r="B63" s="862" t="s">
        <v>134</v>
      </c>
      <c r="C63" s="350" t="s">
        <v>19</v>
      </c>
      <c r="D63" s="141" t="s">
        <v>13</v>
      </c>
      <c r="E63" s="97">
        <v>20.28</v>
      </c>
      <c r="F63" s="946"/>
      <c r="G63" s="95"/>
      <c r="H63" s="946"/>
    </row>
    <row r="64" spans="1:9" x14ac:dyDescent="0.25">
      <c r="A64" s="215">
        <v>41781</v>
      </c>
      <c r="B64" s="862" t="s">
        <v>32</v>
      </c>
      <c r="C64" s="350" t="s">
        <v>12</v>
      </c>
      <c r="D64" s="141" t="s">
        <v>13</v>
      </c>
      <c r="E64" s="97">
        <v>10</v>
      </c>
      <c r="F64" s="946"/>
      <c r="G64" s="95"/>
      <c r="H64" s="946"/>
    </row>
    <row r="65" spans="1:8" s="224" customFormat="1" ht="15.75" customHeight="1" x14ac:dyDescent="0.25">
      <c r="A65" s="215">
        <v>41781</v>
      </c>
      <c r="B65" s="862" t="s">
        <v>14</v>
      </c>
      <c r="C65" s="350" t="s">
        <v>12</v>
      </c>
      <c r="D65" s="141" t="s">
        <v>15</v>
      </c>
      <c r="E65" s="97">
        <v>2</v>
      </c>
      <c r="F65" s="1473"/>
      <c r="G65" s="252"/>
      <c r="H65" s="1473"/>
    </row>
    <row r="66" spans="1:8" x14ac:dyDescent="0.25">
      <c r="A66" s="215">
        <v>41782</v>
      </c>
      <c r="B66" s="862" t="s">
        <v>32</v>
      </c>
      <c r="C66" s="350" t="s">
        <v>12</v>
      </c>
      <c r="D66" s="141" t="s">
        <v>13</v>
      </c>
      <c r="E66" s="97">
        <v>6.5</v>
      </c>
      <c r="F66" s="946"/>
      <c r="G66" s="95"/>
      <c r="H66" s="946"/>
    </row>
    <row r="67" spans="1:8" x14ac:dyDescent="0.25">
      <c r="A67" s="215">
        <v>41782</v>
      </c>
      <c r="B67" s="862" t="s">
        <v>134</v>
      </c>
      <c r="C67" s="350" t="s">
        <v>12</v>
      </c>
      <c r="D67" s="141" t="s">
        <v>13</v>
      </c>
      <c r="E67" s="97">
        <v>23.5</v>
      </c>
      <c r="F67" s="946"/>
      <c r="G67" s="95"/>
      <c r="H67" s="946"/>
    </row>
    <row r="68" spans="1:8" x14ac:dyDescent="0.25">
      <c r="A68" s="215">
        <v>41783</v>
      </c>
      <c r="B68" s="349"/>
      <c r="C68" s="350"/>
      <c r="D68" s="141"/>
      <c r="E68" s="97"/>
      <c r="F68" s="946"/>
      <c r="G68" s="95"/>
      <c r="H68" s="946"/>
    </row>
    <row r="69" spans="1:8" x14ac:dyDescent="0.25">
      <c r="A69" s="215">
        <v>41784</v>
      </c>
      <c r="B69" s="349" t="s">
        <v>14</v>
      </c>
      <c r="C69" s="350" t="s">
        <v>12</v>
      </c>
      <c r="D69" s="141" t="s">
        <v>13</v>
      </c>
      <c r="E69" s="97">
        <v>22</v>
      </c>
      <c r="F69" s="946"/>
      <c r="G69" s="95"/>
      <c r="H69" s="946"/>
    </row>
    <row r="70" spans="1:8" s="224" customFormat="1" x14ac:dyDescent="0.25">
      <c r="A70" s="215">
        <v>41785</v>
      </c>
      <c r="B70" s="862" t="s">
        <v>32</v>
      </c>
      <c r="C70" s="879" t="s">
        <v>12</v>
      </c>
      <c r="D70" s="887" t="s">
        <v>13</v>
      </c>
      <c r="E70" s="250">
        <v>5</v>
      </c>
      <c r="F70" s="1473"/>
      <c r="G70" s="252"/>
      <c r="H70" s="1473"/>
    </row>
    <row r="71" spans="1:8" s="224" customFormat="1" x14ac:dyDescent="0.25">
      <c r="A71" s="215">
        <v>41785</v>
      </c>
      <c r="B71" s="862" t="s">
        <v>81</v>
      </c>
      <c r="C71" s="879" t="s">
        <v>12</v>
      </c>
      <c r="D71" s="887" t="s">
        <v>15</v>
      </c>
      <c r="E71" s="250">
        <v>2.5</v>
      </c>
      <c r="F71" s="1473"/>
      <c r="G71" s="252"/>
      <c r="H71" s="1473"/>
    </row>
    <row r="72" spans="1:8" x14ac:dyDescent="0.25">
      <c r="A72" s="215">
        <v>41785</v>
      </c>
      <c r="B72" s="349" t="s">
        <v>14</v>
      </c>
      <c r="C72" s="350" t="s">
        <v>12</v>
      </c>
      <c r="D72" s="141" t="s">
        <v>13</v>
      </c>
      <c r="E72" s="97">
        <v>1.8</v>
      </c>
      <c r="F72" s="946"/>
      <c r="G72" s="95"/>
      <c r="H72" s="946"/>
    </row>
    <row r="73" spans="1:8" x14ac:dyDescent="0.25">
      <c r="A73" s="215">
        <v>41786</v>
      </c>
      <c r="B73" s="862" t="s">
        <v>32</v>
      </c>
      <c r="C73" s="879" t="s">
        <v>12</v>
      </c>
      <c r="D73" s="887" t="s">
        <v>13</v>
      </c>
      <c r="E73" s="250">
        <v>10</v>
      </c>
      <c r="F73" s="946"/>
      <c r="G73" s="95"/>
      <c r="H73" s="946"/>
    </row>
    <row r="74" spans="1:8" x14ac:dyDescent="0.25">
      <c r="A74" s="215">
        <v>41786</v>
      </c>
      <c r="B74" s="349" t="s">
        <v>14</v>
      </c>
      <c r="C74" s="350" t="s">
        <v>12</v>
      </c>
      <c r="D74" s="141" t="s">
        <v>13</v>
      </c>
      <c r="E74" s="97">
        <v>1.9</v>
      </c>
      <c r="F74" s="946"/>
      <c r="G74" s="95"/>
      <c r="H74" s="946"/>
    </row>
    <row r="75" spans="1:8" x14ac:dyDescent="0.25">
      <c r="A75" s="215">
        <v>41786</v>
      </c>
      <c r="B75" s="862" t="s">
        <v>138</v>
      </c>
      <c r="C75" s="879" t="s">
        <v>12</v>
      </c>
      <c r="D75" s="887" t="s">
        <v>13</v>
      </c>
      <c r="E75" s="250">
        <v>20</v>
      </c>
      <c r="F75" s="946"/>
      <c r="G75" s="95"/>
      <c r="H75" s="946"/>
    </row>
    <row r="76" spans="1:8" x14ac:dyDescent="0.25">
      <c r="A76" s="215">
        <v>41787</v>
      </c>
      <c r="B76" s="862" t="s">
        <v>501</v>
      </c>
      <c r="C76" s="879" t="s">
        <v>12</v>
      </c>
      <c r="D76" s="887" t="s">
        <v>13</v>
      </c>
      <c r="E76" s="250">
        <v>21.5</v>
      </c>
      <c r="F76" s="946"/>
      <c r="G76" s="95"/>
      <c r="H76" s="946"/>
    </row>
    <row r="77" spans="1:8" x14ac:dyDescent="0.25">
      <c r="A77" s="215">
        <v>41787</v>
      </c>
      <c r="B77" s="862" t="s">
        <v>134</v>
      </c>
      <c r="C77" s="879" t="s">
        <v>12</v>
      </c>
      <c r="D77" s="887" t="s">
        <v>15</v>
      </c>
      <c r="E77" s="250">
        <v>18</v>
      </c>
      <c r="F77" s="946"/>
      <c r="G77" s="95"/>
      <c r="H77" s="946"/>
    </row>
    <row r="78" spans="1:8" s="224" customFormat="1" x14ac:dyDescent="0.25">
      <c r="A78" s="215">
        <v>41788</v>
      </c>
      <c r="B78" s="862" t="s">
        <v>32</v>
      </c>
      <c r="C78" s="879" t="s">
        <v>12</v>
      </c>
      <c r="D78" s="887" t="s">
        <v>13</v>
      </c>
      <c r="E78" s="250">
        <v>5.5</v>
      </c>
      <c r="F78" s="1473"/>
      <c r="G78" s="252"/>
      <c r="H78" s="1473"/>
    </row>
    <row r="79" spans="1:8" s="224" customFormat="1" x14ac:dyDescent="0.25">
      <c r="A79" s="215">
        <v>41788</v>
      </c>
      <c r="B79" s="862" t="s">
        <v>14</v>
      </c>
      <c r="C79" s="879" t="s">
        <v>12</v>
      </c>
      <c r="D79" s="887" t="s">
        <v>15</v>
      </c>
      <c r="E79" s="250">
        <v>2</v>
      </c>
      <c r="F79" s="1473"/>
      <c r="G79" s="252"/>
      <c r="H79" s="1473"/>
    </row>
    <row r="80" spans="1:8" s="224" customFormat="1" x14ac:dyDescent="0.25">
      <c r="A80" s="215">
        <v>41788</v>
      </c>
      <c r="B80" s="862" t="s">
        <v>502</v>
      </c>
      <c r="C80" s="879" t="s">
        <v>12</v>
      </c>
      <c r="D80" s="887" t="s">
        <v>15</v>
      </c>
      <c r="E80" s="250">
        <v>7</v>
      </c>
      <c r="F80" s="1473"/>
      <c r="G80" s="252"/>
      <c r="H80" s="1473"/>
    </row>
    <row r="81" spans="1:8" s="224" customFormat="1" x14ac:dyDescent="0.25">
      <c r="A81" s="215">
        <v>41788</v>
      </c>
      <c r="B81" s="349" t="s">
        <v>256</v>
      </c>
      <c r="C81" s="350"/>
      <c r="D81" s="141"/>
      <c r="E81" s="97"/>
      <c r="F81" s="946">
        <v>600</v>
      </c>
      <c r="G81" s="97">
        <v>600</v>
      </c>
      <c r="H81" s="1473"/>
    </row>
    <row r="82" spans="1:8" s="224" customFormat="1" x14ac:dyDescent="0.25">
      <c r="A82" s="215">
        <v>41788</v>
      </c>
      <c r="B82" s="862" t="s">
        <v>503</v>
      </c>
      <c r="C82" s="879" t="s">
        <v>12</v>
      </c>
      <c r="D82" s="887" t="s">
        <v>13</v>
      </c>
      <c r="E82" s="250">
        <v>649.16</v>
      </c>
      <c r="F82" s="1473"/>
      <c r="G82" s="252"/>
      <c r="H82" s="1473"/>
    </row>
    <row r="83" spans="1:8" s="224" customFormat="1" x14ac:dyDescent="0.25">
      <c r="A83" s="215">
        <v>41789</v>
      </c>
      <c r="B83" s="349" t="s">
        <v>256</v>
      </c>
      <c r="C83" s="350"/>
      <c r="D83" s="141"/>
      <c r="E83" s="97"/>
      <c r="F83" s="946">
        <v>200</v>
      </c>
      <c r="G83" s="97">
        <v>200</v>
      </c>
      <c r="H83" s="1473"/>
    </row>
    <row r="84" spans="1:8" s="224" customFormat="1" x14ac:dyDescent="0.25">
      <c r="A84" s="215">
        <v>41789</v>
      </c>
      <c r="B84" s="862" t="s">
        <v>32</v>
      </c>
      <c r="C84" s="879" t="s">
        <v>12</v>
      </c>
      <c r="D84" s="887" t="s">
        <v>13</v>
      </c>
      <c r="E84" s="250">
        <v>7.1</v>
      </c>
      <c r="F84" s="1473"/>
      <c r="G84" s="252"/>
      <c r="H84" s="1473"/>
    </row>
    <row r="85" spans="1:8" s="224" customFormat="1" x14ac:dyDescent="0.25">
      <c r="A85" s="215">
        <v>41789</v>
      </c>
      <c r="B85" s="862" t="s">
        <v>504</v>
      </c>
      <c r="C85" s="879" t="s">
        <v>12</v>
      </c>
      <c r="D85" s="887" t="s">
        <v>15</v>
      </c>
      <c r="E85" s="250">
        <v>8</v>
      </c>
      <c r="F85" s="1473"/>
      <c r="G85" s="252"/>
      <c r="H85" s="1473"/>
    </row>
    <row r="86" spans="1:8" s="224" customFormat="1" x14ac:dyDescent="0.25">
      <c r="A86" s="215">
        <v>41790</v>
      </c>
      <c r="B86" s="862" t="s">
        <v>505</v>
      </c>
      <c r="C86" s="105" t="s">
        <v>12</v>
      </c>
      <c r="D86" s="887" t="s">
        <v>13</v>
      </c>
      <c r="E86" s="250">
        <v>7.45</v>
      </c>
      <c r="F86" s="1473"/>
      <c r="G86" s="252"/>
      <c r="H86" s="1473"/>
    </row>
    <row r="87" spans="1:8" s="224" customFormat="1" x14ac:dyDescent="0.25">
      <c r="A87" s="215">
        <v>41790</v>
      </c>
      <c r="B87" s="862" t="s">
        <v>477</v>
      </c>
      <c r="C87" s="105" t="s">
        <v>12</v>
      </c>
      <c r="D87" s="887" t="s">
        <v>15</v>
      </c>
      <c r="E87" s="250">
        <v>22</v>
      </c>
      <c r="F87" s="1473"/>
      <c r="G87" s="252"/>
      <c r="H87" s="1473"/>
    </row>
    <row r="88" spans="1:8" s="224" customFormat="1" x14ac:dyDescent="0.25">
      <c r="A88" s="215">
        <v>41790</v>
      </c>
      <c r="B88" s="862" t="s">
        <v>134</v>
      </c>
      <c r="C88" s="105" t="s">
        <v>12</v>
      </c>
      <c r="D88" s="887" t="s">
        <v>15</v>
      </c>
      <c r="E88" s="250">
        <v>13</v>
      </c>
      <c r="F88" s="1473"/>
      <c r="G88" s="252"/>
      <c r="H88" s="1473"/>
    </row>
    <row r="89" spans="1:8" s="224" customFormat="1" ht="15.75" thickBot="1" x14ac:dyDescent="0.3">
      <c r="A89" s="215">
        <v>41790</v>
      </c>
      <c r="B89" s="862" t="s">
        <v>138</v>
      </c>
      <c r="C89" s="105" t="s">
        <v>12</v>
      </c>
      <c r="D89" s="887" t="s">
        <v>13</v>
      </c>
      <c r="E89" s="250">
        <v>20</v>
      </c>
      <c r="F89" s="1473"/>
      <c r="G89" s="252"/>
      <c r="H89" s="1473"/>
    </row>
    <row r="90" spans="1:8" ht="25.5" customHeight="1" thickBot="1" x14ac:dyDescent="0.3">
      <c r="A90" s="689"/>
      <c r="B90" s="690"/>
      <c r="C90" s="691"/>
      <c r="D90" s="691"/>
      <c r="E90" s="100">
        <f>SUM(E5:E89)</f>
        <v>2548.2399999999998</v>
      </c>
      <c r="F90" s="1065">
        <f>SUM(F5:F89)</f>
        <v>2731.2900000000009</v>
      </c>
      <c r="G90" s="101">
        <f>SUM(G5:G89)</f>
        <v>800</v>
      </c>
      <c r="H90" s="93">
        <f>SUM(H5:H89)</f>
        <v>1260</v>
      </c>
    </row>
    <row r="91" spans="1:8" ht="25.5" customHeight="1" thickBot="1" x14ac:dyDescent="0.3">
      <c r="A91" s="683" t="s">
        <v>49</v>
      </c>
      <c r="B91" s="684"/>
      <c r="C91" s="684"/>
      <c r="D91" s="684"/>
      <c r="E91" s="102"/>
      <c r="F91" s="1478">
        <f>F90-E90</f>
        <v>183.05000000000109</v>
      </c>
      <c r="G91" s="104"/>
      <c r="H91" s="103">
        <f>H90-G90</f>
        <v>460</v>
      </c>
    </row>
    <row r="93" spans="1:8" x14ac:dyDescent="0.25">
      <c r="B93" s="79" t="s">
        <v>32</v>
      </c>
      <c r="C93" s="484">
        <v>229.65</v>
      </c>
    </row>
    <row r="94" spans="1:8" x14ac:dyDescent="0.25">
      <c r="B94" s="79" t="s">
        <v>16</v>
      </c>
      <c r="C94" s="484">
        <v>190</v>
      </c>
      <c r="D94" s="79"/>
    </row>
    <row r="95" spans="1:8" x14ac:dyDescent="0.25">
      <c r="B95" s="79" t="s">
        <v>50</v>
      </c>
      <c r="C95" s="484">
        <v>209.38</v>
      </c>
    </row>
    <row r="96" spans="1:8" s="85" customFormat="1" x14ac:dyDescent="0.25">
      <c r="A96" s="79"/>
      <c r="B96" s="79" t="s">
        <v>14</v>
      </c>
      <c r="C96" s="475">
        <v>85.69</v>
      </c>
      <c r="E96" s="89"/>
      <c r="F96" s="79"/>
      <c r="G96" s="79"/>
    </row>
    <row r="97" spans="1:9" s="85" customFormat="1" x14ac:dyDescent="0.25">
      <c r="A97" s="79"/>
      <c r="B97" s="79" t="s">
        <v>51</v>
      </c>
      <c r="C97" s="475">
        <v>33.64</v>
      </c>
      <c r="E97" s="89"/>
      <c r="F97" s="79"/>
      <c r="G97" s="79"/>
      <c r="H97" s="79"/>
    </row>
    <row r="98" spans="1:9" s="85" customFormat="1" x14ac:dyDescent="0.25">
      <c r="A98" s="79"/>
      <c r="B98" s="79" t="s">
        <v>52</v>
      </c>
      <c r="C98" s="475">
        <v>60</v>
      </c>
      <c r="E98" s="89"/>
      <c r="F98" s="79"/>
      <c r="G98" s="79"/>
      <c r="H98" s="79"/>
    </row>
    <row r="99" spans="1:9" s="85" customFormat="1" x14ac:dyDescent="0.25">
      <c r="A99" s="79"/>
      <c r="B99" s="867" t="s">
        <v>53</v>
      </c>
      <c r="D99" s="89"/>
      <c r="E99" s="89"/>
      <c r="F99" s="79"/>
      <c r="G99" s="79"/>
      <c r="H99" s="79"/>
    </row>
    <row r="100" spans="1:9" s="85" customFormat="1" x14ac:dyDescent="0.25">
      <c r="A100" s="79"/>
      <c r="B100" s="79" t="s">
        <v>56</v>
      </c>
      <c r="C100" s="475"/>
      <c r="E100" s="89"/>
      <c r="F100" s="79"/>
      <c r="G100" s="79"/>
      <c r="H100" s="79"/>
    </row>
    <row r="101" spans="1:9" s="85" customFormat="1" x14ac:dyDescent="0.25">
      <c r="A101" s="79"/>
      <c r="B101" s="79" t="s">
        <v>57</v>
      </c>
      <c r="C101" s="475">
        <v>78.33</v>
      </c>
      <c r="E101" s="89"/>
      <c r="F101" s="79"/>
      <c r="G101" s="79"/>
      <c r="H101" s="79"/>
    </row>
    <row r="102" spans="1:9" s="85" customFormat="1" x14ac:dyDescent="0.25">
      <c r="A102" s="79"/>
      <c r="B102" s="79" t="s">
        <v>418</v>
      </c>
      <c r="C102" s="475">
        <v>656.61</v>
      </c>
      <c r="E102" s="89"/>
      <c r="F102" s="79"/>
      <c r="G102" s="79"/>
      <c r="H102" s="79"/>
    </row>
    <row r="103" spans="1:9" s="85" customFormat="1" x14ac:dyDescent="0.25">
      <c r="A103" s="79"/>
      <c r="B103" s="79" t="s">
        <v>419</v>
      </c>
      <c r="C103" s="475">
        <v>45</v>
      </c>
      <c r="E103" s="89"/>
      <c r="F103" s="79"/>
      <c r="G103" s="79"/>
      <c r="H103" s="79"/>
    </row>
    <row r="105" spans="1:9" x14ac:dyDescent="0.25">
      <c r="B105" s="79" t="s">
        <v>486</v>
      </c>
      <c r="C105" s="475">
        <f>G105/I105</f>
        <v>55.368064516129031</v>
      </c>
      <c r="E105" s="224" t="s">
        <v>487</v>
      </c>
      <c r="F105" s="224"/>
      <c r="G105" s="216">
        <v>1716.41</v>
      </c>
      <c r="H105" s="518" t="s">
        <v>488</v>
      </c>
      <c r="I105" s="85">
        <v>31</v>
      </c>
    </row>
  </sheetData>
  <autoFilter ref="A2:H91" xr:uid="{00000000-0009-0000-0000-000011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0" filterMode="1"/>
  <dimension ref="A1:I122"/>
  <sheetViews>
    <sheetView workbookViewId="0">
      <selection activeCell="C112" sqref="A1:L12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506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hidden="1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hidden="1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41791</v>
      </c>
      <c r="B5" s="369" t="s">
        <v>10</v>
      </c>
      <c r="C5" s="370"/>
      <c r="D5" s="207"/>
      <c r="E5" s="179"/>
      <c r="F5" s="933">
        <f>'Maio-14'!F91</f>
        <v>183.05000000000109</v>
      </c>
      <c r="G5" s="163"/>
      <c r="H5" s="933">
        <f>'Maio-14'!H91</f>
        <v>460</v>
      </c>
    </row>
    <row r="6" spans="1:8" s="224" customFormat="1" hidden="1" x14ac:dyDescent="0.25">
      <c r="A6" s="215">
        <v>41791</v>
      </c>
      <c r="B6" s="348" t="s">
        <v>11</v>
      </c>
      <c r="C6" s="351"/>
      <c r="D6" s="248"/>
      <c r="E6" s="250">
        <v>15</v>
      </c>
      <c r="F6" s="1473"/>
      <c r="G6" s="252"/>
      <c r="H6" s="1473"/>
    </row>
    <row r="7" spans="1:8" s="224" customFormat="1" hidden="1" x14ac:dyDescent="0.25">
      <c r="A7" s="215">
        <v>41792</v>
      </c>
      <c r="B7" s="349" t="s">
        <v>256</v>
      </c>
      <c r="C7" s="350"/>
      <c r="D7" s="141"/>
      <c r="E7" s="97"/>
      <c r="F7" s="946">
        <v>200</v>
      </c>
      <c r="G7" s="97">
        <v>200</v>
      </c>
      <c r="H7" s="1473"/>
    </row>
    <row r="8" spans="1:8" s="224" customFormat="1" hidden="1" x14ac:dyDescent="0.25">
      <c r="A8" s="215">
        <v>41792</v>
      </c>
      <c r="B8" s="873" t="s">
        <v>32</v>
      </c>
      <c r="C8" s="879" t="s">
        <v>12</v>
      </c>
      <c r="D8" s="887" t="s">
        <v>15</v>
      </c>
      <c r="E8" s="250">
        <v>5.5</v>
      </c>
      <c r="F8" s="1473"/>
      <c r="G8" s="252"/>
      <c r="H8" s="1473"/>
    </row>
    <row r="9" spans="1:8" s="224" customFormat="1" hidden="1" x14ac:dyDescent="0.25">
      <c r="A9" s="215">
        <v>41792</v>
      </c>
      <c r="B9" s="873" t="s">
        <v>14</v>
      </c>
      <c r="C9" s="879" t="s">
        <v>12</v>
      </c>
      <c r="D9" s="887" t="s">
        <v>15</v>
      </c>
      <c r="E9" s="250">
        <v>2</v>
      </c>
      <c r="F9" s="1473"/>
      <c r="G9" s="252"/>
      <c r="H9" s="1473"/>
    </row>
    <row r="10" spans="1:8" s="224" customFormat="1" x14ac:dyDescent="0.25">
      <c r="A10" s="215">
        <v>41792</v>
      </c>
      <c r="B10" s="873" t="s">
        <v>507</v>
      </c>
      <c r="C10" s="879" t="s">
        <v>12</v>
      </c>
      <c r="D10" s="887" t="s">
        <v>15</v>
      </c>
      <c r="E10" s="250">
        <v>200</v>
      </c>
      <c r="F10" s="1473"/>
      <c r="G10" s="252"/>
      <c r="H10" s="1473"/>
    </row>
    <row r="11" spans="1:8" s="224" customFormat="1" hidden="1" x14ac:dyDescent="0.25">
      <c r="A11" s="215">
        <v>41793</v>
      </c>
      <c r="B11" s="873" t="s">
        <v>32</v>
      </c>
      <c r="C11" s="879" t="s">
        <v>12</v>
      </c>
      <c r="D11" s="887" t="s">
        <v>15</v>
      </c>
      <c r="E11" s="250">
        <v>10</v>
      </c>
      <c r="F11" s="1473"/>
      <c r="G11" s="252"/>
      <c r="H11" s="1473"/>
    </row>
    <row r="12" spans="1:8" s="224" customFormat="1" hidden="1" x14ac:dyDescent="0.25">
      <c r="A12" s="215">
        <v>41793</v>
      </c>
      <c r="B12" s="873" t="s">
        <v>508</v>
      </c>
      <c r="C12" s="879" t="s">
        <v>12</v>
      </c>
      <c r="D12" s="887" t="s">
        <v>25</v>
      </c>
      <c r="E12" s="250"/>
      <c r="F12" s="1473">
        <v>150</v>
      </c>
      <c r="G12" s="252"/>
      <c r="H12" s="1473"/>
    </row>
    <row r="13" spans="1:8" s="224" customFormat="1" hidden="1" x14ac:dyDescent="0.25">
      <c r="A13" s="215">
        <v>41793</v>
      </c>
      <c r="B13" s="873" t="s">
        <v>509</v>
      </c>
      <c r="C13" s="879" t="s">
        <v>12</v>
      </c>
      <c r="D13" s="887" t="s">
        <v>15</v>
      </c>
      <c r="E13" s="250">
        <v>9</v>
      </c>
      <c r="F13" s="1473"/>
      <c r="G13" s="252"/>
      <c r="H13" s="1473"/>
    </row>
    <row r="14" spans="1:8" s="224" customFormat="1" hidden="1" x14ac:dyDescent="0.25">
      <c r="A14" s="215">
        <v>41794</v>
      </c>
      <c r="B14" s="873" t="s">
        <v>32</v>
      </c>
      <c r="C14" s="879" t="s">
        <v>12</v>
      </c>
      <c r="D14" s="887" t="s">
        <v>15</v>
      </c>
      <c r="E14" s="250">
        <v>5.5</v>
      </c>
      <c r="F14" s="1473"/>
      <c r="G14" s="252"/>
      <c r="H14" s="1473"/>
    </row>
    <row r="15" spans="1:8" s="224" customFormat="1" hidden="1" x14ac:dyDescent="0.25">
      <c r="A15" s="215">
        <v>41795</v>
      </c>
      <c r="B15" s="862" t="s">
        <v>138</v>
      </c>
      <c r="C15" s="879" t="s">
        <v>12</v>
      </c>
      <c r="D15" s="887" t="s">
        <v>13</v>
      </c>
      <c r="E15" s="250">
        <v>20</v>
      </c>
      <c r="F15" s="1473"/>
      <c r="G15" s="252"/>
      <c r="H15" s="1473"/>
    </row>
    <row r="16" spans="1:8" s="224" customFormat="1" hidden="1" x14ac:dyDescent="0.25">
      <c r="A16" s="215">
        <v>41795</v>
      </c>
      <c r="B16" s="862" t="s">
        <v>14</v>
      </c>
      <c r="C16" s="879" t="s">
        <v>12</v>
      </c>
      <c r="D16" s="887" t="s">
        <v>13</v>
      </c>
      <c r="E16" s="250">
        <v>8.5</v>
      </c>
      <c r="F16" s="1473"/>
      <c r="G16" s="252"/>
      <c r="H16" s="1473"/>
    </row>
    <row r="17" spans="1:8" s="224" customFormat="1" hidden="1" x14ac:dyDescent="0.25">
      <c r="A17" s="215">
        <v>41795</v>
      </c>
      <c r="B17" s="862" t="s">
        <v>32</v>
      </c>
      <c r="C17" s="879" t="s">
        <v>12</v>
      </c>
      <c r="D17" s="887" t="s">
        <v>15</v>
      </c>
      <c r="E17" s="250">
        <v>9</v>
      </c>
      <c r="F17" s="1473"/>
      <c r="G17" s="252"/>
      <c r="H17" s="1473"/>
    </row>
    <row r="18" spans="1:8" s="224" customFormat="1" x14ac:dyDescent="0.25">
      <c r="A18" s="215">
        <v>41795</v>
      </c>
      <c r="B18" s="862" t="s">
        <v>510</v>
      </c>
      <c r="C18" s="879" t="s">
        <v>12</v>
      </c>
      <c r="D18" s="887" t="s">
        <v>13</v>
      </c>
      <c r="E18" s="250">
        <v>60.5</v>
      </c>
      <c r="F18" s="1473"/>
      <c r="G18" s="252"/>
      <c r="H18" s="1473"/>
    </row>
    <row r="19" spans="1:8" s="224" customFormat="1" hidden="1" x14ac:dyDescent="0.25">
      <c r="A19" s="215">
        <v>41795</v>
      </c>
      <c r="B19" s="862" t="s">
        <v>14</v>
      </c>
      <c r="C19" s="879" t="s">
        <v>12</v>
      </c>
      <c r="D19" s="887" t="s">
        <v>13</v>
      </c>
      <c r="E19" s="250">
        <v>11.29</v>
      </c>
      <c r="F19" s="1473"/>
      <c r="G19" s="252"/>
      <c r="H19" s="1473"/>
    </row>
    <row r="20" spans="1:8" s="224" customFormat="1" hidden="1" x14ac:dyDescent="0.25">
      <c r="A20" s="215">
        <v>41796</v>
      </c>
      <c r="B20" s="349" t="s">
        <v>511</v>
      </c>
      <c r="C20" s="879" t="s">
        <v>12</v>
      </c>
      <c r="D20" s="983" t="s">
        <v>25</v>
      </c>
      <c r="E20" s="250"/>
      <c r="F20" s="1473">
        <v>917.05</v>
      </c>
      <c r="G20" s="252"/>
      <c r="H20" s="1473"/>
    </row>
    <row r="21" spans="1:8" s="224" customFormat="1" ht="15.75" hidden="1" customHeight="1" x14ac:dyDescent="0.25">
      <c r="A21" s="215">
        <v>41796</v>
      </c>
      <c r="B21" s="862" t="s">
        <v>512</v>
      </c>
      <c r="C21" s="350" t="s">
        <v>12</v>
      </c>
      <c r="D21" s="141" t="s">
        <v>13</v>
      </c>
      <c r="E21" s="97">
        <v>168.47</v>
      </c>
      <c r="F21" s="1473"/>
      <c r="G21" s="252"/>
      <c r="H21" s="1473"/>
    </row>
    <row r="22" spans="1:8" s="224" customFormat="1" hidden="1" x14ac:dyDescent="0.25">
      <c r="A22" s="215">
        <v>41796</v>
      </c>
      <c r="B22" s="882" t="s">
        <v>513</v>
      </c>
      <c r="C22" s="350" t="s">
        <v>12</v>
      </c>
      <c r="D22" s="141" t="s">
        <v>13</v>
      </c>
      <c r="E22" s="97">
        <v>40.54</v>
      </c>
      <c r="F22" s="1473"/>
      <c r="G22" s="252"/>
      <c r="H22" s="1473"/>
    </row>
    <row r="23" spans="1:8" s="224" customFormat="1" ht="14.25" hidden="1" customHeight="1" x14ac:dyDescent="0.25">
      <c r="A23" s="215">
        <v>41796</v>
      </c>
      <c r="B23" s="862" t="s">
        <v>31</v>
      </c>
      <c r="C23" s="350" t="s">
        <v>12</v>
      </c>
      <c r="D23" s="957" t="s">
        <v>15</v>
      </c>
      <c r="E23" s="97">
        <v>50</v>
      </c>
      <c r="F23" s="1473"/>
      <c r="G23" s="252"/>
      <c r="H23" s="1473"/>
    </row>
    <row r="24" spans="1:8" s="224" customFormat="1" hidden="1" x14ac:dyDescent="0.25">
      <c r="A24" s="215">
        <v>41796</v>
      </c>
      <c r="B24" s="862" t="s">
        <v>399</v>
      </c>
      <c r="C24" s="350" t="s">
        <v>12</v>
      </c>
      <c r="D24" s="957" t="s">
        <v>15</v>
      </c>
      <c r="E24" s="97">
        <v>25</v>
      </c>
      <c r="F24" s="1473"/>
      <c r="G24" s="252"/>
      <c r="H24" s="1473"/>
    </row>
    <row r="25" spans="1:8" s="224" customFormat="1" ht="15.75" hidden="1" customHeight="1" x14ac:dyDescent="0.25">
      <c r="A25" s="215">
        <v>41796</v>
      </c>
      <c r="B25" s="873" t="s">
        <v>32</v>
      </c>
      <c r="C25" s="879" t="s">
        <v>12</v>
      </c>
      <c r="D25" s="887" t="s">
        <v>15</v>
      </c>
      <c r="E25" s="250">
        <v>10</v>
      </c>
      <c r="F25" s="946"/>
      <c r="G25" s="97"/>
      <c r="H25" s="946"/>
    </row>
    <row r="26" spans="1:8" s="224" customFormat="1" hidden="1" x14ac:dyDescent="0.25">
      <c r="A26" s="215">
        <v>41796</v>
      </c>
      <c r="B26" s="862" t="s">
        <v>14</v>
      </c>
      <c r="C26" s="879" t="s">
        <v>12</v>
      </c>
      <c r="D26" s="887" t="s">
        <v>13</v>
      </c>
      <c r="E26" s="250">
        <v>10.050000000000001</v>
      </c>
      <c r="F26" s="1473"/>
      <c r="G26" s="252"/>
      <c r="H26" s="1473"/>
    </row>
    <row r="27" spans="1:8" s="224" customFormat="1" ht="15.75" hidden="1" customHeight="1" x14ac:dyDescent="0.25">
      <c r="A27" s="215">
        <v>41796</v>
      </c>
      <c r="B27" s="349" t="s">
        <v>260</v>
      </c>
      <c r="C27" s="350"/>
      <c r="D27" s="141"/>
      <c r="E27" s="97">
        <v>50</v>
      </c>
      <c r="F27" s="946"/>
      <c r="G27" s="97"/>
      <c r="H27" s="946">
        <v>50</v>
      </c>
    </row>
    <row r="28" spans="1:8" s="224" customFormat="1" hidden="1" x14ac:dyDescent="0.25">
      <c r="A28" s="215">
        <v>41797</v>
      </c>
      <c r="B28" s="862" t="s">
        <v>14</v>
      </c>
      <c r="C28" s="879" t="s">
        <v>12</v>
      </c>
      <c r="D28" s="887" t="s">
        <v>13</v>
      </c>
      <c r="E28" s="250">
        <v>15.79</v>
      </c>
      <c r="F28" s="1473"/>
      <c r="G28" s="252"/>
      <c r="H28" s="1473"/>
    </row>
    <row r="29" spans="1:8" s="224" customFormat="1" ht="15.75" hidden="1" customHeight="1" x14ac:dyDescent="0.25">
      <c r="A29" s="215">
        <v>41797</v>
      </c>
      <c r="B29" s="349" t="s">
        <v>138</v>
      </c>
      <c r="C29" s="350" t="s">
        <v>12</v>
      </c>
      <c r="D29" s="141" t="s">
        <v>13</v>
      </c>
      <c r="E29" s="97">
        <v>20</v>
      </c>
      <c r="F29" s="946"/>
      <c r="G29" s="97"/>
      <c r="H29" s="946"/>
    </row>
    <row r="30" spans="1:8" hidden="1" x14ac:dyDescent="0.25">
      <c r="A30" s="215">
        <v>41797</v>
      </c>
      <c r="B30" s="862" t="s">
        <v>500</v>
      </c>
      <c r="C30" s="350" t="s">
        <v>12</v>
      </c>
      <c r="D30" s="141" t="s">
        <v>25</v>
      </c>
      <c r="E30" s="97"/>
      <c r="F30" s="946">
        <v>30</v>
      </c>
      <c r="G30" s="95"/>
      <c r="H30" s="946"/>
    </row>
    <row r="31" spans="1:8" s="224" customFormat="1" ht="15.75" hidden="1" customHeight="1" x14ac:dyDescent="0.25">
      <c r="A31" s="215">
        <v>41797</v>
      </c>
      <c r="B31" s="349" t="s">
        <v>134</v>
      </c>
      <c r="C31" s="350" t="s">
        <v>12</v>
      </c>
      <c r="D31" s="141" t="s">
        <v>15</v>
      </c>
      <c r="E31" s="97">
        <v>16.5</v>
      </c>
      <c r="F31" s="946"/>
      <c r="G31" s="97"/>
      <c r="H31" s="946"/>
    </row>
    <row r="32" spans="1:8" s="224" customFormat="1" ht="15.75" hidden="1" customHeight="1" x14ac:dyDescent="0.25">
      <c r="A32" s="215">
        <v>41797</v>
      </c>
      <c r="B32" s="349" t="s">
        <v>82</v>
      </c>
      <c r="C32" s="350" t="s">
        <v>12</v>
      </c>
      <c r="D32" s="141" t="s">
        <v>13</v>
      </c>
      <c r="E32" s="97">
        <v>26</v>
      </c>
      <c r="F32" s="946"/>
      <c r="G32" s="97"/>
      <c r="H32" s="946"/>
    </row>
    <row r="33" spans="1:8" s="224" customFormat="1" hidden="1" x14ac:dyDescent="0.25">
      <c r="A33" s="215">
        <v>41797</v>
      </c>
      <c r="B33" s="873" t="s">
        <v>311</v>
      </c>
      <c r="C33" s="879" t="s">
        <v>12</v>
      </c>
      <c r="D33" s="887" t="s">
        <v>25</v>
      </c>
      <c r="E33" s="250"/>
      <c r="F33" s="1473"/>
      <c r="G33" s="252"/>
      <c r="H33" s="1473">
        <v>5.36</v>
      </c>
    </row>
    <row r="34" spans="1:8" s="224" customFormat="1" ht="15.75" hidden="1" customHeight="1" x14ac:dyDescent="0.25">
      <c r="A34" s="215">
        <v>41798</v>
      </c>
      <c r="B34" s="349" t="s">
        <v>32</v>
      </c>
      <c r="C34" s="350" t="s">
        <v>12</v>
      </c>
      <c r="D34" s="141" t="s">
        <v>13</v>
      </c>
      <c r="E34" s="97">
        <v>6.5</v>
      </c>
      <c r="F34" s="946"/>
      <c r="G34" s="97"/>
      <c r="H34" s="946"/>
    </row>
    <row r="35" spans="1:8" s="224" customFormat="1" hidden="1" x14ac:dyDescent="0.25">
      <c r="A35" s="215">
        <v>41798</v>
      </c>
      <c r="B35" s="862" t="s">
        <v>14</v>
      </c>
      <c r="C35" s="879" t="s">
        <v>12</v>
      </c>
      <c r="D35" s="887" t="s">
        <v>13</v>
      </c>
      <c r="E35" s="250">
        <v>16.170000000000002</v>
      </c>
      <c r="F35" s="1473"/>
      <c r="G35" s="252"/>
      <c r="H35" s="1473"/>
    </row>
    <row r="36" spans="1:8" s="224" customFormat="1" ht="15.75" hidden="1" customHeight="1" x14ac:dyDescent="0.25">
      <c r="A36" s="215">
        <v>41799</v>
      </c>
      <c r="B36" s="349" t="s">
        <v>32</v>
      </c>
      <c r="C36" s="350" t="s">
        <v>12</v>
      </c>
      <c r="D36" s="141" t="s">
        <v>13</v>
      </c>
      <c r="E36" s="97">
        <v>6.5</v>
      </c>
      <c r="F36" s="946"/>
      <c r="G36" s="97"/>
      <c r="H36" s="946"/>
    </row>
    <row r="37" spans="1:8" s="224" customFormat="1" ht="15.75" hidden="1" customHeight="1" x14ac:dyDescent="0.25">
      <c r="A37" s="215">
        <v>41799</v>
      </c>
      <c r="B37" s="349" t="s">
        <v>514</v>
      </c>
      <c r="C37" s="350" t="s">
        <v>12</v>
      </c>
      <c r="D37" s="141" t="s">
        <v>13</v>
      </c>
      <c r="E37" s="97">
        <v>10</v>
      </c>
      <c r="F37" s="946"/>
      <c r="G37" s="97"/>
      <c r="H37" s="946"/>
    </row>
    <row r="38" spans="1:8" s="224" customFormat="1" ht="15.75" hidden="1" customHeight="1" x14ac:dyDescent="0.25">
      <c r="A38" s="215">
        <v>41799</v>
      </c>
      <c r="B38" s="349" t="s">
        <v>260</v>
      </c>
      <c r="C38" s="350"/>
      <c r="D38" s="141"/>
      <c r="E38" s="97">
        <v>110</v>
      </c>
      <c r="F38" s="946"/>
      <c r="G38" s="97"/>
      <c r="H38" s="946">
        <v>110</v>
      </c>
    </row>
    <row r="39" spans="1:8" s="224" customFormat="1" hidden="1" x14ac:dyDescent="0.25">
      <c r="A39" s="215">
        <v>41799</v>
      </c>
      <c r="B39" s="862" t="s">
        <v>14</v>
      </c>
      <c r="C39" s="879" t="s">
        <v>12</v>
      </c>
      <c r="D39" s="887" t="s">
        <v>13</v>
      </c>
      <c r="E39" s="250">
        <v>2</v>
      </c>
      <c r="F39" s="1473"/>
      <c r="G39" s="252"/>
      <c r="H39" s="1473"/>
    </row>
    <row r="40" spans="1:8" s="224" customFormat="1" ht="15.75" hidden="1" customHeight="1" x14ac:dyDescent="0.25">
      <c r="A40" s="215">
        <v>41799</v>
      </c>
      <c r="B40" s="349" t="s">
        <v>138</v>
      </c>
      <c r="C40" s="350" t="s">
        <v>12</v>
      </c>
      <c r="D40" s="141" t="s">
        <v>13</v>
      </c>
      <c r="E40" s="97">
        <v>20</v>
      </c>
      <c r="F40" s="946"/>
      <c r="G40" s="97"/>
      <c r="H40" s="946"/>
    </row>
    <row r="41" spans="1:8" s="224" customFormat="1" ht="15.75" hidden="1" customHeight="1" x14ac:dyDescent="0.25">
      <c r="A41" s="215">
        <v>41799</v>
      </c>
      <c r="B41" s="349" t="s">
        <v>515</v>
      </c>
      <c r="C41" s="350" t="s">
        <v>12</v>
      </c>
      <c r="D41" s="141" t="s">
        <v>13</v>
      </c>
      <c r="E41" s="97">
        <v>11.85</v>
      </c>
      <c r="F41" s="946"/>
      <c r="G41" s="97"/>
      <c r="H41" s="946"/>
    </row>
    <row r="42" spans="1:8" s="224" customFormat="1" ht="15.75" hidden="1" customHeight="1" x14ac:dyDescent="0.25">
      <c r="A42" s="215">
        <v>41800</v>
      </c>
      <c r="B42" s="349" t="s">
        <v>151</v>
      </c>
      <c r="C42" s="350" t="s">
        <v>12</v>
      </c>
      <c r="D42" s="141" t="s">
        <v>13</v>
      </c>
      <c r="E42" s="97">
        <v>7.5</v>
      </c>
      <c r="F42" s="946"/>
      <c r="G42" s="97"/>
      <c r="H42" s="946"/>
    </row>
    <row r="43" spans="1:8" s="224" customFormat="1" hidden="1" x14ac:dyDescent="0.25">
      <c r="A43" s="215">
        <v>41800</v>
      </c>
      <c r="B43" s="862" t="s">
        <v>14</v>
      </c>
      <c r="C43" s="879" t="s">
        <v>12</v>
      </c>
      <c r="D43" s="887" t="s">
        <v>13</v>
      </c>
      <c r="E43" s="250">
        <v>5</v>
      </c>
      <c r="F43" s="1473"/>
      <c r="G43" s="252"/>
      <c r="H43" s="1473"/>
    </row>
    <row r="44" spans="1:8" s="224" customFormat="1" ht="15.75" hidden="1" customHeight="1" x14ac:dyDescent="0.25">
      <c r="A44" s="215">
        <v>41801</v>
      </c>
      <c r="B44" s="349" t="s">
        <v>493</v>
      </c>
      <c r="C44" s="350" t="s">
        <v>12</v>
      </c>
      <c r="D44" s="141" t="s">
        <v>15</v>
      </c>
      <c r="E44" s="97">
        <v>15</v>
      </c>
      <c r="F44" s="946"/>
      <c r="G44" s="97"/>
      <c r="H44" s="946"/>
    </row>
    <row r="45" spans="1:8" s="224" customFormat="1" ht="15.75" hidden="1" customHeight="1" x14ac:dyDescent="0.25">
      <c r="A45" s="215">
        <v>41801</v>
      </c>
      <c r="B45" s="349" t="s">
        <v>147</v>
      </c>
      <c r="C45" s="350" t="s">
        <v>12</v>
      </c>
      <c r="D45" s="141" t="s">
        <v>15</v>
      </c>
      <c r="E45" s="97">
        <v>10</v>
      </c>
      <c r="F45" s="946"/>
      <c r="G45" s="97"/>
      <c r="H45" s="946"/>
    </row>
    <row r="46" spans="1:8" s="224" customFormat="1" ht="15.75" hidden="1" customHeight="1" x14ac:dyDescent="0.25">
      <c r="A46" s="215">
        <v>41801</v>
      </c>
      <c r="B46" s="349" t="s">
        <v>134</v>
      </c>
      <c r="C46" s="350" t="s">
        <v>12</v>
      </c>
      <c r="D46" s="141" t="s">
        <v>15</v>
      </c>
      <c r="E46" s="97">
        <v>6</v>
      </c>
      <c r="F46" s="946"/>
      <c r="G46" s="97"/>
      <c r="H46" s="946"/>
    </row>
    <row r="47" spans="1:8" s="224" customFormat="1" ht="15.75" hidden="1" customHeight="1" x14ac:dyDescent="0.25">
      <c r="A47" s="215">
        <v>41801</v>
      </c>
      <c r="B47" s="349" t="s">
        <v>14</v>
      </c>
      <c r="C47" s="350" t="s">
        <v>12</v>
      </c>
      <c r="D47" s="141" t="s">
        <v>15</v>
      </c>
      <c r="E47" s="97">
        <v>2</v>
      </c>
      <c r="F47" s="946"/>
      <c r="G47" s="97"/>
      <c r="H47" s="946"/>
    </row>
    <row r="48" spans="1:8" s="224" customFormat="1" ht="15.75" customHeight="1" x14ac:dyDescent="0.25">
      <c r="A48" s="215">
        <v>41801</v>
      </c>
      <c r="B48" s="349" t="s">
        <v>516</v>
      </c>
      <c r="C48" s="350" t="s">
        <v>12</v>
      </c>
      <c r="D48" s="141" t="s">
        <v>13</v>
      </c>
      <c r="E48" s="97">
        <v>79.5</v>
      </c>
      <c r="F48" s="946"/>
      <c r="G48" s="97"/>
      <c r="H48" s="946"/>
    </row>
    <row r="49" spans="1:8" s="224" customFormat="1" ht="15.75" hidden="1" customHeight="1" x14ac:dyDescent="0.25">
      <c r="A49" s="215">
        <v>41802</v>
      </c>
      <c r="B49" s="349" t="s">
        <v>80</v>
      </c>
      <c r="C49" s="350" t="s">
        <v>12</v>
      </c>
      <c r="D49" s="141" t="s">
        <v>13</v>
      </c>
      <c r="E49" s="97">
        <v>13</v>
      </c>
      <c r="F49" s="946"/>
      <c r="G49" s="97"/>
      <c r="H49" s="946"/>
    </row>
    <row r="50" spans="1:8" s="224" customFormat="1" ht="15.75" hidden="1" customHeight="1" x14ac:dyDescent="0.25">
      <c r="A50" s="215">
        <v>41802</v>
      </c>
      <c r="B50" s="349" t="s">
        <v>14</v>
      </c>
      <c r="C50" s="350" t="s">
        <v>12</v>
      </c>
      <c r="D50" s="141" t="s">
        <v>13</v>
      </c>
      <c r="E50" s="97">
        <v>15.38</v>
      </c>
      <c r="F50" s="946"/>
      <c r="G50" s="97"/>
      <c r="H50" s="946"/>
    </row>
    <row r="51" spans="1:8" s="224" customFormat="1" ht="15.75" hidden="1" customHeight="1" x14ac:dyDescent="0.25">
      <c r="A51" s="215">
        <v>41803</v>
      </c>
      <c r="B51" s="349" t="s">
        <v>32</v>
      </c>
      <c r="C51" s="350" t="s">
        <v>12</v>
      </c>
      <c r="D51" s="141" t="s">
        <v>13</v>
      </c>
      <c r="E51" s="97">
        <v>5.5</v>
      </c>
      <c r="F51" s="946"/>
      <c r="G51" s="97"/>
      <c r="H51" s="946"/>
    </row>
    <row r="52" spans="1:8" s="224" customFormat="1" ht="15.75" hidden="1" customHeight="1" x14ac:dyDescent="0.25">
      <c r="A52" s="215">
        <v>41803</v>
      </c>
      <c r="B52" s="349" t="s">
        <v>138</v>
      </c>
      <c r="C52" s="350" t="s">
        <v>12</v>
      </c>
      <c r="D52" s="141" t="s">
        <v>15</v>
      </c>
      <c r="E52" s="97">
        <v>20</v>
      </c>
      <c r="F52" s="946"/>
      <c r="G52" s="97"/>
      <c r="H52" s="946"/>
    </row>
    <row r="53" spans="1:8" s="224" customFormat="1" ht="15.75" hidden="1" customHeight="1" x14ac:dyDescent="0.25">
      <c r="A53" s="215">
        <v>41804</v>
      </c>
      <c r="B53" s="349" t="s">
        <v>14</v>
      </c>
      <c r="C53" s="350" t="s">
        <v>12</v>
      </c>
      <c r="D53" s="141" t="s">
        <v>15</v>
      </c>
      <c r="E53" s="97">
        <v>4</v>
      </c>
      <c r="F53" s="946"/>
      <c r="G53" s="97"/>
      <c r="H53" s="946"/>
    </row>
    <row r="54" spans="1:8" s="224" customFormat="1" ht="15.75" hidden="1" customHeight="1" x14ac:dyDescent="0.25">
      <c r="A54" s="215">
        <v>41804</v>
      </c>
      <c r="B54" s="349" t="s">
        <v>517</v>
      </c>
      <c r="C54" s="350" t="s">
        <v>12</v>
      </c>
      <c r="D54" s="141" t="s">
        <v>13</v>
      </c>
      <c r="E54" s="97">
        <v>80</v>
      </c>
      <c r="F54" s="946"/>
      <c r="G54" s="97"/>
      <c r="H54" s="946"/>
    </row>
    <row r="55" spans="1:8" s="224" customFormat="1" hidden="1" x14ac:dyDescent="0.25">
      <c r="A55" s="215">
        <v>41805</v>
      </c>
      <c r="B55" s="349" t="s">
        <v>14</v>
      </c>
      <c r="C55" s="350" t="s">
        <v>12</v>
      </c>
      <c r="D55" s="141" t="s">
        <v>15</v>
      </c>
      <c r="E55" s="97">
        <v>19</v>
      </c>
      <c r="F55" s="1473"/>
      <c r="G55" s="252"/>
      <c r="H55" s="1473"/>
    </row>
    <row r="56" spans="1:8" s="224" customFormat="1" hidden="1" x14ac:dyDescent="0.25">
      <c r="A56" s="215">
        <v>41805</v>
      </c>
      <c r="B56" s="349" t="s">
        <v>138</v>
      </c>
      <c r="C56" s="350" t="s">
        <v>12</v>
      </c>
      <c r="D56" s="141" t="s">
        <v>13</v>
      </c>
      <c r="E56" s="97">
        <v>20</v>
      </c>
      <c r="F56" s="1473"/>
      <c r="G56" s="252"/>
      <c r="H56" s="1473"/>
    </row>
    <row r="57" spans="1:8" s="224" customFormat="1" ht="15.75" hidden="1" customHeight="1" x14ac:dyDescent="0.25">
      <c r="A57" s="215">
        <v>41806</v>
      </c>
      <c r="B57" s="349" t="s">
        <v>32</v>
      </c>
      <c r="C57" s="350" t="s">
        <v>12</v>
      </c>
      <c r="D57" s="141" t="s">
        <v>13</v>
      </c>
      <c r="E57" s="97">
        <v>10</v>
      </c>
      <c r="F57" s="1473"/>
      <c r="G57" s="252"/>
      <c r="H57" s="1473"/>
    </row>
    <row r="58" spans="1:8" s="224" customFormat="1" ht="15.75" hidden="1" customHeight="1" x14ac:dyDescent="0.25">
      <c r="A58" s="215">
        <v>41806</v>
      </c>
      <c r="B58" s="349" t="s">
        <v>518</v>
      </c>
      <c r="C58" s="350" t="s">
        <v>12</v>
      </c>
      <c r="D58" s="141" t="s">
        <v>15</v>
      </c>
      <c r="E58" s="97">
        <v>10</v>
      </c>
      <c r="F58" s="1473"/>
      <c r="G58" s="252"/>
      <c r="H58" s="1473"/>
    </row>
    <row r="59" spans="1:8" s="224" customFormat="1" ht="15.75" hidden="1" customHeight="1" x14ac:dyDescent="0.25">
      <c r="A59" s="215">
        <v>41806</v>
      </c>
      <c r="B59" s="349" t="s">
        <v>80</v>
      </c>
      <c r="C59" s="350" t="s">
        <v>12</v>
      </c>
      <c r="D59" s="141" t="s">
        <v>15</v>
      </c>
      <c r="E59" s="97">
        <v>14</v>
      </c>
      <c r="F59" s="1473"/>
      <c r="G59" s="252"/>
      <c r="H59" s="1473"/>
    </row>
    <row r="60" spans="1:8" s="224" customFormat="1" ht="15.75" hidden="1" customHeight="1" x14ac:dyDescent="0.25">
      <c r="A60" s="215">
        <v>41807</v>
      </c>
      <c r="B60" s="862" t="s">
        <v>14</v>
      </c>
      <c r="C60" s="350" t="s">
        <v>12</v>
      </c>
      <c r="D60" s="141" t="s">
        <v>15</v>
      </c>
      <c r="E60" s="97">
        <v>6</v>
      </c>
      <c r="F60" s="1473"/>
      <c r="G60" s="252"/>
      <c r="H60" s="1473"/>
    </row>
    <row r="61" spans="1:8" s="224" customFormat="1" ht="15.75" hidden="1" customHeight="1" x14ac:dyDescent="0.25">
      <c r="A61" s="215">
        <v>41807</v>
      </c>
      <c r="B61" s="862" t="s">
        <v>56</v>
      </c>
      <c r="C61" s="350" t="s">
        <v>12</v>
      </c>
      <c r="D61" s="141" t="s">
        <v>13</v>
      </c>
      <c r="E61" s="97">
        <v>11.55</v>
      </c>
      <c r="F61" s="1473"/>
      <c r="G61" s="252"/>
      <c r="H61" s="1473"/>
    </row>
    <row r="62" spans="1:8" s="224" customFormat="1" hidden="1" x14ac:dyDescent="0.25">
      <c r="A62" s="215">
        <v>41808</v>
      </c>
      <c r="B62" s="349" t="s">
        <v>32</v>
      </c>
      <c r="C62" s="350" t="s">
        <v>12</v>
      </c>
      <c r="D62" s="141" t="s">
        <v>13</v>
      </c>
      <c r="E62" s="97">
        <v>6.5</v>
      </c>
      <c r="F62" s="1473"/>
      <c r="G62" s="252"/>
      <c r="H62" s="1473"/>
    </row>
    <row r="63" spans="1:8" s="224" customFormat="1" hidden="1" x14ac:dyDescent="0.25">
      <c r="A63" s="215">
        <v>41808</v>
      </c>
      <c r="B63" s="349" t="s">
        <v>256</v>
      </c>
      <c r="C63" s="350"/>
      <c r="D63" s="141"/>
      <c r="E63" s="97"/>
      <c r="F63" s="946">
        <v>300</v>
      </c>
      <c r="G63" s="97">
        <v>300</v>
      </c>
      <c r="H63" s="1473"/>
    </row>
    <row r="64" spans="1:8" s="224" customFormat="1" x14ac:dyDescent="0.25">
      <c r="A64" s="215">
        <v>41808</v>
      </c>
      <c r="B64" s="349" t="s">
        <v>519</v>
      </c>
      <c r="C64" s="350" t="s">
        <v>12</v>
      </c>
      <c r="D64" s="141" t="s">
        <v>13</v>
      </c>
      <c r="E64" s="97">
        <v>155</v>
      </c>
      <c r="F64" s="946"/>
      <c r="G64" s="97"/>
      <c r="H64" s="1473"/>
    </row>
    <row r="65" spans="1:9" s="224" customFormat="1" hidden="1" x14ac:dyDescent="0.25">
      <c r="A65" s="215">
        <v>41808</v>
      </c>
      <c r="B65" s="862" t="s">
        <v>14</v>
      </c>
      <c r="C65" s="350" t="s">
        <v>12</v>
      </c>
      <c r="D65" s="141" t="s">
        <v>13</v>
      </c>
      <c r="E65" s="97">
        <v>11.94</v>
      </c>
      <c r="F65" s="946"/>
      <c r="G65" s="97"/>
      <c r="H65" s="1473"/>
    </row>
    <row r="66" spans="1:9" s="224" customFormat="1" hidden="1" x14ac:dyDescent="0.25">
      <c r="A66" s="215">
        <v>41808</v>
      </c>
      <c r="B66" s="862" t="s">
        <v>520</v>
      </c>
      <c r="C66" s="350" t="s">
        <v>12</v>
      </c>
      <c r="D66" s="141" t="s">
        <v>15</v>
      </c>
      <c r="E66" s="97">
        <v>12</v>
      </c>
      <c r="F66" s="946"/>
      <c r="G66" s="97"/>
      <c r="H66" s="1473"/>
    </row>
    <row r="67" spans="1:9" s="224" customFormat="1" ht="15.75" hidden="1" customHeight="1" x14ac:dyDescent="0.25">
      <c r="A67" s="215">
        <v>41809</v>
      </c>
      <c r="B67" s="862" t="s">
        <v>521</v>
      </c>
      <c r="C67" s="350" t="s">
        <v>12</v>
      </c>
      <c r="D67" s="141" t="s">
        <v>13</v>
      </c>
      <c r="E67" s="97">
        <v>11.69</v>
      </c>
      <c r="F67" s="1473"/>
      <c r="G67" s="252"/>
      <c r="H67" s="1473"/>
    </row>
    <row r="68" spans="1:9" s="224" customFormat="1" ht="15.75" hidden="1" customHeight="1" x14ac:dyDescent="0.25">
      <c r="A68" s="215">
        <v>41809</v>
      </c>
      <c r="B68" s="862" t="s">
        <v>14</v>
      </c>
      <c r="C68" s="350" t="s">
        <v>12</v>
      </c>
      <c r="D68" s="141" t="s">
        <v>13</v>
      </c>
      <c r="E68" s="97">
        <v>13.6</v>
      </c>
      <c r="F68" s="1473"/>
      <c r="G68" s="252"/>
      <c r="H68" s="1473"/>
    </row>
    <row r="69" spans="1:9" s="224" customFormat="1" ht="15.75" hidden="1" customHeight="1" x14ac:dyDescent="0.25">
      <c r="A69" s="215">
        <v>41810</v>
      </c>
      <c r="B69" s="349" t="s">
        <v>260</v>
      </c>
      <c r="C69" s="350"/>
      <c r="D69" s="141"/>
      <c r="E69" s="97">
        <v>250</v>
      </c>
      <c r="F69" s="946"/>
      <c r="G69" s="97"/>
      <c r="H69" s="946">
        <v>250</v>
      </c>
    </row>
    <row r="70" spans="1:9" s="224" customFormat="1" hidden="1" x14ac:dyDescent="0.25">
      <c r="A70" s="215">
        <v>41810</v>
      </c>
      <c r="B70" s="349" t="s">
        <v>522</v>
      </c>
      <c r="C70" s="350" t="s">
        <v>12</v>
      </c>
      <c r="D70" s="141" t="s">
        <v>25</v>
      </c>
      <c r="E70" s="250"/>
      <c r="F70" s="1473">
        <v>726</v>
      </c>
      <c r="G70" s="252"/>
      <c r="H70" s="1473"/>
    </row>
    <row r="71" spans="1:9" s="224" customFormat="1" hidden="1" x14ac:dyDescent="0.25">
      <c r="A71" s="215">
        <v>41810</v>
      </c>
      <c r="B71" s="882" t="s">
        <v>523</v>
      </c>
      <c r="C71" s="350" t="s">
        <v>12</v>
      </c>
      <c r="D71" s="887" t="s">
        <v>13</v>
      </c>
      <c r="E71" s="538">
        <v>23.54</v>
      </c>
      <c r="F71" s="1002"/>
      <c r="G71" s="539"/>
      <c r="H71" s="1002"/>
      <c r="I71" s="709"/>
    </row>
    <row r="72" spans="1:9" hidden="1" x14ac:dyDescent="0.25">
      <c r="A72" s="215">
        <v>41810</v>
      </c>
      <c r="B72" s="349" t="s">
        <v>524</v>
      </c>
      <c r="C72" s="350" t="s">
        <v>12</v>
      </c>
      <c r="D72" s="887" t="s">
        <v>13</v>
      </c>
      <c r="E72" s="97">
        <v>225</v>
      </c>
      <c r="F72" s="946"/>
      <c r="G72" s="95"/>
      <c r="H72" s="946"/>
    </row>
    <row r="73" spans="1:9" hidden="1" x14ac:dyDescent="0.25">
      <c r="A73" s="215">
        <v>41810</v>
      </c>
      <c r="B73" s="349" t="s">
        <v>32</v>
      </c>
      <c r="C73" s="350" t="s">
        <v>12</v>
      </c>
      <c r="D73" s="141" t="s">
        <v>13</v>
      </c>
      <c r="E73" s="97">
        <v>6.5</v>
      </c>
      <c r="F73" s="946"/>
      <c r="G73" s="95"/>
      <c r="H73" s="946"/>
    </row>
    <row r="74" spans="1:9" hidden="1" x14ac:dyDescent="0.25">
      <c r="A74" s="215">
        <v>41810</v>
      </c>
      <c r="B74" s="349" t="s">
        <v>138</v>
      </c>
      <c r="C74" s="350" t="s">
        <v>12</v>
      </c>
      <c r="D74" s="141" t="s">
        <v>13</v>
      </c>
      <c r="E74" s="97">
        <v>20</v>
      </c>
      <c r="F74" s="946"/>
      <c r="G74" s="95"/>
      <c r="H74" s="946"/>
    </row>
    <row r="75" spans="1:9" hidden="1" x14ac:dyDescent="0.25">
      <c r="A75" s="215">
        <v>41810</v>
      </c>
      <c r="B75" s="349" t="s">
        <v>525</v>
      </c>
      <c r="C75" s="350" t="s">
        <v>12</v>
      </c>
      <c r="D75" s="141" t="s">
        <v>13</v>
      </c>
      <c r="E75" s="97">
        <v>22</v>
      </c>
      <c r="F75" s="946"/>
      <c r="G75" s="95"/>
      <c r="H75" s="946"/>
    </row>
    <row r="76" spans="1:9" hidden="1" x14ac:dyDescent="0.25">
      <c r="A76" s="215">
        <v>41810</v>
      </c>
      <c r="B76" s="349" t="s">
        <v>526</v>
      </c>
      <c r="C76" s="350" t="s">
        <v>12</v>
      </c>
      <c r="D76" s="141" t="s">
        <v>13</v>
      </c>
      <c r="E76" s="97">
        <v>4</v>
      </c>
      <c r="F76" s="946"/>
      <c r="G76" s="95"/>
      <c r="H76" s="946"/>
    </row>
    <row r="77" spans="1:9" hidden="1" x14ac:dyDescent="0.25">
      <c r="A77" s="215">
        <v>41810</v>
      </c>
      <c r="B77" s="349" t="s">
        <v>17</v>
      </c>
      <c r="C77" s="350" t="s">
        <v>12</v>
      </c>
      <c r="D77" s="141" t="s">
        <v>15</v>
      </c>
      <c r="E77" s="97">
        <v>4</v>
      </c>
      <c r="F77" s="946"/>
      <c r="G77" s="95"/>
      <c r="H77" s="946"/>
    </row>
    <row r="78" spans="1:9" hidden="1" x14ac:dyDescent="0.25">
      <c r="A78" s="215">
        <v>41810</v>
      </c>
      <c r="B78" s="349" t="s">
        <v>103</v>
      </c>
      <c r="C78" s="350" t="s">
        <v>12</v>
      </c>
      <c r="D78" s="141" t="s">
        <v>15</v>
      </c>
      <c r="E78" s="97">
        <v>6.5</v>
      </c>
      <c r="F78" s="946"/>
      <c r="G78" s="95"/>
      <c r="H78" s="946"/>
    </row>
    <row r="79" spans="1:9" hidden="1" x14ac:dyDescent="0.25">
      <c r="A79" s="215">
        <v>41811</v>
      </c>
      <c r="B79" s="349" t="s">
        <v>32</v>
      </c>
      <c r="C79" s="350" t="s">
        <v>12</v>
      </c>
      <c r="D79" s="141" t="s">
        <v>13</v>
      </c>
      <c r="E79" s="97">
        <v>6.5</v>
      </c>
      <c r="F79" s="946"/>
      <c r="G79" s="95"/>
      <c r="H79" s="946"/>
    </row>
    <row r="80" spans="1:9" hidden="1" x14ac:dyDescent="0.25">
      <c r="A80" s="215">
        <v>41811</v>
      </c>
      <c r="B80" s="349" t="s">
        <v>14</v>
      </c>
      <c r="C80" s="350" t="s">
        <v>12</v>
      </c>
      <c r="D80" s="141" t="s">
        <v>13</v>
      </c>
      <c r="E80" s="97">
        <v>11.43</v>
      </c>
      <c r="F80" s="946"/>
      <c r="G80" s="95"/>
      <c r="H80" s="946"/>
    </row>
    <row r="81" spans="1:8" hidden="1" x14ac:dyDescent="0.25">
      <c r="A81" s="215">
        <v>41811</v>
      </c>
      <c r="B81" s="349" t="s">
        <v>82</v>
      </c>
      <c r="C81" s="350" t="s">
        <v>12</v>
      </c>
      <c r="D81" s="141" t="s">
        <v>13</v>
      </c>
      <c r="E81" s="97">
        <v>12</v>
      </c>
      <c r="F81" s="946"/>
      <c r="G81" s="95"/>
      <c r="H81" s="946"/>
    </row>
    <row r="82" spans="1:8" hidden="1" x14ac:dyDescent="0.25">
      <c r="A82" s="215">
        <v>41812</v>
      </c>
      <c r="B82" s="349" t="s">
        <v>527</v>
      </c>
      <c r="C82" s="350" t="s">
        <v>12</v>
      </c>
      <c r="D82" s="141" t="s">
        <v>13</v>
      </c>
      <c r="E82" s="97">
        <v>7.7</v>
      </c>
      <c r="F82" s="946"/>
      <c r="G82" s="95"/>
      <c r="H82" s="946"/>
    </row>
    <row r="83" spans="1:8" hidden="1" x14ac:dyDescent="0.25">
      <c r="A83" s="215">
        <v>41812</v>
      </c>
      <c r="B83" s="349" t="s">
        <v>14</v>
      </c>
      <c r="C83" s="350" t="s">
        <v>12</v>
      </c>
      <c r="D83" s="141" t="s">
        <v>13</v>
      </c>
      <c r="E83" s="97">
        <v>11.43</v>
      </c>
      <c r="F83" s="946"/>
      <c r="G83" s="95"/>
      <c r="H83" s="946"/>
    </row>
    <row r="84" spans="1:8" hidden="1" x14ac:dyDescent="0.25">
      <c r="A84" s="215">
        <v>41813</v>
      </c>
      <c r="B84" s="349" t="s">
        <v>134</v>
      </c>
      <c r="C84" s="350" t="s">
        <v>12</v>
      </c>
      <c r="D84" s="141" t="s">
        <v>15</v>
      </c>
      <c r="E84" s="97">
        <v>8.5</v>
      </c>
      <c r="F84" s="946"/>
      <c r="G84" s="95"/>
      <c r="H84" s="946"/>
    </row>
    <row r="85" spans="1:8" hidden="1" x14ac:dyDescent="0.25">
      <c r="A85" s="215">
        <v>41813</v>
      </c>
      <c r="B85" s="349" t="s">
        <v>14</v>
      </c>
      <c r="C85" s="350" t="s">
        <v>12</v>
      </c>
      <c r="D85" s="141" t="s">
        <v>15</v>
      </c>
      <c r="E85" s="97">
        <v>1.8</v>
      </c>
      <c r="F85" s="946"/>
      <c r="G85" s="95"/>
      <c r="H85" s="946"/>
    </row>
    <row r="86" spans="1:8" hidden="1" x14ac:dyDescent="0.25">
      <c r="A86" s="215">
        <v>41813</v>
      </c>
      <c r="B86" s="349" t="s">
        <v>56</v>
      </c>
      <c r="C86" s="350" t="s">
        <v>12</v>
      </c>
      <c r="D86" s="141" t="s">
        <v>13</v>
      </c>
      <c r="E86" s="97">
        <v>8.33</v>
      </c>
      <c r="F86" s="946"/>
      <c r="G86" s="95"/>
      <c r="H86" s="946"/>
    </row>
    <row r="87" spans="1:8" hidden="1" x14ac:dyDescent="0.25">
      <c r="A87" s="215">
        <v>41814</v>
      </c>
      <c r="B87" s="349" t="s">
        <v>32</v>
      </c>
      <c r="C87" s="350" t="s">
        <v>12</v>
      </c>
      <c r="D87" s="141" t="s">
        <v>13</v>
      </c>
      <c r="E87" s="97">
        <v>10</v>
      </c>
      <c r="F87" s="946"/>
      <c r="G87" s="95"/>
      <c r="H87" s="946"/>
    </row>
    <row r="88" spans="1:8" hidden="1" x14ac:dyDescent="0.25">
      <c r="A88" s="215">
        <v>41814</v>
      </c>
      <c r="B88" s="349" t="s">
        <v>138</v>
      </c>
      <c r="C88" s="350" t="s">
        <v>12</v>
      </c>
      <c r="D88" s="141" t="s">
        <v>13</v>
      </c>
      <c r="E88" s="97">
        <v>20</v>
      </c>
      <c r="F88" s="946"/>
      <c r="G88" s="95"/>
      <c r="H88" s="946"/>
    </row>
    <row r="89" spans="1:8" hidden="1" x14ac:dyDescent="0.25">
      <c r="A89" s="215">
        <v>41814</v>
      </c>
      <c r="B89" s="349" t="s">
        <v>14</v>
      </c>
      <c r="C89" s="350" t="s">
        <v>12</v>
      </c>
      <c r="D89" s="141" t="s">
        <v>15</v>
      </c>
      <c r="E89" s="97">
        <v>1.3</v>
      </c>
      <c r="F89" s="946"/>
      <c r="G89" s="95"/>
      <c r="H89" s="946"/>
    </row>
    <row r="90" spans="1:8" s="224" customFormat="1" hidden="1" x14ac:dyDescent="0.25">
      <c r="A90" s="215">
        <v>41815</v>
      </c>
      <c r="B90" s="349" t="s">
        <v>256</v>
      </c>
      <c r="C90" s="350"/>
      <c r="D90" s="141"/>
      <c r="E90" s="97"/>
      <c r="F90" s="946">
        <v>175</v>
      </c>
      <c r="G90" s="97">
        <v>175</v>
      </c>
      <c r="H90" s="1473"/>
    </row>
    <row r="91" spans="1:8" hidden="1" x14ac:dyDescent="0.25">
      <c r="A91" s="215">
        <v>41815</v>
      </c>
      <c r="B91" s="349" t="s">
        <v>32</v>
      </c>
      <c r="C91" s="350" t="s">
        <v>12</v>
      </c>
      <c r="D91" s="141" t="s">
        <v>13</v>
      </c>
      <c r="E91" s="97">
        <v>6.5</v>
      </c>
      <c r="F91" s="946"/>
      <c r="G91" s="95"/>
      <c r="H91" s="946"/>
    </row>
    <row r="92" spans="1:8" hidden="1" x14ac:dyDescent="0.25">
      <c r="A92" s="215">
        <v>41815</v>
      </c>
      <c r="B92" s="349" t="s">
        <v>14</v>
      </c>
      <c r="C92" s="350" t="s">
        <v>12</v>
      </c>
      <c r="D92" s="141" t="s">
        <v>15</v>
      </c>
      <c r="E92" s="97">
        <v>10.52</v>
      </c>
      <c r="F92" s="946"/>
      <c r="G92" s="95"/>
      <c r="H92" s="946"/>
    </row>
    <row r="93" spans="1:8" x14ac:dyDescent="0.25">
      <c r="A93" s="215">
        <v>41815</v>
      </c>
      <c r="B93" s="349" t="s">
        <v>528</v>
      </c>
      <c r="C93" s="350" t="s">
        <v>12</v>
      </c>
      <c r="D93" s="141" t="s">
        <v>13</v>
      </c>
      <c r="E93" s="97">
        <v>143</v>
      </c>
      <c r="F93" s="946"/>
      <c r="G93" s="95"/>
      <c r="H93" s="946"/>
    </row>
    <row r="94" spans="1:8" s="224" customFormat="1" hidden="1" x14ac:dyDescent="0.25">
      <c r="A94" s="215">
        <v>41816</v>
      </c>
      <c r="B94" s="349" t="s">
        <v>32</v>
      </c>
      <c r="C94" s="350" t="s">
        <v>12</v>
      </c>
      <c r="D94" s="141" t="s">
        <v>13</v>
      </c>
      <c r="E94" s="97">
        <v>10</v>
      </c>
      <c r="F94" s="1473"/>
      <c r="G94" s="252"/>
      <c r="H94" s="1473"/>
    </row>
    <row r="95" spans="1:8" hidden="1" x14ac:dyDescent="0.25">
      <c r="A95" s="215">
        <v>41816</v>
      </c>
      <c r="B95" s="349" t="s">
        <v>138</v>
      </c>
      <c r="C95" s="350" t="s">
        <v>12</v>
      </c>
      <c r="D95" s="141" t="s">
        <v>13</v>
      </c>
      <c r="E95" s="97">
        <v>20</v>
      </c>
      <c r="F95" s="946"/>
      <c r="G95" s="95"/>
      <c r="H95" s="946"/>
    </row>
    <row r="96" spans="1:8" hidden="1" x14ac:dyDescent="0.25">
      <c r="A96" s="215">
        <v>41816</v>
      </c>
      <c r="B96" s="349" t="s">
        <v>14</v>
      </c>
      <c r="C96" s="350" t="s">
        <v>12</v>
      </c>
      <c r="D96" s="141" t="s">
        <v>15</v>
      </c>
      <c r="E96" s="97">
        <v>1.8</v>
      </c>
      <c r="F96" s="946"/>
      <c r="G96" s="95"/>
      <c r="H96" s="946"/>
    </row>
    <row r="97" spans="1:8" hidden="1" x14ac:dyDescent="0.25">
      <c r="A97" s="215">
        <v>41817</v>
      </c>
      <c r="B97" s="349" t="s">
        <v>32</v>
      </c>
      <c r="C97" s="350" t="s">
        <v>12</v>
      </c>
      <c r="D97" s="141" t="s">
        <v>13</v>
      </c>
      <c r="E97" s="97">
        <v>8</v>
      </c>
      <c r="F97" s="946"/>
      <c r="G97" s="95"/>
      <c r="H97" s="946"/>
    </row>
    <row r="98" spans="1:8" hidden="1" x14ac:dyDescent="0.25">
      <c r="A98" s="215">
        <v>41817</v>
      </c>
      <c r="B98" s="349" t="s">
        <v>199</v>
      </c>
      <c r="C98" s="350" t="s">
        <v>12</v>
      </c>
      <c r="D98" s="141" t="s">
        <v>13</v>
      </c>
      <c r="E98" s="97">
        <v>11</v>
      </c>
      <c r="F98" s="946"/>
      <c r="G98" s="95"/>
      <c r="H98" s="946"/>
    </row>
    <row r="99" spans="1:8" hidden="1" x14ac:dyDescent="0.25">
      <c r="A99" s="215">
        <v>41817</v>
      </c>
      <c r="B99" s="349" t="s">
        <v>56</v>
      </c>
      <c r="C99" s="350" t="s">
        <v>12</v>
      </c>
      <c r="D99" s="141" t="s">
        <v>15</v>
      </c>
      <c r="E99" s="97">
        <v>18</v>
      </c>
      <c r="F99" s="946"/>
      <c r="G99" s="95"/>
      <c r="H99" s="946"/>
    </row>
    <row r="100" spans="1:8" s="224" customFormat="1" x14ac:dyDescent="0.25">
      <c r="A100" s="215">
        <v>41818</v>
      </c>
      <c r="B100" s="873" t="s">
        <v>529</v>
      </c>
      <c r="C100" s="879" t="s">
        <v>12</v>
      </c>
      <c r="D100" s="887" t="s">
        <v>15</v>
      </c>
      <c r="E100" s="250">
        <v>100</v>
      </c>
      <c r="F100" s="1473"/>
      <c r="G100" s="252"/>
      <c r="H100" s="1473"/>
    </row>
    <row r="101" spans="1:8" hidden="1" x14ac:dyDescent="0.25">
      <c r="A101" s="215">
        <v>41818</v>
      </c>
      <c r="B101" s="349" t="s">
        <v>14</v>
      </c>
      <c r="C101" s="350" t="s">
        <v>12</v>
      </c>
      <c r="D101" s="141" t="s">
        <v>13</v>
      </c>
      <c r="E101" s="97">
        <v>11.52</v>
      </c>
      <c r="F101" s="946"/>
      <c r="G101" s="95"/>
      <c r="H101" s="946"/>
    </row>
    <row r="102" spans="1:8" hidden="1" x14ac:dyDescent="0.25">
      <c r="A102" s="215">
        <v>41818</v>
      </c>
      <c r="B102" s="349" t="s">
        <v>134</v>
      </c>
      <c r="C102" s="350" t="s">
        <v>19</v>
      </c>
      <c r="D102" s="141" t="s">
        <v>13</v>
      </c>
      <c r="E102" s="97">
        <v>29.5</v>
      </c>
      <c r="F102" s="946"/>
      <c r="G102" s="95"/>
      <c r="H102" s="946"/>
    </row>
    <row r="103" spans="1:8" s="224" customFormat="1" hidden="1" x14ac:dyDescent="0.25">
      <c r="A103" s="215">
        <v>41819</v>
      </c>
      <c r="B103" s="862" t="s">
        <v>14</v>
      </c>
      <c r="C103" s="879" t="s">
        <v>12</v>
      </c>
      <c r="D103" s="887" t="s">
        <v>15</v>
      </c>
      <c r="E103" s="250">
        <v>16</v>
      </c>
      <c r="F103" s="1473"/>
      <c r="G103" s="252"/>
      <c r="H103" s="1473"/>
    </row>
    <row r="104" spans="1:8" s="224" customFormat="1" hidden="1" x14ac:dyDescent="0.25">
      <c r="A104" s="215">
        <v>41819</v>
      </c>
      <c r="B104" s="862" t="s">
        <v>138</v>
      </c>
      <c r="C104" s="879" t="s">
        <v>12</v>
      </c>
      <c r="D104" s="887" t="s">
        <v>15</v>
      </c>
      <c r="E104" s="250">
        <v>10</v>
      </c>
      <c r="F104" s="1473"/>
      <c r="G104" s="252"/>
      <c r="H104" s="1473"/>
    </row>
    <row r="105" spans="1:8" s="224" customFormat="1" hidden="1" x14ac:dyDescent="0.25">
      <c r="A105" s="215">
        <v>41820</v>
      </c>
      <c r="B105" s="349" t="s">
        <v>32</v>
      </c>
      <c r="C105" s="350" t="s">
        <v>12</v>
      </c>
      <c r="D105" s="141" t="s">
        <v>15</v>
      </c>
      <c r="E105" s="97">
        <v>4</v>
      </c>
      <c r="F105" s="1473"/>
      <c r="G105" s="252"/>
      <c r="H105" s="1473"/>
    </row>
    <row r="106" spans="1:8" s="224" customFormat="1" hidden="1" x14ac:dyDescent="0.25">
      <c r="A106" s="215">
        <v>41820</v>
      </c>
      <c r="B106" s="862" t="s">
        <v>138</v>
      </c>
      <c r="C106" s="879" t="s">
        <v>12</v>
      </c>
      <c r="D106" s="887" t="s">
        <v>15</v>
      </c>
      <c r="E106" s="250">
        <v>20</v>
      </c>
      <c r="F106" s="1473"/>
      <c r="G106" s="252"/>
      <c r="H106" s="1473"/>
    </row>
    <row r="107" spans="1:8" ht="25.5" hidden="1" customHeight="1" thickBot="1" x14ac:dyDescent="0.3">
      <c r="A107" s="689"/>
      <c r="B107" s="690"/>
      <c r="C107" s="691"/>
      <c r="D107" s="691"/>
      <c r="E107" s="100">
        <f>SUM(E5:E106)</f>
        <v>2616.1899999999996</v>
      </c>
      <c r="F107" s="1065">
        <f>SUM(F5:F105)</f>
        <v>2681.1000000000013</v>
      </c>
      <c r="G107" s="101">
        <f>SUM(G5:G105)</f>
        <v>675</v>
      </c>
      <c r="H107" s="93">
        <f>SUM(H5:H105)</f>
        <v>875.36</v>
      </c>
    </row>
    <row r="108" spans="1:8" ht="25.5" hidden="1" customHeight="1" thickBot="1" x14ac:dyDescent="0.3">
      <c r="A108" s="710" t="s">
        <v>49</v>
      </c>
      <c r="B108" s="711"/>
      <c r="C108" s="711"/>
      <c r="D108" s="712"/>
      <c r="E108" s="144"/>
      <c r="F108" s="519">
        <f>F107-E107</f>
        <v>64.910000000001673</v>
      </c>
      <c r="G108" s="555"/>
      <c r="H108" s="556">
        <f>H107-G107</f>
        <v>200.36</v>
      </c>
    </row>
    <row r="110" spans="1:8" x14ac:dyDescent="0.25">
      <c r="B110" s="79" t="s">
        <v>32</v>
      </c>
      <c r="C110" s="484">
        <v>134</v>
      </c>
    </row>
    <row r="111" spans="1:8" x14ac:dyDescent="0.25">
      <c r="B111" s="79" t="s">
        <v>16</v>
      </c>
      <c r="C111" s="484">
        <v>200</v>
      </c>
      <c r="D111" s="79"/>
    </row>
    <row r="112" spans="1:8" x14ac:dyDescent="0.25">
      <c r="B112" s="79" t="s">
        <v>50</v>
      </c>
      <c r="C112" s="484">
        <v>149.5</v>
      </c>
    </row>
    <row r="113" spans="1:9" s="85" customFormat="1" x14ac:dyDescent="0.25">
      <c r="A113" s="79"/>
      <c r="B113" s="79" t="s">
        <v>14</v>
      </c>
      <c r="C113" s="475">
        <v>208.52</v>
      </c>
      <c r="E113" s="89"/>
      <c r="F113" s="79"/>
      <c r="G113" s="79"/>
    </row>
    <row r="114" spans="1:9" s="85" customFormat="1" x14ac:dyDescent="0.25">
      <c r="A114" s="79"/>
      <c r="B114" s="79" t="s">
        <v>51</v>
      </c>
      <c r="C114" s="475">
        <v>64.08</v>
      </c>
      <c r="E114" s="89"/>
      <c r="F114" s="79"/>
      <c r="G114" s="79"/>
      <c r="H114" s="79"/>
    </row>
    <row r="115" spans="1:9" s="85" customFormat="1" x14ac:dyDescent="0.25">
      <c r="B115" s="79" t="s">
        <v>52</v>
      </c>
      <c r="C115" s="475">
        <v>50</v>
      </c>
      <c r="E115" s="89"/>
      <c r="F115" s="79"/>
      <c r="G115" s="79"/>
      <c r="H115" s="79"/>
    </row>
    <row r="116" spans="1:9" s="85" customFormat="1" x14ac:dyDescent="0.25">
      <c r="A116" s="79"/>
      <c r="B116" s="867" t="s">
        <v>53</v>
      </c>
      <c r="C116" s="475">
        <v>21</v>
      </c>
      <c r="D116" s="89"/>
      <c r="E116" s="89"/>
      <c r="F116" s="79"/>
      <c r="G116" s="79"/>
      <c r="H116" s="79"/>
    </row>
    <row r="117" spans="1:9" s="85" customFormat="1" x14ac:dyDescent="0.25">
      <c r="A117" s="79"/>
      <c r="B117" s="79" t="s">
        <v>56</v>
      </c>
      <c r="C117" s="475">
        <v>46.88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57</v>
      </c>
      <c r="C118" s="475">
        <v>88.33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418</v>
      </c>
      <c r="C119" s="475">
        <v>738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419</v>
      </c>
      <c r="C120" s="475">
        <v>0</v>
      </c>
      <c r="E120" s="89"/>
      <c r="F120" s="79"/>
      <c r="G120" s="79"/>
      <c r="H120" s="79"/>
    </row>
    <row r="122" spans="1:9" x14ac:dyDescent="0.25">
      <c r="B122" s="79" t="s">
        <v>486</v>
      </c>
      <c r="C122" s="475">
        <f>G122/I122</f>
        <v>72.25633333333333</v>
      </c>
      <c r="E122" s="224" t="s">
        <v>487</v>
      </c>
      <c r="F122" s="224"/>
      <c r="G122" s="216">
        <v>2167.69</v>
      </c>
      <c r="H122" s="518" t="s">
        <v>488</v>
      </c>
      <c r="I122" s="85">
        <v>30</v>
      </c>
    </row>
  </sheetData>
  <autoFilter ref="A2:H108" xr:uid="{00000000-0009-0000-0000-000012000000}">
    <filterColumn colId="1">
      <filters>
        <filter val="05 Telhas + cimento + parafusos telhas"/>
        <filter val="10 Telhas + caibro+vigas (cobert. Garagem)"/>
        <filter val="100 tijolos + 1 cimento (cobert. Garagem)"/>
        <filter val="Areia cobertura garagem"/>
        <filter val="Mão de obra Moacir cobert garagem 1/2"/>
        <filter val="Mão de obra Moacir cobert garagem 2/3"/>
      </filters>
    </filterColumn>
  </autoFilter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11" filterMode="1"/>
  <dimension ref="A1:L119"/>
  <sheetViews>
    <sheetView workbookViewId="0">
      <selection activeCell="C106" sqref="A1:L1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530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hidden="1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hidden="1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41821</v>
      </c>
      <c r="B5" s="369" t="s">
        <v>10</v>
      </c>
      <c r="C5" s="370"/>
      <c r="D5" s="207"/>
      <c r="E5" s="179"/>
      <c r="F5" s="933">
        <f>'Junho-2014'!F108</f>
        <v>64.910000000001673</v>
      </c>
      <c r="G5" s="163"/>
      <c r="H5" s="933">
        <f>'Junho-2014'!H108</f>
        <v>200.36</v>
      </c>
    </row>
    <row r="6" spans="1:8" s="224" customFormat="1" hidden="1" x14ac:dyDescent="0.25">
      <c r="A6" s="215">
        <v>41821</v>
      </c>
      <c r="B6" s="348" t="s">
        <v>11</v>
      </c>
      <c r="C6" s="351"/>
      <c r="D6" s="248"/>
      <c r="E6" s="250">
        <v>6</v>
      </c>
      <c r="F6" s="1473"/>
      <c r="G6" s="252"/>
      <c r="H6" s="1473"/>
    </row>
    <row r="7" spans="1:8" s="224" customFormat="1" hidden="1" x14ac:dyDescent="0.25">
      <c r="A7" s="215">
        <v>41821</v>
      </c>
      <c r="B7" s="862" t="s">
        <v>32</v>
      </c>
      <c r="C7" s="879" t="s">
        <v>12</v>
      </c>
      <c r="D7" s="887" t="s">
        <v>13</v>
      </c>
      <c r="E7" s="250">
        <v>12.5</v>
      </c>
      <c r="F7" s="1473"/>
      <c r="G7" s="252"/>
      <c r="H7" s="1473"/>
    </row>
    <row r="8" spans="1:8" s="224" customFormat="1" hidden="1" x14ac:dyDescent="0.25">
      <c r="A8" s="215">
        <v>41821</v>
      </c>
      <c r="B8" s="862" t="s">
        <v>14</v>
      </c>
      <c r="C8" s="879" t="s">
        <v>12</v>
      </c>
      <c r="D8" s="887" t="s">
        <v>15</v>
      </c>
      <c r="E8" s="250">
        <v>1.8</v>
      </c>
      <c r="F8" s="1473"/>
      <c r="G8" s="252"/>
      <c r="H8" s="1473"/>
    </row>
    <row r="9" spans="1:8" s="224" customFormat="1" hidden="1" x14ac:dyDescent="0.25">
      <c r="A9" s="215">
        <v>41821</v>
      </c>
      <c r="B9" s="349" t="s">
        <v>256</v>
      </c>
      <c r="C9" s="350"/>
      <c r="D9" s="141"/>
      <c r="E9" s="97"/>
      <c r="F9" s="946">
        <v>200.36</v>
      </c>
      <c r="G9" s="97">
        <v>200.36</v>
      </c>
      <c r="H9" s="1473"/>
    </row>
    <row r="10" spans="1:8" s="224" customFormat="1" hidden="1" x14ac:dyDescent="0.25">
      <c r="A10" s="215">
        <v>41822</v>
      </c>
      <c r="B10" s="873" t="s">
        <v>531</v>
      </c>
      <c r="C10" s="879" t="s">
        <v>12</v>
      </c>
      <c r="D10" s="887" t="s">
        <v>25</v>
      </c>
      <c r="E10" s="250"/>
      <c r="F10" s="1473">
        <v>150</v>
      </c>
      <c r="G10" s="252"/>
      <c r="H10" s="1473"/>
    </row>
    <row r="11" spans="1:8" s="224" customFormat="1" hidden="1" x14ac:dyDescent="0.25">
      <c r="A11" s="215">
        <v>41822</v>
      </c>
      <c r="B11" s="862" t="s">
        <v>32</v>
      </c>
      <c r="C11" s="879" t="s">
        <v>12</v>
      </c>
      <c r="D11" s="887" t="s">
        <v>13</v>
      </c>
      <c r="E11" s="250">
        <v>7.5</v>
      </c>
      <c r="F11" s="946"/>
      <c r="G11" s="97"/>
      <c r="H11" s="1473"/>
    </row>
    <row r="12" spans="1:8" s="224" customFormat="1" hidden="1" x14ac:dyDescent="0.25">
      <c r="A12" s="215">
        <v>41822</v>
      </c>
      <c r="B12" s="862" t="s">
        <v>138</v>
      </c>
      <c r="C12" s="879" t="s">
        <v>12</v>
      </c>
      <c r="D12" s="887" t="s">
        <v>13</v>
      </c>
      <c r="E12" s="250">
        <v>20</v>
      </c>
      <c r="F12" s="1473"/>
      <c r="G12" s="252"/>
      <c r="H12" s="1473"/>
    </row>
    <row r="13" spans="1:8" s="224" customFormat="1" hidden="1" x14ac:dyDescent="0.25">
      <c r="A13" s="215">
        <v>41822</v>
      </c>
      <c r="B13" s="873" t="s">
        <v>14</v>
      </c>
      <c r="C13" s="879" t="s">
        <v>12</v>
      </c>
      <c r="D13" s="887" t="s">
        <v>13</v>
      </c>
      <c r="E13" s="250">
        <v>15.5</v>
      </c>
      <c r="F13" s="1473"/>
      <c r="G13" s="252"/>
      <c r="H13" s="1473"/>
    </row>
    <row r="14" spans="1:8" s="224" customFormat="1" hidden="1" x14ac:dyDescent="0.25">
      <c r="A14" s="215">
        <v>41823</v>
      </c>
      <c r="B14" s="862" t="s">
        <v>32</v>
      </c>
      <c r="C14" s="879" t="s">
        <v>12</v>
      </c>
      <c r="D14" s="887" t="s">
        <v>13</v>
      </c>
      <c r="E14" s="250">
        <v>10</v>
      </c>
      <c r="F14" s="1473"/>
      <c r="G14" s="252"/>
      <c r="H14" s="1473"/>
    </row>
    <row r="15" spans="1:8" s="224" customFormat="1" hidden="1" x14ac:dyDescent="0.25">
      <c r="A15" s="215">
        <v>41823</v>
      </c>
      <c r="B15" s="873" t="s">
        <v>14</v>
      </c>
      <c r="C15" s="879" t="s">
        <v>12</v>
      </c>
      <c r="D15" s="887" t="s">
        <v>15</v>
      </c>
      <c r="E15" s="250">
        <v>1.7</v>
      </c>
      <c r="F15" s="1473"/>
      <c r="G15" s="252"/>
      <c r="H15" s="1473"/>
    </row>
    <row r="16" spans="1:8" s="224" customFormat="1" hidden="1" x14ac:dyDescent="0.25">
      <c r="A16" s="215">
        <v>41823</v>
      </c>
      <c r="B16" s="862" t="s">
        <v>80</v>
      </c>
      <c r="C16" s="879" t="s">
        <v>12</v>
      </c>
      <c r="D16" s="887" t="s">
        <v>13</v>
      </c>
      <c r="E16" s="250">
        <v>17.399999999999999</v>
      </c>
      <c r="F16" s="1473"/>
      <c r="G16" s="252"/>
      <c r="H16" s="1473"/>
    </row>
    <row r="17" spans="1:12" s="224" customFormat="1" hidden="1" x14ac:dyDescent="0.25">
      <c r="A17" s="215">
        <v>41824</v>
      </c>
      <c r="B17" s="349" t="s">
        <v>532</v>
      </c>
      <c r="C17" s="879" t="s">
        <v>12</v>
      </c>
      <c r="D17" s="983" t="s">
        <v>25</v>
      </c>
      <c r="E17" s="250"/>
      <c r="F17" s="1473">
        <v>917</v>
      </c>
      <c r="G17" s="252"/>
      <c r="H17" s="1473"/>
    </row>
    <row r="18" spans="1:12" s="224" customFormat="1" ht="15.75" hidden="1" customHeight="1" x14ac:dyDescent="0.25">
      <c r="A18" s="215">
        <v>41824</v>
      </c>
      <c r="B18" s="862" t="s">
        <v>533</v>
      </c>
      <c r="C18" s="350" t="s">
        <v>12</v>
      </c>
      <c r="D18" s="141" t="s">
        <v>13</v>
      </c>
      <c r="E18" s="97">
        <v>200</v>
      </c>
      <c r="F18" s="1473"/>
      <c r="G18" s="252"/>
      <c r="H18" s="1473"/>
    </row>
    <row r="19" spans="1:12" s="224" customFormat="1" hidden="1" x14ac:dyDescent="0.25">
      <c r="A19" s="215">
        <v>41824</v>
      </c>
      <c r="B19" s="882" t="s">
        <v>534</v>
      </c>
      <c r="C19" s="350" t="s">
        <v>12</v>
      </c>
      <c r="D19" s="141" t="s">
        <v>13</v>
      </c>
      <c r="E19" s="97">
        <v>38.659999999999997</v>
      </c>
      <c r="F19" s="1473"/>
      <c r="G19" s="252"/>
      <c r="H19" s="1473"/>
    </row>
    <row r="20" spans="1:12" s="224" customFormat="1" ht="14.25" hidden="1" customHeight="1" x14ac:dyDescent="0.25">
      <c r="A20" s="215">
        <v>41824</v>
      </c>
      <c r="B20" s="862" t="s">
        <v>31</v>
      </c>
      <c r="C20" s="350" t="s">
        <v>12</v>
      </c>
      <c r="D20" s="957" t="s">
        <v>15</v>
      </c>
      <c r="E20" s="97">
        <v>50</v>
      </c>
      <c r="F20" s="1473"/>
      <c r="G20" s="252"/>
      <c r="H20" s="1473"/>
    </row>
    <row r="21" spans="1:12" s="224" customFormat="1" hidden="1" x14ac:dyDescent="0.25">
      <c r="A21" s="215">
        <v>41824</v>
      </c>
      <c r="B21" s="862" t="s">
        <v>399</v>
      </c>
      <c r="C21" s="350" t="s">
        <v>12</v>
      </c>
      <c r="D21" s="957" t="s">
        <v>15</v>
      </c>
      <c r="E21" s="97">
        <v>25</v>
      </c>
      <c r="F21" s="1473"/>
      <c r="G21" s="252"/>
      <c r="H21" s="1473"/>
    </row>
    <row r="22" spans="1:12" s="224" customFormat="1" hidden="1" x14ac:dyDescent="0.25">
      <c r="A22" s="215">
        <v>41824</v>
      </c>
      <c r="B22" s="349" t="s">
        <v>535</v>
      </c>
      <c r="C22" s="879" t="s">
        <v>12</v>
      </c>
      <c r="D22" s="983" t="s">
        <v>13</v>
      </c>
      <c r="E22" s="250">
        <v>68.099999999999994</v>
      </c>
      <c r="F22" s="1473"/>
      <c r="G22" s="252"/>
      <c r="H22" s="251"/>
      <c r="K22" s="79"/>
      <c r="L22" s="79"/>
    </row>
    <row r="23" spans="1:12" s="224" customFormat="1" ht="15.75" hidden="1" customHeight="1" x14ac:dyDescent="0.25">
      <c r="A23" s="215">
        <v>41824</v>
      </c>
      <c r="B23" s="349" t="s">
        <v>536</v>
      </c>
      <c r="C23" s="350" t="s">
        <v>12</v>
      </c>
      <c r="D23" s="141" t="s">
        <v>13</v>
      </c>
      <c r="E23" s="97">
        <v>170</v>
      </c>
      <c r="F23" s="946"/>
      <c r="G23" s="97"/>
      <c r="H23" s="946"/>
    </row>
    <row r="24" spans="1:12" s="224" customFormat="1" ht="15.75" hidden="1" customHeight="1" x14ac:dyDescent="0.25">
      <c r="A24" s="215">
        <v>41824</v>
      </c>
      <c r="B24" s="349" t="s">
        <v>537</v>
      </c>
      <c r="C24" s="350" t="s">
        <v>12</v>
      </c>
      <c r="D24" s="141" t="s">
        <v>13</v>
      </c>
      <c r="E24" s="97">
        <v>20</v>
      </c>
      <c r="F24" s="946"/>
      <c r="G24" s="97"/>
      <c r="H24" s="946"/>
    </row>
    <row r="25" spans="1:12" s="224" customFormat="1" ht="15.75" hidden="1" customHeight="1" x14ac:dyDescent="0.25">
      <c r="A25" s="215">
        <v>41825</v>
      </c>
      <c r="B25" s="349" t="s">
        <v>138</v>
      </c>
      <c r="C25" s="350" t="s">
        <v>12</v>
      </c>
      <c r="D25" s="141" t="s">
        <v>13</v>
      </c>
      <c r="E25" s="97">
        <v>20</v>
      </c>
      <c r="F25" s="946"/>
      <c r="G25" s="97"/>
      <c r="H25" s="946"/>
    </row>
    <row r="26" spans="1:12" s="224" customFormat="1" ht="15.75" hidden="1" customHeight="1" x14ac:dyDescent="0.25">
      <c r="A26" s="215">
        <v>41825</v>
      </c>
      <c r="B26" s="349" t="s">
        <v>134</v>
      </c>
      <c r="C26" s="350" t="s">
        <v>12</v>
      </c>
      <c r="D26" s="141" t="s">
        <v>13</v>
      </c>
      <c r="E26" s="97">
        <v>15.2</v>
      </c>
      <c r="F26" s="946"/>
      <c r="G26" s="97"/>
      <c r="H26" s="946"/>
    </row>
    <row r="27" spans="1:12" s="224" customFormat="1" ht="15.75" hidden="1" customHeight="1" x14ac:dyDescent="0.25">
      <c r="A27" s="215">
        <v>41825</v>
      </c>
      <c r="B27" s="349" t="s">
        <v>14</v>
      </c>
      <c r="C27" s="350" t="s">
        <v>12</v>
      </c>
      <c r="D27" s="141" t="s">
        <v>13</v>
      </c>
      <c r="E27" s="97">
        <v>19.77</v>
      </c>
      <c r="F27" s="946"/>
      <c r="G27" s="97"/>
      <c r="H27" s="946"/>
    </row>
    <row r="28" spans="1:12" s="224" customFormat="1" ht="15.75" hidden="1" customHeight="1" x14ac:dyDescent="0.25">
      <c r="A28" s="215">
        <v>41825</v>
      </c>
      <c r="B28" s="349" t="s">
        <v>82</v>
      </c>
      <c r="C28" s="350" t="s">
        <v>12</v>
      </c>
      <c r="D28" s="141" t="s">
        <v>13</v>
      </c>
      <c r="E28" s="97">
        <v>17</v>
      </c>
      <c r="F28" s="946"/>
      <c r="G28" s="97"/>
      <c r="H28" s="946"/>
    </row>
    <row r="29" spans="1:12" s="224" customFormat="1" ht="15.75" hidden="1" customHeight="1" x14ac:dyDescent="0.25">
      <c r="A29" s="215">
        <v>41826</v>
      </c>
      <c r="B29" s="349" t="s">
        <v>477</v>
      </c>
      <c r="C29" s="350" t="s">
        <v>12</v>
      </c>
      <c r="D29" s="141" t="s">
        <v>13</v>
      </c>
      <c r="E29" s="97">
        <v>8.85</v>
      </c>
      <c r="F29" s="946"/>
      <c r="G29" s="97"/>
      <c r="H29" s="946"/>
    </row>
    <row r="30" spans="1:12" s="224" customFormat="1" ht="15.75" hidden="1" customHeight="1" x14ac:dyDescent="0.25">
      <c r="A30" s="215">
        <v>41826</v>
      </c>
      <c r="B30" s="349" t="s">
        <v>14</v>
      </c>
      <c r="C30" s="350" t="s">
        <v>12</v>
      </c>
      <c r="D30" s="141" t="s">
        <v>13</v>
      </c>
      <c r="E30" s="97">
        <v>10.24</v>
      </c>
      <c r="F30" s="946"/>
      <c r="G30" s="97"/>
      <c r="H30" s="946"/>
    </row>
    <row r="31" spans="1:12" s="224" customFormat="1" ht="15.75" hidden="1" customHeight="1" x14ac:dyDescent="0.25">
      <c r="A31" s="215">
        <v>41827</v>
      </c>
      <c r="B31" s="862" t="s">
        <v>32</v>
      </c>
      <c r="C31" s="879" t="s">
        <v>12</v>
      </c>
      <c r="D31" s="887" t="s">
        <v>13</v>
      </c>
      <c r="E31" s="250">
        <v>5.5</v>
      </c>
      <c r="F31" s="946"/>
      <c r="G31" s="97"/>
      <c r="H31" s="946"/>
    </row>
    <row r="32" spans="1:12" s="224" customFormat="1" ht="15.75" hidden="1" customHeight="1" x14ac:dyDescent="0.25">
      <c r="A32" s="215">
        <v>41827</v>
      </c>
      <c r="B32" s="349" t="s">
        <v>14</v>
      </c>
      <c r="C32" s="350" t="s">
        <v>12</v>
      </c>
      <c r="D32" s="141" t="s">
        <v>13</v>
      </c>
      <c r="E32" s="97">
        <v>1.8</v>
      </c>
      <c r="F32" s="946"/>
      <c r="G32" s="97"/>
      <c r="H32" s="946"/>
    </row>
    <row r="33" spans="1:8" s="224" customFormat="1" ht="15.75" customHeight="1" x14ac:dyDescent="0.25">
      <c r="A33" s="215">
        <v>41827</v>
      </c>
      <c r="B33" s="862" t="s">
        <v>538</v>
      </c>
      <c r="C33" s="879" t="s">
        <v>12</v>
      </c>
      <c r="D33" s="887" t="s">
        <v>13</v>
      </c>
      <c r="E33" s="250">
        <v>37.1</v>
      </c>
      <c r="F33" s="946"/>
      <c r="G33" s="97"/>
      <c r="H33" s="946"/>
    </row>
    <row r="34" spans="1:8" s="224" customFormat="1" ht="15.75" hidden="1" customHeight="1" x14ac:dyDescent="0.25">
      <c r="A34" s="215">
        <v>41827</v>
      </c>
      <c r="B34" s="349" t="s">
        <v>260</v>
      </c>
      <c r="C34" s="350"/>
      <c r="D34" s="141"/>
      <c r="E34" s="97">
        <v>60</v>
      </c>
      <c r="F34" s="946"/>
      <c r="G34" s="97"/>
      <c r="H34" s="946">
        <v>60</v>
      </c>
    </row>
    <row r="35" spans="1:8" s="224" customFormat="1" ht="15.75" hidden="1" customHeight="1" x14ac:dyDescent="0.25">
      <c r="A35" s="215">
        <v>41828</v>
      </c>
      <c r="B35" s="349" t="s">
        <v>134</v>
      </c>
      <c r="C35" s="350" t="s">
        <v>12</v>
      </c>
      <c r="D35" s="141" t="s">
        <v>15</v>
      </c>
      <c r="E35" s="97">
        <v>9.6</v>
      </c>
      <c r="F35" s="946"/>
      <c r="G35" s="97"/>
      <c r="H35" s="946"/>
    </row>
    <row r="36" spans="1:8" s="224" customFormat="1" ht="15.75" hidden="1" customHeight="1" x14ac:dyDescent="0.25">
      <c r="A36" s="215">
        <v>41828</v>
      </c>
      <c r="B36" s="349" t="s">
        <v>80</v>
      </c>
      <c r="C36" s="350" t="s">
        <v>12</v>
      </c>
      <c r="D36" s="141" t="s">
        <v>13</v>
      </c>
      <c r="E36" s="97">
        <v>9.77</v>
      </c>
      <c r="F36" s="946"/>
      <c r="G36" s="97"/>
      <c r="H36" s="946"/>
    </row>
    <row r="37" spans="1:8" s="224" customFormat="1" ht="15.75" hidden="1" customHeight="1" x14ac:dyDescent="0.25">
      <c r="A37" s="215">
        <v>41828</v>
      </c>
      <c r="B37" s="349" t="s">
        <v>138</v>
      </c>
      <c r="C37" s="350" t="s">
        <v>12</v>
      </c>
      <c r="D37" s="141" t="s">
        <v>15</v>
      </c>
      <c r="E37" s="97">
        <v>20</v>
      </c>
      <c r="F37" s="946"/>
      <c r="G37" s="97"/>
      <c r="H37" s="946"/>
    </row>
    <row r="38" spans="1:8" s="224" customFormat="1" ht="15.75" hidden="1" customHeight="1" x14ac:dyDescent="0.25">
      <c r="A38" s="215">
        <v>41829</v>
      </c>
      <c r="B38" s="349" t="s">
        <v>14</v>
      </c>
      <c r="C38" s="350" t="s">
        <v>12</v>
      </c>
      <c r="D38" s="141" t="s">
        <v>13</v>
      </c>
      <c r="E38" s="97">
        <v>25.55</v>
      </c>
      <c r="F38" s="946"/>
      <c r="G38" s="97"/>
      <c r="H38" s="946"/>
    </row>
    <row r="39" spans="1:8" s="224" customFormat="1" ht="15.75" hidden="1" customHeight="1" x14ac:dyDescent="0.25">
      <c r="A39" s="215">
        <v>41830</v>
      </c>
      <c r="B39" s="862" t="s">
        <v>32</v>
      </c>
      <c r="C39" s="879" t="s">
        <v>12</v>
      </c>
      <c r="D39" s="887" t="s">
        <v>13</v>
      </c>
      <c r="E39" s="250">
        <v>5</v>
      </c>
      <c r="F39" s="946"/>
      <c r="G39" s="97"/>
      <c r="H39" s="946"/>
    </row>
    <row r="40" spans="1:8" s="224" customFormat="1" ht="15.75" hidden="1" customHeight="1" x14ac:dyDescent="0.25">
      <c r="A40" s="215">
        <v>41830</v>
      </c>
      <c r="B40" s="349" t="s">
        <v>14</v>
      </c>
      <c r="C40" s="350" t="s">
        <v>12</v>
      </c>
      <c r="D40" s="141" t="s">
        <v>15</v>
      </c>
      <c r="E40" s="97">
        <v>1.8</v>
      </c>
      <c r="F40" s="946"/>
      <c r="G40" s="97"/>
      <c r="H40" s="946"/>
    </row>
    <row r="41" spans="1:8" s="224" customFormat="1" ht="15.75" hidden="1" customHeight="1" x14ac:dyDescent="0.25">
      <c r="A41" s="215">
        <v>41831</v>
      </c>
      <c r="B41" s="862" t="s">
        <v>32</v>
      </c>
      <c r="C41" s="879" t="s">
        <v>12</v>
      </c>
      <c r="D41" s="887" t="s">
        <v>13</v>
      </c>
      <c r="E41" s="250">
        <v>6.5</v>
      </c>
      <c r="F41" s="946"/>
      <c r="G41" s="97"/>
      <c r="H41" s="946"/>
    </row>
    <row r="42" spans="1:8" s="224" customFormat="1" ht="15.75" hidden="1" customHeight="1" x14ac:dyDescent="0.25">
      <c r="A42" s="215">
        <v>41832</v>
      </c>
      <c r="B42" s="349" t="s">
        <v>14</v>
      </c>
      <c r="C42" s="350" t="s">
        <v>12</v>
      </c>
      <c r="D42" s="141" t="s">
        <v>13</v>
      </c>
      <c r="E42" s="97">
        <v>2.9</v>
      </c>
      <c r="F42" s="946"/>
      <c r="G42" s="97"/>
      <c r="H42" s="946"/>
    </row>
    <row r="43" spans="1:8" s="224" customFormat="1" ht="15.75" hidden="1" customHeight="1" x14ac:dyDescent="0.25">
      <c r="A43" s="215">
        <v>41832</v>
      </c>
      <c r="B43" s="349" t="s">
        <v>539</v>
      </c>
      <c r="C43" s="350" t="s">
        <v>12</v>
      </c>
      <c r="D43" s="141" t="s">
        <v>13</v>
      </c>
      <c r="E43" s="97">
        <v>8.6</v>
      </c>
      <c r="F43" s="946"/>
      <c r="G43" s="97"/>
      <c r="H43" s="946"/>
    </row>
    <row r="44" spans="1:8" s="224" customFormat="1" ht="15.75" hidden="1" customHeight="1" x14ac:dyDescent="0.25">
      <c r="A44" s="215">
        <v>41832</v>
      </c>
      <c r="B44" s="349" t="s">
        <v>478</v>
      </c>
      <c r="C44" s="350" t="s">
        <v>12</v>
      </c>
      <c r="D44" s="141" t="s">
        <v>13</v>
      </c>
      <c r="E44" s="97">
        <v>14.47</v>
      </c>
      <c r="F44" s="946"/>
      <c r="G44" s="97"/>
      <c r="H44" s="946"/>
    </row>
    <row r="45" spans="1:8" s="224" customFormat="1" ht="15.75" hidden="1" customHeight="1" x14ac:dyDescent="0.25">
      <c r="A45" s="215">
        <v>41832</v>
      </c>
      <c r="B45" s="349" t="s">
        <v>138</v>
      </c>
      <c r="C45" s="350" t="s">
        <v>12</v>
      </c>
      <c r="D45" s="141" t="s">
        <v>15</v>
      </c>
      <c r="E45" s="97">
        <v>30</v>
      </c>
      <c r="F45" s="946"/>
      <c r="G45" s="97"/>
      <c r="H45" s="946"/>
    </row>
    <row r="46" spans="1:8" s="224" customFormat="1" hidden="1" x14ac:dyDescent="0.25">
      <c r="A46" s="215">
        <v>41833</v>
      </c>
      <c r="B46" s="873" t="s">
        <v>14</v>
      </c>
      <c r="C46" s="879" t="s">
        <v>12</v>
      </c>
      <c r="D46" s="887" t="s">
        <v>13</v>
      </c>
      <c r="E46" s="250">
        <v>6.52</v>
      </c>
      <c r="F46" s="1473"/>
      <c r="G46" s="252"/>
      <c r="H46" s="1473"/>
    </row>
    <row r="47" spans="1:8" s="224" customFormat="1" ht="15.75" hidden="1" customHeight="1" x14ac:dyDescent="0.25">
      <c r="A47" s="215">
        <v>41834</v>
      </c>
      <c r="B47" s="862" t="s">
        <v>103</v>
      </c>
      <c r="C47" s="879" t="s">
        <v>12</v>
      </c>
      <c r="D47" s="887" t="s">
        <v>13</v>
      </c>
      <c r="E47" s="250">
        <v>6.5</v>
      </c>
      <c r="F47" s="1473"/>
      <c r="G47" s="252"/>
      <c r="H47" s="1473"/>
    </row>
    <row r="48" spans="1:8" s="224" customFormat="1" hidden="1" x14ac:dyDescent="0.25">
      <c r="A48" s="215">
        <v>41834</v>
      </c>
      <c r="B48" s="873" t="s">
        <v>17</v>
      </c>
      <c r="C48" s="350" t="s">
        <v>12</v>
      </c>
      <c r="D48" s="957" t="s">
        <v>15</v>
      </c>
      <c r="E48" s="250">
        <v>5</v>
      </c>
      <c r="F48" s="1473"/>
      <c r="G48" s="252"/>
      <c r="H48" s="1473"/>
    </row>
    <row r="49" spans="1:9" s="224" customFormat="1" ht="15.75" hidden="1" customHeight="1" x14ac:dyDescent="0.25">
      <c r="A49" s="215">
        <v>41834</v>
      </c>
      <c r="B49" s="862" t="s">
        <v>32</v>
      </c>
      <c r="C49" s="879" t="s">
        <v>12</v>
      </c>
      <c r="D49" s="887" t="s">
        <v>13</v>
      </c>
      <c r="E49" s="250">
        <v>10</v>
      </c>
      <c r="F49" s="1473"/>
      <c r="G49" s="252"/>
      <c r="H49" s="1473"/>
    </row>
    <row r="50" spans="1:9" s="224" customFormat="1" x14ac:dyDescent="0.25">
      <c r="A50" s="215">
        <v>41834</v>
      </c>
      <c r="B50" s="873" t="s">
        <v>540</v>
      </c>
      <c r="C50" s="350" t="s">
        <v>12</v>
      </c>
      <c r="D50" s="957" t="s">
        <v>15</v>
      </c>
      <c r="E50" s="250">
        <v>100</v>
      </c>
      <c r="F50" s="1473"/>
      <c r="G50" s="252"/>
      <c r="H50" s="1473"/>
    </row>
    <row r="51" spans="1:9" s="224" customFormat="1" hidden="1" x14ac:dyDescent="0.25">
      <c r="A51" s="215">
        <v>41834</v>
      </c>
      <c r="B51" s="873" t="s">
        <v>14</v>
      </c>
      <c r="C51" s="879" t="s">
        <v>12</v>
      </c>
      <c r="D51" s="887" t="s">
        <v>15</v>
      </c>
      <c r="E51" s="250">
        <v>4</v>
      </c>
      <c r="F51" s="1473"/>
      <c r="G51" s="252"/>
      <c r="H51" s="1473"/>
    </row>
    <row r="52" spans="1:9" s="224" customFormat="1" ht="15.75" hidden="1" customHeight="1" x14ac:dyDescent="0.25">
      <c r="A52" s="215">
        <v>41835</v>
      </c>
      <c r="B52" s="862" t="s">
        <v>32</v>
      </c>
      <c r="C52" s="879" t="s">
        <v>12</v>
      </c>
      <c r="D52" s="887" t="s">
        <v>13</v>
      </c>
      <c r="E52" s="250">
        <v>10</v>
      </c>
      <c r="F52" s="1473"/>
      <c r="G52" s="252"/>
      <c r="H52" s="1473"/>
    </row>
    <row r="53" spans="1:9" s="224" customFormat="1" ht="15.75" hidden="1" customHeight="1" x14ac:dyDescent="0.25">
      <c r="A53" s="215">
        <v>41835</v>
      </c>
      <c r="B53" s="349" t="s">
        <v>138</v>
      </c>
      <c r="C53" s="350" t="s">
        <v>12</v>
      </c>
      <c r="D53" s="141" t="s">
        <v>13</v>
      </c>
      <c r="E53" s="97">
        <v>20</v>
      </c>
      <c r="F53" s="946"/>
      <c r="G53" s="97"/>
      <c r="H53" s="946"/>
    </row>
    <row r="54" spans="1:9" s="224" customFormat="1" ht="15.75" hidden="1" customHeight="1" x14ac:dyDescent="0.25">
      <c r="A54" s="215">
        <v>41835</v>
      </c>
      <c r="B54" s="349" t="s">
        <v>115</v>
      </c>
      <c r="C54" s="350" t="s">
        <v>12</v>
      </c>
      <c r="D54" s="141" t="s">
        <v>15</v>
      </c>
      <c r="E54" s="97">
        <v>3</v>
      </c>
      <c r="F54" s="946"/>
      <c r="G54" s="97"/>
      <c r="H54" s="946"/>
    </row>
    <row r="55" spans="1:9" s="224" customFormat="1" ht="15.75" hidden="1" customHeight="1" x14ac:dyDescent="0.25">
      <c r="A55" s="215">
        <v>41836</v>
      </c>
      <c r="B55" s="862" t="s">
        <v>541</v>
      </c>
      <c r="C55" s="350" t="s">
        <v>12</v>
      </c>
      <c r="D55" s="141" t="s">
        <v>13</v>
      </c>
      <c r="E55" s="97">
        <v>56</v>
      </c>
      <c r="F55" s="1473"/>
      <c r="G55" s="252"/>
      <c r="H55" s="1473"/>
    </row>
    <row r="56" spans="1:9" s="224" customFormat="1" hidden="1" x14ac:dyDescent="0.25">
      <c r="A56" s="215">
        <v>41836</v>
      </c>
      <c r="B56" s="862" t="s">
        <v>32</v>
      </c>
      <c r="C56" s="879" t="s">
        <v>12</v>
      </c>
      <c r="D56" s="887" t="s">
        <v>13</v>
      </c>
      <c r="E56" s="250">
        <v>10</v>
      </c>
      <c r="F56" s="1473"/>
      <c r="G56" s="252"/>
      <c r="H56" s="1473"/>
    </row>
    <row r="57" spans="1:9" s="224" customFormat="1" hidden="1" x14ac:dyDescent="0.25">
      <c r="A57" s="215">
        <v>41836</v>
      </c>
      <c r="B57" s="873" t="s">
        <v>14</v>
      </c>
      <c r="C57" s="879" t="s">
        <v>12</v>
      </c>
      <c r="D57" s="887" t="s">
        <v>15</v>
      </c>
      <c r="E57" s="250">
        <v>4.25</v>
      </c>
      <c r="F57" s="1473"/>
      <c r="G57" s="252"/>
      <c r="H57" s="1473"/>
    </row>
    <row r="58" spans="1:9" s="224" customFormat="1" hidden="1" x14ac:dyDescent="0.25">
      <c r="A58" s="215">
        <v>41836</v>
      </c>
      <c r="B58" s="873" t="s">
        <v>542</v>
      </c>
      <c r="C58" s="879" t="s">
        <v>12</v>
      </c>
      <c r="D58" s="887" t="s">
        <v>13</v>
      </c>
      <c r="E58" s="250">
        <v>6</v>
      </c>
      <c r="F58" s="1473"/>
      <c r="G58" s="252"/>
      <c r="H58" s="1473"/>
    </row>
    <row r="59" spans="1:9" s="224" customFormat="1" hidden="1" x14ac:dyDescent="0.25">
      <c r="A59" s="215">
        <v>41836</v>
      </c>
      <c r="B59" s="873" t="s">
        <v>543</v>
      </c>
      <c r="C59" s="879" t="s">
        <v>12</v>
      </c>
      <c r="D59" s="887" t="s">
        <v>13</v>
      </c>
      <c r="E59" s="250">
        <v>4.5</v>
      </c>
      <c r="F59" s="1473"/>
      <c r="G59" s="252"/>
      <c r="H59" s="1473"/>
    </row>
    <row r="60" spans="1:9" s="224" customFormat="1" ht="15.75" hidden="1" customHeight="1" x14ac:dyDescent="0.25">
      <c r="A60" s="215">
        <v>41837</v>
      </c>
      <c r="B60" s="862" t="s">
        <v>32</v>
      </c>
      <c r="C60" s="879" t="s">
        <v>12</v>
      </c>
      <c r="D60" s="887" t="s">
        <v>13</v>
      </c>
      <c r="E60" s="250">
        <v>10</v>
      </c>
      <c r="F60" s="1473"/>
      <c r="G60" s="252"/>
      <c r="H60" s="1473"/>
    </row>
    <row r="61" spans="1:9" s="224" customFormat="1" hidden="1" x14ac:dyDescent="0.25">
      <c r="A61" s="215">
        <v>41837</v>
      </c>
      <c r="B61" s="873" t="s">
        <v>14</v>
      </c>
      <c r="C61" s="879" t="s">
        <v>12</v>
      </c>
      <c r="D61" s="887" t="s">
        <v>15</v>
      </c>
      <c r="E61" s="250">
        <v>4.5</v>
      </c>
      <c r="F61" s="1473"/>
      <c r="G61" s="252"/>
      <c r="H61" s="1473"/>
    </row>
    <row r="62" spans="1:9" s="224" customFormat="1" hidden="1" x14ac:dyDescent="0.25">
      <c r="A62" s="215">
        <v>41838</v>
      </c>
      <c r="B62" s="349" t="s">
        <v>544</v>
      </c>
      <c r="C62" s="350" t="s">
        <v>12</v>
      </c>
      <c r="D62" s="141" t="s">
        <v>25</v>
      </c>
      <c r="E62" s="250"/>
      <c r="F62" s="1473">
        <v>726</v>
      </c>
      <c r="G62" s="252"/>
      <c r="H62" s="1473"/>
    </row>
    <row r="63" spans="1:9" s="224" customFormat="1" hidden="1" x14ac:dyDescent="0.25">
      <c r="A63" s="215">
        <v>41838</v>
      </c>
      <c r="B63" s="882" t="s">
        <v>545</v>
      </c>
      <c r="C63" s="350" t="s">
        <v>12</v>
      </c>
      <c r="D63" s="141" t="s">
        <v>13</v>
      </c>
      <c r="E63" s="538">
        <v>23.54</v>
      </c>
      <c r="F63" s="1002"/>
      <c r="G63" s="539"/>
      <c r="H63" s="1002"/>
      <c r="I63" s="709"/>
    </row>
    <row r="64" spans="1:9" hidden="1" x14ac:dyDescent="0.25">
      <c r="A64" s="215">
        <v>41838</v>
      </c>
      <c r="B64" s="349" t="s">
        <v>546</v>
      </c>
      <c r="C64" s="350" t="s">
        <v>12</v>
      </c>
      <c r="D64" s="141" t="s">
        <v>13</v>
      </c>
      <c r="E64" s="97">
        <v>225</v>
      </c>
      <c r="F64" s="946"/>
      <c r="G64" s="95"/>
      <c r="H64" s="946"/>
    </row>
    <row r="65" spans="1:8" hidden="1" x14ac:dyDescent="0.25">
      <c r="A65" s="215">
        <v>41838</v>
      </c>
      <c r="B65" s="862" t="s">
        <v>32</v>
      </c>
      <c r="C65" s="879" t="s">
        <v>12</v>
      </c>
      <c r="D65" s="887" t="s">
        <v>13</v>
      </c>
      <c r="E65" s="250">
        <v>6.5</v>
      </c>
      <c r="F65" s="946"/>
      <c r="G65" s="95"/>
      <c r="H65" s="946"/>
    </row>
    <row r="66" spans="1:8" hidden="1" x14ac:dyDescent="0.25">
      <c r="A66" s="215">
        <v>41838</v>
      </c>
      <c r="B66" s="862" t="s">
        <v>56</v>
      </c>
      <c r="C66" s="879" t="s">
        <v>12</v>
      </c>
      <c r="D66" s="887" t="s">
        <v>13</v>
      </c>
      <c r="E66" s="250">
        <v>10.86</v>
      </c>
      <c r="F66" s="946"/>
      <c r="G66" s="95"/>
      <c r="H66" s="946"/>
    </row>
    <row r="67" spans="1:8" hidden="1" x14ac:dyDescent="0.25">
      <c r="A67" s="215">
        <v>41839</v>
      </c>
      <c r="B67" s="349" t="s">
        <v>138</v>
      </c>
      <c r="C67" s="350" t="s">
        <v>12</v>
      </c>
      <c r="D67" s="141" t="s">
        <v>15</v>
      </c>
      <c r="E67" s="97">
        <v>20</v>
      </c>
      <c r="F67" s="946"/>
      <c r="G67" s="95"/>
      <c r="H67" s="946"/>
    </row>
    <row r="68" spans="1:8" hidden="1" x14ac:dyDescent="0.25">
      <c r="A68" s="215">
        <v>41839</v>
      </c>
      <c r="B68" s="349" t="s">
        <v>547</v>
      </c>
      <c r="C68" s="350" t="s">
        <v>12</v>
      </c>
      <c r="D68" s="141" t="s">
        <v>13</v>
      </c>
      <c r="E68" s="97">
        <v>16</v>
      </c>
      <c r="F68" s="946"/>
      <c r="G68" s="95"/>
      <c r="H68" s="946"/>
    </row>
    <row r="69" spans="1:8" hidden="1" x14ac:dyDescent="0.25">
      <c r="A69" s="215">
        <v>41839</v>
      </c>
      <c r="B69" s="349" t="s">
        <v>548</v>
      </c>
      <c r="C69" s="350" t="s">
        <v>12</v>
      </c>
      <c r="D69" s="141" t="s">
        <v>13</v>
      </c>
      <c r="E69" s="97">
        <v>8</v>
      </c>
      <c r="F69" s="946"/>
      <c r="G69" s="95"/>
      <c r="H69" s="946"/>
    </row>
    <row r="70" spans="1:8" hidden="1" x14ac:dyDescent="0.25">
      <c r="A70" s="215">
        <v>41839</v>
      </c>
      <c r="B70" s="349" t="s">
        <v>134</v>
      </c>
      <c r="C70" s="350" t="s">
        <v>12</v>
      </c>
      <c r="D70" s="141" t="s">
        <v>15</v>
      </c>
      <c r="E70" s="97">
        <v>10</v>
      </c>
      <c r="F70" s="946"/>
      <c r="G70" s="95"/>
      <c r="H70" s="946"/>
    </row>
    <row r="71" spans="1:8" hidden="1" x14ac:dyDescent="0.25">
      <c r="A71" s="215">
        <v>41840</v>
      </c>
      <c r="B71" s="349" t="s">
        <v>14</v>
      </c>
      <c r="C71" s="350" t="s">
        <v>12</v>
      </c>
      <c r="D71" s="141" t="s">
        <v>13</v>
      </c>
      <c r="E71" s="97">
        <v>7.5</v>
      </c>
      <c r="F71" s="946"/>
      <c r="G71" s="95"/>
      <c r="H71" s="946"/>
    </row>
    <row r="72" spans="1:8" hidden="1" x14ac:dyDescent="0.25">
      <c r="A72" s="215">
        <v>41841</v>
      </c>
      <c r="B72" s="862" t="s">
        <v>32</v>
      </c>
      <c r="C72" s="879" t="s">
        <v>12</v>
      </c>
      <c r="D72" s="887" t="s">
        <v>13</v>
      </c>
      <c r="E72" s="250">
        <v>5</v>
      </c>
      <c r="F72" s="946"/>
      <c r="G72" s="95"/>
      <c r="H72" s="946"/>
    </row>
    <row r="73" spans="1:8" hidden="1" x14ac:dyDescent="0.25">
      <c r="A73" s="215">
        <v>41841</v>
      </c>
      <c r="B73" s="349" t="s">
        <v>138</v>
      </c>
      <c r="C73" s="350" t="s">
        <v>12</v>
      </c>
      <c r="D73" s="141" t="s">
        <v>15</v>
      </c>
      <c r="E73" s="97">
        <v>20</v>
      </c>
      <c r="F73" s="946"/>
      <c r="G73" s="95"/>
      <c r="H73" s="946"/>
    </row>
    <row r="74" spans="1:8" s="224" customFormat="1" ht="15.75" hidden="1" customHeight="1" x14ac:dyDescent="0.25">
      <c r="A74" s="215">
        <v>41841</v>
      </c>
      <c r="B74" s="349" t="s">
        <v>260</v>
      </c>
      <c r="C74" s="350"/>
      <c r="D74" s="141"/>
      <c r="E74" s="97">
        <v>50</v>
      </c>
      <c r="F74" s="946"/>
      <c r="G74" s="97"/>
      <c r="H74" s="946">
        <v>50</v>
      </c>
    </row>
    <row r="75" spans="1:8" s="224" customFormat="1" ht="15.75" hidden="1" customHeight="1" x14ac:dyDescent="0.25">
      <c r="A75" s="215">
        <v>41841</v>
      </c>
      <c r="B75" s="349" t="s">
        <v>147</v>
      </c>
      <c r="C75" s="350" t="s">
        <v>12</v>
      </c>
      <c r="D75" s="141" t="s">
        <v>15</v>
      </c>
      <c r="E75" s="97">
        <v>10</v>
      </c>
      <c r="F75" s="946"/>
      <c r="G75" s="97"/>
      <c r="H75" s="946"/>
    </row>
    <row r="76" spans="1:8" hidden="1" x14ac:dyDescent="0.25">
      <c r="A76" s="215">
        <v>41842</v>
      </c>
      <c r="B76" s="862" t="s">
        <v>32</v>
      </c>
      <c r="C76" s="879" t="s">
        <v>12</v>
      </c>
      <c r="D76" s="887" t="s">
        <v>13</v>
      </c>
      <c r="E76" s="250">
        <v>10</v>
      </c>
      <c r="F76" s="946"/>
      <c r="G76" s="95"/>
      <c r="H76" s="946"/>
    </row>
    <row r="77" spans="1:8" hidden="1" x14ac:dyDescent="0.25">
      <c r="A77" s="215">
        <v>41842</v>
      </c>
      <c r="B77" s="862" t="s">
        <v>249</v>
      </c>
      <c r="C77" s="879" t="s">
        <v>12</v>
      </c>
      <c r="D77" s="887" t="s">
        <v>15</v>
      </c>
      <c r="E77" s="250">
        <v>2</v>
      </c>
      <c r="F77" s="946"/>
      <c r="G77" s="95"/>
      <c r="H77" s="946"/>
    </row>
    <row r="78" spans="1:8" s="224" customFormat="1" ht="15.75" hidden="1" customHeight="1" x14ac:dyDescent="0.25">
      <c r="A78" s="215">
        <v>41842</v>
      </c>
      <c r="B78" s="862" t="s">
        <v>468</v>
      </c>
      <c r="C78" s="350" t="s">
        <v>12</v>
      </c>
      <c r="D78" s="141" t="s">
        <v>15</v>
      </c>
      <c r="E78" s="97">
        <v>20</v>
      </c>
      <c r="F78" s="1473"/>
      <c r="G78" s="252"/>
      <c r="H78" s="1473"/>
    </row>
    <row r="79" spans="1:8" hidden="1" x14ac:dyDescent="0.25">
      <c r="A79" s="215">
        <v>41843</v>
      </c>
      <c r="B79" s="862" t="s">
        <v>32</v>
      </c>
      <c r="C79" s="879" t="s">
        <v>12</v>
      </c>
      <c r="D79" s="887" t="s">
        <v>13</v>
      </c>
      <c r="E79" s="250">
        <v>4</v>
      </c>
      <c r="F79" s="946"/>
      <c r="G79" s="95"/>
      <c r="H79" s="946"/>
    </row>
    <row r="80" spans="1:8" hidden="1" x14ac:dyDescent="0.25">
      <c r="A80" s="215">
        <v>41843</v>
      </c>
      <c r="B80" s="862" t="s">
        <v>138</v>
      </c>
      <c r="C80" s="879" t="s">
        <v>12</v>
      </c>
      <c r="D80" s="887" t="s">
        <v>13</v>
      </c>
      <c r="E80" s="250">
        <v>20</v>
      </c>
      <c r="F80" s="946"/>
      <c r="G80" s="95"/>
      <c r="H80" s="946"/>
    </row>
    <row r="81" spans="1:8" hidden="1" x14ac:dyDescent="0.25">
      <c r="A81" s="215">
        <v>41843</v>
      </c>
      <c r="B81" s="349" t="s">
        <v>549</v>
      </c>
      <c r="C81" s="350" t="s">
        <v>12</v>
      </c>
      <c r="D81" s="141" t="s">
        <v>13</v>
      </c>
      <c r="E81" s="97">
        <v>13.15</v>
      </c>
      <c r="F81" s="946"/>
      <c r="G81" s="95"/>
      <c r="H81" s="946"/>
    </row>
    <row r="82" spans="1:8" hidden="1" x14ac:dyDescent="0.25">
      <c r="A82" s="215">
        <v>41843</v>
      </c>
      <c r="B82" s="349" t="s">
        <v>14</v>
      </c>
      <c r="C82" s="350" t="s">
        <v>12</v>
      </c>
      <c r="D82" s="141" t="s">
        <v>15</v>
      </c>
      <c r="E82" s="97">
        <v>2</v>
      </c>
      <c r="F82" s="946"/>
      <c r="G82" s="95"/>
      <c r="H82" s="946"/>
    </row>
    <row r="83" spans="1:8" hidden="1" x14ac:dyDescent="0.25">
      <c r="A83" s="215">
        <v>41843</v>
      </c>
      <c r="B83" s="862" t="s">
        <v>550</v>
      </c>
      <c r="C83" s="879" t="s">
        <v>12</v>
      </c>
      <c r="D83" s="887" t="s">
        <v>15</v>
      </c>
      <c r="E83" s="250">
        <v>14</v>
      </c>
      <c r="F83" s="946"/>
      <c r="G83" s="95"/>
      <c r="H83" s="946"/>
    </row>
    <row r="84" spans="1:8" hidden="1" x14ac:dyDescent="0.25">
      <c r="A84" s="215">
        <v>41843</v>
      </c>
      <c r="B84" s="862" t="s">
        <v>17</v>
      </c>
      <c r="C84" s="879" t="s">
        <v>12</v>
      </c>
      <c r="D84" s="887" t="s">
        <v>13</v>
      </c>
      <c r="E84" s="250">
        <v>5</v>
      </c>
      <c r="F84" s="946"/>
      <c r="G84" s="95"/>
      <c r="H84" s="946"/>
    </row>
    <row r="85" spans="1:8" hidden="1" x14ac:dyDescent="0.25">
      <c r="A85" s="215">
        <v>41843</v>
      </c>
      <c r="B85" s="862" t="s">
        <v>103</v>
      </c>
      <c r="C85" s="879" t="s">
        <v>12</v>
      </c>
      <c r="D85" s="887" t="s">
        <v>13</v>
      </c>
      <c r="E85" s="250">
        <v>6.5</v>
      </c>
      <c r="F85" s="946"/>
      <c r="G85" s="95"/>
      <c r="H85" s="946"/>
    </row>
    <row r="86" spans="1:8" hidden="1" x14ac:dyDescent="0.25">
      <c r="A86" s="215">
        <v>41844</v>
      </c>
      <c r="B86" s="862" t="s">
        <v>32</v>
      </c>
      <c r="C86" s="879" t="s">
        <v>12</v>
      </c>
      <c r="D86" s="887" t="s">
        <v>13</v>
      </c>
      <c r="E86" s="250">
        <v>10</v>
      </c>
      <c r="F86" s="946"/>
      <c r="G86" s="95"/>
      <c r="H86" s="946"/>
    </row>
    <row r="87" spans="1:8" hidden="1" x14ac:dyDescent="0.25">
      <c r="A87" s="215">
        <v>41845</v>
      </c>
      <c r="B87" s="862" t="s">
        <v>32</v>
      </c>
      <c r="C87" s="879" t="s">
        <v>12</v>
      </c>
      <c r="D87" s="887" t="s">
        <v>13</v>
      </c>
      <c r="E87" s="250">
        <v>6.5</v>
      </c>
      <c r="F87" s="946"/>
      <c r="G87" s="95"/>
      <c r="H87" s="946"/>
    </row>
    <row r="88" spans="1:8" hidden="1" x14ac:dyDescent="0.25">
      <c r="A88" s="215">
        <v>41845</v>
      </c>
      <c r="B88" s="349" t="s">
        <v>14</v>
      </c>
      <c r="C88" s="350" t="s">
        <v>12</v>
      </c>
      <c r="D88" s="141" t="s">
        <v>15</v>
      </c>
      <c r="E88" s="97">
        <v>3.57</v>
      </c>
      <c r="F88" s="946"/>
      <c r="G88" s="95"/>
      <c r="H88" s="946"/>
    </row>
    <row r="89" spans="1:8" s="224" customFormat="1" hidden="1" x14ac:dyDescent="0.25">
      <c r="A89" s="215">
        <v>41846</v>
      </c>
      <c r="B89" s="862" t="s">
        <v>551</v>
      </c>
      <c r="C89" s="879" t="s">
        <v>12</v>
      </c>
      <c r="D89" s="887" t="s">
        <v>15</v>
      </c>
      <c r="E89" s="250">
        <v>6.5</v>
      </c>
      <c r="F89" s="1473"/>
      <c r="G89" s="252"/>
      <c r="H89" s="1473"/>
    </row>
    <row r="90" spans="1:8" s="224" customFormat="1" hidden="1" x14ac:dyDescent="0.25">
      <c r="A90" s="215">
        <v>41846</v>
      </c>
      <c r="B90" s="862" t="s">
        <v>552</v>
      </c>
      <c r="C90" s="879" t="s">
        <v>12</v>
      </c>
      <c r="D90" s="887" t="s">
        <v>15</v>
      </c>
      <c r="E90" s="250">
        <v>6.5</v>
      </c>
      <c r="F90" s="1473"/>
      <c r="G90" s="252"/>
      <c r="H90" s="1473"/>
    </row>
    <row r="91" spans="1:8" hidden="1" x14ac:dyDescent="0.25">
      <c r="A91" s="215">
        <v>41847</v>
      </c>
      <c r="B91" s="349" t="s">
        <v>134</v>
      </c>
      <c r="C91" s="350" t="s">
        <v>12</v>
      </c>
      <c r="D91" s="141" t="s">
        <v>15</v>
      </c>
      <c r="E91" s="97">
        <v>8</v>
      </c>
      <c r="F91" s="946"/>
      <c r="G91" s="95"/>
      <c r="H91" s="946"/>
    </row>
    <row r="92" spans="1:8" hidden="1" x14ac:dyDescent="0.25">
      <c r="A92" s="215">
        <v>41847</v>
      </c>
      <c r="B92" s="349" t="s">
        <v>14</v>
      </c>
      <c r="C92" s="350" t="s">
        <v>12</v>
      </c>
      <c r="D92" s="141" t="s">
        <v>13</v>
      </c>
      <c r="E92" s="97">
        <v>9.5399999999999991</v>
      </c>
      <c r="F92" s="946"/>
      <c r="G92" s="95"/>
      <c r="H92" s="946"/>
    </row>
    <row r="93" spans="1:8" hidden="1" x14ac:dyDescent="0.25">
      <c r="A93" s="215">
        <v>41847</v>
      </c>
      <c r="B93" s="349" t="s">
        <v>138</v>
      </c>
      <c r="C93" s="350" t="s">
        <v>12</v>
      </c>
      <c r="D93" s="141" t="s">
        <v>13</v>
      </c>
      <c r="E93" s="97">
        <v>20</v>
      </c>
      <c r="F93" s="946"/>
      <c r="G93" s="95"/>
      <c r="H93" s="946"/>
    </row>
    <row r="94" spans="1:8" hidden="1" x14ac:dyDescent="0.25">
      <c r="A94" s="215">
        <v>41848</v>
      </c>
      <c r="B94" s="862" t="s">
        <v>32</v>
      </c>
      <c r="C94" s="879" t="s">
        <v>12</v>
      </c>
      <c r="D94" s="887" t="s">
        <v>15</v>
      </c>
      <c r="E94" s="250">
        <v>4</v>
      </c>
      <c r="F94" s="946"/>
      <c r="G94" s="95"/>
      <c r="H94" s="946"/>
    </row>
    <row r="95" spans="1:8" hidden="1" x14ac:dyDescent="0.25">
      <c r="A95" s="215">
        <v>41848</v>
      </c>
      <c r="B95" s="349" t="s">
        <v>14</v>
      </c>
      <c r="C95" s="350" t="s">
        <v>12</v>
      </c>
      <c r="D95" s="141" t="s">
        <v>13</v>
      </c>
      <c r="E95" s="97">
        <v>2.2999999999999998</v>
      </c>
      <c r="F95" s="946"/>
      <c r="G95" s="95"/>
      <c r="H95" s="946"/>
    </row>
    <row r="96" spans="1:8" hidden="1" x14ac:dyDescent="0.25">
      <c r="A96" s="215">
        <v>41849</v>
      </c>
      <c r="B96" s="862" t="s">
        <v>32</v>
      </c>
      <c r="C96" s="879" t="s">
        <v>12</v>
      </c>
      <c r="D96" s="887" t="s">
        <v>13</v>
      </c>
      <c r="E96" s="250">
        <v>7</v>
      </c>
      <c r="F96" s="946"/>
      <c r="G96" s="95"/>
      <c r="H96" s="946"/>
    </row>
    <row r="97" spans="1:10" hidden="1" x14ac:dyDescent="0.25">
      <c r="A97" s="215">
        <v>41849</v>
      </c>
      <c r="B97" s="349" t="s">
        <v>14</v>
      </c>
      <c r="C97" s="350" t="s">
        <v>12</v>
      </c>
      <c r="D97" s="141" t="s">
        <v>13</v>
      </c>
      <c r="E97" s="97">
        <v>7.73</v>
      </c>
      <c r="F97" s="946"/>
      <c r="G97" s="95"/>
      <c r="H97" s="946"/>
    </row>
    <row r="98" spans="1:10" s="224" customFormat="1" hidden="1" x14ac:dyDescent="0.25">
      <c r="A98" s="215">
        <v>41850</v>
      </c>
      <c r="B98" s="862" t="s">
        <v>32</v>
      </c>
      <c r="C98" s="879" t="s">
        <v>12</v>
      </c>
      <c r="D98" s="887" t="s">
        <v>13</v>
      </c>
      <c r="E98" s="250">
        <v>10</v>
      </c>
      <c r="F98" s="1473"/>
      <c r="G98" s="252"/>
      <c r="H98" s="1473"/>
    </row>
    <row r="99" spans="1:10" hidden="1" x14ac:dyDescent="0.25">
      <c r="A99" s="215">
        <v>41850</v>
      </c>
      <c r="B99" s="349" t="s">
        <v>138</v>
      </c>
      <c r="C99" s="350" t="s">
        <v>12</v>
      </c>
      <c r="D99" s="141" t="s">
        <v>13</v>
      </c>
      <c r="E99" s="97">
        <v>20</v>
      </c>
      <c r="F99" s="946"/>
      <c r="G99" s="95"/>
      <c r="H99" s="946"/>
    </row>
    <row r="100" spans="1:10" hidden="1" x14ac:dyDescent="0.25">
      <c r="A100" s="215">
        <v>41850</v>
      </c>
      <c r="B100" s="349" t="s">
        <v>14</v>
      </c>
      <c r="C100" s="350" t="s">
        <v>12</v>
      </c>
      <c r="D100" s="141" t="s">
        <v>13</v>
      </c>
      <c r="E100" s="97">
        <v>3.89</v>
      </c>
      <c r="F100" s="946"/>
      <c r="G100" s="95"/>
      <c r="H100" s="946"/>
    </row>
    <row r="101" spans="1:10" hidden="1" x14ac:dyDescent="0.25">
      <c r="A101" s="215">
        <v>41850</v>
      </c>
      <c r="B101" s="349" t="s">
        <v>553</v>
      </c>
      <c r="C101" s="350" t="s">
        <v>12</v>
      </c>
      <c r="D101" s="141" t="s">
        <v>13</v>
      </c>
      <c r="E101" s="97">
        <v>13.45</v>
      </c>
      <c r="F101" s="946"/>
      <c r="G101" s="95"/>
      <c r="H101" s="946"/>
    </row>
    <row r="102" spans="1:10" s="224" customFormat="1" hidden="1" x14ac:dyDescent="0.25">
      <c r="A102" s="215">
        <v>41851</v>
      </c>
      <c r="B102" s="862" t="s">
        <v>32</v>
      </c>
      <c r="C102" s="879" t="s">
        <v>12</v>
      </c>
      <c r="D102" s="887" t="s">
        <v>13</v>
      </c>
      <c r="E102" s="250">
        <v>10</v>
      </c>
      <c r="F102" s="1473"/>
      <c r="G102" s="252"/>
      <c r="H102" s="1473"/>
    </row>
    <row r="103" spans="1:10" hidden="1" x14ac:dyDescent="0.25">
      <c r="A103" s="215">
        <v>41851</v>
      </c>
      <c r="B103" s="349" t="s">
        <v>14</v>
      </c>
      <c r="C103" s="350" t="s">
        <v>12</v>
      </c>
      <c r="D103" s="141" t="s">
        <v>15</v>
      </c>
      <c r="E103" s="97">
        <v>2.8</v>
      </c>
      <c r="F103" s="946"/>
      <c r="G103" s="95"/>
      <c r="H103" s="946"/>
    </row>
    <row r="104" spans="1:10" ht="25.5" hidden="1" customHeight="1" thickBot="1" x14ac:dyDescent="0.3">
      <c r="A104" s="689"/>
      <c r="B104" s="690"/>
      <c r="C104" s="691"/>
      <c r="D104" s="691"/>
      <c r="E104" s="100">
        <f>SUM(E6:E103)</f>
        <v>1914.9099999999999</v>
      </c>
      <c r="F104" s="1065">
        <f>SUM(F5:F102)</f>
        <v>2058.2700000000018</v>
      </c>
      <c r="G104" s="101">
        <f>SUM(G5:G102)</f>
        <v>200.36</v>
      </c>
      <c r="H104" s="93">
        <f>SUM(H5:H102)</f>
        <v>310.36</v>
      </c>
    </row>
    <row r="105" spans="1:10" ht="25.5" hidden="1" customHeight="1" thickBot="1" x14ac:dyDescent="0.3">
      <c r="A105" s="683" t="s">
        <v>49</v>
      </c>
      <c r="B105" s="684"/>
      <c r="C105" s="684"/>
      <c r="D105" s="684"/>
      <c r="E105" s="144"/>
      <c r="F105" s="519">
        <f>F104-E104</f>
        <v>143.36000000000195</v>
      </c>
      <c r="G105" s="555"/>
      <c r="H105" s="556">
        <f>H104-G104</f>
        <v>110</v>
      </c>
      <c r="J105" s="79" t="s">
        <v>280</v>
      </c>
    </row>
    <row r="107" spans="1:10" x14ac:dyDescent="0.25">
      <c r="B107" s="79" t="s">
        <v>32</v>
      </c>
      <c r="C107" s="484">
        <v>160</v>
      </c>
    </row>
    <row r="108" spans="1:10" x14ac:dyDescent="0.25">
      <c r="B108" s="79" t="s">
        <v>16</v>
      </c>
      <c r="C108" s="484">
        <v>210</v>
      </c>
      <c r="D108" s="79"/>
    </row>
    <row r="109" spans="1:10" x14ac:dyDescent="0.25">
      <c r="B109" s="79" t="s">
        <v>50</v>
      </c>
      <c r="C109" s="484">
        <v>84.27</v>
      </c>
    </row>
    <row r="110" spans="1:10" s="85" customFormat="1" x14ac:dyDescent="0.25">
      <c r="A110" s="79"/>
      <c r="B110" s="79" t="s">
        <v>14</v>
      </c>
      <c r="C110" s="475">
        <v>136.86000000000001</v>
      </c>
      <c r="E110" s="89"/>
      <c r="F110" s="79"/>
      <c r="G110" s="79"/>
    </row>
    <row r="111" spans="1:10" s="85" customFormat="1" x14ac:dyDescent="0.25">
      <c r="A111" s="79"/>
      <c r="B111" s="79" t="s">
        <v>51</v>
      </c>
      <c r="C111" s="475">
        <v>62.2</v>
      </c>
      <c r="E111" s="89"/>
      <c r="F111" s="79"/>
      <c r="G111" s="79"/>
      <c r="H111" s="79"/>
    </row>
    <row r="112" spans="1:10" s="85" customFormat="1" x14ac:dyDescent="0.25">
      <c r="A112" s="79"/>
      <c r="B112" s="79" t="s">
        <v>52</v>
      </c>
      <c r="C112" s="475">
        <v>50</v>
      </c>
      <c r="E112" s="89"/>
      <c r="F112" s="79"/>
      <c r="G112" s="79"/>
      <c r="H112" s="79"/>
    </row>
    <row r="113" spans="1:9" s="85" customFormat="1" x14ac:dyDescent="0.25">
      <c r="A113" s="79"/>
      <c r="B113" s="867" t="s">
        <v>53</v>
      </c>
      <c r="C113" s="475">
        <v>292.60000000000002</v>
      </c>
      <c r="D113" s="89"/>
      <c r="E113" s="89"/>
      <c r="F113" s="79"/>
      <c r="G113" s="79"/>
      <c r="H113" s="79"/>
    </row>
    <row r="114" spans="1:9" s="85" customFormat="1" x14ac:dyDescent="0.25">
      <c r="A114" s="79"/>
      <c r="B114" s="79" t="s">
        <v>56</v>
      </c>
      <c r="C114" s="475">
        <v>38.03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57</v>
      </c>
      <c r="C115" s="475">
        <v>75.25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418</v>
      </c>
      <c r="C116" s="475">
        <v>320.76</v>
      </c>
      <c r="E116" s="89"/>
      <c r="F116" s="79"/>
      <c r="G116" s="79"/>
      <c r="H116" s="79"/>
    </row>
    <row r="117" spans="1:9" s="85" customFormat="1" x14ac:dyDescent="0.25">
      <c r="A117" s="79"/>
      <c r="B117" s="79" t="s">
        <v>419</v>
      </c>
      <c r="C117" s="475">
        <v>33</v>
      </c>
      <c r="E117" s="89"/>
      <c r="F117" s="79"/>
      <c r="G117" s="79"/>
      <c r="H117" s="79"/>
    </row>
    <row r="119" spans="1:9" x14ac:dyDescent="0.25">
      <c r="B119" s="79" t="s">
        <v>486</v>
      </c>
      <c r="C119" s="475">
        <f>G119/I119</f>
        <v>58.029354838709679</v>
      </c>
      <c r="E119" s="224" t="s">
        <v>487</v>
      </c>
      <c r="F119" s="224"/>
      <c r="G119" s="216">
        <v>1798.91</v>
      </c>
      <c r="H119" s="518" t="s">
        <v>488</v>
      </c>
      <c r="I119" s="85">
        <v>31</v>
      </c>
    </row>
  </sheetData>
  <autoFilter ref="A2:H105" xr:uid="{00000000-0009-0000-0000-000013000000}">
    <filterColumn colId="1">
      <filters>
        <filter val="Mão de obra Moacir cobert garagem 3/3"/>
        <filter val="Telhamento garagem (20 tijolos+1 cimento)"/>
      </filters>
    </filterColumn>
  </autoFilter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2"/>
  <dimension ref="A1:I114"/>
  <sheetViews>
    <sheetView workbookViewId="0">
      <selection activeCell="E31" sqref="E3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554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41852</v>
      </c>
      <c r="B5" s="369" t="s">
        <v>10</v>
      </c>
      <c r="C5" s="370"/>
      <c r="D5" s="207"/>
      <c r="E5" s="179"/>
      <c r="F5" s="933">
        <f>'Julho-14'!F105</f>
        <v>143.36000000000195</v>
      </c>
      <c r="G5" s="163"/>
      <c r="H5" s="933">
        <f>'Julho-14'!H105</f>
        <v>110</v>
      </c>
    </row>
    <row r="6" spans="1:8" s="224" customFormat="1" x14ac:dyDescent="0.25">
      <c r="A6" s="215">
        <v>41852</v>
      </c>
      <c r="B6" s="348" t="s">
        <v>11</v>
      </c>
      <c r="C6" s="351"/>
      <c r="D6" s="248"/>
      <c r="E6" s="250">
        <v>21</v>
      </c>
      <c r="F6" s="1473"/>
      <c r="G6" s="252"/>
      <c r="H6" s="1473"/>
    </row>
    <row r="7" spans="1:8" s="224" customFormat="1" x14ac:dyDescent="0.25">
      <c r="A7" s="215">
        <v>41852</v>
      </c>
      <c r="B7" s="862" t="s">
        <v>32</v>
      </c>
      <c r="C7" s="879" t="s">
        <v>12</v>
      </c>
      <c r="D7" s="887" t="s">
        <v>13</v>
      </c>
      <c r="E7" s="250">
        <v>5.5</v>
      </c>
      <c r="F7" s="1473"/>
      <c r="G7" s="252"/>
      <c r="H7" s="1473"/>
    </row>
    <row r="8" spans="1:8" s="224" customFormat="1" x14ac:dyDescent="0.25">
      <c r="A8" s="215">
        <v>41852</v>
      </c>
      <c r="B8" s="862" t="s">
        <v>14</v>
      </c>
      <c r="C8" s="879" t="s">
        <v>12</v>
      </c>
      <c r="D8" s="887" t="s">
        <v>13</v>
      </c>
      <c r="E8" s="250">
        <v>15.82</v>
      </c>
      <c r="F8" s="1473"/>
      <c r="G8" s="252"/>
      <c r="H8" s="1473"/>
    </row>
    <row r="9" spans="1:8" s="224" customFormat="1" x14ac:dyDescent="0.25">
      <c r="A9" s="215">
        <v>41853</v>
      </c>
      <c r="B9" s="349" t="s">
        <v>138</v>
      </c>
      <c r="C9" s="350" t="s">
        <v>12</v>
      </c>
      <c r="D9" s="141" t="s">
        <v>13</v>
      </c>
      <c r="E9" s="97">
        <v>20</v>
      </c>
      <c r="F9" s="946"/>
      <c r="G9" s="97"/>
      <c r="H9" s="1473"/>
    </row>
    <row r="10" spans="1:8" s="224" customFormat="1" x14ac:dyDescent="0.25">
      <c r="A10" s="215">
        <v>41853</v>
      </c>
      <c r="B10" s="349" t="s">
        <v>134</v>
      </c>
      <c r="C10" s="350" t="s">
        <v>12</v>
      </c>
      <c r="D10" s="141" t="s">
        <v>15</v>
      </c>
      <c r="E10" s="97">
        <v>4</v>
      </c>
      <c r="F10" s="946"/>
      <c r="G10" s="97"/>
      <c r="H10" s="1473"/>
    </row>
    <row r="11" spans="1:8" s="224" customFormat="1" x14ac:dyDescent="0.25">
      <c r="A11" s="215">
        <v>41854</v>
      </c>
      <c r="B11" s="349" t="s">
        <v>138</v>
      </c>
      <c r="C11" s="350" t="s">
        <v>12</v>
      </c>
      <c r="D11" s="141" t="s">
        <v>15</v>
      </c>
      <c r="E11" s="97">
        <v>20</v>
      </c>
      <c r="F11" s="1473"/>
      <c r="G11" s="252"/>
      <c r="H11" s="1473"/>
    </row>
    <row r="12" spans="1:8" s="224" customFormat="1" x14ac:dyDescent="0.25">
      <c r="A12" s="215">
        <v>41854</v>
      </c>
      <c r="B12" s="349" t="s">
        <v>14</v>
      </c>
      <c r="C12" s="350" t="s">
        <v>12</v>
      </c>
      <c r="D12" s="141" t="s">
        <v>15</v>
      </c>
      <c r="E12" s="97">
        <v>6</v>
      </c>
      <c r="F12" s="1473"/>
      <c r="G12" s="252"/>
      <c r="H12" s="1473"/>
    </row>
    <row r="13" spans="1:8" s="224" customFormat="1" x14ac:dyDescent="0.25">
      <c r="A13" s="215">
        <v>41854</v>
      </c>
      <c r="B13" s="349" t="s">
        <v>555</v>
      </c>
      <c r="C13" s="350" t="s">
        <v>12</v>
      </c>
      <c r="D13" s="141" t="s">
        <v>25</v>
      </c>
      <c r="E13" s="97"/>
      <c r="F13" s="1473">
        <v>200</v>
      </c>
      <c r="G13" s="252"/>
      <c r="H13" s="1473"/>
    </row>
    <row r="14" spans="1:8" s="224" customFormat="1" x14ac:dyDescent="0.25">
      <c r="A14" s="215">
        <v>41855</v>
      </c>
      <c r="B14" s="862" t="s">
        <v>32</v>
      </c>
      <c r="C14" s="879" t="s">
        <v>12</v>
      </c>
      <c r="D14" s="887" t="s">
        <v>13</v>
      </c>
      <c r="E14" s="250">
        <v>10</v>
      </c>
      <c r="F14" s="1473"/>
      <c r="G14" s="252"/>
      <c r="H14" s="1473"/>
    </row>
    <row r="15" spans="1:8" s="224" customFormat="1" x14ac:dyDescent="0.25">
      <c r="A15" s="215">
        <v>41855</v>
      </c>
      <c r="B15" s="349" t="s">
        <v>138</v>
      </c>
      <c r="C15" s="350" t="s">
        <v>12</v>
      </c>
      <c r="D15" s="141" t="s">
        <v>15</v>
      </c>
      <c r="E15" s="97">
        <v>20</v>
      </c>
      <c r="F15" s="1473"/>
      <c r="G15" s="252"/>
      <c r="H15" s="1473"/>
    </row>
    <row r="16" spans="1:8" s="224" customFormat="1" x14ac:dyDescent="0.25">
      <c r="A16" s="215">
        <v>41856</v>
      </c>
      <c r="B16" s="862" t="s">
        <v>32</v>
      </c>
      <c r="C16" s="879" t="s">
        <v>12</v>
      </c>
      <c r="D16" s="887" t="s">
        <v>15</v>
      </c>
      <c r="E16" s="250">
        <v>5</v>
      </c>
      <c r="F16" s="1473"/>
      <c r="G16" s="252"/>
      <c r="H16" s="1473"/>
    </row>
    <row r="17" spans="1:8" s="224" customFormat="1" x14ac:dyDescent="0.25">
      <c r="A17" s="215">
        <v>41856</v>
      </c>
      <c r="B17" s="862" t="s">
        <v>103</v>
      </c>
      <c r="C17" s="879" t="s">
        <v>12</v>
      </c>
      <c r="D17" s="887" t="s">
        <v>15</v>
      </c>
      <c r="E17" s="250">
        <v>6.5</v>
      </c>
      <c r="F17" s="1473"/>
      <c r="G17" s="252"/>
      <c r="H17" s="1473"/>
    </row>
    <row r="18" spans="1:8" s="224" customFormat="1" x14ac:dyDescent="0.25">
      <c r="A18" s="215">
        <v>41856</v>
      </c>
      <c r="B18" s="873" t="s">
        <v>556</v>
      </c>
      <c r="C18" s="879" t="s">
        <v>12</v>
      </c>
      <c r="D18" s="887" t="s">
        <v>25</v>
      </c>
      <c r="E18" s="97"/>
      <c r="F18" s="1473">
        <v>150</v>
      </c>
      <c r="G18" s="252"/>
      <c r="H18" s="1473"/>
    </row>
    <row r="19" spans="1:8" s="224" customFormat="1" x14ac:dyDescent="0.25">
      <c r="A19" s="215">
        <v>41857</v>
      </c>
      <c r="B19" s="862" t="s">
        <v>32</v>
      </c>
      <c r="C19" s="879" t="s">
        <v>12</v>
      </c>
      <c r="D19" s="887" t="s">
        <v>15</v>
      </c>
      <c r="E19" s="250">
        <v>9</v>
      </c>
      <c r="F19" s="1473"/>
      <c r="G19" s="252"/>
      <c r="H19" s="1473"/>
    </row>
    <row r="20" spans="1:8" s="224" customFormat="1" ht="15.75" customHeight="1" x14ac:dyDescent="0.25">
      <c r="A20" s="215">
        <v>41857</v>
      </c>
      <c r="B20" s="349" t="s">
        <v>260</v>
      </c>
      <c r="C20" s="350"/>
      <c r="D20" s="141"/>
      <c r="E20" s="97">
        <v>260</v>
      </c>
      <c r="F20" s="946"/>
      <c r="G20" s="97"/>
      <c r="H20" s="946">
        <v>260</v>
      </c>
    </row>
    <row r="21" spans="1:8" s="224" customFormat="1" x14ac:dyDescent="0.25">
      <c r="A21" s="215">
        <v>41857</v>
      </c>
      <c r="B21" s="349" t="s">
        <v>557</v>
      </c>
      <c r="C21" s="879" t="s">
        <v>12</v>
      </c>
      <c r="D21" s="983" t="s">
        <v>25</v>
      </c>
      <c r="E21" s="250"/>
      <c r="F21" s="1473">
        <v>915.93</v>
      </c>
      <c r="G21" s="252"/>
      <c r="H21" s="1473"/>
    </row>
    <row r="22" spans="1:8" s="224" customFormat="1" ht="15.75" customHeight="1" x14ac:dyDescent="0.25">
      <c r="A22" s="215">
        <v>41857</v>
      </c>
      <c r="B22" s="862" t="s">
        <v>558</v>
      </c>
      <c r="C22" s="350" t="s">
        <v>12</v>
      </c>
      <c r="D22" s="141" t="s">
        <v>13</v>
      </c>
      <c r="E22" s="97">
        <v>321.37</v>
      </c>
      <c r="F22" s="1473"/>
      <c r="G22" s="252"/>
      <c r="H22" s="1473"/>
    </row>
    <row r="23" spans="1:8" s="224" customFormat="1" x14ac:dyDescent="0.25">
      <c r="A23" s="215">
        <v>41857</v>
      </c>
      <c r="B23" s="882" t="s">
        <v>559</v>
      </c>
      <c r="C23" s="350" t="s">
        <v>12</v>
      </c>
      <c r="D23" s="141" t="s">
        <v>13</v>
      </c>
      <c r="E23" s="97">
        <v>44.06</v>
      </c>
      <c r="F23" s="1473"/>
      <c r="G23" s="252"/>
      <c r="H23" s="1473"/>
    </row>
    <row r="24" spans="1:8" s="224" customFormat="1" ht="15" customHeight="1" x14ac:dyDescent="0.25">
      <c r="A24" s="215">
        <v>41857</v>
      </c>
      <c r="B24" s="862" t="s">
        <v>31</v>
      </c>
      <c r="C24" s="350" t="s">
        <v>12</v>
      </c>
      <c r="D24" s="957" t="s">
        <v>15</v>
      </c>
      <c r="E24" s="97">
        <v>50</v>
      </c>
      <c r="F24" s="1473"/>
      <c r="G24" s="252"/>
      <c r="H24" s="1473"/>
    </row>
    <row r="25" spans="1:8" s="224" customFormat="1" x14ac:dyDescent="0.25">
      <c r="A25" s="215">
        <v>41857</v>
      </c>
      <c r="B25" s="862" t="s">
        <v>399</v>
      </c>
      <c r="C25" s="350" t="s">
        <v>12</v>
      </c>
      <c r="D25" s="957" t="s">
        <v>15</v>
      </c>
      <c r="E25" s="97">
        <v>25</v>
      </c>
      <c r="F25" s="1473"/>
      <c r="G25" s="252"/>
      <c r="H25" s="1473"/>
    </row>
    <row r="26" spans="1:8" s="224" customFormat="1" x14ac:dyDescent="0.25">
      <c r="A26" s="215">
        <v>41857</v>
      </c>
      <c r="B26" s="349" t="s">
        <v>138</v>
      </c>
      <c r="C26" s="350" t="s">
        <v>12</v>
      </c>
      <c r="D26" s="141" t="s">
        <v>13</v>
      </c>
      <c r="E26" s="97">
        <v>20</v>
      </c>
      <c r="F26" s="1473"/>
      <c r="G26" s="252"/>
      <c r="H26" s="1473"/>
    </row>
    <row r="27" spans="1:8" s="224" customFormat="1" x14ac:dyDescent="0.25">
      <c r="A27" s="215">
        <v>41857</v>
      </c>
      <c r="B27" s="349" t="s">
        <v>560</v>
      </c>
      <c r="C27" s="350" t="s">
        <v>12</v>
      </c>
      <c r="D27" s="141" t="s">
        <v>13</v>
      </c>
      <c r="E27" s="178">
        <v>11</v>
      </c>
      <c r="F27" s="1473"/>
      <c r="G27" s="252"/>
      <c r="H27" s="1473"/>
    </row>
    <row r="28" spans="1:8" s="224" customFormat="1" x14ac:dyDescent="0.25">
      <c r="A28" s="215">
        <v>41857</v>
      </c>
      <c r="B28" s="349" t="s">
        <v>14</v>
      </c>
      <c r="C28" s="350" t="s">
        <v>12</v>
      </c>
      <c r="D28" s="141" t="s">
        <v>13</v>
      </c>
      <c r="E28" s="97">
        <v>6.67</v>
      </c>
      <c r="F28" s="1473"/>
      <c r="G28" s="252"/>
      <c r="H28" s="1473"/>
    </row>
    <row r="29" spans="1:8" s="224" customFormat="1" ht="15.75" customHeight="1" x14ac:dyDescent="0.25">
      <c r="A29" s="215">
        <v>41858</v>
      </c>
      <c r="B29" s="862" t="s">
        <v>32</v>
      </c>
      <c r="C29" s="879" t="s">
        <v>12</v>
      </c>
      <c r="D29" s="887" t="s">
        <v>13</v>
      </c>
      <c r="E29" s="250">
        <v>10</v>
      </c>
      <c r="F29" s="946"/>
      <c r="G29" s="97"/>
      <c r="H29" s="946"/>
    </row>
    <row r="30" spans="1:8" s="224" customFormat="1" x14ac:dyDescent="0.25">
      <c r="A30" s="215">
        <v>41858</v>
      </c>
      <c r="B30" s="349" t="s">
        <v>134</v>
      </c>
      <c r="C30" s="350" t="s">
        <v>12</v>
      </c>
      <c r="D30" s="141" t="s">
        <v>15</v>
      </c>
      <c r="E30" s="97">
        <v>2.5</v>
      </c>
      <c r="F30" s="946"/>
      <c r="G30" s="97"/>
      <c r="H30" s="1473"/>
    </row>
    <row r="31" spans="1:8" s="224" customFormat="1" x14ac:dyDescent="0.25">
      <c r="A31" s="215">
        <v>41858</v>
      </c>
      <c r="B31" s="349" t="s">
        <v>14</v>
      </c>
      <c r="C31" s="350" t="s">
        <v>12</v>
      </c>
      <c r="D31" s="141" t="s">
        <v>13</v>
      </c>
      <c r="E31" s="97">
        <v>5.49</v>
      </c>
      <c r="F31" s="1473"/>
      <c r="G31" s="252"/>
      <c r="H31" s="1473"/>
    </row>
    <row r="32" spans="1:8" s="224" customFormat="1" ht="15.75" customHeight="1" x14ac:dyDescent="0.25">
      <c r="A32" s="215">
        <v>41859</v>
      </c>
      <c r="B32" s="862" t="s">
        <v>32</v>
      </c>
      <c r="C32" s="879" t="s">
        <v>12</v>
      </c>
      <c r="D32" s="887" t="s">
        <v>13</v>
      </c>
      <c r="E32" s="250">
        <v>6.5</v>
      </c>
      <c r="F32" s="946"/>
      <c r="G32" s="97"/>
      <c r="H32" s="946"/>
    </row>
    <row r="33" spans="1:8" s="224" customFormat="1" ht="15.75" customHeight="1" x14ac:dyDescent="0.25">
      <c r="A33" s="215">
        <v>41859</v>
      </c>
      <c r="B33" s="862" t="s">
        <v>14</v>
      </c>
      <c r="C33" s="879" t="s">
        <v>12</v>
      </c>
      <c r="D33" s="887" t="s">
        <v>15</v>
      </c>
      <c r="E33" s="250">
        <v>5</v>
      </c>
      <c r="F33" s="946"/>
      <c r="G33" s="97"/>
      <c r="H33" s="946"/>
    </row>
    <row r="34" spans="1:8" s="224" customFormat="1" ht="15.75" customHeight="1" x14ac:dyDescent="0.25">
      <c r="A34" s="215">
        <v>41860</v>
      </c>
      <c r="B34" s="349" t="s">
        <v>134</v>
      </c>
      <c r="C34" s="350" t="s">
        <v>12</v>
      </c>
      <c r="D34" s="141" t="s">
        <v>13</v>
      </c>
      <c r="E34" s="97">
        <v>14.61</v>
      </c>
      <c r="F34" s="946"/>
      <c r="G34" s="97"/>
      <c r="H34" s="946"/>
    </row>
    <row r="35" spans="1:8" s="224" customFormat="1" ht="15.75" customHeight="1" x14ac:dyDescent="0.25">
      <c r="A35" s="215">
        <v>41860</v>
      </c>
      <c r="B35" s="349" t="s">
        <v>134</v>
      </c>
      <c r="C35" s="350" t="s">
        <v>12</v>
      </c>
      <c r="D35" s="141" t="s">
        <v>15</v>
      </c>
      <c r="E35" s="97">
        <v>4</v>
      </c>
      <c r="F35" s="946"/>
      <c r="G35" s="97"/>
      <c r="H35" s="946"/>
    </row>
    <row r="36" spans="1:8" s="224" customFormat="1" ht="15.75" customHeight="1" x14ac:dyDescent="0.25">
      <c r="A36" s="215">
        <v>41860</v>
      </c>
      <c r="B36" s="349" t="s">
        <v>138</v>
      </c>
      <c r="C36" s="350" t="s">
        <v>12</v>
      </c>
      <c r="D36" s="141" t="s">
        <v>15</v>
      </c>
      <c r="E36" s="97">
        <v>20</v>
      </c>
      <c r="F36" s="946"/>
      <c r="G36" s="97"/>
      <c r="H36" s="946"/>
    </row>
    <row r="37" spans="1:8" s="224" customFormat="1" ht="15.75" customHeight="1" x14ac:dyDescent="0.25">
      <c r="A37" s="215">
        <v>41860</v>
      </c>
      <c r="B37" s="349" t="s">
        <v>82</v>
      </c>
      <c r="C37" s="350" t="s">
        <v>12</v>
      </c>
      <c r="D37" s="141" t="s">
        <v>15</v>
      </c>
      <c r="E37" s="97">
        <v>12</v>
      </c>
      <c r="F37" s="946"/>
      <c r="G37" s="97"/>
      <c r="H37" s="946"/>
    </row>
    <row r="38" spans="1:8" s="224" customFormat="1" ht="15.75" customHeight="1" x14ac:dyDescent="0.25">
      <c r="A38" s="215">
        <v>41861</v>
      </c>
      <c r="B38" s="862" t="s">
        <v>14</v>
      </c>
      <c r="C38" s="879" t="s">
        <v>12</v>
      </c>
      <c r="D38" s="887" t="s">
        <v>13</v>
      </c>
      <c r="E38" s="250">
        <v>12.89</v>
      </c>
      <c r="F38" s="1473"/>
      <c r="G38" s="97"/>
      <c r="H38" s="946"/>
    </row>
    <row r="39" spans="1:8" s="224" customFormat="1" ht="15.75" customHeight="1" x14ac:dyDescent="0.25">
      <c r="A39" s="215">
        <v>41861</v>
      </c>
      <c r="B39" s="862" t="s">
        <v>561</v>
      </c>
      <c r="C39" s="879" t="s">
        <v>12</v>
      </c>
      <c r="D39" s="887" t="s">
        <v>15</v>
      </c>
      <c r="E39" s="250">
        <v>20</v>
      </c>
      <c r="F39" s="1473"/>
      <c r="G39" s="97"/>
      <c r="H39" s="946"/>
    </row>
    <row r="40" spans="1:8" s="224" customFormat="1" ht="15.75" customHeight="1" x14ac:dyDescent="0.25">
      <c r="A40" s="215">
        <v>41862</v>
      </c>
      <c r="B40" s="349" t="s">
        <v>256</v>
      </c>
      <c r="C40" s="350"/>
      <c r="D40" s="141"/>
      <c r="E40" s="97"/>
      <c r="F40" s="946">
        <v>100</v>
      </c>
      <c r="G40" s="97">
        <v>100</v>
      </c>
      <c r="H40" s="946"/>
    </row>
    <row r="41" spans="1:8" s="224" customFormat="1" ht="15.75" customHeight="1" x14ac:dyDescent="0.25">
      <c r="A41" s="215">
        <v>41862</v>
      </c>
      <c r="B41" s="862" t="s">
        <v>32</v>
      </c>
      <c r="C41" s="879" t="s">
        <v>12</v>
      </c>
      <c r="D41" s="887" t="s">
        <v>13</v>
      </c>
      <c r="E41" s="250">
        <v>7</v>
      </c>
      <c r="F41" s="946"/>
      <c r="G41" s="97"/>
      <c r="H41" s="946"/>
    </row>
    <row r="42" spans="1:8" s="224" customFormat="1" ht="15.75" customHeight="1" x14ac:dyDescent="0.25">
      <c r="A42" s="215">
        <v>41862</v>
      </c>
      <c r="B42" s="862" t="s">
        <v>14</v>
      </c>
      <c r="C42" s="879" t="s">
        <v>12</v>
      </c>
      <c r="D42" s="887" t="s">
        <v>13</v>
      </c>
      <c r="E42" s="250">
        <v>1.8</v>
      </c>
      <c r="F42" s="1473"/>
      <c r="G42" s="97"/>
      <c r="H42" s="946"/>
    </row>
    <row r="43" spans="1:8" s="224" customFormat="1" ht="15.75" customHeight="1" x14ac:dyDescent="0.25">
      <c r="A43" s="215">
        <v>41863</v>
      </c>
      <c r="B43" s="862" t="s">
        <v>32</v>
      </c>
      <c r="C43" s="879" t="s">
        <v>12</v>
      </c>
      <c r="D43" s="887" t="s">
        <v>13</v>
      </c>
      <c r="E43" s="250">
        <v>10</v>
      </c>
      <c r="F43" s="946"/>
      <c r="G43" s="97"/>
      <c r="H43" s="946"/>
    </row>
    <row r="44" spans="1:8" s="224" customFormat="1" ht="15.75" customHeight="1" x14ac:dyDescent="0.25">
      <c r="A44" s="215">
        <v>41863</v>
      </c>
      <c r="B44" s="349" t="s">
        <v>138</v>
      </c>
      <c r="C44" s="350" t="s">
        <v>12</v>
      </c>
      <c r="D44" s="141" t="s">
        <v>13</v>
      </c>
      <c r="E44" s="97">
        <v>20</v>
      </c>
      <c r="F44" s="946"/>
      <c r="G44" s="97"/>
      <c r="H44" s="946"/>
    </row>
    <row r="45" spans="1:8" s="224" customFormat="1" ht="15.75" customHeight="1" x14ac:dyDescent="0.25">
      <c r="A45" s="215">
        <v>41864</v>
      </c>
      <c r="B45" s="862" t="s">
        <v>32</v>
      </c>
      <c r="C45" s="879" t="s">
        <v>12</v>
      </c>
      <c r="D45" s="887" t="s">
        <v>13</v>
      </c>
      <c r="E45" s="250">
        <v>10</v>
      </c>
      <c r="F45" s="946"/>
      <c r="G45" s="97"/>
      <c r="H45" s="946"/>
    </row>
    <row r="46" spans="1:8" s="224" customFormat="1" ht="15.75" customHeight="1" x14ac:dyDescent="0.25">
      <c r="A46" s="215">
        <v>41864</v>
      </c>
      <c r="B46" s="862" t="s">
        <v>14</v>
      </c>
      <c r="C46" s="879" t="s">
        <v>12</v>
      </c>
      <c r="D46" s="887" t="s">
        <v>15</v>
      </c>
      <c r="E46" s="250">
        <v>1.8</v>
      </c>
      <c r="F46" s="1473"/>
      <c r="G46" s="97"/>
      <c r="H46" s="946"/>
    </row>
    <row r="47" spans="1:8" s="224" customFormat="1" ht="15.75" customHeight="1" x14ac:dyDescent="0.25">
      <c r="A47" s="215">
        <v>41865</v>
      </c>
      <c r="B47" s="862" t="s">
        <v>32</v>
      </c>
      <c r="C47" s="879" t="s">
        <v>12</v>
      </c>
      <c r="D47" s="887" t="s">
        <v>13</v>
      </c>
      <c r="E47" s="250">
        <v>21.5</v>
      </c>
      <c r="F47" s="1473"/>
      <c r="G47" s="97"/>
      <c r="H47" s="946"/>
    </row>
    <row r="48" spans="1:8" s="224" customFormat="1" ht="15.75" customHeight="1" x14ac:dyDescent="0.25">
      <c r="A48" s="215">
        <v>41865</v>
      </c>
      <c r="B48" s="349" t="s">
        <v>134</v>
      </c>
      <c r="C48" s="350" t="s">
        <v>12</v>
      </c>
      <c r="D48" s="141" t="s">
        <v>15</v>
      </c>
      <c r="E48" s="97">
        <v>5</v>
      </c>
      <c r="F48" s="946"/>
      <c r="G48" s="97"/>
      <c r="H48" s="946"/>
    </row>
    <row r="49" spans="1:9" s="224" customFormat="1" ht="15.75" customHeight="1" x14ac:dyDescent="0.25">
      <c r="A49" s="215">
        <v>41865</v>
      </c>
      <c r="B49" s="862" t="s">
        <v>14</v>
      </c>
      <c r="C49" s="879" t="s">
        <v>12</v>
      </c>
      <c r="D49" s="887" t="s">
        <v>13</v>
      </c>
      <c r="E49" s="250">
        <v>5.3</v>
      </c>
      <c r="F49" s="1473"/>
      <c r="G49" s="97"/>
      <c r="H49" s="946"/>
    </row>
    <row r="50" spans="1:9" s="224" customFormat="1" ht="15.75" customHeight="1" x14ac:dyDescent="0.25">
      <c r="A50" s="215">
        <v>41866</v>
      </c>
      <c r="B50" s="862" t="s">
        <v>32</v>
      </c>
      <c r="C50" s="879" t="s">
        <v>12</v>
      </c>
      <c r="D50" s="887" t="s">
        <v>13</v>
      </c>
      <c r="E50" s="250">
        <v>4</v>
      </c>
      <c r="F50" s="946"/>
      <c r="G50" s="97"/>
      <c r="H50" s="946"/>
    </row>
    <row r="51" spans="1:9" s="224" customFormat="1" ht="15.75" customHeight="1" x14ac:dyDescent="0.25">
      <c r="A51" s="215">
        <v>41866</v>
      </c>
      <c r="B51" s="862" t="s">
        <v>14</v>
      </c>
      <c r="C51" s="879" t="s">
        <v>12</v>
      </c>
      <c r="D51" s="887" t="s">
        <v>13</v>
      </c>
      <c r="E51" s="250">
        <v>5.56</v>
      </c>
      <c r="F51" s="1473"/>
      <c r="G51" s="97"/>
      <c r="H51" s="946"/>
    </row>
    <row r="52" spans="1:9" s="224" customFormat="1" ht="15.75" customHeight="1" x14ac:dyDescent="0.25">
      <c r="A52" s="215">
        <v>41866</v>
      </c>
      <c r="B52" s="349" t="s">
        <v>134</v>
      </c>
      <c r="C52" s="350" t="s">
        <v>12</v>
      </c>
      <c r="D52" s="887" t="s">
        <v>13</v>
      </c>
      <c r="E52" s="97">
        <v>23.5</v>
      </c>
      <c r="F52" s="946"/>
      <c r="G52" s="97"/>
      <c r="H52" s="946"/>
    </row>
    <row r="53" spans="1:9" s="224" customFormat="1" ht="15.75" customHeight="1" x14ac:dyDescent="0.25">
      <c r="A53" s="215">
        <v>41866</v>
      </c>
      <c r="B53" s="349" t="s">
        <v>138</v>
      </c>
      <c r="C53" s="350" t="s">
        <v>12</v>
      </c>
      <c r="D53" s="887" t="s">
        <v>13</v>
      </c>
      <c r="E53" s="97">
        <v>20</v>
      </c>
      <c r="F53" s="946"/>
      <c r="G53" s="97"/>
      <c r="H53" s="946"/>
    </row>
    <row r="54" spans="1:9" s="224" customFormat="1" x14ac:dyDescent="0.25">
      <c r="A54" s="215">
        <v>41867</v>
      </c>
      <c r="B54" s="862" t="s">
        <v>14</v>
      </c>
      <c r="C54" s="879" t="s">
        <v>12</v>
      </c>
      <c r="D54" s="887" t="s">
        <v>13</v>
      </c>
      <c r="E54" s="250">
        <v>9.8699999999999992</v>
      </c>
      <c r="F54" s="1473"/>
      <c r="G54" s="252"/>
      <c r="H54" s="1473"/>
    </row>
    <row r="55" spans="1:9" s="224" customFormat="1" ht="15.75" customHeight="1" x14ac:dyDescent="0.25">
      <c r="A55" s="215">
        <v>41867</v>
      </c>
      <c r="B55" s="349" t="s">
        <v>82</v>
      </c>
      <c r="C55" s="350" t="s">
        <v>12</v>
      </c>
      <c r="D55" s="887" t="s">
        <v>13</v>
      </c>
      <c r="E55" s="97">
        <v>12.5</v>
      </c>
      <c r="F55" s="946"/>
      <c r="G55" s="97"/>
      <c r="H55" s="946"/>
    </row>
    <row r="56" spans="1:9" s="224" customFormat="1" ht="15.75" customHeight="1" x14ac:dyDescent="0.25">
      <c r="A56" s="215">
        <v>41868</v>
      </c>
      <c r="B56" s="349" t="s">
        <v>134</v>
      </c>
      <c r="C56" s="350" t="s">
        <v>19</v>
      </c>
      <c r="D56" s="887" t="s">
        <v>13</v>
      </c>
      <c r="E56" s="97">
        <v>23.05</v>
      </c>
      <c r="F56" s="946"/>
      <c r="G56" s="97"/>
      <c r="H56" s="946"/>
    </row>
    <row r="57" spans="1:9" s="224" customFormat="1" ht="15.75" customHeight="1" x14ac:dyDescent="0.25">
      <c r="A57" s="215">
        <v>41869</v>
      </c>
      <c r="B57" s="862" t="s">
        <v>32</v>
      </c>
      <c r="C57" s="879" t="s">
        <v>12</v>
      </c>
      <c r="D57" s="887" t="s">
        <v>13</v>
      </c>
      <c r="E57" s="250">
        <v>5</v>
      </c>
      <c r="F57" s="1473"/>
      <c r="G57" s="252"/>
      <c r="H57" s="1473"/>
    </row>
    <row r="58" spans="1:9" s="224" customFormat="1" ht="15.75" customHeight="1" x14ac:dyDescent="0.25">
      <c r="A58" s="215">
        <v>41869</v>
      </c>
      <c r="B58" s="349" t="s">
        <v>138</v>
      </c>
      <c r="C58" s="350" t="s">
        <v>12</v>
      </c>
      <c r="D58" s="887" t="s">
        <v>13</v>
      </c>
      <c r="E58" s="97">
        <v>20</v>
      </c>
      <c r="F58" s="946"/>
      <c r="G58" s="97"/>
      <c r="H58" s="946"/>
    </row>
    <row r="59" spans="1:9" s="224" customFormat="1" x14ac:dyDescent="0.25">
      <c r="A59" s="215">
        <v>41869</v>
      </c>
      <c r="B59" s="862" t="s">
        <v>14</v>
      </c>
      <c r="C59" s="879" t="s">
        <v>12</v>
      </c>
      <c r="D59" s="887" t="s">
        <v>13</v>
      </c>
      <c r="E59" s="250">
        <v>4.93</v>
      </c>
      <c r="F59" s="1473"/>
      <c r="G59" s="252"/>
      <c r="H59" s="1473"/>
    </row>
    <row r="60" spans="1:9" s="224" customFormat="1" x14ac:dyDescent="0.25">
      <c r="A60" s="215">
        <v>41870</v>
      </c>
      <c r="B60" s="862" t="s">
        <v>32</v>
      </c>
      <c r="C60" s="879" t="s">
        <v>12</v>
      </c>
      <c r="D60" s="887" t="s">
        <v>13</v>
      </c>
      <c r="E60" s="250">
        <v>4</v>
      </c>
      <c r="F60" s="1473"/>
      <c r="G60" s="252"/>
      <c r="H60" s="1473"/>
    </row>
    <row r="61" spans="1:9" s="224" customFormat="1" x14ac:dyDescent="0.25">
      <c r="A61" s="215">
        <v>41870</v>
      </c>
      <c r="B61" s="862" t="s">
        <v>14</v>
      </c>
      <c r="C61" s="879" t="s">
        <v>12</v>
      </c>
      <c r="D61" s="887" t="s">
        <v>13</v>
      </c>
      <c r="E61" s="250">
        <v>1.5</v>
      </c>
      <c r="F61" s="1473"/>
      <c r="G61" s="252"/>
      <c r="H61" s="1473"/>
    </row>
    <row r="62" spans="1:9" s="224" customFormat="1" x14ac:dyDescent="0.25">
      <c r="A62" s="215">
        <v>41871</v>
      </c>
      <c r="B62" s="349" t="s">
        <v>562</v>
      </c>
      <c r="C62" s="350" t="s">
        <v>12</v>
      </c>
      <c r="D62" s="141" t="s">
        <v>25</v>
      </c>
      <c r="E62" s="250"/>
      <c r="F62" s="1473">
        <v>726</v>
      </c>
      <c r="G62" s="252"/>
      <c r="H62" s="1473"/>
    </row>
    <row r="63" spans="1:9" s="224" customFormat="1" x14ac:dyDescent="0.25">
      <c r="A63" s="215">
        <v>41871</v>
      </c>
      <c r="B63" s="882" t="s">
        <v>563</v>
      </c>
      <c r="C63" s="350" t="s">
        <v>12</v>
      </c>
      <c r="D63" s="141" t="s">
        <v>13</v>
      </c>
      <c r="E63" s="538">
        <v>23.54</v>
      </c>
      <c r="F63" s="1002"/>
      <c r="G63" s="539"/>
      <c r="H63" s="1002"/>
      <c r="I63" s="709"/>
    </row>
    <row r="64" spans="1:9" x14ac:dyDescent="0.25">
      <c r="A64" s="215">
        <v>41871</v>
      </c>
      <c r="B64" s="349" t="s">
        <v>564</v>
      </c>
      <c r="C64" s="350" t="s">
        <v>12</v>
      </c>
      <c r="D64" s="141" t="s">
        <v>13</v>
      </c>
      <c r="E64" s="97">
        <v>225</v>
      </c>
      <c r="F64" s="946"/>
      <c r="G64" s="95"/>
      <c r="H64" s="946"/>
    </row>
    <row r="65" spans="1:8" s="224" customFormat="1" ht="15.75" customHeight="1" x14ac:dyDescent="0.25">
      <c r="A65" s="215">
        <v>41871</v>
      </c>
      <c r="B65" s="349" t="s">
        <v>260</v>
      </c>
      <c r="C65" s="350"/>
      <c r="D65" s="141"/>
      <c r="E65" s="97">
        <v>250</v>
      </c>
      <c r="F65" s="946"/>
      <c r="G65" s="97"/>
      <c r="H65" s="946">
        <v>250</v>
      </c>
    </row>
    <row r="66" spans="1:8" x14ac:dyDescent="0.25">
      <c r="A66" s="215">
        <v>41871</v>
      </c>
      <c r="B66" s="862" t="s">
        <v>32</v>
      </c>
      <c r="C66" s="879" t="s">
        <v>12</v>
      </c>
      <c r="D66" s="887" t="s">
        <v>13</v>
      </c>
      <c r="E66" s="250">
        <v>10</v>
      </c>
      <c r="F66" s="946"/>
      <c r="G66" s="95"/>
      <c r="H66" s="946"/>
    </row>
    <row r="67" spans="1:8" x14ac:dyDescent="0.25">
      <c r="A67" s="215">
        <v>41872</v>
      </c>
      <c r="B67" s="862" t="s">
        <v>32</v>
      </c>
      <c r="C67" s="879" t="s">
        <v>12</v>
      </c>
      <c r="D67" s="887" t="s">
        <v>13</v>
      </c>
      <c r="E67" s="250">
        <v>11.5</v>
      </c>
      <c r="F67" s="946"/>
      <c r="G67" s="95"/>
      <c r="H67" s="946"/>
    </row>
    <row r="68" spans="1:8" x14ac:dyDescent="0.25">
      <c r="A68" s="215">
        <v>41872</v>
      </c>
      <c r="B68" s="349" t="s">
        <v>14</v>
      </c>
      <c r="C68" s="350" t="s">
        <v>12</v>
      </c>
      <c r="D68" s="141" t="s">
        <v>15</v>
      </c>
      <c r="E68" s="97">
        <v>3</v>
      </c>
      <c r="F68" s="946"/>
      <c r="G68" s="95"/>
      <c r="H68" s="946"/>
    </row>
    <row r="69" spans="1:8" x14ac:dyDescent="0.25">
      <c r="A69" s="215">
        <v>41872</v>
      </c>
      <c r="B69" s="862" t="s">
        <v>468</v>
      </c>
      <c r="C69" s="350" t="s">
        <v>12</v>
      </c>
      <c r="D69" s="141" t="s">
        <v>15</v>
      </c>
      <c r="E69" s="97">
        <v>20</v>
      </c>
      <c r="F69" s="946"/>
      <c r="G69" s="95"/>
      <c r="H69" s="946"/>
    </row>
    <row r="70" spans="1:8" x14ac:dyDescent="0.25">
      <c r="A70" s="215">
        <v>41872</v>
      </c>
      <c r="B70" s="349" t="s">
        <v>461</v>
      </c>
      <c r="C70" s="350" t="s">
        <v>12</v>
      </c>
      <c r="D70" s="141" t="s">
        <v>15</v>
      </c>
      <c r="E70" s="97">
        <v>10</v>
      </c>
      <c r="F70" s="946"/>
      <c r="G70" s="95"/>
      <c r="H70" s="946"/>
    </row>
    <row r="71" spans="1:8" s="224" customFormat="1" ht="15.75" customHeight="1" x14ac:dyDescent="0.25">
      <c r="A71" s="215">
        <v>41872</v>
      </c>
      <c r="B71" s="349" t="s">
        <v>138</v>
      </c>
      <c r="C71" s="350" t="s">
        <v>12</v>
      </c>
      <c r="D71" s="887" t="s">
        <v>15</v>
      </c>
      <c r="E71" s="97">
        <v>20</v>
      </c>
      <c r="F71" s="946"/>
      <c r="G71" s="97"/>
      <c r="H71" s="946"/>
    </row>
    <row r="72" spans="1:8" x14ac:dyDescent="0.25">
      <c r="A72" s="215">
        <v>41872</v>
      </c>
      <c r="B72" s="349" t="s">
        <v>565</v>
      </c>
      <c r="C72" s="350" t="s">
        <v>19</v>
      </c>
      <c r="D72" s="141" t="s">
        <v>13</v>
      </c>
      <c r="E72" s="97">
        <v>50</v>
      </c>
      <c r="F72" s="946"/>
      <c r="G72" s="95"/>
      <c r="H72" s="946"/>
    </row>
    <row r="73" spans="1:8" x14ac:dyDescent="0.25">
      <c r="A73" s="215">
        <v>41872</v>
      </c>
      <c r="B73" s="862" t="s">
        <v>17</v>
      </c>
      <c r="C73" s="879" t="s">
        <v>12</v>
      </c>
      <c r="D73" s="887" t="s">
        <v>13</v>
      </c>
      <c r="E73" s="250">
        <v>5</v>
      </c>
      <c r="F73" s="946"/>
      <c r="G73" s="95"/>
      <c r="H73" s="946"/>
    </row>
    <row r="74" spans="1:8" x14ac:dyDescent="0.25">
      <c r="A74" s="215">
        <v>41873</v>
      </c>
      <c r="B74" s="862" t="s">
        <v>32</v>
      </c>
      <c r="C74" s="879" t="s">
        <v>12</v>
      </c>
      <c r="D74" s="887" t="s">
        <v>13</v>
      </c>
      <c r="E74" s="250">
        <v>7.5</v>
      </c>
      <c r="F74" s="946"/>
      <c r="G74" s="95"/>
      <c r="H74" s="946"/>
    </row>
    <row r="75" spans="1:8" s="224" customFormat="1" ht="15.75" customHeight="1" x14ac:dyDescent="0.25">
      <c r="A75" s="215">
        <v>41873</v>
      </c>
      <c r="B75" s="862" t="s">
        <v>566</v>
      </c>
      <c r="C75" s="879" t="s">
        <v>12</v>
      </c>
      <c r="D75" s="887" t="s">
        <v>15</v>
      </c>
      <c r="E75" s="250">
        <v>25</v>
      </c>
      <c r="F75" s="1473"/>
      <c r="G75" s="97"/>
      <c r="H75" s="946"/>
    </row>
    <row r="76" spans="1:8" s="224" customFormat="1" ht="15.75" customHeight="1" x14ac:dyDescent="0.25">
      <c r="A76" s="215">
        <v>41873</v>
      </c>
      <c r="B76" s="349" t="s">
        <v>134</v>
      </c>
      <c r="C76" s="350" t="s">
        <v>12</v>
      </c>
      <c r="D76" s="887" t="s">
        <v>15</v>
      </c>
      <c r="E76" s="97">
        <v>15.9</v>
      </c>
      <c r="F76" s="946"/>
      <c r="G76" s="97"/>
      <c r="H76" s="946"/>
    </row>
    <row r="77" spans="1:8" x14ac:dyDescent="0.25">
      <c r="A77" s="215">
        <v>41873</v>
      </c>
      <c r="B77" s="349" t="s">
        <v>14</v>
      </c>
      <c r="C77" s="350" t="s">
        <v>12</v>
      </c>
      <c r="D77" s="141" t="s">
        <v>15</v>
      </c>
      <c r="E77" s="97">
        <v>2.5</v>
      </c>
      <c r="F77" s="946"/>
      <c r="G77" s="95"/>
      <c r="H77" s="946"/>
    </row>
    <row r="78" spans="1:8" s="224" customFormat="1" ht="15.75" customHeight="1" x14ac:dyDescent="0.25">
      <c r="A78" s="215">
        <v>41873</v>
      </c>
      <c r="B78" s="349" t="s">
        <v>567</v>
      </c>
      <c r="C78" s="350" t="s">
        <v>12</v>
      </c>
      <c r="D78" s="887" t="s">
        <v>13</v>
      </c>
      <c r="E78" s="97">
        <v>13.86</v>
      </c>
      <c r="F78" s="946"/>
      <c r="G78" s="97"/>
      <c r="H78" s="946"/>
    </row>
    <row r="79" spans="1:8" s="224" customFormat="1" ht="15.75" customHeight="1" x14ac:dyDescent="0.25">
      <c r="A79" s="215">
        <v>41873</v>
      </c>
      <c r="B79" s="349" t="s">
        <v>147</v>
      </c>
      <c r="C79" s="350" t="s">
        <v>12</v>
      </c>
      <c r="D79" s="887" t="s">
        <v>15</v>
      </c>
      <c r="E79" s="97">
        <v>15</v>
      </c>
      <c r="F79" s="946"/>
      <c r="G79" s="97"/>
      <c r="H79" s="946"/>
    </row>
    <row r="80" spans="1:8" x14ac:dyDescent="0.25">
      <c r="A80" s="215">
        <v>41874</v>
      </c>
      <c r="B80" s="349" t="s">
        <v>568</v>
      </c>
      <c r="C80" s="350" t="s">
        <v>12</v>
      </c>
      <c r="D80" s="141" t="s">
        <v>15</v>
      </c>
      <c r="E80" s="97">
        <v>60</v>
      </c>
      <c r="F80" s="946"/>
      <c r="G80" s="95"/>
      <c r="H80" s="946"/>
    </row>
    <row r="81" spans="1:8" x14ac:dyDescent="0.25">
      <c r="A81" s="215">
        <v>41874</v>
      </c>
      <c r="B81" s="349" t="s">
        <v>80</v>
      </c>
      <c r="C81" s="350" t="s">
        <v>12</v>
      </c>
      <c r="D81" s="141" t="s">
        <v>13</v>
      </c>
      <c r="E81" s="97">
        <v>17</v>
      </c>
      <c r="F81" s="946"/>
      <c r="G81" s="95"/>
      <c r="H81" s="946"/>
    </row>
    <row r="82" spans="1:8" x14ac:dyDescent="0.25">
      <c r="A82" s="215">
        <v>41874</v>
      </c>
      <c r="B82" s="349" t="s">
        <v>569</v>
      </c>
      <c r="C82" s="350" t="s">
        <v>12</v>
      </c>
      <c r="D82" s="141" t="s">
        <v>13</v>
      </c>
      <c r="E82" s="97">
        <v>18.75</v>
      </c>
      <c r="F82" s="946"/>
      <c r="G82" s="95"/>
      <c r="H82" s="946"/>
    </row>
    <row r="83" spans="1:8" x14ac:dyDescent="0.25">
      <c r="A83" s="215">
        <v>41875</v>
      </c>
      <c r="B83" s="349"/>
      <c r="C83" s="350"/>
      <c r="D83" s="141"/>
      <c r="E83" s="97"/>
      <c r="F83" s="946"/>
      <c r="G83" s="95"/>
      <c r="H83" s="946"/>
    </row>
    <row r="84" spans="1:8" x14ac:dyDescent="0.25">
      <c r="A84" s="215">
        <v>41876</v>
      </c>
      <c r="B84" s="862" t="s">
        <v>32</v>
      </c>
      <c r="C84" s="879" t="s">
        <v>12</v>
      </c>
      <c r="D84" s="887" t="s">
        <v>15</v>
      </c>
      <c r="E84" s="250">
        <v>10</v>
      </c>
      <c r="F84" s="946"/>
      <c r="G84" s="95"/>
      <c r="H84" s="946"/>
    </row>
    <row r="85" spans="1:8" s="224" customFormat="1" x14ac:dyDescent="0.25">
      <c r="A85" s="215">
        <v>41876</v>
      </c>
      <c r="B85" s="349" t="s">
        <v>138</v>
      </c>
      <c r="C85" s="350" t="s">
        <v>12</v>
      </c>
      <c r="D85" s="887" t="s">
        <v>15</v>
      </c>
      <c r="E85" s="97">
        <v>20</v>
      </c>
      <c r="F85" s="1473"/>
      <c r="G85" s="252"/>
      <c r="H85" s="1473"/>
    </row>
    <row r="86" spans="1:8" x14ac:dyDescent="0.25">
      <c r="A86" s="215">
        <v>41876</v>
      </c>
      <c r="B86" s="349" t="s">
        <v>14</v>
      </c>
      <c r="C86" s="350" t="s">
        <v>12</v>
      </c>
      <c r="D86" s="141" t="s">
        <v>15</v>
      </c>
      <c r="E86" s="97">
        <v>4.2</v>
      </c>
      <c r="F86" s="946"/>
      <c r="G86" s="95"/>
      <c r="H86" s="946"/>
    </row>
    <row r="87" spans="1:8" s="224" customFormat="1" x14ac:dyDescent="0.25">
      <c r="A87" s="215">
        <v>41877</v>
      </c>
      <c r="B87" s="862" t="s">
        <v>32</v>
      </c>
      <c r="C87" s="879" t="s">
        <v>12</v>
      </c>
      <c r="D87" s="887" t="s">
        <v>15</v>
      </c>
      <c r="E87" s="250">
        <v>7</v>
      </c>
      <c r="F87" s="1473"/>
      <c r="G87" s="252"/>
      <c r="H87" s="1473"/>
    </row>
    <row r="88" spans="1:8" x14ac:dyDescent="0.25">
      <c r="A88" s="215">
        <v>41877</v>
      </c>
      <c r="B88" s="349" t="s">
        <v>14</v>
      </c>
      <c r="C88" s="350" t="s">
        <v>12</v>
      </c>
      <c r="D88" s="141" t="s">
        <v>15</v>
      </c>
      <c r="E88" s="97">
        <v>2</v>
      </c>
      <c r="F88" s="946"/>
      <c r="G88" s="95"/>
      <c r="H88" s="946"/>
    </row>
    <row r="89" spans="1:8" s="224" customFormat="1" x14ac:dyDescent="0.25">
      <c r="A89" s="215">
        <v>41878</v>
      </c>
      <c r="B89" s="862" t="s">
        <v>32</v>
      </c>
      <c r="C89" s="879" t="s">
        <v>12</v>
      </c>
      <c r="D89" s="887" t="s">
        <v>15</v>
      </c>
      <c r="E89" s="250">
        <v>10</v>
      </c>
      <c r="F89" s="1473"/>
      <c r="G89" s="252"/>
      <c r="H89" s="1473"/>
    </row>
    <row r="90" spans="1:8" x14ac:dyDescent="0.25">
      <c r="A90" s="215">
        <v>41878</v>
      </c>
      <c r="B90" s="349" t="s">
        <v>134</v>
      </c>
      <c r="C90" s="350" t="s">
        <v>12</v>
      </c>
      <c r="D90" s="887" t="s">
        <v>13</v>
      </c>
      <c r="E90" s="97">
        <v>17.25</v>
      </c>
      <c r="F90" s="946"/>
      <c r="G90" s="95"/>
      <c r="H90" s="946"/>
    </row>
    <row r="91" spans="1:8" x14ac:dyDescent="0.25">
      <c r="A91" s="215">
        <v>41879</v>
      </c>
      <c r="B91" s="862" t="s">
        <v>32</v>
      </c>
      <c r="C91" s="879" t="s">
        <v>12</v>
      </c>
      <c r="D91" s="887" t="s">
        <v>15</v>
      </c>
      <c r="E91" s="250">
        <v>6.5</v>
      </c>
      <c r="F91" s="946"/>
      <c r="G91" s="95"/>
      <c r="H91" s="946"/>
    </row>
    <row r="92" spans="1:8" x14ac:dyDescent="0.25">
      <c r="A92" s="215">
        <v>41879</v>
      </c>
      <c r="B92" s="349" t="s">
        <v>138</v>
      </c>
      <c r="C92" s="350" t="s">
        <v>12</v>
      </c>
      <c r="D92" s="887" t="s">
        <v>15</v>
      </c>
      <c r="E92" s="97">
        <v>20</v>
      </c>
      <c r="F92" s="946"/>
      <c r="G92" s="95"/>
      <c r="H92" s="946"/>
    </row>
    <row r="93" spans="1:8" x14ac:dyDescent="0.25">
      <c r="A93" s="215">
        <v>41879</v>
      </c>
      <c r="B93" s="349" t="s">
        <v>14</v>
      </c>
      <c r="C93" s="350" t="s">
        <v>12</v>
      </c>
      <c r="D93" s="141" t="s">
        <v>15</v>
      </c>
      <c r="E93" s="97">
        <v>6.8</v>
      </c>
      <c r="F93" s="946"/>
      <c r="G93" s="95"/>
      <c r="H93" s="946"/>
    </row>
    <row r="94" spans="1:8" x14ac:dyDescent="0.25">
      <c r="A94" s="215">
        <v>41880</v>
      </c>
      <c r="B94" s="349" t="s">
        <v>32</v>
      </c>
      <c r="C94" s="350" t="s">
        <v>12</v>
      </c>
      <c r="D94" s="141" t="s">
        <v>15</v>
      </c>
      <c r="E94" s="97">
        <v>10</v>
      </c>
      <c r="F94" s="946"/>
      <c r="G94" s="95"/>
      <c r="H94" s="946"/>
    </row>
    <row r="95" spans="1:8" x14ac:dyDescent="0.25">
      <c r="A95" s="215">
        <v>41880</v>
      </c>
      <c r="B95" s="349" t="s">
        <v>138</v>
      </c>
      <c r="C95" s="350" t="s">
        <v>12</v>
      </c>
      <c r="D95" s="141" t="s">
        <v>15</v>
      </c>
      <c r="E95" s="97">
        <v>20</v>
      </c>
      <c r="F95" s="946"/>
      <c r="G95" s="95"/>
      <c r="H95" s="946"/>
    </row>
    <row r="96" spans="1:8" s="224" customFormat="1" x14ac:dyDescent="0.25">
      <c r="A96" s="215">
        <v>41881</v>
      </c>
      <c r="B96" s="862" t="s">
        <v>14</v>
      </c>
      <c r="C96" s="879" t="s">
        <v>12</v>
      </c>
      <c r="D96" s="887" t="s">
        <v>13</v>
      </c>
      <c r="E96" s="250">
        <v>11.02</v>
      </c>
      <c r="F96" s="1473"/>
      <c r="G96" s="252"/>
      <c r="H96" s="1473"/>
    </row>
    <row r="97" spans="1:8" s="224" customFormat="1" x14ac:dyDescent="0.25">
      <c r="A97" s="215">
        <v>41881</v>
      </c>
      <c r="B97" s="862" t="s">
        <v>82</v>
      </c>
      <c r="C97" s="879" t="s">
        <v>12</v>
      </c>
      <c r="D97" s="887" t="s">
        <v>13</v>
      </c>
      <c r="E97" s="250">
        <v>13</v>
      </c>
      <c r="F97" s="1473"/>
      <c r="G97" s="252"/>
      <c r="H97" s="1473"/>
    </row>
    <row r="98" spans="1:8" s="224" customFormat="1" ht="15.75" thickBot="1" x14ac:dyDescent="0.3">
      <c r="A98" s="215">
        <v>41882</v>
      </c>
      <c r="B98" s="862" t="s">
        <v>14</v>
      </c>
      <c r="C98" s="879" t="s">
        <v>12</v>
      </c>
      <c r="D98" s="887" t="s">
        <v>13</v>
      </c>
      <c r="E98" s="250">
        <v>23.65</v>
      </c>
      <c r="F98" s="1473"/>
      <c r="G98" s="252"/>
      <c r="H98" s="1473"/>
    </row>
    <row r="99" spans="1:8" ht="25.5" customHeight="1" thickBot="1" x14ac:dyDescent="0.3">
      <c r="A99" s="689"/>
      <c r="B99" s="690"/>
      <c r="C99" s="691"/>
      <c r="D99" s="691"/>
      <c r="E99" s="100">
        <f>SUM(E5:E98)</f>
        <v>2195.19</v>
      </c>
      <c r="F99" s="1065">
        <f>SUM(F5:F98)</f>
        <v>2235.2900000000018</v>
      </c>
      <c r="G99" s="101">
        <f>SUM(G5:G98)</f>
        <v>100</v>
      </c>
      <c r="H99" s="93">
        <f>SUM(H5:H98)</f>
        <v>620</v>
      </c>
    </row>
    <row r="100" spans="1:8" ht="25.5" customHeight="1" thickBot="1" x14ac:dyDescent="0.3">
      <c r="A100" s="683" t="s">
        <v>49</v>
      </c>
      <c r="B100" s="684"/>
      <c r="C100" s="684"/>
      <c r="D100" s="684"/>
      <c r="E100" s="144"/>
      <c r="F100" s="519">
        <f>F99-E99</f>
        <v>40.100000000001728</v>
      </c>
      <c r="G100" s="555"/>
      <c r="H100" s="556">
        <f>H99-G99</f>
        <v>520</v>
      </c>
    </row>
    <row r="102" spans="1:8" x14ac:dyDescent="0.25">
      <c r="B102" s="79" t="s">
        <v>32</v>
      </c>
      <c r="C102" s="484">
        <v>180</v>
      </c>
    </row>
    <row r="103" spans="1:8" x14ac:dyDescent="0.25">
      <c r="B103" s="79" t="s">
        <v>16</v>
      </c>
      <c r="C103" s="484">
        <v>300</v>
      </c>
      <c r="D103" s="79"/>
    </row>
    <row r="104" spans="1:8" x14ac:dyDescent="0.25">
      <c r="B104" s="79" t="s">
        <v>50</v>
      </c>
      <c r="C104" s="484">
        <v>166.17</v>
      </c>
    </row>
    <row r="105" spans="1:8" s="85" customFormat="1" x14ac:dyDescent="0.25">
      <c r="A105" s="79"/>
      <c r="B105" s="79" t="s">
        <v>14</v>
      </c>
      <c r="C105" s="475">
        <v>135.80000000000001</v>
      </c>
      <c r="E105" s="89"/>
      <c r="F105" s="79"/>
      <c r="G105" s="79"/>
    </row>
    <row r="106" spans="1:8" s="85" customFormat="1" x14ac:dyDescent="0.25">
      <c r="A106" s="79"/>
      <c r="B106" s="79" t="s">
        <v>51</v>
      </c>
      <c r="C106" s="475">
        <v>67.599999999999994</v>
      </c>
      <c r="E106" s="89"/>
      <c r="F106" s="79"/>
      <c r="G106" s="79"/>
      <c r="H106" s="79"/>
    </row>
    <row r="107" spans="1:8" s="85" customFormat="1" x14ac:dyDescent="0.25">
      <c r="A107" s="79"/>
      <c r="B107" s="79" t="s">
        <v>52</v>
      </c>
      <c r="C107" s="475">
        <v>50</v>
      </c>
      <c r="E107" s="89"/>
      <c r="F107" s="79"/>
      <c r="G107" s="79"/>
      <c r="H107" s="79"/>
    </row>
    <row r="108" spans="1:8" s="85" customFormat="1" x14ac:dyDescent="0.25">
      <c r="A108" s="79"/>
      <c r="B108" s="867" t="s">
        <v>53</v>
      </c>
      <c r="C108" s="475">
        <v>11</v>
      </c>
      <c r="D108" s="89"/>
      <c r="E108" s="89"/>
      <c r="F108" s="79"/>
      <c r="G108" s="79"/>
      <c r="H108" s="79"/>
    </row>
    <row r="109" spans="1:8" s="85" customFormat="1" x14ac:dyDescent="0.25">
      <c r="A109" s="79"/>
      <c r="B109" s="79" t="s">
        <v>56</v>
      </c>
      <c r="C109" s="475">
        <v>17</v>
      </c>
      <c r="E109" s="89"/>
      <c r="F109" s="79"/>
      <c r="G109" s="79"/>
      <c r="H109" s="79"/>
    </row>
    <row r="110" spans="1:8" s="85" customFormat="1" x14ac:dyDescent="0.25">
      <c r="A110" s="79"/>
      <c r="B110" s="79" t="s">
        <v>57</v>
      </c>
      <c r="C110" s="475">
        <v>77.09</v>
      </c>
      <c r="E110" s="89"/>
      <c r="F110" s="79"/>
      <c r="G110" s="79"/>
      <c r="H110" s="79"/>
    </row>
    <row r="111" spans="1:8" s="85" customFormat="1" x14ac:dyDescent="0.25">
      <c r="A111" s="79"/>
      <c r="B111" s="79" t="s">
        <v>418</v>
      </c>
      <c r="C111" s="475">
        <v>133.33000000000001</v>
      </c>
      <c r="E111" s="89"/>
      <c r="F111" s="79"/>
      <c r="G111" s="79"/>
      <c r="H111" s="79"/>
    </row>
    <row r="112" spans="1:8" s="85" customFormat="1" x14ac:dyDescent="0.25">
      <c r="A112" s="79"/>
      <c r="B112" s="79" t="s">
        <v>419</v>
      </c>
      <c r="C112" s="475">
        <v>119.55</v>
      </c>
      <c r="E112" s="89"/>
      <c r="F112" s="79"/>
      <c r="G112" s="79"/>
      <c r="H112" s="79"/>
    </row>
    <row r="114" spans="2:9" x14ac:dyDescent="0.25">
      <c r="B114" s="79" t="s">
        <v>486</v>
      </c>
      <c r="C114" s="475">
        <f>G114/I114</f>
        <v>52.877096774193554</v>
      </c>
      <c r="E114" s="224" t="s">
        <v>487</v>
      </c>
      <c r="F114" s="224"/>
      <c r="G114" s="216">
        <v>1639.19</v>
      </c>
      <c r="H114" s="518" t="s">
        <v>488</v>
      </c>
      <c r="I114" s="85">
        <v>31</v>
      </c>
    </row>
  </sheetData>
  <autoFilter ref="A2:H100" xr:uid="{00000000-0009-0000-0000-000014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13"/>
  <dimension ref="A1:I102"/>
  <sheetViews>
    <sheetView topLeftCell="A65" workbookViewId="0">
      <selection activeCell="B83" sqref="B8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570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41883</v>
      </c>
      <c r="B5" s="369" t="s">
        <v>10</v>
      </c>
      <c r="C5" s="370"/>
      <c r="D5" s="207"/>
      <c r="E5" s="179"/>
      <c r="F5" s="933">
        <f>'Agosto-14'!F100</f>
        <v>40.100000000001728</v>
      </c>
      <c r="G5" s="163"/>
      <c r="H5" s="933">
        <f>'Agosto-14'!H100</f>
        <v>520</v>
      </c>
    </row>
    <row r="6" spans="1:8" s="224" customFormat="1" x14ac:dyDescent="0.25">
      <c r="A6" s="215">
        <v>41883</v>
      </c>
      <c r="B6" s="348" t="s">
        <v>11</v>
      </c>
      <c r="C6" s="351"/>
      <c r="D6" s="248"/>
      <c r="E6" s="250">
        <v>58</v>
      </c>
      <c r="F6" s="1473"/>
      <c r="G6" s="252"/>
      <c r="H6" s="1473"/>
    </row>
    <row r="7" spans="1:8" s="224" customFormat="1" x14ac:dyDescent="0.25">
      <c r="A7" s="215">
        <v>41883</v>
      </c>
      <c r="B7" s="862" t="s">
        <v>32</v>
      </c>
      <c r="C7" s="879" t="s">
        <v>12</v>
      </c>
      <c r="D7" s="887" t="s">
        <v>13</v>
      </c>
      <c r="E7" s="250">
        <v>5</v>
      </c>
      <c r="F7" s="1473"/>
      <c r="G7" s="252"/>
      <c r="H7" s="1473"/>
    </row>
    <row r="8" spans="1:8" s="224" customFormat="1" ht="15.75" customHeight="1" x14ac:dyDescent="0.25">
      <c r="A8" s="215">
        <v>41883</v>
      </c>
      <c r="B8" s="349" t="s">
        <v>256</v>
      </c>
      <c r="C8" s="350"/>
      <c r="D8" s="141"/>
      <c r="E8" s="97"/>
      <c r="F8" s="946">
        <v>250</v>
      </c>
      <c r="G8" s="97">
        <v>250</v>
      </c>
      <c r="H8" s="946"/>
    </row>
    <row r="9" spans="1:8" s="224" customFormat="1" x14ac:dyDescent="0.25">
      <c r="A9" s="215">
        <v>41883</v>
      </c>
      <c r="B9" s="862" t="s">
        <v>138</v>
      </c>
      <c r="C9" s="879" t="s">
        <v>12</v>
      </c>
      <c r="D9" s="887" t="s">
        <v>15</v>
      </c>
      <c r="E9" s="250">
        <v>20</v>
      </c>
      <c r="F9" s="1473"/>
      <c r="G9" s="252"/>
      <c r="H9" s="1473"/>
    </row>
    <row r="10" spans="1:8" s="224" customFormat="1" x14ac:dyDescent="0.25">
      <c r="A10" s="215">
        <v>41883</v>
      </c>
      <c r="B10" s="862" t="s">
        <v>571</v>
      </c>
      <c r="C10" s="879" t="s">
        <v>19</v>
      </c>
      <c r="D10" s="887" t="s">
        <v>13</v>
      </c>
      <c r="E10" s="250">
        <v>45.66</v>
      </c>
      <c r="F10" s="1473"/>
      <c r="G10" s="252"/>
      <c r="H10" s="1473"/>
    </row>
    <row r="11" spans="1:8" s="224" customFormat="1" x14ac:dyDescent="0.25">
      <c r="A11" s="215">
        <v>41883</v>
      </c>
      <c r="B11" s="873" t="s">
        <v>572</v>
      </c>
      <c r="C11" s="879" t="s">
        <v>12</v>
      </c>
      <c r="D11" s="887" t="s">
        <v>25</v>
      </c>
      <c r="E11" s="97"/>
      <c r="F11" s="1473">
        <v>150</v>
      </c>
      <c r="G11" s="252"/>
      <c r="H11" s="1473"/>
    </row>
    <row r="12" spans="1:8" s="224" customFormat="1" x14ac:dyDescent="0.25">
      <c r="A12" s="215">
        <v>41884</v>
      </c>
      <c r="B12" s="862" t="s">
        <v>32</v>
      </c>
      <c r="C12" s="879" t="s">
        <v>12</v>
      </c>
      <c r="D12" s="887" t="s">
        <v>13</v>
      </c>
      <c r="E12" s="250">
        <v>10</v>
      </c>
      <c r="F12" s="946"/>
      <c r="G12" s="97"/>
      <c r="H12" s="1473"/>
    </row>
    <row r="13" spans="1:8" s="224" customFormat="1" x14ac:dyDescent="0.25">
      <c r="A13" s="215">
        <v>41885</v>
      </c>
      <c r="B13" s="862" t="s">
        <v>32</v>
      </c>
      <c r="C13" s="879" t="s">
        <v>12</v>
      </c>
      <c r="D13" s="887" t="s">
        <v>13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41885</v>
      </c>
      <c r="B14" s="862" t="s">
        <v>81</v>
      </c>
      <c r="C14" s="879" t="s">
        <v>12</v>
      </c>
      <c r="D14" s="887" t="s">
        <v>13</v>
      </c>
      <c r="E14" s="250">
        <v>3</v>
      </c>
      <c r="F14" s="1473"/>
      <c r="G14" s="252"/>
      <c r="H14" s="1473"/>
    </row>
    <row r="15" spans="1:8" s="224" customFormat="1" x14ac:dyDescent="0.25">
      <c r="A15" s="215">
        <v>41885</v>
      </c>
      <c r="B15" s="862" t="s">
        <v>138</v>
      </c>
      <c r="C15" s="879" t="s">
        <v>12</v>
      </c>
      <c r="D15" s="887" t="s">
        <v>13</v>
      </c>
      <c r="E15" s="250">
        <v>30</v>
      </c>
      <c r="F15" s="1473"/>
      <c r="G15" s="252"/>
      <c r="H15" s="1473"/>
    </row>
    <row r="16" spans="1:8" s="224" customFormat="1" x14ac:dyDescent="0.25">
      <c r="A16" s="215">
        <v>41885</v>
      </c>
      <c r="B16" s="862" t="s">
        <v>14</v>
      </c>
      <c r="C16" s="879" t="s">
        <v>12</v>
      </c>
      <c r="D16" s="887" t="s">
        <v>13</v>
      </c>
      <c r="E16" s="250">
        <v>2</v>
      </c>
      <c r="F16" s="1473"/>
      <c r="G16" s="252"/>
      <c r="H16" s="1473"/>
    </row>
    <row r="17" spans="1:8" s="224" customFormat="1" x14ac:dyDescent="0.25">
      <c r="A17" s="215">
        <v>41886</v>
      </c>
      <c r="B17" s="862" t="s">
        <v>32</v>
      </c>
      <c r="C17" s="879" t="s">
        <v>12</v>
      </c>
      <c r="D17" s="887" t="s">
        <v>13</v>
      </c>
      <c r="E17" s="250">
        <v>10</v>
      </c>
      <c r="F17" s="1473"/>
      <c r="G17" s="252"/>
      <c r="H17" s="1473"/>
    </row>
    <row r="18" spans="1:8" s="224" customFormat="1" x14ac:dyDescent="0.25">
      <c r="A18" s="215">
        <v>41887</v>
      </c>
      <c r="B18" s="862" t="s">
        <v>32</v>
      </c>
      <c r="C18" s="879" t="s">
        <v>12</v>
      </c>
      <c r="D18" s="887" t="s">
        <v>13</v>
      </c>
      <c r="E18" s="250">
        <v>7</v>
      </c>
      <c r="F18" s="1473"/>
      <c r="G18" s="252"/>
      <c r="H18" s="1473"/>
    </row>
    <row r="19" spans="1:8" s="224" customFormat="1" ht="15.75" customHeight="1" x14ac:dyDescent="0.25">
      <c r="A19" s="215">
        <v>41887</v>
      </c>
      <c r="B19" s="349" t="s">
        <v>260</v>
      </c>
      <c r="C19" s="350"/>
      <c r="D19" s="141"/>
      <c r="E19" s="97">
        <v>160</v>
      </c>
      <c r="F19" s="946"/>
      <c r="G19" s="97"/>
      <c r="H19" s="946">
        <v>160</v>
      </c>
    </row>
    <row r="20" spans="1:8" s="224" customFormat="1" x14ac:dyDescent="0.25">
      <c r="A20" s="215">
        <v>41887</v>
      </c>
      <c r="B20" s="349" t="s">
        <v>573</v>
      </c>
      <c r="C20" s="879" t="s">
        <v>12</v>
      </c>
      <c r="D20" s="983" t="s">
        <v>25</v>
      </c>
      <c r="E20" s="250"/>
      <c r="F20" s="1473">
        <v>917.05</v>
      </c>
      <c r="G20" s="252"/>
      <c r="H20" s="1473"/>
    </row>
    <row r="21" spans="1:8" s="224" customFormat="1" ht="15.75" customHeight="1" x14ac:dyDescent="0.25">
      <c r="A21" s="215">
        <v>41887</v>
      </c>
      <c r="B21" s="862" t="s">
        <v>574</v>
      </c>
      <c r="C21" s="350" t="s">
        <v>12</v>
      </c>
      <c r="D21" s="141" t="s">
        <v>13</v>
      </c>
      <c r="E21" s="97">
        <v>346.52</v>
      </c>
      <c r="F21" s="1473"/>
      <c r="G21" s="252"/>
      <c r="H21" s="1473"/>
    </row>
    <row r="22" spans="1:8" s="224" customFormat="1" x14ac:dyDescent="0.25">
      <c r="A22" s="215">
        <v>41887</v>
      </c>
      <c r="B22" s="882" t="s">
        <v>575</v>
      </c>
      <c r="C22" s="350" t="s">
        <v>12</v>
      </c>
      <c r="D22" s="141" t="s">
        <v>13</v>
      </c>
      <c r="E22" s="97">
        <v>43.8</v>
      </c>
      <c r="F22" s="1473"/>
      <c r="G22" s="252"/>
      <c r="H22" s="1473"/>
    </row>
    <row r="23" spans="1:8" s="224" customFormat="1" ht="15" customHeight="1" x14ac:dyDescent="0.25">
      <c r="A23" s="215">
        <v>41887</v>
      </c>
      <c r="B23" s="862" t="s">
        <v>31</v>
      </c>
      <c r="C23" s="350" t="s">
        <v>12</v>
      </c>
      <c r="D23" s="957" t="s">
        <v>15</v>
      </c>
      <c r="E23" s="97">
        <v>50</v>
      </c>
      <c r="F23" s="1473"/>
      <c r="G23" s="252"/>
      <c r="H23" s="1473"/>
    </row>
    <row r="24" spans="1:8" s="224" customFormat="1" x14ac:dyDescent="0.25">
      <c r="A24" s="215">
        <v>41887</v>
      </c>
      <c r="B24" s="862" t="s">
        <v>399</v>
      </c>
      <c r="C24" s="350" t="s">
        <v>12</v>
      </c>
      <c r="D24" s="957" t="s">
        <v>15</v>
      </c>
      <c r="E24" s="97">
        <v>25</v>
      </c>
      <c r="F24" s="1473"/>
      <c r="G24" s="252"/>
      <c r="H24" s="1473"/>
    </row>
    <row r="25" spans="1:8" s="224" customFormat="1" ht="15.75" customHeight="1" x14ac:dyDescent="0.25">
      <c r="A25" s="215">
        <v>41887</v>
      </c>
      <c r="B25" s="349" t="s">
        <v>14</v>
      </c>
      <c r="C25" s="350" t="s">
        <v>12</v>
      </c>
      <c r="D25" s="141" t="s">
        <v>13</v>
      </c>
      <c r="E25" s="97">
        <v>12.09</v>
      </c>
      <c r="F25" s="946"/>
      <c r="G25" s="97"/>
      <c r="H25" s="946"/>
    </row>
    <row r="26" spans="1:8" s="224" customFormat="1" ht="15.75" customHeight="1" x14ac:dyDescent="0.25">
      <c r="A26" s="215">
        <v>41888</v>
      </c>
      <c r="B26" s="862" t="s">
        <v>138</v>
      </c>
      <c r="C26" s="879" t="s">
        <v>12</v>
      </c>
      <c r="D26" s="887" t="s">
        <v>13</v>
      </c>
      <c r="E26" s="250">
        <v>20</v>
      </c>
      <c r="F26" s="946"/>
      <c r="G26" s="97"/>
      <c r="H26" s="946"/>
    </row>
    <row r="27" spans="1:8" s="224" customFormat="1" ht="15.75" customHeight="1" x14ac:dyDescent="0.25">
      <c r="A27" s="215">
        <v>41888</v>
      </c>
      <c r="B27" s="862" t="s">
        <v>576</v>
      </c>
      <c r="C27" s="879" t="s">
        <v>19</v>
      </c>
      <c r="D27" s="887" t="s">
        <v>13</v>
      </c>
      <c r="E27" s="250">
        <v>155.5</v>
      </c>
      <c r="F27" s="946"/>
      <c r="G27" s="97"/>
      <c r="H27" s="946"/>
    </row>
    <row r="28" spans="1:8" s="224" customFormat="1" ht="15.75" customHeight="1" x14ac:dyDescent="0.25">
      <c r="A28" s="215">
        <v>41889</v>
      </c>
      <c r="B28" s="862" t="s">
        <v>577</v>
      </c>
      <c r="C28" s="879" t="s">
        <v>12</v>
      </c>
      <c r="D28" s="887" t="s">
        <v>15</v>
      </c>
      <c r="E28" s="250">
        <v>25.58</v>
      </c>
      <c r="F28" s="946"/>
      <c r="G28" s="97"/>
      <c r="H28" s="946"/>
    </row>
    <row r="29" spans="1:8" s="224" customFormat="1" ht="15.75" customHeight="1" x14ac:dyDescent="0.25">
      <c r="A29" s="215">
        <v>41889</v>
      </c>
      <c r="B29" s="862" t="s">
        <v>578</v>
      </c>
      <c r="C29" s="879" t="s">
        <v>12</v>
      </c>
      <c r="D29" s="887" t="s">
        <v>15</v>
      </c>
      <c r="E29" s="250">
        <v>30</v>
      </c>
      <c r="F29" s="946"/>
      <c r="G29" s="97"/>
      <c r="H29" s="946"/>
    </row>
    <row r="30" spans="1:8" s="224" customFormat="1" ht="15.75" customHeight="1" x14ac:dyDescent="0.25">
      <c r="A30" s="215">
        <v>41889</v>
      </c>
      <c r="B30" s="862" t="s">
        <v>138</v>
      </c>
      <c r="C30" s="879" t="s">
        <v>12</v>
      </c>
      <c r="D30" s="887" t="s">
        <v>15</v>
      </c>
      <c r="E30" s="250">
        <v>20</v>
      </c>
      <c r="F30" s="946"/>
      <c r="G30" s="97"/>
      <c r="H30" s="946"/>
    </row>
    <row r="31" spans="1:8" s="224" customFormat="1" ht="15.75" customHeight="1" x14ac:dyDescent="0.25">
      <c r="A31" s="215">
        <v>41890</v>
      </c>
      <c r="B31" s="862" t="s">
        <v>32</v>
      </c>
      <c r="C31" s="879" t="s">
        <v>12</v>
      </c>
      <c r="D31" s="887" t="s">
        <v>13</v>
      </c>
      <c r="E31" s="250">
        <v>5</v>
      </c>
      <c r="F31" s="946"/>
      <c r="G31" s="97"/>
      <c r="H31" s="946"/>
    </row>
    <row r="32" spans="1:8" s="224" customFormat="1" ht="15.75" customHeight="1" x14ac:dyDescent="0.25">
      <c r="A32" s="215">
        <v>41890</v>
      </c>
      <c r="B32" s="862" t="s">
        <v>138</v>
      </c>
      <c r="C32" s="879" t="s">
        <v>12</v>
      </c>
      <c r="D32" s="887" t="s">
        <v>15</v>
      </c>
      <c r="E32" s="250">
        <v>20</v>
      </c>
      <c r="F32" s="946"/>
      <c r="G32" s="97"/>
      <c r="H32" s="946"/>
    </row>
    <row r="33" spans="1:8" s="224" customFormat="1" ht="15.75" customHeight="1" x14ac:dyDescent="0.25">
      <c r="A33" s="215">
        <v>41891</v>
      </c>
      <c r="B33" s="862" t="s">
        <v>32</v>
      </c>
      <c r="C33" s="879" t="s">
        <v>12</v>
      </c>
      <c r="D33" s="887" t="s">
        <v>15</v>
      </c>
      <c r="E33" s="250">
        <v>10</v>
      </c>
      <c r="F33" s="946"/>
      <c r="G33" s="97"/>
      <c r="H33" s="946"/>
    </row>
    <row r="34" spans="1:8" s="224" customFormat="1" ht="15.75" customHeight="1" x14ac:dyDescent="0.25">
      <c r="A34" s="215">
        <v>41892</v>
      </c>
      <c r="B34" s="862" t="s">
        <v>32</v>
      </c>
      <c r="C34" s="879" t="s">
        <v>12</v>
      </c>
      <c r="D34" s="887" t="s">
        <v>15</v>
      </c>
      <c r="E34" s="250">
        <v>7.5</v>
      </c>
      <c r="F34" s="946"/>
      <c r="G34" s="97"/>
      <c r="H34" s="946"/>
    </row>
    <row r="35" spans="1:8" s="224" customFormat="1" ht="15.75" customHeight="1" x14ac:dyDescent="0.25">
      <c r="A35" s="215">
        <v>41892</v>
      </c>
      <c r="B35" s="862" t="s">
        <v>17</v>
      </c>
      <c r="C35" s="879" t="s">
        <v>12</v>
      </c>
      <c r="D35" s="887" t="s">
        <v>15</v>
      </c>
      <c r="E35" s="250">
        <v>8</v>
      </c>
      <c r="F35" s="946"/>
      <c r="G35" s="97"/>
      <c r="H35" s="946"/>
    </row>
    <row r="36" spans="1:8" s="224" customFormat="1" ht="15.75" customHeight="1" x14ac:dyDescent="0.25">
      <c r="A36" s="215">
        <v>41892</v>
      </c>
      <c r="B36" s="862" t="s">
        <v>138</v>
      </c>
      <c r="C36" s="879" t="s">
        <v>12</v>
      </c>
      <c r="D36" s="887" t="s">
        <v>15</v>
      </c>
      <c r="E36" s="250">
        <v>20</v>
      </c>
      <c r="F36" s="946"/>
      <c r="G36" s="97"/>
      <c r="H36" s="946"/>
    </row>
    <row r="37" spans="1:8" s="224" customFormat="1" ht="15.75" customHeight="1" x14ac:dyDescent="0.25">
      <c r="A37" s="215">
        <v>41893</v>
      </c>
      <c r="B37" s="862" t="s">
        <v>32</v>
      </c>
      <c r="C37" s="879" t="s">
        <v>12</v>
      </c>
      <c r="D37" s="887" t="s">
        <v>15</v>
      </c>
      <c r="E37" s="250">
        <v>10</v>
      </c>
      <c r="F37" s="946"/>
      <c r="G37" s="97"/>
      <c r="H37" s="946"/>
    </row>
    <row r="38" spans="1:8" s="224" customFormat="1" ht="15.75" customHeight="1" x14ac:dyDescent="0.25">
      <c r="A38" s="215">
        <v>41893</v>
      </c>
      <c r="B38" s="349" t="s">
        <v>14</v>
      </c>
      <c r="C38" s="350" t="s">
        <v>12</v>
      </c>
      <c r="D38" s="141" t="s">
        <v>15</v>
      </c>
      <c r="E38" s="97">
        <v>10</v>
      </c>
      <c r="F38" s="946"/>
      <c r="G38" s="97"/>
      <c r="H38" s="946"/>
    </row>
    <row r="39" spans="1:8" s="224" customFormat="1" ht="15.75" customHeight="1" x14ac:dyDescent="0.25">
      <c r="A39" s="215">
        <v>41894</v>
      </c>
      <c r="B39" s="862" t="s">
        <v>32</v>
      </c>
      <c r="C39" s="879" t="s">
        <v>12</v>
      </c>
      <c r="D39" s="887" t="s">
        <v>13</v>
      </c>
      <c r="E39" s="250">
        <v>10</v>
      </c>
      <c r="F39" s="946"/>
      <c r="G39" s="97"/>
      <c r="H39" s="946"/>
    </row>
    <row r="40" spans="1:8" s="224" customFormat="1" ht="15.75" customHeight="1" x14ac:dyDescent="0.25">
      <c r="A40" s="215">
        <v>41894</v>
      </c>
      <c r="B40" s="349" t="s">
        <v>80</v>
      </c>
      <c r="C40" s="350" t="s">
        <v>12</v>
      </c>
      <c r="D40" s="141" t="s">
        <v>13</v>
      </c>
      <c r="E40" s="97">
        <v>3.6</v>
      </c>
      <c r="F40" s="946"/>
      <c r="G40" s="97"/>
      <c r="H40" s="946"/>
    </row>
    <row r="41" spans="1:8" s="224" customFormat="1" ht="15.75" customHeight="1" x14ac:dyDescent="0.25">
      <c r="A41" s="215">
        <v>41894</v>
      </c>
      <c r="B41" s="349" t="s">
        <v>138</v>
      </c>
      <c r="C41" s="350" t="s">
        <v>12</v>
      </c>
      <c r="D41" s="141" t="s">
        <v>15</v>
      </c>
      <c r="E41" s="97">
        <v>20</v>
      </c>
      <c r="F41" s="946"/>
      <c r="G41" s="97"/>
      <c r="H41" s="946"/>
    </row>
    <row r="42" spans="1:8" s="224" customFormat="1" ht="15.75" customHeight="1" x14ac:dyDescent="0.25">
      <c r="A42" s="215">
        <v>41895</v>
      </c>
      <c r="B42" s="349" t="s">
        <v>82</v>
      </c>
      <c r="C42" s="350" t="s">
        <v>12</v>
      </c>
      <c r="D42" s="141" t="s">
        <v>15</v>
      </c>
      <c r="E42" s="97">
        <v>14</v>
      </c>
      <c r="F42" s="946"/>
      <c r="G42" s="97"/>
      <c r="H42" s="946"/>
    </row>
    <row r="43" spans="1:8" s="224" customFormat="1" x14ac:dyDescent="0.25">
      <c r="A43" s="215">
        <v>41896</v>
      </c>
      <c r="B43" s="873" t="s">
        <v>14</v>
      </c>
      <c r="C43" s="879" t="s">
        <v>12</v>
      </c>
      <c r="D43" s="887" t="s">
        <v>13</v>
      </c>
      <c r="E43" s="250">
        <v>22.08</v>
      </c>
      <c r="F43" s="1473"/>
      <c r="G43" s="252"/>
      <c r="H43" s="1473"/>
    </row>
    <row r="44" spans="1:8" s="224" customFormat="1" ht="15.75" customHeight="1" x14ac:dyDescent="0.25">
      <c r="A44" s="215">
        <v>41897</v>
      </c>
      <c r="B44" s="862" t="s">
        <v>32</v>
      </c>
      <c r="C44" s="879" t="s">
        <v>12</v>
      </c>
      <c r="D44" s="887" t="s">
        <v>15</v>
      </c>
      <c r="E44" s="250">
        <v>7</v>
      </c>
      <c r="F44" s="1473"/>
      <c r="G44" s="252"/>
      <c r="H44" s="1473"/>
    </row>
    <row r="45" spans="1:8" s="224" customFormat="1" ht="15.75" customHeight="1" x14ac:dyDescent="0.25">
      <c r="A45" s="215">
        <v>41897</v>
      </c>
      <c r="B45" s="349" t="s">
        <v>138</v>
      </c>
      <c r="C45" s="350" t="s">
        <v>12</v>
      </c>
      <c r="D45" s="141" t="s">
        <v>13</v>
      </c>
      <c r="E45" s="97">
        <v>20</v>
      </c>
      <c r="F45" s="946"/>
      <c r="G45" s="97"/>
      <c r="H45" s="946"/>
    </row>
    <row r="46" spans="1:8" s="224" customFormat="1" ht="15.75" customHeight="1" x14ac:dyDescent="0.25">
      <c r="A46" s="215">
        <v>41898</v>
      </c>
      <c r="B46" s="862" t="s">
        <v>32</v>
      </c>
      <c r="C46" s="879" t="s">
        <v>12</v>
      </c>
      <c r="D46" s="887" t="s">
        <v>15</v>
      </c>
      <c r="E46" s="250">
        <v>10</v>
      </c>
      <c r="F46" s="1473"/>
      <c r="G46" s="252"/>
      <c r="H46" s="1473"/>
    </row>
    <row r="47" spans="1:8" s="224" customFormat="1" x14ac:dyDescent="0.25">
      <c r="A47" s="215">
        <v>41899</v>
      </c>
      <c r="B47" s="862" t="s">
        <v>32</v>
      </c>
      <c r="C47" s="879" t="s">
        <v>12</v>
      </c>
      <c r="D47" s="887" t="s">
        <v>13</v>
      </c>
      <c r="E47" s="250">
        <v>16</v>
      </c>
      <c r="F47" s="1473"/>
      <c r="G47" s="252"/>
      <c r="H47" s="1473"/>
    </row>
    <row r="48" spans="1:8" s="224" customFormat="1" x14ac:dyDescent="0.25">
      <c r="A48" s="215">
        <v>41899</v>
      </c>
      <c r="B48" s="873" t="s">
        <v>70</v>
      </c>
      <c r="C48" s="879" t="s">
        <v>12</v>
      </c>
      <c r="D48" s="887" t="s">
        <v>15</v>
      </c>
      <c r="E48" s="250">
        <v>18</v>
      </c>
      <c r="F48" s="1473"/>
      <c r="G48" s="252"/>
      <c r="H48" s="1473"/>
    </row>
    <row r="49" spans="1:9" s="224" customFormat="1" ht="15.75" customHeight="1" x14ac:dyDescent="0.25">
      <c r="A49" s="215">
        <v>41900</v>
      </c>
      <c r="B49" s="862" t="s">
        <v>579</v>
      </c>
      <c r="C49" s="350" t="s">
        <v>12</v>
      </c>
      <c r="D49" s="141" t="s">
        <v>15</v>
      </c>
      <c r="E49" s="97">
        <v>13</v>
      </c>
      <c r="F49" s="1473"/>
      <c r="G49" s="252"/>
      <c r="H49" s="1473"/>
    </row>
    <row r="50" spans="1:9" s="224" customFormat="1" x14ac:dyDescent="0.25">
      <c r="A50" s="215">
        <v>41900</v>
      </c>
      <c r="B50" s="873" t="s">
        <v>134</v>
      </c>
      <c r="C50" s="879" t="s">
        <v>12</v>
      </c>
      <c r="D50" s="887" t="s">
        <v>15</v>
      </c>
      <c r="E50" s="250">
        <v>4</v>
      </c>
      <c r="F50" s="1473"/>
      <c r="G50" s="252"/>
      <c r="H50" s="1473"/>
    </row>
    <row r="51" spans="1:9" s="224" customFormat="1" x14ac:dyDescent="0.25">
      <c r="A51" s="215">
        <v>41900</v>
      </c>
      <c r="B51" s="873" t="s">
        <v>580</v>
      </c>
      <c r="C51" s="879" t="s">
        <v>12</v>
      </c>
      <c r="D51" s="887" t="s">
        <v>15</v>
      </c>
      <c r="E51" s="250">
        <v>13</v>
      </c>
      <c r="F51" s="1473"/>
      <c r="G51" s="252"/>
      <c r="H51" s="1473"/>
    </row>
    <row r="52" spans="1:9" s="224" customFormat="1" ht="15.75" customHeight="1" x14ac:dyDescent="0.25">
      <c r="A52" s="215">
        <v>41901</v>
      </c>
      <c r="B52" s="349" t="s">
        <v>138</v>
      </c>
      <c r="C52" s="350" t="s">
        <v>12</v>
      </c>
      <c r="D52" s="141" t="s">
        <v>13</v>
      </c>
      <c r="E52" s="97">
        <v>20</v>
      </c>
      <c r="F52" s="946"/>
      <c r="G52" s="97"/>
      <c r="H52" s="946"/>
    </row>
    <row r="53" spans="1:9" s="224" customFormat="1" x14ac:dyDescent="0.25">
      <c r="A53" s="215">
        <v>41901</v>
      </c>
      <c r="B53" s="873" t="s">
        <v>134</v>
      </c>
      <c r="C53" s="879" t="s">
        <v>12</v>
      </c>
      <c r="D53" s="887" t="s">
        <v>15</v>
      </c>
      <c r="E53" s="250">
        <v>6</v>
      </c>
      <c r="F53" s="1473"/>
      <c r="G53" s="252"/>
      <c r="H53" s="1473"/>
    </row>
    <row r="54" spans="1:9" s="224" customFormat="1" x14ac:dyDescent="0.25">
      <c r="A54" s="215">
        <v>41901</v>
      </c>
      <c r="B54" s="873" t="s">
        <v>70</v>
      </c>
      <c r="C54" s="879" t="s">
        <v>12</v>
      </c>
      <c r="D54" s="887" t="s">
        <v>15</v>
      </c>
      <c r="E54" s="250">
        <v>13</v>
      </c>
      <c r="F54" s="1473"/>
      <c r="G54" s="252"/>
      <c r="H54" s="1473"/>
    </row>
    <row r="55" spans="1:9" s="224" customFormat="1" x14ac:dyDescent="0.25">
      <c r="A55" s="215">
        <v>41901</v>
      </c>
      <c r="B55" s="873" t="s">
        <v>581</v>
      </c>
      <c r="C55" s="879" t="s">
        <v>19</v>
      </c>
      <c r="D55" s="887" t="s">
        <v>13</v>
      </c>
      <c r="E55" s="250">
        <v>46</v>
      </c>
      <c r="F55" s="1473"/>
      <c r="G55" s="252"/>
      <c r="H55" s="1473"/>
    </row>
    <row r="56" spans="1:9" s="224" customFormat="1" ht="15.75" customHeight="1" x14ac:dyDescent="0.25">
      <c r="A56" s="215">
        <v>41902</v>
      </c>
      <c r="B56" s="862" t="s">
        <v>14</v>
      </c>
      <c r="C56" s="350" t="s">
        <v>12</v>
      </c>
      <c r="D56" s="141" t="s">
        <v>15</v>
      </c>
      <c r="E56" s="97">
        <v>6</v>
      </c>
      <c r="F56" s="1473"/>
      <c r="G56" s="252"/>
      <c r="H56" s="1473"/>
    </row>
    <row r="57" spans="1:9" s="224" customFormat="1" x14ac:dyDescent="0.25">
      <c r="A57" s="215">
        <v>41902</v>
      </c>
      <c r="B57" s="349" t="s">
        <v>582</v>
      </c>
      <c r="C57" s="350"/>
      <c r="D57" s="141"/>
      <c r="E57" s="250"/>
      <c r="F57" s="1473">
        <v>726</v>
      </c>
      <c r="G57" s="252"/>
      <c r="H57" s="1473"/>
    </row>
    <row r="58" spans="1:9" s="224" customFormat="1" x14ac:dyDescent="0.25">
      <c r="A58" s="215">
        <v>41902</v>
      </c>
      <c r="B58" s="882" t="s">
        <v>583</v>
      </c>
      <c r="C58" s="350" t="s">
        <v>12</v>
      </c>
      <c r="D58" s="141" t="s">
        <v>13</v>
      </c>
      <c r="E58" s="538">
        <v>23.54</v>
      </c>
      <c r="F58" s="1002"/>
      <c r="G58" s="539"/>
      <c r="H58" s="1002"/>
      <c r="I58" s="709"/>
    </row>
    <row r="59" spans="1:9" x14ac:dyDescent="0.25">
      <c r="A59" s="215">
        <v>41902</v>
      </c>
      <c r="B59" s="349" t="s">
        <v>584</v>
      </c>
      <c r="C59" s="350" t="s">
        <v>12</v>
      </c>
      <c r="D59" s="141" t="s">
        <v>13</v>
      </c>
      <c r="E59" s="97">
        <v>225</v>
      </c>
      <c r="F59" s="946"/>
      <c r="G59" s="95"/>
      <c r="H59" s="946"/>
    </row>
    <row r="60" spans="1:9" s="224" customFormat="1" ht="15.75" customHeight="1" x14ac:dyDescent="0.25">
      <c r="A60" s="215">
        <v>41903</v>
      </c>
      <c r="B60" s="349" t="s">
        <v>138</v>
      </c>
      <c r="C60" s="350" t="s">
        <v>12</v>
      </c>
      <c r="D60" s="141" t="s">
        <v>15</v>
      </c>
      <c r="E60" s="97">
        <v>20</v>
      </c>
      <c r="F60" s="946"/>
      <c r="G60" s="97"/>
      <c r="H60" s="946"/>
    </row>
    <row r="61" spans="1:9" x14ac:dyDescent="0.25">
      <c r="A61" s="215">
        <v>41904</v>
      </c>
      <c r="B61" s="862" t="s">
        <v>32</v>
      </c>
      <c r="C61" s="879" t="s">
        <v>12</v>
      </c>
      <c r="D61" s="887" t="s">
        <v>13</v>
      </c>
      <c r="E61" s="250">
        <v>4.5</v>
      </c>
      <c r="F61" s="946"/>
      <c r="G61" s="95"/>
      <c r="H61" s="946"/>
    </row>
    <row r="62" spans="1:9" s="224" customFormat="1" ht="15.75" customHeight="1" x14ac:dyDescent="0.25">
      <c r="A62" s="215">
        <v>41904</v>
      </c>
      <c r="B62" s="862" t="s">
        <v>14</v>
      </c>
      <c r="C62" s="350" t="s">
        <v>12</v>
      </c>
      <c r="D62" s="141" t="s">
        <v>15</v>
      </c>
      <c r="E62" s="97">
        <v>6</v>
      </c>
      <c r="F62" s="1473"/>
      <c r="G62" s="252"/>
      <c r="H62" s="1473"/>
    </row>
    <row r="63" spans="1:9" s="224" customFormat="1" ht="15.75" customHeight="1" x14ac:dyDescent="0.25">
      <c r="A63" s="215">
        <v>41904</v>
      </c>
      <c r="B63" s="349" t="s">
        <v>260</v>
      </c>
      <c r="C63" s="350"/>
      <c r="D63" s="141"/>
      <c r="E63" s="97">
        <v>50</v>
      </c>
      <c r="F63" s="946"/>
      <c r="G63" s="97"/>
      <c r="H63" s="946">
        <v>50</v>
      </c>
    </row>
    <row r="64" spans="1:9" x14ac:dyDescent="0.25">
      <c r="A64" s="215">
        <v>41905</v>
      </c>
      <c r="B64" s="862" t="s">
        <v>32</v>
      </c>
      <c r="C64" s="879" t="s">
        <v>12</v>
      </c>
      <c r="D64" s="887" t="s">
        <v>13</v>
      </c>
      <c r="E64" s="250">
        <v>10</v>
      </c>
      <c r="F64" s="946"/>
      <c r="G64" s="95"/>
      <c r="H64" s="946"/>
    </row>
    <row r="65" spans="1:8" x14ac:dyDescent="0.25">
      <c r="A65" s="215">
        <v>41905</v>
      </c>
      <c r="B65" s="862" t="s">
        <v>585</v>
      </c>
      <c r="C65" s="879" t="s">
        <v>12</v>
      </c>
      <c r="D65" s="887" t="s">
        <v>13</v>
      </c>
      <c r="E65" s="250">
        <v>4</v>
      </c>
      <c r="F65" s="946"/>
      <c r="G65" s="95"/>
      <c r="H65" s="946"/>
    </row>
    <row r="66" spans="1:8" s="224" customFormat="1" ht="15.75" customHeight="1" x14ac:dyDescent="0.25">
      <c r="A66" s="215">
        <v>41905</v>
      </c>
      <c r="B66" s="862" t="s">
        <v>14</v>
      </c>
      <c r="C66" s="350" t="s">
        <v>12</v>
      </c>
      <c r="D66" s="141" t="s">
        <v>15</v>
      </c>
      <c r="E66" s="97">
        <v>5</v>
      </c>
      <c r="F66" s="1473"/>
      <c r="G66" s="252"/>
      <c r="H66" s="1473"/>
    </row>
    <row r="67" spans="1:8" s="224" customFormat="1" ht="15.75" customHeight="1" x14ac:dyDescent="0.25">
      <c r="A67" s="215">
        <v>41905</v>
      </c>
      <c r="B67" s="349" t="s">
        <v>138</v>
      </c>
      <c r="C67" s="350" t="s">
        <v>12</v>
      </c>
      <c r="D67" s="141" t="s">
        <v>15</v>
      </c>
      <c r="E67" s="97">
        <v>20</v>
      </c>
      <c r="F67" s="946"/>
      <c r="G67" s="97"/>
      <c r="H67" s="946"/>
    </row>
    <row r="68" spans="1:8" x14ac:dyDescent="0.25">
      <c r="A68" s="215">
        <v>41906</v>
      </c>
      <c r="B68" s="862" t="s">
        <v>32</v>
      </c>
      <c r="C68" s="879" t="s">
        <v>12</v>
      </c>
      <c r="D68" s="887" t="s">
        <v>15</v>
      </c>
      <c r="E68" s="250">
        <v>4.5</v>
      </c>
      <c r="F68" s="946"/>
      <c r="G68" s="95"/>
      <c r="H68" s="946"/>
    </row>
    <row r="69" spans="1:8" x14ac:dyDescent="0.25">
      <c r="A69" s="215">
        <v>41906</v>
      </c>
      <c r="B69" s="862" t="s">
        <v>586</v>
      </c>
      <c r="C69" s="879" t="s">
        <v>12</v>
      </c>
      <c r="D69" s="887" t="s">
        <v>13</v>
      </c>
      <c r="E69" s="250">
        <v>10.16</v>
      </c>
      <c r="F69" s="946"/>
      <c r="G69" s="95"/>
      <c r="H69" s="946"/>
    </row>
    <row r="70" spans="1:8" x14ac:dyDescent="0.25">
      <c r="A70" s="215">
        <v>41907</v>
      </c>
      <c r="B70" s="349" t="s">
        <v>587</v>
      </c>
      <c r="C70" s="350" t="s">
        <v>12</v>
      </c>
      <c r="D70" s="141" t="s">
        <v>13</v>
      </c>
      <c r="E70" s="97">
        <v>25</v>
      </c>
      <c r="F70" s="946"/>
      <c r="G70" s="95"/>
      <c r="H70" s="946"/>
    </row>
    <row r="71" spans="1:8" s="224" customFormat="1" x14ac:dyDescent="0.25">
      <c r="A71" s="215">
        <v>41908</v>
      </c>
      <c r="B71" s="862" t="s">
        <v>32</v>
      </c>
      <c r="C71" s="879" t="s">
        <v>12</v>
      </c>
      <c r="D71" s="887" t="s">
        <v>15</v>
      </c>
      <c r="E71" s="250">
        <v>4.5</v>
      </c>
      <c r="F71" s="1473"/>
      <c r="G71" s="252"/>
      <c r="H71" s="1473"/>
    </row>
    <row r="72" spans="1:8" s="224" customFormat="1" ht="15.75" customHeight="1" x14ac:dyDescent="0.25">
      <c r="A72" s="215">
        <v>41908</v>
      </c>
      <c r="B72" s="862" t="s">
        <v>14</v>
      </c>
      <c r="C72" s="350" t="s">
        <v>12</v>
      </c>
      <c r="D72" s="141" t="s">
        <v>13</v>
      </c>
      <c r="E72" s="97">
        <v>12.18</v>
      </c>
      <c r="F72" s="1473"/>
      <c r="G72" s="252"/>
      <c r="H72" s="1473"/>
    </row>
    <row r="73" spans="1:8" s="224" customFormat="1" ht="15.75" customHeight="1" x14ac:dyDescent="0.25">
      <c r="A73" s="215">
        <v>41908</v>
      </c>
      <c r="B73" s="862" t="s">
        <v>588</v>
      </c>
      <c r="C73" s="350" t="s">
        <v>12</v>
      </c>
      <c r="D73" s="141" t="s">
        <v>13</v>
      </c>
      <c r="E73" s="97">
        <v>8.8000000000000007</v>
      </c>
      <c r="F73" s="1473"/>
      <c r="G73" s="252"/>
      <c r="H73" s="1473"/>
    </row>
    <row r="74" spans="1:8" s="224" customFormat="1" ht="15.75" customHeight="1" x14ac:dyDescent="0.25">
      <c r="A74" s="215">
        <v>41909</v>
      </c>
      <c r="B74" s="349" t="s">
        <v>138</v>
      </c>
      <c r="C74" s="350" t="s">
        <v>12</v>
      </c>
      <c r="D74" s="141" t="s">
        <v>13</v>
      </c>
      <c r="E74" s="97">
        <v>20</v>
      </c>
      <c r="F74" s="946"/>
      <c r="G74" s="97"/>
      <c r="H74" s="946"/>
    </row>
    <row r="75" spans="1:8" x14ac:dyDescent="0.25">
      <c r="A75" s="215">
        <v>41909</v>
      </c>
      <c r="B75" s="349" t="s">
        <v>589</v>
      </c>
      <c r="C75" s="350" t="s">
        <v>12</v>
      </c>
      <c r="D75" s="141" t="s">
        <v>13</v>
      </c>
      <c r="E75" s="97">
        <v>11</v>
      </c>
      <c r="F75" s="946"/>
      <c r="G75" s="95"/>
      <c r="H75" s="946"/>
    </row>
    <row r="76" spans="1:8" s="224" customFormat="1" ht="15.75" customHeight="1" x14ac:dyDescent="0.25">
      <c r="A76" s="215">
        <v>41909</v>
      </c>
      <c r="B76" s="862" t="s">
        <v>14</v>
      </c>
      <c r="C76" s="350" t="s">
        <v>12</v>
      </c>
      <c r="D76" s="141" t="s">
        <v>13</v>
      </c>
      <c r="E76" s="97">
        <v>14.35</v>
      </c>
      <c r="F76" s="1473"/>
      <c r="G76" s="252"/>
      <c r="H76" s="1473"/>
    </row>
    <row r="77" spans="1:8" s="224" customFormat="1" ht="15.75" customHeight="1" x14ac:dyDescent="0.25">
      <c r="A77" s="215">
        <v>41909</v>
      </c>
      <c r="B77" s="862" t="s">
        <v>82</v>
      </c>
      <c r="C77" s="350" t="s">
        <v>12</v>
      </c>
      <c r="D77" s="141" t="s">
        <v>15</v>
      </c>
      <c r="E77" s="97">
        <v>14</v>
      </c>
      <c r="F77" s="1473"/>
      <c r="G77" s="252"/>
      <c r="H77" s="1473"/>
    </row>
    <row r="78" spans="1:8" x14ac:dyDescent="0.25">
      <c r="A78" s="215">
        <v>41910</v>
      </c>
      <c r="B78" s="349" t="s">
        <v>81</v>
      </c>
      <c r="C78" s="350" t="s">
        <v>12</v>
      </c>
      <c r="D78" s="141" t="s">
        <v>13</v>
      </c>
      <c r="E78" s="97">
        <v>10.88</v>
      </c>
      <c r="F78" s="946"/>
      <c r="G78" s="95"/>
      <c r="H78" s="946"/>
    </row>
    <row r="79" spans="1:8" s="224" customFormat="1" ht="15.75" customHeight="1" x14ac:dyDescent="0.25">
      <c r="A79" s="215">
        <v>41910</v>
      </c>
      <c r="B79" s="862" t="s">
        <v>14</v>
      </c>
      <c r="C79" s="350" t="s">
        <v>12</v>
      </c>
      <c r="D79" s="141" t="s">
        <v>13</v>
      </c>
      <c r="E79" s="97">
        <v>12.84</v>
      </c>
      <c r="F79" s="1473"/>
      <c r="G79" s="252"/>
      <c r="H79" s="1473"/>
    </row>
    <row r="80" spans="1:8" s="224" customFormat="1" ht="15.75" customHeight="1" x14ac:dyDescent="0.25">
      <c r="A80" s="215">
        <v>41911</v>
      </c>
      <c r="B80" s="349" t="s">
        <v>256</v>
      </c>
      <c r="C80" s="350"/>
      <c r="D80" s="141"/>
      <c r="E80" s="97"/>
      <c r="F80" s="946">
        <v>182</v>
      </c>
      <c r="G80" s="97">
        <v>182</v>
      </c>
      <c r="H80" s="946"/>
    </row>
    <row r="81" spans="1:8" x14ac:dyDescent="0.25">
      <c r="A81" s="215">
        <v>41911</v>
      </c>
      <c r="B81" s="349" t="s">
        <v>32</v>
      </c>
      <c r="C81" s="350" t="s">
        <v>12</v>
      </c>
      <c r="D81" s="141" t="s">
        <v>13</v>
      </c>
      <c r="E81" s="97">
        <v>6.5</v>
      </c>
      <c r="F81" s="946"/>
      <c r="G81" s="95"/>
      <c r="H81" s="946"/>
    </row>
    <row r="82" spans="1:8" s="224" customFormat="1" ht="15.75" customHeight="1" x14ac:dyDescent="0.25">
      <c r="A82" s="215">
        <v>41911</v>
      </c>
      <c r="B82" s="862" t="s">
        <v>14</v>
      </c>
      <c r="C82" s="350" t="s">
        <v>12</v>
      </c>
      <c r="D82" s="141" t="s">
        <v>15</v>
      </c>
      <c r="E82" s="97">
        <v>3</v>
      </c>
      <c r="F82" s="1473"/>
      <c r="G82" s="252"/>
      <c r="H82" s="1473"/>
    </row>
    <row r="83" spans="1:8" s="224" customFormat="1" ht="15.75" customHeight="1" x14ac:dyDescent="0.25">
      <c r="A83" s="215">
        <v>41911</v>
      </c>
      <c r="B83" s="862" t="s">
        <v>585</v>
      </c>
      <c r="C83" s="350" t="s">
        <v>12</v>
      </c>
      <c r="D83" s="141" t="s">
        <v>13</v>
      </c>
      <c r="E83" s="97">
        <v>5.55</v>
      </c>
      <c r="F83" s="1473"/>
      <c r="G83" s="252"/>
      <c r="H83" s="1473"/>
    </row>
    <row r="84" spans="1:8" x14ac:dyDescent="0.25">
      <c r="A84" s="215">
        <v>41912</v>
      </c>
      <c r="B84" s="349" t="s">
        <v>81</v>
      </c>
      <c r="C84" s="350" t="s">
        <v>12</v>
      </c>
      <c r="D84" s="141" t="s">
        <v>15</v>
      </c>
      <c r="E84" s="97">
        <v>4</v>
      </c>
      <c r="F84" s="946"/>
      <c r="G84" s="95"/>
      <c r="H84" s="946"/>
    </row>
    <row r="85" spans="1:8" s="224" customFormat="1" ht="15.75" customHeight="1" x14ac:dyDescent="0.25">
      <c r="A85" s="215">
        <v>41912</v>
      </c>
      <c r="B85" s="862" t="s">
        <v>14</v>
      </c>
      <c r="C85" s="350" t="s">
        <v>12</v>
      </c>
      <c r="D85" s="141" t="s">
        <v>15</v>
      </c>
      <c r="E85" s="97">
        <v>2.5</v>
      </c>
      <c r="F85" s="1473"/>
      <c r="G85" s="252"/>
      <c r="H85" s="1473"/>
    </row>
    <row r="86" spans="1:8" s="224" customFormat="1" ht="15.75" thickBot="1" x14ac:dyDescent="0.3">
      <c r="A86" s="215">
        <v>41912</v>
      </c>
      <c r="B86" s="862" t="s">
        <v>32</v>
      </c>
      <c r="C86" s="879" t="s">
        <v>12</v>
      </c>
      <c r="D86" s="887" t="s">
        <v>13</v>
      </c>
      <c r="E86" s="250">
        <v>10</v>
      </c>
      <c r="F86" s="1473"/>
      <c r="G86" s="252"/>
      <c r="H86" s="1473"/>
    </row>
    <row r="87" spans="1:8" ht="25.5" customHeight="1" thickBot="1" x14ac:dyDescent="0.3">
      <c r="A87" s="689"/>
      <c r="B87" s="690"/>
      <c r="C87" s="691"/>
      <c r="D87" s="691"/>
      <c r="E87" s="100">
        <f>SUM(E5:E86)</f>
        <v>1984.1299999999997</v>
      </c>
      <c r="F87" s="1065">
        <f>SUM(F5:F86)</f>
        <v>2265.1500000000015</v>
      </c>
      <c r="G87" s="101">
        <f>SUM(G5:G86)</f>
        <v>432</v>
      </c>
      <c r="H87" s="93">
        <f>SUM(H5:H86)</f>
        <v>730</v>
      </c>
    </row>
    <row r="88" spans="1:8" ht="25.5" customHeight="1" thickBot="1" x14ac:dyDescent="0.3">
      <c r="A88" s="683" t="s">
        <v>49</v>
      </c>
      <c r="B88" s="684"/>
      <c r="C88" s="684"/>
      <c r="D88" s="684"/>
      <c r="E88" s="144"/>
      <c r="F88" s="519">
        <f>F87-E87</f>
        <v>281.0200000000018</v>
      </c>
      <c r="G88" s="555"/>
      <c r="H88" s="556">
        <f>H87-G87</f>
        <v>298</v>
      </c>
    </row>
    <row r="90" spans="1:8" x14ac:dyDescent="0.25">
      <c r="B90" s="79" t="s">
        <v>32</v>
      </c>
      <c r="C90" s="484">
        <v>152.5</v>
      </c>
    </row>
    <row r="91" spans="1:8" x14ac:dyDescent="0.25">
      <c r="B91" s="79" t="s">
        <v>16</v>
      </c>
      <c r="C91" s="484">
        <v>250</v>
      </c>
      <c r="D91" s="79"/>
    </row>
    <row r="92" spans="1:8" x14ac:dyDescent="0.25">
      <c r="B92" s="79" t="s">
        <v>50</v>
      </c>
      <c r="C92" s="484">
        <v>74.040000000000006</v>
      </c>
    </row>
    <row r="93" spans="1:8" s="85" customFormat="1" x14ac:dyDescent="0.25">
      <c r="A93" s="79"/>
      <c r="B93" s="79" t="s">
        <v>14</v>
      </c>
      <c r="C93" s="475">
        <v>108.04</v>
      </c>
      <c r="E93" s="89"/>
      <c r="F93" s="79"/>
      <c r="G93" s="79"/>
    </row>
    <row r="94" spans="1:8" s="85" customFormat="1" x14ac:dyDescent="0.25">
      <c r="A94" s="79"/>
      <c r="B94" s="79" t="s">
        <v>51</v>
      </c>
      <c r="C94" s="475">
        <v>67.34</v>
      </c>
      <c r="E94" s="89"/>
      <c r="F94" s="79"/>
      <c r="G94" s="79"/>
      <c r="H94" s="79"/>
    </row>
    <row r="95" spans="1:8" s="85" customFormat="1" x14ac:dyDescent="0.25">
      <c r="A95" s="79"/>
      <c r="B95" s="79" t="s">
        <v>52</v>
      </c>
      <c r="C95" s="475">
        <v>50</v>
      </c>
      <c r="E95" s="89"/>
      <c r="F95" s="79"/>
      <c r="G95" s="79"/>
      <c r="H95" s="79"/>
    </row>
    <row r="96" spans="1:8" s="85" customFormat="1" x14ac:dyDescent="0.25">
      <c r="A96" s="79"/>
      <c r="B96" s="867" t="s">
        <v>53</v>
      </c>
      <c r="C96" s="475">
        <v>11</v>
      </c>
      <c r="D96" s="89"/>
      <c r="E96" s="89"/>
      <c r="F96" s="79"/>
      <c r="G96" s="79"/>
      <c r="H96" s="79"/>
    </row>
    <row r="97" spans="1:9" s="85" customFormat="1" x14ac:dyDescent="0.25">
      <c r="A97" s="79"/>
      <c r="B97" s="79" t="s">
        <v>56</v>
      </c>
      <c r="C97" s="475">
        <v>26.7</v>
      </c>
      <c r="E97" s="89"/>
      <c r="F97" s="79"/>
      <c r="G97" s="79"/>
      <c r="H97" s="79"/>
    </row>
    <row r="98" spans="1:9" s="85" customFormat="1" x14ac:dyDescent="0.25">
      <c r="A98" s="79"/>
      <c r="B98" s="79" t="s">
        <v>57</v>
      </c>
      <c r="C98" s="475">
        <v>52.1</v>
      </c>
      <c r="E98" s="89"/>
      <c r="F98" s="79"/>
      <c r="G98" s="79"/>
      <c r="H98" s="79"/>
    </row>
    <row r="99" spans="1:9" s="85" customFormat="1" x14ac:dyDescent="0.25">
      <c r="A99" s="79"/>
      <c r="B99" s="79" t="s">
        <v>418</v>
      </c>
      <c r="C99" s="475">
        <v>133.33000000000001</v>
      </c>
      <c r="E99" s="89"/>
      <c r="F99" s="79"/>
      <c r="G99" s="79"/>
      <c r="H99" s="79"/>
    </row>
    <row r="100" spans="1:9" s="85" customFormat="1" x14ac:dyDescent="0.25">
      <c r="A100" s="79"/>
      <c r="B100" s="79" t="s">
        <v>419</v>
      </c>
      <c r="C100" s="475">
        <v>470.89</v>
      </c>
      <c r="E100" s="89"/>
      <c r="F100" s="79"/>
      <c r="G100" s="79"/>
      <c r="H100" s="79"/>
    </row>
    <row r="101" spans="1:9" x14ac:dyDescent="0.25">
      <c r="C101" s="459"/>
    </row>
    <row r="102" spans="1:9" x14ac:dyDescent="0.25">
      <c r="B102" s="79" t="s">
        <v>486</v>
      </c>
      <c r="C102" s="475">
        <f>G102/I102</f>
        <v>57.204333333333338</v>
      </c>
      <c r="E102" s="224" t="s">
        <v>487</v>
      </c>
      <c r="F102" s="224"/>
      <c r="G102" s="216">
        <v>1716.13</v>
      </c>
      <c r="H102" s="518" t="s">
        <v>488</v>
      </c>
      <c r="I102" s="85">
        <v>30</v>
      </c>
    </row>
  </sheetData>
  <autoFilter ref="A2:H88" xr:uid="{00000000-0009-0000-0000-000015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14"/>
  <dimension ref="A1:M112"/>
  <sheetViews>
    <sheetView topLeftCell="A90" zoomScale="85" zoomScaleNormal="85" workbookViewId="0">
      <selection activeCell="C110" sqref="C11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11.5703125" style="79" customWidth="1"/>
    <col min="12" max="12" width="11.5703125" style="79" bestFit="1" customWidth="1"/>
    <col min="13" max="16384" width="9.140625" style="79"/>
  </cols>
  <sheetData>
    <row r="1" spans="1:12" ht="27" customHeight="1" thickBot="1" x14ac:dyDescent="0.3">
      <c r="A1" s="685" t="s">
        <v>0</v>
      </c>
      <c r="B1" s="686"/>
      <c r="C1" s="687"/>
      <c r="D1" s="688"/>
      <c r="E1" s="692" t="s">
        <v>590</v>
      </c>
      <c r="F1" s="693"/>
      <c r="G1" s="693"/>
      <c r="H1" s="694"/>
    </row>
    <row r="2" spans="1:12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12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12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12" x14ac:dyDescent="0.25">
      <c r="A5" s="281">
        <v>41913</v>
      </c>
      <c r="B5" s="369" t="s">
        <v>10</v>
      </c>
      <c r="C5" s="370"/>
      <c r="D5" s="207"/>
      <c r="E5" s="179"/>
      <c r="F5" s="933">
        <f>'Setembro-14'!F88</f>
        <v>281.0200000000018</v>
      </c>
      <c r="G5" s="163"/>
      <c r="H5" s="933">
        <f>'Setembro-14'!H88</f>
        <v>298</v>
      </c>
    </row>
    <row r="6" spans="1:12" s="224" customFormat="1" x14ac:dyDescent="0.25">
      <c r="A6" s="215">
        <v>41913</v>
      </c>
      <c r="B6" s="348" t="s">
        <v>11</v>
      </c>
      <c r="C6" s="351"/>
      <c r="D6" s="248"/>
      <c r="E6" s="250">
        <v>23</v>
      </c>
      <c r="F6" s="1473"/>
      <c r="G6" s="252"/>
      <c r="H6" s="1473"/>
    </row>
    <row r="7" spans="1:12" s="224" customFormat="1" x14ac:dyDescent="0.25">
      <c r="A7" s="215">
        <v>41913</v>
      </c>
      <c r="B7" s="873" t="s">
        <v>311</v>
      </c>
      <c r="C7" s="879" t="s">
        <v>12</v>
      </c>
      <c r="D7" s="887" t="s">
        <v>25</v>
      </c>
      <c r="E7" s="250"/>
      <c r="F7" s="1473"/>
      <c r="G7" s="252"/>
      <c r="H7" s="1473">
        <v>2</v>
      </c>
    </row>
    <row r="8" spans="1:12" s="224" customFormat="1" x14ac:dyDescent="0.25">
      <c r="A8" s="215">
        <v>41913</v>
      </c>
      <c r="B8" s="862" t="s">
        <v>32</v>
      </c>
      <c r="C8" s="879" t="s">
        <v>12</v>
      </c>
      <c r="D8" s="887" t="s">
        <v>13</v>
      </c>
      <c r="E8" s="250">
        <v>10</v>
      </c>
      <c r="F8" s="1473"/>
      <c r="G8" s="252"/>
      <c r="H8" s="1473"/>
    </row>
    <row r="9" spans="1:12" s="224" customFormat="1" ht="15.75" customHeight="1" x14ac:dyDescent="0.25">
      <c r="A9" s="215">
        <v>41913</v>
      </c>
      <c r="B9" s="349" t="s">
        <v>138</v>
      </c>
      <c r="C9" s="350" t="s">
        <v>12</v>
      </c>
      <c r="D9" s="141" t="s">
        <v>15</v>
      </c>
      <c r="E9" s="97">
        <v>20</v>
      </c>
      <c r="F9" s="946"/>
      <c r="G9" s="97"/>
      <c r="H9" s="946"/>
    </row>
    <row r="10" spans="1:12" s="224" customFormat="1" x14ac:dyDescent="0.25">
      <c r="A10" s="215">
        <v>41913</v>
      </c>
      <c r="B10" s="862" t="s">
        <v>591</v>
      </c>
      <c r="C10" s="879" t="s">
        <v>12</v>
      </c>
      <c r="D10" s="887" t="s">
        <v>13</v>
      </c>
      <c r="E10" s="250">
        <v>5.26</v>
      </c>
      <c r="F10" s="1473"/>
      <c r="G10" s="252"/>
      <c r="H10" s="1473"/>
    </row>
    <row r="11" spans="1:12" s="224" customFormat="1" ht="15.75" customHeight="1" x14ac:dyDescent="0.25">
      <c r="A11" s="215">
        <v>41913</v>
      </c>
      <c r="B11" s="349" t="s">
        <v>134</v>
      </c>
      <c r="C11" s="350" t="s">
        <v>12</v>
      </c>
      <c r="D11" s="141" t="s">
        <v>15</v>
      </c>
      <c r="E11" s="97">
        <v>7</v>
      </c>
      <c r="F11" s="946"/>
      <c r="G11" s="97"/>
      <c r="H11" s="946"/>
      <c r="J11" s="221"/>
      <c r="K11" s="221"/>
      <c r="L11" s="221"/>
    </row>
    <row r="12" spans="1:12" s="224" customFormat="1" ht="15.75" customHeight="1" x14ac:dyDescent="0.25">
      <c r="A12" s="215">
        <v>41914</v>
      </c>
      <c r="B12" s="862" t="s">
        <v>32</v>
      </c>
      <c r="C12" s="879" t="s">
        <v>12</v>
      </c>
      <c r="D12" s="887" t="s">
        <v>13</v>
      </c>
      <c r="E12" s="250">
        <v>10</v>
      </c>
      <c r="F12" s="946"/>
      <c r="G12" s="97"/>
      <c r="H12" s="946"/>
      <c r="L12" s="221"/>
    </row>
    <row r="13" spans="1:12" s="224" customFormat="1" ht="15.75" customHeight="1" x14ac:dyDescent="0.25">
      <c r="A13" s="215">
        <v>41914</v>
      </c>
      <c r="B13" s="862" t="s">
        <v>14</v>
      </c>
      <c r="C13" s="879" t="s">
        <v>12</v>
      </c>
      <c r="D13" s="887" t="s">
        <v>13</v>
      </c>
      <c r="E13" s="250">
        <v>3.64</v>
      </c>
      <c r="F13" s="946"/>
      <c r="G13" s="97"/>
      <c r="H13" s="946"/>
    </row>
    <row r="14" spans="1:12" s="224" customFormat="1" ht="15.75" customHeight="1" x14ac:dyDescent="0.25">
      <c r="A14" s="215">
        <v>41915</v>
      </c>
      <c r="B14" s="349" t="s">
        <v>256</v>
      </c>
      <c r="C14" s="350"/>
      <c r="D14" s="141"/>
      <c r="E14" s="97"/>
      <c r="F14" s="946">
        <v>200</v>
      </c>
      <c r="G14" s="97">
        <v>200</v>
      </c>
      <c r="H14" s="946"/>
    </row>
    <row r="15" spans="1:12" s="224" customFormat="1" x14ac:dyDescent="0.25">
      <c r="A15" s="215">
        <v>41915</v>
      </c>
      <c r="B15" s="862" t="s">
        <v>32</v>
      </c>
      <c r="C15" s="879" t="s">
        <v>12</v>
      </c>
      <c r="D15" s="887" t="s">
        <v>13</v>
      </c>
      <c r="E15" s="250">
        <v>6.5</v>
      </c>
      <c r="F15" s="946"/>
      <c r="G15" s="97"/>
      <c r="H15" s="1473"/>
    </row>
    <row r="16" spans="1:12" s="224" customFormat="1" ht="15.75" customHeight="1" x14ac:dyDescent="0.25">
      <c r="A16" s="215">
        <v>41915</v>
      </c>
      <c r="B16" s="349" t="s">
        <v>138</v>
      </c>
      <c r="C16" s="350" t="s">
        <v>12</v>
      </c>
      <c r="D16" s="141" t="s">
        <v>15</v>
      </c>
      <c r="E16" s="97">
        <v>20</v>
      </c>
      <c r="F16" s="946"/>
      <c r="G16" s="97"/>
      <c r="H16" s="946"/>
    </row>
    <row r="17" spans="1:12" s="224" customFormat="1" x14ac:dyDescent="0.25">
      <c r="A17" s="215">
        <v>41916</v>
      </c>
      <c r="B17" s="862" t="s">
        <v>14</v>
      </c>
      <c r="C17" s="879" t="s">
        <v>12</v>
      </c>
      <c r="D17" s="887" t="s">
        <v>15</v>
      </c>
      <c r="E17" s="250">
        <v>5</v>
      </c>
      <c r="F17" s="1473"/>
      <c r="G17" s="252"/>
      <c r="H17" s="1473"/>
    </row>
    <row r="18" spans="1:12" s="224" customFormat="1" x14ac:dyDescent="0.25">
      <c r="A18" s="215">
        <v>41916</v>
      </c>
      <c r="B18" s="862" t="s">
        <v>14</v>
      </c>
      <c r="C18" s="879" t="s">
        <v>12</v>
      </c>
      <c r="D18" s="887" t="s">
        <v>13</v>
      </c>
      <c r="E18" s="250">
        <v>11.03</v>
      </c>
      <c r="F18" s="1473"/>
      <c r="G18" s="252"/>
      <c r="H18" s="1473"/>
    </row>
    <row r="19" spans="1:12" s="224" customFormat="1" x14ac:dyDescent="0.25">
      <c r="A19" s="215">
        <v>41917</v>
      </c>
      <c r="B19" s="862"/>
      <c r="C19" s="879"/>
      <c r="D19" s="887"/>
      <c r="E19" s="250"/>
      <c r="F19" s="1473"/>
      <c r="G19" s="252"/>
      <c r="H19" s="1473"/>
    </row>
    <row r="20" spans="1:12" s="224" customFormat="1" x14ac:dyDescent="0.25">
      <c r="A20" s="215">
        <v>41918</v>
      </c>
      <c r="B20" s="862" t="s">
        <v>32</v>
      </c>
      <c r="C20" s="879" t="s">
        <v>12</v>
      </c>
      <c r="D20" s="887" t="s">
        <v>15</v>
      </c>
      <c r="E20" s="250">
        <v>10</v>
      </c>
      <c r="F20" s="1473"/>
      <c r="G20" s="252"/>
      <c r="H20" s="1473"/>
    </row>
    <row r="21" spans="1:12" s="224" customFormat="1" x14ac:dyDescent="0.25">
      <c r="A21" s="215">
        <v>41918</v>
      </c>
      <c r="B21" s="862" t="s">
        <v>14</v>
      </c>
      <c r="C21" s="879" t="s">
        <v>12</v>
      </c>
      <c r="D21" s="887" t="s">
        <v>13</v>
      </c>
      <c r="E21" s="250">
        <v>6.51</v>
      </c>
      <c r="F21" s="1473"/>
      <c r="G21" s="252"/>
      <c r="H21" s="1473"/>
    </row>
    <row r="22" spans="1:12" s="224" customFormat="1" x14ac:dyDescent="0.25">
      <c r="A22" s="215">
        <v>41918</v>
      </c>
      <c r="B22" s="862" t="s">
        <v>592</v>
      </c>
      <c r="C22" s="879" t="s">
        <v>19</v>
      </c>
      <c r="D22" s="887" t="s">
        <v>13</v>
      </c>
      <c r="E22" s="250">
        <v>130</v>
      </c>
      <c r="F22" s="1473"/>
      <c r="G22" s="252"/>
      <c r="H22" s="1473"/>
    </row>
    <row r="23" spans="1:12" s="224" customFormat="1" x14ac:dyDescent="0.25">
      <c r="A23" s="215">
        <v>41918</v>
      </c>
      <c r="B23" s="349" t="s">
        <v>593</v>
      </c>
      <c r="C23" s="879" t="s">
        <v>12</v>
      </c>
      <c r="D23" s="983" t="s">
        <v>25</v>
      </c>
      <c r="E23" s="250"/>
      <c r="F23" s="1473">
        <v>895.09</v>
      </c>
      <c r="G23" s="252"/>
      <c r="H23" s="1473"/>
    </row>
    <row r="24" spans="1:12" s="224" customFormat="1" ht="15.75" customHeight="1" x14ac:dyDescent="0.25">
      <c r="A24" s="215">
        <v>41918</v>
      </c>
      <c r="B24" s="862" t="s">
        <v>594</v>
      </c>
      <c r="C24" s="350" t="s">
        <v>12</v>
      </c>
      <c r="D24" s="141" t="s">
        <v>13</v>
      </c>
      <c r="E24" s="97">
        <v>210.8</v>
      </c>
      <c r="F24" s="1473"/>
      <c r="G24" s="252"/>
      <c r="H24" s="1473"/>
    </row>
    <row r="25" spans="1:12" s="224" customFormat="1" x14ac:dyDescent="0.25">
      <c r="A25" s="215">
        <v>41918</v>
      </c>
      <c r="B25" s="882" t="s">
        <v>595</v>
      </c>
      <c r="C25" s="350" t="s">
        <v>12</v>
      </c>
      <c r="D25" s="141" t="s">
        <v>13</v>
      </c>
      <c r="E25" s="97">
        <v>44.12</v>
      </c>
      <c r="F25" s="1473"/>
      <c r="G25" s="252"/>
      <c r="H25" s="1473"/>
    </row>
    <row r="26" spans="1:12" s="224" customFormat="1" ht="15" customHeight="1" x14ac:dyDescent="0.25">
      <c r="A26" s="215">
        <v>41918</v>
      </c>
      <c r="B26" s="862" t="s">
        <v>31</v>
      </c>
      <c r="C26" s="350" t="s">
        <v>12</v>
      </c>
      <c r="D26" s="957" t="s">
        <v>15</v>
      </c>
      <c r="E26" s="97">
        <v>50</v>
      </c>
      <c r="F26" s="1473"/>
      <c r="G26" s="252"/>
      <c r="H26" s="1473"/>
    </row>
    <row r="27" spans="1:12" s="224" customFormat="1" x14ac:dyDescent="0.25">
      <c r="A27" s="215">
        <v>41918</v>
      </c>
      <c r="B27" s="862" t="s">
        <v>399</v>
      </c>
      <c r="C27" s="350" t="s">
        <v>12</v>
      </c>
      <c r="D27" s="957" t="s">
        <v>15</v>
      </c>
      <c r="E27" s="97">
        <v>25</v>
      </c>
      <c r="F27" s="1473"/>
      <c r="G27" s="252"/>
      <c r="H27" s="1473"/>
    </row>
    <row r="28" spans="1:12" s="224" customFormat="1" ht="15.75" customHeight="1" x14ac:dyDescent="0.25">
      <c r="A28" s="215">
        <v>41918</v>
      </c>
      <c r="B28" s="349" t="s">
        <v>260</v>
      </c>
      <c r="C28" s="350"/>
      <c r="D28" s="141"/>
      <c r="E28" s="97">
        <v>260</v>
      </c>
      <c r="F28" s="946"/>
      <c r="G28" s="97"/>
      <c r="H28" s="946">
        <v>260</v>
      </c>
    </row>
    <row r="29" spans="1:12" s="224" customFormat="1" ht="15.75" customHeight="1" x14ac:dyDescent="0.25">
      <c r="A29" s="215">
        <v>41919</v>
      </c>
      <c r="B29" s="862" t="s">
        <v>32</v>
      </c>
      <c r="C29" s="879" t="s">
        <v>12</v>
      </c>
      <c r="D29" s="887" t="s">
        <v>13</v>
      </c>
      <c r="E29" s="250">
        <v>7</v>
      </c>
      <c r="F29" s="946"/>
      <c r="G29" s="97"/>
      <c r="H29" s="946"/>
      <c r="K29" s="221" t="s">
        <v>596</v>
      </c>
      <c r="L29" s="221" t="s">
        <v>597</v>
      </c>
    </row>
    <row r="30" spans="1:12" s="224" customFormat="1" ht="15.75" customHeight="1" x14ac:dyDescent="0.25">
      <c r="A30" s="215">
        <v>41919</v>
      </c>
      <c r="B30" s="349" t="s">
        <v>598</v>
      </c>
      <c r="C30" s="350" t="s">
        <v>12</v>
      </c>
      <c r="D30" s="141" t="s">
        <v>13</v>
      </c>
      <c r="E30" s="97">
        <v>20</v>
      </c>
      <c r="F30" s="946"/>
      <c r="G30" s="97"/>
      <c r="H30" s="946"/>
      <c r="I30" s="224" t="s">
        <v>599</v>
      </c>
      <c r="K30" s="224" t="s">
        <v>600</v>
      </c>
      <c r="L30" s="178">
        <v>2.67</v>
      </c>
    </row>
    <row r="31" spans="1:12" s="224" customFormat="1" x14ac:dyDescent="0.25">
      <c r="A31" s="215">
        <v>41919</v>
      </c>
      <c r="B31" s="862" t="s">
        <v>14</v>
      </c>
      <c r="C31" s="879" t="s">
        <v>12</v>
      </c>
      <c r="D31" s="887" t="s">
        <v>13</v>
      </c>
      <c r="E31" s="250">
        <v>5</v>
      </c>
      <c r="F31" s="1473"/>
      <c r="G31" s="252"/>
      <c r="H31" s="1473"/>
      <c r="K31" s="224">
        <v>22</v>
      </c>
      <c r="L31" s="178">
        <v>2.89</v>
      </c>
    </row>
    <row r="32" spans="1:12" s="224" customFormat="1" ht="15.75" customHeight="1" x14ac:dyDescent="0.25">
      <c r="A32" s="215">
        <v>41920</v>
      </c>
      <c r="B32" s="862" t="s">
        <v>32</v>
      </c>
      <c r="C32" s="879" t="s">
        <v>12</v>
      </c>
      <c r="D32" s="887" t="s">
        <v>13</v>
      </c>
      <c r="E32" s="250">
        <v>10</v>
      </c>
      <c r="F32" s="946"/>
      <c r="G32" s="97"/>
      <c r="H32" s="946"/>
    </row>
    <row r="33" spans="1:13" s="224" customFormat="1" ht="15.75" customHeight="1" x14ac:dyDescent="0.25">
      <c r="A33" s="215">
        <v>41920</v>
      </c>
      <c r="B33" s="349" t="s">
        <v>601</v>
      </c>
      <c r="C33" s="350" t="s">
        <v>12</v>
      </c>
      <c r="D33" s="141" t="s">
        <v>13</v>
      </c>
      <c r="E33" s="97">
        <v>50</v>
      </c>
      <c r="F33" s="946"/>
      <c r="G33" s="97"/>
      <c r="H33" s="946"/>
      <c r="I33" s="224" t="s">
        <v>602</v>
      </c>
    </row>
    <row r="34" spans="1:13" s="224" customFormat="1" x14ac:dyDescent="0.25">
      <c r="A34" s="215">
        <v>41920</v>
      </c>
      <c r="B34" s="862" t="s">
        <v>14</v>
      </c>
      <c r="C34" s="879" t="s">
        <v>12</v>
      </c>
      <c r="D34" s="887" t="s">
        <v>13</v>
      </c>
      <c r="E34" s="250">
        <v>6.6</v>
      </c>
      <c r="F34" s="1473"/>
      <c r="G34" s="252"/>
      <c r="H34" s="1473"/>
    </row>
    <row r="35" spans="1:13" s="224" customFormat="1" ht="15.75" customHeight="1" x14ac:dyDescent="0.25">
      <c r="A35" s="215">
        <v>41920</v>
      </c>
      <c r="B35" s="862" t="s">
        <v>603</v>
      </c>
      <c r="C35" s="879" t="s">
        <v>19</v>
      </c>
      <c r="D35" s="887" t="s">
        <v>13</v>
      </c>
      <c r="E35" s="250">
        <v>24.75</v>
      </c>
      <c r="F35" s="946"/>
      <c r="G35" s="97"/>
      <c r="H35" s="946"/>
      <c r="J35" s="713" t="s">
        <v>604</v>
      </c>
      <c r="K35" s="713"/>
      <c r="L35" s="221" t="s">
        <v>605</v>
      </c>
      <c r="M35" s="221" t="s">
        <v>606</v>
      </c>
    </row>
    <row r="36" spans="1:13" s="224" customFormat="1" ht="15.75" customHeight="1" x14ac:dyDescent="0.25">
      <c r="A36" s="215">
        <v>41920</v>
      </c>
      <c r="B36" s="349" t="s">
        <v>607</v>
      </c>
      <c r="C36" s="350" t="s">
        <v>19</v>
      </c>
      <c r="D36" s="141" t="s">
        <v>13</v>
      </c>
      <c r="E36" s="97">
        <v>22.36</v>
      </c>
      <c r="F36" s="946"/>
      <c r="G36" s="97"/>
      <c r="H36" s="946"/>
      <c r="K36" s="178">
        <v>200</v>
      </c>
      <c r="L36" s="178">
        <v>2.67</v>
      </c>
      <c r="M36" s="224">
        <f>K36/L36</f>
        <v>74.906367041198507</v>
      </c>
    </row>
    <row r="37" spans="1:13" s="224" customFormat="1" ht="15.75" customHeight="1" x14ac:dyDescent="0.25">
      <c r="A37" s="215">
        <v>41921</v>
      </c>
      <c r="B37" s="862" t="s">
        <v>32</v>
      </c>
      <c r="C37" s="879" t="s">
        <v>12</v>
      </c>
      <c r="D37" s="887" t="s">
        <v>13</v>
      </c>
      <c r="E37" s="250">
        <v>8</v>
      </c>
      <c r="F37" s="946"/>
      <c r="G37" s="97"/>
      <c r="H37" s="946"/>
      <c r="K37" s="178">
        <v>200</v>
      </c>
      <c r="L37" s="178">
        <v>2.89</v>
      </c>
      <c r="M37" s="224">
        <f>K37/L37</f>
        <v>69.20415224913495</v>
      </c>
    </row>
    <row r="38" spans="1:13" s="224" customFormat="1" ht="15.75" customHeight="1" x14ac:dyDescent="0.25">
      <c r="A38" s="215">
        <v>41921</v>
      </c>
      <c r="B38" s="862" t="s">
        <v>608</v>
      </c>
      <c r="C38" s="879" t="s">
        <v>12</v>
      </c>
      <c r="D38" s="887" t="s">
        <v>13</v>
      </c>
      <c r="E38" s="250">
        <v>40</v>
      </c>
      <c r="F38" s="946"/>
      <c r="G38" s="97"/>
      <c r="H38" s="946"/>
    </row>
    <row r="39" spans="1:13" s="224" customFormat="1" ht="15.75" customHeight="1" x14ac:dyDescent="0.25">
      <c r="A39" s="215">
        <v>41921</v>
      </c>
      <c r="B39" s="862" t="s">
        <v>17</v>
      </c>
      <c r="C39" s="879" t="s">
        <v>12</v>
      </c>
      <c r="D39" s="887" t="s">
        <v>13</v>
      </c>
      <c r="E39" s="250">
        <v>7.5</v>
      </c>
      <c r="F39" s="946"/>
      <c r="G39" s="97"/>
      <c r="H39" s="946"/>
      <c r="K39" s="713" t="s">
        <v>609</v>
      </c>
      <c r="L39" s="713"/>
      <c r="M39" s="221">
        <f>M36-M37</f>
        <v>5.7022147920635575</v>
      </c>
    </row>
    <row r="40" spans="1:13" s="224" customFormat="1" ht="15.75" customHeight="1" x14ac:dyDescent="0.25">
      <c r="A40" s="215">
        <v>41921</v>
      </c>
      <c r="B40" s="862" t="s">
        <v>103</v>
      </c>
      <c r="C40" s="879" t="s">
        <v>12</v>
      </c>
      <c r="D40" s="887" t="s">
        <v>15</v>
      </c>
      <c r="E40" s="250">
        <v>6.5</v>
      </c>
      <c r="F40" s="946"/>
      <c r="G40" s="97"/>
      <c r="H40" s="946"/>
    </row>
    <row r="41" spans="1:13" s="224" customFormat="1" ht="15.75" customHeight="1" x14ac:dyDescent="0.25">
      <c r="A41" s="215">
        <v>41922</v>
      </c>
      <c r="B41" s="862" t="s">
        <v>32</v>
      </c>
      <c r="C41" s="879" t="s">
        <v>12</v>
      </c>
      <c r="D41" s="887" t="s">
        <v>13</v>
      </c>
      <c r="E41" s="250">
        <v>6.5</v>
      </c>
      <c r="F41" s="946"/>
      <c r="G41" s="97"/>
      <c r="H41" s="946"/>
    </row>
    <row r="42" spans="1:13" s="224" customFormat="1" ht="15.75" customHeight="1" x14ac:dyDescent="0.25">
      <c r="A42" s="215">
        <v>41922</v>
      </c>
      <c r="B42" s="862" t="s">
        <v>147</v>
      </c>
      <c r="C42" s="879" t="s">
        <v>12</v>
      </c>
      <c r="D42" s="887" t="s">
        <v>13</v>
      </c>
      <c r="E42" s="250">
        <v>15</v>
      </c>
      <c r="F42" s="946"/>
      <c r="G42" s="97"/>
      <c r="H42" s="946"/>
    </row>
    <row r="43" spans="1:13" s="224" customFormat="1" ht="15.75" customHeight="1" x14ac:dyDescent="0.25">
      <c r="A43" s="215">
        <v>41923</v>
      </c>
      <c r="B43" s="862" t="s">
        <v>14</v>
      </c>
      <c r="C43" s="879" t="s">
        <v>12</v>
      </c>
      <c r="D43" s="887" t="s">
        <v>15</v>
      </c>
      <c r="E43" s="250">
        <v>5</v>
      </c>
      <c r="F43" s="946"/>
      <c r="G43" s="97"/>
      <c r="H43" s="946"/>
    </row>
    <row r="44" spans="1:13" s="224" customFormat="1" ht="15.75" customHeight="1" x14ac:dyDescent="0.25">
      <c r="A44" s="215">
        <v>41924</v>
      </c>
      <c r="B44" s="862" t="s">
        <v>14</v>
      </c>
      <c r="C44" s="879" t="s">
        <v>12</v>
      </c>
      <c r="D44" s="887" t="s">
        <v>13</v>
      </c>
      <c r="E44" s="250">
        <v>27.96</v>
      </c>
      <c r="F44" s="946"/>
      <c r="G44" s="97"/>
      <c r="H44" s="946"/>
    </row>
    <row r="45" spans="1:13" s="224" customFormat="1" ht="15.75" customHeight="1" x14ac:dyDescent="0.25">
      <c r="A45" s="215">
        <v>41925</v>
      </c>
      <c r="B45" s="349" t="s">
        <v>256</v>
      </c>
      <c r="C45" s="350"/>
      <c r="D45" s="141"/>
      <c r="E45" s="97"/>
      <c r="F45" s="946">
        <v>160</v>
      </c>
      <c r="G45" s="97">
        <v>160</v>
      </c>
      <c r="H45" s="946"/>
    </row>
    <row r="46" spans="1:13" s="224" customFormat="1" ht="15.75" customHeight="1" x14ac:dyDescent="0.25">
      <c r="A46" s="215">
        <v>41925</v>
      </c>
      <c r="B46" s="862" t="s">
        <v>32</v>
      </c>
      <c r="C46" s="879" t="s">
        <v>12</v>
      </c>
      <c r="D46" s="887" t="s">
        <v>13</v>
      </c>
      <c r="E46" s="250">
        <v>6.5</v>
      </c>
      <c r="F46" s="946"/>
      <c r="G46" s="97"/>
      <c r="H46" s="946"/>
    </row>
    <row r="47" spans="1:13" s="224" customFormat="1" ht="15.75" customHeight="1" x14ac:dyDescent="0.25">
      <c r="A47" s="215">
        <v>41925</v>
      </c>
      <c r="B47" s="862" t="s">
        <v>14</v>
      </c>
      <c r="C47" s="879" t="s">
        <v>12</v>
      </c>
      <c r="D47" s="887" t="s">
        <v>13</v>
      </c>
      <c r="E47" s="250">
        <v>3</v>
      </c>
      <c r="F47" s="946"/>
      <c r="G47" s="97"/>
      <c r="H47" s="946"/>
    </row>
    <row r="48" spans="1:13" s="224" customFormat="1" ht="15.75" customHeight="1" x14ac:dyDescent="0.25">
      <c r="A48" s="215">
        <v>41925</v>
      </c>
      <c r="B48" s="862" t="s">
        <v>610</v>
      </c>
      <c r="C48" s="879" t="s">
        <v>19</v>
      </c>
      <c r="D48" s="887" t="s">
        <v>13</v>
      </c>
      <c r="E48" s="250">
        <v>40</v>
      </c>
      <c r="F48" s="946"/>
      <c r="G48" s="97"/>
      <c r="H48" s="946"/>
    </row>
    <row r="49" spans="1:9" s="224" customFormat="1" ht="15.75" customHeight="1" x14ac:dyDescent="0.25">
      <c r="A49" s="215">
        <v>41925</v>
      </c>
      <c r="B49" s="862" t="s">
        <v>611</v>
      </c>
      <c r="C49" s="879" t="s">
        <v>19</v>
      </c>
      <c r="D49" s="887" t="s">
        <v>13</v>
      </c>
      <c r="E49" s="250">
        <v>10</v>
      </c>
      <c r="F49" s="946"/>
      <c r="G49" s="97"/>
      <c r="H49" s="946"/>
    </row>
    <row r="50" spans="1:9" s="224" customFormat="1" ht="15.75" customHeight="1" x14ac:dyDescent="0.25">
      <c r="A50" s="215">
        <v>41925</v>
      </c>
      <c r="B50" s="862" t="s">
        <v>612</v>
      </c>
      <c r="C50" s="879" t="s">
        <v>19</v>
      </c>
      <c r="D50" s="887" t="s">
        <v>13</v>
      </c>
      <c r="E50" s="250">
        <v>25</v>
      </c>
      <c r="F50" s="946"/>
      <c r="G50" s="97"/>
      <c r="H50" s="946"/>
    </row>
    <row r="51" spans="1:9" s="224" customFormat="1" ht="15.75" customHeight="1" x14ac:dyDescent="0.25">
      <c r="A51" s="215">
        <v>41926</v>
      </c>
      <c r="B51" s="862" t="s">
        <v>32</v>
      </c>
      <c r="C51" s="879" t="s">
        <v>12</v>
      </c>
      <c r="D51" s="887" t="s">
        <v>13</v>
      </c>
      <c r="E51" s="250">
        <v>10</v>
      </c>
      <c r="F51" s="946"/>
      <c r="G51" s="97"/>
      <c r="H51" s="946"/>
    </row>
    <row r="52" spans="1:9" s="224" customFormat="1" ht="15.75" customHeight="1" x14ac:dyDescent="0.25">
      <c r="A52" s="215">
        <v>41926</v>
      </c>
      <c r="B52" s="862" t="s">
        <v>14</v>
      </c>
      <c r="C52" s="879" t="s">
        <v>12</v>
      </c>
      <c r="D52" s="887" t="s">
        <v>15</v>
      </c>
      <c r="E52" s="250">
        <v>2.5</v>
      </c>
      <c r="F52" s="946"/>
      <c r="G52" s="97"/>
      <c r="H52" s="946"/>
    </row>
    <row r="53" spans="1:9" s="224" customFormat="1" ht="15.75" customHeight="1" x14ac:dyDescent="0.25">
      <c r="A53" s="215">
        <v>41927</v>
      </c>
      <c r="B53" s="862" t="s">
        <v>32</v>
      </c>
      <c r="C53" s="879" t="s">
        <v>12</v>
      </c>
      <c r="D53" s="887" t="s">
        <v>13</v>
      </c>
      <c r="E53" s="250">
        <v>6.5</v>
      </c>
      <c r="F53" s="946"/>
      <c r="G53" s="97"/>
      <c r="H53" s="946"/>
    </row>
    <row r="54" spans="1:9" s="224" customFormat="1" ht="15.75" customHeight="1" x14ac:dyDescent="0.25">
      <c r="A54" s="215">
        <v>41927</v>
      </c>
      <c r="B54" s="862" t="s">
        <v>134</v>
      </c>
      <c r="C54" s="879" t="s">
        <v>12</v>
      </c>
      <c r="D54" s="887" t="s">
        <v>15</v>
      </c>
      <c r="E54" s="250">
        <v>7</v>
      </c>
      <c r="F54" s="946"/>
      <c r="G54" s="97"/>
      <c r="H54" s="946"/>
    </row>
    <row r="55" spans="1:9" s="224" customFormat="1" ht="15.75" customHeight="1" x14ac:dyDescent="0.25">
      <c r="A55" s="215">
        <v>41927</v>
      </c>
      <c r="B55" s="862" t="s">
        <v>613</v>
      </c>
      <c r="C55" s="879" t="s">
        <v>12</v>
      </c>
      <c r="D55" s="887" t="s">
        <v>13</v>
      </c>
      <c r="E55" s="250">
        <v>31</v>
      </c>
      <c r="F55" s="946"/>
      <c r="G55" s="97"/>
      <c r="H55" s="946"/>
    </row>
    <row r="56" spans="1:9" s="224" customFormat="1" ht="15.75" customHeight="1" x14ac:dyDescent="0.25">
      <c r="A56" s="215">
        <v>41928</v>
      </c>
      <c r="B56" s="862" t="s">
        <v>14</v>
      </c>
      <c r="C56" s="879" t="s">
        <v>12</v>
      </c>
      <c r="D56" s="887" t="s">
        <v>15</v>
      </c>
      <c r="E56" s="250">
        <v>2.5</v>
      </c>
      <c r="F56" s="946"/>
      <c r="G56" s="97"/>
      <c r="H56" s="946"/>
    </row>
    <row r="57" spans="1:9" s="224" customFormat="1" ht="15.75" customHeight="1" x14ac:dyDescent="0.25">
      <c r="A57" s="215">
        <v>41929</v>
      </c>
      <c r="B57" s="862" t="s">
        <v>32</v>
      </c>
      <c r="C57" s="879" t="s">
        <v>12</v>
      </c>
      <c r="D57" s="887" t="s">
        <v>13</v>
      </c>
      <c r="E57" s="250">
        <v>10</v>
      </c>
      <c r="F57" s="946"/>
      <c r="G57" s="97"/>
      <c r="H57" s="946"/>
    </row>
    <row r="58" spans="1:9" s="224" customFormat="1" ht="15.75" customHeight="1" x14ac:dyDescent="0.25">
      <c r="A58" s="215">
        <v>41929</v>
      </c>
      <c r="B58" s="349" t="s">
        <v>614</v>
      </c>
      <c r="C58" s="350" t="s">
        <v>19</v>
      </c>
      <c r="D58" s="141" t="s">
        <v>13</v>
      </c>
      <c r="E58" s="97">
        <v>60</v>
      </c>
      <c r="F58" s="946"/>
      <c r="G58" s="97"/>
      <c r="H58" s="946"/>
      <c r="I58" s="224" t="s">
        <v>615</v>
      </c>
    </row>
    <row r="59" spans="1:9" s="224" customFormat="1" ht="15.75" customHeight="1" x14ac:dyDescent="0.25">
      <c r="A59" s="215">
        <v>41930</v>
      </c>
      <c r="B59" s="862" t="s">
        <v>134</v>
      </c>
      <c r="C59" s="879" t="s">
        <v>12</v>
      </c>
      <c r="D59" s="887" t="s">
        <v>15</v>
      </c>
      <c r="E59" s="250">
        <v>9.5</v>
      </c>
      <c r="F59" s="946"/>
      <c r="G59" s="97"/>
      <c r="H59" s="946"/>
    </row>
    <row r="60" spans="1:9" s="224" customFormat="1" ht="15.75" customHeight="1" x14ac:dyDescent="0.25">
      <c r="A60" s="215">
        <v>41930</v>
      </c>
      <c r="B60" s="862" t="s">
        <v>14</v>
      </c>
      <c r="C60" s="879" t="s">
        <v>12</v>
      </c>
      <c r="D60" s="887" t="s">
        <v>13</v>
      </c>
      <c r="E60" s="250">
        <v>12.82</v>
      </c>
      <c r="F60" s="946"/>
      <c r="G60" s="97"/>
      <c r="H60" s="946"/>
    </row>
    <row r="61" spans="1:9" s="224" customFormat="1" ht="15.75" customHeight="1" x14ac:dyDescent="0.25">
      <c r="A61" s="215">
        <v>41930</v>
      </c>
      <c r="B61" s="862" t="s">
        <v>82</v>
      </c>
      <c r="C61" s="879" t="s">
        <v>12</v>
      </c>
      <c r="D61" s="887" t="s">
        <v>13</v>
      </c>
      <c r="E61" s="250">
        <v>14</v>
      </c>
      <c r="F61" s="946"/>
      <c r="G61" s="97"/>
      <c r="H61" s="946"/>
    </row>
    <row r="62" spans="1:9" s="224" customFormat="1" ht="15.75" customHeight="1" x14ac:dyDescent="0.25">
      <c r="A62" s="215">
        <v>41931</v>
      </c>
      <c r="B62" s="862" t="s">
        <v>14</v>
      </c>
      <c r="C62" s="879" t="s">
        <v>12</v>
      </c>
      <c r="D62" s="887" t="s">
        <v>13</v>
      </c>
      <c r="E62" s="250">
        <v>4.13</v>
      </c>
      <c r="F62" s="946"/>
      <c r="G62" s="97"/>
      <c r="H62" s="946"/>
    </row>
    <row r="63" spans="1:9" s="224" customFormat="1" ht="15.75" customHeight="1" x14ac:dyDescent="0.25">
      <c r="A63" s="215">
        <v>41931</v>
      </c>
      <c r="B63" s="862" t="s">
        <v>14</v>
      </c>
      <c r="C63" s="879" t="s">
        <v>12</v>
      </c>
      <c r="D63" s="887" t="s">
        <v>13</v>
      </c>
      <c r="E63" s="250">
        <v>6.24</v>
      </c>
      <c r="F63" s="946"/>
      <c r="G63" s="97"/>
      <c r="H63" s="946"/>
    </row>
    <row r="64" spans="1:9" s="224" customFormat="1" x14ac:dyDescent="0.25">
      <c r="A64" s="215">
        <v>41932</v>
      </c>
      <c r="B64" s="349" t="s">
        <v>616</v>
      </c>
      <c r="C64" s="350" t="s">
        <v>12</v>
      </c>
      <c r="D64" s="141" t="s">
        <v>25</v>
      </c>
      <c r="E64" s="250"/>
      <c r="F64" s="1473">
        <v>726</v>
      </c>
      <c r="G64" s="252"/>
      <c r="H64" s="1473"/>
    </row>
    <row r="65" spans="1:9" s="224" customFormat="1" x14ac:dyDescent="0.25">
      <c r="A65" s="215">
        <v>41932</v>
      </c>
      <c r="B65" s="882" t="s">
        <v>617</v>
      </c>
      <c r="C65" s="350" t="s">
        <v>12</v>
      </c>
      <c r="D65" s="141" t="s">
        <v>13</v>
      </c>
      <c r="E65" s="538">
        <v>23.54</v>
      </c>
      <c r="F65" s="1002"/>
      <c r="G65" s="539"/>
      <c r="H65" s="1002"/>
      <c r="I65" s="709"/>
    </row>
    <row r="66" spans="1:9" x14ac:dyDescent="0.25">
      <c r="A66" s="215">
        <v>41932</v>
      </c>
      <c r="B66" s="349" t="s">
        <v>618</v>
      </c>
      <c r="C66" s="350" t="s">
        <v>12</v>
      </c>
      <c r="D66" s="141" t="s">
        <v>13</v>
      </c>
      <c r="E66" s="97">
        <v>225</v>
      </c>
      <c r="F66" s="946"/>
      <c r="G66" s="95"/>
      <c r="H66" s="946"/>
    </row>
    <row r="67" spans="1:9" s="224" customFormat="1" ht="15.75" customHeight="1" x14ac:dyDescent="0.25">
      <c r="A67" s="215">
        <v>41932</v>
      </c>
      <c r="B67" s="349" t="s">
        <v>260</v>
      </c>
      <c r="C67" s="350"/>
      <c r="D67" s="141"/>
      <c r="E67" s="97">
        <v>250</v>
      </c>
      <c r="F67" s="946"/>
      <c r="G67" s="97"/>
      <c r="H67" s="946">
        <v>250</v>
      </c>
    </row>
    <row r="68" spans="1:9" x14ac:dyDescent="0.25">
      <c r="A68" s="215">
        <v>41932</v>
      </c>
      <c r="B68" s="862" t="s">
        <v>32</v>
      </c>
      <c r="C68" s="879" t="s">
        <v>12</v>
      </c>
      <c r="D68" s="887" t="s">
        <v>13</v>
      </c>
      <c r="E68" s="250">
        <v>10</v>
      </c>
      <c r="F68" s="946"/>
      <c r="G68" s="95"/>
      <c r="H68" s="946"/>
    </row>
    <row r="69" spans="1:9" s="224" customFormat="1" ht="15.75" customHeight="1" x14ac:dyDescent="0.25">
      <c r="A69" s="215">
        <v>41932</v>
      </c>
      <c r="B69" s="862" t="s">
        <v>14</v>
      </c>
      <c r="C69" s="879" t="s">
        <v>12</v>
      </c>
      <c r="D69" s="887" t="s">
        <v>13</v>
      </c>
      <c r="E69" s="250">
        <v>7.57</v>
      </c>
      <c r="F69" s="946"/>
      <c r="G69" s="97"/>
      <c r="H69" s="946"/>
    </row>
    <row r="70" spans="1:9" s="224" customFormat="1" ht="15.75" customHeight="1" x14ac:dyDescent="0.25">
      <c r="A70" s="215">
        <v>41932</v>
      </c>
      <c r="B70" s="862" t="s">
        <v>619</v>
      </c>
      <c r="C70" s="879" t="s">
        <v>19</v>
      </c>
      <c r="D70" s="887" t="s">
        <v>13</v>
      </c>
      <c r="E70" s="250">
        <v>28.6</v>
      </c>
      <c r="F70" s="946"/>
      <c r="G70" s="97"/>
      <c r="H70" s="946"/>
    </row>
    <row r="71" spans="1:9" s="224" customFormat="1" ht="15.75" customHeight="1" x14ac:dyDescent="0.25">
      <c r="A71" s="215">
        <v>41933</v>
      </c>
      <c r="B71" s="862" t="s">
        <v>32</v>
      </c>
      <c r="C71" s="879" t="s">
        <v>12</v>
      </c>
      <c r="D71" s="887" t="s">
        <v>13</v>
      </c>
      <c r="E71" s="250">
        <v>5</v>
      </c>
      <c r="F71" s="946"/>
      <c r="G71" s="97"/>
      <c r="H71" s="946"/>
    </row>
    <row r="72" spans="1:9" s="224" customFormat="1" ht="15.75" customHeight="1" x14ac:dyDescent="0.25">
      <c r="A72" s="215">
        <v>41933</v>
      </c>
      <c r="B72" s="862" t="s">
        <v>14</v>
      </c>
      <c r="C72" s="879" t="s">
        <v>12</v>
      </c>
      <c r="D72" s="887" t="s">
        <v>15</v>
      </c>
      <c r="E72" s="250">
        <v>5</v>
      </c>
      <c r="F72" s="946"/>
      <c r="G72" s="97"/>
      <c r="H72" s="946"/>
    </row>
    <row r="73" spans="1:9" s="224" customFormat="1" ht="15.75" customHeight="1" x14ac:dyDescent="0.25">
      <c r="A73" s="215">
        <v>41933</v>
      </c>
      <c r="B73" s="862" t="s">
        <v>620</v>
      </c>
      <c r="C73" s="879" t="s">
        <v>19</v>
      </c>
      <c r="D73" s="887" t="s">
        <v>13</v>
      </c>
      <c r="E73" s="250">
        <v>12.44</v>
      </c>
      <c r="F73" s="946"/>
      <c r="G73" s="97"/>
      <c r="H73" s="946"/>
    </row>
    <row r="74" spans="1:9" x14ac:dyDescent="0.25">
      <c r="A74" s="215">
        <v>41934</v>
      </c>
      <c r="B74" s="862" t="s">
        <v>32</v>
      </c>
      <c r="C74" s="879" t="s">
        <v>12</v>
      </c>
      <c r="D74" s="887" t="s">
        <v>13</v>
      </c>
      <c r="E74" s="250">
        <v>10</v>
      </c>
      <c r="F74" s="946"/>
      <c r="G74" s="95"/>
      <c r="H74" s="946"/>
    </row>
    <row r="75" spans="1:9" s="224" customFormat="1" ht="15.75" customHeight="1" x14ac:dyDescent="0.25">
      <c r="A75" s="215">
        <v>41934</v>
      </c>
      <c r="B75" s="862" t="s">
        <v>14</v>
      </c>
      <c r="C75" s="879" t="s">
        <v>12</v>
      </c>
      <c r="D75" s="887" t="s">
        <v>13</v>
      </c>
      <c r="E75" s="250">
        <v>13.91</v>
      </c>
      <c r="F75" s="946"/>
      <c r="G75" s="97"/>
      <c r="H75" s="946"/>
    </row>
    <row r="76" spans="1:9" s="224" customFormat="1" ht="15.75" customHeight="1" x14ac:dyDescent="0.25">
      <c r="A76" s="215">
        <v>41935</v>
      </c>
      <c r="B76" s="862" t="s">
        <v>32</v>
      </c>
      <c r="C76" s="879" t="s">
        <v>12</v>
      </c>
      <c r="D76" s="887" t="s">
        <v>13</v>
      </c>
      <c r="E76" s="250">
        <v>10</v>
      </c>
      <c r="F76" s="1473"/>
      <c r="G76" s="252"/>
      <c r="H76" s="1473"/>
    </row>
    <row r="77" spans="1:9" s="224" customFormat="1" ht="15.75" customHeight="1" x14ac:dyDescent="0.25">
      <c r="A77" s="215">
        <v>41935</v>
      </c>
      <c r="B77" s="862" t="s">
        <v>14</v>
      </c>
      <c r="C77" s="879" t="s">
        <v>12</v>
      </c>
      <c r="D77" s="887" t="s">
        <v>15</v>
      </c>
      <c r="E77" s="250">
        <v>7</v>
      </c>
      <c r="F77" s="946"/>
      <c r="G77" s="97"/>
      <c r="H77" s="946"/>
    </row>
    <row r="78" spans="1:9" s="224" customFormat="1" ht="15.75" customHeight="1" x14ac:dyDescent="0.25">
      <c r="A78" s="215">
        <v>41936</v>
      </c>
      <c r="B78" s="862" t="s">
        <v>32</v>
      </c>
      <c r="C78" s="879" t="s">
        <v>12</v>
      </c>
      <c r="D78" s="887" t="s">
        <v>15</v>
      </c>
      <c r="E78" s="250">
        <v>9</v>
      </c>
      <c r="F78" s="946"/>
      <c r="G78" s="97"/>
      <c r="H78" s="946"/>
    </row>
    <row r="79" spans="1:9" s="224" customFormat="1" ht="15.75" customHeight="1" x14ac:dyDescent="0.25">
      <c r="A79" s="215">
        <v>41936</v>
      </c>
      <c r="B79" s="862" t="s">
        <v>14</v>
      </c>
      <c r="C79" s="879" t="s">
        <v>12</v>
      </c>
      <c r="D79" s="887" t="s">
        <v>15</v>
      </c>
      <c r="E79" s="250">
        <v>5</v>
      </c>
      <c r="F79" s="946"/>
      <c r="G79" s="97"/>
      <c r="H79" s="946"/>
    </row>
    <row r="80" spans="1:9" s="224" customFormat="1" ht="15.75" customHeight="1" x14ac:dyDescent="0.25">
      <c r="A80" s="215">
        <v>41937</v>
      </c>
      <c r="B80" s="862" t="s">
        <v>14</v>
      </c>
      <c r="C80" s="879" t="s">
        <v>12</v>
      </c>
      <c r="D80" s="887" t="s">
        <v>13</v>
      </c>
      <c r="E80" s="250">
        <v>12.9</v>
      </c>
      <c r="F80" s="946"/>
      <c r="G80" s="97"/>
      <c r="H80" s="946"/>
    </row>
    <row r="81" spans="1:10" s="224" customFormat="1" ht="15.75" customHeight="1" x14ac:dyDescent="0.25">
      <c r="A81" s="215">
        <v>41937</v>
      </c>
      <c r="B81" s="862" t="s">
        <v>621</v>
      </c>
      <c r="C81" s="879" t="s">
        <v>12</v>
      </c>
      <c r="D81" s="887" t="s">
        <v>13</v>
      </c>
      <c r="E81" s="250">
        <v>6.5</v>
      </c>
      <c r="F81" s="946"/>
      <c r="G81" s="97"/>
      <c r="H81" s="946"/>
    </row>
    <row r="82" spans="1:10" x14ac:dyDescent="0.25">
      <c r="A82" s="215">
        <v>41937</v>
      </c>
      <c r="B82" s="349" t="s">
        <v>622</v>
      </c>
      <c r="C82" s="350" t="s">
        <v>19</v>
      </c>
      <c r="D82" s="141" t="s">
        <v>13</v>
      </c>
      <c r="E82" s="97">
        <v>60</v>
      </c>
      <c r="F82" s="946"/>
      <c r="G82" s="97"/>
      <c r="H82" s="946"/>
      <c r="I82" s="224" t="s">
        <v>623</v>
      </c>
      <c r="J82" s="224"/>
    </row>
    <row r="83" spans="1:10" s="224" customFormat="1" ht="15.75" customHeight="1" x14ac:dyDescent="0.25">
      <c r="A83" s="215">
        <v>41937</v>
      </c>
      <c r="B83" s="862" t="s">
        <v>82</v>
      </c>
      <c r="C83" s="879" t="s">
        <v>12</v>
      </c>
      <c r="D83" s="887" t="s">
        <v>15</v>
      </c>
      <c r="E83" s="250">
        <v>12</v>
      </c>
      <c r="F83" s="946"/>
      <c r="G83" s="97"/>
      <c r="H83" s="946"/>
    </row>
    <row r="84" spans="1:10" s="224" customFormat="1" ht="15.75" customHeight="1" x14ac:dyDescent="0.25">
      <c r="A84" s="215">
        <v>41938</v>
      </c>
      <c r="B84" s="862" t="s">
        <v>14</v>
      </c>
      <c r="C84" s="879" t="s">
        <v>12</v>
      </c>
      <c r="D84" s="887" t="s">
        <v>13</v>
      </c>
      <c r="E84" s="250">
        <v>26.57</v>
      </c>
      <c r="F84" s="946"/>
      <c r="G84" s="97"/>
      <c r="H84" s="946"/>
    </row>
    <row r="85" spans="1:10" x14ac:dyDescent="0.25">
      <c r="A85" s="215">
        <v>41939</v>
      </c>
      <c r="B85" s="862" t="s">
        <v>32</v>
      </c>
      <c r="C85" s="879" t="s">
        <v>12</v>
      </c>
      <c r="D85" s="887" t="s">
        <v>13</v>
      </c>
      <c r="E85" s="250">
        <v>5.5</v>
      </c>
      <c r="F85" s="946"/>
      <c r="G85" s="95"/>
      <c r="H85" s="946"/>
    </row>
    <row r="86" spans="1:10" s="224" customFormat="1" ht="15.75" customHeight="1" x14ac:dyDescent="0.25">
      <c r="A86" s="215">
        <v>41939</v>
      </c>
      <c r="B86" s="862" t="s">
        <v>14</v>
      </c>
      <c r="C86" s="879" t="s">
        <v>12</v>
      </c>
      <c r="D86" s="887" t="s">
        <v>13</v>
      </c>
      <c r="E86" s="250">
        <v>4.92</v>
      </c>
      <c r="F86" s="946"/>
      <c r="G86" s="97"/>
      <c r="H86" s="946"/>
    </row>
    <row r="87" spans="1:10" x14ac:dyDescent="0.25">
      <c r="A87" s="215">
        <v>41940</v>
      </c>
      <c r="B87" s="862" t="s">
        <v>32</v>
      </c>
      <c r="C87" s="879" t="s">
        <v>12</v>
      </c>
      <c r="D87" s="887" t="s">
        <v>13</v>
      </c>
      <c r="E87" s="250">
        <v>10</v>
      </c>
      <c r="F87" s="946"/>
      <c r="G87" s="95"/>
      <c r="H87" s="946"/>
    </row>
    <row r="88" spans="1:10" s="224" customFormat="1" ht="15.75" customHeight="1" x14ac:dyDescent="0.25">
      <c r="A88" s="215">
        <v>41940</v>
      </c>
      <c r="B88" s="349" t="s">
        <v>256</v>
      </c>
      <c r="C88" s="350"/>
      <c r="D88" s="141"/>
      <c r="E88" s="97"/>
      <c r="F88" s="946">
        <v>100</v>
      </c>
      <c r="G88" s="97">
        <v>100</v>
      </c>
      <c r="H88" s="946"/>
    </row>
    <row r="89" spans="1:10" s="224" customFormat="1" ht="15.75" customHeight="1" x14ac:dyDescent="0.25">
      <c r="A89" s="215">
        <v>41940</v>
      </c>
      <c r="B89" s="862" t="s">
        <v>14</v>
      </c>
      <c r="C89" s="879" t="s">
        <v>12</v>
      </c>
      <c r="D89" s="887" t="s">
        <v>13</v>
      </c>
      <c r="E89" s="250">
        <v>11.27</v>
      </c>
      <c r="F89" s="946"/>
      <c r="G89" s="97"/>
      <c r="H89" s="946"/>
    </row>
    <row r="90" spans="1:10" s="224" customFormat="1" x14ac:dyDescent="0.25">
      <c r="A90" s="215">
        <v>41941</v>
      </c>
      <c r="B90" s="862" t="s">
        <v>32</v>
      </c>
      <c r="C90" s="879" t="s">
        <v>12</v>
      </c>
      <c r="D90" s="887" t="s">
        <v>13</v>
      </c>
      <c r="E90" s="250">
        <v>6</v>
      </c>
      <c r="F90" s="1473"/>
      <c r="G90" s="252"/>
      <c r="H90" s="1473"/>
    </row>
    <row r="91" spans="1:10" s="224" customFormat="1" ht="15.75" customHeight="1" x14ac:dyDescent="0.25">
      <c r="A91" s="215">
        <v>41941</v>
      </c>
      <c r="B91" s="862" t="s">
        <v>14</v>
      </c>
      <c r="C91" s="879" t="s">
        <v>12</v>
      </c>
      <c r="D91" s="887" t="s">
        <v>13</v>
      </c>
      <c r="E91" s="250">
        <v>5.43</v>
      </c>
      <c r="F91" s="946"/>
      <c r="G91" s="97"/>
      <c r="H91" s="946"/>
    </row>
    <row r="92" spans="1:10" x14ac:dyDescent="0.25">
      <c r="A92" s="215">
        <v>41942</v>
      </c>
      <c r="B92" s="862" t="s">
        <v>32</v>
      </c>
      <c r="C92" s="879" t="s">
        <v>12</v>
      </c>
      <c r="D92" s="887" t="s">
        <v>15</v>
      </c>
      <c r="E92" s="250">
        <v>10</v>
      </c>
      <c r="F92" s="946"/>
      <c r="G92" s="95"/>
      <c r="H92" s="946"/>
    </row>
    <row r="93" spans="1:10" s="224" customFormat="1" ht="15.75" customHeight="1" x14ac:dyDescent="0.25">
      <c r="A93" s="215">
        <v>41942</v>
      </c>
      <c r="B93" s="862" t="s">
        <v>14</v>
      </c>
      <c r="C93" s="879" t="s">
        <v>12</v>
      </c>
      <c r="D93" s="887" t="s">
        <v>13</v>
      </c>
      <c r="E93" s="250">
        <v>5.4</v>
      </c>
      <c r="F93" s="946"/>
      <c r="G93" s="97"/>
      <c r="H93" s="946"/>
    </row>
    <row r="94" spans="1:10" s="224" customFormat="1" ht="15.75" customHeight="1" x14ac:dyDescent="0.25">
      <c r="A94" s="215">
        <v>41943</v>
      </c>
      <c r="B94" s="349" t="s">
        <v>256</v>
      </c>
      <c r="C94" s="350"/>
      <c r="D94" s="141"/>
      <c r="E94" s="97"/>
      <c r="F94" s="946">
        <v>200</v>
      </c>
      <c r="G94" s="97">
        <v>200</v>
      </c>
      <c r="H94" s="946"/>
    </row>
    <row r="95" spans="1:10" x14ac:dyDescent="0.25">
      <c r="A95" s="215">
        <v>41943</v>
      </c>
      <c r="B95" s="862" t="s">
        <v>32</v>
      </c>
      <c r="C95" s="879" t="s">
        <v>12</v>
      </c>
      <c r="D95" s="887" t="s">
        <v>13</v>
      </c>
      <c r="E95" s="250">
        <v>10</v>
      </c>
      <c r="F95" s="946"/>
      <c r="G95" s="95"/>
      <c r="H95" s="946"/>
    </row>
    <row r="96" spans="1:10" ht="15.75" thickBot="1" x14ac:dyDescent="0.3">
      <c r="A96" s="215">
        <v>41943</v>
      </c>
      <c r="B96" s="862" t="s">
        <v>14</v>
      </c>
      <c r="C96" s="879" t="s">
        <v>12</v>
      </c>
      <c r="D96" s="887" t="s">
        <v>13</v>
      </c>
      <c r="E96" s="250">
        <v>5.22</v>
      </c>
      <c r="F96" s="946"/>
      <c r="G96" s="95"/>
      <c r="H96" s="946"/>
    </row>
    <row r="97" spans="1:9" ht="25.5" customHeight="1" thickBot="1" x14ac:dyDescent="0.3">
      <c r="A97" s="689"/>
      <c r="B97" s="690"/>
      <c r="C97" s="691"/>
      <c r="D97" s="691"/>
      <c r="E97" s="100">
        <f>SUM(E5:E96)</f>
        <v>2194.4900000000002</v>
      </c>
      <c r="F97" s="1065">
        <f>SUM(F5:F96)</f>
        <v>2562.1100000000019</v>
      </c>
      <c r="G97" s="527">
        <f>SUM(G5:G96)</f>
        <v>660</v>
      </c>
      <c r="H97" s="1065">
        <f>SUM(H5:H96)</f>
        <v>810</v>
      </c>
    </row>
    <row r="98" spans="1:9" ht="25.5" customHeight="1" thickBot="1" x14ac:dyDescent="0.3">
      <c r="A98" s="683" t="s">
        <v>49</v>
      </c>
      <c r="B98" s="684"/>
      <c r="C98" s="684"/>
      <c r="D98" s="684"/>
      <c r="E98" s="144"/>
      <c r="F98" s="519">
        <f>F97-E97</f>
        <v>367.62000000000171</v>
      </c>
      <c r="G98" s="593"/>
      <c r="H98" s="519">
        <f>H97-G97</f>
        <v>150</v>
      </c>
    </row>
    <row r="100" spans="1:9" x14ac:dyDescent="0.25">
      <c r="B100" s="79" t="s">
        <v>32</v>
      </c>
      <c r="C100" s="484">
        <v>186.5</v>
      </c>
    </row>
    <row r="101" spans="1:9" x14ac:dyDescent="0.25">
      <c r="B101" s="79" t="s">
        <v>16</v>
      </c>
      <c r="C101" s="484">
        <v>230</v>
      </c>
      <c r="D101" s="79"/>
    </row>
    <row r="102" spans="1:9" x14ac:dyDescent="0.25">
      <c r="B102" s="79" t="s">
        <v>50</v>
      </c>
      <c r="C102" s="484">
        <v>82</v>
      </c>
    </row>
    <row r="103" spans="1:9" s="85" customFormat="1" x14ac:dyDescent="0.25">
      <c r="A103" s="79"/>
      <c r="B103" s="79" t="s">
        <v>14</v>
      </c>
      <c r="C103" s="475">
        <v>207.5</v>
      </c>
      <c r="E103" s="89"/>
      <c r="F103" s="79"/>
      <c r="G103" s="79"/>
    </row>
    <row r="104" spans="1:9" s="85" customFormat="1" x14ac:dyDescent="0.25">
      <c r="A104" s="79"/>
      <c r="B104" s="79" t="s">
        <v>51</v>
      </c>
      <c r="C104" s="475">
        <v>67.66</v>
      </c>
      <c r="E104" s="89"/>
      <c r="F104" s="79"/>
      <c r="G104" s="79"/>
      <c r="H104" s="79"/>
    </row>
    <row r="105" spans="1:9" s="85" customFormat="1" x14ac:dyDescent="0.25">
      <c r="A105" s="79"/>
      <c r="B105" s="79" t="s">
        <v>52</v>
      </c>
      <c r="C105" s="475">
        <v>50</v>
      </c>
      <c r="E105" s="89"/>
      <c r="F105" s="79"/>
      <c r="G105" s="79"/>
      <c r="H105" s="79"/>
    </row>
    <row r="106" spans="1:9" s="85" customFormat="1" x14ac:dyDescent="0.25">
      <c r="A106" s="79"/>
      <c r="B106" s="867" t="s">
        <v>53</v>
      </c>
      <c r="C106" s="475">
        <v>161</v>
      </c>
      <c r="D106" s="89"/>
      <c r="E106" s="89"/>
      <c r="F106" s="79"/>
      <c r="G106" s="79"/>
      <c r="H106" s="79"/>
    </row>
    <row r="107" spans="1:9" s="85" customFormat="1" x14ac:dyDescent="0.25">
      <c r="A107" s="79"/>
      <c r="B107" s="79" t="s">
        <v>56</v>
      </c>
      <c r="C107" s="475"/>
      <c r="E107" s="89"/>
      <c r="F107" s="79"/>
      <c r="G107" s="79"/>
      <c r="H107" s="79"/>
    </row>
    <row r="108" spans="1:9" s="85" customFormat="1" x14ac:dyDescent="0.25">
      <c r="A108" s="79"/>
      <c r="B108" s="79" t="s">
        <v>57</v>
      </c>
      <c r="C108" s="475">
        <v>64.72</v>
      </c>
      <c r="E108" s="89"/>
      <c r="F108" s="79"/>
      <c r="G108" s="79"/>
      <c r="H108" s="79"/>
    </row>
    <row r="109" spans="1:9" s="85" customFormat="1" x14ac:dyDescent="0.25">
      <c r="A109" s="79"/>
      <c r="B109" s="79" t="s">
        <v>418</v>
      </c>
      <c r="C109" s="475"/>
      <c r="E109" s="89"/>
      <c r="F109" s="79"/>
      <c r="G109" s="79"/>
      <c r="H109" s="79"/>
    </row>
    <row r="110" spans="1:9" s="85" customFormat="1" x14ac:dyDescent="0.25">
      <c r="A110" s="79"/>
      <c r="B110" s="79" t="s">
        <v>419</v>
      </c>
      <c r="C110" s="475">
        <v>291.49</v>
      </c>
      <c r="D110" s="89"/>
      <c r="E110" s="79"/>
      <c r="F110" s="79"/>
      <c r="G110" s="79"/>
    </row>
    <row r="112" spans="1:9" x14ac:dyDescent="0.25">
      <c r="B112" s="79" t="s">
        <v>486</v>
      </c>
      <c r="C112" s="475">
        <f>G112/I112</f>
        <v>54.875666666666667</v>
      </c>
      <c r="E112" s="224" t="s">
        <v>487</v>
      </c>
      <c r="F112" s="224"/>
      <c r="G112" s="216">
        <v>1646.27</v>
      </c>
      <c r="H112" s="518" t="s">
        <v>488</v>
      </c>
      <c r="I112" s="85">
        <v>30</v>
      </c>
    </row>
  </sheetData>
  <autoFilter ref="A2:H98" xr:uid="{00000000-0009-0000-0000-000016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15"/>
  <dimension ref="A1:L105"/>
  <sheetViews>
    <sheetView zoomScale="85" zoomScaleNormal="85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10" ht="27" customHeight="1" thickBot="1" x14ac:dyDescent="0.3">
      <c r="A1" s="3053" t="s">
        <v>0</v>
      </c>
      <c r="B1" s="3054"/>
      <c r="C1" s="3055"/>
      <c r="D1" s="3056"/>
      <c r="E1" s="3079" t="s">
        <v>624</v>
      </c>
      <c r="F1" s="3080"/>
      <c r="G1" s="3080"/>
      <c r="H1" s="3081"/>
    </row>
    <row r="2" spans="1:10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10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10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10" x14ac:dyDescent="0.25">
      <c r="A5" s="281">
        <v>41944</v>
      </c>
      <c r="B5" s="369" t="s">
        <v>10</v>
      </c>
      <c r="C5" s="370"/>
      <c r="D5" s="207"/>
      <c r="E5" s="179"/>
      <c r="F5" s="933">
        <f>'Outubro-14'!F98</f>
        <v>367.62000000000171</v>
      </c>
      <c r="G5" s="163"/>
      <c r="H5" s="933">
        <f>'Outubro-14'!H98</f>
        <v>150</v>
      </c>
    </row>
    <row r="6" spans="1:10" s="224" customFormat="1" x14ac:dyDescent="0.25">
      <c r="A6" s="215">
        <v>41944</v>
      </c>
      <c r="B6" s="348" t="s">
        <v>11</v>
      </c>
      <c r="C6" s="351"/>
      <c r="D6" s="248"/>
      <c r="E6" s="250">
        <v>16</v>
      </c>
      <c r="F6" s="1473"/>
      <c r="G6" s="252"/>
      <c r="H6" s="1473"/>
    </row>
    <row r="7" spans="1:10" s="224" customFormat="1" x14ac:dyDescent="0.25">
      <c r="A7" s="215">
        <v>41944</v>
      </c>
      <c r="B7" s="862" t="s">
        <v>14</v>
      </c>
      <c r="C7" s="879" t="s">
        <v>12</v>
      </c>
      <c r="D7" s="887" t="s">
        <v>13</v>
      </c>
      <c r="E7" s="250">
        <v>7.67</v>
      </c>
      <c r="F7" s="1473"/>
      <c r="G7" s="252"/>
      <c r="H7" s="1473"/>
    </row>
    <row r="8" spans="1:10" s="224" customFormat="1" x14ac:dyDescent="0.25">
      <c r="A8" s="215">
        <v>41944</v>
      </c>
      <c r="B8" s="862" t="s">
        <v>625</v>
      </c>
      <c r="C8" s="879" t="s">
        <v>19</v>
      </c>
      <c r="D8" s="887" t="s">
        <v>13</v>
      </c>
      <c r="E8" s="250">
        <v>37.99</v>
      </c>
      <c r="F8" s="1473"/>
      <c r="G8" s="252"/>
      <c r="H8" s="1473"/>
    </row>
    <row r="9" spans="1:10" s="224" customFormat="1" x14ac:dyDescent="0.25">
      <c r="A9" s="215">
        <v>41944</v>
      </c>
      <c r="B9" s="862" t="s">
        <v>82</v>
      </c>
      <c r="C9" s="879" t="s">
        <v>12</v>
      </c>
      <c r="D9" s="887" t="s">
        <v>13</v>
      </c>
      <c r="E9" s="250">
        <v>27</v>
      </c>
      <c r="F9" s="1473"/>
      <c r="G9" s="252"/>
      <c r="H9" s="1473"/>
    </row>
    <row r="10" spans="1:10" s="224" customFormat="1" x14ac:dyDescent="0.25">
      <c r="A10" s="215">
        <v>41944</v>
      </c>
      <c r="B10" s="862" t="s">
        <v>626</v>
      </c>
      <c r="C10" s="879" t="s">
        <v>12</v>
      </c>
      <c r="D10" s="887" t="s">
        <v>15</v>
      </c>
      <c r="E10" s="250">
        <v>17.2</v>
      </c>
      <c r="F10" s="1473"/>
      <c r="G10" s="252"/>
      <c r="H10" s="1473"/>
    </row>
    <row r="11" spans="1:10" s="224" customFormat="1" ht="15.75" customHeight="1" x14ac:dyDescent="0.25">
      <c r="A11" s="215">
        <v>41945</v>
      </c>
      <c r="B11" s="349" t="s">
        <v>14</v>
      </c>
      <c r="C11" s="350" t="s">
        <v>12</v>
      </c>
      <c r="D11" s="141" t="s">
        <v>13</v>
      </c>
      <c r="E11" s="97">
        <v>8.09</v>
      </c>
      <c r="F11" s="946"/>
      <c r="G11" s="97"/>
      <c r="H11" s="946"/>
    </row>
    <row r="12" spans="1:10" s="224" customFormat="1" x14ac:dyDescent="0.25">
      <c r="A12" s="215">
        <v>41946</v>
      </c>
      <c r="B12" s="862" t="s">
        <v>32</v>
      </c>
      <c r="C12" s="879" t="s">
        <v>12</v>
      </c>
      <c r="D12" s="887" t="s">
        <v>13</v>
      </c>
      <c r="E12" s="250">
        <v>6</v>
      </c>
      <c r="F12" s="946"/>
      <c r="G12" s="97"/>
      <c r="H12" s="1473"/>
    </row>
    <row r="13" spans="1:10" s="224" customFormat="1" ht="15.75" customHeight="1" x14ac:dyDescent="0.25">
      <c r="A13" s="215">
        <v>41946</v>
      </c>
      <c r="B13" s="349" t="s">
        <v>14</v>
      </c>
      <c r="C13" s="350" t="s">
        <v>12</v>
      </c>
      <c r="D13" s="141" t="s">
        <v>13</v>
      </c>
      <c r="E13" s="97">
        <v>5.33</v>
      </c>
      <c r="F13" s="946"/>
      <c r="G13" s="97"/>
      <c r="H13" s="946"/>
    </row>
    <row r="14" spans="1:10" s="224" customFormat="1" x14ac:dyDescent="0.25">
      <c r="A14" s="215">
        <v>41947</v>
      </c>
      <c r="B14" s="862" t="s">
        <v>32</v>
      </c>
      <c r="C14" s="879" t="s">
        <v>12</v>
      </c>
      <c r="D14" s="887" t="s">
        <v>13</v>
      </c>
      <c r="E14" s="250">
        <v>10</v>
      </c>
      <c r="F14" s="1473"/>
      <c r="G14" s="252"/>
      <c r="H14" s="1473"/>
    </row>
    <row r="15" spans="1:10" s="224" customFormat="1" ht="15.75" customHeight="1" x14ac:dyDescent="0.25">
      <c r="A15" s="215">
        <v>41947</v>
      </c>
      <c r="B15" s="349" t="s">
        <v>14</v>
      </c>
      <c r="C15" s="350" t="s">
        <v>12</v>
      </c>
      <c r="D15" s="141" t="s">
        <v>13</v>
      </c>
      <c r="E15" s="97">
        <v>8.09</v>
      </c>
      <c r="F15" s="946"/>
      <c r="G15" s="97"/>
      <c r="H15" s="946"/>
    </row>
    <row r="16" spans="1:10" x14ac:dyDescent="0.25">
      <c r="A16" s="215">
        <v>41947</v>
      </c>
      <c r="B16" s="349" t="s">
        <v>622</v>
      </c>
      <c r="C16" s="350" t="s">
        <v>19</v>
      </c>
      <c r="D16" s="141" t="s">
        <v>13</v>
      </c>
      <c r="E16" s="97">
        <v>60</v>
      </c>
      <c r="F16" s="946"/>
      <c r="G16" s="97"/>
      <c r="H16" s="946"/>
      <c r="I16" s="224" t="s">
        <v>623</v>
      </c>
      <c r="J16" s="224"/>
    </row>
    <row r="17" spans="1:8" s="224" customFormat="1" ht="15.75" customHeight="1" x14ac:dyDescent="0.25">
      <c r="A17" s="215">
        <v>41948</v>
      </c>
      <c r="B17" s="349" t="s">
        <v>256</v>
      </c>
      <c r="C17" s="350"/>
      <c r="D17" s="141"/>
      <c r="E17" s="97"/>
      <c r="F17" s="946">
        <v>50</v>
      </c>
      <c r="G17" s="97">
        <v>50</v>
      </c>
      <c r="H17" s="946"/>
    </row>
    <row r="18" spans="1:8" s="224" customFormat="1" x14ac:dyDescent="0.25">
      <c r="A18" s="215">
        <v>41948</v>
      </c>
      <c r="B18" s="862" t="s">
        <v>32</v>
      </c>
      <c r="C18" s="879" t="s">
        <v>12</v>
      </c>
      <c r="D18" s="887" t="s">
        <v>13</v>
      </c>
      <c r="E18" s="250">
        <v>6</v>
      </c>
      <c r="F18" s="1473"/>
      <c r="G18" s="252"/>
      <c r="H18" s="1473"/>
    </row>
    <row r="19" spans="1:8" s="224" customFormat="1" ht="15.75" customHeight="1" x14ac:dyDescent="0.25">
      <c r="A19" s="215">
        <v>41948</v>
      </c>
      <c r="B19" s="349" t="s">
        <v>14</v>
      </c>
      <c r="C19" s="350" t="s">
        <v>12</v>
      </c>
      <c r="D19" s="141" t="s">
        <v>13</v>
      </c>
      <c r="E19" s="97">
        <v>5.25</v>
      </c>
      <c r="F19" s="946"/>
      <c r="G19" s="97"/>
      <c r="H19" s="946"/>
    </row>
    <row r="20" spans="1:8" s="224" customFormat="1" x14ac:dyDescent="0.25">
      <c r="A20" s="215">
        <v>41949</v>
      </c>
      <c r="B20" s="862" t="s">
        <v>32</v>
      </c>
      <c r="C20" s="879" t="s">
        <v>12</v>
      </c>
      <c r="D20" s="887" t="s">
        <v>13</v>
      </c>
      <c r="E20" s="250">
        <v>10</v>
      </c>
      <c r="F20" s="1473"/>
      <c r="G20" s="252"/>
      <c r="H20" s="1473"/>
    </row>
    <row r="21" spans="1:8" s="224" customFormat="1" x14ac:dyDescent="0.25">
      <c r="A21" s="215">
        <v>41949</v>
      </c>
      <c r="B21" s="862" t="s">
        <v>627</v>
      </c>
      <c r="C21" s="879" t="s">
        <v>12</v>
      </c>
      <c r="D21" s="887" t="s">
        <v>13</v>
      </c>
      <c r="E21" s="250">
        <v>10</v>
      </c>
      <c r="F21" s="1473"/>
      <c r="G21" s="252"/>
      <c r="H21" s="1473"/>
    </row>
    <row r="22" spans="1:8" s="224" customFormat="1" x14ac:dyDescent="0.25">
      <c r="A22" s="215">
        <v>41949</v>
      </c>
      <c r="B22" s="862" t="s">
        <v>80</v>
      </c>
      <c r="C22" s="879" t="s">
        <v>12</v>
      </c>
      <c r="D22" s="887" t="s">
        <v>13</v>
      </c>
      <c r="E22" s="250">
        <v>17</v>
      </c>
      <c r="F22" s="1473"/>
      <c r="G22" s="252"/>
      <c r="H22" s="1473"/>
    </row>
    <row r="23" spans="1:8" s="224" customFormat="1" x14ac:dyDescent="0.25">
      <c r="A23" s="215">
        <v>41949</v>
      </c>
      <c r="B23" s="349" t="s">
        <v>628</v>
      </c>
      <c r="C23" s="879" t="s">
        <v>12</v>
      </c>
      <c r="D23" s="983" t="s">
        <v>25</v>
      </c>
      <c r="E23" s="250"/>
      <c r="F23" s="1473">
        <v>916.18</v>
      </c>
      <c r="G23" s="252"/>
      <c r="H23" s="1473"/>
    </row>
    <row r="24" spans="1:8" s="224" customFormat="1" ht="15.75" customHeight="1" x14ac:dyDescent="0.25">
      <c r="A24" s="215">
        <v>41949</v>
      </c>
      <c r="B24" s="862" t="s">
        <v>629</v>
      </c>
      <c r="C24" s="350" t="s">
        <v>12</v>
      </c>
      <c r="D24" s="141" t="s">
        <v>13</v>
      </c>
      <c r="E24" s="97">
        <v>152.04</v>
      </c>
      <c r="F24" s="1473"/>
      <c r="G24" s="252"/>
      <c r="H24" s="1473"/>
    </row>
    <row r="25" spans="1:8" s="224" customFormat="1" x14ac:dyDescent="0.25">
      <c r="A25" s="215">
        <v>41949</v>
      </c>
      <c r="B25" s="882" t="s">
        <v>630</v>
      </c>
      <c r="C25" s="350" t="s">
        <v>12</v>
      </c>
      <c r="D25" s="141" t="s">
        <v>13</v>
      </c>
      <c r="E25" s="97">
        <v>38.79</v>
      </c>
      <c r="F25" s="1473"/>
      <c r="G25" s="252"/>
      <c r="H25" s="1473"/>
    </row>
    <row r="26" spans="1:8" s="224" customFormat="1" ht="15" customHeight="1" x14ac:dyDescent="0.25">
      <c r="A26" s="215">
        <v>41949</v>
      </c>
      <c r="B26" s="862" t="s">
        <v>31</v>
      </c>
      <c r="C26" s="350" t="s">
        <v>12</v>
      </c>
      <c r="D26" s="957" t="s">
        <v>15</v>
      </c>
      <c r="E26" s="594">
        <v>50</v>
      </c>
      <c r="F26" s="1473"/>
      <c r="G26" s="252"/>
      <c r="H26" s="1473"/>
    </row>
    <row r="27" spans="1:8" s="224" customFormat="1" x14ac:dyDescent="0.25">
      <c r="A27" s="215">
        <v>41949</v>
      </c>
      <c r="B27" s="862" t="s">
        <v>399</v>
      </c>
      <c r="C27" s="350" t="s">
        <v>12</v>
      </c>
      <c r="D27" s="957" t="s">
        <v>15</v>
      </c>
      <c r="E27" s="97">
        <v>25</v>
      </c>
      <c r="F27" s="1473"/>
      <c r="G27" s="252"/>
      <c r="H27" s="1473"/>
    </row>
    <row r="28" spans="1:8" s="224" customFormat="1" ht="15.75" customHeight="1" x14ac:dyDescent="0.25">
      <c r="A28" s="215">
        <v>41949</v>
      </c>
      <c r="B28" s="349" t="s">
        <v>260</v>
      </c>
      <c r="C28" s="350"/>
      <c r="D28" s="141"/>
      <c r="E28" s="97">
        <v>400</v>
      </c>
      <c r="F28" s="946"/>
      <c r="G28" s="97"/>
      <c r="H28" s="946">
        <v>400</v>
      </c>
    </row>
    <row r="29" spans="1:8" s="224" customFormat="1" ht="15.75" customHeight="1" x14ac:dyDescent="0.25">
      <c r="A29" s="215">
        <v>41950</v>
      </c>
      <c r="B29" s="349" t="s">
        <v>32</v>
      </c>
      <c r="C29" s="350" t="s">
        <v>12</v>
      </c>
      <c r="D29" s="141" t="s">
        <v>13</v>
      </c>
      <c r="E29" s="97">
        <v>8</v>
      </c>
      <c r="F29" s="946"/>
      <c r="G29" s="97"/>
      <c r="H29" s="946"/>
    </row>
    <row r="30" spans="1:8" s="224" customFormat="1" ht="15.75" customHeight="1" x14ac:dyDescent="0.25">
      <c r="A30" s="215">
        <v>41950</v>
      </c>
      <c r="B30" s="349" t="s">
        <v>14</v>
      </c>
      <c r="C30" s="350" t="s">
        <v>12</v>
      </c>
      <c r="D30" s="141" t="s">
        <v>13</v>
      </c>
      <c r="E30" s="97">
        <v>12.18</v>
      </c>
      <c r="F30" s="946"/>
      <c r="G30" s="97"/>
      <c r="H30" s="946"/>
    </row>
    <row r="31" spans="1:8" s="224" customFormat="1" ht="15.75" customHeight="1" x14ac:dyDescent="0.25">
      <c r="A31" s="215">
        <v>41951</v>
      </c>
      <c r="B31" s="862" t="s">
        <v>134</v>
      </c>
      <c r="C31" s="879" t="s">
        <v>12</v>
      </c>
      <c r="D31" s="887" t="s">
        <v>13</v>
      </c>
      <c r="E31" s="250">
        <v>18.100000000000001</v>
      </c>
      <c r="F31" s="946"/>
      <c r="G31" s="97"/>
      <c r="H31" s="946"/>
    </row>
    <row r="32" spans="1:8" s="224" customFormat="1" ht="15.75" customHeight="1" x14ac:dyDescent="0.25">
      <c r="A32" s="215">
        <v>41951</v>
      </c>
      <c r="B32" s="862" t="s">
        <v>82</v>
      </c>
      <c r="C32" s="879" t="s">
        <v>12</v>
      </c>
      <c r="D32" s="887" t="s">
        <v>13</v>
      </c>
      <c r="E32" s="250">
        <v>14</v>
      </c>
      <c r="F32" s="946"/>
      <c r="G32" s="97"/>
      <c r="H32" s="946"/>
    </row>
    <row r="33" spans="1:8" s="224" customFormat="1" ht="15.75" customHeight="1" x14ac:dyDescent="0.25">
      <c r="A33" s="215">
        <v>41952</v>
      </c>
      <c r="B33" s="862" t="s">
        <v>14</v>
      </c>
      <c r="C33" s="879" t="s">
        <v>12</v>
      </c>
      <c r="D33" s="887" t="s">
        <v>15</v>
      </c>
      <c r="E33" s="250">
        <v>6</v>
      </c>
      <c r="F33" s="946"/>
      <c r="G33" s="97"/>
      <c r="H33" s="946"/>
    </row>
    <row r="34" spans="1:8" s="224" customFormat="1" ht="15.75" customHeight="1" x14ac:dyDescent="0.25">
      <c r="A34" s="215">
        <v>41952</v>
      </c>
      <c r="B34" s="862" t="s">
        <v>478</v>
      </c>
      <c r="C34" s="879" t="s">
        <v>12</v>
      </c>
      <c r="D34" s="887" t="s">
        <v>15</v>
      </c>
      <c r="E34" s="250">
        <v>8</v>
      </c>
      <c r="F34" s="946"/>
      <c r="G34" s="97"/>
      <c r="H34" s="946"/>
    </row>
    <row r="35" spans="1:8" s="224" customFormat="1" ht="15.75" customHeight="1" x14ac:dyDescent="0.25">
      <c r="A35" s="215">
        <v>41953</v>
      </c>
      <c r="B35" s="862" t="s">
        <v>631</v>
      </c>
      <c r="C35" s="879" t="s">
        <v>12</v>
      </c>
      <c r="D35" s="887" t="s">
        <v>15</v>
      </c>
      <c r="E35" s="250">
        <v>7.5</v>
      </c>
      <c r="F35" s="946"/>
      <c r="G35" s="97"/>
      <c r="H35" s="946"/>
    </row>
    <row r="36" spans="1:8" s="224" customFormat="1" ht="15.75" customHeight="1" x14ac:dyDescent="0.25">
      <c r="A36" s="215">
        <v>41954</v>
      </c>
      <c r="B36" s="862" t="s">
        <v>32</v>
      </c>
      <c r="C36" s="879" t="s">
        <v>12</v>
      </c>
      <c r="D36" s="887" t="s">
        <v>13</v>
      </c>
      <c r="E36" s="250">
        <v>10</v>
      </c>
      <c r="F36" s="946"/>
      <c r="G36" s="97"/>
      <c r="H36" s="946"/>
    </row>
    <row r="37" spans="1:8" s="224" customFormat="1" ht="15.75" customHeight="1" x14ac:dyDescent="0.25">
      <c r="A37" s="215">
        <v>41954</v>
      </c>
      <c r="B37" s="862" t="s">
        <v>14</v>
      </c>
      <c r="C37" s="879" t="s">
        <v>12</v>
      </c>
      <c r="D37" s="887" t="s">
        <v>13</v>
      </c>
      <c r="E37" s="250">
        <v>8.7100000000000009</v>
      </c>
      <c r="F37" s="946"/>
      <c r="G37" s="97"/>
      <c r="H37" s="946"/>
    </row>
    <row r="38" spans="1:8" s="224" customFormat="1" ht="15.75" customHeight="1" x14ac:dyDescent="0.25">
      <c r="A38" s="215">
        <v>41955</v>
      </c>
      <c r="B38" s="862" t="s">
        <v>32</v>
      </c>
      <c r="C38" s="879" t="s">
        <v>12</v>
      </c>
      <c r="D38" s="887" t="s">
        <v>13</v>
      </c>
      <c r="E38" s="250">
        <v>10</v>
      </c>
      <c r="F38" s="946"/>
      <c r="G38" s="97"/>
      <c r="H38" s="946"/>
    </row>
    <row r="39" spans="1:8" s="224" customFormat="1" ht="15.75" customHeight="1" x14ac:dyDescent="0.25">
      <c r="A39" s="215">
        <v>41955</v>
      </c>
      <c r="B39" s="862" t="s">
        <v>632</v>
      </c>
      <c r="C39" s="879" t="s">
        <v>12</v>
      </c>
      <c r="D39" s="887" t="s">
        <v>13</v>
      </c>
      <c r="E39" s="250">
        <v>220.71</v>
      </c>
      <c r="F39" s="946"/>
      <c r="G39" s="97"/>
      <c r="H39" s="946"/>
    </row>
    <row r="40" spans="1:8" s="224" customFormat="1" ht="15.75" customHeight="1" x14ac:dyDescent="0.25">
      <c r="A40" s="215">
        <v>41955</v>
      </c>
      <c r="B40" s="862" t="s">
        <v>14</v>
      </c>
      <c r="C40" s="879" t="s">
        <v>12</v>
      </c>
      <c r="D40" s="887" t="s">
        <v>15</v>
      </c>
      <c r="E40" s="250">
        <v>5</v>
      </c>
      <c r="F40" s="946"/>
      <c r="G40" s="97"/>
      <c r="H40" s="946"/>
    </row>
    <row r="41" spans="1:8" s="224" customFormat="1" ht="15.75" customHeight="1" x14ac:dyDescent="0.25">
      <c r="A41" s="215">
        <v>41955</v>
      </c>
      <c r="B41" s="349" t="s">
        <v>256</v>
      </c>
      <c r="C41" s="350"/>
      <c r="D41" s="141"/>
      <c r="E41" s="97"/>
      <c r="F41" s="946">
        <v>310</v>
      </c>
      <c r="G41" s="97">
        <v>310</v>
      </c>
      <c r="H41" s="946"/>
    </row>
    <row r="42" spans="1:8" s="224" customFormat="1" ht="15.75" customHeight="1" x14ac:dyDescent="0.25">
      <c r="A42" s="215">
        <v>41956</v>
      </c>
      <c r="B42" s="862" t="s">
        <v>32</v>
      </c>
      <c r="C42" s="879" t="s">
        <v>12</v>
      </c>
      <c r="D42" s="887" t="s">
        <v>13</v>
      </c>
      <c r="E42" s="250">
        <v>6.5</v>
      </c>
      <c r="F42" s="946"/>
      <c r="G42" s="97"/>
      <c r="H42" s="946"/>
    </row>
    <row r="43" spans="1:8" s="224" customFormat="1" ht="15.75" customHeight="1" x14ac:dyDescent="0.25">
      <c r="A43" s="215">
        <v>41956</v>
      </c>
      <c r="B43" s="862" t="s">
        <v>14</v>
      </c>
      <c r="C43" s="879" t="s">
        <v>12</v>
      </c>
      <c r="D43" s="887" t="s">
        <v>13</v>
      </c>
      <c r="E43" s="250">
        <v>5</v>
      </c>
      <c r="F43" s="946"/>
      <c r="G43" s="97"/>
      <c r="H43" s="946"/>
    </row>
    <row r="44" spans="1:8" s="224" customFormat="1" ht="15.75" customHeight="1" x14ac:dyDescent="0.25">
      <c r="A44" s="215">
        <v>41957</v>
      </c>
      <c r="B44" s="862" t="s">
        <v>32</v>
      </c>
      <c r="C44" s="879" t="s">
        <v>12</v>
      </c>
      <c r="D44" s="887" t="s">
        <v>13</v>
      </c>
      <c r="E44" s="250">
        <v>6.5</v>
      </c>
      <c r="F44" s="946"/>
      <c r="G44" s="97"/>
      <c r="H44" s="946"/>
    </row>
    <row r="45" spans="1:8" s="224" customFormat="1" ht="15.75" customHeight="1" x14ac:dyDescent="0.25">
      <c r="A45" s="215">
        <v>41957</v>
      </c>
      <c r="B45" s="862" t="s">
        <v>134</v>
      </c>
      <c r="C45" s="879" t="s">
        <v>12</v>
      </c>
      <c r="D45" s="887" t="s">
        <v>13</v>
      </c>
      <c r="E45" s="250">
        <v>9.5</v>
      </c>
      <c r="F45" s="946"/>
      <c r="G45" s="97"/>
      <c r="H45" s="946"/>
    </row>
    <row r="46" spans="1:8" s="224" customFormat="1" ht="15.75" customHeight="1" x14ac:dyDescent="0.25">
      <c r="A46" s="215">
        <v>41958</v>
      </c>
      <c r="B46" s="862" t="s">
        <v>14</v>
      </c>
      <c r="C46" s="879" t="s">
        <v>12</v>
      </c>
      <c r="D46" s="887" t="s">
        <v>13</v>
      </c>
      <c r="E46" s="250">
        <v>10.35</v>
      </c>
      <c r="F46" s="946"/>
      <c r="G46" s="97"/>
      <c r="H46" s="946"/>
    </row>
    <row r="47" spans="1:8" s="224" customFormat="1" ht="15.75" customHeight="1" x14ac:dyDescent="0.25">
      <c r="A47" s="215">
        <v>41958</v>
      </c>
      <c r="B47" s="1489" t="s">
        <v>633</v>
      </c>
      <c r="C47" s="879" t="s">
        <v>12</v>
      </c>
      <c r="D47" s="887" t="s">
        <v>13</v>
      </c>
      <c r="E47" s="250">
        <v>13</v>
      </c>
      <c r="F47" s="946"/>
      <c r="G47" s="97"/>
      <c r="H47" s="946"/>
    </row>
    <row r="48" spans="1:8" s="224" customFormat="1" ht="15.75" customHeight="1" x14ac:dyDescent="0.25">
      <c r="A48" s="215">
        <v>41958</v>
      </c>
      <c r="B48" s="1489" t="s">
        <v>82</v>
      </c>
      <c r="C48" s="879" t="s">
        <v>12</v>
      </c>
      <c r="D48" s="887" t="s">
        <v>13</v>
      </c>
      <c r="E48" s="250">
        <v>17</v>
      </c>
      <c r="F48" s="946"/>
      <c r="G48" s="97"/>
      <c r="H48" s="946"/>
    </row>
    <row r="49" spans="1:12" s="224" customFormat="1" ht="15.75" customHeight="1" x14ac:dyDescent="0.25">
      <c r="A49" s="215">
        <v>41959</v>
      </c>
      <c r="B49" s="862" t="s">
        <v>14</v>
      </c>
      <c r="C49" s="879" t="s">
        <v>12</v>
      </c>
      <c r="D49" s="887" t="s">
        <v>13</v>
      </c>
      <c r="E49" s="250">
        <v>10.19</v>
      </c>
      <c r="F49" s="946"/>
      <c r="G49" s="97"/>
      <c r="H49" s="946"/>
    </row>
    <row r="50" spans="1:12" s="224" customFormat="1" ht="15.75" customHeight="1" x14ac:dyDescent="0.25">
      <c r="A50" s="215">
        <v>41959</v>
      </c>
      <c r="B50" s="862" t="s">
        <v>626</v>
      </c>
      <c r="C50" s="879" t="s">
        <v>12</v>
      </c>
      <c r="D50" s="887" t="s">
        <v>15</v>
      </c>
      <c r="E50" s="250">
        <v>10.199999999999999</v>
      </c>
      <c r="F50" s="946"/>
      <c r="G50" s="97"/>
      <c r="H50" s="946"/>
    </row>
    <row r="51" spans="1:12" s="224" customFormat="1" ht="15.75" customHeight="1" x14ac:dyDescent="0.25">
      <c r="A51" s="215">
        <v>41960</v>
      </c>
      <c r="B51" s="862" t="s">
        <v>32</v>
      </c>
      <c r="C51" s="879" t="s">
        <v>12</v>
      </c>
      <c r="D51" s="887" t="s">
        <v>13</v>
      </c>
      <c r="E51" s="250">
        <v>6.5</v>
      </c>
      <c r="F51" s="946"/>
      <c r="G51" s="97"/>
      <c r="H51" s="946"/>
    </row>
    <row r="52" spans="1:12" s="224" customFormat="1" ht="15.75" customHeight="1" x14ac:dyDescent="0.25">
      <c r="A52" s="215">
        <v>41960</v>
      </c>
      <c r="B52" s="862" t="s">
        <v>14</v>
      </c>
      <c r="C52" s="879" t="s">
        <v>12</v>
      </c>
      <c r="D52" s="887" t="s">
        <v>13</v>
      </c>
      <c r="E52" s="250">
        <v>5.96</v>
      </c>
      <c r="F52" s="946"/>
      <c r="G52" s="97"/>
      <c r="H52" s="946"/>
    </row>
    <row r="53" spans="1:12" s="224" customFormat="1" ht="15.75" customHeight="1" x14ac:dyDescent="0.25">
      <c r="A53" s="215">
        <v>41960</v>
      </c>
      <c r="B53" s="862" t="s">
        <v>634</v>
      </c>
      <c r="C53" s="879" t="s">
        <v>12</v>
      </c>
      <c r="D53" s="887" t="s">
        <v>13</v>
      </c>
      <c r="E53" s="250">
        <v>4.75</v>
      </c>
      <c r="F53" s="946"/>
      <c r="G53" s="97"/>
      <c r="H53" s="946"/>
    </row>
    <row r="54" spans="1:12" s="224" customFormat="1" ht="15.75" customHeight="1" x14ac:dyDescent="0.25">
      <c r="A54" s="215">
        <v>41961</v>
      </c>
      <c r="B54" s="862" t="s">
        <v>32</v>
      </c>
      <c r="C54" s="879" t="s">
        <v>12</v>
      </c>
      <c r="D54" s="887" t="s">
        <v>13</v>
      </c>
      <c r="E54" s="250">
        <v>11</v>
      </c>
      <c r="F54" s="946"/>
      <c r="G54" s="97"/>
      <c r="H54" s="946"/>
    </row>
    <row r="55" spans="1:12" s="224" customFormat="1" ht="15.75" customHeight="1" x14ac:dyDescent="0.25">
      <c r="A55" s="215">
        <v>41961</v>
      </c>
      <c r="B55" s="862" t="s">
        <v>14</v>
      </c>
      <c r="C55" s="879" t="s">
        <v>12</v>
      </c>
      <c r="D55" s="887" t="s">
        <v>15</v>
      </c>
      <c r="E55" s="250">
        <v>5.5</v>
      </c>
      <c r="F55" s="946"/>
      <c r="G55" s="97"/>
      <c r="H55" s="946"/>
    </row>
    <row r="56" spans="1:12" s="224" customFormat="1" ht="15.75" customHeight="1" x14ac:dyDescent="0.25">
      <c r="A56" s="215">
        <v>41962</v>
      </c>
      <c r="B56" s="862" t="s">
        <v>32</v>
      </c>
      <c r="C56" s="879" t="s">
        <v>12</v>
      </c>
      <c r="D56" s="887" t="s">
        <v>15</v>
      </c>
      <c r="E56" s="250">
        <v>11</v>
      </c>
      <c r="F56" s="946"/>
      <c r="G56" s="97"/>
      <c r="H56" s="946"/>
    </row>
    <row r="57" spans="1:12" s="224" customFormat="1" ht="15.75" customHeight="1" x14ac:dyDescent="0.25">
      <c r="A57" s="215">
        <v>41962</v>
      </c>
      <c r="B57" s="349" t="s">
        <v>256</v>
      </c>
      <c r="C57" s="350"/>
      <c r="D57" s="141"/>
      <c r="E57" s="97"/>
      <c r="F57" s="946">
        <v>190</v>
      </c>
      <c r="G57" s="97">
        <v>190</v>
      </c>
      <c r="H57" s="946"/>
    </row>
    <row r="58" spans="1:12" s="224" customFormat="1" ht="15.75" customHeight="1" x14ac:dyDescent="0.25">
      <c r="A58" s="215">
        <v>41962</v>
      </c>
      <c r="B58" s="349" t="s">
        <v>147</v>
      </c>
      <c r="C58" s="350" t="s">
        <v>12</v>
      </c>
      <c r="D58" s="141" t="s">
        <v>15</v>
      </c>
      <c r="E58" s="97">
        <v>15</v>
      </c>
      <c r="F58" s="946"/>
      <c r="G58" s="97"/>
      <c r="H58" s="946"/>
    </row>
    <row r="59" spans="1:12" s="224" customFormat="1" ht="15.75" customHeight="1" x14ac:dyDescent="0.25">
      <c r="A59" s="215">
        <v>41962</v>
      </c>
      <c r="B59" s="349" t="s">
        <v>635</v>
      </c>
      <c r="C59" s="350" t="s">
        <v>12</v>
      </c>
      <c r="D59" s="141" t="s">
        <v>15</v>
      </c>
      <c r="E59" s="97">
        <v>110</v>
      </c>
      <c r="F59" s="946"/>
      <c r="G59" s="97"/>
      <c r="H59" s="946"/>
    </row>
    <row r="60" spans="1:12" s="224" customFormat="1" ht="15.75" customHeight="1" x14ac:dyDescent="0.25">
      <c r="A60" s="215">
        <v>41962</v>
      </c>
      <c r="B60" s="862" t="s">
        <v>134</v>
      </c>
      <c r="C60" s="879" t="s">
        <v>12</v>
      </c>
      <c r="D60" s="887" t="s">
        <v>15</v>
      </c>
      <c r="E60" s="250">
        <v>5</v>
      </c>
      <c r="F60" s="946"/>
      <c r="G60" s="97"/>
      <c r="H60" s="946"/>
    </row>
    <row r="61" spans="1:12" s="224" customFormat="1" ht="15.75" customHeight="1" x14ac:dyDescent="0.25">
      <c r="A61" s="215">
        <v>41963</v>
      </c>
      <c r="B61" s="862" t="s">
        <v>32</v>
      </c>
      <c r="C61" s="879" t="s">
        <v>12</v>
      </c>
      <c r="D61" s="887" t="s">
        <v>15</v>
      </c>
      <c r="E61" s="250">
        <v>11</v>
      </c>
      <c r="F61" s="946"/>
      <c r="G61" s="97"/>
      <c r="H61" s="946"/>
    </row>
    <row r="62" spans="1:12" s="224" customFormat="1" x14ac:dyDescent="0.25">
      <c r="A62" s="215">
        <v>41963</v>
      </c>
      <c r="B62" s="349" t="s">
        <v>636</v>
      </c>
      <c r="C62" s="350" t="s">
        <v>12</v>
      </c>
      <c r="D62" s="141" t="s">
        <v>25</v>
      </c>
      <c r="E62" s="250"/>
      <c r="F62" s="1473">
        <v>726</v>
      </c>
      <c r="G62" s="252"/>
      <c r="H62" s="1473"/>
    </row>
    <row r="63" spans="1:12" s="224" customFormat="1" x14ac:dyDescent="0.25">
      <c r="A63" s="215">
        <v>41963</v>
      </c>
      <c r="B63" s="882" t="s">
        <v>637</v>
      </c>
      <c r="C63" s="350" t="s">
        <v>12</v>
      </c>
      <c r="D63" s="141" t="s">
        <v>13</v>
      </c>
      <c r="E63" s="538">
        <v>23.542999999999999</v>
      </c>
      <c r="F63" s="1002"/>
      <c r="G63" s="539"/>
      <c r="H63" s="1002"/>
      <c r="I63" s="3095"/>
      <c r="J63" s="3096"/>
      <c r="K63" s="3096"/>
      <c r="L63" s="3096"/>
    </row>
    <row r="64" spans="1:12" x14ac:dyDescent="0.25">
      <c r="A64" s="215">
        <v>41963</v>
      </c>
      <c r="B64" s="349" t="s">
        <v>638</v>
      </c>
      <c r="C64" s="350" t="s">
        <v>12</v>
      </c>
      <c r="D64" s="141" t="s">
        <v>13</v>
      </c>
      <c r="E64" s="97">
        <v>225</v>
      </c>
      <c r="F64" s="946"/>
      <c r="G64" s="95"/>
      <c r="H64" s="946"/>
    </row>
    <row r="65" spans="1:8" x14ac:dyDescent="0.25">
      <c r="A65" s="215">
        <v>41963</v>
      </c>
      <c r="B65" s="862" t="s">
        <v>14</v>
      </c>
      <c r="C65" s="879" t="s">
        <v>12</v>
      </c>
      <c r="D65" s="887" t="s">
        <v>15</v>
      </c>
      <c r="E65" s="250">
        <v>6.5</v>
      </c>
      <c r="F65" s="946"/>
      <c r="G65" s="95"/>
      <c r="H65" s="946"/>
    </row>
    <row r="66" spans="1:8" s="224" customFormat="1" ht="15.75" customHeight="1" x14ac:dyDescent="0.25">
      <c r="A66" s="215">
        <v>41964</v>
      </c>
      <c r="B66" s="862" t="s">
        <v>32</v>
      </c>
      <c r="C66" s="879" t="s">
        <v>12</v>
      </c>
      <c r="D66" s="887" t="s">
        <v>15</v>
      </c>
      <c r="E66" s="250">
        <v>6.5</v>
      </c>
      <c r="F66" s="946"/>
      <c r="G66" s="97"/>
      <c r="H66" s="946"/>
    </row>
    <row r="67" spans="1:8" s="224" customFormat="1" ht="15.75" customHeight="1" x14ac:dyDescent="0.25">
      <c r="A67" s="215">
        <v>41964</v>
      </c>
      <c r="B67" s="862" t="s">
        <v>134</v>
      </c>
      <c r="C67" s="879" t="s">
        <v>12</v>
      </c>
      <c r="D67" s="887" t="s">
        <v>15</v>
      </c>
      <c r="E67" s="250">
        <v>14.5</v>
      </c>
      <c r="F67" s="946"/>
      <c r="G67" s="97"/>
      <c r="H67" s="946"/>
    </row>
    <row r="68" spans="1:8" s="224" customFormat="1" ht="15.75" customHeight="1" x14ac:dyDescent="0.25">
      <c r="A68" s="215">
        <v>41964</v>
      </c>
      <c r="B68" s="862" t="s">
        <v>634</v>
      </c>
      <c r="C68" s="879" t="s">
        <v>12</v>
      </c>
      <c r="D68" s="887" t="s">
        <v>15</v>
      </c>
      <c r="E68" s="250">
        <v>9</v>
      </c>
      <c r="F68" s="946"/>
      <c r="G68" s="97"/>
      <c r="H68" s="946"/>
    </row>
    <row r="69" spans="1:8" x14ac:dyDescent="0.25">
      <c r="A69" s="215">
        <v>41965</v>
      </c>
      <c r="B69" s="862" t="s">
        <v>639</v>
      </c>
      <c r="C69" s="879" t="s">
        <v>12</v>
      </c>
      <c r="D69" s="887" t="s">
        <v>15</v>
      </c>
      <c r="E69" s="250">
        <v>150</v>
      </c>
      <c r="F69" s="946"/>
      <c r="G69" s="95"/>
      <c r="H69" s="946"/>
    </row>
    <row r="70" spans="1:8" x14ac:dyDescent="0.25">
      <c r="A70" s="215">
        <v>41965</v>
      </c>
      <c r="B70" s="862" t="s">
        <v>640</v>
      </c>
      <c r="C70" s="879" t="s">
        <v>12</v>
      </c>
      <c r="D70" s="887" t="s">
        <v>15</v>
      </c>
      <c r="E70" s="250">
        <v>86</v>
      </c>
      <c r="F70" s="946"/>
      <c r="G70" s="95"/>
      <c r="H70" s="946"/>
    </row>
    <row r="71" spans="1:8" s="224" customFormat="1" ht="15.75" customHeight="1" x14ac:dyDescent="0.25">
      <c r="A71" s="215">
        <v>41965</v>
      </c>
      <c r="B71" s="862" t="s">
        <v>14</v>
      </c>
      <c r="C71" s="350" t="s">
        <v>12</v>
      </c>
      <c r="D71" s="141" t="s">
        <v>15</v>
      </c>
      <c r="E71" s="97">
        <v>5.2</v>
      </c>
      <c r="F71" s="1473"/>
      <c r="G71" s="252"/>
      <c r="H71" s="1473"/>
    </row>
    <row r="72" spans="1:8" x14ac:dyDescent="0.25">
      <c r="A72" s="215">
        <v>41965</v>
      </c>
      <c r="B72" s="862" t="s">
        <v>82</v>
      </c>
      <c r="C72" s="879" t="s">
        <v>12</v>
      </c>
      <c r="D72" s="887" t="s">
        <v>13</v>
      </c>
      <c r="E72" s="250">
        <v>17</v>
      </c>
      <c r="F72" s="946"/>
      <c r="G72" s="95"/>
      <c r="H72" s="946"/>
    </row>
    <row r="73" spans="1:8" s="224" customFormat="1" ht="15.75" customHeight="1" x14ac:dyDescent="0.25">
      <c r="A73" s="215">
        <v>41966</v>
      </c>
      <c r="B73" s="862" t="s">
        <v>14</v>
      </c>
      <c r="C73" s="350" t="s">
        <v>12</v>
      </c>
      <c r="D73" s="141" t="s">
        <v>15</v>
      </c>
      <c r="E73" s="97">
        <v>21</v>
      </c>
      <c r="F73" s="1473"/>
      <c r="G73" s="252"/>
      <c r="H73" s="1473"/>
    </row>
    <row r="74" spans="1:8" s="224" customFormat="1" ht="15.75" customHeight="1" x14ac:dyDescent="0.25">
      <c r="A74" s="215">
        <v>41967</v>
      </c>
      <c r="B74" s="862" t="s">
        <v>32</v>
      </c>
      <c r="C74" s="879" t="s">
        <v>12</v>
      </c>
      <c r="D74" s="887" t="s">
        <v>15</v>
      </c>
      <c r="E74" s="250">
        <v>6.5</v>
      </c>
      <c r="F74" s="946"/>
      <c r="G74" s="97"/>
      <c r="H74" s="946"/>
    </row>
    <row r="75" spans="1:8" s="224" customFormat="1" ht="15.75" customHeight="1" x14ac:dyDescent="0.25">
      <c r="A75" s="215">
        <v>41967</v>
      </c>
      <c r="B75" s="862" t="s">
        <v>14</v>
      </c>
      <c r="C75" s="879" t="s">
        <v>12</v>
      </c>
      <c r="D75" s="887" t="s">
        <v>13</v>
      </c>
      <c r="E75" s="250">
        <v>5.03</v>
      </c>
      <c r="F75" s="946"/>
      <c r="G75" s="97"/>
      <c r="H75" s="946"/>
    </row>
    <row r="76" spans="1:8" x14ac:dyDescent="0.25">
      <c r="A76" s="215">
        <v>41968</v>
      </c>
      <c r="B76" s="862" t="s">
        <v>32</v>
      </c>
      <c r="C76" s="879" t="s">
        <v>12</v>
      </c>
      <c r="D76" s="887" t="s">
        <v>15</v>
      </c>
      <c r="E76" s="250">
        <v>11</v>
      </c>
      <c r="F76" s="946"/>
      <c r="G76" s="95"/>
      <c r="H76" s="946"/>
    </row>
    <row r="77" spans="1:8" x14ac:dyDescent="0.25">
      <c r="A77" s="215">
        <v>41968</v>
      </c>
      <c r="B77" s="862" t="s">
        <v>641</v>
      </c>
      <c r="C77" s="879" t="s">
        <v>12</v>
      </c>
      <c r="D77" s="887" t="s">
        <v>15</v>
      </c>
      <c r="E77" s="250">
        <v>90</v>
      </c>
      <c r="F77" s="946"/>
      <c r="G77" s="95"/>
      <c r="H77" s="946"/>
    </row>
    <row r="78" spans="1:8" x14ac:dyDescent="0.25">
      <c r="A78" s="215">
        <v>41968</v>
      </c>
      <c r="B78" s="862" t="s">
        <v>640</v>
      </c>
      <c r="C78" s="879" t="s">
        <v>12</v>
      </c>
      <c r="D78" s="887" t="s">
        <v>13</v>
      </c>
      <c r="E78" s="250">
        <v>100</v>
      </c>
      <c r="F78" s="946"/>
      <c r="G78" s="95"/>
      <c r="H78" s="946"/>
    </row>
    <row r="79" spans="1:8" x14ac:dyDescent="0.25">
      <c r="A79" s="215">
        <v>41968</v>
      </c>
      <c r="B79" s="862" t="s">
        <v>134</v>
      </c>
      <c r="C79" s="879" t="s">
        <v>12</v>
      </c>
      <c r="D79" s="887" t="s">
        <v>15</v>
      </c>
      <c r="E79" s="250">
        <v>7</v>
      </c>
      <c r="F79" s="946"/>
      <c r="G79" s="95"/>
      <c r="H79" s="946"/>
    </row>
    <row r="80" spans="1:8" x14ac:dyDescent="0.25">
      <c r="A80" s="215">
        <v>41969</v>
      </c>
      <c r="B80" s="862" t="s">
        <v>32</v>
      </c>
      <c r="C80" s="879" t="s">
        <v>12</v>
      </c>
      <c r="D80" s="887" t="s">
        <v>15</v>
      </c>
      <c r="E80" s="250">
        <v>11</v>
      </c>
      <c r="F80" s="946"/>
      <c r="G80" s="95"/>
      <c r="H80" s="946"/>
    </row>
    <row r="81" spans="1:8" x14ac:dyDescent="0.25">
      <c r="A81" s="215">
        <v>41969</v>
      </c>
      <c r="B81" s="862" t="s">
        <v>14</v>
      </c>
      <c r="C81" s="879" t="s">
        <v>12</v>
      </c>
      <c r="D81" s="887" t="s">
        <v>15</v>
      </c>
      <c r="E81" s="250">
        <v>5</v>
      </c>
      <c r="F81" s="946"/>
      <c r="G81" s="95"/>
      <c r="H81" s="946"/>
    </row>
    <row r="82" spans="1:8" x14ac:dyDescent="0.25">
      <c r="A82" s="215">
        <v>41970</v>
      </c>
      <c r="B82" s="862" t="s">
        <v>32</v>
      </c>
      <c r="C82" s="879" t="s">
        <v>12</v>
      </c>
      <c r="D82" s="887" t="s">
        <v>15</v>
      </c>
      <c r="E82" s="250">
        <v>11</v>
      </c>
      <c r="F82" s="946"/>
      <c r="G82" s="95"/>
      <c r="H82" s="946"/>
    </row>
    <row r="83" spans="1:8" x14ac:dyDescent="0.25">
      <c r="A83" s="215">
        <v>41970</v>
      </c>
      <c r="B83" s="349" t="s">
        <v>589</v>
      </c>
      <c r="C83" s="350" t="s">
        <v>12</v>
      </c>
      <c r="D83" s="141" t="s">
        <v>15</v>
      </c>
      <c r="E83" s="97">
        <v>11.5</v>
      </c>
      <c r="F83" s="946"/>
      <c r="G83" s="95"/>
      <c r="H83" s="946"/>
    </row>
    <row r="84" spans="1:8" x14ac:dyDescent="0.25">
      <c r="A84" s="215">
        <v>41971</v>
      </c>
      <c r="B84" s="349" t="s">
        <v>308</v>
      </c>
      <c r="C84" s="350" t="s">
        <v>12</v>
      </c>
      <c r="D84" s="141" t="s">
        <v>25</v>
      </c>
      <c r="E84" s="97"/>
      <c r="F84" s="946">
        <v>907.5</v>
      </c>
      <c r="G84" s="95"/>
      <c r="H84" s="946"/>
    </row>
    <row r="85" spans="1:8" x14ac:dyDescent="0.25">
      <c r="A85" s="215">
        <v>41971</v>
      </c>
      <c r="B85" s="862" t="s">
        <v>32</v>
      </c>
      <c r="C85" s="879" t="s">
        <v>12</v>
      </c>
      <c r="D85" s="887" t="s">
        <v>15</v>
      </c>
      <c r="E85" s="250">
        <v>11</v>
      </c>
      <c r="F85" s="946"/>
      <c r="G85" s="95"/>
      <c r="H85" s="946"/>
    </row>
    <row r="86" spans="1:8" s="224" customFormat="1" x14ac:dyDescent="0.25">
      <c r="A86" s="215">
        <v>41972</v>
      </c>
      <c r="B86" s="862" t="s">
        <v>14</v>
      </c>
      <c r="C86" s="879" t="s">
        <v>12</v>
      </c>
      <c r="D86" s="887" t="s">
        <v>13</v>
      </c>
      <c r="E86" s="250">
        <v>12.34</v>
      </c>
      <c r="F86" s="1473"/>
      <c r="G86" s="252"/>
      <c r="H86" s="1473"/>
    </row>
    <row r="87" spans="1:8" s="224" customFormat="1" x14ac:dyDescent="0.25">
      <c r="A87" s="215">
        <v>41972</v>
      </c>
      <c r="B87" s="862" t="s">
        <v>82</v>
      </c>
      <c r="C87" s="879" t="s">
        <v>12</v>
      </c>
      <c r="D87" s="887" t="s">
        <v>13</v>
      </c>
      <c r="E87" s="250">
        <v>17</v>
      </c>
      <c r="F87" s="1473"/>
      <c r="G87" s="252"/>
      <c r="H87" s="1473"/>
    </row>
    <row r="88" spans="1:8" x14ac:dyDescent="0.25">
      <c r="A88" s="215">
        <v>41973</v>
      </c>
      <c r="B88" s="862" t="s">
        <v>642</v>
      </c>
      <c r="C88" s="879" t="s">
        <v>12</v>
      </c>
      <c r="D88" s="887" t="s">
        <v>15</v>
      </c>
      <c r="E88" s="250">
        <v>100</v>
      </c>
      <c r="F88" s="946"/>
      <c r="G88" s="95"/>
      <c r="H88" s="946"/>
    </row>
    <row r="89" spans="1:8" ht="15.75" thickBot="1" x14ac:dyDescent="0.3">
      <c r="A89" s="215">
        <v>41973</v>
      </c>
      <c r="B89" s="862" t="s">
        <v>14</v>
      </c>
      <c r="C89" s="879" t="s">
        <v>12</v>
      </c>
      <c r="D89" s="887" t="s">
        <v>13</v>
      </c>
      <c r="E89" s="250">
        <v>32.07</v>
      </c>
      <c r="F89" s="946"/>
      <c r="G89" s="95"/>
      <c r="H89" s="946"/>
    </row>
    <row r="90" spans="1:8" ht="25.5" customHeight="1" thickBot="1" x14ac:dyDescent="0.3">
      <c r="A90" s="3060"/>
      <c r="B90" s="3061"/>
      <c r="C90" s="3062"/>
      <c r="D90" s="3062"/>
      <c r="E90" s="100">
        <f>SUM(E5:E89)</f>
        <v>2514.2830000000004</v>
      </c>
      <c r="F90" s="1065">
        <f>SUM(F5:F89)</f>
        <v>3467.3000000000015</v>
      </c>
      <c r="G90" s="101">
        <f>SUM(G5:G89)</f>
        <v>550</v>
      </c>
      <c r="H90" s="93">
        <f>SUM(H5:H89)</f>
        <v>550</v>
      </c>
    </row>
    <row r="91" spans="1:8" ht="25.5" customHeight="1" thickBot="1" x14ac:dyDescent="0.3">
      <c r="A91" s="3077" t="s">
        <v>49</v>
      </c>
      <c r="B91" s="3078"/>
      <c r="C91" s="3078"/>
      <c r="D91" s="3078"/>
      <c r="E91" s="144"/>
      <c r="F91" s="519">
        <f>F90-E90</f>
        <v>953.01700000000119</v>
      </c>
      <c r="G91" s="555"/>
      <c r="H91" s="556">
        <f>H90-G90</f>
        <v>0</v>
      </c>
    </row>
    <row r="93" spans="1:8" x14ac:dyDescent="0.25">
      <c r="B93" s="79" t="s">
        <v>32</v>
      </c>
      <c r="C93" s="484">
        <v>169.5</v>
      </c>
    </row>
    <row r="94" spans="1:8" x14ac:dyDescent="0.25">
      <c r="B94" s="79" t="s">
        <v>16</v>
      </c>
      <c r="C94" s="484">
        <v>180</v>
      </c>
      <c r="D94" s="79"/>
    </row>
    <row r="95" spans="1:8" x14ac:dyDescent="0.25">
      <c r="B95" s="79" t="s">
        <v>50</v>
      </c>
      <c r="C95" s="484">
        <v>181.5</v>
      </c>
    </row>
    <row r="96" spans="1:8" s="85" customFormat="1" x14ac:dyDescent="0.25">
      <c r="A96" s="79"/>
      <c r="B96" s="79" t="s">
        <v>14</v>
      </c>
      <c r="C96" s="475">
        <v>190.46</v>
      </c>
      <c r="E96" s="89"/>
      <c r="F96" s="79"/>
      <c r="G96" s="79"/>
    </row>
    <row r="97" spans="1:9" s="85" customFormat="1" x14ac:dyDescent="0.25">
      <c r="A97" s="79"/>
      <c r="B97" s="79" t="s">
        <v>51</v>
      </c>
      <c r="C97" s="475">
        <v>62.3</v>
      </c>
      <c r="E97" s="89"/>
      <c r="F97" s="79"/>
      <c r="G97" s="79"/>
      <c r="H97" s="79"/>
    </row>
    <row r="98" spans="1:9" s="85" customFormat="1" x14ac:dyDescent="0.25">
      <c r="A98" s="79"/>
      <c r="B98" s="79" t="s">
        <v>52</v>
      </c>
      <c r="C98" s="475">
        <v>50</v>
      </c>
      <c r="E98" s="89"/>
      <c r="F98" s="79"/>
      <c r="G98" s="79"/>
      <c r="H98" s="79"/>
    </row>
    <row r="99" spans="1:9" s="85" customFormat="1" x14ac:dyDescent="0.25">
      <c r="A99" s="79"/>
      <c r="B99" s="867" t="s">
        <v>53</v>
      </c>
      <c r="C99" s="475">
        <v>164.84</v>
      </c>
      <c r="D99" s="89"/>
      <c r="E99" s="89"/>
      <c r="F99" s="79"/>
      <c r="G99" s="79"/>
      <c r="H99" s="79"/>
    </row>
    <row r="100" spans="1:9" s="85" customFormat="1" x14ac:dyDescent="0.25">
      <c r="A100" s="79"/>
      <c r="B100" s="79" t="s">
        <v>56</v>
      </c>
      <c r="C100" s="475">
        <v>17</v>
      </c>
      <c r="E100" s="89"/>
      <c r="F100" s="79"/>
      <c r="G100" s="79"/>
      <c r="H100" s="79"/>
    </row>
    <row r="101" spans="1:9" s="85" customFormat="1" x14ac:dyDescent="0.25">
      <c r="A101" s="79"/>
      <c r="B101" s="79" t="s">
        <v>57</v>
      </c>
      <c r="C101" s="475"/>
      <c r="E101" s="89"/>
      <c r="F101" s="79"/>
      <c r="G101" s="79"/>
      <c r="H101" s="79"/>
    </row>
    <row r="102" spans="1:9" s="85" customFormat="1" x14ac:dyDescent="0.25">
      <c r="A102" s="79"/>
      <c r="B102" s="79" t="s">
        <v>418</v>
      </c>
      <c r="C102" s="475">
        <v>779.71</v>
      </c>
      <c r="E102" s="89"/>
      <c r="F102" s="79"/>
      <c r="G102" s="79"/>
      <c r="H102" s="79"/>
    </row>
    <row r="103" spans="1:9" s="85" customFormat="1" x14ac:dyDescent="0.25">
      <c r="A103" s="79"/>
      <c r="B103" s="79" t="s">
        <v>419</v>
      </c>
      <c r="C103" s="475">
        <v>144.94</v>
      </c>
      <c r="D103" s="79"/>
      <c r="E103" s="89"/>
      <c r="F103" s="79"/>
      <c r="G103" s="79"/>
      <c r="H103" s="79"/>
    </row>
    <row r="105" spans="1:9" x14ac:dyDescent="0.25">
      <c r="B105" s="79" t="s">
        <v>486</v>
      </c>
      <c r="C105" s="475">
        <f>G105/I105</f>
        <v>72.860384615384618</v>
      </c>
      <c r="E105" s="3096" t="s">
        <v>487</v>
      </c>
      <c r="F105" s="3096"/>
      <c r="G105" s="216">
        <v>1894.37</v>
      </c>
      <c r="H105" s="518" t="s">
        <v>488</v>
      </c>
      <c r="I105" s="85">
        <v>26</v>
      </c>
    </row>
  </sheetData>
  <autoFilter ref="A2:H91" xr:uid="{00000000-0009-0000-0000-000017000000}"/>
  <mergeCells count="12">
    <mergeCell ref="I63:L63"/>
    <mergeCell ref="A90:D90"/>
    <mergeCell ref="A91:D91"/>
    <mergeCell ref="E105:F10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 filterMode="1"/>
  <dimension ref="A1:P134"/>
  <sheetViews>
    <sheetView zoomScale="85" zoomScaleNormal="85" workbookViewId="0">
      <pane ySplit="4" topLeftCell="A5" activePane="bottomLeft" state="frozen"/>
      <selection activeCell="C44" sqref="C44"/>
      <selection pane="bottomLeft" sqref="A1:P13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643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41974</v>
      </c>
      <c r="B5" s="369" t="s">
        <v>10</v>
      </c>
      <c r="C5" s="370"/>
      <c r="D5" s="207"/>
      <c r="E5" s="179"/>
      <c r="F5" s="933">
        <f>'Novembro-14'!F91</f>
        <v>953.01700000000119</v>
      </c>
      <c r="G5" s="163"/>
      <c r="H5" s="933">
        <f>'Novembro-14'!H91</f>
        <v>0</v>
      </c>
    </row>
    <row r="6" spans="1:8" s="224" customFormat="1" hidden="1" x14ac:dyDescent="0.25">
      <c r="A6" s="215">
        <v>41974</v>
      </c>
      <c r="B6" s="348" t="s">
        <v>11</v>
      </c>
      <c r="C6" s="351"/>
      <c r="D6" s="248"/>
      <c r="E6" s="250">
        <v>74</v>
      </c>
      <c r="F6" s="1473"/>
      <c r="G6" s="252"/>
      <c r="H6" s="1473"/>
    </row>
    <row r="7" spans="1:8" s="224" customFormat="1" hidden="1" x14ac:dyDescent="0.25">
      <c r="A7" s="215">
        <v>41974</v>
      </c>
      <c r="B7" s="862" t="s">
        <v>14</v>
      </c>
      <c r="C7" s="879" t="s">
        <v>12</v>
      </c>
      <c r="D7" s="887" t="s">
        <v>13</v>
      </c>
      <c r="E7" s="250">
        <v>6.36</v>
      </c>
      <c r="F7" s="1473"/>
      <c r="G7" s="252"/>
      <c r="H7" s="1473"/>
    </row>
    <row r="8" spans="1:8" s="224" customFormat="1" hidden="1" x14ac:dyDescent="0.25">
      <c r="A8" s="215">
        <v>41975</v>
      </c>
      <c r="B8" s="349" t="s">
        <v>644</v>
      </c>
      <c r="C8" s="879" t="s">
        <v>12</v>
      </c>
      <c r="D8" s="983" t="s">
        <v>25</v>
      </c>
      <c r="E8" s="250"/>
      <c r="F8" s="1473">
        <v>2140</v>
      </c>
      <c r="G8" s="252"/>
      <c r="H8" s="1473"/>
    </row>
    <row r="9" spans="1:8" s="224" customFormat="1" hidden="1" x14ac:dyDescent="0.25">
      <c r="A9" s="215">
        <v>41975</v>
      </c>
      <c r="B9" s="862" t="s">
        <v>32</v>
      </c>
      <c r="C9" s="879" t="s">
        <v>12</v>
      </c>
      <c r="D9" s="887" t="s">
        <v>15</v>
      </c>
      <c r="E9" s="250">
        <v>12</v>
      </c>
      <c r="F9" s="1473"/>
      <c r="G9" s="252"/>
      <c r="H9" s="1473"/>
    </row>
    <row r="10" spans="1:8" s="224" customFormat="1" hidden="1" x14ac:dyDescent="0.25">
      <c r="A10" s="215">
        <v>41975</v>
      </c>
      <c r="B10" s="862" t="s">
        <v>138</v>
      </c>
      <c r="C10" s="879" t="s">
        <v>12</v>
      </c>
      <c r="D10" s="887" t="s">
        <v>15</v>
      </c>
      <c r="E10" s="250">
        <v>60</v>
      </c>
      <c r="F10" s="1473"/>
      <c r="G10" s="252"/>
      <c r="H10" s="1473"/>
    </row>
    <row r="11" spans="1:8" s="224" customFormat="1" hidden="1" x14ac:dyDescent="0.25">
      <c r="A11" s="215">
        <v>41976</v>
      </c>
      <c r="B11" s="862" t="s">
        <v>32</v>
      </c>
      <c r="C11" s="879" t="s">
        <v>12</v>
      </c>
      <c r="D11" s="887" t="s">
        <v>15</v>
      </c>
      <c r="E11" s="250">
        <v>8</v>
      </c>
      <c r="F11" s="1473"/>
      <c r="G11" s="252"/>
      <c r="H11" s="1473"/>
    </row>
    <row r="12" spans="1:8" s="224" customFormat="1" hidden="1" x14ac:dyDescent="0.25">
      <c r="A12" s="215">
        <v>41977</v>
      </c>
      <c r="B12" s="862" t="s">
        <v>32</v>
      </c>
      <c r="C12" s="879" t="s">
        <v>12</v>
      </c>
      <c r="D12" s="887" t="s">
        <v>15</v>
      </c>
      <c r="E12" s="250">
        <v>11</v>
      </c>
      <c r="F12" s="1473"/>
      <c r="G12" s="252"/>
      <c r="H12" s="1473"/>
    </row>
    <row r="13" spans="1:8" s="224" customFormat="1" hidden="1" x14ac:dyDescent="0.25">
      <c r="A13" s="215">
        <v>41977</v>
      </c>
      <c r="B13" s="862" t="s">
        <v>645</v>
      </c>
      <c r="C13" s="879" t="s">
        <v>12</v>
      </c>
      <c r="D13" s="887" t="s">
        <v>13</v>
      </c>
      <c r="E13" s="250">
        <v>438.69</v>
      </c>
      <c r="F13" s="1473"/>
      <c r="G13" s="252"/>
      <c r="H13" s="1473"/>
    </row>
    <row r="14" spans="1:8" s="224" customFormat="1" hidden="1" x14ac:dyDescent="0.25">
      <c r="A14" s="215">
        <v>41977</v>
      </c>
      <c r="B14" s="862" t="s">
        <v>646</v>
      </c>
      <c r="C14" s="879" t="s">
        <v>12</v>
      </c>
      <c r="D14" s="887" t="s">
        <v>13</v>
      </c>
      <c r="E14" s="250">
        <v>105.65</v>
      </c>
      <c r="F14" s="1473"/>
      <c r="G14" s="252"/>
      <c r="H14" s="1473"/>
    </row>
    <row r="15" spans="1:8" s="224" customFormat="1" hidden="1" x14ac:dyDescent="0.25">
      <c r="A15" s="215">
        <v>41977</v>
      </c>
      <c r="B15" s="862" t="s">
        <v>647</v>
      </c>
      <c r="C15" s="879" t="s">
        <v>12</v>
      </c>
      <c r="D15" s="887" t="s">
        <v>13</v>
      </c>
      <c r="E15" s="250">
        <v>78.48</v>
      </c>
      <c r="F15" s="1473"/>
      <c r="G15" s="252"/>
      <c r="H15" s="1473"/>
    </row>
    <row r="16" spans="1:8" s="224" customFormat="1" ht="15.75" hidden="1" customHeight="1" x14ac:dyDescent="0.25">
      <c r="A16" s="215">
        <v>41977</v>
      </c>
      <c r="B16" s="349" t="s">
        <v>260</v>
      </c>
      <c r="C16" s="350"/>
      <c r="D16" s="141"/>
      <c r="E16" s="97">
        <v>2457.85</v>
      </c>
      <c r="F16" s="946"/>
      <c r="G16" s="97"/>
      <c r="H16" s="946">
        <v>2457.85</v>
      </c>
    </row>
    <row r="17" spans="1:8" s="224" customFormat="1" ht="15.75" hidden="1" customHeight="1" x14ac:dyDescent="0.25">
      <c r="A17" s="215">
        <v>41977</v>
      </c>
      <c r="B17" s="862" t="s">
        <v>648</v>
      </c>
      <c r="C17" s="879" t="s">
        <v>12</v>
      </c>
      <c r="D17" s="887" t="s">
        <v>15</v>
      </c>
      <c r="E17" s="250">
        <v>200</v>
      </c>
      <c r="F17" s="946"/>
      <c r="G17" s="97"/>
      <c r="H17" s="946"/>
    </row>
    <row r="18" spans="1:8" s="224" customFormat="1" ht="15.75" hidden="1" customHeight="1" x14ac:dyDescent="0.25">
      <c r="A18" s="215">
        <v>41977</v>
      </c>
      <c r="B18" s="349" t="s">
        <v>649</v>
      </c>
      <c r="C18" s="350" t="s">
        <v>12</v>
      </c>
      <c r="D18" s="141" t="s">
        <v>13</v>
      </c>
      <c r="E18" s="97">
        <v>21.85</v>
      </c>
      <c r="F18" s="946"/>
      <c r="G18" s="97"/>
      <c r="H18" s="946"/>
    </row>
    <row r="19" spans="1:8" s="224" customFormat="1" hidden="1" x14ac:dyDescent="0.25">
      <c r="A19" s="215">
        <v>41978</v>
      </c>
      <c r="B19" s="862" t="s">
        <v>32</v>
      </c>
      <c r="C19" s="879" t="s">
        <v>12</v>
      </c>
      <c r="D19" s="887" t="s">
        <v>15</v>
      </c>
      <c r="E19" s="250">
        <v>8.5</v>
      </c>
      <c r="F19" s="1473"/>
      <c r="G19" s="252"/>
      <c r="H19" s="1473"/>
    </row>
    <row r="20" spans="1:8" s="224" customFormat="1" hidden="1" x14ac:dyDescent="0.25">
      <c r="A20" s="215">
        <v>41978</v>
      </c>
      <c r="B20" s="349" t="s">
        <v>650</v>
      </c>
      <c r="C20" s="879" t="s">
        <v>12</v>
      </c>
      <c r="D20" s="983" t="s">
        <v>25</v>
      </c>
      <c r="E20" s="250"/>
      <c r="F20" s="1473">
        <v>115.97</v>
      </c>
      <c r="G20" s="252"/>
      <c r="H20" s="1473"/>
    </row>
    <row r="21" spans="1:8" s="224" customFormat="1" hidden="1" x14ac:dyDescent="0.25">
      <c r="A21" s="215">
        <v>41978</v>
      </c>
      <c r="B21" s="349" t="s">
        <v>651</v>
      </c>
      <c r="C21" s="879" t="s">
        <v>12</v>
      </c>
      <c r="D21" s="983" t="s">
        <v>25</v>
      </c>
      <c r="E21" s="250"/>
      <c r="F21" s="1473">
        <v>1785</v>
      </c>
      <c r="G21" s="252"/>
      <c r="H21" s="1473"/>
    </row>
    <row r="22" spans="1:8" s="224" customFormat="1" ht="15.75" hidden="1" customHeight="1" x14ac:dyDescent="0.25">
      <c r="A22" s="215">
        <v>41978</v>
      </c>
      <c r="B22" s="862" t="s">
        <v>652</v>
      </c>
      <c r="C22" s="350" t="s">
        <v>12</v>
      </c>
      <c r="D22" s="141" t="s">
        <v>13</v>
      </c>
      <c r="E22" s="97">
        <v>406.69</v>
      </c>
      <c r="F22" s="1473"/>
      <c r="G22" s="252"/>
      <c r="H22" s="1473"/>
    </row>
    <row r="23" spans="1:8" s="224" customFormat="1" hidden="1" x14ac:dyDescent="0.25">
      <c r="A23" s="215">
        <v>41978</v>
      </c>
      <c r="B23" s="882" t="s">
        <v>653</v>
      </c>
      <c r="C23" s="350" t="s">
        <v>12</v>
      </c>
      <c r="D23" s="141" t="s">
        <v>13</v>
      </c>
      <c r="E23" s="97">
        <v>44.06</v>
      </c>
      <c r="F23" s="1473"/>
      <c r="G23" s="252"/>
      <c r="H23" s="1473"/>
    </row>
    <row r="24" spans="1:8" s="224" customFormat="1" ht="15" hidden="1" customHeight="1" x14ac:dyDescent="0.25">
      <c r="A24" s="215">
        <v>41978</v>
      </c>
      <c r="B24" s="862" t="s">
        <v>31</v>
      </c>
      <c r="C24" s="350" t="s">
        <v>12</v>
      </c>
      <c r="D24" s="957" t="s">
        <v>15</v>
      </c>
      <c r="E24" s="594"/>
      <c r="F24" s="1473"/>
      <c r="G24" s="252"/>
      <c r="H24" s="1473"/>
    </row>
    <row r="25" spans="1:8" s="224" customFormat="1" hidden="1" x14ac:dyDescent="0.25">
      <c r="A25" s="215">
        <v>41978</v>
      </c>
      <c r="B25" s="862" t="s">
        <v>399</v>
      </c>
      <c r="C25" s="350" t="s">
        <v>12</v>
      </c>
      <c r="D25" s="957" t="s">
        <v>15</v>
      </c>
      <c r="E25" s="97">
        <v>25</v>
      </c>
      <c r="F25" s="1473"/>
      <c r="G25" s="252"/>
      <c r="H25" s="1473"/>
    </row>
    <row r="26" spans="1:8" s="224" customFormat="1" hidden="1" x14ac:dyDescent="0.25">
      <c r="A26" s="215">
        <v>41978</v>
      </c>
      <c r="B26" s="862" t="s">
        <v>654</v>
      </c>
      <c r="C26" s="879" t="s">
        <v>12</v>
      </c>
      <c r="D26" s="887" t="s">
        <v>13</v>
      </c>
      <c r="E26" s="250">
        <v>300</v>
      </c>
      <c r="F26" s="1473"/>
      <c r="G26" s="252"/>
      <c r="H26" s="1473"/>
    </row>
    <row r="27" spans="1:8" s="224" customFormat="1" hidden="1" x14ac:dyDescent="0.25">
      <c r="A27" s="215">
        <v>41978</v>
      </c>
      <c r="B27" s="862" t="s">
        <v>655</v>
      </c>
      <c r="C27" s="879" t="s">
        <v>12</v>
      </c>
      <c r="D27" s="887" t="s">
        <v>15</v>
      </c>
      <c r="E27" s="250">
        <v>7</v>
      </c>
      <c r="F27" s="1473"/>
      <c r="G27" s="252"/>
      <c r="H27" s="1473"/>
    </row>
    <row r="28" spans="1:8" s="224" customFormat="1" hidden="1" x14ac:dyDescent="0.25">
      <c r="A28" s="215">
        <v>41978</v>
      </c>
      <c r="B28" s="862" t="s">
        <v>82</v>
      </c>
      <c r="C28" s="879" t="s">
        <v>12</v>
      </c>
      <c r="D28" s="887" t="s">
        <v>13</v>
      </c>
      <c r="E28" s="250">
        <v>17</v>
      </c>
      <c r="F28" s="1473"/>
      <c r="G28" s="252"/>
      <c r="H28" s="1473"/>
    </row>
    <row r="29" spans="1:8" s="224" customFormat="1" ht="15.75" hidden="1" customHeight="1" x14ac:dyDescent="0.25">
      <c r="A29" s="215">
        <v>41979</v>
      </c>
      <c r="B29" s="862" t="s">
        <v>656</v>
      </c>
      <c r="C29" s="879" t="s">
        <v>12</v>
      </c>
      <c r="D29" s="887" t="s">
        <v>13</v>
      </c>
      <c r="E29" s="250">
        <v>20.399999999999999</v>
      </c>
      <c r="F29" s="946"/>
      <c r="G29" s="97"/>
      <c r="H29" s="946"/>
    </row>
    <row r="30" spans="1:8" s="224" customFormat="1" ht="15.75" hidden="1" customHeight="1" x14ac:dyDescent="0.25">
      <c r="A30" s="215">
        <v>41979</v>
      </c>
      <c r="B30" s="862" t="s">
        <v>657</v>
      </c>
      <c r="C30" s="879" t="s">
        <v>12</v>
      </c>
      <c r="D30" s="887" t="s">
        <v>13</v>
      </c>
      <c r="E30" s="250">
        <v>44.5</v>
      </c>
      <c r="F30" s="946"/>
      <c r="G30" s="97"/>
      <c r="H30" s="946"/>
    </row>
    <row r="31" spans="1:8" s="224" customFormat="1" ht="15.75" hidden="1" customHeight="1" x14ac:dyDescent="0.25">
      <c r="A31" s="215">
        <v>41979</v>
      </c>
      <c r="B31" s="862" t="s">
        <v>80</v>
      </c>
      <c r="C31" s="879" t="s">
        <v>12</v>
      </c>
      <c r="D31" s="887" t="s">
        <v>13</v>
      </c>
      <c r="E31" s="250">
        <v>11.48</v>
      </c>
      <c r="F31" s="946"/>
      <c r="G31" s="97"/>
      <c r="H31" s="946"/>
    </row>
    <row r="32" spans="1:8" s="224" customFormat="1" ht="15.75" hidden="1" customHeight="1" x14ac:dyDescent="0.25">
      <c r="A32" s="215">
        <v>41980</v>
      </c>
      <c r="B32" s="862" t="s">
        <v>658</v>
      </c>
      <c r="C32" s="879" t="s">
        <v>12</v>
      </c>
      <c r="D32" s="887" t="s">
        <v>13</v>
      </c>
      <c r="E32" s="250">
        <v>30</v>
      </c>
      <c r="F32" s="946"/>
      <c r="G32" s="97"/>
      <c r="H32" s="946"/>
    </row>
    <row r="33" spans="1:8" s="224" customFormat="1" ht="15.75" hidden="1" customHeight="1" x14ac:dyDescent="0.25">
      <c r="A33" s="215">
        <v>41980</v>
      </c>
      <c r="B33" s="862" t="s">
        <v>659</v>
      </c>
      <c r="C33" s="879" t="s">
        <v>12</v>
      </c>
      <c r="D33" s="887" t="s">
        <v>15</v>
      </c>
      <c r="E33" s="250">
        <v>25</v>
      </c>
      <c r="F33" s="946"/>
      <c r="G33" s="97"/>
      <c r="H33" s="946"/>
    </row>
    <row r="34" spans="1:8" s="224" customFormat="1" ht="15.75" hidden="1" customHeight="1" x14ac:dyDescent="0.25">
      <c r="A34" s="215">
        <v>41980</v>
      </c>
      <c r="B34" s="862" t="s">
        <v>81</v>
      </c>
      <c r="C34" s="879" t="s">
        <v>12</v>
      </c>
      <c r="D34" s="887" t="s">
        <v>15</v>
      </c>
      <c r="E34" s="250">
        <v>10</v>
      </c>
      <c r="F34" s="946"/>
      <c r="G34" s="97"/>
      <c r="H34" s="946"/>
    </row>
    <row r="35" spans="1:8" s="224" customFormat="1" ht="15.75" hidden="1" customHeight="1" x14ac:dyDescent="0.25">
      <c r="A35" s="215">
        <v>41980</v>
      </c>
      <c r="B35" s="862" t="s">
        <v>660</v>
      </c>
      <c r="C35" s="879" t="s">
        <v>12</v>
      </c>
      <c r="D35" s="887" t="s">
        <v>15</v>
      </c>
      <c r="E35" s="250">
        <v>30</v>
      </c>
      <c r="F35" s="946"/>
      <c r="G35" s="97"/>
      <c r="H35" s="946"/>
    </row>
    <row r="36" spans="1:8" s="224" customFormat="1" ht="15.75" hidden="1" customHeight="1" x14ac:dyDescent="0.25">
      <c r="A36" s="215">
        <v>41981</v>
      </c>
      <c r="B36" s="862" t="s">
        <v>32</v>
      </c>
      <c r="C36" s="879" t="s">
        <v>12</v>
      </c>
      <c r="D36" s="887" t="s">
        <v>15</v>
      </c>
      <c r="E36" s="250">
        <v>11</v>
      </c>
      <c r="F36" s="946"/>
      <c r="G36" s="97"/>
      <c r="H36" s="946"/>
    </row>
    <row r="37" spans="1:8" s="224" customFormat="1" hidden="1" x14ac:dyDescent="0.25">
      <c r="A37" s="215">
        <v>41981</v>
      </c>
      <c r="B37" s="862" t="s">
        <v>14</v>
      </c>
      <c r="C37" s="879" t="s">
        <v>12</v>
      </c>
      <c r="D37" s="887" t="s">
        <v>15</v>
      </c>
      <c r="E37" s="250">
        <v>4.5</v>
      </c>
      <c r="F37" s="1473"/>
      <c r="G37" s="252"/>
      <c r="H37" s="1473"/>
    </row>
    <row r="38" spans="1:8" s="224" customFormat="1" ht="15.75" hidden="1" customHeight="1" x14ac:dyDescent="0.25">
      <c r="A38" s="215">
        <v>41982</v>
      </c>
      <c r="B38" s="862" t="s">
        <v>32</v>
      </c>
      <c r="C38" s="879" t="s">
        <v>12</v>
      </c>
      <c r="D38" s="887" t="s">
        <v>15</v>
      </c>
      <c r="E38" s="250">
        <v>11</v>
      </c>
      <c r="F38" s="946"/>
      <c r="G38" s="97"/>
      <c r="H38" s="946"/>
    </row>
    <row r="39" spans="1:8" s="224" customFormat="1" hidden="1" x14ac:dyDescent="0.25">
      <c r="A39" s="215">
        <v>41982</v>
      </c>
      <c r="B39" s="862" t="s">
        <v>14</v>
      </c>
      <c r="C39" s="879" t="s">
        <v>12</v>
      </c>
      <c r="D39" s="887" t="s">
        <v>15</v>
      </c>
      <c r="E39" s="250">
        <v>6.31</v>
      </c>
      <c r="F39" s="1473"/>
      <c r="G39" s="252"/>
      <c r="H39" s="1473"/>
    </row>
    <row r="40" spans="1:8" s="224" customFormat="1" hidden="1" x14ac:dyDescent="0.25">
      <c r="A40" s="215">
        <v>41982</v>
      </c>
      <c r="B40" s="862" t="s">
        <v>196</v>
      </c>
      <c r="C40" s="879" t="s">
        <v>12</v>
      </c>
      <c r="D40" s="887" t="s">
        <v>13</v>
      </c>
      <c r="E40" s="250">
        <v>13</v>
      </c>
      <c r="F40" s="1473"/>
      <c r="G40" s="252"/>
      <c r="H40" s="1473"/>
    </row>
    <row r="41" spans="1:8" s="224" customFormat="1" ht="15.75" hidden="1" customHeight="1" x14ac:dyDescent="0.25">
      <c r="A41" s="215">
        <v>41983</v>
      </c>
      <c r="B41" s="862" t="s">
        <v>32</v>
      </c>
      <c r="C41" s="879" t="s">
        <v>12</v>
      </c>
      <c r="D41" s="887" t="s">
        <v>15</v>
      </c>
      <c r="E41" s="250">
        <v>12</v>
      </c>
      <c r="F41" s="946"/>
      <c r="G41" s="97"/>
      <c r="H41" s="946"/>
    </row>
    <row r="42" spans="1:8" s="224" customFormat="1" ht="15.75" hidden="1" customHeight="1" x14ac:dyDescent="0.25">
      <c r="A42" s="215">
        <v>41983</v>
      </c>
      <c r="B42" s="862" t="s">
        <v>661</v>
      </c>
      <c r="C42" s="879" t="s">
        <v>12</v>
      </c>
      <c r="D42" s="887" t="s">
        <v>25</v>
      </c>
      <c r="E42" s="250"/>
      <c r="F42" s="946">
        <v>60</v>
      </c>
      <c r="G42" s="97"/>
      <c r="H42" s="946"/>
    </row>
    <row r="43" spans="1:8" s="224" customFormat="1" ht="15.75" hidden="1" customHeight="1" x14ac:dyDescent="0.25">
      <c r="A43" s="215">
        <v>41983</v>
      </c>
      <c r="B43" s="862" t="s">
        <v>138</v>
      </c>
      <c r="C43" s="879" t="s">
        <v>19</v>
      </c>
      <c r="D43" s="887" t="s">
        <v>13</v>
      </c>
      <c r="E43" s="250">
        <v>50</v>
      </c>
      <c r="F43" s="946"/>
      <c r="G43" s="97"/>
      <c r="H43" s="946"/>
    </row>
    <row r="44" spans="1:8" s="224" customFormat="1" ht="15.75" customHeight="1" x14ac:dyDescent="0.25">
      <c r="A44" s="215">
        <v>41983</v>
      </c>
      <c r="B44" s="862" t="s">
        <v>662</v>
      </c>
      <c r="C44" s="879" t="s">
        <v>19</v>
      </c>
      <c r="D44" s="887" t="s">
        <v>13</v>
      </c>
      <c r="E44" s="250">
        <v>42</v>
      </c>
      <c r="F44" s="946"/>
      <c r="G44" s="97"/>
      <c r="H44" s="946"/>
    </row>
    <row r="45" spans="1:8" s="224" customFormat="1" ht="15.75" hidden="1" customHeight="1" x14ac:dyDescent="0.25">
      <c r="A45" s="215">
        <v>41983</v>
      </c>
      <c r="B45" s="862" t="s">
        <v>663</v>
      </c>
      <c r="C45" s="879" t="s">
        <v>19</v>
      </c>
      <c r="D45" s="887" t="s">
        <v>13</v>
      </c>
      <c r="E45" s="250">
        <v>22</v>
      </c>
      <c r="F45" s="946"/>
      <c r="G45" s="97"/>
      <c r="H45" s="946"/>
    </row>
    <row r="46" spans="1:8" s="224" customFormat="1" ht="15.75" hidden="1" customHeight="1" x14ac:dyDescent="0.25">
      <c r="A46" s="215">
        <v>41983</v>
      </c>
      <c r="B46" s="862" t="s">
        <v>664</v>
      </c>
      <c r="C46" s="879" t="s">
        <v>19</v>
      </c>
      <c r="D46" s="887" t="s">
        <v>13</v>
      </c>
      <c r="E46" s="250">
        <v>20</v>
      </c>
      <c r="F46" s="946"/>
      <c r="G46" s="97"/>
      <c r="H46" s="946"/>
    </row>
    <row r="47" spans="1:8" s="224" customFormat="1" ht="15.75" hidden="1" customHeight="1" x14ac:dyDescent="0.25">
      <c r="A47" s="215">
        <v>41983</v>
      </c>
      <c r="B47" s="862" t="s">
        <v>665</v>
      </c>
      <c r="C47" s="879" t="s">
        <v>19</v>
      </c>
      <c r="D47" s="887" t="s">
        <v>13</v>
      </c>
      <c r="E47" s="250">
        <v>13</v>
      </c>
      <c r="F47" s="946"/>
      <c r="G47" s="97"/>
      <c r="H47" s="946"/>
    </row>
    <row r="48" spans="1:8" s="224" customFormat="1" ht="15.75" hidden="1" customHeight="1" x14ac:dyDescent="0.25">
      <c r="A48" s="215">
        <v>41984</v>
      </c>
      <c r="B48" s="862" t="s">
        <v>32</v>
      </c>
      <c r="C48" s="879" t="s">
        <v>12</v>
      </c>
      <c r="D48" s="887" t="s">
        <v>13</v>
      </c>
      <c r="E48" s="250">
        <v>13.25</v>
      </c>
      <c r="F48" s="946"/>
      <c r="G48" s="97"/>
      <c r="H48" s="946"/>
    </row>
    <row r="49" spans="1:8" s="224" customFormat="1" ht="15.75" hidden="1" customHeight="1" x14ac:dyDescent="0.25">
      <c r="A49" s="215">
        <v>41984</v>
      </c>
      <c r="B49" s="862" t="s">
        <v>666</v>
      </c>
      <c r="C49" s="879" t="s">
        <v>12</v>
      </c>
      <c r="D49" s="887" t="s">
        <v>13</v>
      </c>
      <c r="E49" s="250">
        <v>7</v>
      </c>
      <c r="F49" s="946"/>
      <c r="G49" s="97"/>
      <c r="H49" s="946"/>
    </row>
    <row r="50" spans="1:8" s="224" customFormat="1" ht="15.75" hidden="1" customHeight="1" x14ac:dyDescent="0.25">
      <c r="A50" s="215">
        <v>41984</v>
      </c>
      <c r="B50" s="349" t="s">
        <v>256</v>
      </c>
      <c r="C50" s="350"/>
      <c r="D50" s="141"/>
      <c r="E50" s="97"/>
      <c r="F50" s="946">
        <v>600</v>
      </c>
      <c r="G50" s="97">
        <v>600</v>
      </c>
      <c r="H50" s="946"/>
    </row>
    <row r="51" spans="1:8" s="224" customFormat="1" hidden="1" x14ac:dyDescent="0.25">
      <c r="A51" s="215">
        <v>41984</v>
      </c>
      <c r="B51" s="862" t="s">
        <v>14</v>
      </c>
      <c r="C51" s="879" t="s">
        <v>12</v>
      </c>
      <c r="D51" s="887" t="s">
        <v>15</v>
      </c>
      <c r="E51" s="250">
        <v>5</v>
      </c>
      <c r="F51" s="1473"/>
      <c r="G51" s="252"/>
      <c r="H51" s="1473"/>
    </row>
    <row r="52" spans="1:8" s="224" customFormat="1" ht="15.75" hidden="1" customHeight="1" x14ac:dyDescent="0.25">
      <c r="A52" s="215">
        <v>41985</v>
      </c>
      <c r="B52" s="862" t="s">
        <v>32</v>
      </c>
      <c r="C52" s="879" t="s">
        <v>12</v>
      </c>
      <c r="D52" s="887" t="s">
        <v>13</v>
      </c>
      <c r="E52" s="250">
        <v>11</v>
      </c>
      <c r="F52" s="946"/>
      <c r="G52" s="97"/>
      <c r="H52" s="946"/>
    </row>
    <row r="53" spans="1:8" s="224" customFormat="1" hidden="1" x14ac:dyDescent="0.25">
      <c r="A53" s="215">
        <v>41985</v>
      </c>
      <c r="B53" s="862" t="s">
        <v>667</v>
      </c>
      <c r="C53" s="879" t="s">
        <v>12</v>
      </c>
      <c r="D53" s="887" t="s">
        <v>13</v>
      </c>
      <c r="E53" s="250">
        <v>242.5</v>
      </c>
      <c r="F53" s="1473"/>
      <c r="G53" s="252"/>
      <c r="H53" s="1473"/>
    </row>
    <row r="54" spans="1:8" s="224" customFormat="1" ht="15.75" hidden="1" customHeight="1" x14ac:dyDescent="0.25">
      <c r="A54" s="215">
        <v>41986</v>
      </c>
      <c r="B54" s="862" t="s">
        <v>14</v>
      </c>
      <c r="C54" s="879" t="s">
        <v>12</v>
      </c>
      <c r="D54" s="887" t="s">
        <v>15</v>
      </c>
      <c r="E54" s="250">
        <v>21</v>
      </c>
      <c r="F54" s="946"/>
      <c r="G54" s="97"/>
      <c r="H54" s="946"/>
    </row>
    <row r="55" spans="1:8" s="224" customFormat="1" hidden="1" x14ac:dyDescent="0.25">
      <c r="A55" s="215">
        <v>41987</v>
      </c>
      <c r="B55" s="862" t="s">
        <v>654</v>
      </c>
      <c r="C55" s="879" t="s">
        <v>12</v>
      </c>
      <c r="D55" s="887" t="s">
        <v>13</v>
      </c>
      <c r="E55" s="250">
        <v>110.6</v>
      </c>
      <c r="F55" s="1473"/>
      <c r="G55" s="252"/>
      <c r="H55" s="1473"/>
    </row>
    <row r="56" spans="1:8" s="224" customFormat="1" hidden="1" x14ac:dyDescent="0.25">
      <c r="A56" s="215">
        <v>41987</v>
      </c>
      <c r="B56" s="862" t="s">
        <v>14</v>
      </c>
      <c r="C56" s="879" t="s">
        <v>12</v>
      </c>
      <c r="D56" s="887" t="s">
        <v>15</v>
      </c>
      <c r="E56" s="250">
        <v>7</v>
      </c>
      <c r="F56" s="1473"/>
      <c r="G56" s="252"/>
      <c r="H56" s="1473"/>
    </row>
    <row r="57" spans="1:8" s="224" customFormat="1" ht="15.75" hidden="1" customHeight="1" x14ac:dyDescent="0.25">
      <c r="A57" s="215">
        <v>41987</v>
      </c>
      <c r="B57" s="862" t="s">
        <v>134</v>
      </c>
      <c r="C57" s="879" t="s">
        <v>12</v>
      </c>
      <c r="D57" s="887" t="s">
        <v>15</v>
      </c>
      <c r="E57" s="250">
        <v>19</v>
      </c>
      <c r="F57" s="946"/>
      <c r="G57" s="97"/>
      <c r="H57" s="946"/>
    </row>
    <row r="58" spans="1:8" s="224" customFormat="1" ht="15.75" hidden="1" customHeight="1" x14ac:dyDescent="0.25">
      <c r="A58" s="215">
        <v>41988</v>
      </c>
      <c r="B58" s="862" t="s">
        <v>32</v>
      </c>
      <c r="C58" s="879" t="s">
        <v>12</v>
      </c>
      <c r="D58" s="887" t="s">
        <v>15</v>
      </c>
      <c r="E58" s="250">
        <v>11</v>
      </c>
      <c r="F58" s="946"/>
      <c r="G58" s="97"/>
      <c r="H58" s="946"/>
    </row>
    <row r="59" spans="1:8" s="224" customFormat="1" hidden="1" x14ac:dyDescent="0.25">
      <c r="A59" s="215">
        <v>41988</v>
      </c>
      <c r="B59" s="862" t="s">
        <v>654</v>
      </c>
      <c r="C59" s="879" t="s">
        <v>12</v>
      </c>
      <c r="D59" s="887" t="s">
        <v>15</v>
      </c>
      <c r="E59" s="250">
        <v>25.3</v>
      </c>
      <c r="F59" s="1473"/>
      <c r="G59" s="252"/>
      <c r="H59" s="1473"/>
    </row>
    <row r="60" spans="1:8" s="224" customFormat="1" ht="15.75" hidden="1" customHeight="1" x14ac:dyDescent="0.25">
      <c r="A60" s="215">
        <v>41988</v>
      </c>
      <c r="B60" s="1489" t="s">
        <v>80</v>
      </c>
      <c r="C60" s="879" t="s">
        <v>12</v>
      </c>
      <c r="D60" s="887" t="s">
        <v>15</v>
      </c>
      <c r="E60" s="250">
        <v>10</v>
      </c>
      <c r="F60" s="946"/>
      <c r="G60" s="97"/>
      <c r="H60" s="946"/>
    </row>
    <row r="61" spans="1:8" s="224" customFormat="1" ht="15.75" hidden="1" customHeight="1" x14ac:dyDescent="0.25">
      <c r="A61" s="215">
        <v>41988</v>
      </c>
      <c r="B61" s="1489" t="s">
        <v>413</v>
      </c>
      <c r="C61" s="879" t="s">
        <v>12</v>
      </c>
      <c r="D61" s="887" t="s">
        <v>13</v>
      </c>
      <c r="E61" s="250">
        <v>78</v>
      </c>
      <c r="F61" s="946"/>
      <c r="G61" s="97"/>
      <c r="H61" s="946"/>
    </row>
    <row r="62" spans="1:8" s="224" customFormat="1" ht="15.75" hidden="1" customHeight="1" x14ac:dyDescent="0.25">
      <c r="A62" s="215">
        <v>41989</v>
      </c>
      <c r="B62" s="862" t="s">
        <v>32</v>
      </c>
      <c r="C62" s="879" t="s">
        <v>12</v>
      </c>
      <c r="D62" s="887" t="s">
        <v>15</v>
      </c>
      <c r="E62" s="250">
        <v>7</v>
      </c>
      <c r="F62" s="946"/>
      <c r="G62" s="97"/>
      <c r="H62" s="946"/>
    </row>
    <row r="63" spans="1:8" s="224" customFormat="1" ht="15.75" hidden="1" customHeight="1" x14ac:dyDescent="0.25">
      <c r="A63" s="215">
        <v>41989</v>
      </c>
      <c r="B63" s="862" t="s">
        <v>134</v>
      </c>
      <c r="C63" s="879" t="s">
        <v>12</v>
      </c>
      <c r="D63" s="887" t="s">
        <v>15</v>
      </c>
      <c r="E63" s="250">
        <v>7</v>
      </c>
      <c r="F63" s="946"/>
      <c r="G63" s="97"/>
      <c r="H63" s="946"/>
    </row>
    <row r="64" spans="1:8" s="224" customFormat="1" ht="15.75" hidden="1" customHeight="1" x14ac:dyDescent="0.25">
      <c r="A64" s="215">
        <v>41990</v>
      </c>
      <c r="B64" s="862" t="s">
        <v>32</v>
      </c>
      <c r="C64" s="879" t="s">
        <v>12</v>
      </c>
      <c r="D64" s="887" t="s">
        <v>13</v>
      </c>
      <c r="E64" s="250">
        <v>11</v>
      </c>
      <c r="F64" s="946"/>
      <c r="G64" s="97"/>
      <c r="H64" s="946"/>
    </row>
    <row r="65" spans="1:12" s="224" customFormat="1" ht="15.75" hidden="1" customHeight="1" x14ac:dyDescent="0.25">
      <c r="A65" s="215">
        <v>41990</v>
      </c>
      <c r="B65" s="862" t="s">
        <v>668</v>
      </c>
      <c r="C65" s="879" t="s">
        <v>12</v>
      </c>
      <c r="D65" s="887" t="s">
        <v>13</v>
      </c>
      <c r="E65" s="250">
        <v>24</v>
      </c>
      <c r="F65" s="946"/>
      <c r="G65" s="97"/>
      <c r="H65" s="946"/>
    </row>
    <row r="66" spans="1:12" s="224" customFormat="1" ht="15.75" hidden="1" customHeight="1" x14ac:dyDescent="0.25">
      <c r="A66" s="215">
        <v>41990</v>
      </c>
      <c r="B66" s="862" t="s">
        <v>669</v>
      </c>
      <c r="C66" s="879" t="s">
        <v>12</v>
      </c>
      <c r="D66" s="887" t="s">
        <v>13</v>
      </c>
      <c r="E66" s="250">
        <v>29</v>
      </c>
      <c r="F66" s="946"/>
      <c r="G66" s="97"/>
      <c r="H66" s="946"/>
    </row>
    <row r="67" spans="1:12" s="224" customFormat="1" ht="15.75" hidden="1" customHeight="1" x14ac:dyDescent="0.25">
      <c r="A67" s="215">
        <v>41991</v>
      </c>
      <c r="B67" s="862" t="s">
        <v>32</v>
      </c>
      <c r="C67" s="879" t="s">
        <v>12</v>
      </c>
      <c r="D67" s="887" t="s">
        <v>13</v>
      </c>
      <c r="E67" s="250">
        <v>11</v>
      </c>
      <c r="F67" s="946"/>
      <c r="G67" s="97"/>
      <c r="H67" s="946"/>
    </row>
    <row r="68" spans="1:12" s="224" customFormat="1" ht="15.75" hidden="1" customHeight="1" x14ac:dyDescent="0.25">
      <c r="A68" s="215">
        <v>41991</v>
      </c>
      <c r="B68" s="862" t="s">
        <v>14</v>
      </c>
      <c r="C68" s="879" t="s">
        <v>12</v>
      </c>
      <c r="D68" s="887" t="s">
        <v>15</v>
      </c>
      <c r="E68" s="250">
        <v>3.8</v>
      </c>
      <c r="F68" s="946"/>
      <c r="G68" s="97"/>
      <c r="H68" s="946"/>
    </row>
    <row r="69" spans="1:12" s="224" customFormat="1" ht="15.75" hidden="1" customHeight="1" x14ac:dyDescent="0.25">
      <c r="A69" s="215">
        <v>41991</v>
      </c>
      <c r="B69" s="349" t="s">
        <v>256</v>
      </c>
      <c r="C69" s="350"/>
      <c r="D69" s="141"/>
      <c r="E69" s="97"/>
      <c r="F69" s="946">
        <v>200</v>
      </c>
      <c r="G69" s="97">
        <v>200</v>
      </c>
      <c r="H69" s="946"/>
    </row>
    <row r="70" spans="1:12" s="224" customFormat="1" ht="15.75" hidden="1" customHeight="1" x14ac:dyDescent="0.25">
      <c r="A70" s="215">
        <v>41992</v>
      </c>
      <c r="B70" s="862" t="s">
        <v>32</v>
      </c>
      <c r="C70" s="879" t="s">
        <v>12</v>
      </c>
      <c r="D70" s="887" t="s">
        <v>13</v>
      </c>
      <c r="E70" s="250">
        <v>7</v>
      </c>
      <c r="F70" s="946"/>
      <c r="G70" s="97"/>
      <c r="H70" s="946"/>
    </row>
    <row r="71" spans="1:12" s="224" customFormat="1" hidden="1" x14ac:dyDescent="0.25">
      <c r="A71" s="215">
        <v>41992</v>
      </c>
      <c r="B71" s="349" t="s">
        <v>670</v>
      </c>
      <c r="C71" s="350" t="s">
        <v>12</v>
      </c>
      <c r="D71" s="141" t="s">
        <v>25</v>
      </c>
      <c r="E71" s="250"/>
      <c r="F71" s="1473">
        <v>1194.6600000000001</v>
      </c>
      <c r="G71" s="252"/>
      <c r="H71" s="1473"/>
    </row>
    <row r="72" spans="1:12" hidden="1" x14ac:dyDescent="0.25">
      <c r="A72" s="215">
        <v>41992</v>
      </c>
      <c r="B72" s="349" t="s">
        <v>336</v>
      </c>
      <c r="C72" s="350" t="s">
        <v>12</v>
      </c>
      <c r="D72" s="141" t="s">
        <v>25</v>
      </c>
      <c r="E72" s="250"/>
      <c r="F72" s="946">
        <v>1874.46</v>
      </c>
      <c r="G72" s="95"/>
      <c r="H72" s="946"/>
    </row>
    <row r="73" spans="1:12" hidden="1" x14ac:dyDescent="0.25">
      <c r="A73" s="215">
        <v>41992</v>
      </c>
      <c r="B73" s="349" t="s">
        <v>671</v>
      </c>
      <c r="C73" s="350" t="s">
        <v>12</v>
      </c>
      <c r="D73" s="141" t="s">
        <v>25</v>
      </c>
      <c r="E73" s="250"/>
      <c r="F73" s="946">
        <v>163.35</v>
      </c>
      <c r="G73" s="95"/>
      <c r="H73" s="946"/>
    </row>
    <row r="74" spans="1:12" s="459" customFormat="1" hidden="1" x14ac:dyDescent="0.25">
      <c r="A74" s="452">
        <v>41992</v>
      </c>
      <c r="B74" s="611" t="s">
        <v>672</v>
      </c>
      <c r="C74" s="454" t="s">
        <v>12</v>
      </c>
      <c r="D74" s="612" t="s">
        <v>13</v>
      </c>
      <c r="E74" s="613"/>
      <c r="F74" s="614"/>
      <c r="G74" s="615"/>
      <c r="H74" s="614"/>
      <c r="I74" s="3097"/>
      <c r="J74" s="3098"/>
      <c r="K74" s="3098"/>
      <c r="L74" s="3098"/>
    </row>
    <row r="75" spans="1:12" hidden="1" x14ac:dyDescent="0.25">
      <c r="A75" s="215">
        <v>41992</v>
      </c>
      <c r="B75" s="349" t="s">
        <v>673</v>
      </c>
      <c r="C75" s="350" t="s">
        <v>12</v>
      </c>
      <c r="D75" s="141" t="s">
        <v>13</v>
      </c>
      <c r="E75" s="97">
        <v>225</v>
      </c>
      <c r="F75" s="946"/>
      <c r="G75" s="95"/>
      <c r="H75" s="946"/>
    </row>
    <row r="76" spans="1:12" s="224" customFormat="1" ht="15.75" hidden="1" customHeight="1" x14ac:dyDescent="0.25">
      <c r="A76" s="215">
        <v>41992</v>
      </c>
      <c r="B76" s="349" t="s">
        <v>260</v>
      </c>
      <c r="C76" s="350"/>
      <c r="D76" s="141"/>
      <c r="E76" s="97">
        <v>2640</v>
      </c>
      <c r="F76" s="946"/>
      <c r="G76" s="97"/>
      <c r="H76" s="946">
        <v>2640</v>
      </c>
    </row>
    <row r="77" spans="1:12" s="224" customFormat="1" ht="15.75" hidden="1" customHeight="1" x14ac:dyDescent="0.25">
      <c r="A77" s="215">
        <v>41993</v>
      </c>
      <c r="B77" s="862" t="s">
        <v>674</v>
      </c>
      <c r="C77" s="879" t="s">
        <v>12</v>
      </c>
      <c r="D77" s="887" t="s">
        <v>13</v>
      </c>
      <c r="E77" s="250">
        <v>6.5</v>
      </c>
      <c r="F77" s="946"/>
      <c r="G77" s="97"/>
      <c r="H77" s="946"/>
    </row>
    <row r="78" spans="1:12" s="224" customFormat="1" ht="15.75" hidden="1" customHeight="1" x14ac:dyDescent="0.25">
      <c r="A78" s="215">
        <v>41993</v>
      </c>
      <c r="B78" s="862" t="s">
        <v>14</v>
      </c>
      <c r="C78" s="879" t="s">
        <v>12</v>
      </c>
      <c r="D78" s="887" t="s">
        <v>15</v>
      </c>
      <c r="E78" s="250">
        <v>4</v>
      </c>
      <c r="F78" s="946"/>
      <c r="G78" s="97"/>
      <c r="H78" s="946"/>
    </row>
    <row r="79" spans="1:12" s="224" customFormat="1" ht="15.75" hidden="1" customHeight="1" x14ac:dyDescent="0.25">
      <c r="A79" s="215">
        <v>41993</v>
      </c>
      <c r="B79" s="862" t="s">
        <v>138</v>
      </c>
      <c r="C79" s="879" t="s">
        <v>19</v>
      </c>
      <c r="D79" s="887" t="s">
        <v>13</v>
      </c>
      <c r="E79" s="250">
        <v>60</v>
      </c>
      <c r="F79" s="946"/>
      <c r="G79" s="97"/>
      <c r="H79" s="946"/>
    </row>
    <row r="80" spans="1:12" s="224" customFormat="1" ht="15.75" hidden="1" customHeight="1" x14ac:dyDescent="0.25">
      <c r="A80" s="215">
        <v>41993</v>
      </c>
      <c r="B80" s="862" t="s">
        <v>82</v>
      </c>
      <c r="C80" s="879" t="s">
        <v>12</v>
      </c>
      <c r="D80" s="887" t="s">
        <v>13</v>
      </c>
      <c r="E80" s="250">
        <v>18</v>
      </c>
      <c r="F80" s="946"/>
      <c r="G80" s="97"/>
      <c r="H80" s="946"/>
    </row>
    <row r="81" spans="1:16" s="224" customFormat="1" ht="15.75" hidden="1" customHeight="1" x14ac:dyDescent="0.25">
      <c r="A81" s="215">
        <v>41994</v>
      </c>
      <c r="B81" s="862" t="s">
        <v>14</v>
      </c>
      <c r="C81" s="879" t="s">
        <v>12</v>
      </c>
      <c r="D81" s="887" t="s">
        <v>13</v>
      </c>
      <c r="E81" s="250">
        <v>8.1199999999999992</v>
      </c>
      <c r="F81" s="946"/>
      <c r="G81" s="97"/>
      <c r="H81" s="946"/>
    </row>
    <row r="82" spans="1:16" s="224" customFormat="1" ht="15.75" hidden="1" customHeight="1" x14ac:dyDescent="0.25">
      <c r="A82" s="215">
        <v>41994</v>
      </c>
      <c r="B82" s="862" t="s">
        <v>17</v>
      </c>
      <c r="C82" s="879" t="s">
        <v>12</v>
      </c>
      <c r="D82" s="887" t="s">
        <v>15</v>
      </c>
      <c r="E82" s="250">
        <v>9</v>
      </c>
      <c r="F82" s="946"/>
      <c r="G82" s="97"/>
      <c r="H82" s="946"/>
    </row>
    <row r="83" spans="1:16" s="224" customFormat="1" ht="15.75" hidden="1" customHeight="1" x14ac:dyDescent="0.25">
      <c r="A83" s="215">
        <v>41994</v>
      </c>
      <c r="B83" s="862" t="s">
        <v>675</v>
      </c>
      <c r="C83" s="879" t="s">
        <v>12</v>
      </c>
      <c r="D83" s="887" t="s">
        <v>15</v>
      </c>
      <c r="E83" s="250">
        <v>90</v>
      </c>
      <c r="F83" s="946"/>
      <c r="G83" s="97"/>
      <c r="H83" s="946"/>
    </row>
    <row r="84" spans="1:16" s="224" customFormat="1" ht="15.75" hidden="1" customHeight="1" x14ac:dyDescent="0.25">
      <c r="A84" s="215">
        <v>41995</v>
      </c>
      <c r="B84" s="862" t="s">
        <v>32</v>
      </c>
      <c r="C84" s="879" t="s">
        <v>12</v>
      </c>
      <c r="D84" s="887" t="s">
        <v>15</v>
      </c>
      <c r="E84" s="250">
        <v>13</v>
      </c>
      <c r="F84" s="946"/>
      <c r="G84" s="97"/>
      <c r="H84" s="946"/>
    </row>
    <row r="85" spans="1:16" s="224" customFormat="1" ht="15.75" hidden="1" customHeight="1" x14ac:dyDescent="0.25">
      <c r="A85" s="215">
        <v>41995</v>
      </c>
      <c r="B85" s="862" t="s">
        <v>134</v>
      </c>
      <c r="C85" s="879" t="s">
        <v>12</v>
      </c>
      <c r="D85" s="887" t="s">
        <v>15</v>
      </c>
      <c r="E85" s="250">
        <v>7</v>
      </c>
      <c r="F85" s="946"/>
      <c r="G85" s="97"/>
      <c r="H85" s="946"/>
    </row>
    <row r="86" spans="1:16" s="224" customFormat="1" ht="15.75" hidden="1" customHeight="1" x14ac:dyDescent="0.25">
      <c r="A86" s="215">
        <v>41995</v>
      </c>
      <c r="B86" s="862" t="s">
        <v>676</v>
      </c>
      <c r="C86" s="879" t="s">
        <v>12</v>
      </c>
      <c r="D86" s="887" t="s">
        <v>13</v>
      </c>
      <c r="E86" s="250">
        <v>178.5</v>
      </c>
      <c r="F86" s="946"/>
      <c r="G86" s="97"/>
      <c r="H86" s="946"/>
    </row>
    <row r="87" spans="1:16" s="224" customFormat="1" ht="15.75" hidden="1" customHeight="1" x14ac:dyDescent="0.25">
      <c r="A87" s="215">
        <v>41995</v>
      </c>
      <c r="B87" s="862" t="s">
        <v>677</v>
      </c>
      <c r="C87" s="879" t="s">
        <v>12</v>
      </c>
      <c r="D87" s="887" t="s">
        <v>13</v>
      </c>
      <c r="E87" s="250">
        <v>13.45</v>
      </c>
      <c r="F87" s="946"/>
      <c r="G87" s="97"/>
      <c r="H87" s="946"/>
    </row>
    <row r="88" spans="1:16" s="224" customFormat="1" ht="15.75" hidden="1" customHeight="1" x14ac:dyDescent="0.25">
      <c r="A88" s="215">
        <v>41996</v>
      </c>
      <c r="B88" s="349" t="s">
        <v>256</v>
      </c>
      <c r="C88" s="350"/>
      <c r="D88" s="145"/>
      <c r="E88" s="97"/>
      <c r="F88" s="946">
        <v>750</v>
      </c>
      <c r="G88" s="97">
        <v>750</v>
      </c>
      <c r="H88" s="946"/>
      <c r="O88" s="79"/>
      <c r="P88" s="79"/>
    </row>
    <row r="89" spans="1:16" hidden="1" x14ac:dyDescent="0.25">
      <c r="A89" s="215">
        <v>41996</v>
      </c>
      <c r="B89" s="862" t="s">
        <v>678</v>
      </c>
      <c r="C89" s="879" t="s">
        <v>12</v>
      </c>
      <c r="D89" s="887" t="s">
        <v>15</v>
      </c>
      <c r="E89" s="250">
        <v>80</v>
      </c>
      <c r="F89" s="946"/>
      <c r="G89" s="95"/>
      <c r="H89" s="946"/>
    </row>
    <row r="90" spans="1:16" hidden="1" x14ac:dyDescent="0.25">
      <c r="A90" s="215">
        <v>41996</v>
      </c>
      <c r="B90" s="862" t="s">
        <v>32</v>
      </c>
      <c r="C90" s="879" t="s">
        <v>12</v>
      </c>
      <c r="D90" s="887" t="s">
        <v>15</v>
      </c>
      <c r="E90" s="250">
        <v>12</v>
      </c>
      <c r="F90" s="946"/>
      <c r="G90" s="95"/>
      <c r="H90" s="946"/>
    </row>
    <row r="91" spans="1:16" hidden="1" x14ac:dyDescent="0.25">
      <c r="A91" s="215">
        <v>41996</v>
      </c>
      <c r="B91" s="862" t="s">
        <v>679</v>
      </c>
      <c r="C91" s="879" t="s">
        <v>12</v>
      </c>
      <c r="D91" s="887" t="s">
        <v>15</v>
      </c>
      <c r="E91" s="250">
        <v>20</v>
      </c>
      <c r="F91" s="946"/>
      <c r="G91" s="95"/>
      <c r="H91" s="946"/>
    </row>
    <row r="92" spans="1:16" hidden="1" x14ac:dyDescent="0.25">
      <c r="A92" s="215">
        <v>41996</v>
      </c>
      <c r="B92" s="862" t="s">
        <v>680</v>
      </c>
      <c r="C92" s="879" t="s">
        <v>12</v>
      </c>
      <c r="D92" s="887" t="s">
        <v>15</v>
      </c>
      <c r="E92" s="250">
        <v>40</v>
      </c>
      <c r="F92" s="946"/>
      <c r="G92" s="95"/>
      <c r="H92" s="946"/>
    </row>
    <row r="93" spans="1:16" hidden="1" x14ac:dyDescent="0.25">
      <c r="A93" s="215">
        <v>41997</v>
      </c>
      <c r="B93" s="862" t="s">
        <v>32</v>
      </c>
      <c r="C93" s="879" t="s">
        <v>12</v>
      </c>
      <c r="D93" s="887" t="s">
        <v>13</v>
      </c>
      <c r="E93" s="250">
        <v>11</v>
      </c>
      <c r="F93" s="946"/>
      <c r="G93" s="95"/>
      <c r="H93" s="946"/>
      <c r="O93" s="224"/>
      <c r="P93" s="224"/>
    </row>
    <row r="94" spans="1:16" s="224" customFormat="1" ht="15.75" hidden="1" customHeight="1" x14ac:dyDescent="0.25">
      <c r="A94" s="215">
        <v>41998</v>
      </c>
      <c r="B94" s="862" t="s">
        <v>196</v>
      </c>
      <c r="C94" s="879" t="s">
        <v>12</v>
      </c>
      <c r="D94" s="887" t="s">
        <v>15</v>
      </c>
      <c r="E94" s="250">
        <v>20</v>
      </c>
      <c r="F94" s="1473"/>
      <c r="G94" s="252"/>
      <c r="H94" s="1473"/>
    </row>
    <row r="95" spans="1:16" s="224" customFormat="1" ht="15.75" hidden="1" customHeight="1" x14ac:dyDescent="0.25">
      <c r="A95" s="215">
        <v>41998</v>
      </c>
      <c r="B95" s="862" t="s">
        <v>14</v>
      </c>
      <c r="C95" s="879" t="s">
        <v>12</v>
      </c>
      <c r="D95" s="887" t="s">
        <v>13</v>
      </c>
      <c r="E95" s="250">
        <v>19.46</v>
      </c>
      <c r="F95" s="1473"/>
      <c r="G95" s="252"/>
      <c r="H95" s="1473"/>
      <c r="O95" s="79"/>
      <c r="P95" s="79"/>
    </row>
    <row r="96" spans="1:16" hidden="1" x14ac:dyDescent="0.25">
      <c r="A96" s="215">
        <v>41999</v>
      </c>
      <c r="B96" s="862" t="s">
        <v>32</v>
      </c>
      <c r="C96" s="879" t="s">
        <v>12</v>
      </c>
      <c r="D96" s="887" t="s">
        <v>15</v>
      </c>
      <c r="E96" s="250">
        <v>11</v>
      </c>
      <c r="F96" s="946"/>
      <c r="G96" s="95"/>
      <c r="H96" s="946"/>
      <c r="O96" s="224"/>
      <c r="P96" s="224"/>
    </row>
    <row r="97" spans="1:8" s="224" customFormat="1" ht="15.75" hidden="1" customHeight="1" x14ac:dyDescent="0.25">
      <c r="A97" s="215">
        <v>41999</v>
      </c>
      <c r="B97" s="862" t="s">
        <v>81</v>
      </c>
      <c r="C97" s="879" t="s">
        <v>12</v>
      </c>
      <c r="D97" s="887" t="s">
        <v>13</v>
      </c>
      <c r="E97" s="250">
        <v>4.5</v>
      </c>
      <c r="F97" s="1473"/>
      <c r="G97" s="252"/>
      <c r="H97" s="1473"/>
    </row>
    <row r="98" spans="1:8" s="224" customFormat="1" ht="15.75" hidden="1" customHeight="1" x14ac:dyDescent="0.25">
      <c r="A98" s="215">
        <v>41999</v>
      </c>
      <c r="B98" s="862" t="s">
        <v>681</v>
      </c>
      <c r="C98" s="879" t="s">
        <v>12</v>
      </c>
      <c r="D98" s="887" t="s">
        <v>13</v>
      </c>
      <c r="E98" s="250">
        <v>69.8</v>
      </c>
      <c r="F98" s="1473"/>
      <c r="G98" s="252"/>
      <c r="H98" s="1473"/>
    </row>
    <row r="99" spans="1:8" s="224" customFormat="1" ht="15.75" hidden="1" customHeight="1" x14ac:dyDescent="0.25">
      <c r="A99" s="215">
        <v>41999</v>
      </c>
      <c r="B99" s="862" t="s">
        <v>682</v>
      </c>
      <c r="C99" s="879" t="s">
        <v>12</v>
      </c>
      <c r="D99" s="887" t="s">
        <v>15</v>
      </c>
      <c r="E99" s="250">
        <v>80</v>
      </c>
      <c r="F99" s="946"/>
      <c r="G99" s="97"/>
      <c r="H99" s="946"/>
    </row>
    <row r="100" spans="1:8" s="224" customFormat="1" ht="15.75" hidden="1" customHeight="1" x14ac:dyDescent="0.25">
      <c r="A100" s="215">
        <v>42000</v>
      </c>
      <c r="B100" s="862" t="s">
        <v>14</v>
      </c>
      <c r="C100" s="879" t="s">
        <v>12</v>
      </c>
      <c r="D100" s="887" t="s">
        <v>15</v>
      </c>
      <c r="E100" s="250">
        <v>2</v>
      </c>
      <c r="F100" s="1473"/>
      <c r="G100" s="252"/>
      <c r="H100" s="1473"/>
    </row>
    <row r="101" spans="1:8" s="224" customFormat="1" ht="15.75" hidden="1" customHeight="1" x14ac:dyDescent="0.25">
      <c r="A101" s="215">
        <v>42000</v>
      </c>
      <c r="B101" s="862" t="s">
        <v>478</v>
      </c>
      <c r="C101" s="350" t="s">
        <v>12</v>
      </c>
      <c r="D101" s="141" t="s">
        <v>15</v>
      </c>
      <c r="E101" s="97">
        <v>9</v>
      </c>
      <c r="F101" s="1473"/>
      <c r="G101" s="252"/>
      <c r="H101" s="1473"/>
    </row>
    <row r="102" spans="1:8" s="224" customFormat="1" ht="15.75" hidden="1" customHeight="1" x14ac:dyDescent="0.25">
      <c r="A102" s="215">
        <v>42000</v>
      </c>
      <c r="B102" s="862" t="s">
        <v>82</v>
      </c>
      <c r="C102" s="350" t="s">
        <v>12</v>
      </c>
      <c r="D102" s="141" t="s">
        <v>15</v>
      </c>
      <c r="E102" s="97">
        <v>17</v>
      </c>
      <c r="F102" s="1473"/>
      <c r="G102" s="252"/>
      <c r="H102" s="1473"/>
    </row>
    <row r="103" spans="1:8" s="224" customFormat="1" ht="15.75" hidden="1" customHeight="1" x14ac:dyDescent="0.25">
      <c r="A103" s="215">
        <v>42001</v>
      </c>
      <c r="B103" s="862" t="s">
        <v>14</v>
      </c>
      <c r="C103" s="879" t="s">
        <v>12</v>
      </c>
      <c r="D103" s="887" t="s">
        <v>13</v>
      </c>
      <c r="E103" s="250">
        <v>21.54</v>
      </c>
      <c r="F103" s="946"/>
      <c r="G103" s="97"/>
      <c r="H103" s="946"/>
    </row>
    <row r="104" spans="1:8" s="224" customFormat="1" ht="15.75" hidden="1" customHeight="1" x14ac:dyDescent="0.25">
      <c r="A104" s="215">
        <v>42002</v>
      </c>
      <c r="B104" s="349" t="s">
        <v>256</v>
      </c>
      <c r="C104" s="350"/>
      <c r="D104" s="141"/>
      <c r="E104" s="97"/>
      <c r="F104" s="946">
        <v>500</v>
      </c>
      <c r="G104" s="97">
        <v>500</v>
      </c>
      <c r="H104" s="946"/>
    </row>
    <row r="105" spans="1:8" s="224" customFormat="1" ht="15.75" hidden="1" customHeight="1" x14ac:dyDescent="0.25">
      <c r="A105" s="215">
        <v>42002</v>
      </c>
      <c r="B105" s="862" t="s">
        <v>32</v>
      </c>
      <c r="C105" s="879" t="s">
        <v>12</v>
      </c>
      <c r="D105" s="887" t="s">
        <v>13</v>
      </c>
      <c r="E105" s="250">
        <v>11</v>
      </c>
      <c r="F105" s="946"/>
      <c r="G105" s="97"/>
      <c r="H105" s="946"/>
    </row>
    <row r="106" spans="1:8" s="224" customFormat="1" ht="15.75" hidden="1" customHeight="1" x14ac:dyDescent="0.25">
      <c r="A106" s="215">
        <v>42002</v>
      </c>
      <c r="B106" s="862" t="s">
        <v>138</v>
      </c>
      <c r="C106" s="879" t="s">
        <v>19</v>
      </c>
      <c r="D106" s="887" t="s">
        <v>13</v>
      </c>
      <c r="E106" s="250">
        <v>60</v>
      </c>
      <c r="F106" s="946"/>
      <c r="G106" s="97"/>
      <c r="H106" s="946"/>
    </row>
    <row r="107" spans="1:8" s="224" customFormat="1" ht="15.75" hidden="1" customHeight="1" x14ac:dyDescent="0.25">
      <c r="A107" s="215">
        <v>42002</v>
      </c>
      <c r="B107" s="862" t="s">
        <v>683</v>
      </c>
      <c r="C107" s="879" t="s">
        <v>12</v>
      </c>
      <c r="D107" s="887" t="s">
        <v>13</v>
      </c>
      <c r="E107" s="250">
        <v>40</v>
      </c>
      <c r="F107" s="946"/>
      <c r="G107" s="97"/>
      <c r="H107" s="946"/>
    </row>
    <row r="108" spans="1:8" s="224" customFormat="1" ht="15.75" hidden="1" customHeight="1" x14ac:dyDescent="0.25">
      <c r="A108" s="215">
        <v>42002</v>
      </c>
      <c r="B108" s="862" t="s">
        <v>421</v>
      </c>
      <c r="C108" s="879" t="s">
        <v>12</v>
      </c>
      <c r="D108" s="887" t="s">
        <v>13</v>
      </c>
      <c r="E108" s="250">
        <v>43</v>
      </c>
      <c r="F108" s="946"/>
      <c r="G108" s="97"/>
      <c r="H108" s="946"/>
    </row>
    <row r="109" spans="1:8" s="224" customFormat="1" ht="15.75" hidden="1" customHeight="1" x14ac:dyDescent="0.25">
      <c r="A109" s="215">
        <v>42002</v>
      </c>
      <c r="B109" s="862" t="s">
        <v>684</v>
      </c>
      <c r="C109" s="879" t="s">
        <v>12</v>
      </c>
      <c r="D109" s="887" t="s">
        <v>15</v>
      </c>
      <c r="E109" s="250">
        <v>10</v>
      </c>
      <c r="F109" s="946"/>
      <c r="G109" s="97"/>
      <c r="H109" s="946"/>
    </row>
    <row r="110" spans="1:8" s="224" customFormat="1" ht="15.75" hidden="1" customHeight="1" x14ac:dyDescent="0.25">
      <c r="A110" s="215">
        <v>42002</v>
      </c>
      <c r="B110" s="862" t="s">
        <v>103</v>
      </c>
      <c r="C110" s="879" t="s">
        <v>12</v>
      </c>
      <c r="D110" s="887" t="s">
        <v>15</v>
      </c>
      <c r="E110" s="250">
        <v>6.5</v>
      </c>
      <c r="F110" s="946"/>
      <c r="G110" s="97"/>
      <c r="H110" s="946"/>
    </row>
    <row r="111" spans="1:8" hidden="1" x14ac:dyDescent="0.25">
      <c r="A111" s="215">
        <v>42003</v>
      </c>
      <c r="B111" s="862" t="s">
        <v>32</v>
      </c>
      <c r="C111" s="879" t="s">
        <v>12</v>
      </c>
      <c r="D111" s="887" t="s">
        <v>13</v>
      </c>
      <c r="E111" s="250">
        <v>11</v>
      </c>
      <c r="F111" s="946"/>
      <c r="G111" s="95"/>
      <c r="H111" s="946"/>
    </row>
    <row r="112" spans="1:8" hidden="1" x14ac:dyDescent="0.25">
      <c r="A112" s="215">
        <v>42003</v>
      </c>
      <c r="B112" s="862" t="s">
        <v>685</v>
      </c>
      <c r="C112" s="879" t="s">
        <v>12</v>
      </c>
      <c r="D112" s="887" t="s">
        <v>13</v>
      </c>
      <c r="E112" s="250">
        <v>79.5</v>
      </c>
      <c r="F112" s="946"/>
      <c r="G112" s="95"/>
      <c r="H112" s="946"/>
    </row>
    <row r="113" spans="1:8" hidden="1" x14ac:dyDescent="0.25">
      <c r="A113" s="215">
        <v>42003</v>
      </c>
      <c r="B113" s="862" t="s">
        <v>686</v>
      </c>
      <c r="C113" s="879" t="s">
        <v>12</v>
      </c>
      <c r="D113" s="887" t="s">
        <v>15</v>
      </c>
      <c r="E113" s="250">
        <v>300</v>
      </c>
      <c r="F113" s="946"/>
      <c r="G113" s="95"/>
      <c r="H113" s="946"/>
    </row>
    <row r="114" spans="1:8" hidden="1" x14ac:dyDescent="0.25">
      <c r="A114" s="215">
        <v>42003</v>
      </c>
      <c r="B114" s="862" t="s">
        <v>687</v>
      </c>
      <c r="C114" s="879" t="s">
        <v>12</v>
      </c>
      <c r="D114" s="887" t="s">
        <v>13</v>
      </c>
      <c r="E114" s="250">
        <v>13.26</v>
      </c>
      <c r="F114" s="946"/>
      <c r="G114" s="95"/>
      <c r="H114" s="946"/>
    </row>
    <row r="115" spans="1:8" hidden="1" x14ac:dyDescent="0.25">
      <c r="A115" s="215">
        <v>42004</v>
      </c>
      <c r="B115" s="862" t="s">
        <v>32</v>
      </c>
      <c r="C115" s="879" t="s">
        <v>12</v>
      </c>
      <c r="D115" s="887" t="s">
        <v>13</v>
      </c>
      <c r="E115" s="250">
        <v>11</v>
      </c>
      <c r="F115" s="946"/>
      <c r="G115" s="95"/>
      <c r="H115" s="946"/>
    </row>
    <row r="116" spans="1:8" hidden="1" x14ac:dyDescent="0.25">
      <c r="A116" s="215">
        <v>42004</v>
      </c>
      <c r="B116" s="862" t="s">
        <v>688</v>
      </c>
      <c r="C116" s="879" t="s">
        <v>12</v>
      </c>
      <c r="D116" s="887" t="s">
        <v>15</v>
      </c>
      <c r="E116" s="250">
        <v>25</v>
      </c>
      <c r="F116" s="946"/>
      <c r="G116" s="95"/>
      <c r="H116" s="946"/>
    </row>
    <row r="117" spans="1:8" hidden="1" x14ac:dyDescent="0.25">
      <c r="A117" s="215">
        <v>42004</v>
      </c>
      <c r="B117" s="862" t="s">
        <v>689</v>
      </c>
      <c r="C117" s="879" t="s">
        <v>12</v>
      </c>
      <c r="D117" s="887" t="s">
        <v>13</v>
      </c>
      <c r="E117" s="250">
        <v>16.93</v>
      </c>
      <c r="F117" s="946"/>
      <c r="G117" s="95"/>
      <c r="H117" s="946"/>
    </row>
    <row r="118" spans="1:8" hidden="1" x14ac:dyDescent="0.25">
      <c r="A118" s="215">
        <v>42004</v>
      </c>
      <c r="B118" s="862" t="s">
        <v>690</v>
      </c>
      <c r="C118" s="879" t="s">
        <v>12</v>
      </c>
      <c r="D118" s="887" t="s">
        <v>15</v>
      </c>
      <c r="E118" s="250">
        <v>5</v>
      </c>
      <c r="F118" s="946"/>
      <c r="G118" s="95"/>
      <c r="H118" s="946"/>
    </row>
    <row r="119" spans="1:8" ht="25.5" hidden="1" customHeight="1" thickBot="1" x14ac:dyDescent="0.3">
      <c r="A119" s="3060"/>
      <c r="B119" s="3061"/>
      <c r="C119" s="3062"/>
      <c r="D119" s="3062"/>
      <c r="E119" s="100">
        <f>SUM(E5:E118)</f>
        <v>9640.8300000000017</v>
      </c>
      <c r="F119" s="1065">
        <f>SUM(F5:F118)</f>
        <v>10336.457</v>
      </c>
      <c r="G119" s="101">
        <f>SUM(G5:G118)</f>
        <v>2050</v>
      </c>
      <c r="H119" s="93">
        <f>SUM(H5:H118)</f>
        <v>5097.8500000000004</v>
      </c>
    </row>
    <row r="120" spans="1:8" ht="25.5" hidden="1" customHeight="1" thickBot="1" x14ac:dyDescent="0.3">
      <c r="A120" s="3077" t="s">
        <v>49</v>
      </c>
      <c r="B120" s="3078"/>
      <c r="C120" s="3078"/>
      <c r="D120" s="3078"/>
      <c r="E120" s="144"/>
      <c r="F120" s="519">
        <f>F119-E119</f>
        <v>695.62699999999859</v>
      </c>
      <c r="G120" s="555"/>
      <c r="H120" s="556">
        <f>H119-G119</f>
        <v>3047.8500000000004</v>
      </c>
    </row>
    <row r="122" spans="1:8" x14ac:dyDescent="0.25">
      <c r="B122" s="79" t="s">
        <v>32</v>
      </c>
      <c r="C122" s="484">
        <v>224.75</v>
      </c>
    </row>
    <row r="123" spans="1:8" x14ac:dyDescent="0.25">
      <c r="B123" s="79" t="s">
        <v>16</v>
      </c>
      <c r="C123" s="484">
        <v>304.5</v>
      </c>
      <c r="D123" s="79"/>
    </row>
    <row r="124" spans="1:8" x14ac:dyDescent="0.25">
      <c r="B124" s="79" t="s">
        <v>50</v>
      </c>
      <c r="C124" s="484">
        <v>215.83</v>
      </c>
    </row>
    <row r="125" spans="1:8" s="85" customFormat="1" x14ac:dyDescent="0.25">
      <c r="A125" s="79"/>
      <c r="B125" s="79" t="s">
        <v>14</v>
      </c>
      <c r="C125" s="475">
        <v>109.09</v>
      </c>
      <c r="E125" s="89"/>
      <c r="F125" s="79"/>
      <c r="G125" s="79"/>
    </row>
    <row r="126" spans="1:8" s="85" customFormat="1" x14ac:dyDescent="0.25">
      <c r="A126" s="79"/>
      <c r="B126" s="79" t="s">
        <v>51</v>
      </c>
      <c r="C126" s="475">
        <v>44.06</v>
      </c>
      <c r="E126" s="89"/>
      <c r="F126" s="79"/>
      <c r="G126" s="79"/>
      <c r="H126" s="79"/>
    </row>
    <row r="127" spans="1:8" s="85" customFormat="1" x14ac:dyDescent="0.25">
      <c r="A127" s="79"/>
      <c r="B127" s="79" t="s">
        <v>52</v>
      </c>
      <c r="C127" s="475"/>
      <c r="E127" s="89"/>
      <c r="F127" s="79"/>
      <c r="G127" s="79"/>
      <c r="H127" s="79"/>
    </row>
    <row r="128" spans="1:8" s="85" customFormat="1" x14ac:dyDescent="0.25">
      <c r="A128" s="79"/>
      <c r="B128" s="867" t="s">
        <v>53</v>
      </c>
      <c r="C128" s="475">
        <v>701.15</v>
      </c>
      <c r="D128" s="89"/>
      <c r="E128" s="89"/>
      <c r="F128" s="79"/>
      <c r="G128" s="79"/>
      <c r="H128" s="79"/>
    </row>
    <row r="129" spans="1:9" s="85" customFormat="1" x14ac:dyDescent="0.25">
      <c r="A129" s="79"/>
      <c r="B129" s="79" t="s">
        <v>56</v>
      </c>
      <c r="C129" s="475">
        <v>21.48</v>
      </c>
      <c r="E129" s="89"/>
      <c r="F129" s="79"/>
      <c r="G129" s="79"/>
      <c r="H129" s="79"/>
    </row>
    <row r="130" spans="1:9" s="85" customFormat="1" x14ac:dyDescent="0.25">
      <c r="A130" s="79"/>
      <c r="B130" s="79" t="s">
        <v>57</v>
      </c>
      <c r="C130" s="475">
        <v>70</v>
      </c>
      <c r="E130" s="89"/>
      <c r="F130" s="79"/>
      <c r="G130" s="79"/>
      <c r="H130" s="79"/>
    </row>
    <row r="131" spans="1:9" s="85" customFormat="1" x14ac:dyDescent="0.25">
      <c r="A131" s="79"/>
      <c r="B131" s="79" t="s">
        <v>418</v>
      </c>
      <c r="C131" s="475">
        <v>1713.65</v>
      </c>
      <c r="E131" s="89"/>
      <c r="F131" s="79"/>
      <c r="G131" s="79"/>
      <c r="H131" s="79"/>
    </row>
    <row r="132" spans="1:9" s="85" customFormat="1" x14ac:dyDescent="0.25">
      <c r="A132" s="79"/>
      <c r="B132" s="79" t="s">
        <v>419</v>
      </c>
      <c r="C132" s="475">
        <v>226.59</v>
      </c>
      <c r="D132" s="79"/>
      <c r="E132" s="89"/>
      <c r="F132" s="79"/>
      <c r="G132" s="79"/>
      <c r="H132" s="79"/>
    </row>
    <row r="134" spans="1:9" x14ac:dyDescent="0.25">
      <c r="B134" s="79" t="s">
        <v>486</v>
      </c>
      <c r="C134" s="475">
        <f>G134/I134</f>
        <v>143.87032258064514</v>
      </c>
      <c r="E134" s="3096" t="s">
        <v>487</v>
      </c>
      <c r="F134" s="3096"/>
      <c r="G134" s="216">
        <v>4459.9799999999996</v>
      </c>
      <c r="H134" s="518" t="s">
        <v>488</v>
      </c>
      <c r="I134" s="85">
        <v>31</v>
      </c>
    </row>
  </sheetData>
  <autoFilter ref="A2:H120" xr:uid="{00000000-0009-0000-0000-000018000000}">
    <filterColumn colId="1">
      <customFilters>
        <customFilter val="*apt*"/>
      </customFilters>
    </filterColumn>
  </autoFilter>
  <mergeCells count="12">
    <mergeCell ref="I74:L74"/>
    <mergeCell ref="A119:D119"/>
    <mergeCell ref="A120:D120"/>
    <mergeCell ref="E134:F13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17"/>
  <dimension ref="A1:P62"/>
  <sheetViews>
    <sheetView topLeftCell="B32" workbookViewId="0">
      <selection activeCell="D49" sqref="D49"/>
    </sheetView>
  </sheetViews>
  <sheetFormatPr defaultColWidth="9.140625" defaultRowHeight="15" x14ac:dyDescent="0.25"/>
  <cols>
    <col min="1" max="1" width="28.7109375" style="79" customWidth="1"/>
    <col min="2" max="2" width="17.5703125" style="79" customWidth="1"/>
    <col min="3" max="3" width="15.140625" style="89" customWidth="1"/>
    <col min="4" max="5" width="13.42578125" style="85" bestFit="1" customWidth="1"/>
    <col min="6" max="6" width="13.42578125" style="89" bestFit="1" customWidth="1"/>
    <col min="7" max="11" width="13.42578125" style="79" bestFit="1" customWidth="1"/>
    <col min="12" max="12" width="13.42578125" style="79" customWidth="1"/>
    <col min="13" max="13" width="16.42578125" style="79" customWidth="1"/>
    <col min="14" max="14" width="17.7109375" style="79" bestFit="1" customWidth="1"/>
    <col min="15" max="15" width="13.42578125" style="79" customWidth="1"/>
    <col min="16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691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3" t="s">
        <v>357</v>
      </c>
      <c r="P2" s="329"/>
    </row>
    <row r="3" spans="1:16" x14ac:dyDescent="0.25">
      <c r="A3" s="329" t="s">
        <v>32</v>
      </c>
      <c r="B3" s="336">
        <f>C3/12</f>
        <v>175.13750000000002</v>
      </c>
      <c r="C3" s="332">
        <f>D3+E3+F3+G3+H3+I3+J3+K3+L3+M3+N3+O3</f>
        <v>2101.65</v>
      </c>
      <c r="D3" s="337">
        <f>'Janeiro-14'!C92</f>
        <v>156.5</v>
      </c>
      <c r="E3" s="547">
        <f>'Fevereiro-14'!C86</f>
        <v>175.2</v>
      </c>
      <c r="F3" s="549">
        <f>'Março-14'!C97</f>
        <v>192.3</v>
      </c>
      <c r="G3" s="337">
        <f>'Abril-14'!C104</f>
        <v>140.75</v>
      </c>
      <c r="H3" s="549">
        <f>'Maio-14'!C93</f>
        <v>229.65</v>
      </c>
      <c r="I3" s="337">
        <f>'Junho-2014'!C110</f>
        <v>134</v>
      </c>
      <c r="J3" s="549">
        <f>'Julho-14'!C107</f>
        <v>160</v>
      </c>
      <c r="K3" s="549">
        <f>'Agosto-14'!C102</f>
        <v>180</v>
      </c>
      <c r="L3" s="337">
        <f>'Setembro-14'!C90</f>
        <v>152.5</v>
      </c>
      <c r="M3" s="561">
        <f>'Outubro-14'!C100</f>
        <v>186.5</v>
      </c>
      <c r="N3" s="388">
        <f>'Novembro-14'!C93</f>
        <v>169.5</v>
      </c>
      <c r="O3" s="561">
        <f>'Dezembro-14'!C122</f>
        <v>224.75</v>
      </c>
      <c r="P3" s="329"/>
    </row>
    <row r="4" spans="1:16" x14ac:dyDescent="0.25">
      <c r="A4" s="329" t="s">
        <v>16</v>
      </c>
      <c r="B4" s="336">
        <f t="shared" ref="B4:B11" si="0">C4/12</f>
        <v>237.875</v>
      </c>
      <c r="C4" s="332">
        <f t="shared" ref="C4:C14" si="1">D4+E4+F4+G4+H4+I4+J4+K4+L4+M4+N4+O4</f>
        <v>2854.5</v>
      </c>
      <c r="D4" s="337">
        <f>'Janeiro-14'!C93</f>
        <v>250</v>
      </c>
      <c r="E4" s="338">
        <f>'Fevereiro-14'!C87</f>
        <v>230</v>
      </c>
      <c r="F4" s="549">
        <f>'Março-14'!C98</f>
        <v>280</v>
      </c>
      <c r="G4" s="337">
        <f>'Abril-14'!C105</f>
        <v>230</v>
      </c>
      <c r="H4" s="337">
        <f>'Maio-14'!C94</f>
        <v>190</v>
      </c>
      <c r="I4" s="549">
        <f>'Junho-2014'!C111</f>
        <v>200</v>
      </c>
      <c r="J4" s="549">
        <f>'Julho-14'!C108</f>
        <v>210</v>
      </c>
      <c r="K4" s="549">
        <f>'Agosto-14'!C103</f>
        <v>300</v>
      </c>
      <c r="L4" s="337">
        <f>'Setembro-14'!C91</f>
        <v>250</v>
      </c>
      <c r="M4" s="388">
        <f>'Outubro-14'!C101</f>
        <v>230</v>
      </c>
      <c r="N4" s="388">
        <f>'Novembro-14'!C94</f>
        <v>180</v>
      </c>
      <c r="O4" s="561">
        <f>'Dezembro-14'!C123</f>
        <v>304.5</v>
      </c>
      <c r="P4" s="329"/>
    </row>
    <row r="5" spans="1:16" x14ac:dyDescent="0.25">
      <c r="A5" s="329" t="s">
        <v>50</v>
      </c>
      <c r="B5" s="336">
        <f t="shared" si="0"/>
        <v>148.51166666666666</v>
      </c>
      <c r="C5" s="332">
        <f t="shared" si="1"/>
        <v>1782.1399999999999</v>
      </c>
      <c r="D5" s="337">
        <f>'Janeiro-14'!C94</f>
        <v>140.30000000000001</v>
      </c>
      <c r="E5" s="547">
        <f>'Fevereiro-14'!C88</f>
        <v>168.7</v>
      </c>
      <c r="F5" s="549">
        <f>'Março-14'!C99</f>
        <v>205.05</v>
      </c>
      <c r="G5" s="337">
        <f>'Abril-14'!C106</f>
        <v>105.4</v>
      </c>
      <c r="H5" s="549">
        <f>'Maio-14'!C95</f>
        <v>209.38</v>
      </c>
      <c r="I5" s="337">
        <f>'Junho-2014'!C112</f>
        <v>149.5</v>
      </c>
      <c r="J5" s="337">
        <f>'Julho-14'!C109</f>
        <v>84.27</v>
      </c>
      <c r="K5" s="549">
        <f>'Agosto-14'!C104</f>
        <v>166.17</v>
      </c>
      <c r="L5" s="337">
        <f>'Setembro-14'!C92</f>
        <v>74.040000000000006</v>
      </c>
      <c r="M5" s="561">
        <f>'Outubro-14'!C102</f>
        <v>82</v>
      </c>
      <c r="N5" s="561">
        <f>'Novembro-14'!C95</f>
        <v>181.5</v>
      </c>
      <c r="O5" s="561">
        <f>'Dezembro-14'!C124</f>
        <v>215.83</v>
      </c>
      <c r="P5" s="329"/>
    </row>
    <row r="6" spans="1:16" x14ac:dyDescent="0.25">
      <c r="A6" s="329" t="s">
        <v>14</v>
      </c>
      <c r="B6" s="336">
        <f t="shared" si="0"/>
        <v>123.625</v>
      </c>
      <c r="C6" s="332">
        <f t="shared" si="1"/>
        <v>1483.5</v>
      </c>
      <c r="D6" s="337">
        <f>'Janeiro-14'!C95</f>
        <v>19.68</v>
      </c>
      <c r="E6" s="547">
        <f>'Fevereiro-14'!C89</f>
        <v>68.319999999999993</v>
      </c>
      <c r="F6" s="549">
        <f>'Março-14'!C100</f>
        <v>108.76</v>
      </c>
      <c r="G6" s="337">
        <f>'Abril-14'!C107</f>
        <v>104.78</v>
      </c>
      <c r="H6" s="337">
        <f>'Maio-14'!C96</f>
        <v>85.69</v>
      </c>
      <c r="I6" s="549">
        <f>'Junho-2014'!C113</f>
        <v>208.52</v>
      </c>
      <c r="J6" s="337">
        <f>'Julho-14'!C110</f>
        <v>136.86000000000001</v>
      </c>
      <c r="K6" s="337">
        <f>'Agosto-14'!C105</f>
        <v>135.80000000000001</v>
      </c>
      <c r="L6" s="337">
        <f>'Setembro-14'!C93</f>
        <v>108.04</v>
      </c>
      <c r="M6" s="561">
        <f>'Outubro-14'!C103</f>
        <v>207.5</v>
      </c>
      <c r="N6" s="388">
        <f>'Novembro-14'!C96</f>
        <v>190.46</v>
      </c>
      <c r="O6" s="388">
        <f>'Dezembro-14'!C125</f>
        <v>109.09</v>
      </c>
      <c r="P6" s="329"/>
    </row>
    <row r="7" spans="1:16" x14ac:dyDescent="0.25">
      <c r="A7" s="329" t="s">
        <v>358</v>
      </c>
      <c r="B7" s="336">
        <f t="shared" si="0"/>
        <v>69.137499999999989</v>
      </c>
      <c r="C7" s="332">
        <f t="shared" si="1"/>
        <v>829.64999999999986</v>
      </c>
      <c r="D7" s="337">
        <f>'Janeiro-14'!C96</f>
        <v>108.6</v>
      </c>
      <c r="E7" s="338">
        <f>'Fevereiro-14'!C90</f>
        <v>85.6</v>
      </c>
      <c r="F7" s="337">
        <f>'Março-14'!C101</f>
        <v>80.239999999999995</v>
      </c>
      <c r="G7" s="549">
        <f>'Abril-14'!C108</f>
        <v>86.33</v>
      </c>
      <c r="H7" s="337">
        <f>'Maio-14'!C97</f>
        <v>33.64</v>
      </c>
      <c r="I7" s="549">
        <f>'Junho-2014'!C114</f>
        <v>64.08</v>
      </c>
      <c r="J7" s="337">
        <f>'Julho-14'!C111</f>
        <v>62.2</v>
      </c>
      <c r="K7" s="549">
        <f>'Agosto-14'!C106</f>
        <v>67.599999999999994</v>
      </c>
      <c r="L7" s="337">
        <f>'Setembro-14'!C94</f>
        <v>67.34</v>
      </c>
      <c r="M7" s="561">
        <f>'Outubro-14'!C104</f>
        <v>67.66</v>
      </c>
      <c r="N7" s="388">
        <f>'Novembro-14'!C97</f>
        <v>62.3</v>
      </c>
      <c r="O7" s="388">
        <f>'Dezembro-14'!C126</f>
        <v>44.06</v>
      </c>
      <c r="P7" s="329"/>
    </row>
    <row r="8" spans="1:16" x14ac:dyDescent="0.25">
      <c r="A8" s="329" t="s">
        <v>52</v>
      </c>
      <c r="B8" s="336">
        <f t="shared" si="0"/>
        <v>46.666666666666664</v>
      </c>
      <c r="C8" s="332">
        <f t="shared" si="1"/>
        <v>560</v>
      </c>
      <c r="D8" s="337">
        <f>'Janeiro-14'!C97</f>
        <v>50</v>
      </c>
      <c r="E8" s="338">
        <f>'Fevereiro-14'!C91</f>
        <v>50</v>
      </c>
      <c r="F8" s="337">
        <f>'Março-14'!C102</f>
        <v>50</v>
      </c>
      <c r="G8" s="337">
        <f>'Abril-14'!C109</f>
        <v>50</v>
      </c>
      <c r="H8" s="549">
        <f>'Maio-14'!C98</f>
        <v>60</v>
      </c>
      <c r="I8" s="337">
        <f>'Junho-2014'!C115</f>
        <v>50</v>
      </c>
      <c r="J8" s="337">
        <f>'Julho-14'!C112</f>
        <v>50</v>
      </c>
      <c r="K8" s="337">
        <f>'Agosto-14'!C107</f>
        <v>50</v>
      </c>
      <c r="L8" s="337">
        <f>'Setembro-14'!C95</f>
        <v>50</v>
      </c>
      <c r="M8" s="388">
        <f>'Outubro-14'!C105</f>
        <v>50</v>
      </c>
      <c r="N8" s="388">
        <f>'Novembro-14'!C98</f>
        <v>50</v>
      </c>
      <c r="O8" s="388">
        <v>0</v>
      </c>
      <c r="P8" s="329"/>
    </row>
    <row r="9" spans="1:16" x14ac:dyDescent="0.25">
      <c r="A9" s="329" t="s">
        <v>53</v>
      </c>
      <c r="B9" s="336">
        <f t="shared" si="0"/>
        <v>147.06166666666664</v>
      </c>
      <c r="C9" s="332">
        <f t="shared" si="1"/>
        <v>1764.7399999999998</v>
      </c>
      <c r="D9" s="337">
        <f>'Janeiro-14'!C98</f>
        <v>200</v>
      </c>
      <c r="E9" s="338">
        <f>'Fevereiro-14'!C92</f>
        <v>63.5</v>
      </c>
      <c r="F9" s="337">
        <f>'Março-14'!C103</f>
        <v>25</v>
      </c>
      <c r="G9" s="549">
        <f>'Abril-14'!C110</f>
        <v>113.65</v>
      </c>
      <c r="H9" s="337">
        <f>'Maio-14'!C99</f>
        <v>0</v>
      </c>
      <c r="I9" s="549">
        <f>'Junho-2014'!C116</f>
        <v>21</v>
      </c>
      <c r="J9" s="549">
        <f>'Julho-14'!C113</f>
        <v>292.60000000000002</v>
      </c>
      <c r="K9" s="337">
        <f>'Agosto-14'!C108</f>
        <v>11</v>
      </c>
      <c r="L9" s="337">
        <f>'Setembro-14'!C96</f>
        <v>11</v>
      </c>
      <c r="M9" s="561">
        <f>'Outubro-14'!C106</f>
        <v>161</v>
      </c>
      <c r="N9" s="561">
        <f>'Novembro-14'!C99</f>
        <v>164.84</v>
      </c>
      <c r="O9" s="561">
        <f>'Dezembro-14'!C128</f>
        <v>701.15</v>
      </c>
      <c r="P9" s="329"/>
    </row>
    <row r="10" spans="1:16" x14ac:dyDescent="0.25">
      <c r="A10" s="329" t="s">
        <v>56</v>
      </c>
      <c r="B10" s="336">
        <f t="shared" si="0"/>
        <v>53.211666666666673</v>
      </c>
      <c r="C10" s="332">
        <f t="shared" si="1"/>
        <v>638.54000000000008</v>
      </c>
      <c r="D10" s="338">
        <f>'Janeiro-14'!C99</f>
        <v>320.64</v>
      </c>
      <c r="E10" s="338">
        <f>'Fevereiro-14'!C93</f>
        <v>92.43</v>
      </c>
      <c r="F10" s="337">
        <f>'Março-14'!C104</f>
        <v>40.479999999999997</v>
      </c>
      <c r="G10" s="388">
        <f>'Abril-14'!C111</f>
        <v>17.899999999999999</v>
      </c>
      <c r="H10" s="388">
        <f>'Maio-14'!C100</f>
        <v>0</v>
      </c>
      <c r="I10" s="561">
        <f>'Junho-2014'!C117</f>
        <v>46.88</v>
      </c>
      <c r="J10" s="388">
        <f>'Julho-14'!C114</f>
        <v>38.03</v>
      </c>
      <c r="K10" s="388">
        <f>'Agosto-14'!C109</f>
        <v>17</v>
      </c>
      <c r="L10" s="561">
        <f>'Setembro-14'!C97</f>
        <v>26.7</v>
      </c>
      <c r="M10" s="388">
        <f>'Outubro-14'!C107</f>
        <v>0</v>
      </c>
      <c r="N10" s="561">
        <f>'Novembro-14'!C100</f>
        <v>17</v>
      </c>
      <c r="O10" s="561">
        <f>'Dezembro-14'!C129</f>
        <v>21.48</v>
      </c>
      <c r="P10" s="329"/>
    </row>
    <row r="11" spans="1:16" x14ac:dyDescent="0.25">
      <c r="A11" s="329" t="s">
        <v>57</v>
      </c>
      <c r="B11" s="336">
        <f t="shared" si="0"/>
        <v>80.299166666666679</v>
      </c>
      <c r="C11" s="332">
        <f t="shared" si="1"/>
        <v>963.59000000000015</v>
      </c>
      <c r="D11" s="420">
        <f>'Janeiro-14'!C100</f>
        <v>146.80000000000001</v>
      </c>
      <c r="E11" s="338">
        <f>'Fevereiro-14'!C94</f>
        <v>50</v>
      </c>
      <c r="F11" s="549">
        <f>'Março-14'!C105</f>
        <v>137.69999999999999</v>
      </c>
      <c r="G11" s="388">
        <f>'Abril-14'!C112</f>
        <v>123.27</v>
      </c>
      <c r="H11" s="388">
        <f>'Maio-14'!C101</f>
        <v>78.33</v>
      </c>
      <c r="I11" s="561">
        <f>'Junho-2014'!C118</f>
        <v>88.33</v>
      </c>
      <c r="J11" s="388">
        <f>'Julho-14'!C115</f>
        <v>75.25</v>
      </c>
      <c r="K11" s="561">
        <f>'Agosto-14'!C110</f>
        <v>77.09</v>
      </c>
      <c r="L11" s="388">
        <f>'Setembro-14'!C98</f>
        <v>52.1</v>
      </c>
      <c r="M11" s="561">
        <f>'Outubro-14'!C108</f>
        <v>64.72</v>
      </c>
      <c r="N11" s="388">
        <f>'Novembro-14'!C101</f>
        <v>0</v>
      </c>
      <c r="O11" s="561">
        <f>'Dezembro-14'!C130</f>
        <v>70</v>
      </c>
    </row>
    <row r="12" spans="1:16" x14ac:dyDescent="0.25">
      <c r="A12" s="329" t="s">
        <v>692</v>
      </c>
      <c r="B12" s="336">
        <f>C12/12</f>
        <v>206.25</v>
      </c>
      <c r="C12" s="332">
        <f t="shared" si="1"/>
        <v>2475</v>
      </c>
      <c r="D12" s="420">
        <v>0</v>
      </c>
      <c r="E12" s="338">
        <v>225</v>
      </c>
      <c r="F12" s="337">
        <v>225</v>
      </c>
      <c r="G12" s="388">
        <v>225</v>
      </c>
      <c r="H12" s="388">
        <v>225</v>
      </c>
      <c r="I12" s="565">
        <v>225</v>
      </c>
      <c r="J12" s="388">
        <v>225</v>
      </c>
      <c r="K12" s="388">
        <v>225</v>
      </c>
      <c r="L12" s="388">
        <v>225</v>
      </c>
      <c r="M12" s="388">
        <v>225</v>
      </c>
      <c r="N12" s="388">
        <v>225</v>
      </c>
      <c r="O12" s="388">
        <v>225</v>
      </c>
    </row>
    <row r="13" spans="1:16" x14ac:dyDescent="0.25">
      <c r="A13" s="329" t="s">
        <v>418</v>
      </c>
      <c r="B13" s="336">
        <f>C13/12</f>
        <v>387.58249999999998</v>
      </c>
      <c r="C13" s="332">
        <f t="shared" si="1"/>
        <v>4650.99</v>
      </c>
      <c r="D13" s="420">
        <f>'Janeiro-14'!$C$101</f>
        <v>175.6</v>
      </c>
      <c r="E13" s="338">
        <f>'Fevereiro-14'!$C$95</f>
        <v>0</v>
      </c>
      <c r="F13" s="337">
        <f>'Março-14'!$C$106</f>
        <v>0</v>
      </c>
      <c r="G13" s="388">
        <f>'Abril-14'!$C$113</f>
        <v>0</v>
      </c>
      <c r="H13" s="388">
        <f>'Maio-14'!$C$102</f>
        <v>656.61</v>
      </c>
      <c r="I13" s="561">
        <f>'Junho-2014'!C119</f>
        <v>738</v>
      </c>
      <c r="J13" s="388">
        <f>'Julho-14'!C116</f>
        <v>320.76</v>
      </c>
      <c r="K13" s="388">
        <f>'Agosto-14'!C111</f>
        <v>133.33000000000001</v>
      </c>
      <c r="L13" s="388">
        <f>'Setembro-14'!C99</f>
        <v>133.33000000000001</v>
      </c>
      <c r="M13" s="388">
        <f>'Outubro-14'!C109</f>
        <v>0</v>
      </c>
      <c r="N13" s="561">
        <f>'Novembro-14'!C102</f>
        <v>779.71</v>
      </c>
      <c r="O13" s="561">
        <f>'Dezembro-14'!C131</f>
        <v>1713.65</v>
      </c>
    </row>
    <row r="14" spans="1:16" x14ac:dyDescent="0.25">
      <c r="A14" s="329" t="s">
        <v>419</v>
      </c>
      <c r="B14" s="336">
        <f>C14/12</f>
        <v>112.20083333333332</v>
      </c>
      <c r="C14" s="332">
        <f t="shared" si="1"/>
        <v>1346.4099999999999</v>
      </c>
      <c r="D14" s="586">
        <f>'Janeiro-14'!C102</f>
        <v>40.950000000000003</v>
      </c>
      <c r="E14" s="587">
        <v>0</v>
      </c>
      <c r="F14" s="588">
        <v>0</v>
      </c>
      <c r="G14" s="561">
        <f>'Abril-14'!C114</f>
        <v>19</v>
      </c>
      <c r="H14" s="565">
        <v>0</v>
      </c>
      <c r="I14" s="565">
        <v>0</v>
      </c>
      <c r="J14" s="561">
        <f>'Julho-14'!C117</f>
        <v>33</v>
      </c>
      <c r="K14" s="561">
        <f>'Agosto-14'!C112</f>
        <v>119.55</v>
      </c>
      <c r="L14" s="561">
        <f>'Setembro-14'!C100</f>
        <v>470.89</v>
      </c>
      <c r="M14" s="388">
        <f>'Outubro-14'!C110</f>
        <v>291.49</v>
      </c>
      <c r="N14" s="388">
        <f>'Novembro-14'!C103</f>
        <v>144.94</v>
      </c>
      <c r="O14" s="561">
        <f>'Dezembro-14'!C132</f>
        <v>226.59</v>
      </c>
    </row>
    <row r="15" spans="1:16" ht="15.75" x14ac:dyDescent="0.25">
      <c r="A15" s="389" t="s">
        <v>361</v>
      </c>
      <c r="B15" s="551">
        <f t="shared" ref="B15:G15" si="2">SUM(B3:B14)</f>
        <v>1787.5591666666664</v>
      </c>
      <c r="C15" s="552">
        <f>SUM(C3:C14)</f>
        <v>21450.71</v>
      </c>
      <c r="D15" s="391">
        <f>SUM(D3:D14)</f>
        <v>1609.0699999999997</v>
      </c>
      <c r="E15" s="391">
        <f t="shared" si="2"/>
        <v>1208.75</v>
      </c>
      <c r="F15" s="391">
        <f t="shared" si="2"/>
        <v>1344.53</v>
      </c>
      <c r="G15" s="391">
        <f t="shared" si="2"/>
        <v>1216.08</v>
      </c>
      <c r="H15" s="391">
        <f t="shared" ref="H15:N15" si="3">SUM(H3:H14)</f>
        <v>1768.3000000000002</v>
      </c>
      <c r="I15" s="391">
        <f t="shared" si="3"/>
        <v>1925.31</v>
      </c>
      <c r="J15" s="391">
        <f t="shared" si="3"/>
        <v>1687.97</v>
      </c>
      <c r="K15" s="391">
        <f t="shared" si="3"/>
        <v>1482.54</v>
      </c>
      <c r="L15" s="391">
        <f t="shared" si="3"/>
        <v>1620.94</v>
      </c>
      <c r="M15" s="391">
        <f t="shared" si="3"/>
        <v>1565.87</v>
      </c>
      <c r="N15" s="391">
        <f t="shared" si="3"/>
        <v>2165.25</v>
      </c>
      <c r="O15" s="616">
        <f>SUM(O3:O14)</f>
        <v>3856.1000000000004</v>
      </c>
    </row>
    <row r="18" spans="1:14" ht="23.25" customHeight="1" x14ac:dyDescent="0.25"/>
    <row r="21" spans="1:14" x14ac:dyDescent="0.25">
      <c r="N21" s="865"/>
    </row>
    <row r="23" spans="1:14" s="200" customFormat="1" ht="17.25" customHeight="1" x14ac:dyDescent="0.3">
      <c r="A23" s="198" t="s">
        <v>362</v>
      </c>
      <c r="B23" s="199">
        <v>1815</v>
      </c>
      <c r="C23" s="196"/>
      <c r="D23" s="196"/>
      <c r="E23" s="196"/>
      <c r="F23" s="196"/>
      <c r="G23" s="196"/>
      <c r="H23" s="196"/>
      <c r="I23" s="196"/>
      <c r="J23" s="196"/>
      <c r="K23" s="196"/>
      <c r="L23" s="196"/>
      <c r="M23" s="196"/>
    </row>
    <row r="24" spans="1:14" s="200" customFormat="1" ht="17.25" customHeight="1" x14ac:dyDescent="0.3">
      <c r="A24" s="198"/>
      <c r="B24" s="199"/>
      <c r="C24" s="196"/>
      <c r="D24" s="196"/>
      <c r="E24" s="196"/>
      <c r="F24" s="196"/>
      <c r="G24" s="196"/>
      <c r="H24" s="196"/>
      <c r="I24" s="196"/>
      <c r="J24" s="196"/>
      <c r="K24" s="196"/>
      <c r="L24" s="196"/>
      <c r="M24" s="196"/>
      <c r="N24" s="196"/>
    </row>
    <row r="25" spans="1:14" ht="15.75" x14ac:dyDescent="0.25">
      <c r="A25" s="197" t="s">
        <v>693</v>
      </c>
      <c r="B25" s="278" t="s">
        <v>345</v>
      </c>
      <c r="C25" s="193" t="s">
        <v>346</v>
      </c>
      <c r="D25" s="195" t="s">
        <v>347</v>
      </c>
      <c r="E25" s="195" t="s">
        <v>348</v>
      </c>
      <c r="F25" s="195" t="s">
        <v>349</v>
      </c>
      <c r="G25" s="195" t="s">
        <v>364</v>
      </c>
      <c r="H25" s="195" t="s">
        <v>351</v>
      </c>
      <c r="I25" s="195" t="s">
        <v>352</v>
      </c>
      <c r="J25" s="193" t="s">
        <v>353</v>
      </c>
      <c r="K25" s="193" t="s">
        <v>354</v>
      </c>
      <c r="L25" s="193" t="s">
        <v>355</v>
      </c>
      <c r="M25" s="193" t="s">
        <v>694</v>
      </c>
      <c r="N25" s="193" t="s">
        <v>357</v>
      </c>
    </row>
    <row r="26" spans="1:14" x14ac:dyDescent="0.25">
      <c r="A26" s="79" t="s">
        <v>366</v>
      </c>
      <c r="B26" s="279">
        <f>C26+D26+E26+F26+G26+H26+I26+J26+K26+L26+M26+N26</f>
        <v>9114.66</v>
      </c>
      <c r="C26" s="865">
        <v>660</v>
      </c>
      <c r="D26" s="865">
        <v>726</v>
      </c>
      <c r="E26" s="865">
        <v>726</v>
      </c>
      <c r="F26" s="865">
        <v>726</v>
      </c>
      <c r="G26" s="865">
        <v>726</v>
      </c>
      <c r="H26" s="865">
        <v>726</v>
      </c>
      <c r="I26" s="865">
        <v>726</v>
      </c>
      <c r="J26" s="865">
        <v>726</v>
      </c>
      <c r="K26" s="865">
        <v>726</v>
      </c>
      <c r="L26" s="865">
        <v>726</v>
      </c>
      <c r="M26" s="865">
        <v>726</v>
      </c>
      <c r="N26" s="865">
        <v>1194.6600000000001</v>
      </c>
    </row>
    <row r="27" spans="1:14" x14ac:dyDescent="0.25">
      <c r="A27" s="79" t="s">
        <v>367</v>
      </c>
      <c r="B27" s="279">
        <f>C27+D27+E27+F27+G27+H27+I27+J27+K27+L27+M27+N27</f>
        <v>11114.859999999999</v>
      </c>
      <c r="C27" s="865">
        <v>983.42</v>
      </c>
      <c r="D27" s="865">
        <v>917.42</v>
      </c>
      <c r="E27" s="865">
        <v>917.05</v>
      </c>
      <c r="F27" s="865">
        <v>917.05</v>
      </c>
      <c r="G27" s="865">
        <v>917.05</v>
      </c>
      <c r="H27" s="865">
        <v>917.05</v>
      </c>
      <c r="I27" s="865">
        <v>915.93</v>
      </c>
      <c r="J27" s="865">
        <v>917.05</v>
      </c>
      <c r="K27" s="865">
        <v>894.82</v>
      </c>
      <c r="L27" s="865">
        <v>917.05</v>
      </c>
      <c r="M27" s="216">
        <v>1900.97</v>
      </c>
      <c r="N27" s="865"/>
    </row>
    <row r="28" spans="1:14" x14ac:dyDescent="0.25">
      <c r="A28" s="79" t="s">
        <v>368</v>
      </c>
      <c r="B28" s="279">
        <f>C28+D28+E28+F28+G28+H28+I28+J28+K28+L28+M28+N28</f>
        <v>2140</v>
      </c>
      <c r="C28" s="865"/>
      <c r="D28" s="865"/>
      <c r="E28" s="865"/>
      <c r="F28" s="865"/>
      <c r="G28" s="865"/>
      <c r="H28" s="865"/>
      <c r="I28" s="865"/>
      <c r="J28" s="865"/>
      <c r="K28" s="865"/>
      <c r="L28" s="216"/>
      <c r="M28" s="865">
        <v>2140</v>
      </c>
      <c r="N28" s="865"/>
    </row>
    <row r="29" spans="1:14" x14ac:dyDescent="0.25">
      <c r="A29" s="79" t="s">
        <v>369</v>
      </c>
      <c r="B29" s="279">
        <f>C29+D29+E29+F29+G29+H29+I29+J29+K29+L29+M29+N29</f>
        <v>2779.46</v>
      </c>
      <c r="C29" s="865"/>
      <c r="D29" s="865"/>
      <c r="E29" s="865"/>
      <c r="F29" s="865"/>
      <c r="G29" s="865"/>
      <c r="H29" s="865"/>
      <c r="I29" s="865"/>
      <c r="J29" s="865"/>
      <c r="K29" s="865"/>
      <c r="L29" s="216"/>
      <c r="M29" s="216">
        <v>905</v>
      </c>
      <c r="N29" s="216">
        <v>1874.46</v>
      </c>
    </row>
    <row r="30" spans="1:14" x14ac:dyDescent="0.25">
      <c r="A30" s="79" t="s">
        <v>370</v>
      </c>
      <c r="B30" s="279">
        <f>C30+D30+E30+F30+G30+H30+I30+J30+K30+L30+M30+N30</f>
        <v>163.35</v>
      </c>
      <c r="C30" s="865"/>
      <c r="D30" s="865"/>
      <c r="E30" s="865"/>
      <c r="F30" s="865"/>
      <c r="G30" s="865"/>
      <c r="H30" s="865"/>
      <c r="I30" s="865"/>
      <c r="J30" s="865"/>
      <c r="K30" s="865"/>
      <c r="L30" s="216"/>
      <c r="M30" s="216"/>
      <c r="N30" s="216">
        <v>163.35</v>
      </c>
    </row>
    <row r="31" spans="1:14" ht="15.75" x14ac:dyDescent="0.25">
      <c r="A31" s="280" t="s">
        <v>361</v>
      </c>
      <c r="B31" s="206">
        <f>SUM(B26:B30)</f>
        <v>25312.329999999994</v>
      </c>
      <c r="C31" s="206">
        <f t="shared" ref="C31:L31" si="4">SUM(C26:C27)</f>
        <v>1643.42</v>
      </c>
      <c r="D31" s="206">
        <f t="shared" si="4"/>
        <v>1643.42</v>
      </c>
      <c r="E31" s="206">
        <f t="shared" si="4"/>
        <v>1643.05</v>
      </c>
      <c r="F31" s="206">
        <f t="shared" si="4"/>
        <v>1643.05</v>
      </c>
      <c r="G31" s="206">
        <f t="shared" si="4"/>
        <v>1643.05</v>
      </c>
      <c r="H31" s="206">
        <f t="shared" si="4"/>
        <v>1643.05</v>
      </c>
      <c r="I31" s="206">
        <f t="shared" si="4"/>
        <v>1641.9299999999998</v>
      </c>
      <c r="J31" s="206">
        <f t="shared" si="4"/>
        <v>1643.05</v>
      </c>
      <c r="K31" s="206">
        <f t="shared" si="4"/>
        <v>1620.8200000000002</v>
      </c>
      <c r="L31" s="206">
        <f t="shared" si="4"/>
        <v>1643.05</v>
      </c>
      <c r="M31" s="206">
        <f>SUM(M26:M30)</f>
        <v>5671.97</v>
      </c>
      <c r="N31" s="1488">
        <f>SUM(N26:N30)</f>
        <v>3232.47</v>
      </c>
    </row>
    <row r="32" spans="1:14" ht="15.75" x14ac:dyDescent="0.25">
      <c r="A32" s="280"/>
      <c r="B32" s="206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1488"/>
    </row>
    <row r="33" spans="1:14" x14ac:dyDescent="0.25">
      <c r="B33" s="206"/>
      <c r="C33" s="865"/>
      <c r="D33" s="865"/>
      <c r="E33" s="865"/>
      <c r="F33" s="865"/>
      <c r="G33" s="865"/>
      <c r="H33" s="865"/>
      <c r="I33" s="865"/>
    </row>
    <row r="34" spans="1:14" x14ac:dyDescent="0.25">
      <c r="A34" s="81" t="s">
        <v>371</v>
      </c>
      <c r="B34" s="206">
        <f>C34+D34+E34+F34+G34+H34+I34+J34+K34+M34+L34+N34</f>
        <v>1645.6000000000001</v>
      </c>
      <c r="C34" s="177">
        <v>145.19999999999999</v>
      </c>
      <c r="D34" s="177">
        <v>145.19999999999999</v>
      </c>
      <c r="E34" s="177">
        <v>145.19999999999999</v>
      </c>
      <c r="F34" s="177">
        <v>145.19999999999999</v>
      </c>
      <c r="G34" s="177">
        <v>145.19999999999999</v>
      </c>
      <c r="H34" s="177">
        <v>145.19999999999999</v>
      </c>
      <c r="I34" s="177">
        <v>145.19999999999999</v>
      </c>
      <c r="J34" s="177">
        <v>145.19999999999999</v>
      </c>
      <c r="K34" s="177">
        <v>145.19999999999999</v>
      </c>
      <c r="L34" s="177">
        <v>145.19999999999999</v>
      </c>
      <c r="M34" s="177">
        <v>193.6</v>
      </c>
      <c r="N34" s="216"/>
    </row>
    <row r="35" spans="1:14" x14ac:dyDescent="0.25">
      <c r="A35" s="81" t="s">
        <v>372</v>
      </c>
      <c r="B35" s="206"/>
      <c r="C35" s="177"/>
      <c r="D35" s="177"/>
      <c r="E35" s="177"/>
      <c r="F35" s="177"/>
      <c r="G35" s="177"/>
      <c r="H35" s="177"/>
      <c r="I35" s="177"/>
      <c r="J35" s="177"/>
      <c r="K35" s="177"/>
      <c r="L35" s="177"/>
      <c r="M35" s="177"/>
      <c r="N35" s="216"/>
    </row>
    <row r="36" spans="1:14" x14ac:dyDescent="0.25">
      <c r="A36" s="81" t="s">
        <v>373</v>
      </c>
      <c r="B36" s="206"/>
      <c r="C36" s="177"/>
      <c r="D36" s="177"/>
      <c r="E36" s="177"/>
      <c r="F36" s="177"/>
      <c r="G36" s="177"/>
      <c r="H36" s="177"/>
      <c r="I36" s="177"/>
      <c r="J36" s="177"/>
      <c r="K36" s="177"/>
      <c r="L36" s="177"/>
      <c r="M36" s="177">
        <v>256</v>
      </c>
      <c r="N36" s="216"/>
    </row>
    <row r="37" spans="1:14" ht="15.75" x14ac:dyDescent="0.25">
      <c r="A37" s="280" t="s">
        <v>361</v>
      </c>
      <c r="B37" s="206">
        <f>SUM(C37:N37)</f>
        <v>1901.6000000000004</v>
      </c>
      <c r="C37" s="206">
        <f t="shared" ref="C37:N37" si="5">SUM(C34:C36)</f>
        <v>145.19999999999999</v>
      </c>
      <c r="D37" s="206">
        <f t="shared" si="5"/>
        <v>145.19999999999999</v>
      </c>
      <c r="E37" s="206">
        <f t="shared" si="5"/>
        <v>145.19999999999999</v>
      </c>
      <c r="F37" s="206">
        <f t="shared" si="5"/>
        <v>145.19999999999999</v>
      </c>
      <c r="G37" s="206">
        <f t="shared" si="5"/>
        <v>145.19999999999999</v>
      </c>
      <c r="H37" s="206">
        <f t="shared" si="5"/>
        <v>145.19999999999999</v>
      </c>
      <c r="I37" s="206">
        <f t="shared" si="5"/>
        <v>145.19999999999999</v>
      </c>
      <c r="J37" s="206">
        <f t="shared" si="5"/>
        <v>145.19999999999999</v>
      </c>
      <c r="K37" s="206">
        <f t="shared" si="5"/>
        <v>145.19999999999999</v>
      </c>
      <c r="L37" s="206">
        <f t="shared" si="5"/>
        <v>145.19999999999999</v>
      </c>
      <c r="M37" s="206">
        <f t="shared" si="5"/>
        <v>449.6</v>
      </c>
      <c r="N37" s="206">
        <f t="shared" si="5"/>
        <v>0</v>
      </c>
    </row>
    <row r="38" spans="1:14" ht="15.75" x14ac:dyDescent="0.25">
      <c r="A38" s="280"/>
      <c r="B38" s="206"/>
      <c r="C38" s="206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N38" s="206"/>
    </row>
    <row r="39" spans="1:14" x14ac:dyDescent="0.25">
      <c r="A39" s="81"/>
      <c r="B39" s="206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</row>
    <row r="40" spans="1:14" ht="15.75" x14ac:dyDescent="0.25">
      <c r="A40" s="197" t="s">
        <v>374</v>
      </c>
      <c r="B40" s="278" t="s">
        <v>345</v>
      </c>
      <c r="C40" s="193" t="s">
        <v>346</v>
      </c>
      <c r="D40" s="195" t="s">
        <v>347</v>
      </c>
      <c r="E40" s="195" t="s">
        <v>348</v>
      </c>
      <c r="F40" s="195" t="s">
        <v>349</v>
      </c>
      <c r="G40" s="195" t="s">
        <v>364</v>
      </c>
      <c r="H40" s="195" t="s">
        <v>351</v>
      </c>
      <c r="I40" s="195" t="s">
        <v>352</v>
      </c>
      <c r="J40" s="193" t="s">
        <v>353</v>
      </c>
      <c r="K40" s="193" t="s">
        <v>354</v>
      </c>
      <c r="L40" s="193" t="s">
        <v>355</v>
      </c>
      <c r="M40" s="193" t="s">
        <v>356</v>
      </c>
      <c r="N40" s="193" t="s">
        <v>357</v>
      </c>
    </row>
    <row r="41" spans="1:14" x14ac:dyDescent="0.25">
      <c r="A41" s="79" t="s">
        <v>375</v>
      </c>
      <c r="B41" s="279">
        <f>C41+D41+E41+F41+G41+H41+I41+J41+K41+L41+M41+N41</f>
        <v>1796.8499999999997</v>
      </c>
      <c r="C41" s="865">
        <v>163.35</v>
      </c>
      <c r="D41" s="865">
        <v>163.35</v>
      </c>
      <c r="E41" s="865">
        <v>163.35</v>
      </c>
      <c r="F41" s="865">
        <v>163.35</v>
      </c>
      <c r="G41" s="865">
        <v>163.35</v>
      </c>
      <c r="H41" s="865">
        <v>163.35</v>
      </c>
      <c r="I41" s="865">
        <v>163.35</v>
      </c>
      <c r="J41" s="865">
        <v>163.35</v>
      </c>
      <c r="K41" s="865">
        <v>163.35</v>
      </c>
      <c r="L41" s="865">
        <v>163.35</v>
      </c>
      <c r="M41" s="865">
        <v>163.35</v>
      </c>
      <c r="N41" s="865"/>
    </row>
    <row r="42" spans="1:14" x14ac:dyDescent="0.25">
      <c r="A42" s="79" t="s">
        <v>376</v>
      </c>
      <c r="B42" s="279">
        <f>C42+D42+E42+F42+G42+H42+I42+J42+K42+L42+M42+N42</f>
        <v>0</v>
      </c>
      <c r="C42" s="865"/>
      <c r="D42" s="865"/>
      <c r="E42" s="865"/>
      <c r="F42" s="865"/>
      <c r="G42" s="865"/>
      <c r="H42" s="865"/>
      <c r="I42" s="865"/>
      <c r="J42" s="865"/>
      <c r="K42" s="865"/>
      <c r="L42" s="865"/>
      <c r="M42" s="865"/>
      <c r="N42" s="865"/>
    </row>
    <row r="43" spans="1:14" x14ac:dyDescent="0.25">
      <c r="A43" s="79" t="s">
        <v>377</v>
      </c>
      <c r="B43" s="279">
        <f>C43+D43+E43+F43+G43+H43+I43+J43+K43+L43+M43+N43</f>
        <v>0</v>
      </c>
      <c r="C43" s="865"/>
      <c r="D43" s="865"/>
      <c r="E43" s="865"/>
      <c r="F43" s="865"/>
      <c r="G43" s="865"/>
      <c r="H43" s="865"/>
      <c r="I43" s="865"/>
      <c r="J43" s="865"/>
      <c r="K43" s="865"/>
      <c r="L43" s="865"/>
      <c r="M43" s="865"/>
      <c r="N43" s="865"/>
    </row>
    <row r="44" spans="1:14" x14ac:dyDescent="0.25">
      <c r="A44" s="79" t="s">
        <v>378</v>
      </c>
      <c r="B44" s="279">
        <f>C44+D44+E44+F44+G44+H44+I44+J44+K44+L44+M44+N44</f>
        <v>0</v>
      </c>
      <c r="C44" s="865"/>
      <c r="D44" s="865"/>
      <c r="E44" s="865"/>
      <c r="F44" s="865"/>
      <c r="G44" s="865"/>
      <c r="H44" s="865"/>
      <c r="I44" s="865"/>
      <c r="J44" s="216"/>
      <c r="K44" s="216"/>
      <c r="L44" s="216"/>
      <c r="M44" s="216"/>
      <c r="N44" s="216"/>
    </row>
    <row r="45" spans="1:14" x14ac:dyDescent="0.25">
      <c r="A45" s="79" t="s">
        <v>379</v>
      </c>
      <c r="B45" s="279">
        <f>C45+D45+E45+F45+G45+H45+I45+J45+K45+L45+M45+N45</f>
        <v>151.25</v>
      </c>
      <c r="C45" s="865">
        <v>90.75</v>
      </c>
      <c r="D45" s="865"/>
      <c r="E45" s="865">
        <v>60.5</v>
      </c>
      <c r="F45" s="865"/>
      <c r="G45" s="865"/>
      <c r="H45" s="865"/>
      <c r="I45" s="865"/>
      <c r="J45" s="216"/>
      <c r="K45" s="216"/>
      <c r="L45" s="216"/>
      <c r="M45" s="216"/>
      <c r="N45" s="216"/>
    </row>
    <row r="46" spans="1:14" ht="15.75" x14ac:dyDescent="0.25">
      <c r="A46" s="280" t="s">
        <v>361</v>
      </c>
      <c r="B46" s="206">
        <f>SUM(B41:B45)</f>
        <v>1948.0999999999997</v>
      </c>
      <c r="C46" s="865"/>
      <c r="D46" s="865"/>
      <c r="E46" s="865"/>
      <c r="F46" s="865"/>
      <c r="G46" s="865"/>
      <c r="H46" s="865"/>
      <c r="I46" s="865"/>
    </row>
    <row r="47" spans="1:14" x14ac:dyDescent="0.25">
      <c r="B47" s="194"/>
      <c r="C47" s="865"/>
      <c r="D47" s="865"/>
      <c r="E47" s="865"/>
      <c r="F47" s="865"/>
      <c r="G47" s="865"/>
      <c r="H47" s="865"/>
      <c r="I47" s="865"/>
    </row>
    <row r="48" spans="1:14" ht="18.75" x14ac:dyDescent="0.3">
      <c r="A48" s="353" t="s">
        <v>380</v>
      </c>
      <c r="B48" s="81" t="s">
        <v>381</v>
      </c>
      <c r="C48" s="221" t="s">
        <v>382</v>
      </c>
      <c r="D48" s="591" t="s">
        <v>383</v>
      </c>
    </row>
    <row r="49" spans="1:6" ht="18.75" x14ac:dyDescent="0.3">
      <c r="A49" s="353">
        <f>'Programação Pagtos.'!B162</f>
        <v>1642.18</v>
      </c>
      <c r="B49" s="79" t="s">
        <v>32</v>
      </c>
      <c r="C49" s="177">
        <f>B3</f>
        <v>175.13750000000002</v>
      </c>
      <c r="D49" s="222">
        <f>C49/A49</f>
        <v>0.10664939288019584</v>
      </c>
    </row>
    <row r="50" spans="1:6" x14ac:dyDescent="0.25">
      <c r="B50" s="79" t="s">
        <v>16</v>
      </c>
      <c r="C50" s="177">
        <f t="shared" ref="C50:C59" si="6">B4</f>
        <v>237.875</v>
      </c>
      <c r="D50" s="222">
        <f>C50/A49</f>
        <v>0.14485318296410868</v>
      </c>
      <c r="E50" s="177"/>
      <c r="F50" s="176"/>
    </row>
    <row r="51" spans="1:6" x14ac:dyDescent="0.25">
      <c r="B51" s="79" t="s">
        <v>50</v>
      </c>
      <c r="C51" s="177">
        <f t="shared" si="6"/>
        <v>148.51166666666666</v>
      </c>
      <c r="D51" s="222">
        <f>C51/A49</f>
        <v>9.0435681025628531E-2</v>
      </c>
      <c r="E51" s="177"/>
      <c r="F51" s="176"/>
    </row>
    <row r="52" spans="1:6" x14ac:dyDescent="0.25">
      <c r="B52" s="79" t="s">
        <v>14</v>
      </c>
      <c r="C52" s="177">
        <f t="shared" si="6"/>
        <v>123.625</v>
      </c>
      <c r="D52" s="222">
        <f>C52/A49</f>
        <v>7.5281028876249864E-2</v>
      </c>
      <c r="E52" s="177"/>
      <c r="F52" s="176"/>
    </row>
    <row r="53" spans="1:6" x14ac:dyDescent="0.25">
      <c r="B53" s="79" t="s">
        <v>358</v>
      </c>
      <c r="C53" s="177">
        <f>B7</f>
        <v>69.137499999999989</v>
      </c>
      <c r="D53" s="222">
        <f>C53/A49</f>
        <v>4.2101048606121121E-2</v>
      </c>
      <c r="E53" s="177"/>
      <c r="F53" s="176"/>
    </row>
    <row r="54" spans="1:6" x14ac:dyDescent="0.25">
      <c r="B54" s="79" t="s">
        <v>52</v>
      </c>
      <c r="C54" s="177">
        <f t="shared" si="6"/>
        <v>46.666666666666664</v>
      </c>
      <c r="D54" s="222">
        <f>C54/A49</f>
        <v>2.8417510057768734E-2</v>
      </c>
      <c r="E54" s="177"/>
      <c r="F54" s="176"/>
    </row>
    <row r="55" spans="1:6" x14ac:dyDescent="0.25">
      <c r="B55" s="79" t="s">
        <v>53</v>
      </c>
      <c r="C55" s="177">
        <f t="shared" si="6"/>
        <v>147.06166666666664</v>
      </c>
      <c r="D55" s="222">
        <f>C55/A49</f>
        <v>8.9552708391690702E-2</v>
      </c>
      <c r="E55" s="177"/>
      <c r="F55" s="176"/>
    </row>
    <row r="56" spans="1:6" x14ac:dyDescent="0.25">
      <c r="B56" s="79" t="s">
        <v>56</v>
      </c>
      <c r="C56" s="177">
        <f>B10</f>
        <v>53.211666666666673</v>
      </c>
      <c r="D56" s="222">
        <f>C56/A49</f>
        <v>3.2403065843370805E-2</v>
      </c>
      <c r="E56" s="177"/>
      <c r="F56" s="176"/>
    </row>
    <row r="57" spans="1:6" x14ac:dyDescent="0.25">
      <c r="B57" s="79" t="s">
        <v>57</v>
      </c>
      <c r="C57" s="177">
        <f t="shared" si="6"/>
        <v>80.299166666666679</v>
      </c>
      <c r="D57" s="222">
        <f>C57/A49</f>
        <v>4.8897908065295322E-2</v>
      </c>
      <c r="E57" s="177"/>
      <c r="F57" s="176"/>
    </row>
    <row r="58" spans="1:6" x14ac:dyDescent="0.25">
      <c r="B58" s="79" t="s">
        <v>692</v>
      </c>
      <c r="C58" s="177">
        <f t="shared" si="6"/>
        <v>206.25</v>
      </c>
      <c r="D58" s="222">
        <f>C58/A49</f>
        <v>0.1255952453446029</v>
      </c>
      <c r="E58" s="177"/>
      <c r="F58" s="176"/>
    </row>
    <row r="59" spans="1:6" x14ac:dyDescent="0.25">
      <c r="B59" s="79" t="s">
        <v>418</v>
      </c>
      <c r="C59" s="177">
        <f t="shared" si="6"/>
        <v>387.58249999999998</v>
      </c>
      <c r="D59" s="222">
        <f>C59/A49</f>
        <v>0.23601706268496753</v>
      </c>
      <c r="E59" s="177"/>
      <c r="F59" s="176"/>
    </row>
    <row r="60" spans="1:6" x14ac:dyDescent="0.25">
      <c r="B60" s="79" t="s">
        <v>419</v>
      </c>
      <c r="C60" s="177">
        <f>B14</f>
        <v>112.20083333333332</v>
      </c>
      <c r="D60" s="222">
        <f>C60/A49</f>
        <v>6.8324320923000711E-2</v>
      </c>
    </row>
    <row r="62" spans="1:6" x14ac:dyDescent="0.25">
      <c r="B62" s="81" t="s">
        <v>388</v>
      </c>
      <c r="C62" s="194">
        <f>SUM(C49:C61)</f>
        <v>1787.5591666666664</v>
      </c>
      <c r="D62" s="592">
        <f>SUM(D49:D61)</f>
        <v>1.0885281556630007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73"/>
  <dimension ref="A1:E21"/>
  <sheetViews>
    <sheetView workbookViewId="0">
      <selection activeCell="E22" sqref="E22"/>
    </sheetView>
  </sheetViews>
  <sheetFormatPr defaultRowHeight="12.75" x14ac:dyDescent="0.2"/>
  <cols>
    <col min="1" max="1" width="26" customWidth="1"/>
    <col min="2" max="2" width="21.85546875" style="1" customWidth="1"/>
    <col min="3" max="3" width="14.7109375" style="1" customWidth="1"/>
    <col min="4" max="4" width="16.28515625" style="1" customWidth="1"/>
    <col min="5" max="5" width="16.85546875" style="24" customWidth="1"/>
  </cols>
  <sheetData>
    <row r="1" spans="1:5" ht="19.5" customHeight="1" thickBot="1" x14ac:dyDescent="0.3">
      <c r="A1" s="3099" t="s">
        <v>695</v>
      </c>
      <c r="B1" s="3100"/>
      <c r="C1" s="3100"/>
      <c r="D1" s="3100"/>
      <c r="E1" s="3101"/>
    </row>
    <row r="2" spans="1:5" s="166" customFormat="1" ht="21" customHeight="1" thickBot="1" x14ac:dyDescent="0.3">
      <c r="A2" s="315" t="s">
        <v>696</v>
      </c>
      <c r="B2" s="568" t="s">
        <v>697</v>
      </c>
      <c r="C2" s="580" t="s">
        <v>698</v>
      </c>
      <c r="D2" s="580" t="s">
        <v>699</v>
      </c>
      <c r="E2" s="566" t="s">
        <v>700</v>
      </c>
    </row>
    <row r="3" spans="1:5" ht="18.75" customHeight="1" x14ac:dyDescent="0.2">
      <c r="A3" s="573" t="s">
        <v>701</v>
      </c>
      <c r="B3" s="574">
        <v>299</v>
      </c>
      <c r="C3" s="583"/>
      <c r="D3" s="574">
        <v>299</v>
      </c>
      <c r="E3" s="575"/>
    </row>
    <row r="4" spans="1:5" ht="18.75" customHeight="1" x14ac:dyDescent="0.2">
      <c r="A4" s="576" t="s">
        <v>702</v>
      </c>
      <c r="B4" s="577">
        <v>100</v>
      </c>
      <c r="C4" s="584">
        <v>100</v>
      </c>
      <c r="D4" s="577"/>
      <c r="E4" s="578" t="s">
        <v>703</v>
      </c>
    </row>
    <row r="5" spans="1:5" ht="18.75" customHeight="1" x14ac:dyDescent="0.2">
      <c r="A5" s="576" t="s">
        <v>704</v>
      </c>
      <c r="B5" s="577">
        <v>200</v>
      </c>
      <c r="C5" s="584">
        <v>200</v>
      </c>
      <c r="D5" s="577"/>
      <c r="E5" s="578" t="s">
        <v>705</v>
      </c>
    </row>
    <row r="6" spans="1:5" ht="18.75" customHeight="1" x14ac:dyDescent="0.2">
      <c r="A6" s="576" t="s">
        <v>706</v>
      </c>
      <c r="B6" s="577">
        <v>15</v>
      </c>
      <c r="C6" s="584"/>
      <c r="D6" s="577">
        <v>15</v>
      </c>
      <c r="E6" s="578"/>
    </row>
    <row r="7" spans="1:5" ht="18.75" customHeight="1" x14ac:dyDescent="0.2">
      <c r="A7" s="576" t="s">
        <v>707</v>
      </c>
      <c r="B7" s="577">
        <v>100</v>
      </c>
      <c r="C7" s="584"/>
      <c r="D7" s="577">
        <v>100</v>
      </c>
      <c r="E7" s="578"/>
    </row>
    <row r="8" spans="1:5" ht="18.75" customHeight="1" x14ac:dyDescent="0.2">
      <c r="A8" s="576" t="s">
        <v>708</v>
      </c>
      <c r="B8" s="577">
        <v>10</v>
      </c>
      <c r="C8" s="584">
        <v>10</v>
      </c>
      <c r="D8" s="577"/>
      <c r="E8" s="578" t="s">
        <v>703</v>
      </c>
    </row>
    <row r="9" spans="1:5" ht="18.75" customHeight="1" x14ac:dyDescent="0.2">
      <c r="A9" s="576" t="s">
        <v>709</v>
      </c>
      <c r="B9" s="577">
        <v>30</v>
      </c>
      <c r="C9" s="584">
        <v>30</v>
      </c>
      <c r="D9" s="577"/>
      <c r="E9" s="578" t="s">
        <v>710</v>
      </c>
    </row>
    <row r="10" spans="1:5" ht="18.75" customHeight="1" x14ac:dyDescent="0.2">
      <c r="A10" s="576" t="s">
        <v>711</v>
      </c>
      <c r="B10" s="577">
        <v>20</v>
      </c>
      <c r="C10" s="584"/>
      <c r="D10" s="577">
        <v>20</v>
      </c>
      <c r="E10" s="578"/>
    </row>
    <row r="11" spans="1:5" ht="18.75" customHeight="1" x14ac:dyDescent="0.2">
      <c r="A11" s="576" t="s">
        <v>712</v>
      </c>
      <c r="B11" s="577">
        <v>424</v>
      </c>
      <c r="C11" s="584">
        <v>250</v>
      </c>
      <c r="D11" s="577">
        <v>174</v>
      </c>
      <c r="E11" s="578" t="s">
        <v>713</v>
      </c>
    </row>
    <row r="12" spans="1:5" ht="18.75" customHeight="1" x14ac:dyDescent="0.2">
      <c r="A12" s="576" t="s">
        <v>714</v>
      </c>
      <c r="B12" s="577">
        <v>200</v>
      </c>
      <c r="C12" s="584">
        <v>200</v>
      </c>
      <c r="D12" s="577"/>
      <c r="E12" s="578" t="s">
        <v>715</v>
      </c>
    </row>
    <row r="13" spans="1:5" ht="18.75" customHeight="1" x14ac:dyDescent="0.2">
      <c r="A13" s="576" t="s">
        <v>716</v>
      </c>
      <c r="B13" s="577">
        <v>30</v>
      </c>
      <c r="C13" s="584">
        <v>30</v>
      </c>
      <c r="D13" s="577"/>
      <c r="E13" s="578" t="s">
        <v>717</v>
      </c>
    </row>
    <row r="14" spans="1:5" ht="18.75" customHeight="1" x14ac:dyDescent="0.2">
      <c r="A14" s="576" t="s">
        <v>718</v>
      </c>
      <c r="B14" s="577">
        <v>30</v>
      </c>
      <c r="C14" s="584">
        <v>30</v>
      </c>
      <c r="D14" s="577"/>
      <c r="E14" s="578" t="s">
        <v>717</v>
      </c>
    </row>
    <row r="15" spans="1:5" ht="18.75" customHeight="1" x14ac:dyDescent="0.2">
      <c r="A15" s="576" t="s">
        <v>719</v>
      </c>
      <c r="B15" s="577">
        <v>50</v>
      </c>
      <c r="C15" s="584"/>
      <c r="D15" s="577">
        <v>50</v>
      </c>
      <c r="E15" s="578"/>
    </row>
    <row r="16" spans="1:5" ht="18.75" customHeight="1" x14ac:dyDescent="0.2">
      <c r="A16" s="10"/>
      <c r="B16" s="570"/>
      <c r="C16" s="399"/>
      <c r="D16" s="570"/>
      <c r="E16" s="435"/>
    </row>
    <row r="17" spans="1:5" ht="18.75" customHeight="1" x14ac:dyDescent="0.2">
      <c r="A17" s="10"/>
      <c r="B17" s="570"/>
      <c r="C17" s="399"/>
      <c r="D17" s="570"/>
      <c r="E17" s="435"/>
    </row>
    <row r="18" spans="1:5" ht="18.75" customHeight="1" x14ac:dyDescent="0.2">
      <c r="A18" s="10"/>
      <c r="B18" s="570"/>
      <c r="C18" s="399"/>
      <c r="D18" s="570"/>
      <c r="E18" s="435"/>
    </row>
    <row r="19" spans="1:5" ht="18.75" customHeight="1" x14ac:dyDescent="0.2">
      <c r="A19" s="10"/>
      <c r="B19" s="581"/>
      <c r="C19" s="399"/>
      <c r="D19" s="12"/>
      <c r="E19" s="435"/>
    </row>
    <row r="20" spans="1:5" ht="18.75" customHeight="1" thickBot="1" x14ac:dyDescent="0.25">
      <c r="A20" s="571"/>
      <c r="B20" s="572"/>
      <c r="C20" s="585"/>
      <c r="D20" s="582"/>
      <c r="E20" s="17"/>
    </row>
    <row r="21" spans="1:5" ht="16.5" thickBot="1" x14ac:dyDescent="0.3">
      <c r="A21" s="579" t="s">
        <v>361</v>
      </c>
      <c r="B21" s="569">
        <f>SUM(B3:B20)</f>
        <v>1508</v>
      </c>
      <c r="C21" s="569">
        <f>SUM(C3:C20)</f>
        <v>850</v>
      </c>
      <c r="D21" s="569">
        <f>SUM(D3:D20)</f>
        <v>658</v>
      </c>
      <c r="E21" s="567"/>
    </row>
  </sheetData>
  <mergeCells count="1">
    <mergeCell ref="A1:E1"/>
  </mergeCells>
  <pageMargins left="0.25" right="0.25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Plan71"/>
  <dimension ref="A1:G209"/>
  <sheetViews>
    <sheetView zoomScale="70" zoomScaleNormal="70" workbookViewId="0">
      <selection activeCell="C40" sqref="C5:C40"/>
    </sheetView>
  </sheetViews>
  <sheetFormatPr defaultRowHeight="12.75" x14ac:dyDescent="0.2"/>
  <cols>
    <col min="1" max="1" width="10.140625" style="24" bestFit="1" customWidth="1"/>
    <col min="2" max="2" width="41.7109375" bestFit="1" customWidth="1"/>
    <col min="3" max="3" width="12.5703125" bestFit="1" customWidth="1"/>
    <col min="4" max="4" width="14.42578125" customWidth="1"/>
    <col min="5" max="5" width="17.140625" customWidth="1"/>
    <col min="6" max="6" width="16.5703125" customWidth="1"/>
    <col min="7" max="7" width="14.28515625" bestFit="1" customWidth="1"/>
    <col min="8" max="8" width="10.42578125" customWidth="1"/>
    <col min="9" max="9" width="15.42578125" customWidth="1"/>
  </cols>
  <sheetData>
    <row r="1" spans="1:6" ht="13.5" thickBot="1" x14ac:dyDescent="0.25"/>
    <row r="2" spans="1:6" ht="27" thickBot="1" x14ac:dyDescent="0.45">
      <c r="A2" s="3104" t="s">
        <v>720</v>
      </c>
      <c r="B2" s="3105"/>
      <c r="C2" s="3105"/>
      <c r="D2" s="3105"/>
      <c r="E2" s="3105"/>
      <c r="F2" s="3106"/>
    </row>
    <row r="3" spans="1:6" ht="19.5" customHeight="1" thickBot="1" x14ac:dyDescent="0.25">
      <c r="A3" s="597" t="s">
        <v>721</v>
      </c>
      <c r="B3" s="598" t="s">
        <v>722</v>
      </c>
      <c r="C3" s="599" t="s">
        <v>723</v>
      </c>
      <c r="D3" s="600" t="s">
        <v>724</v>
      </c>
      <c r="E3" s="604" t="s">
        <v>725</v>
      </c>
      <c r="F3" s="605" t="s">
        <v>726</v>
      </c>
    </row>
    <row r="4" spans="1:6" ht="19.5" customHeight="1" x14ac:dyDescent="0.2">
      <c r="A4" s="1490">
        <v>41955</v>
      </c>
      <c r="B4" s="1491" t="s">
        <v>727</v>
      </c>
      <c r="C4" s="1492" t="s">
        <v>728</v>
      </c>
      <c r="D4" s="602">
        <v>13.99</v>
      </c>
      <c r="E4" s="603">
        <v>13.99</v>
      </c>
      <c r="F4" s="1493" t="s">
        <v>729</v>
      </c>
    </row>
    <row r="5" spans="1:6" ht="19.5" customHeight="1" x14ac:dyDescent="0.2">
      <c r="A5" s="1490">
        <v>41955</v>
      </c>
      <c r="B5" s="1491" t="s">
        <v>730</v>
      </c>
      <c r="C5" s="1492" t="s">
        <v>728</v>
      </c>
      <c r="D5" s="602">
        <v>45</v>
      </c>
      <c r="E5" s="603">
        <v>45</v>
      </c>
      <c r="F5" s="1493" t="s">
        <v>729</v>
      </c>
    </row>
    <row r="6" spans="1:6" ht="19.5" customHeight="1" x14ac:dyDescent="0.2">
      <c r="A6" s="1490">
        <v>41955</v>
      </c>
      <c r="B6" s="1491" t="s">
        <v>731</v>
      </c>
      <c r="C6" s="1492" t="s">
        <v>732</v>
      </c>
      <c r="D6" s="602">
        <v>26.5</v>
      </c>
      <c r="E6" s="603">
        <v>106</v>
      </c>
      <c r="F6" s="1494" t="s">
        <v>733</v>
      </c>
    </row>
    <row r="7" spans="1:6" ht="19.5" customHeight="1" x14ac:dyDescent="0.2">
      <c r="A7" s="1490">
        <v>41955</v>
      </c>
      <c r="B7" s="1491" t="s">
        <v>730</v>
      </c>
      <c r="C7" s="1492" t="s">
        <v>728</v>
      </c>
      <c r="D7" s="602">
        <v>61.9</v>
      </c>
      <c r="E7" s="603">
        <v>61.9</v>
      </c>
      <c r="F7" s="1494" t="s">
        <v>733</v>
      </c>
    </row>
    <row r="8" spans="1:6" ht="19.5" customHeight="1" x14ac:dyDescent="0.2">
      <c r="A8" s="1490">
        <v>41955</v>
      </c>
      <c r="B8" s="1491" t="s">
        <v>734</v>
      </c>
      <c r="C8" s="1495" t="s">
        <v>735</v>
      </c>
      <c r="D8" s="602">
        <v>2.82</v>
      </c>
      <c r="E8" s="603">
        <v>22.56</v>
      </c>
      <c r="F8" s="1494" t="s">
        <v>733</v>
      </c>
    </row>
    <row r="9" spans="1:6" ht="19.5" customHeight="1" x14ac:dyDescent="0.2">
      <c r="A9" s="1490">
        <v>41955</v>
      </c>
      <c r="B9" s="1491" t="s">
        <v>727</v>
      </c>
      <c r="C9" s="1495" t="s">
        <v>728</v>
      </c>
      <c r="D9" s="602">
        <v>13.75</v>
      </c>
      <c r="E9" s="603">
        <v>13.75</v>
      </c>
      <c r="F9" s="1494" t="s">
        <v>733</v>
      </c>
    </row>
    <row r="10" spans="1:6" ht="19.5" customHeight="1" x14ac:dyDescent="0.2">
      <c r="A10" s="1490">
        <v>41955</v>
      </c>
      <c r="B10" s="1496" t="s">
        <v>736</v>
      </c>
      <c r="C10" s="1497">
        <v>8</v>
      </c>
      <c r="D10" s="1498">
        <v>1.1000000000000001</v>
      </c>
      <c r="E10" s="603">
        <v>8.8000000000000007</v>
      </c>
      <c r="F10" s="1493" t="s">
        <v>733</v>
      </c>
    </row>
    <row r="11" spans="1:6" ht="19.5" customHeight="1" x14ac:dyDescent="0.2">
      <c r="A11" s="1490">
        <v>41955</v>
      </c>
      <c r="B11" s="1496" t="s">
        <v>737</v>
      </c>
      <c r="C11" s="1497">
        <v>1</v>
      </c>
      <c r="D11" s="601">
        <v>11.3</v>
      </c>
      <c r="E11" s="603">
        <v>11.3</v>
      </c>
      <c r="F11" s="1493" t="s">
        <v>733</v>
      </c>
    </row>
    <row r="12" spans="1:6" ht="19.5" customHeight="1" x14ac:dyDescent="0.2">
      <c r="A12" s="1490">
        <v>41958</v>
      </c>
      <c r="B12" s="1496" t="s">
        <v>738</v>
      </c>
      <c r="C12" s="1497">
        <v>5</v>
      </c>
      <c r="D12" s="1498">
        <v>1.1000000000000001</v>
      </c>
      <c r="E12" s="603">
        <v>5.5</v>
      </c>
      <c r="F12" s="1493" t="s">
        <v>733</v>
      </c>
    </row>
    <row r="13" spans="1:6" ht="19.5" customHeight="1" x14ac:dyDescent="0.2">
      <c r="A13" s="1490">
        <v>41958</v>
      </c>
      <c r="B13" s="1496" t="s">
        <v>739</v>
      </c>
      <c r="C13" s="1497">
        <v>1</v>
      </c>
      <c r="D13" s="1498">
        <v>7.5</v>
      </c>
      <c r="E13" s="603">
        <v>7.5</v>
      </c>
      <c r="F13" s="1493" t="s">
        <v>733</v>
      </c>
    </row>
    <row r="14" spans="1:6" ht="19.5" customHeight="1" x14ac:dyDescent="0.2">
      <c r="A14" s="1499">
        <v>41962</v>
      </c>
      <c r="B14" s="1496" t="s">
        <v>740</v>
      </c>
      <c r="C14" s="1497">
        <v>1</v>
      </c>
      <c r="D14" s="1498">
        <v>110</v>
      </c>
      <c r="E14" s="603">
        <v>110</v>
      </c>
      <c r="F14" s="1493" t="s">
        <v>729</v>
      </c>
    </row>
    <row r="15" spans="1:6" ht="19.5" customHeight="1" x14ac:dyDescent="0.2">
      <c r="A15" s="1499">
        <v>41965</v>
      </c>
      <c r="B15" s="1496" t="s">
        <v>741</v>
      </c>
      <c r="C15" s="1497">
        <v>2</v>
      </c>
      <c r="D15" s="1498">
        <v>8.6</v>
      </c>
      <c r="E15" s="603">
        <v>17.2</v>
      </c>
      <c r="F15" s="1493" t="s">
        <v>733</v>
      </c>
    </row>
    <row r="16" spans="1:6" ht="19.5" customHeight="1" x14ac:dyDescent="0.2">
      <c r="A16" s="1499">
        <v>41965</v>
      </c>
      <c r="B16" s="1496" t="s">
        <v>734</v>
      </c>
      <c r="C16" s="1497">
        <v>5</v>
      </c>
      <c r="D16" s="1498">
        <v>1.3</v>
      </c>
      <c r="E16" s="603">
        <f>D16*C16</f>
        <v>6.5</v>
      </c>
      <c r="F16" s="1493" t="s">
        <v>733</v>
      </c>
    </row>
    <row r="17" spans="1:6" ht="19.5" customHeight="1" x14ac:dyDescent="0.2">
      <c r="A17" s="1499">
        <v>41965</v>
      </c>
      <c r="B17" s="1496" t="s">
        <v>742</v>
      </c>
      <c r="C17" s="1497">
        <v>1</v>
      </c>
      <c r="D17" s="1498">
        <v>10.5</v>
      </c>
      <c r="E17" s="603">
        <v>10.5</v>
      </c>
      <c r="F17" s="1493" t="s">
        <v>733</v>
      </c>
    </row>
    <row r="18" spans="1:6" ht="19.5" customHeight="1" x14ac:dyDescent="0.2">
      <c r="A18" s="1499">
        <v>41965</v>
      </c>
      <c r="B18" s="1496" t="s">
        <v>743</v>
      </c>
      <c r="C18" s="1497">
        <v>2</v>
      </c>
      <c r="D18" s="1498">
        <v>4</v>
      </c>
      <c r="E18" s="603">
        <v>8</v>
      </c>
      <c r="F18" s="1493" t="s">
        <v>733</v>
      </c>
    </row>
    <row r="19" spans="1:6" ht="19.5" customHeight="1" x14ac:dyDescent="0.2">
      <c r="A19" s="1499">
        <v>41965</v>
      </c>
      <c r="B19" s="1496" t="s">
        <v>744</v>
      </c>
      <c r="C19" s="1497">
        <v>1</v>
      </c>
      <c r="D19" s="1498">
        <v>2.0499999999999998</v>
      </c>
      <c r="E19" s="603">
        <v>2.0499999999999998</v>
      </c>
      <c r="F19" s="1493" t="s">
        <v>733</v>
      </c>
    </row>
    <row r="20" spans="1:6" ht="19.5" customHeight="1" x14ac:dyDescent="0.2">
      <c r="A20" s="1499">
        <v>41965</v>
      </c>
      <c r="B20" s="1496" t="s">
        <v>745</v>
      </c>
      <c r="C20" s="1497">
        <v>1</v>
      </c>
      <c r="D20" s="1498">
        <v>5.75</v>
      </c>
      <c r="E20" s="603">
        <v>5.75</v>
      </c>
      <c r="F20" s="1493" t="s">
        <v>733</v>
      </c>
    </row>
    <row r="21" spans="1:6" ht="19.5" customHeight="1" x14ac:dyDescent="0.2">
      <c r="A21" s="1499">
        <v>41965</v>
      </c>
      <c r="B21" s="1496" t="s">
        <v>736</v>
      </c>
      <c r="C21" s="1497">
        <v>4</v>
      </c>
      <c r="D21" s="1498">
        <v>0.5</v>
      </c>
      <c r="E21" s="603">
        <v>2</v>
      </c>
      <c r="F21" s="1493" t="s">
        <v>733</v>
      </c>
    </row>
    <row r="22" spans="1:6" ht="19.5" customHeight="1" x14ac:dyDescent="0.2">
      <c r="A22" s="1499">
        <v>41965</v>
      </c>
      <c r="B22" s="1496" t="s">
        <v>746</v>
      </c>
      <c r="C22" s="1497">
        <v>4</v>
      </c>
      <c r="D22" s="1498">
        <v>4</v>
      </c>
      <c r="E22" s="603">
        <v>16</v>
      </c>
      <c r="F22" s="1493" t="s">
        <v>733</v>
      </c>
    </row>
    <row r="23" spans="1:6" ht="19.5" customHeight="1" x14ac:dyDescent="0.2">
      <c r="A23" s="1499">
        <v>41965</v>
      </c>
      <c r="B23" s="1496" t="s">
        <v>747</v>
      </c>
      <c r="C23" s="1497">
        <v>1</v>
      </c>
      <c r="D23" s="1498">
        <v>3.2</v>
      </c>
      <c r="E23" s="603">
        <v>3.2</v>
      </c>
      <c r="F23" s="1493" t="s">
        <v>733</v>
      </c>
    </row>
    <row r="24" spans="1:6" ht="19.5" customHeight="1" x14ac:dyDescent="0.2">
      <c r="A24" s="1499">
        <v>41965</v>
      </c>
      <c r="B24" s="1496" t="s">
        <v>748</v>
      </c>
      <c r="C24" s="1497">
        <v>1</v>
      </c>
      <c r="D24" s="601">
        <v>14.5</v>
      </c>
      <c r="E24" s="603">
        <v>14.5</v>
      </c>
      <c r="F24" s="1493" t="s">
        <v>733</v>
      </c>
    </row>
    <row r="25" spans="1:6" ht="19.5" customHeight="1" x14ac:dyDescent="0.2">
      <c r="A25" s="1499">
        <v>41965</v>
      </c>
      <c r="B25" s="1496" t="s">
        <v>745</v>
      </c>
      <c r="C25" s="1497">
        <v>1</v>
      </c>
      <c r="D25" s="1498">
        <v>1.55</v>
      </c>
      <c r="E25" s="603">
        <v>1.55</v>
      </c>
      <c r="F25" s="1493" t="s">
        <v>733</v>
      </c>
    </row>
    <row r="26" spans="1:6" ht="19.5" customHeight="1" x14ac:dyDescent="0.2">
      <c r="A26" s="1499">
        <v>41968</v>
      </c>
      <c r="B26" s="1496" t="s">
        <v>749</v>
      </c>
      <c r="C26" s="1497">
        <v>1</v>
      </c>
      <c r="D26" s="1498">
        <v>13.99</v>
      </c>
      <c r="E26" s="603">
        <f t="shared" ref="E26:E38" si="0">D26*C26</f>
        <v>13.99</v>
      </c>
      <c r="F26" s="1493" t="s">
        <v>729</v>
      </c>
    </row>
    <row r="27" spans="1:6" ht="19.5" customHeight="1" x14ac:dyDescent="0.2">
      <c r="A27" s="1499">
        <v>41968</v>
      </c>
      <c r="B27" s="1496" t="s">
        <v>750</v>
      </c>
      <c r="C27" s="1497">
        <v>2</v>
      </c>
      <c r="D27" s="1498">
        <v>1.5</v>
      </c>
      <c r="E27" s="603">
        <f t="shared" si="0"/>
        <v>3</v>
      </c>
      <c r="F27" s="1493" t="s">
        <v>729</v>
      </c>
    </row>
    <row r="28" spans="1:6" ht="19.5" customHeight="1" x14ac:dyDescent="0.2">
      <c r="A28" s="1499">
        <v>41968</v>
      </c>
      <c r="B28" s="1496" t="s">
        <v>751</v>
      </c>
      <c r="C28" s="1497">
        <v>3</v>
      </c>
      <c r="D28" s="1498">
        <v>2</v>
      </c>
      <c r="E28" s="603">
        <f t="shared" si="0"/>
        <v>6</v>
      </c>
      <c r="F28" s="1493" t="s">
        <v>729</v>
      </c>
    </row>
    <row r="29" spans="1:6" ht="19.5" customHeight="1" x14ac:dyDescent="0.2">
      <c r="A29" s="1499">
        <v>41968</v>
      </c>
      <c r="B29" s="1496" t="s">
        <v>752</v>
      </c>
      <c r="C29" s="1497">
        <v>1</v>
      </c>
      <c r="D29" s="1498">
        <v>1.5</v>
      </c>
      <c r="E29" s="603">
        <f t="shared" si="0"/>
        <v>1.5</v>
      </c>
      <c r="F29" s="1493" t="s">
        <v>729</v>
      </c>
    </row>
    <row r="30" spans="1:6" ht="19.5" customHeight="1" x14ac:dyDescent="0.2">
      <c r="A30" s="1499">
        <v>41968</v>
      </c>
      <c r="B30" s="1496" t="s">
        <v>753</v>
      </c>
      <c r="C30" s="1497">
        <v>3</v>
      </c>
      <c r="D30" s="1498">
        <v>3.5</v>
      </c>
      <c r="E30" s="603">
        <f t="shared" si="0"/>
        <v>10.5</v>
      </c>
      <c r="F30" s="1493" t="s">
        <v>729</v>
      </c>
    </row>
    <row r="31" spans="1:6" ht="19.5" customHeight="1" x14ac:dyDescent="0.2">
      <c r="A31" s="1499">
        <v>41968</v>
      </c>
      <c r="B31" s="1496" t="s">
        <v>754</v>
      </c>
      <c r="C31" s="1497">
        <v>1</v>
      </c>
      <c r="D31" s="1498">
        <v>8</v>
      </c>
      <c r="E31" s="603">
        <f t="shared" si="0"/>
        <v>8</v>
      </c>
      <c r="F31" s="1493" t="s">
        <v>729</v>
      </c>
    </row>
    <row r="32" spans="1:6" ht="19.5" customHeight="1" x14ac:dyDescent="0.2">
      <c r="A32" s="1499">
        <v>41968</v>
      </c>
      <c r="B32" s="1496" t="s">
        <v>755</v>
      </c>
      <c r="C32" s="1497">
        <v>1</v>
      </c>
      <c r="D32" s="1498">
        <v>8.99</v>
      </c>
      <c r="E32" s="603">
        <f t="shared" si="0"/>
        <v>8.99</v>
      </c>
      <c r="F32" s="1493" t="s">
        <v>729</v>
      </c>
    </row>
    <row r="33" spans="1:7" ht="19.5" customHeight="1" x14ac:dyDescent="0.2">
      <c r="A33" s="1499">
        <v>41968</v>
      </c>
      <c r="B33" s="1496" t="s">
        <v>756</v>
      </c>
      <c r="C33" s="1497">
        <v>3</v>
      </c>
      <c r="D33" s="1498">
        <v>44</v>
      </c>
      <c r="E33" s="603">
        <f t="shared" si="0"/>
        <v>132</v>
      </c>
      <c r="F33" s="1493" t="s">
        <v>729</v>
      </c>
    </row>
    <row r="34" spans="1:7" ht="19.5" customHeight="1" x14ac:dyDescent="0.2">
      <c r="A34" s="1499">
        <v>41968</v>
      </c>
      <c r="B34" s="1496" t="s">
        <v>757</v>
      </c>
      <c r="C34" s="1497">
        <v>2</v>
      </c>
      <c r="D34" s="1498">
        <v>26.9</v>
      </c>
      <c r="E34" s="603">
        <f t="shared" si="0"/>
        <v>53.8</v>
      </c>
      <c r="F34" s="1493" t="s">
        <v>729</v>
      </c>
    </row>
    <row r="35" spans="1:7" ht="19.5" customHeight="1" x14ac:dyDescent="0.2">
      <c r="A35" s="1499">
        <v>41978</v>
      </c>
      <c r="B35" s="1496" t="s">
        <v>758</v>
      </c>
      <c r="C35" s="1497">
        <v>20</v>
      </c>
      <c r="D35" s="1498">
        <v>1.2</v>
      </c>
      <c r="E35" s="603">
        <f t="shared" si="0"/>
        <v>24</v>
      </c>
      <c r="F35" s="1493" t="s">
        <v>733</v>
      </c>
    </row>
    <row r="36" spans="1:7" ht="19.5" customHeight="1" x14ac:dyDescent="0.2">
      <c r="A36" s="1499">
        <v>41978</v>
      </c>
      <c r="B36" s="1496" t="s">
        <v>759</v>
      </c>
      <c r="C36" s="1497">
        <v>1</v>
      </c>
      <c r="D36" s="1498">
        <v>7</v>
      </c>
      <c r="E36" s="603">
        <f t="shared" si="0"/>
        <v>7</v>
      </c>
      <c r="F36" s="1493" t="s">
        <v>733</v>
      </c>
    </row>
    <row r="37" spans="1:7" ht="19.5" customHeight="1" x14ac:dyDescent="0.2">
      <c r="A37" s="1490">
        <v>41978</v>
      </c>
      <c r="B37" s="1491" t="s">
        <v>760</v>
      </c>
      <c r="C37" s="1492" t="s">
        <v>728</v>
      </c>
      <c r="D37" s="602">
        <v>13.9</v>
      </c>
      <c r="E37" s="603">
        <f t="shared" si="0"/>
        <v>13.9</v>
      </c>
      <c r="F37" s="1494" t="s">
        <v>733</v>
      </c>
    </row>
    <row r="38" spans="1:7" ht="19.5" customHeight="1" x14ac:dyDescent="0.2">
      <c r="A38" s="1499">
        <v>41978</v>
      </c>
      <c r="B38" s="1496" t="s">
        <v>751</v>
      </c>
      <c r="C38" s="1497">
        <v>1</v>
      </c>
      <c r="D38" s="1498">
        <v>2.95</v>
      </c>
      <c r="E38" s="603">
        <f t="shared" si="0"/>
        <v>2.95</v>
      </c>
      <c r="F38" s="1493" t="s">
        <v>733</v>
      </c>
    </row>
    <row r="39" spans="1:7" ht="19.5" customHeight="1" x14ac:dyDescent="0.2">
      <c r="A39" s="1490">
        <v>41978</v>
      </c>
      <c r="B39" s="1491" t="s">
        <v>761</v>
      </c>
      <c r="C39" s="1492" t="s">
        <v>728</v>
      </c>
      <c r="D39" s="602">
        <v>1.3</v>
      </c>
      <c r="E39" s="603">
        <f>C39*D39</f>
        <v>1.3</v>
      </c>
      <c r="F39" s="1494" t="s">
        <v>733</v>
      </c>
    </row>
    <row r="40" spans="1:7" ht="19.5" customHeight="1" x14ac:dyDescent="0.2">
      <c r="A40" s="1499">
        <v>41987</v>
      </c>
      <c r="B40" s="1496" t="s">
        <v>762</v>
      </c>
      <c r="C40" s="1497">
        <v>1</v>
      </c>
      <c r="D40" s="1498">
        <v>2.9</v>
      </c>
      <c r="E40" s="603">
        <f>D40*C40</f>
        <v>2.9</v>
      </c>
      <c r="F40" s="1493" t="s">
        <v>763</v>
      </c>
    </row>
    <row r="41" spans="1:7" ht="19.5" customHeight="1" x14ac:dyDescent="0.2">
      <c r="A41" s="1490">
        <v>41988</v>
      </c>
      <c r="B41" s="1491" t="s">
        <v>761</v>
      </c>
      <c r="C41" s="1497">
        <v>1</v>
      </c>
      <c r="D41" s="602">
        <v>1.3</v>
      </c>
      <c r="E41" s="603">
        <f>C41*D41</f>
        <v>1.3</v>
      </c>
      <c r="F41" s="1494" t="s">
        <v>764</v>
      </c>
      <c r="G41" t="s">
        <v>280</v>
      </c>
    </row>
    <row r="42" spans="1:7" ht="19.5" customHeight="1" x14ac:dyDescent="0.2">
      <c r="A42" s="1490">
        <v>42013</v>
      </c>
      <c r="B42" s="1496" t="s">
        <v>765</v>
      </c>
      <c r="C42" s="1497">
        <v>1</v>
      </c>
      <c r="D42" s="1498">
        <v>53.75</v>
      </c>
      <c r="E42" s="603">
        <f t="shared" ref="E42:E48" si="1">D42*C42</f>
        <v>53.75</v>
      </c>
      <c r="F42" s="1493" t="s">
        <v>733</v>
      </c>
    </row>
    <row r="43" spans="1:7" ht="19.5" customHeight="1" x14ac:dyDescent="0.2">
      <c r="A43" s="1490">
        <v>42013</v>
      </c>
      <c r="B43" s="1496" t="s">
        <v>766</v>
      </c>
      <c r="C43" s="1497">
        <v>1</v>
      </c>
      <c r="D43" s="1498">
        <v>37</v>
      </c>
      <c r="E43" s="603">
        <f t="shared" si="1"/>
        <v>37</v>
      </c>
      <c r="F43" s="1493" t="s">
        <v>733</v>
      </c>
    </row>
    <row r="44" spans="1:7" ht="19.5" customHeight="1" x14ac:dyDescent="0.2">
      <c r="A44" s="1490">
        <v>42013</v>
      </c>
      <c r="B44" s="1496" t="s">
        <v>767</v>
      </c>
      <c r="C44" s="1497">
        <v>2</v>
      </c>
      <c r="D44" s="1498">
        <v>2.5</v>
      </c>
      <c r="E44" s="603">
        <f t="shared" si="1"/>
        <v>5</v>
      </c>
      <c r="F44" s="1493" t="s">
        <v>733</v>
      </c>
    </row>
    <row r="45" spans="1:7" ht="19.5" customHeight="1" x14ac:dyDescent="0.2">
      <c r="A45" s="1490">
        <v>42013</v>
      </c>
      <c r="B45" s="1496" t="s">
        <v>768</v>
      </c>
      <c r="C45" s="1497">
        <v>1</v>
      </c>
      <c r="D45" s="1498">
        <v>0.56999999999999995</v>
      </c>
      <c r="E45" s="603">
        <f t="shared" si="1"/>
        <v>0.56999999999999995</v>
      </c>
      <c r="F45" s="1493" t="s">
        <v>733</v>
      </c>
    </row>
    <row r="46" spans="1:7" ht="19.5" customHeight="1" x14ac:dyDescent="0.2">
      <c r="A46" s="1490">
        <v>42013</v>
      </c>
      <c r="B46" s="1496" t="s">
        <v>769</v>
      </c>
      <c r="C46" s="1497">
        <v>1</v>
      </c>
      <c r="D46" s="1498">
        <v>4</v>
      </c>
      <c r="E46" s="603">
        <f t="shared" si="1"/>
        <v>4</v>
      </c>
      <c r="F46" s="1493" t="s">
        <v>733</v>
      </c>
    </row>
    <row r="47" spans="1:7" ht="19.5" customHeight="1" x14ac:dyDescent="0.2">
      <c r="A47" s="1490">
        <v>42016</v>
      </c>
      <c r="B47" s="1496" t="s">
        <v>770</v>
      </c>
      <c r="C47" s="1497">
        <v>2</v>
      </c>
      <c r="D47" s="1498">
        <v>2.99</v>
      </c>
      <c r="E47" s="603">
        <f t="shared" si="1"/>
        <v>5.98</v>
      </c>
      <c r="F47" s="1493" t="s">
        <v>729</v>
      </c>
    </row>
    <row r="48" spans="1:7" ht="19.5" customHeight="1" x14ac:dyDescent="0.2">
      <c r="A48" s="1490">
        <v>42016</v>
      </c>
      <c r="B48" s="1496" t="s">
        <v>771</v>
      </c>
      <c r="C48" s="1497">
        <v>1</v>
      </c>
      <c r="D48" s="1498">
        <v>5</v>
      </c>
      <c r="E48" s="603">
        <f t="shared" si="1"/>
        <v>5</v>
      </c>
      <c r="F48" s="1493" t="s">
        <v>729</v>
      </c>
    </row>
    <row r="49" spans="1:6" ht="19.5" customHeight="1" x14ac:dyDescent="0.2">
      <c r="A49" s="1499">
        <v>42020</v>
      </c>
      <c r="B49" s="1496" t="s">
        <v>761</v>
      </c>
      <c r="C49" s="1497">
        <v>1</v>
      </c>
      <c r="D49" s="1498">
        <v>1.29</v>
      </c>
      <c r="E49" s="603">
        <f>D49*C49</f>
        <v>1.29</v>
      </c>
      <c r="F49" s="1493" t="s">
        <v>733</v>
      </c>
    </row>
    <row r="50" spans="1:6" ht="19.5" customHeight="1" x14ac:dyDescent="0.2">
      <c r="A50" s="1499">
        <v>42020</v>
      </c>
      <c r="B50" s="1496" t="s">
        <v>751</v>
      </c>
      <c r="C50" s="1497">
        <v>1</v>
      </c>
      <c r="D50" s="1498">
        <v>7.99</v>
      </c>
      <c r="E50" s="603">
        <f>D50*C50</f>
        <v>7.99</v>
      </c>
      <c r="F50" s="1493" t="s">
        <v>733</v>
      </c>
    </row>
    <row r="51" spans="1:6" ht="19.5" customHeight="1" x14ac:dyDescent="0.2">
      <c r="A51" s="1499">
        <v>42020</v>
      </c>
      <c r="B51" s="1496" t="s">
        <v>736</v>
      </c>
      <c r="C51" s="1497">
        <v>1</v>
      </c>
      <c r="D51" s="1498">
        <v>0.69</v>
      </c>
      <c r="E51" s="603">
        <f>D51*C51</f>
        <v>0.69</v>
      </c>
      <c r="F51" s="1493" t="s">
        <v>733</v>
      </c>
    </row>
    <row r="52" spans="1:6" ht="19.5" customHeight="1" thickBot="1" x14ac:dyDescent="0.25">
      <c r="A52" s="1500"/>
      <c r="B52" s="1501"/>
      <c r="C52" s="1502"/>
      <c r="D52" s="1503"/>
      <c r="E52" s="603"/>
      <c r="F52" s="1504"/>
    </row>
    <row r="53" spans="1:6" ht="27.75" customHeight="1" thickBot="1" x14ac:dyDescent="0.25">
      <c r="A53"/>
      <c r="B53" s="717"/>
      <c r="C53" s="3107" t="s">
        <v>772</v>
      </c>
      <c r="D53" s="3108"/>
      <c r="E53" s="606">
        <f>SUM(E4:E52)</f>
        <v>905.95</v>
      </c>
    </row>
    <row r="55" spans="1:6" x14ac:dyDescent="0.2">
      <c r="B55" s="3109" t="s">
        <v>773</v>
      </c>
      <c r="C55" s="3109"/>
      <c r="D55" s="3109"/>
      <c r="E55" s="550">
        <v>450</v>
      </c>
    </row>
    <row r="56" spans="1:6" x14ac:dyDescent="0.2">
      <c r="B56" s="1505"/>
      <c r="C56" s="3102" t="s">
        <v>774</v>
      </c>
      <c r="D56" s="3102"/>
      <c r="E56" s="550"/>
    </row>
    <row r="57" spans="1:6" x14ac:dyDescent="0.2">
      <c r="B57" s="1505"/>
      <c r="C57" s="3102" t="s">
        <v>772</v>
      </c>
      <c r="D57" s="3102"/>
      <c r="E57" s="550">
        <f>E53+E55</f>
        <v>1355.95</v>
      </c>
    </row>
    <row r="58" spans="1:6" ht="13.5" thickBot="1" x14ac:dyDescent="0.25"/>
    <row r="59" spans="1:6" ht="27" thickBot="1" x14ac:dyDescent="0.45">
      <c r="A59" s="3104" t="s">
        <v>775</v>
      </c>
      <c r="B59" s="3105"/>
      <c r="C59" s="3105"/>
      <c r="D59" s="3105"/>
      <c r="E59" s="3105"/>
      <c r="F59" s="3106"/>
    </row>
    <row r="60" spans="1:6" ht="19.5" customHeight="1" thickBot="1" x14ac:dyDescent="0.25">
      <c r="A60" s="597" t="s">
        <v>721</v>
      </c>
      <c r="B60" s="598" t="s">
        <v>722</v>
      </c>
      <c r="C60" s="599" t="s">
        <v>723</v>
      </c>
      <c r="D60" s="600" t="s">
        <v>724</v>
      </c>
      <c r="E60" s="604" t="s">
        <v>725</v>
      </c>
      <c r="F60" s="605" t="s">
        <v>726</v>
      </c>
    </row>
    <row r="61" spans="1:6" ht="19.5" customHeight="1" x14ac:dyDescent="0.2">
      <c r="A61" s="1490">
        <v>41978</v>
      </c>
      <c r="B61" s="1491" t="s">
        <v>776</v>
      </c>
      <c r="C61" s="1492" t="s">
        <v>728</v>
      </c>
      <c r="D61" s="602">
        <v>13.15</v>
      </c>
      <c r="E61" s="603">
        <f t="shared" ref="E61:E84" si="2">D61*C61</f>
        <v>13.15</v>
      </c>
      <c r="F61" s="1494" t="s">
        <v>733</v>
      </c>
    </row>
    <row r="62" spans="1:6" ht="19.5" customHeight="1" x14ac:dyDescent="0.2">
      <c r="A62" s="1490">
        <v>41978</v>
      </c>
      <c r="B62" s="1491" t="s">
        <v>777</v>
      </c>
      <c r="C62" s="1492" t="s">
        <v>778</v>
      </c>
      <c r="D62" s="602">
        <v>8.3000000000000007</v>
      </c>
      <c r="E62" s="603">
        <f t="shared" si="2"/>
        <v>16.600000000000001</v>
      </c>
      <c r="F62" s="1494" t="s">
        <v>733</v>
      </c>
    </row>
    <row r="63" spans="1:6" ht="19.5" customHeight="1" x14ac:dyDescent="0.2">
      <c r="A63" s="1490">
        <v>41978</v>
      </c>
      <c r="B63" s="1491" t="s">
        <v>779</v>
      </c>
      <c r="C63" s="1492" t="s">
        <v>728</v>
      </c>
      <c r="D63" s="602">
        <v>8.3000000000000007</v>
      </c>
      <c r="E63" s="603">
        <f t="shared" si="2"/>
        <v>8.3000000000000007</v>
      </c>
      <c r="F63" s="1494" t="s">
        <v>733</v>
      </c>
    </row>
    <row r="64" spans="1:6" ht="19.5" customHeight="1" x14ac:dyDescent="0.2">
      <c r="A64" s="1490">
        <v>41978</v>
      </c>
      <c r="B64" s="1491" t="s">
        <v>780</v>
      </c>
      <c r="C64" s="1492" t="s">
        <v>728</v>
      </c>
      <c r="D64" s="602">
        <v>8.3000000000000007</v>
      </c>
      <c r="E64" s="603">
        <f t="shared" si="2"/>
        <v>8.3000000000000007</v>
      </c>
      <c r="F64" s="1494" t="s">
        <v>733</v>
      </c>
    </row>
    <row r="65" spans="1:7" ht="19.5" customHeight="1" x14ac:dyDescent="0.2">
      <c r="A65" s="1490">
        <v>41978</v>
      </c>
      <c r="B65" s="1491" t="s">
        <v>781</v>
      </c>
      <c r="C65" s="1495">
        <v>20</v>
      </c>
      <c r="D65" s="602">
        <v>2.2599999999999998</v>
      </c>
      <c r="E65" s="603">
        <f t="shared" si="2"/>
        <v>45.199999999999996</v>
      </c>
      <c r="F65" s="1494" t="s">
        <v>733</v>
      </c>
    </row>
    <row r="66" spans="1:7" ht="19.5" customHeight="1" x14ac:dyDescent="0.2">
      <c r="A66" s="1490">
        <v>41978</v>
      </c>
      <c r="B66" s="1491" t="s">
        <v>782</v>
      </c>
      <c r="C66" s="1495">
        <v>1</v>
      </c>
      <c r="D66" s="602">
        <v>3.5</v>
      </c>
      <c r="E66" s="603">
        <f t="shared" si="2"/>
        <v>3.5</v>
      </c>
      <c r="F66" s="1494" t="s">
        <v>733</v>
      </c>
    </row>
    <row r="67" spans="1:7" ht="19.5" customHeight="1" x14ac:dyDescent="0.2">
      <c r="A67" s="1490">
        <v>41978</v>
      </c>
      <c r="B67" s="1496" t="s">
        <v>783</v>
      </c>
      <c r="C67" s="1497">
        <v>1</v>
      </c>
      <c r="D67" s="1498">
        <v>74.89</v>
      </c>
      <c r="E67" s="603">
        <f t="shared" si="2"/>
        <v>74.89</v>
      </c>
      <c r="F67" s="1493" t="s">
        <v>733</v>
      </c>
    </row>
    <row r="68" spans="1:7" ht="19.5" customHeight="1" x14ac:dyDescent="0.2">
      <c r="A68" s="1490">
        <v>41978</v>
      </c>
      <c r="B68" s="1496" t="s">
        <v>784</v>
      </c>
      <c r="C68" s="1497">
        <v>3</v>
      </c>
      <c r="D68" s="601">
        <v>2.0499999999999998</v>
      </c>
      <c r="E68" s="603">
        <f t="shared" si="2"/>
        <v>6.1499999999999995</v>
      </c>
      <c r="F68" s="1493" t="s">
        <v>733</v>
      </c>
    </row>
    <row r="69" spans="1:7" ht="19.5" customHeight="1" x14ac:dyDescent="0.2">
      <c r="A69" s="1490">
        <v>41978</v>
      </c>
      <c r="B69" s="1496" t="s">
        <v>785</v>
      </c>
      <c r="C69" s="1497">
        <v>3</v>
      </c>
      <c r="D69" s="1498">
        <v>3.7</v>
      </c>
      <c r="E69" s="603">
        <f t="shared" si="2"/>
        <v>11.100000000000001</v>
      </c>
      <c r="F69" s="1493" t="s">
        <v>733</v>
      </c>
    </row>
    <row r="70" spans="1:7" ht="19.5" customHeight="1" x14ac:dyDescent="0.2">
      <c r="A70" s="1490">
        <v>41978</v>
      </c>
      <c r="B70" s="1496" t="s">
        <v>786</v>
      </c>
      <c r="C70" s="1497">
        <v>3</v>
      </c>
      <c r="D70" s="1498">
        <v>7.6</v>
      </c>
      <c r="E70" s="603">
        <f t="shared" si="2"/>
        <v>22.799999999999997</v>
      </c>
      <c r="F70" s="1493" t="s">
        <v>733</v>
      </c>
    </row>
    <row r="71" spans="1:7" ht="19.5" customHeight="1" x14ac:dyDescent="0.2">
      <c r="A71" s="1490">
        <v>41978</v>
      </c>
      <c r="B71" s="1496" t="s">
        <v>787</v>
      </c>
      <c r="C71" s="1497">
        <v>3</v>
      </c>
      <c r="D71" s="1498">
        <v>8.33</v>
      </c>
      <c r="E71" s="603">
        <f t="shared" si="2"/>
        <v>24.990000000000002</v>
      </c>
      <c r="F71" s="1493" t="s">
        <v>733</v>
      </c>
    </row>
    <row r="72" spans="1:7" ht="19.5" customHeight="1" x14ac:dyDescent="0.2">
      <c r="A72" s="1490">
        <v>41978</v>
      </c>
      <c r="B72" s="1496" t="s">
        <v>788</v>
      </c>
      <c r="C72" s="1497">
        <v>1</v>
      </c>
      <c r="D72" s="1498">
        <v>16.25</v>
      </c>
      <c r="E72" s="603">
        <f t="shared" si="2"/>
        <v>16.25</v>
      </c>
      <c r="F72" s="1493" t="s">
        <v>733</v>
      </c>
    </row>
    <row r="73" spans="1:7" ht="19.5" customHeight="1" x14ac:dyDescent="0.2">
      <c r="A73" s="1490">
        <v>41987</v>
      </c>
      <c r="B73" s="1496" t="s">
        <v>789</v>
      </c>
      <c r="C73" s="1497">
        <v>1</v>
      </c>
      <c r="D73" s="1498">
        <v>28</v>
      </c>
      <c r="E73" s="603">
        <f t="shared" si="2"/>
        <v>28</v>
      </c>
      <c r="F73" s="1493" t="s">
        <v>790</v>
      </c>
    </row>
    <row r="74" spans="1:7" ht="19.5" customHeight="1" x14ac:dyDescent="0.2">
      <c r="A74" s="1490">
        <v>41987</v>
      </c>
      <c r="B74" s="1496" t="s">
        <v>791</v>
      </c>
      <c r="C74" s="1497">
        <v>1</v>
      </c>
      <c r="D74" s="1498">
        <v>1</v>
      </c>
      <c r="E74" s="603">
        <f t="shared" si="2"/>
        <v>1</v>
      </c>
      <c r="F74" s="1493" t="s">
        <v>790</v>
      </c>
    </row>
    <row r="75" spans="1:7" ht="19.5" customHeight="1" x14ac:dyDescent="0.2">
      <c r="A75" s="1490">
        <v>41987</v>
      </c>
      <c r="B75" s="1496" t="s">
        <v>792</v>
      </c>
      <c r="C75" s="1497">
        <v>8</v>
      </c>
      <c r="D75" s="1498">
        <v>0.59</v>
      </c>
      <c r="E75" s="603">
        <f t="shared" si="2"/>
        <v>4.72</v>
      </c>
      <c r="F75" s="1493" t="s">
        <v>790</v>
      </c>
    </row>
    <row r="76" spans="1:7" ht="19.5" customHeight="1" x14ac:dyDescent="0.2">
      <c r="A76" s="1490">
        <v>41987</v>
      </c>
      <c r="B76" s="1496" t="s">
        <v>793</v>
      </c>
      <c r="C76" s="1497">
        <v>3</v>
      </c>
      <c r="D76" s="1498">
        <v>2.9</v>
      </c>
      <c r="E76" s="603">
        <f t="shared" si="2"/>
        <v>8.6999999999999993</v>
      </c>
      <c r="F76" s="1493" t="s">
        <v>790</v>
      </c>
    </row>
    <row r="77" spans="1:7" ht="19.5" customHeight="1" x14ac:dyDescent="0.2">
      <c r="A77" s="1490">
        <v>41987</v>
      </c>
      <c r="B77" s="1496" t="s">
        <v>781</v>
      </c>
      <c r="C77" s="1497">
        <v>24</v>
      </c>
      <c r="D77" s="1498">
        <v>2.8</v>
      </c>
      <c r="E77" s="603">
        <f t="shared" si="2"/>
        <v>67.199999999999989</v>
      </c>
      <c r="F77" s="1493" t="s">
        <v>790</v>
      </c>
    </row>
    <row r="78" spans="1:7" ht="19.5" customHeight="1" x14ac:dyDescent="0.2">
      <c r="A78" s="1490">
        <v>41988</v>
      </c>
      <c r="B78" s="1496" t="s">
        <v>794</v>
      </c>
      <c r="C78" s="1497">
        <v>3</v>
      </c>
      <c r="D78" s="1498">
        <v>7.99</v>
      </c>
      <c r="E78" s="603">
        <f t="shared" si="2"/>
        <v>23.97</v>
      </c>
      <c r="F78" s="1493" t="s">
        <v>764</v>
      </c>
      <c r="G78" t="s">
        <v>280</v>
      </c>
    </row>
    <row r="79" spans="1:7" ht="19.5" customHeight="1" x14ac:dyDescent="0.2">
      <c r="A79" s="1490">
        <v>41990</v>
      </c>
      <c r="B79" s="1496" t="s">
        <v>795</v>
      </c>
      <c r="C79" s="1497">
        <v>30</v>
      </c>
      <c r="D79" s="1498">
        <v>0.8</v>
      </c>
      <c r="E79" s="603">
        <f t="shared" si="2"/>
        <v>24</v>
      </c>
      <c r="F79" s="1493" t="s">
        <v>764</v>
      </c>
      <c r="G79" t="s">
        <v>280</v>
      </c>
    </row>
    <row r="80" spans="1:7" ht="19.5" customHeight="1" x14ac:dyDescent="0.2">
      <c r="A80" s="1499">
        <v>41996</v>
      </c>
      <c r="B80" s="1496" t="s">
        <v>796</v>
      </c>
      <c r="C80" s="1497">
        <v>1</v>
      </c>
      <c r="D80" s="1498">
        <v>13.45</v>
      </c>
      <c r="E80" s="603">
        <f t="shared" si="2"/>
        <v>13.45</v>
      </c>
      <c r="F80" s="1493" t="s">
        <v>733</v>
      </c>
    </row>
    <row r="81" spans="1:6" ht="19.5" customHeight="1" x14ac:dyDescent="0.2">
      <c r="A81" s="1499">
        <v>42013</v>
      </c>
      <c r="B81" s="1496" t="s">
        <v>796</v>
      </c>
      <c r="C81" s="1497">
        <v>1</v>
      </c>
      <c r="D81" s="1498">
        <v>16.98</v>
      </c>
      <c r="E81" s="603">
        <f t="shared" si="2"/>
        <v>16.98</v>
      </c>
      <c r="F81" s="1493" t="s">
        <v>733</v>
      </c>
    </row>
    <row r="82" spans="1:6" ht="19.5" customHeight="1" x14ac:dyDescent="0.2">
      <c r="A82" s="1490">
        <v>42016</v>
      </c>
      <c r="B82" s="1496" t="s">
        <v>792</v>
      </c>
      <c r="C82" s="1497">
        <v>1</v>
      </c>
      <c r="D82" s="1498">
        <v>1</v>
      </c>
      <c r="E82" s="603">
        <f t="shared" si="2"/>
        <v>1</v>
      </c>
      <c r="F82" s="1493" t="s">
        <v>729</v>
      </c>
    </row>
    <row r="83" spans="1:6" ht="19.5" customHeight="1" x14ac:dyDescent="0.2">
      <c r="A83" s="1490">
        <v>42020</v>
      </c>
      <c r="B83" s="1491" t="s">
        <v>797</v>
      </c>
      <c r="C83" s="1492" t="s">
        <v>778</v>
      </c>
      <c r="D83" s="602">
        <v>8.99</v>
      </c>
      <c r="E83" s="603">
        <f t="shared" si="2"/>
        <v>17.98</v>
      </c>
      <c r="F83" s="1494" t="s">
        <v>798</v>
      </c>
    </row>
    <row r="84" spans="1:6" ht="19.5" customHeight="1" x14ac:dyDescent="0.2">
      <c r="A84" s="1490">
        <v>42035</v>
      </c>
      <c r="B84" s="1496" t="s">
        <v>799</v>
      </c>
      <c r="C84" s="1497">
        <v>20</v>
      </c>
      <c r="D84" s="1498">
        <v>0.99</v>
      </c>
      <c r="E84" s="603">
        <f t="shared" si="2"/>
        <v>19.8</v>
      </c>
      <c r="F84" s="1493" t="s">
        <v>729</v>
      </c>
    </row>
    <row r="85" spans="1:6" ht="19.5" customHeight="1" x14ac:dyDescent="0.2">
      <c r="A85" s="1490">
        <v>42035</v>
      </c>
      <c r="B85" s="1491" t="s">
        <v>800</v>
      </c>
      <c r="C85" s="1492" t="s">
        <v>728</v>
      </c>
      <c r="D85" s="602">
        <v>3</v>
      </c>
      <c r="E85" s="603">
        <f>D85*C85</f>
        <v>3</v>
      </c>
      <c r="F85" s="1494" t="s">
        <v>798</v>
      </c>
    </row>
    <row r="86" spans="1:6" ht="19.5" customHeight="1" thickBot="1" x14ac:dyDescent="0.25">
      <c r="A86" s="1500"/>
      <c r="B86" s="1501"/>
      <c r="C86" s="1502"/>
      <c r="D86" s="1503"/>
      <c r="E86" s="603"/>
      <c r="F86" s="1504"/>
    </row>
    <row r="87" spans="1:6" ht="27.75" customHeight="1" thickBot="1" x14ac:dyDescent="0.25">
      <c r="A87"/>
      <c r="B87" s="717"/>
      <c r="C87" s="3107" t="s">
        <v>772</v>
      </c>
      <c r="D87" s="3108"/>
      <c r="E87" s="606">
        <f>SUM(E61:E86)</f>
        <v>481.03000000000009</v>
      </c>
    </row>
    <row r="89" spans="1:6" x14ac:dyDescent="0.2">
      <c r="B89" s="3109" t="s">
        <v>773</v>
      </c>
      <c r="C89" s="3109"/>
      <c r="D89" s="3109"/>
      <c r="E89" s="550">
        <v>200</v>
      </c>
    </row>
    <row r="90" spans="1:6" x14ac:dyDescent="0.2">
      <c r="B90" s="1505"/>
      <c r="C90" s="3102" t="s">
        <v>774</v>
      </c>
      <c r="D90" s="3102"/>
      <c r="E90" s="550"/>
    </row>
    <row r="91" spans="1:6" x14ac:dyDescent="0.2">
      <c r="B91" s="1505"/>
      <c r="C91" s="3102" t="s">
        <v>772</v>
      </c>
      <c r="D91" s="3102"/>
      <c r="E91" s="550">
        <f>E87+E89</f>
        <v>681.03000000000009</v>
      </c>
    </row>
    <row r="92" spans="1:6" ht="13.5" thickBot="1" x14ac:dyDescent="0.25"/>
    <row r="93" spans="1:6" ht="27" thickBot="1" x14ac:dyDescent="0.45">
      <c r="A93" s="3104" t="s">
        <v>801</v>
      </c>
      <c r="B93" s="3105"/>
      <c r="C93" s="3105"/>
      <c r="D93" s="3105"/>
      <c r="E93" s="3105"/>
      <c r="F93" s="3106"/>
    </row>
    <row r="94" spans="1:6" ht="19.5" customHeight="1" thickBot="1" x14ac:dyDescent="0.25">
      <c r="A94" s="597" t="s">
        <v>721</v>
      </c>
      <c r="B94" s="598" t="s">
        <v>722</v>
      </c>
      <c r="C94" s="599" t="s">
        <v>723</v>
      </c>
      <c r="D94" s="600" t="s">
        <v>724</v>
      </c>
      <c r="E94" s="604" t="s">
        <v>725</v>
      </c>
      <c r="F94" s="605" t="s">
        <v>726</v>
      </c>
    </row>
    <row r="95" spans="1:6" ht="19.5" customHeight="1" x14ac:dyDescent="0.2">
      <c r="A95" s="1490">
        <v>41985</v>
      </c>
      <c r="B95" s="1491" t="s">
        <v>802</v>
      </c>
      <c r="C95" s="1492" t="s">
        <v>728</v>
      </c>
      <c r="D95" s="602">
        <v>110</v>
      </c>
      <c r="E95" s="603">
        <f t="shared" ref="E95:E115" si="3">D95*C95</f>
        <v>110</v>
      </c>
      <c r="F95" s="1494" t="s">
        <v>733</v>
      </c>
    </row>
    <row r="96" spans="1:6" ht="19.5" customHeight="1" x14ac:dyDescent="0.2">
      <c r="A96" s="1490">
        <v>41985</v>
      </c>
      <c r="B96" s="1491" t="s">
        <v>803</v>
      </c>
      <c r="C96" s="1492" t="s">
        <v>804</v>
      </c>
      <c r="D96" s="602">
        <v>0.53</v>
      </c>
      <c r="E96" s="603">
        <f t="shared" si="3"/>
        <v>26.5</v>
      </c>
      <c r="F96" s="1494" t="s">
        <v>733</v>
      </c>
    </row>
    <row r="97" spans="1:6" ht="19.5" customHeight="1" x14ac:dyDescent="0.2">
      <c r="A97" s="1490">
        <v>41985</v>
      </c>
      <c r="B97" s="1491" t="s">
        <v>805</v>
      </c>
      <c r="C97" s="1492" t="s">
        <v>732</v>
      </c>
      <c r="D97" s="602">
        <v>26.5</v>
      </c>
      <c r="E97" s="603">
        <f t="shared" si="3"/>
        <v>106</v>
      </c>
      <c r="F97" s="1494" t="s">
        <v>733</v>
      </c>
    </row>
    <row r="98" spans="1:6" ht="19.5" customHeight="1" x14ac:dyDescent="0.2">
      <c r="A98" s="1490">
        <v>41995</v>
      </c>
      <c r="B98" s="1491" t="s">
        <v>806</v>
      </c>
      <c r="C98" s="1492" t="s">
        <v>807</v>
      </c>
      <c r="D98" s="602">
        <v>119</v>
      </c>
      <c r="E98" s="603">
        <f>D98*C98</f>
        <v>178.5</v>
      </c>
      <c r="F98" s="1494" t="s">
        <v>733</v>
      </c>
    </row>
    <row r="99" spans="1:6" ht="19.5" customHeight="1" x14ac:dyDescent="0.2">
      <c r="A99" s="1490">
        <v>41999</v>
      </c>
      <c r="B99" s="1491" t="s">
        <v>808</v>
      </c>
      <c r="C99" s="1495">
        <v>2</v>
      </c>
      <c r="D99" s="602">
        <v>34.9</v>
      </c>
      <c r="E99" s="603">
        <f t="shared" si="3"/>
        <v>69.8</v>
      </c>
      <c r="F99" s="1494" t="s">
        <v>733</v>
      </c>
    </row>
    <row r="100" spans="1:6" ht="19.5" customHeight="1" x14ac:dyDescent="0.2">
      <c r="A100" s="1490">
        <v>42003</v>
      </c>
      <c r="B100" s="1491" t="s">
        <v>805</v>
      </c>
      <c r="C100" s="1495">
        <v>3</v>
      </c>
      <c r="D100" s="602">
        <v>26.5</v>
      </c>
      <c r="E100" s="603">
        <f t="shared" si="3"/>
        <v>79.5</v>
      </c>
      <c r="F100" s="1494" t="s">
        <v>733</v>
      </c>
    </row>
    <row r="101" spans="1:6" ht="19.5" customHeight="1" x14ac:dyDescent="0.2">
      <c r="A101" s="1490">
        <v>42006</v>
      </c>
      <c r="B101" s="1496" t="s">
        <v>805</v>
      </c>
      <c r="C101" s="1497">
        <v>2</v>
      </c>
      <c r="D101" s="1498">
        <v>26.5</v>
      </c>
      <c r="E101" s="603">
        <f t="shared" si="3"/>
        <v>53</v>
      </c>
      <c r="F101" s="1493" t="s">
        <v>733</v>
      </c>
    </row>
    <row r="102" spans="1:6" ht="19.5" customHeight="1" x14ac:dyDescent="0.2">
      <c r="A102" s="1490">
        <v>42006</v>
      </c>
      <c r="B102" s="1496" t="s">
        <v>796</v>
      </c>
      <c r="C102" s="1497">
        <v>1</v>
      </c>
      <c r="D102" s="1498">
        <v>13.45</v>
      </c>
      <c r="E102" s="603">
        <f t="shared" si="3"/>
        <v>13.45</v>
      </c>
      <c r="F102" s="1493" t="s">
        <v>733</v>
      </c>
    </row>
    <row r="103" spans="1:6" ht="19.5" customHeight="1" x14ac:dyDescent="0.2">
      <c r="A103" s="1490">
        <v>42006</v>
      </c>
      <c r="B103" s="1496" t="s">
        <v>803</v>
      </c>
      <c r="C103" s="1497">
        <v>10</v>
      </c>
      <c r="D103" s="1498">
        <v>0.53</v>
      </c>
      <c r="E103" s="603">
        <f t="shared" si="3"/>
        <v>5.3000000000000007</v>
      </c>
      <c r="F103" s="1493" t="s">
        <v>733</v>
      </c>
    </row>
    <row r="104" spans="1:6" ht="19.5" customHeight="1" x14ac:dyDescent="0.2">
      <c r="A104" s="1490">
        <v>42010</v>
      </c>
      <c r="B104" s="1496" t="s">
        <v>809</v>
      </c>
      <c r="C104" s="1497">
        <v>1</v>
      </c>
      <c r="D104" s="1498">
        <v>360</v>
      </c>
      <c r="E104" s="603">
        <f t="shared" si="3"/>
        <v>360</v>
      </c>
      <c r="F104" s="1493" t="s">
        <v>810</v>
      </c>
    </row>
    <row r="105" spans="1:6" ht="19.5" customHeight="1" x14ac:dyDescent="0.2">
      <c r="A105" s="1490">
        <v>42011</v>
      </c>
      <c r="B105" s="1496" t="s">
        <v>805</v>
      </c>
      <c r="C105" s="1497">
        <v>2</v>
      </c>
      <c r="D105" s="1498">
        <v>26.5</v>
      </c>
      <c r="E105" s="603">
        <f t="shared" si="3"/>
        <v>53</v>
      </c>
      <c r="F105" s="1493" t="s">
        <v>811</v>
      </c>
    </row>
    <row r="106" spans="1:6" ht="19.5" customHeight="1" x14ac:dyDescent="0.2">
      <c r="A106" s="1490">
        <v>42011</v>
      </c>
      <c r="B106" s="1496" t="s">
        <v>812</v>
      </c>
      <c r="C106" s="1497">
        <v>1</v>
      </c>
      <c r="D106" s="1498">
        <v>99</v>
      </c>
      <c r="E106" s="603">
        <f t="shared" si="3"/>
        <v>99</v>
      </c>
      <c r="F106" s="1493" t="s">
        <v>811</v>
      </c>
    </row>
    <row r="107" spans="1:6" ht="19.5" customHeight="1" x14ac:dyDescent="0.2">
      <c r="A107" s="1490">
        <v>42012</v>
      </c>
      <c r="B107" s="1496" t="s">
        <v>805</v>
      </c>
      <c r="C107" s="1497">
        <v>3</v>
      </c>
      <c r="D107" s="1498">
        <v>19.899999999999999</v>
      </c>
      <c r="E107" s="603">
        <f>D107*C107</f>
        <v>59.699999999999996</v>
      </c>
      <c r="F107" s="1493" t="s">
        <v>798</v>
      </c>
    </row>
    <row r="108" spans="1:6" ht="19.5" customHeight="1" x14ac:dyDescent="0.2">
      <c r="A108" s="1490">
        <v>42016</v>
      </c>
      <c r="B108" s="1496" t="s">
        <v>813</v>
      </c>
      <c r="C108" s="1507">
        <v>14.99</v>
      </c>
      <c r="D108" s="1498">
        <v>16</v>
      </c>
      <c r="E108" s="603">
        <f t="shared" si="3"/>
        <v>239.84</v>
      </c>
      <c r="F108" s="1493" t="s">
        <v>729</v>
      </c>
    </row>
    <row r="109" spans="1:6" ht="19.5" customHeight="1" x14ac:dyDescent="0.2">
      <c r="A109" s="1490">
        <v>42016</v>
      </c>
      <c r="B109" s="1496" t="s">
        <v>814</v>
      </c>
      <c r="C109" s="1497">
        <v>4</v>
      </c>
      <c r="D109" s="1498">
        <v>14.99</v>
      </c>
      <c r="E109" s="603">
        <f>D109*C109</f>
        <v>59.96</v>
      </c>
      <c r="F109" s="1493" t="s">
        <v>729</v>
      </c>
    </row>
    <row r="110" spans="1:6" ht="19.5" customHeight="1" x14ac:dyDescent="0.2">
      <c r="A110" s="1490">
        <v>42016</v>
      </c>
      <c r="B110" s="1496" t="s">
        <v>815</v>
      </c>
      <c r="C110" s="1497">
        <v>4</v>
      </c>
      <c r="D110" s="1498">
        <v>3</v>
      </c>
      <c r="E110" s="603">
        <f>D110*C110</f>
        <v>12</v>
      </c>
      <c r="F110" s="1493" t="s">
        <v>729</v>
      </c>
    </row>
    <row r="111" spans="1:6" ht="19.5" customHeight="1" x14ac:dyDescent="0.2">
      <c r="A111" s="1490">
        <v>42016</v>
      </c>
      <c r="B111" s="1496" t="s">
        <v>816</v>
      </c>
      <c r="C111" s="1497">
        <v>17</v>
      </c>
      <c r="D111" s="1498">
        <v>5.5</v>
      </c>
      <c r="E111" s="603">
        <f>D111*C111</f>
        <v>93.5</v>
      </c>
      <c r="F111" s="1493" t="s">
        <v>729</v>
      </c>
    </row>
    <row r="112" spans="1:6" ht="19.5" customHeight="1" x14ac:dyDescent="0.2">
      <c r="A112" s="1490">
        <v>42016</v>
      </c>
      <c r="B112" s="1496" t="s">
        <v>817</v>
      </c>
      <c r="C112" s="1497">
        <v>1</v>
      </c>
      <c r="D112" s="1498">
        <v>9.5</v>
      </c>
      <c r="E112" s="603">
        <f>D112*C112</f>
        <v>9.5</v>
      </c>
      <c r="F112" s="1493" t="s">
        <v>729</v>
      </c>
    </row>
    <row r="113" spans="1:6" ht="19.5" customHeight="1" x14ac:dyDescent="0.2">
      <c r="A113" s="1490">
        <v>42016</v>
      </c>
      <c r="B113" s="1496" t="s">
        <v>818</v>
      </c>
      <c r="C113" s="1497">
        <v>1</v>
      </c>
      <c r="D113" s="1498">
        <v>14</v>
      </c>
      <c r="E113" s="603">
        <f t="shared" si="3"/>
        <v>14</v>
      </c>
      <c r="F113" s="1493" t="s">
        <v>729</v>
      </c>
    </row>
    <row r="114" spans="1:6" ht="19.5" customHeight="1" x14ac:dyDescent="0.2">
      <c r="A114" s="1490">
        <v>42016</v>
      </c>
      <c r="B114" s="1496" t="s">
        <v>819</v>
      </c>
      <c r="C114" s="1497">
        <v>1</v>
      </c>
      <c r="D114" s="1498">
        <v>9.5</v>
      </c>
      <c r="E114" s="603">
        <f t="shared" si="3"/>
        <v>9.5</v>
      </c>
      <c r="F114" s="1493" t="s">
        <v>729</v>
      </c>
    </row>
    <row r="115" spans="1:6" ht="19.5" customHeight="1" x14ac:dyDescent="0.2">
      <c r="A115" s="1490">
        <v>42024</v>
      </c>
      <c r="B115" s="1496" t="s">
        <v>820</v>
      </c>
      <c r="C115" s="1497">
        <v>19</v>
      </c>
      <c r="D115" s="1498">
        <v>18.54</v>
      </c>
      <c r="E115" s="603">
        <f t="shared" si="3"/>
        <v>352.26</v>
      </c>
      <c r="F115" s="1493" t="s">
        <v>798</v>
      </c>
    </row>
    <row r="116" spans="1:6" ht="19.5" customHeight="1" x14ac:dyDescent="0.2">
      <c r="A116" s="1490">
        <v>42024</v>
      </c>
      <c r="B116" s="1496" t="s">
        <v>821</v>
      </c>
      <c r="C116" s="1497">
        <v>5</v>
      </c>
      <c r="D116" s="1498">
        <v>9.99</v>
      </c>
      <c r="E116" s="603">
        <f t="shared" ref="E116:E121" si="4">D116*C116</f>
        <v>49.95</v>
      </c>
      <c r="F116" s="1493" t="s">
        <v>798</v>
      </c>
    </row>
    <row r="117" spans="1:6" ht="19.5" customHeight="1" x14ac:dyDescent="0.2">
      <c r="A117" s="1490">
        <v>42024</v>
      </c>
      <c r="B117" s="1496" t="s">
        <v>822</v>
      </c>
      <c r="C117" s="1497">
        <v>4</v>
      </c>
      <c r="D117" s="1498">
        <v>3.79</v>
      </c>
      <c r="E117" s="603">
        <f t="shared" si="4"/>
        <v>15.16</v>
      </c>
      <c r="F117" s="1493" t="s">
        <v>798</v>
      </c>
    </row>
    <row r="118" spans="1:6" ht="19.5" customHeight="1" x14ac:dyDescent="0.2">
      <c r="A118" s="1490">
        <v>42025</v>
      </c>
      <c r="B118" s="1496" t="s">
        <v>823</v>
      </c>
      <c r="C118" s="1497">
        <v>5</v>
      </c>
      <c r="D118" s="1498">
        <v>1.5</v>
      </c>
      <c r="E118" s="603">
        <f t="shared" si="4"/>
        <v>7.5</v>
      </c>
      <c r="F118" s="1493" t="s">
        <v>729</v>
      </c>
    </row>
    <row r="119" spans="1:6" ht="19.5" customHeight="1" x14ac:dyDescent="0.2">
      <c r="A119" s="1490">
        <v>42025</v>
      </c>
      <c r="B119" s="1496" t="s">
        <v>824</v>
      </c>
      <c r="C119" s="1497">
        <v>1</v>
      </c>
      <c r="D119" s="1498">
        <v>3</v>
      </c>
      <c r="E119" s="603">
        <f t="shared" si="4"/>
        <v>3</v>
      </c>
      <c r="F119" s="1493" t="s">
        <v>729</v>
      </c>
    </row>
    <row r="120" spans="1:6" ht="19.5" customHeight="1" x14ac:dyDescent="0.2">
      <c r="A120" s="1490">
        <v>42028</v>
      </c>
      <c r="B120" s="1496" t="s">
        <v>825</v>
      </c>
      <c r="C120" s="1497">
        <v>6</v>
      </c>
      <c r="D120" s="1498">
        <v>6.95</v>
      </c>
      <c r="E120" s="603">
        <f t="shared" si="4"/>
        <v>41.7</v>
      </c>
      <c r="F120" s="1493" t="s">
        <v>733</v>
      </c>
    </row>
    <row r="121" spans="1:6" ht="19.5" customHeight="1" x14ac:dyDescent="0.2">
      <c r="A121" s="1490">
        <v>42033</v>
      </c>
      <c r="B121" s="1496" t="s">
        <v>826</v>
      </c>
      <c r="C121" s="1497">
        <v>2</v>
      </c>
      <c r="D121" s="1498">
        <v>8.8800000000000008</v>
      </c>
      <c r="E121" s="603">
        <f t="shared" si="4"/>
        <v>17.760000000000002</v>
      </c>
      <c r="F121" s="1493" t="s">
        <v>798</v>
      </c>
    </row>
    <row r="122" spans="1:6" ht="19.5" customHeight="1" x14ac:dyDescent="0.2">
      <c r="A122" s="1490">
        <v>42040</v>
      </c>
      <c r="B122" s="1496" t="s">
        <v>827</v>
      </c>
      <c r="C122" s="1497">
        <v>2.04</v>
      </c>
      <c r="D122" s="1498">
        <v>11.65</v>
      </c>
      <c r="E122" s="603">
        <v>27.93</v>
      </c>
      <c r="F122" s="1493" t="s">
        <v>798</v>
      </c>
    </row>
    <row r="123" spans="1:6" ht="19.5" customHeight="1" x14ac:dyDescent="0.2">
      <c r="A123" s="1490">
        <v>42040</v>
      </c>
      <c r="B123" s="1496" t="s">
        <v>828</v>
      </c>
      <c r="C123" s="1497">
        <v>20</v>
      </c>
      <c r="D123" s="1498">
        <v>11.49</v>
      </c>
      <c r="E123" s="603">
        <v>213.03</v>
      </c>
      <c r="F123" s="1493" t="s">
        <v>798</v>
      </c>
    </row>
    <row r="124" spans="1:6" ht="19.5" customHeight="1" x14ac:dyDescent="0.2">
      <c r="A124" s="1490">
        <v>42040</v>
      </c>
      <c r="B124" s="1496" t="s">
        <v>829</v>
      </c>
      <c r="C124" s="1497">
        <v>5</v>
      </c>
      <c r="D124" s="1498">
        <v>3.79</v>
      </c>
      <c r="E124" s="603">
        <v>17.57</v>
      </c>
      <c r="F124" s="1493" t="s">
        <v>798</v>
      </c>
    </row>
    <row r="125" spans="1:6" ht="19.5" customHeight="1" x14ac:dyDescent="0.2">
      <c r="A125" s="1499">
        <v>42040</v>
      </c>
      <c r="B125" s="1496" t="s">
        <v>830</v>
      </c>
      <c r="C125" s="1497">
        <v>1</v>
      </c>
      <c r="D125" s="1498">
        <v>3.79</v>
      </c>
      <c r="E125" s="603">
        <v>3.51</v>
      </c>
      <c r="F125" s="1493" t="s">
        <v>798</v>
      </c>
    </row>
    <row r="126" spans="1:6" ht="19.5" customHeight="1" x14ac:dyDescent="0.2">
      <c r="A126" s="1490">
        <v>42042</v>
      </c>
      <c r="B126" s="1496" t="s">
        <v>825</v>
      </c>
      <c r="C126" s="1497">
        <v>6</v>
      </c>
      <c r="D126" s="1498">
        <v>7.1</v>
      </c>
      <c r="E126" s="603">
        <f t="shared" ref="E126:E151" si="5">D126*C126</f>
        <v>42.599999999999994</v>
      </c>
      <c r="F126" s="1493" t="s">
        <v>733</v>
      </c>
    </row>
    <row r="127" spans="1:6" ht="19.5" customHeight="1" x14ac:dyDescent="0.2">
      <c r="A127" s="1499">
        <v>42045</v>
      </c>
      <c r="B127" s="1496" t="s">
        <v>831</v>
      </c>
      <c r="C127" s="1497">
        <v>1</v>
      </c>
      <c r="D127" s="1498">
        <v>288</v>
      </c>
      <c r="E127" s="603">
        <f t="shared" si="5"/>
        <v>288</v>
      </c>
      <c r="F127" s="1493" t="s">
        <v>798</v>
      </c>
    </row>
    <row r="128" spans="1:6" ht="19.5" customHeight="1" x14ac:dyDescent="0.2">
      <c r="A128" s="1499">
        <v>42045</v>
      </c>
      <c r="B128" s="1496" t="s">
        <v>826</v>
      </c>
      <c r="C128" s="1497">
        <v>4</v>
      </c>
      <c r="D128" s="1498">
        <v>7.99</v>
      </c>
      <c r="E128" s="603">
        <f t="shared" si="5"/>
        <v>31.96</v>
      </c>
      <c r="F128" s="1493" t="s">
        <v>798</v>
      </c>
    </row>
    <row r="129" spans="1:6" ht="19.5" customHeight="1" x14ac:dyDescent="0.2">
      <c r="A129" s="1499">
        <v>42049</v>
      </c>
      <c r="B129" s="1496" t="s">
        <v>827</v>
      </c>
      <c r="C129" s="1497">
        <v>2</v>
      </c>
      <c r="D129" s="1498">
        <v>13.69</v>
      </c>
      <c r="E129" s="603">
        <f t="shared" si="5"/>
        <v>27.38</v>
      </c>
      <c r="F129" s="1493" t="s">
        <v>798</v>
      </c>
    </row>
    <row r="130" spans="1:6" ht="19.5" customHeight="1" x14ac:dyDescent="0.2">
      <c r="A130" s="1499">
        <v>42049</v>
      </c>
      <c r="B130" s="1496" t="s">
        <v>832</v>
      </c>
      <c r="C130" s="1497">
        <v>1</v>
      </c>
      <c r="D130" s="1498">
        <v>91.12</v>
      </c>
      <c r="E130" s="603">
        <f t="shared" si="5"/>
        <v>91.12</v>
      </c>
      <c r="F130" s="1493" t="s">
        <v>798</v>
      </c>
    </row>
    <row r="131" spans="1:6" ht="19.5" customHeight="1" x14ac:dyDescent="0.2">
      <c r="A131" s="1499">
        <v>42049</v>
      </c>
      <c r="B131" s="1496" t="s">
        <v>833</v>
      </c>
      <c r="C131" s="1497">
        <v>1</v>
      </c>
      <c r="D131" s="1498">
        <v>119.99</v>
      </c>
      <c r="E131" s="603">
        <f t="shared" si="5"/>
        <v>119.99</v>
      </c>
      <c r="F131" s="1493" t="s">
        <v>798</v>
      </c>
    </row>
    <row r="132" spans="1:6" ht="19.5" customHeight="1" x14ac:dyDescent="0.2">
      <c r="A132" s="1499">
        <v>42049</v>
      </c>
      <c r="B132" s="1496" t="s">
        <v>834</v>
      </c>
      <c r="C132" s="1497">
        <v>1</v>
      </c>
      <c r="D132" s="1498">
        <v>39.99</v>
      </c>
      <c r="E132" s="603">
        <f t="shared" si="5"/>
        <v>39.99</v>
      </c>
      <c r="F132" s="1493" t="s">
        <v>798</v>
      </c>
    </row>
    <row r="133" spans="1:6" ht="19.5" customHeight="1" x14ac:dyDescent="0.2">
      <c r="A133" s="1499">
        <v>42049</v>
      </c>
      <c r="B133" s="1496" t="s">
        <v>835</v>
      </c>
      <c r="C133" s="1497">
        <v>1</v>
      </c>
      <c r="D133" s="1498">
        <v>19.989999999999998</v>
      </c>
      <c r="E133" s="603">
        <f t="shared" si="5"/>
        <v>19.989999999999998</v>
      </c>
      <c r="F133" s="1493" t="s">
        <v>798</v>
      </c>
    </row>
    <row r="134" spans="1:6" ht="19.5" customHeight="1" x14ac:dyDescent="0.2">
      <c r="A134" s="1499">
        <v>42049</v>
      </c>
      <c r="B134" s="1496" t="s">
        <v>836</v>
      </c>
      <c r="C134" s="1497">
        <v>1</v>
      </c>
      <c r="D134" s="1498">
        <v>66.5</v>
      </c>
      <c r="E134" s="603">
        <f t="shared" si="5"/>
        <v>66.5</v>
      </c>
      <c r="F134" s="1493" t="s">
        <v>733</v>
      </c>
    </row>
    <row r="135" spans="1:6" ht="19.5" customHeight="1" x14ac:dyDescent="0.2">
      <c r="A135" s="1499">
        <v>42049</v>
      </c>
      <c r="B135" s="1496" t="s">
        <v>837</v>
      </c>
      <c r="C135" s="1497">
        <v>2</v>
      </c>
      <c r="D135" s="1498">
        <v>8</v>
      </c>
      <c r="E135" s="603">
        <f t="shared" si="5"/>
        <v>16</v>
      </c>
      <c r="F135" s="1493" t="s">
        <v>733</v>
      </c>
    </row>
    <row r="136" spans="1:6" ht="19.5" customHeight="1" x14ac:dyDescent="0.2">
      <c r="A136" s="1499">
        <v>42049</v>
      </c>
      <c r="B136" s="1496" t="s">
        <v>752</v>
      </c>
      <c r="C136" s="1497">
        <v>2</v>
      </c>
      <c r="D136" s="1498">
        <v>1.9</v>
      </c>
      <c r="E136" s="603">
        <f t="shared" si="5"/>
        <v>3.8</v>
      </c>
      <c r="F136" s="1493" t="s">
        <v>733</v>
      </c>
    </row>
    <row r="137" spans="1:6" ht="19.5" customHeight="1" x14ac:dyDescent="0.2">
      <c r="A137" s="1499">
        <v>42049</v>
      </c>
      <c r="B137" s="1496" t="s">
        <v>838</v>
      </c>
      <c r="C137" s="1497">
        <v>1</v>
      </c>
      <c r="D137" s="1498">
        <v>3.16</v>
      </c>
      <c r="E137" s="603">
        <f t="shared" si="5"/>
        <v>3.16</v>
      </c>
      <c r="F137" s="1493" t="s">
        <v>733</v>
      </c>
    </row>
    <row r="138" spans="1:6" ht="19.5" customHeight="1" x14ac:dyDescent="0.2">
      <c r="A138" s="1499">
        <v>42049</v>
      </c>
      <c r="B138" s="1496" t="s">
        <v>839</v>
      </c>
      <c r="C138" s="1497">
        <v>1</v>
      </c>
      <c r="D138" s="1498">
        <v>1.77</v>
      </c>
      <c r="E138" s="603">
        <f t="shared" si="5"/>
        <v>1.77</v>
      </c>
      <c r="F138" s="1493" t="s">
        <v>733</v>
      </c>
    </row>
    <row r="139" spans="1:6" ht="19.5" customHeight="1" x14ac:dyDescent="0.2">
      <c r="A139" s="1499">
        <v>42049</v>
      </c>
      <c r="B139" s="1496" t="s">
        <v>840</v>
      </c>
      <c r="C139" s="1497">
        <v>1</v>
      </c>
      <c r="D139" s="1498">
        <v>7</v>
      </c>
      <c r="E139" s="603">
        <f t="shared" si="5"/>
        <v>7</v>
      </c>
      <c r="F139" s="1493" t="s">
        <v>733</v>
      </c>
    </row>
    <row r="140" spans="1:6" ht="19.5" customHeight="1" x14ac:dyDescent="0.2">
      <c r="A140" s="1499">
        <v>42049</v>
      </c>
      <c r="B140" s="1496" t="s">
        <v>841</v>
      </c>
      <c r="C140" s="1497">
        <v>3</v>
      </c>
      <c r="D140" s="1498">
        <v>0.85</v>
      </c>
      <c r="E140" s="603">
        <f t="shared" si="5"/>
        <v>2.5499999999999998</v>
      </c>
      <c r="F140" s="1493" t="s">
        <v>733</v>
      </c>
    </row>
    <row r="141" spans="1:6" ht="19.5" customHeight="1" x14ac:dyDescent="0.2">
      <c r="A141" s="1499">
        <v>42049</v>
      </c>
      <c r="B141" s="1496" t="s">
        <v>842</v>
      </c>
      <c r="C141" s="1497">
        <v>1</v>
      </c>
      <c r="D141" s="1498">
        <v>7.5</v>
      </c>
      <c r="E141" s="603">
        <f t="shared" si="5"/>
        <v>7.5</v>
      </c>
      <c r="F141" s="1493" t="s">
        <v>733</v>
      </c>
    </row>
    <row r="142" spans="1:6" ht="19.5" customHeight="1" x14ac:dyDescent="0.2">
      <c r="A142" s="1499">
        <v>42049</v>
      </c>
      <c r="B142" s="1496" t="s">
        <v>843</v>
      </c>
      <c r="C142" s="1497">
        <v>1</v>
      </c>
      <c r="D142" s="1498">
        <v>5.65</v>
      </c>
      <c r="E142" s="603">
        <f t="shared" si="5"/>
        <v>5.65</v>
      </c>
      <c r="F142" s="1493" t="s">
        <v>733</v>
      </c>
    </row>
    <row r="143" spans="1:6" ht="19.5" customHeight="1" x14ac:dyDescent="0.2">
      <c r="A143" s="1499">
        <v>42049</v>
      </c>
      <c r="B143" s="1496" t="s">
        <v>844</v>
      </c>
      <c r="C143" s="1497">
        <v>1</v>
      </c>
      <c r="D143" s="1498">
        <v>13</v>
      </c>
      <c r="E143" s="603">
        <f>D143*C143</f>
        <v>13</v>
      </c>
      <c r="F143" s="1493" t="s">
        <v>733</v>
      </c>
    </row>
    <row r="144" spans="1:6" ht="19.5" customHeight="1" x14ac:dyDescent="0.2">
      <c r="A144" s="1499">
        <v>42049</v>
      </c>
      <c r="B144" s="1496" t="s">
        <v>845</v>
      </c>
      <c r="C144" s="1497">
        <v>1</v>
      </c>
      <c r="D144" s="1498">
        <v>11.8</v>
      </c>
      <c r="E144" s="603">
        <f>D144*C144</f>
        <v>11.8</v>
      </c>
      <c r="F144" s="1493" t="s">
        <v>733</v>
      </c>
    </row>
    <row r="145" spans="1:7" ht="19.5" customHeight="1" x14ac:dyDescent="0.2">
      <c r="A145" s="1499">
        <v>42054</v>
      </c>
      <c r="B145" s="1496" t="s">
        <v>825</v>
      </c>
      <c r="C145" s="1497">
        <v>2</v>
      </c>
      <c r="D145" s="1498">
        <v>7.1</v>
      </c>
      <c r="E145" s="603">
        <f>D145*C145</f>
        <v>14.2</v>
      </c>
      <c r="F145" s="1493" t="s">
        <v>733</v>
      </c>
    </row>
    <row r="146" spans="1:7" ht="19.5" customHeight="1" x14ac:dyDescent="0.2">
      <c r="A146" s="1499">
        <v>42054</v>
      </c>
      <c r="B146" s="1496" t="s">
        <v>846</v>
      </c>
      <c r="C146" s="1497">
        <v>1</v>
      </c>
      <c r="D146" s="1498">
        <v>8.15</v>
      </c>
      <c r="E146" s="603">
        <f t="shared" si="5"/>
        <v>8.15</v>
      </c>
      <c r="F146" s="1493" t="s">
        <v>733</v>
      </c>
    </row>
    <row r="147" spans="1:7" ht="19.5" customHeight="1" x14ac:dyDescent="0.2">
      <c r="A147" s="1499">
        <v>42054</v>
      </c>
      <c r="B147" s="1496" t="s">
        <v>847</v>
      </c>
      <c r="C147" s="1497">
        <v>1</v>
      </c>
      <c r="D147" s="1498">
        <v>10.050000000000001</v>
      </c>
      <c r="E147" s="603">
        <f t="shared" si="5"/>
        <v>10.050000000000001</v>
      </c>
      <c r="F147" s="1493" t="s">
        <v>733</v>
      </c>
    </row>
    <row r="148" spans="1:7" ht="19.5" customHeight="1" x14ac:dyDescent="0.2">
      <c r="A148" s="1499">
        <v>42058</v>
      </c>
      <c r="B148" s="1496" t="s">
        <v>848</v>
      </c>
      <c r="C148" s="1497">
        <v>1</v>
      </c>
      <c r="D148" s="1498">
        <v>49.99</v>
      </c>
      <c r="E148" s="603">
        <f t="shared" si="5"/>
        <v>49.99</v>
      </c>
      <c r="F148" s="1493" t="s">
        <v>798</v>
      </c>
    </row>
    <row r="149" spans="1:7" ht="19.5" customHeight="1" x14ac:dyDescent="0.2">
      <c r="A149" s="1499">
        <v>42058</v>
      </c>
      <c r="B149" s="1496" t="s">
        <v>849</v>
      </c>
      <c r="C149" s="1497">
        <v>1</v>
      </c>
      <c r="D149" s="1498">
        <v>7.49</v>
      </c>
      <c r="E149" s="603">
        <f>D149*C149</f>
        <v>7.49</v>
      </c>
      <c r="F149" s="1493" t="s">
        <v>798</v>
      </c>
    </row>
    <row r="150" spans="1:7" ht="19.5" customHeight="1" x14ac:dyDescent="0.2">
      <c r="A150" s="1499">
        <v>42058</v>
      </c>
      <c r="B150" s="1496" t="s">
        <v>850</v>
      </c>
      <c r="C150" s="1497">
        <v>1</v>
      </c>
      <c r="D150" s="1498">
        <v>99</v>
      </c>
      <c r="E150" s="603">
        <f>D150*C150</f>
        <v>99</v>
      </c>
      <c r="F150" s="1493" t="s">
        <v>798</v>
      </c>
    </row>
    <row r="151" spans="1:7" ht="19.5" customHeight="1" x14ac:dyDescent="0.2">
      <c r="A151" s="1499">
        <v>42070</v>
      </c>
      <c r="B151" s="1496" t="s">
        <v>851</v>
      </c>
      <c r="C151" s="1497">
        <v>1</v>
      </c>
      <c r="D151" s="1498">
        <v>50</v>
      </c>
      <c r="E151" s="603">
        <f t="shared" si="5"/>
        <v>50</v>
      </c>
      <c r="F151" s="1493" t="s">
        <v>798</v>
      </c>
    </row>
    <row r="152" spans="1:7" ht="19.5" customHeight="1" thickBot="1" x14ac:dyDescent="0.25">
      <c r="A152" s="1500"/>
      <c r="B152" s="1501"/>
      <c r="C152" s="1502"/>
      <c r="D152" s="1503"/>
      <c r="E152" s="603"/>
      <c r="F152" s="1504"/>
    </row>
    <row r="153" spans="1:7" ht="33" customHeight="1" thickBot="1" x14ac:dyDescent="0.25">
      <c r="A153"/>
      <c r="B153" s="717"/>
      <c r="C153" s="3107" t="s">
        <v>772</v>
      </c>
      <c r="D153" s="3108"/>
      <c r="E153" s="606">
        <f>SUM(E95:E152)</f>
        <v>3440.0599999999995</v>
      </c>
    </row>
    <row r="155" spans="1:7" x14ac:dyDescent="0.2">
      <c r="B155" s="3109" t="s">
        <v>773</v>
      </c>
      <c r="C155" s="3109"/>
      <c r="D155" s="3109"/>
      <c r="E155" s="550">
        <v>1350</v>
      </c>
      <c r="F155" s="1"/>
      <c r="G155" s="617"/>
    </row>
    <row r="156" spans="1:7" x14ac:dyDescent="0.2">
      <c r="B156" s="1505"/>
      <c r="C156" s="3102" t="s">
        <v>774</v>
      </c>
      <c r="D156" s="3102"/>
      <c r="E156" s="550"/>
    </row>
    <row r="157" spans="1:7" x14ac:dyDescent="0.2">
      <c r="B157" s="1505"/>
      <c r="C157" s="3102" t="s">
        <v>772</v>
      </c>
      <c r="D157" s="3102"/>
      <c r="E157" s="550">
        <f>E153+E155</f>
        <v>4790.0599999999995</v>
      </c>
    </row>
    <row r="158" spans="1:7" ht="13.5" thickBot="1" x14ac:dyDescent="0.25"/>
    <row r="159" spans="1:7" ht="27" thickBot="1" x14ac:dyDescent="0.45">
      <c r="A159" s="3104" t="s">
        <v>852</v>
      </c>
      <c r="B159" s="3105"/>
      <c r="C159" s="3105"/>
      <c r="D159" s="3105"/>
      <c r="E159" s="3105"/>
      <c r="F159" s="3106"/>
    </row>
    <row r="160" spans="1:7" ht="19.5" customHeight="1" thickBot="1" x14ac:dyDescent="0.25">
      <c r="A160" s="597" t="s">
        <v>721</v>
      </c>
      <c r="B160" s="598" t="s">
        <v>722</v>
      </c>
      <c r="C160" s="599" t="s">
        <v>723</v>
      </c>
      <c r="D160" s="600" t="s">
        <v>724</v>
      </c>
      <c r="E160" s="604" t="s">
        <v>725</v>
      </c>
      <c r="F160" s="605" t="s">
        <v>726</v>
      </c>
    </row>
    <row r="161" spans="1:6" ht="19.5" customHeight="1" x14ac:dyDescent="0.2">
      <c r="A161" s="1490">
        <v>42030</v>
      </c>
      <c r="B161" s="1496" t="s">
        <v>853</v>
      </c>
      <c r="C161" s="1497">
        <v>1</v>
      </c>
      <c r="D161" s="1498">
        <v>88.88</v>
      </c>
      <c r="E161" s="603">
        <v>80</v>
      </c>
      <c r="F161" s="1493" t="s">
        <v>798</v>
      </c>
    </row>
    <row r="162" spans="1:6" ht="19.5" customHeight="1" x14ac:dyDescent="0.2">
      <c r="A162" s="1490">
        <v>42030</v>
      </c>
      <c r="B162" s="1496" t="s">
        <v>854</v>
      </c>
      <c r="C162" s="1497">
        <v>2</v>
      </c>
      <c r="D162" s="1498">
        <v>41.11</v>
      </c>
      <c r="E162" s="603">
        <v>74</v>
      </c>
      <c r="F162" s="1493" t="s">
        <v>798</v>
      </c>
    </row>
    <row r="163" spans="1:6" ht="19.5" customHeight="1" x14ac:dyDescent="0.2">
      <c r="A163" s="1490">
        <v>42030</v>
      </c>
      <c r="B163" s="1496" t="s">
        <v>855</v>
      </c>
      <c r="C163" s="1497">
        <v>2</v>
      </c>
      <c r="D163" s="1498">
        <v>55.55</v>
      </c>
      <c r="E163" s="603">
        <v>100</v>
      </c>
      <c r="F163" s="1493" t="s">
        <v>798</v>
      </c>
    </row>
    <row r="164" spans="1:6" ht="19.5" customHeight="1" x14ac:dyDescent="0.2">
      <c r="A164" s="1490">
        <v>42030</v>
      </c>
      <c r="B164" s="1496" t="s">
        <v>856</v>
      </c>
      <c r="C164" s="1497">
        <v>10</v>
      </c>
      <c r="D164" s="1498">
        <v>0.79</v>
      </c>
      <c r="E164" s="603">
        <f>D164*C164</f>
        <v>7.9</v>
      </c>
      <c r="F164" s="1493" t="s">
        <v>798</v>
      </c>
    </row>
    <row r="165" spans="1:6" ht="19.5" customHeight="1" x14ac:dyDescent="0.2">
      <c r="A165" s="1490">
        <v>42031</v>
      </c>
      <c r="B165" s="1496" t="s">
        <v>857</v>
      </c>
      <c r="C165" s="1497">
        <v>1</v>
      </c>
      <c r="D165" s="1498">
        <v>50</v>
      </c>
      <c r="E165" s="603">
        <f>D165*C165</f>
        <v>50</v>
      </c>
      <c r="F165" s="1493" t="s">
        <v>858</v>
      </c>
    </row>
    <row r="166" spans="1:6" ht="19.5" customHeight="1" x14ac:dyDescent="0.2">
      <c r="A166" s="1499"/>
      <c r="B166" s="1496"/>
      <c r="C166" s="1497"/>
      <c r="D166" s="1498"/>
      <c r="E166" s="603"/>
      <c r="F166" s="1493"/>
    </row>
    <row r="167" spans="1:6" ht="19.5" customHeight="1" thickBot="1" x14ac:dyDescent="0.25">
      <c r="A167" s="1500"/>
      <c r="B167" s="1501"/>
      <c r="C167" s="1502"/>
      <c r="D167" s="1503"/>
      <c r="E167" s="603"/>
      <c r="F167" s="1504"/>
    </row>
    <row r="168" spans="1:6" ht="33" customHeight="1" thickBot="1" x14ac:dyDescent="0.25">
      <c r="A168"/>
      <c r="B168" s="717"/>
      <c r="C168" s="3107" t="s">
        <v>772</v>
      </c>
      <c r="D168" s="3108"/>
      <c r="E168" s="606">
        <f>SUM(E161:E167)</f>
        <v>311.89999999999998</v>
      </c>
    </row>
    <row r="169" spans="1:6" ht="12.75" customHeight="1" x14ac:dyDescent="0.2"/>
    <row r="170" spans="1:6" x14ac:dyDescent="0.2">
      <c r="B170" s="3109" t="s">
        <v>859</v>
      </c>
      <c r="C170" s="3109"/>
      <c r="D170" s="3109"/>
      <c r="E170" s="1508">
        <v>420</v>
      </c>
      <c r="F170" s="1"/>
    </row>
    <row r="171" spans="1:6" x14ac:dyDescent="0.2">
      <c r="B171" s="1505"/>
      <c r="C171" s="3102" t="s">
        <v>860</v>
      </c>
      <c r="D171" s="3102"/>
      <c r="E171" s="1508">
        <f>E168</f>
        <v>311.89999999999998</v>
      </c>
    </row>
    <row r="172" spans="1:6" x14ac:dyDescent="0.2">
      <c r="B172" s="1505"/>
      <c r="C172" s="3103" t="s">
        <v>861</v>
      </c>
      <c r="D172" s="3103"/>
      <c r="E172" s="607">
        <f>SUM(E170:E171)</f>
        <v>731.9</v>
      </c>
    </row>
    <row r="174" spans="1:6" ht="12.75" customHeight="1" x14ac:dyDescent="0.2"/>
    <row r="176" spans="1:6" x14ac:dyDescent="0.2">
      <c r="B176" s="3111" t="s">
        <v>862</v>
      </c>
      <c r="C176" s="3111"/>
      <c r="D176" s="3111"/>
      <c r="E176" s="618">
        <f>E55+E89+E155+E170</f>
        <v>2420</v>
      </c>
    </row>
    <row r="177" spans="2:5" x14ac:dyDescent="0.2">
      <c r="B177" s="3113" t="s">
        <v>860</v>
      </c>
      <c r="C177" s="3113"/>
      <c r="D177" s="3113"/>
      <c r="E177" s="618">
        <f>E53+E87+E153+E168</f>
        <v>5138.9399999999987</v>
      </c>
    </row>
    <row r="178" spans="2:5" x14ac:dyDescent="0.2">
      <c r="B178" s="3112" t="s">
        <v>861</v>
      </c>
      <c r="C178" s="3112"/>
      <c r="D178" s="3112"/>
      <c r="E178" s="619">
        <f>SUM(E176:E177)</f>
        <v>7558.9399999999987</v>
      </c>
    </row>
    <row r="184" spans="2:5" x14ac:dyDescent="0.2">
      <c r="C184" s="3110" t="s">
        <v>863</v>
      </c>
      <c r="D184" s="3110"/>
      <c r="E184" s="3110"/>
    </row>
    <row r="185" spans="2:5" x14ac:dyDescent="0.2">
      <c r="C185" s="31"/>
      <c r="D185" s="31"/>
      <c r="E185" s="31"/>
    </row>
    <row r="187" spans="2:5" x14ac:dyDescent="0.2">
      <c r="B187" s="3103" t="s">
        <v>864</v>
      </c>
      <c r="C187" s="3103"/>
      <c r="D187" s="3103"/>
      <c r="E187" s="607">
        <f>SUM(E186:E186)</f>
        <v>0</v>
      </c>
    </row>
    <row r="195" spans="1:6" ht="13.5" thickBot="1" x14ac:dyDescent="0.25"/>
    <row r="196" spans="1:6" ht="27" thickBot="1" x14ac:dyDescent="0.45">
      <c r="A196" s="3104" t="s">
        <v>865</v>
      </c>
      <c r="B196" s="3105"/>
      <c r="C196" s="3105"/>
      <c r="D196" s="3105"/>
      <c r="E196" s="3105"/>
      <c r="F196" s="3106"/>
    </row>
    <row r="197" spans="1:6" ht="19.5" customHeight="1" thickBot="1" x14ac:dyDescent="0.25">
      <c r="A197" s="597" t="s">
        <v>721</v>
      </c>
      <c r="B197" s="598" t="s">
        <v>722</v>
      </c>
      <c r="C197" s="599" t="s">
        <v>723</v>
      </c>
      <c r="D197" s="600" t="s">
        <v>724</v>
      </c>
      <c r="E197" s="604" t="s">
        <v>725</v>
      </c>
      <c r="F197" s="605" t="s">
        <v>726</v>
      </c>
    </row>
    <row r="198" spans="1:6" ht="19.5" customHeight="1" x14ac:dyDescent="0.2">
      <c r="A198" s="1490"/>
      <c r="B198" s="1496" t="s">
        <v>866</v>
      </c>
      <c r="C198" s="1497">
        <v>1</v>
      </c>
      <c r="D198" s="1498">
        <v>105</v>
      </c>
      <c r="E198" s="603">
        <f>D198*C198</f>
        <v>105</v>
      </c>
      <c r="F198" s="1493"/>
    </row>
    <row r="199" spans="1:6" ht="19.5" customHeight="1" x14ac:dyDescent="0.2">
      <c r="A199" s="1490"/>
      <c r="B199" s="1496" t="s">
        <v>757</v>
      </c>
      <c r="C199" s="1497">
        <v>1</v>
      </c>
      <c r="D199" s="1498">
        <v>28.5</v>
      </c>
      <c r="E199" s="603">
        <f>D199*C199</f>
        <v>28.5</v>
      </c>
      <c r="F199" s="1493"/>
    </row>
    <row r="200" spans="1:6" ht="19.5" customHeight="1" x14ac:dyDescent="0.2">
      <c r="A200" s="1490"/>
      <c r="B200" s="1496" t="s">
        <v>867</v>
      </c>
      <c r="C200" s="1497">
        <v>1</v>
      </c>
      <c r="D200" s="1498">
        <v>60</v>
      </c>
      <c r="E200" s="603">
        <f>D200*C200</f>
        <v>60</v>
      </c>
      <c r="F200" s="1493"/>
    </row>
    <row r="201" spans="1:6" ht="19.5" customHeight="1" x14ac:dyDescent="0.2">
      <c r="A201" s="1499"/>
      <c r="B201" s="1496"/>
      <c r="C201" s="1497"/>
      <c r="D201" s="1498"/>
      <c r="E201" s="603">
        <f>D201*C201</f>
        <v>0</v>
      </c>
      <c r="F201" s="1493"/>
    </row>
    <row r="202" spans="1:6" ht="19.5" customHeight="1" thickBot="1" x14ac:dyDescent="0.25">
      <c r="A202" s="1500"/>
      <c r="B202" s="1501"/>
      <c r="C202" s="1502"/>
      <c r="D202" s="1503"/>
      <c r="E202" s="603">
        <f>D202*C202</f>
        <v>0</v>
      </c>
      <c r="F202" s="1504"/>
    </row>
    <row r="203" spans="1:6" ht="33" customHeight="1" thickBot="1" x14ac:dyDescent="0.25">
      <c r="A203"/>
      <c r="B203" s="717"/>
      <c r="C203" s="3107" t="s">
        <v>772</v>
      </c>
      <c r="D203" s="3108"/>
      <c r="E203" s="606">
        <f>SUM(E198:E202)</f>
        <v>193.5</v>
      </c>
    </row>
    <row r="204" spans="1:6" ht="12.75" customHeight="1" x14ac:dyDescent="0.2"/>
    <row r="205" spans="1:6" x14ac:dyDescent="0.2">
      <c r="B205" s="3109" t="s">
        <v>868</v>
      </c>
      <c r="C205" s="3109"/>
      <c r="D205" s="3109"/>
      <c r="E205" s="1508">
        <v>260</v>
      </c>
      <c r="F205" s="1"/>
    </row>
    <row r="206" spans="1:6" x14ac:dyDescent="0.2">
      <c r="B206" s="1505"/>
      <c r="C206" s="3102" t="s">
        <v>860</v>
      </c>
      <c r="D206" s="3102"/>
      <c r="E206" s="1508">
        <f>E203</f>
        <v>193.5</v>
      </c>
    </row>
    <row r="207" spans="1:6" x14ac:dyDescent="0.2">
      <c r="B207" s="1505"/>
      <c r="C207" s="3103" t="s">
        <v>861</v>
      </c>
      <c r="D207" s="3103"/>
      <c r="E207" s="607">
        <f>SUM(E205:E206)</f>
        <v>453.5</v>
      </c>
    </row>
    <row r="209" ht="12.75" customHeight="1" x14ac:dyDescent="0.2"/>
  </sheetData>
  <mergeCells count="30">
    <mergeCell ref="B187:D187"/>
    <mergeCell ref="A159:F159"/>
    <mergeCell ref="C168:D168"/>
    <mergeCell ref="B170:D170"/>
    <mergeCell ref="C171:D171"/>
    <mergeCell ref="C172:D172"/>
    <mergeCell ref="C184:E184"/>
    <mergeCell ref="B176:D176"/>
    <mergeCell ref="B178:D178"/>
    <mergeCell ref="B177:D177"/>
    <mergeCell ref="A59:F59"/>
    <mergeCell ref="C153:D153"/>
    <mergeCell ref="C157:D157"/>
    <mergeCell ref="B155:D155"/>
    <mergeCell ref="C156:D156"/>
    <mergeCell ref="C87:D87"/>
    <mergeCell ref="B89:D89"/>
    <mergeCell ref="C90:D90"/>
    <mergeCell ref="C91:D91"/>
    <mergeCell ref="A93:F93"/>
    <mergeCell ref="A2:F2"/>
    <mergeCell ref="C53:D53"/>
    <mergeCell ref="B55:D55"/>
    <mergeCell ref="C56:D56"/>
    <mergeCell ref="C57:D57"/>
    <mergeCell ref="C206:D206"/>
    <mergeCell ref="C207:D207"/>
    <mergeCell ref="A196:F196"/>
    <mergeCell ref="C203:D203"/>
    <mergeCell ref="B205:D205"/>
  </mergeCells>
  <pageMargins left="0.14000000000000001" right="0.14000000000000001" top="0.24" bottom="0.55000000000000004" header="0.17" footer="0.34"/>
  <pageSetup paperSize="9" orientation="portrait" horizontalDpi="300" verticalDpi="300" r:id="rId1"/>
  <headerFooter alignWithMargins="0"/>
  <ignoredErrors>
    <ignoredError sqref="C38:E39 C37:D37 C95:C98" numberStoredAsText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Plan18" filterMode="1"/>
  <dimension ref="A1:L126"/>
  <sheetViews>
    <sheetView zoomScale="85" zoomScaleNormal="85" workbookViewId="0">
      <pane ySplit="4" topLeftCell="A5" activePane="bottomLeft" state="frozen"/>
      <selection activeCell="C44" sqref="C44"/>
      <selection pane="bottomLeft" activeCell="B124" sqref="A1:L12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869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42005</v>
      </c>
      <c r="B5" s="369" t="s">
        <v>10</v>
      </c>
      <c r="C5" s="370"/>
      <c r="D5" s="207"/>
      <c r="E5" s="179"/>
      <c r="F5" s="933">
        <f>'Dezembro-14'!F120</f>
        <v>695.62699999999859</v>
      </c>
      <c r="G5" s="163"/>
      <c r="H5" s="933">
        <f>'Dezembro-14'!H120</f>
        <v>3047.8500000000004</v>
      </c>
    </row>
    <row r="6" spans="1:8" s="224" customFormat="1" hidden="1" x14ac:dyDescent="0.25">
      <c r="A6" s="215">
        <v>42005</v>
      </c>
      <c r="B6" s="348" t="s">
        <v>11</v>
      </c>
      <c r="C6" s="351"/>
      <c r="D6" s="248"/>
      <c r="E6" s="250">
        <v>62</v>
      </c>
      <c r="F6" s="1473"/>
      <c r="G6" s="252"/>
      <c r="H6" s="1473"/>
    </row>
    <row r="7" spans="1:8" s="224" customFormat="1" hidden="1" x14ac:dyDescent="0.25">
      <c r="A7" s="215">
        <v>42005</v>
      </c>
      <c r="B7" s="862"/>
      <c r="C7" s="879"/>
      <c r="D7" s="887"/>
      <c r="E7" s="250"/>
      <c r="F7" s="1473"/>
      <c r="G7" s="252"/>
      <c r="H7" s="1473"/>
    </row>
    <row r="8" spans="1:8" s="224" customFormat="1" hidden="1" x14ac:dyDescent="0.25">
      <c r="A8" s="215">
        <v>42006</v>
      </c>
      <c r="B8" s="862" t="s">
        <v>14</v>
      </c>
      <c r="C8" s="879" t="s">
        <v>12</v>
      </c>
      <c r="D8" s="887" t="s">
        <v>15</v>
      </c>
      <c r="E8" s="250">
        <v>2.5</v>
      </c>
      <c r="F8" s="1473"/>
      <c r="G8" s="252"/>
      <c r="H8" s="1473"/>
    </row>
    <row r="9" spans="1:8" s="224" customFormat="1" hidden="1" x14ac:dyDescent="0.25">
      <c r="A9" s="215">
        <v>42006</v>
      </c>
      <c r="B9" s="862" t="s">
        <v>32</v>
      </c>
      <c r="C9" s="879" t="s">
        <v>12</v>
      </c>
      <c r="D9" s="887" t="s">
        <v>13</v>
      </c>
      <c r="E9" s="250">
        <v>11</v>
      </c>
      <c r="F9" s="1473"/>
      <c r="G9" s="252"/>
      <c r="H9" s="1473"/>
    </row>
    <row r="10" spans="1:8" x14ac:dyDescent="0.25">
      <c r="A10" s="215">
        <v>42006</v>
      </c>
      <c r="B10" s="862" t="s">
        <v>870</v>
      </c>
      <c r="C10" s="879" t="s">
        <v>12</v>
      </c>
      <c r="D10" s="887" t="s">
        <v>13</v>
      </c>
      <c r="E10" s="250">
        <v>71.75</v>
      </c>
      <c r="F10" s="946"/>
      <c r="G10" s="95"/>
      <c r="H10" s="946"/>
    </row>
    <row r="11" spans="1:8" s="224" customFormat="1" hidden="1" x14ac:dyDescent="0.25">
      <c r="A11" s="215">
        <v>42007</v>
      </c>
      <c r="B11" s="862" t="s">
        <v>14</v>
      </c>
      <c r="C11" s="879" t="s">
        <v>12</v>
      </c>
      <c r="D11" s="887" t="s">
        <v>13</v>
      </c>
      <c r="E11" s="250">
        <v>9.48</v>
      </c>
      <c r="F11" s="1473"/>
      <c r="G11" s="252"/>
      <c r="H11" s="1473"/>
    </row>
    <row r="12" spans="1:8" s="224" customFormat="1" hidden="1" x14ac:dyDescent="0.25">
      <c r="A12" s="215">
        <v>42007</v>
      </c>
      <c r="B12" s="862" t="s">
        <v>82</v>
      </c>
      <c r="C12" s="879" t="s">
        <v>12</v>
      </c>
      <c r="D12" s="887" t="s">
        <v>15</v>
      </c>
      <c r="E12" s="250">
        <v>18</v>
      </c>
      <c r="F12" s="1473"/>
      <c r="G12" s="252"/>
      <c r="H12" s="1473"/>
    </row>
    <row r="13" spans="1:8" s="224" customFormat="1" ht="15.75" hidden="1" customHeight="1" x14ac:dyDescent="0.25">
      <c r="A13" s="215">
        <v>42007</v>
      </c>
      <c r="B13" s="349" t="s">
        <v>256</v>
      </c>
      <c r="C13" s="350"/>
      <c r="D13" s="141"/>
      <c r="E13" s="97"/>
      <c r="F13" s="946">
        <v>257</v>
      </c>
      <c r="G13" s="97">
        <v>257</v>
      </c>
      <c r="H13" s="946"/>
    </row>
    <row r="14" spans="1:8" s="224" customFormat="1" x14ac:dyDescent="0.25">
      <c r="A14" s="215">
        <v>42007</v>
      </c>
      <c r="B14" s="862" t="s">
        <v>871</v>
      </c>
      <c r="C14" s="879" t="s">
        <v>12</v>
      </c>
      <c r="D14" s="887" t="s">
        <v>13</v>
      </c>
      <c r="E14" s="250">
        <v>37.99</v>
      </c>
      <c r="F14" s="1473"/>
      <c r="G14" s="252"/>
      <c r="H14" s="1473"/>
    </row>
    <row r="15" spans="1:8" s="224" customFormat="1" hidden="1" x14ac:dyDescent="0.25">
      <c r="A15" s="215">
        <v>42008</v>
      </c>
      <c r="B15" s="862" t="s">
        <v>14</v>
      </c>
      <c r="C15" s="879" t="s">
        <v>12</v>
      </c>
      <c r="D15" s="887" t="s">
        <v>13</v>
      </c>
      <c r="E15" s="250">
        <v>8.81</v>
      </c>
      <c r="F15" s="1473"/>
      <c r="G15" s="252"/>
      <c r="H15" s="1473"/>
    </row>
    <row r="16" spans="1:8" s="224" customFormat="1" hidden="1" x14ac:dyDescent="0.25">
      <c r="A16" s="215">
        <v>42008</v>
      </c>
      <c r="B16" s="862" t="s">
        <v>81</v>
      </c>
      <c r="C16" s="879" t="s">
        <v>12</v>
      </c>
      <c r="D16" s="887" t="s">
        <v>13</v>
      </c>
      <c r="E16" s="250">
        <v>16</v>
      </c>
      <c r="F16" s="1473"/>
      <c r="G16" s="252"/>
      <c r="H16" s="1473"/>
    </row>
    <row r="17" spans="1:8" s="224" customFormat="1" hidden="1" x14ac:dyDescent="0.25">
      <c r="A17" s="215">
        <v>42009</v>
      </c>
      <c r="B17" s="862" t="s">
        <v>32</v>
      </c>
      <c r="C17" s="879" t="s">
        <v>12</v>
      </c>
      <c r="D17" s="887" t="s">
        <v>13</v>
      </c>
      <c r="E17" s="250">
        <v>11</v>
      </c>
      <c r="F17" s="1473"/>
      <c r="G17" s="252"/>
      <c r="H17" s="1473"/>
    </row>
    <row r="18" spans="1:8" s="224" customFormat="1" hidden="1" x14ac:dyDescent="0.25">
      <c r="A18" s="215">
        <v>42009</v>
      </c>
      <c r="B18" s="862" t="s">
        <v>872</v>
      </c>
      <c r="C18" s="879" t="s">
        <v>12</v>
      </c>
      <c r="D18" s="887" t="s">
        <v>25</v>
      </c>
      <c r="E18" s="250"/>
      <c r="F18" s="1473">
        <v>150</v>
      </c>
      <c r="G18" s="252"/>
      <c r="H18" s="1473"/>
    </row>
    <row r="19" spans="1:8" s="224" customFormat="1" hidden="1" x14ac:dyDescent="0.25">
      <c r="A19" s="215">
        <v>42009</v>
      </c>
      <c r="B19" s="862" t="s">
        <v>14</v>
      </c>
      <c r="C19" s="879" t="s">
        <v>12</v>
      </c>
      <c r="D19" s="887" t="s">
        <v>13</v>
      </c>
      <c r="E19" s="250">
        <v>3.96</v>
      </c>
      <c r="F19" s="1473"/>
      <c r="G19" s="252"/>
      <c r="H19" s="1473"/>
    </row>
    <row r="20" spans="1:8" x14ac:dyDescent="0.25">
      <c r="A20" s="215">
        <v>42009</v>
      </c>
      <c r="B20" s="862" t="s">
        <v>873</v>
      </c>
      <c r="C20" s="879" t="s">
        <v>12</v>
      </c>
      <c r="D20" s="887" t="s">
        <v>15</v>
      </c>
      <c r="E20" s="250">
        <v>100</v>
      </c>
      <c r="F20" s="946"/>
      <c r="G20" s="95"/>
      <c r="H20" s="946"/>
    </row>
    <row r="21" spans="1:8" s="224" customFormat="1" hidden="1" x14ac:dyDescent="0.25">
      <c r="A21" s="215">
        <v>42010</v>
      </c>
      <c r="B21" s="862" t="s">
        <v>32</v>
      </c>
      <c r="C21" s="879" t="s">
        <v>12</v>
      </c>
      <c r="D21" s="887" t="s">
        <v>13</v>
      </c>
      <c r="E21" s="250">
        <v>11</v>
      </c>
      <c r="F21" s="1473"/>
      <c r="G21" s="252"/>
      <c r="H21" s="1473"/>
    </row>
    <row r="22" spans="1:8" s="224" customFormat="1" x14ac:dyDescent="0.25">
      <c r="A22" s="215">
        <v>42010</v>
      </c>
      <c r="B22" s="862" t="s">
        <v>874</v>
      </c>
      <c r="C22" s="350" t="s">
        <v>19</v>
      </c>
      <c r="D22" s="957" t="s">
        <v>13</v>
      </c>
      <c r="E22" s="97">
        <v>360</v>
      </c>
      <c r="F22" s="1473"/>
      <c r="G22" s="252"/>
      <c r="H22" s="1473"/>
    </row>
    <row r="23" spans="1:8" s="224" customFormat="1" hidden="1" x14ac:dyDescent="0.25">
      <c r="A23" s="215">
        <v>42011</v>
      </c>
      <c r="B23" s="862" t="s">
        <v>32</v>
      </c>
      <c r="C23" s="879" t="s">
        <v>12</v>
      </c>
      <c r="D23" s="887" t="s">
        <v>13</v>
      </c>
      <c r="E23" s="250">
        <v>11</v>
      </c>
      <c r="F23" s="1473"/>
      <c r="G23" s="252"/>
      <c r="H23" s="1473"/>
    </row>
    <row r="24" spans="1:8" s="224" customFormat="1" hidden="1" x14ac:dyDescent="0.25">
      <c r="A24" s="215">
        <v>42011</v>
      </c>
      <c r="B24" s="349" t="s">
        <v>875</v>
      </c>
      <c r="C24" s="879" t="s">
        <v>12</v>
      </c>
      <c r="D24" s="983" t="s">
        <v>25</v>
      </c>
      <c r="E24" s="250"/>
      <c r="F24" s="1473">
        <v>1370.92</v>
      </c>
      <c r="G24" s="252"/>
      <c r="H24" s="1473"/>
    </row>
    <row r="25" spans="1:8" s="224" customFormat="1" ht="15.75" hidden="1" customHeight="1" x14ac:dyDescent="0.25">
      <c r="A25" s="215">
        <v>42011</v>
      </c>
      <c r="B25" s="862" t="s">
        <v>876</v>
      </c>
      <c r="C25" s="350" t="s">
        <v>12</v>
      </c>
      <c r="D25" s="141" t="s">
        <v>13</v>
      </c>
      <c r="E25" s="97">
        <v>248.89</v>
      </c>
      <c r="F25" s="1473"/>
      <c r="G25" s="252"/>
      <c r="H25" s="1473"/>
    </row>
    <row r="26" spans="1:8" s="224" customFormat="1" hidden="1" x14ac:dyDescent="0.25">
      <c r="A26" s="215">
        <v>42011</v>
      </c>
      <c r="B26" s="882" t="s">
        <v>877</v>
      </c>
      <c r="C26" s="350" t="s">
        <v>12</v>
      </c>
      <c r="D26" s="141" t="s">
        <v>13</v>
      </c>
      <c r="E26" s="97">
        <v>40.19</v>
      </c>
      <c r="F26" s="1473"/>
      <c r="G26" s="252"/>
      <c r="H26" s="1473"/>
    </row>
    <row r="27" spans="1:8" s="224" customFormat="1" ht="15" hidden="1" customHeight="1" x14ac:dyDescent="0.25">
      <c r="A27" s="215">
        <v>42011</v>
      </c>
      <c r="B27" s="862" t="s">
        <v>31</v>
      </c>
      <c r="C27" s="350" t="s">
        <v>12</v>
      </c>
      <c r="D27" s="957" t="s">
        <v>15</v>
      </c>
      <c r="E27" s="594"/>
      <c r="F27" s="1473"/>
      <c r="G27" s="252"/>
      <c r="H27" s="1473"/>
    </row>
    <row r="28" spans="1:8" s="224" customFormat="1" hidden="1" x14ac:dyDescent="0.25">
      <c r="A28" s="215">
        <v>42011</v>
      </c>
      <c r="B28" s="862" t="s">
        <v>878</v>
      </c>
      <c r="C28" s="350" t="s">
        <v>12</v>
      </c>
      <c r="D28" s="957" t="s">
        <v>15</v>
      </c>
      <c r="E28" s="97">
        <v>50</v>
      </c>
      <c r="F28" s="1473"/>
      <c r="G28" s="252"/>
      <c r="H28" s="1473"/>
    </row>
    <row r="29" spans="1:8" s="224" customFormat="1" hidden="1" x14ac:dyDescent="0.25">
      <c r="A29" s="215">
        <v>42011</v>
      </c>
      <c r="B29" s="862" t="s">
        <v>138</v>
      </c>
      <c r="C29" s="350" t="s">
        <v>19</v>
      </c>
      <c r="D29" s="957" t="s">
        <v>13</v>
      </c>
      <c r="E29" s="97">
        <v>60</v>
      </c>
      <c r="F29" s="1473"/>
      <c r="G29" s="252"/>
      <c r="H29" s="1473"/>
    </row>
    <row r="30" spans="1:8" s="224" customFormat="1" hidden="1" x14ac:dyDescent="0.25">
      <c r="A30" s="215">
        <v>42011</v>
      </c>
      <c r="B30" s="862" t="s">
        <v>14</v>
      </c>
      <c r="C30" s="879" t="s">
        <v>12</v>
      </c>
      <c r="D30" s="887" t="s">
        <v>13</v>
      </c>
      <c r="E30" s="250">
        <v>4</v>
      </c>
      <c r="F30" s="1473"/>
      <c r="G30" s="252"/>
      <c r="H30" s="1473"/>
    </row>
    <row r="31" spans="1:8" s="224" customFormat="1" ht="15.75" hidden="1" customHeight="1" x14ac:dyDescent="0.25">
      <c r="A31" s="215">
        <v>42011</v>
      </c>
      <c r="B31" s="349" t="s">
        <v>260</v>
      </c>
      <c r="C31" s="350"/>
      <c r="D31" s="141"/>
      <c r="E31" s="97">
        <v>560</v>
      </c>
      <c r="F31" s="946"/>
      <c r="G31" s="97"/>
      <c r="H31" s="946">
        <v>560</v>
      </c>
    </row>
    <row r="32" spans="1:8" s="224" customFormat="1" ht="15.75" hidden="1" customHeight="1" x14ac:dyDescent="0.25">
      <c r="A32" s="215">
        <v>42011</v>
      </c>
      <c r="B32" s="349" t="s">
        <v>311</v>
      </c>
      <c r="C32" s="350"/>
      <c r="D32" s="141"/>
      <c r="E32" s="97"/>
      <c r="F32" s="946"/>
      <c r="G32" s="97"/>
      <c r="H32" s="946">
        <v>9.2799999999999994</v>
      </c>
    </row>
    <row r="33" spans="1:8" s="224" customFormat="1" x14ac:dyDescent="0.25">
      <c r="A33" s="215">
        <v>42011</v>
      </c>
      <c r="B33" s="862" t="s">
        <v>879</v>
      </c>
      <c r="C33" s="350" t="s">
        <v>12</v>
      </c>
      <c r="D33" s="957" t="s">
        <v>13</v>
      </c>
      <c r="E33" s="97">
        <v>99</v>
      </c>
      <c r="F33" s="1473"/>
      <c r="G33" s="252"/>
      <c r="H33" s="1473"/>
    </row>
    <row r="34" spans="1:8" s="224" customFormat="1" x14ac:dyDescent="0.25">
      <c r="A34" s="215">
        <v>42011</v>
      </c>
      <c r="B34" s="862" t="s">
        <v>880</v>
      </c>
      <c r="C34" s="350" t="s">
        <v>12</v>
      </c>
      <c r="D34" s="957" t="s">
        <v>13</v>
      </c>
      <c r="E34" s="97">
        <v>53.8</v>
      </c>
      <c r="F34" s="1473"/>
      <c r="G34" s="252"/>
      <c r="H34" s="1473"/>
    </row>
    <row r="35" spans="1:8" s="224" customFormat="1" hidden="1" x14ac:dyDescent="0.25">
      <c r="A35" s="215">
        <v>42011</v>
      </c>
      <c r="B35" s="862" t="s">
        <v>881</v>
      </c>
      <c r="C35" s="350" t="s">
        <v>12</v>
      </c>
      <c r="D35" s="957" t="s">
        <v>13</v>
      </c>
      <c r="E35" s="97">
        <v>11.95</v>
      </c>
      <c r="F35" s="1473"/>
      <c r="G35" s="252"/>
      <c r="H35" s="1473"/>
    </row>
    <row r="36" spans="1:8" s="224" customFormat="1" hidden="1" x14ac:dyDescent="0.25">
      <c r="A36" s="215">
        <v>42012</v>
      </c>
      <c r="B36" s="862" t="s">
        <v>32</v>
      </c>
      <c r="C36" s="879" t="s">
        <v>12</v>
      </c>
      <c r="D36" s="887" t="s">
        <v>13</v>
      </c>
      <c r="E36" s="250">
        <v>11</v>
      </c>
      <c r="F36" s="1473"/>
      <c r="G36" s="252"/>
      <c r="H36" s="1473"/>
    </row>
    <row r="37" spans="1:8" s="224" customFormat="1" x14ac:dyDescent="0.25">
      <c r="A37" s="215">
        <v>42012</v>
      </c>
      <c r="B37" s="862" t="s">
        <v>882</v>
      </c>
      <c r="C37" s="350" t="s">
        <v>12</v>
      </c>
      <c r="D37" s="957" t="s">
        <v>13</v>
      </c>
      <c r="E37" s="97">
        <v>59.7</v>
      </c>
      <c r="F37" s="1473"/>
      <c r="G37" s="252"/>
      <c r="H37" s="1473"/>
    </row>
    <row r="38" spans="1:8" s="224" customFormat="1" hidden="1" x14ac:dyDescent="0.25">
      <c r="A38" s="215">
        <v>42012</v>
      </c>
      <c r="B38" s="862" t="s">
        <v>14</v>
      </c>
      <c r="C38" s="879" t="s">
        <v>12</v>
      </c>
      <c r="D38" s="887" t="s">
        <v>13</v>
      </c>
      <c r="E38" s="250">
        <v>5.86</v>
      </c>
      <c r="F38" s="1473"/>
      <c r="G38" s="252"/>
      <c r="H38" s="1473"/>
    </row>
    <row r="39" spans="1:8" s="224" customFormat="1" ht="15.75" hidden="1" customHeight="1" x14ac:dyDescent="0.25">
      <c r="A39" s="215">
        <v>42012</v>
      </c>
      <c r="B39" s="862" t="s">
        <v>883</v>
      </c>
      <c r="C39" s="879" t="s">
        <v>12</v>
      </c>
      <c r="D39" s="887" t="s">
        <v>15</v>
      </c>
      <c r="E39" s="250">
        <v>20</v>
      </c>
      <c r="F39" s="946"/>
      <c r="G39" s="97"/>
      <c r="H39" s="946"/>
    </row>
    <row r="40" spans="1:8" s="224" customFormat="1" hidden="1" x14ac:dyDescent="0.25">
      <c r="A40" s="215">
        <v>42013</v>
      </c>
      <c r="B40" s="862" t="s">
        <v>32</v>
      </c>
      <c r="C40" s="879" t="s">
        <v>12</v>
      </c>
      <c r="D40" s="887" t="s">
        <v>13</v>
      </c>
      <c r="E40" s="250">
        <v>23.5</v>
      </c>
      <c r="F40" s="1473"/>
      <c r="G40" s="252"/>
      <c r="H40" s="1473"/>
    </row>
    <row r="41" spans="1:8" x14ac:dyDescent="0.25">
      <c r="A41" s="215">
        <v>42013</v>
      </c>
      <c r="B41" s="862" t="s">
        <v>884</v>
      </c>
      <c r="C41" s="879" t="s">
        <v>12</v>
      </c>
      <c r="D41" s="887" t="s">
        <v>15</v>
      </c>
      <c r="E41" s="250">
        <v>200</v>
      </c>
      <c r="F41" s="946"/>
      <c r="G41" s="95"/>
      <c r="H41" s="946"/>
    </row>
    <row r="42" spans="1:8" x14ac:dyDescent="0.25">
      <c r="A42" s="215">
        <v>42013</v>
      </c>
      <c r="B42" s="862" t="s">
        <v>885</v>
      </c>
      <c r="C42" s="879" t="s">
        <v>12</v>
      </c>
      <c r="D42" s="887" t="s">
        <v>13</v>
      </c>
      <c r="E42" s="250">
        <v>16.98</v>
      </c>
      <c r="F42" s="946"/>
      <c r="G42" s="95"/>
      <c r="H42" s="946"/>
    </row>
    <row r="43" spans="1:8" x14ac:dyDescent="0.25">
      <c r="A43" s="215">
        <v>42013</v>
      </c>
      <c r="B43" s="862" t="s">
        <v>886</v>
      </c>
      <c r="C43" s="879" t="s">
        <v>12</v>
      </c>
      <c r="D43" s="887" t="s">
        <v>13</v>
      </c>
      <c r="E43" s="250">
        <v>100.32</v>
      </c>
      <c r="F43" s="946"/>
      <c r="G43" s="95"/>
      <c r="H43" s="946"/>
    </row>
    <row r="44" spans="1:8" s="224" customFormat="1" hidden="1" x14ac:dyDescent="0.25">
      <c r="A44" s="215">
        <v>42014</v>
      </c>
      <c r="B44" s="862" t="s">
        <v>887</v>
      </c>
      <c r="C44" s="879" t="s">
        <v>12</v>
      </c>
      <c r="D44" s="887" t="s">
        <v>15</v>
      </c>
      <c r="E44" s="250">
        <v>50</v>
      </c>
      <c r="F44" s="1473"/>
      <c r="G44" s="252"/>
      <c r="H44" s="1473"/>
    </row>
    <row r="45" spans="1:8" s="224" customFormat="1" ht="15.75" hidden="1" customHeight="1" x14ac:dyDescent="0.25">
      <c r="A45" s="215">
        <v>42015</v>
      </c>
      <c r="B45" s="862" t="s">
        <v>14</v>
      </c>
      <c r="C45" s="879" t="s">
        <v>12</v>
      </c>
      <c r="D45" s="887" t="s">
        <v>13</v>
      </c>
      <c r="E45" s="250">
        <v>11.68</v>
      </c>
      <c r="F45" s="946"/>
      <c r="G45" s="97"/>
      <c r="H45" s="946"/>
    </row>
    <row r="46" spans="1:8" s="224" customFormat="1" ht="15.75" hidden="1" customHeight="1" x14ac:dyDescent="0.25">
      <c r="A46" s="215">
        <v>42016</v>
      </c>
      <c r="B46" s="862" t="s">
        <v>32</v>
      </c>
      <c r="C46" s="879" t="s">
        <v>12</v>
      </c>
      <c r="D46" s="887" t="s">
        <v>13</v>
      </c>
      <c r="E46" s="250">
        <v>7</v>
      </c>
      <c r="F46" s="946"/>
      <c r="G46" s="97"/>
      <c r="H46" s="946"/>
    </row>
    <row r="47" spans="1:8" s="224" customFormat="1" ht="15.75" hidden="1" customHeight="1" x14ac:dyDescent="0.25">
      <c r="A47" s="215">
        <v>42016</v>
      </c>
      <c r="B47" s="349" t="s">
        <v>256</v>
      </c>
      <c r="C47" s="350"/>
      <c r="D47" s="141"/>
      <c r="E47" s="97"/>
      <c r="F47" s="946">
        <v>560.13</v>
      </c>
      <c r="G47" s="97">
        <v>560.13</v>
      </c>
      <c r="H47" s="946"/>
    </row>
    <row r="48" spans="1:8" s="224" customFormat="1" ht="15.75" hidden="1" customHeight="1" x14ac:dyDescent="0.25">
      <c r="A48" s="215">
        <v>42016</v>
      </c>
      <c r="B48" s="862" t="s">
        <v>134</v>
      </c>
      <c r="C48" s="879" t="s">
        <v>12</v>
      </c>
      <c r="D48" s="887" t="s">
        <v>15</v>
      </c>
      <c r="E48" s="250">
        <v>7</v>
      </c>
      <c r="F48" s="946"/>
      <c r="G48" s="97"/>
      <c r="H48" s="946"/>
    </row>
    <row r="49" spans="1:8" s="224" customFormat="1" ht="15.75" customHeight="1" x14ac:dyDescent="0.25">
      <c r="A49" s="215">
        <v>42016</v>
      </c>
      <c r="B49" s="862" t="s">
        <v>888</v>
      </c>
      <c r="C49" s="879" t="s">
        <v>12</v>
      </c>
      <c r="D49" s="887" t="s">
        <v>13</v>
      </c>
      <c r="E49" s="250">
        <v>424</v>
      </c>
      <c r="F49" s="946"/>
      <c r="G49" s="97"/>
      <c r="H49" s="946"/>
    </row>
    <row r="50" spans="1:8" s="224" customFormat="1" ht="15.75" hidden="1" customHeight="1" x14ac:dyDescent="0.25">
      <c r="A50" s="215">
        <v>42017</v>
      </c>
      <c r="B50" s="862" t="s">
        <v>32</v>
      </c>
      <c r="C50" s="879" t="s">
        <v>12</v>
      </c>
      <c r="D50" s="887" t="s">
        <v>13</v>
      </c>
      <c r="E50" s="250">
        <v>11</v>
      </c>
      <c r="F50" s="946"/>
      <c r="G50" s="97"/>
      <c r="H50" s="946"/>
    </row>
    <row r="51" spans="1:8" s="224" customFormat="1" ht="15.75" hidden="1" customHeight="1" x14ac:dyDescent="0.25">
      <c r="A51" s="215">
        <v>42017</v>
      </c>
      <c r="B51" s="862" t="s">
        <v>14</v>
      </c>
      <c r="C51" s="879" t="s">
        <v>12</v>
      </c>
      <c r="D51" s="887" t="s">
        <v>15</v>
      </c>
      <c r="E51" s="250">
        <v>8</v>
      </c>
      <c r="F51" s="946"/>
      <c r="G51" s="97"/>
      <c r="H51" s="946"/>
    </row>
    <row r="52" spans="1:8" s="224" customFormat="1" ht="15.75" hidden="1" customHeight="1" x14ac:dyDescent="0.25">
      <c r="A52" s="215">
        <v>42017</v>
      </c>
      <c r="B52" s="862" t="s">
        <v>889</v>
      </c>
      <c r="C52" s="879" t="s">
        <v>12</v>
      </c>
      <c r="D52" s="887" t="s">
        <v>15</v>
      </c>
      <c r="E52" s="250">
        <v>10</v>
      </c>
      <c r="F52" s="946"/>
      <c r="G52" s="97"/>
      <c r="H52" s="946"/>
    </row>
    <row r="53" spans="1:8" s="224" customFormat="1" ht="15.75" hidden="1" customHeight="1" x14ac:dyDescent="0.25">
      <c r="A53" s="215">
        <v>42018</v>
      </c>
      <c r="B53" s="349" t="s">
        <v>256</v>
      </c>
      <c r="C53" s="350"/>
      <c r="D53" s="141"/>
      <c r="E53" s="97"/>
      <c r="F53" s="946">
        <v>1200</v>
      </c>
      <c r="G53" s="97">
        <v>1200</v>
      </c>
      <c r="H53" s="946"/>
    </row>
    <row r="54" spans="1:8" s="224" customFormat="1" ht="15.75" hidden="1" customHeight="1" x14ac:dyDescent="0.25">
      <c r="A54" s="215">
        <v>42018</v>
      </c>
      <c r="B54" s="349" t="s">
        <v>890</v>
      </c>
      <c r="C54" s="350" t="s">
        <v>12</v>
      </c>
      <c r="D54" s="141" t="s">
        <v>13</v>
      </c>
      <c r="E54" s="97">
        <v>65</v>
      </c>
      <c r="F54" s="946"/>
      <c r="G54" s="97"/>
      <c r="H54" s="946"/>
    </row>
    <row r="55" spans="1:8" s="224" customFormat="1" ht="15.75" hidden="1" customHeight="1" x14ac:dyDescent="0.25">
      <c r="A55" s="215">
        <v>42018</v>
      </c>
      <c r="B55" s="862" t="s">
        <v>32</v>
      </c>
      <c r="C55" s="879" t="s">
        <v>12</v>
      </c>
      <c r="D55" s="887" t="s">
        <v>13</v>
      </c>
      <c r="E55" s="250">
        <v>7</v>
      </c>
      <c r="F55" s="946"/>
      <c r="G55" s="97"/>
      <c r="H55" s="946"/>
    </row>
    <row r="56" spans="1:8" s="224" customFormat="1" ht="15.75" hidden="1" customHeight="1" x14ac:dyDescent="0.25">
      <c r="A56" s="215">
        <v>42018</v>
      </c>
      <c r="B56" s="862" t="s">
        <v>14</v>
      </c>
      <c r="C56" s="879" t="s">
        <v>12</v>
      </c>
      <c r="D56" s="887" t="s">
        <v>13</v>
      </c>
      <c r="E56" s="250">
        <v>5</v>
      </c>
      <c r="F56" s="946"/>
      <c r="G56" s="97"/>
      <c r="H56" s="946"/>
    </row>
    <row r="57" spans="1:8" s="224" customFormat="1" ht="15.75" customHeight="1" x14ac:dyDescent="0.25">
      <c r="A57" s="215">
        <v>42018</v>
      </c>
      <c r="B57" s="862" t="s">
        <v>891</v>
      </c>
      <c r="C57" s="879" t="s">
        <v>19</v>
      </c>
      <c r="D57" s="887" t="s">
        <v>15</v>
      </c>
      <c r="E57" s="250">
        <v>25</v>
      </c>
      <c r="F57" s="946"/>
      <c r="G57" s="97"/>
      <c r="H57" s="946"/>
    </row>
    <row r="58" spans="1:8" s="224" customFormat="1" ht="15.75" hidden="1" customHeight="1" x14ac:dyDescent="0.25">
      <c r="A58" s="215">
        <v>42019</v>
      </c>
      <c r="B58" s="862" t="s">
        <v>32</v>
      </c>
      <c r="C58" s="879" t="s">
        <v>12</v>
      </c>
      <c r="D58" s="887" t="s">
        <v>15</v>
      </c>
      <c r="E58" s="250">
        <v>11</v>
      </c>
      <c r="F58" s="946"/>
      <c r="G58" s="97"/>
      <c r="H58" s="946"/>
    </row>
    <row r="59" spans="1:8" s="224" customFormat="1" ht="15.75" customHeight="1" x14ac:dyDescent="0.25">
      <c r="A59" s="215">
        <v>42019</v>
      </c>
      <c r="B59" s="862" t="s">
        <v>892</v>
      </c>
      <c r="C59" s="879" t="s">
        <v>12</v>
      </c>
      <c r="D59" s="887" t="s">
        <v>13</v>
      </c>
      <c r="E59" s="250">
        <v>340</v>
      </c>
      <c r="F59" s="946"/>
      <c r="G59" s="97"/>
      <c r="H59" s="946"/>
    </row>
    <row r="60" spans="1:8" s="224" customFormat="1" ht="15.75" hidden="1" customHeight="1" x14ac:dyDescent="0.25">
      <c r="A60" s="215">
        <v>42019</v>
      </c>
      <c r="B60" s="862" t="s">
        <v>14</v>
      </c>
      <c r="C60" s="879" t="s">
        <v>12</v>
      </c>
      <c r="D60" s="887" t="s">
        <v>13</v>
      </c>
      <c r="E60" s="250">
        <v>6</v>
      </c>
      <c r="F60" s="946"/>
      <c r="G60" s="97"/>
      <c r="H60" s="946"/>
    </row>
    <row r="61" spans="1:8" s="224" customFormat="1" ht="15.75" hidden="1" customHeight="1" x14ac:dyDescent="0.25">
      <c r="A61" s="215">
        <v>42020</v>
      </c>
      <c r="B61" s="862" t="s">
        <v>32</v>
      </c>
      <c r="C61" s="879" t="s">
        <v>12</v>
      </c>
      <c r="D61" s="887" t="s">
        <v>15</v>
      </c>
      <c r="E61" s="250">
        <v>11</v>
      </c>
      <c r="F61" s="946"/>
      <c r="G61" s="97"/>
      <c r="H61" s="946"/>
    </row>
    <row r="62" spans="1:8" s="224" customFormat="1" ht="15.75" customHeight="1" x14ac:dyDescent="0.25">
      <c r="A62" s="215">
        <v>42020</v>
      </c>
      <c r="B62" s="862" t="s">
        <v>893</v>
      </c>
      <c r="C62" s="879" t="s">
        <v>12</v>
      </c>
      <c r="D62" s="887" t="s">
        <v>13</v>
      </c>
      <c r="E62" s="250">
        <v>27.95</v>
      </c>
      <c r="F62" s="946"/>
      <c r="G62" s="97"/>
      <c r="H62" s="946"/>
    </row>
    <row r="63" spans="1:8" s="224" customFormat="1" hidden="1" x14ac:dyDescent="0.25">
      <c r="A63" s="215">
        <v>42020</v>
      </c>
      <c r="B63" s="862" t="s">
        <v>138</v>
      </c>
      <c r="C63" s="350" t="s">
        <v>19</v>
      </c>
      <c r="D63" s="957" t="s">
        <v>13</v>
      </c>
      <c r="E63" s="97">
        <v>60</v>
      </c>
      <c r="F63" s="1473"/>
      <c r="G63" s="252"/>
      <c r="H63" s="1473"/>
    </row>
    <row r="64" spans="1:8" s="224" customFormat="1" ht="15.75" hidden="1" customHeight="1" x14ac:dyDescent="0.25">
      <c r="A64" s="215">
        <v>42021</v>
      </c>
      <c r="B64" s="862" t="s">
        <v>894</v>
      </c>
      <c r="C64" s="879" t="s">
        <v>12</v>
      </c>
      <c r="D64" s="887" t="s">
        <v>15</v>
      </c>
      <c r="E64" s="250">
        <v>15</v>
      </c>
      <c r="F64" s="946"/>
      <c r="G64" s="97"/>
      <c r="H64" s="946"/>
    </row>
    <row r="65" spans="1:12" s="224" customFormat="1" ht="15.75" hidden="1" customHeight="1" x14ac:dyDescent="0.25">
      <c r="A65" s="215">
        <v>42021</v>
      </c>
      <c r="B65" s="862" t="s">
        <v>895</v>
      </c>
      <c r="C65" s="879" t="s">
        <v>12</v>
      </c>
      <c r="D65" s="887" t="s">
        <v>13</v>
      </c>
      <c r="E65" s="250">
        <v>30</v>
      </c>
      <c r="F65" s="946"/>
      <c r="G65" s="97"/>
      <c r="H65" s="946"/>
    </row>
    <row r="66" spans="1:12" s="224" customFormat="1" ht="15.75" customHeight="1" x14ac:dyDescent="0.25">
      <c r="A66" s="215">
        <v>42022</v>
      </c>
      <c r="B66" s="862" t="s">
        <v>896</v>
      </c>
      <c r="C66" s="879" t="s">
        <v>12</v>
      </c>
      <c r="D66" s="887" t="s">
        <v>15</v>
      </c>
      <c r="E66" s="250">
        <v>200</v>
      </c>
      <c r="F66" s="946"/>
      <c r="G66" s="97"/>
      <c r="H66" s="946"/>
    </row>
    <row r="67" spans="1:12" s="224" customFormat="1" hidden="1" x14ac:dyDescent="0.25">
      <c r="A67" s="215">
        <v>42022</v>
      </c>
      <c r="B67" s="862" t="s">
        <v>14</v>
      </c>
      <c r="C67" s="879" t="s">
        <v>12</v>
      </c>
      <c r="D67" s="887" t="s">
        <v>13</v>
      </c>
      <c r="E67" s="250">
        <v>21.9</v>
      </c>
      <c r="F67" s="1473"/>
      <c r="G67" s="252"/>
      <c r="H67" s="1473"/>
    </row>
    <row r="68" spans="1:12" s="224" customFormat="1" hidden="1" x14ac:dyDescent="0.25">
      <c r="A68" s="215">
        <v>42023</v>
      </c>
      <c r="B68" s="862" t="s">
        <v>32</v>
      </c>
      <c r="C68" s="879" t="s">
        <v>12</v>
      </c>
      <c r="D68" s="887" t="s">
        <v>15</v>
      </c>
      <c r="E68" s="250">
        <v>7</v>
      </c>
      <c r="F68" s="1473"/>
      <c r="G68" s="252"/>
      <c r="H68" s="1473"/>
    </row>
    <row r="69" spans="1:12" s="224" customFormat="1" hidden="1" x14ac:dyDescent="0.25">
      <c r="A69" s="215">
        <v>42023</v>
      </c>
      <c r="B69" s="862" t="s">
        <v>134</v>
      </c>
      <c r="C69" s="879" t="s">
        <v>12</v>
      </c>
      <c r="D69" s="887" t="s">
        <v>15</v>
      </c>
      <c r="E69" s="250">
        <v>12</v>
      </c>
      <c r="F69" s="1473"/>
      <c r="G69" s="252"/>
      <c r="H69" s="1473"/>
    </row>
    <row r="70" spans="1:12" s="224" customFormat="1" hidden="1" x14ac:dyDescent="0.25">
      <c r="A70" s="215">
        <v>42023</v>
      </c>
      <c r="B70" s="862" t="s">
        <v>147</v>
      </c>
      <c r="C70" s="879" t="s">
        <v>12</v>
      </c>
      <c r="D70" s="887" t="s">
        <v>15</v>
      </c>
      <c r="E70" s="250">
        <v>15</v>
      </c>
      <c r="F70" s="1473"/>
      <c r="G70" s="252"/>
      <c r="H70" s="1473"/>
    </row>
    <row r="71" spans="1:12" s="224" customFormat="1" ht="15.75" hidden="1" customHeight="1" x14ac:dyDescent="0.25">
      <c r="A71" s="215">
        <v>42023</v>
      </c>
      <c r="B71" s="349" t="s">
        <v>311</v>
      </c>
      <c r="C71" s="350"/>
      <c r="D71" s="141"/>
      <c r="E71" s="97"/>
      <c r="F71" s="946"/>
      <c r="G71" s="97"/>
      <c r="H71" s="946">
        <v>8.34</v>
      </c>
    </row>
    <row r="72" spans="1:12" s="224" customFormat="1" ht="15.75" hidden="1" customHeight="1" x14ac:dyDescent="0.25">
      <c r="A72" s="215">
        <v>42024</v>
      </c>
      <c r="B72" s="349" t="s">
        <v>260</v>
      </c>
      <c r="C72" s="350"/>
      <c r="D72" s="141"/>
      <c r="E72" s="97">
        <v>668.56</v>
      </c>
      <c r="F72" s="946"/>
      <c r="G72" s="97"/>
      <c r="H72" s="946">
        <v>668.56</v>
      </c>
    </row>
    <row r="73" spans="1:12" s="224" customFormat="1" ht="15.75" hidden="1" customHeight="1" x14ac:dyDescent="0.25">
      <c r="A73" s="215">
        <v>42024</v>
      </c>
      <c r="B73" s="862" t="s">
        <v>32</v>
      </c>
      <c r="C73" s="879" t="s">
        <v>12</v>
      </c>
      <c r="D73" s="887" t="s">
        <v>15</v>
      </c>
      <c r="E73" s="250">
        <v>11</v>
      </c>
      <c r="F73" s="946"/>
      <c r="G73" s="97"/>
      <c r="H73" s="946"/>
    </row>
    <row r="74" spans="1:12" s="224" customFormat="1" hidden="1" x14ac:dyDescent="0.25">
      <c r="A74" s="215">
        <v>42024</v>
      </c>
      <c r="B74" s="349" t="s">
        <v>897</v>
      </c>
      <c r="C74" s="350" t="s">
        <v>12</v>
      </c>
      <c r="D74" s="141" t="s">
        <v>25</v>
      </c>
      <c r="E74" s="250"/>
      <c r="F74" s="1473">
        <v>1280</v>
      </c>
      <c r="G74" s="252"/>
      <c r="H74" s="1473"/>
    </row>
    <row r="75" spans="1:12" hidden="1" x14ac:dyDescent="0.25">
      <c r="A75" s="215">
        <v>42024</v>
      </c>
      <c r="B75" s="349" t="s">
        <v>898</v>
      </c>
      <c r="C75" s="350" t="s">
        <v>12</v>
      </c>
      <c r="D75" s="141" t="s">
        <v>13</v>
      </c>
      <c r="E75" s="250">
        <v>225</v>
      </c>
      <c r="F75" s="946"/>
      <c r="G75" s="95"/>
      <c r="H75" s="946"/>
    </row>
    <row r="76" spans="1:12" s="459" customFormat="1" x14ac:dyDescent="0.25">
      <c r="A76" s="215">
        <v>42024</v>
      </c>
      <c r="B76" s="882" t="s">
        <v>899</v>
      </c>
      <c r="C76" s="350" t="s">
        <v>12</v>
      </c>
      <c r="D76" s="141" t="s">
        <v>13</v>
      </c>
      <c r="E76" s="613">
        <v>15.99</v>
      </c>
      <c r="F76" s="614"/>
      <c r="G76" s="615"/>
      <c r="H76" s="614"/>
      <c r="I76" s="3097"/>
      <c r="J76" s="3098"/>
      <c r="K76" s="3098"/>
      <c r="L76" s="3098"/>
    </row>
    <row r="77" spans="1:12" x14ac:dyDescent="0.25">
      <c r="A77" s="215">
        <v>42024</v>
      </c>
      <c r="B77" s="349" t="s">
        <v>871</v>
      </c>
      <c r="C77" s="350" t="s">
        <v>19</v>
      </c>
      <c r="D77" s="141" t="s">
        <v>13</v>
      </c>
      <c r="E77" s="97">
        <v>37.99</v>
      </c>
      <c r="F77" s="946"/>
      <c r="G77" s="95"/>
      <c r="H77" s="946"/>
    </row>
    <row r="78" spans="1:12" s="224" customFormat="1" ht="15.75" customHeight="1" x14ac:dyDescent="0.25">
      <c r="A78" s="215">
        <v>42024</v>
      </c>
      <c r="B78" s="349" t="s">
        <v>900</v>
      </c>
      <c r="C78" s="350" t="s">
        <v>19</v>
      </c>
      <c r="D78" s="141" t="s">
        <v>13</v>
      </c>
      <c r="E78" s="97">
        <v>210.22</v>
      </c>
      <c r="F78" s="946"/>
      <c r="G78" s="97"/>
      <c r="H78" s="946"/>
    </row>
    <row r="79" spans="1:12" s="224" customFormat="1" ht="15.75" hidden="1" customHeight="1" x14ac:dyDescent="0.25">
      <c r="A79" s="215">
        <v>42025</v>
      </c>
      <c r="B79" s="349" t="s">
        <v>32</v>
      </c>
      <c r="C79" s="350" t="s">
        <v>12</v>
      </c>
      <c r="D79" s="141" t="s">
        <v>15</v>
      </c>
      <c r="E79" s="97">
        <v>4.5</v>
      </c>
      <c r="F79" s="946"/>
      <c r="G79" s="97"/>
      <c r="H79" s="946"/>
    </row>
    <row r="80" spans="1:12" s="224" customFormat="1" hidden="1" x14ac:dyDescent="0.25">
      <c r="A80" s="215">
        <v>42025</v>
      </c>
      <c r="B80" s="862" t="s">
        <v>134</v>
      </c>
      <c r="C80" s="879" t="s">
        <v>12</v>
      </c>
      <c r="D80" s="887" t="s">
        <v>15</v>
      </c>
      <c r="E80" s="250">
        <v>7</v>
      </c>
      <c r="F80" s="1473"/>
      <c r="G80" s="252"/>
      <c r="H80" s="1473"/>
    </row>
    <row r="81" spans="1:12" s="459" customFormat="1" x14ac:dyDescent="0.25">
      <c r="A81" s="215">
        <v>42025</v>
      </c>
      <c r="B81" s="882" t="s">
        <v>901</v>
      </c>
      <c r="C81" s="879" t="s">
        <v>12</v>
      </c>
      <c r="D81" s="1475" t="s">
        <v>13</v>
      </c>
      <c r="E81" s="613">
        <v>10.5</v>
      </c>
      <c r="F81" s="614"/>
      <c r="G81" s="615"/>
      <c r="H81" s="614"/>
      <c r="I81" s="3097"/>
      <c r="J81" s="3098"/>
      <c r="K81" s="3098"/>
      <c r="L81" s="3098"/>
    </row>
    <row r="82" spans="1:12" s="224" customFormat="1" ht="15.75" hidden="1" customHeight="1" x14ac:dyDescent="0.25">
      <c r="A82" s="215">
        <v>42026</v>
      </c>
      <c r="B82" s="349" t="s">
        <v>256</v>
      </c>
      <c r="C82" s="350"/>
      <c r="D82" s="141"/>
      <c r="E82" s="97"/>
      <c r="F82" s="946">
        <v>400</v>
      </c>
      <c r="G82" s="97">
        <v>400</v>
      </c>
      <c r="H82" s="946"/>
    </row>
    <row r="83" spans="1:12" s="224" customFormat="1" ht="15.75" hidden="1" customHeight="1" x14ac:dyDescent="0.25">
      <c r="A83" s="215">
        <v>42026</v>
      </c>
      <c r="B83" s="349" t="s">
        <v>32</v>
      </c>
      <c r="C83" s="350" t="s">
        <v>12</v>
      </c>
      <c r="D83" s="141" t="s">
        <v>13</v>
      </c>
      <c r="E83" s="97">
        <v>11</v>
      </c>
      <c r="F83" s="946"/>
      <c r="G83" s="97"/>
      <c r="H83" s="946"/>
    </row>
    <row r="84" spans="1:12" hidden="1" x14ac:dyDescent="0.25">
      <c r="A84" s="215">
        <v>42026</v>
      </c>
      <c r="B84" s="862" t="s">
        <v>14</v>
      </c>
      <c r="C84" s="879" t="s">
        <v>12</v>
      </c>
      <c r="D84" s="887" t="s">
        <v>13</v>
      </c>
      <c r="E84" s="250">
        <v>12</v>
      </c>
      <c r="F84" s="946"/>
      <c r="G84" s="95"/>
      <c r="H84" s="946"/>
    </row>
    <row r="85" spans="1:12" s="224" customFormat="1" ht="15.75" hidden="1" customHeight="1" x14ac:dyDescent="0.25">
      <c r="A85" s="215">
        <v>42027</v>
      </c>
      <c r="B85" s="349" t="s">
        <v>32</v>
      </c>
      <c r="C85" s="350" t="s">
        <v>12</v>
      </c>
      <c r="D85" s="141" t="s">
        <v>13</v>
      </c>
      <c r="E85" s="97">
        <v>11</v>
      </c>
      <c r="F85" s="946"/>
      <c r="G85" s="97"/>
      <c r="H85" s="946"/>
    </row>
    <row r="86" spans="1:12" s="224" customFormat="1" ht="15.75" hidden="1" customHeight="1" x14ac:dyDescent="0.25">
      <c r="A86" s="215">
        <v>42027</v>
      </c>
      <c r="B86" s="862" t="s">
        <v>14</v>
      </c>
      <c r="C86" s="879" t="s">
        <v>12</v>
      </c>
      <c r="D86" s="887" t="s">
        <v>13</v>
      </c>
      <c r="E86" s="250">
        <v>9.2200000000000006</v>
      </c>
      <c r="F86" s="946"/>
      <c r="G86" s="97"/>
      <c r="H86" s="946"/>
    </row>
    <row r="87" spans="1:12" s="224" customFormat="1" ht="15.75" hidden="1" customHeight="1" x14ac:dyDescent="0.25">
      <c r="A87" s="215">
        <v>42028</v>
      </c>
      <c r="B87" s="862" t="s">
        <v>902</v>
      </c>
      <c r="C87" s="879" t="s">
        <v>12</v>
      </c>
      <c r="D87" s="887" t="s">
        <v>13</v>
      </c>
      <c r="E87" s="250">
        <v>11.5</v>
      </c>
      <c r="F87" s="946"/>
      <c r="G87" s="97"/>
      <c r="H87" s="946"/>
    </row>
    <row r="88" spans="1:12" s="224" customFormat="1" ht="15.75" hidden="1" customHeight="1" x14ac:dyDescent="0.25">
      <c r="A88" s="215">
        <v>42028</v>
      </c>
      <c r="B88" s="862" t="s">
        <v>903</v>
      </c>
      <c r="C88" s="879" t="s">
        <v>12</v>
      </c>
      <c r="D88" s="887" t="s">
        <v>13</v>
      </c>
      <c r="E88" s="250">
        <v>6.3</v>
      </c>
      <c r="F88" s="946"/>
      <c r="G88" s="97"/>
      <c r="H88" s="946"/>
    </row>
    <row r="89" spans="1:12" s="224" customFormat="1" ht="15.75" customHeight="1" x14ac:dyDescent="0.25">
      <c r="A89" s="215">
        <v>42028</v>
      </c>
      <c r="B89" s="862" t="s">
        <v>904</v>
      </c>
      <c r="C89" s="879" t="s">
        <v>12</v>
      </c>
      <c r="D89" s="887" t="s">
        <v>13</v>
      </c>
      <c r="E89" s="250">
        <v>41.7</v>
      </c>
      <c r="F89" s="946"/>
      <c r="G89" s="97"/>
      <c r="H89" s="946"/>
    </row>
    <row r="90" spans="1:12" s="224" customFormat="1" ht="15.75" customHeight="1" x14ac:dyDescent="0.25">
      <c r="A90" s="215">
        <v>42028</v>
      </c>
      <c r="B90" s="862" t="s">
        <v>905</v>
      </c>
      <c r="C90" s="879" t="s">
        <v>12</v>
      </c>
      <c r="D90" s="887" t="s">
        <v>13</v>
      </c>
      <c r="E90" s="250">
        <v>55.45</v>
      </c>
      <c r="F90" s="946"/>
      <c r="G90" s="97"/>
      <c r="H90" s="946"/>
    </row>
    <row r="91" spans="1:12" s="224" customFormat="1" ht="15.75" hidden="1" customHeight="1" x14ac:dyDescent="0.25">
      <c r="A91" s="215">
        <v>42028</v>
      </c>
      <c r="B91" s="862" t="s">
        <v>82</v>
      </c>
      <c r="C91" s="879" t="s">
        <v>12</v>
      </c>
      <c r="D91" s="887" t="s">
        <v>13</v>
      </c>
      <c r="E91" s="250">
        <v>16.5</v>
      </c>
      <c r="F91" s="946"/>
      <c r="G91" s="97"/>
      <c r="H91" s="946"/>
    </row>
    <row r="92" spans="1:12" s="224" customFormat="1" ht="15.75" hidden="1" customHeight="1" x14ac:dyDescent="0.25">
      <c r="A92" s="215">
        <v>42029</v>
      </c>
      <c r="B92" s="862" t="s">
        <v>14</v>
      </c>
      <c r="C92" s="879" t="s">
        <v>12</v>
      </c>
      <c r="D92" s="887" t="s">
        <v>13</v>
      </c>
      <c r="E92" s="250">
        <v>19</v>
      </c>
      <c r="F92" s="946"/>
      <c r="G92" s="97"/>
      <c r="H92" s="946"/>
    </row>
    <row r="93" spans="1:12" s="224" customFormat="1" ht="15.75" hidden="1" customHeight="1" x14ac:dyDescent="0.25">
      <c r="A93" s="215">
        <v>42029</v>
      </c>
      <c r="B93" s="862" t="s">
        <v>906</v>
      </c>
      <c r="C93" s="879" t="s">
        <v>12</v>
      </c>
      <c r="D93" s="887" t="s">
        <v>13</v>
      </c>
      <c r="E93" s="250">
        <v>40</v>
      </c>
      <c r="F93" s="946"/>
      <c r="G93" s="97"/>
      <c r="H93" s="946"/>
    </row>
    <row r="94" spans="1:12" s="224" customFormat="1" ht="15.75" hidden="1" customHeight="1" x14ac:dyDescent="0.25">
      <c r="A94" s="215">
        <v>42030</v>
      </c>
      <c r="B94" s="349" t="s">
        <v>32</v>
      </c>
      <c r="C94" s="350" t="s">
        <v>12</v>
      </c>
      <c r="D94" s="141" t="s">
        <v>15</v>
      </c>
      <c r="E94" s="97">
        <v>7</v>
      </c>
      <c r="F94" s="946"/>
      <c r="G94" s="97"/>
      <c r="H94" s="946"/>
    </row>
    <row r="95" spans="1:12" s="224" customFormat="1" ht="15.75" hidden="1" customHeight="1" x14ac:dyDescent="0.25">
      <c r="A95" s="215">
        <v>42030</v>
      </c>
      <c r="B95" s="349" t="s">
        <v>256</v>
      </c>
      <c r="C95" s="350"/>
      <c r="D95" s="141"/>
      <c r="E95" s="97"/>
      <c r="F95" s="946">
        <v>476.9</v>
      </c>
      <c r="G95" s="97">
        <v>476.9</v>
      </c>
      <c r="H95" s="946"/>
    </row>
    <row r="96" spans="1:12" s="224" customFormat="1" hidden="1" x14ac:dyDescent="0.25">
      <c r="A96" s="215">
        <v>42030</v>
      </c>
      <c r="B96" s="862" t="s">
        <v>138</v>
      </c>
      <c r="C96" s="350" t="s">
        <v>19</v>
      </c>
      <c r="D96" s="957" t="s">
        <v>13</v>
      </c>
      <c r="E96" s="97">
        <v>60</v>
      </c>
      <c r="F96" s="1473"/>
      <c r="G96" s="252"/>
      <c r="H96" s="1473"/>
    </row>
    <row r="97" spans="1:8" s="224" customFormat="1" ht="15.75" customHeight="1" x14ac:dyDescent="0.25">
      <c r="A97" s="215">
        <v>42030</v>
      </c>
      <c r="B97" s="862" t="s">
        <v>907</v>
      </c>
      <c r="C97" s="879" t="s">
        <v>19</v>
      </c>
      <c r="D97" s="887" t="s">
        <v>13</v>
      </c>
      <c r="E97" s="250">
        <v>261.91000000000003</v>
      </c>
      <c r="F97" s="946"/>
      <c r="G97" s="97"/>
      <c r="H97" s="946"/>
    </row>
    <row r="98" spans="1:8" s="224" customFormat="1" ht="15.75" hidden="1" customHeight="1" x14ac:dyDescent="0.25">
      <c r="A98" s="215">
        <v>42031</v>
      </c>
      <c r="B98" s="349" t="s">
        <v>32</v>
      </c>
      <c r="C98" s="350" t="s">
        <v>12</v>
      </c>
      <c r="D98" s="141" t="s">
        <v>13</v>
      </c>
      <c r="E98" s="97">
        <v>11</v>
      </c>
      <c r="F98" s="946"/>
      <c r="G98" s="97"/>
      <c r="H98" s="946"/>
    </row>
    <row r="99" spans="1:8" s="224" customFormat="1" ht="15.75" customHeight="1" x14ac:dyDescent="0.25">
      <c r="A99" s="215">
        <v>42031</v>
      </c>
      <c r="B99" s="862" t="s">
        <v>908</v>
      </c>
      <c r="C99" s="879" t="s">
        <v>12</v>
      </c>
      <c r="D99" s="887" t="s">
        <v>13</v>
      </c>
      <c r="E99" s="250">
        <v>50</v>
      </c>
      <c r="F99" s="946"/>
      <c r="G99" s="97"/>
      <c r="H99" s="946"/>
    </row>
    <row r="100" spans="1:8" s="224" customFormat="1" ht="15.75" hidden="1" customHeight="1" x14ac:dyDescent="0.25">
      <c r="A100" s="215">
        <v>42031</v>
      </c>
      <c r="B100" s="862" t="s">
        <v>14</v>
      </c>
      <c r="C100" s="879" t="s">
        <v>12</v>
      </c>
      <c r="D100" s="887" t="s">
        <v>13</v>
      </c>
      <c r="E100" s="250">
        <v>6.98</v>
      </c>
      <c r="F100" s="946"/>
      <c r="G100" s="97"/>
      <c r="H100" s="946"/>
    </row>
    <row r="101" spans="1:8" s="224" customFormat="1" ht="15.75" hidden="1" customHeight="1" x14ac:dyDescent="0.25">
      <c r="A101" s="215">
        <v>42032</v>
      </c>
      <c r="B101" s="349" t="s">
        <v>32</v>
      </c>
      <c r="C101" s="350" t="s">
        <v>12</v>
      </c>
      <c r="D101" s="141" t="s">
        <v>13</v>
      </c>
      <c r="E101" s="97">
        <v>11</v>
      </c>
      <c r="F101" s="946"/>
      <c r="G101" s="97"/>
      <c r="H101" s="946"/>
    </row>
    <row r="102" spans="1:8" s="224" customFormat="1" ht="15.75" hidden="1" customHeight="1" x14ac:dyDescent="0.25">
      <c r="A102" s="215">
        <v>42032</v>
      </c>
      <c r="B102" s="862" t="s">
        <v>14</v>
      </c>
      <c r="C102" s="879" t="s">
        <v>12</v>
      </c>
      <c r="D102" s="887" t="s">
        <v>13</v>
      </c>
      <c r="E102" s="250">
        <v>8.57</v>
      </c>
      <c r="F102" s="946"/>
      <c r="G102" s="97"/>
      <c r="H102" s="946"/>
    </row>
    <row r="103" spans="1:8" s="224" customFormat="1" ht="15.75" hidden="1" customHeight="1" x14ac:dyDescent="0.25">
      <c r="A103" s="215">
        <v>42033</v>
      </c>
      <c r="B103" s="349" t="s">
        <v>32</v>
      </c>
      <c r="C103" s="350" t="s">
        <v>12</v>
      </c>
      <c r="D103" s="141" t="s">
        <v>13</v>
      </c>
      <c r="E103" s="97">
        <v>11</v>
      </c>
      <c r="F103" s="946"/>
      <c r="G103" s="97"/>
      <c r="H103" s="946"/>
    </row>
    <row r="104" spans="1:8" s="224" customFormat="1" ht="15.75" hidden="1" customHeight="1" x14ac:dyDescent="0.25">
      <c r="A104" s="215">
        <v>42033</v>
      </c>
      <c r="B104" s="862" t="s">
        <v>14</v>
      </c>
      <c r="C104" s="879" t="s">
        <v>12</v>
      </c>
      <c r="D104" s="887" t="s">
        <v>13</v>
      </c>
      <c r="E104" s="250">
        <v>7.37</v>
      </c>
      <c r="F104" s="946"/>
      <c r="G104" s="97"/>
      <c r="H104" s="946"/>
    </row>
    <row r="105" spans="1:8" s="224" customFormat="1" ht="15.75" hidden="1" customHeight="1" x14ac:dyDescent="0.25">
      <c r="A105" s="215">
        <v>42034</v>
      </c>
      <c r="B105" s="349" t="s">
        <v>32</v>
      </c>
      <c r="C105" s="350" t="s">
        <v>12</v>
      </c>
      <c r="D105" s="141" t="s">
        <v>13</v>
      </c>
      <c r="E105" s="97">
        <v>11</v>
      </c>
      <c r="F105" s="946"/>
      <c r="G105" s="97"/>
      <c r="H105" s="946"/>
    </row>
    <row r="106" spans="1:8" s="224" customFormat="1" ht="15.75" hidden="1" customHeight="1" x14ac:dyDescent="0.25">
      <c r="A106" s="215">
        <v>42034</v>
      </c>
      <c r="B106" s="862" t="s">
        <v>14</v>
      </c>
      <c r="C106" s="879" t="s">
        <v>12</v>
      </c>
      <c r="D106" s="887" t="s">
        <v>13</v>
      </c>
      <c r="E106" s="250">
        <v>7.88</v>
      </c>
      <c r="F106" s="946"/>
      <c r="G106" s="97"/>
      <c r="H106" s="946"/>
    </row>
    <row r="107" spans="1:8" s="224" customFormat="1" ht="15.75" customHeight="1" x14ac:dyDescent="0.25">
      <c r="A107" s="215">
        <v>42035</v>
      </c>
      <c r="B107" s="862" t="s">
        <v>909</v>
      </c>
      <c r="C107" s="879" t="s">
        <v>12</v>
      </c>
      <c r="D107" s="887" t="s">
        <v>13</v>
      </c>
      <c r="E107" s="250">
        <v>22.8</v>
      </c>
      <c r="F107" s="946"/>
      <c r="G107" s="97"/>
      <c r="H107" s="946"/>
    </row>
    <row r="108" spans="1:8" s="224" customFormat="1" ht="15.75" hidden="1" customHeight="1" x14ac:dyDescent="0.25">
      <c r="A108" s="215">
        <v>42035</v>
      </c>
      <c r="B108" s="862" t="s">
        <v>14</v>
      </c>
      <c r="C108" s="879" t="s">
        <v>12</v>
      </c>
      <c r="D108" s="887" t="s">
        <v>13</v>
      </c>
      <c r="E108" s="250">
        <v>21.36</v>
      </c>
      <c r="F108" s="946"/>
      <c r="G108" s="97"/>
      <c r="H108" s="946"/>
    </row>
    <row r="109" spans="1:8" s="224" customFormat="1" ht="15.75" hidden="1" customHeight="1" thickBot="1" x14ac:dyDescent="0.3">
      <c r="A109" s="215">
        <v>42035</v>
      </c>
      <c r="B109" s="862" t="s">
        <v>82</v>
      </c>
      <c r="C109" s="879" t="s">
        <v>12</v>
      </c>
      <c r="D109" s="887" t="s">
        <v>13</v>
      </c>
      <c r="E109" s="250">
        <v>18</v>
      </c>
      <c r="F109" s="946"/>
      <c r="G109" s="97"/>
      <c r="H109" s="946"/>
    </row>
    <row r="110" spans="1:8" ht="25.5" hidden="1" customHeight="1" thickBot="1" x14ac:dyDescent="0.3">
      <c r="A110" s="3060"/>
      <c r="B110" s="3061"/>
      <c r="C110" s="3062"/>
      <c r="D110" s="3062"/>
      <c r="E110" s="100">
        <f>SUM(E5:E109)</f>
        <v>5627.5099999999993</v>
      </c>
      <c r="F110" s="1065">
        <f>SUM(F5:F109)</f>
        <v>6390.5769999999984</v>
      </c>
      <c r="G110" s="101">
        <f>SUM(G5:G109)</f>
        <v>2894.03</v>
      </c>
      <c r="H110" s="93">
        <f>SUM(H5:H109)</f>
        <v>4294.0300000000007</v>
      </c>
    </row>
    <row r="111" spans="1:8" ht="25.5" hidden="1" customHeight="1" thickBot="1" x14ac:dyDescent="0.3">
      <c r="A111" s="3077" t="s">
        <v>49</v>
      </c>
      <c r="B111" s="3078"/>
      <c r="C111" s="3078"/>
      <c r="D111" s="3078"/>
      <c r="E111" s="144"/>
      <c r="F111" s="519">
        <f>F110-E110</f>
        <v>763.0669999999991</v>
      </c>
      <c r="G111" s="555"/>
      <c r="H111" s="556">
        <f>H110-G110</f>
        <v>1400.0000000000005</v>
      </c>
    </row>
    <row r="113" spans="1:9" x14ac:dyDescent="0.25">
      <c r="B113" s="79" t="s">
        <v>32</v>
      </c>
      <c r="C113" s="484">
        <v>221</v>
      </c>
    </row>
    <row r="114" spans="1:9" x14ac:dyDescent="0.25">
      <c r="B114" s="79" t="s">
        <v>16</v>
      </c>
      <c r="C114" s="484">
        <v>180</v>
      </c>
      <c r="D114" s="79"/>
    </row>
    <row r="115" spans="1:9" x14ac:dyDescent="0.25">
      <c r="B115" s="79" t="s">
        <v>50</v>
      </c>
      <c r="C115" s="484">
        <v>124.5</v>
      </c>
    </row>
    <row r="116" spans="1:9" s="85" customFormat="1" x14ac:dyDescent="0.25">
      <c r="A116" s="79"/>
      <c r="B116" s="79" t="s">
        <v>14</v>
      </c>
      <c r="C116" s="475">
        <v>179.57</v>
      </c>
      <c r="E116" s="89"/>
      <c r="F116" s="79"/>
      <c r="G116" s="79"/>
    </row>
    <row r="117" spans="1:9" s="85" customFormat="1" x14ac:dyDescent="0.25">
      <c r="A117" s="79"/>
      <c r="B117" s="79" t="s">
        <v>51</v>
      </c>
      <c r="C117" s="475">
        <v>40.19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52</v>
      </c>
      <c r="C118" s="475"/>
      <c r="E118" s="89"/>
      <c r="F118" s="79"/>
      <c r="G118" s="79"/>
      <c r="H118" s="79"/>
    </row>
    <row r="119" spans="1:9" s="85" customFormat="1" x14ac:dyDescent="0.25">
      <c r="A119" s="79"/>
      <c r="B119" s="867" t="s">
        <v>53</v>
      </c>
      <c r="C119" s="475">
        <v>74.83</v>
      </c>
      <c r="D119" s="89"/>
      <c r="E119" s="89"/>
      <c r="F119" s="79"/>
      <c r="G119" s="79"/>
      <c r="H119" s="79"/>
    </row>
    <row r="120" spans="1:9" s="85" customFormat="1" x14ac:dyDescent="0.25">
      <c r="A120" s="79"/>
      <c r="B120" s="79" t="s">
        <v>56</v>
      </c>
      <c r="C120" s="475"/>
      <c r="E120" s="89"/>
      <c r="F120" s="79"/>
      <c r="G120" s="79"/>
      <c r="H120" s="79"/>
    </row>
    <row r="121" spans="1:9" s="85" customFormat="1" x14ac:dyDescent="0.25">
      <c r="A121" s="79"/>
      <c r="B121" s="79" t="s">
        <v>910</v>
      </c>
      <c r="C121" s="475">
        <v>161.66999999999999</v>
      </c>
      <c r="E121" s="89"/>
      <c r="F121" s="79"/>
      <c r="G121" s="79"/>
      <c r="H121" s="79"/>
    </row>
    <row r="122" spans="1:9" s="85" customFormat="1" x14ac:dyDescent="0.25">
      <c r="A122" s="79"/>
      <c r="B122" s="79" t="s">
        <v>418</v>
      </c>
      <c r="C122" s="475">
        <v>2652.83</v>
      </c>
      <c r="E122" s="89"/>
      <c r="F122" s="79"/>
      <c r="G122" s="79"/>
      <c r="H122" s="79"/>
    </row>
    <row r="123" spans="1:9" s="85" customFormat="1" x14ac:dyDescent="0.25">
      <c r="A123" s="79"/>
      <c r="B123" s="79" t="s">
        <v>419</v>
      </c>
      <c r="C123" s="475">
        <v>159.37</v>
      </c>
      <c r="D123" s="79"/>
      <c r="E123" s="89"/>
      <c r="F123" s="79"/>
      <c r="G123" s="79"/>
      <c r="H123" s="79"/>
    </row>
    <row r="124" spans="1:9" x14ac:dyDescent="0.25">
      <c r="B124" s="79" t="s">
        <v>911</v>
      </c>
      <c r="C124" s="475">
        <v>0</v>
      </c>
    </row>
    <row r="126" spans="1:9" x14ac:dyDescent="0.25">
      <c r="B126" s="79" t="s">
        <v>486</v>
      </c>
      <c r="C126" s="475">
        <f>G126/I126</f>
        <v>139.90161290322581</v>
      </c>
      <c r="E126" s="3096" t="s">
        <v>487</v>
      </c>
      <c r="F126" s="3096"/>
      <c r="G126" s="216">
        <v>4336.95</v>
      </c>
      <c r="H126" s="518" t="s">
        <v>488</v>
      </c>
      <c r="I126" s="85">
        <v>31</v>
      </c>
    </row>
  </sheetData>
  <autoFilter ref="A2:H111" xr:uid="{00000000-0009-0000-0000-00001D000000}">
    <filterColumn colId="1">
      <filters>
        <filter val="Aptamil"/>
        <filter val="Argamassa piso (6)"/>
        <filter val="Cimentos quarto (2)"/>
        <filter val="Cimentos quarto (3)"/>
        <filter val="Janela quarto (3 folhas)"/>
        <filter val="Lampada Banheiro Quarto"/>
        <filter val="Lampada de Embutir LED"/>
        <filter val="Mamadeira Bella"/>
        <filter val="Mão obra Moacir (reboco,piso,forro) 2/6"/>
        <filter val="Mão obra Moacir (reboco,piso,forro) 3/6"/>
        <filter val="Mão obra Moacir (reboco,piso,forro) 4/6"/>
        <filter val="Material (1 Tinta vermelha 3,600lts coral)"/>
        <filter val="Material (1 Tinta+Massa corrida+textura+lixa)"/>
        <filter val="Material (2 disjuntores 32A+cotovelos+TE)"/>
        <filter val="Material (fio de 2,5 - 20 metros+fita isolante)"/>
        <filter val="Material (Forro+cantoneiras+madeiras+pregos)"/>
        <filter val="Material Reboco (2 cimentos+lampada+tijolos)"/>
        <filter val="Piso Quarto + Argamassa + Rejunte"/>
        <filter val="Porta Aluminio Quarto"/>
        <filter val="Registros (2) + adaptadores chuveiro quarto"/>
        <filter val="Remédios nenem (nenem dente;escovinha dente;sulfato ferroso;adtil)"/>
        <filter val="Saco entulho + Cruzetas Piso"/>
        <filter val="Vitro banheiro do quarto"/>
      </filters>
    </filterColumn>
  </autoFilter>
  <mergeCells count="13">
    <mergeCell ref="A1:D1"/>
    <mergeCell ref="E1:H1"/>
    <mergeCell ref="A2:A4"/>
    <mergeCell ref="B2:B4"/>
    <mergeCell ref="C2:C4"/>
    <mergeCell ref="D2:D4"/>
    <mergeCell ref="E2:F3"/>
    <mergeCell ref="G2:H3"/>
    <mergeCell ref="I81:L81"/>
    <mergeCell ref="A110:D110"/>
    <mergeCell ref="A111:D111"/>
    <mergeCell ref="E126:F126"/>
    <mergeCell ref="I76:L76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Plan19" filterMode="1"/>
  <dimension ref="A1:I113"/>
  <sheetViews>
    <sheetView zoomScale="85" zoomScaleNormal="85" workbookViewId="0">
      <pane ySplit="4" topLeftCell="A5" activePane="bottomLeft" state="frozen"/>
      <selection activeCell="C44" sqref="C44"/>
      <selection pane="bottomLeft" activeCell="B111" sqref="A1:L11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912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42036</v>
      </c>
      <c r="B5" s="369" t="s">
        <v>10</v>
      </c>
      <c r="C5" s="370"/>
      <c r="D5" s="207"/>
      <c r="E5" s="179"/>
      <c r="F5" s="933">
        <f>'Janeiro-15'!F111</f>
        <v>763.0669999999991</v>
      </c>
      <c r="G5" s="163"/>
      <c r="H5" s="933">
        <f>'Janeiro-15'!H111</f>
        <v>1400.0000000000005</v>
      </c>
    </row>
    <row r="6" spans="1:8" s="224" customFormat="1" hidden="1" x14ac:dyDescent="0.25">
      <c r="A6" s="215">
        <v>42036</v>
      </c>
      <c r="B6" s="348" t="s">
        <v>11</v>
      </c>
      <c r="C6" s="351"/>
      <c r="D6" s="248"/>
      <c r="E6" s="250">
        <v>38</v>
      </c>
      <c r="F6" s="1473"/>
      <c r="G6" s="252"/>
      <c r="H6" s="1473"/>
    </row>
    <row r="7" spans="1:8" s="224" customFormat="1" hidden="1" x14ac:dyDescent="0.25">
      <c r="A7" s="215">
        <v>42036</v>
      </c>
      <c r="B7" s="862" t="s">
        <v>913</v>
      </c>
      <c r="C7" s="879" t="s">
        <v>12</v>
      </c>
      <c r="D7" s="887" t="s">
        <v>15</v>
      </c>
      <c r="E7" s="250">
        <v>200</v>
      </c>
      <c r="F7" s="1473"/>
      <c r="G7" s="252"/>
      <c r="H7" s="1473"/>
    </row>
    <row r="8" spans="1:8" s="224" customFormat="1" hidden="1" x14ac:dyDescent="0.25">
      <c r="A8" s="215">
        <v>42036</v>
      </c>
      <c r="B8" s="862" t="s">
        <v>14</v>
      </c>
      <c r="C8" s="879" t="s">
        <v>12</v>
      </c>
      <c r="D8" s="887" t="s">
        <v>13</v>
      </c>
      <c r="E8" s="250">
        <v>11.57</v>
      </c>
      <c r="F8" s="1473"/>
      <c r="G8" s="252"/>
      <c r="H8" s="1473"/>
    </row>
    <row r="9" spans="1:8" s="224" customFormat="1" hidden="1" x14ac:dyDescent="0.25">
      <c r="A9" s="215">
        <v>42036</v>
      </c>
      <c r="B9" s="862" t="s">
        <v>914</v>
      </c>
      <c r="C9" s="879" t="s">
        <v>12</v>
      </c>
      <c r="D9" s="887" t="s">
        <v>13</v>
      </c>
      <c r="E9" s="250">
        <v>17.579999999999998</v>
      </c>
      <c r="F9" s="1473"/>
      <c r="G9" s="252"/>
      <c r="H9" s="1473"/>
    </row>
    <row r="10" spans="1:8" s="224" customFormat="1" ht="15.75" hidden="1" customHeight="1" x14ac:dyDescent="0.25">
      <c r="A10" s="215">
        <v>42036</v>
      </c>
      <c r="B10" s="349" t="s">
        <v>256</v>
      </c>
      <c r="C10" s="350"/>
      <c r="D10" s="141"/>
      <c r="E10" s="97"/>
      <c r="F10" s="946">
        <v>700</v>
      </c>
      <c r="G10" s="97">
        <v>700</v>
      </c>
      <c r="H10" s="946"/>
    </row>
    <row r="11" spans="1:8" s="224" customFormat="1" hidden="1" x14ac:dyDescent="0.25">
      <c r="A11" s="215">
        <v>42037</v>
      </c>
      <c r="B11" s="349" t="s">
        <v>32</v>
      </c>
      <c r="C11" s="350" t="s">
        <v>12</v>
      </c>
      <c r="D11" s="141" t="s">
        <v>13</v>
      </c>
      <c r="E11" s="97">
        <v>11</v>
      </c>
      <c r="F11" s="1473"/>
      <c r="G11" s="252"/>
      <c r="H11" s="1473"/>
    </row>
    <row r="12" spans="1:8" s="224" customFormat="1" x14ac:dyDescent="0.25">
      <c r="A12" s="215">
        <v>42037</v>
      </c>
      <c r="B12" s="862" t="s">
        <v>915</v>
      </c>
      <c r="C12" s="879" t="s">
        <v>19</v>
      </c>
      <c r="D12" s="887" t="s">
        <v>13</v>
      </c>
      <c r="E12" s="250">
        <v>37.99</v>
      </c>
      <c r="F12" s="1473"/>
      <c r="G12" s="252"/>
      <c r="H12" s="1473"/>
    </row>
    <row r="13" spans="1:8" hidden="1" x14ac:dyDescent="0.25">
      <c r="A13" s="215">
        <v>42037</v>
      </c>
      <c r="B13" s="862" t="s">
        <v>138</v>
      </c>
      <c r="C13" s="879" t="s">
        <v>19</v>
      </c>
      <c r="D13" s="887" t="s">
        <v>13</v>
      </c>
      <c r="E13" s="250">
        <v>60</v>
      </c>
      <c r="F13" s="946"/>
      <c r="G13" s="95"/>
      <c r="H13" s="946"/>
    </row>
    <row r="14" spans="1:8" s="224" customFormat="1" hidden="1" x14ac:dyDescent="0.25">
      <c r="A14" s="215">
        <v>42037</v>
      </c>
      <c r="B14" s="349" t="s">
        <v>916</v>
      </c>
      <c r="C14" s="350" t="s">
        <v>19</v>
      </c>
      <c r="D14" s="141" t="s">
        <v>13</v>
      </c>
      <c r="E14" s="97">
        <v>42.58</v>
      </c>
      <c r="F14" s="1473"/>
      <c r="G14" s="252"/>
      <c r="H14" s="1473"/>
    </row>
    <row r="15" spans="1:8" s="224" customFormat="1" hidden="1" x14ac:dyDescent="0.25">
      <c r="A15" s="215">
        <v>42038</v>
      </c>
      <c r="B15" s="349" t="s">
        <v>32</v>
      </c>
      <c r="C15" s="350" t="s">
        <v>12</v>
      </c>
      <c r="D15" s="141" t="s">
        <v>13</v>
      </c>
      <c r="E15" s="97">
        <v>11</v>
      </c>
      <c r="F15" s="1473"/>
      <c r="G15" s="252"/>
      <c r="H15" s="1473"/>
    </row>
    <row r="16" spans="1:8" s="224" customFormat="1" hidden="1" x14ac:dyDescent="0.25">
      <c r="A16" s="215">
        <v>42038</v>
      </c>
      <c r="B16" s="862" t="s">
        <v>917</v>
      </c>
      <c r="C16" s="879" t="s">
        <v>12</v>
      </c>
      <c r="D16" s="887" t="s">
        <v>15</v>
      </c>
      <c r="E16" s="250">
        <v>420</v>
      </c>
      <c r="F16" s="1473"/>
      <c r="G16" s="252"/>
      <c r="H16" s="1473"/>
    </row>
    <row r="17" spans="1:8" hidden="1" x14ac:dyDescent="0.25">
      <c r="A17" s="215">
        <v>42039</v>
      </c>
      <c r="B17" s="349" t="s">
        <v>32</v>
      </c>
      <c r="C17" s="350" t="s">
        <v>12</v>
      </c>
      <c r="D17" s="141" t="s">
        <v>13</v>
      </c>
      <c r="E17" s="97">
        <v>11</v>
      </c>
      <c r="F17" s="946"/>
      <c r="G17" s="95"/>
      <c r="H17" s="946"/>
    </row>
    <row r="18" spans="1:8" hidden="1" x14ac:dyDescent="0.25">
      <c r="A18" s="215">
        <v>42039</v>
      </c>
      <c r="B18" s="349" t="s">
        <v>918</v>
      </c>
      <c r="C18" s="350" t="s">
        <v>19</v>
      </c>
      <c r="D18" s="141" t="s">
        <v>13</v>
      </c>
      <c r="E18" s="97">
        <v>270.98</v>
      </c>
      <c r="F18" s="946"/>
      <c r="G18" s="95"/>
      <c r="H18" s="946"/>
    </row>
    <row r="19" spans="1:8" hidden="1" x14ac:dyDescent="0.25">
      <c r="A19" s="215">
        <v>42039</v>
      </c>
      <c r="B19" s="349" t="s">
        <v>134</v>
      </c>
      <c r="C19" s="350" t="s">
        <v>12</v>
      </c>
      <c r="D19" s="141" t="s">
        <v>15</v>
      </c>
      <c r="E19" s="97">
        <v>4</v>
      </c>
      <c r="F19" s="946"/>
      <c r="G19" s="95"/>
      <c r="H19" s="946"/>
    </row>
    <row r="20" spans="1:8" s="224" customFormat="1" hidden="1" x14ac:dyDescent="0.25">
      <c r="A20" s="215">
        <v>42039</v>
      </c>
      <c r="B20" s="862" t="s">
        <v>14</v>
      </c>
      <c r="C20" s="879" t="s">
        <v>12</v>
      </c>
      <c r="D20" s="887" t="s">
        <v>15</v>
      </c>
      <c r="E20" s="250">
        <v>6</v>
      </c>
      <c r="F20" s="1473"/>
      <c r="G20" s="252"/>
      <c r="H20" s="1473"/>
    </row>
    <row r="21" spans="1:8" s="224" customFormat="1" hidden="1" x14ac:dyDescent="0.25">
      <c r="A21" s="215">
        <v>42040</v>
      </c>
      <c r="B21" s="349" t="s">
        <v>32</v>
      </c>
      <c r="C21" s="350" t="s">
        <v>12</v>
      </c>
      <c r="D21" s="141" t="s">
        <v>13</v>
      </c>
      <c r="E21" s="97">
        <v>11</v>
      </c>
      <c r="F21" s="1473"/>
      <c r="G21" s="252"/>
      <c r="H21" s="1473"/>
    </row>
    <row r="22" spans="1:8" s="224" customFormat="1" hidden="1" x14ac:dyDescent="0.25">
      <c r="A22" s="215">
        <v>42040</v>
      </c>
      <c r="B22" s="862" t="s">
        <v>14</v>
      </c>
      <c r="C22" s="879" t="s">
        <v>12</v>
      </c>
      <c r="D22" s="887" t="s">
        <v>15</v>
      </c>
      <c r="E22" s="250">
        <v>5.18</v>
      </c>
      <c r="F22" s="1473"/>
      <c r="G22" s="252"/>
      <c r="H22" s="1473"/>
    </row>
    <row r="23" spans="1:8" s="224" customFormat="1" ht="15.75" hidden="1" customHeight="1" x14ac:dyDescent="0.25">
      <c r="A23" s="215">
        <v>42041</v>
      </c>
      <c r="B23" s="349" t="s">
        <v>260</v>
      </c>
      <c r="C23" s="350"/>
      <c r="D23" s="141"/>
      <c r="E23" s="97">
        <v>880</v>
      </c>
      <c r="F23" s="946"/>
      <c r="G23" s="97"/>
      <c r="H23" s="946">
        <v>880</v>
      </c>
    </row>
    <row r="24" spans="1:8" s="224" customFormat="1" hidden="1" x14ac:dyDescent="0.25">
      <c r="A24" s="215">
        <v>42041</v>
      </c>
      <c r="B24" s="349" t="s">
        <v>32</v>
      </c>
      <c r="C24" s="350" t="s">
        <v>12</v>
      </c>
      <c r="D24" s="141" t="s">
        <v>13</v>
      </c>
      <c r="E24" s="97">
        <v>11</v>
      </c>
      <c r="F24" s="1473"/>
      <c r="G24" s="252"/>
      <c r="H24" s="1473"/>
    </row>
    <row r="25" spans="1:8" s="224" customFormat="1" hidden="1" x14ac:dyDescent="0.25">
      <c r="A25" s="215">
        <v>42041</v>
      </c>
      <c r="B25" s="349" t="s">
        <v>919</v>
      </c>
      <c r="C25" s="879" t="s">
        <v>12</v>
      </c>
      <c r="D25" s="983" t="s">
        <v>25</v>
      </c>
      <c r="E25" s="250"/>
      <c r="F25" s="1473">
        <v>1492.49</v>
      </c>
      <c r="G25" s="252"/>
      <c r="H25" s="1473"/>
    </row>
    <row r="26" spans="1:8" s="224" customFormat="1" ht="15.75" hidden="1" customHeight="1" x14ac:dyDescent="0.25">
      <c r="A26" s="215">
        <v>42041</v>
      </c>
      <c r="B26" s="862" t="s">
        <v>920</v>
      </c>
      <c r="C26" s="350" t="s">
        <v>12</v>
      </c>
      <c r="D26" s="141" t="s">
        <v>13</v>
      </c>
      <c r="E26" s="97">
        <v>239.42</v>
      </c>
      <c r="F26" s="1473"/>
      <c r="G26" s="252"/>
      <c r="H26" s="1473"/>
    </row>
    <row r="27" spans="1:8" s="224" customFormat="1" hidden="1" x14ac:dyDescent="0.25">
      <c r="A27" s="215">
        <v>42041</v>
      </c>
      <c r="B27" s="882" t="s">
        <v>921</v>
      </c>
      <c r="C27" s="350" t="s">
        <v>12</v>
      </c>
      <c r="D27" s="141" t="s">
        <v>13</v>
      </c>
      <c r="E27" s="97">
        <v>49.25</v>
      </c>
      <c r="F27" s="1473"/>
      <c r="G27" s="252"/>
      <c r="H27" s="1473"/>
    </row>
    <row r="28" spans="1:8" s="224" customFormat="1" ht="15" hidden="1" customHeight="1" x14ac:dyDescent="0.25">
      <c r="A28" s="215">
        <v>42041</v>
      </c>
      <c r="B28" s="862" t="s">
        <v>31</v>
      </c>
      <c r="C28" s="350" t="s">
        <v>12</v>
      </c>
      <c r="D28" s="957" t="s">
        <v>15</v>
      </c>
      <c r="E28" s="594"/>
      <c r="F28" s="1473"/>
      <c r="G28" s="252"/>
      <c r="H28" s="1473"/>
    </row>
    <row r="29" spans="1:8" s="224" customFormat="1" hidden="1" x14ac:dyDescent="0.25">
      <c r="A29" s="215">
        <v>42041</v>
      </c>
      <c r="B29" s="862" t="s">
        <v>878</v>
      </c>
      <c r="C29" s="350" t="s">
        <v>12</v>
      </c>
      <c r="D29" s="957" t="s">
        <v>15</v>
      </c>
      <c r="E29" s="97">
        <v>50</v>
      </c>
      <c r="F29" s="1473"/>
      <c r="G29" s="252"/>
      <c r="H29" s="1473"/>
    </row>
    <row r="30" spans="1:8" s="224" customFormat="1" hidden="1" x14ac:dyDescent="0.25">
      <c r="A30" s="215">
        <v>42041</v>
      </c>
      <c r="B30" s="862" t="s">
        <v>922</v>
      </c>
      <c r="C30" s="350" t="s">
        <v>12</v>
      </c>
      <c r="D30" s="957" t="s">
        <v>15</v>
      </c>
      <c r="E30" s="97">
        <v>290</v>
      </c>
      <c r="F30" s="1473"/>
      <c r="G30" s="252"/>
      <c r="H30" s="1473"/>
    </row>
    <row r="31" spans="1:8" s="224" customFormat="1" hidden="1" x14ac:dyDescent="0.25">
      <c r="A31" s="215">
        <v>42042</v>
      </c>
      <c r="B31" s="862" t="s">
        <v>134</v>
      </c>
      <c r="C31" s="879" t="s">
        <v>12</v>
      </c>
      <c r="D31" s="887" t="s">
        <v>13</v>
      </c>
      <c r="E31" s="250">
        <v>7</v>
      </c>
      <c r="F31" s="1473"/>
      <c r="G31" s="252"/>
      <c r="H31" s="1473"/>
    </row>
    <row r="32" spans="1:8" s="224" customFormat="1" hidden="1" x14ac:dyDescent="0.25">
      <c r="A32" s="215">
        <v>42042</v>
      </c>
      <c r="B32" s="862" t="s">
        <v>14</v>
      </c>
      <c r="C32" s="350" t="s">
        <v>12</v>
      </c>
      <c r="D32" s="957" t="s">
        <v>13</v>
      </c>
      <c r="E32" s="97">
        <v>9.6199999999999992</v>
      </c>
      <c r="F32" s="1473"/>
      <c r="G32" s="252"/>
      <c r="H32" s="1473"/>
    </row>
    <row r="33" spans="1:8" s="224" customFormat="1" hidden="1" x14ac:dyDescent="0.25">
      <c r="A33" s="215">
        <v>42042</v>
      </c>
      <c r="B33" s="862" t="s">
        <v>923</v>
      </c>
      <c r="C33" s="350" t="s">
        <v>12</v>
      </c>
      <c r="D33" s="957" t="s">
        <v>13</v>
      </c>
      <c r="E33" s="97">
        <v>42.6</v>
      </c>
      <c r="F33" s="1473"/>
      <c r="G33" s="252"/>
      <c r="H33" s="1473"/>
    </row>
    <row r="34" spans="1:8" s="224" customFormat="1" hidden="1" x14ac:dyDescent="0.25">
      <c r="A34" s="215">
        <v>42043</v>
      </c>
      <c r="B34" s="862" t="s">
        <v>134</v>
      </c>
      <c r="C34" s="879" t="s">
        <v>12</v>
      </c>
      <c r="D34" s="887" t="s">
        <v>13</v>
      </c>
      <c r="E34" s="250">
        <v>20.03</v>
      </c>
      <c r="F34" s="1473"/>
      <c r="G34" s="252"/>
      <c r="H34" s="1473"/>
    </row>
    <row r="35" spans="1:8" s="224" customFormat="1" hidden="1" x14ac:dyDescent="0.25">
      <c r="A35" s="215">
        <v>42043</v>
      </c>
      <c r="B35" s="862" t="s">
        <v>138</v>
      </c>
      <c r="C35" s="879" t="s">
        <v>19</v>
      </c>
      <c r="D35" s="887" t="s">
        <v>13</v>
      </c>
      <c r="E35" s="250">
        <v>50</v>
      </c>
      <c r="F35" s="1473"/>
      <c r="G35" s="252"/>
      <c r="H35" s="1473"/>
    </row>
    <row r="36" spans="1:8" s="224" customFormat="1" hidden="1" x14ac:dyDescent="0.25">
      <c r="A36" s="215">
        <v>42043</v>
      </c>
      <c r="B36" s="862" t="s">
        <v>14</v>
      </c>
      <c r="C36" s="879" t="s">
        <v>12</v>
      </c>
      <c r="D36" s="887" t="s">
        <v>13</v>
      </c>
      <c r="E36" s="250">
        <v>3.4</v>
      </c>
      <c r="F36" s="1473"/>
      <c r="G36" s="252"/>
      <c r="H36" s="1473"/>
    </row>
    <row r="37" spans="1:8" s="224" customFormat="1" ht="15.75" hidden="1" customHeight="1" x14ac:dyDescent="0.25">
      <c r="A37" s="215">
        <v>42044</v>
      </c>
      <c r="B37" s="349" t="s">
        <v>256</v>
      </c>
      <c r="C37" s="350"/>
      <c r="D37" s="141"/>
      <c r="E37" s="97"/>
      <c r="F37" s="946">
        <v>400</v>
      </c>
      <c r="G37" s="97">
        <v>400</v>
      </c>
      <c r="H37" s="946"/>
    </row>
    <row r="38" spans="1:8" s="224" customFormat="1" ht="15.75" hidden="1" customHeight="1" x14ac:dyDescent="0.25">
      <c r="A38" s="215">
        <v>42044</v>
      </c>
      <c r="B38" s="349" t="s">
        <v>32</v>
      </c>
      <c r="C38" s="350" t="s">
        <v>12</v>
      </c>
      <c r="D38" s="141" t="s">
        <v>13</v>
      </c>
      <c r="E38" s="97">
        <v>11</v>
      </c>
      <c r="F38" s="946"/>
      <c r="G38" s="97"/>
      <c r="H38" s="946"/>
    </row>
    <row r="39" spans="1:8" s="224" customFormat="1" ht="15.75" hidden="1" customHeight="1" x14ac:dyDescent="0.25">
      <c r="A39" s="215">
        <v>42044</v>
      </c>
      <c r="B39" s="349" t="s">
        <v>924</v>
      </c>
      <c r="C39" s="350" t="s">
        <v>19</v>
      </c>
      <c r="D39" s="141" t="s">
        <v>13</v>
      </c>
      <c r="E39" s="97">
        <v>159.80000000000001</v>
      </c>
      <c r="F39" s="946"/>
      <c r="G39" s="97"/>
      <c r="H39" s="946"/>
    </row>
    <row r="40" spans="1:8" s="224" customFormat="1" ht="15.75" hidden="1" customHeight="1" x14ac:dyDescent="0.25">
      <c r="A40" s="215">
        <v>42044</v>
      </c>
      <c r="B40" s="862" t="s">
        <v>14</v>
      </c>
      <c r="C40" s="879" t="s">
        <v>12</v>
      </c>
      <c r="D40" s="887" t="s">
        <v>15</v>
      </c>
      <c r="E40" s="250">
        <v>5</v>
      </c>
      <c r="F40" s="946"/>
      <c r="G40" s="97"/>
      <c r="H40" s="946"/>
    </row>
    <row r="41" spans="1:8" s="224" customFormat="1" hidden="1" x14ac:dyDescent="0.25">
      <c r="A41" s="215">
        <v>42044</v>
      </c>
      <c r="B41" s="862" t="s">
        <v>925</v>
      </c>
      <c r="C41" s="879" t="s">
        <v>12</v>
      </c>
      <c r="D41" s="887" t="s">
        <v>25</v>
      </c>
      <c r="E41" s="250"/>
      <c r="F41" s="1473">
        <v>60</v>
      </c>
      <c r="G41" s="252"/>
      <c r="H41" s="1473"/>
    </row>
    <row r="42" spans="1:8" s="224" customFormat="1" hidden="1" x14ac:dyDescent="0.25">
      <c r="A42" s="215">
        <v>42044</v>
      </c>
      <c r="B42" s="862" t="s">
        <v>926</v>
      </c>
      <c r="C42" s="879" t="s">
        <v>19</v>
      </c>
      <c r="D42" s="887" t="s">
        <v>13</v>
      </c>
      <c r="E42" s="250">
        <v>45</v>
      </c>
      <c r="F42" s="1473"/>
      <c r="G42" s="252"/>
      <c r="H42" s="1473"/>
    </row>
    <row r="43" spans="1:8" s="224" customFormat="1" ht="15.75" hidden="1" customHeight="1" x14ac:dyDescent="0.25">
      <c r="A43" s="215">
        <v>42045</v>
      </c>
      <c r="B43" s="349" t="s">
        <v>32</v>
      </c>
      <c r="C43" s="350" t="s">
        <v>12</v>
      </c>
      <c r="D43" s="141" t="s">
        <v>13</v>
      </c>
      <c r="E43" s="97">
        <v>11</v>
      </c>
      <c r="F43" s="946"/>
      <c r="G43" s="97"/>
      <c r="H43" s="946"/>
    </row>
    <row r="44" spans="1:8" s="224" customFormat="1" ht="15.75" hidden="1" customHeight="1" x14ac:dyDescent="0.25">
      <c r="A44" s="215">
        <v>42045</v>
      </c>
      <c r="B44" s="349" t="s">
        <v>927</v>
      </c>
      <c r="C44" s="350" t="s">
        <v>19</v>
      </c>
      <c r="D44" s="141" t="s">
        <v>13</v>
      </c>
      <c r="E44" s="97">
        <v>31.97</v>
      </c>
      <c r="F44" s="946"/>
      <c r="G44" s="97"/>
      <c r="H44" s="946"/>
    </row>
    <row r="45" spans="1:8" s="224" customFormat="1" ht="15.75" hidden="1" customHeight="1" x14ac:dyDescent="0.25">
      <c r="A45" s="215">
        <v>42045</v>
      </c>
      <c r="B45" s="349" t="s">
        <v>928</v>
      </c>
      <c r="C45" s="350" t="s">
        <v>19</v>
      </c>
      <c r="D45" s="141" t="s">
        <v>13</v>
      </c>
      <c r="E45" s="97">
        <v>288</v>
      </c>
      <c r="F45" s="946"/>
      <c r="G45" s="97"/>
      <c r="H45" s="946"/>
    </row>
    <row r="46" spans="1:8" s="224" customFormat="1" ht="15.75" hidden="1" customHeight="1" x14ac:dyDescent="0.25">
      <c r="A46" s="215">
        <v>42046</v>
      </c>
      <c r="B46" s="349" t="s">
        <v>256</v>
      </c>
      <c r="C46" s="350"/>
      <c r="D46" s="141"/>
      <c r="E46" s="97"/>
      <c r="F46" s="946">
        <v>500</v>
      </c>
      <c r="G46" s="97">
        <v>500</v>
      </c>
      <c r="H46" s="946"/>
    </row>
    <row r="47" spans="1:8" s="224" customFormat="1" ht="15.75" hidden="1" customHeight="1" x14ac:dyDescent="0.25">
      <c r="A47" s="215">
        <v>42046</v>
      </c>
      <c r="B47" s="349" t="s">
        <v>311</v>
      </c>
      <c r="C47" s="350"/>
      <c r="D47" s="141"/>
      <c r="E47" s="97"/>
      <c r="F47" s="946"/>
      <c r="G47" s="97"/>
      <c r="H47" s="946">
        <v>4</v>
      </c>
    </row>
    <row r="48" spans="1:8" s="224" customFormat="1" hidden="1" x14ac:dyDescent="0.25">
      <c r="A48" s="215">
        <v>42046</v>
      </c>
      <c r="B48" s="349" t="s">
        <v>32</v>
      </c>
      <c r="C48" s="350" t="s">
        <v>12</v>
      </c>
      <c r="D48" s="141" t="s">
        <v>13</v>
      </c>
      <c r="E48" s="97">
        <v>11</v>
      </c>
      <c r="F48" s="1473"/>
      <c r="G48" s="252"/>
      <c r="H48" s="1473"/>
    </row>
    <row r="49" spans="1:8" s="224" customFormat="1" ht="15.75" hidden="1" customHeight="1" x14ac:dyDescent="0.25">
      <c r="A49" s="215">
        <v>42046</v>
      </c>
      <c r="B49" s="862" t="s">
        <v>14</v>
      </c>
      <c r="C49" s="879" t="s">
        <v>12</v>
      </c>
      <c r="D49" s="887" t="s">
        <v>15</v>
      </c>
      <c r="E49" s="250">
        <v>6.02</v>
      </c>
      <c r="F49" s="946"/>
      <c r="G49" s="97"/>
      <c r="H49" s="946"/>
    </row>
    <row r="50" spans="1:8" s="224" customFormat="1" hidden="1" x14ac:dyDescent="0.25">
      <c r="A50" s="215">
        <v>42047</v>
      </c>
      <c r="B50" s="349" t="s">
        <v>32</v>
      </c>
      <c r="C50" s="350" t="s">
        <v>12</v>
      </c>
      <c r="D50" s="141" t="s">
        <v>13</v>
      </c>
      <c r="E50" s="97">
        <v>11</v>
      </c>
      <c r="F50" s="1473"/>
      <c r="G50" s="252"/>
      <c r="H50" s="1473"/>
    </row>
    <row r="51" spans="1:8" s="224" customFormat="1" ht="15.75" hidden="1" customHeight="1" x14ac:dyDescent="0.25">
      <c r="A51" s="215">
        <v>42047</v>
      </c>
      <c r="B51" s="862" t="s">
        <v>14</v>
      </c>
      <c r="C51" s="879" t="s">
        <v>12</v>
      </c>
      <c r="D51" s="887" t="s">
        <v>15</v>
      </c>
      <c r="E51" s="250">
        <v>3</v>
      </c>
      <c r="F51" s="946"/>
      <c r="G51" s="97"/>
      <c r="H51" s="946"/>
    </row>
    <row r="52" spans="1:8" s="224" customFormat="1" hidden="1" x14ac:dyDescent="0.25">
      <c r="A52" s="215">
        <v>42048</v>
      </c>
      <c r="B52" s="349" t="s">
        <v>32</v>
      </c>
      <c r="C52" s="350" t="s">
        <v>12</v>
      </c>
      <c r="D52" s="141" t="s">
        <v>13</v>
      </c>
      <c r="E52" s="97">
        <v>11</v>
      </c>
      <c r="F52" s="1473"/>
      <c r="G52" s="252"/>
      <c r="H52" s="1473"/>
    </row>
    <row r="53" spans="1:8" s="224" customFormat="1" ht="15.75" hidden="1" customHeight="1" x14ac:dyDescent="0.25">
      <c r="A53" s="215">
        <v>42049</v>
      </c>
      <c r="B53" s="349" t="s">
        <v>256</v>
      </c>
      <c r="C53" s="350"/>
      <c r="D53" s="141"/>
      <c r="E53" s="97"/>
      <c r="F53" s="946">
        <v>200</v>
      </c>
      <c r="G53" s="97">
        <v>200</v>
      </c>
      <c r="H53" s="946"/>
    </row>
    <row r="54" spans="1:8" s="224" customFormat="1" hidden="1" x14ac:dyDescent="0.25">
      <c r="A54" s="215">
        <v>42049</v>
      </c>
      <c r="B54" s="862" t="s">
        <v>929</v>
      </c>
      <c r="C54" s="879" t="s">
        <v>12</v>
      </c>
      <c r="D54" s="887" t="s">
        <v>13</v>
      </c>
      <c r="E54" s="250">
        <v>96.33</v>
      </c>
      <c r="F54" s="1473"/>
      <c r="G54" s="252"/>
      <c r="H54" s="1473"/>
    </row>
    <row r="55" spans="1:8" s="224" customFormat="1" hidden="1" x14ac:dyDescent="0.25">
      <c r="A55" s="215">
        <v>42049</v>
      </c>
      <c r="B55" s="862" t="s">
        <v>930</v>
      </c>
      <c r="C55" s="879" t="s">
        <v>12</v>
      </c>
      <c r="D55" s="887" t="s">
        <v>13</v>
      </c>
      <c r="E55" s="250">
        <v>17.600000000000001</v>
      </c>
      <c r="F55" s="1473"/>
      <c r="G55" s="252"/>
      <c r="H55" s="1473"/>
    </row>
    <row r="56" spans="1:8" s="224" customFormat="1" hidden="1" x14ac:dyDescent="0.25">
      <c r="A56" s="215">
        <v>42049</v>
      </c>
      <c r="B56" s="862" t="s">
        <v>931</v>
      </c>
      <c r="C56" s="879" t="s">
        <v>12</v>
      </c>
      <c r="D56" s="887" t="s">
        <v>13</v>
      </c>
      <c r="E56" s="250">
        <v>24.8</v>
      </c>
      <c r="F56" s="1473"/>
      <c r="G56" s="252"/>
      <c r="H56" s="1473"/>
    </row>
    <row r="57" spans="1:8" s="224" customFormat="1" hidden="1" x14ac:dyDescent="0.25">
      <c r="A57" s="215">
        <v>42049</v>
      </c>
      <c r="B57" s="862" t="s">
        <v>932</v>
      </c>
      <c r="C57" s="879" t="s">
        <v>19</v>
      </c>
      <c r="D57" s="887" t="s">
        <v>13</v>
      </c>
      <c r="E57" s="250">
        <v>100</v>
      </c>
      <c r="F57" s="1473"/>
      <c r="G57" s="252"/>
      <c r="H57" s="1473"/>
    </row>
    <row r="58" spans="1:8" s="224" customFormat="1" ht="15.75" hidden="1" customHeight="1" x14ac:dyDescent="0.25">
      <c r="A58" s="215">
        <v>42049</v>
      </c>
      <c r="B58" s="862" t="s">
        <v>14</v>
      </c>
      <c r="C58" s="879" t="s">
        <v>12</v>
      </c>
      <c r="D58" s="887" t="s">
        <v>15</v>
      </c>
      <c r="E58" s="250">
        <v>9.3800000000000008</v>
      </c>
      <c r="F58" s="946"/>
      <c r="G58" s="97"/>
      <c r="H58" s="946"/>
    </row>
    <row r="59" spans="1:8" s="224" customFormat="1" ht="15.75" hidden="1" customHeight="1" x14ac:dyDescent="0.25">
      <c r="A59" s="215">
        <v>42049</v>
      </c>
      <c r="B59" s="862" t="s">
        <v>82</v>
      </c>
      <c r="C59" s="879" t="s">
        <v>12</v>
      </c>
      <c r="D59" s="887" t="s">
        <v>13</v>
      </c>
      <c r="E59" s="250">
        <v>25</v>
      </c>
      <c r="F59" s="946"/>
      <c r="G59" s="97"/>
      <c r="H59" s="946"/>
    </row>
    <row r="60" spans="1:8" s="224" customFormat="1" x14ac:dyDescent="0.25">
      <c r="A60" s="215">
        <v>42049</v>
      </c>
      <c r="B60" s="862" t="s">
        <v>933</v>
      </c>
      <c r="C60" s="879" t="s">
        <v>19</v>
      </c>
      <c r="D60" s="887" t="s">
        <v>13</v>
      </c>
      <c r="E60" s="250">
        <v>8</v>
      </c>
      <c r="F60" s="1473"/>
      <c r="G60" s="252"/>
      <c r="H60" s="1473"/>
    </row>
    <row r="61" spans="1:8" s="224" customFormat="1" hidden="1" x14ac:dyDescent="0.25">
      <c r="A61" s="215">
        <v>42050</v>
      </c>
      <c r="B61" s="862" t="s">
        <v>14</v>
      </c>
      <c r="C61" s="879" t="s">
        <v>12</v>
      </c>
      <c r="D61" s="887" t="s">
        <v>15</v>
      </c>
      <c r="E61" s="250">
        <v>15.59</v>
      </c>
      <c r="F61" s="1473"/>
      <c r="G61" s="252"/>
      <c r="H61" s="1473"/>
    </row>
    <row r="62" spans="1:8" s="224" customFormat="1" hidden="1" x14ac:dyDescent="0.25">
      <c r="A62" s="215">
        <v>42051</v>
      </c>
      <c r="B62" s="862" t="s">
        <v>14</v>
      </c>
      <c r="C62" s="879" t="s">
        <v>12</v>
      </c>
      <c r="D62" s="887" t="s">
        <v>15</v>
      </c>
      <c r="E62" s="250">
        <v>12.03</v>
      </c>
      <c r="F62" s="1473"/>
      <c r="G62" s="252"/>
      <c r="H62" s="1473"/>
    </row>
    <row r="63" spans="1:8" s="224" customFormat="1" ht="15.75" hidden="1" customHeight="1" x14ac:dyDescent="0.25">
      <c r="A63" s="215">
        <v>42052</v>
      </c>
      <c r="B63" s="349" t="s">
        <v>32</v>
      </c>
      <c r="C63" s="350" t="s">
        <v>12</v>
      </c>
      <c r="D63" s="141" t="s">
        <v>13</v>
      </c>
      <c r="E63" s="97">
        <v>11</v>
      </c>
      <c r="F63" s="946"/>
      <c r="G63" s="97"/>
      <c r="H63" s="946"/>
    </row>
    <row r="64" spans="1:8" s="224" customFormat="1" hidden="1" x14ac:dyDescent="0.25">
      <c r="A64" s="215">
        <v>42052</v>
      </c>
      <c r="B64" s="862" t="s">
        <v>14</v>
      </c>
      <c r="C64" s="879" t="s">
        <v>12</v>
      </c>
      <c r="D64" s="887" t="s">
        <v>15</v>
      </c>
      <c r="E64" s="250">
        <v>6.41</v>
      </c>
      <c r="F64" s="1473"/>
      <c r="G64" s="252"/>
      <c r="H64" s="1473"/>
    </row>
    <row r="65" spans="1:8" s="224" customFormat="1" hidden="1" x14ac:dyDescent="0.25">
      <c r="A65" s="215">
        <v>42053</v>
      </c>
      <c r="B65" s="349" t="s">
        <v>32</v>
      </c>
      <c r="C65" s="350" t="s">
        <v>12</v>
      </c>
      <c r="D65" s="141" t="s">
        <v>13</v>
      </c>
      <c r="E65" s="97">
        <v>11</v>
      </c>
      <c r="F65" s="1473"/>
      <c r="G65" s="252"/>
      <c r="H65" s="1473"/>
    </row>
    <row r="66" spans="1:8" s="224" customFormat="1" hidden="1" x14ac:dyDescent="0.25">
      <c r="A66" s="215">
        <v>42053</v>
      </c>
      <c r="B66" s="862" t="s">
        <v>14</v>
      </c>
      <c r="C66" s="879" t="s">
        <v>12</v>
      </c>
      <c r="D66" s="887" t="s">
        <v>13</v>
      </c>
      <c r="E66" s="250">
        <v>12.46</v>
      </c>
      <c r="F66" s="1473"/>
      <c r="G66" s="252"/>
      <c r="H66" s="1473"/>
    </row>
    <row r="67" spans="1:8" s="224" customFormat="1" hidden="1" x14ac:dyDescent="0.25">
      <c r="A67" s="215">
        <v>42053</v>
      </c>
      <c r="B67" s="862" t="s">
        <v>914</v>
      </c>
      <c r="C67" s="879" t="s">
        <v>12</v>
      </c>
      <c r="D67" s="887" t="s">
        <v>15</v>
      </c>
      <c r="E67" s="250">
        <v>20</v>
      </c>
      <c r="F67" s="1473"/>
      <c r="G67" s="252"/>
      <c r="H67" s="1473"/>
    </row>
    <row r="68" spans="1:8" hidden="1" x14ac:dyDescent="0.25">
      <c r="A68" s="215">
        <v>42054</v>
      </c>
      <c r="B68" s="862" t="s">
        <v>934</v>
      </c>
      <c r="C68" s="879" t="s">
        <v>12</v>
      </c>
      <c r="D68" s="887" t="s">
        <v>13</v>
      </c>
      <c r="E68" s="250">
        <v>32.4</v>
      </c>
      <c r="F68" s="946"/>
      <c r="G68" s="95"/>
      <c r="H68" s="946"/>
    </row>
    <row r="69" spans="1:8" hidden="1" x14ac:dyDescent="0.25">
      <c r="A69" s="215">
        <v>42054</v>
      </c>
      <c r="B69" s="862" t="s">
        <v>138</v>
      </c>
      <c r="C69" s="879" t="s">
        <v>12</v>
      </c>
      <c r="D69" s="887" t="s">
        <v>13</v>
      </c>
      <c r="E69" s="250">
        <v>20</v>
      </c>
      <c r="F69" s="946"/>
      <c r="G69" s="95"/>
      <c r="H69" s="946"/>
    </row>
    <row r="70" spans="1:8" hidden="1" x14ac:dyDescent="0.25">
      <c r="A70" s="215">
        <v>42054</v>
      </c>
      <c r="B70" s="862" t="s">
        <v>935</v>
      </c>
      <c r="C70" s="879" t="s">
        <v>12</v>
      </c>
      <c r="D70" s="887" t="s">
        <v>15</v>
      </c>
      <c r="E70" s="250">
        <v>40</v>
      </c>
      <c r="F70" s="946"/>
      <c r="G70" s="95"/>
      <c r="H70" s="946"/>
    </row>
    <row r="71" spans="1:8" hidden="1" x14ac:dyDescent="0.25">
      <c r="A71" s="215">
        <v>42054</v>
      </c>
      <c r="B71" s="349" t="s">
        <v>32</v>
      </c>
      <c r="C71" s="350" t="s">
        <v>12</v>
      </c>
      <c r="D71" s="141" t="s">
        <v>13</v>
      </c>
      <c r="E71" s="97">
        <v>18.64</v>
      </c>
      <c r="F71" s="946"/>
      <c r="G71" s="95"/>
      <c r="H71" s="946"/>
    </row>
    <row r="72" spans="1:8" hidden="1" x14ac:dyDescent="0.25">
      <c r="A72" s="215">
        <v>42054</v>
      </c>
      <c r="B72" s="862" t="s">
        <v>14</v>
      </c>
      <c r="C72" s="879" t="s">
        <v>12</v>
      </c>
      <c r="D72" s="887" t="s">
        <v>15</v>
      </c>
      <c r="E72" s="250">
        <v>6.3</v>
      </c>
      <c r="F72" s="946"/>
      <c r="G72" s="95"/>
      <c r="H72" s="946"/>
    </row>
    <row r="73" spans="1:8" s="224" customFormat="1" hidden="1" x14ac:dyDescent="0.25">
      <c r="A73" s="215">
        <v>42055</v>
      </c>
      <c r="B73" s="349" t="s">
        <v>936</v>
      </c>
      <c r="C73" s="350" t="s">
        <v>12</v>
      </c>
      <c r="D73" s="141" t="s">
        <v>25</v>
      </c>
      <c r="E73" s="250"/>
      <c r="F73" s="1473">
        <v>1280</v>
      </c>
      <c r="G73" s="252"/>
      <c r="H73" s="1473"/>
    </row>
    <row r="74" spans="1:8" hidden="1" x14ac:dyDescent="0.25">
      <c r="A74" s="215">
        <v>42055</v>
      </c>
      <c r="B74" s="349" t="s">
        <v>937</v>
      </c>
      <c r="C74" s="350" t="s">
        <v>12</v>
      </c>
      <c r="D74" s="141" t="s">
        <v>13</v>
      </c>
      <c r="E74" s="250">
        <v>225</v>
      </c>
      <c r="F74" s="946"/>
      <c r="G74" s="95"/>
      <c r="H74" s="946"/>
    </row>
    <row r="75" spans="1:8" hidden="1" x14ac:dyDescent="0.25">
      <c r="A75" s="215">
        <v>42055</v>
      </c>
      <c r="B75" s="349" t="s">
        <v>260</v>
      </c>
      <c r="C75" s="350"/>
      <c r="D75" s="141"/>
      <c r="E75" s="97">
        <v>466</v>
      </c>
      <c r="F75" s="946"/>
      <c r="G75" s="95"/>
      <c r="H75" s="946">
        <v>466</v>
      </c>
    </row>
    <row r="76" spans="1:8" hidden="1" x14ac:dyDescent="0.25">
      <c r="A76" s="215">
        <v>42055</v>
      </c>
      <c r="B76" s="349" t="s">
        <v>938</v>
      </c>
      <c r="C76" s="350" t="s">
        <v>12</v>
      </c>
      <c r="D76" s="141" t="s">
        <v>15</v>
      </c>
      <c r="E76" s="97">
        <v>60</v>
      </c>
      <c r="F76" s="946"/>
      <c r="G76" s="95"/>
      <c r="H76" s="946"/>
    </row>
    <row r="77" spans="1:8" hidden="1" x14ac:dyDescent="0.25">
      <c r="A77" s="215">
        <v>42055</v>
      </c>
      <c r="B77" s="349" t="s">
        <v>32</v>
      </c>
      <c r="C77" s="350" t="s">
        <v>12</v>
      </c>
      <c r="D77" s="141" t="s">
        <v>13</v>
      </c>
      <c r="E77" s="97">
        <v>11</v>
      </c>
      <c r="F77" s="946"/>
      <c r="G77" s="95"/>
      <c r="H77" s="946"/>
    </row>
    <row r="78" spans="1:8" s="224" customFormat="1" hidden="1" x14ac:dyDescent="0.25">
      <c r="A78" s="215">
        <v>42055</v>
      </c>
      <c r="B78" s="862" t="s">
        <v>939</v>
      </c>
      <c r="C78" s="879" t="s">
        <v>12</v>
      </c>
      <c r="D78" s="887" t="s">
        <v>15</v>
      </c>
      <c r="E78" s="250">
        <v>150</v>
      </c>
      <c r="F78" s="1473"/>
      <c r="G78" s="252"/>
      <c r="H78" s="1473"/>
    </row>
    <row r="79" spans="1:8" hidden="1" x14ac:dyDescent="0.25">
      <c r="A79" s="215">
        <v>42055</v>
      </c>
      <c r="B79" s="349" t="s">
        <v>134</v>
      </c>
      <c r="C79" s="350" t="s">
        <v>12</v>
      </c>
      <c r="D79" s="141" t="s">
        <v>13</v>
      </c>
      <c r="E79" s="97">
        <v>13.09</v>
      </c>
      <c r="F79" s="946"/>
      <c r="G79" s="95"/>
      <c r="H79" s="946"/>
    </row>
    <row r="80" spans="1:8" s="224" customFormat="1" ht="15.75" hidden="1" customHeight="1" x14ac:dyDescent="0.25">
      <c r="A80" s="215">
        <v>42056</v>
      </c>
      <c r="B80" s="349" t="s">
        <v>134</v>
      </c>
      <c r="C80" s="350" t="s">
        <v>12</v>
      </c>
      <c r="D80" s="141" t="s">
        <v>15</v>
      </c>
      <c r="E80" s="97">
        <v>7</v>
      </c>
      <c r="F80" s="946"/>
      <c r="G80" s="97"/>
      <c r="H80" s="946"/>
    </row>
    <row r="81" spans="1:8" s="224" customFormat="1" ht="15.75" hidden="1" customHeight="1" x14ac:dyDescent="0.25">
      <c r="A81" s="215">
        <v>42057</v>
      </c>
      <c r="B81" s="862" t="s">
        <v>14</v>
      </c>
      <c r="C81" s="879" t="s">
        <v>12</v>
      </c>
      <c r="D81" s="887" t="s">
        <v>13</v>
      </c>
      <c r="E81" s="250">
        <v>19.2</v>
      </c>
      <c r="F81" s="946"/>
      <c r="G81" s="97"/>
      <c r="H81" s="946"/>
    </row>
    <row r="82" spans="1:8" s="224" customFormat="1" ht="15.75" hidden="1" customHeight="1" x14ac:dyDescent="0.25">
      <c r="A82" s="215">
        <v>42057</v>
      </c>
      <c r="B82" s="862" t="s">
        <v>940</v>
      </c>
      <c r="C82" s="879" t="s">
        <v>12</v>
      </c>
      <c r="D82" s="887" t="s">
        <v>13</v>
      </c>
      <c r="E82" s="250">
        <v>14.48</v>
      </c>
      <c r="F82" s="946"/>
      <c r="G82" s="97"/>
      <c r="H82" s="946"/>
    </row>
    <row r="83" spans="1:8" s="224" customFormat="1" ht="15.75" hidden="1" customHeight="1" x14ac:dyDescent="0.25">
      <c r="A83" s="215">
        <v>42058</v>
      </c>
      <c r="B83" s="349" t="s">
        <v>32</v>
      </c>
      <c r="C83" s="350" t="s">
        <v>12</v>
      </c>
      <c r="D83" s="141" t="s">
        <v>13</v>
      </c>
      <c r="E83" s="97">
        <v>11</v>
      </c>
      <c r="F83" s="946"/>
      <c r="G83" s="97"/>
      <c r="H83" s="946"/>
    </row>
    <row r="84" spans="1:8" hidden="1" x14ac:dyDescent="0.25">
      <c r="A84" s="215">
        <v>42058</v>
      </c>
      <c r="B84" s="862" t="s">
        <v>138</v>
      </c>
      <c r="C84" s="879" t="s">
        <v>12</v>
      </c>
      <c r="D84" s="887" t="s">
        <v>13</v>
      </c>
      <c r="E84" s="250">
        <v>60</v>
      </c>
      <c r="F84" s="946"/>
      <c r="G84" s="95"/>
      <c r="H84" s="946"/>
    </row>
    <row r="85" spans="1:8" hidden="1" x14ac:dyDescent="0.25">
      <c r="A85" s="215">
        <v>42058</v>
      </c>
      <c r="B85" s="862" t="s">
        <v>941</v>
      </c>
      <c r="C85" s="879" t="s">
        <v>19</v>
      </c>
      <c r="D85" s="887" t="s">
        <v>13</v>
      </c>
      <c r="E85" s="250">
        <v>95.41</v>
      </c>
      <c r="F85" s="946"/>
      <c r="G85" s="95"/>
      <c r="H85" s="946"/>
    </row>
    <row r="86" spans="1:8" s="224" customFormat="1" ht="15.75" hidden="1" customHeight="1" x14ac:dyDescent="0.25">
      <c r="A86" s="215">
        <v>42059</v>
      </c>
      <c r="B86" s="349" t="s">
        <v>32</v>
      </c>
      <c r="C86" s="350" t="s">
        <v>12</v>
      </c>
      <c r="D86" s="141" t="s">
        <v>13</v>
      </c>
      <c r="E86" s="97">
        <v>11</v>
      </c>
      <c r="F86" s="946"/>
      <c r="G86" s="97"/>
      <c r="H86" s="946"/>
    </row>
    <row r="87" spans="1:8" s="224" customFormat="1" ht="15.75" hidden="1" customHeight="1" x14ac:dyDescent="0.25">
      <c r="A87" s="215">
        <v>42060</v>
      </c>
      <c r="B87" s="349" t="s">
        <v>32</v>
      </c>
      <c r="C87" s="350" t="s">
        <v>12</v>
      </c>
      <c r="D87" s="141" t="s">
        <v>13</v>
      </c>
      <c r="E87" s="97">
        <v>17.5</v>
      </c>
      <c r="F87" s="946"/>
      <c r="G87" s="97"/>
      <c r="H87" s="946"/>
    </row>
    <row r="88" spans="1:8" s="224" customFormat="1" ht="15.75" hidden="1" customHeight="1" x14ac:dyDescent="0.25">
      <c r="A88" s="215">
        <v>42060</v>
      </c>
      <c r="B88" s="349" t="s">
        <v>38</v>
      </c>
      <c r="C88" s="350" t="s">
        <v>12</v>
      </c>
      <c r="D88" s="141" t="s">
        <v>13</v>
      </c>
      <c r="E88" s="97">
        <v>20</v>
      </c>
      <c r="F88" s="946"/>
      <c r="G88" s="97"/>
      <c r="H88" s="946"/>
    </row>
    <row r="89" spans="1:8" s="224" customFormat="1" ht="15.75" hidden="1" customHeight="1" x14ac:dyDescent="0.25">
      <c r="A89" s="215">
        <v>42060</v>
      </c>
      <c r="B89" s="862" t="s">
        <v>14</v>
      </c>
      <c r="C89" s="879" t="s">
        <v>12</v>
      </c>
      <c r="D89" s="887" t="s">
        <v>15</v>
      </c>
      <c r="E89" s="250">
        <v>3.5</v>
      </c>
      <c r="F89" s="946"/>
      <c r="G89" s="97"/>
      <c r="H89" s="946"/>
    </row>
    <row r="90" spans="1:8" s="224" customFormat="1" ht="15.75" customHeight="1" x14ac:dyDescent="0.25">
      <c r="A90" s="215">
        <v>42060</v>
      </c>
      <c r="B90" s="862" t="s">
        <v>915</v>
      </c>
      <c r="C90" s="879" t="s">
        <v>19</v>
      </c>
      <c r="D90" s="887" t="s">
        <v>15</v>
      </c>
      <c r="E90" s="250">
        <v>37.99</v>
      </c>
      <c r="F90" s="946"/>
      <c r="G90" s="97"/>
      <c r="H90" s="946"/>
    </row>
    <row r="91" spans="1:8" s="224" customFormat="1" ht="15.75" hidden="1" customHeight="1" x14ac:dyDescent="0.25">
      <c r="A91" s="215">
        <v>42061</v>
      </c>
      <c r="B91" s="349" t="s">
        <v>256</v>
      </c>
      <c r="C91" s="350"/>
      <c r="D91" s="141"/>
      <c r="E91" s="97"/>
      <c r="F91" s="946">
        <v>200</v>
      </c>
      <c r="G91" s="97">
        <v>200</v>
      </c>
      <c r="H91" s="946"/>
    </row>
    <row r="92" spans="1:8" s="224" customFormat="1" ht="15.75" hidden="1" customHeight="1" x14ac:dyDescent="0.25">
      <c r="A92" s="215">
        <v>42061</v>
      </c>
      <c r="B92" s="349" t="s">
        <v>32</v>
      </c>
      <c r="C92" s="350" t="s">
        <v>12</v>
      </c>
      <c r="D92" s="141" t="s">
        <v>13</v>
      </c>
      <c r="E92" s="97">
        <v>11</v>
      </c>
      <c r="F92" s="946"/>
      <c r="G92" s="97"/>
      <c r="H92" s="946"/>
    </row>
    <row r="93" spans="1:8" s="224" customFormat="1" ht="15.75" hidden="1" customHeight="1" x14ac:dyDescent="0.25">
      <c r="A93" s="215">
        <v>42061</v>
      </c>
      <c r="B93" s="862" t="s">
        <v>14</v>
      </c>
      <c r="C93" s="879" t="s">
        <v>12</v>
      </c>
      <c r="D93" s="887" t="s">
        <v>15</v>
      </c>
      <c r="E93" s="250">
        <v>3</v>
      </c>
      <c r="F93" s="946"/>
      <c r="G93" s="97"/>
      <c r="H93" s="946"/>
    </row>
    <row r="94" spans="1:8" s="224" customFormat="1" ht="15.75" hidden="1" customHeight="1" x14ac:dyDescent="0.25">
      <c r="A94" s="215">
        <v>42062</v>
      </c>
      <c r="B94" s="349" t="s">
        <v>32</v>
      </c>
      <c r="C94" s="350" t="s">
        <v>12</v>
      </c>
      <c r="D94" s="141" t="s">
        <v>13</v>
      </c>
      <c r="E94" s="97">
        <v>11</v>
      </c>
      <c r="F94" s="946"/>
      <c r="G94" s="97"/>
      <c r="H94" s="946"/>
    </row>
    <row r="95" spans="1:8" s="224" customFormat="1" ht="15.75" hidden="1" customHeight="1" x14ac:dyDescent="0.25">
      <c r="A95" s="215">
        <v>42062</v>
      </c>
      <c r="B95" s="349" t="s">
        <v>80</v>
      </c>
      <c r="C95" s="350" t="s">
        <v>12</v>
      </c>
      <c r="D95" s="141" t="s">
        <v>15</v>
      </c>
      <c r="E95" s="97">
        <v>20</v>
      </c>
      <c r="F95" s="946"/>
      <c r="G95" s="97"/>
      <c r="H95" s="946"/>
    </row>
    <row r="96" spans="1:8" s="224" customFormat="1" ht="15.75" hidden="1" customHeight="1" thickBot="1" x14ac:dyDescent="0.3">
      <c r="A96" s="215">
        <v>42063</v>
      </c>
      <c r="B96" s="862" t="s">
        <v>14</v>
      </c>
      <c r="C96" s="879" t="s">
        <v>12</v>
      </c>
      <c r="D96" s="887" t="s">
        <v>13</v>
      </c>
      <c r="E96" s="250">
        <v>13.93</v>
      </c>
      <c r="F96" s="946"/>
      <c r="G96" s="97"/>
      <c r="H96" s="946"/>
    </row>
    <row r="97" spans="1:8" ht="25.5" hidden="1" customHeight="1" thickBot="1" x14ac:dyDescent="0.3">
      <c r="A97" s="3060"/>
      <c r="B97" s="3061"/>
      <c r="C97" s="3062"/>
      <c r="D97" s="3062"/>
      <c r="E97" s="100">
        <f>SUM(E5:E96)</f>
        <v>5172.03</v>
      </c>
      <c r="F97" s="1065">
        <f>SUM(F5:F96)</f>
        <v>5595.5569999999989</v>
      </c>
      <c r="G97" s="101">
        <f>SUM(G5:G96)</f>
        <v>2000</v>
      </c>
      <c r="H97" s="93">
        <f>SUM(H5:H96)</f>
        <v>2750.0000000000005</v>
      </c>
    </row>
    <row r="98" spans="1:8" ht="25.5" hidden="1" customHeight="1" thickBot="1" x14ac:dyDescent="0.3">
      <c r="A98" s="3077" t="s">
        <v>49</v>
      </c>
      <c r="B98" s="3078"/>
      <c r="C98" s="3078"/>
      <c r="D98" s="3078"/>
      <c r="E98" s="144"/>
      <c r="F98" s="519">
        <f>F97-E97</f>
        <v>423.52699999999913</v>
      </c>
      <c r="G98" s="555"/>
      <c r="H98" s="556">
        <f>H97-G97</f>
        <v>750.00000000000045</v>
      </c>
    </row>
    <row r="100" spans="1:8" x14ac:dyDescent="0.25">
      <c r="B100" s="79" t="s">
        <v>32</v>
      </c>
      <c r="C100" s="484">
        <v>223.14</v>
      </c>
    </row>
    <row r="101" spans="1:8" x14ac:dyDescent="0.25">
      <c r="B101" s="79" t="s">
        <v>16</v>
      </c>
      <c r="C101" s="484">
        <v>190</v>
      </c>
      <c r="D101" s="79"/>
    </row>
    <row r="102" spans="1:8" x14ac:dyDescent="0.25">
      <c r="B102" s="79" t="s">
        <v>50</v>
      </c>
      <c r="C102" s="484">
        <v>76.12</v>
      </c>
      <c r="D102" s="79"/>
    </row>
    <row r="103" spans="1:8" s="85" customFormat="1" x14ac:dyDescent="0.25">
      <c r="A103" s="79"/>
      <c r="B103" s="79" t="s">
        <v>14</v>
      </c>
      <c r="C103" s="475">
        <v>137.66</v>
      </c>
      <c r="E103" s="89"/>
      <c r="F103" s="79"/>
      <c r="G103" s="79"/>
    </row>
    <row r="104" spans="1:8" s="85" customFormat="1" x14ac:dyDescent="0.25">
      <c r="A104" s="79"/>
      <c r="B104" s="79" t="s">
        <v>51</v>
      </c>
      <c r="C104" s="475">
        <v>49.25</v>
      </c>
      <c r="E104" s="89"/>
      <c r="F104" s="79"/>
      <c r="G104" s="79"/>
      <c r="H104" s="79"/>
    </row>
    <row r="105" spans="1:8" s="85" customFormat="1" x14ac:dyDescent="0.25">
      <c r="A105" s="79"/>
      <c r="B105" s="79" t="s">
        <v>52</v>
      </c>
      <c r="C105" s="475"/>
      <c r="E105" s="89"/>
      <c r="F105" s="79"/>
      <c r="G105" s="79"/>
      <c r="H105" s="79"/>
    </row>
    <row r="106" spans="1:8" s="85" customFormat="1" x14ac:dyDescent="0.25">
      <c r="A106" s="79"/>
      <c r="B106" s="867" t="s">
        <v>53</v>
      </c>
      <c r="C106" s="475"/>
      <c r="D106" s="89"/>
      <c r="E106" s="89"/>
      <c r="F106" s="79"/>
      <c r="G106" s="79"/>
      <c r="H106" s="79"/>
    </row>
    <row r="107" spans="1:8" s="85" customFormat="1" x14ac:dyDescent="0.25">
      <c r="A107" s="79"/>
      <c r="B107" s="79" t="s">
        <v>56</v>
      </c>
      <c r="C107" s="475">
        <v>20</v>
      </c>
      <c r="E107" s="89"/>
      <c r="F107" s="79"/>
      <c r="G107" s="79"/>
      <c r="H107" s="79"/>
    </row>
    <row r="108" spans="1:8" s="85" customFormat="1" x14ac:dyDescent="0.25">
      <c r="A108" s="79"/>
      <c r="B108" s="79" t="s">
        <v>910</v>
      </c>
      <c r="C108" s="475">
        <v>268.11</v>
      </c>
      <c r="E108" s="89"/>
      <c r="F108" s="79"/>
      <c r="G108" s="79"/>
      <c r="H108" s="79"/>
    </row>
    <row r="109" spans="1:8" s="85" customFormat="1" x14ac:dyDescent="0.25">
      <c r="A109" s="79"/>
      <c r="B109" s="79" t="s">
        <v>418</v>
      </c>
      <c r="C109" s="475">
        <v>1884.57</v>
      </c>
      <c r="E109" s="89"/>
      <c r="F109" s="79"/>
      <c r="G109" s="79"/>
    </row>
    <row r="110" spans="1:8" s="85" customFormat="1" x14ac:dyDescent="0.25">
      <c r="A110" s="79"/>
      <c r="B110" s="79" t="s">
        <v>419</v>
      </c>
      <c r="C110" s="475">
        <v>411.56</v>
      </c>
      <c r="D110" s="79"/>
      <c r="E110" s="89"/>
      <c r="F110" s="79"/>
      <c r="G110" s="79"/>
      <c r="H110" s="79"/>
    </row>
    <row r="111" spans="1:8" x14ac:dyDescent="0.25">
      <c r="B111" s="79" t="s">
        <v>911</v>
      </c>
      <c r="C111" s="475">
        <v>157.06</v>
      </c>
    </row>
    <row r="113" spans="2:9" x14ac:dyDescent="0.25">
      <c r="B113" s="79" t="s">
        <v>486</v>
      </c>
      <c r="C113" s="475">
        <f>G113/I113</f>
        <v>134.57250000000002</v>
      </c>
      <c r="E113" s="3096" t="s">
        <v>487</v>
      </c>
      <c r="F113" s="3096"/>
      <c r="G113" s="216">
        <v>3768.03</v>
      </c>
      <c r="H113" s="518" t="s">
        <v>488</v>
      </c>
      <c r="I113" s="85">
        <v>28</v>
      </c>
    </row>
  </sheetData>
  <autoFilter ref="A2:H98" xr:uid="{00000000-0009-0000-0000-00001E000000}">
    <filterColumn colId="1">
      <customFilters>
        <customFilter val="*apt*"/>
      </customFilters>
    </filterColumn>
  </autoFilter>
  <mergeCells count="11">
    <mergeCell ref="A97:D97"/>
    <mergeCell ref="A98:D98"/>
    <mergeCell ref="E113:F113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Plan20" filterMode="1"/>
  <dimension ref="A1:L109"/>
  <sheetViews>
    <sheetView zoomScale="85" zoomScaleNormal="85" workbookViewId="0">
      <pane ySplit="4" topLeftCell="A5" activePane="bottomLeft" state="frozen"/>
      <selection activeCell="C44" sqref="C44"/>
      <selection pane="bottomLeft" activeCell="B107" sqref="A1:L10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942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42064</v>
      </c>
      <c r="B5" s="369" t="s">
        <v>10</v>
      </c>
      <c r="C5" s="370"/>
      <c r="D5" s="207"/>
      <c r="E5" s="179"/>
      <c r="F5" s="933">
        <f>'Fevereiro-15'!F98</f>
        <v>423.52699999999913</v>
      </c>
      <c r="G5" s="163"/>
      <c r="H5" s="933">
        <f>'Fevereiro-15'!H98</f>
        <v>750.00000000000045</v>
      </c>
    </row>
    <row r="6" spans="1:8" s="224" customFormat="1" hidden="1" x14ac:dyDescent="0.25">
      <c r="A6" s="215">
        <v>42064</v>
      </c>
      <c r="B6" s="348" t="s">
        <v>11</v>
      </c>
      <c r="C6" s="351"/>
      <c r="D6" s="248"/>
      <c r="E6" s="250">
        <v>57</v>
      </c>
      <c r="F6" s="1473"/>
      <c r="G6" s="252"/>
      <c r="H6" s="1473"/>
    </row>
    <row r="7" spans="1:8" s="224" customFormat="1" hidden="1" x14ac:dyDescent="0.25">
      <c r="A7" s="215">
        <v>42064</v>
      </c>
      <c r="B7" s="1489" t="s">
        <v>14</v>
      </c>
      <c r="C7" s="879" t="s">
        <v>12</v>
      </c>
      <c r="D7" s="887" t="s">
        <v>13</v>
      </c>
      <c r="E7" s="250">
        <v>13.94</v>
      </c>
      <c r="F7" s="1473"/>
      <c r="G7" s="252"/>
      <c r="H7" s="1473"/>
    </row>
    <row r="8" spans="1:8" s="224" customFormat="1" hidden="1" x14ac:dyDescent="0.25">
      <c r="A8" s="215">
        <v>42064</v>
      </c>
      <c r="B8" s="1489" t="s">
        <v>138</v>
      </c>
      <c r="C8" s="879" t="s">
        <v>12</v>
      </c>
      <c r="D8" s="887" t="s">
        <v>13</v>
      </c>
      <c r="E8" s="250">
        <v>50</v>
      </c>
      <c r="F8" s="1473"/>
      <c r="G8" s="252"/>
      <c r="H8" s="1473"/>
    </row>
    <row r="9" spans="1:8" s="224" customFormat="1" hidden="1" x14ac:dyDescent="0.25">
      <c r="A9" s="215">
        <v>42065</v>
      </c>
      <c r="B9" s="862" t="s">
        <v>32</v>
      </c>
      <c r="C9" s="879" t="s">
        <v>12</v>
      </c>
      <c r="D9" s="887" t="s">
        <v>13</v>
      </c>
      <c r="E9" s="250">
        <v>11</v>
      </c>
      <c r="F9" s="1473"/>
      <c r="G9" s="252"/>
      <c r="H9" s="1473"/>
    </row>
    <row r="10" spans="1:8" s="224" customFormat="1" ht="15.75" hidden="1" customHeight="1" x14ac:dyDescent="0.25">
      <c r="A10" s="215">
        <v>42066</v>
      </c>
      <c r="B10" s="862" t="s">
        <v>32</v>
      </c>
      <c r="C10" s="879" t="s">
        <v>12</v>
      </c>
      <c r="D10" s="887" t="s">
        <v>13</v>
      </c>
      <c r="E10" s="250">
        <v>12</v>
      </c>
      <c r="F10" s="946"/>
      <c r="G10" s="97"/>
      <c r="H10" s="946"/>
    </row>
    <row r="11" spans="1:8" s="224" customFormat="1" hidden="1" x14ac:dyDescent="0.25">
      <c r="A11" s="215">
        <v>42066</v>
      </c>
      <c r="B11" s="1489" t="s">
        <v>134</v>
      </c>
      <c r="C11" s="879" t="s">
        <v>12</v>
      </c>
      <c r="D11" s="887" t="s">
        <v>15</v>
      </c>
      <c r="E11" s="250">
        <v>6</v>
      </c>
      <c r="F11" s="1473"/>
      <c r="G11" s="252"/>
      <c r="H11" s="1473"/>
    </row>
    <row r="12" spans="1:8" s="224" customFormat="1" hidden="1" x14ac:dyDescent="0.25">
      <c r="A12" s="215">
        <v>42066</v>
      </c>
      <c r="B12" s="1489" t="s">
        <v>14</v>
      </c>
      <c r="C12" s="879" t="s">
        <v>12</v>
      </c>
      <c r="D12" s="887" t="s">
        <v>13</v>
      </c>
      <c r="E12" s="250">
        <v>3.5</v>
      </c>
      <c r="F12" s="1473"/>
      <c r="G12" s="252"/>
      <c r="H12" s="1473"/>
    </row>
    <row r="13" spans="1:8" s="224" customFormat="1" hidden="1" x14ac:dyDescent="0.25">
      <c r="A13" s="215">
        <v>42067</v>
      </c>
      <c r="B13" s="862" t="s">
        <v>649</v>
      </c>
      <c r="C13" s="879" t="s">
        <v>12</v>
      </c>
      <c r="D13" s="1475" t="s">
        <v>13</v>
      </c>
      <c r="E13" s="97">
        <v>19.899999999999999</v>
      </c>
      <c r="F13" s="1473"/>
      <c r="G13" s="252"/>
      <c r="H13" s="1473"/>
    </row>
    <row r="14" spans="1:8" s="224" customFormat="1" hidden="1" x14ac:dyDescent="0.25">
      <c r="A14" s="215">
        <v>42067</v>
      </c>
      <c r="B14" s="862" t="s">
        <v>32</v>
      </c>
      <c r="C14" s="879" t="s">
        <v>12</v>
      </c>
      <c r="D14" s="1475" t="s">
        <v>15</v>
      </c>
      <c r="E14" s="97">
        <v>10</v>
      </c>
      <c r="F14" s="1473"/>
      <c r="G14" s="252"/>
      <c r="H14" s="1473"/>
    </row>
    <row r="15" spans="1:8" s="224" customFormat="1" hidden="1" x14ac:dyDescent="0.25">
      <c r="A15" s="215">
        <v>42067</v>
      </c>
      <c r="B15" s="862" t="s">
        <v>14</v>
      </c>
      <c r="C15" s="879" t="s">
        <v>12</v>
      </c>
      <c r="D15" s="1475" t="s">
        <v>13</v>
      </c>
      <c r="E15" s="97">
        <v>26.43</v>
      </c>
      <c r="F15" s="1473"/>
      <c r="G15" s="252"/>
      <c r="H15" s="1473"/>
    </row>
    <row r="16" spans="1:8" s="224" customFormat="1" hidden="1" x14ac:dyDescent="0.25">
      <c r="A16" s="215">
        <v>42068</v>
      </c>
      <c r="B16" s="862" t="s">
        <v>32</v>
      </c>
      <c r="C16" s="879" t="s">
        <v>12</v>
      </c>
      <c r="D16" s="1475" t="s">
        <v>15</v>
      </c>
      <c r="E16" s="97">
        <v>11</v>
      </c>
      <c r="F16" s="1473"/>
      <c r="G16" s="252"/>
      <c r="H16" s="1473"/>
    </row>
    <row r="17" spans="1:8" s="224" customFormat="1" hidden="1" x14ac:dyDescent="0.25">
      <c r="A17" s="215">
        <v>42068</v>
      </c>
      <c r="B17" s="862" t="s">
        <v>14</v>
      </c>
      <c r="C17" s="879" t="s">
        <v>12</v>
      </c>
      <c r="D17" s="1475" t="s">
        <v>13</v>
      </c>
      <c r="E17" s="97">
        <v>9.3699999999999992</v>
      </c>
      <c r="F17" s="1473"/>
      <c r="G17" s="252"/>
      <c r="H17" s="1473"/>
    </row>
    <row r="18" spans="1:8" s="224" customFormat="1" hidden="1" x14ac:dyDescent="0.25">
      <c r="A18" s="215">
        <v>42069</v>
      </c>
      <c r="B18" s="349" t="s">
        <v>943</v>
      </c>
      <c r="C18" s="879" t="s">
        <v>12</v>
      </c>
      <c r="D18" s="983" t="s">
        <v>25</v>
      </c>
      <c r="E18" s="250"/>
      <c r="F18" s="1473">
        <v>1492.49</v>
      </c>
      <c r="G18" s="252"/>
      <c r="H18" s="1473"/>
    </row>
    <row r="19" spans="1:8" hidden="1" x14ac:dyDescent="0.25">
      <c r="A19" s="215">
        <v>42069</v>
      </c>
      <c r="B19" s="349" t="s">
        <v>944</v>
      </c>
      <c r="C19" s="350" t="s">
        <v>12</v>
      </c>
      <c r="D19" s="141" t="s">
        <v>25</v>
      </c>
      <c r="E19" s="250"/>
      <c r="F19" s="946">
        <v>181.5</v>
      </c>
      <c r="G19" s="95"/>
      <c r="H19" s="946"/>
    </row>
    <row r="20" spans="1:8" s="224" customFormat="1" ht="15.75" hidden="1" customHeight="1" x14ac:dyDescent="0.25">
      <c r="A20" s="215">
        <v>42069</v>
      </c>
      <c r="B20" s="862" t="s">
        <v>945</v>
      </c>
      <c r="C20" s="350" t="s">
        <v>12</v>
      </c>
      <c r="D20" s="141" t="s">
        <v>13</v>
      </c>
      <c r="E20" s="97">
        <v>465.15</v>
      </c>
      <c r="F20" s="1473"/>
      <c r="G20" s="252"/>
      <c r="H20" s="1473"/>
    </row>
    <row r="21" spans="1:8" s="224" customFormat="1" hidden="1" x14ac:dyDescent="0.25">
      <c r="A21" s="215">
        <v>42069</v>
      </c>
      <c r="B21" s="882" t="s">
        <v>946</v>
      </c>
      <c r="C21" s="350" t="s">
        <v>12</v>
      </c>
      <c r="D21" s="141" t="s">
        <v>13</v>
      </c>
      <c r="E21" s="97">
        <v>60.71</v>
      </c>
      <c r="F21" s="1473"/>
      <c r="G21" s="252"/>
      <c r="H21" s="1473"/>
    </row>
    <row r="22" spans="1:8" s="224" customFormat="1" hidden="1" x14ac:dyDescent="0.25">
      <c r="A22" s="215">
        <v>42069</v>
      </c>
      <c r="B22" s="862" t="s">
        <v>878</v>
      </c>
      <c r="C22" s="350" t="s">
        <v>12</v>
      </c>
      <c r="D22" s="957" t="s">
        <v>15</v>
      </c>
      <c r="E22" s="97">
        <v>50</v>
      </c>
      <c r="F22" s="1473"/>
      <c r="G22" s="252"/>
      <c r="H22" s="1473"/>
    </row>
    <row r="23" spans="1:8" s="224" customFormat="1" hidden="1" x14ac:dyDescent="0.25">
      <c r="A23" s="215">
        <v>42069</v>
      </c>
      <c r="B23" s="862" t="s">
        <v>947</v>
      </c>
      <c r="C23" s="350" t="s">
        <v>12</v>
      </c>
      <c r="D23" s="957" t="s">
        <v>15</v>
      </c>
      <c r="E23" s="97">
        <v>210</v>
      </c>
      <c r="F23" s="1473"/>
      <c r="G23" s="252"/>
      <c r="H23" s="1473"/>
    </row>
    <row r="24" spans="1:8" hidden="1" x14ac:dyDescent="0.25">
      <c r="A24" s="215">
        <v>42069</v>
      </c>
      <c r="B24" s="349" t="s">
        <v>260</v>
      </c>
      <c r="C24" s="350"/>
      <c r="D24" s="141"/>
      <c r="E24" s="97">
        <v>300</v>
      </c>
      <c r="F24" s="946"/>
      <c r="G24" s="95"/>
      <c r="H24" s="946">
        <v>300</v>
      </c>
    </row>
    <row r="25" spans="1:8" s="224" customFormat="1" hidden="1" x14ac:dyDescent="0.25">
      <c r="A25" s="215">
        <v>42069</v>
      </c>
      <c r="B25" s="349" t="s">
        <v>256</v>
      </c>
      <c r="C25" s="350"/>
      <c r="D25" s="141"/>
      <c r="E25" s="97"/>
      <c r="F25" s="946">
        <v>390</v>
      </c>
      <c r="G25" s="97">
        <v>390</v>
      </c>
      <c r="H25" s="1473"/>
    </row>
    <row r="26" spans="1:8" s="224" customFormat="1" hidden="1" x14ac:dyDescent="0.25">
      <c r="A26" s="215">
        <v>42069</v>
      </c>
      <c r="B26" s="862" t="s">
        <v>32</v>
      </c>
      <c r="C26" s="879" t="s">
        <v>12</v>
      </c>
      <c r="D26" s="1475" t="s">
        <v>15</v>
      </c>
      <c r="E26" s="97">
        <v>11</v>
      </c>
      <c r="F26" s="1473"/>
      <c r="G26" s="252"/>
      <c r="H26" s="1473"/>
    </row>
    <row r="27" spans="1:8" s="224" customFormat="1" x14ac:dyDescent="0.25">
      <c r="A27" s="215">
        <v>42069</v>
      </c>
      <c r="B27" s="349" t="s">
        <v>915</v>
      </c>
      <c r="C27" s="350" t="s">
        <v>19</v>
      </c>
      <c r="D27" s="141" t="s">
        <v>13</v>
      </c>
      <c r="E27" s="97">
        <v>39.99</v>
      </c>
      <c r="F27" s="946"/>
      <c r="G27" s="97"/>
      <c r="H27" s="1473"/>
    </row>
    <row r="28" spans="1:8" s="224" customFormat="1" hidden="1" x14ac:dyDescent="0.25">
      <c r="A28" s="215">
        <v>42069</v>
      </c>
      <c r="B28" s="862" t="s">
        <v>948</v>
      </c>
      <c r="C28" s="879" t="s">
        <v>19</v>
      </c>
      <c r="D28" s="1475" t="s">
        <v>13</v>
      </c>
      <c r="E28" s="97">
        <v>50</v>
      </c>
      <c r="F28" s="1473"/>
      <c r="G28" s="252"/>
      <c r="H28" s="1473"/>
    </row>
    <row r="29" spans="1:8" s="224" customFormat="1" hidden="1" x14ac:dyDescent="0.25">
      <c r="A29" s="215">
        <v>42069</v>
      </c>
      <c r="B29" s="862" t="s">
        <v>138</v>
      </c>
      <c r="C29" s="879" t="s">
        <v>12</v>
      </c>
      <c r="D29" s="1475" t="s">
        <v>13</v>
      </c>
      <c r="E29" s="97">
        <v>60</v>
      </c>
      <c r="F29" s="1473"/>
      <c r="G29" s="252"/>
      <c r="H29" s="1473"/>
    </row>
    <row r="30" spans="1:8" s="224" customFormat="1" hidden="1" x14ac:dyDescent="0.25">
      <c r="A30" s="215">
        <v>42069</v>
      </c>
      <c r="B30" s="862" t="s">
        <v>134</v>
      </c>
      <c r="C30" s="879" t="s">
        <v>12</v>
      </c>
      <c r="D30" s="1475" t="s">
        <v>13</v>
      </c>
      <c r="E30" s="97">
        <v>16.32</v>
      </c>
      <c r="F30" s="1473"/>
      <c r="G30" s="252"/>
      <c r="H30" s="1473"/>
    </row>
    <row r="31" spans="1:8" s="224" customFormat="1" hidden="1" x14ac:dyDescent="0.25">
      <c r="A31" s="215">
        <v>42070</v>
      </c>
      <c r="B31" s="862" t="s">
        <v>949</v>
      </c>
      <c r="C31" s="879" t="s">
        <v>12</v>
      </c>
      <c r="D31" s="887" t="s">
        <v>15</v>
      </c>
      <c r="E31" s="250">
        <v>200</v>
      </c>
      <c r="F31" s="1473"/>
      <c r="G31" s="252"/>
      <c r="H31" s="1473"/>
    </row>
    <row r="32" spans="1:8" s="224" customFormat="1" hidden="1" x14ac:dyDescent="0.25">
      <c r="A32" s="215">
        <v>42071</v>
      </c>
      <c r="B32" s="862" t="s">
        <v>950</v>
      </c>
      <c r="C32" s="350" t="s">
        <v>12</v>
      </c>
      <c r="D32" s="957" t="s">
        <v>13</v>
      </c>
      <c r="E32" s="97">
        <v>33.86</v>
      </c>
      <c r="F32" s="1473"/>
      <c r="G32" s="252"/>
      <c r="H32" s="1473"/>
    </row>
    <row r="33" spans="1:8" s="224" customFormat="1" hidden="1" x14ac:dyDescent="0.25">
      <c r="A33" s="215">
        <v>42071</v>
      </c>
      <c r="B33" s="862" t="s">
        <v>951</v>
      </c>
      <c r="C33" s="350" t="s">
        <v>19</v>
      </c>
      <c r="D33" s="957" t="s">
        <v>13</v>
      </c>
      <c r="E33" s="97">
        <v>300</v>
      </c>
      <c r="F33" s="1473"/>
      <c r="G33" s="252"/>
      <c r="H33" s="1473"/>
    </row>
    <row r="34" spans="1:8" s="224" customFormat="1" hidden="1" x14ac:dyDescent="0.25">
      <c r="A34" s="215">
        <v>42072</v>
      </c>
      <c r="B34" s="862" t="s">
        <v>32</v>
      </c>
      <c r="C34" s="879" t="s">
        <v>12</v>
      </c>
      <c r="D34" s="1475" t="s">
        <v>13</v>
      </c>
      <c r="E34" s="97">
        <v>11</v>
      </c>
      <c r="F34" s="1473"/>
      <c r="G34" s="252"/>
      <c r="H34" s="1473"/>
    </row>
    <row r="35" spans="1:8" s="224" customFormat="1" hidden="1" x14ac:dyDescent="0.25">
      <c r="A35" s="215">
        <v>42073</v>
      </c>
      <c r="B35" s="862" t="s">
        <v>32</v>
      </c>
      <c r="C35" s="879" t="s">
        <v>12</v>
      </c>
      <c r="D35" s="1475" t="s">
        <v>13</v>
      </c>
      <c r="E35" s="97">
        <v>11</v>
      </c>
      <c r="F35" s="1473"/>
      <c r="G35" s="252"/>
      <c r="H35" s="1473"/>
    </row>
    <row r="36" spans="1:8" s="224" customFormat="1" hidden="1" x14ac:dyDescent="0.25">
      <c r="A36" s="215">
        <v>42074</v>
      </c>
      <c r="B36" s="862" t="s">
        <v>32</v>
      </c>
      <c r="C36" s="879" t="s">
        <v>12</v>
      </c>
      <c r="D36" s="1475" t="s">
        <v>13</v>
      </c>
      <c r="E36" s="97">
        <v>11</v>
      </c>
      <c r="F36" s="1473"/>
      <c r="G36" s="252"/>
      <c r="H36" s="1473"/>
    </row>
    <row r="37" spans="1:8" s="224" customFormat="1" hidden="1" x14ac:dyDescent="0.25">
      <c r="A37" s="215">
        <v>42074</v>
      </c>
      <c r="B37" s="862" t="s">
        <v>147</v>
      </c>
      <c r="C37" s="879" t="s">
        <v>12</v>
      </c>
      <c r="D37" s="887" t="s">
        <v>15</v>
      </c>
      <c r="E37" s="250">
        <v>15</v>
      </c>
      <c r="F37" s="1473"/>
      <c r="G37" s="252"/>
      <c r="H37" s="1473"/>
    </row>
    <row r="38" spans="1:8" s="224" customFormat="1" hidden="1" x14ac:dyDescent="0.25">
      <c r="A38" s="215">
        <v>42074</v>
      </c>
      <c r="B38" s="862" t="s">
        <v>952</v>
      </c>
      <c r="C38" s="879" t="s">
        <v>12</v>
      </c>
      <c r="D38" s="887" t="s">
        <v>13</v>
      </c>
      <c r="E38" s="250">
        <v>23</v>
      </c>
      <c r="F38" s="1473"/>
      <c r="G38" s="252"/>
      <c r="H38" s="1473"/>
    </row>
    <row r="39" spans="1:8" s="224" customFormat="1" ht="15.75" hidden="1" customHeight="1" x14ac:dyDescent="0.25">
      <c r="A39" s="215">
        <v>42075</v>
      </c>
      <c r="B39" s="862" t="s">
        <v>32</v>
      </c>
      <c r="C39" s="879" t="s">
        <v>12</v>
      </c>
      <c r="D39" s="1475" t="s">
        <v>15</v>
      </c>
      <c r="E39" s="97">
        <v>11</v>
      </c>
      <c r="F39" s="946"/>
      <c r="G39" s="97"/>
      <c r="H39" s="946"/>
    </row>
    <row r="40" spans="1:8" s="224" customFormat="1" ht="15.75" hidden="1" customHeight="1" x14ac:dyDescent="0.25">
      <c r="A40" s="215">
        <v>42075</v>
      </c>
      <c r="B40" s="862" t="s">
        <v>134</v>
      </c>
      <c r="C40" s="879" t="s">
        <v>12</v>
      </c>
      <c r="D40" s="1475" t="s">
        <v>13</v>
      </c>
      <c r="E40" s="97">
        <v>12.4</v>
      </c>
      <c r="F40" s="946"/>
      <c r="G40" s="97"/>
      <c r="H40" s="946"/>
    </row>
    <row r="41" spans="1:8" s="224" customFormat="1" ht="15.75" hidden="1" customHeight="1" x14ac:dyDescent="0.25">
      <c r="A41" s="215">
        <v>42076</v>
      </c>
      <c r="B41" s="862" t="s">
        <v>32</v>
      </c>
      <c r="C41" s="879" t="s">
        <v>12</v>
      </c>
      <c r="D41" s="1475" t="s">
        <v>13</v>
      </c>
      <c r="E41" s="97">
        <v>11</v>
      </c>
      <c r="F41" s="946"/>
      <c r="G41" s="97"/>
      <c r="H41" s="946"/>
    </row>
    <row r="42" spans="1:8" s="224" customFormat="1" ht="15.75" hidden="1" customHeight="1" x14ac:dyDescent="0.25">
      <c r="A42" s="215">
        <v>42076</v>
      </c>
      <c r="B42" s="349" t="s">
        <v>138</v>
      </c>
      <c r="C42" s="350" t="s">
        <v>12</v>
      </c>
      <c r="D42" s="141" t="s">
        <v>13</v>
      </c>
      <c r="E42" s="97">
        <v>50</v>
      </c>
      <c r="F42" s="946"/>
      <c r="G42" s="97"/>
      <c r="H42" s="946"/>
    </row>
    <row r="43" spans="1:8" s="224" customFormat="1" ht="15.75" hidden="1" customHeight="1" x14ac:dyDescent="0.25">
      <c r="A43" s="215">
        <v>42076</v>
      </c>
      <c r="B43" s="862" t="s">
        <v>134</v>
      </c>
      <c r="C43" s="879" t="s">
        <v>12</v>
      </c>
      <c r="D43" s="1475" t="s">
        <v>13</v>
      </c>
      <c r="E43" s="97">
        <v>24</v>
      </c>
      <c r="F43" s="946"/>
      <c r="G43" s="97"/>
      <c r="H43" s="946"/>
    </row>
    <row r="44" spans="1:8" s="224" customFormat="1" ht="15.75" hidden="1" customHeight="1" x14ac:dyDescent="0.25">
      <c r="A44" s="215">
        <v>42077</v>
      </c>
      <c r="B44" s="349" t="s">
        <v>14</v>
      </c>
      <c r="C44" s="350" t="s">
        <v>12</v>
      </c>
      <c r="D44" s="141" t="s">
        <v>13</v>
      </c>
      <c r="E44" s="97">
        <v>10.57</v>
      </c>
      <c r="F44" s="946"/>
      <c r="G44" s="97"/>
      <c r="H44" s="946"/>
    </row>
    <row r="45" spans="1:8" s="224" customFormat="1" ht="15.75" hidden="1" customHeight="1" x14ac:dyDescent="0.25">
      <c r="A45" s="215">
        <v>42077</v>
      </c>
      <c r="B45" s="349" t="s">
        <v>82</v>
      </c>
      <c r="C45" s="350" t="s">
        <v>12</v>
      </c>
      <c r="D45" s="141" t="s">
        <v>13</v>
      </c>
      <c r="E45" s="97">
        <v>27</v>
      </c>
      <c r="F45" s="946"/>
      <c r="G45" s="97"/>
      <c r="H45" s="946"/>
    </row>
    <row r="46" spans="1:8" s="224" customFormat="1" ht="15.75" hidden="1" customHeight="1" x14ac:dyDescent="0.25">
      <c r="A46" s="215">
        <v>42078</v>
      </c>
      <c r="B46" s="349" t="s">
        <v>14</v>
      </c>
      <c r="C46" s="350" t="s">
        <v>12</v>
      </c>
      <c r="D46" s="141" t="s">
        <v>15</v>
      </c>
      <c r="E46" s="97">
        <v>6</v>
      </c>
      <c r="F46" s="946"/>
      <c r="G46" s="97"/>
      <c r="H46" s="946"/>
    </row>
    <row r="47" spans="1:8" s="224" customFormat="1" ht="15.75" hidden="1" customHeight="1" x14ac:dyDescent="0.25">
      <c r="A47" s="215">
        <v>42078</v>
      </c>
      <c r="B47" s="349" t="s">
        <v>14</v>
      </c>
      <c r="C47" s="350" t="s">
        <v>12</v>
      </c>
      <c r="D47" s="141" t="s">
        <v>15</v>
      </c>
      <c r="E47" s="97">
        <v>8</v>
      </c>
      <c r="F47" s="946"/>
      <c r="G47" s="97"/>
      <c r="H47" s="946"/>
    </row>
    <row r="48" spans="1:8" s="224" customFormat="1" ht="15.75" hidden="1" customHeight="1" x14ac:dyDescent="0.25">
      <c r="A48" s="215">
        <v>42079</v>
      </c>
      <c r="B48" s="862" t="s">
        <v>32</v>
      </c>
      <c r="C48" s="879" t="s">
        <v>12</v>
      </c>
      <c r="D48" s="1475" t="s">
        <v>13</v>
      </c>
      <c r="E48" s="97">
        <v>13.5</v>
      </c>
      <c r="F48" s="946"/>
      <c r="G48" s="97"/>
      <c r="H48" s="946"/>
    </row>
    <row r="49" spans="1:8" s="224" customFormat="1" ht="15.75" hidden="1" customHeight="1" x14ac:dyDescent="0.25">
      <c r="A49" s="215">
        <v>42079</v>
      </c>
      <c r="B49" s="862" t="s">
        <v>953</v>
      </c>
      <c r="C49" s="879" t="s">
        <v>12</v>
      </c>
      <c r="D49" s="1475" t="s">
        <v>13</v>
      </c>
      <c r="E49" s="97">
        <v>10.95</v>
      </c>
      <c r="F49" s="946"/>
      <c r="G49" s="97"/>
      <c r="H49" s="946"/>
    </row>
    <row r="50" spans="1:8" s="224" customFormat="1" ht="15.75" customHeight="1" x14ac:dyDescent="0.25">
      <c r="A50" s="215">
        <v>42079</v>
      </c>
      <c r="B50" s="862" t="s">
        <v>954</v>
      </c>
      <c r="C50" s="879" t="s">
        <v>19</v>
      </c>
      <c r="D50" s="1475" t="s">
        <v>13</v>
      </c>
      <c r="E50" s="97">
        <v>36.99</v>
      </c>
      <c r="F50" s="946"/>
      <c r="G50" s="97"/>
      <c r="H50" s="946"/>
    </row>
    <row r="51" spans="1:8" s="224" customFormat="1" ht="15.75" hidden="1" customHeight="1" x14ac:dyDescent="0.25">
      <c r="A51" s="215">
        <v>42079</v>
      </c>
      <c r="B51" s="862" t="s">
        <v>955</v>
      </c>
      <c r="C51" s="879" t="s">
        <v>12</v>
      </c>
      <c r="D51" s="1475" t="s">
        <v>15</v>
      </c>
      <c r="E51" s="97">
        <v>50</v>
      </c>
      <c r="F51" s="946"/>
      <c r="G51" s="97"/>
      <c r="H51" s="946"/>
    </row>
    <row r="52" spans="1:8" s="224" customFormat="1" hidden="1" x14ac:dyDescent="0.25">
      <c r="A52" s="215">
        <v>42080</v>
      </c>
      <c r="B52" s="349" t="s">
        <v>256</v>
      </c>
      <c r="C52" s="350"/>
      <c r="D52" s="141"/>
      <c r="E52" s="97"/>
      <c r="F52" s="946">
        <v>160</v>
      </c>
      <c r="G52" s="97">
        <v>160</v>
      </c>
      <c r="H52" s="1473"/>
    </row>
    <row r="53" spans="1:8" s="224" customFormat="1" hidden="1" x14ac:dyDescent="0.25">
      <c r="A53" s="215">
        <v>42080</v>
      </c>
      <c r="B53" s="862" t="s">
        <v>32</v>
      </c>
      <c r="C53" s="879" t="s">
        <v>12</v>
      </c>
      <c r="D53" s="1475" t="s">
        <v>13</v>
      </c>
      <c r="E53" s="97">
        <v>11</v>
      </c>
      <c r="F53" s="1473"/>
      <c r="G53" s="252"/>
      <c r="H53" s="1473"/>
    </row>
    <row r="54" spans="1:8" s="224" customFormat="1" hidden="1" x14ac:dyDescent="0.25">
      <c r="A54" s="215">
        <v>42080</v>
      </c>
      <c r="B54" s="862" t="s">
        <v>138</v>
      </c>
      <c r="C54" s="879" t="s">
        <v>19</v>
      </c>
      <c r="D54" s="1475" t="s">
        <v>13</v>
      </c>
      <c r="E54" s="97">
        <v>60</v>
      </c>
      <c r="F54" s="1473"/>
      <c r="G54" s="252"/>
      <c r="H54" s="1473"/>
    </row>
    <row r="55" spans="1:8" s="224" customFormat="1" hidden="1" x14ac:dyDescent="0.25">
      <c r="A55" s="215">
        <v>42080</v>
      </c>
      <c r="B55" s="862" t="s">
        <v>134</v>
      </c>
      <c r="C55" s="879" t="s">
        <v>12</v>
      </c>
      <c r="D55" s="1475" t="s">
        <v>13</v>
      </c>
      <c r="E55" s="97">
        <v>10.02</v>
      </c>
      <c r="F55" s="1473"/>
      <c r="G55" s="252"/>
      <c r="H55" s="1473"/>
    </row>
    <row r="56" spans="1:8" s="224" customFormat="1" hidden="1" x14ac:dyDescent="0.25">
      <c r="A56" s="215">
        <v>42081</v>
      </c>
      <c r="B56" s="862" t="s">
        <v>32</v>
      </c>
      <c r="C56" s="879" t="s">
        <v>12</v>
      </c>
      <c r="D56" s="1475" t="s">
        <v>13</v>
      </c>
      <c r="E56" s="97">
        <v>11</v>
      </c>
      <c r="F56" s="1473"/>
      <c r="G56" s="252"/>
      <c r="H56" s="1473"/>
    </row>
    <row r="57" spans="1:8" s="224" customFormat="1" ht="15.75" hidden="1" customHeight="1" x14ac:dyDescent="0.25">
      <c r="A57" s="215">
        <v>42081</v>
      </c>
      <c r="B57" s="349" t="s">
        <v>134</v>
      </c>
      <c r="C57" s="350" t="s">
        <v>19</v>
      </c>
      <c r="D57" s="141" t="s">
        <v>13</v>
      </c>
      <c r="E57" s="97">
        <v>6.8</v>
      </c>
      <c r="F57" s="946"/>
      <c r="G57" s="97"/>
      <c r="H57" s="946"/>
    </row>
    <row r="58" spans="1:8" s="224" customFormat="1" ht="15.75" hidden="1" customHeight="1" x14ac:dyDescent="0.25">
      <c r="A58" s="215">
        <v>42081</v>
      </c>
      <c r="B58" s="349" t="s">
        <v>956</v>
      </c>
      <c r="C58" s="350" t="s">
        <v>19</v>
      </c>
      <c r="D58" s="141" t="s">
        <v>13</v>
      </c>
      <c r="E58" s="97">
        <v>28</v>
      </c>
      <c r="F58" s="946"/>
      <c r="G58" s="97"/>
      <c r="H58" s="946"/>
    </row>
    <row r="59" spans="1:8" s="224" customFormat="1" ht="15.75" hidden="1" customHeight="1" x14ac:dyDescent="0.25">
      <c r="A59" s="215">
        <v>42081</v>
      </c>
      <c r="B59" s="349" t="s">
        <v>957</v>
      </c>
      <c r="C59" s="350" t="s">
        <v>19</v>
      </c>
      <c r="D59" s="141" t="s">
        <v>13</v>
      </c>
      <c r="E59" s="97">
        <v>24.22</v>
      </c>
      <c r="F59" s="946"/>
      <c r="G59" s="97"/>
      <c r="H59" s="946"/>
    </row>
    <row r="60" spans="1:8" s="224" customFormat="1" ht="15.75" hidden="1" customHeight="1" x14ac:dyDescent="0.25">
      <c r="A60" s="215">
        <v>42081</v>
      </c>
      <c r="B60" s="349" t="s">
        <v>958</v>
      </c>
      <c r="C60" s="350" t="s">
        <v>19</v>
      </c>
      <c r="D60" s="141" t="s">
        <v>13</v>
      </c>
      <c r="E60" s="97">
        <v>11.8</v>
      </c>
      <c r="F60" s="946"/>
      <c r="G60" s="97"/>
      <c r="H60" s="946"/>
    </row>
    <row r="61" spans="1:8" s="224" customFormat="1" ht="15.75" hidden="1" customHeight="1" x14ac:dyDescent="0.25">
      <c r="A61" s="215">
        <v>42082</v>
      </c>
      <c r="B61" s="862" t="s">
        <v>32</v>
      </c>
      <c r="C61" s="879" t="s">
        <v>12</v>
      </c>
      <c r="D61" s="1475" t="s">
        <v>13</v>
      </c>
      <c r="E61" s="97">
        <v>11</v>
      </c>
      <c r="F61" s="946"/>
      <c r="G61" s="97"/>
      <c r="H61" s="946"/>
    </row>
    <row r="62" spans="1:8" s="224" customFormat="1" ht="15.75" hidden="1" customHeight="1" x14ac:dyDescent="0.25">
      <c r="A62" s="215">
        <v>42082</v>
      </c>
      <c r="B62" s="862" t="s">
        <v>14</v>
      </c>
      <c r="C62" s="879" t="s">
        <v>12</v>
      </c>
      <c r="D62" s="1475" t="s">
        <v>13</v>
      </c>
      <c r="E62" s="97">
        <v>6.85</v>
      </c>
      <c r="F62" s="946"/>
      <c r="G62" s="97"/>
      <c r="H62" s="946"/>
    </row>
    <row r="63" spans="1:8" s="224" customFormat="1" ht="15.75" hidden="1" customHeight="1" x14ac:dyDescent="0.25">
      <c r="A63" s="215">
        <v>42082</v>
      </c>
      <c r="B63" s="862" t="s">
        <v>38</v>
      </c>
      <c r="C63" s="879" t="s">
        <v>12</v>
      </c>
      <c r="D63" s="1475" t="s">
        <v>13</v>
      </c>
      <c r="E63" s="97">
        <v>20</v>
      </c>
      <c r="F63" s="946"/>
      <c r="G63" s="97"/>
      <c r="H63" s="946"/>
    </row>
    <row r="64" spans="1:8" s="224" customFormat="1" hidden="1" x14ac:dyDescent="0.25">
      <c r="A64" s="215">
        <v>42083</v>
      </c>
      <c r="B64" s="349" t="s">
        <v>959</v>
      </c>
      <c r="C64" s="350" t="s">
        <v>12</v>
      </c>
      <c r="D64" s="141" t="s">
        <v>25</v>
      </c>
      <c r="E64" s="250"/>
      <c r="F64" s="1473">
        <v>1280</v>
      </c>
      <c r="G64" s="252"/>
      <c r="H64" s="1473"/>
    </row>
    <row r="65" spans="1:12" s="459" customFormat="1" hidden="1" x14ac:dyDescent="0.25">
      <c r="A65" s="215">
        <v>42083</v>
      </c>
      <c r="B65" s="349" t="s">
        <v>960</v>
      </c>
      <c r="C65" s="350" t="s">
        <v>12</v>
      </c>
      <c r="D65" s="141" t="s">
        <v>13</v>
      </c>
      <c r="E65" s="613">
        <v>225</v>
      </c>
      <c r="F65" s="614"/>
      <c r="G65" s="615"/>
      <c r="H65" s="614"/>
      <c r="I65" s="3097"/>
      <c r="J65" s="3098"/>
      <c r="K65" s="3098"/>
      <c r="L65" s="3098"/>
    </row>
    <row r="66" spans="1:12" hidden="1" x14ac:dyDescent="0.25">
      <c r="A66" s="215">
        <v>42083</v>
      </c>
      <c r="B66" s="349" t="s">
        <v>961</v>
      </c>
      <c r="C66" s="350" t="s">
        <v>12</v>
      </c>
      <c r="D66" s="141" t="s">
        <v>15</v>
      </c>
      <c r="E66" s="97">
        <v>100</v>
      </c>
      <c r="F66" s="946"/>
      <c r="G66" s="95"/>
      <c r="H66" s="946"/>
    </row>
    <row r="67" spans="1:12" hidden="1" x14ac:dyDescent="0.25">
      <c r="A67" s="215">
        <v>42083</v>
      </c>
      <c r="B67" s="862" t="s">
        <v>32</v>
      </c>
      <c r="C67" s="879" t="s">
        <v>12</v>
      </c>
      <c r="D67" s="1475" t="s">
        <v>13</v>
      </c>
      <c r="E67" s="97">
        <v>12</v>
      </c>
      <c r="F67" s="946"/>
      <c r="G67" s="95"/>
      <c r="H67" s="946"/>
    </row>
    <row r="68" spans="1:12" hidden="1" x14ac:dyDescent="0.25">
      <c r="A68" s="215">
        <v>42083</v>
      </c>
      <c r="B68" s="349" t="s">
        <v>260</v>
      </c>
      <c r="C68" s="350"/>
      <c r="D68" s="141"/>
      <c r="E68" s="97">
        <v>299</v>
      </c>
      <c r="F68" s="946"/>
      <c r="G68" s="95"/>
      <c r="H68" s="946">
        <v>299</v>
      </c>
    </row>
    <row r="69" spans="1:12" s="224" customFormat="1" ht="15.75" hidden="1" customHeight="1" x14ac:dyDescent="0.25">
      <c r="A69" s="215">
        <v>42083</v>
      </c>
      <c r="B69" s="349" t="s">
        <v>311</v>
      </c>
      <c r="C69" s="350"/>
      <c r="D69" s="141"/>
      <c r="E69" s="97"/>
      <c r="F69" s="946"/>
      <c r="G69" s="97"/>
      <c r="H69" s="946">
        <v>3.02</v>
      </c>
    </row>
    <row r="70" spans="1:12" hidden="1" x14ac:dyDescent="0.25">
      <c r="A70" s="215">
        <v>42083</v>
      </c>
      <c r="B70" s="862" t="s">
        <v>14</v>
      </c>
      <c r="C70" s="879" t="s">
        <v>12</v>
      </c>
      <c r="D70" s="1475" t="s">
        <v>13</v>
      </c>
      <c r="E70" s="97">
        <v>14.63</v>
      </c>
      <c r="F70" s="946"/>
      <c r="G70" s="95"/>
      <c r="H70" s="946"/>
    </row>
    <row r="71" spans="1:12" s="224" customFormat="1" ht="15.75" hidden="1" customHeight="1" x14ac:dyDescent="0.25">
      <c r="A71" s="215">
        <v>42084</v>
      </c>
      <c r="B71" s="862" t="s">
        <v>138</v>
      </c>
      <c r="C71" s="879" t="s">
        <v>19</v>
      </c>
      <c r="D71" s="887" t="s">
        <v>13</v>
      </c>
      <c r="E71" s="250">
        <v>40</v>
      </c>
      <c r="F71" s="946"/>
      <c r="G71" s="97"/>
      <c r="H71" s="946"/>
    </row>
    <row r="72" spans="1:12" s="224" customFormat="1" ht="15.75" hidden="1" customHeight="1" x14ac:dyDescent="0.25">
      <c r="A72" s="215">
        <v>42084</v>
      </c>
      <c r="B72" s="862" t="s">
        <v>17</v>
      </c>
      <c r="C72" s="879" t="s">
        <v>12</v>
      </c>
      <c r="D72" s="887" t="s">
        <v>13</v>
      </c>
      <c r="E72" s="250">
        <v>4</v>
      </c>
      <c r="F72" s="946"/>
      <c r="G72" s="97"/>
      <c r="H72" s="946"/>
    </row>
    <row r="73" spans="1:12" s="224" customFormat="1" ht="15.75" customHeight="1" x14ac:dyDescent="0.25">
      <c r="A73" s="215">
        <v>42084</v>
      </c>
      <c r="B73" s="862" t="s">
        <v>962</v>
      </c>
      <c r="C73" s="879" t="s">
        <v>12</v>
      </c>
      <c r="D73" s="887" t="s">
        <v>13</v>
      </c>
      <c r="E73" s="250">
        <v>39.5</v>
      </c>
      <c r="F73" s="946"/>
      <c r="G73" s="97"/>
      <c r="H73" s="946"/>
    </row>
    <row r="74" spans="1:12" s="224" customFormat="1" ht="15.75" hidden="1" customHeight="1" x14ac:dyDescent="0.25">
      <c r="A74" s="215">
        <v>42084</v>
      </c>
      <c r="B74" s="862" t="s">
        <v>134</v>
      </c>
      <c r="C74" s="879" t="s">
        <v>12</v>
      </c>
      <c r="D74" s="887" t="s">
        <v>15</v>
      </c>
      <c r="E74" s="250">
        <v>7</v>
      </c>
      <c r="F74" s="946"/>
      <c r="G74" s="97"/>
      <c r="H74" s="946"/>
    </row>
    <row r="75" spans="1:12" s="224" customFormat="1" ht="15.75" hidden="1" customHeight="1" x14ac:dyDescent="0.25">
      <c r="A75" s="215">
        <v>42085</v>
      </c>
      <c r="B75" s="862" t="s">
        <v>14</v>
      </c>
      <c r="C75" s="879" t="s">
        <v>12</v>
      </c>
      <c r="D75" s="887" t="s">
        <v>13</v>
      </c>
      <c r="E75" s="250">
        <v>27.75</v>
      </c>
      <c r="F75" s="946"/>
      <c r="G75" s="97"/>
      <c r="H75" s="946"/>
    </row>
    <row r="76" spans="1:12" s="224" customFormat="1" ht="15.75" hidden="1" customHeight="1" x14ac:dyDescent="0.25">
      <c r="A76" s="215">
        <v>42086</v>
      </c>
      <c r="B76" s="862" t="s">
        <v>649</v>
      </c>
      <c r="C76" s="879" t="s">
        <v>12</v>
      </c>
      <c r="D76" s="887" t="s">
        <v>13</v>
      </c>
      <c r="E76" s="250">
        <v>17.8</v>
      </c>
      <c r="F76" s="946"/>
      <c r="G76" s="97"/>
      <c r="H76" s="946"/>
    </row>
    <row r="77" spans="1:12" s="224" customFormat="1" ht="15.75" hidden="1" customHeight="1" x14ac:dyDescent="0.25">
      <c r="A77" s="215">
        <v>42087</v>
      </c>
      <c r="B77" s="862" t="s">
        <v>32</v>
      </c>
      <c r="C77" s="879" t="s">
        <v>12</v>
      </c>
      <c r="D77" s="1475" t="s">
        <v>13</v>
      </c>
      <c r="E77" s="97">
        <v>5</v>
      </c>
      <c r="F77" s="946"/>
      <c r="G77" s="97"/>
      <c r="H77" s="946"/>
    </row>
    <row r="78" spans="1:12" s="224" customFormat="1" hidden="1" x14ac:dyDescent="0.25">
      <c r="A78" s="215">
        <v>42087</v>
      </c>
      <c r="B78" s="349" t="s">
        <v>256</v>
      </c>
      <c r="C78" s="350"/>
      <c r="D78" s="141"/>
      <c r="E78" s="97"/>
      <c r="F78" s="946">
        <v>202.02</v>
      </c>
      <c r="G78" s="97">
        <v>202.02</v>
      </c>
      <c r="H78" s="1473"/>
    </row>
    <row r="79" spans="1:12" s="224" customFormat="1" ht="15.75" hidden="1" customHeight="1" x14ac:dyDescent="0.25">
      <c r="A79" s="215">
        <v>42087</v>
      </c>
      <c r="B79" s="862" t="s">
        <v>963</v>
      </c>
      <c r="C79" s="879" t="s">
        <v>19</v>
      </c>
      <c r="D79" s="1475" t="s">
        <v>13</v>
      </c>
      <c r="E79" s="97">
        <v>168.82</v>
      </c>
      <c r="F79" s="946"/>
      <c r="G79" s="97"/>
      <c r="H79" s="946"/>
    </row>
    <row r="80" spans="1:12" s="224" customFormat="1" ht="15.75" hidden="1" customHeight="1" x14ac:dyDescent="0.25">
      <c r="A80" s="215">
        <v>42087</v>
      </c>
      <c r="B80" s="862" t="s">
        <v>964</v>
      </c>
      <c r="C80" s="879" t="s">
        <v>12</v>
      </c>
      <c r="D80" s="1475" t="s">
        <v>15</v>
      </c>
      <c r="E80" s="97">
        <v>15</v>
      </c>
      <c r="F80" s="946"/>
      <c r="G80" s="97"/>
      <c r="H80" s="946"/>
    </row>
    <row r="81" spans="1:8" s="224" customFormat="1" hidden="1" x14ac:dyDescent="0.25">
      <c r="A81" s="215">
        <v>42088</v>
      </c>
      <c r="B81" s="862" t="s">
        <v>878</v>
      </c>
      <c r="C81" s="350" t="s">
        <v>12</v>
      </c>
      <c r="D81" s="957" t="s">
        <v>13</v>
      </c>
      <c r="E81" s="97">
        <v>50</v>
      </c>
      <c r="F81" s="1473"/>
      <c r="G81" s="252"/>
      <c r="H81" s="1473"/>
    </row>
    <row r="82" spans="1:8" s="224" customFormat="1" ht="15.75" hidden="1" customHeight="1" x14ac:dyDescent="0.25">
      <c r="A82" s="215">
        <v>42088</v>
      </c>
      <c r="B82" s="862" t="s">
        <v>32</v>
      </c>
      <c r="C82" s="879" t="s">
        <v>12</v>
      </c>
      <c r="D82" s="1475" t="s">
        <v>13</v>
      </c>
      <c r="E82" s="97">
        <v>11</v>
      </c>
      <c r="F82" s="946"/>
      <c r="G82" s="97"/>
      <c r="H82" s="946"/>
    </row>
    <row r="83" spans="1:8" s="224" customFormat="1" ht="15.75" hidden="1" customHeight="1" x14ac:dyDescent="0.25">
      <c r="A83" s="215">
        <v>42089</v>
      </c>
      <c r="B83" s="862" t="s">
        <v>32</v>
      </c>
      <c r="C83" s="879" t="s">
        <v>12</v>
      </c>
      <c r="D83" s="1475" t="s">
        <v>13</v>
      </c>
      <c r="E83" s="97">
        <v>11</v>
      </c>
      <c r="F83" s="946"/>
      <c r="G83" s="97"/>
      <c r="H83" s="946"/>
    </row>
    <row r="84" spans="1:8" s="224" customFormat="1" ht="15.75" hidden="1" customHeight="1" x14ac:dyDescent="0.25">
      <c r="A84" s="215">
        <v>42089</v>
      </c>
      <c r="B84" s="862" t="s">
        <v>965</v>
      </c>
      <c r="C84" s="879" t="s">
        <v>19</v>
      </c>
      <c r="D84" s="1475" t="s">
        <v>13</v>
      </c>
      <c r="E84" s="97">
        <v>178.75</v>
      </c>
      <c r="F84" s="946"/>
      <c r="G84" s="97"/>
      <c r="H84" s="946"/>
    </row>
    <row r="85" spans="1:8" s="224" customFormat="1" ht="15.75" hidden="1" customHeight="1" x14ac:dyDescent="0.25">
      <c r="A85" s="215">
        <v>42090</v>
      </c>
      <c r="B85" s="862" t="s">
        <v>914</v>
      </c>
      <c r="C85" s="879" t="s">
        <v>12</v>
      </c>
      <c r="D85" s="1475" t="s">
        <v>15</v>
      </c>
      <c r="E85" s="97">
        <v>5</v>
      </c>
      <c r="F85" s="946"/>
      <c r="G85" s="97"/>
      <c r="H85" s="946"/>
    </row>
    <row r="86" spans="1:8" s="224" customFormat="1" ht="15.75" hidden="1" customHeight="1" x14ac:dyDescent="0.25">
      <c r="A86" s="215">
        <v>42090</v>
      </c>
      <c r="B86" s="862" t="s">
        <v>32</v>
      </c>
      <c r="C86" s="879" t="s">
        <v>12</v>
      </c>
      <c r="D86" s="1475" t="s">
        <v>13</v>
      </c>
      <c r="E86" s="97">
        <v>20</v>
      </c>
      <c r="F86" s="946"/>
      <c r="G86" s="97"/>
      <c r="H86" s="946"/>
    </row>
    <row r="87" spans="1:8" s="224" customFormat="1" ht="15.75" hidden="1" customHeight="1" x14ac:dyDescent="0.25">
      <c r="A87" s="215">
        <v>42091</v>
      </c>
      <c r="B87" s="862" t="s">
        <v>14</v>
      </c>
      <c r="C87" s="879" t="s">
        <v>12</v>
      </c>
      <c r="D87" s="887" t="s">
        <v>13</v>
      </c>
      <c r="E87" s="250">
        <v>10.15</v>
      </c>
      <c r="F87" s="946"/>
      <c r="G87" s="97"/>
      <c r="H87" s="946"/>
    </row>
    <row r="88" spans="1:8" s="224" customFormat="1" ht="15.75" hidden="1" customHeight="1" x14ac:dyDescent="0.25">
      <c r="A88" s="215">
        <v>42092</v>
      </c>
      <c r="B88" s="862" t="s">
        <v>14</v>
      </c>
      <c r="C88" s="879" t="s">
        <v>12</v>
      </c>
      <c r="D88" s="887" t="s">
        <v>13</v>
      </c>
      <c r="E88" s="250">
        <v>22.44</v>
      </c>
      <c r="F88" s="946"/>
      <c r="G88" s="97"/>
      <c r="H88" s="946"/>
    </row>
    <row r="89" spans="1:8" s="224" customFormat="1" ht="15.75" hidden="1" customHeight="1" x14ac:dyDescent="0.25">
      <c r="A89" s="215">
        <v>42093</v>
      </c>
      <c r="B89" s="862" t="s">
        <v>32</v>
      </c>
      <c r="C89" s="879" t="s">
        <v>12</v>
      </c>
      <c r="D89" s="1475" t="s">
        <v>13</v>
      </c>
      <c r="E89" s="97">
        <v>11</v>
      </c>
      <c r="F89" s="946"/>
      <c r="G89" s="97"/>
      <c r="H89" s="946"/>
    </row>
    <row r="90" spans="1:8" s="224" customFormat="1" ht="15.75" hidden="1" customHeight="1" x14ac:dyDescent="0.25">
      <c r="A90" s="215">
        <v>42093</v>
      </c>
      <c r="B90" s="862" t="s">
        <v>138</v>
      </c>
      <c r="C90" s="879" t="s">
        <v>19</v>
      </c>
      <c r="D90" s="887" t="s">
        <v>13</v>
      </c>
      <c r="E90" s="250">
        <v>50</v>
      </c>
      <c r="F90" s="946"/>
      <c r="G90" s="97"/>
      <c r="H90" s="946"/>
    </row>
    <row r="91" spans="1:8" s="224" customFormat="1" ht="15.75" hidden="1" customHeight="1" x14ac:dyDescent="0.25">
      <c r="A91" s="215">
        <v>42094</v>
      </c>
      <c r="B91" s="862" t="s">
        <v>32</v>
      </c>
      <c r="C91" s="879" t="s">
        <v>12</v>
      </c>
      <c r="D91" s="1475" t="s">
        <v>13</v>
      </c>
      <c r="E91" s="97">
        <v>11</v>
      </c>
      <c r="F91" s="946"/>
      <c r="G91" s="97"/>
      <c r="H91" s="946"/>
    </row>
    <row r="92" spans="1:8" s="224" customFormat="1" ht="15.75" hidden="1" customHeight="1" thickBot="1" x14ac:dyDescent="0.3">
      <c r="A92" s="215">
        <v>42094</v>
      </c>
      <c r="B92" s="862" t="s">
        <v>14</v>
      </c>
      <c r="C92" s="879" t="s">
        <v>12</v>
      </c>
      <c r="D92" s="887" t="s">
        <v>13</v>
      </c>
      <c r="E92" s="250">
        <v>5.6740000000000004</v>
      </c>
      <c r="F92" s="946"/>
      <c r="G92" s="97"/>
      <c r="H92" s="946"/>
    </row>
    <row r="93" spans="1:8" ht="25.5" hidden="1" customHeight="1" thickBot="1" x14ac:dyDescent="0.3">
      <c r="A93" s="3060"/>
      <c r="B93" s="3061"/>
      <c r="C93" s="3062"/>
      <c r="D93" s="3062"/>
      <c r="E93" s="100">
        <f>SUM(E5:E92)</f>
        <v>3931.7840000000006</v>
      </c>
      <c r="F93" s="1065">
        <f>SUM(F5:F92)</f>
        <v>4129.5369999999994</v>
      </c>
      <c r="G93" s="101">
        <f>SUM(G5:G92)</f>
        <v>752.02</v>
      </c>
      <c r="H93" s="93">
        <f>SUM(H5:H92)</f>
        <v>1352.0200000000004</v>
      </c>
    </row>
    <row r="94" spans="1:8" ht="25.5" hidden="1" customHeight="1" thickBot="1" x14ac:dyDescent="0.3">
      <c r="A94" s="3077" t="s">
        <v>49</v>
      </c>
      <c r="B94" s="3078"/>
      <c r="C94" s="3078"/>
      <c r="D94" s="3078"/>
      <c r="E94" s="144"/>
      <c r="F94" s="519">
        <f>F93-E93</f>
        <v>197.75299999999879</v>
      </c>
      <c r="G94" s="555"/>
      <c r="H94" s="556">
        <f>H93-G93</f>
        <v>600.00000000000045</v>
      </c>
    </row>
    <row r="96" spans="1:8" x14ac:dyDescent="0.25">
      <c r="B96" s="79" t="s">
        <v>32</v>
      </c>
      <c r="C96" s="484">
        <v>215.5</v>
      </c>
    </row>
    <row r="97" spans="1:9" x14ac:dyDescent="0.25">
      <c r="B97" s="79" t="s">
        <v>16</v>
      </c>
      <c r="C97" s="484">
        <v>260</v>
      </c>
      <c r="D97" s="79"/>
    </row>
    <row r="98" spans="1:9" x14ac:dyDescent="0.25">
      <c r="B98" s="79" t="s">
        <v>50</v>
      </c>
      <c r="C98" s="484">
        <v>113.54</v>
      </c>
    </row>
    <row r="99" spans="1:9" s="85" customFormat="1" x14ac:dyDescent="0.25">
      <c r="A99" s="79"/>
      <c r="B99" s="79" t="s">
        <v>14</v>
      </c>
      <c r="C99" s="475">
        <v>159.63</v>
      </c>
      <c r="E99" s="89"/>
      <c r="F99" s="79"/>
      <c r="G99" s="79"/>
    </row>
    <row r="100" spans="1:9" s="85" customFormat="1" x14ac:dyDescent="0.25">
      <c r="A100" s="79"/>
      <c r="B100" s="79" t="s">
        <v>51</v>
      </c>
      <c r="C100" s="475">
        <v>60.71</v>
      </c>
      <c r="E100" s="89"/>
      <c r="F100" s="79"/>
      <c r="G100" s="79"/>
      <c r="H100" s="79"/>
    </row>
    <row r="101" spans="1:9" s="85" customFormat="1" x14ac:dyDescent="0.25">
      <c r="A101" s="79"/>
      <c r="B101" s="79" t="s">
        <v>52</v>
      </c>
      <c r="C101" s="475"/>
      <c r="E101" s="89"/>
      <c r="F101" s="79"/>
      <c r="G101" s="79"/>
      <c r="H101" s="79"/>
    </row>
    <row r="102" spans="1:9" s="85" customFormat="1" x14ac:dyDescent="0.25">
      <c r="A102" s="79"/>
      <c r="B102" s="867" t="s">
        <v>53</v>
      </c>
      <c r="C102" s="475">
        <v>23</v>
      </c>
      <c r="D102" s="89"/>
      <c r="E102" s="89"/>
      <c r="F102" s="79"/>
      <c r="G102" s="79"/>
      <c r="H102" s="79"/>
    </row>
    <row r="103" spans="1:9" s="85" customFormat="1" x14ac:dyDescent="0.25">
      <c r="A103" s="79"/>
      <c r="B103" s="79" t="s">
        <v>56</v>
      </c>
      <c r="C103" s="475"/>
      <c r="E103" s="89"/>
      <c r="F103" s="79"/>
      <c r="G103" s="79"/>
      <c r="H103" s="79"/>
    </row>
    <row r="104" spans="1:9" s="85" customFormat="1" x14ac:dyDescent="0.25">
      <c r="A104" s="79"/>
      <c r="B104" s="79" t="s">
        <v>910</v>
      </c>
      <c r="C104" s="475">
        <v>221.57</v>
      </c>
      <c r="E104" s="89"/>
      <c r="F104" s="79"/>
      <c r="G104" s="79"/>
      <c r="H104" s="79"/>
    </row>
    <row r="105" spans="1:9" s="85" customFormat="1" x14ac:dyDescent="0.25">
      <c r="A105" s="79"/>
      <c r="B105" s="79" t="s">
        <v>418</v>
      </c>
      <c r="C105" s="475">
        <v>508.48</v>
      </c>
      <c r="E105" s="89"/>
      <c r="F105" s="79"/>
      <c r="G105" s="79"/>
      <c r="H105" s="79"/>
    </row>
    <row r="106" spans="1:9" s="85" customFormat="1" x14ac:dyDescent="0.25">
      <c r="A106" s="79"/>
      <c r="B106" s="79" t="s">
        <v>419</v>
      </c>
      <c r="C106" s="475">
        <v>520.26</v>
      </c>
      <c r="D106" s="79"/>
      <c r="E106" s="89"/>
      <c r="F106" s="79"/>
      <c r="G106" s="79"/>
      <c r="H106" s="79"/>
    </row>
    <row r="107" spans="1:9" x14ac:dyDescent="0.25">
      <c r="B107" s="79" t="s">
        <v>911</v>
      </c>
      <c r="C107" s="475">
        <v>579.77</v>
      </c>
    </row>
    <row r="109" spans="1:9" x14ac:dyDescent="0.25">
      <c r="B109" s="79" t="s">
        <v>486</v>
      </c>
      <c r="C109" s="475">
        <f>G109/I109</f>
        <v>105.66387096774193</v>
      </c>
      <c r="E109" s="3096" t="s">
        <v>487</v>
      </c>
      <c r="F109" s="3096"/>
      <c r="G109" s="216">
        <v>3275.58</v>
      </c>
      <c r="H109" s="518" t="s">
        <v>488</v>
      </c>
      <c r="I109" s="85">
        <v>31</v>
      </c>
    </row>
  </sheetData>
  <autoFilter ref="A2:H94" xr:uid="{00000000-0009-0000-0000-00001F000000}">
    <filterColumn colId="1">
      <customFilters>
        <customFilter val="*apt*"/>
      </customFilters>
    </filterColumn>
  </autoFilter>
  <mergeCells count="12">
    <mergeCell ref="I65:L65"/>
    <mergeCell ref="A93:D93"/>
    <mergeCell ref="A94:D94"/>
    <mergeCell ref="E109:F109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Plan21" filterMode="1"/>
  <dimension ref="A1:I110"/>
  <sheetViews>
    <sheetView zoomScale="85" zoomScaleNormal="85" workbookViewId="0">
      <pane ySplit="4" topLeftCell="A5" activePane="bottomLeft" state="frozen"/>
      <selection activeCell="C44" sqref="C44"/>
      <selection pane="bottomLeft" activeCell="B108" sqref="A1:L110"/>
    </sheetView>
  </sheetViews>
  <sheetFormatPr defaultColWidth="9.140625" defaultRowHeight="15" x14ac:dyDescent="0.25"/>
  <cols>
    <col min="1" max="1" width="12" style="79" bestFit="1" customWidth="1"/>
    <col min="2" max="2" width="42.5703125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966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42095</v>
      </c>
      <c r="B5" s="369" t="s">
        <v>10</v>
      </c>
      <c r="C5" s="370"/>
      <c r="D5" s="207"/>
      <c r="E5" s="179"/>
      <c r="F5" s="933">
        <f>'Março-15'!F94</f>
        <v>197.75299999999879</v>
      </c>
      <c r="G5" s="163"/>
      <c r="H5" s="933">
        <f>'Março-15'!H94</f>
        <v>600.00000000000045</v>
      </c>
    </row>
    <row r="6" spans="1:8" s="224" customFormat="1" hidden="1" x14ac:dyDescent="0.25">
      <c r="A6" s="215">
        <v>42095</v>
      </c>
      <c r="B6" s="348" t="s">
        <v>11</v>
      </c>
      <c r="C6" s="351"/>
      <c r="D6" s="248"/>
      <c r="E6" s="250">
        <v>59</v>
      </c>
      <c r="F6" s="1473"/>
      <c r="G6" s="252"/>
      <c r="H6" s="1473"/>
    </row>
    <row r="7" spans="1:8" s="224" customFormat="1" hidden="1" x14ac:dyDescent="0.25">
      <c r="A7" s="215">
        <v>42095</v>
      </c>
      <c r="B7" s="349" t="s">
        <v>256</v>
      </c>
      <c r="C7" s="350"/>
      <c r="D7" s="141"/>
      <c r="E7" s="97"/>
      <c r="F7" s="946">
        <v>200</v>
      </c>
      <c r="G7" s="97">
        <v>200</v>
      </c>
      <c r="H7" s="1473"/>
    </row>
    <row r="8" spans="1:8" s="224" customFormat="1" hidden="1" x14ac:dyDescent="0.25">
      <c r="A8" s="215">
        <v>42095</v>
      </c>
      <c r="B8" s="1489" t="s">
        <v>32</v>
      </c>
      <c r="C8" s="879" t="s">
        <v>12</v>
      </c>
      <c r="D8" s="887" t="s">
        <v>13</v>
      </c>
      <c r="E8" s="250">
        <v>11</v>
      </c>
      <c r="F8" s="1473"/>
      <c r="G8" s="252"/>
      <c r="H8" s="1473"/>
    </row>
    <row r="9" spans="1:8" s="224" customFormat="1" hidden="1" x14ac:dyDescent="0.25">
      <c r="A9" s="215">
        <v>42095</v>
      </c>
      <c r="B9" s="1489" t="s">
        <v>914</v>
      </c>
      <c r="C9" s="879" t="s">
        <v>12</v>
      </c>
      <c r="D9" s="887" t="s">
        <v>15</v>
      </c>
      <c r="E9" s="250">
        <v>5</v>
      </c>
      <c r="F9" s="1473"/>
      <c r="G9" s="252"/>
      <c r="H9" s="1473"/>
    </row>
    <row r="10" spans="1:8" s="224" customFormat="1" hidden="1" x14ac:dyDescent="0.25">
      <c r="A10" s="215">
        <v>42095</v>
      </c>
      <c r="B10" s="1489" t="s">
        <v>967</v>
      </c>
      <c r="C10" s="879" t="s">
        <v>12</v>
      </c>
      <c r="D10" s="887" t="s">
        <v>13</v>
      </c>
      <c r="E10" s="250">
        <v>11.99</v>
      </c>
      <c r="F10" s="1473"/>
      <c r="G10" s="252"/>
      <c r="H10" s="1473"/>
    </row>
    <row r="11" spans="1:8" s="224" customFormat="1" hidden="1" x14ac:dyDescent="0.25">
      <c r="A11" s="215">
        <v>42095</v>
      </c>
      <c r="B11" s="1489" t="s">
        <v>14</v>
      </c>
      <c r="C11" s="879" t="s">
        <v>12</v>
      </c>
      <c r="D11" s="887" t="s">
        <v>13</v>
      </c>
      <c r="E11" s="250">
        <v>4.3600000000000003</v>
      </c>
      <c r="F11" s="1473"/>
      <c r="G11" s="252"/>
      <c r="H11" s="1473"/>
    </row>
    <row r="12" spans="1:8" s="224" customFormat="1" hidden="1" x14ac:dyDescent="0.25">
      <c r="A12" s="215">
        <v>42096</v>
      </c>
      <c r="B12" s="1489" t="s">
        <v>32</v>
      </c>
      <c r="C12" s="879" t="s">
        <v>12</v>
      </c>
      <c r="D12" s="887" t="s">
        <v>15</v>
      </c>
      <c r="E12" s="250">
        <v>12.5</v>
      </c>
      <c r="F12" s="1473"/>
      <c r="G12" s="252"/>
      <c r="H12" s="1473"/>
    </row>
    <row r="13" spans="1:8" s="224" customFormat="1" hidden="1" x14ac:dyDescent="0.25">
      <c r="A13" s="215">
        <v>42096</v>
      </c>
      <c r="B13" s="349" t="s">
        <v>256</v>
      </c>
      <c r="C13" s="350"/>
      <c r="D13" s="141"/>
      <c r="E13" s="97"/>
      <c r="F13" s="946">
        <v>100</v>
      </c>
      <c r="G13" s="97">
        <v>100</v>
      </c>
      <c r="H13" s="1473"/>
    </row>
    <row r="14" spans="1:8" s="224" customFormat="1" x14ac:dyDescent="0.25">
      <c r="A14" s="215">
        <v>42096</v>
      </c>
      <c r="B14" s="862" t="s">
        <v>915</v>
      </c>
      <c r="C14" s="879" t="s">
        <v>12</v>
      </c>
      <c r="D14" s="887" t="s">
        <v>15</v>
      </c>
      <c r="E14" s="250">
        <v>30</v>
      </c>
      <c r="F14" s="1473"/>
      <c r="G14" s="252"/>
      <c r="H14" s="1473"/>
    </row>
    <row r="15" spans="1:8" s="224" customFormat="1" ht="15.75" hidden="1" customHeight="1" x14ac:dyDescent="0.25">
      <c r="A15" s="215">
        <v>42097</v>
      </c>
      <c r="B15" s="862" t="s">
        <v>134</v>
      </c>
      <c r="C15" s="879" t="s">
        <v>12</v>
      </c>
      <c r="D15" s="887" t="s">
        <v>15</v>
      </c>
      <c r="E15" s="250">
        <v>6</v>
      </c>
      <c r="F15" s="946"/>
      <c r="G15" s="97"/>
      <c r="H15" s="946"/>
    </row>
    <row r="16" spans="1:8" s="224" customFormat="1" ht="15.75" hidden="1" customHeight="1" x14ac:dyDescent="0.25">
      <c r="A16" s="215">
        <v>42097</v>
      </c>
      <c r="B16" s="862" t="s">
        <v>138</v>
      </c>
      <c r="C16" s="879" t="s">
        <v>12</v>
      </c>
      <c r="D16" s="887" t="s">
        <v>13</v>
      </c>
      <c r="E16" s="250">
        <v>50</v>
      </c>
      <c r="F16" s="946"/>
      <c r="G16" s="97"/>
      <c r="H16" s="946"/>
    </row>
    <row r="17" spans="1:8" s="224" customFormat="1" ht="15.75" hidden="1" customHeight="1" x14ac:dyDescent="0.25">
      <c r="A17" s="215">
        <v>42097</v>
      </c>
      <c r="B17" s="862" t="s">
        <v>968</v>
      </c>
      <c r="C17" s="879" t="s">
        <v>12</v>
      </c>
      <c r="D17" s="887" t="s">
        <v>13</v>
      </c>
      <c r="E17" s="250">
        <v>46.9</v>
      </c>
      <c r="F17" s="946"/>
      <c r="G17" s="97"/>
      <c r="H17" s="946"/>
    </row>
    <row r="18" spans="1:8" s="224" customFormat="1" ht="15.75" hidden="1" customHeight="1" x14ac:dyDescent="0.25">
      <c r="A18" s="215">
        <v>42097</v>
      </c>
      <c r="B18" s="862" t="s">
        <v>969</v>
      </c>
      <c r="C18" s="879" t="s">
        <v>19</v>
      </c>
      <c r="D18" s="887" t="s">
        <v>13</v>
      </c>
      <c r="E18" s="250">
        <v>83.58</v>
      </c>
      <c r="F18" s="946"/>
      <c r="G18" s="97"/>
      <c r="H18" s="946"/>
    </row>
    <row r="19" spans="1:8" s="224" customFormat="1" hidden="1" x14ac:dyDescent="0.25">
      <c r="A19" s="215">
        <v>42098</v>
      </c>
      <c r="B19" s="1489"/>
      <c r="C19" s="879"/>
      <c r="D19" s="887"/>
      <c r="E19" s="250"/>
      <c r="F19" s="1473"/>
      <c r="G19" s="252"/>
      <c r="H19" s="1473"/>
    </row>
    <row r="20" spans="1:8" s="224" customFormat="1" hidden="1" x14ac:dyDescent="0.25">
      <c r="A20" s="215">
        <v>42099</v>
      </c>
      <c r="B20" s="1489" t="s">
        <v>14</v>
      </c>
      <c r="C20" s="879" t="s">
        <v>12</v>
      </c>
      <c r="D20" s="887" t="s">
        <v>13</v>
      </c>
      <c r="E20" s="250">
        <v>7.47</v>
      </c>
      <c r="F20" s="1473"/>
      <c r="G20" s="252"/>
      <c r="H20" s="1473"/>
    </row>
    <row r="21" spans="1:8" s="224" customFormat="1" hidden="1" x14ac:dyDescent="0.25">
      <c r="A21" s="215">
        <v>42100</v>
      </c>
      <c r="B21" s="862" t="s">
        <v>32</v>
      </c>
      <c r="C21" s="879" t="s">
        <v>12</v>
      </c>
      <c r="D21" s="1475" t="s">
        <v>13</v>
      </c>
      <c r="E21" s="97">
        <v>12</v>
      </c>
      <c r="F21" s="1473"/>
      <c r="G21" s="252"/>
      <c r="H21" s="1473"/>
    </row>
    <row r="22" spans="1:8" s="224" customFormat="1" hidden="1" x14ac:dyDescent="0.25">
      <c r="A22" s="215">
        <v>42100</v>
      </c>
      <c r="B22" s="862" t="s">
        <v>914</v>
      </c>
      <c r="C22" s="879" t="s">
        <v>12</v>
      </c>
      <c r="D22" s="1475" t="s">
        <v>13</v>
      </c>
      <c r="E22" s="97">
        <v>10.51</v>
      </c>
      <c r="F22" s="1473"/>
      <c r="G22" s="252"/>
      <c r="H22" s="1473"/>
    </row>
    <row r="23" spans="1:8" s="224" customFormat="1" hidden="1" x14ac:dyDescent="0.25">
      <c r="A23" s="215">
        <v>42100</v>
      </c>
      <c r="B23" s="862" t="s">
        <v>970</v>
      </c>
      <c r="C23" s="879" t="s">
        <v>19</v>
      </c>
      <c r="D23" s="1475" t="s">
        <v>13</v>
      </c>
      <c r="E23" s="97">
        <v>27.8</v>
      </c>
      <c r="F23" s="1473"/>
      <c r="G23" s="252"/>
      <c r="H23" s="1473"/>
    </row>
    <row r="24" spans="1:8" s="224" customFormat="1" hidden="1" x14ac:dyDescent="0.25">
      <c r="A24" s="215">
        <v>42101</v>
      </c>
      <c r="B24" s="349" t="s">
        <v>971</v>
      </c>
      <c r="C24" s="879" t="s">
        <v>12</v>
      </c>
      <c r="D24" s="983" t="s">
        <v>25</v>
      </c>
      <c r="E24" s="250"/>
      <c r="F24" s="1473">
        <v>1492.49</v>
      </c>
      <c r="G24" s="252"/>
      <c r="H24" s="1473"/>
    </row>
    <row r="25" spans="1:8" s="224" customFormat="1" hidden="1" x14ac:dyDescent="0.25">
      <c r="A25" s="215">
        <v>42101</v>
      </c>
      <c r="B25" s="349" t="s">
        <v>972</v>
      </c>
      <c r="C25" s="879" t="s">
        <v>12</v>
      </c>
      <c r="D25" s="983" t="s">
        <v>25</v>
      </c>
      <c r="E25" s="250">
        <v>106.67</v>
      </c>
      <c r="F25" s="1473"/>
      <c r="G25" s="252"/>
      <c r="H25" s="1473"/>
    </row>
    <row r="26" spans="1:8" s="224" customFormat="1" ht="15.75" hidden="1" customHeight="1" x14ac:dyDescent="0.25">
      <c r="A26" s="215">
        <v>42101</v>
      </c>
      <c r="B26" s="862" t="s">
        <v>973</v>
      </c>
      <c r="C26" s="350" t="s">
        <v>12</v>
      </c>
      <c r="D26" s="141" t="s">
        <v>13</v>
      </c>
      <c r="E26" s="97">
        <v>312.5</v>
      </c>
      <c r="F26" s="1473"/>
      <c r="G26" s="252"/>
      <c r="H26" s="1473"/>
    </row>
    <row r="27" spans="1:8" s="224" customFormat="1" hidden="1" x14ac:dyDescent="0.25">
      <c r="A27" s="215">
        <v>42101</v>
      </c>
      <c r="B27" s="882" t="s">
        <v>974</v>
      </c>
      <c r="C27" s="350" t="s">
        <v>12</v>
      </c>
      <c r="D27" s="141" t="s">
        <v>13</v>
      </c>
      <c r="E27" s="97">
        <v>64.489999999999995</v>
      </c>
      <c r="F27" s="1473"/>
      <c r="G27" s="252"/>
      <c r="H27" s="1473"/>
    </row>
    <row r="28" spans="1:8" hidden="1" x14ac:dyDescent="0.25">
      <c r="A28" s="215">
        <v>42101</v>
      </c>
      <c r="B28" s="349" t="s">
        <v>260</v>
      </c>
      <c r="C28" s="350"/>
      <c r="D28" s="141"/>
      <c r="E28" s="97">
        <v>360</v>
      </c>
      <c r="F28" s="946"/>
      <c r="G28" s="95"/>
      <c r="H28" s="946">
        <v>360</v>
      </c>
    </row>
    <row r="29" spans="1:8" s="224" customFormat="1" hidden="1" x14ac:dyDescent="0.25">
      <c r="A29" s="215">
        <v>42101</v>
      </c>
      <c r="B29" s="862" t="s">
        <v>32</v>
      </c>
      <c r="C29" s="879" t="s">
        <v>12</v>
      </c>
      <c r="D29" s="1475" t="s">
        <v>13</v>
      </c>
      <c r="E29" s="97">
        <v>11</v>
      </c>
      <c r="F29" s="1473"/>
      <c r="G29" s="252"/>
      <c r="H29" s="1473"/>
    </row>
    <row r="30" spans="1:8" s="224" customFormat="1" hidden="1" x14ac:dyDescent="0.25">
      <c r="A30" s="215">
        <v>42101</v>
      </c>
      <c r="B30" s="862" t="s">
        <v>138</v>
      </c>
      <c r="C30" s="879" t="s">
        <v>19</v>
      </c>
      <c r="D30" s="1475" t="s">
        <v>13</v>
      </c>
      <c r="E30" s="97">
        <v>40</v>
      </c>
      <c r="F30" s="1473"/>
      <c r="G30" s="252"/>
      <c r="H30" s="1473"/>
    </row>
    <row r="31" spans="1:8" s="224" customFormat="1" hidden="1" x14ac:dyDescent="0.25">
      <c r="A31" s="215">
        <v>42101</v>
      </c>
      <c r="B31" s="862" t="s">
        <v>975</v>
      </c>
      <c r="C31" s="879" t="s">
        <v>19</v>
      </c>
      <c r="D31" s="1475" t="s">
        <v>13</v>
      </c>
      <c r="E31" s="97">
        <v>139</v>
      </c>
      <c r="F31" s="1473"/>
      <c r="G31" s="252"/>
      <c r="H31" s="1473"/>
    </row>
    <row r="32" spans="1:8" s="224" customFormat="1" hidden="1" x14ac:dyDescent="0.25">
      <c r="A32" s="215">
        <v>42101</v>
      </c>
      <c r="B32" s="862" t="s">
        <v>421</v>
      </c>
      <c r="C32" s="879" t="s">
        <v>19</v>
      </c>
      <c r="D32" s="1475" t="s">
        <v>13</v>
      </c>
      <c r="E32" s="97">
        <v>45</v>
      </c>
      <c r="F32" s="1473"/>
      <c r="G32" s="252"/>
      <c r="H32" s="1473"/>
    </row>
    <row r="33" spans="1:8" hidden="1" x14ac:dyDescent="0.25">
      <c r="A33" s="215">
        <v>42102</v>
      </c>
      <c r="B33" s="862" t="s">
        <v>32</v>
      </c>
      <c r="C33" s="879" t="s">
        <v>12</v>
      </c>
      <c r="D33" s="1475" t="s">
        <v>15</v>
      </c>
      <c r="E33" s="97">
        <v>11</v>
      </c>
      <c r="F33" s="946"/>
      <c r="G33" s="95"/>
      <c r="H33" s="946"/>
    </row>
    <row r="34" spans="1:8" s="224" customFormat="1" hidden="1" x14ac:dyDescent="0.25">
      <c r="A34" s="215">
        <v>42102</v>
      </c>
      <c r="B34" s="862" t="s">
        <v>872</v>
      </c>
      <c r="C34" s="879" t="s">
        <v>12</v>
      </c>
      <c r="D34" s="887" t="s">
        <v>25</v>
      </c>
      <c r="E34" s="250"/>
      <c r="F34" s="1473">
        <v>150</v>
      </c>
      <c r="G34" s="252"/>
      <c r="H34" s="1473"/>
    </row>
    <row r="35" spans="1:8" s="224" customFormat="1" hidden="1" x14ac:dyDescent="0.25">
      <c r="A35" s="215">
        <v>42103</v>
      </c>
      <c r="B35" s="349" t="s">
        <v>976</v>
      </c>
      <c r="C35" s="350" t="s">
        <v>12</v>
      </c>
      <c r="D35" s="141" t="s">
        <v>13</v>
      </c>
      <c r="E35" s="97">
        <v>20</v>
      </c>
      <c r="F35" s="946"/>
      <c r="G35" s="97"/>
      <c r="H35" s="1473"/>
    </row>
    <row r="36" spans="1:8" hidden="1" x14ac:dyDescent="0.25">
      <c r="A36" s="215">
        <v>42103</v>
      </c>
      <c r="B36" s="862" t="s">
        <v>32</v>
      </c>
      <c r="C36" s="879" t="s">
        <v>12</v>
      </c>
      <c r="D36" s="1475" t="s">
        <v>15</v>
      </c>
      <c r="E36" s="97">
        <v>11</v>
      </c>
      <c r="F36" s="946"/>
      <c r="G36" s="95"/>
      <c r="H36" s="946"/>
    </row>
    <row r="37" spans="1:8" x14ac:dyDescent="0.25">
      <c r="A37" s="215">
        <v>42103</v>
      </c>
      <c r="B37" s="862" t="s">
        <v>915</v>
      </c>
      <c r="C37" s="879" t="s">
        <v>12</v>
      </c>
      <c r="D37" s="1475" t="s">
        <v>15</v>
      </c>
      <c r="E37" s="97">
        <v>40</v>
      </c>
      <c r="F37" s="946"/>
      <c r="G37" s="95"/>
      <c r="H37" s="946"/>
    </row>
    <row r="38" spans="1:8" hidden="1" x14ac:dyDescent="0.25">
      <c r="A38" s="215">
        <v>42103</v>
      </c>
      <c r="B38" s="862" t="s">
        <v>955</v>
      </c>
      <c r="C38" s="879" t="s">
        <v>12</v>
      </c>
      <c r="D38" s="1475" t="s">
        <v>15</v>
      </c>
      <c r="E38" s="97">
        <v>32</v>
      </c>
      <c r="F38" s="946"/>
      <c r="G38" s="95"/>
      <c r="H38" s="946"/>
    </row>
    <row r="39" spans="1:8" hidden="1" x14ac:dyDescent="0.25">
      <c r="A39" s="215">
        <v>42103</v>
      </c>
      <c r="B39" s="862" t="s">
        <v>134</v>
      </c>
      <c r="C39" s="879" t="s">
        <v>12</v>
      </c>
      <c r="D39" s="1475" t="s">
        <v>13</v>
      </c>
      <c r="E39" s="97">
        <v>8.98</v>
      </c>
      <c r="F39" s="946"/>
      <c r="G39" s="95"/>
      <c r="H39" s="946"/>
    </row>
    <row r="40" spans="1:8" s="224" customFormat="1" hidden="1" x14ac:dyDescent="0.25">
      <c r="A40" s="215">
        <v>42104</v>
      </c>
      <c r="B40" s="862" t="s">
        <v>32</v>
      </c>
      <c r="C40" s="879" t="s">
        <v>12</v>
      </c>
      <c r="D40" s="1475" t="s">
        <v>15</v>
      </c>
      <c r="E40" s="97">
        <v>16</v>
      </c>
      <c r="F40" s="946"/>
      <c r="G40" s="97"/>
      <c r="H40" s="1473"/>
    </row>
    <row r="41" spans="1:8" s="224" customFormat="1" hidden="1" x14ac:dyDescent="0.25">
      <c r="A41" s="215">
        <v>42105</v>
      </c>
      <c r="B41" s="349" t="s">
        <v>14</v>
      </c>
      <c r="C41" s="350" t="s">
        <v>12</v>
      </c>
      <c r="D41" s="141" t="s">
        <v>15</v>
      </c>
      <c r="E41" s="97">
        <v>8</v>
      </c>
      <c r="F41" s="946"/>
      <c r="G41" s="97"/>
      <c r="H41" s="1473"/>
    </row>
    <row r="42" spans="1:8" s="224" customFormat="1" hidden="1" x14ac:dyDescent="0.25">
      <c r="A42" s="215">
        <v>42105</v>
      </c>
      <c r="B42" s="349" t="s">
        <v>977</v>
      </c>
      <c r="C42" s="350" t="s">
        <v>12</v>
      </c>
      <c r="D42" s="141" t="s">
        <v>13</v>
      </c>
      <c r="E42" s="97">
        <v>50</v>
      </c>
      <c r="F42" s="946"/>
      <c r="G42" s="97"/>
      <c r="H42" s="1473"/>
    </row>
    <row r="43" spans="1:8" s="224" customFormat="1" hidden="1" x14ac:dyDescent="0.25">
      <c r="A43" s="215">
        <v>42105</v>
      </c>
      <c r="B43" s="349" t="s">
        <v>134</v>
      </c>
      <c r="C43" s="350" t="s">
        <v>12</v>
      </c>
      <c r="D43" s="141" t="s">
        <v>13</v>
      </c>
      <c r="E43" s="97">
        <v>8</v>
      </c>
      <c r="F43" s="946"/>
      <c r="G43" s="97"/>
      <c r="H43" s="1473"/>
    </row>
    <row r="44" spans="1:8" s="224" customFormat="1" hidden="1" x14ac:dyDescent="0.25">
      <c r="A44" s="215">
        <v>42106</v>
      </c>
      <c r="B44" s="862" t="s">
        <v>14</v>
      </c>
      <c r="C44" s="879" t="s">
        <v>12</v>
      </c>
      <c r="D44" s="1475" t="s">
        <v>15</v>
      </c>
      <c r="E44" s="97">
        <v>17</v>
      </c>
      <c r="F44" s="1473"/>
      <c r="G44" s="252"/>
      <c r="H44" s="1473"/>
    </row>
    <row r="45" spans="1:8" s="224" customFormat="1" hidden="1" x14ac:dyDescent="0.25">
      <c r="A45" s="215">
        <v>42106</v>
      </c>
      <c r="B45" s="862" t="s">
        <v>410</v>
      </c>
      <c r="C45" s="879" t="s">
        <v>12</v>
      </c>
      <c r="D45" s="1475" t="s">
        <v>13</v>
      </c>
      <c r="E45" s="97">
        <v>34.85</v>
      </c>
      <c r="F45" s="946"/>
      <c r="G45" s="97"/>
      <c r="H45" s="1473"/>
    </row>
    <row r="46" spans="1:8" s="224" customFormat="1" hidden="1" x14ac:dyDescent="0.25">
      <c r="A46" s="215">
        <v>42107</v>
      </c>
      <c r="B46" s="862" t="s">
        <v>32</v>
      </c>
      <c r="C46" s="879" t="s">
        <v>12</v>
      </c>
      <c r="D46" s="1475" t="s">
        <v>15</v>
      </c>
      <c r="E46" s="97">
        <v>14</v>
      </c>
      <c r="F46" s="1473"/>
      <c r="G46" s="252"/>
      <c r="H46" s="1473"/>
    </row>
    <row r="47" spans="1:8" s="224" customFormat="1" hidden="1" x14ac:dyDescent="0.25">
      <c r="A47" s="215">
        <v>42107</v>
      </c>
      <c r="B47" s="862" t="s">
        <v>978</v>
      </c>
      <c r="C47" s="879" t="s">
        <v>19</v>
      </c>
      <c r="D47" s="1475" t="s">
        <v>13</v>
      </c>
      <c r="E47" s="97">
        <v>37.97</v>
      </c>
      <c r="F47" s="1473"/>
      <c r="G47" s="252"/>
      <c r="H47" s="1473"/>
    </row>
    <row r="48" spans="1:8" s="224" customFormat="1" hidden="1" x14ac:dyDescent="0.25">
      <c r="A48" s="215">
        <v>42108</v>
      </c>
      <c r="B48" s="862" t="s">
        <v>32</v>
      </c>
      <c r="C48" s="879" t="s">
        <v>12</v>
      </c>
      <c r="D48" s="1475" t="s">
        <v>15</v>
      </c>
      <c r="E48" s="97">
        <v>12</v>
      </c>
      <c r="F48" s="1473"/>
      <c r="G48" s="252"/>
      <c r="H48" s="1473"/>
    </row>
    <row r="49" spans="1:8" s="224" customFormat="1" hidden="1" x14ac:dyDescent="0.25">
      <c r="A49" s="215">
        <v>42108</v>
      </c>
      <c r="B49" s="862" t="s">
        <v>14</v>
      </c>
      <c r="C49" s="879" t="s">
        <v>12</v>
      </c>
      <c r="D49" s="1475" t="s">
        <v>15</v>
      </c>
      <c r="E49" s="97">
        <v>8</v>
      </c>
      <c r="F49" s="1473"/>
      <c r="G49" s="252"/>
      <c r="H49" s="1473"/>
    </row>
    <row r="50" spans="1:8" s="224" customFormat="1" hidden="1" x14ac:dyDescent="0.25">
      <c r="A50" s="215">
        <v>42109</v>
      </c>
      <c r="B50" s="862" t="s">
        <v>32</v>
      </c>
      <c r="C50" s="879" t="s">
        <v>12</v>
      </c>
      <c r="D50" s="1475" t="s">
        <v>13</v>
      </c>
      <c r="E50" s="97">
        <v>6</v>
      </c>
      <c r="F50" s="1473"/>
      <c r="G50" s="252"/>
      <c r="H50" s="1473"/>
    </row>
    <row r="51" spans="1:8" s="224" customFormat="1" hidden="1" x14ac:dyDescent="0.25">
      <c r="A51" s="215">
        <v>42110</v>
      </c>
      <c r="B51" s="862" t="s">
        <v>32</v>
      </c>
      <c r="C51" s="879" t="s">
        <v>12</v>
      </c>
      <c r="D51" s="1475" t="s">
        <v>13</v>
      </c>
      <c r="E51" s="97">
        <v>11</v>
      </c>
      <c r="F51" s="1473"/>
      <c r="G51" s="252"/>
      <c r="H51" s="1473"/>
    </row>
    <row r="52" spans="1:8" s="224" customFormat="1" hidden="1" x14ac:dyDescent="0.25">
      <c r="A52" s="215">
        <v>42110</v>
      </c>
      <c r="B52" s="862" t="s">
        <v>138</v>
      </c>
      <c r="C52" s="879" t="s">
        <v>19</v>
      </c>
      <c r="D52" s="1475" t="s">
        <v>13</v>
      </c>
      <c r="E52" s="97">
        <v>40</v>
      </c>
      <c r="F52" s="1473"/>
      <c r="G52" s="252"/>
      <c r="H52" s="1473"/>
    </row>
    <row r="53" spans="1:8" s="224" customFormat="1" x14ac:dyDescent="0.25">
      <c r="A53" s="215">
        <v>42110</v>
      </c>
      <c r="B53" s="862" t="s">
        <v>915</v>
      </c>
      <c r="C53" s="879" t="s">
        <v>19</v>
      </c>
      <c r="D53" s="1475" t="s">
        <v>13</v>
      </c>
      <c r="E53" s="97">
        <v>38.5</v>
      </c>
      <c r="F53" s="1473"/>
      <c r="G53" s="252"/>
      <c r="H53" s="1473"/>
    </row>
    <row r="54" spans="1:8" s="224" customFormat="1" hidden="1" x14ac:dyDescent="0.25">
      <c r="A54" s="215">
        <v>42110</v>
      </c>
      <c r="B54" s="862" t="s">
        <v>134</v>
      </c>
      <c r="C54" s="879" t="s">
        <v>19</v>
      </c>
      <c r="D54" s="1475" t="s">
        <v>13</v>
      </c>
      <c r="E54" s="97">
        <v>5.36</v>
      </c>
      <c r="F54" s="1473"/>
      <c r="G54" s="252"/>
      <c r="H54" s="1473"/>
    </row>
    <row r="55" spans="1:8" s="224" customFormat="1" hidden="1" x14ac:dyDescent="0.25">
      <c r="A55" s="215">
        <v>42111</v>
      </c>
      <c r="B55" s="349" t="s">
        <v>256</v>
      </c>
      <c r="C55" s="350"/>
      <c r="D55" s="141"/>
      <c r="E55" s="97"/>
      <c r="F55" s="946">
        <v>110</v>
      </c>
      <c r="G55" s="97">
        <v>110</v>
      </c>
      <c r="H55" s="1473"/>
    </row>
    <row r="56" spans="1:8" s="224" customFormat="1" hidden="1" x14ac:dyDescent="0.25">
      <c r="A56" s="215">
        <v>42111</v>
      </c>
      <c r="B56" s="862" t="s">
        <v>32</v>
      </c>
      <c r="C56" s="879" t="s">
        <v>12</v>
      </c>
      <c r="D56" s="1475" t="s">
        <v>13</v>
      </c>
      <c r="E56" s="97">
        <v>12</v>
      </c>
      <c r="F56" s="1473"/>
      <c r="G56" s="252"/>
      <c r="H56" s="1473"/>
    </row>
    <row r="57" spans="1:8" s="224" customFormat="1" hidden="1" x14ac:dyDescent="0.25">
      <c r="A57" s="215">
        <v>42111</v>
      </c>
      <c r="B57" s="862" t="s">
        <v>914</v>
      </c>
      <c r="C57" s="879" t="s">
        <v>12</v>
      </c>
      <c r="D57" s="1475" t="s">
        <v>15</v>
      </c>
      <c r="E57" s="97">
        <v>6</v>
      </c>
      <c r="F57" s="1473"/>
      <c r="G57" s="252"/>
      <c r="H57" s="1473"/>
    </row>
    <row r="58" spans="1:8" s="224" customFormat="1" x14ac:dyDescent="0.25">
      <c r="A58" s="215">
        <v>42111</v>
      </c>
      <c r="B58" s="862" t="s">
        <v>915</v>
      </c>
      <c r="C58" s="879" t="s">
        <v>19</v>
      </c>
      <c r="D58" s="1475" t="s">
        <v>15</v>
      </c>
      <c r="E58" s="97">
        <v>39</v>
      </c>
      <c r="F58" s="1473"/>
      <c r="G58" s="252"/>
      <c r="H58" s="1473"/>
    </row>
    <row r="59" spans="1:8" s="224" customFormat="1" hidden="1" x14ac:dyDescent="0.25">
      <c r="A59" s="215">
        <v>42112</v>
      </c>
      <c r="B59" s="862" t="s">
        <v>138</v>
      </c>
      <c r="C59" s="879" t="s">
        <v>12</v>
      </c>
      <c r="D59" s="1475" t="s">
        <v>15</v>
      </c>
      <c r="E59" s="97">
        <v>40</v>
      </c>
      <c r="F59" s="1473"/>
      <c r="G59" s="252"/>
      <c r="H59" s="1473"/>
    </row>
    <row r="60" spans="1:8" s="224" customFormat="1" ht="15.75" hidden="1" customHeight="1" x14ac:dyDescent="0.25">
      <c r="A60" s="215">
        <v>42113</v>
      </c>
      <c r="B60" s="349" t="s">
        <v>14</v>
      </c>
      <c r="C60" s="350" t="s">
        <v>12</v>
      </c>
      <c r="D60" s="141" t="s">
        <v>13</v>
      </c>
      <c r="E60" s="97">
        <v>15.42</v>
      </c>
      <c r="F60" s="946"/>
      <c r="G60" s="97"/>
      <c r="H60" s="946"/>
    </row>
    <row r="61" spans="1:8" s="224" customFormat="1" hidden="1" x14ac:dyDescent="0.25">
      <c r="A61" s="215">
        <v>42114</v>
      </c>
      <c r="B61" s="349" t="s">
        <v>979</v>
      </c>
      <c r="C61" s="350" t="s">
        <v>12</v>
      </c>
      <c r="D61" s="141" t="s">
        <v>25</v>
      </c>
      <c r="E61" s="250"/>
      <c r="F61" s="1473">
        <v>1280</v>
      </c>
      <c r="G61" s="252"/>
      <c r="H61" s="1473"/>
    </row>
    <row r="62" spans="1:8" s="224" customFormat="1" hidden="1" x14ac:dyDescent="0.25">
      <c r="A62" s="215">
        <v>42114</v>
      </c>
      <c r="B62" s="862" t="s">
        <v>980</v>
      </c>
      <c r="C62" s="879" t="s">
        <v>19</v>
      </c>
      <c r="D62" s="1475" t="s">
        <v>13</v>
      </c>
      <c r="E62" s="97">
        <v>100</v>
      </c>
      <c r="F62" s="1473"/>
      <c r="G62" s="252"/>
      <c r="H62" s="1473"/>
    </row>
    <row r="63" spans="1:8" s="224" customFormat="1" hidden="1" x14ac:dyDescent="0.25">
      <c r="A63" s="215">
        <v>42114</v>
      </c>
      <c r="B63" s="862" t="s">
        <v>878</v>
      </c>
      <c r="C63" s="350" t="s">
        <v>12</v>
      </c>
      <c r="D63" s="957" t="s">
        <v>13</v>
      </c>
      <c r="E63" s="97">
        <v>81.58</v>
      </c>
      <c r="F63" s="1473"/>
      <c r="G63" s="252"/>
      <c r="H63" s="1473"/>
    </row>
    <row r="64" spans="1:8" hidden="1" x14ac:dyDescent="0.25">
      <c r="A64" s="215">
        <v>42114</v>
      </c>
      <c r="B64" s="349" t="s">
        <v>260</v>
      </c>
      <c r="C64" s="350"/>
      <c r="D64" s="141"/>
      <c r="E64" s="97">
        <v>450</v>
      </c>
      <c r="F64" s="946"/>
      <c r="G64" s="95"/>
      <c r="H64" s="946">
        <v>450</v>
      </c>
    </row>
    <row r="65" spans="1:8" s="224" customFormat="1" ht="15.75" hidden="1" customHeight="1" x14ac:dyDescent="0.25">
      <c r="A65" s="215">
        <v>42114</v>
      </c>
      <c r="B65" s="349" t="s">
        <v>14</v>
      </c>
      <c r="C65" s="350" t="s">
        <v>12</v>
      </c>
      <c r="D65" s="141" t="s">
        <v>15</v>
      </c>
      <c r="E65" s="97">
        <v>7.73</v>
      </c>
      <c r="F65" s="946"/>
      <c r="G65" s="97"/>
      <c r="H65" s="946"/>
    </row>
    <row r="66" spans="1:8" s="224" customFormat="1" ht="15.75" hidden="1" customHeight="1" x14ac:dyDescent="0.25">
      <c r="A66" s="215">
        <v>42114</v>
      </c>
      <c r="B66" s="349" t="s">
        <v>981</v>
      </c>
      <c r="C66" s="350" t="s">
        <v>12</v>
      </c>
      <c r="D66" s="141" t="s">
        <v>15</v>
      </c>
      <c r="E66" s="97">
        <v>7.99</v>
      </c>
      <c r="F66" s="946"/>
      <c r="G66" s="97"/>
      <c r="H66" s="946"/>
    </row>
    <row r="67" spans="1:8" hidden="1" x14ac:dyDescent="0.25">
      <c r="A67" s="215">
        <v>42114</v>
      </c>
      <c r="B67" s="349" t="s">
        <v>134</v>
      </c>
      <c r="C67" s="350" t="s">
        <v>19</v>
      </c>
      <c r="D67" s="141" t="s">
        <v>13</v>
      </c>
      <c r="E67" s="97">
        <v>9.58</v>
      </c>
      <c r="F67" s="946"/>
      <c r="G67" s="95"/>
      <c r="H67" s="946"/>
    </row>
    <row r="68" spans="1:8" s="224" customFormat="1" ht="15.75" hidden="1" customHeight="1" x14ac:dyDescent="0.25">
      <c r="A68" s="215">
        <v>42114</v>
      </c>
      <c r="B68" s="349" t="s">
        <v>970</v>
      </c>
      <c r="C68" s="350" t="s">
        <v>19</v>
      </c>
      <c r="D68" s="141" t="s">
        <v>13</v>
      </c>
      <c r="E68" s="97">
        <v>28</v>
      </c>
      <c r="F68" s="946"/>
      <c r="G68" s="97"/>
      <c r="H68" s="946"/>
    </row>
    <row r="69" spans="1:8" hidden="1" x14ac:dyDescent="0.25">
      <c r="A69" s="215">
        <v>42115</v>
      </c>
      <c r="B69" s="349" t="s">
        <v>134</v>
      </c>
      <c r="C69" s="350" t="s">
        <v>12</v>
      </c>
      <c r="D69" s="141" t="s">
        <v>13</v>
      </c>
      <c r="E69" s="97">
        <v>13.5</v>
      </c>
      <c r="F69" s="946"/>
      <c r="G69" s="95"/>
      <c r="H69" s="946"/>
    </row>
    <row r="70" spans="1:8" s="224" customFormat="1" ht="15.75" hidden="1" customHeight="1" x14ac:dyDescent="0.25">
      <c r="A70" s="215">
        <v>42116</v>
      </c>
      <c r="B70" s="862" t="s">
        <v>32</v>
      </c>
      <c r="C70" s="879" t="s">
        <v>12</v>
      </c>
      <c r="D70" s="1475" t="s">
        <v>13</v>
      </c>
      <c r="E70" s="97">
        <v>11</v>
      </c>
      <c r="F70" s="946"/>
      <c r="G70" s="97"/>
      <c r="H70" s="946"/>
    </row>
    <row r="71" spans="1:8" s="224" customFormat="1" ht="15.75" hidden="1" customHeight="1" x14ac:dyDescent="0.25">
      <c r="A71" s="215">
        <v>42117</v>
      </c>
      <c r="B71" s="862" t="s">
        <v>32</v>
      </c>
      <c r="C71" s="879" t="s">
        <v>12</v>
      </c>
      <c r="D71" s="1475" t="s">
        <v>13</v>
      </c>
      <c r="E71" s="97">
        <v>11</v>
      </c>
      <c r="F71" s="946"/>
      <c r="G71" s="97"/>
      <c r="H71" s="946"/>
    </row>
    <row r="72" spans="1:8" s="224" customFormat="1" ht="15.75" hidden="1" customHeight="1" x14ac:dyDescent="0.25">
      <c r="A72" s="215">
        <v>42117</v>
      </c>
      <c r="B72" s="862" t="s">
        <v>138</v>
      </c>
      <c r="C72" s="879" t="s">
        <v>19</v>
      </c>
      <c r="D72" s="887" t="s">
        <v>15</v>
      </c>
      <c r="E72" s="250">
        <v>60</v>
      </c>
      <c r="F72" s="946"/>
      <c r="G72" s="97"/>
      <c r="H72" s="946"/>
    </row>
    <row r="73" spans="1:8" s="224" customFormat="1" ht="15.75" hidden="1" customHeight="1" x14ac:dyDescent="0.25">
      <c r="A73" s="215">
        <v>42117</v>
      </c>
      <c r="B73" s="862" t="s">
        <v>22</v>
      </c>
      <c r="C73" s="879" t="s">
        <v>19</v>
      </c>
      <c r="D73" s="887" t="s">
        <v>13</v>
      </c>
      <c r="E73" s="250">
        <v>59.9</v>
      </c>
      <c r="F73" s="946"/>
      <c r="G73" s="97"/>
      <c r="H73" s="946"/>
    </row>
    <row r="74" spans="1:8" s="224" customFormat="1" ht="15.75" hidden="1" customHeight="1" x14ac:dyDescent="0.25">
      <c r="A74" s="215">
        <v>42117</v>
      </c>
      <c r="B74" s="862" t="s">
        <v>134</v>
      </c>
      <c r="C74" s="879" t="s">
        <v>19</v>
      </c>
      <c r="D74" s="887" t="s">
        <v>13</v>
      </c>
      <c r="E74" s="250">
        <v>15.5</v>
      </c>
      <c r="F74" s="946"/>
      <c r="G74" s="97"/>
      <c r="H74" s="946"/>
    </row>
    <row r="75" spans="1:8" s="224" customFormat="1" ht="15.75" hidden="1" customHeight="1" x14ac:dyDescent="0.25">
      <c r="A75" s="215">
        <v>42118</v>
      </c>
      <c r="B75" s="862" t="s">
        <v>32</v>
      </c>
      <c r="C75" s="879" t="s">
        <v>12</v>
      </c>
      <c r="D75" s="1475" t="s">
        <v>13</v>
      </c>
      <c r="E75" s="97">
        <v>12</v>
      </c>
      <c r="F75" s="946"/>
      <c r="G75" s="97"/>
      <c r="H75" s="946"/>
    </row>
    <row r="76" spans="1:8" s="224" customFormat="1" ht="15.75" hidden="1" customHeight="1" x14ac:dyDescent="0.25">
      <c r="A76" s="215">
        <v>42118</v>
      </c>
      <c r="B76" s="862" t="s">
        <v>14</v>
      </c>
      <c r="C76" s="879" t="s">
        <v>12</v>
      </c>
      <c r="D76" s="1475" t="s">
        <v>13</v>
      </c>
      <c r="E76" s="97">
        <v>6.66</v>
      </c>
      <c r="F76" s="946"/>
      <c r="G76" s="97"/>
      <c r="H76" s="946"/>
    </row>
    <row r="77" spans="1:8" s="224" customFormat="1" ht="15.75" hidden="1" customHeight="1" x14ac:dyDescent="0.25">
      <c r="A77" s="215">
        <v>42118</v>
      </c>
      <c r="B77" s="862" t="s">
        <v>914</v>
      </c>
      <c r="C77" s="879" t="s">
        <v>12</v>
      </c>
      <c r="D77" s="1475" t="s">
        <v>13</v>
      </c>
      <c r="E77" s="97">
        <v>6.72</v>
      </c>
      <c r="F77" s="946"/>
      <c r="G77" s="97"/>
      <c r="H77" s="946"/>
    </row>
    <row r="78" spans="1:8" s="224" customFormat="1" ht="15.75" hidden="1" customHeight="1" x14ac:dyDescent="0.25">
      <c r="A78" s="215">
        <v>42118</v>
      </c>
      <c r="B78" s="862" t="s">
        <v>134</v>
      </c>
      <c r="C78" s="879" t="s">
        <v>19</v>
      </c>
      <c r="D78" s="1475" t="s">
        <v>13</v>
      </c>
      <c r="E78" s="97">
        <v>19.32</v>
      </c>
      <c r="F78" s="946"/>
      <c r="G78" s="97"/>
      <c r="H78" s="946"/>
    </row>
    <row r="79" spans="1:8" s="224" customFormat="1" ht="15.75" hidden="1" customHeight="1" x14ac:dyDescent="0.25">
      <c r="A79" s="215">
        <v>42119</v>
      </c>
      <c r="B79" s="862" t="s">
        <v>14</v>
      </c>
      <c r="C79" s="879" t="s">
        <v>12</v>
      </c>
      <c r="D79" s="1475" t="s">
        <v>13</v>
      </c>
      <c r="E79" s="97">
        <v>8.6</v>
      </c>
      <c r="F79" s="946"/>
      <c r="G79" s="97"/>
      <c r="H79" s="946"/>
    </row>
    <row r="80" spans="1:8" s="224" customFormat="1" ht="15.75" hidden="1" customHeight="1" x14ac:dyDescent="0.25">
      <c r="A80" s="215">
        <v>42119</v>
      </c>
      <c r="B80" s="862" t="s">
        <v>134</v>
      </c>
      <c r="C80" s="879" t="s">
        <v>12</v>
      </c>
      <c r="D80" s="1475" t="s">
        <v>15</v>
      </c>
      <c r="E80" s="97">
        <v>7</v>
      </c>
      <c r="F80" s="946"/>
      <c r="G80" s="97"/>
      <c r="H80" s="946"/>
    </row>
    <row r="81" spans="1:8" s="224" customFormat="1" ht="15.75" hidden="1" customHeight="1" x14ac:dyDescent="0.25">
      <c r="A81" s="215">
        <v>42119</v>
      </c>
      <c r="B81" s="862" t="s">
        <v>982</v>
      </c>
      <c r="C81" s="879" t="s">
        <v>12</v>
      </c>
      <c r="D81" s="887" t="s">
        <v>13</v>
      </c>
      <c r="E81" s="250">
        <v>130</v>
      </c>
      <c r="F81" s="946"/>
      <c r="G81" s="97"/>
      <c r="H81" s="946"/>
    </row>
    <row r="82" spans="1:8" s="224" customFormat="1" ht="15.75" hidden="1" customHeight="1" x14ac:dyDescent="0.25">
      <c r="A82" s="215">
        <v>42120</v>
      </c>
      <c r="B82" s="862" t="s">
        <v>134</v>
      </c>
      <c r="C82" s="879" t="s">
        <v>12</v>
      </c>
      <c r="D82" s="1475" t="s">
        <v>13</v>
      </c>
      <c r="E82" s="97">
        <v>13.12</v>
      </c>
      <c r="F82" s="946"/>
      <c r="G82" s="97"/>
      <c r="H82" s="946"/>
    </row>
    <row r="83" spans="1:8" s="224" customFormat="1" ht="15.75" hidden="1" customHeight="1" x14ac:dyDescent="0.25">
      <c r="A83" s="215">
        <v>42121</v>
      </c>
      <c r="B83" s="862" t="s">
        <v>32</v>
      </c>
      <c r="C83" s="879" t="s">
        <v>12</v>
      </c>
      <c r="D83" s="1475" t="s">
        <v>13</v>
      </c>
      <c r="E83" s="97">
        <v>12</v>
      </c>
      <c r="F83" s="946"/>
      <c r="G83" s="97"/>
      <c r="H83" s="946"/>
    </row>
    <row r="84" spans="1:8" s="224" customFormat="1" ht="15.75" hidden="1" customHeight="1" x14ac:dyDescent="0.25">
      <c r="A84" s="215">
        <v>42121</v>
      </c>
      <c r="B84" s="862" t="s">
        <v>914</v>
      </c>
      <c r="C84" s="879" t="s">
        <v>12</v>
      </c>
      <c r="D84" s="887" t="s">
        <v>13</v>
      </c>
      <c r="E84" s="250">
        <v>5.99</v>
      </c>
      <c r="F84" s="946"/>
      <c r="G84" s="97"/>
      <c r="H84" s="946"/>
    </row>
    <row r="85" spans="1:8" s="224" customFormat="1" ht="15.75" hidden="1" customHeight="1" x14ac:dyDescent="0.25">
      <c r="A85" s="215">
        <v>42122</v>
      </c>
      <c r="B85" s="862" t="s">
        <v>976</v>
      </c>
      <c r="C85" s="879" t="s">
        <v>12</v>
      </c>
      <c r="D85" s="1475" t="s">
        <v>13</v>
      </c>
      <c r="E85" s="97">
        <v>20</v>
      </c>
      <c r="F85" s="946"/>
      <c r="G85" s="97"/>
      <c r="H85" s="946"/>
    </row>
    <row r="86" spans="1:8" s="224" customFormat="1" ht="15.75" hidden="1" customHeight="1" x14ac:dyDescent="0.25">
      <c r="A86" s="215">
        <v>42122</v>
      </c>
      <c r="B86" s="862" t="s">
        <v>32</v>
      </c>
      <c r="C86" s="879" t="s">
        <v>12</v>
      </c>
      <c r="D86" s="1475" t="s">
        <v>13</v>
      </c>
      <c r="E86" s="97">
        <v>12</v>
      </c>
      <c r="F86" s="946"/>
      <c r="G86" s="97"/>
      <c r="H86" s="946"/>
    </row>
    <row r="87" spans="1:8" s="224" customFormat="1" ht="15.75" hidden="1" customHeight="1" x14ac:dyDescent="0.25">
      <c r="A87" s="215">
        <v>42122</v>
      </c>
      <c r="B87" s="862" t="s">
        <v>14</v>
      </c>
      <c r="C87" s="879" t="s">
        <v>12</v>
      </c>
      <c r="D87" s="1475" t="s">
        <v>13</v>
      </c>
      <c r="E87" s="97">
        <v>4.2</v>
      </c>
      <c r="F87" s="946"/>
      <c r="G87" s="97"/>
      <c r="H87" s="946"/>
    </row>
    <row r="88" spans="1:8" s="224" customFormat="1" ht="15.75" hidden="1" customHeight="1" x14ac:dyDescent="0.25">
      <c r="A88" s="215">
        <v>42123</v>
      </c>
      <c r="B88" s="862" t="s">
        <v>32</v>
      </c>
      <c r="C88" s="879" t="s">
        <v>12</v>
      </c>
      <c r="D88" s="1475" t="s">
        <v>15</v>
      </c>
      <c r="E88" s="97">
        <v>12</v>
      </c>
      <c r="F88" s="946"/>
      <c r="G88" s="97"/>
      <c r="H88" s="946"/>
    </row>
    <row r="89" spans="1:8" s="224" customFormat="1" ht="15.75" hidden="1" customHeight="1" x14ac:dyDescent="0.25">
      <c r="A89" s="215">
        <v>42123</v>
      </c>
      <c r="B89" s="862" t="s">
        <v>914</v>
      </c>
      <c r="C89" s="879" t="s">
        <v>12</v>
      </c>
      <c r="D89" s="1475" t="s">
        <v>13</v>
      </c>
      <c r="E89" s="97">
        <v>5.75</v>
      </c>
      <c r="F89" s="946"/>
      <c r="G89" s="97"/>
      <c r="H89" s="946"/>
    </row>
    <row r="90" spans="1:8" s="224" customFormat="1" ht="15.75" hidden="1" customHeight="1" x14ac:dyDescent="0.25">
      <c r="A90" s="215">
        <v>42124</v>
      </c>
      <c r="B90" s="862" t="s">
        <v>32</v>
      </c>
      <c r="C90" s="879" t="s">
        <v>12</v>
      </c>
      <c r="D90" s="1475" t="s">
        <v>15</v>
      </c>
      <c r="E90" s="97">
        <v>12</v>
      </c>
      <c r="F90" s="946"/>
      <c r="G90" s="97"/>
      <c r="H90" s="946"/>
    </row>
    <row r="91" spans="1:8" s="224" customFormat="1" ht="15.75" hidden="1" customHeight="1" x14ac:dyDescent="0.25">
      <c r="A91" s="215">
        <v>42124</v>
      </c>
      <c r="B91" s="862" t="s">
        <v>256</v>
      </c>
      <c r="C91" s="879" t="s">
        <v>12</v>
      </c>
      <c r="D91" s="1475" t="s">
        <v>13</v>
      </c>
      <c r="E91" s="97"/>
      <c r="F91" s="946">
        <v>200</v>
      </c>
      <c r="G91" s="97">
        <v>200</v>
      </c>
      <c r="H91" s="946"/>
    </row>
    <row r="92" spans="1:8" s="224" customFormat="1" ht="15.75" hidden="1" customHeight="1" x14ac:dyDescent="0.25">
      <c r="A92" s="215">
        <v>42124</v>
      </c>
      <c r="B92" s="862" t="s">
        <v>983</v>
      </c>
      <c r="C92" s="879" t="s">
        <v>12</v>
      </c>
      <c r="D92" s="1475" t="s">
        <v>15</v>
      </c>
      <c r="E92" s="97">
        <v>30</v>
      </c>
      <c r="F92" s="946"/>
      <c r="G92" s="97"/>
      <c r="H92" s="946"/>
    </row>
    <row r="93" spans="1:8" s="224" customFormat="1" ht="15.75" hidden="1" customHeight="1" thickBot="1" x14ac:dyDescent="0.3">
      <c r="A93" s="215">
        <v>42124</v>
      </c>
      <c r="B93" s="862" t="s">
        <v>984</v>
      </c>
      <c r="C93" s="879" t="s">
        <v>12</v>
      </c>
      <c r="D93" s="887" t="s">
        <v>13</v>
      </c>
      <c r="E93" s="250">
        <v>14.31</v>
      </c>
      <c r="F93" s="946"/>
      <c r="G93" s="97"/>
      <c r="H93" s="946"/>
    </row>
    <row r="94" spans="1:8" ht="25.5" hidden="1" customHeight="1" thickBot="1" x14ac:dyDescent="0.3">
      <c r="A94" s="3060"/>
      <c r="B94" s="3061"/>
      <c r="C94" s="3062"/>
      <c r="D94" s="3062"/>
      <c r="E94" s="100">
        <f>SUM(E6:E93)</f>
        <v>3186.2999999999988</v>
      </c>
      <c r="F94" s="1065">
        <f>SUM(F5:F93)</f>
        <v>3730.2429999999986</v>
      </c>
      <c r="G94" s="101">
        <f>SUM(G6:G93)</f>
        <v>610</v>
      </c>
      <c r="H94" s="93">
        <f>SUM(H5:H93)</f>
        <v>1410.0000000000005</v>
      </c>
    </row>
    <row r="95" spans="1:8" ht="25.5" hidden="1" customHeight="1" thickBot="1" x14ac:dyDescent="0.3">
      <c r="A95" s="3077" t="s">
        <v>49</v>
      </c>
      <c r="B95" s="3078"/>
      <c r="C95" s="3078"/>
      <c r="D95" s="3078"/>
      <c r="E95" s="144"/>
      <c r="F95" s="519">
        <f>F94-E94</f>
        <v>543.94299999999976</v>
      </c>
      <c r="G95" s="555"/>
      <c r="H95" s="556">
        <f>H94-G94</f>
        <v>800.00000000000045</v>
      </c>
    </row>
    <row r="97" spans="1:9" x14ac:dyDescent="0.25">
      <c r="B97" s="79" t="s">
        <v>32</v>
      </c>
      <c r="C97" s="484">
        <v>256.35000000000002</v>
      </c>
    </row>
    <row r="98" spans="1:9" x14ac:dyDescent="0.25">
      <c r="B98" s="79" t="s">
        <v>16</v>
      </c>
      <c r="C98" s="484">
        <v>230</v>
      </c>
      <c r="D98" s="79"/>
    </row>
    <row r="99" spans="1:9" x14ac:dyDescent="0.25">
      <c r="B99" s="79" t="s">
        <v>50</v>
      </c>
      <c r="C99" s="484">
        <v>198.26</v>
      </c>
    </row>
    <row r="100" spans="1:9" s="85" customFormat="1" x14ac:dyDescent="0.25">
      <c r="A100" s="79"/>
      <c r="B100" s="79" t="s">
        <v>14</v>
      </c>
      <c r="C100" s="475">
        <v>87.44</v>
      </c>
      <c r="E100" s="89"/>
      <c r="F100" s="79"/>
      <c r="G100" s="79"/>
    </row>
    <row r="101" spans="1:9" s="85" customFormat="1" x14ac:dyDescent="0.25">
      <c r="A101" s="79"/>
      <c r="B101" s="79" t="s">
        <v>51</v>
      </c>
      <c r="C101" s="475">
        <v>64.489999999999995</v>
      </c>
      <c r="E101" s="89"/>
      <c r="F101" s="79"/>
      <c r="G101" s="79"/>
      <c r="H101" s="79"/>
    </row>
    <row r="102" spans="1:9" s="85" customFormat="1" x14ac:dyDescent="0.25">
      <c r="A102" s="79"/>
      <c r="B102" s="79" t="s">
        <v>52</v>
      </c>
      <c r="C102" s="475"/>
      <c r="E102" s="89"/>
      <c r="G102" s="79"/>
      <c r="H102" s="79"/>
    </row>
    <row r="103" spans="1:9" s="85" customFormat="1" x14ac:dyDescent="0.25">
      <c r="A103" s="79"/>
      <c r="B103" s="867" t="s">
        <v>53</v>
      </c>
      <c r="C103" s="475">
        <v>50</v>
      </c>
      <c r="D103" s="89"/>
      <c r="E103" s="89"/>
      <c r="F103" s="79"/>
      <c r="G103" s="79"/>
      <c r="H103" s="79"/>
    </row>
    <row r="104" spans="1:9" s="85" customFormat="1" x14ac:dyDescent="0.25">
      <c r="A104" s="79"/>
      <c r="B104" s="79" t="s">
        <v>56</v>
      </c>
      <c r="C104" s="475"/>
      <c r="E104" s="89"/>
      <c r="F104" s="79"/>
      <c r="G104" s="79"/>
      <c r="H104" s="79"/>
    </row>
    <row r="105" spans="1:9" s="85" customFormat="1" x14ac:dyDescent="0.25">
      <c r="A105" s="79"/>
      <c r="B105" s="79" t="s">
        <v>910</v>
      </c>
      <c r="C105" s="475">
        <v>188.21</v>
      </c>
      <c r="E105" s="89"/>
      <c r="F105" s="79"/>
      <c r="G105" s="79"/>
      <c r="H105" s="79"/>
    </row>
    <row r="106" spans="1:9" s="85" customFormat="1" x14ac:dyDescent="0.25">
      <c r="A106" s="79"/>
      <c r="B106" s="79" t="s">
        <v>418</v>
      </c>
      <c r="C106" s="475">
        <v>99.51</v>
      </c>
      <c r="E106" s="89"/>
      <c r="F106" s="79"/>
      <c r="G106" s="79"/>
      <c r="H106" s="79"/>
    </row>
    <row r="107" spans="1:9" s="85" customFormat="1" x14ac:dyDescent="0.25">
      <c r="A107" s="79"/>
      <c r="B107" s="79" t="s">
        <v>419</v>
      </c>
      <c r="C107" s="475">
        <v>311.56</v>
      </c>
      <c r="D107" s="79"/>
      <c r="E107" s="89"/>
      <c r="F107" s="79"/>
      <c r="G107" s="79"/>
      <c r="H107" s="79"/>
    </row>
    <row r="108" spans="1:9" x14ac:dyDescent="0.25">
      <c r="B108" s="79" t="s">
        <v>911</v>
      </c>
      <c r="C108" s="475">
        <v>363.75</v>
      </c>
    </row>
    <row r="110" spans="1:9" x14ac:dyDescent="0.25">
      <c r="B110" s="79" t="s">
        <v>486</v>
      </c>
      <c r="C110" s="475">
        <f>G110/I110</f>
        <v>77.243333333333339</v>
      </c>
      <c r="E110" s="224" t="s">
        <v>487</v>
      </c>
      <c r="F110" s="224"/>
      <c r="G110" s="216">
        <v>2317.3000000000002</v>
      </c>
      <c r="H110" s="518" t="s">
        <v>488</v>
      </c>
      <c r="I110" s="85">
        <v>30</v>
      </c>
    </row>
  </sheetData>
  <autoFilter ref="A2:H95" xr:uid="{00000000-0009-0000-0000-000020000000}">
    <filterColumn colId="1">
      <customFilters>
        <customFilter val="*apt*"/>
      </customFilters>
    </filterColumn>
  </autoFilter>
  <mergeCells count="10">
    <mergeCell ref="A94:D94"/>
    <mergeCell ref="A95:D9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  <ignoredErrors>
    <ignoredError sqref="F94:G94" formula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Plan22" filterMode="1"/>
  <dimension ref="A1:Q131"/>
  <sheetViews>
    <sheetView zoomScale="85" zoomScaleNormal="85" workbookViewId="0">
      <pane ySplit="4" topLeftCell="A5" activePane="bottomLeft" state="frozen"/>
      <selection activeCell="C44" sqref="C44"/>
      <selection pane="bottomLeft" activeCell="B129" sqref="A1:Q13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985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42125</v>
      </c>
      <c r="B5" s="369" t="s">
        <v>10</v>
      </c>
      <c r="C5" s="370"/>
      <c r="D5" s="207"/>
      <c r="E5" s="179"/>
      <c r="F5" s="933">
        <f>'Abril-15'!F95</f>
        <v>543.94299999999976</v>
      </c>
      <c r="G5" s="163"/>
      <c r="H5" s="933">
        <f>'Abril-15'!H95</f>
        <v>800.00000000000045</v>
      </c>
    </row>
    <row r="6" spans="1:8" s="224" customFormat="1" hidden="1" x14ac:dyDescent="0.25">
      <c r="A6" s="215">
        <v>42125</v>
      </c>
      <c r="B6" s="348" t="s">
        <v>11</v>
      </c>
      <c r="C6" s="351"/>
      <c r="D6" s="248"/>
      <c r="E6" s="250">
        <v>50</v>
      </c>
      <c r="F6" s="1473"/>
      <c r="G6" s="252"/>
      <c r="H6" s="1473"/>
    </row>
    <row r="7" spans="1:8" s="224" customFormat="1" hidden="1" x14ac:dyDescent="0.25">
      <c r="A7" s="215">
        <v>42125</v>
      </c>
      <c r="B7" s="349" t="s">
        <v>14</v>
      </c>
      <c r="C7" s="350" t="s">
        <v>12</v>
      </c>
      <c r="D7" s="141" t="s">
        <v>13</v>
      </c>
      <c r="E7" s="97">
        <v>13.25</v>
      </c>
      <c r="F7" s="946"/>
      <c r="G7" s="97"/>
      <c r="H7" s="1473"/>
    </row>
    <row r="8" spans="1:8" s="224" customFormat="1" hidden="1" x14ac:dyDescent="0.25">
      <c r="A8" s="215">
        <v>42125</v>
      </c>
      <c r="B8" s="1489" t="s">
        <v>134</v>
      </c>
      <c r="C8" s="879" t="s">
        <v>12</v>
      </c>
      <c r="D8" s="887" t="s">
        <v>13</v>
      </c>
      <c r="E8" s="250">
        <v>8.8000000000000007</v>
      </c>
      <c r="F8" s="1473"/>
      <c r="G8" s="252"/>
      <c r="H8" s="1473"/>
    </row>
    <row r="9" spans="1:8" s="224" customFormat="1" hidden="1" x14ac:dyDescent="0.25">
      <c r="A9" s="215">
        <v>42126</v>
      </c>
      <c r="B9" s="1489" t="s">
        <v>14</v>
      </c>
      <c r="C9" s="879" t="s">
        <v>12</v>
      </c>
      <c r="D9" s="887" t="s">
        <v>13</v>
      </c>
      <c r="E9" s="250">
        <v>22.16</v>
      </c>
      <c r="F9" s="1473"/>
      <c r="G9" s="252"/>
      <c r="H9" s="1473"/>
    </row>
    <row r="10" spans="1:8" s="224" customFormat="1" hidden="1" x14ac:dyDescent="0.25">
      <c r="A10" s="215">
        <v>42126</v>
      </c>
      <c r="B10" s="1489" t="s">
        <v>986</v>
      </c>
      <c r="C10" s="879" t="s">
        <v>12</v>
      </c>
      <c r="D10" s="887" t="s">
        <v>15</v>
      </c>
      <c r="E10" s="250">
        <v>5</v>
      </c>
      <c r="F10" s="1473"/>
      <c r="G10" s="252"/>
      <c r="H10" s="1473"/>
    </row>
    <row r="11" spans="1:8" s="224" customFormat="1" hidden="1" x14ac:dyDescent="0.25">
      <c r="A11" s="215">
        <v>42127</v>
      </c>
      <c r="B11" s="1489" t="s">
        <v>14</v>
      </c>
      <c r="C11" s="879" t="s">
        <v>12</v>
      </c>
      <c r="D11" s="887" t="s">
        <v>13</v>
      </c>
      <c r="E11" s="250">
        <v>21.63</v>
      </c>
      <c r="F11" s="1473"/>
      <c r="G11" s="252"/>
      <c r="H11" s="1473"/>
    </row>
    <row r="12" spans="1:8" s="224" customFormat="1" hidden="1" x14ac:dyDescent="0.25">
      <c r="A12" s="215">
        <v>42127</v>
      </c>
      <c r="B12" s="1489" t="s">
        <v>138</v>
      </c>
      <c r="C12" s="879" t="s">
        <v>12</v>
      </c>
      <c r="D12" s="887" t="s">
        <v>13</v>
      </c>
      <c r="E12" s="250">
        <v>60</v>
      </c>
      <c r="F12" s="1473"/>
      <c r="G12" s="252"/>
      <c r="H12" s="1473"/>
    </row>
    <row r="13" spans="1:8" s="224" customFormat="1" hidden="1" x14ac:dyDescent="0.25">
      <c r="A13" s="215">
        <v>42127</v>
      </c>
      <c r="B13" s="1489" t="s">
        <v>914</v>
      </c>
      <c r="C13" s="879" t="s">
        <v>12</v>
      </c>
      <c r="D13" s="887" t="s">
        <v>13</v>
      </c>
      <c r="E13" s="250">
        <v>9</v>
      </c>
      <c r="F13" s="1473"/>
      <c r="G13" s="252"/>
      <c r="H13" s="1473"/>
    </row>
    <row r="14" spans="1:8" s="224" customFormat="1" ht="15.75" hidden="1" customHeight="1" x14ac:dyDescent="0.25">
      <c r="A14" s="215">
        <v>42128</v>
      </c>
      <c r="B14" s="862" t="s">
        <v>256</v>
      </c>
      <c r="C14" s="879" t="s">
        <v>12</v>
      </c>
      <c r="D14" s="1475" t="s">
        <v>13</v>
      </c>
      <c r="E14" s="97"/>
      <c r="F14" s="946">
        <v>150</v>
      </c>
      <c r="G14" s="97">
        <v>150</v>
      </c>
      <c r="H14" s="946"/>
    </row>
    <row r="15" spans="1:8" s="224" customFormat="1" hidden="1" x14ac:dyDescent="0.25">
      <c r="A15" s="215">
        <v>42128</v>
      </c>
      <c r="B15" s="862" t="s">
        <v>32</v>
      </c>
      <c r="C15" s="879" t="s">
        <v>12</v>
      </c>
      <c r="D15" s="1475" t="s">
        <v>13</v>
      </c>
      <c r="E15" s="97">
        <v>12</v>
      </c>
      <c r="F15" s="1473"/>
      <c r="G15" s="252"/>
      <c r="H15" s="1473"/>
    </row>
    <row r="16" spans="1:8" s="224" customFormat="1" hidden="1" x14ac:dyDescent="0.25">
      <c r="A16" s="215">
        <v>42129</v>
      </c>
      <c r="B16" s="862" t="s">
        <v>32</v>
      </c>
      <c r="C16" s="879" t="s">
        <v>12</v>
      </c>
      <c r="D16" s="1475" t="s">
        <v>13</v>
      </c>
      <c r="E16" s="97">
        <v>12</v>
      </c>
      <c r="F16" s="946"/>
      <c r="G16" s="97"/>
      <c r="H16" s="1473"/>
    </row>
    <row r="17" spans="1:8" s="224" customFormat="1" hidden="1" x14ac:dyDescent="0.25">
      <c r="A17" s="215">
        <v>42129</v>
      </c>
      <c r="B17" s="1489" t="s">
        <v>14</v>
      </c>
      <c r="C17" s="879" t="s">
        <v>12</v>
      </c>
      <c r="D17" s="887" t="s">
        <v>15</v>
      </c>
      <c r="E17" s="250">
        <v>2</v>
      </c>
      <c r="F17" s="1473"/>
      <c r="G17" s="252"/>
      <c r="H17" s="1473"/>
    </row>
    <row r="18" spans="1:8" s="224" customFormat="1" x14ac:dyDescent="0.25">
      <c r="A18" s="215">
        <v>42129</v>
      </c>
      <c r="B18" s="862" t="s">
        <v>915</v>
      </c>
      <c r="C18" s="879" t="s">
        <v>19</v>
      </c>
      <c r="D18" s="1475" t="s">
        <v>13</v>
      </c>
      <c r="E18" s="97">
        <v>39</v>
      </c>
      <c r="F18" s="1473"/>
      <c r="G18" s="252"/>
      <c r="H18" s="1473"/>
    </row>
    <row r="19" spans="1:8" s="224" customFormat="1" hidden="1" x14ac:dyDescent="0.25">
      <c r="A19" s="215">
        <v>42130</v>
      </c>
      <c r="B19" s="862" t="s">
        <v>32</v>
      </c>
      <c r="C19" s="879" t="s">
        <v>12</v>
      </c>
      <c r="D19" s="1475" t="s">
        <v>13</v>
      </c>
      <c r="E19" s="97">
        <v>12</v>
      </c>
      <c r="F19" s="1473"/>
      <c r="G19" s="252"/>
      <c r="H19" s="1473"/>
    </row>
    <row r="20" spans="1:8" s="224" customFormat="1" hidden="1" x14ac:dyDescent="0.25">
      <c r="A20" s="215">
        <v>42130</v>
      </c>
      <c r="B20" s="862" t="s">
        <v>987</v>
      </c>
      <c r="C20" s="879" t="s">
        <v>12</v>
      </c>
      <c r="D20" s="1475" t="s">
        <v>13</v>
      </c>
      <c r="E20" s="97">
        <v>8.8000000000000007</v>
      </c>
      <c r="F20" s="1473"/>
      <c r="G20" s="252"/>
      <c r="H20" s="1473"/>
    </row>
    <row r="21" spans="1:8" s="224" customFormat="1" hidden="1" x14ac:dyDescent="0.25">
      <c r="A21" s="215">
        <v>42130</v>
      </c>
      <c r="B21" s="862" t="s">
        <v>914</v>
      </c>
      <c r="C21" s="879" t="s">
        <v>12</v>
      </c>
      <c r="D21" s="1475" t="s">
        <v>15</v>
      </c>
      <c r="E21" s="97">
        <v>8</v>
      </c>
      <c r="F21" s="1473"/>
      <c r="G21" s="252"/>
      <c r="H21" s="1473"/>
    </row>
    <row r="22" spans="1:8" s="224" customFormat="1" hidden="1" x14ac:dyDescent="0.25">
      <c r="A22" s="215">
        <v>42130</v>
      </c>
      <c r="B22" s="862" t="s">
        <v>134</v>
      </c>
      <c r="C22" s="879" t="s">
        <v>12</v>
      </c>
      <c r="D22" s="1475" t="s">
        <v>13</v>
      </c>
      <c r="E22" s="97">
        <v>9.84</v>
      </c>
      <c r="F22" s="1473"/>
      <c r="G22" s="252"/>
      <c r="H22" s="1473"/>
    </row>
    <row r="23" spans="1:8" s="224" customFormat="1" ht="15.75" hidden="1" customHeight="1" x14ac:dyDescent="0.25">
      <c r="A23" s="215">
        <v>42130</v>
      </c>
      <c r="B23" s="349" t="s">
        <v>311</v>
      </c>
      <c r="C23" s="350"/>
      <c r="D23" s="141"/>
      <c r="E23" s="97"/>
      <c r="F23" s="946"/>
      <c r="G23" s="97"/>
      <c r="H23" s="946">
        <v>3.36</v>
      </c>
    </row>
    <row r="24" spans="1:8" s="224" customFormat="1" ht="15.75" hidden="1" customHeight="1" x14ac:dyDescent="0.25">
      <c r="A24" s="215">
        <v>42131</v>
      </c>
      <c r="B24" s="349" t="s">
        <v>988</v>
      </c>
      <c r="C24" s="879" t="s">
        <v>12</v>
      </c>
      <c r="D24" s="983" t="s">
        <v>25</v>
      </c>
      <c r="E24" s="250"/>
      <c r="F24" s="1473">
        <v>1501.95</v>
      </c>
      <c r="G24" s="252"/>
      <c r="H24" s="946"/>
    </row>
    <row r="25" spans="1:8" s="224" customFormat="1" ht="15.75" hidden="1" customHeight="1" x14ac:dyDescent="0.25">
      <c r="A25" s="215">
        <v>42131</v>
      </c>
      <c r="B25" s="862" t="s">
        <v>989</v>
      </c>
      <c r="C25" s="350" t="s">
        <v>12</v>
      </c>
      <c r="D25" s="141" t="s">
        <v>13</v>
      </c>
      <c r="E25" s="97">
        <v>297.57</v>
      </c>
      <c r="F25" s="1473"/>
      <c r="G25" s="252"/>
      <c r="H25" s="946"/>
    </row>
    <row r="26" spans="1:8" s="224" customFormat="1" ht="15.75" hidden="1" customHeight="1" x14ac:dyDescent="0.25">
      <c r="A26" s="215">
        <v>42131</v>
      </c>
      <c r="B26" s="882" t="s">
        <v>990</v>
      </c>
      <c r="C26" s="350" t="s">
        <v>12</v>
      </c>
      <c r="D26" s="141" t="s">
        <v>13</v>
      </c>
      <c r="E26" s="97">
        <v>82.3</v>
      </c>
      <c r="F26" s="1473"/>
      <c r="G26" s="252"/>
      <c r="H26" s="946"/>
    </row>
    <row r="27" spans="1:8" s="224" customFormat="1" ht="15.75" hidden="1" customHeight="1" x14ac:dyDescent="0.25">
      <c r="A27" s="215">
        <v>42131</v>
      </c>
      <c r="B27" s="862" t="s">
        <v>991</v>
      </c>
      <c r="C27" s="879" t="s">
        <v>19</v>
      </c>
      <c r="D27" s="1475" t="s">
        <v>13</v>
      </c>
      <c r="E27" s="97">
        <v>300</v>
      </c>
      <c r="F27" s="1473"/>
      <c r="G27" s="252"/>
      <c r="H27" s="946"/>
    </row>
    <row r="28" spans="1:8" hidden="1" x14ac:dyDescent="0.25">
      <c r="A28" s="215">
        <v>42131</v>
      </c>
      <c r="B28" s="349" t="s">
        <v>260</v>
      </c>
      <c r="C28" s="350"/>
      <c r="D28" s="141"/>
      <c r="E28" s="97">
        <v>560</v>
      </c>
      <c r="F28" s="946"/>
      <c r="G28" s="95"/>
      <c r="H28" s="946">
        <v>560</v>
      </c>
    </row>
    <row r="29" spans="1:8" s="224" customFormat="1" ht="15.75" hidden="1" customHeight="1" x14ac:dyDescent="0.25">
      <c r="A29" s="215">
        <v>42131</v>
      </c>
      <c r="B29" s="862" t="s">
        <v>992</v>
      </c>
      <c r="C29" s="879" t="s">
        <v>12</v>
      </c>
      <c r="D29" s="1475" t="s">
        <v>13</v>
      </c>
      <c r="E29" s="97">
        <v>125</v>
      </c>
      <c r="F29" s="1473"/>
      <c r="G29" s="252"/>
      <c r="H29" s="946"/>
    </row>
    <row r="30" spans="1:8" s="224" customFormat="1" hidden="1" x14ac:dyDescent="0.25">
      <c r="A30" s="215">
        <v>42131</v>
      </c>
      <c r="B30" s="862" t="s">
        <v>32</v>
      </c>
      <c r="C30" s="879" t="s">
        <v>12</v>
      </c>
      <c r="D30" s="1475" t="s">
        <v>13</v>
      </c>
      <c r="E30" s="97">
        <v>12</v>
      </c>
      <c r="F30" s="946"/>
      <c r="G30" s="95"/>
      <c r="H30" s="1473"/>
    </row>
    <row r="31" spans="1:8" s="224" customFormat="1" hidden="1" x14ac:dyDescent="0.25">
      <c r="A31" s="215">
        <v>42131</v>
      </c>
      <c r="B31" s="862" t="s">
        <v>993</v>
      </c>
      <c r="C31" s="879" t="s">
        <v>12</v>
      </c>
      <c r="D31" s="1475" t="s">
        <v>13</v>
      </c>
      <c r="E31" s="97">
        <v>30</v>
      </c>
      <c r="F31" s="1473"/>
      <c r="G31" s="252"/>
      <c r="H31" s="1473"/>
    </row>
    <row r="32" spans="1:8" s="224" customFormat="1" hidden="1" x14ac:dyDescent="0.25">
      <c r="A32" s="215">
        <v>42131</v>
      </c>
      <c r="B32" s="862" t="s">
        <v>994</v>
      </c>
      <c r="C32" s="879" t="s">
        <v>12</v>
      </c>
      <c r="D32" s="1475" t="s">
        <v>25</v>
      </c>
      <c r="E32" s="97"/>
      <c r="F32" s="1473">
        <v>42.46</v>
      </c>
      <c r="G32" s="252"/>
      <c r="H32" s="1473"/>
    </row>
    <row r="33" spans="1:8" s="224" customFormat="1" hidden="1" x14ac:dyDescent="0.25">
      <c r="A33" s="215">
        <v>42131</v>
      </c>
      <c r="B33" s="862" t="s">
        <v>995</v>
      </c>
      <c r="C33" s="879" t="s">
        <v>19</v>
      </c>
      <c r="D33" s="1475" t="s">
        <v>13</v>
      </c>
      <c r="E33" s="97">
        <v>9.4499999999999993</v>
      </c>
      <c r="F33" s="946"/>
      <c r="G33" s="95"/>
      <c r="H33" s="1473"/>
    </row>
    <row r="34" spans="1:8" s="224" customFormat="1" x14ac:dyDescent="0.25">
      <c r="A34" s="215">
        <v>42131</v>
      </c>
      <c r="B34" s="862" t="s">
        <v>915</v>
      </c>
      <c r="C34" s="879" t="s">
        <v>19</v>
      </c>
      <c r="D34" s="1475" t="s">
        <v>13</v>
      </c>
      <c r="E34" s="97">
        <v>39</v>
      </c>
      <c r="F34" s="1473"/>
      <c r="G34" s="252"/>
      <c r="H34" s="1473"/>
    </row>
    <row r="35" spans="1:8" s="224" customFormat="1" hidden="1" x14ac:dyDescent="0.25">
      <c r="A35" s="215">
        <v>42131</v>
      </c>
      <c r="B35" s="862" t="s">
        <v>970</v>
      </c>
      <c r="C35" s="879" t="s">
        <v>19</v>
      </c>
      <c r="D35" s="1475" t="s">
        <v>13</v>
      </c>
      <c r="E35" s="97">
        <v>28</v>
      </c>
      <c r="F35" s="1473"/>
      <c r="G35" s="252"/>
      <c r="H35" s="1473"/>
    </row>
    <row r="36" spans="1:8" s="224" customFormat="1" hidden="1" x14ac:dyDescent="0.25">
      <c r="A36" s="215">
        <v>42131</v>
      </c>
      <c r="B36" s="862" t="s">
        <v>996</v>
      </c>
      <c r="C36" s="879" t="s">
        <v>19</v>
      </c>
      <c r="D36" s="1475" t="s">
        <v>13</v>
      </c>
      <c r="E36" s="97">
        <v>19</v>
      </c>
      <c r="F36" s="1473"/>
      <c r="G36" s="252"/>
      <c r="H36" s="1473"/>
    </row>
    <row r="37" spans="1:8" s="224" customFormat="1" hidden="1" x14ac:dyDescent="0.25">
      <c r="A37" s="215">
        <v>42131</v>
      </c>
      <c r="B37" s="862" t="s">
        <v>134</v>
      </c>
      <c r="C37" s="879" t="s">
        <v>19</v>
      </c>
      <c r="D37" s="1475" t="s">
        <v>13</v>
      </c>
      <c r="E37" s="97">
        <v>12.38</v>
      </c>
      <c r="F37" s="1473"/>
      <c r="G37" s="252"/>
      <c r="H37" s="1473"/>
    </row>
    <row r="38" spans="1:8" s="224" customFormat="1" hidden="1" x14ac:dyDescent="0.25">
      <c r="A38" s="215">
        <v>42131</v>
      </c>
      <c r="B38" s="862" t="s">
        <v>997</v>
      </c>
      <c r="C38" s="879" t="s">
        <v>12</v>
      </c>
      <c r="D38" s="1475" t="s">
        <v>15</v>
      </c>
      <c r="E38" s="97">
        <v>10</v>
      </c>
      <c r="F38" s="1473"/>
      <c r="G38" s="252"/>
      <c r="H38" s="1473"/>
    </row>
    <row r="39" spans="1:8" s="224" customFormat="1" hidden="1" x14ac:dyDescent="0.25">
      <c r="A39" s="215">
        <v>42132</v>
      </c>
      <c r="B39" s="862" t="s">
        <v>32</v>
      </c>
      <c r="C39" s="879" t="s">
        <v>12</v>
      </c>
      <c r="D39" s="1475" t="s">
        <v>15</v>
      </c>
      <c r="E39" s="622">
        <v>12</v>
      </c>
      <c r="F39" s="946"/>
      <c r="G39" s="95"/>
      <c r="H39" s="1473"/>
    </row>
    <row r="40" spans="1:8" s="224" customFormat="1" hidden="1" x14ac:dyDescent="0.25">
      <c r="A40" s="215">
        <v>42133</v>
      </c>
      <c r="B40" s="862" t="s">
        <v>14</v>
      </c>
      <c r="C40" s="879" t="s">
        <v>12</v>
      </c>
      <c r="D40" s="1475" t="s">
        <v>13</v>
      </c>
      <c r="E40" s="97">
        <v>23.85</v>
      </c>
      <c r="F40" s="1473"/>
      <c r="G40" s="252"/>
      <c r="H40" s="1473"/>
    </row>
    <row r="41" spans="1:8" s="224" customFormat="1" hidden="1" x14ac:dyDescent="0.25">
      <c r="A41" s="215">
        <v>42133</v>
      </c>
      <c r="B41" s="862" t="s">
        <v>998</v>
      </c>
      <c r="C41" s="879" t="s">
        <v>12</v>
      </c>
      <c r="D41" s="1475" t="s">
        <v>15</v>
      </c>
      <c r="E41" s="97">
        <v>25</v>
      </c>
      <c r="F41" s="1473"/>
      <c r="G41" s="252"/>
      <c r="H41" s="1473"/>
    </row>
    <row r="42" spans="1:8" s="224" customFormat="1" hidden="1" x14ac:dyDescent="0.25">
      <c r="A42" s="215">
        <v>42133</v>
      </c>
      <c r="B42" s="862" t="s">
        <v>999</v>
      </c>
      <c r="C42" s="879" t="s">
        <v>12</v>
      </c>
      <c r="D42" s="1475" t="s">
        <v>13</v>
      </c>
      <c r="E42" s="97">
        <v>7</v>
      </c>
      <c r="F42" s="1473"/>
      <c r="G42" s="252"/>
      <c r="H42" s="1473"/>
    </row>
    <row r="43" spans="1:8" s="224" customFormat="1" hidden="1" x14ac:dyDescent="0.25">
      <c r="A43" s="215">
        <v>42133</v>
      </c>
      <c r="B43" s="862" t="s">
        <v>190</v>
      </c>
      <c r="C43" s="879" t="s">
        <v>12</v>
      </c>
      <c r="D43" s="1475" t="s">
        <v>15</v>
      </c>
      <c r="E43" s="97">
        <v>20</v>
      </c>
      <c r="F43" s="1473"/>
      <c r="G43" s="252"/>
      <c r="H43" s="1473"/>
    </row>
    <row r="44" spans="1:8" s="224" customFormat="1" hidden="1" x14ac:dyDescent="0.25">
      <c r="A44" s="215">
        <v>42134</v>
      </c>
      <c r="B44" s="862" t="s">
        <v>14</v>
      </c>
      <c r="C44" s="879" t="s">
        <v>12</v>
      </c>
      <c r="D44" s="1475" t="s">
        <v>13</v>
      </c>
      <c r="E44" s="97">
        <v>11.73</v>
      </c>
      <c r="F44" s="1473"/>
      <c r="G44" s="252"/>
      <c r="H44" s="1473"/>
    </row>
    <row r="45" spans="1:8" s="224" customFormat="1" hidden="1" x14ac:dyDescent="0.25">
      <c r="A45" s="215">
        <v>42134</v>
      </c>
      <c r="B45" s="862" t="s">
        <v>134</v>
      </c>
      <c r="C45" s="879" t="s">
        <v>12</v>
      </c>
      <c r="D45" s="1475" t="s">
        <v>15</v>
      </c>
      <c r="E45" s="97">
        <v>7</v>
      </c>
      <c r="F45" s="1473"/>
      <c r="G45" s="252"/>
      <c r="H45" s="1473"/>
    </row>
    <row r="46" spans="1:8" s="224" customFormat="1" hidden="1" x14ac:dyDescent="0.25">
      <c r="A46" s="215">
        <v>42135</v>
      </c>
      <c r="B46" s="862" t="s">
        <v>32</v>
      </c>
      <c r="C46" s="879" t="s">
        <v>12</v>
      </c>
      <c r="D46" s="1475" t="s">
        <v>15</v>
      </c>
      <c r="E46" s="622">
        <v>12</v>
      </c>
      <c r="F46" s="1473"/>
      <c r="G46" s="252"/>
      <c r="H46" s="1473"/>
    </row>
    <row r="47" spans="1:8" s="224" customFormat="1" ht="15.75" hidden="1" customHeight="1" x14ac:dyDescent="0.25">
      <c r="A47" s="215">
        <v>42135</v>
      </c>
      <c r="B47" s="862" t="s">
        <v>256</v>
      </c>
      <c r="C47" s="879" t="s">
        <v>12</v>
      </c>
      <c r="D47" s="1475" t="s">
        <v>13</v>
      </c>
      <c r="E47" s="97"/>
      <c r="F47" s="946">
        <v>213.36</v>
      </c>
      <c r="G47" s="97">
        <v>213.36</v>
      </c>
      <c r="H47" s="946"/>
    </row>
    <row r="48" spans="1:8" s="224" customFormat="1" hidden="1" x14ac:dyDescent="0.25">
      <c r="A48" s="215">
        <v>42135</v>
      </c>
      <c r="B48" s="862" t="s">
        <v>138</v>
      </c>
      <c r="C48" s="879" t="s">
        <v>19</v>
      </c>
      <c r="D48" s="1475" t="s">
        <v>15</v>
      </c>
      <c r="E48" s="622">
        <v>50</v>
      </c>
      <c r="F48" s="1473"/>
      <c r="G48" s="252"/>
      <c r="H48" s="1473"/>
    </row>
    <row r="49" spans="1:8" s="224" customFormat="1" hidden="1" x14ac:dyDescent="0.25">
      <c r="A49" s="215">
        <v>42135</v>
      </c>
      <c r="B49" s="862" t="s">
        <v>1000</v>
      </c>
      <c r="C49" s="879" t="s">
        <v>12</v>
      </c>
      <c r="D49" s="1475" t="s">
        <v>13</v>
      </c>
      <c r="E49" s="622">
        <v>20</v>
      </c>
      <c r="F49" s="1473"/>
      <c r="G49" s="252"/>
      <c r="H49" s="1473"/>
    </row>
    <row r="50" spans="1:8" s="224" customFormat="1" hidden="1" x14ac:dyDescent="0.25">
      <c r="A50" s="215">
        <v>42136</v>
      </c>
      <c r="B50" s="862" t="s">
        <v>32</v>
      </c>
      <c r="C50" s="879" t="s">
        <v>12</v>
      </c>
      <c r="D50" s="1475" t="s">
        <v>15</v>
      </c>
      <c r="E50" s="622">
        <v>12</v>
      </c>
      <c r="F50" s="1473"/>
      <c r="G50" s="252"/>
      <c r="H50" s="1473"/>
    </row>
    <row r="51" spans="1:8" s="224" customFormat="1" hidden="1" x14ac:dyDescent="0.25">
      <c r="A51" s="215">
        <v>42136</v>
      </c>
      <c r="B51" s="862" t="s">
        <v>14</v>
      </c>
      <c r="C51" s="879" t="s">
        <v>12</v>
      </c>
      <c r="D51" s="1475" t="s">
        <v>15</v>
      </c>
      <c r="E51" s="622">
        <v>6</v>
      </c>
      <c r="F51" s="1473"/>
      <c r="G51" s="252"/>
      <c r="H51" s="1473"/>
    </row>
    <row r="52" spans="1:8" s="224" customFormat="1" hidden="1" x14ac:dyDescent="0.25">
      <c r="A52" s="215">
        <v>42136</v>
      </c>
      <c r="B52" s="862" t="s">
        <v>1001</v>
      </c>
      <c r="C52" s="879" t="s">
        <v>12</v>
      </c>
      <c r="D52" s="1475" t="s">
        <v>13</v>
      </c>
      <c r="E52" s="622">
        <v>7.9</v>
      </c>
      <c r="F52" s="1473"/>
      <c r="G52" s="252"/>
      <c r="H52" s="1473"/>
    </row>
    <row r="53" spans="1:8" s="224" customFormat="1" hidden="1" x14ac:dyDescent="0.25">
      <c r="A53" s="215">
        <v>42137</v>
      </c>
      <c r="B53" s="862" t="s">
        <v>32</v>
      </c>
      <c r="C53" s="879" t="s">
        <v>12</v>
      </c>
      <c r="D53" s="1475" t="s">
        <v>15</v>
      </c>
      <c r="E53" s="622">
        <v>12</v>
      </c>
      <c r="F53" s="946"/>
      <c r="G53" s="95"/>
      <c r="H53" s="1473"/>
    </row>
    <row r="54" spans="1:8" s="224" customFormat="1" hidden="1" x14ac:dyDescent="0.25">
      <c r="A54" s="215">
        <v>42137</v>
      </c>
      <c r="B54" s="862" t="s">
        <v>14</v>
      </c>
      <c r="C54" s="879" t="s">
        <v>12</v>
      </c>
      <c r="D54" s="1475" t="s">
        <v>15</v>
      </c>
      <c r="E54" s="622">
        <v>7</v>
      </c>
      <c r="F54" s="1473"/>
      <c r="G54" s="252"/>
      <c r="H54" s="1473"/>
    </row>
    <row r="55" spans="1:8" s="224" customFormat="1" hidden="1" x14ac:dyDescent="0.25">
      <c r="A55" s="215">
        <v>42137</v>
      </c>
      <c r="B55" s="862" t="s">
        <v>147</v>
      </c>
      <c r="C55" s="879" t="s">
        <v>12</v>
      </c>
      <c r="D55" s="1475" t="s">
        <v>15</v>
      </c>
      <c r="E55" s="622">
        <v>15</v>
      </c>
      <c r="F55" s="1473"/>
      <c r="G55" s="252"/>
      <c r="H55" s="1473"/>
    </row>
    <row r="56" spans="1:8" s="224" customFormat="1" hidden="1" x14ac:dyDescent="0.25">
      <c r="A56" s="215">
        <v>42137</v>
      </c>
      <c r="B56" s="862" t="s">
        <v>914</v>
      </c>
      <c r="C56" s="879" t="s">
        <v>12</v>
      </c>
      <c r="D56" s="1475" t="s">
        <v>15</v>
      </c>
      <c r="E56" s="622">
        <v>7</v>
      </c>
      <c r="F56" s="1473"/>
      <c r="G56" s="252"/>
      <c r="H56" s="1473"/>
    </row>
    <row r="57" spans="1:8" s="224" customFormat="1" hidden="1" x14ac:dyDescent="0.25">
      <c r="A57" s="215">
        <v>42138</v>
      </c>
      <c r="B57" s="862" t="s">
        <v>32</v>
      </c>
      <c r="C57" s="879" t="s">
        <v>12</v>
      </c>
      <c r="D57" s="1475" t="s">
        <v>15</v>
      </c>
      <c r="E57" s="622">
        <v>12</v>
      </c>
      <c r="F57" s="1473"/>
      <c r="G57" s="252"/>
      <c r="H57" s="1473"/>
    </row>
    <row r="58" spans="1:8" s="224" customFormat="1" hidden="1" x14ac:dyDescent="0.25">
      <c r="A58" s="215">
        <v>42138</v>
      </c>
      <c r="B58" s="862" t="s">
        <v>1002</v>
      </c>
      <c r="C58" s="879" t="s">
        <v>12</v>
      </c>
      <c r="D58" s="1475" t="s">
        <v>13</v>
      </c>
      <c r="E58" s="622">
        <v>20</v>
      </c>
      <c r="F58" s="1473"/>
      <c r="G58" s="252"/>
      <c r="H58" s="1473"/>
    </row>
    <row r="59" spans="1:8" s="224" customFormat="1" x14ac:dyDescent="0.25">
      <c r="A59" s="215">
        <v>42138</v>
      </c>
      <c r="B59" s="862" t="s">
        <v>915</v>
      </c>
      <c r="C59" s="879" t="s">
        <v>12</v>
      </c>
      <c r="D59" s="1475" t="s">
        <v>13</v>
      </c>
      <c r="E59" s="622">
        <v>37.9</v>
      </c>
      <c r="F59" s="1473"/>
      <c r="G59" s="252"/>
      <c r="H59" s="1473"/>
    </row>
    <row r="60" spans="1:8" s="224" customFormat="1" hidden="1" x14ac:dyDescent="0.25">
      <c r="A60" s="215">
        <v>42138</v>
      </c>
      <c r="B60" s="862" t="s">
        <v>1003</v>
      </c>
      <c r="C60" s="879" t="s">
        <v>12</v>
      </c>
      <c r="D60" s="1475" t="s">
        <v>13</v>
      </c>
      <c r="E60" s="622">
        <v>4.8</v>
      </c>
      <c r="F60" s="1473"/>
      <c r="G60" s="252"/>
      <c r="H60" s="1473"/>
    </row>
    <row r="61" spans="1:8" s="224" customFormat="1" ht="15.75" hidden="1" customHeight="1" x14ac:dyDescent="0.25">
      <c r="A61" s="215">
        <v>42139</v>
      </c>
      <c r="B61" s="862" t="s">
        <v>32</v>
      </c>
      <c r="C61" s="879" t="s">
        <v>12</v>
      </c>
      <c r="D61" s="1475" t="s">
        <v>15</v>
      </c>
      <c r="E61" s="622">
        <v>12</v>
      </c>
      <c r="F61" s="946"/>
      <c r="G61" s="97"/>
      <c r="H61" s="1473"/>
    </row>
    <row r="62" spans="1:8" s="224" customFormat="1" hidden="1" x14ac:dyDescent="0.25">
      <c r="A62" s="215">
        <v>42139</v>
      </c>
      <c r="B62" s="862" t="s">
        <v>997</v>
      </c>
      <c r="C62" s="879" t="s">
        <v>12</v>
      </c>
      <c r="D62" s="1475" t="s">
        <v>15</v>
      </c>
      <c r="E62" s="97">
        <v>10</v>
      </c>
      <c r="F62" s="1473"/>
      <c r="G62" s="252"/>
      <c r="H62" s="1473"/>
    </row>
    <row r="63" spans="1:8" s="224" customFormat="1" ht="15.75" hidden="1" customHeight="1" x14ac:dyDescent="0.25">
      <c r="A63" s="215">
        <v>42139</v>
      </c>
      <c r="B63" s="862" t="s">
        <v>134</v>
      </c>
      <c r="C63" s="879" t="s">
        <v>12</v>
      </c>
      <c r="D63" s="1475" t="s">
        <v>13</v>
      </c>
      <c r="E63" s="622">
        <v>18</v>
      </c>
      <c r="F63" s="946"/>
      <c r="G63" s="97"/>
      <c r="H63" s="1473"/>
    </row>
    <row r="64" spans="1:8" s="224" customFormat="1" hidden="1" x14ac:dyDescent="0.25">
      <c r="A64" s="215">
        <v>42140</v>
      </c>
      <c r="B64" s="862" t="s">
        <v>14</v>
      </c>
      <c r="C64" s="879" t="s">
        <v>12</v>
      </c>
      <c r="D64" s="1475" t="s">
        <v>15</v>
      </c>
      <c r="E64" s="97">
        <v>6</v>
      </c>
      <c r="F64" s="1473"/>
      <c r="G64" s="252"/>
      <c r="H64" s="1473"/>
    </row>
    <row r="65" spans="1:8" s="224" customFormat="1" ht="15.75" hidden="1" customHeight="1" x14ac:dyDescent="0.25">
      <c r="A65" s="215">
        <v>42140</v>
      </c>
      <c r="B65" s="862" t="s">
        <v>134</v>
      </c>
      <c r="C65" s="879" t="s">
        <v>12</v>
      </c>
      <c r="D65" s="1475" t="s">
        <v>15</v>
      </c>
      <c r="E65" s="622">
        <v>12</v>
      </c>
      <c r="F65" s="946"/>
      <c r="G65" s="97"/>
      <c r="H65" s="1473"/>
    </row>
    <row r="66" spans="1:8" s="224" customFormat="1" hidden="1" x14ac:dyDescent="0.25">
      <c r="A66" s="215">
        <v>42140</v>
      </c>
      <c r="B66" s="862" t="s">
        <v>82</v>
      </c>
      <c r="C66" s="879" t="s">
        <v>12</v>
      </c>
      <c r="D66" s="1475" t="s">
        <v>15</v>
      </c>
      <c r="E66" s="97">
        <v>20</v>
      </c>
      <c r="F66" s="1473"/>
      <c r="G66" s="252"/>
      <c r="H66" s="1473"/>
    </row>
    <row r="67" spans="1:8" hidden="1" x14ac:dyDescent="0.25">
      <c r="A67" s="215">
        <v>42141</v>
      </c>
      <c r="B67" s="349" t="s">
        <v>14</v>
      </c>
      <c r="C67" s="350" t="s">
        <v>12</v>
      </c>
      <c r="D67" s="141" t="s">
        <v>13</v>
      </c>
      <c r="E67" s="97">
        <v>36.99</v>
      </c>
      <c r="F67" s="946"/>
      <c r="G67" s="97"/>
      <c r="H67" s="946"/>
    </row>
    <row r="68" spans="1:8" s="224" customFormat="1" hidden="1" x14ac:dyDescent="0.25">
      <c r="A68" s="215">
        <v>42142</v>
      </c>
      <c r="B68" s="862" t="s">
        <v>32</v>
      </c>
      <c r="C68" s="879" t="s">
        <v>12</v>
      </c>
      <c r="D68" s="1475" t="s">
        <v>13</v>
      </c>
      <c r="E68" s="622">
        <v>12</v>
      </c>
      <c r="F68" s="1473"/>
      <c r="G68" s="252"/>
      <c r="H68" s="1473"/>
    </row>
    <row r="69" spans="1:8" hidden="1" x14ac:dyDescent="0.25">
      <c r="A69" s="215">
        <v>42142</v>
      </c>
      <c r="B69" s="862" t="s">
        <v>256</v>
      </c>
      <c r="C69" s="879" t="s">
        <v>12</v>
      </c>
      <c r="D69" s="1475" t="s">
        <v>13</v>
      </c>
      <c r="E69" s="97"/>
      <c r="F69" s="946">
        <v>150</v>
      </c>
      <c r="G69" s="97">
        <v>150</v>
      </c>
      <c r="H69" s="946"/>
    </row>
    <row r="70" spans="1:8" hidden="1" x14ac:dyDescent="0.25">
      <c r="A70" s="215">
        <v>42142</v>
      </c>
      <c r="B70" s="349" t="s">
        <v>14</v>
      </c>
      <c r="C70" s="350" t="s">
        <v>12</v>
      </c>
      <c r="D70" s="141" t="s">
        <v>15</v>
      </c>
      <c r="E70" s="97">
        <v>5</v>
      </c>
      <c r="F70" s="946"/>
      <c r="G70" s="97"/>
      <c r="H70" s="946"/>
    </row>
    <row r="71" spans="1:8" s="224" customFormat="1" ht="15.75" hidden="1" customHeight="1" x14ac:dyDescent="0.25">
      <c r="A71" s="215">
        <v>42142</v>
      </c>
      <c r="B71" s="862" t="s">
        <v>1004</v>
      </c>
      <c r="C71" s="350" t="s">
        <v>12</v>
      </c>
      <c r="D71" s="141" t="s">
        <v>13</v>
      </c>
      <c r="E71" s="97">
        <v>180</v>
      </c>
      <c r="F71" s="1473"/>
      <c r="G71" s="252"/>
      <c r="H71" s="946"/>
    </row>
    <row r="72" spans="1:8" s="224" customFormat="1" hidden="1" x14ac:dyDescent="0.25">
      <c r="A72" s="215">
        <v>42143</v>
      </c>
      <c r="B72" s="862" t="s">
        <v>32</v>
      </c>
      <c r="C72" s="879" t="s">
        <v>12</v>
      </c>
      <c r="D72" s="1475" t="s">
        <v>13</v>
      </c>
      <c r="E72" s="622">
        <v>12</v>
      </c>
      <c r="F72" s="946"/>
      <c r="G72" s="97"/>
      <c r="H72" s="1473"/>
    </row>
    <row r="73" spans="1:8" s="224" customFormat="1" hidden="1" x14ac:dyDescent="0.25">
      <c r="A73" s="215">
        <v>42144</v>
      </c>
      <c r="B73" s="349" t="s">
        <v>1005</v>
      </c>
      <c r="C73" s="350" t="s">
        <v>12</v>
      </c>
      <c r="D73" s="141" t="s">
        <v>25</v>
      </c>
      <c r="E73" s="250"/>
      <c r="F73" s="1473">
        <v>1280</v>
      </c>
      <c r="G73" s="252"/>
      <c r="H73" s="1473"/>
    </row>
    <row r="74" spans="1:8" hidden="1" x14ac:dyDescent="0.25">
      <c r="A74" s="215">
        <v>42144</v>
      </c>
      <c r="B74" s="349" t="s">
        <v>260</v>
      </c>
      <c r="C74" s="350"/>
      <c r="D74" s="141"/>
      <c r="E74" s="97">
        <v>450</v>
      </c>
      <c r="F74" s="946"/>
      <c r="G74" s="95"/>
      <c r="H74" s="946">
        <v>450</v>
      </c>
    </row>
    <row r="75" spans="1:8" s="224" customFormat="1" hidden="1" x14ac:dyDescent="0.25">
      <c r="A75" s="215">
        <v>42144</v>
      </c>
      <c r="B75" s="862" t="s">
        <v>1006</v>
      </c>
      <c r="C75" s="879" t="s">
        <v>19</v>
      </c>
      <c r="D75" s="1475" t="s">
        <v>13</v>
      </c>
      <c r="E75" s="97">
        <v>200</v>
      </c>
      <c r="F75" s="1473"/>
      <c r="G75" s="252"/>
      <c r="H75" s="1473"/>
    </row>
    <row r="76" spans="1:8" s="224" customFormat="1" hidden="1" x14ac:dyDescent="0.25">
      <c r="A76" s="215">
        <v>42144</v>
      </c>
      <c r="B76" s="862" t="s">
        <v>32</v>
      </c>
      <c r="C76" s="879" t="s">
        <v>12</v>
      </c>
      <c r="D76" s="1475" t="s">
        <v>13</v>
      </c>
      <c r="E76" s="622">
        <v>12</v>
      </c>
      <c r="F76" s="946"/>
      <c r="G76" s="97"/>
      <c r="H76" s="1473"/>
    </row>
    <row r="77" spans="1:8" s="224" customFormat="1" hidden="1" x14ac:dyDescent="0.25">
      <c r="A77" s="215">
        <v>42144</v>
      </c>
      <c r="B77" s="862" t="s">
        <v>138</v>
      </c>
      <c r="C77" s="879" t="s">
        <v>19</v>
      </c>
      <c r="D77" s="1475" t="s">
        <v>13</v>
      </c>
      <c r="E77" s="622">
        <v>60</v>
      </c>
      <c r="F77" s="1473"/>
      <c r="G77" s="252"/>
      <c r="H77" s="1473"/>
    </row>
    <row r="78" spans="1:8" s="224" customFormat="1" x14ac:dyDescent="0.25">
      <c r="A78" s="215">
        <v>42144</v>
      </c>
      <c r="B78" s="349" t="s">
        <v>915</v>
      </c>
      <c r="C78" s="350" t="s">
        <v>19</v>
      </c>
      <c r="D78" s="141" t="s">
        <v>13</v>
      </c>
      <c r="E78" s="97">
        <v>37</v>
      </c>
      <c r="F78" s="946"/>
      <c r="G78" s="95"/>
      <c r="H78" s="1473"/>
    </row>
    <row r="79" spans="1:8" s="224" customFormat="1" hidden="1" x14ac:dyDescent="0.25">
      <c r="A79" s="215">
        <v>42144</v>
      </c>
      <c r="B79" s="349" t="s">
        <v>1007</v>
      </c>
      <c r="C79" s="350" t="s">
        <v>19</v>
      </c>
      <c r="D79" s="141" t="s">
        <v>13</v>
      </c>
      <c r="E79" s="97">
        <v>6</v>
      </c>
      <c r="F79" s="946"/>
      <c r="G79" s="95"/>
      <c r="H79" s="1473"/>
    </row>
    <row r="80" spans="1:8" s="224" customFormat="1" hidden="1" x14ac:dyDescent="0.25">
      <c r="A80" s="215">
        <v>42144</v>
      </c>
      <c r="B80" s="349" t="s">
        <v>134</v>
      </c>
      <c r="C80" s="350" t="s">
        <v>19</v>
      </c>
      <c r="D80" s="141" t="s">
        <v>13</v>
      </c>
      <c r="E80" s="97">
        <v>13</v>
      </c>
      <c r="F80" s="946"/>
      <c r="G80" s="95"/>
      <c r="H80" s="1473"/>
    </row>
    <row r="81" spans="1:8" s="224" customFormat="1" ht="15.75" hidden="1" customHeight="1" x14ac:dyDescent="0.25">
      <c r="A81" s="215">
        <v>42144</v>
      </c>
      <c r="B81" s="349" t="s">
        <v>311</v>
      </c>
      <c r="C81" s="350"/>
      <c r="D81" s="141"/>
      <c r="E81" s="97"/>
      <c r="F81" s="946"/>
      <c r="G81" s="97"/>
      <c r="H81" s="946">
        <v>2.4</v>
      </c>
    </row>
    <row r="82" spans="1:8" s="224" customFormat="1" hidden="1" x14ac:dyDescent="0.25">
      <c r="A82" s="215">
        <v>42145</v>
      </c>
      <c r="B82" s="862" t="s">
        <v>32</v>
      </c>
      <c r="C82" s="879" t="s">
        <v>12</v>
      </c>
      <c r="D82" s="1475" t="s">
        <v>13</v>
      </c>
      <c r="E82" s="622">
        <v>12</v>
      </c>
      <c r="F82" s="946"/>
      <c r="G82" s="95"/>
      <c r="H82" s="1473"/>
    </row>
    <row r="83" spans="1:8" s="224" customFormat="1" hidden="1" x14ac:dyDescent="0.25">
      <c r="A83" s="215">
        <v>42146</v>
      </c>
      <c r="B83" s="862" t="s">
        <v>32</v>
      </c>
      <c r="C83" s="879" t="s">
        <v>12</v>
      </c>
      <c r="D83" s="1475" t="s">
        <v>13</v>
      </c>
      <c r="E83" s="622">
        <v>12</v>
      </c>
      <c r="F83" s="946"/>
      <c r="G83" s="95"/>
      <c r="H83" s="1473"/>
    </row>
    <row r="84" spans="1:8" s="224" customFormat="1" hidden="1" x14ac:dyDescent="0.25">
      <c r="A84" s="215">
        <v>42146</v>
      </c>
      <c r="B84" s="862" t="s">
        <v>1008</v>
      </c>
      <c r="C84" s="879" t="s">
        <v>12</v>
      </c>
      <c r="D84" s="1475" t="s">
        <v>13</v>
      </c>
      <c r="E84" s="622">
        <v>10.5</v>
      </c>
      <c r="F84" s="946"/>
      <c r="G84" s="95"/>
      <c r="H84" s="1473"/>
    </row>
    <row r="85" spans="1:8" s="224" customFormat="1" hidden="1" x14ac:dyDescent="0.25">
      <c r="A85" s="215">
        <v>42146</v>
      </c>
      <c r="B85" s="349" t="s">
        <v>134</v>
      </c>
      <c r="C85" s="350" t="s">
        <v>12</v>
      </c>
      <c r="D85" s="141" t="s">
        <v>15</v>
      </c>
      <c r="E85" s="97">
        <v>5</v>
      </c>
      <c r="F85" s="946"/>
      <c r="G85" s="95"/>
      <c r="H85" s="1473"/>
    </row>
    <row r="86" spans="1:8" s="224" customFormat="1" hidden="1" x14ac:dyDescent="0.25">
      <c r="A86" s="215">
        <v>42146</v>
      </c>
      <c r="B86" s="349" t="s">
        <v>914</v>
      </c>
      <c r="C86" s="350" t="s">
        <v>12</v>
      </c>
      <c r="D86" s="141" t="s">
        <v>15</v>
      </c>
      <c r="E86" s="97">
        <v>13.34</v>
      </c>
      <c r="F86" s="946"/>
      <c r="G86" s="95"/>
      <c r="H86" s="1473"/>
    </row>
    <row r="87" spans="1:8" s="224" customFormat="1" hidden="1" x14ac:dyDescent="0.25">
      <c r="A87" s="215">
        <v>42146</v>
      </c>
      <c r="B87" s="349" t="s">
        <v>970</v>
      </c>
      <c r="C87" s="350" t="s">
        <v>12</v>
      </c>
      <c r="D87" s="141" t="s">
        <v>13</v>
      </c>
      <c r="E87" s="97">
        <v>18.989999999999998</v>
      </c>
      <c r="F87" s="946"/>
      <c r="G87" s="95"/>
      <c r="H87" s="1473"/>
    </row>
    <row r="88" spans="1:8" hidden="1" x14ac:dyDescent="0.25">
      <c r="A88" s="215">
        <v>42147</v>
      </c>
      <c r="B88" s="862" t="s">
        <v>14</v>
      </c>
      <c r="C88" s="879" t="s">
        <v>12</v>
      </c>
      <c r="D88" s="887" t="s">
        <v>13</v>
      </c>
      <c r="E88" s="250">
        <v>9.81</v>
      </c>
      <c r="F88" s="946"/>
      <c r="G88" s="97"/>
      <c r="H88" s="946"/>
    </row>
    <row r="89" spans="1:8" hidden="1" x14ac:dyDescent="0.25">
      <c r="A89" s="215">
        <v>42147</v>
      </c>
      <c r="B89" s="862" t="s">
        <v>1009</v>
      </c>
      <c r="C89" s="879" t="s">
        <v>12</v>
      </c>
      <c r="D89" s="887" t="s">
        <v>13</v>
      </c>
      <c r="E89" s="250">
        <v>60</v>
      </c>
      <c r="F89" s="946"/>
      <c r="G89" s="97"/>
      <c r="H89" s="946"/>
    </row>
    <row r="90" spans="1:8" hidden="1" x14ac:dyDescent="0.25">
      <c r="A90" s="215">
        <v>42147</v>
      </c>
      <c r="B90" s="862" t="s">
        <v>80</v>
      </c>
      <c r="C90" s="879" t="s">
        <v>12</v>
      </c>
      <c r="D90" s="887" t="s">
        <v>13</v>
      </c>
      <c r="E90" s="250">
        <v>14.65</v>
      </c>
      <c r="F90" s="946"/>
      <c r="G90" s="97"/>
      <c r="H90" s="946"/>
    </row>
    <row r="91" spans="1:8" hidden="1" x14ac:dyDescent="0.25">
      <c r="A91" s="215">
        <v>42148</v>
      </c>
      <c r="B91" s="862" t="s">
        <v>80</v>
      </c>
      <c r="C91" s="879" t="s">
        <v>12</v>
      </c>
      <c r="D91" s="887" t="s">
        <v>13</v>
      </c>
      <c r="E91" s="250">
        <v>20</v>
      </c>
      <c r="F91" s="946"/>
      <c r="G91" s="97"/>
      <c r="H91" s="946"/>
    </row>
    <row r="92" spans="1:8" s="224" customFormat="1" hidden="1" x14ac:dyDescent="0.25">
      <c r="A92" s="215">
        <v>42148</v>
      </c>
      <c r="B92" s="862" t="s">
        <v>14</v>
      </c>
      <c r="C92" s="879" t="s">
        <v>12</v>
      </c>
      <c r="D92" s="887" t="s">
        <v>13</v>
      </c>
      <c r="E92" s="250">
        <v>11.33</v>
      </c>
      <c r="F92" s="946"/>
      <c r="G92" s="97"/>
      <c r="H92" s="1473"/>
    </row>
    <row r="93" spans="1:8" s="224" customFormat="1" hidden="1" x14ac:dyDescent="0.25">
      <c r="A93" s="215">
        <v>42149</v>
      </c>
      <c r="B93" s="862" t="s">
        <v>32</v>
      </c>
      <c r="C93" s="879" t="s">
        <v>12</v>
      </c>
      <c r="D93" s="1475" t="s">
        <v>13</v>
      </c>
      <c r="E93" s="622">
        <v>12</v>
      </c>
      <c r="F93" s="946"/>
      <c r="G93" s="97"/>
      <c r="H93" s="1473"/>
    </row>
    <row r="94" spans="1:8" hidden="1" x14ac:dyDescent="0.25">
      <c r="A94" s="215">
        <v>42150</v>
      </c>
      <c r="B94" s="862" t="s">
        <v>878</v>
      </c>
      <c r="C94" s="350" t="s">
        <v>12</v>
      </c>
      <c r="D94" s="957" t="s">
        <v>13</v>
      </c>
      <c r="E94" s="97">
        <v>33.619999999999997</v>
      </c>
      <c r="F94" s="1473"/>
      <c r="G94" s="252"/>
      <c r="H94" s="946"/>
    </row>
    <row r="95" spans="1:8" s="224" customFormat="1" hidden="1" x14ac:dyDescent="0.25">
      <c r="A95" s="215">
        <v>42150</v>
      </c>
      <c r="B95" s="862" t="s">
        <v>32</v>
      </c>
      <c r="C95" s="879" t="s">
        <v>12</v>
      </c>
      <c r="D95" s="1475" t="s">
        <v>13</v>
      </c>
      <c r="E95" s="622">
        <v>6.5</v>
      </c>
      <c r="F95" s="946"/>
      <c r="G95" s="97"/>
      <c r="H95" s="1473"/>
    </row>
    <row r="96" spans="1:8" s="224" customFormat="1" hidden="1" x14ac:dyDescent="0.25">
      <c r="A96" s="215">
        <v>42150</v>
      </c>
      <c r="B96" s="862" t="s">
        <v>914</v>
      </c>
      <c r="C96" s="879" t="s">
        <v>12</v>
      </c>
      <c r="D96" s="887" t="s">
        <v>15</v>
      </c>
      <c r="E96" s="250">
        <v>6</v>
      </c>
      <c r="F96" s="946"/>
      <c r="G96" s="97"/>
      <c r="H96" s="1473"/>
    </row>
    <row r="97" spans="1:8" s="224" customFormat="1" hidden="1" x14ac:dyDescent="0.25">
      <c r="A97" s="215">
        <v>42150</v>
      </c>
      <c r="B97" s="862" t="s">
        <v>138</v>
      </c>
      <c r="C97" s="879" t="s">
        <v>12</v>
      </c>
      <c r="D97" s="887" t="s">
        <v>13</v>
      </c>
      <c r="E97" s="250">
        <v>60</v>
      </c>
      <c r="F97" s="946"/>
      <c r="G97" s="97"/>
      <c r="H97" s="1473"/>
    </row>
    <row r="98" spans="1:8" hidden="1" x14ac:dyDescent="0.25">
      <c r="A98" s="215">
        <v>42151</v>
      </c>
      <c r="B98" s="862" t="s">
        <v>256</v>
      </c>
      <c r="C98" s="879" t="s">
        <v>12</v>
      </c>
      <c r="D98" s="1475" t="s">
        <v>13</v>
      </c>
      <c r="E98" s="97"/>
      <c r="F98" s="946">
        <v>252.4</v>
      </c>
      <c r="G98" s="97">
        <v>252.4</v>
      </c>
      <c r="H98" s="946"/>
    </row>
    <row r="99" spans="1:8" s="224" customFormat="1" hidden="1" x14ac:dyDescent="0.25">
      <c r="A99" s="215">
        <v>42151</v>
      </c>
      <c r="B99" s="862" t="s">
        <v>1010</v>
      </c>
      <c r="C99" s="879" t="s">
        <v>19</v>
      </c>
      <c r="D99" s="887" t="s">
        <v>13</v>
      </c>
      <c r="E99" s="250">
        <v>169</v>
      </c>
      <c r="F99" s="946"/>
      <c r="G99" s="97"/>
      <c r="H99" s="1473"/>
    </row>
    <row r="100" spans="1:8" s="224" customFormat="1" hidden="1" x14ac:dyDescent="0.25">
      <c r="A100" s="215">
        <v>42151</v>
      </c>
      <c r="B100" s="862" t="s">
        <v>1011</v>
      </c>
      <c r="C100" s="879" t="s">
        <v>19</v>
      </c>
      <c r="D100" s="887" t="s">
        <v>13</v>
      </c>
      <c r="E100" s="250">
        <v>26.91</v>
      </c>
      <c r="F100" s="946"/>
      <c r="G100" s="97"/>
      <c r="H100" s="1473"/>
    </row>
    <row r="101" spans="1:8" s="224" customFormat="1" hidden="1" x14ac:dyDescent="0.25">
      <c r="A101" s="215">
        <v>42151</v>
      </c>
      <c r="B101" s="862" t="s">
        <v>1012</v>
      </c>
      <c r="C101" s="879" t="s">
        <v>19</v>
      </c>
      <c r="D101" s="887" t="s">
        <v>13</v>
      </c>
      <c r="E101" s="250">
        <v>7.04</v>
      </c>
      <c r="F101" s="946"/>
      <c r="G101" s="97"/>
      <c r="H101" s="1473"/>
    </row>
    <row r="102" spans="1:8" s="224" customFormat="1" hidden="1" x14ac:dyDescent="0.25">
      <c r="A102" s="215">
        <v>42151</v>
      </c>
      <c r="B102" s="862" t="s">
        <v>32</v>
      </c>
      <c r="C102" s="879" t="s">
        <v>12</v>
      </c>
      <c r="D102" s="1475" t="s">
        <v>13</v>
      </c>
      <c r="E102" s="622">
        <v>12</v>
      </c>
      <c r="F102" s="946"/>
      <c r="G102" s="95"/>
      <c r="H102" s="1473"/>
    </row>
    <row r="103" spans="1:8" s="224" customFormat="1" hidden="1" x14ac:dyDescent="0.25">
      <c r="A103" s="215">
        <v>42152</v>
      </c>
      <c r="B103" s="862" t="s">
        <v>32</v>
      </c>
      <c r="C103" s="879" t="s">
        <v>12</v>
      </c>
      <c r="D103" s="1475" t="s">
        <v>13</v>
      </c>
      <c r="E103" s="622">
        <v>12</v>
      </c>
      <c r="F103" s="946"/>
      <c r="G103" s="97"/>
      <c r="H103" s="1473"/>
    </row>
    <row r="104" spans="1:8" s="224" customFormat="1" hidden="1" x14ac:dyDescent="0.25">
      <c r="A104" s="215">
        <v>42152</v>
      </c>
      <c r="B104" s="862" t="s">
        <v>967</v>
      </c>
      <c r="C104" s="879" t="s">
        <v>12</v>
      </c>
      <c r="D104" s="1475" t="s">
        <v>13</v>
      </c>
      <c r="E104" s="622">
        <v>13</v>
      </c>
      <c r="F104" s="946"/>
      <c r="G104" s="97"/>
      <c r="H104" s="1473"/>
    </row>
    <row r="105" spans="1:8" s="224" customFormat="1" hidden="1" x14ac:dyDescent="0.25">
      <c r="A105" s="215">
        <v>42152</v>
      </c>
      <c r="B105" s="862" t="s">
        <v>14</v>
      </c>
      <c r="C105" s="879" t="s">
        <v>12</v>
      </c>
      <c r="D105" s="1475" t="s">
        <v>13</v>
      </c>
      <c r="E105" s="622">
        <v>11.43</v>
      </c>
      <c r="F105" s="946"/>
      <c r="G105" s="97"/>
      <c r="H105" s="1473"/>
    </row>
    <row r="106" spans="1:8" s="224" customFormat="1" hidden="1" x14ac:dyDescent="0.25">
      <c r="A106" s="215">
        <v>42152</v>
      </c>
      <c r="B106" s="862" t="s">
        <v>1013</v>
      </c>
      <c r="C106" s="879" t="s">
        <v>12</v>
      </c>
      <c r="D106" s="1475" t="s">
        <v>15</v>
      </c>
      <c r="E106" s="622">
        <v>10</v>
      </c>
      <c r="F106" s="946"/>
      <c r="G106" s="97"/>
      <c r="H106" s="1473"/>
    </row>
    <row r="107" spans="1:8" s="224" customFormat="1" hidden="1" x14ac:dyDescent="0.25">
      <c r="A107" s="215">
        <v>42153</v>
      </c>
      <c r="B107" s="862" t="s">
        <v>32</v>
      </c>
      <c r="C107" s="879" t="s">
        <v>12</v>
      </c>
      <c r="D107" s="1475" t="s">
        <v>13</v>
      </c>
      <c r="E107" s="622">
        <v>12</v>
      </c>
      <c r="F107" s="946"/>
      <c r="G107" s="97"/>
      <c r="H107" s="1473"/>
    </row>
    <row r="108" spans="1:8" s="224" customFormat="1" hidden="1" x14ac:dyDescent="0.25">
      <c r="A108" s="215">
        <v>42153</v>
      </c>
      <c r="B108" s="862" t="s">
        <v>1000</v>
      </c>
      <c r="C108" s="879" t="s">
        <v>12</v>
      </c>
      <c r="D108" s="1475" t="s">
        <v>13</v>
      </c>
      <c r="E108" s="622">
        <v>20</v>
      </c>
      <c r="F108" s="1473"/>
      <c r="G108" s="252"/>
      <c r="H108" s="1473"/>
    </row>
    <row r="109" spans="1:8" s="224" customFormat="1" hidden="1" x14ac:dyDescent="0.25">
      <c r="A109" s="215">
        <v>42153</v>
      </c>
      <c r="B109" s="862" t="s">
        <v>649</v>
      </c>
      <c r="C109" s="879" t="s">
        <v>12</v>
      </c>
      <c r="D109" s="1475" t="s">
        <v>13</v>
      </c>
      <c r="E109" s="622">
        <v>21.99</v>
      </c>
      <c r="F109" s="1473"/>
      <c r="G109" s="252"/>
      <c r="H109" s="1473"/>
    </row>
    <row r="110" spans="1:8" s="224" customFormat="1" hidden="1" x14ac:dyDescent="0.25">
      <c r="A110" s="215">
        <v>42154</v>
      </c>
      <c r="B110" s="862" t="s">
        <v>14</v>
      </c>
      <c r="C110" s="879" t="s">
        <v>12</v>
      </c>
      <c r="D110" s="887" t="s">
        <v>13</v>
      </c>
      <c r="E110" s="250">
        <v>15.96</v>
      </c>
      <c r="F110" s="946"/>
      <c r="G110" s="97"/>
      <c r="H110" s="1473"/>
    </row>
    <row r="111" spans="1:8" s="224" customFormat="1" hidden="1" x14ac:dyDescent="0.25">
      <c r="A111" s="215">
        <v>42154</v>
      </c>
      <c r="B111" s="862" t="s">
        <v>1014</v>
      </c>
      <c r="C111" s="879" t="s">
        <v>12</v>
      </c>
      <c r="D111" s="887" t="s">
        <v>13</v>
      </c>
      <c r="E111" s="250">
        <v>9.1999999999999993</v>
      </c>
      <c r="F111" s="946"/>
      <c r="G111" s="97"/>
      <c r="H111" s="1473"/>
    </row>
    <row r="112" spans="1:8" s="224" customFormat="1" hidden="1" x14ac:dyDescent="0.25">
      <c r="A112" s="215">
        <v>42154</v>
      </c>
      <c r="B112" s="862" t="s">
        <v>1015</v>
      </c>
      <c r="C112" s="879" t="s">
        <v>12</v>
      </c>
      <c r="D112" s="887" t="s">
        <v>13</v>
      </c>
      <c r="E112" s="250">
        <v>14</v>
      </c>
      <c r="F112" s="946"/>
      <c r="G112" s="97"/>
      <c r="H112" s="1473"/>
    </row>
    <row r="113" spans="1:17" s="224" customFormat="1" hidden="1" x14ac:dyDescent="0.25">
      <c r="A113" s="215">
        <v>42154</v>
      </c>
      <c r="B113" s="862" t="s">
        <v>134</v>
      </c>
      <c r="C113" s="879" t="s">
        <v>12</v>
      </c>
      <c r="D113" s="887" t="s">
        <v>15</v>
      </c>
      <c r="E113" s="250">
        <v>7</v>
      </c>
      <c r="F113" s="946"/>
      <c r="G113" s="97"/>
      <c r="H113" s="1473"/>
    </row>
    <row r="114" spans="1:17" s="224" customFormat="1" hidden="1" x14ac:dyDescent="0.25">
      <c r="A114" s="215">
        <v>42155</v>
      </c>
      <c r="B114" s="862" t="s">
        <v>14</v>
      </c>
      <c r="C114" s="879" t="s">
        <v>12</v>
      </c>
      <c r="D114" s="887" t="s">
        <v>13</v>
      </c>
      <c r="E114" s="250">
        <v>10</v>
      </c>
      <c r="F114" s="1473"/>
      <c r="G114" s="252"/>
      <c r="H114" s="1473"/>
    </row>
    <row r="115" spans="1:17" ht="25.5" hidden="1" customHeight="1" thickBot="1" x14ac:dyDescent="0.3">
      <c r="A115" s="3060"/>
      <c r="B115" s="3061"/>
      <c r="C115" s="3062"/>
      <c r="D115" s="3062"/>
      <c r="E115" s="100">
        <f>SUM(E6:E114)</f>
        <v>3927.619999999999</v>
      </c>
      <c r="F115" s="1065">
        <f>SUM(F5:F114)</f>
        <v>4134.1130000000003</v>
      </c>
      <c r="G115" s="101">
        <f>SUM(G6:G114)</f>
        <v>765.76</v>
      </c>
      <c r="H115" s="93">
        <f>SUM(H5:H114)</f>
        <v>1815.7600000000007</v>
      </c>
    </row>
    <row r="116" spans="1:17" ht="25.5" hidden="1" customHeight="1" thickBot="1" x14ac:dyDescent="0.3">
      <c r="A116" s="3077" t="s">
        <v>49</v>
      </c>
      <c r="B116" s="3078"/>
      <c r="C116" s="3078"/>
      <c r="D116" s="3078"/>
      <c r="E116" s="144"/>
      <c r="F116" s="519">
        <f>F115-E115</f>
        <v>206.4930000000013</v>
      </c>
      <c r="G116" s="555"/>
      <c r="H116" s="556">
        <f>H115-G115</f>
        <v>1050.0000000000007</v>
      </c>
    </row>
    <row r="118" spans="1:17" x14ac:dyDescent="0.25">
      <c r="B118" s="79" t="s">
        <v>32</v>
      </c>
      <c r="C118" s="475">
        <v>234.5</v>
      </c>
    </row>
    <row r="119" spans="1:17" x14ac:dyDescent="0.25">
      <c r="B119" s="79" t="s">
        <v>16</v>
      </c>
      <c r="C119" s="475">
        <v>230</v>
      </c>
      <c r="D119" s="79"/>
    </row>
    <row r="120" spans="1:17" x14ac:dyDescent="0.25">
      <c r="B120" s="79" t="s">
        <v>50</v>
      </c>
      <c r="C120" s="475">
        <v>106.02</v>
      </c>
    </row>
    <row r="121" spans="1:17" s="85" customFormat="1" x14ac:dyDescent="0.25">
      <c r="A121" s="79"/>
      <c r="B121" s="79" t="s">
        <v>14</v>
      </c>
      <c r="C121" s="475">
        <v>214.14</v>
      </c>
      <c r="E121" s="89"/>
      <c r="F121" s="79"/>
      <c r="G121" s="79"/>
    </row>
    <row r="122" spans="1:17" s="85" customFormat="1" x14ac:dyDescent="0.25">
      <c r="A122" s="79"/>
      <c r="B122" s="79" t="s">
        <v>51</v>
      </c>
      <c r="C122" s="484">
        <v>82.3</v>
      </c>
      <c r="E122" s="89"/>
      <c r="F122" s="79"/>
      <c r="G122" s="79"/>
      <c r="H122" s="79"/>
    </row>
    <row r="123" spans="1:17" s="85" customFormat="1" x14ac:dyDescent="0.25">
      <c r="A123" s="79"/>
      <c r="B123" s="79" t="s">
        <v>52</v>
      </c>
      <c r="C123" s="484"/>
      <c r="E123" s="89"/>
      <c r="F123" s="79"/>
      <c r="G123" s="79"/>
      <c r="H123" s="79"/>
    </row>
    <row r="124" spans="1:17" s="85" customFormat="1" x14ac:dyDescent="0.25">
      <c r="A124" s="79"/>
      <c r="B124" s="867" t="s">
        <v>53</v>
      </c>
      <c r="C124" s="475">
        <v>45</v>
      </c>
      <c r="D124" s="89"/>
      <c r="E124" s="89"/>
      <c r="F124" s="79"/>
      <c r="G124" s="79"/>
      <c r="H124" s="79"/>
    </row>
    <row r="125" spans="1:17" s="85" customFormat="1" x14ac:dyDescent="0.25">
      <c r="A125" s="79"/>
      <c r="B125" s="79" t="s">
        <v>56</v>
      </c>
      <c r="C125" s="475">
        <v>34.65</v>
      </c>
      <c r="E125" s="89"/>
      <c r="F125" s="79"/>
      <c r="G125" s="79"/>
      <c r="H125" s="79"/>
    </row>
    <row r="126" spans="1:17" s="85" customFormat="1" x14ac:dyDescent="0.25">
      <c r="A126" s="79"/>
      <c r="B126" s="79" t="s">
        <v>910</v>
      </c>
      <c r="C126" s="475">
        <v>369.31</v>
      </c>
      <c r="E126" s="89"/>
      <c r="F126" s="79"/>
      <c r="G126" s="79"/>
      <c r="H126" s="79"/>
    </row>
    <row r="127" spans="1:17" s="85" customFormat="1" x14ac:dyDescent="0.25">
      <c r="A127" s="79"/>
      <c r="B127" s="79" t="s">
        <v>418</v>
      </c>
      <c r="C127" s="475"/>
      <c r="E127" s="89"/>
      <c r="F127" s="79"/>
      <c r="G127" s="79"/>
      <c r="H127" s="79"/>
    </row>
    <row r="128" spans="1:17" s="85" customFormat="1" x14ac:dyDescent="0.25">
      <c r="A128" s="79"/>
      <c r="B128" s="79" t="s">
        <v>419</v>
      </c>
      <c r="C128" s="475">
        <v>409.42</v>
      </c>
      <c r="D128" s="79"/>
      <c r="E128" s="89"/>
      <c r="F128" s="79"/>
      <c r="G128" s="79"/>
      <c r="I128" s="79"/>
      <c r="J128" s="79"/>
      <c r="K128" s="79"/>
      <c r="L128" s="79"/>
      <c r="M128" s="79"/>
      <c r="N128" s="79"/>
      <c r="O128" s="79"/>
      <c r="P128" s="79"/>
      <c r="Q128" s="79"/>
    </row>
    <row r="129" spans="2:9" x14ac:dyDescent="0.25">
      <c r="B129" s="79" t="s">
        <v>911</v>
      </c>
      <c r="C129" s="475">
        <v>718.79</v>
      </c>
    </row>
    <row r="131" spans="2:9" x14ac:dyDescent="0.25">
      <c r="B131" s="79" t="s">
        <v>486</v>
      </c>
      <c r="C131" s="475">
        <f>G131/I131</f>
        <v>92.503870967741932</v>
      </c>
      <c r="E131" s="224" t="s">
        <v>487</v>
      </c>
      <c r="F131" s="224"/>
      <c r="G131" s="216">
        <v>2867.62</v>
      </c>
      <c r="H131" s="518" t="s">
        <v>488</v>
      </c>
      <c r="I131" s="85">
        <v>31</v>
      </c>
    </row>
  </sheetData>
  <autoFilter ref="A2:H116" xr:uid="{00000000-0009-0000-0000-000021000000}">
    <filterColumn colId="1">
      <customFilters>
        <customFilter val="*apt*"/>
      </customFilters>
    </filterColumn>
  </autoFilter>
  <mergeCells count="10">
    <mergeCell ref="A115:D115"/>
    <mergeCell ref="A116:D11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  <ignoredErrors>
    <ignoredError sqref="F115" formula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Plan23" filterMode="1"/>
  <dimension ref="A1:I123"/>
  <sheetViews>
    <sheetView zoomScale="85" zoomScaleNormal="85" workbookViewId="0">
      <pane ySplit="4" topLeftCell="A5" activePane="bottomLeft" state="frozen"/>
      <selection activeCell="C44" sqref="C44"/>
      <selection pane="bottomLeft" activeCell="B121" sqref="A1:L12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1016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42156</v>
      </c>
      <c r="B5" s="369" t="s">
        <v>10</v>
      </c>
      <c r="C5" s="370"/>
      <c r="D5" s="207"/>
      <c r="E5" s="179"/>
      <c r="F5" s="933">
        <f>'Maio-15'!F116</f>
        <v>206.4930000000013</v>
      </c>
      <c r="G5" s="163"/>
      <c r="H5" s="933">
        <f>'Maio-15'!H116</f>
        <v>1050.0000000000007</v>
      </c>
    </row>
    <row r="6" spans="1:8" s="224" customFormat="1" hidden="1" x14ac:dyDescent="0.25">
      <c r="A6" s="215">
        <v>42156</v>
      </c>
      <c r="B6" s="348" t="s">
        <v>11</v>
      </c>
      <c r="C6" s="351"/>
      <c r="D6" s="248"/>
      <c r="E6" s="250">
        <v>20</v>
      </c>
      <c r="F6" s="1473"/>
      <c r="G6" s="252"/>
      <c r="H6" s="1473"/>
    </row>
    <row r="7" spans="1:8" s="224" customFormat="1" hidden="1" x14ac:dyDescent="0.25">
      <c r="A7" s="215">
        <v>42156</v>
      </c>
      <c r="B7" s="349" t="s">
        <v>32</v>
      </c>
      <c r="C7" s="350" t="s">
        <v>12</v>
      </c>
      <c r="D7" s="141" t="s">
        <v>15</v>
      </c>
      <c r="E7" s="97">
        <v>10</v>
      </c>
      <c r="F7" s="946"/>
      <c r="G7" s="97"/>
      <c r="H7" s="1473"/>
    </row>
    <row r="8" spans="1:8" s="224" customFormat="1" hidden="1" x14ac:dyDescent="0.25">
      <c r="A8" s="215">
        <v>42156</v>
      </c>
      <c r="B8" s="1489" t="s">
        <v>914</v>
      </c>
      <c r="C8" s="879" t="s">
        <v>12</v>
      </c>
      <c r="D8" s="887" t="s">
        <v>13</v>
      </c>
      <c r="E8" s="250">
        <v>23</v>
      </c>
      <c r="F8" s="1473"/>
      <c r="G8" s="252"/>
      <c r="H8" s="1473"/>
    </row>
    <row r="9" spans="1:8" s="224" customFormat="1" hidden="1" x14ac:dyDescent="0.25">
      <c r="A9" s="215">
        <v>42157</v>
      </c>
      <c r="B9" s="349" t="s">
        <v>32</v>
      </c>
      <c r="C9" s="350" t="s">
        <v>12</v>
      </c>
      <c r="D9" s="141" t="s">
        <v>13</v>
      </c>
      <c r="E9" s="97">
        <v>12</v>
      </c>
      <c r="F9" s="1473"/>
      <c r="G9" s="252"/>
      <c r="H9" s="1473"/>
    </row>
    <row r="10" spans="1:8" s="224" customFormat="1" hidden="1" x14ac:dyDescent="0.25">
      <c r="A10" s="215">
        <v>42157</v>
      </c>
      <c r="B10" s="349" t="s">
        <v>14</v>
      </c>
      <c r="C10" s="350" t="s">
        <v>12</v>
      </c>
      <c r="D10" s="141" t="s">
        <v>13</v>
      </c>
      <c r="E10" s="97">
        <v>4.46</v>
      </c>
      <c r="F10" s="1473"/>
      <c r="G10" s="252"/>
      <c r="H10" s="1473"/>
    </row>
    <row r="11" spans="1:8" s="224" customFormat="1" hidden="1" x14ac:dyDescent="0.25">
      <c r="A11" s="215">
        <v>42158</v>
      </c>
      <c r="B11" s="1489" t="s">
        <v>32</v>
      </c>
      <c r="C11" s="879" t="s">
        <v>12</v>
      </c>
      <c r="D11" s="887" t="s">
        <v>13</v>
      </c>
      <c r="E11" s="250">
        <v>12</v>
      </c>
      <c r="F11" s="1473"/>
      <c r="G11" s="252"/>
      <c r="H11" s="1473"/>
    </row>
    <row r="12" spans="1:8" hidden="1" x14ac:dyDescent="0.25">
      <c r="A12" s="215">
        <v>42158</v>
      </c>
      <c r="B12" s="862" t="s">
        <v>256</v>
      </c>
      <c r="C12" s="879" t="s">
        <v>12</v>
      </c>
      <c r="D12" s="1475" t="s">
        <v>13</v>
      </c>
      <c r="E12" s="97"/>
      <c r="F12" s="946">
        <v>250</v>
      </c>
      <c r="G12" s="97">
        <v>250</v>
      </c>
      <c r="H12" s="946"/>
    </row>
    <row r="13" spans="1:8" s="224" customFormat="1" hidden="1" x14ac:dyDescent="0.25">
      <c r="A13" s="215">
        <v>42158</v>
      </c>
      <c r="B13" s="1489" t="s">
        <v>970</v>
      </c>
      <c r="C13" s="879" t="s">
        <v>12</v>
      </c>
      <c r="D13" s="887" t="s">
        <v>15</v>
      </c>
      <c r="E13" s="250">
        <v>40</v>
      </c>
      <c r="F13" s="1473"/>
      <c r="G13" s="252"/>
      <c r="H13" s="1473"/>
    </row>
    <row r="14" spans="1:8" s="224" customFormat="1" x14ac:dyDescent="0.25">
      <c r="A14" s="215">
        <v>42158</v>
      </c>
      <c r="B14" s="1489" t="s">
        <v>915</v>
      </c>
      <c r="C14" s="879" t="s">
        <v>12</v>
      </c>
      <c r="D14" s="887" t="s">
        <v>15</v>
      </c>
      <c r="E14" s="250">
        <v>40</v>
      </c>
      <c r="F14" s="1473"/>
      <c r="G14" s="252"/>
      <c r="H14" s="1473"/>
    </row>
    <row r="15" spans="1:8" s="224" customFormat="1" hidden="1" x14ac:dyDescent="0.25">
      <c r="A15" s="215">
        <v>42158</v>
      </c>
      <c r="B15" s="1489" t="s">
        <v>1017</v>
      </c>
      <c r="C15" s="879" t="s">
        <v>12</v>
      </c>
      <c r="D15" s="887" t="s">
        <v>13</v>
      </c>
      <c r="E15" s="250">
        <v>7</v>
      </c>
      <c r="F15" s="1473"/>
      <c r="G15" s="252"/>
      <c r="H15" s="1473"/>
    </row>
    <row r="16" spans="1:8" s="224" customFormat="1" hidden="1" x14ac:dyDescent="0.25">
      <c r="A16" s="215">
        <v>42158</v>
      </c>
      <c r="B16" s="1489" t="s">
        <v>1018</v>
      </c>
      <c r="C16" s="879" t="s">
        <v>12</v>
      </c>
      <c r="D16" s="887" t="s">
        <v>15</v>
      </c>
      <c r="E16" s="250">
        <v>34</v>
      </c>
      <c r="F16" s="1473"/>
      <c r="G16" s="252"/>
      <c r="H16" s="1473"/>
    </row>
    <row r="17" spans="1:8" s="224" customFormat="1" hidden="1" x14ac:dyDescent="0.25">
      <c r="A17" s="215">
        <v>42159</v>
      </c>
      <c r="B17" s="1489" t="s">
        <v>14</v>
      </c>
      <c r="C17" s="879" t="s">
        <v>12</v>
      </c>
      <c r="D17" s="887" t="s">
        <v>13</v>
      </c>
      <c r="E17" s="250">
        <v>14</v>
      </c>
      <c r="F17" s="1473"/>
      <c r="G17" s="252"/>
      <c r="H17" s="1473"/>
    </row>
    <row r="18" spans="1:8" s="224" customFormat="1" hidden="1" x14ac:dyDescent="0.25">
      <c r="A18" s="215">
        <v>42160</v>
      </c>
      <c r="B18" s="1489" t="s">
        <v>134</v>
      </c>
      <c r="C18" s="879" t="s">
        <v>12</v>
      </c>
      <c r="D18" s="887" t="s">
        <v>15</v>
      </c>
      <c r="E18" s="250">
        <v>7.5</v>
      </c>
      <c r="F18" s="1473"/>
      <c r="G18" s="252"/>
      <c r="H18" s="1473"/>
    </row>
    <row r="19" spans="1:8" x14ac:dyDescent="0.25">
      <c r="A19" s="215">
        <v>42160</v>
      </c>
      <c r="B19" s="349" t="s">
        <v>260</v>
      </c>
      <c r="C19" s="350"/>
      <c r="D19" s="141"/>
      <c r="E19" s="97">
        <v>650</v>
      </c>
      <c r="F19" s="946"/>
      <c r="G19" s="95"/>
      <c r="H19" s="946">
        <v>650</v>
      </c>
    </row>
    <row r="20" spans="1:8" s="224" customFormat="1" hidden="1" x14ac:dyDescent="0.25">
      <c r="A20" s="215">
        <v>42160</v>
      </c>
      <c r="B20" s="1489" t="s">
        <v>32</v>
      </c>
      <c r="C20" s="879" t="s">
        <v>12</v>
      </c>
      <c r="D20" s="887" t="s">
        <v>13</v>
      </c>
      <c r="E20" s="250">
        <v>12</v>
      </c>
      <c r="F20" s="1473"/>
      <c r="G20" s="252"/>
      <c r="H20" s="1473"/>
    </row>
    <row r="21" spans="1:8" s="224" customFormat="1" ht="15.75" customHeight="1" x14ac:dyDescent="0.25">
      <c r="A21" s="215">
        <v>42160</v>
      </c>
      <c r="B21" s="862" t="s">
        <v>915</v>
      </c>
      <c r="C21" s="879" t="s">
        <v>12</v>
      </c>
      <c r="D21" s="1475" t="s">
        <v>13</v>
      </c>
      <c r="E21" s="97">
        <v>35</v>
      </c>
      <c r="F21" s="946"/>
      <c r="G21" s="97"/>
      <c r="H21" s="946"/>
    </row>
    <row r="22" spans="1:8" s="224" customFormat="1" ht="15.75" customHeight="1" x14ac:dyDescent="0.25">
      <c r="A22" s="215">
        <v>42160</v>
      </c>
      <c r="B22" s="862" t="s">
        <v>995</v>
      </c>
      <c r="C22" s="879" t="s">
        <v>12</v>
      </c>
      <c r="D22" s="1475" t="s">
        <v>13</v>
      </c>
      <c r="E22" s="97">
        <v>12</v>
      </c>
      <c r="F22" s="946"/>
      <c r="G22" s="97"/>
      <c r="H22" s="946"/>
    </row>
    <row r="23" spans="1:8" s="224" customFormat="1" ht="15.75" hidden="1" customHeight="1" x14ac:dyDescent="0.25">
      <c r="A23" s="215">
        <v>42160</v>
      </c>
      <c r="B23" s="349" t="s">
        <v>81</v>
      </c>
      <c r="C23" s="879" t="s">
        <v>12</v>
      </c>
      <c r="D23" s="983" t="s">
        <v>13</v>
      </c>
      <c r="E23" s="250">
        <v>21</v>
      </c>
      <c r="F23" s="1473"/>
      <c r="G23" s="252"/>
      <c r="H23" s="946"/>
    </row>
    <row r="24" spans="1:8" s="224" customFormat="1" ht="15.75" hidden="1" customHeight="1" x14ac:dyDescent="0.25">
      <c r="A24" s="215">
        <v>42160</v>
      </c>
      <c r="B24" s="862" t="s">
        <v>1019</v>
      </c>
      <c r="C24" s="879" t="s">
        <v>12</v>
      </c>
      <c r="D24" s="1475" t="s">
        <v>13</v>
      </c>
      <c r="E24" s="97">
        <v>58</v>
      </c>
      <c r="F24" s="946"/>
      <c r="G24" s="97"/>
      <c r="H24" s="946"/>
    </row>
    <row r="25" spans="1:8" s="224" customFormat="1" ht="15.75" hidden="1" customHeight="1" x14ac:dyDescent="0.25">
      <c r="A25" s="215">
        <v>42160</v>
      </c>
      <c r="B25" s="862" t="s">
        <v>138</v>
      </c>
      <c r="C25" s="879" t="s">
        <v>12</v>
      </c>
      <c r="D25" s="1475" t="s">
        <v>13</v>
      </c>
      <c r="E25" s="97">
        <v>60</v>
      </c>
      <c r="F25" s="946"/>
      <c r="G25" s="97"/>
      <c r="H25" s="946"/>
    </row>
    <row r="26" spans="1:8" s="224" customFormat="1" ht="15.75" hidden="1" customHeight="1" x14ac:dyDescent="0.25">
      <c r="A26" s="215">
        <v>42160</v>
      </c>
      <c r="B26" s="349" t="s">
        <v>1020</v>
      </c>
      <c r="C26" s="879" t="s">
        <v>12</v>
      </c>
      <c r="D26" s="983" t="s">
        <v>25</v>
      </c>
      <c r="E26" s="250"/>
      <c r="F26" s="1473">
        <v>1501.95</v>
      </c>
      <c r="G26" s="252"/>
      <c r="H26" s="946"/>
    </row>
    <row r="27" spans="1:8" s="224" customFormat="1" ht="15.75" hidden="1" customHeight="1" x14ac:dyDescent="0.25">
      <c r="A27" s="215">
        <v>42160</v>
      </c>
      <c r="B27" s="862" t="s">
        <v>1021</v>
      </c>
      <c r="C27" s="350" t="s">
        <v>12</v>
      </c>
      <c r="D27" s="141" t="s">
        <v>13</v>
      </c>
      <c r="E27" s="97">
        <v>321.33999999999997</v>
      </c>
      <c r="F27" s="1473"/>
      <c r="G27" s="252"/>
      <c r="H27" s="946"/>
    </row>
    <row r="28" spans="1:8" s="224" customFormat="1" ht="15.75" hidden="1" customHeight="1" x14ac:dyDescent="0.25">
      <c r="A28" s="215">
        <v>42160</v>
      </c>
      <c r="B28" s="882" t="s">
        <v>1022</v>
      </c>
      <c r="C28" s="350" t="s">
        <v>12</v>
      </c>
      <c r="D28" s="141" t="s">
        <v>13</v>
      </c>
      <c r="E28" s="97">
        <v>74.14</v>
      </c>
      <c r="F28" s="1473"/>
      <c r="G28" s="252"/>
      <c r="H28" s="946"/>
    </row>
    <row r="29" spans="1:8" s="224" customFormat="1" ht="15.75" hidden="1" customHeight="1" x14ac:dyDescent="0.25">
      <c r="A29" s="215">
        <v>42161</v>
      </c>
      <c r="B29" s="862" t="s">
        <v>14</v>
      </c>
      <c r="C29" s="879" t="s">
        <v>12</v>
      </c>
      <c r="D29" s="1475" t="s">
        <v>13</v>
      </c>
      <c r="E29" s="97">
        <v>14.22</v>
      </c>
      <c r="F29" s="946"/>
      <c r="G29" s="97"/>
      <c r="H29" s="946"/>
    </row>
    <row r="30" spans="1:8" s="224" customFormat="1" ht="15.75" hidden="1" customHeight="1" x14ac:dyDescent="0.25">
      <c r="A30" s="215">
        <v>42161</v>
      </c>
      <c r="B30" s="862" t="s">
        <v>1023</v>
      </c>
      <c r="C30" s="879" t="s">
        <v>12</v>
      </c>
      <c r="D30" s="1475" t="s">
        <v>13</v>
      </c>
      <c r="E30" s="97">
        <v>67.099999999999994</v>
      </c>
      <c r="F30" s="946"/>
      <c r="G30" s="97"/>
      <c r="H30" s="946"/>
    </row>
    <row r="31" spans="1:8" s="224" customFormat="1" hidden="1" x14ac:dyDescent="0.25">
      <c r="A31" s="215">
        <v>42162</v>
      </c>
      <c r="B31" s="349" t="s">
        <v>14</v>
      </c>
      <c r="C31" s="350" t="s">
        <v>12</v>
      </c>
      <c r="D31" s="141" t="s">
        <v>13</v>
      </c>
      <c r="E31" s="178">
        <v>28.92</v>
      </c>
      <c r="F31" s="946"/>
      <c r="G31" s="95"/>
      <c r="H31" s="1473"/>
    </row>
    <row r="32" spans="1:8" s="224" customFormat="1" ht="15.75" hidden="1" customHeight="1" x14ac:dyDescent="0.25">
      <c r="A32" s="215">
        <v>42163</v>
      </c>
      <c r="B32" s="1489" t="s">
        <v>32</v>
      </c>
      <c r="C32" s="879" t="s">
        <v>12</v>
      </c>
      <c r="D32" s="887" t="s">
        <v>13</v>
      </c>
      <c r="E32" s="250">
        <v>6.5</v>
      </c>
      <c r="F32" s="946"/>
      <c r="G32" s="97"/>
      <c r="H32" s="946"/>
    </row>
    <row r="33" spans="1:8" s="224" customFormat="1" ht="15.75" hidden="1" customHeight="1" x14ac:dyDescent="0.25">
      <c r="A33" s="215">
        <v>42163</v>
      </c>
      <c r="B33" s="1489" t="s">
        <v>190</v>
      </c>
      <c r="C33" s="879" t="s">
        <v>12</v>
      </c>
      <c r="D33" s="887" t="s">
        <v>15</v>
      </c>
      <c r="E33" s="250">
        <v>20</v>
      </c>
      <c r="F33" s="946"/>
      <c r="G33" s="97"/>
      <c r="H33" s="946"/>
    </row>
    <row r="34" spans="1:8" s="224" customFormat="1" ht="15.75" hidden="1" customHeight="1" x14ac:dyDescent="0.25">
      <c r="A34" s="215">
        <v>42163</v>
      </c>
      <c r="B34" s="1489" t="s">
        <v>1024</v>
      </c>
      <c r="C34" s="879" t="s">
        <v>19</v>
      </c>
      <c r="D34" s="887" t="s">
        <v>13</v>
      </c>
      <c r="E34" s="250">
        <v>65.989999999999995</v>
      </c>
      <c r="F34" s="946"/>
      <c r="G34" s="97"/>
      <c r="H34" s="946"/>
    </row>
    <row r="35" spans="1:8" hidden="1" x14ac:dyDescent="0.25">
      <c r="A35" s="215">
        <v>42164</v>
      </c>
      <c r="B35" s="862" t="s">
        <v>256</v>
      </c>
      <c r="C35" s="879" t="s">
        <v>12</v>
      </c>
      <c r="D35" s="1475" t="s">
        <v>13</v>
      </c>
      <c r="E35" s="97"/>
      <c r="F35" s="946">
        <v>252.95</v>
      </c>
      <c r="G35" s="97">
        <v>252.95</v>
      </c>
      <c r="H35" s="946"/>
    </row>
    <row r="36" spans="1:8" s="224" customFormat="1" hidden="1" x14ac:dyDescent="0.25">
      <c r="A36" s="215">
        <v>42164</v>
      </c>
      <c r="B36" s="1489" t="s">
        <v>32</v>
      </c>
      <c r="C36" s="879" t="s">
        <v>12</v>
      </c>
      <c r="D36" s="887" t="s">
        <v>13</v>
      </c>
      <c r="E36" s="250">
        <v>12</v>
      </c>
      <c r="F36" s="1473"/>
      <c r="G36" s="252"/>
      <c r="H36" s="1473"/>
    </row>
    <row r="37" spans="1:8" s="224" customFormat="1" hidden="1" x14ac:dyDescent="0.25">
      <c r="A37" s="215">
        <v>42164</v>
      </c>
      <c r="B37" s="1489" t="s">
        <v>14</v>
      </c>
      <c r="C37" s="879" t="s">
        <v>12</v>
      </c>
      <c r="D37" s="887" t="s">
        <v>13</v>
      </c>
      <c r="E37" s="250">
        <v>5</v>
      </c>
      <c r="F37" s="1473"/>
      <c r="G37" s="252"/>
      <c r="H37" s="1473"/>
    </row>
    <row r="38" spans="1:8" s="224" customFormat="1" ht="15.75" hidden="1" customHeight="1" x14ac:dyDescent="0.25">
      <c r="A38" s="215">
        <v>42164</v>
      </c>
      <c r="B38" s="1489" t="s">
        <v>1025</v>
      </c>
      <c r="C38" s="879" t="s">
        <v>19</v>
      </c>
      <c r="D38" s="887" t="s">
        <v>13</v>
      </c>
      <c r="E38" s="250">
        <v>44</v>
      </c>
      <c r="F38" s="946"/>
      <c r="G38" s="97"/>
      <c r="H38" s="946"/>
    </row>
    <row r="39" spans="1:8" s="224" customFormat="1" hidden="1" x14ac:dyDescent="0.25">
      <c r="A39" s="215">
        <v>42165</v>
      </c>
      <c r="B39" s="1489" t="s">
        <v>32</v>
      </c>
      <c r="C39" s="879" t="s">
        <v>19</v>
      </c>
      <c r="D39" s="887" t="s">
        <v>13</v>
      </c>
      <c r="E39" s="250">
        <v>12</v>
      </c>
      <c r="F39" s="1473"/>
      <c r="G39" s="252"/>
      <c r="H39" s="1473"/>
    </row>
    <row r="40" spans="1:8" s="224" customFormat="1" hidden="1" x14ac:dyDescent="0.25">
      <c r="A40" s="215">
        <v>42166</v>
      </c>
      <c r="B40" s="1489" t="s">
        <v>32</v>
      </c>
      <c r="C40" s="879" t="s">
        <v>12</v>
      </c>
      <c r="D40" s="887" t="s">
        <v>13</v>
      </c>
      <c r="E40" s="250">
        <v>12</v>
      </c>
      <c r="F40" s="1473"/>
      <c r="G40" s="252"/>
      <c r="H40" s="1473"/>
    </row>
    <row r="41" spans="1:8" hidden="1" x14ac:dyDescent="0.25">
      <c r="A41" s="215">
        <v>42166</v>
      </c>
      <c r="B41" s="862" t="s">
        <v>1026</v>
      </c>
      <c r="C41" s="879" t="s">
        <v>12</v>
      </c>
      <c r="D41" s="1475" t="s">
        <v>13</v>
      </c>
      <c r="E41" s="97">
        <v>114</v>
      </c>
      <c r="F41" s="946"/>
      <c r="G41" s="97"/>
      <c r="H41" s="946"/>
    </row>
    <row r="42" spans="1:8" hidden="1" x14ac:dyDescent="0.25">
      <c r="A42" s="215">
        <v>42166</v>
      </c>
      <c r="B42" s="862" t="s">
        <v>1027</v>
      </c>
      <c r="C42" s="879" t="s">
        <v>12</v>
      </c>
      <c r="D42" s="1475" t="s">
        <v>13</v>
      </c>
      <c r="E42" s="97">
        <v>42.1</v>
      </c>
      <c r="F42" s="946"/>
      <c r="G42" s="97"/>
      <c r="H42" s="946"/>
    </row>
    <row r="43" spans="1:8" s="224" customFormat="1" hidden="1" x14ac:dyDescent="0.25">
      <c r="A43" s="215">
        <v>42166</v>
      </c>
      <c r="B43" s="1489" t="s">
        <v>14</v>
      </c>
      <c r="C43" s="879" t="s">
        <v>12</v>
      </c>
      <c r="D43" s="887" t="s">
        <v>15</v>
      </c>
      <c r="E43" s="250">
        <v>7</v>
      </c>
      <c r="F43" s="1473"/>
      <c r="G43" s="252"/>
      <c r="H43" s="1473"/>
    </row>
    <row r="44" spans="1:8" s="224" customFormat="1" ht="15.75" hidden="1" customHeight="1" x14ac:dyDescent="0.25">
      <c r="A44" s="215">
        <v>42166</v>
      </c>
      <c r="B44" s="349" t="s">
        <v>311</v>
      </c>
      <c r="C44" s="350"/>
      <c r="D44" s="141"/>
      <c r="E44" s="97"/>
      <c r="F44" s="946"/>
      <c r="G44" s="97"/>
      <c r="H44" s="946">
        <v>2.95</v>
      </c>
    </row>
    <row r="45" spans="1:8" hidden="1" x14ac:dyDescent="0.25">
      <c r="A45" s="215">
        <v>42167</v>
      </c>
      <c r="B45" s="862" t="s">
        <v>256</v>
      </c>
      <c r="C45" s="879" t="s">
        <v>12</v>
      </c>
      <c r="D45" s="1475" t="s">
        <v>13</v>
      </c>
      <c r="E45" s="97"/>
      <c r="F45" s="946">
        <v>200</v>
      </c>
      <c r="G45" s="97">
        <v>200</v>
      </c>
      <c r="H45" s="946"/>
    </row>
    <row r="46" spans="1:8" s="224" customFormat="1" hidden="1" x14ac:dyDescent="0.25">
      <c r="A46" s="215">
        <v>42167</v>
      </c>
      <c r="B46" s="1489" t="s">
        <v>32</v>
      </c>
      <c r="C46" s="879" t="s">
        <v>12</v>
      </c>
      <c r="D46" s="887" t="s">
        <v>15</v>
      </c>
      <c r="E46" s="250">
        <v>12</v>
      </c>
      <c r="F46" s="1473"/>
      <c r="G46" s="252"/>
      <c r="H46" s="1473"/>
    </row>
    <row r="47" spans="1:8" s="224" customFormat="1" hidden="1" x14ac:dyDescent="0.25">
      <c r="A47" s="215">
        <v>42167</v>
      </c>
      <c r="B47" s="1489" t="s">
        <v>14</v>
      </c>
      <c r="C47" s="879" t="s">
        <v>12</v>
      </c>
      <c r="D47" s="887" t="s">
        <v>13</v>
      </c>
      <c r="E47" s="250">
        <v>6.83</v>
      </c>
      <c r="F47" s="1473"/>
      <c r="G47" s="252"/>
      <c r="H47" s="1473"/>
    </row>
    <row r="48" spans="1:8" s="224" customFormat="1" hidden="1" x14ac:dyDescent="0.25">
      <c r="A48" s="215">
        <v>42167</v>
      </c>
      <c r="B48" s="862" t="s">
        <v>914</v>
      </c>
      <c r="C48" s="879" t="s">
        <v>12</v>
      </c>
      <c r="D48" s="1475" t="s">
        <v>13</v>
      </c>
      <c r="E48" s="97">
        <v>10.32</v>
      </c>
      <c r="F48" s="946"/>
      <c r="G48" s="95"/>
      <c r="H48" s="1473"/>
    </row>
    <row r="49" spans="1:8" s="224" customFormat="1" hidden="1" x14ac:dyDescent="0.25">
      <c r="A49" s="215">
        <v>42167</v>
      </c>
      <c r="B49" s="862" t="s">
        <v>1025</v>
      </c>
      <c r="C49" s="879" t="s">
        <v>19</v>
      </c>
      <c r="D49" s="887" t="s">
        <v>13</v>
      </c>
      <c r="E49" s="250">
        <v>47</v>
      </c>
      <c r="F49" s="1473"/>
      <c r="G49" s="252"/>
      <c r="H49" s="1473"/>
    </row>
    <row r="50" spans="1:8" s="224" customFormat="1" hidden="1" x14ac:dyDescent="0.25">
      <c r="A50" s="215">
        <v>42167</v>
      </c>
      <c r="B50" s="862" t="s">
        <v>1028</v>
      </c>
      <c r="C50" s="879" t="s">
        <v>19</v>
      </c>
      <c r="D50" s="887" t="s">
        <v>13</v>
      </c>
      <c r="E50" s="250">
        <v>14.5</v>
      </c>
      <c r="F50" s="1473"/>
      <c r="G50" s="252"/>
      <c r="H50" s="1473"/>
    </row>
    <row r="51" spans="1:8" s="224" customFormat="1" hidden="1" x14ac:dyDescent="0.25">
      <c r="A51" s="215">
        <v>42167</v>
      </c>
      <c r="B51" s="862" t="s">
        <v>1029</v>
      </c>
      <c r="C51" s="879" t="s">
        <v>12</v>
      </c>
      <c r="D51" s="887" t="s">
        <v>13</v>
      </c>
      <c r="E51" s="250">
        <v>47</v>
      </c>
      <c r="F51" s="1473"/>
      <c r="G51" s="252"/>
      <c r="H51" s="1473"/>
    </row>
    <row r="52" spans="1:8" s="224" customFormat="1" hidden="1" x14ac:dyDescent="0.25">
      <c r="A52" s="215">
        <v>42168</v>
      </c>
      <c r="B52" s="862" t="s">
        <v>1030</v>
      </c>
      <c r="C52" s="879" t="s">
        <v>12</v>
      </c>
      <c r="D52" s="1475" t="s">
        <v>13</v>
      </c>
      <c r="E52" s="97">
        <v>25.2</v>
      </c>
      <c r="F52" s="946"/>
      <c r="G52" s="95"/>
      <c r="H52" s="1473"/>
    </row>
    <row r="53" spans="1:8" s="224" customFormat="1" hidden="1" x14ac:dyDescent="0.25">
      <c r="A53" s="215">
        <v>42168</v>
      </c>
      <c r="B53" s="862" t="s">
        <v>1031</v>
      </c>
      <c r="C53" s="879" t="s">
        <v>12</v>
      </c>
      <c r="D53" s="1475" t="s">
        <v>13</v>
      </c>
      <c r="E53" s="97">
        <v>12</v>
      </c>
      <c r="F53" s="946"/>
      <c r="G53" s="95"/>
      <c r="H53" s="1473"/>
    </row>
    <row r="54" spans="1:8" s="224" customFormat="1" hidden="1" x14ac:dyDescent="0.25">
      <c r="A54" s="215">
        <v>42168</v>
      </c>
      <c r="B54" s="862" t="s">
        <v>32</v>
      </c>
      <c r="C54" s="879" t="s">
        <v>12</v>
      </c>
      <c r="D54" s="1475" t="s">
        <v>13</v>
      </c>
      <c r="E54" s="97">
        <v>12</v>
      </c>
      <c r="F54" s="946"/>
      <c r="G54" s="95"/>
      <c r="H54" s="1473"/>
    </row>
    <row r="55" spans="1:8" s="224" customFormat="1" hidden="1" x14ac:dyDescent="0.25">
      <c r="A55" s="215">
        <v>42168</v>
      </c>
      <c r="B55" s="862" t="s">
        <v>138</v>
      </c>
      <c r="C55" s="879" t="s">
        <v>12</v>
      </c>
      <c r="D55" s="1475" t="s">
        <v>13</v>
      </c>
      <c r="E55" s="97">
        <v>60</v>
      </c>
      <c r="F55" s="946"/>
      <c r="G55" s="95"/>
      <c r="H55" s="1473"/>
    </row>
    <row r="56" spans="1:8" s="224" customFormat="1" hidden="1" x14ac:dyDescent="0.25">
      <c r="A56" s="215">
        <v>42168</v>
      </c>
      <c r="B56" s="862" t="s">
        <v>82</v>
      </c>
      <c r="C56" s="879" t="s">
        <v>12</v>
      </c>
      <c r="D56" s="1475" t="s">
        <v>13</v>
      </c>
      <c r="E56" s="97">
        <v>17</v>
      </c>
      <c r="F56" s="946"/>
      <c r="G56" s="95"/>
      <c r="H56" s="1473"/>
    </row>
    <row r="57" spans="1:8" s="224" customFormat="1" hidden="1" x14ac:dyDescent="0.25">
      <c r="A57" s="215">
        <v>42169</v>
      </c>
      <c r="B57" s="862" t="s">
        <v>14</v>
      </c>
      <c r="C57" s="879" t="s">
        <v>12</v>
      </c>
      <c r="D57" s="887" t="s">
        <v>13</v>
      </c>
      <c r="E57" s="250">
        <v>40</v>
      </c>
      <c r="F57" s="1473"/>
      <c r="G57" s="252"/>
      <c r="H57" s="1473"/>
    </row>
    <row r="58" spans="1:8" s="224" customFormat="1" hidden="1" x14ac:dyDescent="0.25">
      <c r="A58" s="215">
        <v>42170</v>
      </c>
      <c r="B58" s="862" t="s">
        <v>256</v>
      </c>
      <c r="C58" s="879" t="s">
        <v>12</v>
      </c>
      <c r="D58" s="1475" t="s">
        <v>13</v>
      </c>
      <c r="E58" s="97"/>
      <c r="F58" s="946">
        <v>300</v>
      </c>
      <c r="G58" s="97">
        <v>300</v>
      </c>
      <c r="H58" s="1473"/>
    </row>
    <row r="59" spans="1:8" s="224" customFormat="1" ht="15.75" hidden="1" customHeight="1" x14ac:dyDescent="0.25">
      <c r="A59" s="215">
        <v>42170</v>
      </c>
      <c r="B59" s="862" t="s">
        <v>32</v>
      </c>
      <c r="C59" s="879" t="s">
        <v>12</v>
      </c>
      <c r="D59" s="1475" t="s">
        <v>15</v>
      </c>
      <c r="E59" s="97">
        <v>12</v>
      </c>
      <c r="F59" s="946"/>
      <c r="G59" s="97"/>
      <c r="H59" s="1473"/>
    </row>
    <row r="60" spans="1:8" s="224" customFormat="1" ht="15.75" hidden="1" customHeight="1" x14ac:dyDescent="0.25">
      <c r="A60" s="215">
        <v>42170</v>
      </c>
      <c r="B60" s="862" t="s">
        <v>1032</v>
      </c>
      <c r="C60" s="879" t="s">
        <v>12</v>
      </c>
      <c r="D60" s="1475" t="s">
        <v>15</v>
      </c>
      <c r="E60" s="97">
        <v>200</v>
      </c>
      <c r="F60" s="946"/>
      <c r="G60" s="97"/>
      <c r="H60" s="1473"/>
    </row>
    <row r="61" spans="1:8" s="224" customFormat="1" hidden="1" x14ac:dyDescent="0.25">
      <c r="A61" s="215">
        <v>42171</v>
      </c>
      <c r="B61" s="862" t="s">
        <v>32</v>
      </c>
      <c r="C61" s="879" t="s">
        <v>12</v>
      </c>
      <c r="D61" s="1475" t="s">
        <v>15</v>
      </c>
      <c r="E61" s="97">
        <v>7.5</v>
      </c>
      <c r="F61" s="1473"/>
      <c r="G61" s="252"/>
      <c r="H61" s="1473"/>
    </row>
    <row r="62" spans="1:8" s="224" customFormat="1" hidden="1" x14ac:dyDescent="0.25">
      <c r="A62" s="215">
        <v>42171</v>
      </c>
      <c r="B62" s="862" t="s">
        <v>1033</v>
      </c>
      <c r="C62" s="879" t="s">
        <v>12</v>
      </c>
      <c r="D62" s="1475" t="s">
        <v>13</v>
      </c>
      <c r="E62" s="97">
        <v>17.41</v>
      </c>
      <c r="F62" s="1473"/>
      <c r="G62" s="252"/>
      <c r="H62" s="1473"/>
    </row>
    <row r="63" spans="1:8" hidden="1" x14ac:dyDescent="0.25">
      <c r="A63" s="215">
        <v>42171</v>
      </c>
      <c r="B63" s="349" t="s">
        <v>1034</v>
      </c>
      <c r="C63" s="350" t="s">
        <v>12</v>
      </c>
      <c r="D63" s="141" t="s">
        <v>13</v>
      </c>
      <c r="E63" s="97">
        <v>7</v>
      </c>
      <c r="F63" s="946"/>
      <c r="G63" s="97"/>
      <c r="H63" s="946"/>
    </row>
    <row r="64" spans="1:8" hidden="1" x14ac:dyDescent="0.25">
      <c r="A64" s="215">
        <v>42172</v>
      </c>
      <c r="B64" s="862" t="s">
        <v>32</v>
      </c>
      <c r="C64" s="879" t="s">
        <v>12</v>
      </c>
      <c r="D64" s="1475" t="s">
        <v>15</v>
      </c>
      <c r="E64" s="97">
        <v>12</v>
      </c>
      <c r="F64" s="946"/>
      <c r="G64" s="97"/>
      <c r="H64" s="946"/>
    </row>
    <row r="65" spans="1:8" hidden="1" x14ac:dyDescent="0.25">
      <c r="A65" s="215">
        <v>42172</v>
      </c>
      <c r="B65" s="862" t="s">
        <v>14</v>
      </c>
      <c r="C65" s="879" t="s">
        <v>12</v>
      </c>
      <c r="D65" s="1475" t="s">
        <v>15</v>
      </c>
      <c r="E65" s="97">
        <v>14</v>
      </c>
      <c r="F65" s="946"/>
      <c r="G65" s="97"/>
      <c r="H65" s="946"/>
    </row>
    <row r="66" spans="1:8" s="224" customFormat="1" hidden="1" x14ac:dyDescent="0.25">
      <c r="A66" s="215">
        <v>42173</v>
      </c>
      <c r="B66" s="862" t="s">
        <v>32</v>
      </c>
      <c r="C66" s="879" t="s">
        <v>12</v>
      </c>
      <c r="D66" s="1475" t="s">
        <v>15</v>
      </c>
      <c r="E66" s="97">
        <v>12</v>
      </c>
      <c r="F66" s="1473"/>
      <c r="G66" s="252"/>
      <c r="H66" s="1473"/>
    </row>
    <row r="67" spans="1:8" s="224" customFormat="1" hidden="1" x14ac:dyDescent="0.25">
      <c r="A67" s="215">
        <v>42173</v>
      </c>
      <c r="B67" s="862" t="s">
        <v>1035</v>
      </c>
      <c r="C67" s="879" t="s">
        <v>12</v>
      </c>
      <c r="D67" s="1475" t="s">
        <v>13</v>
      </c>
      <c r="E67" s="97">
        <v>30</v>
      </c>
      <c r="F67" s="1473"/>
      <c r="G67" s="252"/>
      <c r="H67" s="1473"/>
    </row>
    <row r="68" spans="1:8" s="224" customFormat="1" hidden="1" x14ac:dyDescent="0.25">
      <c r="A68" s="215">
        <v>42174</v>
      </c>
      <c r="B68" s="862" t="s">
        <v>32</v>
      </c>
      <c r="C68" s="879" t="s">
        <v>12</v>
      </c>
      <c r="D68" s="1475" t="s">
        <v>13</v>
      </c>
      <c r="E68" s="97">
        <v>6.5</v>
      </c>
      <c r="F68" s="946"/>
      <c r="G68" s="97"/>
      <c r="H68" s="1473"/>
    </row>
    <row r="69" spans="1:8" s="224" customFormat="1" hidden="1" x14ac:dyDescent="0.25">
      <c r="A69" s="215">
        <v>42174</v>
      </c>
      <c r="B69" s="349" t="s">
        <v>1036</v>
      </c>
      <c r="C69" s="350" t="s">
        <v>12</v>
      </c>
      <c r="D69" s="141" t="s">
        <v>25</v>
      </c>
      <c r="E69" s="250"/>
      <c r="F69" s="1473">
        <v>1280</v>
      </c>
      <c r="G69" s="252"/>
      <c r="H69" s="1473"/>
    </row>
    <row r="70" spans="1:8" hidden="1" x14ac:dyDescent="0.25">
      <c r="A70" s="215">
        <v>42174</v>
      </c>
      <c r="B70" s="862" t="s">
        <v>878</v>
      </c>
      <c r="C70" s="350" t="s">
        <v>12</v>
      </c>
      <c r="D70" s="957" t="s">
        <v>13</v>
      </c>
      <c r="E70" s="97">
        <v>50</v>
      </c>
      <c r="F70" s="1473"/>
      <c r="G70" s="252"/>
      <c r="H70" s="946"/>
    </row>
    <row r="71" spans="1:8" x14ac:dyDescent="0.25">
      <c r="A71" s="215">
        <v>42174</v>
      </c>
      <c r="B71" s="349" t="s">
        <v>260</v>
      </c>
      <c r="C71" s="350"/>
      <c r="D71" s="141"/>
      <c r="E71" s="97">
        <v>420</v>
      </c>
      <c r="F71" s="946"/>
      <c r="G71" s="95"/>
      <c r="H71" s="946">
        <v>420</v>
      </c>
    </row>
    <row r="72" spans="1:8" s="224" customFormat="1" ht="15.75" hidden="1" customHeight="1" x14ac:dyDescent="0.25">
      <c r="A72" s="215">
        <v>42174</v>
      </c>
      <c r="B72" s="862" t="s">
        <v>1037</v>
      </c>
      <c r="C72" s="879" t="s">
        <v>12</v>
      </c>
      <c r="D72" s="1475" t="s">
        <v>13</v>
      </c>
      <c r="E72" s="97"/>
      <c r="F72" s="1473"/>
      <c r="G72" s="252"/>
      <c r="H72" s="946"/>
    </row>
    <row r="73" spans="1:8" s="224" customFormat="1" hidden="1" x14ac:dyDescent="0.25">
      <c r="A73" s="215">
        <v>42174</v>
      </c>
      <c r="B73" s="349" t="s">
        <v>38</v>
      </c>
      <c r="C73" s="350" t="s">
        <v>12</v>
      </c>
      <c r="D73" s="141" t="s">
        <v>13</v>
      </c>
      <c r="E73" s="97">
        <v>15</v>
      </c>
      <c r="F73" s="946"/>
      <c r="G73" s="95"/>
      <c r="H73" s="1473"/>
    </row>
    <row r="74" spans="1:8" s="224" customFormat="1" hidden="1" x14ac:dyDescent="0.25">
      <c r="A74" s="215">
        <v>42174</v>
      </c>
      <c r="B74" s="349" t="s">
        <v>1038</v>
      </c>
      <c r="C74" s="350" t="s">
        <v>19</v>
      </c>
      <c r="D74" s="141" t="s">
        <v>13</v>
      </c>
      <c r="E74" s="97">
        <v>36</v>
      </c>
      <c r="F74" s="946"/>
      <c r="G74" s="95"/>
      <c r="H74" s="1473"/>
    </row>
    <row r="75" spans="1:8" s="224" customFormat="1" x14ac:dyDescent="0.25">
      <c r="A75" s="215">
        <v>42174</v>
      </c>
      <c r="B75" s="349" t="s">
        <v>1039</v>
      </c>
      <c r="C75" s="350" t="s">
        <v>19</v>
      </c>
      <c r="D75" s="141" t="s">
        <v>13</v>
      </c>
      <c r="E75" s="97">
        <v>70</v>
      </c>
      <c r="F75" s="946"/>
      <c r="G75" s="95"/>
      <c r="H75" s="1473"/>
    </row>
    <row r="76" spans="1:8" s="224" customFormat="1" x14ac:dyDescent="0.25">
      <c r="A76" s="215">
        <v>42174</v>
      </c>
      <c r="B76" s="349" t="s">
        <v>1040</v>
      </c>
      <c r="C76" s="350" t="s">
        <v>19</v>
      </c>
      <c r="D76" s="141" t="s">
        <v>13</v>
      </c>
      <c r="E76" s="97">
        <v>15</v>
      </c>
      <c r="F76" s="946"/>
      <c r="G76" s="95"/>
      <c r="H76" s="1473"/>
    </row>
    <row r="77" spans="1:8" s="224" customFormat="1" hidden="1" x14ac:dyDescent="0.25">
      <c r="A77" s="215">
        <v>42174</v>
      </c>
      <c r="B77" s="349" t="s">
        <v>1041</v>
      </c>
      <c r="C77" s="350" t="s">
        <v>19</v>
      </c>
      <c r="D77" s="141" t="s">
        <v>13</v>
      </c>
      <c r="E77" s="97">
        <v>13.5</v>
      </c>
      <c r="F77" s="946"/>
      <c r="G77" s="95"/>
      <c r="H77" s="1473"/>
    </row>
    <row r="78" spans="1:8" s="224" customFormat="1" hidden="1" x14ac:dyDescent="0.25">
      <c r="A78" s="215">
        <v>42174</v>
      </c>
      <c r="B78" s="349" t="s">
        <v>1042</v>
      </c>
      <c r="C78" s="350" t="s">
        <v>19</v>
      </c>
      <c r="D78" s="141" t="s">
        <v>13</v>
      </c>
      <c r="E78" s="97">
        <v>30</v>
      </c>
      <c r="F78" s="946"/>
      <c r="G78" s="95"/>
      <c r="H78" s="1473"/>
    </row>
    <row r="79" spans="1:8" s="224" customFormat="1" hidden="1" x14ac:dyDescent="0.25">
      <c r="A79" s="215">
        <v>42174</v>
      </c>
      <c r="B79" s="349" t="s">
        <v>134</v>
      </c>
      <c r="C79" s="350" t="s">
        <v>19</v>
      </c>
      <c r="D79" s="141" t="s">
        <v>13</v>
      </c>
      <c r="E79" s="97">
        <v>26.18</v>
      </c>
      <c r="F79" s="946"/>
      <c r="G79" s="95"/>
      <c r="H79" s="1473"/>
    </row>
    <row r="80" spans="1:8" s="224" customFormat="1" ht="15.75" hidden="1" customHeight="1" x14ac:dyDescent="0.25">
      <c r="A80" s="215">
        <v>42174</v>
      </c>
      <c r="B80" s="349" t="s">
        <v>311</v>
      </c>
      <c r="C80" s="350"/>
      <c r="D80" s="141"/>
      <c r="E80" s="97"/>
      <c r="F80" s="946"/>
      <c r="G80" s="97"/>
      <c r="H80" s="946">
        <v>2.4300000000000002</v>
      </c>
    </row>
    <row r="81" spans="1:8" s="224" customFormat="1" hidden="1" x14ac:dyDescent="0.25">
      <c r="A81" s="215">
        <v>42175</v>
      </c>
      <c r="B81" s="349" t="s">
        <v>1043</v>
      </c>
      <c r="C81" s="350" t="s">
        <v>12</v>
      </c>
      <c r="D81" s="141" t="s">
        <v>13</v>
      </c>
      <c r="E81" s="97">
        <v>27.5</v>
      </c>
      <c r="F81" s="946"/>
      <c r="G81" s="95"/>
      <c r="H81" s="1473"/>
    </row>
    <row r="82" spans="1:8" s="224" customFormat="1" hidden="1" x14ac:dyDescent="0.25">
      <c r="A82" s="215">
        <v>42175</v>
      </c>
      <c r="B82" s="349" t="s">
        <v>14</v>
      </c>
      <c r="C82" s="350" t="s">
        <v>12</v>
      </c>
      <c r="D82" s="141" t="s">
        <v>13</v>
      </c>
      <c r="E82" s="97">
        <v>16.93</v>
      </c>
      <c r="F82" s="946"/>
      <c r="G82" s="95"/>
      <c r="H82" s="1473"/>
    </row>
    <row r="83" spans="1:8" s="224" customFormat="1" hidden="1" x14ac:dyDescent="0.25">
      <c r="A83" s="215">
        <v>42175</v>
      </c>
      <c r="B83" s="349" t="s">
        <v>914</v>
      </c>
      <c r="C83" s="350" t="s">
        <v>12</v>
      </c>
      <c r="D83" s="141" t="s">
        <v>13</v>
      </c>
      <c r="E83" s="97">
        <v>10.91</v>
      </c>
      <c r="F83" s="946"/>
      <c r="G83" s="95"/>
      <c r="H83" s="1473"/>
    </row>
    <row r="84" spans="1:8" s="224" customFormat="1" hidden="1" x14ac:dyDescent="0.25">
      <c r="A84" s="215">
        <v>42175</v>
      </c>
      <c r="B84" s="349" t="s">
        <v>32</v>
      </c>
      <c r="C84" s="350" t="s">
        <v>12</v>
      </c>
      <c r="D84" s="141" t="s">
        <v>13</v>
      </c>
      <c r="E84" s="97">
        <v>12</v>
      </c>
      <c r="F84" s="946"/>
      <c r="G84" s="95"/>
      <c r="H84" s="1473"/>
    </row>
    <row r="85" spans="1:8" s="224" customFormat="1" ht="15.75" hidden="1" customHeight="1" x14ac:dyDescent="0.25">
      <c r="A85" s="215">
        <v>42175</v>
      </c>
      <c r="B85" s="862" t="s">
        <v>1044</v>
      </c>
      <c r="C85" s="879" t="s">
        <v>12</v>
      </c>
      <c r="D85" s="1475" t="s">
        <v>15</v>
      </c>
      <c r="E85" s="97">
        <v>200</v>
      </c>
      <c r="F85" s="946"/>
      <c r="G85" s="97"/>
      <c r="H85" s="1473"/>
    </row>
    <row r="86" spans="1:8" s="224" customFormat="1" hidden="1" x14ac:dyDescent="0.25">
      <c r="A86" s="215">
        <v>42176</v>
      </c>
      <c r="B86" s="349" t="s">
        <v>138</v>
      </c>
      <c r="C86" s="350" t="s">
        <v>19</v>
      </c>
      <c r="D86" s="141" t="s">
        <v>13</v>
      </c>
      <c r="E86" s="97">
        <v>50</v>
      </c>
      <c r="F86" s="946"/>
      <c r="G86" s="95"/>
      <c r="H86" s="1473"/>
    </row>
    <row r="87" spans="1:8" s="224" customFormat="1" hidden="1" x14ac:dyDescent="0.25">
      <c r="A87" s="215">
        <v>42177</v>
      </c>
      <c r="B87" s="862" t="s">
        <v>32</v>
      </c>
      <c r="C87" s="879" t="s">
        <v>12</v>
      </c>
      <c r="D87" s="1475" t="s">
        <v>13</v>
      </c>
      <c r="E87" s="97">
        <v>12</v>
      </c>
      <c r="F87" s="946"/>
      <c r="G87" s="95"/>
      <c r="H87" s="1473"/>
    </row>
    <row r="88" spans="1:8" s="224" customFormat="1" hidden="1" x14ac:dyDescent="0.25">
      <c r="A88" s="215">
        <v>42177</v>
      </c>
      <c r="B88" s="862" t="s">
        <v>256</v>
      </c>
      <c r="C88" s="879" t="s">
        <v>12</v>
      </c>
      <c r="D88" s="1475" t="s">
        <v>13</v>
      </c>
      <c r="E88" s="97"/>
      <c r="F88" s="946">
        <v>122.43</v>
      </c>
      <c r="G88" s="97">
        <v>122.43</v>
      </c>
      <c r="H88" s="1473"/>
    </row>
    <row r="89" spans="1:8" s="224" customFormat="1" hidden="1" x14ac:dyDescent="0.25">
      <c r="A89" s="215">
        <v>42177</v>
      </c>
      <c r="B89" s="349" t="s">
        <v>134</v>
      </c>
      <c r="C89" s="350" t="s">
        <v>12</v>
      </c>
      <c r="D89" s="141" t="s">
        <v>13</v>
      </c>
      <c r="E89" s="97">
        <v>10.44</v>
      </c>
      <c r="F89" s="946"/>
      <c r="G89" s="95"/>
      <c r="H89" s="1473"/>
    </row>
    <row r="90" spans="1:8" hidden="1" x14ac:dyDescent="0.25">
      <c r="A90" s="215">
        <v>42178</v>
      </c>
      <c r="B90" s="862" t="s">
        <v>32</v>
      </c>
      <c r="C90" s="879" t="s">
        <v>12</v>
      </c>
      <c r="D90" s="1475" t="s">
        <v>13</v>
      </c>
      <c r="E90" s="97">
        <v>18</v>
      </c>
      <c r="F90" s="946"/>
      <c r="G90" s="97"/>
      <c r="H90" s="946"/>
    </row>
    <row r="91" spans="1:8" s="224" customFormat="1" hidden="1" x14ac:dyDescent="0.25">
      <c r="A91" s="215">
        <v>42178</v>
      </c>
      <c r="B91" s="349" t="s">
        <v>134</v>
      </c>
      <c r="C91" s="350" t="s">
        <v>12</v>
      </c>
      <c r="D91" s="141" t="s">
        <v>13</v>
      </c>
      <c r="E91" s="97">
        <v>6.96</v>
      </c>
      <c r="F91" s="946"/>
      <c r="G91" s="95"/>
      <c r="H91" s="1473"/>
    </row>
    <row r="92" spans="1:8" s="224" customFormat="1" hidden="1" x14ac:dyDescent="0.25">
      <c r="A92" s="215">
        <v>42179</v>
      </c>
      <c r="B92" s="862" t="s">
        <v>32</v>
      </c>
      <c r="C92" s="879" t="s">
        <v>12</v>
      </c>
      <c r="D92" s="887" t="s">
        <v>13</v>
      </c>
      <c r="E92" s="250">
        <v>12</v>
      </c>
      <c r="F92" s="946"/>
      <c r="G92" s="97"/>
      <c r="H92" s="1473"/>
    </row>
    <row r="93" spans="1:8" s="224" customFormat="1" hidden="1" x14ac:dyDescent="0.25">
      <c r="A93" s="215">
        <v>42179</v>
      </c>
      <c r="B93" s="862" t="s">
        <v>147</v>
      </c>
      <c r="C93" s="879" t="s">
        <v>12</v>
      </c>
      <c r="D93" s="887" t="s">
        <v>15</v>
      </c>
      <c r="E93" s="250">
        <v>16</v>
      </c>
      <c r="F93" s="946"/>
      <c r="G93" s="97"/>
      <c r="H93" s="1473"/>
    </row>
    <row r="94" spans="1:8" s="224" customFormat="1" hidden="1" x14ac:dyDescent="0.25">
      <c r="A94" s="215">
        <v>42180</v>
      </c>
      <c r="B94" s="862" t="s">
        <v>32</v>
      </c>
      <c r="C94" s="879" t="s">
        <v>12</v>
      </c>
      <c r="D94" s="887" t="s">
        <v>13</v>
      </c>
      <c r="E94" s="250">
        <v>12</v>
      </c>
      <c r="F94" s="946"/>
      <c r="G94" s="97"/>
      <c r="H94" s="1473"/>
    </row>
    <row r="95" spans="1:8" s="224" customFormat="1" hidden="1" x14ac:dyDescent="0.25">
      <c r="A95" s="215">
        <v>42180</v>
      </c>
      <c r="B95" s="862" t="s">
        <v>1045</v>
      </c>
      <c r="C95" s="879" t="s">
        <v>12</v>
      </c>
      <c r="D95" s="887" t="s">
        <v>13</v>
      </c>
      <c r="E95" s="250">
        <v>12.51</v>
      </c>
      <c r="F95" s="946"/>
      <c r="G95" s="97"/>
      <c r="H95" s="1473"/>
    </row>
    <row r="96" spans="1:8" s="224" customFormat="1" hidden="1" x14ac:dyDescent="0.25">
      <c r="A96" s="215">
        <v>42181</v>
      </c>
      <c r="B96" s="862" t="s">
        <v>32</v>
      </c>
      <c r="C96" s="879" t="s">
        <v>12</v>
      </c>
      <c r="D96" s="887" t="s">
        <v>13</v>
      </c>
      <c r="E96" s="250">
        <v>12</v>
      </c>
      <c r="F96" s="946"/>
      <c r="G96" s="97"/>
      <c r="H96" s="1473"/>
    </row>
    <row r="97" spans="1:8" s="224" customFormat="1" hidden="1" x14ac:dyDescent="0.25">
      <c r="A97" s="215">
        <v>42181</v>
      </c>
      <c r="B97" s="862" t="s">
        <v>687</v>
      </c>
      <c r="C97" s="879" t="s">
        <v>19</v>
      </c>
      <c r="D97" s="887" t="s">
        <v>13</v>
      </c>
      <c r="E97" s="250">
        <v>51.52</v>
      </c>
      <c r="F97" s="946"/>
      <c r="G97" s="97"/>
      <c r="H97" s="1473"/>
    </row>
    <row r="98" spans="1:8" s="224" customFormat="1" hidden="1" x14ac:dyDescent="0.25">
      <c r="A98" s="215">
        <v>42182</v>
      </c>
      <c r="B98" s="862" t="s">
        <v>14</v>
      </c>
      <c r="C98" s="879" t="s">
        <v>12</v>
      </c>
      <c r="D98" s="887" t="s">
        <v>13</v>
      </c>
      <c r="E98" s="250">
        <v>13.62</v>
      </c>
      <c r="F98" s="946"/>
      <c r="G98" s="97"/>
      <c r="H98" s="1473"/>
    </row>
    <row r="99" spans="1:8" s="224" customFormat="1" hidden="1" x14ac:dyDescent="0.25">
      <c r="A99" s="215">
        <v>42182</v>
      </c>
      <c r="B99" s="862" t="s">
        <v>687</v>
      </c>
      <c r="C99" s="879" t="s">
        <v>12</v>
      </c>
      <c r="D99" s="887" t="s">
        <v>13</v>
      </c>
      <c r="E99" s="250">
        <v>8.9600000000000009</v>
      </c>
      <c r="F99" s="946"/>
      <c r="G99" s="97"/>
      <c r="H99" s="1473"/>
    </row>
    <row r="100" spans="1:8" s="224" customFormat="1" hidden="1" x14ac:dyDescent="0.25">
      <c r="A100" s="215">
        <v>42183</v>
      </c>
      <c r="B100" s="862" t="s">
        <v>134</v>
      </c>
      <c r="C100" s="879" t="s">
        <v>12</v>
      </c>
      <c r="D100" s="887" t="s">
        <v>15</v>
      </c>
      <c r="E100" s="250">
        <v>15</v>
      </c>
      <c r="F100" s="946"/>
      <c r="G100" s="97"/>
      <c r="H100" s="1473"/>
    </row>
    <row r="101" spans="1:8" s="224" customFormat="1" hidden="1" x14ac:dyDescent="0.25">
      <c r="A101" s="215">
        <v>42183</v>
      </c>
      <c r="B101" s="862" t="s">
        <v>134</v>
      </c>
      <c r="C101" s="879" t="s">
        <v>12</v>
      </c>
      <c r="D101" s="887" t="s">
        <v>13</v>
      </c>
      <c r="E101" s="250">
        <v>5.5</v>
      </c>
      <c r="F101" s="946"/>
      <c r="G101" s="97"/>
      <c r="H101" s="1473"/>
    </row>
    <row r="102" spans="1:8" s="224" customFormat="1" hidden="1" x14ac:dyDescent="0.25">
      <c r="A102" s="215">
        <v>42184</v>
      </c>
      <c r="B102" s="862" t="s">
        <v>914</v>
      </c>
      <c r="C102" s="879" t="s">
        <v>12</v>
      </c>
      <c r="D102" s="887" t="s">
        <v>13</v>
      </c>
      <c r="E102" s="250">
        <v>7</v>
      </c>
      <c r="F102" s="946"/>
      <c r="G102" s="97"/>
      <c r="H102" s="1473"/>
    </row>
    <row r="103" spans="1:8" s="224" customFormat="1" hidden="1" x14ac:dyDescent="0.25">
      <c r="A103" s="215">
        <v>42184</v>
      </c>
      <c r="B103" s="862" t="s">
        <v>138</v>
      </c>
      <c r="C103" s="879" t="s">
        <v>12</v>
      </c>
      <c r="D103" s="887" t="s">
        <v>13</v>
      </c>
      <c r="E103" s="250">
        <v>60</v>
      </c>
      <c r="F103" s="946"/>
      <c r="G103" s="97"/>
      <c r="H103" s="1473"/>
    </row>
    <row r="104" spans="1:8" s="224" customFormat="1" hidden="1" x14ac:dyDescent="0.25">
      <c r="A104" s="215">
        <v>42184</v>
      </c>
      <c r="B104" s="862" t="s">
        <v>970</v>
      </c>
      <c r="C104" s="879" t="s">
        <v>12</v>
      </c>
      <c r="D104" s="887" t="s">
        <v>13</v>
      </c>
      <c r="E104" s="250">
        <v>40</v>
      </c>
      <c r="F104" s="946"/>
      <c r="G104" s="97"/>
      <c r="H104" s="1473"/>
    </row>
    <row r="105" spans="1:8" s="224" customFormat="1" x14ac:dyDescent="0.25">
      <c r="A105" s="215">
        <v>42185</v>
      </c>
      <c r="B105" s="862" t="s">
        <v>915</v>
      </c>
      <c r="C105" s="879" t="s">
        <v>12</v>
      </c>
      <c r="D105" s="887" t="s">
        <v>13</v>
      </c>
      <c r="E105" s="250">
        <v>37.71</v>
      </c>
      <c r="F105" s="946"/>
      <c r="G105" s="97"/>
      <c r="H105" s="1473"/>
    </row>
    <row r="106" spans="1:8" s="224" customFormat="1" hidden="1" x14ac:dyDescent="0.25">
      <c r="A106" s="215">
        <v>42185</v>
      </c>
      <c r="B106" s="862" t="s">
        <v>32</v>
      </c>
      <c r="C106" s="879" t="s">
        <v>12</v>
      </c>
      <c r="D106" s="887" t="s">
        <v>13</v>
      </c>
      <c r="E106" s="250">
        <v>12</v>
      </c>
      <c r="F106" s="946"/>
      <c r="G106" s="97"/>
      <c r="H106" s="1473"/>
    </row>
    <row r="107" spans="1:8" ht="25.5" hidden="1" customHeight="1" thickBot="1" x14ac:dyDescent="0.3">
      <c r="A107" s="3060"/>
      <c r="B107" s="3061"/>
      <c r="C107" s="3062"/>
      <c r="D107" s="3062"/>
      <c r="E107" s="100">
        <f>SUM(E6:E106)</f>
        <v>3896.7699999999995</v>
      </c>
      <c r="F107" s="1065">
        <f>SUM(F5:F106)</f>
        <v>4113.8230000000012</v>
      </c>
      <c r="G107" s="101">
        <f>SUM(G6:G106)</f>
        <v>1125.3800000000001</v>
      </c>
      <c r="H107" s="93">
        <f>SUM(H5:H106)</f>
        <v>2125.3800000000006</v>
      </c>
    </row>
    <row r="108" spans="1:8" ht="25.5" hidden="1" customHeight="1" thickBot="1" x14ac:dyDescent="0.3">
      <c r="A108" s="3077" t="s">
        <v>49</v>
      </c>
      <c r="B108" s="3078"/>
      <c r="C108" s="3078"/>
      <c r="D108" s="3078"/>
      <c r="E108" s="144"/>
      <c r="F108" s="519">
        <f>F107-E107</f>
        <v>217.0530000000017</v>
      </c>
      <c r="G108" s="555"/>
      <c r="H108" s="556">
        <f>H107-G107</f>
        <v>1000.0000000000005</v>
      </c>
    </row>
    <row r="110" spans="1:8" x14ac:dyDescent="0.25">
      <c r="B110" s="79" t="s">
        <v>32</v>
      </c>
      <c r="C110" s="475">
        <v>252.5</v>
      </c>
    </row>
    <row r="111" spans="1:8" x14ac:dyDescent="0.25">
      <c r="B111" s="79" t="s">
        <v>16</v>
      </c>
      <c r="C111" s="475">
        <v>230</v>
      </c>
      <c r="D111" s="79"/>
    </row>
    <row r="112" spans="1:8" x14ac:dyDescent="0.25">
      <c r="B112" s="79" t="s">
        <v>50</v>
      </c>
      <c r="C112" s="475">
        <v>130.4</v>
      </c>
    </row>
    <row r="113" spans="1:9" s="85" customFormat="1" x14ac:dyDescent="0.25">
      <c r="A113" s="79"/>
      <c r="B113" s="79" t="s">
        <v>14</v>
      </c>
      <c r="C113" s="475">
        <v>164.98</v>
      </c>
      <c r="E113" s="89"/>
      <c r="F113" s="79"/>
      <c r="G113" s="79"/>
    </row>
    <row r="114" spans="1:9" s="85" customFormat="1" x14ac:dyDescent="0.25">
      <c r="A114" s="79"/>
      <c r="B114" s="79" t="s">
        <v>51</v>
      </c>
      <c r="C114" s="484">
        <v>74.14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52</v>
      </c>
      <c r="C115" s="484"/>
      <c r="E115" s="89"/>
      <c r="F115" s="79"/>
      <c r="G115" s="79"/>
      <c r="H115" s="79"/>
    </row>
    <row r="116" spans="1:9" s="85" customFormat="1" x14ac:dyDescent="0.25">
      <c r="A116" s="79"/>
      <c r="B116" s="867" t="s">
        <v>53</v>
      </c>
      <c r="C116" s="475">
        <v>103</v>
      </c>
      <c r="D116" s="89"/>
      <c r="E116" s="89"/>
      <c r="F116" s="79"/>
      <c r="G116" s="79"/>
      <c r="H116" s="79"/>
    </row>
    <row r="117" spans="1:9" s="85" customFormat="1" x14ac:dyDescent="0.25">
      <c r="A117" s="79"/>
      <c r="B117" s="79" t="s">
        <v>56</v>
      </c>
      <c r="C117" s="475">
        <v>67.099999999999994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910</v>
      </c>
      <c r="C118" s="475">
        <v>199.31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418</v>
      </c>
      <c r="C119" s="475">
        <v>816.29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419</v>
      </c>
      <c r="C120" s="475">
        <v>578.62</v>
      </c>
      <c r="D120" s="79"/>
      <c r="E120" s="89"/>
      <c r="F120" s="79"/>
      <c r="G120" s="79"/>
      <c r="H120" s="79"/>
    </row>
    <row r="121" spans="1:9" x14ac:dyDescent="0.25">
      <c r="B121" s="79" t="s">
        <v>911</v>
      </c>
      <c r="C121" s="475">
        <v>164.29</v>
      </c>
    </row>
    <row r="123" spans="1:9" x14ac:dyDescent="0.25">
      <c r="B123" s="79" t="s">
        <v>486</v>
      </c>
      <c r="C123" s="475">
        <f>G123/I123</f>
        <v>93.558999999999997</v>
      </c>
      <c r="E123" s="224" t="s">
        <v>487</v>
      </c>
      <c r="F123" s="224"/>
      <c r="G123" s="216">
        <v>2806.77</v>
      </c>
      <c r="H123" s="518" t="s">
        <v>488</v>
      </c>
      <c r="I123" s="85">
        <v>30</v>
      </c>
    </row>
  </sheetData>
  <autoFilter ref="A2:H108" xr:uid="{00000000-0009-0000-0000-000022000000}">
    <filterColumn colId="1">
      <customFilters>
        <customFilter val="*ap*"/>
      </customFilters>
    </filterColumn>
  </autoFilter>
  <mergeCells count="10">
    <mergeCell ref="A107:D107"/>
    <mergeCell ref="A108:D108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Plan24" filterMode="1"/>
  <dimension ref="A1:I118"/>
  <sheetViews>
    <sheetView zoomScale="85" zoomScaleNormal="85" workbookViewId="0">
      <pane ySplit="4" topLeftCell="A5" activePane="bottomLeft" state="frozen"/>
      <selection activeCell="C44" sqref="C44"/>
      <selection pane="bottomLeft" activeCell="B116" sqref="A1:L118"/>
    </sheetView>
  </sheetViews>
  <sheetFormatPr defaultColWidth="9.140625" defaultRowHeight="15" x14ac:dyDescent="0.25"/>
  <cols>
    <col min="1" max="1" width="12" style="79" bestFit="1" customWidth="1"/>
    <col min="2" max="2" width="42.140625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1046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42186</v>
      </c>
      <c r="B5" s="369" t="s">
        <v>10</v>
      </c>
      <c r="C5" s="370"/>
      <c r="D5" s="207"/>
      <c r="E5" s="179"/>
      <c r="F5" s="933">
        <f>'Junho-15'!F108</f>
        <v>217.0530000000017</v>
      </c>
      <c r="G5" s="163"/>
      <c r="H5" s="933">
        <f>'Junho-15'!H108</f>
        <v>1000.0000000000005</v>
      </c>
    </row>
    <row r="6" spans="1:8" s="224" customFormat="1" hidden="1" x14ac:dyDescent="0.25">
      <c r="A6" s="215">
        <v>42186</v>
      </c>
      <c r="B6" s="348" t="s">
        <v>11</v>
      </c>
      <c r="C6" s="351"/>
      <c r="D6" s="248"/>
      <c r="E6" s="250">
        <v>42</v>
      </c>
      <c r="F6" s="1473"/>
      <c r="G6" s="252"/>
      <c r="H6" s="1473"/>
    </row>
    <row r="7" spans="1:8" s="224" customFormat="1" hidden="1" x14ac:dyDescent="0.25">
      <c r="A7" s="215">
        <v>42186</v>
      </c>
      <c r="B7" s="862" t="s">
        <v>256</v>
      </c>
      <c r="C7" s="879" t="s">
        <v>12</v>
      </c>
      <c r="D7" s="1475" t="s">
        <v>13</v>
      </c>
      <c r="E7" s="97"/>
      <c r="F7" s="946">
        <v>200</v>
      </c>
      <c r="G7" s="97">
        <v>200</v>
      </c>
      <c r="H7" s="1473"/>
    </row>
    <row r="8" spans="1:8" s="224" customFormat="1" hidden="1" x14ac:dyDescent="0.25">
      <c r="A8" s="215">
        <v>42186</v>
      </c>
      <c r="B8" s="862" t="s">
        <v>32</v>
      </c>
      <c r="C8" s="879" t="s">
        <v>12</v>
      </c>
      <c r="D8" s="887" t="s">
        <v>13</v>
      </c>
      <c r="E8" s="250">
        <v>12</v>
      </c>
      <c r="F8" s="946"/>
      <c r="G8" s="97"/>
      <c r="H8" s="1473"/>
    </row>
    <row r="9" spans="1:8" s="224" customFormat="1" hidden="1" x14ac:dyDescent="0.25">
      <c r="A9" s="215">
        <v>42186</v>
      </c>
      <c r="B9" s="862" t="s">
        <v>14</v>
      </c>
      <c r="C9" s="879" t="s">
        <v>12</v>
      </c>
      <c r="D9" s="887" t="s">
        <v>13</v>
      </c>
      <c r="E9" s="250">
        <v>6.61</v>
      </c>
      <c r="F9" s="1473"/>
      <c r="G9" s="252"/>
      <c r="H9" s="1473"/>
    </row>
    <row r="10" spans="1:8" s="224" customFormat="1" ht="15.75" hidden="1" customHeight="1" x14ac:dyDescent="0.25">
      <c r="A10" s="215">
        <v>42186</v>
      </c>
      <c r="B10" s="349" t="s">
        <v>311</v>
      </c>
      <c r="C10" s="350"/>
      <c r="D10" s="141"/>
      <c r="E10" s="97"/>
      <c r="F10" s="946"/>
      <c r="G10" s="97"/>
      <c r="H10" s="946">
        <v>2.2799999999999998</v>
      </c>
    </row>
    <row r="11" spans="1:8" s="224" customFormat="1" hidden="1" x14ac:dyDescent="0.25">
      <c r="A11" s="215">
        <v>42187</v>
      </c>
      <c r="B11" s="862" t="s">
        <v>32</v>
      </c>
      <c r="C11" s="879" t="s">
        <v>12</v>
      </c>
      <c r="D11" s="887" t="s">
        <v>13</v>
      </c>
      <c r="E11" s="250">
        <v>12</v>
      </c>
      <c r="F11" s="1473"/>
      <c r="G11" s="252"/>
      <c r="H11" s="1473"/>
    </row>
    <row r="12" spans="1:8" s="224" customFormat="1" hidden="1" x14ac:dyDescent="0.25">
      <c r="A12" s="215">
        <v>42187</v>
      </c>
      <c r="B12" s="862" t="s">
        <v>1007</v>
      </c>
      <c r="C12" s="879" t="s">
        <v>12</v>
      </c>
      <c r="D12" s="887" t="s">
        <v>13</v>
      </c>
      <c r="E12" s="250">
        <v>8</v>
      </c>
      <c r="F12" s="1473"/>
      <c r="G12" s="252"/>
      <c r="H12" s="1473"/>
    </row>
    <row r="13" spans="1:8" s="224" customFormat="1" hidden="1" x14ac:dyDescent="0.25">
      <c r="A13" s="215">
        <v>42188</v>
      </c>
      <c r="B13" s="862" t="s">
        <v>32</v>
      </c>
      <c r="C13" s="879" t="s">
        <v>12</v>
      </c>
      <c r="D13" s="887" t="s">
        <v>13</v>
      </c>
      <c r="E13" s="250">
        <v>12</v>
      </c>
      <c r="F13" s="1473"/>
      <c r="G13" s="252"/>
      <c r="H13" s="1473"/>
    </row>
    <row r="14" spans="1:8" s="224" customFormat="1" hidden="1" x14ac:dyDescent="0.25">
      <c r="A14" s="215">
        <v>42189</v>
      </c>
      <c r="B14" s="1489" t="s">
        <v>14</v>
      </c>
      <c r="C14" s="879" t="s">
        <v>12</v>
      </c>
      <c r="D14" s="887" t="s">
        <v>13</v>
      </c>
      <c r="E14" s="250">
        <v>30.49</v>
      </c>
      <c r="F14" s="1473"/>
      <c r="G14" s="252"/>
      <c r="H14" s="1473"/>
    </row>
    <row r="15" spans="1:8" s="224" customFormat="1" hidden="1" x14ac:dyDescent="0.25">
      <c r="A15" s="215">
        <v>42189</v>
      </c>
      <c r="B15" s="1489" t="s">
        <v>1047</v>
      </c>
      <c r="C15" s="879" t="s">
        <v>12</v>
      </c>
      <c r="D15" s="887" t="s">
        <v>13</v>
      </c>
      <c r="E15" s="250">
        <v>22.01</v>
      </c>
      <c r="F15" s="1473"/>
      <c r="G15" s="252"/>
      <c r="H15" s="1473"/>
    </row>
    <row r="16" spans="1:8" s="224" customFormat="1" ht="15.75" hidden="1" customHeight="1" x14ac:dyDescent="0.25">
      <c r="A16" s="215">
        <v>42190</v>
      </c>
      <c r="B16" s="862" t="s">
        <v>1037</v>
      </c>
      <c r="C16" s="879" t="s">
        <v>12</v>
      </c>
      <c r="D16" s="1475" t="s">
        <v>13</v>
      </c>
      <c r="E16" s="97">
        <v>70</v>
      </c>
      <c r="F16" s="1473"/>
      <c r="G16" s="252"/>
      <c r="H16" s="946"/>
    </row>
    <row r="17" spans="1:8" hidden="1" x14ac:dyDescent="0.25">
      <c r="A17" s="215">
        <v>42190</v>
      </c>
      <c r="B17" s="862" t="s">
        <v>190</v>
      </c>
      <c r="C17" s="879" t="s">
        <v>12</v>
      </c>
      <c r="D17" s="1475" t="s">
        <v>13</v>
      </c>
      <c r="E17" s="97">
        <v>50</v>
      </c>
      <c r="F17" s="946"/>
      <c r="G17" s="97"/>
      <c r="H17" s="946"/>
    </row>
    <row r="18" spans="1:8" s="224" customFormat="1" ht="15.75" hidden="1" customHeight="1" x14ac:dyDescent="0.25">
      <c r="A18" s="215">
        <v>42191</v>
      </c>
      <c r="B18" s="349" t="s">
        <v>1048</v>
      </c>
      <c r="C18" s="879" t="s">
        <v>12</v>
      </c>
      <c r="D18" s="983" t="s">
        <v>25</v>
      </c>
      <c r="E18" s="250"/>
      <c r="F18" s="1473">
        <v>1501.95</v>
      </c>
      <c r="G18" s="252"/>
      <c r="H18" s="946"/>
    </row>
    <row r="19" spans="1:8" s="224" customFormat="1" ht="15.75" hidden="1" customHeight="1" x14ac:dyDescent="0.25">
      <c r="A19" s="215">
        <v>42191</v>
      </c>
      <c r="B19" s="862" t="s">
        <v>1049</v>
      </c>
      <c r="C19" s="350" t="s">
        <v>12</v>
      </c>
      <c r="D19" s="141" t="s">
        <v>13</v>
      </c>
      <c r="E19" s="97">
        <v>346.33</v>
      </c>
      <c r="F19" s="1473"/>
      <c r="G19" s="252"/>
      <c r="H19" s="946"/>
    </row>
    <row r="20" spans="1:8" s="224" customFormat="1" ht="15.75" hidden="1" customHeight="1" x14ac:dyDescent="0.25">
      <c r="A20" s="215">
        <v>42191</v>
      </c>
      <c r="B20" s="882" t="s">
        <v>1050</v>
      </c>
      <c r="C20" s="350" t="s">
        <v>12</v>
      </c>
      <c r="D20" s="141" t="s">
        <v>13</v>
      </c>
      <c r="E20" s="97">
        <v>65.099999999999994</v>
      </c>
      <c r="F20" s="1473"/>
      <c r="G20" s="252"/>
      <c r="H20" s="946"/>
    </row>
    <row r="21" spans="1:8" hidden="1" x14ac:dyDescent="0.25">
      <c r="A21" s="215">
        <v>42191</v>
      </c>
      <c r="B21" s="349" t="s">
        <v>260</v>
      </c>
      <c r="C21" s="350"/>
      <c r="D21" s="141"/>
      <c r="E21" s="97">
        <v>550</v>
      </c>
      <c r="F21" s="946"/>
      <c r="G21" s="95"/>
      <c r="H21" s="946">
        <v>550</v>
      </c>
    </row>
    <row r="22" spans="1:8" s="224" customFormat="1" hidden="1" x14ac:dyDescent="0.25">
      <c r="A22" s="215">
        <v>42191</v>
      </c>
      <c r="B22" s="862" t="s">
        <v>32</v>
      </c>
      <c r="C22" s="879" t="s">
        <v>12</v>
      </c>
      <c r="D22" s="887" t="s">
        <v>13</v>
      </c>
      <c r="E22" s="250">
        <v>12</v>
      </c>
      <c r="F22" s="1473"/>
      <c r="G22" s="252"/>
      <c r="H22" s="1473"/>
    </row>
    <row r="23" spans="1:8" s="224" customFormat="1" hidden="1" x14ac:dyDescent="0.25">
      <c r="A23" s="215">
        <v>42191</v>
      </c>
      <c r="B23" s="862" t="s">
        <v>1051</v>
      </c>
      <c r="C23" s="879" t="s">
        <v>19</v>
      </c>
      <c r="D23" s="887" t="s">
        <v>13</v>
      </c>
      <c r="E23" s="250">
        <v>19.45</v>
      </c>
      <c r="F23" s="1473"/>
      <c r="G23" s="252"/>
      <c r="H23" s="1473"/>
    </row>
    <row r="24" spans="1:8" s="224" customFormat="1" hidden="1" x14ac:dyDescent="0.25">
      <c r="A24" s="215">
        <v>42191</v>
      </c>
      <c r="B24" s="862" t="s">
        <v>134</v>
      </c>
      <c r="C24" s="879" t="s">
        <v>19</v>
      </c>
      <c r="D24" s="887" t="s">
        <v>13</v>
      </c>
      <c r="E24" s="250">
        <v>10.92</v>
      </c>
      <c r="F24" s="1473"/>
      <c r="G24" s="252"/>
      <c r="H24" s="1473"/>
    </row>
    <row r="25" spans="1:8" s="224" customFormat="1" ht="15.75" hidden="1" customHeight="1" x14ac:dyDescent="0.25">
      <c r="A25" s="215">
        <v>42192</v>
      </c>
      <c r="B25" s="862" t="s">
        <v>32</v>
      </c>
      <c r="C25" s="879" t="s">
        <v>12</v>
      </c>
      <c r="D25" s="887" t="s">
        <v>13</v>
      </c>
      <c r="E25" s="250">
        <v>5</v>
      </c>
      <c r="F25" s="946"/>
      <c r="G25" s="97"/>
      <c r="H25" s="946"/>
    </row>
    <row r="26" spans="1:8" s="224" customFormat="1" hidden="1" x14ac:dyDescent="0.25">
      <c r="A26" s="215">
        <v>42192</v>
      </c>
      <c r="B26" s="862" t="s">
        <v>134</v>
      </c>
      <c r="C26" s="879" t="s">
        <v>12</v>
      </c>
      <c r="D26" s="887" t="s">
        <v>15</v>
      </c>
      <c r="E26" s="250">
        <v>4</v>
      </c>
      <c r="F26" s="1473"/>
      <c r="G26" s="252"/>
      <c r="H26" s="1473"/>
    </row>
    <row r="27" spans="1:8" s="224" customFormat="1" ht="15.75" hidden="1" customHeight="1" x14ac:dyDescent="0.25">
      <c r="A27" s="215">
        <v>42192</v>
      </c>
      <c r="B27" s="862" t="s">
        <v>138</v>
      </c>
      <c r="C27" s="879" t="s">
        <v>19</v>
      </c>
      <c r="D27" s="887" t="s">
        <v>13</v>
      </c>
      <c r="E27" s="250">
        <v>50</v>
      </c>
      <c r="F27" s="946"/>
      <c r="G27" s="97"/>
      <c r="H27" s="946"/>
    </row>
    <row r="28" spans="1:8" s="224" customFormat="1" ht="15.75" hidden="1" customHeight="1" x14ac:dyDescent="0.25">
      <c r="A28" s="215">
        <v>42192</v>
      </c>
      <c r="B28" s="862" t="s">
        <v>1052</v>
      </c>
      <c r="C28" s="879" t="s">
        <v>19</v>
      </c>
      <c r="D28" s="887" t="s">
        <v>13</v>
      </c>
      <c r="E28" s="250">
        <v>80</v>
      </c>
      <c r="F28" s="946"/>
      <c r="G28" s="97"/>
      <c r="H28" s="946"/>
    </row>
    <row r="29" spans="1:8" s="224" customFormat="1" ht="15.75" hidden="1" customHeight="1" x14ac:dyDescent="0.25">
      <c r="A29" s="215">
        <v>42193</v>
      </c>
      <c r="B29" s="862" t="s">
        <v>32</v>
      </c>
      <c r="C29" s="879" t="s">
        <v>12</v>
      </c>
      <c r="D29" s="887" t="s">
        <v>13</v>
      </c>
      <c r="E29" s="250">
        <v>9</v>
      </c>
      <c r="F29" s="946"/>
      <c r="G29" s="97"/>
      <c r="H29" s="946"/>
    </row>
    <row r="30" spans="1:8" s="224" customFormat="1" ht="15.75" hidden="1" customHeight="1" x14ac:dyDescent="0.25">
      <c r="A30" s="215">
        <v>42193</v>
      </c>
      <c r="B30" s="862" t="s">
        <v>872</v>
      </c>
      <c r="C30" s="879" t="s">
        <v>12</v>
      </c>
      <c r="D30" s="887" t="s">
        <v>25</v>
      </c>
      <c r="E30" s="250"/>
      <c r="F30" s="1473">
        <v>150</v>
      </c>
      <c r="G30" s="97"/>
      <c r="H30" s="946"/>
    </row>
    <row r="31" spans="1:8" s="224" customFormat="1" ht="15.75" hidden="1" customHeight="1" x14ac:dyDescent="0.25">
      <c r="A31" s="215">
        <v>42193</v>
      </c>
      <c r="B31" s="862" t="s">
        <v>914</v>
      </c>
      <c r="C31" s="879" t="s">
        <v>12</v>
      </c>
      <c r="D31" s="887" t="s">
        <v>13</v>
      </c>
      <c r="E31" s="250">
        <v>7.18</v>
      </c>
      <c r="F31" s="1473"/>
      <c r="G31" s="97"/>
      <c r="H31" s="946"/>
    </row>
    <row r="32" spans="1:8" s="224" customFormat="1" hidden="1" x14ac:dyDescent="0.25">
      <c r="A32" s="215">
        <v>42194</v>
      </c>
      <c r="B32" s="349" t="s">
        <v>14</v>
      </c>
      <c r="C32" s="350" t="s">
        <v>12</v>
      </c>
      <c r="D32" s="141" t="s">
        <v>13</v>
      </c>
      <c r="E32" s="178">
        <v>13.52</v>
      </c>
      <c r="F32" s="946"/>
      <c r="G32" s="95"/>
      <c r="H32" s="1473"/>
    </row>
    <row r="33" spans="1:8" s="224" customFormat="1" hidden="1" x14ac:dyDescent="0.25">
      <c r="A33" s="215">
        <v>42194</v>
      </c>
      <c r="B33" s="349" t="s">
        <v>1053</v>
      </c>
      <c r="C33" s="350" t="s">
        <v>12</v>
      </c>
      <c r="D33" s="141" t="s">
        <v>13</v>
      </c>
      <c r="E33" s="626">
        <v>65.8</v>
      </c>
      <c r="F33" s="946"/>
      <c r="G33" s="95"/>
      <c r="H33" s="1473"/>
    </row>
    <row r="34" spans="1:8" s="224" customFormat="1" ht="15.75" hidden="1" customHeight="1" x14ac:dyDescent="0.25">
      <c r="A34" s="215">
        <v>42195</v>
      </c>
      <c r="B34" s="1489" t="s">
        <v>14</v>
      </c>
      <c r="C34" s="879" t="s">
        <v>12</v>
      </c>
      <c r="D34" s="887" t="s">
        <v>13</v>
      </c>
      <c r="E34" s="250">
        <v>35.44</v>
      </c>
      <c r="F34" s="946"/>
      <c r="G34" s="97"/>
      <c r="H34" s="946"/>
    </row>
    <row r="35" spans="1:8" s="224" customFormat="1" ht="15.75" hidden="1" customHeight="1" x14ac:dyDescent="0.25">
      <c r="A35" s="215">
        <v>42196</v>
      </c>
      <c r="B35" s="862" t="s">
        <v>1054</v>
      </c>
      <c r="C35" s="879" t="s">
        <v>12</v>
      </c>
      <c r="D35" s="1475" t="s">
        <v>15</v>
      </c>
      <c r="E35" s="97">
        <v>120</v>
      </c>
      <c r="F35" s="946"/>
      <c r="G35" s="97"/>
      <c r="H35" s="1473"/>
    </row>
    <row r="36" spans="1:8" s="224" customFormat="1" ht="15.75" hidden="1" customHeight="1" x14ac:dyDescent="0.25">
      <c r="A36" s="215">
        <v>42196</v>
      </c>
      <c r="B36" s="862" t="s">
        <v>1055</v>
      </c>
      <c r="C36" s="879" t="s">
        <v>12</v>
      </c>
      <c r="D36" s="1475" t="s">
        <v>25</v>
      </c>
      <c r="E36" s="97"/>
      <c r="F36" s="946">
        <v>50</v>
      </c>
      <c r="G36" s="97"/>
      <c r="H36" s="1473"/>
    </row>
    <row r="37" spans="1:8" s="224" customFormat="1" ht="15.75" hidden="1" customHeight="1" x14ac:dyDescent="0.25">
      <c r="A37" s="215">
        <v>42196</v>
      </c>
      <c r="B37" s="1489" t="s">
        <v>14</v>
      </c>
      <c r="C37" s="879" t="s">
        <v>12</v>
      </c>
      <c r="D37" s="887" t="s">
        <v>13</v>
      </c>
      <c r="E37" s="250">
        <v>14.14</v>
      </c>
      <c r="F37" s="946"/>
      <c r="G37" s="97"/>
      <c r="H37" s="946"/>
    </row>
    <row r="38" spans="1:8" s="224" customFormat="1" ht="15.75" hidden="1" customHeight="1" x14ac:dyDescent="0.25">
      <c r="A38" s="215">
        <v>42197</v>
      </c>
      <c r="B38" s="1489" t="s">
        <v>1056</v>
      </c>
      <c r="C38" s="879" t="s">
        <v>12</v>
      </c>
      <c r="D38" s="887" t="s">
        <v>15</v>
      </c>
      <c r="E38" s="250">
        <v>10</v>
      </c>
      <c r="F38" s="946"/>
      <c r="G38" s="97"/>
      <c r="H38" s="946"/>
    </row>
    <row r="39" spans="1:8" s="224" customFormat="1" ht="15.75" hidden="1" customHeight="1" x14ac:dyDescent="0.25">
      <c r="A39" s="215">
        <v>42197</v>
      </c>
      <c r="B39" s="1489" t="s">
        <v>14</v>
      </c>
      <c r="C39" s="879" t="s">
        <v>12</v>
      </c>
      <c r="D39" s="887" t="s">
        <v>13</v>
      </c>
      <c r="E39" s="250">
        <v>27.79</v>
      </c>
      <c r="F39" s="946"/>
      <c r="G39" s="97"/>
      <c r="H39" s="946"/>
    </row>
    <row r="40" spans="1:8" hidden="1" x14ac:dyDescent="0.25">
      <c r="A40" s="215">
        <v>42198</v>
      </c>
      <c r="B40" s="862" t="s">
        <v>32</v>
      </c>
      <c r="C40" s="879" t="s">
        <v>12</v>
      </c>
      <c r="D40" s="887" t="s">
        <v>15</v>
      </c>
      <c r="E40" s="250">
        <v>12</v>
      </c>
      <c r="F40" s="946"/>
      <c r="G40" s="97"/>
      <c r="H40" s="946"/>
    </row>
    <row r="41" spans="1:8" hidden="1" x14ac:dyDescent="0.25">
      <c r="A41" s="215">
        <v>42198</v>
      </c>
      <c r="B41" s="862" t="s">
        <v>1057</v>
      </c>
      <c r="C41" s="879" t="s">
        <v>19</v>
      </c>
      <c r="D41" s="887" t="s">
        <v>15</v>
      </c>
      <c r="E41" s="250">
        <v>18</v>
      </c>
      <c r="F41" s="946"/>
      <c r="G41" s="97"/>
      <c r="H41" s="946"/>
    </row>
    <row r="42" spans="1:8" hidden="1" x14ac:dyDescent="0.25">
      <c r="A42" s="215">
        <v>42198</v>
      </c>
      <c r="B42" s="862" t="s">
        <v>970</v>
      </c>
      <c r="C42" s="879" t="s">
        <v>19</v>
      </c>
      <c r="D42" s="887" t="s">
        <v>15</v>
      </c>
      <c r="E42" s="250">
        <v>31</v>
      </c>
      <c r="F42" s="946"/>
      <c r="G42" s="97"/>
      <c r="H42" s="946"/>
    </row>
    <row r="43" spans="1:8" hidden="1" x14ac:dyDescent="0.25">
      <c r="A43" s="215">
        <v>42198</v>
      </c>
      <c r="B43" s="862" t="s">
        <v>134</v>
      </c>
      <c r="C43" s="879" t="s">
        <v>19</v>
      </c>
      <c r="D43" s="887" t="s">
        <v>15</v>
      </c>
      <c r="E43" s="250">
        <v>30</v>
      </c>
      <c r="F43" s="946"/>
      <c r="G43" s="97"/>
      <c r="H43" s="946"/>
    </row>
    <row r="44" spans="1:8" s="224" customFormat="1" hidden="1" x14ac:dyDescent="0.25">
      <c r="A44" s="215">
        <v>42199</v>
      </c>
      <c r="B44" s="862" t="s">
        <v>32</v>
      </c>
      <c r="C44" s="879" t="s">
        <v>12</v>
      </c>
      <c r="D44" s="887" t="s">
        <v>15</v>
      </c>
      <c r="E44" s="250">
        <v>12</v>
      </c>
      <c r="F44" s="1473"/>
      <c r="G44" s="252"/>
      <c r="H44" s="1473"/>
    </row>
    <row r="45" spans="1:8" s="224" customFormat="1" x14ac:dyDescent="0.25">
      <c r="A45" s="215">
        <v>42199</v>
      </c>
      <c r="B45" s="862" t="s">
        <v>1058</v>
      </c>
      <c r="C45" s="879" t="s">
        <v>19</v>
      </c>
      <c r="D45" s="887" t="s">
        <v>13</v>
      </c>
      <c r="E45" s="250">
        <v>70.040000000000006</v>
      </c>
      <c r="F45" s="1473"/>
      <c r="G45" s="252"/>
      <c r="H45" s="1473"/>
    </row>
    <row r="46" spans="1:8" s="224" customFormat="1" hidden="1" x14ac:dyDescent="0.25">
      <c r="A46" s="215">
        <v>42200</v>
      </c>
      <c r="B46" s="862" t="s">
        <v>256</v>
      </c>
      <c r="C46" s="879" t="s">
        <v>12</v>
      </c>
      <c r="D46" s="1475" t="s">
        <v>13</v>
      </c>
      <c r="E46" s="97"/>
      <c r="F46" s="946">
        <v>152.28</v>
      </c>
      <c r="G46" s="97">
        <v>152.28</v>
      </c>
      <c r="H46" s="1473"/>
    </row>
    <row r="47" spans="1:8" s="224" customFormat="1" hidden="1" x14ac:dyDescent="0.25">
      <c r="A47" s="215">
        <v>42200</v>
      </c>
      <c r="B47" s="862" t="s">
        <v>32</v>
      </c>
      <c r="C47" s="879" t="s">
        <v>12</v>
      </c>
      <c r="D47" s="887" t="s">
        <v>15</v>
      </c>
      <c r="E47" s="250">
        <v>12</v>
      </c>
      <c r="F47" s="1473"/>
      <c r="G47" s="252"/>
      <c r="H47" s="1473"/>
    </row>
    <row r="48" spans="1:8" s="224" customFormat="1" ht="15.75" hidden="1" customHeight="1" x14ac:dyDescent="0.25">
      <c r="A48" s="215">
        <v>42201</v>
      </c>
      <c r="B48" s="862" t="s">
        <v>32</v>
      </c>
      <c r="C48" s="879" t="s">
        <v>12</v>
      </c>
      <c r="D48" s="887" t="s">
        <v>15</v>
      </c>
      <c r="E48" s="250">
        <v>12</v>
      </c>
      <c r="F48" s="946"/>
      <c r="G48" s="97"/>
      <c r="H48" s="946"/>
    </row>
    <row r="49" spans="1:8" s="224" customFormat="1" ht="15.75" hidden="1" customHeight="1" x14ac:dyDescent="0.25">
      <c r="A49" s="215">
        <v>42201</v>
      </c>
      <c r="B49" s="862" t="s">
        <v>80</v>
      </c>
      <c r="C49" s="879" t="s">
        <v>12</v>
      </c>
      <c r="D49" s="887" t="s">
        <v>13</v>
      </c>
      <c r="E49" s="250">
        <v>7</v>
      </c>
      <c r="F49" s="946"/>
      <c r="G49" s="97"/>
      <c r="H49" s="946"/>
    </row>
    <row r="50" spans="1:8" s="224" customFormat="1" hidden="1" x14ac:dyDescent="0.25">
      <c r="A50" s="215">
        <v>42202</v>
      </c>
      <c r="B50" s="862" t="s">
        <v>32</v>
      </c>
      <c r="C50" s="879" t="s">
        <v>12</v>
      </c>
      <c r="D50" s="887" t="s">
        <v>15</v>
      </c>
      <c r="E50" s="250">
        <v>12</v>
      </c>
      <c r="F50" s="1473"/>
      <c r="G50" s="252"/>
      <c r="H50" s="1473"/>
    </row>
    <row r="51" spans="1:8" s="224" customFormat="1" hidden="1" x14ac:dyDescent="0.25">
      <c r="A51" s="215">
        <v>42202</v>
      </c>
      <c r="B51" s="862" t="s">
        <v>80</v>
      </c>
      <c r="C51" s="879" t="s">
        <v>12</v>
      </c>
      <c r="D51" s="887" t="s">
        <v>13</v>
      </c>
      <c r="E51" s="250">
        <v>4.5</v>
      </c>
      <c r="F51" s="1473"/>
      <c r="G51" s="252"/>
      <c r="H51" s="1473"/>
    </row>
    <row r="52" spans="1:8" s="224" customFormat="1" hidden="1" x14ac:dyDescent="0.25">
      <c r="A52" s="215">
        <v>42202</v>
      </c>
      <c r="B52" s="862" t="s">
        <v>134</v>
      </c>
      <c r="C52" s="879" t="s">
        <v>12</v>
      </c>
      <c r="D52" s="887" t="s">
        <v>13</v>
      </c>
      <c r="E52" s="250">
        <v>17.84</v>
      </c>
      <c r="F52" s="1473"/>
      <c r="G52" s="252"/>
      <c r="H52" s="1473"/>
    </row>
    <row r="53" spans="1:8" s="224" customFormat="1" hidden="1" x14ac:dyDescent="0.25">
      <c r="A53" s="215">
        <v>42202</v>
      </c>
      <c r="B53" s="862" t="s">
        <v>138</v>
      </c>
      <c r="C53" s="879" t="s">
        <v>12</v>
      </c>
      <c r="D53" s="887" t="s">
        <v>13</v>
      </c>
      <c r="E53" s="250">
        <v>60</v>
      </c>
      <c r="F53" s="1473"/>
      <c r="G53" s="252"/>
      <c r="H53" s="1473"/>
    </row>
    <row r="54" spans="1:8" s="224" customFormat="1" ht="15.75" hidden="1" customHeight="1" x14ac:dyDescent="0.25">
      <c r="A54" s="215">
        <v>42202</v>
      </c>
      <c r="B54" s="349" t="s">
        <v>311</v>
      </c>
      <c r="C54" s="350"/>
      <c r="D54" s="141"/>
      <c r="E54" s="97"/>
      <c r="F54" s="946"/>
      <c r="G54" s="97"/>
      <c r="H54" s="946">
        <v>3.09</v>
      </c>
    </row>
    <row r="55" spans="1:8" s="224" customFormat="1" hidden="1" x14ac:dyDescent="0.25">
      <c r="A55" s="215">
        <v>42203</v>
      </c>
      <c r="B55" s="1489" t="s">
        <v>1059</v>
      </c>
      <c r="C55" s="879" t="s">
        <v>12</v>
      </c>
      <c r="D55" s="887" t="s">
        <v>13</v>
      </c>
      <c r="E55" s="250">
        <v>12</v>
      </c>
      <c r="F55" s="1473"/>
      <c r="G55" s="252"/>
      <c r="H55" s="1473"/>
    </row>
    <row r="56" spans="1:8" s="224" customFormat="1" hidden="1" x14ac:dyDescent="0.25">
      <c r="A56" s="215">
        <v>42203</v>
      </c>
      <c r="B56" s="1489" t="s">
        <v>82</v>
      </c>
      <c r="C56" s="879" t="s">
        <v>12</v>
      </c>
      <c r="D56" s="887" t="s">
        <v>13</v>
      </c>
      <c r="E56" s="250">
        <v>25</v>
      </c>
      <c r="F56" s="1473"/>
      <c r="G56" s="252"/>
      <c r="H56" s="1473"/>
    </row>
    <row r="57" spans="1:8" s="224" customFormat="1" hidden="1" x14ac:dyDescent="0.25">
      <c r="A57" s="215">
        <v>42204</v>
      </c>
      <c r="B57" s="862" t="s">
        <v>14</v>
      </c>
      <c r="C57" s="879" t="s">
        <v>12</v>
      </c>
      <c r="D57" s="1475" t="s">
        <v>13</v>
      </c>
      <c r="E57" s="97">
        <v>21.69</v>
      </c>
      <c r="F57" s="1473"/>
      <c r="G57" s="252"/>
      <c r="H57" s="1473"/>
    </row>
    <row r="58" spans="1:8" s="224" customFormat="1" hidden="1" x14ac:dyDescent="0.25">
      <c r="A58" s="215">
        <v>42204</v>
      </c>
      <c r="B58" s="862" t="s">
        <v>1059</v>
      </c>
      <c r="C58" s="879" t="s">
        <v>12</v>
      </c>
      <c r="D58" s="1475" t="s">
        <v>13</v>
      </c>
      <c r="E58" s="97">
        <v>13.72</v>
      </c>
      <c r="F58" s="1473"/>
      <c r="G58" s="252"/>
      <c r="H58" s="1473"/>
    </row>
    <row r="59" spans="1:8" s="224" customFormat="1" hidden="1" x14ac:dyDescent="0.25">
      <c r="A59" s="215">
        <v>42205</v>
      </c>
      <c r="B59" s="349" t="s">
        <v>1060</v>
      </c>
      <c r="C59" s="350" t="s">
        <v>12</v>
      </c>
      <c r="D59" s="141" t="s">
        <v>25</v>
      </c>
      <c r="E59" s="250"/>
      <c r="F59" s="1473">
        <v>1280</v>
      </c>
      <c r="G59" s="252"/>
      <c r="H59" s="1473"/>
    </row>
    <row r="60" spans="1:8" hidden="1" x14ac:dyDescent="0.25">
      <c r="A60" s="215">
        <v>42205</v>
      </c>
      <c r="B60" s="862" t="s">
        <v>878</v>
      </c>
      <c r="C60" s="350" t="s">
        <v>12</v>
      </c>
      <c r="D60" s="957" t="s">
        <v>13</v>
      </c>
      <c r="E60" s="97">
        <v>2</v>
      </c>
      <c r="F60" s="1473"/>
      <c r="G60" s="252"/>
      <c r="H60" s="946"/>
    </row>
    <row r="61" spans="1:8" hidden="1" x14ac:dyDescent="0.25">
      <c r="A61" s="215">
        <v>42205</v>
      </c>
      <c r="B61" s="349" t="s">
        <v>260</v>
      </c>
      <c r="C61" s="350"/>
      <c r="D61" s="141"/>
      <c r="E61" s="97">
        <v>550</v>
      </c>
      <c r="F61" s="946"/>
      <c r="G61" s="95"/>
      <c r="H61" s="946">
        <v>550</v>
      </c>
    </row>
    <row r="62" spans="1:8" s="224" customFormat="1" hidden="1" x14ac:dyDescent="0.25">
      <c r="A62" s="215">
        <v>42205</v>
      </c>
      <c r="B62" s="349" t="s">
        <v>1061</v>
      </c>
      <c r="C62" s="350" t="s">
        <v>12</v>
      </c>
      <c r="D62" s="141" t="s">
        <v>13</v>
      </c>
      <c r="E62" s="97">
        <v>100</v>
      </c>
      <c r="F62" s="946"/>
      <c r="G62" s="95"/>
      <c r="H62" s="1473"/>
    </row>
    <row r="63" spans="1:8" s="224" customFormat="1" hidden="1" x14ac:dyDescent="0.25">
      <c r="A63" s="215">
        <v>42205</v>
      </c>
      <c r="B63" s="349" t="s">
        <v>32</v>
      </c>
      <c r="C63" s="350" t="s">
        <v>12</v>
      </c>
      <c r="D63" s="141" t="s">
        <v>15</v>
      </c>
      <c r="E63" s="97">
        <v>12</v>
      </c>
      <c r="F63" s="946"/>
      <c r="G63" s="95"/>
      <c r="H63" s="1473"/>
    </row>
    <row r="64" spans="1:8" s="224" customFormat="1" hidden="1" x14ac:dyDescent="0.25">
      <c r="A64" s="215">
        <v>42206</v>
      </c>
      <c r="B64" s="349" t="s">
        <v>32</v>
      </c>
      <c r="C64" s="350" t="s">
        <v>12</v>
      </c>
      <c r="D64" s="141" t="s">
        <v>13</v>
      </c>
      <c r="E64" s="97">
        <v>12</v>
      </c>
      <c r="F64" s="946"/>
      <c r="G64" s="95"/>
      <c r="H64" s="1473"/>
    </row>
    <row r="65" spans="1:8" hidden="1" x14ac:dyDescent="0.25">
      <c r="A65" s="215">
        <v>42207</v>
      </c>
      <c r="B65" s="862" t="s">
        <v>1062</v>
      </c>
      <c r="C65" s="879" t="s">
        <v>12</v>
      </c>
      <c r="D65" s="887" t="s">
        <v>15</v>
      </c>
      <c r="E65" s="250">
        <v>4.0999999999999996</v>
      </c>
      <c r="F65" s="946"/>
      <c r="G65" s="97"/>
      <c r="H65" s="946"/>
    </row>
    <row r="66" spans="1:8" hidden="1" x14ac:dyDescent="0.25">
      <c r="A66" s="215">
        <v>42207</v>
      </c>
      <c r="B66" s="349" t="s">
        <v>32</v>
      </c>
      <c r="C66" s="350" t="s">
        <v>12</v>
      </c>
      <c r="D66" s="141" t="s">
        <v>13</v>
      </c>
      <c r="E66" s="97">
        <v>12</v>
      </c>
      <c r="F66" s="946"/>
      <c r="G66" s="97"/>
      <c r="H66" s="946"/>
    </row>
    <row r="67" spans="1:8" hidden="1" x14ac:dyDescent="0.25">
      <c r="A67" s="215">
        <v>42207</v>
      </c>
      <c r="B67" s="862" t="s">
        <v>1063</v>
      </c>
      <c r="C67" s="879" t="s">
        <v>12</v>
      </c>
      <c r="D67" s="887" t="s">
        <v>15</v>
      </c>
      <c r="E67" s="250">
        <v>4.0999999999999996</v>
      </c>
      <c r="F67" s="946"/>
      <c r="G67" s="97"/>
      <c r="H67" s="946"/>
    </row>
    <row r="68" spans="1:8" hidden="1" x14ac:dyDescent="0.25">
      <c r="A68" s="215">
        <v>42207</v>
      </c>
      <c r="B68" s="349" t="s">
        <v>14</v>
      </c>
      <c r="C68" s="350" t="s">
        <v>12</v>
      </c>
      <c r="D68" s="141" t="s">
        <v>13</v>
      </c>
      <c r="E68" s="97">
        <v>6.61</v>
      </c>
      <c r="F68" s="946"/>
      <c r="G68" s="97"/>
      <c r="H68" s="946"/>
    </row>
    <row r="69" spans="1:8" hidden="1" x14ac:dyDescent="0.25">
      <c r="A69" s="215">
        <v>42207</v>
      </c>
      <c r="B69" s="349" t="s">
        <v>1064</v>
      </c>
      <c r="C69" s="350" t="s">
        <v>12</v>
      </c>
      <c r="D69" s="141" t="s">
        <v>15</v>
      </c>
      <c r="E69" s="97">
        <v>145</v>
      </c>
      <c r="F69" s="946"/>
      <c r="G69" s="97"/>
      <c r="H69" s="946"/>
    </row>
    <row r="70" spans="1:8" s="224" customFormat="1" hidden="1" x14ac:dyDescent="0.25">
      <c r="A70" s="215">
        <v>42208</v>
      </c>
      <c r="B70" s="349" t="s">
        <v>32</v>
      </c>
      <c r="C70" s="350" t="s">
        <v>12</v>
      </c>
      <c r="D70" s="141" t="s">
        <v>13</v>
      </c>
      <c r="E70" s="97">
        <v>12</v>
      </c>
      <c r="F70" s="946"/>
      <c r="G70" s="95"/>
      <c r="H70" s="1473"/>
    </row>
    <row r="71" spans="1:8" s="224" customFormat="1" hidden="1" x14ac:dyDescent="0.25">
      <c r="A71" s="215">
        <v>42208</v>
      </c>
      <c r="B71" s="349" t="s">
        <v>1065</v>
      </c>
      <c r="C71" s="350" t="s">
        <v>12</v>
      </c>
      <c r="D71" s="141" t="s">
        <v>13</v>
      </c>
      <c r="E71" s="97">
        <v>27.09</v>
      </c>
      <c r="F71" s="946"/>
      <c r="G71" s="95"/>
      <c r="H71" s="1473"/>
    </row>
    <row r="72" spans="1:8" s="224" customFormat="1" x14ac:dyDescent="0.25">
      <c r="A72" s="215">
        <v>42208</v>
      </c>
      <c r="B72" s="349" t="s">
        <v>1066</v>
      </c>
      <c r="C72" s="350" t="s">
        <v>19</v>
      </c>
      <c r="D72" s="141" t="s">
        <v>13</v>
      </c>
      <c r="E72" s="97">
        <v>36.950000000000003</v>
      </c>
      <c r="F72" s="946"/>
      <c r="G72" s="95"/>
      <c r="H72" s="1473"/>
    </row>
    <row r="73" spans="1:8" s="224" customFormat="1" hidden="1" x14ac:dyDescent="0.25">
      <c r="A73" s="215">
        <v>42208</v>
      </c>
      <c r="B73" s="349" t="s">
        <v>138</v>
      </c>
      <c r="C73" s="350" t="s">
        <v>12</v>
      </c>
      <c r="D73" s="141" t="s">
        <v>13</v>
      </c>
      <c r="E73" s="97">
        <v>20</v>
      </c>
      <c r="F73" s="946"/>
      <c r="G73" s="95"/>
      <c r="H73" s="1473"/>
    </row>
    <row r="74" spans="1:8" hidden="1" x14ac:dyDescent="0.25">
      <c r="A74" s="215">
        <v>42209</v>
      </c>
      <c r="B74" s="349" t="s">
        <v>32</v>
      </c>
      <c r="C74" s="350" t="s">
        <v>12</v>
      </c>
      <c r="D74" s="141" t="s">
        <v>13</v>
      </c>
      <c r="E74" s="97">
        <v>12</v>
      </c>
      <c r="F74" s="946"/>
      <c r="G74" s="97"/>
      <c r="H74" s="946"/>
    </row>
    <row r="75" spans="1:8" hidden="1" x14ac:dyDescent="0.25">
      <c r="A75" s="215">
        <v>42209</v>
      </c>
      <c r="B75" s="349" t="s">
        <v>38</v>
      </c>
      <c r="C75" s="350" t="s">
        <v>12</v>
      </c>
      <c r="D75" s="141" t="s">
        <v>13</v>
      </c>
      <c r="E75" s="97">
        <v>20</v>
      </c>
      <c r="F75" s="946"/>
      <c r="G75" s="97"/>
      <c r="H75" s="946"/>
    </row>
    <row r="76" spans="1:8" hidden="1" x14ac:dyDescent="0.25">
      <c r="A76" s="215">
        <v>42209</v>
      </c>
      <c r="B76" s="349" t="s">
        <v>402</v>
      </c>
      <c r="C76" s="350" t="s">
        <v>12</v>
      </c>
      <c r="D76" s="141" t="s">
        <v>13</v>
      </c>
      <c r="E76" s="97">
        <v>29.5</v>
      </c>
      <c r="F76" s="946"/>
      <c r="G76" s="97"/>
      <c r="H76" s="946"/>
    </row>
    <row r="77" spans="1:8" hidden="1" x14ac:dyDescent="0.25">
      <c r="A77" s="215">
        <v>42209</v>
      </c>
      <c r="B77" s="349" t="s">
        <v>1067</v>
      </c>
      <c r="C77" s="350" t="s">
        <v>12</v>
      </c>
      <c r="D77" s="141" t="s">
        <v>13</v>
      </c>
      <c r="E77" s="97">
        <v>5</v>
      </c>
      <c r="F77" s="946"/>
      <c r="G77" s="97"/>
      <c r="H77" s="946"/>
    </row>
    <row r="78" spans="1:8" s="224" customFormat="1" hidden="1" x14ac:dyDescent="0.25">
      <c r="A78" s="215">
        <v>42210</v>
      </c>
      <c r="B78" s="862" t="s">
        <v>1059</v>
      </c>
      <c r="C78" s="879" t="s">
        <v>12</v>
      </c>
      <c r="D78" s="887" t="s">
        <v>13</v>
      </c>
      <c r="E78" s="250">
        <v>12</v>
      </c>
      <c r="F78" s="946"/>
      <c r="G78" s="97"/>
      <c r="H78" s="1473"/>
    </row>
    <row r="79" spans="1:8" s="224" customFormat="1" hidden="1" x14ac:dyDescent="0.25">
      <c r="A79" s="215">
        <v>42210</v>
      </c>
      <c r="B79" s="862" t="s">
        <v>82</v>
      </c>
      <c r="C79" s="879" t="s">
        <v>12</v>
      </c>
      <c r="D79" s="887" t="s">
        <v>13</v>
      </c>
      <c r="E79" s="250">
        <v>26</v>
      </c>
      <c r="F79" s="946"/>
      <c r="G79" s="97"/>
      <c r="H79" s="1473"/>
    </row>
    <row r="80" spans="1:8" s="224" customFormat="1" hidden="1" x14ac:dyDescent="0.25">
      <c r="A80" s="215">
        <v>42211</v>
      </c>
      <c r="B80" s="862" t="s">
        <v>14</v>
      </c>
      <c r="C80" s="879" t="s">
        <v>12</v>
      </c>
      <c r="D80" s="887" t="s">
        <v>13</v>
      </c>
      <c r="E80" s="250">
        <v>20.21</v>
      </c>
      <c r="F80" s="946"/>
      <c r="G80" s="97"/>
      <c r="H80" s="1473"/>
    </row>
    <row r="81" spans="1:8" s="224" customFormat="1" hidden="1" x14ac:dyDescent="0.25">
      <c r="A81" s="215">
        <v>42211</v>
      </c>
      <c r="B81" s="862" t="s">
        <v>1068</v>
      </c>
      <c r="C81" s="879" t="s">
        <v>12</v>
      </c>
      <c r="D81" s="887" t="s">
        <v>13</v>
      </c>
      <c r="E81" s="250">
        <v>12.8</v>
      </c>
      <c r="F81" s="946"/>
      <c r="G81" s="97"/>
      <c r="H81" s="1473"/>
    </row>
    <row r="82" spans="1:8" s="224" customFormat="1" hidden="1" x14ac:dyDescent="0.25">
      <c r="A82" s="215">
        <v>42211</v>
      </c>
      <c r="B82" s="862" t="s">
        <v>914</v>
      </c>
      <c r="C82" s="879" t="s">
        <v>12</v>
      </c>
      <c r="D82" s="887" t="s">
        <v>13</v>
      </c>
      <c r="E82" s="250">
        <v>12</v>
      </c>
      <c r="F82" s="946"/>
      <c r="G82" s="97"/>
      <c r="H82" s="1473"/>
    </row>
    <row r="83" spans="1:8" s="224" customFormat="1" hidden="1" x14ac:dyDescent="0.25">
      <c r="A83" s="215">
        <v>42212</v>
      </c>
      <c r="B83" s="349" t="s">
        <v>32</v>
      </c>
      <c r="C83" s="350" t="s">
        <v>12</v>
      </c>
      <c r="D83" s="141" t="s">
        <v>13</v>
      </c>
      <c r="E83" s="97">
        <v>12</v>
      </c>
      <c r="F83" s="946"/>
      <c r="G83" s="97"/>
      <c r="H83" s="1473"/>
    </row>
    <row r="84" spans="1:8" s="459" customFormat="1" hidden="1" x14ac:dyDescent="0.25">
      <c r="A84" s="1052">
        <v>42212</v>
      </c>
      <c r="B84" s="873" t="s">
        <v>1069</v>
      </c>
      <c r="C84" s="879" t="s">
        <v>12</v>
      </c>
      <c r="D84" s="1475" t="s">
        <v>15</v>
      </c>
      <c r="E84" s="523">
        <v>15</v>
      </c>
      <c r="F84" s="524"/>
      <c r="G84" s="523"/>
      <c r="H84" s="457"/>
    </row>
    <row r="85" spans="1:8" s="224" customFormat="1" hidden="1" x14ac:dyDescent="0.25">
      <c r="A85" s="215">
        <v>42213</v>
      </c>
      <c r="B85" s="349" t="s">
        <v>134</v>
      </c>
      <c r="C85" s="350" t="s">
        <v>12</v>
      </c>
      <c r="D85" s="141" t="s">
        <v>15</v>
      </c>
      <c r="E85" s="97">
        <v>4</v>
      </c>
      <c r="F85" s="946"/>
      <c r="G85" s="97"/>
      <c r="H85" s="1473"/>
    </row>
    <row r="86" spans="1:8" s="224" customFormat="1" hidden="1" x14ac:dyDescent="0.25">
      <c r="A86" s="215">
        <v>42213</v>
      </c>
      <c r="B86" s="349" t="s">
        <v>32</v>
      </c>
      <c r="C86" s="350" t="s">
        <v>12</v>
      </c>
      <c r="D86" s="141" t="s">
        <v>13</v>
      </c>
      <c r="E86" s="97">
        <v>12</v>
      </c>
      <c r="F86" s="946"/>
      <c r="G86" s="97"/>
      <c r="H86" s="1473"/>
    </row>
    <row r="87" spans="1:8" s="224" customFormat="1" x14ac:dyDescent="0.25">
      <c r="A87" s="215">
        <v>42213</v>
      </c>
      <c r="B87" s="349" t="s">
        <v>1066</v>
      </c>
      <c r="C87" s="350" t="s">
        <v>19</v>
      </c>
      <c r="D87" s="141" t="s">
        <v>13</v>
      </c>
      <c r="E87" s="97">
        <v>36.340000000000003</v>
      </c>
      <c r="F87" s="946"/>
      <c r="G87" s="97"/>
      <c r="H87" s="1473"/>
    </row>
    <row r="88" spans="1:8" s="224" customFormat="1" hidden="1" x14ac:dyDescent="0.25">
      <c r="A88" s="215">
        <v>42213</v>
      </c>
      <c r="B88" s="349" t="s">
        <v>1070</v>
      </c>
      <c r="C88" s="350" t="s">
        <v>19</v>
      </c>
      <c r="D88" s="141" t="s">
        <v>13</v>
      </c>
      <c r="E88" s="97">
        <v>12</v>
      </c>
      <c r="F88" s="946"/>
      <c r="G88" s="97"/>
      <c r="H88" s="1473"/>
    </row>
    <row r="89" spans="1:8" s="224" customFormat="1" x14ac:dyDescent="0.25">
      <c r="A89" s="215">
        <v>42213</v>
      </c>
      <c r="B89" s="349" t="s">
        <v>1071</v>
      </c>
      <c r="C89" s="350" t="s">
        <v>19</v>
      </c>
      <c r="D89" s="141" t="s">
        <v>13</v>
      </c>
      <c r="E89" s="97">
        <v>70</v>
      </c>
      <c r="F89" s="946"/>
      <c r="G89" s="97"/>
      <c r="H89" s="1473"/>
    </row>
    <row r="90" spans="1:8" s="224" customFormat="1" hidden="1" x14ac:dyDescent="0.25">
      <c r="A90" s="215">
        <v>42213</v>
      </c>
      <c r="B90" s="349" t="s">
        <v>1072</v>
      </c>
      <c r="C90" s="350" t="s">
        <v>19</v>
      </c>
      <c r="D90" s="141" t="s">
        <v>13</v>
      </c>
      <c r="E90" s="97">
        <v>9.3800000000000008</v>
      </c>
      <c r="F90" s="946"/>
      <c r="G90" s="97"/>
      <c r="H90" s="1473"/>
    </row>
    <row r="91" spans="1:8" s="224" customFormat="1" hidden="1" x14ac:dyDescent="0.25">
      <c r="A91" s="215">
        <v>42213</v>
      </c>
      <c r="B91" s="349" t="s">
        <v>1073</v>
      </c>
      <c r="C91" s="350" t="s">
        <v>19</v>
      </c>
      <c r="D91" s="141" t="s">
        <v>13</v>
      </c>
      <c r="E91" s="97">
        <v>18.55</v>
      </c>
      <c r="F91" s="627"/>
      <c r="G91" s="97"/>
      <c r="H91" s="1473"/>
    </row>
    <row r="92" spans="1:8" s="224" customFormat="1" hidden="1" x14ac:dyDescent="0.25">
      <c r="A92" s="215">
        <v>42214</v>
      </c>
      <c r="B92" s="862" t="s">
        <v>32</v>
      </c>
      <c r="C92" s="879" t="s">
        <v>12</v>
      </c>
      <c r="D92" s="887" t="s">
        <v>13</v>
      </c>
      <c r="E92" s="250">
        <v>12</v>
      </c>
      <c r="F92" s="946"/>
      <c r="G92" s="97"/>
      <c r="H92" s="1473"/>
    </row>
    <row r="93" spans="1:8" s="224" customFormat="1" hidden="1" x14ac:dyDescent="0.25">
      <c r="A93" s="215">
        <v>42214</v>
      </c>
      <c r="B93" s="862" t="s">
        <v>1074</v>
      </c>
      <c r="C93" s="879" t="s">
        <v>12</v>
      </c>
      <c r="D93" s="887" t="s">
        <v>15</v>
      </c>
      <c r="E93" s="250">
        <v>3.5</v>
      </c>
      <c r="F93" s="946"/>
      <c r="G93" s="97"/>
      <c r="H93" s="1473"/>
    </row>
    <row r="94" spans="1:8" s="224" customFormat="1" hidden="1" x14ac:dyDescent="0.25">
      <c r="A94" s="215">
        <v>42214</v>
      </c>
      <c r="B94" s="862" t="s">
        <v>134</v>
      </c>
      <c r="C94" s="879" t="s">
        <v>12</v>
      </c>
      <c r="D94" s="887" t="s">
        <v>15</v>
      </c>
      <c r="E94" s="250">
        <v>6</v>
      </c>
      <c r="F94" s="946"/>
      <c r="G94" s="97"/>
      <c r="H94" s="1473"/>
    </row>
    <row r="95" spans="1:8" s="224" customFormat="1" hidden="1" x14ac:dyDescent="0.25">
      <c r="A95" s="215">
        <v>42215</v>
      </c>
      <c r="B95" s="862" t="s">
        <v>256</v>
      </c>
      <c r="C95" s="879" t="s">
        <v>12</v>
      </c>
      <c r="D95" s="1475" t="s">
        <v>13</v>
      </c>
      <c r="E95" s="97"/>
      <c r="F95" s="946">
        <v>153.09</v>
      </c>
      <c r="G95" s="97">
        <v>153.09</v>
      </c>
      <c r="H95" s="1473"/>
    </row>
    <row r="96" spans="1:8" s="224" customFormat="1" hidden="1" x14ac:dyDescent="0.25">
      <c r="A96" s="215">
        <v>42215</v>
      </c>
      <c r="B96" s="862" t="s">
        <v>32</v>
      </c>
      <c r="C96" s="879" t="s">
        <v>12</v>
      </c>
      <c r="D96" s="887" t="s">
        <v>13</v>
      </c>
      <c r="E96" s="250">
        <v>12</v>
      </c>
      <c r="F96" s="946"/>
      <c r="G96" s="97"/>
      <c r="H96" s="1473"/>
    </row>
    <row r="97" spans="1:8" s="224" customFormat="1" hidden="1" x14ac:dyDescent="0.25">
      <c r="A97" s="215">
        <v>42215</v>
      </c>
      <c r="B97" s="862" t="s">
        <v>14</v>
      </c>
      <c r="C97" s="879" t="s">
        <v>12</v>
      </c>
      <c r="D97" s="887" t="s">
        <v>13</v>
      </c>
      <c r="E97" s="250">
        <v>6</v>
      </c>
      <c r="F97" s="946"/>
      <c r="G97" s="97"/>
      <c r="H97" s="1473"/>
    </row>
    <row r="98" spans="1:8" s="224" customFormat="1" hidden="1" x14ac:dyDescent="0.25">
      <c r="A98" s="215">
        <v>42215</v>
      </c>
      <c r="B98" s="862" t="s">
        <v>1075</v>
      </c>
      <c r="C98" s="879" t="s">
        <v>12</v>
      </c>
      <c r="D98" s="887" t="s">
        <v>13</v>
      </c>
      <c r="E98" s="250">
        <v>10.19</v>
      </c>
      <c r="F98" s="946"/>
      <c r="G98" s="97"/>
      <c r="H98" s="1473"/>
    </row>
    <row r="99" spans="1:8" s="224" customFormat="1" hidden="1" x14ac:dyDescent="0.25">
      <c r="A99" s="215">
        <v>42215</v>
      </c>
      <c r="B99" s="862" t="s">
        <v>138</v>
      </c>
      <c r="C99" s="879" t="s">
        <v>19</v>
      </c>
      <c r="D99" s="887" t="s">
        <v>13</v>
      </c>
      <c r="E99" s="250">
        <v>50</v>
      </c>
      <c r="F99" s="946"/>
      <c r="G99" s="97"/>
      <c r="H99" s="1473"/>
    </row>
    <row r="100" spans="1:8" s="224" customFormat="1" hidden="1" x14ac:dyDescent="0.25">
      <c r="A100" s="215">
        <v>42216</v>
      </c>
      <c r="B100" s="862" t="s">
        <v>32</v>
      </c>
      <c r="C100" s="879" t="s">
        <v>12</v>
      </c>
      <c r="D100" s="887" t="s">
        <v>13</v>
      </c>
      <c r="E100" s="250">
        <v>12</v>
      </c>
      <c r="F100" s="946"/>
      <c r="G100" s="97"/>
      <c r="H100" s="1473"/>
    </row>
    <row r="101" spans="1:8" s="224" customFormat="1" hidden="1" x14ac:dyDescent="0.25">
      <c r="A101" s="215">
        <v>42216</v>
      </c>
      <c r="B101" s="862" t="s">
        <v>14</v>
      </c>
      <c r="C101" s="879" t="s">
        <v>12</v>
      </c>
      <c r="D101" s="887" t="s">
        <v>13</v>
      </c>
      <c r="E101" s="250">
        <v>6</v>
      </c>
      <c r="F101" s="946"/>
      <c r="G101" s="97"/>
      <c r="H101" s="1473"/>
    </row>
    <row r="102" spans="1:8" ht="25.5" hidden="1" customHeight="1" thickBot="1" x14ac:dyDescent="0.3">
      <c r="A102" s="3060"/>
      <c r="B102" s="3061"/>
      <c r="C102" s="3062"/>
      <c r="D102" s="3062"/>
      <c r="E102" s="100">
        <f>SUM(E6:E101)</f>
        <v>3481.8900000000003</v>
      </c>
      <c r="F102" s="1065">
        <f>SUM(F5:F101)</f>
        <v>3704.3730000000019</v>
      </c>
      <c r="G102" s="101">
        <f>SUM(G6:G101)</f>
        <v>505.37</v>
      </c>
      <c r="H102" s="93">
        <f>SUM(H5:H101)</f>
        <v>2105.3700000000003</v>
      </c>
    </row>
    <row r="103" spans="1:8" ht="25.5" hidden="1" customHeight="1" thickBot="1" x14ac:dyDescent="0.3">
      <c r="A103" s="3077" t="s">
        <v>49</v>
      </c>
      <c r="B103" s="3078"/>
      <c r="C103" s="3078"/>
      <c r="D103" s="3078"/>
      <c r="E103" s="144"/>
      <c r="F103" s="519">
        <f>F102-E102</f>
        <v>222.48300000000154</v>
      </c>
      <c r="G103" s="555"/>
      <c r="H103" s="556">
        <f>H102-G102</f>
        <v>1600.0000000000005</v>
      </c>
    </row>
    <row r="105" spans="1:8" x14ac:dyDescent="0.25">
      <c r="B105" s="79" t="s">
        <v>32</v>
      </c>
      <c r="C105" s="475">
        <v>279.72000000000003</v>
      </c>
    </row>
    <row r="106" spans="1:8" x14ac:dyDescent="0.25">
      <c r="B106" s="79" t="s">
        <v>16</v>
      </c>
      <c r="C106" s="475">
        <v>180</v>
      </c>
      <c r="D106" s="79"/>
    </row>
    <row r="107" spans="1:8" x14ac:dyDescent="0.25">
      <c r="B107" s="79" t="s">
        <v>50</v>
      </c>
      <c r="C107" s="475">
        <v>201.22</v>
      </c>
    </row>
    <row r="108" spans="1:8" s="85" customFormat="1" x14ac:dyDescent="0.25">
      <c r="A108" s="79"/>
      <c r="B108" s="79" t="s">
        <v>14</v>
      </c>
      <c r="C108" s="475">
        <v>188.5</v>
      </c>
      <c r="E108" s="89"/>
      <c r="F108" s="79"/>
      <c r="G108" s="79"/>
    </row>
    <row r="109" spans="1:8" s="85" customFormat="1" x14ac:dyDescent="0.25">
      <c r="A109" s="79"/>
      <c r="B109" s="79" t="s">
        <v>51</v>
      </c>
      <c r="C109" s="484">
        <v>65.099999999999994</v>
      </c>
      <c r="E109" s="89"/>
      <c r="F109" s="79"/>
      <c r="G109" s="79"/>
      <c r="H109" s="79"/>
    </row>
    <row r="110" spans="1:8" s="85" customFormat="1" x14ac:dyDescent="0.25">
      <c r="A110" s="79"/>
      <c r="B110" s="79" t="s">
        <v>52</v>
      </c>
      <c r="C110" s="484"/>
      <c r="E110" s="89"/>
      <c r="F110" s="79"/>
      <c r="G110" s="79"/>
      <c r="H110" s="79"/>
    </row>
    <row r="111" spans="1:8" s="85" customFormat="1" x14ac:dyDescent="0.25">
      <c r="A111" s="79"/>
      <c r="B111" s="867" t="s">
        <v>53</v>
      </c>
      <c r="C111" s="475">
        <v>145</v>
      </c>
      <c r="D111" s="89"/>
      <c r="E111" s="89"/>
      <c r="F111" s="79"/>
      <c r="G111" s="79"/>
      <c r="H111" s="79"/>
    </row>
    <row r="112" spans="1:8" s="85" customFormat="1" x14ac:dyDescent="0.25">
      <c r="A112" s="79"/>
      <c r="B112" s="79" t="s">
        <v>56</v>
      </c>
      <c r="C112" s="475">
        <v>21.5</v>
      </c>
      <c r="E112" s="89"/>
      <c r="F112" s="79"/>
      <c r="G112" s="79"/>
      <c r="H112" s="79"/>
    </row>
    <row r="113" spans="1:9" s="85" customFormat="1" x14ac:dyDescent="0.25">
      <c r="A113" s="79"/>
      <c r="B113" s="79" t="s">
        <v>910</v>
      </c>
      <c r="C113" s="475">
        <v>223.24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418</v>
      </c>
      <c r="C114" s="475">
        <v>120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419</v>
      </c>
      <c r="C115" s="475">
        <v>457.41</v>
      </c>
      <c r="D115" s="79"/>
      <c r="E115" s="89"/>
      <c r="F115" s="79"/>
      <c r="G115" s="79"/>
      <c r="H115" s="79"/>
    </row>
    <row r="116" spans="1:9" x14ac:dyDescent="0.25">
      <c r="B116" s="79" t="s">
        <v>911</v>
      </c>
      <c r="C116" s="475">
        <v>164.29</v>
      </c>
    </row>
    <row r="118" spans="1:9" x14ac:dyDescent="0.25">
      <c r="B118" s="79" t="s">
        <v>486</v>
      </c>
      <c r="C118" s="475">
        <f>G118/I118</f>
        <v>75.480322580645151</v>
      </c>
      <c r="E118" s="224" t="s">
        <v>487</v>
      </c>
      <c r="F118" s="224"/>
      <c r="G118" s="216">
        <v>2339.89</v>
      </c>
      <c r="H118" s="518" t="s">
        <v>488</v>
      </c>
      <c r="I118" s="85">
        <v>31</v>
      </c>
    </row>
  </sheetData>
  <autoFilter ref="A2:H103" xr:uid="{00000000-0009-0000-0000-000023000000}">
    <filterColumn colId="1">
      <customFilters>
        <customFilter val="*apt*"/>
      </customFilters>
    </filterColumn>
  </autoFilter>
  <mergeCells count="10">
    <mergeCell ref="A102:D102"/>
    <mergeCell ref="A103:D103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Plan25" filterMode="1"/>
  <dimension ref="A1:I120"/>
  <sheetViews>
    <sheetView zoomScale="85" zoomScaleNormal="85" workbookViewId="0">
      <pane ySplit="4" topLeftCell="A5" activePane="bottomLeft" state="frozen"/>
      <selection activeCell="C44" sqref="C44"/>
      <selection pane="bottomLeft" activeCell="B118" sqref="A1:L12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1076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42217</v>
      </c>
      <c r="B5" s="369" t="s">
        <v>10</v>
      </c>
      <c r="C5" s="370"/>
      <c r="D5" s="207"/>
      <c r="E5" s="179"/>
      <c r="F5" s="933">
        <f>'Julho-15'!F103</f>
        <v>222.48300000000154</v>
      </c>
      <c r="G5" s="163"/>
      <c r="H5" s="933">
        <f>'Julho-15'!H103</f>
        <v>1600.0000000000005</v>
      </c>
    </row>
    <row r="6" spans="1:8" s="224" customFormat="1" hidden="1" x14ac:dyDescent="0.25">
      <c r="A6" s="215">
        <v>42217</v>
      </c>
      <c r="B6" s="348" t="s">
        <v>11</v>
      </c>
      <c r="C6" s="351"/>
      <c r="D6" s="248"/>
      <c r="E6" s="250">
        <v>18</v>
      </c>
      <c r="F6" s="1473"/>
      <c r="G6" s="252"/>
      <c r="H6" s="1473"/>
    </row>
    <row r="7" spans="1:8" s="224" customFormat="1" hidden="1" x14ac:dyDescent="0.25">
      <c r="A7" s="215">
        <v>42217</v>
      </c>
      <c r="B7" s="862" t="s">
        <v>14</v>
      </c>
      <c r="C7" s="879" t="s">
        <v>12</v>
      </c>
      <c r="D7" s="887" t="s">
        <v>13</v>
      </c>
      <c r="E7" s="250">
        <v>17.07</v>
      </c>
      <c r="F7" s="946"/>
      <c r="G7" s="97"/>
      <c r="H7" s="1473"/>
    </row>
    <row r="8" spans="1:8" s="224" customFormat="1" hidden="1" x14ac:dyDescent="0.25">
      <c r="A8" s="215">
        <v>42217</v>
      </c>
      <c r="B8" s="862" t="s">
        <v>1077</v>
      </c>
      <c r="C8" s="879" t="s">
        <v>12</v>
      </c>
      <c r="D8" s="1475" t="s">
        <v>13</v>
      </c>
      <c r="E8" s="97">
        <v>20.32</v>
      </c>
      <c r="F8" s="946"/>
      <c r="G8" s="97"/>
      <c r="H8" s="1473"/>
    </row>
    <row r="9" spans="1:8" s="224" customFormat="1" ht="15.75" hidden="1" customHeight="1" x14ac:dyDescent="0.25">
      <c r="A9" s="215">
        <v>42218</v>
      </c>
      <c r="B9" s="349" t="s">
        <v>14</v>
      </c>
      <c r="C9" s="879" t="s">
        <v>12</v>
      </c>
      <c r="D9" s="1475" t="s">
        <v>13</v>
      </c>
      <c r="E9" s="97">
        <v>12.58</v>
      </c>
      <c r="F9" s="946"/>
      <c r="G9" s="97"/>
      <c r="H9" s="946"/>
    </row>
    <row r="10" spans="1:8" s="224" customFormat="1" ht="15.75" hidden="1" customHeight="1" x14ac:dyDescent="0.25">
      <c r="A10" s="215">
        <v>42218</v>
      </c>
      <c r="B10" s="349" t="s">
        <v>1003</v>
      </c>
      <c r="C10" s="350" t="s">
        <v>12</v>
      </c>
      <c r="D10" s="141" t="s">
        <v>13</v>
      </c>
      <c r="E10" s="97">
        <v>9.1999999999999993</v>
      </c>
      <c r="F10" s="946"/>
      <c r="G10" s="97"/>
      <c r="H10" s="946"/>
    </row>
    <row r="11" spans="1:8" s="224" customFormat="1" ht="15.75" hidden="1" customHeight="1" x14ac:dyDescent="0.25">
      <c r="A11" s="215">
        <v>42218</v>
      </c>
      <c r="B11" s="349" t="s">
        <v>1078</v>
      </c>
      <c r="C11" s="350" t="s">
        <v>12</v>
      </c>
      <c r="D11" s="141" t="s">
        <v>15</v>
      </c>
      <c r="E11" s="97">
        <v>60</v>
      </c>
      <c r="F11" s="946"/>
      <c r="G11" s="97"/>
      <c r="H11" s="946"/>
    </row>
    <row r="12" spans="1:8" s="224" customFormat="1" hidden="1" x14ac:dyDescent="0.25">
      <c r="A12" s="215">
        <v>42219</v>
      </c>
      <c r="B12" s="862" t="s">
        <v>32</v>
      </c>
      <c r="C12" s="879" t="s">
        <v>12</v>
      </c>
      <c r="D12" s="887" t="s">
        <v>13</v>
      </c>
      <c r="E12" s="250">
        <v>5</v>
      </c>
      <c r="F12" s="1473"/>
      <c r="G12" s="252"/>
      <c r="H12" s="1473"/>
    </row>
    <row r="13" spans="1:8" s="224" customFormat="1" hidden="1" x14ac:dyDescent="0.25">
      <c r="A13" s="215">
        <v>42219</v>
      </c>
      <c r="B13" s="862" t="s">
        <v>914</v>
      </c>
      <c r="C13" s="879" t="s">
        <v>12</v>
      </c>
      <c r="D13" s="887" t="s">
        <v>13</v>
      </c>
      <c r="E13" s="250">
        <v>8.16</v>
      </c>
      <c r="F13" s="1473"/>
      <c r="G13" s="252"/>
      <c r="H13" s="1473"/>
    </row>
    <row r="14" spans="1:8" s="224" customFormat="1" ht="15.75" hidden="1" customHeight="1" x14ac:dyDescent="0.25">
      <c r="A14" s="215">
        <v>42220</v>
      </c>
      <c r="B14" s="349" t="s">
        <v>311</v>
      </c>
      <c r="C14" s="350"/>
      <c r="D14" s="141"/>
      <c r="E14" s="97"/>
      <c r="F14" s="946"/>
      <c r="G14" s="97"/>
      <c r="H14" s="946">
        <v>5.47</v>
      </c>
    </row>
    <row r="15" spans="1:8" s="224" customFormat="1" hidden="1" x14ac:dyDescent="0.25">
      <c r="A15" s="215">
        <v>42220</v>
      </c>
      <c r="B15" s="862" t="s">
        <v>32</v>
      </c>
      <c r="C15" s="879" t="s">
        <v>12</v>
      </c>
      <c r="D15" s="887" t="s">
        <v>13</v>
      </c>
      <c r="E15" s="250">
        <v>12</v>
      </c>
      <c r="F15" s="1473"/>
      <c r="G15" s="252"/>
      <c r="H15" s="1473"/>
    </row>
    <row r="16" spans="1:8" s="224" customFormat="1" hidden="1" x14ac:dyDescent="0.25">
      <c r="A16" s="215">
        <v>42220</v>
      </c>
      <c r="B16" s="862" t="s">
        <v>256</v>
      </c>
      <c r="C16" s="879" t="s">
        <v>12</v>
      </c>
      <c r="D16" s="1475" t="s">
        <v>13</v>
      </c>
      <c r="E16" s="97"/>
      <c r="F16" s="946">
        <v>120</v>
      </c>
      <c r="G16" s="97">
        <v>120</v>
      </c>
      <c r="H16" s="1473"/>
    </row>
    <row r="17" spans="1:8" s="224" customFormat="1" hidden="1" x14ac:dyDescent="0.25">
      <c r="A17" s="215">
        <v>42220</v>
      </c>
      <c r="B17" s="862" t="s">
        <v>1051</v>
      </c>
      <c r="C17" s="879" t="s">
        <v>19</v>
      </c>
      <c r="D17" s="887" t="s">
        <v>13</v>
      </c>
      <c r="E17" s="250">
        <v>15.9</v>
      </c>
      <c r="F17" s="1473"/>
      <c r="G17" s="252"/>
      <c r="H17" s="1473"/>
    </row>
    <row r="18" spans="1:8" s="224" customFormat="1" hidden="1" x14ac:dyDescent="0.25">
      <c r="A18" s="215">
        <v>42220</v>
      </c>
      <c r="B18" s="862" t="s">
        <v>970</v>
      </c>
      <c r="C18" s="879" t="s">
        <v>19</v>
      </c>
      <c r="D18" s="887" t="s">
        <v>13</v>
      </c>
      <c r="E18" s="250">
        <v>35</v>
      </c>
      <c r="F18" s="1473"/>
      <c r="G18" s="252"/>
      <c r="H18" s="1473"/>
    </row>
    <row r="19" spans="1:8" s="224" customFormat="1" hidden="1" x14ac:dyDescent="0.25">
      <c r="A19" s="215">
        <v>42220</v>
      </c>
      <c r="B19" s="862" t="s">
        <v>147</v>
      </c>
      <c r="C19" s="879" t="s">
        <v>12</v>
      </c>
      <c r="D19" s="887" t="s">
        <v>13</v>
      </c>
      <c r="E19" s="250">
        <v>15</v>
      </c>
      <c r="F19" s="1473"/>
      <c r="G19" s="252"/>
      <c r="H19" s="1473"/>
    </row>
    <row r="20" spans="1:8" s="224" customFormat="1" hidden="1" x14ac:dyDescent="0.25">
      <c r="A20" s="215">
        <v>42221</v>
      </c>
      <c r="B20" s="862" t="s">
        <v>32</v>
      </c>
      <c r="C20" s="879" t="s">
        <v>12</v>
      </c>
      <c r="D20" s="887" t="s">
        <v>13</v>
      </c>
      <c r="E20" s="250">
        <v>12</v>
      </c>
      <c r="F20" s="1473"/>
      <c r="G20" s="252"/>
      <c r="H20" s="1473"/>
    </row>
    <row r="21" spans="1:8" s="224" customFormat="1" hidden="1" x14ac:dyDescent="0.25">
      <c r="A21" s="215">
        <v>42222</v>
      </c>
      <c r="B21" s="862" t="s">
        <v>32</v>
      </c>
      <c r="C21" s="879" t="s">
        <v>12</v>
      </c>
      <c r="D21" s="887" t="s">
        <v>13</v>
      </c>
      <c r="E21" s="250">
        <v>12</v>
      </c>
      <c r="F21" s="1473"/>
      <c r="G21" s="252"/>
      <c r="H21" s="1473"/>
    </row>
    <row r="22" spans="1:8" s="224" customFormat="1" ht="15.75" hidden="1" customHeight="1" x14ac:dyDescent="0.25">
      <c r="A22" s="215">
        <v>42222</v>
      </c>
      <c r="B22" s="349" t="s">
        <v>1079</v>
      </c>
      <c r="C22" s="879" t="s">
        <v>12</v>
      </c>
      <c r="D22" s="983" t="s">
        <v>25</v>
      </c>
      <c r="E22" s="250"/>
      <c r="F22" s="1473">
        <v>1501.95</v>
      </c>
      <c r="G22" s="252"/>
      <c r="H22" s="946"/>
    </row>
    <row r="23" spans="1:8" s="224" customFormat="1" ht="15.75" hidden="1" customHeight="1" x14ac:dyDescent="0.25">
      <c r="A23" s="215">
        <v>42222</v>
      </c>
      <c r="B23" s="862" t="s">
        <v>1080</v>
      </c>
      <c r="C23" s="350" t="s">
        <v>12</v>
      </c>
      <c r="D23" s="141" t="s">
        <v>13</v>
      </c>
      <c r="E23" s="97">
        <v>201.2</v>
      </c>
      <c r="F23" s="1473"/>
      <c r="G23" s="252"/>
      <c r="H23" s="946"/>
    </row>
    <row r="24" spans="1:8" s="224" customFormat="1" ht="15.75" hidden="1" customHeight="1" x14ac:dyDescent="0.25">
      <c r="A24" s="215">
        <v>42222</v>
      </c>
      <c r="B24" s="882" t="s">
        <v>1081</v>
      </c>
      <c r="C24" s="350" t="s">
        <v>12</v>
      </c>
      <c r="D24" s="141" t="s">
        <v>13</v>
      </c>
      <c r="E24" s="97">
        <v>75.290000000000006</v>
      </c>
      <c r="F24" s="1473"/>
      <c r="G24" s="252"/>
      <c r="H24" s="946"/>
    </row>
    <row r="25" spans="1:8" hidden="1" x14ac:dyDescent="0.25">
      <c r="A25" s="215">
        <v>42222</v>
      </c>
      <c r="B25" s="349" t="s">
        <v>260</v>
      </c>
      <c r="C25" s="350"/>
      <c r="D25" s="141"/>
      <c r="E25" s="97">
        <v>575</v>
      </c>
      <c r="F25" s="946"/>
      <c r="G25" s="95"/>
      <c r="H25" s="946">
        <v>575</v>
      </c>
    </row>
    <row r="26" spans="1:8" hidden="1" x14ac:dyDescent="0.25">
      <c r="A26" s="215">
        <v>42222</v>
      </c>
      <c r="B26" s="349" t="s">
        <v>134</v>
      </c>
      <c r="C26" s="350" t="s">
        <v>12</v>
      </c>
      <c r="D26" s="141" t="s">
        <v>13</v>
      </c>
      <c r="E26" s="97">
        <v>7.77</v>
      </c>
      <c r="F26" s="946"/>
      <c r="G26" s="95"/>
      <c r="H26" s="946"/>
    </row>
    <row r="27" spans="1:8" hidden="1" x14ac:dyDescent="0.25">
      <c r="A27" s="215">
        <v>42222</v>
      </c>
      <c r="B27" s="349" t="s">
        <v>138</v>
      </c>
      <c r="C27" s="350" t="s">
        <v>12</v>
      </c>
      <c r="D27" s="141" t="s">
        <v>15</v>
      </c>
      <c r="E27" s="97">
        <v>50</v>
      </c>
      <c r="F27" s="946"/>
      <c r="G27" s="95"/>
      <c r="H27" s="946"/>
    </row>
    <row r="28" spans="1:8" s="224" customFormat="1" hidden="1" x14ac:dyDescent="0.25">
      <c r="A28" s="215">
        <v>42223</v>
      </c>
      <c r="B28" s="862" t="s">
        <v>32</v>
      </c>
      <c r="C28" s="879" t="s">
        <v>12</v>
      </c>
      <c r="D28" s="887" t="s">
        <v>13</v>
      </c>
      <c r="E28" s="250">
        <v>12</v>
      </c>
      <c r="F28" s="1473"/>
      <c r="G28" s="252"/>
      <c r="H28" s="1473"/>
    </row>
    <row r="29" spans="1:8" s="224" customFormat="1" hidden="1" x14ac:dyDescent="0.25">
      <c r="A29" s="215">
        <v>42223</v>
      </c>
      <c r="B29" s="862" t="s">
        <v>1082</v>
      </c>
      <c r="C29" s="879" t="s">
        <v>12</v>
      </c>
      <c r="D29" s="887" t="s">
        <v>13</v>
      </c>
      <c r="E29" s="250">
        <v>20</v>
      </c>
      <c r="F29" s="1473"/>
      <c r="G29" s="252"/>
      <c r="H29" s="1473"/>
    </row>
    <row r="30" spans="1:8" s="224" customFormat="1" hidden="1" x14ac:dyDescent="0.25">
      <c r="A30" s="215">
        <v>42223</v>
      </c>
      <c r="B30" s="862" t="s">
        <v>1083</v>
      </c>
      <c r="C30" s="879" t="s">
        <v>12</v>
      </c>
      <c r="D30" s="887" t="s">
        <v>13</v>
      </c>
      <c r="E30" s="250">
        <v>41</v>
      </c>
      <c r="F30" s="1473"/>
      <c r="G30" s="252"/>
      <c r="H30" s="1473"/>
    </row>
    <row r="31" spans="1:8" s="224" customFormat="1" hidden="1" x14ac:dyDescent="0.25">
      <c r="A31" s="215">
        <v>42223</v>
      </c>
      <c r="B31" s="862" t="s">
        <v>134</v>
      </c>
      <c r="C31" s="879" t="s">
        <v>12</v>
      </c>
      <c r="D31" s="887" t="s">
        <v>13</v>
      </c>
      <c r="E31" s="250">
        <v>16.5</v>
      </c>
      <c r="F31" s="1473"/>
      <c r="G31" s="252"/>
      <c r="H31" s="1473"/>
    </row>
    <row r="32" spans="1:8" s="224" customFormat="1" hidden="1" x14ac:dyDescent="0.25">
      <c r="A32" s="215">
        <v>42223</v>
      </c>
      <c r="B32" s="862" t="s">
        <v>1084</v>
      </c>
      <c r="C32" s="879" t="s">
        <v>12</v>
      </c>
      <c r="D32" s="887" t="s">
        <v>13</v>
      </c>
      <c r="E32" s="250">
        <v>24</v>
      </c>
      <c r="F32" s="1473"/>
      <c r="G32" s="252"/>
      <c r="H32" s="1473"/>
    </row>
    <row r="33" spans="1:8" s="224" customFormat="1" hidden="1" x14ac:dyDescent="0.25">
      <c r="A33" s="215">
        <v>42223</v>
      </c>
      <c r="B33" s="862" t="s">
        <v>1085</v>
      </c>
      <c r="C33" s="879" t="s">
        <v>12</v>
      </c>
      <c r="D33" s="887" t="s">
        <v>13</v>
      </c>
      <c r="E33" s="250">
        <v>20.77</v>
      </c>
      <c r="F33" s="1473"/>
      <c r="G33" s="252"/>
      <c r="H33" s="1473"/>
    </row>
    <row r="34" spans="1:8" s="224" customFormat="1" hidden="1" x14ac:dyDescent="0.25">
      <c r="A34" s="215">
        <v>42224</v>
      </c>
      <c r="B34" s="862" t="s">
        <v>134</v>
      </c>
      <c r="C34" s="879" t="s">
        <v>12</v>
      </c>
      <c r="D34" s="887" t="s">
        <v>15</v>
      </c>
      <c r="E34" s="250">
        <v>8</v>
      </c>
      <c r="F34" s="1473"/>
      <c r="G34" s="252"/>
      <c r="H34" s="1473"/>
    </row>
    <row r="35" spans="1:8" s="224" customFormat="1" hidden="1" x14ac:dyDescent="0.25">
      <c r="A35" s="215">
        <v>42224</v>
      </c>
      <c r="B35" s="862" t="s">
        <v>421</v>
      </c>
      <c r="C35" s="879" t="s">
        <v>12</v>
      </c>
      <c r="D35" s="887" t="s">
        <v>13</v>
      </c>
      <c r="E35" s="250">
        <v>23.5</v>
      </c>
      <c r="F35" s="1473"/>
      <c r="G35" s="252"/>
      <c r="H35" s="1473"/>
    </row>
    <row r="36" spans="1:8" s="224" customFormat="1" hidden="1" x14ac:dyDescent="0.25">
      <c r="A36" s="215">
        <v>42225</v>
      </c>
      <c r="B36" s="862" t="s">
        <v>14</v>
      </c>
      <c r="C36" s="879" t="s">
        <v>12</v>
      </c>
      <c r="D36" s="887" t="s">
        <v>13</v>
      </c>
      <c r="E36" s="250">
        <v>13.7</v>
      </c>
      <c r="F36" s="1473"/>
      <c r="G36" s="252"/>
      <c r="H36" s="1473"/>
    </row>
    <row r="37" spans="1:8" s="224" customFormat="1" hidden="1" x14ac:dyDescent="0.25">
      <c r="A37" s="215">
        <v>42225</v>
      </c>
      <c r="B37" s="862" t="s">
        <v>914</v>
      </c>
      <c r="C37" s="879" t="s">
        <v>12</v>
      </c>
      <c r="D37" s="887" t="s">
        <v>13</v>
      </c>
      <c r="E37" s="250">
        <v>19.21</v>
      </c>
      <c r="F37" s="1473"/>
      <c r="G37" s="252"/>
      <c r="H37" s="1473"/>
    </row>
    <row r="38" spans="1:8" s="224" customFormat="1" ht="15.75" hidden="1" customHeight="1" x14ac:dyDescent="0.25">
      <c r="A38" s="215">
        <v>42226</v>
      </c>
      <c r="B38" s="862" t="s">
        <v>32</v>
      </c>
      <c r="C38" s="879" t="s">
        <v>12</v>
      </c>
      <c r="D38" s="887" t="s">
        <v>13</v>
      </c>
      <c r="E38" s="250">
        <v>12</v>
      </c>
      <c r="F38" s="946"/>
      <c r="G38" s="97"/>
      <c r="H38" s="946"/>
    </row>
    <row r="39" spans="1:8" s="224" customFormat="1" hidden="1" x14ac:dyDescent="0.25">
      <c r="A39" s="215">
        <v>42226</v>
      </c>
      <c r="B39" s="862" t="s">
        <v>134</v>
      </c>
      <c r="C39" s="879" t="s">
        <v>12</v>
      </c>
      <c r="D39" s="887" t="s">
        <v>15</v>
      </c>
      <c r="E39" s="250">
        <v>4</v>
      </c>
      <c r="F39" s="1473"/>
      <c r="G39" s="252"/>
      <c r="H39" s="1473"/>
    </row>
    <row r="40" spans="1:8" s="224" customFormat="1" hidden="1" x14ac:dyDescent="0.25">
      <c r="A40" s="215">
        <v>42226</v>
      </c>
      <c r="B40" s="862" t="s">
        <v>1086</v>
      </c>
      <c r="C40" s="879" t="s">
        <v>12</v>
      </c>
      <c r="D40" s="887" t="s">
        <v>15</v>
      </c>
      <c r="E40" s="250">
        <v>50</v>
      </c>
      <c r="F40" s="1473"/>
      <c r="G40" s="252"/>
      <c r="H40" s="1473"/>
    </row>
    <row r="41" spans="1:8" s="224" customFormat="1" hidden="1" x14ac:dyDescent="0.25">
      <c r="A41" s="215">
        <v>42227</v>
      </c>
      <c r="B41" s="862" t="s">
        <v>32</v>
      </c>
      <c r="C41" s="879" t="s">
        <v>12</v>
      </c>
      <c r="D41" s="887" t="s">
        <v>13</v>
      </c>
      <c r="E41" s="250">
        <v>12</v>
      </c>
      <c r="F41" s="1473"/>
      <c r="G41" s="252"/>
      <c r="H41" s="1473"/>
    </row>
    <row r="42" spans="1:8" s="224" customFormat="1" hidden="1" x14ac:dyDescent="0.25">
      <c r="A42" s="215">
        <v>42227</v>
      </c>
      <c r="B42" s="862" t="s">
        <v>14</v>
      </c>
      <c r="C42" s="879" t="s">
        <v>12</v>
      </c>
      <c r="D42" s="887" t="s">
        <v>13</v>
      </c>
      <c r="E42" s="250">
        <v>8.2200000000000006</v>
      </c>
      <c r="F42" s="1473"/>
      <c r="G42" s="252"/>
      <c r="H42" s="1473"/>
    </row>
    <row r="43" spans="1:8" s="224" customFormat="1" ht="15.75" hidden="1" customHeight="1" x14ac:dyDescent="0.25">
      <c r="A43" s="215">
        <v>42228</v>
      </c>
      <c r="B43" s="862" t="s">
        <v>32</v>
      </c>
      <c r="C43" s="879" t="s">
        <v>12</v>
      </c>
      <c r="D43" s="887" t="s">
        <v>15</v>
      </c>
      <c r="E43" s="250">
        <v>12</v>
      </c>
      <c r="F43" s="946"/>
      <c r="G43" s="97"/>
      <c r="H43" s="946"/>
    </row>
    <row r="44" spans="1:8" s="224" customFormat="1" ht="15.75" hidden="1" customHeight="1" x14ac:dyDescent="0.25">
      <c r="A44" s="215">
        <v>42229</v>
      </c>
      <c r="B44" s="862" t="s">
        <v>32</v>
      </c>
      <c r="C44" s="879" t="s">
        <v>12</v>
      </c>
      <c r="D44" s="887" t="s">
        <v>15</v>
      </c>
      <c r="E44" s="250">
        <v>12</v>
      </c>
      <c r="F44" s="946"/>
      <c r="G44" s="97"/>
      <c r="H44" s="946"/>
    </row>
    <row r="45" spans="1:8" s="224" customFormat="1" hidden="1" x14ac:dyDescent="0.25">
      <c r="A45" s="215">
        <v>42229</v>
      </c>
      <c r="B45" s="862" t="s">
        <v>914</v>
      </c>
      <c r="C45" s="879" t="s">
        <v>12</v>
      </c>
      <c r="D45" s="887" t="s">
        <v>13</v>
      </c>
      <c r="E45" s="250">
        <v>8.18</v>
      </c>
      <c r="F45" s="1473"/>
      <c r="G45" s="252"/>
      <c r="H45" s="1473"/>
    </row>
    <row r="46" spans="1:8" s="224" customFormat="1" ht="15.75" hidden="1" customHeight="1" x14ac:dyDescent="0.25">
      <c r="A46" s="215">
        <v>42229</v>
      </c>
      <c r="B46" s="862" t="s">
        <v>138</v>
      </c>
      <c r="C46" s="879" t="s">
        <v>19</v>
      </c>
      <c r="D46" s="887" t="s">
        <v>13</v>
      </c>
      <c r="E46" s="250">
        <v>50</v>
      </c>
      <c r="F46" s="946"/>
      <c r="G46" s="97"/>
      <c r="H46" s="946"/>
    </row>
    <row r="47" spans="1:8" s="224" customFormat="1" ht="15.75" hidden="1" customHeight="1" x14ac:dyDescent="0.25">
      <c r="A47" s="215">
        <v>42229</v>
      </c>
      <c r="B47" s="862" t="s">
        <v>1007</v>
      </c>
      <c r="C47" s="879" t="s">
        <v>12</v>
      </c>
      <c r="D47" s="887" t="s">
        <v>13</v>
      </c>
      <c r="E47" s="250">
        <v>9</v>
      </c>
      <c r="F47" s="1473"/>
      <c r="G47" s="97"/>
      <c r="H47" s="946"/>
    </row>
    <row r="48" spans="1:8" s="224" customFormat="1" ht="15.75" hidden="1" customHeight="1" x14ac:dyDescent="0.25">
      <c r="A48" s="215">
        <v>42229</v>
      </c>
      <c r="B48" s="862" t="s">
        <v>1087</v>
      </c>
      <c r="C48" s="879" t="s">
        <v>12</v>
      </c>
      <c r="D48" s="887" t="s">
        <v>13</v>
      </c>
      <c r="E48" s="250">
        <v>33.549999999999997</v>
      </c>
      <c r="F48" s="1473"/>
      <c r="G48" s="97"/>
      <c r="H48" s="946"/>
    </row>
    <row r="49" spans="1:8" s="224" customFormat="1" ht="15.75" hidden="1" customHeight="1" x14ac:dyDescent="0.25">
      <c r="A49" s="215">
        <v>42230</v>
      </c>
      <c r="B49" s="862" t="s">
        <v>32</v>
      </c>
      <c r="C49" s="879" t="s">
        <v>12</v>
      </c>
      <c r="D49" s="887" t="s">
        <v>13</v>
      </c>
      <c r="E49" s="250">
        <v>12</v>
      </c>
      <c r="F49" s="946"/>
      <c r="G49" s="97"/>
      <c r="H49" s="946"/>
    </row>
    <row r="50" spans="1:8" s="224" customFormat="1" ht="15.75" hidden="1" customHeight="1" x14ac:dyDescent="0.25">
      <c r="A50" s="215">
        <v>42230</v>
      </c>
      <c r="B50" s="862" t="s">
        <v>80</v>
      </c>
      <c r="C50" s="879" t="s">
        <v>12</v>
      </c>
      <c r="D50" s="887" t="s">
        <v>15</v>
      </c>
      <c r="E50" s="250">
        <v>14</v>
      </c>
      <c r="F50" s="946"/>
      <c r="G50" s="97"/>
      <c r="H50" s="946"/>
    </row>
    <row r="51" spans="1:8" s="224" customFormat="1" ht="15.75" hidden="1" customHeight="1" x14ac:dyDescent="0.25">
      <c r="A51" s="215">
        <v>42231</v>
      </c>
      <c r="B51" s="862" t="s">
        <v>14</v>
      </c>
      <c r="C51" s="879" t="s">
        <v>12</v>
      </c>
      <c r="D51" s="887" t="s">
        <v>13</v>
      </c>
      <c r="E51" s="250">
        <v>16.84</v>
      </c>
      <c r="F51" s="1473"/>
      <c r="G51" s="97"/>
      <c r="H51" s="946"/>
    </row>
    <row r="52" spans="1:8" s="224" customFormat="1" ht="15.75" hidden="1" customHeight="1" x14ac:dyDescent="0.25">
      <c r="A52" s="215">
        <v>42231</v>
      </c>
      <c r="B52" s="862" t="s">
        <v>134</v>
      </c>
      <c r="C52" s="879" t="s">
        <v>12</v>
      </c>
      <c r="D52" s="887" t="s">
        <v>15</v>
      </c>
      <c r="E52" s="250">
        <v>7</v>
      </c>
      <c r="F52" s="1473"/>
      <c r="G52" s="97"/>
      <c r="H52" s="946"/>
    </row>
    <row r="53" spans="1:8" s="224" customFormat="1" ht="15.75" hidden="1" customHeight="1" x14ac:dyDescent="0.25">
      <c r="A53" s="215">
        <v>42232</v>
      </c>
      <c r="B53" s="862" t="s">
        <v>914</v>
      </c>
      <c r="C53" s="879" t="s">
        <v>12</v>
      </c>
      <c r="D53" s="887" t="s">
        <v>13</v>
      </c>
      <c r="E53" s="250">
        <v>12.42</v>
      </c>
      <c r="F53" s="1473"/>
      <c r="G53" s="97"/>
      <c r="H53" s="946"/>
    </row>
    <row r="54" spans="1:8" s="224" customFormat="1" hidden="1" x14ac:dyDescent="0.25">
      <c r="A54" s="215">
        <v>42233</v>
      </c>
      <c r="B54" s="862" t="s">
        <v>32</v>
      </c>
      <c r="C54" s="879" t="s">
        <v>12</v>
      </c>
      <c r="D54" s="887" t="s">
        <v>15</v>
      </c>
      <c r="E54" s="250">
        <v>12</v>
      </c>
      <c r="F54" s="946"/>
      <c r="G54" s="95"/>
      <c r="H54" s="1473"/>
    </row>
    <row r="55" spans="1:8" s="224" customFormat="1" hidden="1" x14ac:dyDescent="0.25">
      <c r="A55" s="215">
        <v>42233</v>
      </c>
      <c r="B55" s="862" t="s">
        <v>38</v>
      </c>
      <c r="C55" s="879" t="s">
        <v>12</v>
      </c>
      <c r="D55" s="887" t="s">
        <v>13</v>
      </c>
      <c r="E55" s="250">
        <v>20</v>
      </c>
      <c r="F55" s="946"/>
      <c r="G55" s="95"/>
      <c r="H55" s="1473"/>
    </row>
    <row r="56" spans="1:8" s="224" customFormat="1" hidden="1" x14ac:dyDescent="0.25">
      <c r="A56" s="215">
        <v>42233</v>
      </c>
      <c r="B56" s="862" t="s">
        <v>970</v>
      </c>
      <c r="C56" s="879" t="s">
        <v>19</v>
      </c>
      <c r="D56" s="887" t="s">
        <v>13</v>
      </c>
      <c r="E56" s="250">
        <v>35</v>
      </c>
      <c r="F56" s="946"/>
      <c r="G56" s="95"/>
      <c r="H56" s="1473"/>
    </row>
    <row r="57" spans="1:8" s="224" customFormat="1" x14ac:dyDescent="0.25">
      <c r="A57" s="215">
        <v>42233</v>
      </c>
      <c r="B57" s="862" t="s">
        <v>1088</v>
      </c>
      <c r="C57" s="879" t="s">
        <v>19</v>
      </c>
      <c r="D57" s="887" t="s">
        <v>13</v>
      </c>
      <c r="E57" s="250">
        <v>35</v>
      </c>
      <c r="F57" s="946"/>
      <c r="G57" s="95"/>
      <c r="H57" s="1473"/>
    </row>
    <row r="58" spans="1:8" s="224" customFormat="1" hidden="1" x14ac:dyDescent="0.25">
      <c r="A58" s="215">
        <v>42233</v>
      </c>
      <c r="B58" s="862" t="s">
        <v>1007</v>
      </c>
      <c r="C58" s="879" t="s">
        <v>19</v>
      </c>
      <c r="D58" s="887" t="s">
        <v>13</v>
      </c>
      <c r="E58" s="250">
        <v>6.5</v>
      </c>
      <c r="F58" s="946"/>
      <c r="G58" s="95"/>
      <c r="H58" s="1473"/>
    </row>
    <row r="59" spans="1:8" s="224" customFormat="1" hidden="1" x14ac:dyDescent="0.25">
      <c r="A59" s="215">
        <v>42233</v>
      </c>
      <c r="B59" s="862" t="s">
        <v>134</v>
      </c>
      <c r="C59" s="879" t="s">
        <v>19</v>
      </c>
      <c r="D59" s="887" t="s">
        <v>13</v>
      </c>
      <c r="E59" s="250">
        <v>23</v>
      </c>
      <c r="F59" s="946"/>
      <c r="G59" s="95"/>
      <c r="H59" s="1473"/>
    </row>
    <row r="60" spans="1:8" s="224" customFormat="1" ht="15.75" hidden="1" customHeight="1" x14ac:dyDescent="0.25">
      <c r="A60" s="215">
        <v>42233</v>
      </c>
      <c r="B60" s="349" t="s">
        <v>311</v>
      </c>
      <c r="C60" s="350"/>
      <c r="D60" s="141"/>
      <c r="E60" s="97"/>
      <c r="F60" s="946"/>
      <c r="G60" s="97"/>
      <c r="H60" s="946">
        <v>5.28</v>
      </c>
    </row>
    <row r="61" spans="1:8" s="224" customFormat="1" hidden="1" x14ac:dyDescent="0.25">
      <c r="A61" s="215">
        <v>42234</v>
      </c>
      <c r="B61" s="862" t="s">
        <v>32</v>
      </c>
      <c r="C61" s="879" t="s">
        <v>12</v>
      </c>
      <c r="D61" s="887" t="s">
        <v>13</v>
      </c>
      <c r="E61" s="250">
        <v>12</v>
      </c>
      <c r="F61" s="946"/>
      <c r="G61" s="95"/>
      <c r="H61" s="1473"/>
    </row>
    <row r="62" spans="1:8" s="224" customFormat="1" ht="15.75" hidden="1" customHeight="1" x14ac:dyDescent="0.25">
      <c r="A62" s="215">
        <v>42234</v>
      </c>
      <c r="B62" s="862" t="s">
        <v>914</v>
      </c>
      <c r="C62" s="879" t="s">
        <v>12</v>
      </c>
      <c r="D62" s="887" t="s">
        <v>13</v>
      </c>
      <c r="E62" s="250">
        <v>12.42</v>
      </c>
      <c r="F62" s="1473"/>
      <c r="G62" s="97"/>
      <c r="H62" s="946"/>
    </row>
    <row r="63" spans="1:8" s="224" customFormat="1" ht="15.75" hidden="1" customHeight="1" x14ac:dyDescent="0.25">
      <c r="A63" s="215">
        <v>42234</v>
      </c>
      <c r="B63" s="862" t="s">
        <v>1089</v>
      </c>
      <c r="C63" s="879" t="s">
        <v>12</v>
      </c>
      <c r="D63" s="887" t="s">
        <v>13</v>
      </c>
      <c r="E63" s="250">
        <v>21</v>
      </c>
      <c r="F63" s="1473"/>
      <c r="G63" s="97"/>
      <c r="H63" s="946"/>
    </row>
    <row r="64" spans="1:8" s="224" customFormat="1" hidden="1" x14ac:dyDescent="0.25">
      <c r="A64" s="215">
        <v>42235</v>
      </c>
      <c r="B64" s="862" t="s">
        <v>256</v>
      </c>
      <c r="C64" s="879" t="s">
        <v>12</v>
      </c>
      <c r="D64" s="1475" t="s">
        <v>13</v>
      </c>
      <c r="E64" s="97"/>
      <c r="F64" s="946">
        <v>63.71</v>
      </c>
      <c r="G64" s="97">
        <v>63.71</v>
      </c>
      <c r="H64" s="1473"/>
    </row>
    <row r="65" spans="1:8" s="224" customFormat="1" ht="15.75" hidden="1" customHeight="1" x14ac:dyDescent="0.25">
      <c r="A65" s="215">
        <v>42235</v>
      </c>
      <c r="B65" s="862" t="s">
        <v>32</v>
      </c>
      <c r="C65" s="879" t="s">
        <v>12</v>
      </c>
      <c r="D65" s="887" t="s">
        <v>13</v>
      </c>
      <c r="E65" s="250">
        <v>12</v>
      </c>
      <c r="F65" s="946"/>
      <c r="G65" s="97"/>
      <c r="H65" s="946"/>
    </row>
    <row r="66" spans="1:8" s="224" customFormat="1" ht="15.75" hidden="1" customHeight="1" x14ac:dyDescent="0.25">
      <c r="A66" s="215">
        <v>42235</v>
      </c>
      <c r="B66" s="862" t="s">
        <v>138</v>
      </c>
      <c r="C66" s="879" t="s">
        <v>19</v>
      </c>
      <c r="D66" s="887" t="s">
        <v>13</v>
      </c>
      <c r="E66" s="250">
        <v>40</v>
      </c>
      <c r="F66" s="946"/>
      <c r="G66" s="97"/>
      <c r="H66" s="946"/>
    </row>
    <row r="67" spans="1:8" s="224" customFormat="1" ht="15.75" hidden="1" customHeight="1" x14ac:dyDescent="0.25">
      <c r="A67" s="215">
        <v>42235</v>
      </c>
      <c r="B67" s="862" t="s">
        <v>134</v>
      </c>
      <c r="C67" s="879" t="s">
        <v>12</v>
      </c>
      <c r="D67" s="887" t="s">
        <v>13</v>
      </c>
      <c r="E67" s="250">
        <v>9.27</v>
      </c>
      <c r="F67" s="946"/>
      <c r="G67" s="97"/>
      <c r="H67" s="946"/>
    </row>
    <row r="68" spans="1:8" hidden="1" x14ac:dyDescent="0.25">
      <c r="A68" s="215">
        <v>42236</v>
      </c>
      <c r="B68" s="349" t="s">
        <v>260</v>
      </c>
      <c r="C68" s="350"/>
      <c r="D68" s="141"/>
      <c r="E68" s="97">
        <v>547.96</v>
      </c>
      <c r="F68" s="946"/>
      <c r="G68" s="95"/>
      <c r="H68" s="946">
        <v>547.96</v>
      </c>
    </row>
    <row r="69" spans="1:8" s="224" customFormat="1" hidden="1" x14ac:dyDescent="0.25">
      <c r="A69" s="215">
        <v>42236</v>
      </c>
      <c r="B69" s="349" t="s">
        <v>1090</v>
      </c>
      <c r="C69" s="350" t="s">
        <v>12</v>
      </c>
      <c r="D69" s="141" t="s">
        <v>25</v>
      </c>
      <c r="E69" s="250"/>
      <c r="F69" s="1473">
        <v>1280</v>
      </c>
      <c r="G69" s="252"/>
      <c r="H69" s="1473"/>
    </row>
    <row r="70" spans="1:8" hidden="1" x14ac:dyDescent="0.25">
      <c r="A70" s="215">
        <v>42236</v>
      </c>
      <c r="B70" s="862" t="s">
        <v>878</v>
      </c>
      <c r="C70" s="350" t="s">
        <v>12</v>
      </c>
      <c r="D70" s="957" t="s">
        <v>13</v>
      </c>
      <c r="E70" s="97">
        <v>51.9</v>
      </c>
      <c r="F70" s="1473"/>
      <c r="G70" s="252"/>
      <c r="H70" s="946"/>
    </row>
    <row r="71" spans="1:8" s="224" customFormat="1" hidden="1" x14ac:dyDescent="0.25">
      <c r="A71" s="215">
        <v>42236</v>
      </c>
      <c r="B71" s="862" t="s">
        <v>32</v>
      </c>
      <c r="C71" s="879" t="s">
        <v>12</v>
      </c>
      <c r="D71" s="887" t="s">
        <v>13</v>
      </c>
      <c r="E71" s="250">
        <v>12</v>
      </c>
      <c r="F71" s="946"/>
      <c r="G71" s="95"/>
      <c r="H71" s="1473"/>
    </row>
    <row r="72" spans="1:8" s="224" customFormat="1" hidden="1" x14ac:dyDescent="0.25">
      <c r="A72" s="215">
        <v>42236</v>
      </c>
      <c r="B72" s="862" t="s">
        <v>1091</v>
      </c>
      <c r="C72" s="879" t="s">
        <v>12</v>
      </c>
      <c r="D72" s="887" t="s">
        <v>15</v>
      </c>
      <c r="E72" s="250">
        <v>10</v>
      </c>
      <c r="F72" s="946"/>
      <c r="G72" s="95"/>
      <c r="H72" s="1473"/>
    </row>
    <row r="73" spans="1:8" s="224" customFormat="1" hidden="1" x14ac:dyDescent="0.25">
      <c r="A73" s="215">
        <v>42237</v>
      </c>
      <c r="B73" s="862" t="s">
        <v>32</v>
      </c>
      <c r="C73" s="879" t="s">
        <v>12</v>
      </c>
      <c r="D73" s="887" t="s">
        <v>13</v>
      </c>
      <c r="E73" s="250">
        <v>12</v>
      </c>
      <c r="F73" s="946"/>
      <c r="G73" s="95"/>
      <c r="H73" s="1473"/>
    </row>
    <row r="74" spans="1:8" s="224" customFormat="1" hidden="1" x14ac:dyDescent="0.25">
      <c r="A74" s="215">
        <v>42237</v>
      </c>
      <c r="B74" s="862" t="s">
        <v>1092</v>
      </c>
      <c r="C74" s="879" t="s">
        <v>12</v>
      </c>
      <c r="D74" s="887" t="s">
        <v>13</v>
      </c>
      <c r="E74" s="250">
        <v>25.59</v>
      </c>
      <c r="F74" s="946"/>
      <c r="G74" s="95"/>
      <c r="H74" s="1473"/>
    </row>
    <row r="75" spans="1:8" s="224" customFormat="1" hidden="1" x14ac:dyDescent="0.25">
      <c r="A75" s="215">
        <v>42237</v>
      </c>
      <c r="B75" s="862" t="s">
        <v>1093</v>
      </c>
      <c r="C75" s="879" t="s">
        <v>19</v>
      </c>
      <c r="D75" s="887" t="s">
        <v>13</v>
      </c>
      <c r="E75" s="250">
        <v>80</v>
      </c>
      <c r="F75" s="946"/>
      <c r="G75" s="95"/>
      <c r="H75" s="1473"/>
    </row>
    <row r="76" spans="1:8" hidden="1" x14ac:dyDescent="0.25">
      <c r="A76" s="215">
        <v>42238</v>
      </c>
      <c r="B76" s="862" t="s">
        <v>134</v>
      </c>
      <c r="C76" s="879" t="s">
        <v>12</v>
      </c>
      <c r="D76" s="887" t="s">
        <v>15</v>
      </c>
      <c r="E76" s="250">
        <v>8</v>
      </c>
      <c r="F76" s="946"/>
      <c r="G76" s="97"/>
      <c r="H76" s="946"/>
    </row>
    <row r="77" spans="1:8" hidden="1" x14ac:dyDescent="0.25">
      <c r="A77" s="215">
        <v>42238</v>
      </c>
      <c r="B77" s="862" t="s">
        <v>134</v>
      </c>
      <c r="C77" s="879" t="s">
        <v>12</v>
      </c>
      <c r="D77" s="887" t="s">
        <v>15</v>
      </c>
      <c r="E77" s="250">
        <v>10</v>
      </c>
      <c r="F77" s="946"/>
      <c r="G77" s="97"/>
      <c r="H77" s="946"/>
    </row>
    <row r="78" spans="1:8" s="224" customFormat="1" hidden="1" x14ac:dyDescent="0.25">
      <c r="A78" s="215">
        <v>42239</v>
      </c>
      <c r="B78" s="349" t="s">
        <v>14</v>
      </c>
      <c r="C78" s="350" t="s">
        <v>12</v>
      </c>
      <c r="D78" s="141" t="s">
        <v>13</v>
      </c>
      <c r="E78" s="97">
        <v>7.31</v>
      </c>
      <c r="F78" s="946"/>
      <c r="G78" s="95"/>
      <c r="H78" s="1473"/>
    </row>
    <row r="79" spans="1:8" s="224" customFormat="1" hidden="1" x14ac:dyDescent="0.25">
      <c r="A79" s="215">
        <v>42239</v>
      </c>
      <c r="B79" s="349" t="s">
        <v>1014</v>
      </c>
      <c r="C79" s="350" t="s">
        <v>12</v>
      </c>
      <c r="D79" s="141" t="s">
        <v>13</v>
      </c>
      <c r="E79" s="97">
        <v>20.059999999999999</v>
      </c>
      <c r="F79" s="946"/>
      <c r="G79" s="95"/>
      <c r="H79" s="1473"/>
    </row>
    <row r="80" spans="1:8" s="224" customFormat="1" hidden="1" x14ac:dyDescent="0.25">
      <c r="A80" s="215">
        <v>42239</v>
      </c>
      <c r="B80" s="349" t="s">
        <v>1094</v>
      </c>
      <c r="C80" s="350" t="s">
        <v>12</v>
      </c>
      <c r="D80" s="141" t="s">
        <v>13</v>
      </c>
      <c r="E80" s="97">
        <v>27.76</v>
      </c>
      <c r="F80" s="946"/>
      <c r="G80" s="95"/>
      <c r="H80" s="1473"/>
    </row>
    <row r="81" spans="1:8" hidden="1" x14ac:dyDescent="0.25">
      <c r="A81" s="215">
        <v>42240</v>
      </c>
      <c r="B81" s="862" t="s">
        <v>32</v>
      </c>
      <c r="C81" s="879" t="s">
        <v>12</v>
      </c>
      <c r="D81" s="887" t="s">
        <v>13</v>
      </c>
      <c r="E81" s="250">
        <v>6</v>
      </c>
      <c r="F81" s="946"/>
      <c r="G81" s="97"/>
      <c r="H81" s="946"/>
    </row>
    <row r="82" spans="1:8" hidden="1" x14ac:dyDescent="0.25">
      <c r="A82" s="215">
        <v>42240</v>
      </c>
      <c r="B82" s="862" t="s">
        <v>1095</v>
      </c>
      <c r="C82" s="879" t="s">
        <v>19</v>
      </c>
      <c r="D82" s="887" t="s">
        <v>13</v>
      </c>
      <c r="E82" s="250">
        <v>300</v>
      </c>
      <c r="F82" s="946"/>
      <c r="G82" s="97"/>
      <c r="H82" s="946"/>
    </row>
    <row r="83" spans="1:8" s="224" customFormat="1" hidden="1" x14ac:dyDescent="0.25">
      <c r="A83" s="215">
        <v>42241</v>
      </c>
      <c r="B83" s="862" t="s">
        <v>32</v>
      </c>
      <c r="C83" s="879" t="s">
        <v>12</v>
      </c>
      <c r="D83" s="887" t="s">
        <v>13</v>
      </c>
      <c r="E83" s="250">
        <v>12</v>
      </c>
      <c r="F83" s="946"/>
      <c r="G83" s="97"/>
      <c r="H83" s="1473"/>
    </row>
    <row r="84" spans="1:8" s="224" customFormat="1" hidden="1" x14ac:dyDescent="0.25">
      <c r="A84" s="215">
        <v>42241</v>
      </c>
      <c r="B84" s="862" t="s">
        <v>1091</v>
      </c>
      <c r="C84" s="879" t="s">
        <v>12</v>
      </c>
      <c r="D84" s="887" t="s">
        <v>15</v>
      </c>
      <c r="E84" s="250">
        <v>30</v>
      </c>
      <c r="F84" s="946"/>
      <c r="G84" s="97"/>
      <c r="H84" s="1473"/>
    </row>
    <row r="85" spans="1:8" s="224" customFormat="1" hidden="1" x14ac:dyDescent="0.25">
      <c r="A85" s="215">
        <v>42242</v>
      </c>
      <c r="B85" s="862" t="s">
        <v>32</v>
      </c>
      <c r="C85" s="879" t="s">
        <v>12</v>
      </c>
      <c r="D85" s="887" t="s">
        <v>13</v>
      </c>
      <c r="E85" s="250">
        <v>12</v>
      </c>
      <c r="F85" s="946"/>
      <c r="G85" s="97"/>
      <c r="H85" s="1473"/>
    </row>
    <row r="86" spans="1:8" s="224" customFormat="1" hidden="1" x14ac:dyDescent="0.25">
      <c r="A86" s="215">
        <v>42242</v>
      </c>
      <c r="B86" s="862" t="s">
        <v>256</v>
      </c>
      <c r="C86" s="879" t="s">
        <v>12</v>
      </c>
      <c r="D86" s="1475" t="s">
        <v>13</v>
      </c>
      <c r="E86" s="97"/>
      <c r="F86" s="946">
        <v>250</v>
      </c>
      <c r="G86" s="97">
        <v>250</v>
      </c>
      <c r="H86" s="1473"/>
    </row>
    <row r="87" spans="1:8" s="224" customFormat="1" hidden="1" x14ac:dyDescent="0.25">
      <c r="A87" s="215">
        <v>42242</v>
      </c>
      <c r="B87" s="862" t="s">
        <v>138</v>
      </c>
      <c r="C87" s="879" t="s">
        <v>19</v>
      </c>
      <c r="D87" s="887" t="s">
        <v>13</v>
      </c>
      <c r="E87" s="250">
        <v>50</v>
      </c>
      <c r="F87" s="946"/>
      <c r="G87" s="97"/>
      <c r="H87" s="1473"/>
    </row>
    <row r="88" spans="1:8" s="224" customFormat="1" hidden="1" x14ac:dyDescent="0.25">
      <c r="A88" s="215">
        <v>42242</v>
      </c>
      <c r="B88" s="862" t="s">
        <v>1096</v>
      </c>
      <c r="C88" s="879" t="s">
        <v>12</v>
      </c>
      <c r="D88" s="887" t="s">
        <v>13</v>
      </c>
      <c r="E88" s="250">
        <v>10</v>
      </c>
      <c r="F88" s="946"/>
      <c r="G88" s="97"/>
      <c r="H88" s="1473"/>
    </row>
    <row r="89" spans="1:8" s="224" customFormat="1" hidden="1" x14ac:dyDescent="0.25">
      <c r="A89" s="215">
        <v>42242</v>
      </c>
      <c r="B89" s="862" t="s">
        <v>1097</v>
      </c>
      <c r="C89" s="879" t="s">
        <v>12</v>
      </c>
      <c r="D89" s="887" t="s">
        <v>13</v>
      </c>
      <c r="E89" s="250">
        <v>12</v>
      </c>
      <c r="F89" s="946"/>
      <c r="G89" s="97"/>
      <c r="H89" s="1473"/>
    </row>
    <row r="90" spans="1:8" s="224" customFormat="1" hidden="1" x14ac:dyDescent="0.25">
      <c r="A90" s="215">
        <v>42242</v>
      </c>
      <c r="B90" s="862" t="s">
        <v>134</v>
      </c>
      <c r="C90" s="879" t="s">
        <v>12</v>
      </c>
      <c r="D90" s="887" t="s">
        <v>13</v>
      </c>
      <c r="E90" s="250">
        <v>3.5</v>
      </c>
      <c r="F90" s="946"/>
      <c r="G90" s="97"/>
      <c r="H90" s="1473"/>
    </row>
    <row r="91" spans="1:8" s="224" customFormat="1" hidden="1" x14ac:dyDescent="0.25">
      <c r="A91" s="215">
        <v>42243</v>
      </c>
      <c r="B91" s="862" t="s">
        <v>32</v>
      </c>
      <c r="C91" s="879" t="s">
        <v>12</v>
      </c>
      <c r="D91" s="887" t="s">
        <v>13</v>
      </c>
      <c r="E91" s="250">
        <v>12</v>
      </c>
      <c r="F91" s="946"/>
      <c r="G91" s="97"/>
      <c r="H91" s="1473"/>
    </row>
    <row r="92" spans="1:8" s="224" customFormat="1" hidden="1" x14ac:dyDescent="0.25">
      <c r="A92" s="215">
        <v>42243</v>
      </c>
      <c r="B92" s="862" t="s">
        <v>14</v>
      </c>
      <c r="C92" s="879" t="s">
        <v>12</v>
      </c>
      <c r="D92" s="887" t="s">
        <v>13</v>
      </c>
      <c r="E92" s="250">
        <v>5.36</v>
      </c>
      <c r="F92" s="946"/>
      <c r="G92" s="97"/>
      <c r="H92" s="1473"/>
    </row>
    <row r="93" spans="1:8" s="224" customFormat="1" hidden="1" x14ac:dyDescent="0.25">
      <c r="A93" s="215">
        <v>42243</v>
      </c>
      <c r="B93" s="862" t="s">
        <v>1098</v>
      </c>
      <c r="C93" s="879" t="s">
        <v>19</v>
      </c>
      <c r="D93" s="887" t="s">
        <v>13</v>
      </c>
      <c r="E93" s="250">
        <v>33.380000000000003</v>
      </c>
      <c r="F93" s="946"/>
      <c r="G93" s="97"/>
      <c r="H93" s="1473"/>
    </row>
    <row r="94" spans="1:8" s="224" customFormat="1" hidden="1" x14ac:dyDescent="0.25">
      <c r="A94" s="215">
        <v>42244</v>
      </c>
      <c r="B94" s="862" t="s">
        <v>32</v>
      </c>
      <c r="C94" s="879" t="s">
        <v>12</v>
      </c>
      <c r="D94" s="887" t="s">
        <v>13</v>
      </c>
      <c r="E94" s="250">
        <v>12</v>
      </c>
      <c r="F94" s="946"/>
      <c r="G94" s="97"/>
      <c r="H94" s="1473"/>
    </row>
    <row r="95" spans="1:8" s="224" customFormat="1" hidden="1" x14ac:dyDescent="0.25">
      <c r="A95" s="215">
        <v>42244</v>
      </c>
      <c r="B95" s="862" t="s">
        <v>134</v>
      </c>
      <c r="C95" s="879" t="s">
        <v>12</v>
      </c>
      <c r="D95" s="887" t="s">
        <v>15</v>
      </c>
      <c r="E95" s="250">
        <v>6</v>
      </c>
      <c r="F95" s="946"/>
      <c r="G95" s="97"/>
      <c r="H95" s="1473"/>
    </row>
    <row r="96" spans="1:8" s="224" customFormat="1" hidden="1" x14ac:dyDescent="0.25">
      <c r="A96" s="215">
        <v>42245</v>
      </c>
      <c r="B96" s="862" t="s">
        <v>14</v>
      </c>
      <c r="C96" s="879" t="s">
        <v>12</v>
      </c>
      <c r="D96" s="887" t="s">
        <v>13</v>
      </c>
      <c r="E96" s="250">
        <v>13.48</v>
      </c>
      <c r="F96" s="946"/>
      <c r="G96" s="97"/>
      <c r="H96" s="1473"/>
    </row>
    <row r="97" spans="1:8" s="224" customFormat="1" hidden="1" x14ac:dyDescent="0.25">
      <c r="A97" s="215">
        <v>42245</v>
      </c>
      <c r="B97" s="862" t="s">
        <v>1007</v>
      </c>
      <c r="C97" s="879" t="s">
        <v>12</v>
      </c>
      <c r="D97" s="887" t="s">
        <v>13</v>
      </c>
      <c r="E97" s="250">
        <v>6.3</v>
      </c>
      <c r="F97" s="946"/>
      <c r="G97" s="97"/>
      <c r="H97" s="1473"/>
    </row>
    <row r="98" spans="1:8" s="224" customFormat="1" hidden="1" x14ac:dyDescent="0.25">
      <c r="A98" s="215">
        <v>42245</v>
      </c>
      <c r="B98" s="862" t="s">
        <v>914</v>
      </c>
      <c r="C98" s="879" t="s">
        <v>12</v>
      </c>
      <c r="D98" s="887" t="s">
        <v>13</v>
      </c>
      <c r="E98" s="250">
        <v>10.91</v>
      </c>
      <c r="F98" s="946"/>
      <c r="G98" s="97"/>
      <c r="H98" s="1473"/>
    </row>
    <row r="99" spans="1:8" s="224" customFormat="1" hidden="1" x14ac:dyDescent="0.25">
      <c r="A99" s="215">
        <v>42245</v>
      </c>
      <c r="B99" s="862" t="s">
        <v>134</v>
      </c>
      <c r="C99" s="879" t="s">
        <v>12</v>
      </c>
      <c r="D99" s="887" t="s">
        <v>15</v>
      </c>
      <c r="E99" s="250">
        <v>8</v>
      </c>
      <c r="F99" s="946"/>
      <c r="G99" s="97"/>
      <c r="H99" s="1473"/>
    </row>
    <row r="100" spans="1:8" s="224" customFormat="1" hidden="1" x14ac:dyDescent="0.25">
      <c r="A100" s="215">
        <v>42245</v>
      </c>
      <c r="B100" s="862" t="s">
        <v>1099</v>
      </c>
      <c r="C100" s="879" t="s">
        <v>12</v>
      </c>
      <c r="D100" s="887" t="s">
        <v>13</v>
      </c>
      <c r="E100" s="250">
        <v>17</v>
      </c>
      <c r="F100" s="946"/>
      <c r="G100" s="97"/>
      <c r="H100" s="1473"/>
    </row>
    <row r="101" spans="1:8" s="224" customFormat="1" hidden="1" x14ac:dyDescent="0.25">
      <c r="A101" s="215">
        <v>42246</v>
      </c>
      <c r="B101" s="862" t="s">
        <v>14</v>
      </c>
      <c r="C101" s="879" t="s">
        <v>12</v>
      </c>
      <c r="D101" s="887" t="s">
        <v>13</v>
      </c>
      <c r="E101" s="250">
        <v>9.1</v>
      </c>
      <c r="F101" s="946"/>
      <c r="G101" s="97"/>
      <c r="H101" s="1473"/>
    </row>
    <row r="102" spans="1:8" s="224" customFormat="1" hidden="1" x14ac:dyDescent="0.25">
      <c r="A102" s="215">
        <v>42247</v>
      </c>
      <c r="B102" s="862" t="s">
        <v>256</v>
      </c>
      <c r="C102" s="879" t="s">
        <v>12</v>
      </c>
      <c r="D102" s="1475" t="s">
        <v>13</v>
      </c>
      <c r="E102" s="97"/>
      <c r="F102" s="946">
        <v>200</v>
      </c>
      <c r="G102" s="97">
        <v>200</v>
      </c>
      <c r="H102" s="1473"/>
    </row>
    <row r="103" spans="1:8" s="224" customFormat="1" hidden="1" x14ac:dyDescent="0.25">
      <c r="A103" s="215">
        <v>42247</v>
      </c>
      <c r="B103" s="862" t="s">
        <v>32</v>
      </c>
      <c r="C103" s="879" t="s">
        <v>12</v>
      </c>
      <c r="D103" s="887" t="s">
        <v>13</v>
      </c>
      <c r="E103" s="250">
        <v>12</v>
      </c>
      <c r="F103" s="946"/>
      <c r="G103" s="97"/>
      <c r="H103" s="1473"/>
    </row>
    <row r="104" spans="1:8" ht="25.5" hidden="1" customHeight="1" thickBot="1" x14ac:dyDescent="0.3">
      <c r="A104" s="3060"/>
      <c r="B104" s="3061"/>
      <c r="C104" s="3062"/>
      <c r="D104" s="3062"/>
      <c r="E104" s="100">
        <f>SUM(E6:E103)</f>
        <v>3265.1800000000007</v>
      </c>
      <c r="F104" s="1065">
        <f>SUM(F5:F103)</f>
        <v>3638.1430000000018</v>
      </c>
      <c r="G104" s="101">
        <f>SUM(G6:G103)</f>
        <v>633.71</v>
      </c>
      <c r="H104" s="93">
        <f>SUM(H5:H103)</f>
        <v>2733.7100000000005</v>
      </c>
    </row>
    <row r="105" spans="1:8" ht="25.5" hidden="1" customHeight="1" thickBot="1" x14ac:dyDescent="0.3">
      <c r="A105" s="3077" t="s">
        <v>49</v>
      </c>
      <c r="B105" s="3078"/>
      <c r="C105" s="3078"/>
      <c r="D105" s="3078"/>
      <c r="E105" s="144"/>
      <c r="F105" s="519">
        <f>F104-E104</f>
        <v>372.9630000000011</v>
      </c>
      <c r="G105" s="555"/>
      <c r="H105" s="556">
        <f>H104-G104</f>
        <v>2100.0000000000005</v>
      </c>
    </row>
    <row r="107" spans="1:8" x14ac:dyDescent="0.25">
      <c r="B107" s="79" t="s">
        <v>32</v>
      </c>
      <c r="C107" s="475">
        <v>239</v>
      </c>
    </row>
    <row r="108" spans="1:8" x14ac:dyDescent="0.25">
      <c r="B108" s="79" t="s">
        <v>16</v>
      </c>
      <c r="C108" s="475">
        <v>190</v>
      </c>
      <c r="D108" s="79"/>
    </row>
    <row r="109" spans="1:8" x14ac:dyDescent="0.25">
      <c r="B109" s="79" t="s">
        <v>50</v>
      </c>
      <c r="C109" s="475">
        <v>134.54</v>
      </c>
    </row>
    <row r="110" spans="1:8" s="85" customFormat="1" x14ac:dyDescent="0.25">
      <c r="A110" s="79"/>
      <c r="B110" s="79" t="s">
        <v>14</v>
      </c>
      <c r="C110" s="475">
        <v>103.66</v>
      </c>
      <c r="E110" s="89"/>
      <c r="F110" s="79"/>
      <c r="G110" s="79"/>
    </row>
    <row r="111" spans="1:8" s="85" customFormat="1" x14ac:dyDescent="0.25">
      <c r="A111" s="79"/>
      <c r="B111" s="79" t="s">
        <v>51</v>
      </c>
      <c r="C111" s="484">
        <v>75.290000000000006</v>
      </c>
      <c r="E111" s="89"/>
      <c r="F111" s="79"/>
      <c r="G111" s="79"/>
      <c r="H111" s="79"/>
    </row>
    <row r="112" spans="1:8" s="85" customFormat="1" x14ac:dyDescent="0.25">
      <c r="A112" s="79"/>
      <c r="B112" s="79" t="s">
        <v>52</v>
      </c>
      <c r="C112" s="484"/>
      <c r="E112" s="89"/>
      <c r="F112" s="79"/>
      <c r="G112" s="79"/>
      <c r="H112" s="79"/>
    </row>
    <row r="113" spans="1:9" s="85" customFormat="1" x14ac:dyDescent="0.25">
      <c r="A113" s="79"/>
      <c r="B113" s="867" t="s">
        <v>53</v>
      </c>
      <c r="C113" s="475"/>
      <c r="D113" s="89"/>
      <c r="E113" s="89"/>
      <c r="F113" s="79"/>
      <c r="G113" s="79"/>
      <c r="H113" s="79"/>
    </row>
    <row r="114" spans="1:9" s="85" customFormat="1" x14ac:dyDescent="0.25">
      <c r="A114" s="79"/>
      <c r="B114" s="79" t="s">
        <v>56</v>
      </c>
      <c r="C114" s="475">
        <v>14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910</v>
      </c>
      <c r="C115" s="475">
        <v>470.9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418</v>
      </c>
      <c r="C116" s="475"/>
      <c r="E116" s="89"/>
      <c r="F116" s="79"/>
      <c r="G116" s="79"/>
      <c r="H116" s="79"/>
    </row>
    <row r="117" spans="1:9" s="85" customFormat="1" x14ac:dyDescent="0.25">
      <c r="A117" s="79"/>
      <c r="B117" s="79" t="s">
        <v>419</v>
      </c>
      <c r="C117" s="475">
        <v>456.19</v>
      </c>
      <c r="D117" s="79"/>
      <c r="E117" s="89"/>
      <c r="F117" s="79"/>
      <c r="G117" s="79"/>
      <c r="H117" s="79"/>
    </row>
    <row r="118" spans="1:9" x14ac:dyDescent="0.25">
      <c r="B118" s="79" t="s">
        <v>911</v>
      </c>
      <c r="C118" s="475">
        <v>319.92</v>
      </c>
    </row>
    <row r="120" spans="1:9" x14ac:dyDescent="0.25">
      <c r="B120" s="79" t="s">
        <v>486</v>
      </c>
      <c r="C120" s="475">
        <f>G120/I120</f>
        <v>68.522903225806459</v>
      </c>
      <c r="E120" s="224" t="s">
        <v>487</v>
      </c>
      <c r="F120" s="224"/>
      <c r="G120" s="216">
        <v>2124.21</v>
      </c>
      <c r="H120" s="518" t="s">
        <v>488</v>
      </c>
      <c r="I120" s="85">
        <v>31</v>
      </c>
    </row>
  </sheetData>
  <autoFilter ref="A2:H105" xr:uid="{00000000-0009-0000-0000-000024000000}">
    <filterColumn colId="1">
      <customFilters>
        <customFilter val="*apt*"/>
      </customFilters>
    </filterColumn>
  </autoFilter>
  <mergeCells count="10">
    <mergeCell ref="A104:D104"/>
    <mergeCell ref="A105:D10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Plan26"/>
  <dimension ref="A1:I123"/>
  <sheetViews>
    <sheetView zoomScale="85" zoomScaleNormal="85" workbookViewId="0">
      <pane ySplit="4" topLeftCell="A5" activePane="bottomLeft" state="frozen"/>
      <selection activeCell="C44" sqref="C44"/>
      <selection pane="bottomLeft" activeCell="E10" sqref="E10:E10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1100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42248</v>
      </c>
      <c r="B5" s="369" t="s">
        <v>10</v>
      </c>
      <c r="C5" s="370"/>
      <c r="D5" s="207"/>
      <c r="E5" s="179"/>
      <c r="F5" s="933">
        <f>'Agosto-15'!F105</f>
        <v>372.9630000000011</v>
      </c>
      <c r="G5" s="163"/>
      <c r="H5" s="933">
        <f>'Agosto-15'!H105</f>
        <v>2100.0000000000005</v>
      </c>
    </row>
    <row r="6" spans="1:8" s="224" customFormat="1" x14ac:dyDescent="0.25">
      <c r="A6" s="215">
        <v>42248</v>
      </c>
      <c r="B6" s="348" t="s">
        <v>11</v>
      </c>
      <c r="C6" s="351"/>
      <c r="D6" s="248"/>
      <c r="E6" s="250">
        <v>40</v>
      </c>
      <c r="F6" s="1473"/>
      <c r="G6" s="252"/>
      <c r="H6" s="1473"/>
    </row>
    <row r="7" spans="1:8" s="224" customFormat="1" x14ac:dyDescent="0.25">
      <c r="A7" s="215">
        <v>42248</v>
      </c>
      <c r="B7" s="862" t="s">
        <v>138</v>
      </c>
      <c r="C7" s="879" t="s">
        <v>19</v>
      </c>
      <c r="D7" s="887" t="s">
        <v>13</v>
      </c>
      <c r="E7" s="250">
        <v>50</v>
      </c>
      <c r="F7" s="946"/>
      <c r="G7" s="97"/>
      <c r="H7" s="1473"/>
    </row>
    <row r="8" spans="1:8" s="224" customFormat="1" x14ac:dyDescent="0.25">
      <c r="A8" s="215">
        <v>42248</v>
      </c>
      <c r="B8" s="862" t="s">
        <v>1101</v>
      </c>
      <c r="C8" s="879" t="s">
        <v>19</v>
      </c>
      <c r="D8" s="887" t="s">
        <v>13</v>
      </c>
      <c r="E8" s="250">
        <v>8</v>
      </c>
      <c r="F8" s="946"/>
      <c r="G8" s="97"/>
      <c r="H8" s="1473"/>
    </row>
    <row r="9" spans="1:8" s="224" customFormat="1" x14ac:dyDescent="0.25">
      <c r="A9" s="215">
        <v>42248</v>
      </c>
      <c r="B9" s="862" t="s">
        <v>134</v>
      </c>
      <c r="C9" s="879" t="s">
        <v>19</v>
      </c>
      <c r="D9" s="887" t="s">
        <v>13</v>
      </c>
      <c r="E9" s="250">
        <v>34.979999999999997</v>
      </c>
      <c r="F9" s="946"/>
      <c r="G9" s="97"/>
      <c r="H9" s="1473"/>
    </row>
    <row r="10" spans="1:8" s="224" customFormat="1" x14ac:dyDescent="0.25">
      <c r="A10" s="215">
        <v>42248</v>
      </c>
      <c r="B10" s="862" t="s">
        <v>32</v>
      </c>
      <c r="C10" s="879" t="s">
        <v>12</v>
      </c>
      <c r="D10" s="887" t="s">
        <v>13</v>
      </c>
      <c r="E10" s="250">
        <v>12</v>
      </c>
      <c r="F10" s="946"/>
      <c r="G10" s="97"/>
      <c r="H10" s="1473"/>
    </row>
    <row r="11" spans="1:8" s="224" customFormat="1" ht="15.75" customHeight="1" x14ac:dyDescent="0.25">
      <c r="A11" s="215">
        <v>42249</v>
      </c>
      <c r="B11" s="862" t="s">
        <v>32</v>
      </c>
      <c r="C11" s="879" t="s">
        <v>12</v>
      </c>
      <c r="D11" s="887" t="s">
        <v>13</v>
      </c>
      <c r="E11" s="250">
        <v>12</v>
      </c>
      <c r="F11" s="946"/>
      <c r="G11" s="97"/>
      <c r="H11" s="946"/>
    </row>
    <row r="12" spans="1:8" s="224" customFormat="1" ht="15.75" customHeight="1" x14ac:dyDescent="0.25">
      <c r="A12" s="215">
        <v>42250</v>
      </c>
      <c r="B12" s="862" t="s">
        <v>32</v>
      </c>
      <c r="C12" s="879" t="s">
        <v>12</v>
      </c>
      <c r="D12" s="887" t="s">
        <v>13</v>
      </c>
      <c r="E12" s="250">
        <v>12</v>
      </c>
      <c r="F12" s="946"/>
      <c r="G12" s="97"/>
      <c r="H12" s="946"/>
    </row>
    <row r="13" spans="1:8" s="224" customFormat="1" ht="15.75" customHeight="1" x14ac:dyDescent="0.25">
      <c r="A13" s="215">
        <v>42250</v>
      </c>
      <c r="B13" s="862" t="s">
        <v>914</v>
      </c>
      <c r="C13" s="879" t="s">
        <v>12</v>
      </c>
      <c r="D13" s="887" t="s">
        <v>13</v>
      </c>
      <c r="E13" s="250">
        <v>12.9</v>
      </c>
      <c r="F13" s="946"/>
      <c r="G13" s="97"/>
      <c r="H13" s="946"/>
    </row>
    <row r="14" spans="1:8" s="224" customFormat="1" ht="15.75" customHeight="1" x14ac:dyDescent="0.25">
      <c r="A14" s="215">
        <v>42251</v>
      </c>
      <c r="B14" s="862" t="s">
        <v>32</v>
      </c>
      <c r="C14" s="879" t="s">
        <v>12</v>
      </c>
      <c r="D14" s="887" t="s">
        <v>13</v>
      </c>
      <c r="E14" s="250">
        <v>12</v>
      </c>
      <c r="F14" s="946"/>
      <c r="G14" s="97"/>
      <c r="H14" s="946"/>
    </row>
    <row r="15" spans="1:8" x14ac:dyDescent="0.25">
      <c r="A15" s="215">
        <v>42251</v>
      </c>
      <c r="B15" s="349" t="s">
        <v>260</v>
      </c>
      <c r="C15" s="350"/>
      <c r="D15" s="141"/>
      <c r="E15" s="97">
        <v>560</v>
      </c>
      <c r="F15" s="946"/>
      <c r="G15" s="95"/>
      <c r="H15" s="946">
        <v>560</v>
      </c>
    </row>
    <row r="16" spans="1:8" s="224" customFormat="1" x14ac:dyDescent="0.25">
      <c r="A16" s="215">
        <v>42251</v>
      </c>
      <c r="B16" s="862" t="s">
        <v>1102</v>
      </c>
      <c r="C16" s="879" t="s">
        <v>19</v>
      </c>
      <c r="D16" s="887" t="s">
        <v>13</v>
      </c>
      <c r="E16" s="250">
        <v>66</v>
      </c>
      <c r="F16" s="1473"/>
      <c r="G16" s="252"/>
      <c r="H16" s="1473"/>
    </row>
    <row r="17" spans="1:8" s="224" customFormat="1" x14ac:dyDescent="0.25">
      <c r="A17" s="215">
        <v>42251</v>
      </c>
      <c r="B17" s="862" t="s">
        <v>915</v>
      </c>
      <c r="C17" s="879" t="s">
        <v>19</v>
      </c>
      <c r="D17" s="887" t="s">
        <v>13</v>
      </c>
      <c r="E17" s="250">
        <v>35</v>
      </c>
      <c r="F17" s="1473"/>
      <c r="G17" s="252"/>
      <c r="H17" s="1473"/>
    </row>
    <row r="18" spans="1:8" s="224" customFormat="1" x14ac:dyDescent="0.25">
      <c r="A18" s="215">
        <v>42251</v>
      </c>
      <c r="B18" s="862" t="s">
        <v>134</v>
      </c>
      <c r="C18" s="879" t="s">
        <v>19</v>
      </c>
      <c r="D18" s="887" t="s">
        <v>13</v>
      </c>
      <c r="E18" s="250">
        <v>29.28</v>
      </c>
      <c r="F18" s="1473"/>
      <c r="G18" s="252"/>
      <c r="H18" s="1473"/>
    </row>
    <row r="19" spans="1:8" s="224" customFormat="1" ht="15.75" customHeight="1" x14ac:dyDescent="0.25">
      <c r="A19" s="215">
        <v>42251</v>
      </c>
      <c r="B19" s="349" t="s">
        <v>1103</v>
      </c>
      <c r="C19" s="879" t="s">
        <v>12</v>
      </c>
      <c r="D19" s="983" t="s">
        <v>25</v>
      </c>
      <c r="E19" s="250"/>
      <c r="F19" s="1473">
        <v>1501.95</v>
      </c>
      <c r="G19" s="252"/>
      <c r="H19" s="946"/>
    </row>
    <row r="20" spans="1:8" s="224" customFormat="1" ht="15.75" customHeight="1" x14ac:dyDescent="0.25">
      <c r="A20" s="215">
        <v>42251</v>
      </c>
      <c r="B20" s="862" t="s">
        <v>1104</v>
      </c>
      <c r="C20" s="350" t="s">
        <v>12</v>
      </c>
      <c r="D20" s="141" t="s">
        <v>13</v>
      </c>
      <c r="E20" s="97">
        <v>245.92</v>
      </c>
      <c r="F20" s="1473"/>
      <c r="G20" s="252"/>
      <c r="H20" s="946"/>
    </row>
    <row r="21" spans="1:8" s="224" customFormat="1" ht="15.75" customHeight="1" x14ac:dyDescent="0.25">
      <c r="A21" s="215">
        <v>42251</v>
      </c>
      <c r="B21" s="882" t="s">
        <v>1105</v>
      </c>
      <c r="C21" s="350" t="s">
        <v>12</v>
      </c>
      <c r="D21" s="141" t="s">
        <v>13</v>
      </c>
      <c r="E21" s="97">
        <v>77.010000000000005</v>
      </c>
      <c r="F21" s="1473"/>
      <c r="G21" s="252"/>
      <c r="H21" s="946"/>
    </row>
    <row r="22" spans="1:8" x14ac:dyDescent="0.25">
      <c r="A22" s="215">
        <v>42252</v>
      </c>
      <c r="B22" s="349" t="s">
        <v>32</v>
      </c>
      <c r="C22" s="350" t="s">
        <v>12</v>
      </c>
      <c r="D22" s="141" t="s">
        <v>15</v>
      </c>
      <c r="E22" s="97">
        <v>15</v>
      </c>
      <c r="F22" s="946"/>
      <c r="G22" s="95"/>
      <c r="H22" s="946"/>
    </row>
    <row r="23" spans="1:8" s="224" customFormat="1" ht="15.75" customHeight="1" x14ac:dyDescent="0.25">
      <c r="A23" s="215">
        <v>42252</v>
      </c>
      <c r="B23" s="349" t="s">
        <v>311</v>
      </c>
      <c r="C23" s="350"/>
      <c r="D23" s="141"/>
      <c r="E23" s="97"/>
      <c r="F23" s="946"/>
      <c r="G23" s="97"/>
      <c r="H23" s="946">
        <v>9.2799999999999994</v>
      </c>
    </row>
    <row r="24" spans="1:8" x14ac:dyDescent="0.25">
      <c r="A24" s="215">
        <v>42253</v>
      </c>
      <c r="B24" s="349"/>
      <c r="C24" s="350"/>
      <c r="D24" s="141"/>
      <c r="E24" s="97"/>
      <c r="F24" s="946"/>
      <c r="G24" s="95"/>
      <c r="H24" s="946"/>
    </row>
    <row r="25" spans="1:8" x14ac:dyDescent="0.25">
      <c r="A25" s="215">
        <v>42254</v>
      </c>
      <c r="B25" s="349" t="s">
        <v>134</v>
      </c>
      <c r="C25" s="350" t="s">
        <v>12</v>
      </c>
      <c r="D25" s="141" t="s">
        <v>15</v>
      </c>
      <c r="E25" s="97">
        <v>9</v>
      </c>
      <c r="F25" s="946"/>
      <c r="G25" s="95"/>
      <c r="H25" s="946"/>
    </row>
    <row r="26" spans="1:8" x14ac:dyDescent="0.25">
      <c r="A26" s="215">
        <v>42255</v>
      </c>
      <c r="B26" s="862" t="s">
        <v>32</v>
      </c>
      <c r="C26" s="879" t="s">
        <v>12</v>
      </c>
      <c r="D26" s="887" t="s">
        <v>13</v>
      </c>
      <c r="E26" s="250">
        <v>12</v>
      </c>
      <c r="F26" s="946"/>
      <c r="G26" s="95"/>
      <c r="H26" s="946"/>
    </row>
    <row r="27" spans="1:8" x14ac:dyDescent="0.25">
      <c r="A27" s="215">
        <v>42255</v>
      </c>
      <c r="B27" s="349" t="s">
        <v>134</v>
      </c>
      <c r="C27" s="350" t="s">
        <v>12</v>
      </c>
      <c r="D27" s="141" t="s">
        <v>13</v>
      </c>
      <c r="E27" s="97">
        <v>7.32</v>
      </c>
      <c r="F27" s="946"/>
      <c r="G27" s="95"/>
      <c r="H27" s="946"/>
    </row>
    <row r="28" spans="1:8" x14ac:dyDescent="0.25">
      <c r="A28" s="215">
        <v>42255</v>
      </c>
      <c r="B28" s="862" t="s">
        <v>1014</v>
      </c>
      <c r="C28" s="879" t="s">
        <v>12</v>
      </c>
      <c r="D28" s="887" t="s">
        <v>13</v>
      </c>
      <c r="E28" s="250">
        <v>12.81</v>
      </c>
      <c r="F28" s="946"/>
      <c r="G28" s="95"/>
      <c r="H28" s="946"/>
    </row>
    <row r="29" spans="1:8" x14ac:dyDescent="0.25">
      <c r="A29" s="215">
        <v>42255</v>
      </c>
      <c r="B29" s="349" t="s">
        <v>1106</v>
      </c>
      <c r="C29" s="350" t="s">
        <v>12</v>
      </c>
      <c r="D29" s="141" t="s">
        <v>13</v>
      </c>
      <c r="E29" s="97">
        <v>20.62</v>
      </c>
      <c r="F29" s="946"/>
      <c r="G29" s="95"/>
      <c r="H29" s="946"/>
    </row>
    <row r="30" spans="1:8" s="224" customFormat="1" x14ac:dyDescent="0.25">
      <c r="A30" s="215">
        <v>42256</v>
      </c>
      <c r="B30" s="862" t="s">
        <v>32</v>
      </c>
      <c r="C30" s="879" t="s">
        <v>12</v>
      </c>
      <c r="D30" s="887" t="s">
        <v>13</v>
      </c>
      <c r="E30" s="250">
        <v>12</v>
      </c>
      <c r="F30" s="1473"/>
      <c r="G30" s="252"/>
      <c r="H30" s="1473"/>
    </row>
    <row r="31" spans="1:8" s="224" customFormat="1" x14ac:dyDescent="0.25">
      <c r="A31" s="215">
        <v>42256</v>
      </c>
      <c r="B31" s="862" t="s">
        <v>138</v>
      </c>
      <c r="C31" s="879" t="s">
        <v>19</v>
      </c>
      <c r="D31" s="887" t="s">
        <v>13</v>
      </c>
      <c r="E31" s="250">
        <v>40</v>
      </c>
      <c r="F31" s="1473"/>
      <c r="G31" s="252"/>
      <c r="H31" s="1473"/>
    </row>
    <row r="32" spans="1:8" s="224" customFormat="1" x14ac:dyDescent="0.25">
      <c r="A32" s="215">
        <v>42256</v>
      </c>
      <c r="B32" s="862" t="s">
        <v>1101</v>
      </c>
      <c r="C32" s="879" t="s">
        <v>19</v>
      </c>
      <c r="D32" s="887" t="s">
        <v>13</v>
      </c>
      <c r="E32" s="250">
        <v>11</v>
      </c>
      <c r="F32" s="1473"/>
      <c r="G32" s="252"/>
      <c r="H32" s="1473"/>
    </row>
    <row r="33" spans="1:8" x14ac:dyDescent="0.25">
      <c r="A33" s="215">
        <v>42256</v>
      </c>
      <c r="B33" s="349" t="s">
        <v>134</v>
      </c>
      <c r="C33" s="350" t="s">
        <v>19</v>
      </c>
      <c r="D33" s="141" t="s">
        <v>13</v>
      </c>
      <c r="E33" s="97">
        <v>12.31</v>
      </c>
      <c r="F33" s="946"/>
      <c r="G33" s="95"/>
      <c r="H33" s="946"/>
    </row>
    <row r="34" spans="1:8" s="224" customFormat="1" x14ac:dyDescent="0.25">
      <c r="A34" s="215">
        <v>42257</v>
      </c>
      <c r="B34" s="862" t="s">
        <v>32</v>
      </c>
      <c r="C34" s="879" t="s">
        <v>12</v>
      </c>
      <c r="D34" s="887" t="s">
        <v>15</v>
      </c>
      <c r="E34" s="250">
        <v>12</v>
      </c>
      <c r="F34" s="1473"/>
      <c r="G34" s="252"/>
      <c r="H34" s="1473"/>
    </row>
    <row r="35" spans="1:8" s="224" customFormat="1" x14ac:dyDescent="0.25">
      <c r="A35" s="215">
        <v>42257</v>
      </c>
      <c r="B35" s="862" t="s">
        <v>1107</v>
      </c>
      <c r="C35" s="879" t="s">
        <v>12</v>
      </c>
      <c r="D35" s="887" t="s">
        <v>13</v>
      </c>
      <c r="E35" s="250">
        <v>29</v>
      </c>
      <c r="F35" s="1473"/>
      <c r="G35" s="252"/>
      <c r="H35" s="1473"/>
    </row>
    <row r="36" spans="1:8" s="224" customFormat="1" x14ac:dyDescent="0.25">
      <c r="A36" s="215">
        <v>42257</v>
      </c>
      <c r="B36" s="862" t="s">
        <v>1108</v>
      </c>
      <c r="C36" s="879" t="s">
        <v>12</v>
      </c>
      <c r="D36" s="887" t="s">
        <v>13</v>
      </c>
      <c r="E36" s="250">
        <v>60</v>
      </c>
      <c r="F36" s="1473"/>
      <c r="G36" s="252"/>
      <c r="H36" s="1473"/>
    </row>
    <row r="37" spans="1:8" s="224" customFormat="1" x14ac:dyDescent="0.25">
      <c r="A37" s="215">
        <v>42257</v>
      </c>
      <c r="B37" s="862" t="s">
        <v>1051</v>
      </c>
      <c r="C37" s="879" t="s">
        <v>12</v>
      </c>
      <c r="D37" s="887" t="s">
        <v>15</v>
      </c>
      <c r="E37" s="250">
        <v>30</v>
      </c>
      <c r="F37" s="1473"/>
      <c r="G37" s="252"/>
      <c r="H37" s="1473"/>
    </row>
    <row r="38" spans="1:8" s="224" customFormat="1" x14ac:dyDescent="0.25">
      <c r="A38" s="215">
        <v>42258</v>
      </c>
      <c r="B38" s="862" t="s">
        <v>32</v>
      </c>
      <c r="C38" s="879" t="s">
        <v>12</v>
      </c>
      <c r="D38" s="887" t="s">
        <v>13</v>
      </c>
      <c r="E38" s="250">
        <v>12</v>
      </c>
      <c r="F38" s="1473"/>
      <c r="G38" s="252"/>
      <c r="H38" s="1473"/>
    </row>
    <row r="39" spans="1:8" s="224" customFormat="1" x14ac:dyDescent="0.25">
      <c r="A39" s="215">
        <v>42258</v>
      </c>
      <c r="B39" s="862" t="s">
        <v>1109</v>
      </c>
      <c r="C39" s="879" t="s">
        <v>19</v>
      </c>
      <c r="D39" s="887" t="s">
        <v>13</v>
      </c>
      <c r="E39" s="250">
        <v>37.99</v>
      </c>
      <c r="F39" s="1473"/>
      <c r="G39" s="252"/>
      <c r="H39" s="1473"/>
    </row>
    <row r="40" spans="1:8" s="224" customFormat="1" x14ac:dyDescent="0.25">
      <c r="A40" s="215">
        <v>42258</v>
      </c>
      <c r="B40" s="862" t="s">
        <v>1110</v>
      </c>
      <c r="C40" s="879" t="s">
        <v>12</v>
      </c>
      <c r="D40" s="887" t="s">
        <v>13</v>
      </c>
      <c r="E40" s="250">
        <v>24</v>
      </c>
      <c r="F40" s="1473"/>
      <c r="G40" s="252"/>
      <c r="H40" s="1473"/>
    </row>
    <row r="41" spans="1:8" s="224" customFormat="1" x14ac:dyDescent="0.25">
      <c r="A41" s="215">
        <v>42258</v>
      </c>
      <c r="B41" s="862" t="s">
        <v>14</v>
      </c>
      <c r="C41" s="879" t="s">
        <v>12</v>
      </c>
      <c r="D41" s="887" t="s">
        <v>13</v>
      </c>
      <c r="E41" s="250">
        <v>9.2899999999999991</v>
      </c>
      <c r="F41" s="1473"/>
      <c r="G41" s="252"/>
      <c r="H41" s="1473"/>
    </row>
    <row r="42" spans="1:8" s="224" customFormat="1" x14ac:dyDescent="0.25">
      <c r="A42" s="215">
        <v>42258</v>
      </c>
      <c r="B42" s="862" t="s">
        <v>1111</v>
      </c>
      <c r="C42" s="879" t="s">
        <v>19</v>
      </c>
      <c r="D42" s="887" t="s">
        <v>13</v>
      </c>
      <c r="E42" s="250">
        <v>29.8</v>
      </c>
      <c r="F42" s="1473"/>
      <c r="G42" s="252"/>
      <c r="H42" s="1473"/>
    </row>
    <row r="43" spans="1:8" s="224" customFormat="1" x14ac:dyDescent="0.25">
      <c r="A43" s="215">
        <v>42259</v>
      </c>
      <c r="B43" s="862" t="s">
        <v>32</v>
      </c>
      <c r="C43" s="879" t="s">
        <v>12</v>
      </c>
      <c r="D43" s="887" t="s">
        <v>13</v>
      </c>
      <c r="E43" s="250">
        <v>12</v>
      </c>
      <c r="F43" s="1473"/>
      <c r="G43" s="252"/>
      <c r="H43" s="1473"/>
    </row>
    <row r="44" spans="1:8" s="224" customFormat="1" x14ac:dyDescent="0.25">
      <c r="A44" s="215">
        <v>42259</v>
      </c>
      <c r="B44" s="862" t="s">
        <v>134</v>
      </c>
      <c r="C44" s="879" t="s">
        <v>12</v>
      </c>
      <c r="D44" s="887" t="s">
        <v>15</v>
      </c>
      <c r="E44" s="250">
        <v>15</v>
      </c>
      <c r="F44" s="1473"/>
      <c r="G44" s="252"/>
      <c r="H44" s="1473"/>
    </row>
    <row r="45" spans="1:8" s="224" customFormat="1" x14ac:dyDescent="0.25">
      <c r="A45" s="215">
        <v>42260</v>
      </c>
      <c r="B45" s="862" t="s">
        <v>134</v>
      </c>
      <c r="C45" s="879" t="s">
        <v>12</v>
      </c>
      <c r="D45" s="887" t="s">
        <v>13</v>
      </c>
      <c r="E45" s="250">
        <v>12.12</v>
      </c>
      <c r="F45" s="1473"/>
      <c r="G45" s="252"/>
      <c r="H45" s="1473"/>
    </row>
    <row r="46" spans="1:8" s="224" customFormat="1" x14ac:dyDescent="0.25">
      <c r="A46" s="215">
        <v>42261</v>
      </c>
      <c r="B46" s="862" t="s">
        <v>256</v>
      </c>
      <c r="C46" s="879" t="s">
        <v>12</v>
      </c>
      <c r="D46" s="1475" t="s">
        <v>13</v>
      </c>
      <c r="E46" s="97"/>
      <c r="F46" s="946">
        <v>269.27999999999997</v>
      </c>
      <c r="G46" s="97">
        <v>269.27999999999997</v>
      </c>
      <c r="H46" s="1473"/>
    </row>
    <row r="47" spans="1:8" s="224" customFormat="1" x14ac:dyDescent="0.25">
      <c r="A47" s="215">
        <v>42261</v>
      </c>
      <c r="B47" s="862" t="s">
        <v>32</v>
      </c>
      <c r="C47" s="879" t="s">
        <v>12</v>
      </c>
      <c r="D47" s="887" t="s">
        <v>13</v>
      </c>
      <c r="E47" s="250">
        <v>12</v>
      </c>
      <c r="F47" s="1473"/>
      <c r="G47" s="252"/>
      <c r="H47" s="1473"/>
    </row>
    <row r="48" spans="1:8" s="224" customFormat="1" x14ac:dyDescent="0.25">
      <c r="A48" s="215">
        <v>42261</v>
      </c>
      <c r="B48" s="862" t="s">
        <v>1091</v>
      </c>
      <c r="C48" s="879" t="s">
        <v>12</v>
      </c>
      <c r="D48" s="887" t="s">
        <v>15</v>
      </c>
      <c r="E48" s="250">
        <v>22</v>
      </c>
      <c r="F48" s="1473"/>
      <c r="G48" s="252"/>
      <c r="H48" s="1473"/>
    </row>
    <row r="49" spans="1:8" s="224" customFormat="1" x14ac:dyDescent="0.25">
      <c r="A49" s="215">
        <v>42261</v>
      </c>
      <c r="B49" s="862" t="s">
        <v>914</v>
      </c>
      <c r="C49" s="879" t="s">
        <v>12</v>
      </c>
      <c r="D49" s="887" t="s">
        <v>13</v>
      </c>
      <c r="E49" s="250">
        <v>8.4</v>
      </c>
      <c r="F49" s="1473"/>
      <c r="G49" s="252"/>
      <c r="H49" s="1473"/>
    </row>
    <row r="50" spans="1:8" s="224" customFormat="1" x14ac:dyDescent="0.25">
      <c r="A50" s="215">
        <v>42261</v>
      </c>
      <c r="B50" s="862" t="s">
        <v>14</v>
      </c>
      <c r="C50" s="879" t="s">
        <v>12</v>
      </c>
      <c r="D50" s="887" t="s">
        <v>13</v>
      </c>
      <c r="E50" s="250">
        <v>4.09</v>
      </c>
      <c r="F50" s="1473"/>
      <c r="G50" s="252"/>
      <c r="H50" s="1473"/>
    </row>
    <row r="51" spans="1:8" s="224" customFormat="1" x14ac:dyDescent="0.25">
      <c r="A51" s="215">
        <v>42262</v>
      </c>
      <c r="B51" s="862" t="s">
        <v>32</v>
      </c>
      <c r="C51" s="879" t="s">
        <v>12</v>
      </c>
      <c r="D51" s="887" t="s">
        <v>13</v>
      </c>
      <c r="E51" s="250">
        <v>12</v>
      </c>
      <c r="F51" s="1473"/>
      <c r="G51" s="252"/>
      <c r="H51" s="1473"/>
    </row>
    <row r="52" spans="1:8" s="224" customFormat="1" x14ac:dyDescent="0.25">
      <c r="A52" s="215">
        <v>42262</v>
      </c>
      <c r="B52" s="862" t="s">
        <v>138</v>
      </c>
      <c r="C52" s="879" t="s">
        <v>19</v>
      </c>
      <c r="D52" s="887" t="s">
        <v>13</v>
      </c>
      <c r="E52" s="250">
        <v>40</v>
      </c>
      <c r="F52" s="1473"/>
      <c r="G52" s="252"/>
      <c r="H52" s="1473"/>
    </row>
    <row r="53" spans="1:8" s="224" customFormat="1" x14ac:dyDescent="0.25">
      <c r="A53" s="215">
        <v>42262</v>
      </c>
      <c r="B53" s="862" t="s">
        <v>1112</v>
      </c>
      <c r="C53" s="879" t="s">
        <v>19</v>
      </c>
      <c r="D53" s="887" t="s">
        <v>13</v>
      </c>
      <c r="E53" s="250">
        <v>60</v>
      </c>
      <c r="F53" s="1473"/>
      <c r="G53" s="252"/>
      <c r="H53" s="1473"/>
    </row>
    <row r="54" spans="1:8" s="224" customFormat="1" x14ac:dyDescent="0.25">
      <c r="A54" s="215">
        <v>42262</v>
      </c>
      <c r="B54" s="862" t="s">
        <v>1113</v>
      </c>
      <c r="C54" s="879" t="s">
        <v>19</v>
      </c>
      <c r="D54" s="887" t="s">
        <v>13</v>
      </c>
      <c r="E54" s="250">
        <v>40</v>
      </c>
      <c r="F54" s="1473"/>
      <c r="G54" s="252"/>
      <c r="H54" s="1473"/>
    </row>
    <row r="55" spans="1:8" s="224" customFormat="1" x14ac:dyDescent="0.25">
      <c r="A55" s="215">
        <v>42262</v>
      </c>
      <c r="B55" s="862" t="s">
        <v>1114</v>
      </c>
      <c r="C55" s="879" t="s">
        <v>19</v>
      </c>
      <c r="D55" s="887" t="s">
        <v>13</v>
      </c>
      <c r="E55" s="250">
        <v>50</v>
      </c>
      <c r="F55" s="1473"/>
      <c r="G55" s="252"/>
      <c r="H55" s="1473"/>
    </row>
    <row r="56" spans="1:8" s="224" customFormat="1" x14ac:dyDescent="0.25">
      <c r="A56" s="215">
        <v>42262</v>
      </c>
      <c r="B56" s="862" t="s">
        <v>134</v>
      </c>
      <c r="C56" s="879" t="s">
        <v>19</v>
      </c>
      <c r="D56" s="887" t="s">
        <v>13</v>
      </c>
      <c r="E56" s="250">
        <v>4.95</v>
      </c>
      <c r="F56" s="1473"/>
      <c r="G56" s="252"/>
      <c r="H56" s="1473"/>
    </row>
    <row r="57" spans="1:8" s="224" customFormat="1" x14ac:dyDescent="0.25">
      <c r="A57" s="215">
        <v>42263</v>
      </c>
      <c r="B57" s="862" t="s">
        <v>32</v>
      </c>
      <c r="C57" s="879" t="s">
        <v>12</v>
      </c>
      <c r="D57" s="887" t="s">
        <v>13</v>
      </c>
      <c r="E57" s="250">
        <v>12</v>
      </c>
      <c r="F57" s="1473"/>
      <c r="G57" s="252"/>
      <c r="H57" s="1473"/>
    </row>
    <row r="58" spans="1:8" s="224" customFormat="1" x14ac:dyDescent="0.25">
      <c r="A58" s="215">
        <v>42263</v>
      </c>
      <c r="B58" s="862" t="s">
        <v>1115</v>
      </c>
      <c r="C58" s="879" t="s">
        <v>19</v>
      </c>
      <c r="D58" s="887" t="s">
        <v>13</v>
      </c>
      <c r="E58" s="250">
        <v>200</v>
      </c>
      <c r="F58" s="1473"/>
      <c r="G58" s="252"/>
      <c r="H58" s="1473"/>
    </row>
    <row r="59" spans="1:8" s="224" customFormat="1" x14ac:dyDescent="0.25">
      <c r="A59" s="215">
        <v>42264</v>
      </c>
      <c r="B59" s="862" t="s">
        <v>32</v>
      </c>
      <c r="C59" s="879" t="s">
        <v>12</v>
      </c>
      <c r="D59" s="887" t="s">
        <v>13</v>
      </c>
      <c r="E59" s="250">
        <v>12</v>
      </c>
      <c r="F59" s="1473"/>
      <c r="G59" s="252"/>
      <c r="H59" s="1473"/>
    </row>
    <row r="60" spans="1:8" s="224" customFormat="1" x14ac:dyDescent="0.25">
      <c r="A60" s="215">
        <v>42264</v>
      </c>
      <c r="B60" s="862" t="s">
        <v>256</v>
      </c>
      <c r="C60" s="879" t="s">
        <v>12</v>
      </c>
      <c r="D60" s="1475" t="s">
        <v>13</v>
      </c>
      <c r="E60" s="97"/>
      <c r="F60" s="946">
        <v>400</v>
      </c>
      <c r="G60" s="97">
        <v>400</v>
      </c>
      <c r="H60" s="1473"/>
    </row>
    <row r="61" spans="1:8" s="224" customFormat="1" x14ac:dyDescent="0.25">
      <c r="A61" s="215">
        <v>42264</v>
      </c>
      <c r="B61" s="862" t="s">
        <v>976</v>
      </c>
      <c r="C61" s="879" t="s">
        <v>12</v>
      </c>
      <c r="D61" s="887" t="s">
        <v>13</v>
      </c>
      <c r="E61" s="250">
        <v>20</v>
      </c>
      <c r="F61" s="1473"/>
      <c r="G61" s="252"/>
      <c r="H61" s="1473"/>
    </row>
    <row r="62" spans="1:8" s="224" customFormat="1" x14ac:dyDescent="0.25">
      <c r="A62" s="215">
        <v>42264</v>
      </c>
      <c r="B62" s="862" t="s">
        <v>1116</v>
      </c>
      <c r="C62" s="879" t="s">
        <v>19</v>
      </c>
      <c r="D62" s="1475" t="s">
        <v>13</v>
      </c>
      <c r="E62" s="97">
        <v>50.27</v>
      </c>
      <c r="F62" s="946"/>
      <c r="G62" s="97"/>
      <c r="H62" s="1473"/>
    </row>
    <row r="63" spans="1:8" s="224" customFormat="1" x14ac:dyDescent="0.25">
      <c r="A63" s="215">
        <v>42264</v>
      </c>
      <c r="B63" s="862" t="s">
        <v>1117</v>
      </c>
      <c r="C63" s="879" t="s">
        <v>12</v>
      </c>
      <c r="D63" s="887" t="s">
        <v>13</v>
      </c>
      <c r="E63" s="250">
        <v>121.4</v>
      </c>
      <c r="F63" s="1473"/>
      <c r="G63" s="252"/>
      <c r="H63" s="1473"/>
    </row>
    <row r="64" spans="1:8" s="224" customFormat="1" x14ac:dyDescent="0.25">
      <c r="A64" s="215">
        <v>42264</v>
      </c>
      <c r="B64" s="862" t="s">
        <v>1118</v>
      </c>
      <c r="C64" s="879" t="s">
        <v>19</v>
      </c>
      <c r="D64" s="887" t="s">
        <v>13</v>
      </c>
      <c r="E64" s="250">
        <v>52.81</v>
      </c>
      <c r="F64" s="1473"/>
      <c r="G64" s="252"/>
      <c r="H64" s="1473"/>
    </row>
    <row r="65" spans="1:8" s="224" customFormat="1" x14ac:dyDescent="0.25">
      <c r="A65" s="215">
        <v>42265</v>
      </c>
      <c r="B65" s="862" t="s">
        <v>32</v>
      </c>
      <c r="C65" s="879" t="s">
        <v>12</v>
      </c>
      <c r="D65" s="887" t="s">
        <v>13</v>
      </c>
      <c r="E65" s="250">
        <v>12</v>
      </c>
      <c r="F65" s="1473"/>
      <c r="G65" s="252"/>
      <c r="H65" s="1473"/>
    </row>
    <row r="66" spans="1:8" x14ac:dyDescent="0.25">
      <c r="A66" s="215">
        <v>42265</v>
      </c>
      <c r="B66" s="349" t="s">
        <v>260</v>
      </c>
      <c r="C66" s="350"/>
      <c r="D66" s="141"/>
      <c r="E66" s="97">
        <v>550</v>
      </c>
      <c r="F66" s="946"/>
      <c r="G66" s="95"/>
      <c r="H66" s="946">
        <v>550</v>
      </c>
    </row>
    <row r="67" spans="1:8" s="224" customFormat="1" x14ac:dyDescent="0.25">
      <c r="A67" s="215">
        <v>42265</v>
      </c>
      <c r="B67" s="862" t="s">
        <v>1119</v>
      </c>
      <c r="C67" s="879" t="s">
        <v>12</v>
      </c>
      <c r="D67" s="887" t="s">
        <v>13</v>
      </c>
      <c r="E67" s="250">
        <v>27</v>
      </c>
      <c r="F67" s="1473"/>
      <c r="G67" s="252"/>
      <c r="H67" s="1473"/>
    </row>
    <row r="68" spans="1:8" s="224" customFormat="1" x14ac:dyDescent="0.25">
      <c r="A68" s="215">
        <v>42265</v>
      </c>
      <c r="B68" s="862" t="s">
        <v>1120</v>
      </c>
      <c r="C68" s="879" t="s">
        <v>12</v>
      </c>
      <c r="D68" s="887" t="s">
        <v>13</v>
      </c>
      <c r="E68" s="250">
        <v>27.85</v>
      </c>
      <c r="F68" s="1473"/>
      <c r="G68" s="252"/>
      <c r="H68" s="1473"/>
    </row>
    <row r="69" spans="1:8" s="224" customFormat="1" x14ac:dyDescent="0.25">
      <c r="A69" s="215">
        <v>42265</v>
      </c>
      <c r="B69" s="862" t="s">
        <v>1121</v>
      </c>
      <c r="C69" s="879" t="s">
        <v>12</v>
      </c>
      <c r="D69" s="887" t="s">
        <v>13</v>
      </c>
      <c r="E69" s="250">
        <v>26.36</v>
      </c>
      <c r="F69" s="1473"/>
      <c r="G69" s="252"/>
      <c r="H69" s="1473"/>
    </row>
    <row r="70" spans="1:8" s="224" customFormat="1" x14ac:dyDescent="0.25">
      <c r="A70" s="215">
        <v>42265</v>
      </c>
      <c r="B70" s="349" t="s">
        <v>1122</v>
      </c>
      <c r="C70" s="350" t="s">
        <v>12</v>
      </c>
      <c r="D70" s="141" t="s">
        <v>25</v>
      </c>
      <c r="E70" s="250"/>
      <c r="F70" s="1473">
        <v>1280</v>
      </c>
      <c r="G70" s="252"/>
      <c r="H70" s="1473"/>
    </row>
    <row r="71" spans="1:8" x14ac:dyDescent="0.25">
      <c r="A71" s="215">
        <v>42265</v>
      </c>
      <c r="B71" s="862" t="s">
        <v>878</v>
      </c>
      <c r="C71" s="350" t="s">
        <v>12</v>
      </c>
      <c r="D71" s="957" t="s">
        <v>13</v>
      </c>
      <c r="E71" s="97">
        <v>51.9</v>
      </c>
      <c r="F71" s="1473"/>
      <c r="G71" s="252"/>
      <c r="H71" s="946"/>
    </row>
    <row r="72" spans="1:8" s="224" customFormat="1" x14ac:dyDescent="0.25">
      <c r="A72" s="215">
        <v>42265</v>
      </c>
      <c r="B72" s="349" t="s">
        <v>1123</v>
      </c>
      <c r="C72" s="350" t="s">
        <v>12</v>
      </c>
      <c r="D72" s="957" t="s">
        <v>13</v>
      </c>
      <c r="E72" s="97">
        <v>44</v>
      </c>
      <c r="F72" s="946"/>
      <c r="G72" s="95"/>
      <c r="H72" s="1473"/>
    </row>
    <row r="73" spans="1:8" s="224" customFormat="1" x14ac:dyDescent="0.25">
      <c r="A73" s="215">
        <v>42266</v>
      </c>
      <c r="B73" s="862" t="s">
        <v>914</v>
      </c>
      <c r="C73" s="879" t="s">
        <v>12</v>
      </c>
      <c r="D73" s="887" t="s">
        <v>13</v>
      </c>
      <c r="E73" s="250">
        <v>10.75</v>
      </c>
      <c r="F73" s="1473"/>
      <c r="G73" s="252"/>
      <c r="H73" s="1473"/>
    </row>
    <row r="74" spans="1:8" s="224" customFormat="1" x14ac:dyDescent="0.25">
      <c r="A74" s="215">
        <v>42266</v>
      </c>
      <c r="B74" s="862" t="s">
        <v>14</v>
      </c>
      <c r="C74" s="879" t="s">
        <v>12</v>
      </c>
      <c r="D74" s="887" t="s">
        <v>13</v>
      </c>
      <c r="E74" s="250">
        <v>10.29</v>
      </c>
      <c r="F74" s="1473"/>
      <c r="G74" s="252"/>
      <c r="H74" s="1473"/>
    </row>
    <row r="75" spans="1:8" s="224" customFormat="1" x14ac:dyDescent="0.25">
      <c r="A75" s="215">
        <v>42266</v>
      </c>
      <c r="B75" s="862" t="s">
        <v>1121</v>
      </c>
      <c r="C75" s="879" t="s">
        <v>12</v>
      </c>
      <c r="D75" s="887" t="s">
        <v>13</v>
      </c>
      <c r="E75" s="250">
        <v>36.909999999999997</v>
      </c>
      <c r="F75" s="1473"/>
      <c r="G75" s="252"/>
      <c r="H75" s="1473"/>
    </row>
    <row r="76" spans="1:8" s="224" customFormat="1" x14ac:dyDescent="0.25">
      <c r="A76" s="215">
        <v>42266</v>
      </c>
      <c r="B76" s="862" t="s">
        <v>1124</v>
      </c>
      <c r="C76" s="879" t="s">
        <v>12</v>
      </c>
      <c r="D76" s="887" t="s">
        <v>15</v>
      </c>
      <c r="E76" s="250">
        <v>10</v>
      </c>
      <c r="F76" s="1473"/>
      <c r="G76" s="252"/>
      <c r="H76" s="1473"/>
    </row>
    <row r="77" spans="1:8" s="224" customFormat="1" x14ac:dyDescent="0.25">
      <c r="A77" s="215">
        <v>42266</v>
      </c>
      <c r="B77" s="862" t="s">
        <v>1125</v>
      </c>
      <c r="C77" s="879" t="s">
        <v>12</v>
      </c>
      <c r="D77" s="887" t="s">
        <v>13</v>
      </c>
      <c r="E77" s="250">
        <v>15</v>
      </c>
      <c r="F77" s="1473"/>
      <c r="G77" s="252"/>
      <c r="H77" s="1473"/>
    </row>
    <row r="78" spans="1:8" s="224" customFormat="1" x14ac:dyDescent="0.25">
      <c r="A78" s="215">
        <v>42266</v>
      </c>
      <c r="B78" s="862" t="s">
        <v>1126</v>
      </c>
      <c r="C78" s="879" t="s">
        <v>12</v>
      </c>
      <c r="D78" s="887" t="s">
        <v>13</v>
      </c>
      <c r="E78" s="250">
        <v>19.98</v>
      </c>
      <c r="F78" s="1473"/>
      <c r="G78" s="252"/>
      <c r="H78" s="1473"/>
    </row>
    <row r="79" spans="1:8" s="224" customFormat="1" x14ac:dyDescent="0.25">
      <c r="A79" s="215">
        <v>42266</v>
      </c>
      <c r="B79" s="862" t="s">
        <v>1127</v>
      </c>
      <c r="C79" s="879" t="s">
        <v>12</v>
      </c>
      <c r="D79" s="887" t="s">
        <v>13</v>
      </c>
      <c r="E79" s="250">
        <v>11.9</v>
      </c>
      <c r="F79" s="1473"/>
      <c r="G79" s="252"/>
      <c r="H79" s="1473"/>
    </row>
    <row r="80" spans="1:8" s="224" customFormat="1" x14ac:dyDescent="0.25">
      <c r="A80" s="215">
        <v>42266</v>
      </c>
      <c r="B80" s="349" t="s">
        <v>1128</v>
      </c>
      <c r="C80" s="350" t="s">
        <v>12</v>
      </c>
      <c r="D80" s="141" t="s">
        <v>13</v>
      </c>
      <c r="E80" s="97">
        <v>20</v>
      </c>
      <c r="F80" s="946"/>
      <c r="G80" s="95"/>
      <c r="H80" s="1473"/>
    </row>
    <row r="81" spans="1:8" s="224" customFormat="1" x14ac:dyDescent="0.25">
      <c r="A81" s="215">
        <v>42267</v>
      </c>
      <c r="B81" s="862"/>
      <c r="C81" s="879"/>
      <c r="D81" s="887"/>
      <c r="E81" s="250"/>
      <c r="F81" s="1473"/>
      <c r="G81" s="252"/>
      <c r="H81" s="1473"/>
    </row>
    <row r="82" spans="1:8" s="224" customFormat="1" x14ac:dyDescent="0.25">
      <c r="A82" s="215">
        <v>42268</v>
      </c>
      <c r="B82" s="349" t="s">
        <v>311</v>
      </c>
      <c r="C82" s="350"/>
      <c r="D82" s="141"/>
      <c r="E82" s="97"/>
      <c r="F82" s="946"/>
      <c r="G82" s="97"/>
      <c r="H82" s="946">
        <v>5.32</v>
      </c>
    </row>
    <row r="83" spans="1:8" s="224" customFormat="1" x14ac:dyDescent="0.25">
      <c r="A83" s="215">
        <v>42268</v>
      </c>
      <c r="B83" s="862" t="s">
        <v>32</v>
      </c>
      <c r="C83" s="879" t="s">
        <v>12</v>
      </c>
      <c r="D83" s="887" t="s">
        <v>13</v>
      </c>
      <c r="E83" s="250">
        <v>12</v>
      </c>
      <c r="F83" s="1473"/>
      <c r="G83" s="252"/>
      <c r="H83" s="1473"/>
    </row>
    <row r="84" spans="1:8" x14ac:dyDescent="0.25">
      <c r="A84" s="215">
        <v>42269</v>
      </c>
      <c r="B84" s="862" t="s">
        <v>32</v>
      </c>
      <c r="C84" s="879" t="s">
        <v>12</v>
      </c>
      <c r="D84" s="887" t="s">
        <v>13</v>
      </c>
      <c r="E84" s="250">
        <v>12</v>
      </c>
      <c r="F84" s="946"/>
      <c r="G84" s="97"/>
      <c r="H84" s="946"/>
    </row>
    <row r="85" spans="1:8" x14ac:dyDescent="0.25">
      <c r="A85" s="215">
        <v>42269</v>
      </c>
      <c r="B85" s="862" t="s">
        <v>1129</v>
      </c>
      <c r="C85" s="879" t="s">
        <v>12</v>
      </c>
      <c r="D85" s="887" t="s">
        <v>13</v>
      </c>
      <c r="E85" s="250">
        <v>10.27</v>
      </c>
      <c r="F85" s="946"/>
      <c r="G85" s="97"/>
      <c r="H85" s="946"/>
    </row>
    <row r="86" spans="1:8" x14ac:dyDescent="0.25">
      <c r="A86" s="215">
        <v>42269</v>
      </c>
      <c r="B86" s="862" t="s">
        <v>138</v>
      </c>
      <c r="C86" s="879" t="s">
        <v>12</v>
      </c>
      <c r="D86" s="887" t="s">
        <v>15</v>
      </c>
      <c r="E86" s="250">
        <v>20</v>
      </c>
      <c r="F86" s="946"/>
      <c r="G86" s="97"/>
      <c r="H86" s="946"/>
    </row>
    <row r="87" spans="1:8" s="224" customFormat="1" x14ac:dyDescent="0.25">
      <c r="A87" s="215">
        <v>42270</v>
      </c>
      <c r="B87" s="862" t="s">
        <v>32</v>
      </c>
      <c r="C87" s="879" t="s">
        <v>12</v>
      </c>
      <c r="D87" s="887" t="s">
        <v>13</v>
      </c>
      <c r="E87" s="250">
        <v>12</v>
      </c>
      <c r="F87" s="946"/>
      <c r="G87" s="95"/>
      <c r="H87" s="1473"/>
    </row>
    <row r="88" spans="1:8" s="224" customFormat="1" x14ac:dyDescent="0.25">
      <c r="A88" s="215">
        <v>42270</v>
      </c>
      <c r="B88" s="862" t="s">
        <v>1130</v>
      </c>
      <c r="C88" s="879" t="s">
        <v>12</v>
      </c>
      <c r="D88" s="887" t="s">
        <v>15</v>
      </c>
      <c r="E88" s="250">
        <v>8</v>
      </c>
      <c r="F88" s="946"/>
      <c r="G88" s="95"/>
      <c r="H88" s="1473"/>
    </row>
    <row r="89" spans="1:8" s="224" customFormat="1" x14ac:dyDescent="0.25">
      <c r="A89" s="215">
        <v>42270</v>
      </c>
      <c r="B89" s="862" t="s">
        <v>1131</v>
      </c>
      <c r="C89" s="879" t="s">
        <v>12</v>
      </c>
      <c r="D89" s="887" t="s">
        <v>13</v>
      </c>
      <c r="E89" s="250">
        <v>6</v>
      </c>
      <c r="F89" s="946"/>
      <c r="G89" s="95"/>
      <c r="H89" s="1473"/>
    </row>
    <row r="90" spans="1:8" s="224" customFormat="1" x14ac:dyDescent="0.25">
      <c r="A90" s="215">
        <v>42270</v>
      </c>
      <c r="B90" s="862" t="s">
        <v>134</v>
      </c>
      <c r="C90" s="879" t="s">
        <v>12</v>
      </c>
      <c r="D90" s="887" t="s">
        <v>13</v>
      </c>
      <c r="E90" s="250">
        <v>9</v>
      </c>
      <c r="F90" s="946"/>
      <c r="G90" s="95"/>
      <c r="H90" s="1473"/>
    </row>
    <row r="91" spans="1:8" x14ac:dyDescent="0.25">
      <c r="A91" s="215">
        <v>42271</v>
      </c>
      <c r="B91" s="862" t="s">
        <v>32</v>
      </c>
      <c r="C91" s="879" t="s">
        <v>12</v>
      </c>
      <c r="D91" s="887" t="s">
        <v>13</v>
      </c>
      <c r="E91" s="250">
        <v>12</v>
      </c>
      <c r="F91" s="946"/>
      <c r="G91" s="97"/>
      <c r="H91" s="946"/>
    </row>
    <row r="92" spans="1:8" s="224" customFormat="1" x14ac:dyDescent="0.25">
      <c r="A92" s="215">
        <v>42271</v>
      </c>
      <c r="B92" s="862" t="s">
        <v>134</v>
      </c>
      <c r="C92" s="879" t="s">
        <v>12</v>
      </c>
      <c r="D92" s="887" t="s">
        <v>15</v>
      </c>
      <c r="E92" s="250">
        <v>5</v>
      </c>
      <c r="F92" s="946"/>
      <c r="G92" s="95"/>
      <c r="H92" s="1473"/>
    </row>
    <row r="93" spans="1:8" s="224" customFormat="1" x14ac:dyDescent="0.25">
      <c r="A93" s="215">
        <v>42272</v>
      </c>
      <c r="B93" s="862" t="s">
        <v>32</v>
      </c>
      <c r="C93" s="879" t="s">
        <v>12</v>
      </c>
      <c r="D93" s="887" t="s">
        <v>13</v>
      </c>
      <c r="E93" s="250">
        <v>12</v>
      </c>
      <c r="F93" s="946"/>
      <c r="G93" s="97"/>
      <c r="H93" s="1473"/>
    </row>
    <row r="94" spans="1:8" s="224" customFormat="1" x14ac:dyDescent="0.25">
      <c r="A94" s="215">
        <v>42272</v>
      </c>
      <c r="B94" s="862" t="s">
        <v>1042</v>
      </c>
      <c r="C94" s="879" t="s">
        <v>19</v>
      </c>
      <c r="D94" s="887" t="s">
        <v>13</v>
      </c>
      <c r="E94" s="250">
        <v>38</v>
      </c>
      <c r="F94" s="946"/>
      <c r="G94" s="97"/>
      <c r="H94" s="1473"/>
    </row>
    <row r="95" spans="1:8" s="224" customFormat="1" x14ac:dyDescent="0.25">
      <c r="A95" s="215">
        <v>42273</v>
      </c>
      <c r="B95" s="862" t="s">
        <v>32</v>
      </c>
      <c r="C95" s="879" t="s">
        <v>12</v>
      </c>
      <c r="D95" s="887" t="s">
        <v>13</v>
      </c>
      <c r="E95" s="250">
        <v>12</v>
      </c>
      <c r="F95" s="946"/>
      <c r="G95" s="97"/>
      <c r="H95" s="1473"/>
    </row>
    <row r="96" spans="1:8" s="224" customFormat="1" x14ac:dyDescent="0.25">
      <c r="A96" s="215">
        <v>42273</v>
      </c>
      <c r="B96" s="862" t="s">
        <v>138</v>
      </c>
      <c r="C96" s="879" t="s">
        <v>12</v>
      </c>
      <c r="D96" s="887" t="s">
        <v>13</v>
      </c>
      <c r="E96" s="250">
        <v>50</v>
      </c>
      <c r="F96" s="946"/>
      <c r="G96" s="92"/>
      <c r="H96" s="1473"/>
    </row>
    <row r="97" spans="1:8" s="224" customFormat="1" x14ac:dyDescent="0.25">
      <c r="A97" s="215">
        <v>42273</v>
      </c>
      <c r="B97" s="862" t="s">
        <v>1132</v>
      </c>
      <c r="C97" s="879" t="s">
        <v>19</v>
      </c>
      <c r="D97" s="887" t="s">
        <v>13</v>
      </c>
      <c r="E97" s="250">
        <v>50.5</v>
      </c>
      <c r="F97" s="946"/>
      <c r="G97" s="87"/>
      <c r="H97" s="1473"/>
    </row>
    <row r="98" spans="1:8" s="224" customFormat="1" x14ac:dyDescent="0.25">
      <c r="A98" s="215">
        <v>42273</v>
      </c>
      <c r="B98" s="862" t="s">
        <v>82</v>
      </c>
      <c r="C98" s="879" t="s">
        <v>12</v>
      </c>
      <c r="D98" s="887" t="s">
        <v>13</v>
      </c>
      <c r="E98" s="250">
        <v>25</v>
      </c>
      <c r="F98" s="946"/>
      <c r="G98" s="87"/>
      <c r="H98" s="1473"/>
    </row>
    <row r="99" spans="1:8" s="224" customFormat="1" x14ac:dyDescent="0.25">
      <c r="A99" s="215">
        <v>42274</v>
      </c>
      <c r="B99" s="862" t="s">
        <v>14</v>
      </c>
      <c r="C99" s="879" t="s">
        <v>12</v>
      </c>
      <c r="D99" s="887" t="s">
        <v>13</v>
      </c>
      <c r="E99" s="250">
        <v>11.27</v>
      </c>
      <c r="F99" s="946"/>
      <c r="G99" s="97"/>
      <c r="H99" s="1473"/>
    </row>
    <row r="100" spans="1:8" s="224" customFormat="1" x14ac:dyDescent="0.25">
      <c r="A100" s="215">
        <v>42274</v>
      </c>
      <c r="B100" s="862" t="s">
        <v>1133</v>
      </c>
      <c r="C100" s="879" t="s">
        <v>12</v>
      </c>
      <c r="D100" s="887" t="s">
        <v>13</v>
      </c>
      <c r="E100" s="250">
        <v>14.05</v>
      </c>
      <c r="F100" s="946"/>
      <c r="G100" s="97"/>
      <c r="H100" s="1473"/>
    </row>
    <row r="101" spans="1:8" s="224" customFormat="1" x14ac:dyDescent="0.25">
      <c r="A101" s="215">
        <v>42275</v>
      </c>
      <c r="B101" s="862" t="s">
        <v>32</v>
      </c>
      <c r="C101" s="879" t="s">
        <v>12</v>
      </c>
      <c r="D101" s="887" t="s">
        <v>13</v>
      </c>
      <c r="E101" s="250">
        <v>12</v>
      </c>
      <c r="F101" s="946"/>
      <c r="G101" s="97"/>
      <c r="H101" s="1473"/>
    </row>
    <row r="102" spans="1:8" s="224" customFormat="1" x14ac:dyDescent="0.25">
      <c r="A102" s="215">
        <v>42275</v>
      </c>
      <c r="B102" s="862" t="s">
        <v>1134</v>
      </c>
      <c r="C102" s="879" t="s">
        <v>12</v>
      </c>
      <c r="D102" s="887" t="s">
        <v>13</v>
      </c>
      <c r="E102" s="250">
        <v>10</v>
      </c>
      <c r="F102" s="946"/>
      <c r="G102" s="97"/>
      <c r="H102" s="1473"/>
    </row>
    <row r="103" spans="1:8" s="224" customFormat="1" x14ac:dyDescent="0.25">
      <c r="A103" s="215">
        <v>42276</v>
      </c>
      <c r="B103" s="862" t="s">
        <v>32</v>
      </c>
      <c r="C103" s="879" t="s">
        <v>12</v>
      </c>
      <c r="D103" s="887" t="s">
        <v>13</v>
      </c>
      <c r="E103" s="250">
        <v>12</v>
      </c>
      <c r="F103" s="946"/>
      <c r="G103" s="97"/>
      <c r="H103" s="1473"/>
    </row>
    <row r="104" spans="1:8" s="224" customFormat="1" x14ac:dyDescent="0.25">
      <c r="A104" s="215">
        <v>42276</v>
      </c>
      <c r="B104" s="862" t="s">
        <v>1135</v>
      </c>
      <c r="C104" s="879" t="s">
        <v>12</v>
      </c>
      <c r="D104" s="887" t="s">
        <v>13</v>
      </c>
      <c r="E104" s="250">
        <v>8.5</v>
      </c>
      <c r="F104" s="946"/>
      <c r="G104" s="97"/>
      <c r="H104" s="1473"/>
    </row>
    <row r="105" spans="1:8" s="224" customFormat="1" x14ac:dyDescent="0.25">
      <c r="A105" s="215">
        <v>42276</v>
      </c>
      <c r="B105" s="862" t="s">
        <v>914</v>
      </c>
      <c r="C105" s="879" t="s">
        <v>12</v>
      </c>
      <c r="D105" s="887" t="s">
        <v>13</v>
      </c>
      <c r="E105" s="250">
        <v>18.09</v>
      </c>
      <c r="F105" s="946"/>
      <c r="G105" s="97"/>
      <c r="H105" s="1473"/>
    </row>
    <row r="106" spans="1:8" s="224" customFormat="1" ht="15.75" thickBot="1" x14ac:dyDescent="0.3">
      <c r="A106" s="215">
        <v>42277</v>
      </c>
      <c r="B106" s="862" t="s">
        <v>32</v>
      </c>
      <c r="C106" s="879" t="s">
        <v>12</v>
      </c>
      <c r="D106" s="887" t="s">
        <v>13</v>
      </c>
      <c r="E106" s="250">
        <v>12</v>
      </c>
      <c r="F106" s="946"/>
      <c r="G106" s="97"/>
      <c r="H106" s="1473"/>
    </row>
    <row r="107" spans="1:8" ht="25.5" customHeight="1" thickBot="1" x14ac:dyDescent="0.3">
      <c r="A107" s="3060"/>
      <c r="B107" s="3061"/>
      <c r="C107" s="3062"/>
      <c r="D107" s="3062"/>
      <c r="E107" s="100">
        <f>SUM(E6:E106)</f>
        <v>3629.89</v>
      </c>
      <c r="F107" s="1065">
        <f>SUM(F5:F106)</f>
        <v>3824.1930000000011</v>
      </c>
      <c r="G107" s="101">
        <f>SUM(G6:G106)</f>
        <v>669.28</v>
      </c>
      <c r="H107" s="93">
        <f>SUM(H5:H106)</f>
        <v>3224.6000000000008</v>
      </c>
    </row>
    <row r="108" spans="1:8" ht="25.5" customHeight="1" thickBot="1" x14ac:dyDescent="0.3">
      <c r="A108" s="3077" t="s">
        <v>49</v>
      </c>
      <c r="B108" s="3078"/>
      <c r="C108" s="3078"/>
      <c r="D108" s="3078"/>
      <c r="E108" s="144"/>
      <c r="F108" s="519">
        <f>F107-E107</f>
        <v>194.30300000000125</v>
      </c>
      <c r="G108" s="555"/>
      <c r="H108" s="556">
        <f>H107-G107</f>
        <v>2555.3200000000006</v>
      </c>
    </row>
    <row r="110" spans="1:8" x14ac:dyDescent="0.25">
      <c r="B110" s="79" t="s">
        <v>32</v>
      </c>
      <c r="C110" s="475">
        <v>279</v>
      </c>
    </row>
    <row r="111" spans="1:8" x14ac:dyDescent="0.25">
      <c r="B111" s="79" t="s">
        <v>16</v>
      </c>
      <c r="C111" s="475">
        <v>200</v>
      </c>
      <c r="D111" s="79"/>
    </row>
    <row r="112" spans="1:8" x14ac:dyDescent="0.25">
      <c r="B112" s="79" t="s">
        <v>50</v>
      </c>
      <c r="C112" s="475">
        <v>183.96</v>
      </c>
    </row>
    <row r="113" spans="1:9" s="85" customFormat="1" x14ac:dyDescent="0.25">
      <c r="A113" s="79"/>
      <c r="B113" s="79" t="s">
        <v>14</v>
      </c>
      <c r="C113" s="475">
        <v>34.94</v>
      </c>
      <c r="E113" s="89"/>
      <c r="F113" s="79"/>
      <c r="G113" s="79"/>
    </row>
    <row r="114" spans="1:9" s="85" customFormat="1" x14ac:dyDescent="0.25">
      <c r="A114" s="79"/>
      <c r="B114" s="79" t="s">
        <v>51</v>
      </c>
      <c r="C114" s="484">
        <v>77.010000000000005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52</v>
      </c>
      <c r="C115" s="484"/>
      <c r="E115" s="89"/>
      <c r="F115" s="79"/>
      <c r="G115" s="79"/>
      <c r="H115" s="79"/>
    </row>
    <row r="116" spans="1:9" s="85" customFormat="1" x14ac:dyDescent="0.25">
      <c r="A116" s="79"/>
      <c r="B116" s="867" t="s">
        <v>53</v>
      </c>
      <c r="C116" s="475">
        <v>14</v>
      </c>
      <c r="D116" s="89"/>
      <c r="E116" s="89"/>
      <c r="F116" s="79"/>
      <c r="G116" s="79"/>
      <c r="H116" s="79"/>
    </row>
    <row r="117" spans="1:9" s="85" customFormat="1" x14ac:dyDescent="0.25">
      <c r="A117" s="79"/>
      <c r="B117" s="79" t="s">
        <v>56</v>
      </c>
      <c r="C117" s="475">
        <v>50.5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910</v>
      </c>
      <c r="C118" s="475">
        <v>248.8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418</v>
      </c>
      <c r="C119" s="475">
        <v>29.8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419</v>
      </c>
      <c r="C120" s="475">
        <v>1172.6600000000001</v>
      </c>
      <c r="D120" s="79"/>
      <c r="E120" s="89"/>
      <c r="F120" s="79"/>
      <c r="G120" s="79"/>
      <c r="H120" s="79"/>
    </row>
    <row r="121" spans="1:9" x14ac:dyDescent="0.25">
      <c r="B121" s="79" t="s">
        <v>911</v>
      </c>
      <c r="C121" s="475">
        <v>171.89</v>
      </c>
    </row>
    <row r="123" spans="1:9" x14ac:dyDescent="0.25">
      <c r="B123" s="79" t="s">
        <v>486</v>
      </c>
      <c r="C123" s="475">
        <f>G123/I123</f>
        <v>85.09965517241379</v>
      </c>
      <c r="E123" s="224" t="s">
        <v>487</v>
      </c>
      <c r="F123" s="224"/>
      <c r="G123" s="216">
        <v>2467.89</v>
      </c>
      <c r="H123" s="518" t="s">
        <v>488</v>
      </c>
      <c r="I123" s="85">
        <v>29</v>
      </c>
    </row>
  </sheetData>
  <autoFilter ref="A2:H108" xr:uid="{00000000-0009-0000-0000-000025000000}"/>
  <mergeCells count="10">
    <mergeCell ref="A107:D107"/>
    <mergeCell ref="A108:D108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Plan27"/>
  <dimension ref="A1:I131"/>
  <sheetViews>
    <sheetView zoomScale="85" zoomScaleNormal="85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1136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42278</v>
      </c>
      <c r="B5" s="369" t="s">
        <v>10</v>
      </c>
      <c r="C5" s="370"/>
      <c r="D5" s="207"/>
      <c r="E5" s="179"/>
      <c r="F5" s="933">
        <f>'Setembro-15'!F108</f>
        <v>194.30300000000125</v>
      </c>
      <c r="G5" s="163"/>
      <c r="H5" s="933">
        <f>'Setembro-15'!H108</f>
        <v>2555.3200000000006</v>
      </c>
    </row>
    <row r="6" spans="1:8" s="224" customFormat="1" x14ac:dyDescent="0.25">
      <c r="A6" s="215">
        <v>42278</v>
      </c>
      <c r="B6" s="348" t="s">
        <v>11</v>
      </c>
      <c r="C6" s="351"/>
      <c r="D6" s="248"/>
      <c r="E6" s="250">
        <v>29</v>
      </c>
      <c r="F6" s="1473"/>
      <c r="G6" s="252"/>
      <c r="H6" s="1473"/>
    </row>
    <row r="7" spans="1:8" s="224" customFormat="1" x14ac:dyDescent="0.25">
      <c r="A7" s="215">
        <v>42278</v>
      </c>
      <c r="B7" s="862" t="s">
        <v>1091</v>
      </c>
      <c r="C7" s="879" t="s">
        <v>12</v>
      </c>
      <c r="D7" s="887" t="s">
        <v>15</v>
      </c>
      <c r="E7" s="250">
        <v>30</v>
      </c>
      <c r="F7" s="946"/>
      <c r="G7" s="97"/>
      <c r="H7" s="1473"/>
    </row>
    <row r="8" spans="1:8" s="224" customFormat="1" x14ac:dyDescent="0.25">
      <c r="A8" s="215">
        <v>42278</v>
      </c>
      <c r="B8" s="862" t="s">
        <v>32</v>
      </c>
      <c r="C8" s="879" t="s">
        <v>12</v>
      </c>
      <c r="D8" s="887" t="s">
        <v>13</v>
      </c>
      <c r="E8" s="250">
        <v>12</v>
      </c>
      <c r="F8" s="946"/>
      <c r="G8" s="97"/>
      <c r="H8" s="1473"/>
    </row>
    <row r="9" spans="1:8" s="224" customFormat="1" x14ac:dyDescent="0.25">
      <c r="A9" s="215">
        <v>42278</v>
      </c>
      <c r="B9" s="862" t="s">
        <v>134</v>
      </c>
      <c r="C9" s="879" t="s">
        <v>12</v>
      </c>
      <c r="D9" s="887" t="s">
        <v>13</v>
      </c>
      <c r="E9" s="250">
        <v>7.07</v>
      </c>
      <c r="F9" s="946"/>
      <c r="G9" s="97"/>
      <c r="H9" s="1473"/>
    </row>
    <row r="10" spans="1:8" s="224" customFormat="1" x14ac:dyDescent="0.25">
      <c r="A10" s="215">
        <v>42278</v>
      </c>
      <c r="B10" s="862" t="s">
        <v>1137</v>
      </c>
      <c r="C10" s="879" t="s">
        <v>12</v>
      </c>
      <c r="D10" s="887" t="s">
        <v>13</v>
      </c>
      <c r="E10" s="250">
        <v>24</v>
      </c>
      <c r="F10" s="946"/>
      <c r="G10" s="97"/>
      <c r="H10" s="1473"/>
    </row>
    <row r="11" spans="1:8" s="224" customFormat="1" x14ac:dyDescent="0.25">
      <c r="A11" s="215">
        <v>42278</v>
      </c>
      <c r="B11" s="862" t="s">
        <v>256</v>
      </c>
      <c r="C11" s="879"/>
      <c r="D11" s="1475"/>
      <c r="E11" s="97"/>
      <c r="F11" s="946">
        <v>155.32</v>
      </c>
      <c r="G11" s="97">
        <v>155.32</v>
      </c>
      <c r="H11" s="1473"/>
    </row>
    <row r="12" spans="1:8" s="224" customFormat="1" x14ac:dyDescent="0.25">
      <c r="A12" s="215">
        <v>42279</v>
      </c>
      <c r="B12" s="349" t="s">
        <v>311</v>
      </c>
      <c r="C12" s="350"/>
      <c r="D12" s="141"/>
      <c r="E12" s="97"/>
      <c r="F12" s="946"/>
      <c r="G12" s="97"/>
      <c r="H12" s="946">
        <v>7.65</v>
      </c>
    </row>
    <row r="13" spans="1:8" s="224" customFormat="1" x14ac:dyDescent="0.25">
      <c r="A13" s="215">
        <v>42279</v>
      </c>
      <c r="B13" s="862" t="s">
        <v>32</v>
      </c>
      <c r="C13" s="879" t="s">
        <v>12</v>
      </c>
      <c r="D13" s="887" t="s">
        <v>13</v>
      </c>
      <c r="E13" s="250">
        <v>12</v>
      </c>
      <c r="F13" s="946"/>
      <c r="G13" s="97"/>
      <c r="H13" s="1473"/>
    </row>
    <row r="14" spans="1:8" s="224" customFormat="1" x14ac:dyDescent="0.25">
      <c r="A14" s="215">
        <v>42279</v>
      </c>
      <c r="B14" s="862" t="s">
        <v>1091</v>
      </c>
      <c r="C14" s="879" t="s">
        <v>12</v>
      </c>
      <c r="D14" s="887" t="s">
        <v>15</v>
      </c>
      <c r="E14" s="250">
        <v>30</v>
      </c>
      <c r="F14" s="946"/>
      <c r="G14" s="97"/>
      <c r="H14" s="1473"/>
    </row>
    <row r="15" spans="1:8" s="224" customFormat="1" x14ac:dyDescent="0.25">
      <c r="A15" s="215">
        <v>42279</v>
      </c>
      <c r="B15" s="862" t="s">
        <v>138</v>
      </c>
      <c r="C15" s="879" t="s">
        <v>19</v>
      </c>
      <c r="D15" s="887" t="s">
        <v>13</v>
      </c>
      <c r="E15" s="250">
        <v>50</v>
      </c>
      <c r="F15" s="946"/>
      <c r="G15" s="97"/>
      <c r="H15" s="1473"/>
    </row>
    <row r="16" spans="1:8" s="224" customFormat="1" x14ac:dyDescent="0.25">
      <c r="A16" s="215">
        <v>42279</v>
      </c>
      <c r="B16" s="862" t="s">
        <v>1138</v>
      </c>
      <c r="C16" s="879" t="s">
        <v>19</v>
      </c>
      <c r="D16" s="887" t="s">
        <v>13</v>
      </c>
      <c r="E16" s="250">
        <v>40</v>
      </c>
      <c r="F16" s="946"/>
      <c r="G16" s="97"/>
      <c r="H16" s="1473"/>
    </row>
    <row r="17" spans="1:8" s="224" customFormat="1" x14ac:dyDescent="0.25">
      <c r="A17" s="215">
        <v>42279</v>
      </c>
      <c r="B17" s="862" t="s">
        <v>1139</v>
      </c>
      <c r="C17" s="879" t="s">
        <v>19</v>
      </c>
      <c r="D17" s="887" t="s">
        <v>13</v>
      </c>
      <c r="E17" s="250">
        <v>86</v>
      </c>
      <c r="F17" s="946"/>
      <c r="G17" s="97"/>
      <c r="H17" s="1473"/>
    </row>
    <row r="18" spans="1:8" s="224" customFormat="1" x14ac:dyDescent="0.25">
      <c r="A18" s="215">
        <v>42279</v>
      </c>
      <c r="B18" s="862" t="s">
        <v>134</v>
      </c>
      <c r="C18" s="879" t="s">
        <v>19</v>
      </c>
      <c r="D18" s="887" t="s">
        <v>13</v>
      </c>
      <c r="E18" s="250">
        <v>18</v>
      </c>
      <c r="F18" s="946"/>
      <c r="G18" s="97"/>
      <c r="H18" s="1473"/>
    </row>
    <row r="19" spans="1:8" s="224" customFormat="1" x14ac:dyDescent="0.25">
      <c r="A19" s="215">
        <v>42280</v>
      </c>
      <c r="B19" s="862" t="s">
        <v>256</v>
      </c>
      <c r="C19" s="879"/>
      <c r="D19" s="1475"/>
      <c r="E19" s="97"/>
      <c r="F19" s="946">
        <v>100</v>
      </c>
      <c r="G19" s="97">
        <v>100</v>
      </c>
      <c r="H19" s="1473"/>
    </row>
    <row r="20" spans="1:8" s="224" customFormat="1" x14ac:dyDescent="0.25">
      <c r="A20" s="215">
        <v>42280</v>
      </c>
      <c r="B20" s="862" t="s">
        <v>1140</v>
      </c>
      <c r="C20" s="879" t="s">
        <v>12</v>
      </c>
      <c r="D20" s="887" t="s">
        <v>13</v>
      </c>
      <c r="E20" s="250">
        <v>15</v>
      </c>
      <c r="F20" s="946"/>
      <c r="G20" s="97"/>
      <c r="H20" s="1473"/>
    </row>
    <row r="21" spans="1:8" s="224" customFormat="1" x14ac:dyDescent="0.25">
      <c r="A21" s="215">
        <v>42280</v>
      </c>
      <c r="B21" s="862" t="s">
        <v>32</v>
      </c>
      <c r="C21" s="879" t="s">
        <v>12</v>
      </c>
      <c r="D21" s="887" t="s">
        <v>13</v>
      </c>
      <c r="E21" s="250">
        <v>12</v>
      </c>
      <c r="F21" s="946"/>
      <c r="G21" s="97"/>
      <c r="H21" s="1473"/>
    </row>
    <row r="22" spans="1:8" s="224" customFormat="1" x14ac:dyDescent="0.25">
      <c r="A22" s="215">
        <v>42281</v>
      </c>
      <c r="B22" s="862" t="s">
        <v>14</v>
      </c>
      <c r="C22" s="879" t="s">
        <v>12</v>
      </c>
      <c r="D22" s="887" t="s">
        <v>13</v>
      </c>
      <c r="E22" s="250">
        <v>11.09</v>
      </c>
      <c r="F22" s="946"/>
      <c r="G22" s="97"/>
      <c r="H22" s="1473"/>
    </row>
    <row r="23" spans="1:8" s="224" customFormat="1" ht="15.75" customHeight="1" x14ac:dyDescent="0.25">
      <c r="A23" s="215">
        <v>42282</v>
      </c>
      <c r="B23" s="862" t="s">
        <v>32</v>
      </c>
      <c r="C23" s="879" t="s">
        <v>12</v>
      </c>
      <c r="D23" s="887" t="s">
        <v>13</v>
      </c>
      <c r="E23" s="250">
        <v>12</v>
      </c>
      <c r="F23" s="946"/>
      <c r="G23" s="97"/>
      <c r="H23" s="946"/>
    </row>
    <row r="24" spans="1:8" s="224" customFormat="1" x14ac:dyDescent="0.25">
      <c r="A24" s="215">
        <v>42282</v>
      </c>
      <c r="B24" s="862" t="s">
        <v>134</v>
      </c>
      <c r="C24" s="879" t="s">
        <v>12</v>
      </c>
      <c r="D24" s="887" t="s">
        <v>13</v>
      </c>
      <c r="E24" s="250">
        <v>5.55</v>
      </c>
      <c r="F24" s="946"/>
      <c r="G24" s="97"/>
      <c r="H24" s="1473"/>
    </row>
    <row r="25" spans="1:8" s="224" customFormat="1" ht="15.75" customHeight="1" x14ac:dyDescent="0.25">
      <c r="A25" s="215">
        <v>42282</v>
      </c>
      <c r="B25" s="862" t="s">
        <v>1141</v>
      </c>
      <c r="C25" s="879" t="s">
        <v>12</v>
      </c>
      <c r="D25" s="887" t="s">
        <v>13</v>
      </c>
      <c r="E25" s="250">
        <v>16</v>
      </c>
      <c r="F25" s="946"/>
      <c r="G25" s="97"/>
      <c r="H25" s="946"/>
    </row>
    <row r="26" spans="1:8" s="224" customFormat="1" x14ac:dyDescent="0.25">
      <c r="A26" s="215">
        <v>42282</v>
      </c>
      <c r="B26" s="862" t="s">
        <v>1142</v>
      </c>
      <c r="C26" s="879" t="s">
        <v>12</v>
      </c>
      <c r="D26" s="887" t="s">
        <v>13</v>
      </c>
      <c r="E26" s="250">
        <v>13.5</v>
      </c>
      <c r="F26" s="946"/>
      <c r="G26" s="97"/>
      <c r="H26" s="1473"/>
    </row>
    <row r="27" spans="1:8" x14ac:dyDescent="0.25">
      <c r="A27" s="215">
        <v>42283</v>
      </c>
      <c r="B27" s="349" t="s">
        <v>260</v>
      </c>
      <c r="C27" s="350"/>
      <c r="D27" s="141"/>
      <c r="E27" s="97">
        <v>352.35</v>
      </c>
      <c r="F27" s="946"/>
      <c r="G27" s="95"/>
      <c r="H27" s="946">
        <v>352.35</v>
      </c>
    </row>
    <row r="28" spans="1:8" s="224" customFormat="1" ht="15.75" customHeight="1" x14ac:dyDescent="0.25">
      <c r="A28" s="215">
        <v>42283</v>
      </c>
      <c r="B28" s="862" t="s">
        <v>32</v>
      </c>
      <c r="C28" s="879" t="s">
        <v>12</v>
      </c>
      <c r="D28" s="887" t="s">
        <v>13</v>
      </c>
      <c r="E28" s="250">
        <v>12</v>
      </c>
      <c r="F28" s="946"/>
      <c r="G28" s="97"/>
      <c r="H28" s="946"/>
    </row>
    <row r="29" spans="1:8" s="224" customFormat="1" ht="15.75" customHeight="1" x14ac:dyDescent="0.25">
      <c r="A29" s="215">
        <v>42283</v>
      </c>
      <c r="B29" s="862" t="s">
        <v>134</v>
      </c>
      <c r="C29" s="879" t="s">
        <v>12</v>
      </c>
      <c r="D29" s="887" t="s">
        <v>13</v>
      </c>
      <c r="E29" s="250">
        <v>11.43</v>
      </c>
      <c r="F29" s="946"/>
      <c r="G29" s="97"/>
      <c r="H29" s="946"/>
    </row>
    <row r="30" spans="1:8" s="224" customFormat="1" ht="15.75" customHeight="1" x14ac:dyDescent="0.25">
      <c r="A30" s="215">
        <v>42283</v>
      </c>
      <c r="B30" s="862" t="s">
        <v>134</v>
      </c>
      <c r="C30" s="879" t="s">
        <v>12</v>
      </c>
      <c r="D30" s="887" t="s">
        <v>13</v>
      </c>
      <c r="E30" s="250">
        <v>8</v>
      </c>
      <c r="F30" s="946"/>
      <c r="G30" s="97"/>
      <c r="H30" s="946"/>
    </row>
    <row r="31" spans="1:8" s="224" customFormat="1" ht="15.75" customHeight="1" x14ac:dyDescent="0.25">
      <c r="A31" s="215">
        <v>42283</v>
      </c>
      <c r="B31" s="862" t="s">
        <v>428</v>
      </c>
      <c r="C31" s="879" t="s">
        <v>12</v>
      </c>
      <c r="D31" s="887" t="s">
        <v>15</v>
      </c>
      <c r="E31" s="250">
        <v>10</v>
      </c>
      <c r="F31" s="946"/>
      <c r="G31" s="97"/>
      <c r="H31" s="946"/>
    </row>
    <row r="32" spans="1:8" s="224" customFormat="1" ht="15.75" customHeight="1" x14ac:dyDescent="0.25">
      <c r="A32" s="215">
        <v>42283</v>
      </c>
      <c r="B32" s="349" t="s">
        <v>1143</v>
      </c>
      <c r="C32" s="879" t="s">
        <v>12</v>
      </c>
      <c r="D32" s="983" t="s">
        <v>25</v>
      </c>
      <c r="E32" s="250"/>
      <c r="F32" s="1473">
        <v>1501.95</v>
      </c>
      <c r="G32" s="252"/>
      <c r="H32" s="946"/>
    </row>
    <row r="33" spans="1:8" s="224" customFormat="1" ht="15.75" customHeight="1" x14ac:dyDescent="0.25">
      <c r="A33" s="215">
        <v>42283</v>
      </c>
      <c r="B33" s="862" t="s">
        <v>1144</v>
      </c>
      <c r="C33" s="350" t="s">
        <v>12</v>
      </c>
      <c r="D33" s="141" t="s">
        <v>13</v>
      </c>
      <c r="E33" s="97">
        <v>321.95</v>
      </c>
      <c r="F33" s="1473"/>
      <c r="G33" s="252"/>
      <c r="H33" s="946"/>
    </row>
    <row r="34" spans="1:8" s="224" customFormat="1" ht="15.75" customHeight="1" x14ac:dyDescent="0.25">
      <c r="A34" s="215">
        <v>42283</v>
      </c>
      <c r="B34" s="882" t="s">
        <v>1145</v>
      </c>
      <c r="C34" s="350" t="s">
        <v>12</v>
      </c>
      <c r="D34" s="141" t="s">
        <v>13</v>
      </c>
      <c r="E34" s="97">
        <v>87.17</v>
      </c>
      <c r="F34" s="1473"/>
      <c r="G34" s="252"/>
      <c r="H34" s="946"/>
    </row>
    <row r="35" spans="1:8" x14ac:dyDescent="0.25">
      <c r="A35" s="215">
        <v>42283</v>
      </c>
      <c r="B35" s="349" t="s">
        <v>1146</v>
      </c>
      <c r="C35" s="350" t="s">
        <v>12</v>
      </c>
      <c r="D35" s="141" t="s">
        <v>15</v>
      </c>
      <c r="E35" s="97">
        <v>43</v>
      </c>
      <c r="F35" s="946"/>
      <c r="G35" s="95"/>
      <c r="H35" s="946"/>
    </row>
    <row r="36" spans="1:8" s="224" customFormat="1" x14ac:dyDescent="0.25">
      <c r="A36" s="215">
        <v>42283</v>
      </c>
      <c r="B36" s="349" t="s">
        <v>1147</v>
      </c>
      <c r="C36" s="350" t="s">
        <v>12</v>
      </c>
      <c r="D36" s="957" t="s">
        <v>13</v>
      </c>
      <c r="E36" s="97">
        <v>90</v>
      </c>
      <c r="F36" s="946"/>
      <c r="G36" s="95"/>
      <c r="H36" s="1473"/>
    </row>
    <row r="37" spans="1:8" s="224" customFormat="1" ht="15.75" customHeight="1" x14ac:dyDescent="0.25">
      <c r="A37" s="215">
        <v>42284</v>
      </c>
      <c r="B37" s="862" t="s">
        <v>32</v>
      </c>
      <c r="C37" s="879" t="s">
        <v>12</v>
      </c>
      <c r="D37" s="887" t="s">
        <v>13</v>
      </c>
      <c r="E37" s="250">
        <v>12</v>
      </c>
      <c r="F37" s="946"/>
      <c r="G37" s="97"/>
      <c r="H37" s="946"/>
    </row>
    <row r="38" spans="1:8" s="224" customFormat="1" ht="15.75" customHeight="1" x14ac:dyDescent="0.25">
      <c r="A38" s="215">
        <v>42284</v>
      </c>
      <c r="B38" s="862" t="s">
        <v>914</v>
      </c>
      <c r="C38" s="879" t="s">
        <v>12</v>
      </c>
      <c r="D38" s="887" t="s">
        <v>13</v>
      </c>
      <c r="E38" s="250">
        <v>8.08</v>
      </c>
      <c r="F38" s="946"/>
      <c r="G38" s="97"/>
      <c r="H38" s="946"/>
    </row>
    <row r="39" spans="1:8" s="224" customFormat="1" ht="15.75" customHeight="1" x14ac:dyDescent="0.25">
      <c r="A39" s="215">
        <v>42284</v>
      </c>
      <c r="B39" s="862" t="s">
        <v>970</v>
      </c>
      <c r="C39" s="879" t="s">
        <v>19</v>
      </c>
      <c r="D39" s="887" t="s">
        <v>13</v>
      </c>
      <c r="E39" s="250">
        <v>37.99</v>
      </c>
      <c r="F39" s="946"/>
      <c r="G39" s="97"/>
      <c r="H39" s="946"/>
    </row>
    <row r="40" spans="1:8" s="224" customFormat="1" ht="15.75" customHeight="1" x14ac:dyDescent="0.25">
      <c r="A40" s="215">
        <v>42284</v>
      </c>
      <c r="B40" s="862" t="s">
        <v>1085</v>
      </c>
      <c r="C40" s="879" t="s">
        <v>12</v>
      </c>
      <c r="D40" s="887" t="s">
        <v>13</v>
      </c>
      <c r="E40" s="250">
        <v>21.99</v>
      </c>
      <c r="F40" s="946"/>
      <c r="G40" s="97"/>
      <c r="H40" s="946"/>
    </row>
    <row r="41" spans="1:8" x14ac:dyDescent="0.25">
      <c r="A41" s="215">
        <v>42285</v>
      </c>
      <c r="B41" s="862" t="s">
        <v>32</v>
      </c>
      <c r="C41" s="879" t="s">
        <v>12</v>
      </c>
      <c r="D41" s="887" t="s">
        <v>15</v>
      </c>
      <c r="E41" s="250">
        <v>12</v>
      </c>
      <c r="F41" s="946"/>
      <c r="G41" s="95"/>
      <c r="H41" s="946"/>
    </row>
    <row r="42" spans="1:8" x14ac:dyDescent="0.25">
      <c r="A42" s="215">
        <v>42285</v>
      </c>
      <c r="B42" s="862" t="s">
        <v>138</v>
      </c>
      <c r="C42" s="879" t="s">
        <v>19</v>
      </c>
      <c r="D42" s="887" t="s">
        <v>13</v>
      </c>
      <c r="E42" s="250">
        <v>50</v>
      </c>
      <c r="F42" s="946"/>
      <c r="G42" s="95"/>
      <c r="H42" s="946"/>
    </row>
    <row r="43" spans="1:8" x14ac:dyDescent="0.25">
      <c r="A43" s="215">
        <v>42286</v>
      </c>
      <c r="B43" s="862" t="s">
        <v>32</v>
      </c>
      <c r="C43" s="879" t="s">
        <v>12</v>
      </c>
      <c r="D43" s="887" t="s">
        <v>15</v>
      </c>
      <c r="E43" s="250">
        <v>17</v>
      </c>
      <c r="F43" s="946"/>
      <c r="G43" s="95"/>
      <c r="H43" s="946"/>
    </row>
    <row r="44" spans="1:8" x14ac:dyDescent="0.25">
      <c r="A44" s="215">
        <v>42286</v>
      </c>
      <c r="B44" s="862" t="s">
        <v>1133</v>
      </c>
      <c r="C44" s="879" t="s">
        <v>12</v>
      </c>
      <c r="D44" s="887" t="s">
        <v>13</v>
      </c>
      <c r="E44" s="250">
        <v>8</v>
      </c>
      <c r="F44" s="946"/>
      <c r="G44" s="95"/>
      <c r="H44" s="946"/>
    </row>
    <row r="45" spans="1:8" x14ac:dyDescent="0.25">
      <c r="A45" s="215">
        <v>42286</v>
      </c>
      <c r="B45" s="862" t="s">
        <v>134</v>
      </c>
      <c r="C45" s="879" t="s">
        <v>12</v>
      </c>
      <c r="D45" s="887" t="s">
        <v>13</v>
      </c>
      <c r="E45" s="250">
        <v>10.55</v>
      </c>
      <c r="F45" s="946"/>
      <c r="G45" s="95"/>
      <c r="H45" s="946"/>
    </row>
    <row r="46" spans="1:8" x14ac:dyDescent="0.25">
      <c r="A46" s="215">
        <v>42286</v>
      </c>
      <c r="B46" s="349" t="s">
        <v>14</v>
      </c>
      <c r="C46" s="350" t="s">
        <v>12</v>
      </c>
      <c r="D46" s="141" t="s">
        <v>13</v>
      </c>
      <c r="E46" s="97">
        <v>10.11</v>
      </c>
      <c r="F46" s="946"/>
      <c r="G46" s="95"/>
      <c r="H46" s="946"/>
    </row>
    <row r="47" spans="1:8" s="224" customFormat="1" x14ac:dyDescent="0.25">
      <c r="A47" s="215">
        <v>42286</v>
      </c>
      <c r="B47" s="862" t="s">
        <v>1091</v>
      </c>
      <c r="C47" s="879" t="s">
        <v>12</v>
      </c>
      <c r="D47" s="887" t="s">
        <v>15</v>
      </c>
      <c r="E47" s="250">
        <v>30</v>
      </c>
      <c r="F47" s="946"/>
      <c r="G47" s="97"/>
      <c r="H47" s="1473"/>
    </row>
    <row r="48" spans="1:8" x14ac:dyDescent="0.25">
      <c r="A48" s="215">
        <v>42287</v>
      </c>
      <c r="B48" s="862" t="s">
        <v>32</v>
      </c>
      <c r="C48" s="879" t="s">
        <v>12</v>
      </c>
      <c r="D48" s="887" t="s">
        <v>13</v>
      </c>
      <c r="E48" s="250">
        <v>12</v>
      </c>
      <c r="F48" s="946"/>
      <c r="G48" s="95"/>
      <c r="H48" s="946"/>
    </row>
    <row r="49" spans="1:8" x14ac:dyDescent="0.25">
      <c r="A49" s="215">
        <v>42288</v>
      </c>
      <c r="B49" s="862" t="s">
        <v>134</v>
      </c>
      <c r="C49" s="879" t="s">
        <v>12</v>
      </c>
      <c r="D49" s="887" t="s">
        <v>13</v>
      </c>
      <c r="E49" s="250">
        <v>8</v>
      </c>
      <c r="F49" s="946"/>
      <c r="G49" s="95"/>
      <c r="H49" s="946"/>
    </row>
    <row r="50" spans="1:8" x14ac:dyDescent="0.25">
      <c r="A50" s="215">
        <v>42289</v>
      </c>
      <c r="B50" s="862" t="s">
        <v>14</v>
      </c>
      <c r="C50" s="879" t="s">
        <v>12</v>
      </c>
      <c r="D50" s="887" t="s">
        <v>13</v>
      </c>
      <c r="E50" s="250">
        <v>10.27</v>
      </c>
      <c r="F50" s="946"/>
      <c r="G50" s="95"/>
      <c r="H50" s="946"/>
    </row>
    <row r="51" spans="1:8" x14ac:dyDescent="0.25">
      <c r="A51" s="215">
        <v>42289</v>
      </c>
      <c r="B51" s="862" t="s">
        <v>134</v>
      </c>
      <c r="C51" s="879" t="s">
        <v>12</v>
      </c>
      <c r="D51" s="887" t="s">
        <v>13</v>
      </c>
      <c r="E51" s="250">
        <v>8</v>
      </c>
      <c r="F51" s="946"/>
      <c r="G51" s="95"/>
      <c r="H51" s="946"/>
    </row>
    <row r="52" spans="1:8" x14ac:dyDescent="0.25">
      <c r="A52" s="215">
        <v>42290</v>
      </c>
      <c r="B52" s="862" t="s">
        <v>32</v>
      </c>
      <c r="C52" s="879" t="s">
        <v>12</v>
      </c>
      <c r="D52" s="887" t="s">
        <v>13</v>
      </c>
      <c r="E52" s="250">
        <v>12</v>
      </c>
      <c r="F52" s="946"/>
      <c r="G52" s="95"/>
      <c r="H52" s="946"/>
    </row>
    <row r="53" spans="1:8" x14ac:dyDescent="0.25">
      <c r="A53" s="215">
        <v>42290</v>
      </c>
      <c r="B53" s="862" t="s">
        <v>1148</v>
      </c>
      <c r="C53" s="879" t="s">
        <v>19</v>
      </c>
      <c r="D53" s="887" t="s">
        <v>13</v>
      </c>
      <c r="E53" s="250">
        <v>22</v>
      </c>
      <c r="F53" s="946"/>
      <c r="G53" s="95"/>
      <c r="H53" s="946"/>
    </row>
    <row r="54" spans="1:8" x14ac:dyDescent="0.25">
      <c r="A54" s="215">
        <v>42290</v>
      </c>
      <c r="B54" s="862" t="s">
        <v>81</v>
      </c>
      <c r="C54" s="879" t="s">
        <v>19</v>
      </c>
      <c r="D54" s="887" t="s">
        <v>13</v>
      </c>
      <c r="E54" s="250">
        <v>28.51</v>
      </c>
      <c r="F54" s="946"/>
      <c r="G54" s="95"/>
      <c r="H54" s="946"/>
    </row>
    <row r="55" spans="1:8" x14ac:dyDescent="0.25">
      <c r="A55" s="215">
        <v>42290</v>
      </c>
      <c r="B55" s="862" t="s">
        <v>134</v>
      </c>
      <c r="C55" s="879" t="s">
        <v>19</v>
      </c>
      <c r="D55" s="887" t="s">
        <v>13</v>
      </c>
      <c r="E55" s="250">
        <v>5.55</v>
      </c>
      <c r="F55" s="946"/>
      <c r="G55" s="95"/>
      <c r="H55" s="946"/>
    </row>
    <row r="56" spans="1:8" x14ac:dyDescent="0.25">
      <c r="A56" s="215">
        <v>42290</v>
      </c>
      <c r="B56" s="862" t="s">
        <v>1091</v>
      </c>
      <c r="C56" s="879" t="s">
        <v>19</v>
      </c>
      <c r="D56" s="887" t="s">
        <v>13</v>
      </c>
      <c r="E56" s="250">
        <v>30</v>
      </c>
      <c r="F56" s="946"/>
      <c r="G56" s="95"/>
      <c r="H56" s="946"/>
    </row>
    <row r="57" spans="1:8" s="224" customFormat="1" x14ac:dyDescent="0.25">
      <c r="A57" s="215">
        <v>42291</v>
      </c>
      <c r="B57" s="862" t="s">
        <v>32</v>
      </c>
      <c r="C57" s="879" t="s">
        <v>12</v>
      </c>
      <c r="D57" s="887" t="s">
        <v>15</v>
      </c>
      <c r="E57" s="250">
        <v>12</v>
      </c>
      <c r="F57" s="1473"/>
      <c r="G57" s="252"/>
      <c r="H57" s="1473"/>
    </row>
    <row r="58" spans="1:8" s="224" customFormat="1" x14ac:dyDescent="0.25">
      <c r="A58" s="215">
        <v>42292</v>
      </c>
      <c r="B58" s="862" t="s">
        <v>32</v>
      </c>
      <c r="C58" s="879" t="s">
        <v>12</v>
      </c>
      <c r="D58" s="887" t="s">
        <v>15</v>
      </c>
      <c r="E58" s="250">
        <v>12</v>
      </c>
      <c r="F58" s="1473"/>
      <c r="G58" s="252"/>
      <c r="H58" s="1473"/>
    </row>
    <row r="59" spans="1:8" s="224" customFormat="1" x14ac:dyDescent="0.25">
      <c r="A59" s="215">
        <v>42292</v>
      </c>
      <c r="B59" s="862" t="s">
        <v>872</v>
      </c>
      <c r="C59" s="879" t="s">
        <v>12</v>
      </c>
      <c r="D59" s="887" t="s">
        <v>25</v>
      </c>
      <c r="E59" s="250"/>
      <c r="F59" s="1473">
        <v>150</v>
      </c>
      <c r="G59" s="252"/>
      <c r="H59" s="1473"/>
    </row>
    <row r="60" spans="1:8" s="224" customFormat="1" x14ac:dyDescent="0.25">
      <c r="A60" s="215">
        <v>42292</v>
      </c>
      <c r="B60" s="862" t="s">
        <v>1149</v>
      </c>
      <c r="C60" s="879" t="s">
        <v>12</v>
      </c>
      <c r="D60" s="887" t="s">
        <v>13</v>
      </c>
      <c r="E60" s="250">
        <v>10.14</v>
      </c>
      <c r="F60" s="1473"/>
      <c r="G60" s="252"/>
      <c r="H60" s="1473"/>
    </row>
    <row r="61" spans="1:8" s="224" customFormat="1" x14ac:dyDescent="0.25">
      <c r="A61" s="215">
        <v>42292</v>
      </c>
      <c r="B61" s="862" t="s">
        <v>970</v>
      </c>
      <c r="C61" s="879" t="s">
        <v>12</v>
      </c>
      <c r="D61" s="887" t="s">
        <v>13</v>
      </c>
      <c r="E61" s="250">
        <v>40</v>
      </c>
      <c r="F61" s="1473"/>
      <c r="G61" s="252"/>
      <c r="H61" s="1473"/>
    </row>
    <row r="62" spans="1:8" s="224" customFormat="1" x14ac:dyDescent="0.25">
      <c r="A62" s="215">
        <v>42292</v>
      </c>
      <c r="B62" s="862" t="s">
        <v>1150</v>
      </c>
      <c r="C62" s="879" t="s">
        <v>12</v>
      </c>
      <c r="D62" s="887" t="s">
        <v>13</v>
      </c>
      <c r="E62" s="250">
        <v>14</v>
      </c>
      <c r="F62" s="1473"/>
      <c r="G62" s="252"/>
      <c r="H62" s="1473"/>
    </row>
    <row r="63" spans="1:8" s="224" customFormat="1" x14ac:dyDescent="0.25">
      <c r="A63" s="215">
        <v>42292</v>
      </c>
      <c r="B63" s="862" t="s">
        <v>1151</v>
      </c>
      <c r="C63" s="879" t="s">
        <v>12</v>
      </c>
      <c r="D63" s="887" t="s">
        <v>13</v>
      </c>
      <c r="E63" s="250">
        <v>10</v>
      </c>
      <c r="F63" s="1473"/>
      <c r="G63" s="252"/>
      <c r="H63" s="1473"/>
    </row>
    <row r="64" spans="1:8" s="224" customFormat="1" x14ac:dyDescent="0.25">
      <c r="A64" s="215">
        <v>42293</v>
      </c>
      <c r="B64" s="862" t="s">
        <v>32</v>
      </c>
      <c r="C64" s="879" t="s">
        <v>12</v>
      </c>
      <c r="D64" s="887" t="s">
        <v>15</v>
      </c>
      <c r="E64" s="250">
        <v>18</v>
      </c>
      <c r="F64" s="1473"/>
      <c r="G64" s="252"/>
      <c r="H64" s="1473"/>
    </row>
    <row r="65" spans="1:8" s="224" customFormat="1" x14ac:dyDescent="0.25">
      <c r="A65" s="215">
        <v>42293</v>
      </c>
      <c r="B65" s="862" t="s">
        <v>190</v>
      </c>
      <c r="C65" s="879" t="s">
        <v>12</v>
      </c>
      <c r="D65" s="887" t="s">
        <v>13</v>
      </c>
      <c r="E65" s="250">
        <v>50</v>
      </c>
      <c r="F65" s="1473"/>
      <c r="G65" s="252"/>
      <c r="H65" s="1473"/>
    </row>
    <row r="66" spans="1:8" s="224" customFormat="1" x14ac:dyDescent="0.25">
      <c r="A66" s="215">
        <v>42293</v>
      </c>
      <c r="B66" s="862" t="s">
        <v>1014</v>
      </c>
      <c r="C66" s="879" t="s">
        <v>12</v>
      </c>
      <c r="D66" s="887" t="s">
        <v>13</v>
      </c>
      <c r="E66" s="250">
        <v>13.35</v>
      </c>
      <c r="F66" s="1473"/>
      <c r="G66" s="252"/>
      <c r="H66" s="1473"/>
    </row>
    <row r="67" spans="1:8" s="224" customFormat="1" x14ac:dyDescent="0.25">
      <c r="A67" s="215">
        <v>42293</v>
      </c>
      <c r="B67" s="862" t="s">
        <v>14</v>
      </c>
      <c r="C67" s="879" t="s">
        <v>12</v>
      </c>
      <c r="D67" s="887" t="s">
        <v>13</v>
      </c>
      <c r="E67" s="250">
        <v>14.69</v>
      </c>
      <c r="F67" s="1473"/>
      <c r="G67" s="252"/>
      <c r="H67" s="1473"/>
    </row>
    <row r="68" spans="1:8" s="224" customFormat="1" x14ac:dyDescent="0.25">
      <c r="A68" s="215">
        <v>42293</v>
      </c>
      <c r="B68" s="349" t="s">
        <v>311</v>
      </c>
      <c r="C68" s="350"/>
      <c r="D68" s="141"/>
      <c r="E68" s="97"/>
      <c r="F68" s="946"/>
      <c r="G68" s="97"/>
      <c r="H68" s="946">
        <v>7.38</v>
      </c>
    </row>
    <row r="69" spans="1:8" s="224" customFormat="1" x14ac:dyDescent="0.25">
      <c r="A69" s="215">
        <v>42294</v>
      </c>
      <c r="B69" s="862"/>
      <c r="C69" s="879"/>
      <c r="D69" s="887"/>
      <c r="E69" s="250"/>
      <c r="F69" s="1473"/>
      <c r="G69" s="252"/>
      <c r="H69" s="1473"/>
    </row>
    <row r="70" spans="1:8" s="224" customFormat="1" x14ac:dyDescent="0.25">
      <c r="A70" s="215">
        <v>42295</v>
      </c>
      <c r="B70" s="862" t="s">
        <v>914</v>
      </c>
      <c r="C70" s="879" t="s">
        <v>12</v>
      </c>
      <c r="D70" s="887" t="s">
        <v>13</v>
      </c>
      <c r="E70" s="250">
        <v>11.2</v>
      </c>
      <c r="F70" s="1473"/>
      <c r="G70" s="252"/>
      <c r="H70" s="1473"/>
    </row>
    <row r="71" spans="1:8" s="224" customFormat="1" x14ac:dyDescent="0.25">
      <c r="A71" s="215">
        <v>42295</v>
      </c>
      <c r="B71" s="862" t="s">
        <v>1152</v>
      </c>
      <c r="C71" s="879" t="s">
        <v>12</v>
      </c>
      <c r="D71" s="887" t="s">
        <v>13</v>
      </c>
      <c r="E71" s="250">
        <v>41.84</v>
      </c>
      <c r="F71" s="1473"/>
      <c r="G71" s="252"/>
      <c r="H71" s="1473"/>
    </row>
    <row r="72" spans="1:8" s="224" customFormat="1" x14ac:dyDescent="0.25">
      <c r="A72" s="215">
        <v>42296</v>
      </c>
      <c r="B72" s="862" t="s">
        <v>32</v>
      </c>
      <c r="C72" s="879" t="s">
        <v>12</v>
      </c>
      <c r="D72" s="887" t="s">
        <v>15</v>
      </c>
      <c r="E72" s="250">
        <v>12</v>
      </c>
      <c r="F72" s="1473"/>
      <c r="G72" s="252"/>
      <c r="H72" s="1473"/>
    </row>
    <row r="73" spans="1:8" s="224" customFormat="1" x14ac:dyDescent="0.25">
      <c r="A73" s="215">
        <v>42297</v>
      </c>
      <c r="B73" s="862" t="s">
        <v>32</v>
      </c>
      <c r="C73" s="879" t="s">
        <v>12</v>
      </c>
      <c r="D73" s="887" t="s">
        <v>15</v>
      </c>
      <c r="E73" s="250">
        <v>12</v>
      </c>
      <c r="F73" s="1473"/>
      <c r="G73" s="252"/>
      <c r="H73" s="1473"/>
    </row>
    <row r="74" spans="1:8" s="224" customFormat="1" x14ac:dyDescent="0.25">
      <c r="A74" s="215">
        <v>42297</v>
      </c>
      <c r="B74" s="349" t="s">
        <v>1153</v>
      </c>
      <c r="C74" s="350" t="s">
        <v>12</v>
      </c>
      <c r="D74" s="141" t="s">
        <v>25</v>
      </c>
      <c r="E74" s="250"/>
      <c r="F74" s="1473">
        <v>1280</v>
      </c>
      <c r="G74" s="252"/>
      <c r="H74" s="1473"/>
    </row>
    <row r="75" spans="1:8" x14ac:dyDescent="0.25">
      <c r="A75" s="215">
        <v>42297</v>
      </c>
      <c r="B75" s="862" t="s">
        <v>878</v>
      </c>
      <c r="C75" s="350" t="s">
        <v>12</v>
      </c>
      <c r="D75" s="957" t="s">
        <v>13</v>
      </c>
      <c r="E75" s="97">
        <v>51.9</v>
      </c>
      <c r="F75" s="1473"/>
      <c r="G75" s="252"/>
      <c r="H75" s="946"/>
    </row>
    <row r="76" spans="1:8" s="224" customFormat="1" x14ac:dyDescent="0.25">
      <c r="A76" s="215">
        <v>42297</v>
      </c>
      <c r="B76" s="882" t="s">
        <v>1154</v>
      </c>
      <c r="C76" s="879" t="s">
        <v>12</v>
      </c>
      <c r="D76" s="887" t="s">
        <v>13</v>
      </c>
      <c r="E76" s="97">
        <v>37.159999999999997</v>
      </c>
      <c r="F76" s="946"/>
      <c r="G76" s="95"/>
      <c r="H76" s="1473"/>
    </row>
    <row r="77" spans="1:8" x14ac:dyDescent="0.25">
      <c r="A77" s="215">
        <v>42297</v>
      </c>
      <c r="B77" s="349" t="s">
        <v>260</v>
      </c>
      <c r="C77" s="350"/>
      <c r="D77" s="141"/>
      <c r="E77" s="97">
        <v>350</v>
      </c>
      <c r="F77" s="946"/>
      <c r="G77" s="95"/>
      <c r="H77" s="946">
        <v>350</v>
      </c>
    </row>
    <row r="78" spans="1:8" s="224" customFormat="1" x14ac:dyDescent="0.25">
      <c r="A78" s="215">
        <v>42297</v>
      </c>
      <c r="B78" s="349" t="s">
        <v>1155</v>
      </c>
      <c r="C78" s="350" t="s">
        <v>19</v>
      </c>
      <c r="D78" s="141" t="s">
        <v>13</v>
      </c>
      <c r="E78" s="97">
        <v>50</v>
      </c>
      <c r="F78" s="946"/>
      <c r="G78" s="95"/>
      <c r="H78" s="1473"/>
    </row>
    <row r="79" spans="1:8" s="224" customFormat="1" x14ac:dyDescent="0.25">
      <c r="A79" s="215">
        <v>42297</v>
      </c>
      <c r="B79" s="349" t="s">
        <v>138</v>
      </c>
      <c r="C79" s="350" t="s">
        <v>19</v>
      </c>
      <c r="D79" s="141" t="s">
        <v>13</v>
      </c>
      <c r="E79" s="97">
        <v>50</v>
      </c>
      <c r="F79" s="946"/>
      <c r="G79" s="95"/>
      <c r="H79" s="1473"/>
    </row>
    <row r="80" spans="1:8" s="224" customFormat="1" x14ac:dyDescent="0.25">
      <c r="A80" s="215">
        <v>42297</v>
      </c>
      <c r="B80" s="349" t="s">
        <v>1156</v>
      </c>
      <c r="C80" s="350" t="s">
        <v>19</v>
      </c>
      <c r="D80" s="141" t="s">
        <v>13</v>
      </c>
      <c r="E80" s="97">
        <v>30</v>
      </c>
      <c r="F80" s="946"/>
      <c r="G80" s="95"/>
      <c r="H80" s="1473"/>
    </row>
    <row r="81" spans="1:8" s="224" customFormat="1" x14ac:dyDescent="0.25">
      <c r="A81" s="215">
        <v>42297</v>
      </c>
      <c r="B81" s="349" t="s">
        <v>134</v>
      </c>
      <c r="C81" s="350" t="s">
        <v>12</v>
      </c>
      <c r="D81" s="141" t="s">
        <v>13</v>
      </c>
      <c r="E81" s="97">
        <v>6.5</v>
      </c>
      <c r="F81" s="946"/>
      <c r="G81" s="95"/>
      <c r="H81" s="1473"/>
    </row>
    <row r="82" spans="1:8" s="224" customFormat="1" x14ac:dyDescent="0.25">
      <c r="A82" s="215">
        <v>42298</v>
      </c>
      <c r="B82" s="862" t="s">
        <v>32</v>
      </c>
      <c r="C82" s="879" t="s">
        <v>12</v>
      </c>
      <c r="D82" s="887" t="s">
        <v>15</v>
      </c>
      <c r="E82" s="250">
        <v>12</v>
      </c>
      <c r="F82" s="1473"/>
      <c r="G82" s="252"/>
      <c r="H82" s="1473"/>
    </row>
    <row r="83" spans="1:8" s="224" customFormat="1" x14ac:dyDescent="0.25">
      <c r="A83" s="215">
        <v>42298</v>
      </c>
      <c r="B83" s="349" t="s">
        <v>1157</v>
      </c>
      <c r="C83" s="350" t="s">
        <v>19</v>
      </c>
      <c r="D83" s="141" t="s">
        <v>13</v>
      </c>
      <c r="E83" s="97">
        <v>14</v>
      </c>
      <c r="F83" s="946"/>
      <c r="G83" s="95"/>
      <c r="H83" s="1473"/>
    </row>
    <row r="84" spans="1:8" s="224" customFormat="1" x14ac:dyDescent="0.25">
      <c r="A84" s="215">
        <v>42298</v>
      </c>
      <c r="B84" s="349" t="s">
        <v>1085</v>
      </c>
      <c r="C84" s="350" t="s">
        <v>19</v>
      </c>
      <c r="D84" s="141" t="s">
        <v>13</v>
      </c>
      <c r="E84" s="97">
        <v>22</v>
      </c>
      <c r="F84" s="946"/>
      <c r="G84" s="95"/>
      <c r="H84" s="1473"/>
    </row>
    <row r="85" spans="1:8" s="224" customFormat="1" x14ac:dyDescent="0.25">
      <c r="A85" s="215">
        <v>42298</v>
      </c>
      <c r="B85" s="349" t="s">
        <v>134</v>
      </c>
      <c r="C85" s="350" t="s">
        <v>12</v>
      </c>
      <c r="D85" s="141" t="s">
        <v>13</v>
      </c>
      <c r="E85" s="97">
        <v>5.55</v>
      </c>
      <c r="F85" s="946"/>
      <c r="G85" s="95"/>
      <c r="H85" s="1473"/>
    </row>
    <row r="86" spans="1:8" x14ac:dyDescent="0.25">
      <c r="A86" s="215">
        <v>42299</v>
      </c>
      <c r="B86" s="862" t="s">
        <v>32</v>
      </c>
      <c r="C86" s="879" t="s">
        <v>12</v>
      </c>
      <c r="D86" s="887" t="s">
        <v>15</v>
      </c>
      <c r="E86" s="250">
        <v>12</v>
      </c>
      <c r="F86" s="946"/>
      <c r="G86" s="97"/>
      <c r="H86" s="946"/>
    </row>
    <row r="87" spans="1:8" x14ac:dyDescent="0.25">
      <c r="A87" s="215">
        <v>42299</v>
      </c>
      <c r="B87" s="862" t="s">
        <v>1158</v>
      </c>
      <c r="C87" s="879" t="s">
        <v>19</v>
      </c>
      <c r="D87" s="887" t="s">
        <v>13</v>
      </c>
      <c r="E87" s="250">
        <v>43.83</v>
      </c>
      <c r="F87" s="946"/>
      <c r="G87" s="97"/>
      <c r="H87" s="946"/>
    </row>
    <row r="88" spans="1:8" s="224" customFormat="1" x14ac:dyDescent="0.25">
      <c r="A88" s="215">
        <v>42300</v>
      </c>
      <c r="B88" s="862" t="s">
        <v>32</v>
      </c>
      <c r="C88" s="879" t="s">
        <v>12</v>
      </c>
      <c r="D88" s="887" t="s">
        <v>15</v>
      </c>
      <c r="E88" s="250">
        <v>22</v>
      </c>
      <c r="F88" s="946"/>
      <c r="G88" s="95"/>
      <c r="H88" s="1473"/>
    </row>
    <row r="89" spans="1:8" s="224" customFormat="1" x14ac:dyDescent="0.25">
      <c r="A89" s="215">
        <v>42300</v>
      </c>
      <c r="B89" s="862" t="s">
        <v>914</v>
      </c>
      <c r="C89" s="879" t="s">
        <v>12</v>
      </c>
      <c r="D89" s="887" t="s">
        <v>13</v>
      </c>
      <c r="E89" s="250">
        <v>11.43</v>
      </c>
      <c r="F89" s="946"/>
      <c r="G89" s="95"/>
      <c r="H89" s="1473"/>
    </row>
    <row r="90" spans="1:8" s="224" customFormat="1" x14ac:dyDescent="0.25">
      <c r="A90" s="215">
        <v>42300</v>
      </c>
      <c r="B90" s="862" t="s">
        <v>1014</v>
      </c>
      <c r="C90" s="879" t="s">
        <v>12</v>
      </c>
      <c r="D90" s="887" t="s">
        <v>13</v>
      </c>
      <c r="E90" s="250">
        <v>6.31</v>
      </c>
      <c r="F90" s="946"/>
      <c r="G90" s="95"/>
      <c r="H90" s="1473"/>
    </row>
    <row r="91" spans="1:8" s="224" customFormat="1" x14ac:dyDescent="0.25">
      <c r="A91" s="215">
        <v>42300</v>
      </c>
      <c r="B91" s="862" t="s">
        <v>14</v>
      </c>
      <c r="C91" s="879" t="s">
        <v>12</v>
      </c>
      <c r="D91" s="887" t="s">
        <v>13</v>
      </c>
      <c r="E91" s="250">
        <v>8.77</v>
      </c>
      <c r="F91" s="946"/>
      <c r="G91" s="95"/>
      <c r="H91" s="1473"/>
    </row>
    <row r="92" spans="1:8" s="224" customFormat="1" x14ac:dyDescent="0.25">
      <c r="A92" s="215">
        <v>42301</v>
      </c>
      <c r="B92" s="349" t="s">
        <v>1159</v>
      </c>
      <c r="C92" s="350" t="s">
        <v>12</v>
      </c>
      <c r="D92" s="141" t="s">
        <v>13</v>
      </c>
      <c r="E92" s="97">
        <v>24</v>
      </c>
      <c r="F92" s="946"/>
      <c r="G92" s="95"/>
      <c r="H92" s="1473"/>
    </row>
    <row r="93" spans="1:8" s="224" customFormat="1" x14ac:dyDescent="0.25">
      <c r="A93" s="215">
        <v>42301</v>
      </c>
      <c r="B93" s="862" t="s">
        <v>32</v>
      </c>
      <c r="C93" s="879" t="s">
        <v>12</v>
      </c>
      <c r="D93" s="887" t="s">
        <v>15</v>
      </c>
      <c r="E93" s="250">
        <v>12</v>
      </c>
      <c r="F93" s="946"/>
      <c r="G93" s="95"/>
      <c r="H93" s="1473"/>
    </row>
    <row r="94" spans="1:8" s="224" customFormat="1" x14ac:dyDescent="0.25">
      <c r="A94" s="215">
        <v>42301</v>
      </c>
      <c r="B94" s="349" t="s">
        <v>14</v>
      </c>
      <c r="C94" s="350" t="s">
        <v>12</v>
      </c>
      <c r="D94" s="141" t="s">
        <v>13</v>
      </c>
      <c r="E94" s="97">
        <v>11.59</v>
      </c>
      <c r="F94" s="946"/>
      <c r="G94" s="95"/>
      <c r="H94" s="1473"/>
    </row>
    <row r="95" spans="1:8" s="224" customFormat="1" x14ac:dyDescent="0.25">
      <c r="A95" s="215">
        <v>42301</v>
      </c>
      <c r="B95" s="349" t="s">
        <v>82</v>
      </c>
      <c r="C95" s="350" t="s">
        <v>12</v>
      </c>
      <c r="D95" s="141" t="s">
        <v>13</v>
      </c>
      <c r="E95" s="97">
        <v>20</v>
      </c>
      <c r="F95" s="946"/>
      <c r="G95" s="95"/>
      <c r="H95" s="1473"/>
    </row>
    <row r="96" spans="1:8" x14ac:dyDescent="0.25">
      <c r="A96" s="215">
        <v>42302</v>
      </c>
      <c r="B96" s="862" t="s">
        <v>1057</v>
      </c>
      <c r="C96" s="879" t="s">
        <v>12</v>
      </c>
      <c r="D96" s="887" t="s">
        <v>13</v>
      </c>
      <c r="E96" s="250">
        <v>12</v>
      </c>
      <c r="F96" s="946"/>
      <c r="G96" s="97"/>
      <c r="H96" s="946"/>
    </row>
    <row r="97" spans="1:8" x14ac:dyDescent="0.25">
      <c r="A97" s="215">
        <v>42302</v>
      </c>
      <c r="B97" s="862" t="s">
        <v>81</v>
      </c>
      <c r="C97" s="879" t="s">
        <v>12</v>
      </c>
      <c r="D97" s="887" t="s">
        <v>13</v>
      </c>
      <c r="E97" s="250">
        <v>7.15</v>
      </c>
      <c r="F97" s="946"/>
      <c r="G97" s="97"/>
      <c r="H97" s="946"/>
    </row>
    <row r="98" spans="1:8" s="224" customFormat="1" x14ac:dyDescent="0.25">
      <c r="A98" s="215">
        <v>42303</v>
      </c>
      <c r="B98" s="862" t="s">
        <v>134</v>
      </c>
      <c r="C98" s="879" t="s">
        <v>12</v>
      </c>
      <c r="D98" s="887" t="s">
        <v>15</v>
      </c>
      <c r="E98" s="250">
        <v>7</v>
      </c>
      <c r="F98" s="946"/>
      <c r="G98" s="97"/>
      <c r="H98" s="1473"/>
    </row>
    <row r="99" spans="1:8" s="224" customFormat="1" x14ac:dyDescent="0.25">
      <c r="A99" s="215">
        <v>42303</v>
      </c>
      <c r="B99" s="862" t="s">
        <v>32</v>
      </c>
      <c r="C99" s="879" t="s">
        <v>12</v>
      </c>
      <c r="D99" s="887" t="s">
        <v>15</v>
      </c>
      <c r="E99" s="250">
        <v>12</v>
      </c>
      <c r="F99" s="946"/>
      <c r="G99" s="97"/>
      <c r="H99" s="1473"/>
    </row>
    <row r="100" spans="1:8" s="224" customFormat="1" x14ac:dyDescent="0.25">
      <c r="A100" s="215">
        <v>42303</v>
      </c>
      <c r="B100" s="862" t="s">
        <v>134</v>
      </c>
      <c r="C100" s="879" t="s">
        <v>12</v>
      </c>
      <c r="D100" s="887" t="s">
        <v>15</v>
      </c>
      <c r="E100" s="250">
        <v>6</v>
      </c>
      <c r="F100" s="946"/>
      <c r="G100" s="97"/>
      <c r="H100" s="1473"/>
    </row>
    <row r="101" spans="1:8" s="224" customFormat="1" x14ac:dyDescent="0.25">
      <c r="A101" s="215">
        <v>42303</v>
      </c>
      <c r="B101" s="862" t="s">
        <v>138</v>
      </c>
      <c r="C101" s="879" t="s">
        <v>19</v>
      </c>
      <c r="D101" s="887" t="s">
        <v>13</v>
      </c>
      <c r="E101" s="250">
        <v>60</v>
      </c>
      <c r="F101" s="946"/>
      <c r="G101" s="97"/>
      <c r="H101" s="1473"/>
    </row>
    <row r="102" spans="1:8" s="224" customFormat="1" x14ac:dyDescent="0.25">
      <c r="A102" s="215">
        <v>42304</v>
      </c>
      <c r="B102" s="862" t="s">
        <v>32</v>
      </c>
      <c r="C102" s="879" t="s">
        <v>12</v>
      </c>
      <c r="D102" s="887" t="s">
        <v>15</v>
      </c>
      <c r="E102" s="250">
        <v>12</v>
      </c>
      <c r="F102" s="946"/>
      <c r="G102" s="87"/>
      <c r="H102" s="1473"/>
    </row>
    <row r="103" spans="1:8" s="224" customFormat="1" x14ac:dyDescent="0.25">
      <c r="A103" s="215">
        <v>42304</v>
      </c>
      <c r="B103" s="862" t="s">
        <v>914</v>
      </c>
      <c r="C103" s="879" t="s">
        <v>12</v>
      </c>
      <c r="D103" s="887" t="s">
        <v>13</v>
      </c>
      <c r="E103" s="250">
        <v>7.18</v>
      </c>
      <c r="F103" s="946"/>
      <c r="G103" s="87"/>
      <c r="H103" s="1473"/>
    </row>
    <row r="104" spans="1:8" s="224" customFormat="1" x14ac:dyDescent="0.25">
      <c r="A104" s="215">
        <v>42304</v>
      </c>
      <c r="B104" s="862" t="s">
        <v>134</v>
      </c>
      <c r="C104" s="879" t="s">
        <v>12</v>
      </c>
      <c r="D104" s="887" t="s">
        <v>13</v>
      </c>
      <c r="E104" s="250">
        <v>5.8</v>
      </c>
      <c r="F104" s="946"/>
      <c r="G104" s="79"/>
      <c r="H104" s="1473"/>
    </row>
    <row r="105" spans="1:8" s="224" customFormat="1" x14ac:dyDescent="0.25">
      <c r="A105" s="215">
        <v>42305</v>
      </c>
      <c r="B105" s="862" t="s">
        <v>32</v>
      </c>
      <c r="C105" s="879" t="s">
        <v>12</v>
      </c>
      <c r="D105" s="887" t="s">
        <v>13</v>
      </c>
      <c r="E105" s="250">
        <v>12</v>
      </c>
      <c r="F105" s="946"/>
      <c r="G105" s="97"/>
      <c r="H105" s="1473"/>
    </row>
    <row r="106" spans="1:8" s="224" customFormat="1" x14ac:dyDescent="0.25">
      <c r="A106" s="215">
        <v>42306</v>
      </c>
      <c r="B106" s="862" t="s">
        <v>32</v>
      </c>
      <c r="C106" s="879" t="s">
        <v>12</v>
      </c>
      <c r="D106" s="887" t="s">
        <v>13</v>
      </c>
      <c r="E106" s="250">
        <v>12</v>
      </c>
      <c r="F106" s="946"/>
      <c r="G106" s="97"/>
      <c r="H106" s="1473"/>
    </row>
    <row r="107" spans="1:8" s="224" customFormat="1" x14ac:dyDescent="0.25">
      <c r="A107" s="215">
        <v>42306</v>
      </c>
      <c r="B107" s="862" t="s">
        <v>914</v>
      </c>
      <c r="C107" s="879" t="s">
        <v>12</v>
      </c>
      <c r="D107" s="887" t="s">
        <v>13</v>
      </c>
      <c r="E107" s="250">
        <v>6.48</v>
      </c>
      <c r="F107" s="946"/>
      <c r="G107" s="97"/>
      <c r="H107" s="1473"/>
    </row>
    <row r="108" spans="1:8" s="224" customFormat="1" x14ac:dyDescent="0.25">
      <c r="A108" s="215">
        <v>42306</v>
      </c>
      <c r="B108" s="862" t="s">
        <v>970</v>
      </c>
      <c r="C108" s="879" t="s">
        <v>19</v>
      </c>
      <c r="D108" s="887" t="s">
        <v>13</v>
      </c>
      <c r="E108" s="250">
        <v>38</v>
      </c>
      <c r="F108" s="946"/>
      <c r="G108" s="97"/>
      <c r="H108" s="1473"/>
    </row>
    <row r="109" spans="1:8" s="224" customFormat="1" x14ac:dyDescent="0.25">
      <c r="A109" s="215">
        <v>42306</v>
      </c>
      <c r="B109" s="862" t="s">
        <v>14</v>
      </c>
      <c r="C109" s="879" t="s">
        <v>12</v>
      </c>
      <c r="D109" s="887" t="s">
        <v>13</v>
      </c>
      <c r="E109" s="250">
        <v>7.5</v>
      </c>
      <c r="F109" s="946"/>
      <c r="G109" s="97"/>
      <c r="H109" s="1473"/>
    </row>
    <row r="110" spans="1:8" s="224" customFormat="1" x14ac:dyDescent="0.25">
      <c r="A110" s="215">
        <v>42307</v>
      </c>
      <c r="B110" s="862" t="s">
        <v>1160</v>
      </c>
      <c r="C110" s="879" t="s">
        <v>12</v>
      </c>
      <c r="D110" s="887" t="s">
        <v>15</v>
      </c>
      <c r="E110" s="250">
        <v>12</v>
      </c>
      <c r="F110" s="946"/>
      <c r="G110" s="97"/>
      <c r="H110" s="1473"/>
    </row>
    <row r="111" spans="1:8" s="224" customFormat="1" x14ac:dyDescent="0.25">
      <c r="A111" s="215">
        <v>42307</v>
      </c>
      <c r="B111" s="862" t="s">
        <v>1056</v>
      </c>
      <c r="C111" s="879" t="s">
        <v>12</v>
      </c>
      <c r="D111" s="887" t="s">
        <v>15</v>
      </c>
      <c r="E111" s="250">
        <v>26</v>
      </c>
      <c r="F111" s="946"/>
      <c r="G111" s="97"/>
      <c r="H111" s="1473"/>
    </row>
    <row r="112" spans="1:8" s="224" customFormat="1" x14ac:dyDescent="0.25">
      <c r="A112" s="215">
        <v>42308</v>
      </c>
      <c r="B112" s="862" t="s">
        <v>1161</v>
      </c>
      <c r="C112" s="879" t="s">
        <v>12</v>
      </c>
      <c r="D112" s="887" t="s">
        <v>15</v>
      </c>
      <c r="E112" s="250">
        <v>15</v>
      </c>
      <c r="F112" s="946"/>
      <c r="G112" s="97"/>
      <c r="H112" s="1473"/>
    </row>
    <row r="113" spans="1:8" s="224" customFormat="1" x14ac:dyDescent="0.25">
      <c r="A113" s="215">
        <v>42308</v>
      </c>
      <c r="B113" s="862" t="s">
        <v>32</v>
      </c>
      <c r="C113" s="879" t="s">
        <v>12</v>
      </c>
      <c r="D113" s="887" t="s">
        <v>13</v>
      </c>
      <c r="E113" s="250">
        <v>12</v>
      </c>
      <c r="F113" s="946"/>
      <c r="G113" s="97"/>
      <c r="H113" s="1473"/>
    </row>
    <row r="114" spans="1:8" s="224" customFormat="1" ht="15.75" thickBot="1" x14ac:dyDescent="0.3">
      <c r="A114" s="215">
        <v>42308</v>
      </c>
      <c r="B114" s="862" t="s">
        <v>14</v>
      </c>
      <c r="C114" s="879" t="s">
        <v>12</v>
      </c>
      <c r="D114" s="887" t="s">
        <v>13</v>
      </c>
      <c r="E114" s="250">
        <v>25.81</v>
      </c>
      <c r="F114" s="946"/>
      <c r="G114" s="97"/>
      <c r="H114" s="1473"/>
    </row>
    <row r="115" spans="1:8" ht="25.5" customHeight="1" thickBot="1" x14ac:dyDescent="0.3">
      <c r="A115" s="3060"/>
      <c r="B115" s="3061"/>
      <c r="C115" s="3062"/>
      <c r="D115" s="3062"/>
      <c r="E115" s="100">
        <f>SUM(E6:E114)</f>
        <v>3081.3399999999997</v>
      </c>
      <c r="F115" s="1065">
        <f>SUM(F5:F114)</f>
        <v>3381.5730000000012</v>
      </c>
      <c r="G115" s="101">
        <f>SUM(G6:G114)</f>
        <v>255.32</v>
      </c>
      <c r="H115" s="93">
        <f>SUM(H5:H114)</f>
        <v>3272.7000000000007</v>
      </c>
    </row>
    <row r="116" spans="1:8" ht="25.5" customHeight="1" thickBot="1" x14ac:dyDescent="0.3">
      <c r="A116" s="3077" t="s">
        <v>49</v>
      </c>
      <c r="B116" s="3078"/>
      <c r="C116" s="3078"/>
      <c r="D116" s="3078"/>
      <c r="E116" s="144"/>
      <c r="F116" s="519">
        <f>F115-E115</f>
        <v>300.23300000000154</v>
      </c>
      <c r="G116" s="555"/>
      <c r="H116" s="556">
        <f>H115-G115</f>
        <v>3017.3800000000006</v>
      </c>
    </row>
    <row r="118" spans="1:8" x14ac:dyDescent="0.25">
      <c r="B118" s="79" t="s">
        <v>32</v>
      </c>
      <c r="C118" s="475">
        <v>321</v>
      </c>
    </row>
    <row r="119" spans="1:8" x14ac:dyDescent="0.25">
      <c r="B119" s="79" t="s">
        <v>16</v>
      </c>
      <c r="C119" s="475">
        <v>210</v>
      </c>
      <c r="D119" s="79"/>
    </row>
    <row r="120" spans="1:8" x14ac:dyDescent="0.25">
      <c r="B120" s="79" t="s">
        <v>50</v>
      </c>
      <c r="C120" s="475">
        <v>179.3</v>
      </c>
    </row>
    <row r="121" spans="1:8" s="85" customFormat="1" x14ac:dyDescent="0.25">
      <c r="A121" s="79"/>
      <c r="B121" s="79" t="s">
        <v>14</v>
      </c>
      <c r="C121" s="475">
        <v>99.83</v>
      </c>
      <c r="E121" s="89"/>
      <c r="F121" s="79"/>
      <c r="G121" s="79"/>
    </row>
    <row r="122" spans="1:8" s="85" customFormat="1" x14ac:dyDescent="0.25">
      <c r="A122" s="79"/>
      <c r="B122" s="79" t="s">
        <v>51</v>
      </c>
      <c r="C122" s="484">
        <v>124.33</v>
      </c>
      <c r="E122" s="89"/>
      <c r="F122" s="79"/>
      <c r="G122" s="79"/>
      <c r="H122" s="79"/>
    </row>
    <row r="123" spans="1:8" s="85" customFormat="1" x14ac:dyDescent="0.25">
      <c r="A123" s="79"/>
      <c r="B123" s="79" t="s">
        <v>52</v>
      </c>
      <c r="C123" s="484"/>
      <c r="E123" s="89"/>
      <c r="F123" s="79"/>
      <c r="G123" s="79"/>
      <c r="H123" s="79"/>
    </row>
    <row r="124" spans="1:8" s="85" customFormat="1" x14ac:dyDescent="0.25">
      <c r="A124" s="79"/>
      <c r="B124" s="867" t="s">
        <v>53</v>
      </c>
      <c r="C124" s="475">
        <v>39</v>
      </c>
      <c r="D124" s="89"/>
      <c r="E124" s="89"/>
      <c r="F124" s="79"/>
      <c r="G124" s="79"/>
      <c r="H124" s="79"/>
    </row>
    <row r="125" spans="1:8" s="85" customFormat="1" x14ac:dyDescent="0.25">
      <c r="A125" s="79"/>
      <c r="B125" s="79" t="s">
        <v>56</v>
      </c>
      <c r="C125" s="475">
        <v>26</v>
      </c>
      <c r="E125" s="89"/>
      <c r="F125" s="79"/>
      <c r="G125" s="79"/>
      <c r="H125" s="79"/>
    </row>
    <row r="126" spans="1:8" s="85" customFormat="1" x14ac:dyDescent="0.25">
      <c r="A126" s="79"/>
      <c r="B126" s="79" t="s">
        <v>910</v>
      </c>
      <c r="C126" s="475">
        <v>283.69</v>
      </c>
      <c r="E126" s="89"/>
      <c r="F126" s="79"/>
      <c r="G126" s="79"/>
      <c r="H126" s="79"/>
    </row>
    <row r="127" spans="1:8" s="85" customFormat="1" x14ac:dyDescent="0.25">
      <c r="A127" s="79"/>
      <c r="B127" s="79" t="s">
        <v>418</v>
      </c>
      <c r="C127" s="475"/>
      <c r="E127" s="89"/>
      <c r="F127" s="79"/>
      <c r="G127" s="79"/>
      <c r="H127" s="79"/>
    </row>
    <row r="128" spans="1:8" s="85" customFormat="1" x14ac:dyDescent="0.25">
      <c r="A128" s="79"/>
      <c r="B128" s="79" t="s">
        <v>419</v>
      </c>
      <c r="C128" s="475">
        <v>763.04</v>
      </c>
      <c r="D128" s="79"/>
      <c r="E128" s="89"/>
      <c r="F128" s="79"/>
      <c r="G128" s="79"/>
      <c r="H128" s="79"/>
    </row>
    <row r="129" spans="2:9" x14ac:dyDescent="0.25">
      <c r="B129" s="79" t="s">
        <v>911</v>
      </c>
      <c r="C129" s="475">
        <v>181.99</v>
      </c>
    </row>
    <row r="131" spans="2:9" x14ac:dyDescent="0.25">
      <c r="B131" s="79" t="s">
        <v>486</v>
      </c>
      <c r="C131" s="475">
        <f>G131/I131</f>
        <v>75.806129032258056</v>
      </c>
      <c r="E131" s="224" t="s">
        <v>487</v>
      </c>
      <c r="F131" s="224"/>
      <c r="G131" s="216">
        <v>2349.9899999999998</v>
      </c>
      <c r="H131" s="518" t="s">
        <v>488</v>
      </c>
      <c r="I131" s="85">
        <v>31</v>
      </c>
    </row>
  </sheetData>
  <autoFilter ref="A2:H116" xr:uid="{00000000-0009-0000-0000-000026000000}"/>
  <mergeCells count="10">
    <mergeCell ref="A115:D115"/>
    <mergeCell ref="A116:D11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Plan40"/>
  <dimension ref="A1:I120"/>
  <sheetViews>
    <sheetView zoomScale="85" zoomScaleNormal="85" workbookViewId="0">
      <pane ySplit="4" topLeftCell="A24" activePane="bottomLeft" state="frozen"/>
      <selection activeCell="C44" sqref="C44"/>
      <selection pane="bottomLeft" activeCell="B43" sqref="B4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1162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42309</v>
      </c>
      <c r="B5" s="369" t="s">
        <v>10</v>
      </c>
      <c r="C5" s="370"/>
      <c r="D5" s="207"/>
      <c r="E5" s="179"/>
      <c r="F5" s="933">
        <f>'Outubro-15'!F116</f>
        <v>300.23300000000154</v>
      </c>
      <c r="G5" s="163"/>
      <c r="H5" s="933">
        <f>'Outubro-15'!H116</f>
        <v>3017.3800000000006</v>
      </c>
    </row>
    <row r="6" spans="1:8" s="224" customFormat="1" x14ac:dyDescent="0.25">
      <c r="A6" s="215">
        <v>42309</v>
      </c>
      <c r="B6" s="348" t="s">
        <v>11</v>
      </c>
      <c r="C6" s="351"/>
      <c r="D6" s="248"/>
      <c r="E6" s="250">
        <v>10</v>
      </c>
      <c r="F6" s="1473"/>
      <c r="G6" s="252"/>
      <c r="H6" s="1473"/>
    </row>
    <row r="7" spans="1:8" s="224" customFormat="1" x14ac:dyDescent="0.25">
      <c r="A7" s="215">
        <v>42309</v>
      </c>
      <c r="B7" s="862" t="s">
        <v>82</v>
      </c>
      <c r="C7" s="879" t="s">
        <v>12</v>
      </c>
      <c r="D7" s="887" t="s">
        <v>13</v>
      </c>
      <c r="E7" s="250">
        <v>22</v>
      </c>
      <c r="F7" s="946"/>
      <c r="G7" s="97"/>
      <c r="H7" s="1473"/>
    </row>
    <row r="8" spans="1:8" s="224" customFormat="1" x14ac:dyDescent="0.25">
      <c r="A8" s="215">
        <v>42310</v>
      </c>
      <c r="B8" s="862" t="s">
        <v>1163</v>
      </c>
      <c r="C8" s="879" t="s">
        <v>12</v>
      </c>
      <c r="D8" s="887" t="s">
        <v>13</v>
      </c>
      <c r="E8" s="250">
        <v>6.5</v>
      </c>
      <c r="F8" s="946"/>
      <c r="G8" s="97"/>
      <c r="H8" s="1473"/>
    </row>
    <row r="9" spans="1:8" s="224" customFormat="1" x14ac:dyDescent="0.25">
      <c r="A9" s="215">
        <v>42310</v>
      </c>
      <c r="B9" s="862" t="s">
        <v>1164</v>
      </c>
      <c r="C9" s="879" t="s">
        <v>12</v>
      </c>
      <c r="D9" s="887" t="s">
        <v>13</v>
      </c>
      <c r="E9" s="250">
        <v>4.59</v>
      </c>
      <c r="F9" s="946"/>
      <c r="G9" s="97"/>
      <c r="H9" s="1473"/>
    </row>
    <row r="10" spans="1:8" s="224" customFormat="1" x14ac:dyDescent="0.25">
      <c r="A10" s="215">
        <v>42310</v>
      </c>
      <c r="B10" s="862" t="s">
        <v>1165</v>
      </c>
      <c r="C10" s="879" t="s">
        <v>12</v>
      </c>
      <c r="D10" s="887" t="s">
        <v>13</v>
      </c>
      <c r="E10" s="250">
        <v>9.6</v>
      </c>
      <c r="F10" s="946"/>
      <c r="G10" s="97"/>
      <c r="H10" s="1473"/>
    </row>
    <row r="11" spans="1:8" s="224" customFormat="1" x14ac:dyDescent="0.25">
      <c r="A11" s="215">
        <v>42311</v>
      </c>
      <c r="B11" s="862" t="s">
        <v>32</v>
      </c>
      <c r="C11" s="879" t="s">
        <v>12</v>
      </c>
      <c r="D11" s="1475" t="s">
        <v>13</v>
      </c>
      <c r="E11" s="97">
        <v>12</v>
      </c>
      <c r="F11" s="946"/>
      <c r="G11" s="97"/>
      <c r="H11" s="1473"/>
    </row>
    <row r="12" spans="1:8" s="224" customFormat="1" x14ac:dyDescent="0.25">
      <c r="A12" s="215">
        <v>42311</v>
      </c>
      <c r="B12" s="862" t="s">
        <v>914</v>
      </c>
      <c r="C12" s="879" t="s">
        <v>12</v>
      </c>
      <c r="D12" s="1475" t="s">
        <v>13</v>
      </c>
      <c r="E12" s="97">
        <v>8.49</v>
      </c>
      <c r="F12" s="946"/>
      <c r="G12" s="97"/>
      <c r="H12" s="1473"/>
    </row>
    <row r="13" spans="1:8" s="224" customFormat="1" x14ac:dyDescent="0.25">
      <c r="A13" s="215">
        <v>42311</v>
      </c>
      <c r="B13" s="349" t="s">
        <v>311</v>
      </c>
      <c r="C13" s="350"/>
      <c r="D13" s="141"/>
      <c r="E13" s="97"/>
      <c r="F13" s="946"/>
      <c r="G13" s="97"/>
      <c r="H13" s="946">
        <v>9.6999999999999993</v>
      </c>
    </row>
    <row r="14" spans="1:8" s="224" customFormat="1" x14ac:dyDescent="0.25">
      <c r="A14" s="215">
        <v>42312</v>
      </c>
      <c r="B14" s="862" t="s">
        <v>32</v>
      </c>
      <c r="C14" s="879" t="s">
        <v>12</v>
      </c>
      <c r="D14" s="1475" t="s">
        <v>13</v>
      </c>
      <c r="E14" s="97">
        <v>12</v>
      </c>
      <c r="F14" s="946"/>
      <c r="G14" s="97"/>
      <c r="H14" s="946"/>
    </row>
    <row r="15" spans="1:8" s="224" customFormat="1" x14ac:dyDescent="0.25">
      <c r="A15" s="215">
        <v>42312</v>
      </c>
      <c r="B15" s="862" t="s">
        <v>138</v>
      </c>
      <c r="C15" s="879" t="s">
        <v>19</v>
      </c>
      <c r="D15" s="1475" t="s">
        <v>13</v>
      </c>
      <c r="E15" s="97">
        <v>60</v>
      </c>
      <c r="F15" s="946"/>
      <c r="G15" s="97"/>
      <c r="H15" s="946"/>
    </row>
    <row r="16" spans="1:8" s="224" customFormat="1" x14ac:dyDescent="0.25">
      <c r="A16" s="215">
        <v>42312</v>
      </c>
      <c r="B16" s="862" t="s">
        <v>1166</v>
      </c>
      <c r="C16" s="879" t="s">
        <v>19</v>
      </c>
      <c r="D16" s="1475" t="s">
        <v>13</v>
      </c>
      <c r="E16" s="97">
        <v>29.9</v>
      </c>
      <c r="F16" s="946"/>
      <c r="G16" s="97"/>
      <c r="H16" s="946"/>
    </row>
    <row r="17" spans="1:8" s="224" customFormat="1" x14ac:dyDescent="0.25">
      <c r="A17" s="215">
        <v>42312</v>
      </c>
      <c r="B17" s="862" t="s">
        <v>1157</v>
      </c>
      <c r="C17" s="879" t="s">
        <v>19</v>
      </c>
      <c r="D17" s="1475" t="s">
        <v>13</v>
      </c>
      <c r="E17" s="97">
        <v>22</v>
      </c>
      <c r="F17" s="946"/>
      <c r="G17" s="97"/>
      <c r="H17" s="946"/>
    </row>
    <row r="18" spans="1:8" s="224" customFormat="1" x14ac:dyDescent="0.25">
      <c r="A18" s="215">
        <v>42312</v>
      </c>
      <c r="B18" s="862" t="s">
        <v>1057</v>
      </c>
      <c r="C18" s="879" t="s">
        <v>19</v>
      </c>
      <c r="D18" s="1475" t="s">
        <v>13</v>
      </c>
      <c r="E18" s="97">
        <v>11.78</v>
      </c>
      <c r="F18" s="946"/>
      <c r="G18" s="97"/>
      <c r="H18" s="946"/>
    </row>
    <row r="19" spans="1:8" s="224" customFormat="1" x14ac:dyDescent="0.25">
      <c r="A19" s="215">
        <v>42312</v>
      </c>
      <c r="B19" s="862" t="s">
        <v>134</v>
      </c>
      <c r="C19" s="879" t="s">
        <v>19</v>
      </c>
      <c r="D19" s="1475" t="s">
        <v>13</v>
      </c>
      <c r="E19" s="97">
        <v>42.16</v>
      </c>
      <c r="F19" s="946"/>
      <c r="G19" s="97"/>
      <c r="H19" s="946"/>
    </row>
    <row r="20" spans="1:8" s="224" customFormat="1" x14ac:dyDescent="0.25">
      <c r="A20" s="215">
        <v>42313</v>
      </c>
      <c r="B20" s="862" t="s">
        <v>256</v>
      </c>
      <c r="C20" s="879"/>
      <c r="D20" s="1475"/>
      <c r="E20" s="97"/>
      <c r="F20" s="946">
        <v>72.27</v>
      </c>
      <c r="G20" s="97">
        <v>72.27</v>
      </c>
      <c r="H20" s="1473"/>
    </row>
    <row r="21" spans="1:8" s="224" customFormat="1" x14ac:dyDescent="0.25">
      <c r="A21" s="215">
        <v>42313</v>
      </c>
      <c r="B21" s="862" t="s">
        <v>32</v>
      </c>
      <c r="C21" s="879" t="s">
        <v>12</v>
      </c>
      <c r="D21" s="1475" t="s">
        <v>13</v>
      </c>
      <c r="E21" s="97">
        <v>12</v>
      </c>
      <c r="F21" s="946"/>
      <c r="G21" s="97"/>
      <c r="H21" s="1473"/>
    </row>
    <row r="22" spans="1:8" s="224" customFormat="1" x14ac:dyDescent="0.25">
      <c r="A22" s="215">
        <v>42313</v>
      </c>
      <c r="B22" s="862" t="s">
        <v>1129</v>
      </c>
      <c r="C22" s="879" t="s">
        <v>12</v>
      </c>
      <c r="D22" s="1475" t="s">
        <v>13</v>
      </c>
      <c r="E22" s="97">
        <v>9.14</v>
      </c>
      <c r="F22" s="946"/>
      <c r="G22" s="97"/>
      <c r="H22" s="1473"/>
    </row>
    <row r="23" spans="1:8" s="224" customFormat="1" x14ac:dyDescent="0.25">
      <c r="A23" s="215">
        <v>42314</v>
      </c>
      <c r="B23" s="862" t="s">
        <v>32</v>
      </c>
      <c r="C23" s="879" t="s">
        <v>12</v>
      </c>
      <c r="D23" s="1475" t="s">
        <v>13</v>
      </c>
      <c r="E23" s="97">
        <v>21</v>
      </c>
      <c r="F23" s="946"/>
      <c r="G23" s="97"/>
      <c r="H23" s="1473"/>
    </row>
    <row r="24" spans="1:8" s="224" customFormat="1" ht="15.75" customHeight="1" x14ac:dyDescent="0.25">
      <c r="A24" s="215">
        <v>42314</v>
      </c>
      <c r="B24" s="349" t="s">
        <v>1167</v>
      </c>
      <c r="C24" s="879" t="s">
        <v>12</v>
      </c>
      <c r="D24" s="983" t="s">
        <v>25</v>
      </c>
      <c r="E24" s="250"/>
      <c r="F24" s="1473">
        <v>1511.42</v>
      </c>
      <c r="G24" s="252"/>
      <c r="H24" s="946"/>
    </row>
    <row r="25" spans="1:8" s="224" customFormat="1" ht="15.75" customHeight="1" x14ac:dyDescent="0.25">
      <c r="A25" s="215">
        <v>42314</v>
      </c>
      <c r="B25" s="862" t="s">
        <v>1168</v>
      </c>
      <c r="C25" s="350" t="s">
        <v>12</v>
      </c>
      <c r="D25" s="141" t="s">
        <v>13</v>
      </c>
      <c r="E25" s="97">
        <v>292.54000000000002</v>
      </c>
      <c r="F25" s="1473"/>
      <c r="G25" s="252"/>
      <c r="H25" s="946"/>
    </row>
    <row r="26" spans="1:8" s="224" customFormat="1" ht="15.75" customHeight="1" x14ac:dyDescent="0.25">
      <c r="A26" s="215">
        <v>42314</v>
      </c>
      <c r="B26" s="882" t="s">
        <v>1169</v>
      </c>
      <c r="C26" s="350" t="s">
        <v>12</v>
      </c>
      <c r="D26" s="141" t="s">
        <v>13</v>
      </c>
      <c r="E26" s="97">
        <v>75.150000000000006</v>
      </c>
      <c r="F26" s="1473"/>
      <c r="G26" s="252"/>
      <c r="H26" s="946"/>
    </row>
    <row r="27" spans="1:8" x14ac:dyDescent="0.25">
      <c r="A27" s="215">
        <v>42314</v>
      </c>
      <c r="B27" s="349" t="s">
        <v>260</v>
      </c>
      <c r="C27" s="350"/>
      <c r="D27" s="141"/>
      <c r="E27" s="97">
        <v>405.6</v>
      </c>
      <c r="F27" s="946"/>
      <c r="G27" s="95"/>
      <c r="H27" s="946">
        <v>405.6</v>
      </c>
    </row>
    <row r="28" spans="1:8" s="224" customFormat="1" ht="15.75" customHeight="1" x14ac:dyDescent="0.25">
      <c r="A28" s="215">
        <v>42314</v>
      </c>
      <c r="B28" s="862" t="s">
        <v>1170</v>
      </c>
      <c r="C28" s="879" t="s">
        <v>19</v>
      </c>
      <c r="D28" s="887" t="s">
        <v>13</v>
      </c>
      <c r="E28" s="250">
        <v>43.8</v>
      </c>
      <c r="F28" s="946"/>
      <c r="G28" s="97"/>
      <c r="H28" s="946"/>
    </row>
    <row r="29" spans="1:8" s="224" customFormat="1" ht="15.75" customHeight="1" x14ac:dyDescent="0.25">
      <c r="A29" s="215">
        <v>42314</v>
      </c>
      <c r="B29" s="862" t="s">
        <v>134</v>
      </c>
      <c r="C29" s="879" t="s">
        <v>19</v>
      </c>
      <c r="D29" s="887" t="s">
        <v>13</v>
      </c>
      <c r="E29" s="250">
        <v>63.63</v>
      </c>
      <c r="F29" s="946"/>
      <c r="G29" s="97"/>
      <c r="H29" s="946"/>
    </row>
    <row r="30" spans="1:8" s="224" customFormat="1" ht="15.75" customHeight="1" x14ac:dyDescent="0.25">
      <c r="A30" s="215">
        <v>42315</v>
      </c>
      <c r="B30" s="862" t="s">
        <v>14</v>
      </c>
      <c r="C30" s="879" t="s">
        <v>12</v>
      </c>
      <c r="D30" s="887" t="s">
        <v>13</v>
      </c>
      <c r="E30" s="250">
        <v>14.93</v>
      </c>
      <c r="F30" s="946"/>
      <c r="G30" s="97"/>
      <c r="H30" s="946"/>
    </row>
    <row r="31" spans="1:8" s="224" customFormat="1" ht="15.75" customHeight="1" x14ac:dyDescent="0.25">
      <c r="A31" s="215">
        <v>42316</v>
      </c>
      <c r="B31" s="862"/>
      <c r="C31" s="879"/>
      <c r="D31" s="1475"/>
      <c r="E31" s="97"/>
      <c r="F31" s="946"/>
      <c r="G31" s="97"/>
      <c r="H31" s="946"/>
    </row>
    <row r="32" spans="1:8" s="224" customFormat="1" ht="15.75" customHeight="1" x14ac:dyDescent="0.25">
      <c r="A32" s="215">
        <v>42317</v>
      </c>
      <c r="B32" s="862" t="s">
        <v>32</v>
      </c>
      <c r="C32" s="879" t="s">
        <v>12</v>
      </c>
      <c r="D32" s="1475" t="s">
        <v>13</v>
      </c>
      <c r="E32" s="97">
        <v>5</v>
      </c>
      <c r="F32" s="946"/>
      <c r="G32" s="97"/>
      <c r="H32" s="946"/>
    </row>
    <row r="33" spans="1:8" s="224" customFormat="1" ht="15.75" customHeight="1" x14ac:dyDescent="0.25">
      <c r="A33" s="215">
        <v>42318</v>
      </c>
      <c r="B33" s="862" t="s">
        <v>32</v>
      </c>
      <c r="C33" s="879" t="s">
        <v>12</v>
      </c>
      <c r="D33" s="1475" t="s">
        <v>13</v>
      </c>
      <c r="E33" s="97">
        <v>12</v>
      </c>
      <c r="F33" s="946"/>
      <c r="G33" s="97"/>
      <c r="H33" s="946"/>
    </row>
    <row r="34" spans="1:8" x14ac:dyDescent="0.25">
      <c r="A34" s="215">
        <v>42318</v>
      </c>
      <c r="B34" s="862" t="s">
        <v>1075</v>
      </c>
      <c r="C34" s="879" t="s">
        <v>12</v>
      </c>
      <c r="D34" s="887" t="s">
        <v>13</v>
      </c>
      <c r="E34" s="250">
        <v>5.49</v>
      </c>
      <c r="F34" s="946"/>
      <c r="G34" s="95"/>
      <c r="H34" s="946"/>
    </row>
    <row r="35" spans="1:8" x14ac:dyDescent="0.25">
      <c r="A35" s="215">
        <v>42319</v>
      </c>
      <c r="B35" s="862" t="s">
        <v>32</v>
      </c>
      <c r="C35" s="879" t="s">
        <v>12</v>
      </c>
      <c r="D35" s="1475" t="s">
        <v>13</v>
      </c>
      <c r="E35" s="97">
        <v>12</v>
      </c>
      <c r="F35" s="946"/>
      <c r="G35" s="95"/>
      <c r="H35" s="946"/>
    </row>
    <row r="36" spans="1:8" x14ac:dyDescent="0.25">
      <c r="A36" s="215">
        <v>42319</v>
      </c>
      <c r="B36" s="862" t="s">
        <v>138</v>
      </c>
      <c r="C36" s="879" t="s">
        <v>19</v>
      </c>
      <c r="D36" s="1475" t="s">
        <v>13</v>
      </c>
      <c r="E36" s="97">
        <v>50</v>
      </c>
      <c r="F36" s="946"/>
      <c r="G36" s="95"/>
      <c r="H36" s="946"/>
    </row>
    <row r="37" spans="1:8" x14ac:dyDescent="0.25">
      <c r="A37" s="215">
        <v>42319</v>
      </c>
      <c r="B37" s="862" t="s">
        <v>1171</v>
      </c>
      <c r="C37" s="879" t="s">
        <v>19</v>
      </c>
      <c r="D37" s="1475" t="s">
        <v>13</v>
      </c>
      <c r="E37" s="97">
        <v>62.8</v>
      </c>
      <c r="F37" s="946"/>
      <c r="G37" s="95"/>
      <c r="H37" s="946"/>
    </row>
    <row r="38" spans="1:8" x14ac:dyDescent="0.25">
      <c r="A38" s="215">
        <v>42319</v>
      </c>
      <c r="B38" s="862" t="s">
        <v>18</v>
      </c>
      <c r="C38" s="879" t="s">
        <v>19</v>
      </c>
      <c r="D38" s="1475" t="s">
        <v>13</v>
      </c>
      <c r="E38" s="97">
        <v>25.9</v>
      </c>
      <c r="F38" s="946"/>
      <c r="G38" s="95"/>
      <c r="H38" s="946"/>
    </row>
    <row r="39" spans="1:8" x14ac:dyDescent="0.25">
      <c r="A39" s="215">
        <v>42319</v>
      </c>
      <c r="B39" s="862" t="s">
        <v>134</v>
      </c>
      <c r="C39" s="879" t="s">
        <v>12</v>
      </c>
      <c r="D39" s="1475" t="s">
        <v>13</v>
      </c>
      <c r="E39" s="97">
        <v>6</v>
      </c>
      <c r="F39" s="946"/>
      <c r="G39" s="95"/>
      <c r="H39" s="946"/>
    </row>
    <row r="40" spans="1:8" x14ac:dyDescent="0.25">
      <c r="A40" s="215">
        <v>42320</v>
      </c>
      <c r="B40" s="862" t="s">
        <v>32</v>
      </c>
      <c r="C40" s="879" t="s">
        <v>12</v>
      </c>
      <c r="D40" s="1475" t="s">
        <v>13</v>
      </c>
      <c r="E40" s="97">
        <v>12</v>
      </c>
      <c r="F40" s="946"/>
      <c r="G40" s="95"/>
      <c r="H40" s="946"/>
    </row>
    <row r="41" spans="1:8" x14ac:dyDescent="0.25">
      <c r="A41" s="215">
        <v>42321</v>
      </c>
      <c r="B41" s="862" t="s">
        <v>32</v>
      </c>
      <c r="C41" s="879" t="s">
        <v>12</v>
      </c>
      <c r="D41" s="1475" t="s">
        <v>13</v>
      </c>
      <c r="E41" s="97">
        <v>18.5</v>
      </c>
      <c r="F41" s="946"/>
      <c r="G41" s="95"/>
      <c r="H41" s="946"/>
    </row>
    <row r="42" spans="1:8" x14ac:dyDescent="0.25">
      <c r="A42" s="215">
        <v>42322</v>
      </c>
      <c r="B42" s="862" t="s">
        <v>14</v>
      </c>
      <c r="C42" s="879" t="s">
        <v>12</v>
      </c>
      <c r="D42" s="887" t="s">
        <v>13</v>
      </c>
      <c r="E42" s="250">
        <v>22.74</v>
      </c>
      <c r="F42" s="946"/>
      <c r="G42" s="95"/>
      <c r="H42" s="946"/>
    </row>
    <row r="43" spans="1:8" x14ac:dyDescent="0.25">
      <c r="A43" s="215">
        <v>42322</v>
      </c>
      <c r="B43" s="862" t="s">
        <v>1172</v>
      </c>
      <c r="C43" s="879" t="s">
        <v>12</v>
      </c>
      <c r="D43" s="887" t="s">
        <v>13</v>
      </c>
      <c r="E43" s="250">
        <v>24</v>
      </c>
      <c r="F43" s="946"/>
      <c r="G43" s="95"/>
      <c r="H43" s="946"/>
    </row>
    <row r="44" spans="1:8" x14ac:dyDescent="0.25">
      <c r="A44" s="215">
        <v>42322</v>
      </c>
      <c r="B44" s="862" t="s">
        <v>32</v>
      </c>
      <c r="C44" s="879" t="s">
        <v>12</v>
      </c>
      <c r="D44" s="887" t="s">
        <v>13</v>
      </c>
      <c r="E44" s="250">
        <v>12</v>
      </c>
      <c r="F44" s="946"/>
      <c r="G44" s="95"/>
      <c r="H44" s="946"/>
    </row>
    <row r="45" spans="1:8" x14ac:dyDescent="0.25">
      <c r="A45" s="215">
        <v>42323</v>
      </c>
      <c r="B45" s="349" t="s">
        <v>1133</v>
      </c>
      <c r="C45" s="350" t="s">
        <v>12</v>
      </c>
      <c r="D45" s="141" t="s">
        <v>13</v>
      </c>
      <c r="E45" s="97">
        <v>12.89</v>
      </c>
      <c r="F45" s="946"/>
      <c r="G45" s="95"/>
      <c r="H45" s="946"/>
    </row>
    <row r="46" spans="1:8" x14ac:dyDescent="0.25">
      <c r="A46" s="215">
        <v>42323</v>
      </c>
      <c r="B46" s="349" t="s">
        <v>1173</v>
      </c>
      <c r="C46" s="350" t="s">
        <v>12</v>
      </c>
      <c r="D46" s="141" t="s">
        <v>13</v>
      </c>
      <c r="E46" s="97">
        <v>9</v>
      </c>
      <c r="F46" s="946"/>
      <c r="G46" s="95"/>
      <c r="H46" s="946"/>
    </row>
    <row r="47" spans="1:8" x14ac:dyDescent="0.25">
      <c r="A47" s="215">
        <v>42323</v>
      </c>
      <c r="B47" s="349" t="s">
        <v>14</v>
      </c>
      <c r="C47" s="350" t="s">
        <v>12</v>
      </c>
      <c r="D47" s="141" t="s">
        <v>13</v>
      </c>
      <c r="E47" s="97">
        <v>11.65</v>
      </c>
      <c r="F47" s="946"/>
      <c r="G47" s="95"/>
      <c r="H47" s="946"/>
    </row>
    <row r="48" spans="1:8" x14ac:dyDescent="0.25">
      <c r="A48" s="215">
        <v>42323</v>
      </c>
      <c r="B48" s="349" t="s">
        <v>134</v>
      </c>
      <c r="C48" s="350" t="s">
        <v>12</v>
      </c>
      <c r="D48" s="141" t="s">
        <v>13</v>
      </c>
      <c r="E48" s="97">
        <v>5.5</v>
      </c>
      <c r="F48" s="946"/>
      <c r="G48" s="95"/>
      <c r="H48" s="946"/>
    </row>
    <row r="49" spans="1:8" s="224" customFormat="1" x14ac:dyDescent="0.25">
      <c r="A49" s="215">
        <v>42324</v>
      </c>
      <c r="B49" s="882" t="s">
        <v>1174</v>
      </c>
      <c r="C49" s="879" t="s">
        <v>12</v>
      </c>
      <c r="D49" s="887" t="s">
        <v>13</v>
      </c>
      <c r="E49" s="97">
        <v>28.9</v>
      </c>
      <c r="F49" s="946"/>
      <c r="G49" s="95"/>
      <c r="H49" s="1473"/>
    </row>
    <row r="50" spans="1:8" s="224" customFormat="1" x14ac:dyDescent="0.25">
      <c r="A50" s="215">
        <v>42324</v>
      </c>
      <c r="B50" s="862" t="s">
        <v>32</v>
      </c>
      <c r="C50" s="879" t="s">
        <v>12</v>
      </c>
      <c r="D50" s="887" t="s">
        <v>13</v>
      </c>
      <c r="E50" s="250">
        <v>12</v>
      </c>
      <c r="F50" s="946"/>
      <c r="G50" s="97"/>
      <c r="H50" s="1473"/>
    </row>
    <row r="51" spans="1:8" x14ac:dyDescent="0.25">
      <c r="A51" s="215">
        <v>42324</v>
      </c>
      <c r="B51" s="349" t="s">
        <v>134</v>
      </c>
      <c r="C51" s="350" t="s">
        <v>12</v>
      </c>
      <c r="D51" s="141" t="s">
        <v>13</v>
      </c>
      <c r="E51" s="97">
        <v>7.9</v>
      </c>
      <c r="F51" s="946"/>
      <c r="G51" s="95"/>
      <c r="H51" s="946"/>
    </row>
    <row r="52" spans="1:8" x14ac:dyDescent="0.25">
      <c r="A52" s="215">
        <v>42324</v>
      </c>
      <c r="B52" s="349" t="s">
        <v>1130</v>
      </c>
      <c r="C52" s="350" t="s">
        <v>12</v>
      </c>
      <c r="D52" s="141" t="s">
        <v>15</v>
      </c>
      <c r="E52" s="97">
        <v>8</v>
      </c>
      <c r="F52" s="946"/>
      <c r="G52" s="95"/>
      <c r="H52" s="946"/>
    </row>
    <row r="53" spans="1:8" x14ac:dyDescent="0.25">
      <c r="A53" s="215">
        <v>42325</v>
      </c>
      <c r="B53" s="862" t="s">
        <v>32</v>
      </c>
      <c r="C53" s="879" t="s">
        <v>12</v>
      </c>
      <c r="D53" s="887" t="s">
        <v>13</v>
      </c>
      <c r="E53" s="250">
        <v>12</v>
      </c>
      <c r="F53" s="946"/>
      <c r="G53" s="95"/>
      <c r="H53" s="946"/>
    </row>
    <row r="54" spans="1:8" x14ac:dyDescent="0.25">
      <c r="A54" s="215">
        <v>42325</v>
      </c>
      <c r="B54" s="862" t="s">
        <v>1175</v>
      </c>
      <c r="C54" s="879" t="s">
        <v>12</v>
      </c>
      <c r="D54" s="887" t="s">
        <v>15</v>
      </c>
      <c r="E54" s="250">
        <v>10</v>
      </c>
      <c r="F54" s="946"/>
      <c r="G54" s="95"/>
      <c r="H54" s="946"/>
    </row>
    <row r="55" spans="1:8" x14ac:dyDescent="0.25">
      <c r="A55" s="215">
        <v>42325</v>
      </c>
      <c r="B55" s="349" t="s">
        <v>14</v>
      </c>
      <c r="C55" s="350" t="s">
        <v>12</v>
      </c>
      <c r="D55" s="141" t="s">
        <v>13</v>
      </c>
      <c r="E55" s="97">
        <v>4.88</v>
      </c>
      <c r="F55" s="946"/>
      <c r="G55" s="95"/>
      <c r="H55" s="946"/>
    </row>
    <row r="56" spans="1:8" x14ac:dyDescent="0.25">
      <c r="A56" s="215">
        <v>42325</v>
      </c>
      <c r="B56" s="349" t="s">
        <v>1091</v>
      </c>
      <c r="C56" s="350" t="s">
        <v>12</v>
      </c>
      <c r="D56" s="141" t="s">
        <v>15</v>
      </c>
      <c r="E56" s="97">
        <v>190</v>
      </c>
      <c r="F56" s="946"/>
      <c r="G56" s="95"/>
      <c r="H56" s="946"/>
    </row>
    <row r="57" spans="1:8" s="224" customFormat="1" x14ac:dyDescent="0.25">
      <c r="A57" s="215">
        <v>42325</v>
      </c>
      <c r="B57" s="349" t="s">
        <v>311</v>
      </c>
      <c r="C57" s="350"/>
      <c r="D57" s="141"/>
      <c r="E57" s="97"/>
      <c r="F57" s="946"/>
      <c r="G57" s="97"/>
      <c r="H57" s="946">
        <v>6.37</v>
      </c>
    </row>
    <row r="58" spans="1:8" x14ac:dyDescent="0.25">
      <c r="A58" s="215">
        <v>42326</v>
      </c>
      <c r="B58" s="862" t="s">
        <v>32</v>
      </c>
      <c r="C58" s="879" t="s">
        <v>12</v>
      </c>
      <c r="D58" s="887" t="s">
        <v>13</v>
      </c>
      <c r="E58" s="250">
        <v>12</v>
      </c>
      <c r="F58" s="946"/>
      <c r="G58" s="95"/>
      <c r="H58" s="946"/>
    </row>
    <row r="59" spans="1:8" x14ac:dyDescent="0.25">
      <c r="A59" s="215">
        <v>42326</v>
      </c>
      <c r="B59" s="862" t="s">
        <v>138</v>
      </c>
      <c r="C59" s="879" t="s">
        <v>19</v>
      </c>
      <c r="D59" s="887" t="s">
        <v>13</v>
      </c>
      <c r="E59" s="250">
        <v>50</v>
      </c>
      <c r="F59" s="946"/>
      <c r="G59" s="95"/>
      <c r="H59" s="946"/>
    </row>
    <row r="60" spans="1:8" x14ac:dyDescent="0.25">
      <c r="A60" s="215">
        <v>42326</v>
      </c>
      <c r="B60" s="862" t="s">
        <v>256</v>
      </c>
      <c r="C60" s="879"/>
      <c r="D60" s="1475"/>
      <c r="E60" s="97"/>
      <c r="F60" s="946">
        <v>263.88</v>
      </c>
      <c r="G60" s="97">
        <v>263.88</v>
      </c>
      <c r="H60" s="946"/>
    </row>
    <row r="61" spans="1:8" x14ac:dyDescent="0.25">
      <c r="A61" s="215">
        <v>42326</v>
      </c>
      <c r="B61" s="862" t="s">
        <v>1176</v>
      </c>
      <c r="C61" s="879" t="s">
        <v>19</v>
      </c>
      <c r="D61" s="887" t="s">
        <v>13</v>
      </c>
      <c r="E61" s="250">
        <v>79.989999999999995</v>
      </c>
      <c r="F61" s="946"/>
      <c r="G61" s="95"/>
      <c r="H61" s="946"/>
    </row>
    <row r="62" spans="1:8" x14ac:dyDescent="0.25">
      <c r="A62" s="215">
        <v>42326</v>
      </c>
      <c r="B62" s="862" t="s">
        <v>1177</v>
      </c>
      <c r="C62" s="879" t="s">
        <v>19</v>
      </c>
      <c r="D62" s="887" t="s">
        <v>13</v>
      </c>
      <c r="E62" s="97">
        <v>30.97</v>
      </c>
      <c r="F62" s="946"/>
      <c r="G62" s="97"/>
      <c r="H62" s="946"/>
    </row>
    <row r="63" spans="1:8" x14ac:dyDescent="0.25">
      <c r="A63" s="215">
        <v>42326</v>
      </c>
      <c r="B63" s="862" t="s">
        <v>134</v>
      </c>
      <c r="C63" s="879" t="s">
        <v>12</v>
      </c>
      <c r="D63" s="887" t="s">
        <v>15</v>
      </c>
      <c r="E63" s="250">
        <v>5.5</v>
      </c>
      <c r="F63" s="946"/>
      <c r="G63" s="95"/>
      <c r="H63" s="946"/>
    </row>
    <row r="64" spans="1:8" x14ac:dyDescent="0.25">
      <c r="A64" s="215">
        <v>42327</v>
      </c>
      <c r="B64" s="862" t="s">
        <v>32</v>
      </c>
      <c r="C64" s="879" t="s">
        <v>12</v>
      </c>
      <c r="D64" s="887" t="s">
        <v>13</v>
      </c>
      <c r="E64" s="250">
        <v>12</v>
      </c>
      <c r="F64" s="946"/>
      <c r="G64" s="95"/>
      <c r="H64" s="946"/>
    </row>
    <row r="65" spans="1:8" s="224" customFormat="1" x14ac:dyDescent="0.25">
      <c r="A65" s="215">
        <v>42327</v>
      </c>
      <c r="B65" s="349" t="s">
        <v>1178</v>
      </c>
      <c r="C65" s="350" t="s">
        <v>12</v>
      </c>
      <c r="D65" s="141" t="s">
        <v>25</v>
      </c>
      <c r="E65" s="250"/>
      <c r="F65" s="1473">
        <v>1280</v>
      </c>
      <c r="G65" s="252"/>
      <c r="H65" s="1473"/>
    </row>
    <row r="66" spans="1:8" x14ac:dyDescent="0.25">
      <c r="A66" s="215">
        <v>42327</v>
      </c>
      <c r="B66" s="862" t="s">
        <v>1179</v>
      </c>
      <c r="C66" s="350" t="s">
        <v>12</v>
      </c>
      <c r="D66" s="957" t="s">
        <v>13</v>
      </c>
      <c r="E66" s="97">
        <v>636.70000000000005</v>
      </c>
      <c r="F66" s="1473"/>
      <c r="G66" s="252"/>
      <c r="H66" s="946"/>
    </row>
    <row r="67" spans="1:8" x14ac:dyDescent="0.25">
      <c r="A67" s="215">
        <v>42327</v>
      </c>
      <c r="B67" s="862" t="s">
        <v>878</v>
      </c>
      <c r="C67" s="350" t="s">
        <v>12</v>
      </c>
      <c r="D67" s="957" t="s">
        <v>13</v>
      </c>
      <c r="E67" s="97">
        <v>51.9</v>
      </c>
      <c r="F67" s="1473"/>
      <c r="G67" s="252"/>
      <c r="H67" s="946"/>
    </row>
    <row r="68" spans="1:8" x14ac:dyDescent="0.25">
      <c r="A68" s="215">
        <v>42327</v>
      </c>
      <c r="B68" s="862" t="s">
        <v>1014</v>
      </c>
      <c r="C68" s="350" t="s">
        <v>19</v>
      </c>
      <c r="D68" s="957" t="s">
        <v>13</v>
      </c>
      <c r="E68" s="97">
        <v>8.39</v>
      </c>
      <c r="F68" s="1473"/>
      <c r="G68" s="252"/>
      <c r="H68" s="946"/>
    </row>
    <row r="69" spans="1:8" x14ac:dyDescent="0.25">
      <c r="A69" s="215">
        <v>42327</v>
      </c>
      <c r="B69" s="862" t="s">
        <v>1042</v>
      </c>
      <c r="C69" s="350" t="s">
        <v>19</v>
      </c>
      <c r="D69" s="957" t="s">
        <v>13</v>
      </c>
      <c r="E69" s="97">
        <v>43.5</v>
      </c>
      <c r="F69" s="1473"/>
      <c r="G69" s="252"/>
      <c r="H69" s="946"/>
    </row>
    <row r="70" spans="1:8" x14ac:dyDescent="0.25">
      <c r="A70" s="215">
        <v>42327</v>
      </c>
      <c r="B70" s="862" t="s">
        <v>1180</v>
      </c>
      <c r="C70" s="350" t="s">
        <v>19</v>
      </c>
      <c r="D70" s="957" t="s">
        <v>13</v>
      </c>
      <c r="E70" s="97">
        <v>16.61</v>
      </c>
      <c r="F70" s="1473"/>
      <c r="G70" s="252"/>
      <c r="H70" s="946"/>
    </row>
    <row r="71" spans="1:8" s="224" customFormat="1" x14ac:dyDescent="0.25">
      <c r="A71" s="215">
        <v>42327</v>
      </c>
      <c r="B71" s="349" t="s">
        <v>311</v>
      </c>
      <c r="C71" s="350"/>
      <c r="D71" s="141"/>
      <c r="E71" s="97"/>
      <c r="F71" s="946"/>
      <c r="G71" s="97"/>
      <c r="H71" s="946">
        <v>4.55</v>
      </c>
    </row>
    <row r="72" spans="1:8" s="224" customFormat="1" x14ac:dyDescent="0.25">
      <c r="A72" s="215">
        <v>42328</v>
      </c>
      <c r="B72" s="862" t="s">
        <v>32</v>
      </c>
      <c r="C72" s="879" t="s">
        <v>12</v>
      </c>
      <c r="D72" s="887" t="s">
        <v>13</v>
      </c>
      <c r="E72" s="250">
        <v>18.5</v>
      </c>
      <c r="F72" s="946"/>
      <c r="G72" s="95"/>
      <c r="H72" s="1473"/>
    </row>
    <row r="73" spans="1:8" s="224" customFormat="1" x14ac:dyDescent="0.25">
      <c r="A73" s="215">
        <v>42328</v>
      </c>
      <c r="B73" s="862" t="s">
        <v>134</v>
      </c>
      <c r="C73" s="879" t="s">
        <v>12</v>
      </c>
      <c r="D73" s="887" t="s">
        <v>15</v>
      </c>
      <c r="E73" s="250">
        <v>8</v>
      </c>
      <c r="F73" s="946"/>
      <c r="G73" s="95"/>
      <c r="H73" s="1473"/>
    </row>
    <row r="74" spans="1:8" s="224" customFormat="1" x14ac:dyDescent="0.25">
      <c r="A74" s="215">
        <v>42328</v>
      </c>
      <c r="B74" s="862" t="s">
        <v>134</v>
      </c>
      <c r="C74" s="879" t="s">
        <v>12</v>
      </c>
      <c r="D74" s="887" t="s">
        <v>13</v>
      </c>
      <c r="E74" s="250">
        <v>5.19</v>
      </c>
      <c r="F74" s="946"/>
      <c r="G74" s="95"/>
      <c r="H74" s="1473"/>
    </row>
    <row r="75" spans="1:8" x14ac:dyDescent="0.25">
      <c r="A75" s="215">
        <v>42328</v>
      </c>
      <c r="B75" s="862" t="s">
        <v>1175</v>
      </c>
      <c r="C75" s="879" t="s">
        <v>12</v>
      </c>
      <c r="D75" s="887" t="s">
        <v>15</v>
      </c>
      <c r="E75" s="250">
        <v>11</v>
      </c>
      <c r="F75" s="946"/>
      <c r="G75" s="95"/>
      <c r="H75" s="946"/>
    </row>
    <row r="76" spans="1:8" x14ac:dyDescent="0.25">
      <c r="A76" s="215">
        <v>42329</v>
      </c>
      <c r="B76" s="349" t="s">
        <v>260</v>
      </c>
      <c r="C76" s="350"/>
      <c r="D76" s="141"/>
      <c r="E76" s="97">
        <v>50</v>
      </c>
      <c r="F76" s="946"/>
      <c r="G76" s="95"/>
      <c r="H76" s="946">
        <v>50</v>
      </c>
    </row>
    <row r="77" spans="1:8" x14ac:dyDescent="0.25">
      <c r="A77" s="215">
        <v>42329</v>
      </c>
      <c r="B77" s="862" t="s">
        <v>32</v>
      </c>
      <c r="C77" s="879" t="s">
        <v>12</v>
      </c>
      <c r="D77" s="887" t="s">
        <v>13</v>
      </c>
      <c r="E77" s="250">
        <v>15</v>
      </c>
      <c r="F77" s="946"/>
      <c r="G77" s="97"/>
      <c r="H77" s="946"/>
    </row>
    <row r="78" spans="1:8" x14ac:dyDescent="0.25">
      <c r="A78" s="215">
        <v>42329</v>
      </c>
      <c r="B78" s="349" t="s">
        <v>14</v>
      </c>
      <c r="C78" s="350" t="s">
        <v>12</v>
      </c>
      <c r="D78" s="141" t="s">
        <v>13</v>
      </c>
      <c r="E78" s="97">
        <v>4.58</v>
      </c>
      <c r="F78" s="946"/>
      <c r="G78" s="95"/>
      <c r="H78" s="946"/>
    </row>
    <row r="79" spans="1:8" x14ac:dyDescent="0.25">
      <c r="A79" s="215">
        <v>42329</v>
      </c>
      <c r="B79" s="862" t="s">
        <v>914</v>
      </c>
      <c r="C79" s="879" t="s">
        <v>12</v>
      </c>
      <c r="D79" s="887" t="s">
        <v>13</v>
      </c>
      <c r="E79" s="250">
        <v>16.03</v>
      </c>
      <c r="F79" s="946"/>
      <c r="G79" s="97"/>
      <c r="H79" s="946"/>
    </row>
    <row r="80" spans="1:8" s="224" customFormat="1" x14ac:dyDescent="0.25">
      <c r="A80" s="215">
        <v>42330</v>
      </c>
      <c r="B80" s="349" t="s">
        <v>14</v>
      </c>
      <c r="C80" s="350" t="s">
        <v>12</v>
      </c>
      <c r="D80" s="141" t="s">
        <v>13</v>
      </c>
      <c r="E80" s="97">
        <v>6</v>
      </c>
      <c r="F80" s="946"/>
      <c r="G80" s="95"/>
      <c r="H80" s="1473"/>
    </row>
    <row r="81" spans="1:8" s="224" customFormat="1" x14ac:dyDescent="0.25">
      <c r="A81" s="215">
        <v>42331</v>
      </c>
      <c r="B81" s="862" t="s">
        <v>32</v>
      </c>
      <c r="C81" s="879" t="s">
        <v>12</v>
      </c>
      <c r="D81" s="887" t="s">
        <v>13</v>
      </c>
      <c r="E81" s="250">
        <v>12</v>
      </c>
      <c r="F81" s="946"/>
      <c r="G81" s="95"/>
      <c r="H81" s="1473"/>
    </row>
    <row r="82" spans="1:8" s="224" customFormat="1" x14ac:dyDescent="0.25">
      <c r="A82" s="215">
        <v>42331</v>
      </c>
      <c r="B82" s="862" t="s">
        <v>138</v>
      </c>
      <c r="C82" s="879" t="s">
        <v>19</v>
      </c>
      <c r="D82" s="887" t="s">
        <v>13</v>
      </c>
      <c r="E82" s="250">
        <v>50</v>
      </c>
      <c r="F82" s="946"/>
      <c r="G82" s="95"/>
      <c r="H82" s="1473"/>
    </row>
    <row r="83" spans="1:8" s="224" customFormat="1" x14ac:dyDescent="0.25">
      <c r="A83" s="215">
        <v>42331</v>
      </c>
      <c r="B83" s="862" t="s">
        <v>1181</v>
      </c>
      <c r="C83" s="879" t="s">
        <v>12</v>
      </c>
      <c r="D83" s="887" t="s">
        <v>13</v>
      </c>
      <c r="E83" s="250">
        <v>17.3</v>
      </c>
      <c r="F83" s="946"/>
      <c r="G83" s="95"/>
      <c r="H83" s="1473"/>
    </row>
    <row r="84" spans="1:8" s="224" customFormat="1" x14ac:dyDescent="0.25">
      <c r="A84" s="215">
        <v>42331</v>
      </c>
      <c r="B84" s="862" t="s">
        <v>134</v>
      </c>
      <c r="C84" s="879" t="s">
        <v>12</v>
      </c>
      <c r="D84" s="887" t="s">
        <v>13</v>
      </c>
      <c r="E84" s="250">
        <v>5.8</v>
      </c>
      <c r="F84" s="946"/>
      <c r="G84" s="95"/>
      <c r="H84" s="1473"/>
    </row>
    <row r="85" spans="1:8" x14ac:dyDescent="0.25">
      <c r="A85" s="215">
        <v>42332</v>
      </c>
      <c r="B85" s="862" t="s">
        <v>32</v>
      </c>
      <c r="C85" s="879" t="s">
        <v>12</v>
      </c>
      <c r="D85" s="887" t="s">
        <v>13</v>
      </c>
      <c r="E85" s="250">
        <v>12</v>
      </c>
      <c r="F85" s="946"/>
      <c r="G85" s="97"/>
      <c r="H85" s="946"/>
    </row>
    <row r="86" spans="1:8" x14ac:dyDescent="0.25">
      <c r="A86" s="215">
        <v>42332</v>
      </c>
      <c r="B86" s="862" t="s">
        <v>914</v>
      </c>
      <c r="C86" s="879" t="s">
        <v>12</v>
      </c>
      <c r="D86" s="887" t="s">
        <v>13</v>
      </c>
      <c r="E86" s="250">
        <v>10.119999999999999</v>
      </c>
      <c r="F86" s="946"/>
      <c r="G86" s="97"/>
      <c r="H86" s="946"/>
    </row>
    <row r="87" spans="1:8" s="224" customFormat="1" x14ac:dyDescent="0.25">
      <c r="A87" s="215">
        <v>42333</v>
      </c>
      <c r="B87" s="862" t="s">
        <v>32</v>
      </c>
      <c r="C87" s="879" t="s">
        <v>12</v>
      </c>
      <c r="D87" s="887" t="s">
        <v>13</v>
      </c>
      <c r="E87" s="250">
        <v>12</v>
      </c>
      <c r="F87" s="946"/>
      <c r="G87" s="97"/>
      <c r="H87" s="1473"/>
    </row>
    <row r="88" spans="1:8" s="224" customFormat="1" x14ac:dyDescent="0.25">
      <c r="A88" s="215">
        <v>42333</v>
      </c>
      <c r="B88" s="349" t="s">
        <v>14</v>
      </c>
      <c r="C88" s="350" t="s">
        <v>12</v>
      </c>
      <c r="D88" s="141" t="s">
        <v>13</v>
      </c>
      <c r="E88" s="97">
        <v>5.23</v>
      </c>
      <c r="F88" s="946"/>
      <c r="G88" s="97"/>
      <c r="H88" s="1473"/>
    </row>
    <row r="89" spans="1:8" s="224" customFormat="1" x14ac:dyDescent="0.25">
      <c r="A89" s="215">
        <v>42333</v>
      </c>
      <c r="B89" s="862" t="s">
        <v>1175</v>
      </c>
      <c r="C89" s="879" t="s">
        <v>12</v>
      </c>
      <c r="D89" s="887" t="s">
        <v>15</v>
      </c>
      <c r="E89" s="250">
        <v>11</v>
      </c>
      <c r="F89" s="946"/>
      <c r="G89" s="97"/>
      <c r="H89" s="1473"/>
    </row>
    <row r="90" spans="1:8" s="224" customFormat="1" x14ac:dyDescent="0.25">
      <c r="A90" s="215">
        <v>42334</v>
      </c>
      <c r="B90" s="862" t="s">
        <v>32</v>
      </c>
      <c r="C90" s="879" t="s">
        <v>12</v>
      </c>
      <c r="D90" s="887" t="s">
        <v>13</v>
      </c>
      <c r="E90" s="250">
        <v>12</v>
      </c>
      <c r="F90" s="946"/>
      <c r="G90" s="87"/>
      <c r="H90" s="1473"/>
    </row>
    <row r="91" spans="1:8" s="224" customFormat="1" x14ac:dyDescent="0.25">
      <c r="A91" s="215">
        <v>42334</v>
      </c>
      <c r="B91" s="862" t="s">
        <v>649</v>
      </c>
      <c r="C91" s="879" t="s">
        <v>19</v>
      </c>
      <c r="D91" s="887" t="s">
        <v>13</v>
      </c>
      <c r="E91" s="250">
        <v>21.99</v>
      </c>
      <c r="F91" s="946"/>
      <c r="G91" s="628"/>
      <c r="H91" s="1473"/>
    </row>
    <row r="92" spans="1:8" s="224" customFormat="1" x14ac:dyDescent="0.25">
      <c r="A92" s="215">
        <v>42334</v>
      </c>
      <c r="B92" s="862" t="s">
        <v>1182</v>
      </c>
      <c r="C92" s="879" t="s">
        <v>19</v>
      </c>
      <c r="D92" s="887" t="s">
        <v>13</v>
      </c>
      <c r="E92" s="250">
        <v>16.84</v>
      </c>
      <c r="F92" s="946"/>
      <c r="G92" s="79"/>
      <c r="H92" s="1473"/>
    </row>
    <row r="93" spans="1:8" s="224" customFormat="1" x14ac:dyDescent="0.25">
      <c r="A93" s="215">
        <v>42335</v>
      </c>
      <c r="B93" s="862" t="s">
        <v>32</v>
      </c>
      <c r="C93" s="879" t="s">
        <v>12</v>
      </c>
      <c r="D93" s="887" t="s">
        <v>13</v>
      </c>
      <c r="E93" s="250">
        <v>18.5</v>
      </c>
      <c r="F93" s="946"/>
      <c r="G93" s="97"/>
      <c r="H93" s="1473"/>
    </row>
    <row r="94" spans="1:8" s="224" customFormat="1" x14ac:dyDescent="0.25">
      <c r="A94" s="215">
        <v>42335</v>
      </c>
      <c r="B94" s="862" t="s">
        <v>1183</v>
      </c>
      <c r="C94" s="879" t="s">
        <v>19</v>
      </c>
      <c r="D94" s="887" t="s">
        <v>13</v>
      </c>
      <c r="E94" s="250">
        <v>30</v>
      </c>
      <c r="F94" s="946"/>
      <c r="G94" s="97"/>
      <c r="H94" s="1473"/>
    </row>
    <row r="95" spans="1:8" s="224" customFormat="1" x14ac:dyDescent="0.25">
      <c r="A95" s="215">
        <v>42335</v>
      </c>
      <c r="B95" s="862" t="s">
        <v>134</v>
      </c>
      <c r="C95" s="879" t="s">
        <v>19</v>
      </c>
      <c r="D95" s="887" t="s">
        <v>13</v>
      </c>
      <c r="E95" s="250">
        <v>35.880000000000003</v>
      </c>
      <c r="F95" s="946"/>
      <c r="G95" s="97"/>
      <c r="H95" s="1473"/>
    </row>
    <row r="96" spans="1:8" s="224" customFormat="1" x14ac:dyDescent="0.25">
      <c r="A96" s="215">
        <v>42336</v>
      </c>
      <c r="B96" s="862" t="s">
        <v>1057</v>
      </c>
      <c r="C96" s="879" t="s">
        <v>19</v>
      </c>
      <c r="D96" s="887" t="s">
        <v>13</v>
      </c>
      <c r="E96" s="250">
        <v>9.4</v>
      </c>
      <c r="F96" s="946"/>
      <c r="G96" s="97"/>
      <c r="H96" s="1473"/>
    </row>
    <row r="97" spans="1:8" s="224" customFormat="1" x14ac:dyDescent="0.25">
      <c r="A97" s="215">
        <v>42336</v>
      </c>
      <c r="B97" s="862" t="s">
        <v>134</v>
      </c>
      <c r="C97" s="879" t="s">
        <v>19</v>
      </c>
      <c r="D97" s="887" t="s">
        <v>13</v>
      </c>
      <c r="E97" s="250">
        <v>47.58</v>
      </c>
      <c r="F97" s="946"/>
      <c r="G97" s="97"/>
      <c r="H97" s="1473"/>
    </row>
    <row r="98" spans="1:8" s="224" customFormat="1" x14ac:dyDescent="0.25">
      <c r="A98" s="215">
        <v>42336</v>
      </c>
      <c r="B98" s="862" t="s">
        <v>1042</v>
      </c>
      <c r="C98" s="879" t="s">
        <v>12</v>
      </c>
      <c r="D98" s="887" t="s">
        <v>13</v>
      </c>
      <c r="E98" s="250">
        <v>39.9</v>
      </c>
      <c r="F98" s="946"/>
      <c r="G98" s="97"/>
      <c r="H98" s="1473"/>
    </row>
    <row r="99" spans="1:8" s="224" customFormat="1" x14ac:dyDescent="0.25">
      <c r="A99" s="215">
        <v>42337</v>
      </c>
      <c r="B99" s="862" t="s">
        <v>1014</v>
      </c>
      <c r="C99" s="879" t="s">
        <v>12</v>
      </c>
      <c r="D99" s="887" t="s">
        <v>13</v>
      </c>
      <c r="E99" s="250">
        <v>19.41</v>
      </c>
      <c r="F99" s="946"/>
      <c r="G99" s="97"/>
      <c r="H99" s="1473"/>
    </row>
    <row r="100" spans="1:8" s="224" customFormat="1" x14ac:dyDescent="0.25">
      <c r="A100" s="215">
        <v>42337</v>
      </c>
      <c r="B100" s="862" t="s">
        <v>256</v>
      </c>
      <c r="C100" s="879"/>
      <c r="D100" s="1475"/>
      <c r="E100" s="97"/>
      <c r="F100" s="946">
        <v>157.44999999999999</v>
      </c>
      <c r="G100" s="97">
        <v>157.44999999999999</v>
      </c>
      <c r="H100" s="1473"/>
    </row>
    <row r="101" spans="1:8" s="224" customFormat="1" x14ac:dyDescent="0.25">
      <c r="A101" s="215">
        <v>42338</v>
      </c>
      <c r="B101" s="862" t="s">
        <v>32</v>
      </c>
      <c r="C101" s="879" t="s">
        <v>12</v>
      </c>
      <c r="D101" s="887" t="s">
        <v>13</v>
      </c>
      <c r="E101" s="250">
        <v>12</v>
      </c>
      <c r="F101" s="946"/>
      <c r="G101" s="97"/>
      <c r="H101" s="1473"/>
    </row>
    <row r="102" spans="1:8" x14ac:dyDescent="0.25">
      <c r="A102" s="215">
        <v>42338</v>
      </c>
      <c r="B102" s="349" t="s">
        <v>260</v>
      </c>
      <c r="C102" s="350"/>
      <c r="D102" s="141"/>
      <c r="E102" s="97">
        <v>1000</v>
      </c>
      <c r="F102" s="946"/>
      <c r="G102" s="95"/>
      <c r="H102" s="946">
        <v>1000</v>
      </c>
    </row>
    <row r="103" spans="1:8" s="224" customFormat="1" ht="15.75" thickBot="1" x14ac:dyDescent="0.3">
      <c r="A103" s="215">
        <v>42338</v>
      </c>
      <c r="B103" s="349" t="s">
        <v>308</v>
      </c>
      <c r="C103" s="350" t="s">
        <v>12</v>
      </c>
      <c r="D103" s="141" t="s">
        <v>25</v>
      </c>
      <c r="E103" s="97"/>
      <c r="F103" s="946">
        <v>1600</v>
      </c>
      <c r="G103" s="97"/>
      <c r="H103" s="1473"/>
    </row>
    <row r="104" spans="1:8" ht="25.5" customHeight="1" thickBot="1" x14ac:dyDescent="0.3">
      <c r="A104" s="3060"/>
      <c r="B104" s="3061"/>
      <c r="C104" s="3062"/>
      <c r="D104" s="3062"/>
      <c r="E104" s="100">
        <f>SUM(E6:E103)</f>
        <v>4250.7700000000013</v>
      </c>
      <c r="F104" s="1065">
        <f>SUM(F5:F103)</f>
        <v>5185.2530000000015</v>
      </c>
      <c r="G104" s="101">
        <f>SUM(G6:G103)</f>
        <v>493.59999999999997</v>
      </c>
      <c r="H104" s="93">
        <f>SUM(H5:H103)</f>
        <v>4493.6000000000004</v>
      </c>
    </row>
    <row r="105" spans="1:8" ht="25.5" customHeight="1" thickBot="1" x14ac:dyDescent="0.3">
      <c r="A105" s="3077" t="s">
        <v>49</v>
      </c>
      <c r="B105" s="3078"/>
      <c r="C105" s="3078"/>
      <c r="D105" s="3078"/>
      <c r="E105" s="144"/>
      <c r="F105" s="519">
        <f>F104-E104</f>
        <v>934.48300000000017</v>
      </c>
      <c r="G105" s="555"/>
      <c r="H105" s="556">
        <f>H104-G104</f>
        <v>4000.0000000000005</v>
      </c>
    </row>
    <row r="107" spans="1:8" x14ac:dyDescent="0.25">
      <c r="B107" s="79" t="s">
        <v>32</v>
      </c>
      <c r="C107" s="475">
        <v>276.5</v>
      </c>
    </row>
    <row r="108" spans="1:8" x14ac:dyDescent="0.25">
      <c r="B108" s="79" t="s">
        <v>16</v>
      </c>
      <c r="C108" s="475">
        <v>210</v>
      </c>
      <c r="D108" s="79"/>
    </row>
    <row r="109" spans="1:8" x14ac:dyDescent="0.25">
      <c r="B109" s="79" t="s">
        <v>50</v>
      </c>
      <c r="C109" s="475">
        <v>241.95</v>
      </c>
    </row>
    <row r="110" spans="1:8" s="85" customFormat="1" x14ac:dyDescent="0.25">
      <c r="A110" s="79"/>
      <c r="B110" s="79" t="s">
        <v>14</v>
      </c>
      <c r="C110" s="475">
        <v>70</v>
      </c>
      <c r="E110" s="89"/>
      <c r="F110" s="79"/>
      <c r="G110" s="79"/>
    </row>
    <row r="111" spans="1:8" s="85" customFormat="1" x14ac:dyDescent="0.25">
      <c r="A111" s="79"/>
      <c r="B111" s="79" t="s">
        <v>51</v>
      </c>
      <c r="C111" s="484">
        <v>104.05</v>
      </c>
      <c r="E111" s="89"/>
      <c r="F111" s="79"/>
      <c r="G111" s="79"/>
      <c r="H111" s="79"/>
    </row>
    <row r="112" spans="1:8" s="85" customFormat="1" x14ac:dyDescent="0.25">
      <c r="A112" s="79"/>
      <c r="B112" s="79" t="s">
        <v>52</v>
      </c>
      <c r="C112" s="484"/>
      <c r="E112" s="89"/>
      <c r="F112" s="79"/>
      <c r="G112" s="79"/>
      <c r="H112" s="79"/>
    </row>
    <row r="113" spans="1:9" s="85" customFormat="1" x14ac:dyDescent="0.25">
      <c r="A113" s="89"/>
      <c r="B113" s="867" t="s">
        <v>53</v>
      </c>
      <c r="C113" s="475">
        <v>644.70000000000005</v>
      </c>
      <c r="D113" s="89"/>
      <c r="E113" s="89"/>
      <c r="F113" s="79"/>
      <c r="G113" s="79"/>
      <c r="H113" s="79"/>
    </row>
    <row r="114" spans="1:9" s="85" customFormat="1" x14ac:dyDescent="0.25">
      <c r="A114" s="79"/>
      <c r="B114" s="79" t="s">
        <v>56</v>
      </c>
      <c r="C114" s="475"/>
      <c r="E114" s="89"/>
      <c r="F114" s="79"/>
      <c r="G114" s="79"/>
      <c r="H114" s="79"/>
    </row>
    <row r="115" spans="1:9" s="85" customFormat="1" x14ac:dyDescent="0.25">
      <c r="A115" s="79"/>
      <c r="B115" s="79" t="s">
        <v>910</v>
      </c>
      <c r="C115" s="475">
        <v>225.59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418</v>
      </c>
      <c r="C116" s="475"/>
      <c r="E116" s="89"/>
      <c r="F116" s="79"/>
      <c r="G116" s="79"/>
      <c r="H116" s="79"/>
    </row>
    <row r="117" spans="1:9" s="85" customFormat="1" x14ac:dyDescent="0.25">
      <c r="A117" s="79"/>
      <c r="B117" s="79" t="s">
        <v>419</v>
      </c>
      <c r="C117" s="475">
        <v>679.43</v>
      </c>
      <c r="D117" s="79"/>
      <c r="E117" s="89"/>
      <c r="F117" s="79"/>
      <c r="G117" s="79"/>
      <c r="H117" s="79"/>
    </row>
    <row r="118" spans="1:9" x14ac:dyDescent="0.25">
      <c r="B118" s="79" t="s">
        <v>911</v>
      </c>
      <c r="C118" s="475">
        <v>178.69</v>
      </c>
    </row>
    <row r="120" spans="1:9" x14ac:dyDescent="0.25">
      <c r="B120" s="79" t="s">
        <v>486</v>
      </c>
      <c r="C120" s="475">
        <f>G120/I120</f>
        <v>92.838999999999999</v>
      </c>
      <c r="E120" s="224" t="s">
        <v>487</v>
      </c>
      <c r="F120" s="224"/>
      <c r="G120" s="216">
        <v>2785.17</v>
      </c>
      <c r="H120" s="518" t="s">
        <v>488</v>
      </c>
      <c r="I120" s="85">
        <v>30</v>
      </c>
    </row>
  </sheetData>
  <autoFilter ref="A2:H105" xr:uid="{00000000-0009-0000-0000-000027000000}"/>
  <mergeCells count="10">
    <mergeCell ref="A104:D104"/>
    <mergeCell ref="A105:D10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Plan41"/>
  <dimension ref="A1:I71"/>
  <sheetViews>
    <sheetView workbookViewId="0"/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2.14062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685" t="s">
        <v>0</v>
      </c>
      <c r="B1" s="686"/>
      <c r="C1" s="687"/>
      <c r="D1" s="688"/>
      <c r="E1" s="692" t="s">
        <v>489</v>
      </c>
      <c r="F1" s="693"/>
      <c r="G1" s="693"/>
      <c r="H1" s="694"/>
    </row>
    <row r="2" spans="1:8" ht="13.5" customHeight="1" x14ac:dyDescent="0.25">
      <c r="A2" s="695" t="s">
        <v>2</v>
      </c>
      <c r="B2" s="695" t="s">
        <v>3</v>
      </c>
      <c r="C2" s="706" t="s">
        <v>4</v>
      </c>
      <c r="D2" s="695" t="s">
        <v>5</v>
      </c>
      <c r="E2" s="698" t="s">
        <v>6</v>
      </c>
      <c r="F2" s="699"/>
      <c r="G2" s="702" t="s">
        <v>7</v>
      </c>
      <c r="H2" s="703"/>
    </row>
    <row r="3" spans="1:8" ht="13.5" customHeight="1" thickBot="1" x14ac:dyDescent="0.3">
      <c r="A3" s="696"/>
      <c r="B3" s="696"/>
      <c r="C3" s="707"/>
      <c r="D3" s="696"/>
      <c r="E3" s="700"/>
      <c r="F3" s="701"/>
      <c r="G3" s="704"/>
      <c r="H3" s="705"/>
    </row>
    <row r="4" spans="1:8" ht="13.5" customHeight="1" thickBot="1" x14ac:dyDescent="0.3">
      <c r="A4" s="697"/>
      <c r="B4" s="697"/>
      <c r="C4" s="708"/>
      <c r="D4" s="697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41760</v>
      </c>
      <c r="B5" s="369" t="s">
        <v>10</v>
      </c>
      <c r="C5" s="370"/>
      <c r="D5" s="207"/>
      <c r="E5" s="179"/>
      <c r="F5" s="933">
        <f>'Abril-14'!F102</f>
        <v>238.24000000000069</v>
      </c>
      <c r="G5" s="163"/>
      <c r="H5" s="933">
        <f>'Abril-14'!H102</f>
        <v>700</v>
      </c>
    </row>
    <row r="6" spans="1:8" s="224" customFormat="1" x14ac:dyDescent="0.25">
      <c r="A6" s="215">
        <v>41760</v>
      </c>
      <c r="B6" s="348" t="s">
        <v>11</v>
      </c>
      <c r="C6" s="351"/>
      <c r="D6" s="248"/>
      <c r="E6" s="250">
        <v>20</v>
      </c>
      <c r="F6" s="1473"/>
      <c r="G6" s="252"/>
      <c r="H6" s="1473"/>
    </row>
    <row r="7" spans="1:8" s="224" customFormat="1" x14ac:dyDescent="0.25">
      <c r="A7" s="215">
        <v>41760</v>
      </c>
      <c r="B7" s="862" t="s">
        <v>14</v>
      </c>
      <c r="C7" s="879" t="s">
        <v>12</v>
      </c>
      <c r="D7" s="887" t="s">
        <v>15</v>
      </c>
      <c r="E7" s="250">
        <v>7.2</v>
      </c>
      <c r="F7" s="1473"/>
      <c r="G7" s="252"/>
      <c r="H7" s="1473"/>
    </row>
    <row r="8" spans="1:8" s="224" customFormat="1" x14ac:dyDescent="0.25">
      <c r="A8" s="215">
        <v>41760</v>
      </c>
      <c r="B8" s="862" t="s">
        <v>134</v>
      </c>
      <c r="C8" s="879" t="s">
        <v>12</v>
      </c>
      <c r="D8" s="887" t="s">
        <v>15</v>
      </c>
      <c r="E8" s="250">
        <v>8</v>
      </c>
      <c r="F8" s="1473"/>
      <c r="G8" s="252"/>
      <c r="H8" s="1473"/>
    </row>
    <row r="9" spans="1:8" s="224" customFormat="1" x14ac:dyDescent="0.25">
      <c r="A9" s="215">
        <v>41760</v>
      </c>
      <c r="B9" s="862" t="s">
        <v>138</v>
      </c>
      <c r="C9" s="879" t="s">
        <v>12</v>
      </c>
      <c r="D9" s="887" t="s">
        <v>15</v>
      </c>
      <c r="E9" s="250">
        <v>20</v>
      </c>
      <c r="F9" s="1473"/>
      <c r="G9" s="252"/>
      <c r="H9" s="1473"/>
    </row>
    <row r="10" spans="1:8" s="224" customFormat="1" x14ac:dyDescent="0.25">
      <c r="A10" s="215">
        <v>41761</v>
      </c>
      <c r="B10" s="873" t="s">
        <v>32</v>
      </c>
      <c r="C10" s="879" t="s">
        <v>12</v>
      </c>
      <c r="D10" s="887" t="s">
        <v>15</v>
      </c>
      <c r="E10" s="250">
        <v>7</v>
      </c>
      <c r="F10" s="1473"/>
      <c r="G10" s="252"/>
      <c r="H10" s="1473"/>
    </row>
    <row r="11" spans="1:8" s="224" customFormat="1" x14ac:dyDescent="0.25">
      <c r="A11" s="215">
        <v>41762</v>
      </c>
      <c r="B11" s="862" t="s">
        <v>14</v>
      </c>
      <c r="C11" s="879" t="s">
        <v>12</v>
      </c>
      <c r="D11" s="887" t="s">
        <v>15</v>
      </c>
      <c r="E11" s="250">
        <v>6</v>
      </c>
      <c r="F11" s="1473"/>
      <c r="G11" s="252"/>
      <c r="H11" s="1473"/>
    </row>
    <row r="12" spans="1:8" s="224" customFormat="1" x14ac:dyDescent="0.25">
      <c r="A12" s="215">
        <v>41762</v>
      </c>
      <c r="B12" s="873" t="s">
        <v>82</v>
      </c>
      <c r="C12" s="879" t="s">
        <v>12</v>
      </c>
      <c r="D12" s="887" t="s">
        <v>13</v>
      </c>
      <c r="E12" s="250">
        <v>26</v>
      </c>
      <c r="F12" s="1473"/>
      <c r="G12" s="252"/>
      <c r="H12" s="1473"/>
    </row>
    <row r="13" spans="1:8" s="224" customFormat="1" x14ac:dyDescent="0.25">
      <c r="A13" s="215">
        <v>41763</v>
      </c>
      <c r="B13" s="862" t="s">
        <v>134</v>
      </c>
      <c r="C13" s="879" t="s">
        <v>12</v>
      </c>
      <c r="D13" s="887" t="s">
        <v>15</v>
      </c>
      <c r="E13" s="250">
        <v>5</v>
      </c>
      <c r="F13" s="1473"/>
      <c r="G13" s="252"/>
      <c r="H13" s="1473"/>
    </row>
    <row r="14" spans="1:8" s="224" customFormat="1" x14ac:dyDescent="0.25">
      <c r="A14" s="215">
        <v>41763</v>
      </c>
      <c r="B14" s="873" t="s">
        <v>138</v>
      </c>
      <c r="C14" s="879" t="s">
        <v>12</v>
      </c>
      <c r="D14" s="887" t="s">
        <v>15</v>
      </c>
      <c r="E14" s="250">
        <v>20</v>
      </c>
      <c r="F14" s="1473"/>
      <c r="G14" s="252"/>
      <c r="H14" s="1473"/>
    </row>
    <row r="15" spans="1:8" s="224" customFormat="1" x14ac:dyDescent="0.25">
      <c r="A15" s="215">
        <v>41764</v>
      </c>
      <c r="B15" s="873" t="s">
        <v>32</v>
      </c>
      <c r="C15" s="879" t="s">
        <v>12</v>
      </c>
      <c r="D15" s="887" t="s">
        <v>15</v>
      </c>
      <c r="E15" s="250">
        <v>5.5</v>
      </c>
      <c r="F15" s="1473"/>
      <c r="G15" s="252"/>
      <c r="H15" s="1473"/>
    </row>
    <row r="16" spans="1:8" s="224" customFormat="1" x14ac:dyDescent="0.25">
      <c r="A16" s="215">
        <v>41764</v>
      </c>
      <c r="B16" s="873" t="s">
        <v>134</v>
      </c>
      <c r="C16" s="879" t="s">
        <v>12</v>
      </c>
      <c r="D16" s="887" t="s">
        <v>15</v>
      </c>
      <c r="E16" s="250">
        <v>7.6</v>
      </c>
      <c r="F16" s="1473"/>
      <c r="G16" s="252"/>
      <c r="H16" s="1473"/>
    </row>
    <row r="17" spans="1:8" s="224" customFormat="1" x14ac:dyDescent="0.25">
      <c r="A17" s="215">
        <v>41764</v>
      </c>
      <c r="B17" s="873" t="s">
        <v>14</v>
      </c>
      <c r="C17" s="879" t="s">
        <v>12</v>
      </c>
      <c r="D17" s="887" t="s">
        <v>15</v>
      </c>
      <c r="E17" s="250">
        <v>2</v>
      </c>
      <c r="F17" s="1473"/>
      <c r="G17" s="252"/>
      <c r="H17" s="1473"/>
    </row>
    <row r="18" spans="1:8" s="224" customFormat="1" x14ac:dyDescent="0.25">
      <c r="A18" s="215">
        <v>41765</v>
      </c>
      <c r="B18" s="873" t="s">
        <v>32</v>
      </c>
      <c r="C18" s="879" t="s">
        <v>12</v>
      </c>
      <c r="D18" s="887" t="s">
        <v>13</v>
      </c>
      <c r="E18" s="250">
        <v>10</v>
      </c>
      <c r="F18" s="1473"/>
      <c r="G18" s="252"/>
      <c r="H18" s="1473"/>
    </row>
    <row r="19" spans="1:8" s="224" customFormat="1" x14ac:dyDescent="0.25">
      <c r="A19" s="215">
        <v>41766</v>
      </c>
      <c r="B19" s="873" t="s">
        <v>32</v>
      </c>
      <c r="C19" s="879" t="s">
        <v>12</v>
      </c>
      <c r="D19" s="887" t="s">
        <v>13</v>
      </c>
      <c r="E19" s="250">
        <v>6.5</v>
      </c>
      <c r="F19" s="1473"/>
      <c r="G19" s="252"/>
      <c r="H19" s="1473"/>
    </row>
    <row r="20" spans="1:8" s="224" customFormat="1" x14ac:dyDescent="0.25">
      <c r="A20" s="215">
        <v>41766</v>
      </c>
      <c r="B20" s="349" t="s">
        <v>490</v>
      </c>
      <c r="C20" s="879" t="s">
        <v>12</v>
      </c>
      <c r="D20" s="983" t="s">
        <v>25</v>
      </c>
      <c r="E20" s="250"/>
      <c r="F20" s="1473">
        <v>917.05</v>
      </c>
      <c r="G20" s="252"/>
      <c r="H20" s="1473"/>
    </row>
    <row r="21" spans="1:8" s="224" customFormat="1" ht="15.75" customHeight="1" x14ac:dyDescent="0.25">
      <c r="A21" s="215">
        <v>41766</v>
      </c>
      <c r="B21" s="862" t="s">
        <v>491</v>
      </c>
      <c r="C21" s="350" t="s">
        <v>12</v>
      </c>
      <c r="D21" s="141" t="s">
        <v>13</v>
      </c>
      <c r="E21" s="97">
        <v>136.27000000000001</v>
      </c>
      <c r="F21" s="1473"/>
      <c r="G21" s="252"/>
      <c r="H21" s="1473"/>
    </row>
    <row r="22" spans="1:8" s="224" customFormat="1" ht="14.25" customHeight="1" x14ac:dyDescent="0.25">
      <c r="A22" s="215">
        <v>41766</v>
      </c>
      <c r="B22" s="862" t="s">
        <v>31</v>
      </c>
      <c r="C22" s="350" t="s">
        <v>12</v>
      </c>
      <c r="D22" s="957" t="s">
        <v>15</v>
      </c>
      <c r="E22" s="97">
        <v>50</v>
      </c>
      <c r="F22" s="1473"/>
      <c r="G22" s="252"/>
      <c r="H22" s="1473"/>
    </row>
    <row r="23" spans="1:8" s="224" customFormat="1" ht="14.25" customHeight="1" x14ac:dyDescent="0.25">
      <c r="A23" s="215">
        <v>41766</v>
      </c>
      <c r="B23" s="862" t="s">
        <v>492</v>
      </c>
      <c r="C23" s="350" t="s">
        <v>12</v>
      </c>
      <c r="D23" s="957" t="s">
        <v>15</v>
      </c>
      <c r="E23" s="97">
        <v>10</v>
      </c>
      <c r="F23" s="1473"/>
      <c r="G23" s="252"/>
      <c r="H23" s="1473"/>
    </row>
    <row r="24" spans="1:8" s="224" customFormat="1" x14ac:dyDescent="0.25">
      <c r="A24" s="215">
        <v>41766</v>
      </c>
      <c r="B24" s="862" t="s">
        <v>399</v>
      </c>
      <c r="C24" s="350" t="s">
        <v>12</v>
      </c>
      <c r="D24" s="957" t="s">
        <v>15</v>
      </c>
      <c r="E24" s="97">
        <v>25</v>
      </c>
      <c r="F24" s="1473"/>
      <c r="G24" s="252"/>
      <c r="H24" s="1473"/>
    </row>
    <row r="25" spans="1:8" s="224" customFormat="1" ht="15.75" customHeight="1" x14ac:dyDescent="0.25">
      <c r="A25" s="215">
        <v>41766</v>
      </c>
      <c r="B25" s="349" t="s">
        <v>260</v>
      </c>
      <c r="C25" s="350"/>
      <c r="D25" s="141"/>
      <c r="E25" s="97">
        <v>250</v>
      </c>
      <c r="F25" s="946"/>
      <c r="G25" s="97"/>
      <c r="H25" s="946">
        <v>250</v>
      </c>
    </row>
    <row r="26" spans="1:8" s="224" customFormat="1" ht="15.75" customHeight="1" x14ac:dyDescent="0.25">
      <c r="A26" s="215">
        <v>41766</v>
      </c>
      <c r="B26" s="349" t="s">
        <v>493</v>
      </c>
      <c r="C26" s="350" t="s">
        <v>12</v>
      </c>
      <c r="D26" s="141" t="s">
        <v>15</v>
      </c>
      <c r="E26" s="97">
        <v>15</v>
      </c>
      <c r="F26" s="946"/>
      <c r="G26" s="97"/>
      <c r="H26" s="946"/>
    </row>
    <row r="27" spans="1:8" s="224" customFormat="1" ht="15.75" customHeight="1" x14ac:dyDescent="0.25">
      <c r="A27" s="215">
        <v>41766</v>
      </c>
      <c r="B27" s="349" t="s">
        <v>494</v>
      </c>
      <c r="C27" s="350" t="s">
        <v>12</v>
      </c>
      <c r="D27" s="141" t="s">
        <v>13</v>
      </c>
      <c r="E27" s="97">
        <v>51</v>
      </c>
      <c r="F27" s="946"/>
      <c r="G27" s="97"/>
      <c r="H27" s="946"/>
    </row>
    <row r="28" spans="1:8" s="224" customFormat="1" ht="15.75" customHeight="1" x14ac:dyDescent="0.25">
      <c r="A28" s="215">
        <v>41766</v>
      </c>
      <c r="B28" s="349" t="s">
        <v>138</v>
      </c>
      <c r="C28" s="350" t="s">
        <v>12</v>
      </c>
      <c r="D28" s="141" t="s">
        <v>13</v>
      </c>
      <c r="E28" s="97">
        <v>20</v>
      </c>
      <c r="F28" s="946"/>
      <c r="G28" s="97"/>
      <c r="H28" s="946"/>
    </row>
    <row r="29" spans="1:8" s="224" customFormat="1" ht="15.75" customHeight="1" x14ac:dyDescent="0.25">
      <c r="A29" s="215">
        <v>41767</v>
      </c>
      <c r="B29" s="349"/>
      <c r="C29" s="350"/>
      <c r="D29" s="141"/>
      <c r="E29" s="97"/>
      <c r="F29" s="946"/>
      <c r="G29" s="97"/>
      <c r="H29" s="946"/>
    </row>
    <row r="30" spans="1:8" s="224" customFormat="1" ht="15.75" customHeight="1" x14ac:dyDescent="0.25">
      <c r="A30" s="215">
        <v>41768</v>
      </c>
      <c r="B30" s="349"/>
      <c r="C30" s="350"/>
      <c r="D30" s="141"/>
      <c r="E30" s="97"/>
      <c r="F30" s="946"/>
      <c r="G30" s="97"/>
      <c r="H30" s="946"/>
    </row>
    <row r="31" spans="1:8" s="224" customFormat="1" x14ac:dyDescent="0.25">
      <c r="A31" s="215">
        <v>41769</v>
      </c>
      <c r="B31" s="873"/>
      <c r="C31" s="879"/>
      <c r="D31" s="887"/>
      <c r="E31" s="250"/>
      <c r="F31" s="1473"/>
      <c r="G31" s="252"/>
      <c r="H31" s="1473"/>
    </row>
    <row r="32" spans="1:8" s="224" customFormat="1" ht="15.75" customHeight="1" x14ac:dyDescent="0.25">
      <c r="A32" s="215">
        <v>41770</v>
      </c>
      <c r="B32" s="862"/>
      <c r="C32" s="350"/>
      <c r="D32" s="141"/>
      <c r="E32" s="97"/>
      <c r="F32" s="1473"/>
      <c r="G32" s="252"/>
      <c r="H32" s="1473"/>
    </row>
    <row r="33" spans="1:9" s="224" customFormat="1" ht="15.75" customHeight="1" x14ac:dyDescent="0.25">
      <c r="A33" s="215">
        <v>41771</v>
      </c>
      <c r="B33" s="862"/>
      <c r="C33" s="350"/>
      <c r="D33" s="141"/>
      <c r="E33" s="97"/>
      <c r="F33" s="1473"/>
      <c r="G33" s="252"/>
      <c r="H33" s="1473"/>
    </row>
    <row r="34" spans="1:9" s="224" customFormat="1" ht="15.75" customHeight="1" x14ac:dyDescent="0.25">
      <c r="A34" s="215">
        <v>41772</v>
      </c>
      <c r="B34" s="862"/>
      <c r="C34" s="350"/>
      <c r="D34" s="141"/>
      <c r="E34" s="97"/>
      <c r="F34" s="1473"/>
      <c r="G34" s="252"/>
      <c r="H34" s="1473"/>
    </row>
    <row r="35" spans="1:9" s="224" customFormat="1" ht="15.75" customHeight="1" x14ac:dyDescent="0.25">
      <c r="A35" s="215">
        <v>41773</v>
      </c>
      <c r="B35" s="862"/>
      <c r="C35" s="350"/>
      <c r="D35" s="141"/>
      <c r="E35" s="97"/>
      <c r="F35" s="1473"/>
      <c r="G35" s="252"/>
      <c r="H35" s="1473"/>
    </row>
    <row r="36" spans="1:9" s="224" customFormat="1" ht="15.75" customHeight="1" x14ac:dyDescent="0.25">
      <c r="A36" s="215">
        <v>41774</v>
      </c>
      <c r="B36" s="862"/>
      <c r="C36" s="350"/>
      <c r="D36" s="141"/>
      <c r="E36" s="97"/>
      <c r="F36" s="1473"/>
      <c r="G36" s="252"/>
      <c r="H36" s="1473"/>
    </row>
    <row r="37" spans="1:9" s="224" customFormat="1" ht="15.75" customHeight="1" x14ac:dyDescent="0.25">
      <c r="A37" s="215">
        <v>41775</v>
      </c>
      <c r="B37" s="862"/>
      <c r="C37" s="350"/>
      <c r="D37" s="141"/>
      <c r="E37" s="97"/>
      <c r="F37" s="1473"/>
      <c r="G37" s="252"/>
      <c r="H37" s="1473"/>
    </row>
    <row r="38" spans="1:9" s="224" customFormat="1" ht="15.75" customHeight="1" x14ac:dyDescent="0.25">
      <c r="A38" s="215">
        <v>41776</v>
      </c>
      <c r="B38" s="862"/>
      <c r="C38" s="350"/>
      <c r="D38" s="141"/>
      <c r="E38" s="97"/>
      <c r="F38" s="1473"/>
      <c r="G38" s="252"/>
      <c r="H38" s="1473"/>
    </row>
    <row r="39" spans="1:9" s="224" customFormat="1" ht="15.75" customHeight="1" x14ac:dyDescent="0.25">
      <c r="A39" s="215">
        <v>41777</v>
      </c>
      <c r="B39" s="862"/>
      <c r="C39" s="350"/>
      <c r="D39" s="141"/>
      <c r="E39" s="97"/>
      <c r="F39" s="1473"/>
      <c r="G39" s="252"/>
      <c r="H39" s="1473"/>
    </row>
    <row r="40" spans="1:9" s="224" customFormat="1" ht="15.75" customHeight="1" x14ac:dyDescent="0.25">
      <c r="A40" s="215">
        <v>41778</v>
      </c>
      <c r="B40" s="862"/>
      <c r="C40" s="350"/>
      <c r="D40" s="141"/>
      <c r="E40" s="97"/>
      <c r="F40" s="1473"/>
      <c r="G40" s="252"/>
      <c r="H40" s="1473"/>
    </row>
    <row r="41" spans="1:9" s="224" customFormat="1" ht="15.75" customHeight="1" x14ac:dyDescent="0.25">
      <c r="A41" s="215">
        <v>41779</v>
      </c>
      <c r="B41" s="862"/>
      <c r="C41" s="350"/>
      <c r="D41" s="141"/>
      <c r="E41" s="97"/>
      <c r="F41" s="1473"/>
      <c r="G41" s="252"/>
      <c r="H41" s="1473"/>
    </row>
    <row r="42" spans="1:9" s="224" customFormat="1" x14ac:dyDescent="0.25">
      <c r="A42" s="215">
        <v>41779</v>
      </c>
      <c r="B42" s="349" t="s">
        <v>497</v>
      </c>
      <c r="C42" s="350"/>
      <c r="D42" s="141"/>
      <c r="E42" s="250"/>
      <c r="F42" s="1473"/>
      <c r="G42" s="252"/>
      <c r="H42" s="1473"/>
    </row>
    <row r="43" spans="1:9" s="224" customFormat="1" x14ac:dyDescent="0.25">
      <c r="A43" s="215">
        <v>41779</v>
      </c>
      <c r="B43" s="882" t="s">
        <v>498</v>
      </c>
      <c r="C43" s="879"/>
      <c r="D43" s="887"/>
      <c r="E43" s="538"/>
      <c r="F43" s="1002"/>
      <c r="G43" s="539"/>
      <c r="H43" s="1002"/>
      <c r="I43" s="709"/>
    </row>
    <row r="44" spans="1:9" s="224" customFormat="1" x14ac:dyDescent="0.25">
      <c r="A44" s="215">
        <v>41779</v>
      </c>
      <c r="B44" s="882" t="s">
        <v>513</v>
      </c>
      <c r="C44" s="350"/>
      <c r="D44" s="887"/>
      <c r="E44" s="97"/>
      <c r="F44" s="1473"/>
      <c r="G44" s="252"/>
      <c r="H44" s="1473"/>
    </row>
    <row r="45" spans="1:9" x14ac:dyDescent="0.25">
      <c r="A45" s="215">
        <v>41779</v>
      </c>
      <c r="B45" s="349" t="s">
        <v>499</v>
      </c>
      <c r="C45" s="350"/>
      <c r="D45" s="887"/>
      <c r="E45" s="97"/>
      <c r="F45" s="946"/>
      <c r="G45" s="95"/>
      <c r="H45" s="946"/>
    </row>
    <row r="46" spans="1:9" x14ac:dyDescent="0.25">
      <c r="A46" s="215">
        <v>41779</v>
      </c>
      <c r="B46" s="349"/>
      <c r="C46" s="350"/>
      <c r="D46" s="141"/>
      <c r="E46" s="97"/>
      <c r="F46" s="946"/>
      <c r="G46" s="95"/>
      <c r="H46" s="946"/>
    </row>
    <row r="47" spans="1:9" x14ac:dyDescent="0.25">
      <c r="A47" s="215">
        <v>41780</v>
      </c>
      <c r="B47" s="349"/>
      <c r="C47" s="350"/>
      <c r="D47" s="141"/>
      <c r="E47" s="97"/>
      <c r="F47" s="946"/>
      <c r="G47" s="95"/>
      <c r="H47" s="946"/>
    </row>
    <row r="48" spans="1:9" x14ac:dyDescent="0.25">
      <c r="A48" s="215">
        <v>41781</v>
      </c>
      <c r="B48" s="349"/>
      <c r="C48" s="350"/>
      <c r="D48" s="141"/>
      <c r="E48" s="97"/>
      <c r="F48" s="946"/>
      <c r="G48" s="95"/>
      <c r="H48" s="946"/>
    </row>
    <row r="49" spans="1:8" x14ac:dyDescent="0.25">
      <c r="A49" s="215">
        <v>41782</v>
      </c>
      <c r="B49" s="349"/>
      <c r="C49" s="350"/>
      <c r="D49" s="141"/>
      <c r="E49" s="97"/>
      <c r="F49" s="946"/>
      <c r="G49" s="95"/>
      <c r="H49" s="946"/>
    </row>
    <row r="50" spans="1:8" x14ac:dyDescent="0.25">
      <c r="A50" s="215">
        <v>41783</v>
      </c>
      <c r="B50" s="349"/>
      <c r="C50" s="350"/>
      <c r="D50" s="141"/>
      <c r="E50" s="97"/>
      <c r="F50" s="946"/>
      <c r="G50" s="95"/>
      <c r="H50" s="946"/>
    </row>
    <row r="51" spans="1:8" x14ac:dyDescent="0.25">
      <c r="A51" s="215">
        <v>41784</v>
      </c>
      <c r="B51" s="349"/>
      <c r="C51" s="350"/>
      <c r="D51" s="141"/>
      <c r="E51" s="97"/>
      <c r="F51" s="946"/>
      <c r="G51" s="95"/>
      <c r="H51" s="946"/>
    </row>
    <row r="52" spans="1:8" s="224" customFormat="1" x14ac:dyDescent="0.25">
      <c r="A52" s="215">
        <v>41785</v>
      </c>
      <c r="B52" s="862"/>
      <c r="C52" s="879"/>
      <c r="D52" s="887"/>
      <c r="E52" s="250"/>
      <c r="F52" s="1473"/>
      <c r="G52" s="252"/>
      <c r="H52" s="1473"/>
    </row>
    <row r="53" spans="1:8" x14ac:dyDescent="0.25">
      <c r="A53" s="215">
        <v>41786</v>
      </c>
      <c r="B53" s="349"/>
      <c r="C53" s="350"/>
      <c r="D53" s="141"/>
      <c r="E53" s="97"/>
      <c r="F53" s="946"/>
      <c r="G53" s="95"/>
      <c r="H53" s="946"/>
    </row>
    <row r="54" spans="1:8" x14ac:dyDescent="0.25">
      <c r="A54" s="215">
        <v>41787</v>
      </c>
      <c r="B54" s="349"/>
      <c r="C54" s="350"/>
      <c r="D54" s="141"/>
      <c r="E54" s="97"/>
      <c r="F54" s="946"/>
      <c r="G54" s="95"/>
      <c r="H54" s="946"/>
    </row>
    <row r="55" spans="1:8" s="224" customFormat="1" x14ac:dyDescent="0.25">
      <c r="A55" s="215">
        <v>41788</v>
      </c>
      <c r="B55" s="862"/>
      <c r="C55" s="879"/>
      <c r="D55" s="887"/>
      <c r="E55" s="250"/>
      <c r="F55" s="1473"/>
      <c r="G55" s="252"/>
      <c r="H55" s="1473"/>
    </row>
    <row r="56" spans="1:8" s="224" customFormat="1" x14ac:dyDescent="0.25">
      <c r="A56" s="215">
        <v>41789</v>
      </c>
      <c r="B56" s="862"/>
      <c r="C56" s="879"/>
      <c r="D56" s="887"/>
      <c r="E56" s="250"/>
      <c r="F56" s="1473"/>
      <c r="G56" s="252"/>
      <c r="H56" s="1473"/>
    </row>
    <row r="57" spans="1:8" s="224" customFormat="1" ht="15.75" thickBot="1" x14ac:dyDescent="0.3">
      <c r="A57" s="215">
        <v>41790</v>
      </c>
      <c r="B57" s="862"/>
      <c r="C57" s="105"/>
      <c r="D57" s="887"/>
      <c r="E57" s="250"/>
      <c r="F57" s="1473"/>
      <c r="G57" s="252"/>
      <c r="H57" s="1473"/>
    </row>
    <row r="58" spans="1:8" ht="25.5" customHeight="1" thickBot="1" x14ac:dyDescent="0.3">
      <c r="A58" s="689"/>
      <c r="B58" s="690"/>
      <c r="C58" s="691"/>
      <c r="D58" s="691"/>
      <c r="E58" s="100">
        <f>SUM(E5:E57)</f>
        <v>708.07</v>
      </c>
      <c r="F58" s="1065">
        <f>SUM(F5:F57)</f>
        <v>1155.2900000000006</v>
      </c>
      <c r="G58" s="101">
        <f>SUM(G5:G57)</f>
        <v>0</v>
      </c>
      <c r="H58" s="93">
        <f>SUM(H5:H57)</f>
        <v>950</v>
      </c>
    </row>
    <row r="59" spans="1:8" ht="25.5" customHeight="1" thickBot="1" x14ac:dyDescent="0.3">
      <c r="A59" s="683" t="s">
        <v>49</v>
      </c>
      <c r="B59" s="684"/>
      <c r="C59" s="684"/>
      <c r="D59" s="684"/>
      <c r="E59" s="102"/>
      <c r="F59" s="1478">
        <f>F58-E58</f>
        <v>447.2200000000006</v>
      </c>
      <c r="G59" s="104"/>
      <c r="H59" s="103">
        <f>H58-G58</f>
        <v>950</v>
      </c>
    </row>
    <row r="61" spans="1:8" x14ac:dyDescent="0.25">
      <c r="B61" s="79" t="s">
        <v>32</v>
      </c>
      <c r="C61" s="484">
        <v>22.5</v>
      </c>
    </row>
    <row r="62" spans="1:8" x14ac:dyDescent="0.25">
      <c r="B62" s="79" t="s">
        <v>16</v>
      </c>
      <c r="C62" s="484">
        <v>60</v>
      </c>
      <c r="D62" s="79"/>
    </row>
    <row r="63" spans="1:8" x14ac:dyDescent="0.25">
      <c r="B63" s="79" t="s">
        <v>50</v>
      </c>
      <c r="C63" s="484">
        <v>97.6</v>
      </c>
    </row>
    <row r="64" spans="1:8" s="85" customFormat="1" x14ac:dyDescent="0.25">
      <c r="A64" s="79"/>
      <c r="B64" s="79" t="s">
        <v>14</v>
      </c>
      <c r="C64" s="475">
        <v>15.2</v>
      </c>
      <c r="E64" s="89"/>
      <c r="F64" s="79"/>
      <c r="G64" s="79"/>
    </row>
    <row r="65" spans="1:9" s="85" customFormat="1" x14ac:dyDescent="0.25">
      <c r="A65" s="79"/>
      <c r="B65" s="79" t="s">
        <v>51</v>
      </c>
      <c r="C65" s="475"/>
      <c r="E65" s="89"/>
      <c r="F65" s="79"/>
      <c r="G65" s="79"/>
      <c r="H65" s="79"/>
    </row>
    <row r="66" spans="1:9" s="85" customFormat="1" x14ac:dyDescent="0.25">
      <c r="A66" s="79"/>
      <c r="B66" s="79" t="s">
        <v>52</v>
      </c>
      <c r="C66" s="475">
        <v>60</v>
      </c>
      <c r="E66" s="89"/>
      <c r="F66" s="79"/>
      <c r="G66" s="79"/>
      <c r="H66" s="79"/>
    </row>
    <row r="67" spans="1:9" s="85" customFormat="1" x14ac:dyDescent="0.25">
      <c r="A67" s="79"/>
      <c r="B67" s="867" t="s">
        <v>53</v>
      </c>
      <c r="D67" s="89"/>
      <c r="E67" s="89"/>
      <c r="F67" s="79"/>
      <c r="G67" s="79"/>
      <c r="H67" s="79"/>
    </row>
    <row r="68" spans="1:9" s="85" customFormat="1" x14ac:dyDescent="0.25">
      <c r="A68" s="79"/>
      <c r="B68" s="79" t="s">
        <v>56</v>
      </c>
      <c r="C68" s="475"/>
      <c r="E68" s="89"/>
      <c r="F68" s="79"/>
      <c r="G68" s="79"/>
      <c r="H68" s="79"/>
    </row>
    <row r="69" spans="1:9" s="85" customFormat="1" x14ac:dyDescent="0.25">
      <c r="A69" s="79"/>
      <c r="B69" s="79" t="s">
        <v>57</v>
      </c>
      <c r="C69" s="475">
        <v>78.33</v>
      </c>
      <c r="E69" s="89"/>
      <c r="F69" s="79"/>
      <c r="G69" s="79"/>
      <c r="H69" s="79"/>
    </row>
    <row r="71" spans="1:9" x14ac:dyDescent="0.25">
      <c r="B71" s="79" t="s">
        <v>486</v>
      </c>
      <c r="C71" s="475">
        <f>G71/I71</f>
        <v>62.581428571428567</v>
      </c>
      <c r="E71" s="224" t="s">
        <v>487</v>
      </c>
      <c r="F71" s="224"/>
      <c r="G71" s="216">
        <v>438.07</v>
      </c>
      <c r="H71" s="518" t="s">
        <v>488</v>
      </c>
      <c r="I71" s="85">
        <v>7</v>
      </c>
    </row>
  </sheetData>
  <autoFilter ref="A2:H59" xr:uid="{00000000-0009-0000-0000-000028000000}"/>
  <pageMargins left="0.78740157499999996" right="0.78740157499999996" top="0.984251969" bottom="0.984251969" header="0.49212598499999999" footer="0.49212598499999999"/>
  <pageSetup paperSize="9" orientation="landscape" horizontalDpi="300" verticalDpi="3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Plan42"/>
  <dimension ref="A1:J152"/>
  <sheetViews>
    <sheetView zoomScale="85" zoomScaleNormal="85" workbookViewId="0">
      <pane ySplit="4" topLeftCell="A5" activePane="bottomLeft" state="frozen"/>
      <selection activeCell="C44" sqref="C44"/>
      <selection pane="bottomLeft" activeCell="B6" sqref="B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customWidth="1"/>
    <col min="7" max="7" width="13.140625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1184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42339</v>
      </c>
      <c r="B5" s="369" t="s">
        <v>10</v>
      </c>
      <c r="C5" s="370"/>
      <c r="D5" s="207"/>
      <c r="E5" s="179"/>
      <c r="F5" s="933">
        <f>'Novembro-15'!F105</f>
        <v>934.48300000000017</v>
      </c>
      <c r="G5" s="163"/>
      <c r="H5" s="933">
        <f>'Novembro-15'!H105</f>
        <v>4000.0000000000005</v>
      </c>
    </row>
    <row r="6" spans="1:8" s="224" customFormat="1" x14ac:dyDescent="0.25">
      <c r="A6" s="215">
        <v>42339</v>
      </c>
      <c r="B6" s="348" t="s">
        <v>11</v>
      </c>
      <c r="C6" s="351"/>
      <c r="D6" s="248"/>
      <c r="E6" s="250">
        <v>75</v>
      </c>
      <c r="F6" s="1473"/>
      <c r="G6" s="252"/>
      <c r="H6" s="1473"/>
    </row>
    <row r="7" spans="1:8" s="224" customFormat="1" x14ac:dyDescent="0.25">
      <c r="A7" s="215">
        <v>42339</v>
      </c>
      <c r="B7" s="862" t="s">
        <v>138</v>
      </c>
      <c r="C7" s="879" t="s">
        <v>19</v>
      </c>
      <c r="D7" s="887" t="s">
        <v>13</v>
      </c>
      <c r="E7" s="250">
        <v>70</v>
      </c>
      <c r="F7" s="946"/>
      <c r="G7" s="97"/>
      <c r="H7" s="1473"/>
    </row>
    <row r="8" spans="1:8" s="224" customFormat="1" x14ac:dyDescent="0.25">
      <c r="A8" s="215">
        <v>42339</v>
      </c>
      <c r="B8" s="862" t="s">
        <v>1042</v>
      </c>
      <c r="C8" s="879" t="s">
        <v>12</v>
      </c>
      <c r="D8" s="887" t="s">
        <v>13</v>
      </c>
      <c r="E8" s="250">
        <v>39.9</v>
      </c>
      <c r="F8" s="946"/>
      <c r="G8" s="97"/>
      <c r="H8" s="1473"/>
    </row>
    <row r="9" spans="1:8" s="224" customFormat="1" x14ac:dyDescent="0.25">
      <c r="A9" s="215">
        <v>42339</v>
      </c>
      <c r="B9" s="862" t="s">
        <v>32</v>
      </c>
      <c r="C9" s="879" t="s">
        <v>12</v>
      </c>
      <c r="D9" s="887" t="s">
        <v>13</v>
      </c>
      <c r="E9" s="250">
        <v>12</v>
      </c>
      <c r="F9" s="946"/>
      <c r="G9" s="97"/>
      <c r="H9" s="1473"/>
    </row>
    <row r="10" spans="1:8" s="224" customFormat="1" x14ac:dyDescent="0.25">
      <c r="A10" s="215">
        <v>42339</v>
      </c>
      <c r="B10" s="862" t="s">
        <v>1185</v>
      </c>
      <c r="C10" s="879" t="s">
        <v>12</v>
      </c>
      <c r="D10" s="887" t="s">
        <v>13</v>
      </c>
      <c r="E10" s="250">
        <v>13.49</v>
      </c>
      <c r="F10" s="946"/>
      <c r="G10" s="97"/>
      <c r="H10" s="1473"/>
    </row>
    <row r="11" spans="1:8" s="224" customFormat="1" x14ac:dyDescent="0.25">
      <c r="A11" s="215">
        <v>42339</v>
      </c>
      <c r="B11" s="862" t="s">
        <v>914</v>
      </c>
      <c r="C11" s="879" t="s">
        <v>12</v>
      </c>
      <c r="D11" s="887" t="s">
        <v>13</v>
      </c>
      <c r="E11" s="250">
        <v>9.6999999999999993</v>
      </c>
      <c r="F11" s="946"/>
      <c r="G11" s="97"/>
      <c r="H11" s="1473"/>
    </row>
    <row r="12" spans="1:8" s="224" customFormat="1" x14ac:dyDescent="0.25">
      <c r="A12" s="215">
        <v>42340</v>
      </c>
      <c r="B12" s="862" t="s">
        <v>32</v>
      </c>
      <c r="C12" s="879" t="s">
        <v>12</v>
      </c>
      <c r="D12" s="887" t="s">
        <v>13</v>
      </c>
      <c r="E12" s="250">
        <v>12</v>
      </c>
      <c r="F12" s="946"/>
      <c r="G12" s="97"/>
      <c r="H12" s="1473"/>
    </row>
    <row r="13" spans="1:8" s="224" customFormat="1" x14ac:dyDescent="0.25">
      <c r="A13" s="215">
        <v>42340</v>
      </c>
      <c r="B13" s="862" t="s">
        <v>14</v>
      </c>
      <c r="C13" s="879" t="s">
        <v>12</v>
      </c>
      <c r="D13" s="887" t="s">
        <v>13</v>
      </c>
      <c r="E13" s="250">
        <v>5.88</v>
      </c>
      <c r="F13" s="946"/>
      <c r="G13" s="97"/>
      <c r="H13" s="1473"/>
    </row>
    <row r="14" spans="1:8" s="224" customFormat="1" x14ac:dyDescent="0.25">
      <c r="A14" s="215">
        <v>42341</v>
      </c>
      <c r="B14" s="862" t="s">
        <v>32</v>
      </c>
      <c r="C14" s="879" t="s">
        <v>12</v>
      </c>
      <c r="D14" s="887" t="s">
        <v>13</v>
      </c>
      <c r="E14" s="250">
        <v>12</v>
      </c>
      <c r="F14" s="946"/>
      <c r="G14" s="97"/>
      <c r="H14" s="1473"/>
    </row>
    <row r="15" spans="1:8" s="224" customFormat="1" x14ac:dyDescent="0.25">
      <c r="A15" s="215">
        <v>42341</v>
      </c>
      <c r="B15" s="349" t="s">
        <v>311</v>
      </c>
      <c r="C15" s="350"/>
      <c r="D15" s="141"/>
      <c r="E15" s="97"/>
      <c r="F15" s="946"/>
      <c r="G15" s="97"/>
      <c r="H15" s="946">
        <v>3.7</v>
      </c>
    </row>
    <row r="16" spans="1:8" s="224" customFormat="1" x14ac:dyDescent="0.25">
      <c r="A16" s="215">
        <v>42342</v>
      </c>
      <c r="B16" s="862" t="s">
        <v>32</v>
      </c>
      <c r="C16" s="879" t="s">
        <v>12</v>
      </c>
      <c r="D16" s="887" t="s">
        <v>13</v>
      </c>
      <c r="E16" s="250">
        <v>18.5</v>
      </c>
      <c r="F16" s="946"/>
      <c r="G16" s="97"/>
      <c r="H16" s="1473"/>
    </row>
    <row r="17" spans="1:8" s="224" customFormat="1" ht="15.75" customHeight="1" x14ac:dyDescent="0.25">
      <c r="A17" s="215">
        <v>42342</v>
      </c>
      <c r="B17" s="349" t="s">
        <v>1186</v>
      </c>
      <c r="C17" s="879" t="s">
        <v>12</v>
      </c>
      <c r="D17" s="983" t="s">
        <v>25</v>
      </c>
      <c r="E17" s="250"/>
      <c r="F17" s="1473">
        <v>1511.42</v>
      </c>
      <c r="G17" s="252"/>
      <c r="H17" s="946"/>
    </row>
    <row r="18" spans="1:8" s="224" customFormat="1" ht="15.75" customHeight="1" x14ac:dyDescent="0.25">
      <c r="A18" s="215">
        <v>42342</v>
      </c>
      <c r="B18" s="862" t="s">
        <v>1187</v>
      </c>
      <c r="C18" s="350" t="s">
        <v>12</v>
      </c>
      <c r="D18" s="141" t="s">
        <v>13</v>
      </c>
      <c r="E18" s="97">
        <v>407.26</v>
      </c>
      <c r="F18" s="1473"/>
      <c r="G18" s="252"/>
      <c r="H18" s="946"/>
    </row>
    <row r="19" spans="1:8" s="224" customFormat="1" ht="15.75" customHeight="1" x14ac:dyDescent="0.25">
      <c r="A19" s="215">
        <v>42342</v>
      </c>
      <c r="B19" s="882" t="s">
        <v>1188</v>
      </c>
      <c r="C19" s="350" t="s">
        <v>12</v>
      </c>
      <c r="D19" s="141" t="s">
        <v>13</v>
      </c>
      <c r="E19" s="97">
        <v>69.62</v>
      </c>
      <c r="F19" s="1473"/>
      <c r="G19" s="252"/>
      <c r="H19" s="946"/>
    </row>
    <row r="20" spans="1:8" s="224" customFormat="1" ht="15.75" customHeight="1" x14ac:dyDescent="0.25">
      <c r="A20" s="215">
        <v>42342</v>
      </c>
      <c r="B20" s="349" t="s">
        <v>260</v>
      </c>
      <c r="C20" s="350"/>
      <c r="D20" s="141"/>
      <c r="E20" s="97">
        <v>860</v>
      </c>
      <c r="F20" s="946"/>
      <c r="G20" s="95"/>
      <c r="H20" s="946">
        <v>860</v>
      </c>
    </row>
    <row r="21" spans="1:8" s="224" customFormat="1" x14ac:dyDescent="0.25">
      <c r="A21" s="215">
        <v>42342</v>
      </c>
      <c r="B21" s="349" t="s">
        <v>311</v>
      </c>
      <c r="C21" s="350"/>
      <c r="D21" s="141"/>
      <c r="E21" s="97"/>
      <c r="F21" s="946"/>
      <c r="G21" s="97"/>
      <c r="H21" s="946">
        <v>8.82</v>
      </c>
    </row>
    <row r="22" spans="1:8" s="224" customFormat="1" x14ac:dyDescent="0.25">
      <c r="A22" s="215">
        <v>42342</v>
      </c>
      <c r="B22" s="862" t="s">
        <v>914</v>
      </c>
      <c r="C22" s="879" t="s">
        <v>12</v>
      </c>
      <c r="D22" s="887" t="s">
        <v>13</v>
      </c>
      <c r="E22" s="250">
        <v>10.36</v>
      </c>
      <c r="F22" s="946"/>
      <c r="G22" s="97"/>
      <c r="H22" s="1473"/>
    </row>
    <row r="23" spans="1:8" s="224" customFormat="1" ht="15.75" customHeight="1" x14ac:dyDescent="0.25">
      <c r="A23" s="215">
        <v>42343</v>
      </c>
      <c r="B23" s="862" t="s">
        <v>134</v>
      </c>
      <c r="C23" s="879" t="s">
        <v>12</v>
      </c>
      <c r="D23" s="887" t="s">
        <v>13</v>
      </c>
      <c r="E23" s="250">
        <v>8</v>
      </c>
      <c r="F23" s="946"/>
      <c r="G23" s="97"/>
      <c r="H23" s="946"/>
    </row>
    <row r="24" spans="1:8" s="224" customFormat="1" ht="15.75" customHeight="1" x14ac:dyDescent="0.25">
      <c r="A24" s="215">
        <v>42344</v>
      </c>
      <c r="B24" s="862" t="s">
        <v>14</v>
      </c>
      <c r="C24" s="879" t="s">
        <v>12</v>
      </c>
      <c r="D24" s="887" t="s">
        <v>13</v>
      </c>
      <c r="E24" s="250">
        <v>6.19</v>
      </c>
      <c r="F24" s="946"/>
      <c r="G24" s="97"/>
      <c r="H24" s="946"/>
    </row>
    <row r="25" spans="1:8" s="224" customFormat="1" ht="15.75" customHeight="1" x14ac:dyDescent="0.25">
      <c r="A25" s="215">
        <v>42344</v>
      </c>
      <c r="B25" s="862" t="s">
        <v>134</v>
      </c>
      <c r="C25" s="879" t="s">
        <v>12</v>
      </c>
      <c r="D25" s="887" t="s">
        <v>13</v>
      </c>
      <c r="E25" s="250">
        <v>7.5</v>
      </c>
      <c r="F25" s="946"/>
      <c r="G25" s="97"/>
      <c r="H25" s="946"/>
    </row>
    <row r="26" spans="1:8" s="224" customFormat="1" ht="15.75" customHeight="1" x14ac:dyDescent="0.25">
      <c r="A26" s="215">
        <v>42345</v>
      </c>
      <c r="B26" s="862" t="s">
        <v>32</v>
      </c>
      <c r="C26" s="879" t="s">
        <v>12</v>
      </c>
      <c r="D26" s="887" t="s">
        <v>13</v>
      </c>
      <c r="E26" s="250">
        <v>12</v>
      </c>
      <c r="F26" s="946"/>
      <c r="G26" s="97"/>
      <c r="H26" s="946"/>
    </row>
    <row r="27" spans="1:8" s="224" customFormat="1" ht="15.75" customHeight="1" x14ac:dyDescent="0.25">
      <c r="A27" s="215">
        <v>42345</v>
      </c>
      <c r="B27" s="862" t="s">
        <v>1189</v>
      </c>
      <c r="C27" s="879" t="s">
        <v>12</v>
      </c>
      <c r="D27" s="887" t="s">
        <v>13</v>
      </c>
      <c r="E27" s="250">
        <v>9</v>
      </c>
      <c r="F27" s="946"/>
      <c r="G27" s="97"/>
      <c r="H27" s="946"/>
    </row>
    <row r="28" spans="1:8" s="224" customFormat="1" ht="15.75" customHeight="1" x14ac:dyDescent="0.25">
      <c r="A28" s="215">
        <v>42345</v>
      </c>
      <c r="B28" s="862" t="s">
        <v>138</v>
      </c>
      <c r="C28" s="879" t="s">
        <v>12</v>
      </c>
      <c r="D28" s="887" t="s">
        <v>13</v>
      </c>
      <c r="E28" s="250">
        <v>30</v>
      </c>
      <c r="F28" s="946"/>
      <c r="G28" s="97"/>
      <c r="H28" s="946"/>
    </row>
    <row r="29" spans="1:8" s="224" customFormat="1" ht="15.75" customHeight="1" x14ac:dyDescent="0.25">
      <c r="A29" s="215">
        <v>42346</v>
      </c>
      <c r="B29" s="862" t="s">
        <v>1190</v>
      </c>
      <c r="C29" s="350" t="s">
        <v>12</v>
      </c>
      <c r="D29" s="141" t="s">
        <v>13</v>
      </c>
      <c r="E29" s="97">
        <v>247.26</v>
      </c>
      <c r="F29" s="1473"/>
      <c r="G29" s="252"/>
      <c r="H29" s="946"/>
    </row>
    <row r="30" spans="1:8" x14ac:dyDescent="0.25">
      <c r="A30" s="215">
        <v>42346</v>
      </c>
      <c r="B30" s="862" t="s">
        <v>32</v>
      </c>
      <c r="C30" s="879" t="s">
        <v>12</v>
      </c>
      <c r="D30" s="887" t="s">
        <v>13</v>
      </c>
      <c r="E30" s="250">
        <v>12</v>
      </c>
      <c r="F30" s="946"/>
      <c r="G30" s="95"/>
      <c r="H30" s="946"/>
    </row>
    <row r="31" spans="1:8" s="224" customFormat="1" ht="15.75" customHeight="1" x14ac:dyDescent="0.25">
      <c r="A31" s="215">
        <v>42346</v>
      </c>
      <c r="B31" s="862" t="s">
        <v>14</v>
      </c>
      <c r="C31" s="879" t="s">
        <v>12</v>
      </c>
      <c r="D31" s="887" t="s">
        <v>13</v>
      </c>
      <c r="E31" s="250">
        <v>13.91</v>
      </c>
      <c r="F31" s="946"/>
      <c r="G31" s="97"/>
      <c r="H31" s="946"/>
    </row>
    <row r="32" spans="1:8" s="224" customFormat="1" x14ac:dyDescent="0.25">
      <c r="A32" s="215">
        <v>42347</v>
      </c>
      <c r="B32" s="882" t="s">
        <v>1191</v>
      </c>
      <c r="C32" s="879" t="s">
        <v>12</v>
      </c>
      <c r="D32" s="887" t="s">
        <v>13</v>
      </c>
      <c r="E32" s="97">
        <v>28.9</v>
      </c>
      <c r="F32" s="946"/>
      <c r="G32" s="95"/>
      <c r="H32" s="1473"/>
    </row>
    <row r="33" spans="1:8" x14ac:dyDescent="0.25">
      <c r="A33" s="215">
        <v>42348</v>
      </c>
      <c r="B33" s="862" t="s">
        <v>32</v>
      </c>
      <c r="C33" s="879" t="s">
        <v>12</v>
      </c>
      <c r="D33" s="887" t="s">
        <v>13</v>
      </c>
      <c r="E33" s="250">
        <v>12</v>
      </c>
      <c r="F33" s="946"/>
      <c r="G33" s="95"/>
      <c r="H33" s="946"/>
    </row>
    <row r="34" spans="1:8" x14ac:dyDescent="0.25">
      <c r="A34" s="215">
        <v>42348</v>
      </c>
      <c r="B34" s="862" t="s">
        <v>914</v>
      </c>
      <c r="C34" s="879" t="s">
        <v>12</v>
      </c>
      <c r="D34" s="887" t="s">
        <v>13</v>
      </c>
      <c r="E34" s="250">
        <v>8.17</v>
      </c>
      <c r="F34" s="946"/>
      <c r="G34" s="95"/>
      <c r="H34" s="946"/>
    </row>
    <row r="35" spans="1:8" x14ac:dyDescent="0.25">
      <c r="A35" s="215">
        <v>42348</v>
      </c>
      <c r="B35" s="862" t="s">
        <v>1192</v>
      </c>
      <c r="C35" s="879" t="s">
        <v>12</v>
      </c>
      <c r="D35" s="887" t="s">
        <v>13</v>
      </c>
      <c r="E35" s="250">
        <v>4.99</v>
      </c>
      <c r="F35" s="946"/>
      <c r="G35" s="95"/>
      <c r="H35" s="946"/>
    </row>
    <row r="36" spans="1:8" x14ac:dyDescent="0.25">
      <c r="A36" s="215">
        <v>42348</v>
      </c>
      <c r="B36" s="862" t="s">
        <v>14</v>
      </c>
      <c r="C36" s="879" t="s">
        <v>12</v>
      </c>
      <c r="D36" s="887" t="s">
        <v>13</v>
      </c>
      <c r="E36" s="250">
        <v>3.48</v>
      </c>
      <c r="F36" s="946"/>
      <c r="G36" s="95"/>
      <c r="H36" s="946"/>
    </row>
    <row r="37" spans="1:8" s="224" customFormat="1" x14ac:dyDescent="0.25">
      <c r="A37" s="215">
        <v>42348</v>
      </c>
      <c r="B37" s="862" t="s">
        <v>878</v>
      </c>
      <c r="C37" s="350" t="s">
        <v>12</v>
      </c>
      <c r="D37" s="957" t="s">
        <v>13</v>
      </c>
      <c r="E37" s="97">
        <v>51.9</v>
      </c>
      <c r="F37" s="1473"/>
      <c r="G37" s="252"/>
      <c r="H37" s="946"/>
    </row>
    <row r="38" spans="1:8" x14ac:dyDescent="0.25">
      <c r="A38" s="215">
        <v>42349</v>
      </c>
      <c r="B38" s="862" t="s">
        <v>1193</v>
      </c>
      <c r="C38" s="879" t="s">
        <v>12</v>
      </c>
      <c r="D38" s="887" t="s">
        <v>13</v>
      </c>
      <c r="E38" s="250">
        <v>20</v>
      </c>
      <c r="F38" s="946"/>
      <c r="G38" s="95"/>
      <c r="H38" s="946"/>
    </row>
    <row r="39" spans="1:8" x14ac:dyDescent="0.25">
      <c r="A39" s="215">
        <v>42349</v>
      </c>
      <c r="B39" s="862" t="s">
        <v>32</v>
      </c>
      <c r="C39" s="879" t="s">
        <v>12</v>
      </c>
      <c r="D39" s="887" t="s">
        <v>13</v>
      </c>
      <c r="E39" s="250">
        <v>12</v>
      </c>
      <c r="F39" s="946"/>
      <c r="G39" s="95"/>
      <c r="H39" s="946"/>
    </row>
    <row r="40" spans="1:8" x14ac:dyDescent="0.25">
      <c r="A40" s="215">
        <v>42349</v>
      </c>
      <c r="B40" s="862" t="s">
        <v>138</v>
      </c>
      <c r="C40" s="879" t="s">
        <v>19</v>
      </c>
      <c r="D40" s="887" t="s">
        <v>13</v>
      </c>
      <c r="E40" s="250">
        <v>40</v>
      </c>
      <c r="F40" s="946"/>
      <c r="G40" s="95"/>
      <c r="H40" s="946"/>
    </row>
    <row r="41" spans="1:8" x14ac:dyDescent="0.25">
      <c r="A41" s="215">
        <v>42349</v>
      </c>
      <c r="B41" s="862" t="s">
        <v>1137</v>
      </c>
      <c r="C41" s="879" t="s">
        <v>19</v>
      </c>
      <c r="D41" s="887" t="s">
        <v>13</v>
      </c>
      <c r="E41" s="250">
        <v>26</v>
      </c>
      <c r="F41" s="946"/>
      <c r="G41" s="95"/>
      <c r="H41" s="946"/>
    </row>
    <row r="42" spans="1:8" x14ac:dyDescent="0.25">
      <c r="A42" s="215">
        <v>42349</v>
      </c>
      <c r="B42" s="862" t="s">
        <v>134</v>
      </c>
      <c r="C42" s="879" t="s">
        <v>19</v>
      </c>
      <c r="D42" s="887" t="s">
        <v>13</v>
      </c>
      <c r="E42" s="250">
        <v>13.28</v>
      </c>
      <c r="F42" s="946"/>
      <c r="G42" s="95"/>
      <c r="H42" s="946"/>
    </row>
    <row r="43" spans="1:8" x14ac:dyDescent="0.25">
      <c r="A43" s="215">
        <v>42350</v>
      </c>
      <c r="B43" s="862" t="s">
        <v>32</v>
      </c>
      <c r="C43" s="879" t="s">
        <v>12</v>
      </c>
      <c r="D43" s="887" t="s">
        <v>13</v>
      </c>
      <c r="E43" s="250">
        <v>12</v>
      </c>
      <c r="F43" s="946"/>
      <c r="G43" s="95"/>
      <c r="H43" s="946"/>
    </row>
    <row r="44" spans="1:8" x14ac:dyDescent="0.25">
      <c r="A44" s="215">
        <v>42350</v>
      </c>
      <c r="B44" s="862" t="s">
        <v>14</v>
      </c>
      <c r="C44" s="879" t="s">
        <v>12</v>
      </c>
      <c r="D44" s="887" t="s">
        <v>13</v>
      </c>
      <c r="E44" s="250">
        <v>16.77</v>
      </c>
      <c r="F44" s="946"/>
      <c r="G44" s="95"/>
      <c r="H44" s="946"/>
    </row>
    <row r="45" spans="1:8" x14ac:dyDescent="0.25">
      <c r="A45" s="215">
        <v>42351</v>
      </c>
      <c r="B45" s="349" t="s">
        <v>14</v>
      </c>
      <c r="C45" s="350" t="s">
        <v>12</v>
      </c>
      <c r="D45" s="141" t="s">
        <v>13</v>
      </c>
      <c r="E45" s="97">
        <v>12.37</v>
      </c>
      <c r="F45" s="946"/>
      <c r="G45" s="95"/>
      <c r="H45" s="946"/>
    </row>
    <row r="46" spans="1:8" x14ac:dyDescent="0.25">
      <c r="A46" s="215">
        <v>42351</v>
      </c>
      <c r="B46" s="862" t="s">
        <v>256</v>
      </c>
      <c r="C46" s="879"/>
      <c r="D46" s="1475"/>
      <c r="E46" s="97"/>
      <c r="F46" s="946">
        <v>4872.5200000000004</v>
      </c>
      <c r="G46" s="97">
        <v>4872.5200000000004</v>
      </c>
      <c r="H46" s="946"/>
    </row>
    <row r="47" spans="1:8" s="224" customFormat="1" x14ac:dyDescent="0.25">
      <c r="A47" s="215">
        <v>42352</v>
      </c>
      <c r="B47" s="862" t="s">
        <v>32</v>
      </c>
      <c r="C47" s="879" t="s">
        <v>12</v>
      </c>
      <c r="D47" s="887" t="s">
        <v>15</v>
      </c>
      <c r="E47" s="250">
        <v>12</v>
      </c>
      <c r="F47" s="946"/>
      <c r="G47" s="97"/>
      <c r="H47" s="1473"/>
    </row>
    <row r="48" spans="1:8" s="224" customFormat="1" x14ac:dyDescent="0.25">
      <c r="A48" s="215">
        <v>42352</v>
      </c>
      <c r="B48" s="862" t="s">
        <v>199</v>
      </c>
      <c r="C48" s="879" t="s">
        <v>12</v>
      </c>
      <c r="D48" s="887" t="s">
        <v>13</v>
      </c>
      <c r="E48" s="250">
        <v>15</v>
      </c>
      <c r="F48" s="946"/>
      <c r="G48" s="97"/>
      <c r="H48" s="1473"/>
    </row>
    <row r="49" spans="1:8" s="224" customFormat="1" x14ac:dyDescent="0.25">
      <c r="A49" s="215">
        <v>42352</v>
      </c>
      <c r="B49" s="862" t="s">
        <v>14</v>
      </c>
      <c r="C49" s="879" t="s">
        <v>12</v>
      </c>
      <c r="D49" s="887" t="s">
        <v>13</v>
      </c>
      <c r="E49" s="250">
        <v>6.17</v>
      </c>
      <c r="F49" s="946"/>
      <c r="G49" s="97"/>
      <c r="H49" s="1473"/>
    </row>
    <row r="50" spans="1:8" s="224" customFormat="1" x14ac:dyDescent="0.25">
      <c r="A50" s="215">
        <v>42353</v>
      </c>
      <c r="B50" s="862" t="s">
        <v>32</v>
      </c>
      <c r="C50" s="879" t="s">
        <v>12</v>
      </c>
      <c r="D50" s="887" t="s">
        <v>15</v>
      </c>
      <c r="E50" s="250">
        <v>12</v>
      </c>
      <c r="F50" s="946"/>
      <c r="G50" s="97"/>
      <c r="H50" s="1473"/>
    </row>
    <row r="51" spans="1:8" s="224" customFormat="1" x14ac:dyDescent="0.25">
      <c r="A51" s="215">
        <v>42353</v>
      </c>
      <c r="B51" s="862" t="s">
        <v>914</v>
      </c>
      <c r="C51" s="879" t="s">
        <v>12</v>
      </c>
      <c r="D51" s="887" t="s">
        <v>13</v>
      </c>
      <c r="E51" s="250">
        <v>9.75</v>
      </c>
      <c r="F51" s="946"/>
      <c r="G51" s="97"/>
      <c r="H51" s="1473"/>
    </row>
    <row r="52" spans="1:8" x14ac:dyDescent="0.25">
      <c r="A52" s="215">
        <v>42353</v>
      </c>
      <c r="B52" s="862" t="s">
        <v>1194</v>
      </c>
      <c r="C52" s="879" t="s">
        <v>12</v>
      </c>
      <c r="D52" s="887" t="s">
        <v>13</v>
      </c>
      <c r="E52" s="250">
        <v>4000</v>
      </c>
      <c r="F52" s="946"/>
      <c r="G52" s="95"/>
      <c r="H52" s="946"/>
    </row>
    <row r="53" spans="1:8" x14ac:dyDescent="0.25">
      <c r="A53" s="215">
        <v>42354</v>
      </c>
      <c r="B53" s="862" t="s">
        <v>32</v>
      </c>
      <c r="C53" s="879" t="s">
        <v>12</v>
      </c>
      <c r="D53" s="887" t="s">
        <v>15</v>
      </c>
      <c r="E53" s="250">
        <v>12</v>
      </c>
      <c r="F53" s="946"/>
      <c r="G53" s="95"/>
      <c r="H53" s="946"/>
    </row>
    <row r="54" spans="1:8" x14ac:dyDescent="0.25">
      <c r="A54" s="215">
        <v>42354</v>
      </c>
      <c r="B54" s="862" t="s">
        <v>138</v>
      </c>
      <c r="C54" s="879" t="s">
        <v>19</v>
      </c>
      <c r="D54" s="887" t="s">
        <v>13</v>
      </c>
      <c r="E54" s="250">
        <v>40</v>
      </c>
      <c r="F54" s="946"/>
      <c r="G54" s="95"/>
      <c r="H54" s="946"/>
    </row>
    <row r="55" spans="1:8" x14ac:dyDescent="0.25">
      <c r="A55" s="215">
        <v>42354</v>
      </c>
      <c r="B55" s="862" t="s">
        <v>1195</v>
      </c>
      <c r="C55" s="879" t="s">
        <v>19</v>
      </c>
      <c r="D55" s="887" t="s">
        <v>13</v>
      </c>
      <c r="E55" s="250">
        <v>12</v>
      </c>
      <c r="F55" s="946"/>
      <c r="G55" s="95"/>
      <c r="H55" s="946"/>
    </row>
    <row r="56" spans="1:8" x14ac:dyDescent="0.25">
      <c r="A56" s="215">
        <v>42354</v>
      </c>
      <c r="B56" s="862" t="s">
        <v>1057</v>
      </c>
      <c r="C56" s="879" t="s">
        <v>19</v>
      </c>
      <c r="D56" s="887" t="s">
        <v>13</v>
      </c>
      <c r="E56" s="250">
        <v>6.29</v>
      </c>
      <c r="F56" s="946"/>
      <c r="G56" s="95"/>
      <c r="H56" s="946"/>
    </row>
    <row r="57" spans="1:8" x14ac:dyDescent="0.25">
      <c r="A57" s="215">
        <v>42354</v>
      </c>
      <c r="B57" s="862" t="s">
        <v>14</v>
      </c>
      <c r="C57" s="879" t="s">
        <v>12</v>
      </c>
      <c r="D57" s="887" t="s">
        <v>13</v>
      </c>
      <c r="E57" s="250">
        <v>9.49</v>
      </c>
      <c r="F57" s="946"/>
      <c r="G57" s="95"/>
      <c r="H57" s="946"/>
    </row>
    <row r="58" spans="1:8" x14ac:dyDescent="0.25">
      <c r="A58" s="215">
        <v>42355</v>
      </c>
      <c r="B58" s="862" t="s">
        <v>32</v>
      </c>
      <c r="C58" s="879" t="s">
        <v>12</v>
      </c>
      <c r="D58" s="887" t="s">
        <v>15</v>
      </c>
      <c r="E58" s="250">
        <v>13.5</v>
      </c>
      <c r="F58" s="946"/>
      <c r="G58" s="95"/>
      <c r="H58" s="946"/>
    </row>
    <row r="59" spans="1:8" x14ac:dyDescent="0.25">
      <c r="A59" s="215">
        <v>42355</v>
      </c>
      <c r="B59" s="862" t="s">
        <v>1091</v>
      </c>
      <c r="C59" s="879" t="s">
        <v>12</v>
      </c>
      <c r="D59" s="887" t="s">
        <v>15</v>
      </c>
      <c r="E59" s="250">
        <v>300</v>
      </c>
      <c r="F59" s="946"/>
      <c r="G59" s="95"/>
      <c r="H59" s="946"/>
    </row>
    <row r="60" spans="1:8" x14ac:dyDescent="0.25">
      <c r="A60" s="215">
        <v>42355</v>
      </c>
      <c r="B60" s="862" t="s">
        <v>1196</v>
      </c>
      <c r="C60" s="879" t="s">
        <v>12</v>
      </c>
      <c r="D60" s="887" t="s">
        <v>13</v>
      </c>
      <c r="E60" s="250">
        <v>127.69</v>
      </c>
      <c r="F60" s="946"/>
      <c r="G60" s="95"/>
      <c r="H60" s="946"/>
    </row>
    <row r="61" spans="1:8" x14ac:dyDescent="0.25">
      <c r="A61" s="215">
        <v>42356</v>
      </c>
      <c r="B61" s="349" t="s">
        <v>1197</v>
      </c>
      <c r="C61" s="350" t="s">
        <v>12</v>
      </c>
      <c r="D61" s="141" t="s">
        <v>25</v>
      </c>
      <c r="E61" s="250"/>
      <c r="F61" s="946">
        <v>3611</v>
      </c>
      <c r="G61" s="95"/>
      <c r="H61" s="946"/>
    </row>
    <row r="62" spans="1:8" x14ac:dyDescent="0.25">
      <c r="A62" s="215">
        <v>42356</v>
      </c>
      <c r="B62" s="349" t="s">
        <v>336</v>
      </c>
      <c r="C62" s="350" t="s">
        <v>12</v>
      </c>
      <c r="D62" s="141" t="s">
        <v>25</v>
      </c>
      <c r="E62" s="250"/>
      <c r="F62" s="946">
        <v>1191.42</v>
      </c>
      <c r="G62" s="95"/>
      <c r="H62" s="946"/>
    </row>
    <row r="63" spans="1:8" x14ac:dyDescent="0.25">
      <c r="A63" s="215">
        <v>42356</v>
      </c>
      <c r="B63" s="862" t="s">
        <v>32</v>
      </c>
      <c r="C63" s="879" t="s">
        <v>12</v>
      </c>
      <c r="D63" s="887" t="s">
        <v>15</v>
      </c>
      <c r="E63" s="250">
        <v>12</v>
      </c>
      <c r="F63" s="946"/>
      <c r="G63" s="95"/>
      <c r="H63" s="946"/>
    </row>
    <row r="64" spans="1:8" x14ac:dyDescent="0.25">
      <c r="A64" s="215">
        <v>42356</v>
      </c>
      <c r="B64" s="349" t="s">
        <v>1198</v>
      </c>
      <c r="C64" s="350" t="s">
        <v>12</v>
      </c>
      <c r="D64" s="141" t="s">
        <v>15</v>
      </c>
      <c r="E64" s="250">
        <v>3653</v>
      </c>
      <c r="F64" s="946"/>
      <c r="G64" s="95"/>
      <c r="H64" s="946"/>
    </row>
    <row r="65" spans="1:8" x14ac:dyDescent="0.25">
      <c r="A65" s="215">
        <v>42356</v>
      </c>
      <c r="B65" s="862" t="s">
        <v>1199</v>
      </c>
      <c r="C65" s="879" t="s">
        <v>12</v>
      </c>
      <c r="D65" s="887" t="s">
        <v>13</v>
      </c>
      <c r="E65" s="250">
        <v>350</v>
      </c>
      <c r="F65" s="946"/>
      <c r="G65" s="95"/>
      <c r="H65" s="946"/>
    </row>
    <row r="66" spans="1:8" x14ac:dyDescent="0.25">
      <c r="A66" s="215">
        <v>42356</v>
      </c>
      <c r="B66" s="862" t="s">
        <v>1200</v>
      </c>
      <c r="C66" s="879" t="s">
        <v>19</v>
      </c>
      <c r="D66" s="887" t="s">
        <v>13</v>
      </c>
      <c r="E66" s="250">
        <v>45</v>
      </c>
      <c r="F66" s="946"/>
      <c r="G66" s="95"/>
      <c r="H66" s="946"/>
    </row>
    <row r="67" spans="1:8" x14ac:dyDescent="0.25">
      <c r="A67" s="215">
        <v>42356</v>
      </c>
      <c r="B67" s="862" t="s">
        <v>1201</v>
      </c>
      <c r="C67" s="879" t="s">
        <v>12</v>
      </c>
      <c r="D67" s="887" t="s">
        <v>15</v>
      </c>
      <c r="E67" s="250">
        <v>10</v>
      </c>
      <c r="F67" s="946"/>
      <c r="G67" s="95"/>
      <c r="H67" s="946"/>
    </row>
    <row r="68" spans="1:8" x14ac:dyDescent="0.25">
      <c r="A68" s="215">
        <v>42357</v>
      </c>
      <c r="B68" s="862" t="s">
        <v>14</v>
      </c>
      <c r="C68" s="879" t="s">
        <v>12</v>
      </c>
      <c r="D68" s="887" t="s">
        <v>13</v>
      </c>
      <c r="E68" s="250">
        <v>17.670000000000002</v>
      </c>
      <c r="F68" s="946"/>
      <c r="G68" s="95"/>
      <c r="H68" s="946"/>
    </row>
    <row r="69" spans="1:8" x14ac:dyDescent="0.25">
      <c r="A69" s="215">
        <v>42358</v>
      </c>
      <c r="B69" s="862"/>
      <c r="C69" s="879"/>
      <c r="D69" s="887"/>
      <c r="E69" s="250"/>
      <c r="F69" s="946"/>
      <c r="G69" s="95"/>
      <c r="H69" s="946"/>
    </row>
    <row r="70" spans="1:8" s="224" customFormat="1" x14ac:dyDescent="0.25">
      <c r="A70" s="215">
        <v>42359</v>
      </c>
      <c r="B70" s="349" t="s">
        <v>14</v>
      </c>
      <c r="C70" s="350" t="s">
        <v>12</v>
      </c>
      <c r="D70" s="141" t="s">
        <v>15</v>
      </c>
      <c r="E70" s="97">
        <v>7.5</v>
      </c>
      <c r="F70" s="946"/>
      <c r="G70" s="95"/>
      <c r="H70" s="1473"/>
    </row>
    <row r="71" spans="1:8" s="224" customFormat="1" x14ac:dyDescent="0.25">
      <c r="A71" s="215">
        <v>42359</v>
      </c>
      <c r="B71" s="349" t="s">
        <v>1202</v>
      </c>
      <c r="C71" s="350" t="s">
        <v>12</v>
      </c>
      <c r="D71" s="141" t="s">
        <v>15</v>
      </c>
      <c r="E71" s="97">
        <v>40</v>
      </c>
      <c r="F71" s="946"/>
      <c r="G71" s="95"/>
      <c r="H71" s="1473"/>
    </row>
    <row r="72" spans="1:8" s="224" customFormat="1" x14ac:dyDescent="0.25">
      <c r="A72" s="215">
        <v>42359</v>
      </c>
      <c r="B72" s="349" t="s">
        <v>138</v>
      </c>
      <c r="C72" s="350" t="s">
        <v>19</v>
      </c>
      <c r="D72" s="141" t="s">
        <v>15</v>
      </c>
      <c r="E72" s="97">
        <v>40</v>
      </c>
      <c r="F72" s="946"/>
      <c r="G72" s="95"/>
      <c r="H72" s="1473"/>
    </row>
    <row r="73" spans="1:8" s="224" customFormat="1" x14ac:dyDescent="0.25">
      <c r="A73" s="215">
        <v>42359</v>
      </c>
      <c r="B73" s="349" t="s">
        <v>1203</v>
      </c>
      <c r="C73" s="350" t="s">
        <v>12</v>
      </c>
      <c r="D73" s="141" t="s">
        <v>15</v>
      </c>
      <c r="E73" s="97">
        <v>20</v>
      </c>
      <c r="F73" s="946"/>
      <c r="G73" s="95"/>
      <c r="H73" s="1473"/>
    </row>
    <row r="74" spans="1:8" x14ac:dyDescent="0.25">
      <c r="A74" s="215">
        <v>42360</v>
      </c>
      <c r="B74" s="862" t="s">
        <v>914</v>
      </c>
      <c r="C74" s="879" t="s">
        <v>19</v>
      </c>
      <c r="D74" s="887" t="s">
        <v>15</v>
      </c>
      <c r="E74" s="250">
        <v>20</v>
      </c>
      <c r="F74" s="946"/>
      <c r="G74" s="97"/>
      <c r="H74" s="946"/>
    </row>
    <row r="75" spans="1:8" x14ac:dyDescent="0.25">
      <c r="A75" s="215">
        <v>42360</v>
      </c>
      <c r="B75" s="862" t="s">
        <v>1204</v>
      </c>
      <c r="C75" s="879" t="s">
        <v>12</v>
      </c>
      <c r="D75" s="887" t="s">
        <v>15</v>
      </c>
      <c r="E75" s="250">
        <v>8.4</v>
      </c>
      <c r="F75" s="946"/>
      <c r="G75" s="97"/>
      <c r="H75" s="946"/>
    </row>
    <row r="76" spans="1:8" x14ac:dyDescent="0.25">
      <c r="A76" s="215">
        <v>42360</v>
      </c>
      <c r="B76" s="862" t="s">
        <v>1205</v>
      </c>
      <c r="C76" s="879" t="s">
        <v>12</v>
      </c>
      <c r="D76" s="887" t="s">
        <v>15</v>
      </c>
      <c r="E76" s="250">
        <v>15</v>
      </c>
      <c r="F76" s="946"/>
      <c r="G76" s="97"/>
      <c r="H76" s="946"/>
    </row>
    <row r="77" spans="1:8" s="224" customFormat="1" x14ac:dyDescent="0.25">
      <c r="A77" s="215">
        <v>42360</v>
      </c>
      <c r="B77" s="349" t="s">
        <v>134</v>
      </c>
      <c r="C77" s="350" t="s">
        <v>19</v>
      </c>
      <c r="D77" s="141" t="s">
        <v>15</v>
      </c>
      <c r="E77" s="97">
        <v>3</v>
      </c>
      <c r="F77" s="946"/>
      <c r="G77" s="95"/>
      <c r="H77" s="1473"/>
    </row>
    <row r="78" spans="1:8" x14ac:dyDescent="0.25">
      <c r="A78" s="215">
        <v>42361</v>
      </c>
      <c r="B78" s="349" t="s">
        <v>260</v>
      </c>
      <c r="C78" s="350"/>
      <c r="D78" s="141"/>
      <c r="E78" s="97">
        <v>50</v>
      </c>
      <c r="F78" s="946"/>
      <c r="G78" s="95"/>
      <c r="H78" s="946">
        <v>50</v>
      </c>
    </row>
    <row r="79" spans="1:8" s="224" customFormat="1" x14ac:dyDescent="0.25">
      <c r="A79" s="215">
        <v>42361</v>
      </c>
      <c r="B79" s="349" t="s">
        <v>1206</v>
      </c>
      <c r="C79" s="350" t="s">
        <v>19</v>
      </c>
      <c r="D79" s="141" t="s">
        <v>15</v>
      </c>
      <c r="E79" s="97">
        <v>84.9</v>
      </c>
      <c r="F79" s="946"/>
      <c r="G79" s="95"/>
      <c r="H79" s="1473"/>
    </row>
    <row r="80" spans="1:8" s="224" customFormat="1" x14ac:dyDescent="0.25">
      <c r="A80" s="215">
        <v>42361</v>
      </c>
      <c r="B80" s="349" t="s">
        <v>134</v>
      </c>
      <c r="C80" s="350" t="s">
        <v>19</v>
      </c>
      <c r="D80" s="141" t="s">
        <v>13</v>
      </c>
      <c r="E80" s="97">
        <v>15.55</v>
      </c>
      <c r="F80" s="946"/>
      <c r="G80" s="95"/>
      <c r="H80" s="1473"/>
    </row>
    <row r="81" spans="1:8" s="224" customFormat="1" x14ac:dyDescent="0.25">
      <c r="A81" s="215">
        <v>42362</v>
      </c>
      <c r="B81" s="349" t="s">
        <v>1206</v>
      </c>
      <c r="C81" s="350" t="s">
        <v>12</v>
      </c>
      <c r="D81" s="141" t="s">
        <v>15</v>
      </c>
      <c r="E81" s="97">
        <v>50</v>
      </c>
      <c r="F81" s="1473"/>
      <c r="G81" s="252"/>
      <c r="H81" s="946"/>
    </row>
    <row r="82" spans="1:8" s="224" customFormat="1" x14ac:dyDescent="0.25">
      <c r="A82" s="215">
        <v>42362</v>
      </c>
      <c r="B82" s="862" t="s">
        <v>56</v>
      </c>
      <c r="C82" s="350" t="s">
        <v>12</v>
      </c>
      <c r="D82" s="957" t="s">
        <v>13</v>
      </c>
      <c r="E82" s="97">
        <v>9.5</v>
      </c>
      <c r="F82" s="1473"/>
      <c r="G82" s="252"/>
      <c r="H82" s="946"/>
    </row>
    <row r="83" spans="1:8" s="224" customFormat="1" x14ac:dyDescent="0.25">
      <c r="A83" s="215">
        <v>42362</v>
      </c>
      <c r="B83" s="862" t="s">
        <v>56</v>
      </c>
      <c r="C83" s="350" t="s">
        <v>12</v>
      </c>
      <c r="D83" s="957" t="s">
        <v>15</v>
      </c>
      <c r="E83" s="97">
        <v>32</v>
      </c>
      <c r="F83" s="1473"/>
      <c r="G83" s="252"/>
      <c r="H83" s="946"/>
    </row>
    <row r="84" spans="1:8" s="224" customFormat="1" x14ac:dyDescent="0.25">
      <c r="A84" s="215">
        <v>42362</v>
      </c>
      <c r="B84" s="862" t="s">
        <v>56</v>
      </c>
      <c r="C84" s="350" t="s">
        <v>12</v>
      </c>
      <c r="D84" s="957" t="s">
        <v>15</v>
      </c>
      <c r="E84" s="97">
        <v>10</v>
      </c>
      <c r="F84" s="1473"/>
      <c r="G84" s="252"/>
      <c r="H84" s="946"/>
    </row>
    <row r="85" spans="1:8" x14ac:dyDescent="0.25">
      <c r="A85" s="215">
        <v>42363</v>
      </c>
      <c r="B85" s="862"/>
      <c r="C85" s="879"/>
      <c r="D85" s="887"/>
      <c r="E85" s="250"/>
      <c r="F85" s="946"/>
      <c r="G85" s="97"/>
      <c r="H85" s="946"/>
    </row>
    <row r="86" spans="1:8" s="224" customFormat="1" x14ac:dyDescent="0.25">
      <c r="A86" s="215">
        <v>42364</v>
      </c>
      <c r="B86" s="862"/>
      <c r="C86" s="879"/>
      <c r="D86" s="887"/>
      <c r="E86" s="250"/>
      <c r="F86" s="946"/>
      <c r="G86" s="97"/>
      <c r="H86" s="1473"/>
    </row>
    <row r="87" spans="1:8" s="224" customFormat="1" x14ac:dyDescent="0.25">
      <c r="A87" s="215">
        <v>42365</v>
      </c>
      <c r="B87" s="349" t="s">
        <v>134</v>
      </c>
      <c r="C87" s="350" t="s">
        <v>19</v>
      </c>
      <c r="D87" s="141" t="s">
        <v>13</v>
      </c>
      <c r="E87" s="97">
        <v>6</v>
      </c>
      <c r="F87" s="946"/>
      <c r="G87" s="79"/>
      <c r="H87" s="1473"/>
    </row>
    <row r="88" spans="1:8" s="224" customFormat="1" x14ac:dyDescent="0.25">
      <c r="A88" s="215">
        <v>42366</v>
      </c>
      <c r="B88" s="862" t="s">
        <v>32</v>
      </c>
      <c r="C88" s="879" t="s">
        <v>12</v>
      </c>
      <c r="D88" s="887" t="s">
        <v>15</v>
      </c>
      <c r="E88" s="250">
        <v>12</v>
      </c>
      <c r="F88" s="946"/>
      <c r="G88" s="97"/>
      <c r="H88" s="1473"/>
    </row>
    <row r="89" spans="1:8" s="224" customFormat="1" x14ac:dyDescent="0.25">
      <c r="A89" s="215">
        <v>42366</v>
      </c>
      <c r="B89" s="862" t="s">
        <v>1014</v>
      </c>
      <c r="C89" s="879" t="s">
        <v>12</v>
      </c>
      <c r="D89" s="887" t="s">
        <v>13</v>
      </c>
      <c r="E89" s="250">
        <v>11.73</v>
      </c>
      <c r="F89" s="946"/>
      <c r="G89" s="97"/>
      <c r="H89" s="1473"/>
    </row>
    <row r="90" spans="1:8" s="224" customFormat="1" x14ac:dyDescent="0.25">
      <c r="A90" s="215">
        <v>42366</v>
      </c>
      <c r="B90" s="862" t="s">
        <v>914</v>
      </c>
      <c r="C90" s="879" t="s">
        <v>12</v>
      </c>
      <c r="D90" s="887" t="s">
        <v>13</v>
      </c>
      <c r="E90" s="250">
        <v>12.65</v>
      </c>
      <c r="F90" s="946"/>
      <c r="G90" s="97"/>
      <c r="H90" s="1473"/>
    </row>
    <row r="91" spans="1:8" s="224" customFormat="1" x14ac:dyDescent="0.25">
      <c r="A91" s="215">
        <v>42366</v>
      </c>
      <c r="B91" s="862" t="s">
        <v>1207</v>
      </c>
      <c r="C91" s="879" t="s">
        <v>19</v>
      </c>
      <c r="D91" s="887" t="s">
        <v>13</v>
      </c>
      <c r="E91" s="250">
        <v>22</v>
      </c>
      <c r="F91" s="946"/>
      <c r="G91" s="97"/>
      <c r="H91" s="1473"/>
    </row>
    <row r="92" spans="1:8" s="224" customFormat="1" x14ac:dyDescent="0.25">
      <c r="A92" s="215">
        <v>42366</v>
      </c>
      <c r="B92" s="862" t="s">
        <v>1208</v>
      </c>
      <c r="C92" s="879" t="s">
        <v>19</v>
      </c>
      <c r="D92" s="887" t="s">
        <v>13</v>
      </c>
      <c r="E92" s="250">
        <v>20.97</v>
      </c>
      <c r="F92" s="946"/>
      <c r="G92" s="97"/>
      <c r="H92" s="1473"/>
    </row>
    <row r="93" spans="1:8" s="224" customFormat="1" x14ac:dyDescent="0.25">
      <c r="A93" s="215">
        <v>42366</v>
      </c>
      <c r="B93" s="862" t="s">
        <v>138</v>
      </c>
      <c r="C93" s="879" t="s">
        <v>12</v>
      </c>
      <c r="D93" s="887" t="s">
        <v>15</v>
      </c>
      <c r="E93" s="250">
        <v>20</v>
      </c>
      <c r="F93" s="946"/>
      <c r="G93" s="97"/>
      <c r="H93" s="1473"/>
    </row>
    <row r="94" spans="1:8" s="224" customFormat="1" x14ac:dyDescent="0.25">
      <c r="A94" s="215">
        <v>42367</v>
      </c>
      <c r="B94" s="862" t="s">
        <v>1209</v>
      </c>
      <c r="C94" s="879" t="s">
        <v>12</v>
      </c>
      <c r="D94" s="887" t="s">
        <v>13</v>
      </c>
      <c r="E94" s="250">
        <v>50</v>
      </c>
      <c r="F94" s="946"/>
      <c r="G94" s="97"/>
      <c r="H94" s="1473"/>
    </row>
    <row r="95" spans="1:8" s="224" customFormat="1" x14ac:dyDescent="0.25">
      <c r="A95" s="215">
        <v>42367</v>
      </c>
      <c r="B95" s="862" t="s">
        <v>32</v>
      </c>
      <c r="C95" s="879" t="s">
        <v>12</v>
      </c>
      <c r="D95" s="887" t="s">
        <v>15</v>
      </c>
      <c r="E95" s="250">
        <v>12</v>
      </c>
      <c r="F95" s="946"/>
      <c r="G95" s="97"/>
      <c r="H95" s="1473"/>
    </row>
    <row r="96" spans="1:8" s="224" customFormat="1" x14ac:dyDescent="0.25">
      <c r="A96" s="215">
        <v>42367</v>
      </c>
      <c r="B96" s="862" t="s">
        <v>14</v>
      </c>
      <c r="C96" s="879" t="s">
        <v>12</v>
      </c>
      <c r="D96" s="887" t="s">
        <v>13</v>
      </c>
      <c r="E96" s="250">
        <v>8.26</v>
      </c>
      <c r="F96" s="946"/>
      <c r="G96" s="97"/>
      <c r="H96" s="1473"/>
    </row>
    <row r="97" spans="1:8" s="224" customFormat="1" x14ac:dyDescent="0.25">
      <c r="A97" s="215">
        <v>42367</v>
      </c>
      <c r="B97" s="862" t="s">
        <v>1210</v>
      </c>
      <c r="C97" s="879" t="s">
        <v>12</v>
      </c>
      <c r="D97" s="887" t="s">
        <v>13</v>
      </c>
      <c r="E97" s="250">
        <v>6</v>
      </c>
      <c r="F97" s="946"/>
      <c r="G97" s="97"/>
      <c r="H97" s="1473"/>
    </row>
    <row r="98" spans="1:8" s="224" customFormat="1" x14ac:dyDescent="0.25">
      <c r="A98" s="215">
        <v>42368</v>
      </c>
      <c r="B98" s="862" t="s">
        <v>32</v>
      </c>
      <c r="C98" s="879" t="s">
        <v>12</v>
      </c>
      <c r="D98" s="887" t="s">
        <v>15</v>
      </c>
      <c r="E98" s="250">
        <v>12</v>
      </c>
      <c r="F98" s="946"/>
      <c r="G98" s="97"/>
      <c r="H98" s="1473"/>
    </row>
    <row r="99" spans="1:8" s="224" customFormat="1" x14ac:dyDescent="0.25">
      <c r="A99" s="215">
        <v>42368</v>
      </c>
      <c r="B99" s="862" t="s">
        <v>1057</v>
      </c>
      <c r="C99" s="879" t="s">
        <v>19</v>
      </c>
      <c r="D99" s="887" t="s">
        <v>13</v>
      </c>
      <c r="E99" s="250">
        <v>7</v>
      </c>
      <c r="F99" s="946"/>
      <c r="G99" s="97"/>
      <c r="H99" s="1473"/>
    </row>
    <row r="100" spans="1:8" s="224" customFormat="1" x14ac:dyDescent="0.25">
      <c r="A100" s="215">
        <v>42368</v>
      </c>
      <c r="B100" s="862" t="s">
        <v>80</v>
      </c>
      <c r="C100" s="879" t="s">
        <v>19</v>
      </c>
      <c r="D100" s="887" t="s">
        <v>13</v>
      </c>
      <c r="E100" s="250">
        <v>15.6</v>
      </c>
      <c r="F100" s="946"/>
      <c r="G100" s="97"/>
      <c r="H100" s="1473"/>
    </row>
    <row r="101" spans="1:8" s="224" customFormat="1" x14ac:dyDescent="0.25">
      <c r="A101" s="215">
        <v>42368</v>
      </c>
      <c r="B101" s="862" t="s">
        <v>134</v>
      </c>
      <c r="C101" s="879" t="s">
        <v>19</v>
      </c>
      <c r="D101" s="887" t="s">
        <v>13</v>
      </c>
      <c r="E101" s="250">
        <v>9.56</v>
      </c>
      <c r="F101" s="946"/>
      <c r="G101" s="97"/>
      <c r="H101" s="1473"/>
    </row>
    <row r="102" spans="1:8" s="224" customFormat="1" ht="15.75" thickBot="1" x14ac:dyDescent="0.3">
      <c r="A102" s="215">
        <v>42369</v>
      </c>
      <c r="B102" s="349" t="s">
        <v>1211</v>
      </c>
      <c r="C102" s="350" t="s">
        <v>12</v>
      </c>
      <c r="D102" s="141" t="s">
        <v>13</v>
      </c>
      <c r="E102" s="97">
        <v>25.79</v>
      </c>
      <c r="F102" s="946"/>
      <c r="G102" s="97"/>
      <c r="H102" s="1473"/>
    </row>
    <row r="103" spans="1:8" ht="25.5" customHeight="1" thickBot="1" x14ac:dyDescent="0.3">
      <c r="A103" s="3060"/>
      <c r="B103" s="3061"/>
      <c r="C103" s="3062"/>
      <c r="D103" s="3062"/>
      <c r="E103" s="100">
        <f>SUM(E6:E102)</f>
        <v>11544.399999999998</v>
      </c>
      <c r="F103" s="1065">
        <f>SUM(F5:F102)</f>
        <v>12120.843000000001</v>
      </c>
      <c r="G103" s="101">
        <f>SUM(G6:G102)</f>
        <v>4872.5200000000004</v>
      </c>
      <c r="H103" s="93">
        <f>SUM(H5:H102)</f>
        <v>4922.5200000000004</v>
      </c>
    </row>
    <row r="104" spans="1:8" ht="25.5" customHeight="1" thickBot="1" x14ac:dyDescent="0.3">
      <c r="A104" s="3077" t="s">
        <v>49</v>
      </c>
      <c r="B104" s="3078"/>
      <c r="C104" s="3078"/>
      <c r="D104" s="3078"/>
      <c r="E104" s="144"/>
      <c r="F104" s="519">
        <f>F103-E103</f>
        <v>576.44300000000294</v>
      </c>
      <c r="G104" s="555"/>
      <c r="H104" s="556">
        <f>H103-G103</f>
        <v>50</v>
      </c>
    </row>
    <row r="106" spans="1:8" x14ac:dyDescent="0.25">
      <c r="B106" s="79" t="s">
        <v>32</v>
      </c>
      <c r="C106" s="475">
        <v>200</v>
      </c>
    </row>
    <row r="107" spans="1:8" x14ac:dyDescent="0.25">
      <c r="B107" s="79" t="s">
        <v>16</v>
      </c>
      <c r="C107" s="475">
        <v>469.9</v>
      </c>
      <c r="D107" s="79"/>
    </row>
    <row r="108" spans="1:8" x14ac:dyDescent="0.25">
      <c r="B108" s="79" t="s">
        <v>50</v>
      </c>
      <c r="C108" s="475">
        <v>62.89</v>
      </c>
    </row>
    <row r="109" spans="1:8" s="85" customFormat="1" x14ac:dyDescent="0.25">
      <c r="A109" s="79"/>
      <c r="B109" s="79" t="s">
        <v>14</v>
      </c>
      <c r="C109" s="475">
        <v>107.69</v>
      </c>
      <c r="E109" s="89"/>
      <c r="F109" s="79"/>
      <c r="G109" s="79"/>
    </row>
    <row r="110" spans="1:8" s="85" customFormat="1" x14ac:dyDescent="0.25">
      <c r="A110" s="79"/>
      <c r="B110" s="79" t="s">
        <v>51</v>
      </c>
      <c r="C110" s="484">
        <v>98.52</v>
      </c>
      <c r="E110" s="89"/>
      <c r="F110" s="79"/>
      <c r="G110" s="79"/>
      <c r="H110" s="79"/>
    </row>
    <row r="111" spans="1:8" s="85" customFormat="1" x14ac:dyDescent="0.25">
      <c r="A111" s="79"/>
      <c r="B111" s="79" t="s">
        <v>52</v>
      </c>
      <c r="C111" s="484"/>
      <c r="E111" s="89"/>
      <c r="F111" s="79"/>
      <c r="G111" s="79"/>
      <c r="H111" s="79"/>
    </row>
    <row r="112" spans="1:8" s="85" customFormat="1" x14ac:dyDescent="0.25">
      <c r="A112" s="79"/>
      <c r="B112" s="867" t="s">
        <v>53</v>
      </c>
      <c r="C112" s="475">
        <v>8190.69</v>
      </c>
      <c r="D112" s="89"/>
      <c r="E112" s="89"/>
      <c r="F112" s="79"/>
      <c r="G112" s="79"/>
      <c r="H112" s="79"/>
    </row>
    <row r="113" spans="1:9" s="85" customFormat="1" x14ac:dyDescent="0.25">
      <c r="A113" s="79"/>
      <c r="B113" s="79" t="s">
        <v>56</v>
      </c>
      <c r="C113" s="475">
        <v>77.099999999999994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910</v>
      </c>
      <c r="C114" s="475">
        <v>134.80000000000001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418</v>
      </c>
      <c r="C115" s="475"/>
      <c r="E115" s="89"/>
      <c r="F115" s="79"/>
      <c r="G115" s="79"/>
      <c r="H115" s="79"/>
    </row>
    <row r="116" spans="1:9" s="85" customFormat="1" x14ac:dyDescent="0.25">
      <c r="A116" s="79"/>
      <c r="B116" s="79" t="s">
        <v>419</v>
      </c>
      <c r="C116" s="475">
        <v>765.1</v>
      </c>
      <c r="D116" s="79"/>
      <c r="E116" s="89"/>
      <c r="F116" s="79"/>
      <c r="G116" s="79"/>
      <c r="H116" s="79"/>
    </row>
    <row r="117" spans="1:9" x14ac:dyDescent="0.25">
      <c r="B117" s="79" t="s">
        <v>911</v>
      </c>
      <c r="C117" s="475">
        <v>322.06</v>
      </c>
    </row>
    <row r="119" spans="1:9" x14ac:dyDescent="0.25">
      <c r="B119" s="79" t="s">
        <v>486</v>
      </c>
      <c r="C119" s="475">
        <f>G119/I119</f>
        <v>340.6258064516129</v>
      </c>
      <c r="E119" s="224" t="s">
        <v>487</v>
      </c>
      <c r="F119" s="224"/>
      <c r="G119" s="216">
        <v>10559.4</v>
      </c>
      <c r="H119" s="518" t="s">
        <v>488</v>
      </c>
      <c r="I119" s="85">
        <v>31</v>
      </c>
    </row>
    <row r="131" spans="3:8" x14ac:dyDescent="0.25">
      <c r="C131" s="79"/>
      <c r="D131" s="79"/>
      <c r="H131" s="216"/>
    </row>
    <row r="132" spans="3:8" x14ac:dyDescent="0.25">
      <c r="C132" s="79"/>
      <c r="D132" s="79"/>
      <c r="H132" s="216"/>
    </row>
    <row r="133" spans="3:8" x14ac:dyDescent="0.25">
      <c r="C133" s="79"/>
      <c r="D133" s="79"/>
      <c r="F133" s="216"/>
      <c r="H133" s="216"/>
    </row>
    <row r="134" spans="3:8" x14ac:dyDescent="0.25">
      <c r="C134" s="79"/>
      <c r="D134" s="79"/>
      <c r="F134" s="216"/>
      <c r="H134" s="216"/>
    </row>
    <row r="135" spans="3:8" x14ac:dyDescent="0.25">
      <c r="C135" s="79"/>
      <c r="D135" s="79"/>
      <c r="F135" s="216"/>
    </row>
    <row r="136" spans="3:8" x14ac:dyDescent="0.25">
      <c r="C136" s="79"/>
      <c r="D136" s="79"/>
      <c r="H136" s="216"/>
    </row>
    <row r="138" spans="3:8" x14ac:dyDescent="0.25">
      <c r="C138" s="79"/>
      <c r="D138" s="79"/>
      <c r="H138" s="629"/>
    </row>
    <row r="144" spans="3:8" x14ac:dyDescent="0.25">
      <c r="C144" s="79"/>
      <c r="D144" s="79"/>
      <c r="H144" s="216"/>
    </row>
    <row r="145" spans="3:10" x14ac:dyDescent="0.25">
      <c r="C145" s="79"/>
      <c r="D145" s="79"/>
      <c r="E145" s="79"/>
      <c r="H145" s="216"/>
    </row>
    <row r="146" spans="3:10" x14ac:dyDescent="0.25">
      <c r="C146" s="79"/>
      <c r="D146" s="79"/>
      <c r="E146" s="79"/>
      <c r="H146" s="216"/>
    </row>
    <row r="147" spans="3:10" x14ac:dyDescent="0.25">
      <c r="C147" s="79"/>
      <c r="D147" s="79"/>
      <c r="E147" s="79"/>
      <c r="H147" s="216"/>
      <c r="J147" s="630"/>
    </row>
    <row r="148" spans="3:10" x14ac:dyDescent="0.25">
      <c r="C148" s="79"/>
      <c r="D148" s="79"/>
      <c r="E148" s="79"/>
      <c r="H148" s="216"/>
      <c r="J148" s="630"/>
    </row>
    <row r="149" spans="3:10" x14ac:dyDescent="0.25">
      <c r="C149" s="79"/>
      <c r="D149" s="79"/>
      <c r="E149" s="79"/>
      <c r="H149" s="216"/>
      <c r="J149" s="630"/>
    </row>
    <row r="150" spans="3:10" x14ac:dyDescent="0.25">
      <c r="C150" s="79"/>
      <c r="D150" s="79"/>
      <c r="E150" s="79"/>
      <c r="H150" s="216"/>
    </row>
    <row r="151" spans="3:10" x14ac:dyDescent="0.25">
      <c r="C151" s="79"/>
      <c r="D151" s="79"/>
      <c r="E151" s="79"/>
      <c r="H151" s="216"/>
    </row>
    <row r="152" spans="3:10" x14ac:dyDescent="0.25">
      <c r="C152" s="79"/>
      <c r="D152" s="79"/>
      <c r="E152" s="79"/>
      <c r="H152" s="216"/>
    </row>
  </sheetData>
  <autoFilter ref="A2:H104" xr:uid="{00000000-0009-0000-0000-000029000000}"/>
  <mergeCells count="10">
    <mergeCell ref="A103:D103"/>
    <mergeCell ref="A104:D10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Plan69"/>
  <dimension ref="A1:Q64"/>
  <sheetViews>
    <sheetView zoomScale="85" zoomScaleNormal="85" workbookViewId="0">
      <selection activeCell="C44" sqref="C44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11" width="13.85546875" style="79" bestFit="1" customWidth="1"/>
    <col min="12" max="12" width="14.28515625" style="79" bestFit="1" customWidth="1"/>
    <col min="13" max="13" width="16.42578125" style="79" customWidth="1"/>
    <col min="14" max="14" width="17.7109375" style="79" bestFit="1" customWidth="1"/>
    <col min="15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1212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3" t="s">
        <v>357</v>
      </c>
      <c r="P2" s="329"/>
    </row>
    <row r="3" spans="1:16" x14ac:dyDescent="0.25">
      <c r="A3" s="329" t="s">
        <v>32</v>
      </c>
      <c r="B3" s="336">
        <f>C3/12</f>
        <v>249.85083333333333</v>
      </c>
      <c r="C3" s="332">
        <f>D3+E3+F3+G3+H3+I3+J3+K3+L3+M3+N3+O3</f>
        <v>2998.21</v>
      </c>
      <c r="D3" s="337">
        <f>'Janeiro-15'!C113</f>
        <v>221</v>
      </c>
      <c r="E3" s="547">
        <f>'Fevereiro-15'!C100</f>
        <v>223.14</v>
      </c>
      <c r="F3" s="588">
        <f>'Março-15'!C96</f>
        <v>215.5</v>
      </c>
      <c r="G3" s="549">
        <f>'Abril-15'!C97</f>
        <v>256.35000000000002</v>
      </c>
      <c r="H3" s="588">
        <f>'Maio-15'!C118</f>
        <v>234.5</v>
      </c>
      <c r="I3" s="549">
        <f>'Junho-15'!C110</f>
        <v>252.5</v>
      </c>
      <c r="J3" s="549">
        <f>'Julho-15'!C105</f>
        <v>279.72000000000003</v>
      </c>
      <c r="K3" s="588">
        <f>'Agosto-15'!C107</f>
        <v>239</v>
      </c>
      <c r="L3" s="549">
        <f>'Setembro-15'!C110</f>
        <v>279</v>
      </c>
      <c r="M3" s="561">
        <f>'Outubro-15'!C118</f>
        <v>321</v>
      </c>
      <c r="N3" s="565">
        <f>'Novembro-15'!C107</f>
        <v>276.5</v>
      </c>
      <c r="O3" s="565">
        <f>'Dezembro-15'!C106</f>
        <v>200</v>
      </c>
      <c r="P3" s="329"/>
    </row>
    <row r="4" spans="1:16" x14ac:dyDescent="0.25">
      <c r="A4" s="329" t="s">
        <v>16</v>
      </c>
      <c r="B4" s="336">
        <f t="shared" ref="B4:B15" si="0">C4/12</f>
        <v>231.65833333333333</v>
      </c>
      <c r="C4" s="332">
        <f t="shared" ref="C4:C13" si="1">D4+E4+F4+G4+H4+I4+J4+K4+L4+M4+N4+O4</f>
        <v>2779.9</v>
      </c>
      <c r="D4" s="337">
        <f>'Janeiro-15'!C114</f>
        <v>180</v>
      </c>
      <c r="E4" s="547">
        <f>'Fevereiro-15'!C101</f>
        <v>190</v>
      </c>
      <c r="F4" s="549">
        <f>'Março-15'!C97</f>
        <v>260</v>
      </c>
      <c r="G4" s="588">
        <f>'Abril-15'!C98</f>
        <v>230</v>
      </c>
      <c r="H4" s="588">
        <f>'Maio-15'!C119</f>
        <v>230</v>
      </c>
      <c r="I4" s="588">
        <f>'Junho-15'!C111</f>
        <v>230</v>
      </c>
      <c r="J4" s="588">
        <f>'Julho-15'!C106</f>
        <v>180</v>
      </c>
      <c r="K4" s="549">
        <f>'Agosto-15'!C108</f>
        <v>190</v>
      </c>
      <c r="L4" s="549">
        <f>'Setembro-15'!C111</f>
        <v>200</v>
      </c>
      <c r="M4" s="561">
        <f>'Outubro-15'!C119</f>
        <v>210</v>
      </c>
      <c r="N4" s="565">
        <f>'Novembro-15'!C108</f>
        <v>210</v>
      </c>
      <c r="O4" s="561">
        <f>'Dezembro-15'!C107</f>
        <v>469.9</v>
      </c>
      <c r="P4" s="329"/>
    </row>
    <row r="5" spans="1:16" x14ac:dyDescent="0.25">
      <c r="A5" s="329" t="s">
        <v>50</v>
      </c>
      <c r="B5" s="336">
        <f t="shared" si="0"/>
        <v>146.05833333333337</v>
      </c>
      <c r="C5" s="332">
        <f t="shared" si="1"/>
        <v>1752.7000000000003</v>
      </c>
      <c r="D5" s="337">
        <f>'Janeiro-15'!C115</f>
        <v>124.5</v>
      </c>
      <c r="E5" s="587">
        <f>'Fevereiro-15'!C102</f>
        <v>76.12</v>
      </c>
      <c r="F5" s="549">
        <f>'Março-15'!C98</f>
        <v>113.54</v>
      </c>
      <c r="G5" s="549">
        <f>'Abril-15'!C99</f>
        <v>198.26</v>
      </c>
      <c r="H5" s="588">
        <f>'Maio-15'!C120</f>
        <v>106.02</v>
      </c>
      <c r="I5" s="549">
        <f>'Junho-15'!C112</f>
        <v>130.4</v>
      </c>
      <c r="J5" s="549">
        <f>'Julho-15'!C107</f>
        <v>201.22</v>
      </c>
      <c r="K5" s="588">
        <f>'Agosto-15'!C109</f>
        <v>134.54</v>
      </c>
      <c r="L5" s="549">
        <f>'Setembro-15'!C112</f>
        <v>183.96</v>
      </c>
      <c r="M5" s="565">
        <f>'Outubro-15'!C120</f>
        <v>179.3</v>
      </c>
      <c r="N5" s="561">
        <f>'Novembro-15'!C109</f>
        <v>241.95</v>
      </c>
      <c r="O5" s="565">
        <f>'Dezembro-15'!C108</f>
        <v>62.89</v>
      </c>
      <c r="P5" s="329"/>
    </row>
    <row r="6" spans="1:16" x14ac:dyDescent="0.25">
      <c r="A6" s="329" t="s">
        <v>14</v>
      </c>
      <c r="B6" s="336">
        <f t="shared" si="0"/>
        <v>129.00333333333336</v>
      </c>
      <c r="C6" s="332">
        <f t="shared" si="1"/>
        <v>1548.0400000000002</v>
      </c>
      <c r="D6" s="337">
        <f>'Janeiro-15'!C116</f>
        <v>179.57</v>
      </c>
      <c r="E6" s="587">
        <f>'Fevereiro-15'!C103</f>
        <v>137.66</v>
      </c>
      <c r="F6" s="549">
        <f>'Março-15'!C99</f>
        <v>159.63</v>
      </c>
      <c r="G6" s="588">
        <f>'Abril-15'!C100</f>
        <v>87.44</v>
      </c>
      <c r="H6" s="549">
        <f>'Maio-15'!C121</f>
        <v>214.14</v>
      </c>
      <c r="I6" s="588">
        <f>'Junho-15'!C113</f>
        <v>164.98</v>
      </c>
      <c r="J6" s="549">
        <f>'Julho-15'!C108</f>
        <v>188.5</v>
      </c>
      <c r="K6" s="588">
        <f>'Agosto-15'!C110</f>
        <v>103.66</v>
      </c>
      <c r="L6" s="588">
        <f>'Setembro-15'!C113</f>
        <v>34.94</v>
      </c>
      <c r="M6" s="561">
        <f>'Outubro-15'!C121</f>
        <v>99.83</v>
      </c>
      <c r="N6" s="565">
        <f>'Novembro-15'!C110</f>
        <v>70</v>
      </c>
      <c r="O6" s="561">
        <f>'Dezembro-15'!C109</f>
        <v>107.69</v>
      </c>
      <c r="P6" s="329"/>
    </row>
    <row r="7" spans="1:16" x14ac:dyDescent="0.25">
      <c r="A7" s="329" t="s">
        <v>358</v>
      </c>
      <c r="B7" s="336">
        <f t="shared" si="0"/>
        <v>76.281666666666666</v>
      </c>
      <c r="C7" s="332">
        <f t="shared" si="1"/>
        <v>915.38</v>
      </c>
      <c r="D7" s="337">
        <f>'Janeiro-15'!C117</f>
        <v>40.19</v>
      </c>
      <c r="E7" s="547">
        <f>'Fevereiro-15'!C104</f>
        <v>49.25</v>
      </c>
      <c r="F7" s="549">
        <f>'Março-15'!C100</f>
        <v>60.71</v>
      </c>
      <c r="G7" s="549">
        <f>'Abril-15'!C101</f>
        <v>64.489999999999995</v>
      </c>
      <c r="H7" s="549">
        <f>'Maio-15'!C122</f>
        <v>82.3</v>
      </c>
      <c r="I7" s="588">
        <f>'Junho-15'!C114</f>
        <v>74.14</v>
      </c>
      <c r="J7" s="588">
        <f>'Julho-15'!C109</f>
        <v>65.099999999999994</v>
      </c>
      <c r="K7" s="549">
        <f>'Agosto-15'!C111</f>
        <v>75.290000000000006</v>
      </c>
      <c r="L7" s="549">
        <f>'Setembro-15'!C114</f>
        <v>77.010000000000005</v>
      </c>
      <c r="M7" s="561">
        <f>'Outubro-15'!C122</f>
        <v>124.33</v>
      </c>
      <c r="N7" s="565">
        <f>'Novembro-15'!C111</f>
        <v>104.05</v>
      </c>
      <c r="O7" s="565">
        <f>'Dezembro-15'!C110</f>
        <v>98.52</v>
      </c>
      <c r="P7" s="329"/>
    </row>
    <row r="8" spans="1:16" x14ac:dyDescent="0.25">
      <c r="A8" s="329" t="s">
        <v>52</v>
      </c>
      <c r="B8" s="336">
        <f t="shared" si="0"/>
        <v>0</v>
      </c>
      <c r="C8" s="332">
        <f t="shared" si="1"/>
        <v>0</v>
      </c>
      <c r="D8" s="337">
        <f>'Janeiro-15'!C118</f>
        <v>0</v>
      </c>
      <c r="E8" s="587">
        <f>'Fevereiro-15'!C105</f>
        <v>0</v>
      </c>
      <c r="F8" s="588">
        <f>'Março-15'!C101</f>
        <v>0</v>
      </c>
      <c r="G8" s="588">
        <f>'Abril-15'!C102</f>
        <v>0</v>
      </c>
      <c r="H8" s="588">
        <f>'Maio-15'!C123</f>
        <v>0</v>
      </c>
      <c r="I8" s="588">
        <f>'Junho-15'!C115</f>
        <v>0</v>
      </c>
      <c r="J8" s="588">
        <f>'Julho-15'!C110</f>
        <v>0</v>
      </c>
      <c r="K8" s="588">
        <f>'Agosto-15'!C112</f>
        <v>0</v>
      </c>
      <c r="L8" s="588">
        <f>'Setembro-15'!C115</f>
        <v>0</v>
      </c>
      <c r="M8" s="565">
        <f>'Outubro-15'!C123</f>
        <v>0</v>
      </c>
      <c r="N8" s="565">
        <f>'Novembro-15'!C112</f>
        <v>0</v>
      </c>
      <c r="O8" s="565">
        <f>'Dezembro-15'!C111</f>
        <v>0</v>
      </c>
      <c r="P8" s="329"/>
    </row>
    <row r="9" spans="1:16" x14ac:dyDescent="0.25">
      <c r="A9" s="329" t="s">
        <v>53</v>
      </c>
      <c r="B9" s="336">
        <f t="shared" si="0"/>
        <v>777.43499999999995</v>
      </c>
      <c r="C9" s="332">
        <f>D9+E9+F9+G9+H9+I9+J9+K9+L9+M9+N9+O9</f>
        <v>9329.2199999999993</v>
      </c>
      <c r="D9" s="337">
        <f>'Janeiro-15'!C119</f>
        <v>74.83</v>
      </c>
      <c r="E9" s="587">
        <f>'Fevereiro-15'!C106</f>
        <v>0</v>
      </c>
      <c r="F9" s="549">
        <f>'Março-15'!C102</f>
        <v>23</v>
      </c>
      <c r="G9" s="549">
        <f>'Abril-15'!C103</f>
        <v>50</v>
      </c>
      <c r="H9" s="588">
        <f>'Maio-15'!C124</f>
        <v>45</v>
      </c>
      <c r="I9" s="549">
        <f>'Junho-15'!C116</f>
        <v>103</v>
      </c>
      <c r="J9" s="549">
        <f>'Julho-15'!C111</f>
        <v>145</v>
      </c>
      <c r="K9" s="588">
        <f>'Agosto-15'!C113</f>
        <v>0</v>
      </c>
      <c r="L9" s="549">
        <f>'Setembro-15'!C116</f>
        <v>14</v>
      </c>
      <c r="M9" s="561">
        <f>'Outubro-15'!C124</f>
        <v>39</v>
      </c>
      <c r="N9" s="561">
        <f>'Novembro-15'!C113</f>
        <v>644.70000000000005</v>
      </c>
      <c r="O9" s="561">
        <f>'Dezembro-15'!C112</f>
        <v>8190.69</v>
      </c>
      <c r="P9" s="329"/>
    </row>
    <row r="10" spans="1:16" x14ac:dyDescent="0.25">
      <c r="A10" s="329" t="s">
        <v>56</v>
      </c>
      <c r="B10" s="336">
        <f t="shared" si="0"/>
        <v>25.904166666666669</v>
      </c>
      <c r="C10" s="332">
        <f t="shared" si="1"/>
        <v>310.85000000000002</v>
      </c>
      <c r="D10" s="338">
        <f>'Janeiro-15'!C120</f>
        <v>0</v>
      </c>
      <c r="E10" s="547">
        <f>'Fevereiro-15'!C107</f>
        <v>20</v>
      </c>
      <c r="F10" s="588">
        <f>'Março-15'!C103</f>
        <v>0</v>
      </c>
      <c r="G10" s="565">
        <f>'Abril-15'!C104</f>
        <v>0</v>
      </c>
      <c r="H10" s="561">
        <f>'Maio-15'!C125</f>
        <v>34.65</v>
      </c>
      <c r="I10" s="561">
        <f>'Junho-15'!C117</f>
        <v>67.099999999999994</v>
      </c>
      <c r="J10" s="565">
        <f>'Julho-15'!C112</f>
        <v>21.5</v>
      </c>
      <c r="K10" s="565">
        <f>'Agosto-15'!C114</f>
        <v>14</v>
      </c>
      <c r="L10" s="561">
        <f>'Setembro-15'!C117</f>
        <v>50.5</v>
      </c>
      <c r="M10" s="565">
        <f>'Outubro-15'!C125</f>
        <v>26</v>
      </c>
      <c r="N10" s="565">
        <f>'Novembro-15'!C114</f>
        <v>0</v>
      </c>
      <c r="O10" s="561">
        <f>'Dezembro-15'!C113</f>
        <v>77.099999999999994</v>
      </c>
      <c r="P10" s="329"/>
    </row>
    <row r="11" spans="1:16" x14ac:dyDescent="0.25">
      <c r="A11" s="329" t="s">
        <v>57</v>
      </c>
      <c r="B11" s="336">
        <f t="shared" si="0"/>
        <v>249.60000000000002</v>
      </c>
      <c r="C11" s="332">
        <f t="shared" si="1"/>
        <v>2995.2000000000003</v>
      </c>
      <c r="D11" s="420">
        <f>'Janeiro-15'!C121</f>
        <v>161.66999999999999</v>
      </c>
      <c r="E11" s="547">
        <f>'Fevereiro-15'!C108</f>
        <v>268.11</v>
      </c>
      <c r="F11" s="588">
        <f>'Março-15'!C104</f>
        <v>221.57</v>
      </c>
      <c r="G11" s="565">
        <f>'Abril-15'!C105</f>
        <v>188.21</v>
      </c>
      <c r="H11" s="561">
        <f>'Maio-15'!C126</f>
        <v>369.31</v>
      </c>
      <c r="I11" s="565">
        <f>'Junho-15'!C118</f>
        <v>199.31</v>
      </c>
      <c r="J11" s="561">
        <f>'Julho-15'!C113</f>
        <v>223.24</v>
      </c>
      <c r="K11" s="561">
        <f>'Agosto-15'!C115</f>
        <v>470.9</v>
      </c>
      <c r="L11" s="565">
        <f>'Setembro-15'!C118</f>
        <v>248.8</v>
      </c>
      <c r="M11" s="561">
        <f>'Outubro-15'!C126</f>
        <v>283.69</v>
      </c>
      <c r="N11" s="565">
        <f>'Novembro-15'!C115</f>
        <v>225.59</v>
      </c>
      <c r="O11" s="565">
        <f>'Dezembro-15'!C114</f>
        <v>134.80000000000001</v>
      </c>
    </row>
    <row r="12" spans="1:16" x14ac:dyDescent="0.25">
      <c r="A12" s="329" t="s">
        <v>692</v>
      </c>
      <c r="B12" s="336">
        <f t="shared" si="0"/>
        <v>56.25</v>
      </c>
      <c r="C12" s="332">
        <f t="shared" si="1"/>
        <v>675</v>
      </c>
      <c r="D12" s="420">
        <v>225</v>
      </c>
      <c r="E12" s="587">
        <v>225</v>
      </c>
      <c r="F12" s="588">
        <v>225</v>
      </c>
      <c r="G12" s="565">
        <v>0</v>
      </c>
      <c r="H12" s="565">
        <v>0</v>
      </c>
      <c r="I12" s="565">
        <v>0</v>
      </c>
      <c r="J12" s="565">
        <v>0</v>
      </c>
      <c r="K12" s="565">
        <v>0</v>
      </c>
      <c r="L12" s="565">
        <v>0</v>
      </c>
      <c r="M12" s="565">
        <v>0</v>
      </c>
      <c r="N12" s="565">
        <v>0</v>
      </c>
      <c r="O12" s="565">
        <v>0</v>
      </c>
    </row>
    <row r="13" spans="1:16" x14ac:dyDescent="0.25">
      <c r="A13" s="329" t="s">
        <v>418</v>
      </c>
      <c r="B13" s="336">
        <f t="shared" si="0"/>
        <v>509.28999999999996</v>
      </c>
      <c r="C13" s="332">
        <f t="shared" si="1"/>
        <v>6111.48</v>
      </c>
      <c r="D13" s="420">
        <f>'Janeiro-15'!C122</f>
        <v>2652.83</v>
      </c>
      <c r="E13" s="587">
        <f>'Fevereiro-15'!C109</f>
        <v>1884.57</v>
      </c>
      <c r="F13" s="588">
        <f>'Março-15'!C105</f>
        <v>508.48</v>
      </c>
      <c r="G13" s="565">
        <f>'Abril-15'!C106</f>
        <v>99.51</v>
      </c>
      <c r="H13" s="565">
        <f>'Maio-15'!C127</f>
        <v>0</v>
      </c>
      <c r="I13" s="561">
        <f>'Junho-15'!C119</f>
        <v>816.29</v>
      </c>
      <c r="J13" s="565">
        <f>'Julho-15'!C114</f>
        <v>120</v>
      </c>
      <c r="K13" s="565">
        <f>'Agosto-15'!C116</f>
        <v>0</v>
      </c>
      <c r="L13" s="561">
        <f>'Setembro-15'!C119</f>
        <v>29.8</v>
      </c>
      <c r="M13" s="565">
        <f>'Outubro-15'!C127</f>
        <v>0</v>
      </c>
      <c r="N13" s="565">
        <f>'Novembro-15'!C116</f>
        <v>0</v>
      </c>
      <c r="O13" s="565">
        <f>'Dezembro-15'!C115</f>
        <v>0</v>
      </c>
    </row>
    <row r="14" spans="1:16" x14ac:dyDescent="0.25">
      <c r="A14" s="329" t="s">
        <v>419</v>
      </c>
      <c r="B14" s="336">
        <f t="shared" si="0"/>
        <v>557.05166666666673</v>
      </c>
      <c r="C14" s="332">
        <f>D14+E14+F14+G14+H14+I14+J14+K14+L14+M14+N14+O14</f>
        <v>6684.6200000000008</v>
      </c>
      <c r="D14" s="586">
        <f>'Janeiro-15'!C123</f>
        <v>159.37</v>
      </c>
      <c r="E14" s="547">
        <f>'Fevereiro-15'!C110</f>
        <v>411.56</v>
      </c>
      <c r="F14" s="549">
        <f>'Março-15'!C106</f>
        <v>520.26</v>
      </c>
      <c r="G14" s="565">
        <f>'Abril-15'!C107</f>
        <v>311.56</v>
      </c>
      <c r="H14" s="561">
        <f>'Maio-15'!C128</f>
        <v>409.42</v>
      </c>
      <c r="I14" s="561">
        <f>'Junho-15'!C120</f>
        <v>578.62</v>
      </c>
      <c r="J14" s="565">
        <f>'Julho-15'!C115</f>
        <v>457.41</v>
      </c>
      <c r="K14" s="565">
        <f>'Agosto-15'!C117</f>
        <v>456.19</v>
      </c>
      <c r="L14" s="561">
        <f>'Setembro-15'!C120</f>
        <v>1172.6600000000001</v>
      </c>
      <c r="M14" s="565">
        <f>'Outubro-15'!C128</f>
        <v>763.04</v>
      </c>
      <c r="N14" s="565">
        <f>'Novembro-15'!C117</f>
        <v>679.43</v>
      </c>
      <c r="O14" s="561">
        <f>'Dezembro-15'!C116</f>
        <v>765.1</v>
      </c>
    </row>
    <row r="15" spans="1:16" x14ac:dyDescent="0.25">
      <c r="A15" s="329" t="s">
        <v>911</v>
      </c>
      <c r="B15" s="336">
        <f t="shared" si="0"/>
        <v>276.875</v>
      </c>
      <c r="C15" s="332">
        <f>D15+E15+F15+G15+H15+I15+J15+K15+L15+M15+N15+O15</f>
        <v>3322.5</v>
      </c>
      <c r="D15" s="586">
        <f>'Janeiro-15'!C124</f>
        <v>0</v>
      </c>
      <c r="E15" s="547">
        <f>'Fevereiro-15'!C111</f>
        <v>157.06</v>
      </c>
      <c r="F15" s="549">
        <f>'Março-15'!C107</f>
        <v>579.77</v>
      </c>
      <c r="G15" s="565">
        <f>'Abril-15'!C108</f>
        <v>363.75</v>
      </c>
      <c r="H15" s="561">
        <f>'Maio-15'!C129</f>
        <v>718.79</v>
      </c>
      <c r="I15" s="565">
        <f>'Junho-15'!C121</f>
        <v>164.29</v>
      </c>
      <c r="J15" s="565">
        <f>'Julho-15'!C116</f>
        <v>164.29</v>
      </c>
      <c r="K15" s="561">
        <f>'Agosto-15'!C118</f>
        <v>319.92</v>
      </c>
      <c r="L15" s="565">
        <f>'Setembro-15'!C121</f>
        <v>171.89</v>
      </c>
      <c r="M15" s="561">
        <f>'Outubro-15'!C129</f>
        <v>181.99</v>
      </c>
      <c r="N15" s="565">
        <f>'Novembro-15'!C118</f>
        <v>178.69</v>
      </c>
      <c r="O15" s="561">
        <f>'Dezembro-15'!C117</f>
        <v>322.06</v>
      </c>
    </row>
    <row r="16" spans="1:16" ht="15.75" x14ac:dyDescent="0.25">
      <c r="A16" s="389" t="s">
        <v>361</v>
      </c>
      <c r="B16" s="551">
        <f t="shared" ref="B16:O16" si="2">SUM(B3:B15)</f>
        <v>3285.2583333333332</v>
      </c>
      <c r="C16" s="552">
        <f t="shared" si="2"/>
        <v>39423.1</v>
      </c>
      <c r="D16" s="391">
        <f t="shared" si="2"/>
        <v>4018.96</v>
      </c>
      <c r="E16" s="391">
        <f>SUM(E3:E15)</f>
        <v>3642.47</v>
      </c>
      <c r="F16" s="391">
        <f t="shared" si="2"/>
        <v>2887.46</v>
      </c>
      <c r="G16" s="391">
        <f t="shared" si="2"/>
        <v>1849.57</v>
      </c>
      <c r="H16" s="391">
        <f t="shared" si="2"/>
        <v>2444.13</v>
      </c>
      <c r="I16" s="391">
        <f t="shared" si="2"/>
        <v>2780.63</v>
      </c>
      <c r="J16" s="391">
        <f t="shared" si="2"/>
        <v>2045.98</v>
      </c>
      <c r="K16" s="391">
        <f t="shared" si="2"/>
        <v>2003.5</v>
      </c>
      <c r="L16" s="391">
        <f t="shared" si="2"/>
        <v>2462.56</v>
      </c>
      <c r="M16" s="391">
        <f t="shared" si="2"/>
        <v>2228.1800000000003</v>
      </c>
      <c r="N16" s="391">
        <f t="shared" si="2"/>
        <v>2630.91</v>
      </c>
      <c r="O16" s="616">
        <f t="shared" si="2"/>
        <v>10428.749999999998</v>
      </c>
    </row>
    <row r="24" spans="1:17" s="200" customFormat="1" ht="17.25" customHeight="1" x14ac:dyDescent="0.3">
      <c r="A24" s="198" t="s">
        <v>362</v>
      </c>
      <c r="B24" s="199">
        <v>3200</v>
      </c>
      <c r="C24" s="196"/>
      <c r="D24" s="196"/>
      <c r="E24" s="196"/>
      <c r="F24" s="196"/>
      <c r="G24" s="196"/>
      <c r="H24" s="196"/>
      <c r="I24" s="196"/>
      <c r="J24" s="196"/>
      <c r="K24" s="196"/>
      <c r="L24" s="196"/>
      <c r="M24" s="196"/>
    </row>
    <row r="25" spans="1:17" s="200" customFormat="1" ht="17.25" customHeight="1" x14ac:dyDescent="0.3">
      <c r="A25" s="198"/>
      <c r="B25" s="199"/>
      <c r="C25" s="196"/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N25" s="196"/>
    </row>
    <row r="26" spans="1:17" ht="15.75" x14ac:dyDescent="0.25">
      <c r="A26" s="197" t="s">
        <v>1213</v>
      </c>
      <c r="B26" s="278" t="s">
        <v>345</v>
      </c>
      <c r="C26" s="193" t="s">
        <v>346</v>
      </c>
      <c r="D26" s="195" t="s">
        <v>347</v>
      </c>
      <c r="E26" s="195" t="s">
        <v>348</v>
      </c>
      <c r="F26" s="195" t="s">
        <v>349</v>
      </c>
      <c r="G26" s="195" t="s">
        <v>364</v>
      </c>
      <c r="H26" s="195" t="s">
        <v>351</v>
      </c>
      <c r="I26" s="195" t="s">
        <v>352</v>
      </c>
      <c r="J26" s="193" t="s">
        <v>353</v>
      </c>
      <c r="K26" s="193" t="s">
        <v>354</v>
      </c>
      <c r="L26" s="193" t="s">
        <v>355</v>
      </c>
      <c r="M26" s="193" t="s">
        <v>365</v>
      </c>
      <c r="N26" s="193" t="s">
        <v>357</v>
      </c>
      <c r="O26" s="193"/>
      <c r="P26" s="193"/>
      <c r="Q26" s="193"/>
    </row>
    <row r="27" spans="1:17" x14ac:dyDescent="0.25">
      <c r="A27" s="79" t="s">
        <v>366</v>
      </c>
      <c r="B27" s="279">
        <f>C27+D27+E27+F27+G27+H27+I27+J27+K27+L27+M27+N27+O27+P27+Q27</f>
        <v>14080</v>
      </c>
      <c r="C27" s="865">
        <v>1280</v>
      </c>
      <c r="D27" s="865">
        <v>1280</v>
      </c>
      <c r="E27" s="865">
        <v>1280</v>
      </c>
      <c r="F27" s="865">
        <v>1280</v>
      </c>
      <c r="G27" s="865">
        <v>1280</v>
      </c>
      <c r="H27" s="865">
        <v>1280</v>
      </c>
      <c r="I27" s="865">
        <v>1280</v>
      </c>
      <c r="J27" s="865">
        <v>1280</v>
      </c>
      <c r="K27" s="865">
        <v>1280</v>
      </c>
      <c r="L27" s="865">
        <v>1280</v>
      </c>
      <c r="M27" s="865">
        <v>1280</v>
      </c>
      <c r="N27" s="865"/>
      <c r="Q27" s="629"/>
    </row>
    <row r="28" spans="1:17" x14ac:dyDescent="0.25">
      <c r="A28" s="79" t="s">
        <v>367</v>
      </c>
      <c r="B28" s="279">
        <f>C28+D28+E28+F28+G28+H28+I28+J28+K28+L28+M28+N28+O28+P28+Q28</f>
        <v>18056.54</v>
      </c>
      <c r="C28" s="865">
        <v>1492</v>
      </c>
      <c r="D28" s="865">
        <v>1492</v>
      </c>
      <c r="E28" s="865">
        <v>1492</v>
      </c>
      <c r="F28" s="865">
        <v>1501.95</v>
      </c>
      <c r="G28" s="865">
        <v>1501.95</v>
      </c>
      <c r="H28" s="865">
        <v>1501.95</v>
      </c>
      <c r="I28" s="865">
        <v>1501.95</v>
      </c>
      <c r="J28" s="865">
        <v>1501.95</v>
      </c>
      <c r="K28" s="865">
        <v>1501.95</v>
      </c>
      <c r="L28" s="865">
        <v>1511.42</v>
      </c>
      <c r="M28" s="216">
        <v>1511.42</v>
      </c>
      <c r="N28" s="865">
        <v>1546</v>
      </c>
      <c r="O28" s="216"/>
      <c r="P28" s="216"/>
      <c r="Q28" s="216"/>
    </row>
    <row r="29" spans="1:17" x14ac:dyDescent="0.25">
      <c r="A29" s="79" t="s">
        <v>368</v>
      </c>
      <c r="B29" s="279">
        <f>C29+D29+E29+F29+G29+H29+I29+J29+K29+L29+M29+N29+O29+P29+Q29</f>
        <v>3611</v>
      </c>
      <c r="C29" s="865"/>
      <c r="D29" s="865"/>
      <c r="E29" s="865"/>
      <c r="F29" s="865"/>
      <c r="G29" s="865"/>
      <c r="H29" s="865"/>
      <c r="I29" s="865"/>
      <c r="J29" s="865"/>
      <c r="K29" s="865"/>
      <c r="L29" s="216"/>
      <c r="M29" s="865"/>
      <c r="N29" s="865">
        <v>3611</v>
      </c>
      <c r="O29" s="216"/>
      <c r="P29" s="216"/>
      <c r="Q29" s="216"/>
    </row>
    <row r="30" spans="1:17" x14ac:dyDescent="0.25">
      <c r="A30" s="79" t="s">
        <v>369</v>
      </c>
      <c r="B30" s="279">
        <f>C30+D30+E30+F30+G30+H30+I30+J30+K30+L30+M30+N30+O30+P30+Q30</f>
        <v>2791.42</v>
      </c>
      <c r="C30" s="865"/>
      <c r="D30" s="865"/>
      <c r="E30" s="865"/>
      <c r="F30" s="865"/>
      <c r="G30" s="865"/>
      <c r="H30" s="865"/>
      <c r="I30" s="865"/>
      <c r="J30" s="865"/>
      <c r="K30" s="865"/>
      <c r="L30" s="216"/>
      <c r="M30" s="216">
        <v>1600</v>
      </c>
      <c r="N30" s="216">
        <v>1191.42</v>
      </c>
      <c r="O30" s="216"/>
      <c r="P30" s="216"/>
      <c r="Q30" s="216"/>
    </row>
    <row r="31" spans="1:17" x14ac:dyDescent="0.25">
      <c r="A31" s="79" t="s">
        <v>370</v>
      </c>
      <c r="B31" s="279">
        <f>C31+D31+E31+F31+G31+H31+I31+J31+K31+L31+M31+N31+O31+P31+Q31</f>
        <v>181</v>
      </c>
      <c r="C31" s="865"/>
      <c r="D31" s="865"/>
      <c r="E31" s="865">
        <v>181</v>
      </c>
      <c r="F31" s="865"/>
      <c r="G31" s="865"/>
      <c r="H31" s="865"/>
      <c r="I31" s="865"/>
      <c r="J31" s="865"/>
      <c r="K31" s="865"/>
      <c r="L31" s="216"/>
      <c r="M31" s="216"/>
      <c r="N31" s="216"/>
      <c r="O31" s="216"/>
      <c r="P31" s="216"/>
      <c r="Q31" s="216"/>
    </row>
    <row r="32" spans="1:17" ht="15.75" x14ac:dyDescent="0.25">
      <c r="A32" s="280" t="s">
        <v>361</v>
      </c>
      <c r="B32" s="206">
        <f>SUM(B27:B31)</f>
        <v>38719.96</v>
      </c>
      <c r="C32" s="206">
        <f t="shared" ref="C32:L32" si="3">SUM(C27:C28)</f>
        <v>2772</v>
      </c>
      <c r="D32" s="206">
        <f t="shared" si="3"/>
        <v>2772</v>
      </c>
      <c r="E32" s="206">
        <f>SUM(E27:E31)</f>
        <v>2953</v>
      </c>
      <c r="F32" s="206">
        <f t="shared" si="3"/>
        <v>2781.95</v>
      </c>
      <c r="G32" s="206">
        <f t="shared" si="3"/>
        <v>2781.95</v>
      </c>
      <c r="H32" s="206">
        <f t="shared" si="3"/>
        <v>2781.95</v>
      </c>
      <c r="I32" s="206">
        <f t="shared" si="3"/>
        <v>2781.95</v>
      </c>
      <c r="J32" s="206">
        <f t="shared" si="3"/>
        <v>2781.95</v>
      </c>
      <c r="K32" s="206">
        <f t="shared" si="3"/>
        <v>2781.95</v>
      </c>
      <c r="L32" s="206">
        <f t="shared" si="3"/>
        <v>2791.42</v>
      </c>
      <c r="M32" s="206">
        <f>SUM(M27:M31)</f>
        <v>4391.42</v>
      </c>
      <c r="N32" s="206">
        <f>SUM(N27:N31)</f>
        <v>6348.42</v>
      </c>
      <c r="O32" s="206"/>
      <c r="P32" s="633"/>
      <c r="Q32" s="633"/>
    </row>
    <row r="33" spans="1:17" ht="15.75" x14ac:dyDescent="0.25">
      <c r="A33" s="280"/>
      <c r="B33" s="206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16"/>
      <c r="P33" s="216"/>
      <c r="Q33" s="216"/>
    </row>
    <row r="34" spans="1:17" x14ac:dyDescent="0.25">
      <c r="B34" s="206"/>
      <c r="C34" s="865"/>
      <c r="D34" s="865"/>
      <c r="E34" s="865"/>
      <c r="F34" s="865"/>
      <c r="G34" s="865"/>
      <c r="H34" s="865"/>
      <c r="I34" s="865"/>
      <c r="M34" s="216"/>
      <c r="N34" s="216"/>
      <c r="O34" s="216"/>
      <c r="P34" s="216"/>
      <c r="Q34" s="216"/>
    </row>
    <row r="35" spans="1:17" x14ac:dyDescent="0.25">
      <c r="A35" s="81" t="s">
        <v>371</v>
      </c>
      <c r="B35" s="206">
        <f>C35+D35+E35+F35+G35+H35+I35+J35+K35+M35+L35+N35+O35+P35</f>
        <v>2816</v>
      </c>
      <c r="C35" s="177">
        <v>256</v>
      </c>
      <c r="D35" s="177">
        <v>256</v>
      </c>
      <c r="E35" s="177">
        <v>256</v>
      </c>
      <c r="F35" s="177">
        <v>256</v>
      </c>
      <c r="G35" s="177">
        <v>256</v>
      </c>
      <c r="H35" s="177">
        <v>256</v>
      </c>
      <c r="I35" s="177">
        <v>256</v>
      </c>
      <c r="J35" s="177">
        <v>256</v>
      </c>
      <c r="K35" s="177">
        <v>256</v>
      </c>
      <c r="L35" s="177">
        <v>256</v>
      </c>
      <c r="M35" s="177">
        <v>256</v>
      </c>
      <c r="N35" s="216"/>
      <c r="O35" s="216"/>
      <c r="P35" s="216"/>
      <c r="Q35" s="216"/>
    </row>
    <row r="36" spans="1:17" x14ac:dyDescent="0.25">
      <c r="A36" s="81" t="s">
        <v>372</v>
      </c>
      <c r="B36" s="206">
        <f>N36</f>
        <v>341.33</v>
      </c>
      <c r="C36" s="177"/>
      <c r="D36" s="177"/>
      <c r="E36" s="177"/>
      <c r="F36" s="177"/>
      <c r="G36" s="177"/>
      <c r="H36" s="177"/>
      <c r="I36" s="177"/>
      <c r="J36" s="177"/>
      <c r="K36" s="177"/>
      <c r="L36" s="177"/>
      <c r="M36" s="177"/>
      <c r="N36" s="216">
        <v>341.33</v>
      </c>
      <c r="O36" s="216"/>
      <c r="P36" s="216"/>
      <c r="Q36" s="216"/>
    </row>
    <row r="37" spans="1:17" x14ac:dyDescent="0.25">
      <c r="A37" s="81" t="s">
        <v>373</v>
      </c>
      <c r="B37" s="206">
        <f>M37+N37</f>
        <v>256</v>
      </c>
      <c r="C37" s="177"/>
      <c r="D37" s="177"/>
      <c r="E37" s="177"/>
      <c r="F37" s="177"/>
      <c r="G37" s="177"/>
      <c r="H37" s="177"/>
      <c r="I37" s="177"/>
      <c r="J37" s="177"/>
      <c r="K37" s="177"/>
      <c r="L37" s="177"/>
      <c r="M37" s="177">
        <f>M30*8%</f>
        <v>128</v>
      </c>
      <c r="N37" s="216">
        <f>M30*8%</f>
        <v>128</v>
      </c>
      <c r="O37" s="216"/>
      <c r="P37" s="216"/>
      <c r="Q37" s="216"/>
    </row>
    <row r="38" spans="1:17" ht="15.75" x14ac:dyDescent="0.25">
      <c r="A38" s="280" t="s">
        <v>361</v>
      </c>
      <c r="B38" s="206">
        <f>SUM(B35:B37)</f>
        <v>3413.33</v>
      </c>
      <c r="C38" s="206">
        <f t="shared" ref="C38:N38" si="4">SUM(C35:C37)</f>
        <v>256</v>
      </c>
      <c r="D38" s="206">
        <f t="shared" si="4"/>
        <v>256</v>
      </c>
      <c r="E38" s="206">
        <f t="shared" si="4"/>
        <v>256</v>
      </c>
      <c r="F38" s="206">
        <f t="shared" si="4"/>
        <v>256</v>
      </c>
      <c r="G38" s="206">
        <f t="shared" si="4"/>
        <v>256</v>
      </c>
      <c r="H38" s="206">
        <f>SUM(H35:H37)</f>
        <v>256</v>
      </c>
      <c r="I38" s="206">
        <f t="shared" si="4"/>
        <v>256</v>
      </c>
      <c r="J38" s="206">
        <f t="shared" si="4"/>
        <v>256</v>
      </c>
      <c r="K38" s="206">
        <f t="shared" si="4"/>
        <v>256</v>
      </c>
      <c r="L38" s="206">
        <f t="shared" si="4"/>
        <v>256</v>
      </c>
      <c r="M38" s="206">
        <f t="shared" si="4"/>
        <v>384</v>
      </c>
      <c r="N38" s="633">
        <f t="shared" si="4"/>
        <v>469.33</v>
      </c>
      <c r="O38" s="633"/>
      <c r="P38" s="633"/>
      <c r="Q38" s="216"/>
    </row>
    <row r="39" spans="1:17" ht="15.75" x14ac:dyDescent="0.25">
      <c r="A39" s="280"/>
      <c r="B39" s="206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</row>
    <row r="40" spans="1:17" x14ac:dyDescent="0.25">
      <c r="A40" s="81"/>
      <c r="B40" s="206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</row>
    <row r="41" spans="1:17" ht="15.75" x14ac:dyDescent="0.25">
      <c r="A41" s="197" t="s">
        <v>374</v>
      </c>
      <c r="B41" s="278" t="s">
        <v>345</v>
      </c>
      <c r="C41" s="193" t="s">
        <v>346</v>
      </c>
      <c r="D41" s="195" t="s">
        <v>347</v>
      </c>
      <c r="E41" s="195" t="s">
        <v>348</v>
      </c>
      <c r="F41" s="195" t="s">
        <v>349</v>
      </c>
      <c r="G41" s="195" t="s">
        <v>364</v>
      </c>
      <c r="H41" s="195" t="s">
        <v>351</v>
      </c>
      <c r="I41" s="195" t="s">
        <v>352</v>
      </c>
      <c r="J41" s="193" t="s">
        <v>353</v>
      </c>
      <c r="K41" s="193" t="s">
        <v>354</v>
      </c>
      <c r="L41" s="193" t="s">
        <v>355</v>
      </c>
      <c r="M41" s="193" t="s">
        <v>356</v>
      </c>
      <c r="N41" s="193" t="s">
        <v>357</v>
      </c>
      <c r="O41" s="193"/>
    </row>
    <row r="42" spans="1:17" x14ac:dyDescent="0.25">
      <c r="A42" s="79" t="s">
        <v>1214</v>
      </c>
      <c r="B42" s="279">
        <f>C42+D42+E42+F42+G42+H42+I42+J42+K42+L42+M42+N42</f>
        <v>3872</v>
      </c>
      <c r="C42" s="865">
        <v>352</v>
      </c>
      <c r="D42" s="865">
        <v>352</v>
      </c>
      <c r="E42" s="865">
        <v>352</v>
      </c>
      <c r="F42" s="865">
        <v>352</v>
      </c>
      <c r="G42" s="865">
        <v>352</v>
      </c>
      <c r="H42" s="865">
        <v>352</v>
      </c>
      <c r="I42" s="865">
        <v>352</v>
      </c>
      <c r="J42" s="865">
        <v>352</v>
      </c>
      <c r="K42" s="865">
        <v>352</v>
      </c>
      <c r="L42" s="865">
        <v>352</v>
      </c>
      <c r="M42" s="865">
        <v>352</v>
      </c>
      <c r="N42" s="865"/>
    </row>
    <row r="43" spans="1:17" x14ac:dyDescent="0.25">
      <c r="A43" s="79" t="s">
        <v>1215</v>
      </c>
      <c r="B43" s="279">
        <f>C43+D43+E43+F43+G43+H43+I43+J43+K43+L43+M43+N43</f>
        <v>469.33</v>
      </c>
      <c r="C43" s="865"/>
      <c r="D43" s="865"/>
      <c r="E43" s="865"/>
      <c r="F43" s="865"/>
      <c r="G43" s="865"/>
      <c r="H43" s="865"/>
      <c r="I43" s="865"/>
      <c r="J43" s="865"/>
      <c r="K43" s="865"/>
      <c r="L43" s="865"/>
      <c r="M43" s="865"/>
      <c r="N43" s="865">
        <v>469.33</v>
      </c>
    </row>
    <row r="44" spans="1:17" x14ac:dyDescent="0.25">
      <c r="A44" s="79" t="s">
        <v>1216</v>
      </c>
      <c r="B44" s="279">
        <f>C44+D44+E44+F44+G44+H44+I44+J44+K44+L44+M44+N44</f>
        <v>352</v>
      </c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>
        <v>352</v>
      </c>
      <c r="N44" s="865"/>
    </row>
    <row r="45" spans="1:17" x14ac:dyDescent="0.25">
      <c r="A45" s="79" t="s">
        <v>378</v>
      </c>
      <c r="B45" s="279">
        <f>C45+D45+E45+F45+G45+H45+I45+J45+K45+L45+M45+N45</f>
        <v>85.23</v>
      </c>
      <c r="C45" s="865">
        <v>9.4700000000000006</v>
      </c>
      <c r="D45" s="865">
        <v>9.4700000000000006</v>
      </c>
      <c r="E45" s="865">
        <v>9.4700000000000006</v>
      </c>
      <c r="F45" s="865">
        <v>9.4700000000000006</v>
      </c>
      <c r="G45" s="865">
        <v>9.4700000000000006</v>
      </c>
      <c r="H45" s="865">
        <v>9.4700000000000006</v>
      </c>
      <c r="I45" s="865">
        <v>9.4700000000000006</v>
      </c>
      <c r="J45" s="216">
        <v>9.4700000000000006</v>
      </c>
      <c r="K45" s="216">
        <v>9.4700000000000006</v>
      </c>
      <c r="L45" s="216"/>
      <c r="M45" s="216"/>
      <c r="N45" s="216"/>
    </row>
    <row r="46" spans="1:17" x14ac:dyDescent="0.25">
      <c r="A46" s="79" t="s">
        <v>379</v>
      </c>
      <c r="B46" s="279">
        <f>C46+D46+E46+F46+G46+H46+I46+J46+K46+L46+M46+N46</f>
        <v>106.67</v>
      </c>
      <c r="C46" s="865"/>
      <c r="D46" s="865"/>
      <c r="E46" s="865">
        <v>106.67</v>
      </c>
      <c r="F46" s="865"/>
      <c r="G46" s="865"/>
      <c r="H46" s="865"/>
      <c r="I46" s="865"/>
      <c r="J46" s="216"/>
      <c r="K46" s="216"/>
      <c r="L46" s="216"/>
      <c r="M46" s="216"/>
      <c r="N46" s="216"/>
    </row>
    <row r="47" spans="1:17" ht="15.75" x14ac:dyDescent="0.25">
      <c r="A47" s="280" t="s">
        <v>361</v>
      </c>
      <c r="B47" s="206">
        <f>SUM(B42:B46)</f>
        <v>4885.2299999999996</v>
      </c>
      <c r="C47" s="635">
        <f t="shared" ref="C47:M47" si="5">SUM(C42:C46)</f>
        <v>361.47</v>
      </c>
      <c r="D47" s="635">
        <f t="shared" si="5"/>
        <v>361.47</v>
      </c>
      <c r="E47" s="635">
        <f t="shared" si="5"/>
        <v>468.14000000000004</v>
      </c>
      <c r="F47" s="635">
        <f t="shared" si="5"/>
        <v>361.47</v>
      </c>
      <c r="G47" s="635">
        <f t="shared" si="5"/>
        <v>361.47</v>
      </c>
      <c r="H47" s="635">
        <f t="shared" si="5"/>
        <v>361.47</v>
      </c>
      <c r="I47" s="635">
        <f t="shared" si="5"/>
        <v>361.47</v>
      </c>
      <c r="J47" s="635">
        <f t="shared" si="5"/>
        <v>361.47</v>
      </c>
      <c r="K47" s="635">
        <f t="shared" si="5"/>
        <v>361.47</v>
      </c>
      <c r="L47" s="635">
        <f t="shared" si="5"/>
        <v>352</v>
      </c>
      <c r="M47" s="635">
        <f t="shared" si="5"/>
        <v>704</v>
      </c>
      <c r="N47" s="635">
        <f>SUM(N42:N46)</f>
        <v>469.33</v>
      </c>
    </row>
    <row r="48" spans="1:17" x14ac:dyDescent="0.25">
      <c r="B48" s="194"/>
      <c r="C48" s="865"/>
      <c r="D48" s="865"/>
      <c r="E48" s="865"/>
      <c r="F48" s="865"/>
      <c r="G48" s="865"/>
      <c r="H48" s="865"/>
      <c r="I48" s="865"/>
    </row>
    <row r="49" spans="1:6" ht="18.75" x14ac:dyDescent="0.3">
      <c r="A49" s="353" t="s">
        <v>380</v>
      </c>
      <c r="B49" s="200" t="s">
        <v>381</v>
      </c>
      <c r="C49" s="354" t="s">
        <v>382</v>
      </c>
      <c r="D49" s="355" t="s">
        <v>383</v>
      </c>
    </row>
    <row r="50" spans="1:6" ht="18.75" x14ac:dyDescent="0.3">
      <c r="A50" s="353">
        <f>'Programação Pagtos.'!B154</f>
        <v>2781.9500000000003</v>
      </c>
      <c r="B50" s="79" t="s">
        <v>32</v>
      </c>
      <c r="C50" s="177">
        <f t="shared" ref="C50:C62" si="6">B3</f>
        <v>249.85083333333333</v>
      </c>
      <c r="D50" s="222">
        <f>C50/A50</f>
        <v>8.9811403272285012E-2</v>
      </c>
    </row>
    <row r="51" spans="1:6" x14ac:dyDescent="0.25">
      <c r="B51" s="79" t="s">
        <v>16</v>
      </c>
      <c r="C51" s="177">
        <f>B4</f>
        <v>231.65833333333333</v>
      </c>
      <c r="D51" s="222">
        <f>C51/A50</f>
        <v>8.3271925567797153E-2</v>
      </c>
      <c r="E51" s="177"/>
      <c r="F51" s="176"/>
    </row>
    <row r="52" spans="1:6" x14ac:dyDescent="0.25">
      <c r="B52" s="79" t="s">
        <v>50</v>
      </c>
      <c r="C52" s="177">
        <f t="shared" si="6"/>
        <v>146.05833333333337</v>
      </c>
      <c r="D52" s="222">
        <f>C52/A50</f>
        <v>5.2502141783041877E-2</v>
      </c>
      <c r="E52" s="177"/>
      <c r="F52" s="176"/>
    </row>
    <row r="53" spans="1:6" x14ac:dyDescent="0.25">
      <c r="B53" s="79" t="s">
        <v>14</v>
      </c>
      <c r="C53" s="177">
        <f t="shared" si="6"/>
        <v>129.00333333333336</v>
      </c>
      <c r="D53" s="222">
        <f>C53/A50</f>
        <v>4.637154993200214E-2</v>
      </c>
      <c r="E53" s="177"/>
      <c r="F53" s="176"/>
    </row>
    <row r="54" spans="1:6" x14ac:dyDescent="0.25">
      <c r="B54" s="79" t="s">
        <v>358</v>
      </c>
      <c r="C54" s="177">
        <f t="shared" si="6"/>
        <v>76.281666666666666</v>
      </c>
      <c r="D54" s="222">
        <f>C54/A50</f>
        <v>2.7420214837314352E-2</v>
      </c>
      <c r="E54" s="177"/>
      <c r="F54" s="176"/>
    </row>
    <row r="55" spans="1:6" x14ac:dyDescent="0.25">
      <c r="B55" s="79" t="s">
        <v>52</v>
      </c>
      <c r="C55" s="177">
        <f t="shared" si="6"/>
        <v>0</v>
      </c>
      <c r="D55" s="222">
        <f>C55/A50</f>
        <v>0</v>
      </c>
      <c r="E55" s="177"/>
      <c r="F55" s="176"/>
    </row>
    <row r="56" spans="1:6" x14ac:dyDescent="0.25">
      <c r="B56" s="79" t="s">
        <v>53</v>
      </c>
      <c r="C56" s="177">
        <f t="shared" si="6"/>
        <v>777.43499999999995</v>
      </c>
      <c r="D56" s="222">
        <f>C56/A50</f>
        <v>0.27945685580258445</v>
      </c>
      <c r="E56" s="177"/>
      <c r="F56" s="176"/>
    </row>
    <row r="57" spans="1:6" x14ac:dyDescent="0.25">
      <c r="B57" s="79" t="s">
        <v>56</v>
      </c>
      <c r="C57" s="177">
        <f t="shared" si="6"/>
        <v>25.904166666666669</v>
      </c>
      <c r="D57" s="222">
        <f>C57/A50</f>
        <v>9.3115141058130683E-3</v>
      </c>
      <c r="E57" s="177"/>
      <c r="F57" s="176"/>
    </row>
    <row r="58" spans="1:6" x14ac:dyDescent="0.25">
      <c r="B58" s="79" t="s">
        <v>57</v>
      </c>
      <c r="C58" s="177">
        <f t="shared" si="6"/>
        <v>249.60000000000002</v>
      </c>
      <c r="D58" s="222">
        <f>C58/A50</f>
        <v>8.9721238699473391E-2</v>
      </c>
      <c r="E58" s="177"/>
      <c r="F58" s="176"/>
    </row>
    <row r="59" spans="1:6" x14ac:dyDescent="0.25">
      <c r="B59" s="79" t="s">
        <v>692</v>
      </c>
      <c r="C59" s="177">
        <f t="shared" si="6"/>
        <v>56.25</v>
      </c>
      <c r="D59" s="222">
        <f>C59/A50</f>
        <v>2.0219630115566416E-2</v>
      </c>
      <c r="E59" s="177"/>
      <c r="F59" s="176"/>
    </row>
    <row r="60" spans="1:6" x14ac:dyDescent="0.25">
      <c r="B60" s="79" t="s">
        <v>418</v>
      </c>
      <c r="C60" s="177">
        <f t="shared" si="6"/>
        <v>509.28999999999996</v>
      </c>
      <c r="D60" s="222">
        <f>C60/A50</f>
        <v>0.18306942971656567</v>
      </c>
      <c r="E60" s="177"/>
      <c r="F60" s="176"/>
    </row>
    <row r="61" spans="1:6" x14ac:dyDescent="0.25">
      <c r="B61" s="79" t="s">
        <v>419</v>
      </c>
      <c r="C61" s="177">
        <f t="shared" si="6"/>
        <v>557.05166666666673</v>
      </c>
      <c r="D61" s="222">
        <f>C61/A50</f>
        <v>0.20023784276017423</v>
      </c>
    </row>
    <row r="62" spans="1:6" x14ac:dyDescent="0.25">
      <c r="B62" s="79" t="s">
        <v>911</v>
      </c>
      <c r="C62" s="1509">
        <f t="shared" si="6"/>
        <v>276.875</v>
      </c>
      <c r="D62" s="222">
        <f>C62/A50</f>
        <v>9.95255126799547E-2</v>
      </c>
    </row>
    <row r="63" spans="1:6" x14ac:dyDescent="0.25">
      <c r="C63" s="79"/>
      <c r="D63" s="79"/>
    </row>
    <row r="64" spans="1:6" ht="18.75" x14ac:dyDescent="0.3">
      <c r="B64" s="200" t="s">
        <v>388</v>
      </c>
      <c r="C64" s="623">
        <f>SUM(C50:C62)</f>
        <v>3285.2583333333332</v>
      </c>
      <c r="D64" s="624">
        <f>SUM(D50:D62)</f>
        <v>1.1809192592725726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Plan47"/>
  <dimension ref="A1:I141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1217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42370</v>
      </c>
      <c r="B5" s="369" t="s">
        <v>10</v>
      </c>
      <c r="C5" s="370"/>
      <c r="D5" s="207"/>
      <c r="E5" s="179"/>
      <c r="F5" s="933">
        <f>'Dezembro-15'!F104</f>
        <v>576.44300000000294</v>
      </c>
      <c r="G5" s="163"/>
      <c r="H5" s="933">
        <f>'Dezembro-15'!H104</f>
        <v>50</v>
      </c>
    </row>
    <row r="6" spans="1:8" s="224" customFormat="1" x14ac:dyDescent="0.25">
      <c r="A6" s="215">
        <v>42370</v>
      </c>
      <c r="B6" s="348" t="s">
        <v>11</v>
      </c>
      <c r="C6" s="351"/>
      <c r="D6" s="248"/>
      <c r="E6" s="250">
        <v>40</v>
      </c>
      <c r="F6" s="1473"/>
      <c r="G6" s="252"/>
      <c r="H6" s="1473"/>
    </row>
    <row r="7" spans="1:8" s="224" customFormat="1" x14ac:dyDescent="0.25">
      <c r="A7" s="215">
        <v>42371</v>
      </c>
      <c r="B7" s="349" t="s">
        <v>914</v>
      </c>
      <c r="C7" s="350" t="s">
        <v>12</v>
      </c>
      <c r="D7" s="141" t="s">
        <v>13</v>
      </c>
      <c r="E7" s="97">
        <v>15.55</v>
      </c>
      <c r="F7" s="946"/>
      <c r="G7" s="97"/>
      <c r="H7" s="1473"/>
    </row>
    <row r="8" spans="1:8" s="224" customFormat="1" x14ac:dyDescent="0.25">
      <c r="A8" s="215">
        <v>42371</v>
      </c>
      <c r="B8" s="349" t="s">
        <v>14</v>
      </c>
      <c r="C8" s="350" t="s">
        <v>12</v>
      </c>
      <c r="D8" s="141" t="s">
        <v>13</v>
      </c>
      <c r="E8" s="97">
        <v>4.3600000000000003</v>
      </c>
      <c r="F8" s="946"/>
      <c r="G8" s="97"/>
      <c r="H8" s="1473"/>
    </row>
    <row r="9" spans="1:8" s="224" customFormat="1" x14ac:dyDescent="0.25">
      <c r="A9" s="215">
        <v>42372</v>
      </c>
      <c r="B9" s="862"/>
      <c r="C9" s="879"/>
      <c r="D9" s="887"/>
      <c r="E9" s="250"/>
      <c r="F9" s="946"/>
      <c r="G9" s="97"/>
      <c r="H9" s="1473"/>
    </row>
    <row r="10" spans="1:8" s="224" customFormat="1" x14ac:dyDescent="0.25">
      <c r="A10" s="215">
        <v>42373</v>
      </c>
      <c r="B10" s="862" t="s">
        <v>32</v>
      </c>
      <c r="C10" s="879" t="s">
        <v>12</v>
      </c>
      <c r="D10" s="887" t="s">
        <v>13</v>
      </c>
      <c r="E10" s="250">
        <v>12</v>
      </c>
      <c r="F10" s="946"/>
      <c r="G10" s="97"/>
      <c r="H10" s="1473"/>
    </row>
    <row r="11" spans="1:8" s="224" customFormat="1" x14ac:dyDescent="0.25">
      <c r="A11" s="215">
        <v>42373</v>
      </c>
      <c r="B11" s="862" t="s">
        <v>1218</v>
      </c>
      <c r="C11" s="879" t="s">
        <v>19</v>
      </c>
      <c r="D11" s="887" t="s">
        <v>13</v>
      </c>
      <c r="E11" s="250">
        <v>56.58</v>
      </c>
      <c r="F11" s="946"/>
      <c r="G11" s="97"/>
      <c r="H11" s="1473"/>
    </row>
    <row r="12" spans="1:8" s="224" customFormat="1" x14ac:dyDescent="0.25">
      <c r="A12" s="215">
        <v>42373</v>
      </c>
      <c r="B12" s="862" t="s">
        <v>1219</v>
      </c>
      <c r="C12" s="879" t="s">
        <v>19</v>
      </c>
      <c r="D12" s="887" t="s">
        <v>13</v>
      </c>
      <c r="E12" s="250">
        <v>79.98</v>
      </c>
      <c r="F12" s="946"/>
      <c r="G12" s="97"/>
      <c r="H12" s="1473"/>
    </row>
    <row r="13" spans="1:8" s="224" customFormat="1" x14ac:dyDescent="0.25">
      <c r="A13" s="215">
        <v>42374</v>
      </c>
      <c r="B13" s="862" t="s">
        <v>32</v>
      </c>
      <c r="C13" s="879" t="s">
        <v>12</v>
      </c>
      <c r="D13" s="887" t="s">
        <v>13</v>
      </c>
      <c r="E13" s="250">
        <v>12</v>
      </c>
      <c r="F13" s="946"/>
      <c r="G13" s="97"/>
      <c r="H13" s="1473"/>
    </row>
    <row r="14" spans="1:8" s="224" customFormat="1" x14ac:dyDescent="0.25">
      <c r="A14" s="215">
        <v>42374</v>
      </c>
      <c r="B14" s="349" t="s">
        <v>14</v>
      </c>
      <c r="C14" s="350" t="s">
        <v>12</v>
      </c>
      <c r="D14" s="141" t="s">
        <v>13</v>
      </c>
      <c r="E14" s="97">
        <v>9.65</v>
      </c>
      <c r="F14" s="946"/>
      <c r="G14" s="97"/>
      <c r="H14" s="1473"/>
    </row>
    <row r="15" spans="1:8" s="224" customFormat="1" x14ac:dyDescent="0.25">
      <c r="A15" s="215">
        <v>42374</v>
      </c>
      <c r="B15" s="349" t="s">
        <v>1091</v>
      </c>
      <c r="C15" s="350" t="s">
        <v>12</v>
      </c>
      <c r="D15" s="141" t="s">
        <v>15</v>
      </c>
      <c r="E15" s="97">
        <v>30</v>
      </c>
      <c r="F15" s="946"/>
      <c r="G15" s="97"/>
      <c r="H15" s="1473"/>
    </row>
    <row r="16" spans="1:8" s="224" customFormat="1" x14ac:dyDescent="0.25">
      <c r="A16" s="215">
        <v>42375</v>
      </c>
      <c r="B16" s="862" t="s">
        <v>32</v>
      </c>
      <c r="C16" s="879" t="s">
        <v>12</v>
      </c>
      <c r="D16" s="887" t="s">
        <v>13</v>
      </c>
      <c r="E16" s="250">
        <v>12</v>
      </c>
      <c r="F16" s="946"/>
      <c r="G16" s="97"/>
      <c r="H16" s="1473"/>
    </row>
    <row r="17" spans="1:8" s="224" customFormat="1" x14ac:dyDescent="0.25">
      <c r="A17" s="215">
        <v>42375</v>
      </c>
      <c r="B17" s="349" t="s">
        <v>14</v>
      </c>
      <c r="C17" s="350" t="s">
        <v>12</v>
      </c>
      <c r="D17" s="141" t="s">
        <v>13</v>
      </c>
      <c r="E17" s="97">
        <v>7.74</v>
      </c>
      <c r="F17" s="946"/>
      <c r="G17" s="97"/>
      <c r="H17" s="1473"/>
    </row>
    <row r="18" spans="1:8" s="224" customFormat="1" ht="15.75" customHeight="1" x14ac:dyDescent="0.25">
      <c r="A18" s="215">
        <v>42376</v>
      </c>
      <c r="B18" s="349" t="s">
        <v>1220</v>
      </c>
      <c r="C18" s="879" t="s">
        <v>12</v>
      </c>
      <c r="D18" s="983" t="s">
        <v>25</v>
      </c>
      <c r="E18" s="250"/>
      <c r="F18" s="1473">
        <v>1546</v>
      </c>
      <c r="G18" s="252"/>
      <c r="H18" s="946"/>
    </row>
    <row r="19" spans="1:8" s="224" customFormat="1" ht="15.75" customHeight="1" x14ac:dyDescent="0.25">
      <c r="A19" s="215">
        <v>42376</v>
      </c>
      <c r="B19" s="862" t="s">
        <v>1190</v>
      </c>
      <c r="C19" s="350" t="s">
        <v>12</v>
      </c>
      <c r="D19" s="141" t="s">
        <v>13</v>
      </c>
      <c r="E19" s="97">
        <v>250</v>
      </c>
      <c r="F19" s="1473"/>
      <c r="G19" s="252"/>
      <c r="H19" s="946"/>
    </row>
    <row r="20" spans="1:8" s="224" customFormat="1" ht="15.75" customHeight="1" x14ac:dyDescent="0.25">
      <c r="A20" s="215">
        <v>42376</v>
      </c>
      <c r="B20" s="882" t="s">
        <v>1221</v>
      </c>
      <c r="C20" s="350" t="s">
        <v>12</v>
      </c>
      <c r="D20" s="141" t="s">
        <v>13</v>
      </c>
      <c r="E20" s="97">
        <v>87.79</v>
      </c>
      <c r="F20" s="1473"/>
      <c r="G20" s="252"/>
      <c r="H20" s="946"/>
    </row>
    <row r="21" spans="1:8" x14ac:dyDescent="0.25">
      <c r="A21" s="215">
        <v>42376</v>
      </c>
      <c r="B21" s="862" t="s">
        <v>256</v>
      </c>
      <c r="C21" s="879"/>
      <c r="D21" s="1475"/>
      <c r="E21" s="97"/>
      <c r="F21" s="946">
        <v>50</v>
      </c>
      <c r="G21" s="97">
        <v>50</v>
      </c>
      <c r="H21" s="946"/>
    </row>
    <row r="22" spans="1:8" s="224" customFormat="1" x14ac:dyDescent="0.25">
      <c r="A22" s="215">
        <v>42376</v>
      </c>
      <c r="B22" s="862" t="s">
        <v>32</v>
      </c>
      <c r="C22" s="879" t="s">
        <v>12</v>
      </c>
      <c r="D22" s="887" t="s">
        <v>13</v>
      </c>
      <c r="E22" s="250">
        <v>12</v>
      </c>
      <c r="F22" s="946"/>
      <c r="G22" s="97"/>
      <c r="H22" s="1473"/>
    </row>
    <row r="23" spans="1:8" s="224" customFormat="1" ht="15.75" customHeight="1" x14ac:dyDescent="0.25">
      <c r="A23" s="215">
        <v>42376</v>
      </c>
      <c r="B23" s="349" t="s">
        <v>914</v>
      </c>
      <c r="C23" s="350" t="s">
        <v>12</v>
      </c>
      <c r="D23" s="141" t="s">
        <v>13</v>
      </c>
      <c r="E23" s="97">
        <v>11</v>
      </c>
      <c r="F23" s="946"/>
      <c r="G23" s="95"/>
      <c r="H23" s="946"/>
    </row>
    <row r="24" spans="1:8" x14ac:dyDescent="0.25">
      <c r="A24" s="215">
        <v>42377</v>
      </c>
      <c r="B24" s="349" t="s">
        <v>260</v>
      </c>
      <c r="C24" s="350"/>
      <c r="D24" s="141"/>
      <c r="E24" s="97">
        <v>60</v>
      </c>
      <c r="F24" s="946"/>
      <c r="G24" s="95"/>
      <c r="H24" s="946">
        <v>60</v>
      </c>
    </row>
    <row r="25" spans="1:8" s="224" customFormat="1" x14ac:dyDescent="0.25">
      <c r="A25" s="215">
        <v>42377</v>
      </c>
      <c r="B25" s="862" t="s">
        <v>32</v>
      </c>
      <c r="C25" s="879" t="s">
        <v>12</v>
      </c>
      <c r="D25" s="887" t="s">
        <v>13</v>
      </c>
      <c r="E25" s="250">
        <v>19</v>
      </c>
      <c r="F25" s="946"/>
      <c r="G25" s="97"/>
      <c r="H25" s="946"/>
    </row>
    <row r="26" spans="1:8" s="224" customFormat="1" x14ac:dyDescent="0.25">
      <c r="A26" s="215">
        <v>42012</v>
      </c>
      <c r="B26" s="862" t="s">
        <v>1218</v>
      </c>
      <c r="C26" s="879" t="s">
        <v>19</v>
      </c>
      <c r="D26" s="887" t="s">
        <v>15</v>
      </c>
      <c r="E26" s="250">
        <v>45.28</v>
      </c>
      <c r="F26" s="946"/>
      <c r="G26" s="97"/>
      <c r="H26" s="1473"/>
    </row>
    <row r="27" spans="1:8" s="224" customFormat="1" x14ac:dyDescent="0.25">
      <c r="A27" s="215">
        <v>42377</v>
      </c>
      <c r="B27" s="862" t="s">
        <v>1222</v>
      </c>
      <c r="C27" s="879" t="s">
        <v>19</v>
      </c>
      <c r="D27" s="887" t="s">
        <v>13</v>
      </c>
      <c r="E27" s="250">
        <v>68.28</v>
      </c>
      <c r="F27" s="946"/>
      <c r="G27" s="97"/>
      <c r="H27" s="946"/>
    </row>
    <row r="28" spans="1:8" s="224" customFormat="1" x14ac:dyDescent="0.25">
      <c r="A28" s="215">
        <v>42377</v>
      </c>
      <c r="B28" s="862" t="s">
        <v>134</v>
      </c>
      <c r="C28" s="879" t="s">
        <v>19</v>
      </c>
      <c r="D28" s="887" t="s">
        <v>13</v>
      </c>
      <c r="E28" s="250">
        <v>5.79</v>
      </c>
      <c r="F28" s="946"/>
      <c r="G28" s="97"/>
      <c r="H28" s="946"/>
    </row>
    <row r="29" spans="1:8" s="224" customFormat="1" x14ac:dyDescent="0.25">
      <c r="A29" s="215">
        <v>42378</v>
      </c>
      <c r="B29" s="862" t="s">
        <v>14</v>
      </c>
      <c r="C29" s="879" t="s">
        <v>12</v>
      </c>
      <c r="D29" s="887" t="s">
        <v>13</v>
      </c>
      <c r="E29" s="250">
        <v>19.16</v>
      </c>
      <c r="F29" s="946"/>
      <c r="G29" s="97"/>
      <c r="H29" s="1473"/>
    </row>
    <row r="30" spans="1:8" s="224" customFormat="1" ht="15.75" customHeight="1" x14ac:dyDescent="0.25">
      <c r="A30" s="215">
        <v>42379</v>
      </c>
      <c r="B30" s="862" t="s">
        <v>914</v>
      </c>
      <c r="C30" s="879" t="s">
        <v>12</v>
      </c>
      <c r="D30" s="887" t="s">
        <v>13</v>
      </c>
      <c r="E30" s="250">
        <v>23.41</v>
      </c>
      <c r="F30" s="946"/>
      <c r="G30" s="97"/>
      <c r="H30" s="946"/>
    </row>
    <row r="31" spans="1:8" s="224" customFormat="1" ht="15.75" customHeight="1" x14ac:dyDescent="0.25">
      <c r="A31" s="215">
        <v>42379</v>
      </c>
      <c r="B31" s="862" t="s">
        <v>14</v>
      </c>
      <c r="C31" s="879" t="s">
        <v>12</v>
      </c>
      <c r="D31" s="887" t="s">
        <v>13</v>
      </c>
      <c r="E31" s="250">
        <v>6.2</v>
      </c>
      <c r="F31" s="946"/>
      <c r="G31" s="97"/>
      <c r="H31" s="946"/>
    </row>
    <row r="32" spans="1:8" s="224" customFormat="1" ht="15.75" customHeight="1" x14ac:dyDescent="0.25">
      <c r="A32" s="215">
        <v>42380</v>
      </c>
      <c r="B32" s="862" t="s">
        <v>32</v>
      </c>
      <c r="C32" s="879" t="s">
        <v>12</v>
      </c>
      <c r="D32" s="887" t="s">
        <v>13</v>
      </c>
      <c r="E32" s="250">
        <v>12</v>
      </c>
      <c r="F32" s="946"/>
      <c r="G32" s="97"/>
      <c r="H32" s="946"/>
    </row>
    <row r="33" spans="1:8" s="224" customFormat="1" ht="15.75" customHeight="1" x14ac:dyDescent="0.25">
      <c r="A33" s="215">
        <v>42380</v>
      </c>
      <c r="B33" s="862" t="s">
        <v>134</v>
      </c>
      <c r="C33" s="879" t="s">
        <v>12</v>
      </c>
      <c r="D33" s="887" t="s">
        <v>15</v>
      </c>
      <c r="E33" s="250">
        <v>8</v>
      </c>
      <c r="F33" s="946"/>
      <c r="G33" s="97"/>
      <c r="H33" s="946"/>
    </row>
    <row r="34" spans="1:8" s="224" customFormat="1" ht="15.75" customHeight="1" x14ac:dyDescent="0.25">
      <c r="A34" s="215">
        <v>42381</v>
      </c>
      <c r="B34" s="862" t="s">
        <v>32</v>
      </c>
      <c r="C34" s="879" t="s">
        <v>12</v>
      </c>
      <c r="D34" s="887" t="s">
        <v>13</v>
      </c>
      <c r="E34" s="250">
        <v>12</v>
      </c>
      <c r="F34" s="946"/>
      <c r="G34" s="97"/>
      <c r="H34" s="946"/>
    </row>
    <row r="35" spans="1:8" s="224" customFormat="1" ht="15.75" customHeight="1" x14ac:dyDescent="0.25">
      <c r="A35" s="215">
        <v>42381</v>
      </c>
      <c r="B35" s="862" t="s">
        <v>1223</v>
      </c>
      <c r="C35" s="879" t="s">
        <v>12</v>
      </c>
      <c r="D35" s="887" t="s">
        <v>13</v>
      </c>
      <c r="E35" s="250">
        <v>21</v>
      </c>
      <c r="F35" s="946"/>
      <c r="G35" s="97"/>
      <c r="H35" s="946"/>
    </row>
    <row r="36" spans="1:8" s="224" customFormat="1" ht="15.75" customHeight="1" x14ac:dyDescent="0.25">
      <c r="A36" s="215">
        <v>42381</v>
      </c>
      <c r="B36" s="862" t="s">
        <v>14</v>
      </c>
      <c r="C36" s="879" t="s">
        <v>12</v>
      </c>
      <c r="D36" s="887" t="s">
        <v>13</v>
      </c>
      <c r="E36" s="250">
        <v>4.5599999999999996</v>
      </c>
      <c r="F36" s="946"/>
      <c r="G36" s="97"/>
      <c r="H36" s="946"/>
    </row>
    <row r="37" spans="1:8" s="224" customFormat="1" ht="15.75" customHeight="1" x14ac:dyDescent="0.25">
      <c r="A37" s="215">
        <v>42382</v>
      </c>
      <c r="B37" s="862" t="s">
        <v>32</v>
      </c>
      <c r="C37" s="879" t="s">
        <v>12</v>
      </c>
      <c r="D37" s="887" t="s">
        <v>15</v>
      </c>
      <c r="E37" s="250">
        <v>12</v>
      </c>
      <c r="F37" s="946"/>
      <c r="G37" s="97"/>
      <c r="H37" s="946"/>
    </row>
    <row r="38" spans="1:8" s="224" customFormat="1" ht="15.75" customHeight="1" x14ac:dyDescent="0.25">
      <c r="A38" s="215">
        <v>42383</v>
      </c>
      <c r="B38" s="862" t="s">
        <v>1091</v>
      </c>
      <c r="C38" s="879" t="s">
        <v>12</v>
      </c>
      <c r="D38" s="887" t="s">
        <v>15</v>
      </c>
      <c r="E38" s="250">
        <v>30</v>
      </c>
      <c r="F38" s="946"/>
      <c r="G38" s="97"/>
      <c r="H38" s="946"/>
    </row>
    <row r="39" spans="1:8" s="224" customFormat="1" ht="15.75" customHeight="1" x14ac:dyDescent="0.25">
      <c r="A39" s="215">
        <v>42383</v>
      </c>
      <c r="B39" s="862" t="s">
        <v>32</v>
      </c>
      <c r="C39" s="879" t="s">
        <v>12</v>
      </c>
      <c r="D39" s="887" t="s">
        <v>13</v>
      </c>
      <c r="E39" s="250">
        <v>12</v>
      </c>
      <c r="F39" s="946"/>
      <c r="G39" s="97"/>
      <c r="H39" s="946"/>
    </row>
    <row r="40" spans="1:8" s="224" customFormat="1" ht="15.75" customHeight="1" x14ac:dyDescent="0.25">
      <c r="A40" s="215">
        <v>42383</v>
      </c>
      <c r="B40" s="862" t="s">
        <v>14</v>
      </c>
      <c r="C40" s="879" t="s">
        <v>12</v>
      </c>
      <c r="D40" s="887" t="s">
        <v>13</v>
      </c>
      <c r="E40" s="250">
        <v>9.83</v>
      </c>
      <c r="F40" s="946"/>
      <c r="G40" s="97"/>
      <c r="H40" s="946"/>
    </row>
    <row r="41" spans="1:8" s="224" customFormat="1" ht="15.75" customHeight="1" x14ac:dyDescent="0.25">
      <c r="A41" s="215">
        <v>42384</v>
      </c>
      <c r="B41" s="862" t="s">
        <v>32</v>
      </c>
      <c r="C41" s="879" t="s">
        <v>12</v>
      </c>
      <c r="D41" s="887" t="s">
        <v>13</v>
      </c>
      <c r="E41" s="250">
        <v>19</v>
      </c>
      <c r="F41" s="946"/>
      <c r="G41" s="97"/>
      <c r="H41" s="946"/>
    </row>
    <row r="42" spans="1:8" s="224" customFormat="1" ht="15.75" customHeight="1" x14ac:dyDescent="0.25">
      <c r="A42" s="215">
        <v>42384</v>
      </c>
      <c r="B42" s="862" t="s">
        <v>1218</v>
      </c>
      <c r="C42" s="879" t="s">
        <v>19</v>
      </c>
      <c r="D42" s="887" t="s">
        <v>13</v>
      </c>
      <c r="E42" s="250">
        <v>56.58</v>
      </c>
      <c r="F42" s="946"/>
      <c r="G42" s="97"/>
      <c r="H42" s="946"/>
    </row>
    <row r="43" spans="1:8" s="224" customFormat="1" ht="15.75" customHeight="1" x14ac:dyDescent="0.25">
      <c r="A43" s="215">
        <v>42384</v>
      </c>
      <c r="B43" s="862" t="s">
        <v>134</v>
      </c>
      <c r="C43" s="879" t="s">
        <v>19</v>
      </c>
      <c r="D43" s="887" t="s">
        <v>13</v>
      </c>
      <c r="E43" s="250">
        <v>23.62</v>
      </c>
      <c r="F43" s="946"/>
      <c r="G43" s="97"/>
      <c r="H43" s="946"/>
    </row>
    <row r="44" spans="1:8" s="224" customFormat="1" ht="15.75" customHeight="1" x14ac:dyDescent="0.25">
      <c r="A44" s="215">
        <v>42384</v>
      </c>
      <c r="B44" s="862" t="s">
        <v>1057</v>
      </c>
      <c r="C44" s="879" t="s">
        <v>19</v>
      </c>
      <c r="D44" s="887" t="s">
        <v>13</v>
      </c>
      <c r="E44" s="250">
        <v>6</v>
      </c>
      <c r="F44" s="946"/>
      <c r="G44" s="97"/>
      <c r="H44" s="946"/>
    </row>
    <row r="45" spans="1:8" s="224" customFormat="1" ht="15.75" customHeight="1" x14ac:dyDescent="0.25">
      <c r="A45" s="215">
        <v>42385</v>
      </c>
      <c r="B45" s="862" t="s">
        <v>914</v>
      </c>
      <c r="C45" s="879" t="s">
        <v>12</v>
      </c>
      <c r="D45" s="887" t="s">
        <v>13</v>
      </c>
      <c r="E45" s="250">
        <v>13.4</v>
      </c>
      <c r="F45" s="946"/>
      <c r="G45" s="97"/>
      <c r="H45" s="946"/>
    </row>
    <row r="46" spans="1:8" s="224" customFormat="1" ht="15.75" customHeight="1" x14ac:dyDescent="0.25">
      <c r="A46" s="215">
        <v>42385</v>
      </c>
      <c r="B46" s="862" t="s">
        <v>1224</v>
      </c>
      <c r="C46" s="879" t="s">
        <v>12</v>
      </c>
      <c r="D46" s="887" t="s">
        <v>15</v>
      </c>
      <c r="E46" s="250">
        <v>50</v>
      </c>
      <c r="F46" s="946"/>
      <c r="G46" s="97"/>
      <c r="H46" s="946"/>
    </row>
    <row r="47" spans="1:8" s="224" customFormat="1" ht="15.75" customHeight="1" x14ac:dyDescent="0.25">
      <c r="A47" s="215">
        <v>42386</v>
      </c>
      <c r="B47" s="862" t="s">
        <v>14</v>
      </c>
      <c r="C47" s="350" t="s">
        <v>12</v>
      </c>
      <c r="D47" s="141" t="s">
        <v>13</v>
      </c>
      <c r="E47" s="97">
        <v>11.69</v>
      </c>
      <c r="F47" s="1473"/>
      <c r="G47" s="252"/>
      <c r="H47" s="946"/>
    </row>
    <row r="48" spans="1:8" x14ac:dyDescent="0.25">
      <c r="A48" s="215">
        <v>42387</v>
      </c>
      <c r="B48" s="349" t="s">
        <v>260</v>
      </c>
      <c r="C48" s="350"/>
      <c r="D48" s="141"/>
      <c r="E48" s="97">
        <v>140</v>
      </c>
      <c r="F48" s="946"/>
      <c r="G48" s="95"/>
      <c r="H48" s="946">
        <v>140</v>
      </c>
    </row>
    <row r="49" spans="1:8" x14ac:dyDescent="0.25">
      <c r="A49" s="215">
        <v>42387</v>
      </c>
      <c r="B49" s="862" t="s">
        <v>32</v>
      </c>
      <c r="C49" s="879" t="s">
        <v>12</v>
      </c>
      <c r="D49" s="887" t="s">
        <v>13</v>
      </c>
      <c r="E49" s="250">
        <v>12</v>
      </c>
      <c r="F49" s="946"/>
      <c r="G49" s="95"/>
      <c r="H49" s="946"/>
    </row>
    <row r="50" spans="1:8" s="224" customFormat="1" ht="15.75" customHeight="1" x14ac:dyDescent="0.25">
      <c r="A50" s="215">
        <v>42388</v>
      </c>
      <c r="B50" s="862" t="s">
        <v>32</v>
      </c>
      <c r="C50" s="879" t="s">
        <v>12</v>
      </c>
      <c r="D50" s="887" t="s">
        <v>13</v>
      </c>
      <c r="E50" s="250">
        <v>12</v>
      </c>
      <c r="F50" s="946"/>
      <c r="G50" s="97"/>
      <c r="H50" s="946"/>
    </row>
    <row r="51" spans="1:8" s="224" customFormat="1" ht="15.75" customHeight="1" x14ac:dyDescent="0.25">
      <c r="A51" s="215">
        <v>42388</v>
      </c>
      <c r="B51" s="862" t="s">
        <v>134</v>
      </c>
      <c r="C51" s="879" t="s">
        <v>12</v>
      </c>
      <c r="D51" s="887" t="s">
        <v>15</v>
      </c>
      <c r="E51" s="250">
        <v>7</v>
      </c>
      <c r="F51" s="946"/>
      <c r="G51" s="97"/>
      <c r="H51" s="946"/>
    </row>
    <row r="52" spans="1:8" s="224" customFormat="1" ht="15.75" customHeight="1" x14ac:dyDescent="0.25">
      <c r="A52" s="215">
        <v>42388</v>
      </c>
      <c r="B52" s="862" t="s">
        <v>1014</v>
      </c>
      <c r="C52" s="879" t="s">
        <v>12</v>
      </c>
      <c r="D52" s="887" t="s">
        <v>13</v>
      </c>
      <c r="E52" s="250">
        <v>7.87</v>
      </c>
      <c r="F52" s="946"/>
      <c r="G52" s="97"/>
      <c r="H52" s="946"/>
    </row>
    <row r="53" spans="1:8" s="224" customFormat="1" ht="15.75" customHeight="1" x14ac:dyDescent="0.25">
      <c r="A53" s="215">
        <v>42388</v>
      </c>
      <c r="B53" s="862" t="s">
        <v>914</v>
      </c>
      <c r="C53" s="879" t="s">
        <v>12</v>
      </c>
      <c r="D53" s="887" t="s">
        <v>13</v>
      </c>
      <c r="E53" s="250">
        <v>15.6</v>
      </c>
      <c r="F53" s="946"/>
      <c r="G53" s="97"/>
      <c r="H53" s="946"/>
    </row>
    <row r="54" spans="1:8" s="224" customFormat="1" ht="15.75" customHeight="1" x14ac:dyDescent="0.25">
      <c r="A54" s="215">
        <v>42388</v>
      </c>
      <c r="B54" s="862" t="s">
        <v>649</v>
      </c>
      <c r="C54" s="879" t="s">
        <v>12</v>
      </c>
      <c r="D54" s="887" t="s">
        <v>15</v>
      </c>
      <c r="E54" s="250">
        <v>22</v>
      </c>
      <c r="F54" s="946"/>
      <c r="G54" s="97"/>
      <c r="H54" s="946"/>
    </row>
    <row r="55" spans="1:8" s="224" customFormat="1" x14ac:dyDescent="0.25">
      <c r="A55" s="215">
        <v>42389</v>
      </c>
      <c r="B55" s="882" t="s">
        <v>1225</v>
      </c>
      <c r="C55" s="879" t="s">
        <v>12</v>
      </c>
      <c r="D55" s="887" t="s">
        <v>25</v>
      </c>
      <c r="E55" s="97"/>
      <c r="F55" s="946">
        <v>1280</v>
      </c>
      <c r="G55" s="95"/>
      <c r="H55" s="1473"/>
    </row>
    <row r="56" spans="1:8" s="224" customFormat="1" x14ac:dyDescent="0.25">
      <c r="A56" s="215">
        <v>42389</v>
      </c>
      <c r="B56" s="882" t="s">
        <v>1226</v>
      </c>
      <c r="C56" s="879" t="s">
        <v>12</v>
      </c>
      <c r="D56" s="887" t="s">
        <v>13</v>
      </c>
      <c r="E56" s="97">
        <v>568.53</v>
      </c>
      <c r="F56" s="946"/>
      <c r="G56" s="95"/>
      <c r="H56" s="1473"/>
    </row>
    <row r="57" spans="1:8" x14ac:dyDescent="0.25">
      <c r="A57" s="215">
        <v>42389</v>
      </c>
      <c r="B57" s="349" t="s">
        <v>260</v>
      </c>
      <c r="C57" s="350"/>
      <c r="D57" s="141"/>
      <c r="E57" s="97">
        <v>450</v>
      </c>
      <c r="F57" s="946"/>
      <c r="G57" s="95"/>
      <c r="H57" s="946">
        <v>450</v>
      </c>
    </row>
    <row r="58" spans="1:8" s="224" customFormat="1" x14ac:dyDescent="0.25">
      <c r="A58" s="215">
        <v>42389</v>
      </c>
      <c r="B58" s="862" t="s">
        <v>32</v>
      </c>
      <c r="C58" s="879" t="s">
        <v>12</v>
      </c>
      <c r="D58" s="887" t="s">
        <v>13</v>
      </c>
      <c r="E58" s="250">
        <v>12</v>
      </c>
      <c r="F58" s="946"/>
      <c r="G58" s="95"/>
      <c r="H58" s="1473"/>
    </row>
    <row r="59" spans="1:8" s="224" customFormat="1" ht="15.75" customHeight="1" x14ac:dyDescent="0.25">
      <c r="A59" s="215">
        <v>42389</v>
      </c>
      <c r="B59" s="862" t="s">
        <v>138</v>
      </c>
      <c r="C59" s="879" t="s">
        <v>19</v>
      </c>
      <c r="D59" s="887" t="s">
        <v>13</v>
      </c>
      <c r="E59" s="250">
        <v>60</v>
      </c>
      <c r="F59" s="946"/>
      <c r="G59" s="97"/>
      <c r="H59" s="946"/>
    </row>
    <row r="60" spans="1:8" s="224" customFormat="1" ht="15.75" customHeight="1" x14ac:dyDescent="0.25">
      <c r="A60" s="215">
        <v>42389</v>
      </c>
      <c r="B60" s="862" t="s">
        <v>14</v>
      </c>
      <c r="C60" s="879" t="s">
        <v>12</v>
      </c>
      <c r="D60" s="887" t="s">
        <v>13</v>
      </c>
      <c r="E60" s="250">
        <v>9.5399999999999991</v>
      </c>
      <c r="F60" s="946"/>
      <c r="G60" s="97"/>
      <c r="H60" s="946"/>
    </row>
    <row r="61" spans="1:8" x14ac:dyDescent="0.25">
      <c r="A61" s="215">
        <v>42390</v>
      </c>
      <c r="B61" s="862" t="s">
        <v>32</v>
      </c>
      <c r="C61" s="879" t="s">
        <v>12</v>
      </c>
      <c r="D61" s="887" t="s">
        <v>13</v>
      </c>
      <c r="E61" s="250">
        <v>12</v>
      </c>
      <c r="F61" s="946"/>
      <c r="G61" s="95"/>
      <c r="H61" s="946"/>
    </row>
    <row r="62" spans="1:8" s="224" customFormat="1" ht="15.75" customHeight="1" x14ac:dyDescent="0.25">
      <c r="A62" s="215">
        <v>42390</v>
      </c>
      <c r="B62" s="862" t="s">
        <v>1091</v>
      </c>
      <c r="C62" s="879" t="s">
        <v>12</v>
      </c>
      <c r="D62" s="887" t="s">
        <v>15</v>
      </c>
      <c r="E62" s="250">
        <v>40</v>
      </c>
      <c r="F62" s="946"/>
      <c r="G62" s="97"/>
      <c r="H62" s="946"/>
    </row>
    <row r="63" spans="1:8" x14ac:dyDescent="0.25">
      <c r="A63" s="215">
        <v>42391</v>
      </c>
      <c r="B63" s="862" t="s">
        <v>32</v>
      </c>
      <c r="C63" s="879" t="s">
        <v>12</v>
      </c>
      <c r="D63" s="887" t="s">
        <v>13</v>
      </c>
      <c r="E63" s="250">
        <v>19</v>
      </c>
      <c r="F63" s="946"/>
      <c r="G63" s="95"/>
      <c r="H63" s="946"/>
    </row>
    <row r="64" spans="1:8" s="224" customFormat="1" ht="15.75" customHeight="1" x14ac:dyDescent="0.25">
      <c r="A64" s="215">
        <v>42391</v>
      </c>
      <c r="B64" s="862" t="s">
        <v>14</v>
      </c>
      <c r="C64" s="879" t="s">
        <v>12</v>
      </c>
      <c r="D64" s="887" t="s">
        <v>13</v>
      </c>
      <c r="E64" s="250">
        <v>6</v>
      </c>
      <c r="F64" s="946"/>
      <c r="G64" s="97"/>
      <c r="H64" s="946"/>
    </row>
    <row r="65" spans="1:8" x14ac:dyDescent="0.25">
      <c r="A65" s="215">
        <v>42392</v>
      </c>
      <c r="B65" s="862" t="s">
        <v>1227</v>
      </c>
      <c r="C65" s="879" t="s">
        <v>12</v>
      </c>
      <c r="D65" s="887" t="s">
        <v>13</v>
      </c>
      <c r="E65" s="250">
        <v>10</v>
      </c>
      <c r="F65" s="946"/>
      <c r="G65" s="95"/>
      <c r="H65" s="946"/>
    </row>
    <row r="66" spans="1:8" x14ac:dyDescent="0.25">
      <c r="A66" s="215">
        <v>42392</v>
      </c>
      <c r="B66" s="862" t="s">
        <v>14</v>
      </c>
      <c r="C66" s="879" t="s">
        <v>12</v>
      </c>
      <c r="D66" s="887" t="s">
        <v>13</v>
      </c>
      <c r="E66" s="250">
        <v>13.98</v>
      </c>
      <c r="F66" s="946"/>
      <c r="G66" s="95"/>
      <c r="H66" s="946"/>
    </row>
    <row r="67" spans="1:8" x14ac:dyDescent="0.25">
      <c r="A67" s="215">
        <v>42392</v>
      </c>
      <c r="B67" s="862" t="s">
        <v>82</v>
      </c>
      <c r="C67" s="879" t="s">
        <v>12</v>
      </c>
      <c r="D67" s="887" t="s">
        <v>13</v>
      </c>
      <c r="E67" s="250">
        <v>20</v>
      </c>
      <c r="F67" s="946"/>
      <c r="G67" s="95"/>
      <c r="H67" s="946"/>
    </row>
    <row r="68" spans="1:8" x14ac:dyDescent="0.25">
      <c r="A68" s="215">
        <v>42393</v>
      </c>
      <c r="B68" s="862" t="s">
        <v>134</v>
      </c>
      <c r="C68" s="879" t="s">
        <v>12</v>
      </c>
      <c r="D68" s="887" t="s">
        <v>15</v>
      </c>
      <c r="E68" s="250">
        <v>6.5</v>
      </c>
      <c r="F68" s="946"/>
      <c r="G68" s="95"/>
      <c r="H68" s="946"/>
    </row>
    <row r="69" spans="1:8" x14ac:dyDescent="0.25">
      <c r="A69" s="215">
        <v>42394</v>
      </c>
      <c r="B69" s="862" t="s">
        <v>32</v>
      </c>
      <c r="C69" s="879" t="s">
        <v>12</v>
      </c>
      <c r="D69" s="887" t="s">
        <v>13</v>
      </c>
      <c r="E69" s="250">
        <v>12</v>
      </c>
      <c r="F69" s="946"/>
      <c r="G69" s="95"/>
      <c r="H69" s="946"/>
    </row>
    <row r="70" spans="1:8" x14ac:dyDescent="0.25">
      <c r="A70" s="215">
        <v>42394</v>
      </c>
      <c r="B70" s="862" t="s">
        <v>914</v>
      </c>
      <c r="C70" s="879" t="s">
        <v>12</v>
      </c>
      <c r="D70" s="887" t="s">
        <v>13</v>
      </c>
      <c r="E70" s="250">
        <v>10.199999999999999</v>
      </c>
      <c r="F70" s="946"/>
      <c r="G70" s="95"/>
      <c r="H70" s="946"/>
    </row>
    <row r="71" spans="1:8" x14ac:dyDescent="0.25">
      <c r="A71" s="215">
        <v>42394</v>
      </c>
      <c r="B71" s="862" t="s">
        <v>14</v>
      </c>
      <c r="C71" s="879" t="s">
        <v>12</v>
      </c>
      <c r="D71" s="887" t="s">
        <v>13</v>
      </c>
      <c r="E71" s="250">
        <v>5.64</v>
      </c>
      <c r="F71" s="946"/>
      <c r="G71" s="95"/>
      <c r="H71" s="946"/>
    </row>
    <row r="72" spans="1:8" s="224" customFormat="1" x14ac:dyDescent="0.25">
      <c r="A72" s="215">
        <v>42395</v>
      </c>
      <c r="B72" s="862" t="s">
        <v>32</v>
      </c>
      <c r="C72" s="879" t="s">
        <v>12</v>
      </c>
      <c r="D72" s="887" t="s">
        <v>13</v>
      </c>
      <c r="E72" s="250">
        <v>12</v>
      </c>
      <c r="F72" s="946"/>
      <c r="G72" s="97"/>
      <c r="H72" s="1473"/>
    </row>
    <row r="73" spans="1:8" s="224" customFormat="1" x14ac:dyDescent="0.25">
      <c r="A73" s="215">
        <v>42395</v>
      </c>
      <c r="B73" s="862" t="s">
        <v>14</v>
      </c>
      <c r="C73" s="879" t="s">
        <v>12</v>
      </c>
      <c r="D73" s="887" t="s">
        <v>13</v>
      </c>
      <c r="E73" s="250">
        <v>13.89</v>
      </c>
      <c r="F73" s="946"/>
      <c r="G73" s="97"/>
      <c r="H73" s="1473"/>
    </row>
    <row r="74" spans="1:8" x14ac:dyDescent="0.25">
      <c r="A74" s="215">
        <v>42396</v>
      </c>
      <c r="B74" s="862" t="s">
        <v>32</v>
      </c>
      <c r="C74" s="879" t="s">
        <v>12</v>
      </c>
      <c r="D74" s="887" t="s">
        <v>13</v>
      </c>
      <c r="E74" s="250">
        <v>12</v>
      </c>
      <c r="F74" s="946"/>
      <c r="G74" s="95"/>
      <c r="H74" s="946"/>
    </row>
    <row r="75" spans="1:8" x14ac:dyDescent="0.25">
      <c r="A75" s="215">
        <v>42396</v>
      </c>
      <c r="B75" s="862" t="s">
        <v>138</v>
      </c>
      <c r="C75" s="879" t="s">
        <v>19</v>
      </c>
      <c r="D75" s="887" t="s">
        <v>13</v>
      </c>
      <c r="E75" s="250">
        <v>60</v>
      </c>
      <c r="F75" s="946"/>
      <c r="G75" s="95"/>
      <c r="H75" s="946"/>
    </row>
    <row r="76" spans="1:8" x14ac:dyDescent="0.25">
      <c r="A76" s="215">
        <v>42396</v>
      </c>
      <c r="B76" s="862" t="s">
        <v>1057</v>
      </c>
      <c r="C76" s="879" t="s">
        <v>12</v>
      </c>
      <c r="D76" s="887" t="s">
        <v>13</v>
      </c>
      <c r="E76" s="250">
        <v>12</v>
      </c>
      <c r="F76" s="946"/>
      <c r="G76" s="95"/>
      <c r="H76" s="946"/>
    </row>
    <row r="77" spans="1:8" x14ac:dyDescent="0.25">
      <c r="A77" s="215">
        <v>42396</v>
      </c>
      <c r="B77" s="862" t="s">
        <v>134</v>
      </c>
      <c r="C77" s="879" t="s">
        <v>12</v>
      </c>
      <c r="D77" s="887" t="s">
        <v>13</v>
      </c>
      <c r="E77" s="250">
        <v>3.27</v>
      </c>
      <c r="F77" s="946"/>
      <c r="G77" s="95"/>
      <c r="H77" s="946"/>
    </row>
    <row r="78" spans="1:8" x14ac:dyDescent="0.25">
      <c r="A78" s="215">
        <v>42396</v>
      </c>
      <c r="B78" s="862" t="s">
        <v>1219</v>
      </c>
      <c r="C78" s="879" t="s">
        <v>12</v>
      </c>
      <c r="D78" s="887" t="s">
        <v>13</v>
      </c>
      <c r="E78" s="250">
        <v>80</v>
      </c>
      <c r="F78" s="946"/>
      <c r="G78" s="95"/>
      <c r="H78" s="946"/>
    </row>
    <row r="79" spans="1:8" x14ac:dyDescent="0.25">
      <c r="A79" s="215">
        <v>42397</v>
      </c>
      <c r="B79" s="862" t="s">
        <v>32</v>
      </c>
      <c r="C79" s="879" t="s">
        <v>12</v>
      </c>
      <c r="D79" s="887" t="s">
        <v>13</v>
      </c>
      <c r="E79" s="250">
        <v>12</v>
      </c>
      <c r="F79" s="946"/>
      <c r="G79" s="95"/>
      <c r="H79" s="946"/>
    </row>
    <row r="80" spans="1:8" x14ac:dyDescent="0.25">
      <c r="A80" s="215">
        <v>42397</v>
      </c>
      <c r="B80" s="862" t="s">
        <v>1228</v>
      </c>
      <c r="C80" s="879" t="s">
        <v>12</v>
      </c>
      <c r="D80" s="887" t="s">
        <v>13</v>
      </c>
      <c r="E80" s="250">
        <v>22</v>
      </c>
      <c r="F80" s="946"/>
      <c r="G80" s="95"/>
      <c r="H80" s="946"/>
    </row>
    <row r="81" spans="1:8" x14ac:dyDescent="0.25">
      <c r="A81" s="215">
        <v>42397</v>
      </c>
      <c r="B81" s="862" t="s">
        <v>14</v>
      </c>
      <c r="C81" s="879" t="s">
        <v>12</v>
      </c>
      <c r="D81" s="887" t="s">
        <v>13</v>
      </c>
      <c r="E81" s="250">
        <v>6</v>
      </c>
      <c r="F81" s="946"/>
      <c r="G81" s="95"/>
      <c r="H81" s="946"/>
    </row>
    <row r="82" spans="1:8" x14ac:dyDescent="0.25">
      <c r="A82" s="215">
        <v>42398</v>
      </c>
      <c r="B82" s="882" t="s">
        <v>1229</v>
      </c>
      <c r="C82" s="879" t="s">
        <v>12</v>
      </c>
      <c r="D82" s="887" t="s">
        <v>13</v>
      </c>
      <c r="E82" s="250">
        <v>28.9</v>
      </c>
      <c r="F82" s="946"/>
      <c r="G82" s="95"/>
      <c r="H82" s="946"/>
    </row>
    <row r="83" spans="1:8" x14ac:dyDescent="0.25">
      <c r="A83" s="215">
        <v>42398</v>
      </c>
      <c r="B83" s="862" t="s">
        <v>32</v>
      </c>
      <c r="C83" s="879" t="s">
        <v>12</v>
      </c>
      <c r="D83" s="887" t="s">
        <v>15</v>
      </c>
      <c r="E83" s="250">
        <v>19</v>
      </c>
      <c r="F83" s="946"/>
      <c r="G83" s="95"/>
      <c r="H83" s="946"/>
    </row>
    <row r="84" spans="1:8" x14ac:dyDescent="0.25">
      <c r="A84" s="215">
        <v>42398</v>
      </c>
      <c r="B84" s="882" t="s">
        <v>14</v>
      </c>
      <c r="C84" s="879" t="s">
        <v>12</v>
      </c>
      <c r="D84" s="887" t="s">
        <v>13</v>
      </c>
      <c r="E84" s="250">
        <v>10.67</v>
      </c>
      <c r="F84" s="946"/>
      <c r="G84" s="95"/>
      <c r="H84" s="946"/>
    </row>
    <row r="85" spans="1:8" x14ac:dyDescent="0.25">
      <c r="A85" s="215">
        <v>42398</v>
      </c>
      <c r="B85" s="862" t="s">
        <v>1230</v>
      </c>
      <c r="C85" s="879" t="s">
        <v>12</v>
      </c>
      <c r="D85" s="887" t="s">
        <v>13</v>
      </c>
      <c r="E85" s="250">
        <v>30</v>
      </c>
      <c r="F85" s="946"/>
      <c r="G85" s="95"/>
      <c r="H85" s="946"/>
    </row>
    <row r="86" spans="1:8" x14ac:dyDescent="0.25">
      <c r="A86" s="215">
        <v>42398</v>
      </c>
      <c r="B86" s="862" t="s">
        <v>134</v>
      </c>
      <c r="C86" s="879" t="s">
        <v>12</v>
      </c>
      <c r="D86" s="887" t="s">
        <v>15</v>
      </c>
      <c r="E86" s="250">
        <v>8</v>
      </c>
      <c r="F86" s="946"/>
      <c r="G86" s="95"/>
      <c r="H86" s="946"/>
    </row>
    <row r="87" spans="1:8" x14ac:dyDescent="0.25">
      <c r="A87" s="215">
        <v>42399</v>
      </c>
      <c r="B87" s="349" t="s">
        <v>914</v>
      </c>
      <c r="C87" s="350" t="s">
        <v>12</v>
      </c>
      <c r="D87" s="141" t="s">
        <v>13</v>
      </c>
      <c r="E87" s="250">
        <v>13.75</v>
      </c>
      <c r="F87" s="946"/>
      <c r="G87" s="95"/>
      <c r="H87" s="946"/>
    </row>
    <row r="88" spans="1:8" x14ac:dyDescent="0.25">
      <c r="A88" s="215">
        <v>42399</v>
      </c>
      <c r="B88" s="349" t="s">
        <v>14</v>
      </c>
      <c r="C88" s="350" t="s">
        <v>12</v>
      </c>
      <c r="D88" s="141" t="s">
        <v>13</v>
      </c>
      <c r="E88" s="250">
        <v>35.33</v>
      </c>
      <c r="F88" s="946"/>
      <c r="G88" s="95"/>
      <c r="H88" s="946"/>
    </row>
    <row r="89" spans="1:8" x14ac:dyDescent="0.25">
      <c r="A89" s="215">
        <v>42399</v>
      </c>
      <c r="B89" s="349" t="s">
        <v>1231</v>
      </c>
      <c r="C89" s="350" t="s">
        <v>12</v>
      </c>
      <c r="D89" s="141" t="s">
        <v>13</v>
      </c>
      <c r="E89" s="250">
        <v>20</v>
      </c>
      <c r="F89" s="946"/>
      <c r="G89" s="95"/>
      <c r="H89" s="946"/>
    </row>
    <row r="90" spans="1:8" ht="15.75" thickBot="1" x14ac:dyDescent="0.3">
      <c r="A90" s="215">
        <v>42400</v>
      </c>
      <c r="B90" s="862"/>
      <c r="C90" s="879"/>
      <c r="D90" s="887"/>
      <c r="E90" s="250"/>
      <c r="F90" s="946"/>
      <c r="G90" s="95"/>
      <c r="H90" s="946"/>
    </row>
    <row r="91" spans="1:8" ht="25.5" customHeight="1" thickBot="1" x14ac:dyDescent="0.3">
      <c r="A91" s="3060"/>
      <c r="B91" s="3061"/>
      <c r="C91" s="3062"/>
      <c r="D91" s="3062"/>
      <c r="E91" s="100">
        <f>SUM(E6:E90)</f>
        <v>3060.1199999999994</v>
      </c>
      <c r="F91" s="1065">
        <f>SUM(F5:F90)</f>
        <v>3452.4430000000029</v>
      </c>
      <c r="G91" s="100">
        <f>SUM(G6:G90)</f>
        <v>50</v>
      </c>
      <c r="H91" s="93">
        <f>SUM(H5:H90)</f>
        <v>700</v>
      </c>
    </row>
    <row r="92" spans="1:8" ht="25.5" customHeight="1" thickBot="1" x14ac:dyDescent="0.3">
      <c r="A92" s="3077" t="s">
        <v>49</v>
      </c>
      <c r="B92" s="3078"/>
      <c r="C92" s="3078"/>
      <c r="D92" s="3078"/>
      <c r="E92" s="144"/>
      <c r="F92" s="519">
        <f>F91-E91</f>
        <v>392.3230000000035</v>
      </c>
      <c r="G92" s="555"/>
      <c r="H92" s="556">
        <f>H91-G91</f>
        <v>650</v>
      </c>
    </row>
    <row r="94" spans="1:8" x14ac:dyDescent="0.25">
      <c r="B94" s="79" t="s">
        <v>32</v>
      </c>
      <c r="C94" s="475">
        <v>268</v>
      </c>
    </row>
    <row r="95" spans="1:8" x14ac:dyDescent="0.25">
      <c r="B95" s="79" t="s">
        <v>1218</v>
      </c>
      <c r="C95" s="475">
        <v>278.44</v>
      </c>
      <c r="D95" s="79"/>
    </row>
    <row r="96" spans="1:8" x14ac:dyDescent="0.25">
      <c r="B96" s="79" t="s">
        <v>50</v>
      </c>
      <c r="C96" s="475">
        <v>82.18</v>
      </c>
    </row>
    <row r="97" spans="1:9" s="85" customFormat="1" x14ac:dyDescent="0.25">
      <c r="A97" s="79"/>
      <c r="B97" s="79" t="s">
        <v>14</v>
      </c>
      <c r="C97" s="475">
        <v>174.24</v>
      </c>
      <c r="E97" s="89"/>
      <c r="F97" s="79"/>
      <c r="G97" s="79"/>
    </row>
    <row r="98" spans="1:9" s="85" customFormat="1" x14ac:dyDescent="0.25">
      <c r="A98" s="79"/>
      <c r="B98" s="79" t="s">
        <v>51</v>
      </c>
      <c r="C98" s="484">
        <v>116.69</v>
      </c>
      <c r="E98" s="89"/>
      <c r="F98" s="79"/>
      <c r="G98" s="79"/>
      <c r="H98" s="79"/>
    </row>
    <row r="99" spans="1:9" s="85" customFormat="1" x14ac:dyDescent="0.25">
      <c r="A99" s="79"/>
      <c r="B99" s="79" t="s">
        <v>52</v>
      </c>
      <c r="C99" s="484"/>
      <c r="E99" s="89"/>
      <c r="F99" s="79"/>
      <c r="G99" s="79"/>
      <c r="H99" s="79"/>
    </row>
    <row r="100" spans="1:9" s="85" customFormat="1" x14ac:dyDescent="0.25">
      <c r="A100" s="79"/>
      <c r="B100" s="867" t="s">
        <v>53</v>
      </c>
      <c r="C100" s="475">
        <v>192.29</v>
      </c>
      <c r="D100" s="89"/>
      <c r="E100" s="89"/>
      <c r="F100" s="79"/>
      <c r="G100" s="79"/>
      <c r="H100" s="79"/>
    </row>
    <row r="101" spans="1:9" s="85" customFormat="1" x14ac:dyDescent="0.25">
      <c r="A101" s="79"/>
      <c r="B101" s="79" t="s">
        <v>1232</v>
      </c>
      <c r="C101" s="475">
        <f>E56</f>
        <v>568.53</v>
      </c>
      <c r="E101" s="89"/>
      <c r="F101" s="79"/>
      <c r="G101" s="79"/>
      <c r="H101" s="79"/>
    </row>
    <row r="102" spans="1:9" s="85" customFormat="1" x14ac:dyDescent="0.25">
      <c r="A102" s="79"/>
      <c r="B102" s="79" t="s">
        <v>56</v>
      </c>
      <c r="C102" s="475"/>
      <c r="E102" s="89"/>
      <c r="F102" s="79"/>
      <c r="G102" s="79"/>
      <c r="H102" s="79"/>
    </row>
    <row r="103" spans="1:9" s="85" customFormat="1" x14ac:dyDescent="0.25">
      <c r="A103" s="79"/>
      <c r="B103" s="79" t="s">
        <v>910</v>
      </c>
      <c r="C103" s="475">
        <v>40</v>
      </c>
      <c r="E103" s="89"/>
      <c r="F103" s="79"/>
      <c r="G103" s="79"/>
      <c r="H103" s="79"/>
    </row>
    <row r="104" spans="1:9" s="85" customFormat="1" x14ac:dyDescent="0.25">
      <c r="A104" s="79"/>
      <c r="B104" s="79" t="s">
        <v>418</v>
      </c>
      <c r="C104" s="475"/>
      <c r="E104" s="89"/>
      <c r="F104" s="79"/>
      <c r="G104" s="79"/>
      <c r="H104" s="79"/>
    </row>
    <row r="105" spans="1:9" s="85" customFormat="1" x14ac:dyDescent="0.25">
      <c r="A105" s="79"/>
      <c r="B105" s="79" t="s">
        <v>419</v>
      </c>
      <c r="C105" s="475">
        <v>572.04</v>
      </c>
      <c r="D105" s="79"/>
      <c r="E105" s="89"/>
      <c r="F105" s="79"/>
      <c r="G105" s="79"/>
      <c r="H105" s="79"/>
    </row>
    <row r="106" spans="1:9" x14ac:dyDescent="0.25">
      <c r="B106" s="79" t="s">
        <v>911</v>
      </c>
      <c r="C106" s="475"/>
    </row>
    <row r="108" spans="1:9" x14ac:dyDescent="0.25">
      <c r="B108" s="79" t="s">
        <v>486</v>
      </c>
      <c r="C108" s="475">
        <f>G108/I108</f>
        <v>77.387741935483874</v>
      </c>
      <c r="E108" s="224" t="s">
        <v>487</v>
      </c>
      <c r="F108" s="224"/>
      <c r="G108" s="216">
        <v>2399.02</v>
      </c>
      <c r="H108" s="518" t="s">
        <v>488</v>
      </c>
      <c r="I108" s="85">
        <v>31</v>
      </c>
    </row>
    <row r="120" spans="6:8" x14ac:dyDescent="0.25">
      <c r="H120" s="216"/>
    </row>
    <row r="121" spans="6:8" x14ac:dyDescent="0.25">
      <c r="H121" s="216"/>
    </row>
    <row r="122" spans="6:8" x14ac:dyDescent="0.25">
      <c r="F122" s="216"/>
      <c r="H122" s="216"/>
    </row>
    <row r="123" spans="6:8" x14ac:dyDescent="0.25">
      <c r="F123" s="216"/>
      <c r="H123" s="216"/>
    </row>
    <row r="124" spans="6:8" x14ac:dyDescent="0.25">
      <c r="F124" s="216"/>
    </row>
    <row r="125" spans="6:8" x14ac:dyDescent="0.25">
      <c r="H125" s="216"/>
    </row>
    <row r="127" spans="6:8" x14ac:dyDescent="0.25">
      <c r="H127" s="629"/>
    </row>
    <row r="133" spans="8:8" x14ac:dyDescent="0.25">
      <c r="H133" s="216"/>
    </row>
    <row r="134" spans="8:8" x14ac:dyDescent="0.25">
      <c r="H134" s="216"/>
    </row>
    <row r="135" spans="8:8" x14ac:dyDescent="0.25">
      <c r="H135" s="216"/>
    </row>
    <row r="136" spans="8:8" x14ac:dyDescent="0.25">
      <c r="H136" s="216"/>
    </row>
    <row r="137" spans="8:8" x14ac:dyDescent="0.25">
      <c r="H137" s="216"/>
    </row>
    <row r="138" spans="8:8" x14ac:dyDescent="0.25">
      <c r="H138" s="216"/>
    </row>
    <row r="139" spans="8:8" x14ac:dyDescent="0.25">
      <c r="H139" s="216"/>
    </row>
    <row r="140" spans="8:8" x14ac:dyDescent="0.25">
      <c r="H140" s="216"/>
    </row>
    <row r="141" spans="8:8" x14ac:dyDescent="0.25">
      <c r="H141" s="216"/>
    </row>
  </sheetData>
  <autoFilter ref="A2:H92" xr:uid="{00000000-0009-0000-0000-00002B000000}"/>
  <mergeCells count="10">
    <mergeCell ref="A91:D91"/>
    <mergeCell ref="A92:D92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  <ignoredErrors>
    <ignoredError sqref="F91" formula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Plan50"/>
  <dimension ref="A1:I144"/>
  <sheetViews>
    <sheetView zoomScale="85" zoomScaleNormal="85" workbookViewId="0">
      <pane ySplit="4" topLeftCell="A29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1233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42401</v>
      </c>
      <c r="B5" s="369" t="s">
        <v>10</v>
      </c>
      <c r="C5" s="370"/>
      <c r="D5" s="207"/>
      <c r="E5" s="179"/>
      <c r="F5" s="933">
        <f>'Janeiro-16'!F92</f>
        <v>392.3230000000035</v>
      </c>
      <c r="G5" s="163"/>
      <c r="H5" s="933">
        <f>'Janeiro-16'!H92</f>
        <v>650</v>
      </c>
    </row>
    <row r="6" spans="1:8" s="224" customFormat="1" x14ac:dyDescent="0.25">
      <c r="A6" s="215">
        <v>42401</v>
      </c>
      <c r="B6" s="348" t="s">
        <v>11</v>
      </c>
      <c r="C6" s="351"/>
      <c r="D6" s="248"/>
      <c r="E6" s="250"/>
      <c r="F6" s="1473"/>
      <c r="G6" s="252"/>
      <c r="H6" s="1473"/>
    </row>
    <row r="7" spans="1:8" s="224" customFormat="1" x14ac:dyDescent="0.25">
      <c r="A7" s="215">
        <v>42401</v>
      </c>
      <c r="B7" s="862" t="s">
        <v>32</v>
      </c>
      <c r="C7" s="879" t="s">
        <v>12</v>
      </c>
      <c r="D7" s="887" t="s">
        <v>13</v>
      </c>
      <c r="E7" s="250">
        <v>12</v>
      </c>
      <c r="F7" s="946"/>
      <c r="G7" s="97"/>
      <c r="H7" s="1473"/>
    </row>
    <row r="8" spans="1:8" s="224" customFormat="1" x14ac:dyDescent="0.25">
      <c r="A8" s="215">
        <v>42402</v>
      </c>
      <c r="B8" s="862" t="s">
        <v>32</v>
      </c>
      <c r="C8" s="879" t="s">
        <v>12</v>
      </c>
      <c r="D8" s="887" t="s">
        <v>13</v>
      </c>
      <c r="E8" s="250">
        <v>12</v>
      </c>
      <c r="F8" s="946"/>
      <c r="G8" s="97"/>
      <c r="H8" s="1473"/>
    </row>
    <row r="9" spans="1:8" s="224" customFormat="1" x14ac:dyDescent="0.25">
      <c r="A9" s="215">
        <v>42402</v>
      </c>
      <c r="B9" s="862" t="s">
        <v>1234</v>
      </c>
      <c r="C9" s="879" t="s">
        <v>12</v>
      </c>
      <c r="D9" s="887" t="s">
        <v>13</v>
      </c>
      <c r="E9" s="250">
        <v>7</v>
      </c>
      <c r="F9" s="946"/>
      <c r="G9" s="97"/>
      <c r="H9" s="1473"/>
    </row>
    <row r="10" spans="1:8" s="224" customFormat="1" x14ac:dyDescent="0.25">
      <c r="A10" s="215">
        <v>42403</v>
      </c>
      <c r="B10" s="862" t="s">
        <v>32</v>
      </c>
      <c r="C10" s="879" t="s">
        <v>12</v>
      </c>
      <c r="D10" s="887" t="s">
        <v>15</v>
      </c>
      <c r="E10" s="250">
        <v>12</v>
      </c>
      <c r="F10" s="946"/>
      <c r="G10" s="97"/>
      <c r="H10" s="1473"/>
    </row>
    <row r="11" spans="1:8" s="224" customFormat="1" x14ac:dyDescent="0.25">
      <c r="A11" s="215">
        <v>42403</v>
      </c>
      <c r="B11" s="862" t="s">
        <v>1235</v>
      </c>
      <c r="C11" s="879" t="s">
        <v>12</v>
      </c>
      <c r="D11" s="887" t="s">
        <v>15</v>
      </c>
      <c r="E11" s="250">
        <v>7.95</v>
      </c>
      <c r="F11" s="946"/>
      <c r="G11" s="97"/>
      <c r="H11" s="1473"/>
    </row>
    <row r="12" spans="1:8" s="224" customFormat="1" x14ac:dyDescent="0.25">
      <c r="A12" s="215">
        <v>42403</v>
      </c>
      <c r="B12" s="862" t="s">
        <v>138</v>
      </c>
      <c r="C12" s="879" t="s">
        <v>12</v>
      </c>
      <c r="D12" s="887" t="s">
        <v>15</v>
      </c>
      <c r="E12" s="250">
        <v>20</v>
      </c>
      <c r="F12" s="946"/>
      <c r="G12" s="97"/>
      <c r="H12" s="1473"/>
    </row>
    <row r="13" spans="1:8" s="224" customFormat="1" x14ac:dyDescent="0.25">
      <c r="A13" s="215">
        <v>42403</v>
      </c>
      <c r="B13" s="862" t="s">
        <v>1161</v>
      </c>
      <c r="C13" s="879" t="s">
        <v>12</v>
      </c>
      <c r="D13" s="887" t="s">
        <v>15</v>
      </c>
      <c r="E13" s="250">
        <v>15</v>
      </c>
      <c r="F13" s="946"/>
      <c r="G13" s="97"/>
      <c r="H13" s="1473"/>
    </row>
    <row r="14" spans="1:8" s="224" customFormat="1" x14ac:dyDescent="0.25">
      <c r="A14" s="215">
        <v>42403</v>
      </c>
      <c r="B14" s="862" t="s">
        <v>914</v>
      </c>
      <c r="C14" s="879" t="s">
        <v>12</v>
      </c>
      <c r="D14" s="887" t="s">
        <v>15</v>
      </c>
      <c r="E14" s="250">
        <v>13.11</v>
      </c>
      <c r="F14" s="946"/>
      <c r="G14" s="97"/>
      <c r="H14" s="1473"/>
    </row>
    <row r="15" spans="1:8" s="224" customFormat="1" x14ac:dyDescent="0.25">
      <c r="A15" s="215">
        <v>42403</v>
      </c>
      <c r="B15" s="862" t="s">
        <v>14</v>
      </c>
      <c r="C15" s="879" t="s">
        <v>12</v>
      </c>
      <c r="D15" s="887" t="s">
        <v>15</v>
      </c>
      <c r="E15" s="250">
        <v>6.4</v>
      </c>
      <c r="F15" s="946"/>
      <c r="G15" s="97"/>
      <c r="H15" s="1473"/>
    </row>
    <row r="16" spans="1:8" x14ac:dyDescent="0.25">
      <c r="A16" s="215">
        <v>42403</v>
      </c>
      <c r="B16" s="862" t="s">
        <v>256</v>
      </c>
      <c r="C16" s="879"/>
      <c r="D16" s="1475"/>
      <c r="E16" s="97"/>
      <c r="F16" s="946">
        <v>200</v>
      </c>
      <c r="G16" s="97">
        <v>200</v>
      </c>
      <c r="H16" s="946"/>
    </row>
    <row r="17" spans="1:8" s="224" customFormat="1" x14ac:dyDescent="0.25">
      <c r="A17" s="215">
        <v>42404</v>
      </c>
      <c r="B17" s="862" t="s">
        <v>32</v>
      </c>
      <c r="C17" s="879" t="s">
        <v>12</v>
      </c>
      <c r="D17" s="887" t="s">
        <v>15</v>
      </c>
      <c r="E17" s="250">
        <v>12</v>
      </c>
      <c r="F17" s="946"/>
      <c r="G17" s="97"/>
      <c r="H17" s="1473"/>
    </row>
    <row r="18" spans="1:8" s="224" customFormat="1" x14ac:dyDescent="0.25">
      <c r="A18" s="215">
        <v>42404</v>
      </c>
      <c r="B18" s="862" t="s">
        <v>872</v>
      </c>
      <c r="C18" s="879" t="s">
        <v>12</v>
      </c>
      <c r="D18" s="887" t="s">
        <v>25</v>
      </c>
      <c r="E18" s="250"/>
      <c r="F18" s="1473">
        <v>150</v>
      </c>
      <c r="G18" s="252"/>
      <c r="H18" s="1473"/>
    </row>
    <row r="19" spans="1:8" s="224" customFormat="1" x14ac:dyDescent="0.25">
      <c r="A19" s="215">
        <v>42404</v>
      </c>
      <c r="B19" s="862" t="s">
        <v>138</v>
      </c>
      <c r="C19" s="879" t="s">
        <v>19</v>
      </c>
      <c r="D19" s="887" t="s">
        <v>15</v>
      </c>
      <c r="E19" s="250">
        <v>60</v>
      </c>
      <c r="F19" s="946"/>
      <c r="G19" s="97"/>
      <c r="H19" s="1473"/>
    </row>
    <row r="20" spans="1:8" s="224" customFormat="1" x14ac:dyDescent="0.25">
      <c r="A20" s="215">
        <v>42404</v>
      </c>
      <c r="B20" s="862" t="s">
        <v>1236</v>
      </c>
      <c r="C20" s="879" t="s">
        <v>19</v>
      </c>
      <c r="D20" s="887" t="s">
        <v>15</v>
      </c>
      <c r="E20" s="250">
        <v>14</v>
      </c>
      <c r="F20" s="1473"/>
      <c r="G20" s="252"/>
      <c r="H20" s="1473"/>
    </row>
    <row r="21" spans="1:8" s="224" customFormat="1" x14ac:dyDescent="0.25">
      <c r="A21" s="215">
        <v>42404</v>
      </c>
      <c r="B21" s="862" t="s">
        <v>1237</v>
      </c>
      <c r="C21" s="879" t="s">
        <v>19</v>
      </c>
      <c r="D21" s="887" t="s">
        <v>15</v>
      </c>
      <c r="E21" s="250">
        <v>35</v>
      </c>
      <c r="F21" s="946"/>
      <c r="G21" s="97"/>
      <c r="H21" s="1473"/>
    </row>
    <row r="22" spans="1:8" s="224" customFormat="1" x14ac:dyDescent="0.25">
      <c r="A22" s="215">
        <v>42404</v>
      </c>
      <c r="B22" s="862" t="s">
        <v>134</v>
      </c>
      <c r="C22" s="879" t="s">
        <v>12</v>
      </c>
      <c r="D22" s="887" t="s">
        <v>15</v>
      </c>
      <c r="E22" s="250">
        <v>7</v>
      </c>
      <c r="F22" s="1473"/>
      <c r="G22" s="252"/>
      <c r="H22" s="1473"/>
    </row>
    <row r="23" spans="1:8" s="224" customFormat="1" x14ac:dyDescent="0.25">
      <c r="A23" s="215">
        <v>42405</v>
      </c>
      <c r="B23" s="862" t="s">
        <v>32</v>
      </c>
      <c r="C23" s="879" t="s">
        <v>12</v>
      </c>
      <c r="D23" s="887" t="s">
        <v>15</v>
      </c>
      <c r="E23" s="250">
        <v>12</v>
      </c>
      <c r="F23" s="946"/>
      <c r="G23" s="97"/>
      <c r="H23" s="1473"/>
    </row>
    <row r="24" spans="1:8" s="224" customFormat="1" ht="15.75" customHeight="1" x14ac:dyDescent="0.25">
      <c r="A24" s="215">
        <v>42405</v>
      </c>
      <c r="B24" s="349" t="s">
        <v>1238</v>
      </c>
      <c r="C24" s="879" t="s">
        <v>12</v>
      </c>
      <c r="D24" s="983" t="s">
        <v>25</v>
      </c>
      <c r="E24" s="250"/>
      <c r="F24" s="1473">
        <v>1788.82</v>
      </c>
      <c r="G24" s="252"/>
      <c r="H24" s="946"/>
    </row>
    <row r="25" spans="1:8" s="224" customFormat="1" ht="15.75" customHeight="1" x14ac:dyDescent="0.25">
      <c r="A25" s="215">
        <v>42405</v>
      </c>
      <c r="B25" s="862" t="s">
        <v>1239</v>
      </c>
      <c r="C25" s="350" t="s">
        <v>12</v>
      </c>
      <c r="D25" s="141" t="s">
        <v>13</v>
      </c>
      <c r="E25" s="97">
        <v>514.29</v>
      </c>
      <c r="F25" s="1473"/>
      <c r="G25" s="252"/>
      <c r="H25" s="946"/>
    </row>
    <row r="26" spans="1:8" s="224" customFormat="1" ht="15.75" customHeight="1" x14ac:dyDescent="0.25">
      <c r="A26" s="215">
        <v>42405</v>
      </c>
      <c r="B26" s="882" t="s">
        <v>1240</v>
      </c>
      <c r="C26" s="350" t="s">
        <v>12</v>
      </c>
      <c r="D26" s="141" t="s">
        <v>13</v>
      </c>
      <c r="E26" s="97">
        <v>75.790000000000006</v>
      </c>
      <c r="F26" s="1473"/>
      <c r="G26" s="252"/>
      <c r="H26" s="946"/>
    </row>
    <row r="27" spans="1:8" x14ac:dyDescent="0.25">
      <c r="A27" s="215">
        <v>42405</v>
      </c>
      <c r="B27" s="349" t="s">
        <v>260</v>
      </c>
      <c r="C27" s="350"/>
      <c r="D27" s="141"/>
      <c r="E27" s="97">
        <v>460</v>
      </c>
      <c r="F27" s="946"/>
      <c r="G27" s="95"/>
      <c r="H27" s="946">
        <v>460</v>
      </c>
    </row>
    <row r="28" spans="1:8" x14ac:dyDescent="0.25">
      <c r="A28" s="215">
        <v>42405</v>
      </c>
      <c r="B28" s="862" t="s">
        <v>1091</v>
      </c>
      <c r="C28" s="879" t="s">
        <v>12</v>
      </c>
      <c r="D28" s="1475" t="s">
        <v>15</v>
      </c>
      <c r="E28" s="97">
        <v>290</v>
      </c>
      <c r="F28" s="946"/>
      <c r="G28" s="97"/>
      <c r="H28" s="946"/>
    </row>
    <row r="29" spans="1:8" x14ac:dyDescent="0.25">
      <c r="A29" s="215">
        <v>42405</v>
      </c>
      <c r="B29" s="862" t="s">
        <v>14</v>
      </c>
      <c r="C29" s="879" t="s">
        <v>12</v>
      </c>
      <c r="D29" s="1475" t="s">
        <v>13</v>
      </c>
      <c r="E29" s="97">
        <v>6</v>
      </c>
      <c r="F29" s="946"/>
      <c r="G29" s="97"/>
      <c r="H29" s="946"/>
    </row>
    <row r="30" spans="1:8" s="224" customFormat="1" x14ac:dyDescent="0.25">
      <c r="A30" s="215">
        <v>42406</v>
      </c>
      <c r="B30" s="862" t="s">
        <v>1241</v>
      </c>
      <c r="C30" s="879" t="s">
        <v>12</v>
      </c>
      <c r="D30" s="887" t="s">
        <v>13</v>
      </c>
      <c r="E30" s="250">
        <v>25</v>
      </c>
      <c r="F30" s="946"/>
      <c r="G30" s="97"/>
      <c r="H30" s="1473"/>
    </row>
    <row r="31" spans="1:8" s="224" customFormat="1" x14ac:dyDescent="0.25">
      <c r="A31" s="215">
        <v>42406</v>
      </c>
      <c r="B31" s="862" t="s">
        <v>32</v>
      </c>
      <c r="C31" s="879" t="s">
        <v>12</v>
      </c>
      <c r="D31" s="887" t="s">
        <v>15</v>
      </c>
      <c r="E31" s="250">
        <v>14.5</v>
      </c>
      <c r="F31" s="946"/>
      <c r="G31" s="97"/>
      <c r="H31" s="1473"/>
    </row>
    <row r="32" spans="1:8" s="224" customFormat="1" ht="15.75" customHeight="1" x14ac:dyDescent="0.25">
      <c r="A32" s="215">
        <v>42407</v>
      </c>
      <c r="B32" s="349" t="s">
        <v>1057</v>
      </c>
      <c r="C32" s="350" t="s">
        <v>12</v>
      </c>
      <c r="D32" s="141" t="s">
        <v>13</v>
      </c>
      <c r="E32" s="97">
        <v>8.25</v>
      </c>
      <c r="F32" s="946"/>
      <c r="G32" s="95"/>
      <c r="H32" s="946"/>
    </row>
    <row r="33" spans="1:8" s="224" customFormat="1" ht="15.75" customHeight="1" x14ac:dyDescent="0.25">
      <c r="A33" s="215">
        <v>42407</v>
      </c>
      <c r="B33" s="349" t="s">
        <v>1242</v>
      </c>
      <c r="C33" s="350" t="s">
        <v>12</v>
      </c>
      <c r="D33" s="141" t="s">
        <v>15</v>
      </c>
      <c r="E33" s="97">
        <v>27</v>
      </c>
      <c r="F33" s="946"/>
      <c r="G33" s="95"/>
      <c r="H33" s="946"/>
    </row>
    <row r="34" spans="1:8" x14ac:dyDescent="0.25">
      <c r="A34" s="215">
        <v>42408</v>
      </c>
      <c r="B34" s="862" t="s">
        <v>32</v>
      </c>
      <c r="C34" s="879" t="s">
        <v>12</v>
      </c>
      <c r="D34" s="887" t="s">
        <v>13</v>
      </c>
      <c r="E34" s="250">
        <v>12</v>
      </c>
      <c r="F34" s="946"/>
      <c r="G34" s="95"/>
      <c r="H34" s="946"/>
    </row>
    <row r="35" spans="1:8" x14ac:dyDescent="0.25">
      <c r="A35" s="215">
        <v>42408</v>
      </c>
      <c r="B35" s="862" t="s">
        <v>80</v>
      </c>
      <c r="C35" s="879" t="s">
        <v>12</v>
      </c>
      <c r="D35" s="887" t="s">
        <v>15</v>
      </c>
      <c r="E35" s="250">
        <v>27</v>
      </c>
      <c r="F35" s="946"/>
      <c r="G35" s="95"/>
      <c r="H35" s="946"/>
    </row>
    <row r="36" spans="1:8" s="224" customFormat="1" x14ac:dyDescent="0.25">
      <c r="A36" s="215">
        <v>42409</v>
      </c>
      <c r="B36" s="862" t="s">
        <v>32</v>
      </c>
      <c r="C36" s="879" t="s">
        <v>12</v>
      </c>
      <c r="D36" s="887" t="s">
        <v>13</v>
      </c>
      <c r="E36" s="250">
        <v>12</v>
      </c>
      <c r="F36" s="946"/>
      <c r="G36" s="97"/>
      <c r="H36" s="946"/>
    </row>
    <row r="37" spans="1:8" s="224" customFormat="1" x14ac:dyDescent="0.25">
      <c r="A37" s="215">
        <v>42409</v>
      </c>
      <c r="B37" s="862" t="s">
        <v>138</v>
      </c>
      <c r="C37" s="879" t="s">
        <v>19</v>
      </c>
      <c r="D37" s="887" t="s">
        <v>13</v>
      </c>
      <c r="E37" s="250">
        <v>60</v>
      </c>
      <c r="F37" s="946"/>
      <c r="G37" s="97"/>
      <c r="H37" s="946"/>
    </row>
    <row r="38" spans="1:8" s="224" customFormat="1" x14ac:dyDescent="0.25">
      <c r="A38" s="215">
        <v>42409</v>
      </c>
      <c r="B38" s="862" t="s">
        <v>1057</v>
      </c>
      <c r="C38" s="879" t="s">
        <v>12</v>
      </c>
      <c r="D38" s="887" t="s">
        <v>13</v>
      </c>
      <c r="E38" s="250">
        <v>8</v>
      </c>
      <c r="F38" s="946"/>
      <c r="G38" s="97"/>
      <c r="H38" s="946"/>
    </row>
    <row r="39" spans="1:8" s="224" customFormat="1" x14ac:dyDescent="0.25">
      <c r="A39" s="215">
        <v>42409</v>
      </c>
      <c r="B39" s="862" t="s">
        <v>134</v>
      </c>
      <c r="C39" s="879" t="s">
        <v>12</v>
      </c>
      <c r="D39" s="887" t="s">
        <v>13</v>
      </c>
      <c r="E39" s="250">
        <v>6.17</v>
      </c>
      <c r="F39" s="946"/>
      <c r="G39" s="97"/>
      <c r="H39" s="946"/>
    </row>
    <row r="40" spans="1:8" s="224" customFormat="1" x14ac:dyDescent="0.25">
      <c r="A40" s="215">
        <v>42410</v>
      </c>
      <c r="B40" s="862" t="s">
        <v>32</v>
      </c>
      <c r="C40" s="879" t="s">
        <v>12</v>
      </c>
      <c r="D40" s="887" t="s">
        <v>13</v>
      </c>
      <c r="E40" s="250">
        <v>12</v>
      </c>
      <c r="F40" s="946"/>
      <c r="G40" s="97"/>
      <c r="H40" s="1473"/>
    </row>
    <row r="41" spans="1:8" s="224" customFormat="1" x14ac:dyDescent="0.25">
      <c r="A41" s="215">
        <v>42411</v>
      </c>
      <c r="B41" s="862" t="s">
        <v>32</v>
      </c>
      <c r="C41" s="879" t="s">
        <v>12</v>
      </c>
      <c r="D41" s="887" t="s">
        <v>13</v>
      </c>
      <c r="E41" s="250">
        <v>12</v>
      </c>
      <c r="F41" s="946"/>
      <c r="G41" s="97"/>
      <c r="H41" s="946"/>
    </row>
    <row r="42" spans="1:8" s="224" customFormat="1" x14ac:dyDescent="0.25">
      <c r="A42" s="215">
        <v>42411</v>
      </c>
      <c r="B42" s="862" t="s">
        <v>1243</v>
      </c>
      <c r="C42" s="879" t="s">
        <v>12</v>
      </c>
      <c r="D42" s="887" t="s">
        <v>13</v>
      </c>
      <c r="E42" s="250">
        <v>25</v>
      </c>
      <c r="F42" s="946"/>
      <c r="G42" s="97"/>
      <c r="H42" s="946"/>
    </row>
    <row r="43" spans="1:8" s="224" customFormat="1" x14ac:dyDescent="0.25">
      <c r="A43" s="215">
        <v>42411</v>
      </c>
      <c r="B43" s="862" t="s">
        <v>14</v>
      </c>
      <c r="C43" s="879" t="s">
        <v>12</v>
      </c>
      <c r="D43" s="887" t="s">
        <v>13</v>
      </c>
      <c r="E43" s="250">
        <v>5.5</v>
      </c>
      <c r="F43" s="946"/>
      <c r="G43" s="97"/>
      <c r="H43" s="946"/>
    </row>
    <row r="44" spans="1:8" s="224" customFormat="1" x14ac:dyDescent="0.25">
      <c r="A44" s="215">
        <v>42412</v>
      </c>
      <c r="B44" s="862" t="s">
        <v>32</v>
      </c>
      <c r="C44" s="879" t="s">
        <v>12</v>
      </c>
      <c r="D44" s="887" t="s">
        <v>13</v>
      </c>
      <c r="E44" s="250">
        <v>19</v>
      </c>
      <c r="F44" s="946"/>
      <c r="G44" s="97"/>
      <c r="H44" s="946"/>
    </row>
    <row r="45" spans="1:8" s="224" customFormat="1" x14ac:dyDescent="0.25">
      <c r="A45" s="215">
        <v>42412</v>
      </c>
      <c r="B45" s="862" t="s">
        <v>914</v>
      </c>
      <c r="C45" s="879" t="s">
        <v>12</v>
      </c>
      <c r="D45" s="887" t="s">
        <v>13</v>
      </c>
      <c r="E45" s="250">
        <v>6.88</v>
      </c>
      <c r="F45" s="946"/>
      <c r="G45" s="97"/>
      <c r="H45" s="946"/>
    </row>
    <row r="46" spans="1:8" s="224" customFormat="1" x14ac:dyDescent="0.25">
      <c r="A46" s="215">
        <v>42412</v>
      </c>
      <c r="B46" s="862" t="s">
        <v>14</v>
      </c>
      <c r="C46" s="879" t="s">
        <v>12</v>
      </c>
      <c r="D46" s="887" t="s">
        <v>13</v>
      </c>
      <c r="E46" s="250">
        <v>11.18</v>
      </c>
      <c r="F46" s="946"/>
      <c r="G46" s="97"/>
      <c r="H46" s="946"/>
    </row>
    <row r="47" spans="1:8" s="224" customFormat="1" x14ac:dyDescent="0.25">
      <c r="A47" s="215">
        <v>42413</v>
      </c>
      <c r="B47" s="862" t="s">
        <v>134</v>
      </c>
      <c r="C47" s="879" t="s">
        <v>12</v>
      </c>
      <c r="D47" s="887" t="s">
        <v>13</v>
      </c>
      <c r="E47" s="250">
        <v>8</v>
      </c>
      <c r="F47" s="946"/>
      <c r="G47" s="97"/>
      <c r="H47" s="1473"/>
    </row>
    <row r="48" spans="1:8" s="224" customFormat="1" ht="15.75" customHeight="1" x14ac:dyDescent="0.25">
      <c r="A48" s="215">
        <v>42414</v>
      </c>
      <c r="B48" s="862" t="s">
        <v>138</v>
      </c>
      <c r="C48" s="879" t="s">
        <v>19</v>
      </c>
      <c r="D48" s="887" t="s">
        <v>13</v>
      </c>
      <c r="E48" s="250">
        <v>60</v>
      </c>
      <c r="F48" s="946"/>
      <c r="G48" s="97"/>
      <c r="H48" s="946"/>
    </row>
    <row r="49" spans="1:8" s="224" customFormat="1" ht="15.75" customHeight="1" x14ac:dyDescent="0.25">
      <c r="A49" s="215">
        <v>42414</v>
      </c>
      <c r="B49" s="862" t="s">
        <v>17</v>
      </c>
      <c r="C49" s="879" t="s">
        <v>12</v>
      </c>
      <c r="D49" s="887" t="s">
        <v>13</v>
      </c>
      <c r="E49" s="250">
        <v>3.5</v>
      </c>
      <c r="F49" s="946"/>
      <c r="G49" s="97"/>
      <c r="H49" s="946"/>
    </row>
    <row r="50" spans="1:8" s="224" customFormat="1" ht="15.75" customHeight="1" x14ac:dyDescent="0.25">
      <c r="A50" s="215">
        <v>42414</v>
      </c>
      <c r="B50" s="862" t="s">
        <v>14</v>
      </c>
      <c r="C50" s="879" t="s">
        <v>12</v>
      </c>
      <c r="D50" s="887" t="s">
        <v>13</v>
      </c>
      <c r="E50" s="250">
        <v>10.5</v>
      </c>
      <c r="F50" s="946"/>
      <c r="G50" s="97"/>
      <c r="H50" s="946"/>
    </row>
    <row r="51" spans="1:8" s="224" customFormat="1" ht="15.75" customHeight="1" x14ac:dyDescent="0.25">
      <c r="A51" s="215">
        <v>42415</v>
      </c>
      <c r="B51" s="862" t="s">
        <v>32</v>
      </c>
      <c r="C51" s="879" t="s">
        <v>12</v>
      </c>
      <c r="D51" s="887" t="s">
        <v>13</v>
      </c>
      <c r="E51" s="250">
        <v>12</v>
      </c>
      <c r="F51" s="946"/>
      <c r="G51" s="97"/>
      <c r="H51" s="946"/>
    </row>
    <row r="52" spans="1:8" s="224" customFormat="1" ht="15.75" customHeight="1" x14ac:dyDescent="0.25">
      <c r="A52" s="215">
        <v>42415</v>
      </c>
      <c r="B52" s="862" t="s">
        <v>14</v>
      </c>
      <c r="C52" s="879" t="s">
        <v>12</v>
      </c>
      <c r="D52" s="887" t="s">
        <v>13</v>
      </c>
      <c r="E52" s="250">
        <v>12.94</v>
      </c>
      <c r="F52" s="946"/>
      <c r="G52" s="97"/>
      <c r="H52" s="946"/>
    </row>
    <row r="53" spans="1:8" s="224" customFormat="1" ht="15.75" customHeight="1" x14ac:dyDescent="0.25">
      <c r="A53" s="215">
        <v>42416</v>
      </c>
      <c r="B53" s="862" t="s">
        <v>32</v>
      </c>
      <c r="C53" s="879" t="s">
        <v>12</v>
      </c>
      <c r="D53" s="887" t="s">
        <v>15</v>
      </c>
      <c r="E53" s="250">
        <v>12</v>
      </c>
      <c r="F53" s="946"/>
      <c r="G53" s="97"/>
      <c r="H53" s="946"/>
    </row>
    <row r="54" spans="1:8" s="224" customFormat="1" ht="15.75" customHeight="1" x14ac:dyDescent="0.25">
      <c r="A54" s="215">
        <v>42416</v>
      </c>
      <c r="B54" s="862" t="s">
        <v>1192</v>
      </c>
      <c r="C54" s="879" t="s">
        <v>12</v>
      </c>
      <c r="D54" s="887" t="s">
        <v>15</v>
      </c>
      <c r="E54" s="250">
        <v>6</v>
      </c>
      <c r="F54" s="946"/>
      <c r="G54" s="97"/>
      <c r="H54" s="946"/>
    </row>
    <row r="55" spans="1:8" s="224" customFormat="1" ht="15.75" customHeight="1" x14ac:dyDescent="0.25">
      <c r="A55" s="215">
        <v>42416</v>
      </c>
      <c r="B55" s="862" t="s">
        <v>649</v>
      </c>
      <c r="C55" s="879" t="s">
        <v>19</v>
      </c>
      <c r="D55" s="887" t="s">
        <v>13</v>
      </c>
      <c r="E55" s="250">
        <v>24.42</v>
      </c>
      <c r="F55" s="946"/>
      <c r="G55" s="97"/>
      <c r="H55" s="946"/>
    </row>
    <row r="56" spans="1:8" s="224" customFormat="1" ht="15.75" customHeight="1" x14ac:dyDescent="0.25">
      <c r="A56" s="215">
        <v>42417</v>
      </c>
      <c r="B56" s="862" t="s">
        <v>32</v>
      </c>
      <c r="C56" s="879" t="s">
        <v>12</v>
      </c>
      <c r="D56" s="887" t="s">
        <v>13</v>
      </c>
      <c r="E56" s="250">
        <v>12</v>
      </c>
      <c r="F56" s="946"/>
      <c r="G56" s="97"/>
      <c r="H56" s="946"/>
    </row>
    <row r="57" spans="1:8" s="224" customFormat="1" ht="15.75" customHeight="1" x14ac:dyDescent="0.25">
      <c r="A57" s="215">
        <v>42417</v>
      </c>
      <c r="B57" s="862" t="s">
        <v>138</v>
      </c>
      <c r="C57" s="879" t="s">
        <v>19</v>
      </c>
      <c r="D57" s="887" t="s">
        <v>13</v>
      </c>
      <c r="E57" s="250">
        <v>60</v>
      </c>
      <c r="F57" s="946"/>
      <c r="G57" s="97"/>
      <c r="H57" s="946"/>
    </row>
    <row r="58" spans="1:8" s="224" customFormat="1" ht="15.75" customHeight="1" x14ac:dyDescent="0.25">
      <c r="A58" s="215">
        <v>42417</v>
      </c>
      <c r="B58" s="862" t="s">
        <v>1244</v>
      </c>
      <c r="C58" s="879" t="s">
        <v>19</v>
      </c>
      <c r="D58" s="887" t="s">
        <v>13</v>
      </c>
      <c r="E58" s="250">
        <v>30</v>
      </c>
      <c r="F58" s="946"/>
      <c r="G58" s="97"/>
      <c r="H58" s="946"/>
    </row>
    <row r="59" spans="1:8" s="224" customFormat="1" ht="15.75" customHeight="1" x14ac:dyDescent="0.25">
      <c r="A59" s="215">
        <v>42417</v>
      </c>
      <c r="B59" s="862" t="s">
        <v>134</v>
      </c>
      <c r="C59" s="879" t="s">
        <v>12</v>
      </c>
      <c r="D59" s="887" t="s">
        <v>13</v>
      </c>
      <c r="E59" s="250">
        <v>5.64</v>
      </c>
      <c r="F59" s="946"/>
      <c r="G59" s="97"/>
      <c r="H59" s="946"/>
    </row>
    <row r="60" spans="1:8" x14ac:dyDescent="0.25">
      <c r="A60" s="215">
        <v>42417</v>
      </c>
      <c r="B60" s="862" t="s">
        <v>256</v>
      </c>
      <c r="C60" s="879"/>
      <c r="D60" s="1475"/>
      <c r="E60" s="97"/>
      <c r="F60" s="946">
        <v>610</v>
      </c>
      <c r="G60" s="97">
        <v>610</v>
      </c>
      <c r="H60" s="946"/>
    </row>
    <row r="61" spans="1:8" x14ac:dyDescent="0.25">
      <c r="A61" s="215">
        <v>42418</v>
      </c>
      <c r="B61" s="349" t="s">
        <v>260</v>
      </c>
      <c r="C61" s="350"/>
      <c r="D61" s="141"/>
      <c r="E61" s="97">
        <v>800</v>
      </c>
      <c r="F61" s="946"/>
      <c r="G61" s="95"/>
      <c r="H61" s="946">
        <v>800</v>
      </c>
    </row>
    <row r="62" spans="1:8" s="224" customFormat="1" ht="15.75" customHeight="1" x14ac:dyDescent="0.25">
      <c r="A62" s="215">
        <v>42418</v>
      </c>
      <c r="B62" s="862" t="s">
        <v>32</v>
      </c>
      <c r="C62" s="879" t="s">
        <v>12</v>
      </c>
      <c r="D62" s="887" t="s">
        <v>13</v>
      </c>
      <c r="E62" s="250">
        <v>19</v>
      </c>
      <c r="F62" s="946"/>
      <c r="G62" s="97"/>
      <c r="H62" s="946"/>
    </row>
    <row r="63" spans="1:8" s="224" customFormat="1" x14ac:dyDescent="0.25">
      <c r="A63" s="215">
        <v>42418</v>
      </c>
      <c r="B63" s="882" t="s">
        <v>1245</v>
      </c>
      <c r="C63" s="879" t="s">
        <v>12</v>
      </c>
      <c r="D63" s="887" t="s">
        <v>25</v>
      </c>
      <c r="E63" s="97"/>
      <c r="F63" s="946">
        <v>1420</v>
      </c>
      <c r="G63" s="95"/>
      <c r="H63" s="1473"/>
    </row>
    <row r="64" spans="1:8" s="224" customFormat="1" x14ac:dyDescent="0.25">
      <c r="A64" s="215">
        <v>42418</v>
      </c>
      <c r="B64" s="882" t="s">
        <v>1246</v>
      </c>
      <c r="C64" s="879" t="s">
        <v>12</v>
      </c>
      <c r="D64" s="887" t="s">
        <v>13</v>
      </c>
      <c r="E64" s="97">
        <v>568.53</v>
      </c>
      <c r="F64" s="946"/>
      <c r="G64" s="95"/>
      <c r="H64" s="1473"/>
    </row>
    <row r="65" spans="1:8" x14ac:dyDescent="0.25">
      <c r="A65" s="215">
        <v>42418</v>
      </c>
      <c r="B65" s="349" t="s">
        <v>1247</v>
      </c>
      <c r="C65" s="350" t="s">
        <v>12</v>
      </c>
      <c r="D65" s="141" t="s">
        <v>15</v>
      </c>
      <c r="E65" s="97">
        <v>100</v>
      </c>
      <c r="F65" s="946"/>
      <c r="G65" s="95"/>
      <c r="H65" s="946"/>
    </row>
    <row r="66" spans="1:8" s="224" customFormat="1" ht="15.75" customHeight="1" x14ac:dyDescent="0.25">
      <c r="A66" s="215">
        <v>42418</v>
      </c>
      <c r="B66" s="862" t="s">
        <v>1091</v>
      </c>
      <c r="C66" s="879" t="s">
        <v>12</v>
      </c>
      <c r="D66" s="887" t="s">
        <v>15</v>
      </c>
      <c r="E66" s="250">
        <v>165</v>
      </c>
      <c r="F66" s="946"/>
      <c r="G66" s="97"/>
      <c r="H66" s="946"/>
    </row>
    <row r="67" spans="1:8" s="224" customFormat="1" ht="15.75" customHeight="1" x14ac:dyDescent="0.25">
      <c r="A67" s="215">
        <v>42418</v>
      </c>
      <c r="B67" s="862" t="s">
        <v>14</v>
      </c>
      <c r="C67" s="879" t="s">
        <v>12</v>
      </c>
      <c r="D67" s="887" t="s">
        <v>13</v>
      </c>
      <c r="E67" s="250">
        <v>5</v>
      </c>
      <c r="F67" s="946"/>
      <c r="G67" s="97"/>
      <c r="H67" s="946"/>
    </row>
    <row r="68" spans="1:8" s="224" customFormat="1" ht="15.75" customHeight="1" x14ac:dyDescent="0.25">
      <c r="A68" s="215">
        <v>42418</v>
      </c>
      <c r="B68" s="862" t="s">
        <v>80</v>
      </c>
      <c r="C68" s="879" t="s">
        <v>12</v>
      </c>
      <c r="D68" s="887" t="s">
        <v>15</v>
      </c>
      <c r="E68" s="250">
        <v>36</v>
      </c>
      <c r="F68" s="946"/>
      <c r="G68" s="97"/>
      <c r="H68" s="946"/>
    </row>
    <row r="69" spans="1:8" s="224" customFormat="1" x14ac:dyDescent="0.25">
      <c r="A69" s="215">
        <v>42419</v>
      </c>
      <c r="B69" s="882" t="s">
        <v>32</v>
      </c>
      <c r="C69" s="879" t="s">
        <v>12</v>
      </c>
      <c r="D69" s="887" t="s">
        <v>13</v>
      </c>
      <c r="E69" s="97">
        <v>13</v>
      </c>
      <c r="F69" s="946"/>
      <c r="G69" s="95"/>
      <c r="H69" s="1473"/>
    </row>
    <row r="70" spans="1:8" s="224" customFormat="1" x14ac:dyDescent="0.25">
      <c r="A70" s="215">
        <v>42419</v>
      </c>
      <c r="B70" s="882" t="s">
        <v>970</v>
      </c>
      <c r="C70" s="879" t="s">
        <v>12</v>
      </c>
      <c r="D70" s="887" t="s">
        <v>13</v>
      </c>
      <c r="E70" s="97">
        <v>40</v>
      </c>
      <c r="F70" s="946"/>
      <c r="G70" s="95"/>
      <c r="H70" s="1473"/>
    </row>
    <row r="71" spans="1:8" x14ac:dyDescent="0.25">
      <c r="A71" s="215">
        <v>42420</v>
      </c>
      <c r="B71" s="862" t="s">
        <v>134</v>
      </c>
      <c r="C71" s="879" t="s">
        <v>12</v>
      </c>
      <c r="D71" s="887" t="s">
        <v>15</v>
      </c>
      <c r="E71" s="250">
        <v>8</v>
      </c>
      <c r="F71" s="946"/>
      <c r="G71" s="95"/>
      <c r="H71" s="946"/>
    </row>
    <row r="72" spans="1:8" s="224" customFormat="1" x14ac:dyDescent="0.25">
      <c r="A72" s="215">
        <v>42420</v>
      </c>
      <c r="B72" s="882" t="s">
        <v>14</v>
      </c>
      <c r="C72" s="879" t="s">
        <v>12</v>
      </c>
      <c r="D72" s="887" t="s">
        <v>13</v>
      </c>
      <c r="E72" s="97">
        <v>9.6999999999999993</v>
      </c>
      <c r="F72" s="946"/>
      <c r="G72" s="95"/>
      <c r="H72" s="1473"/>
    </row>
    <row r="73" spans="1:8" x14ac:dyDescent="0.25">
      <c r="A73" s="215">
        <v>42421</v>
      </c>
      <c r="B73" s="862" t="s">
        <v>14</v>
      </c>
      <c r="C73" s="879" t="s">
        <v>12</v>
      </c>
      <c r="D73" s="887" t="s">
        <v>13</v>
      </c>
      <c r="E73" s="250">
        <v>16.72</v>
      </c>
      <c r="F73" s="946"/>
      <c r="G73" s="95"/>
      <c r="H73" s="946"/>
    </row>
    <row r="74" spans="1:8" x14ac:dyDescent="0.25">
      <c r="A74" s="215">
        <v>42422</v>
      </c>
      <c r="B74" s="349" t="s">
        <v>260</v>
      </c>
      <c r="C74" s="350"/>
      <c r="D74" s="141"/>
      <c r="E74" s="97">
        <v>50</v>
      </c>
      <c r="F74" s="946"/>
      <c r="G74" s="95"/>
      <c r="H74" s="946">
        <v>50</v>
      </c>
    </row>
    <row r="75" spans="1:8" s="224" customFormat="1" x14ac:dyDescent="0.25">
      <c r="A75" s="215">
        <v>42422</v>
      </c>
      <c r="B75" s="882" t="s">
        <v>32</v>
      </c>
      <c r="C75" s="879" t="s">
        <v>12</v>
      </c>
      <c r="D75" s="887" t="s">
        <v>13</v>
      </c>
      <c r="E75" s="97">
        <v>12</v>
      </c>
      <c r="F75" s="946"/>
      <c r="G75" s="95"/>
      <c r="H75" s="1473"/>
    </row>
    <row r="76" spans="1:8" x14ac:dyDescent="0.25">
      <c r="A76" s="215">
        <v>42423</v>
      </c>
      <c r="B76" s="882" t="s">
        <v>32</v>
      </c>
      <c r="C76" s="879" t="s">
        <v>12</v>
      </c>
      <c r="D76" s="887" t="s">
        <v>13</v>
      </c>
      <c r="E76" s="97">
        <v>12</v>
      </c>
      <c r="F76" s="946"/>
      <c r="G76" s="95"/>
      <c r="H76" s="946"/>
    </row>
    <row r="77" spans="1:8" x14ac:dyDescent="0.25">
      <c r="A77" s="215">
        <v>42423</v>
      </c>
      <c r="B77" s="862" t="s">
        <v>914</v>
      </c>
      <c r="C77" s="879" t="s">
        <v>12</v>
      </c>
      <c r="D77" s="887" t="s">
        <v>13</v>
      </c>
      <c r="E77" s="250">
        <v>20.81</v>
      </c>
      <c r="F77" s="946"/>
      <c r="G77" s="95"/>
      <c r="H77" s="946"/>
    </row>
    <row r="78" spans="1:8" x14ac:dyDescent="0.25">
      <c r="A78" s="215">
        <v>42423</v>
      </c>
      <c r="B78" s="882" t="s">
        <v>134</v>
      </c>
      <c r="C78" s="879" t="s">
        <v>12</v>
      </c>
      <c r="D78" s="887" t="s">
        <v>13</v>
      </c>
      <c r="E78" s="97">
        <v>7.52</v>
      </c>
      <c r="F78" s="946"/>
      <c r="G78" s="95"/>
      <c r="H78" s="946"/>
    </row>
    <row r="79" spans="1:8" s="224" customFormat="1" x14ac:dyDescent="0.25">
      <c r="A79" s="215">
        <v>42424</v>
      </c>
      <c r="B79" s="862" t="s">
        <v>878</v>
      </c>
      <c r="C79" s="350" t="s">
        <v>12</v>
      </c>
      <c r="D79" s="957" t="s">
        <v>13</v>
      </c>
      <c r="E79" s="97">
        <v>51.9</v>
      </c>
      <c r="F79" s="1473"/>
      <c r="G79" s="252"/>
      <c r="H79" s="946"/>
    </row>
    <row r="80" spans="1:8" x14ac:dyDescent="0.25">
      <c r="A80" s="215">
        <v>42424</v>
      </c>
      <c r="B80" s="882" t="s">
        <v>32</v>
      </c>
      <c r="C80" s="879" t="s">
        <v>12</v>
      </c>
      <c r="D80" s="887" t="s">
        <v>13</v>
      </c>
      <c r="E80" s="97">
        <v>12</v>
      </c>
      <c r="F80" s="946"/>
      <c r="G80" s="95"/>
      <c r="H80" s="946"/>
    </row>
    <row r="81" spans="1:8" x14ac:dyDescent="0.25">
      <c r="A81" s="215">
        <v>42425</v>
      </c>
      <c r="B81" s="862" t="s">
        <v>1248</v>
      </c>
      <c r="C81" s="879" t="s">
        <v>12</v>
      </c>
      <c r="D81" s="887" t="s">
        <v>13</v>
      </c>
      <c r="E81" s="250">
        <v>110</v>
      </c>
      <c r="F81" s="946"/>
      <c r="G81" s="95"/>
      <c r="H81" s="946"/>
    </row>
    <row r="82" spans="1:8" x14ac:dyDescent="0.25">
      <c r="A82" s="215">
        <v>42425</v>
      </c>
      <c r="B82" s="862" t="s">
        <v>1249</v>
      </c>
      <c r="C82" s="879" t="s">
        <v>12</v>
      </c>
      <c r="D82" s="887" t="s">
        <v>15</v>
      </c>
      <c r="E82" s="250">
        <v>10</v>
      </c>
      <c r="F82" s="946"/>
      <c r="G82" s="95"/>
      <c r="H82" s="946"/>
    </row>
    <row r="83" spans="1:8" x14ac:dyDescent="0.25">
      <c r="A83" s="215">
        <v>42425</v>
      </c>
      <c r="B83" s="862" t="s">
        <v>1250</v>
      </c>
      <c r="C83" s="879" t="s">
        <v>12</v>
      </c>
      <c r="D83" s="887" t="s">
        <v>15</v>
      </c>
      <c r="E83" s="250">
        <v>22</v>
      </c>
      <c r="F83" s="946"/>
      <c r="G83" s="95"/>
      <c r="H83" s="946"/>
    </row>
    <row r="84" spans="1:8" x14ac:dyDescent="0.25">
      <c r="A84" s="215">
        <v>42425</v>
      </c>
      <c r="B84" s="882" t="s">
        <v>134</v>
      </c>
      <c r="C84" s="879" t="s">
        <v>12</v>
      </c>
      <c r="D84" s="887" t="s">
        <v>13</v>
      </c>
      <c r="E84" s="97">
        <v>10.220000000000001</v>
      </c>
      <c r="F84" s="946"/>
      <c r="G84" s="95"/>
      <c r="H84" s="946"/>
    </row>
    <row r="85" spans="1:8" x14ac:dyDescent="0.25">
      <c r="A85" s="215">
        <v>42426</v>
      </c>
      <c r="B85" s="882" t="s">
        <v>32</v>
      </c>
      <c r="C85" s="879" t="s">
        <v>12</v>
      </c>
      <c r="D85" s="887" t="s">
        <v>13</v>
      </c>
      <c r="E85" s="97">
        <v>12</v>
      </c>
      <c r="F85" s="946"/>
      <c r="G85" s="95"/>
      <c r="H85" s="946"/>
    </row>
    <row r="86" spans="1:8" x14ac:dyDescent="0.25">
      <c r="A86" s="215">
        <v>42426</v>
      </c>
      <c r="B86" s="882" t="s">
        <v>138</v>
      </c>
      <c r="C86" s="879" t="s">
        <v>12</v>
      </c>
      <c r="D86" s="887" t="s">
        <v>15</v>
      </c>
      <c r="E86" s="97">
        <v>40</v>
      </c>
      <c r="F86" s="946"/>
      <c r="G86" s="95"/>
      <c r="H86" s="946"/>
    </row>
    <row r="87" spans="1:8" x14ac:dyDescent="0.25">
      <c r="A87" s="215">
        <v>42426</v>
      </c>
      <c r="B87" s="862" t="s">
        <v>134</v>
      </c>
      <c r="C87" s="879" t="s">
        <v>12</v>
      </c>
      <c r="D87" s="887" t="s">
        <v>13</v>
      </c>
      <c r="E87" s="250">
        <v>9</v>
      </c>
      <c r="F87" s="946"/>
      <c r="G87" s="95"/>
      <c r="H87" s="946"/>
    </row>
    <row r="88" spans="1:8" x14ac:dyDescent="0.25">
      <c r="A88" s="215">
        <v>42426</v>
      </c>
      <c r="B88" s="882" t="s">
        <v>14</v>
      </c>
      <c r="C88" s="879" t="s">
        <v>19</v>
      </c>
      <c r="D88" s="887" t="s">
        <v>13</v>
      </c>
      <c r="E88" s="97">
        <v>35.42</v>
      </c>
      <c r="F88" s="946"/>
      <c r="G88" s="95"/>
      <c r="H88" s="946"/>
    </row>
    <row r="89" spans="1:8" x14ac:dyDescent="0.25">
      <c r="A89" s="215">
        <v>42427</v>
      </c>
      <c r="B89" s="862" t="s">
        <v>134</v>
      </c>
      <c r="C89" s="879" t="s">
        <v>12</v>
      </c>
      <c r="D89" s="887" t="s">
        <v>13</v>
      </c>
      <c r="E89" s="250">
        <v>4.6399999999999997</v>
      </c>
      <c r="F89" s="946"/>
      <c r="G89" s="95"/>
      <c r="H89" s="946"/>
    </row>
    <row r="90" spans="1:8" x14ac:dyDescent="0.25">
      <c r="A90" s="215">
        <v>42427</v>
      </c>
      <c r="B90" s="862" t="s">
        <v>1251</v>
      </c>
      <c r="C90" s="879" t="s">
        <v>12</v>
      </c>
      <c r="D90" s="887" t="s">
        <v>13</v>
      </c>
      <c r="E90" s="250">
        <v>11.83</v>
      </c>
      <c r="F90" s="946"/>
      <c r="G90" s="95"/>
      <c r="H90" s="946"/>
    </row>
    <row r="91" spans="1:8" x14ac:dyDescent="0.25">
      <c r="A91" s="215">
        <v>42428</v>
      </c>
      <c r="B91" s="349" t="s">
        <v>906</v>
      </c>
      <c r="C91" s="350" t="s">
        <v>12</v>
      </c>
      <c r="D91" s="141" t="s">
        <v>13</v>
      </c>
      <c r="E91" s="97">
        <v>47</v>
      </c>
      <c r="F91" s="946"/>
      <c r="G91" s="95"/>
      <c r="H91" s="946"/>
    </row>
    <row r="92" spans="1:8" s="224" customFormat="1" x14ac:dyDescent="0.25">
      <c r="A92" s="215">
        <v>42429</v>
      </c>
      <c r="B92" s="882" t="s">
        <v>32</v>
      </c>
      <c r="C92" s="879" t="s">
        <v>12</v>
      </c>
      <c r="D92" s="887" t="s">
        <v>13</v>
      </c>
      <c r="E92" s="97">
        <v>12</v>
      </c>
      <c r="F92" s="946"/>
      <c r="G92" s="97"/>
      <c r="H92" s="1473"/>
    </row>
    <row r="93" spans="1:8" s="224" customFormat="1" ht="15.75" thickBot="1" x14ac:dyDescent="0.3">
      <c r="A93" s="215">
        <v>42429</v>
      </c>
      <c r="B93" s="882" t="s">
        <v>134</v>
      </c>
      <c r="C93" s="879" t="s">
        <v>12</v>
      </c>
      <c r="D93" s="887" t="s">
        <v>15</v>
      </c>
      <c r="E93" s="97">
        <v>8</v>
      </c>
      <c r="F93" s="946"/>
      <c r="G93" s="97"/>
      <c r="H93" s="1473"/>
    </row>
    <row r="94" spans="1:8" ht="25.5" customHeight="1" thickBot="1" x14ac:dyDescent="0.3">
      <c r="A94" s="3060"/>
      <c r="B94" s="3061"/>
      <c r="C94" s="3062"/>
      <c r="D94" s="3062"/>
      <c r="E94" s="100">
        <f>SUM(E6:E93)</f>
        <v>4419.3100000000004</v>
      </c>
      <c r="F94" s="1065">
        <f>SUM(F5:F93)</f>
        <v>4561.1430000000037</v>
      </c>
      <c r="G94" s="101">
        <f>SUM(G6:G93)</f>
        <v>810</v>
      </c>
      <c r="H94" s="93">
        <f>SUM(H5:H93)</f>
        <v>1960</v>
      </c>
    </row>
    <row r="95" spans="1:8" ht="25.5" customHeight="1" thickBot="1" x14ac:dyDescent="0.3">
      <c r="A95" s="3077" t="s">
        <v>49</v>
      </c>
      <c r="B95" s="3078"/>
      <c r="C95" s="3078"/>
      <c r="D95" s="3078"/>
      <c r="E95" s="144"/>
      <c r="F95" s="519">
        <f>F94-E94</f>
        <v>141.83300000000327</v>
      </c>
      <c r="G95" s="555"/>
      <c r="H95" s="556">
        <f>H94-G94</f>
        <v>1150</v>
      </c>
    </row>
    <row r="96" spans="1:8" x14ac:dyDescent="0.25">
      <c r="G96" s="89"/>
    </row>
    <row r="97" spans="1:9" x14ac:dyDescent="0.25">
      <c r="B97" s="79" t="s">
        <v>32</v>
      </c>
      <c r="C97" s="475">
        <v>269.5</v>
      </c>
    </row>
    <row r="98" spans="1:9" x14ac:dyDescent="0.25">
      <c r="B98" s="79" t="s">
        <v>1218</v>
      </c>
      <c r="C98" s="475">
        <v>300</v>
      </c>
      <c r="D98" s="79"/>
    </row>
    <row r="99" spans="1:9" x14ac:dyDescent="0.25">
      <c r="B99" s="79" t="s">
        <v>50</v>
      </c>
      <c r="C99" s="475">
        <v>69.69</v>
      </c>
    </row>
    <row r="100" spans="1:9" s="85" customFormat="1" x14ac:dyDescent="0.25">
      <c r="A100" s="79"/>
      <c r="B100" s="79" t="s">
        <v>14</v>
      </c>
      <c r="C100" s="475">
        <v>119.36</v>
      </c>
      <c r="E100" s="89"/>
      <c r="F100" s="79"/>
      <c r="G100" s="79"/>
    </row>
    <row r="101" spans="1:9" s="85" customFormat="1" x14ac:dyDescent="0.25">
      <c r="A101" s="79"/>
      <c r="B101" s="79" t="s">
        <v>51</v>
      </c>
      <c r="C101" s="484">
        <v>75.790000000000006</v>
      </c>
      <c r="E101" s="89"/>
      <c r="F101" s="79"/>
      <c r="G101" s="79"/>
      <c r="H101" s="79"/>
    </row>
    <row r="102" spans="1:9" s="85" customFormat="1" x14ac:dyDescent="0.25">
      <c r="A102" s="79"/>
      <c r="B102" s="79" t="s">
        <v>52</v>
      </c>
      <c r="C102" s="484"/>
      <c r="E102" s="89"/>
      <c r="F102" s="79"/>
      <c r="G102" s="79"/>
      <c r="H102" s="79"/>
    </row>
    <row r="103" spans="1:9" s="85" customFormat="1" x14ac:dyDescent="0.25">
      <c r="A103" s="79"/>
      <c r="B103" s="867" t="s">
        <v>53</v>
      </c>
      <c r="C103" s="475">
        <v>297</v>
      </c>
      <c r="D103" s="89"/>
      <c r="E103" s="89"/>
      <c r="F103" s="79"/>
      <c r="G103" s="79"/>
      <c r="H103" s="79"/>
    </row>
    <row r="104" spans="1:9" s="85" customFormat="1" x14ac:dyDescent="0.25">
      <c r="A104" s="79"/>
      <c r="B104" s="79" t="s">
        <v>1232</v>
      </c>
      <c r="C104" s="475">
        <v>568.53</v>
      </c>
      <c r="E104" s="89"/>
      <c r="F104" s="79"/>
      <c r="G104" s="79"/>
      <c r="H104" s="79"/>
    </row>
    <row r="105" spans="1:9" s="85" customFormat="1" x14ac:dyDescent="0.25">
      <c r="A105" s="79"/>
      <c r="B105" s="79" t="s">
        <v>56</v>
      </c>
      <c r="C105" s="475">
        <v>63</v>
      </c>
      <c r="E105" s="89"/>
      <c r="F105" s="79"/>
      <c r="G105" s="79"/>
      <c r="H105" s="79"/>
    </row>
    <row r="106" spans="1:9" s="85" customFormat="1" x14ac:dyDescent="0.25">
      <c r="A106" s="79"/>
      <c r="B106" s="79" t="s">
        <v>910</v>
      </c>
      <c r="C106" s="475">
        <v>241.38</v>
      </c>
      <c r="E106" s="89"/>
      <c r="F106" s="79"/>
      <c r="G106" s="79"/>
      <c r="H106" s="79"/>
    </row>
    <row r="107" spans="1:9" s="85" customFormat="1" x14ac:dyDescent="0.25">
      <c r="A107" s="79"/>
      <c r="B107" s="79" t="s">
        <v>418</v>
      </c>
      <c r="C107" s="475"/>
      <c r="E107" s="89"/>
      <c r="F107" s="79"/>
      <c r="G107" s="79"/>
      <c r="H107" s="79"/>
    </row>
    <row r="108" spans="1:9" s="85" customFormat="1" x14ac:dyDescent="0.25">
      <c r="A108" s="79"/>
      <c r="B108" s="79" t="s">
        <v>419</v>
      </c>
      <c r="C108" s="475">
        <v>856.97</v>
      </c>
      <c r="D108" s="79"/>
      <c r="E108" s="89"/>
      <c r="F108" s="79"/>
      <c r="G108" s="79"/>
      <c r="H108" s="79"/>
    </row>
    <row r="109" spans="1:9" x14ac:dyDescent="0.25">
      <c r="B109" s="79" t="s">
        <v>911</v>
      </c>
      <c r="C109" s="475">
        <v>76.63</v>
      </c>
    </row>
    <row r="111" spans="1:9" x14ac:dyDescent="0.25">
      <c r="B111" s="79" t="s">
        <v>486</v>
      </c>
      <c r="C111" s="475">
        <f>G111/I111</f>
        <v>107.21758620689656</v>
      </c>
      <c r="E111" s="224" t="s">
        <v>487</v>
      </c>
      <c r="F111" s="224"/>
      <c r="G111" s="216">
        <v>3109.31</v>
      </c>
      <c r="H111" s="518" t="s">
        <v>488</v>
      </c>
      <c r="I111" s="85">
        <v>29</v>
      </c>
    </row>
    <row r="123" spans="3:8" x14ac:dyDescent="0.25">
      <c r="C123" s="79"/>
      <c r="D123" s="79"/>
      <c r="E123" s="79"/>
      <c r="H123" s="216"/>
    </row>
    <row r="124" spans="3:8" x14ac:dyDescent="0.25">
      <c r="C124" s="79"/>
      <c r="D124" s="79"/>
      <c r="E124" s="79"/>
      <c r="H124" s="216"/>
    </row>
    <row r="125" spans="3:8" x14ac:dyDescent="0.25">
      <c r="C125" s="79"/>
      <c r="D125" s="79"/>
      <c r="E125" s="79"/>
      <c r="F125" s="216"/>
      <c r="H125" s="216"/>
    </row>
    <row r="126" spans="3:8" x14ac:dyDescent="0.25">
      <c r="C126" s="79"/>
      <c r="D126" s="79"/>
      <c r="E126" s="79"/>
      <c r="F126" s="216"/>
      <c r="H126" s="216"/>
    </row>
    <row r="127" spans="3:8" x14ac:dyDescent="0.25">
      <c r="C127" s="79"/>
      <c r="D127" s="79"/>
      <c r="E127" s="79"/>
      <c r="F127" s="216"/>
    </row>
    <row r="128" spans="3:8" x14ac:dyDescent="0.25">
      <c r="C128" s="79"/>
      <c r="D128" s="79"/>
      <c r="E128" s="79"/>
      <c r="H128" s="216"/>
    </row>
    <row r="130" spans="3:8" x14ac:dyDescent="0.25">
      <c r="C130" s="79"/>
      <c r="D130" s="79"/>
      <c r="E130" s="79"/>
      <c r="H130" s="629"/>
    </row>
    <row r="136" spans="3:8" x14ac:dyDescent="0.25">
      <c r="C136" s="79"/>
      <c r="D136" s="79"/>
      <c r="E136" s="79"/>
      <c r="H136" s="216"/>
    </row>
    <row r="137" spans="3:8" x14ac:dyDescent="0.25">
      <c r="C137" s="79"/>
      <c r="D137" s="79"/>
      <c r="E137" s="79"/>
      <c r="H137" s="216"/>
    </row>
    <row r="138" spans="3:8" x14ac:dyDescent="0.25">
      <c r="C138" s="79"/>
      <c r="D138" s="79"/>
      <c r="E138" s="79"/>
      <c r="H138" s="216"/>
    </row>
    <row r="139" spans="3:8" x14ac:dyDescent="0.25">
      <c r="C139" s="79"/>
      <c r="D139" s="79"/>
      <c r="E139" s="79"/>
      <c r="H139" s="216"/>
    </row>
    <row r="140" spans="3:8" x14ac:dyDescent="0.25">
      <c r="C140" s="79"/>
      <c r="D140" s="79"/>
      <c r="E140" s="79"/>
      <c r="H140" s="216"/>
    </row>
    <row r="141" spans="3:8" x14ac:dyDescent="0.25">
      <c r="C141" s="79"/>
      <c r="D141" s="79"/>
      <c r="E141" s="79"/>
      <c r="H141" s="216"/>
    </row>
    <row r="142" spans="3:8" x14ac:dyDescent="0.25">
      <c r="C142" s="79"/>
      <c r="D142" s="79"/>
      <c r="E142" s="79"/>
      <c r="H142" s="216"/>
    </row>
    <row r="143" spans="3:8" x14ac:dyDescent="0.25">
      <c r="C143" s="79"/>
      <c r="D143" s="79"/>
      <c r="E143" s="79"/>
      <c r="H143" s="216"/>
    </row>
    <row r="144" spans="3:8" x14ac:dyDescent="0.25">
      <c r="C144" s="79"/>
      <c r="D144" s="79"/>
      <c r="E144" s="79"/>
      <c r="H144" s="216"/>
    </row>
  </sheetData>
  <autoFilter ref="A2:H95" xr:uid="{00000000-0009-0000-0000-00002C000000}"/>
  <mergeCells count="10">
    <mergeCell ref="A94:D94"/>
    <mergeCell ref="A95:D95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Plan51"/>
  <dimension ref="A1:K157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1252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42430</v>
      </c>
      <c r="B5" s="369" t="s">
        <v>10</v>
      </c>
      <c r="C5" s="370"/>
      <c r="D5" s="207"/>
      <c r="E5" s="179"/>
      <c r="F5" s="933">
        <f>'Fevereiro-16'!F95</f>
        <v>141.83300000000327</v>
      </c>
      <c r="G5" s="163"/>
      <c r="H5" s="933">
        <v>1151.07</v>
      </c>
    </row>
    <row r="6" spans="1:8" s="224" customFormat="1" x14ac:dyDescent="0.25">
      <c r="A6" s="215">
        <v>42430</v>
      </c>
      <c r="B6" s="348" t="s">
        <v>11</v>
      </c>
      <c r="C6" s="351"/>
      <c r="D6" s="248"/>
      <c r="E6" s="250">
        <v>18</v>
      </c>
      <c r="F6" s="1473"/>
      <c r="G6" s="252"/>
      <c r="H6" s="1473"/>
    </row>
    <row r="7" spans="1:8" s="224" customFormat="1" x14ac:dyDescent="0.25">
      <c r="A7" s="215">
        <v>42430</v>
      </c>
      <c r="B7" s="882" t="s">
        <v>32</v>
      </c>
      <c r="C7" s="879" t="s">
        <v>12</v>
      </c>
      <c r="D7" s="887" t="s">
        <v>15</v>
      </c>
      <c r="E7" s="97">
        <v>12</v>
      </c>
      <c r="F7" s="946"/>
      <c r="G7" s="97"/>
      <c r="H7" s="1473"/>
    </row>
    <row r="8" spans="1:8" s="224" customFormat="1" x14ac:dyDescent="0.25">
      <c r="A8" s="215">
        <v>42430</v>
      </c>
      <c r="B8" s="862" t="s">
        <v>1014</v>
      </c>
      <c r="C8" s="879" t="s">
        <v>12</v>
      </c>
      <c r="D8" s="887" t="s">
        <v>13</v>
      </c>
      <c r="E8" s="250">
        <v>7</v>
      </c>
      <c r="F8" s="946"/>
      <c r="G8" s="97"/>
      <c r="H8" s="1473"/>
    </row>
    <row r="9" spans="1:8" s="224" customFormat="1" x14ac:dyDescent="0.25">
      <c r="A9" s="215">
        <v>42430</v>
      </c>
      <c r="B9" s="862" t="s">
        <v>914</v>
      </c>
      <c r="C9" s="879" t="s">
        <v>12</v>
      </c>
      <c r="D9" s="887" t="s">
        <v>13</v>
      </c>
      <c r="E9" s="250">
        <v>4.95</v>
      </c>
      <c r="F9" s="946"/>
      <c r="G9" s="97"/>
      <c r="H9" s="1473"/>
    </row>
    <row r="10" spans="1:8" s="224" customFormat="1" x14ac:dyDescent="0.25">
      <c r="A10" s="215">
        <v>42430</v>
      </c>
      <c r="B10" s="862" t="s">
        <v>14</v>
      </c>
      <c r="C10" s="879" t="s">
        <v>12</v>
      </c>
      <c r="D10" s="887" t="s">
        <v>13</v>
      </c>
      <c r="E10" s="250">
        <v>8.32</v>
      </c>
      <c r="F10" s="946"/>
      <c r="G10" s="97"/>
      <c r="H10" s="1473"/>
    </row>
    <row r="11" spans="1:8" s="224" customFormat="1" x14ac:dyDescent="0.25">
      <c r="A11" s="215">
        <v>42431</v>
      </c>
      <c r="B11" s="882" t="s">
        <v>32</v>
      </c>
      <c r="C11" s="879" t="s">
        <v>12</v>
      </c>
      <c r="D11" s="887" t="s">
        <v>15</v>
      </c>
      <c r="E11" s="97">
        <v>12</v>
      </c>
      <c r="F11" s="946"/>
      <c r="G11" s="97"/>
      <c r="H11" s="1473"/>
    </row>
    <row r="12" spans="1:8" s="224" customFormat="1" x14ac:dyDescent="0.25">
      <c r="A12" s="215">
        <v>42431</v>
      </c>
      <c r="B12" s="882" t="s">
        <v>138</v>
      </c>
      <c r="C12" s="879" t="s">
        <v>12</v>
      </c>
      <c r="D12" s="887" t="s">
        <v>15</v>
      </c>
      <c r="E12" s="97">
        <v>60</v>
      </c>
      <c r="F12" s="946"/>
      <c r="G12" s="97"/>
      <c r="H12" s="1473"/>
    </row>
    <row r="13" spans="1:8" s="224" customFormat="1" x14ac:dyDescent="0.25">
      <c r="A13" s="215">
        <v>42431</v>
      </c>
      <c r="B13" s="882" t="s">
        <v>1057</v>
      </c>
      <c r="C13" s="879" t="s">
        <v>12</v>
      </c>
      <c r="D13" s="887" t="s">
        <v>15</v>
      </c>
      <c r="E13" s="97">
        <v>10</v>
      </c>
      <c r="F13" s="946"/>
      <c r="G13" s="97"/>
      <c r="H13" s="1473"/>
    </row>
    <row r="14" spans="1:8" s="224" customFormat="1" x14ac:dyDescent="0.25">
      <c r="A14" s="215">
        <v>42431</v>
      </c>
      <c r="B14" s="882" t="s">
        <v>1253</v>
      </c>
      <c r="C14" s="879" t="s">
        <v>12</v>
      </c>
      <c r="D14" s="887" t="s">
        <v>15</v>
      </c>
      <c r="E14" s="97">
        <v>12</v>
      </c>
      <c r="F14" s="946"/>
      <c r="G14" s="97"/>
      <c r="H14" s="1473"/>
    </row>
    <row r="15" spans="1:8" s="224" customFormat="1" x14ac:dyDescent="0.25">
      <c r="A15" s="215">
        <v>42432</v>
      </c>
      <c r="B15" s="882" t="s">
        <v>32</v>
      </c>
      <c r="C15" s="879" t="s">
        <v>12</v>
      </c>
      <c r="D15" s="887" t="s">
        <v>13</v>
      </c>
      <c r="E15" s="97">
        <v>12</v>
      </c>
      <c r="F15" s="946"/>
      <c r="G15" s="97"/>
      <c r="H15" s="1473"/>
    </row>
    <row r="16" spans="1:8" s="224" customFormat="1" x14ac:dyDescent="0.25">
      <c r="A16" s="215">
        <v>42432</v>
      </c>
      <c r="B16" s="882" t="s">
        <v>134</v>
      </c>
      <c r="C16" s="879" t="s">
        <v>12</v>
      </c>
      <c r="D16" s="887" t="s">
        <v>15</v>
      </c>
      <c r="E16" s="97">
        <v>8</v>
      </c>
      <c r="F16" s="946"/>
      <c r="G16" s="97"/>
      <c r="H16" s="1473"/>
    </row>
    <row r="17" spans="1:11" s="224" customFormat="1" x14ac:dyDescent="0.25">
      <c r="A17" s="215">
        <v>42433</v>
      </c>
      <c r="B17" s="882" t="s">
        <v>32</v>
      </c>
      <c r="C17" s="879" t="s">
        <v>12</v>
      </c>
      <c r="D17" s="887" t="s">
        <v>13</v>
      </c>
      <c r="E17" s="97">
        <v>12</v>
      </c>
      <c r="F17" s="946"/>
      <c r="G17" s="97"/>
      <c r="H17" s="1473"/>
    </row>
    <row r="18" spans="1:11" s="224" customFormat="1" ht="15.75" customHeight="1" x14ac:dyDescent="0.25">
      <c r="A18" s="215">
        <v>42433</v>
      </c>
      <c r="B18" s="349" t="s">
        <v>1254</v>
      </c>
      <c r="C18" s="879" t="s">
        <v>12</v>
      </c>
      <c r="D18" s="983" t="s">
        <v>25</v>
      </c>
      <c r="E18" s="250"/>
      <c r="F18" s="1473">
        <v>1648.82</v>
      </c>
      <c r="G18" s="252"/>
      <c r="H18" s="946"/>
    </row>
    <row r="19" spans="1:11" s="224" customFormat="1" ht="15.75" customHeight="1" x14ac:dyDescent="0.25">
      <c r="A19" s="215">
        <v>42433</v>
      </c>
      <c r="B19" s="862" t="s">
        <v>1255</v>
      </c>
      <c r="C19" s="350" t="s">
        <v>12</v>
      </c>
      <c r="D19" s="141" t="s">
        <v>13</v>
      </c>
      <c r="E19" s="97">
        <v>187.45</v>
      </c>
      <c r="F19" s="1473"/>
      <c r="G19" s="252"/>
      <c r="H19" s="946"/>
    </row>
    <row r="20" spans="1:11" x14ac:dyDescent="0.25">
      <c r="A20" s="215">
        <v>42433</v>
      </c>
      <c r="B20" s="882" t="s">
        <v>1256</v>
      </c>
      <c r="C20" s="879" t="s">
        <v>12</v>
      </c>
      <c r="D20" s="887" t="s">
        <v>13</v>
      </c>
      <c r="E20" s="250">
        <v>29.64</v>
      </c>
      <c r="F20" s="946"/>
      <c r="G20" s="95"/>
      <c r="H20" s="946"/>
    </row>
    <row r="21" spans="1:11" x14ac:dyDescent="0.25">
      <c r="A21" s="215">
        <v>42433</v>
      </c>
      <c r="B21" s="349" t="s">
        <v>260</v>
      </c>
      <c r="C21" s="350"/>
      <c r="D21" s="141"/>
      <c r="E21" s="97">
        <v>348.93</v>
      </c>
      <c r="F21" s="946"/>
      <c r="G21" s="95"/>
      <c r="H21" s="946">
        <v>348.93</v>
      </c>
    </row>
    <row r="22" spans="1:11" s="224" customFormat="1" x14ac:dyDescent="0.25">
      <c r="A22" s="215">
        <v>42433</v>
      </c>
      <c r="B22" s="862" t="s">
        <v>1091</v>
      </c>
      <c r="C22" s="879" t="s">
        <v>12</v>
      </c>
      <c r="D22" s="887" t="s">
        <v>15</v>
      </c>
      <c r="E22" s="250">
        <v>300</v>
      </c>
      <c r="F22" s="946"/>
      <c r="G22" s="97"/>
      <c r="H22" s="1473"/>
    </row>
    <row r="23" spans="1:11" s="224" customFormat="1" x14ac:dyDescent="0.25">
      <c r="A23" s="215">
        <v>42433</v>
      </c>
      <c r="B23" s="862" t="s">
        <v>1257</v>
      </c>
      <c r="C23" s="879" t="s">
        <v>12</v>
      </c>
      <c r="D23" s="887" t="s">
        <v>15</v>
      </c>
      <c r="E23" s="250">
        <v>40</v>
      </c>
      <c r="F23" s="946"/>
      <c r="G23" s="97"/>
      <c r="H23" s="1473"/>
    </row>
    <row r="24" spans="1:11" s="224" customFormat="1" x14ac:dyDescent="0.25">
      <c r="A24" s="215">
        <v>42433</v>
      </c>
      <c r="B24" s="862" t="s">
        <v>14</v>
      </c>
      <c r="C24" s="879" t="s">
        <v>12</v>
      </c>
      <c r="D24" s="887" t="s">
        <v>13</v>
      </c>
      <c r="E24" s="250">
        <v>8.85</v>
      </c>
      <c r="F24" s="946"/>
      <c r="G24" s="97"/>
      <c r="H24" s="1473"/>
    </row>
    <row r="25" spans="1:11" x14ac:dyDescent="0.25">
      <c r="A25" s="215">
        <v>42434</v>
      </c>
      <c r="B25" s="882" t="s">
        <v>32</v>
      </c>
      <c r="C25" s="879" t="s">
        <v>12</v>
      </c>
      <c r="D25" s="887" t="s">
        <v>13</v>
      </c>
      <c r="E25" s="97">
        <v>12</v>
      </c>
      <c r="F25" s="946"/>
      <c r="G25" s="95"/>
      <c r="H25" s="946"/>
    </row>
    <row r="26" spans="1:11" s="224" customFormat="1" x14ac:dyDescent="0.25">
      <c r="A26" s="215">
        <v>42434</v>
      </c>
      <c r="B26" s="862" t="s">
        <v>14</v>
      </c>
      <c r="C26" s="879" t="s">
        <v>12</v>
      </c>
      <c r="D26" s="887" t="s">
        <v>13</v>
      </c>
      <c r="E26" s="250">
        <v>6.83</v>
      </c>
      <c r="F26" s="946"/>
      <c r="G26" s="97"/>
      <c r="H26" s="1473"/>
    </row>
    <row r="27" spans="1:11" x14ac:dyDescent="0.25">
      <c r="A27" s="215">
        <v>42435</v>
      </c>
      <c r="B27" s="862" t="s">
        <v>14</v>
      </c>
      <c r="C27" s="879" t="s">
        <v>12</v>
      </c>
      <c r="D27" s="887" t="s">
        <v>13</v>
      </c>
      <c r="E27" s="250">
        <v>13.41</v>
      </c>
      <c r="F27" s="946"/>
      <c r="G27" s="97"/>
      <c r="H27" s="946"/>
    </row>
    <row r="28" spans="1:11" x14ac:dyDescent="0.25">
      <c r="A28" s="215">
        <v>42435</v>
      </c>
      <c r="B28" s="862" t="s">
        <v>17</v>
      </c>
      <c r="C28" s="879" t="s">
        <v>12</v>
      </c>
      <c r="D28" s="887" t="s">
        <v>15</v>
      </c>
      <c r="E28" s="250">
        <v>6</v>
      </c>
      <c r="F28" s="946"/>
      <c r="G28" s="97"/>
      <c r="H28" s="946"/>
    </row>
    <row r="29" spans="1:11" x14ac:dyDescent="0.25">
      <c r="A29" s="215">
        <v>42436</v>
      </c>
      <c r="B29" s="862" t="s">
        <v>52</v>
      </c>
      <c r="C29" s="879" t="s">
        <v>12</v>
      </c>
      <c r="D29" s="1475" t="s">
        <v>15</v>
      </c>
      <c r="E29" s="97">
        <v>60</v>
      </c>
      <c r="F29" s="946"/>
      <c r="G29" s="97"/>
      <c r="H29" s="946"/>
      <c r="K29" s="625" t="s">
        <v>135</v>
      </c>
    </row>
    <row r="30" spans="1:11" x14ac:dyDescent="0.25">
      <c r="A30" s="215">
        <v>42436</v>
      </c>
      <c r="B30" s="882" t="s">
        <v>32</v>
      </c>
      <c r="C30" s="879" t="s">
        <v>12</v>
      </c>
      <c r="D30" s="887" t="s">
        <v>15</v>
      </c>
      <c r="E30" s="97">
        <v>12</v>
      </c>
      <c r="F30" s="946"/>
      <c r="G30" s="95"/>
      <c r="H30" s="946"/>
    </row>
    <row r="31" spans="1:11" s="224" customFormat="1" x14ac:dyDescent="0.25">
      <c r="A31" s="215">
        <v>42436</v>
      </c>
      <c r="B31" s="882" t="s">
        <v>134</v>
      </c>
      <c r="C31" s="879" t="s">
        <v>12</v>
      </c>
      <c r="D31" s="887" t="s">
        <v>15</v>
      </c>
      <c r="E31" s="97">
        <v>8</v>
      </c>
      <c r="F31" s="946"/>
      <c r="G31" s="97"/>
      <c r="H31" s="1473"/>
    </row>
    <row r="32" spans="1:11" x14ac:dyDescent="0.25">
      <c r="A32" s="215">
        <v>42437</v>
      </c>
      <c r="B32" s="349" t="s">
        <v>260</v>
      </c>
      <c r="C32" s="350"/>
      <c r="D32" s="141"/>
      <c r="E32" s="97">
        <v>60</v>
      </c>
      <c r="F32" s="946"/>
      <c r="G32" s="95"/>
      <c r="H32" s="946">
        <v>60</v>
      </c>
    </row>
    <row r="33" spans="1:8" x14ac:dyDescent="0.25">
      <c r="A33" s="215">
        <v>42437</v>
      </c>
      <c r="B33" s="882" t="s">
        <v>32</v>
      </c>
      <c r="C33" s="879" t="s">
        <v>12</v>
      </c>
      <c r="D33" s="887" t="s">
        <v>15</v>
      </c>
      <c r="E33" s="97">
        <v>12</v>
      </c>
      <c r="F33" s="946"/>
      <c r="G33" s="97"/>
      <c r="H33" s="946"/>
    </row>
    <row r="34" spans="1:8" x14ac:dyDescent="0.25">
      <c r="A34" s="215">
        <v>42437</v>
      </c>
      <c r="B34" s="862" t="s">
        <v>14</v>
      </c>
      <c r="C34" s="879" t="s">
        <v>12</v>
      </c>
      <c r="D34" s="887" t="s">
        <v>13</v>
      </c>
      <c r="E34" s="250">
        <v>3.44</v>
      </c>
      <c r="F34" s="946"/>
      <c r="G34" s="95"/>
      <c r="H34" s="946"/>
    </row>
    <row r="35" spans="1:8" x14ac:dyDescent="0.25">
      <c r="A35" s="215">
        <v>42437</v>
      </c>
      <c r="B35" s="882" t="s">
        <v>619</v>
      </c>
      <c r="C35" s="879" t="s">
        <v>12</v>
      </c>
      <c r="D35" s="887" t="s">
        <v>13</v>
      </c>
      <c r="E35" s="97">
        <v>11.44</v>
      </c>
      <c r="F35" s="946"/>
      <c r="G35" s="97"/>
      <c r="H35" s="946"/>
    </row>
    <row r="36" spans="1:8" s="224" customFormat="1" x14ac:dyDescent="0.25">
      <c r="A36" s="215">
        <v>42438</v>
      </c>
      <c r="B36" s="882" t="s">
        <v>32</v>
      </c>
      <c r="C36" s="879" t="s">
        <v>12</v>
      </c>
      <c r="D36" s="887" t="s">
        <v>13</v>
      </c>
      <c r="E36" s="97">
        <v>12</v>
      </c>
      <c r="F36" s="946"/>
      <c r="G36" s="97"/>
      <c r="H36" s="1473"/>
    </row>
    <row r="37" spans="1:8" s="224" customFormat="1" x14ac:dyDescent="0.25">
      <c r="A37" s="215">
        <v>42438</v>
      </c>
      <c r="B37" s="882" t="s">
        <v>138</v>
      </c>
      <c r="C37" s="879" t="s">
        <v>12</v>
      </c>
      <c r="D37" s="887" t="s">
        <v>15</v>
      </c>
      <c r="E37" s="97">
        <v>20</v>
      </c>
      <c r="F37" s="946"/>
      <c r="G37" s="97"/>
      <c r="H37" s="1473"/>
    </row>
    <row r="38" spans="1:8" s="224" customFormat="1" x14ac:dyDescent="0.25">
      <c r="A38" s="215">
        <v>42439</v>
      </c>
      <c r="B38" s="882" t="s">
        <v>32</v>
      </c>
      <c r="C38" s="879" t="s">
        <v>12</v>
      </c>
      <c r="D38" s="887" t="s">
        <v>13</v>
      </c>
      <c r="E38" s="97">
        <v>12</v>
      </c>
      <c r="F38" s="946"/>
      <c r="G38" s="97"/>
      <c r="H38" s="1473"/>
    </row>
    <row r="39" spans="1:8" s="224" customFormat="1" x14ac:dyDescent="0.25">
      <c r="A39" s="215">
        <v>42439</v>
      </c>
      <c r="B39" s="882" t="s">
        <v>14</v>
      </c>
      <c r="C39" s="879" t="s">
        <v>12</v>
      </c>
      <c r="D39" s="887" t="s">
        <v>13</v>
      </c>
      <c r="E39" s="97">
        <v>14.19</v>
      </c>
      <c r="F39" s="946"/>
      <c r="G39" s="97"/>
      <c r="H39" s="1473"/>
    </row>
    <row r="40" spans="1:8" s="224" customFormat="1" x14ac:dyDescent="0.25">
      <c r="A40" s="215">
        <v>42439</v>
      </c>
      <c r="B40" s="882" t="s">
        <v>914</v>
      </c>
      <c r="C40" s="879" t="s">
        <v>12</v>
      </c>
      <c r="D40" s="887" t="s">
        <v>13</v>
      </c>
      <c r="E40" s="97">
        <v>20</v>
      </c>
      <c r="F40" s="946"/>
      <c r="G40" s="97"/>
      <c r="H40" s="1473"/>
    </row>
    <row r="41" spans="1:8" s="224" customFormat="1" ht="15.75" customHeight="1" x14ac:dyDescent="0.25">
      <c r="A41" s="215">
        <v>42440</v>
      </c>
      <c r="B41" s="882" t="s">
        <v>32</v>
      </c>
      <c r="C41" s="879" t="s">
        <v>12</v>
      </c>
      <c r="D41" s="887" t="s">
        <v>13</v>
      </c>
      <c r="E41" s="97">
        <v>12</v>
      </c>
      <c r="F41" s="946"/>
      <c r="G41" s="95"/>
      <c r="H41" s="946"/>
    </row>
    <row r="42" spans="1:8" s="224" customFormat="1" ht="15.75" customHeight="1" x14ac:dyDescent="0.25">
      <c r="A42" s="215">
        <v>42440</v>
      </c>
      <c r="B42" s="882" t="s">
        <v>138</v>
      </c>
      <c r="C42" s="879" t="s">
        <v>12</v>
      </c>
      <c r="D42" s="887" t="s">
        <v>15</v>
      </c>
      <c r="E42" s="97">
        <v>20</v>
      </c>
      <c r="F42" s="946"/>
      <c r="G42" s="95"/>
      <c r="H42" s="946"/>
    </row>
    <row r="43" spans="1:8" s="224" customFormat="1" ht="15.75" customHeight="1" x14ac:dyDescent="0.25">
      <c r="A43" s="215">
        <v>42441</v>
      </c>
      <c r="B43" s="349" t="s">
        <v>1258</v>
      </c>
      <c r="C43" s="350" t="s">
        <v>12</v>
      </c>
      <c r="D43" s="141" t="s">
        <v>13</v>
      </c>
      <c r="E43" s="97">
        <v>60</v>
      </c>
      <c r="F43" s="946"/>
      <c r="G43" s="95"/>
      <c r="H43" s="946"/>
    </row>
    <row r="44" spans="1:8" s="224" customFormat="1" ht="15.75" customHeight="1" x14ac:dyDescent="0.25">
      <c r="A44" s="215">
        <v>42441</v>
      </c>
      <c r="B44" s="349" t="s">
        <v>1259</v>
      </c>
      <c r="C44" s="350" t="s">
        <v>12</v>
      </c>
      <c r="D44" s="141" t="s">
        <v>13</v>
      </c>
      <c r="E44" s="97">
        <v>19.7</v>
      </c>
      <c r="F44" s="946"/>
      <c r="G44" s="95"/>
      <c r="H44" s="946"/>
    </row>
    <row r="45" spans="1:8" x14ac:dyDescent="0.25">
      <c r="A45" s="215">
        <v>42442</v>
      </c>
      <c r="B45" s="862" t="s">
        <v>14</v>
      </c>
      <c r="C45" s="879" t="s">
        <v>12</v>
      </c>
      <c r="D45" s="887" t="s">
        <v>13</v>
      </c>
      <c r="E45" s="250">
        <v>12.67</v>
      </c>
      <c r="F45" s="946"/>
      <c r="G45" s="95"/>
      <c r="H45" s="946"/>
    </row>
    <row r="46" spans="1:8" x14ac:dyDescent="0.25">
      <c r="A46" s="215">
        <v>42442</v>
      </c>
      <c r="B46" s="862" t="s">
        <v>14</v>
      </c>
      <c r="C46" s="879" t="s">
        <v>12</v>
      </c>
      <c r="D46" s="887" t="s">
        <v>13</v>
      </c>
      <c r="E46" s="250">
        <v>6</v>
      </c>
      <c r="F46" s="946"/>
      <c r="G46" s="95"/>
      <c r="H46" s="946"/>
    </row>
    <row r="47" spans="1:8" s="224" customFormat="1" x14ac:dyDescent="0.25">
      <c r="A47" s="215">
        <v>42443</v>
      </c>
      <c r="B47" s="882" t="s">
        <v>32</v>
      </c>
      <c r="C47" s="879" t="s">
        <v>12</v>
      </c>
      <c r="D47" s="887" t="s">
        <v>13</v>
      </c>
      <c r="E47" s="97">
        <v>12</v>
      </c>
      <c r="F47" s="946"/>
      <c r="G47" s="97"/>
      <c r="H47" s="946"/>
    </row>
    <row r="48" spans="1:8" s="224" customFormat="1" x14ac:dyDescent="0.25">
      <c r="A48" s="215">
        <v>42443</v>
      </c>
      <c r="B48" s="882" t="s">
        <v>138</v>
      </c>
      <c r="C48" s="879" t="s">
        <v>12</v>
      </c>
      <c r="D48" s="887" t="s">
        <v>13</v>
      </c>
      <c r="E48" s="97">
        <v>60</v>
      </c>
      <c r="F48" s="946"/>
      <c r="G48" s="97"/>
      <c r="H48" s="946"/>
    </row>
    <row r="49" spans="1:8" s="224" customFormat="1" x14ac:dyDescent="0.25">
      <c r="A49" s="215">
        <v>42443</v>
      </c>
      <c r="B49" s="882" t="s">
        <v>899</v>
      </c>
      <c r="C49" s="879" t="s">
        <v>19</v>
      </c>
      <c r="D49" s="887" t="s">
        <v>13</v>
      </c>
      <c r="E49" s="97">
        <v>20</v>
      </c>
      <c r="F49" s="946"/>
      <c r="G49" s="97"/>
      <c r="H49" s="946"/>
    </row>
    <row r="50" spans="1:8" s="224" customFormat="1" x14ac:dyDescent="0.25">
      <c r="A50" s="215">
        <v>42443</v>
      </c>
      <c r="B50" s="882" t="s">
        <v>134</v>
      </c>
      <c r="C50" s="879" t="s">
        <v>12</v>
      </c>
      <c r="D50" s="887" t="s">
        <v>15</v>
      </c>
      <c r="E50" s="97">
        <v>8</v>
      </c>
      <c r="F50" s="946"/>
      <c r="G50" s="97"/>
      <c r="H50" s="946"/>
    </row>
    <row r="51" spans="1:8" s="224" customFormat="1" x14ac:dyDescent="0.25">
      <c r="A51" s="215">
        <v>42444</v>
      </c>
      <c r="B51" s="882" t="s">
        <v>32</v>
      </c>
      <c r="C51" s="879" t="s">
        <v>12</v>
      </c>
      <c r="D51" s="887" t="s">
        <v>13</v>
      </c>
      <c r="E51" s="97">
        <v>12</v>
      </c>
      <c r="F51" s="946"/>
      <c r="G51" s="97"/>
      <c r="H51" s="946"/>
    </row>
    <row r="52" spans="1:8" s="224" customFormat="1" x14ac:dyDescent="0.25">
      <c r="A52" s="215">
        <v>42444</v>
      </c>
      <c r="B52" s="882" t="s">
        <v>1260</v>
      </c>
      <c r="C52" s="879" t="s">
        <v>12</v>
      </c>
      <c r="D52" s="887" t="s">
        <v>13</v>
      </c>
      <c r="E52" s="97">
        <v>79.98</v>
      </c>
      <c r="F52" s="946"/>
      <c r="G52" s="97"/>
      <c r="H52" s="946"/>
    </row>
    <row r="53" spans="1:8" s="224" customFormat="1" x14ac:dyDescent="0.25">
      <c r="A53" s="215">
        <v>42444</v>
      </c>
      <c r="B53" s="882" t="s">
        <v>14</v>
      </c>
      <c r="C53" s="879" t="s">
        <v>12</v>
      </c>
      <c r="D53" s="887" t="s">
        <v>13</v>
      </c>
      <c r="E53" s="97">
        <v>3.78</v>
      </c>
      <c r="F53" s="946"/>
      <c r="G53" s="97"/>
      <c r="H53" s="946"/>
    </row>
    <row r="54" spans="1:8" s="224" customFormat="1" x14ac:dyDescent="0.25">
      <c r="A54" s="215">
        <v>42445</v>
      </c>
      <c r="B54" s="882" t="s">
        <v>32</v>
      </c>
      <c r="C54" s="879" t="s">
        <v>12</v>
      </c>
      <c r="D54" s="887" t="s">
        <v>13</v>
      </c>
      <c r="E54" s="97">
        <v>12</v>
      </c>
      <c r="F54" s="946"/>
      <c r="G54" s="97"/>
      <c r="H54" s="946"/>
    </row>
    <row r="55" spans="1:8" s="224" customFormat="1" x14ac:dyDescent="0.25">
      <c r="A55" s="215">
        <v>42445</v>
      </c>
      <c r="B55" s="882" t="s">
        <v>14</v>
      </c>
      <c r="C55" s="879" t="s">
        <v>12</v>
      </c>
      <c r="D55" s="887" t="s">
        <v>13</v>
      </c>
      <c r="E55" s="97">
        <v>5.77</v>
      </c>
      <c r="F55" s="946"/>
      <c r="G55" s="97"/>
      <c r="H55" s="946"/>
    </row>
    <row r="56" spans="1:8" s="224" customFormat="1" x14ac:dyDescent="0.25">
      <c r="A56" s="215">
        <v>42446</v>
      </c>
      <c r="B56" s="882" t="s">
        <v>32</v>
      </c>
      <c r="C56" s="879" t="s">
        <v>12</v>
      </c>
      <c r="D56" s="887" t="s">
        <v>13</v>
      </c>
      <c r="E56" s="97">
        <v>12</v>
      </c>
      <c r="F56" s="946"/>
      <c r="G56" s="97"/>
      <c r="H56" s="946"/>
    </row>
    <row r="57" spans="1:8" s="224" customFormat="1" x14ac:dyDescent="0.25">
      <c r="A57" s="215">
        <v>42446</v>
      </c>
      <c r="B57" s="349" t="s">
        <v>311</v>
      </c>
      <c r="C57" s="350"/>
      <c r="D57" s="141"/>
      <c r="E57" s="97"/>
      <c r="F57" s="946"/>
      <c r="G57" s="97"/>
      <c r="H57" s="946">
        <v>7.31</v>
      </c>
    </row>
    <row r="58" spans="1:8" s="224" customFormat="1" x14ac:dyDescent="0.25">
      <c r="A58" s="215">
        <v>42446</v>
      </c>
      <c r="B58" s="862" t="s">
        <v>649</v>
      </c>
      <c r="C58" s="879" t="s">
        <v>12</v>
      </c>
      <c r="D58" s="887" t="s">
        <v>15</v>
      </c>
      <c r="E58" s="250">
        <v>25</v>
      </c>
      <c r="F58" s="946"/>
      <c r="G58" s="97"/>
      <c r="H58" s="946"/>
    </row>
    <row r="59" spans="1:8" s="224" customFormat="1" x14ac:dyDescent="0.25">
      <c r="A59" s="215">
        <v>42446</v>
      </c>
      <c r="B59" s="862" t="s">
        <v>1261</v>
      </c>
      <c r="C59" s="879" t="s">
        <v>12</v>
      </c>
      <c r="D59" s="887" t="s">
        <v>15</v>
      </c>
      <c r="E59" s="250">
        <v>7.5</v>
      </c>
      <c r="F59" s="946"/>
      <c r="G59" s="97"/>
      <c r="H59" s="946"/>
    </row>
    <row r="60" spans="1:8" s="224" customFormat="1" x14ac:dyDescent="0.25">
      <c r="A60" s="215">
        <v>42447</v>
      </c>
      <c r="B60" s="862" t="s">
        <v>32</v>
      </c>
      <c r="C60" s="879" t="s">
        <v>12</v>
      </c>
      <c r="D60" s="887" t="s">
        <v>13</v>
      </c>
      <c r="E60" s="250">
        <v>19</v>
      </c>
      <c r="F60" s="946"/>
      <c r="G60" s="97"/>
      <c r="H60" s="946"/>
    </row>
    <row r="61" spans="1:8" s="224" customFormat="1" x14ac:dyDescent="0.25">
      <c r="A61" s="215">
        <v>42447</v>
      </c>
      <c r="B61" s="882" t="s">
        <v>1262</v>
      </c>
      <c r="C61" s="879" t="s">
        <v>12</v>
      </c>
      <c r="D61" s="887" t="s">
        <v>25</v>
      </c>
      <c r="E61" s="97"/>
      <c r="F61" s="946">
        <v>1420</v>
      </c>
      <c r="G61" s="95"/>
      <c r="H61" s="1473"/>
    </row>
    <row r="62" spans="1:8" s="224" customFormat="1" x14ac:dyDescent="0.25">
      <c r="A62" s="215">
        <v>42447</v>
      </c>
      <c r="B62" s="882" t="s">
        <v>1263</v>
      </c>
      <c r="C62" s="879" t="s">
        <v>12</v>
      </c>
      <c r="D62" s="887" t="s">
        <v>13</v>
      </c>
      <c r="E62" s="97">
        <v>568.53</v>
      </c>
      <c r="F62" s="946"/>
      <c r="G62" s="95"/>
      <c r="H62" s="1473"/>
    </row>
    <row r="63" spans="1:8" x14ac:dyDescent="0.25">
      <c r="A63" s="215">
        <v>42447</v>
      </c>
      <c r="B63" s="882" t="s">
        <v>1264</v>
      </c>
      <c r="C63" s="879" t="s">
        <v>12</v>
      </c>
      <c r="D63" s="887" t="s">
        <v>13</v>
      </c>
      <c r="E63" s="250">
        <v>41.28</v>
      </c>
      <c r="F63" s="946"/>
      <c r="G63" s="95"/>
      <c r="H63" s="946"/>
    </row>
    <row r="64" spans="1:8" s="224" customFormat="1" x14ac:dyDescent="0.25">
      <c r="A64" s="215">
        <v>42447</v>
      </c>
      <c r="B64" s="882" t="s">
        <v>138</v>
      </c>
      <c r="C64" s="879" t="s">
        <v>19</v>
      </c>
      <c r="D64" s="887" t="s">
        <v>13</v>
      </c>
      <c r="E64" s="97">
        <v>60</v>
      </c>
      <c r="F64" s="946"/>
      <c r="G64" s="95"/>
      <c r="H64" s="1473"/>
    </row>
    <row r="65" spans="1:8" s="224" customFormat="1" x14ac:dyDescent="0.25">
      <c r="A65" s="215">
        <v>42447</v>
      </c>
      <c r="B65" s="882" t="s">
        <v>134</v>
      </c>
      <c r="C65" s="879" t="s">
        <v>19</v>
      </c>
      <c r="D65" s="887" t="s">
        <v>13</v>
      </c>
      <c r="E65" s="97">
        <v>24.59</v>
      </c>
      <c r="F65" s="946"/>
      <c r="G65" s="95"/>
      <c r="H65" s="1473"/>
    </row>
    <row r="66" spans="1:8" s="224" customFormat="1" x14ac:dyDescent="0.25">
      <c r="A66" s="215">
        <v>42447</v>
      </c>
      <c r="B66" s="882" t="s">
        <v>649</v>
      </c>
      <c r="C66" s="879" t="s">
        <v>12</v>
      </c>
      <c r="D66" s="887" t="s">
        <v>13</v>
      </c>
      <c r="E66" s="97">
        <v>12</v>
      </c>
      <c r="F66" s="946"/>
      <c r="G66" s="95"/>
      <c r="H66" s="1473"/>
    </row>
    <row r="67" spans="1:8" s="224" customFormat="1" x14ac:dyDescent="0.25">
      <c r="A67" s="215">
        <v>42447</v>
      </c>
      <c r="B67" s="882" t="s">
        <v>1265</v>
      </c>
      <c r="C67" s="879" t="s">
        <v>12</v>
      </c>
      <c r="D67" s="887" t="s">
        <v>13</v>
      </c>
      <c r="E67" s="97">
        <v>9.56</v>
      </c>
      <c r="F67" s="946"/>
      <c r="G67" s="95"/>
      <c r="H67" s="1473"/>
    </row>
    <row r="68" spans="1:8" s="224" customFormat="1" x14ac:dyDescent="0.25">
      <c r="A68" s="215">
        <v>42447</v>
      </c>
      <c r="B68" s="882" t="s">
        <v>1266</v>
      </c>
      <c r="C68" s="879" t="s">
        <v>19</v>
      </c>
      <c r="D68" s="887" t="s">
        <v>13</v>
      </c>
      <c r="E68" s="97">
        <v>58.09</v>
      </c>
      <c r="F68" s="946"/>
      <c r="G68" s="95"/>
      <c r="H68" s="1473"/>
    </row>
    <row r="69" spans="1:8" s="224" customFormat="1" x14ac:dyDescent="0.25">
      <c r="A69" s="215">
        <v>42448</v>
      </c>
      <c r="B69" s="882" t="s">
        <v>1161</v>
      </c>
      <c r="C69" s="879" t="s">
        <v>12</v>
      </c>
      <c r="D69" s="887" t="s">
        <v>15</v>
      </c>
      <c r="E69" s="97">
        <v>15</v>
      </c>
      <c r="F69" s="946"/>
      <c r="G69" s="95"/>
      <c r="H69" s="1473"/>
    </row>
    <row r="70" spans="1:8" s="224" customFormat="1" x14ac:dyDescent="0.25">
      <c r="A70" s="215">
        <v>42448</v>
      </c>
      <c r="B70" s="882" t="s">
        <v>1267</v>
      </c>
      <c r="C70" s="879" t="s">
        <v>12</v>
      </c>
      <c r="D70" s="887" t="s">
        <v>13</v>
      </c>
      <c r="E70" s="97">
        <v>100</v>
      </c>
      <c r="F70" s="946"/>
      <c r="G70" s="95"/>
      <c r="H70" s="1473"/>
    </row>
    <row r="71" spans="1:8" s="224" customFormat="1" x14ac:dyDescent="0.25">
      <c r="A71" s="215">
        <v>42448</v>
      </c>
      <c r="B71" s="882" t="s">
        <v>32</v>
      </c>
      <c r="C71" s="879" t="s">
        <v>12</v>
      </c>
      <c r="D71" s="887" t="s">
        <v>13</v>
      </c>
      <c r="E71" s="97">
        <v>12</v>
      </c>
      <c r="F71" s="946"/>
      <c r="G71" s="95"/>
      <c r="H71" s="1473"/>
    </row>
    <row r="72" spans="1:8" s="224" customFormat="1" x14ac:dyDescent="0.25">
      <c r="A72" s="215">
        <v>42448</v>
      </c>
      <c r="B72" s="882" t="s">
        <v>1151</v>
      </c>
      <c r="C72" s="879" t="s">
        <v>12</v>
      </c>
      <c r="D72" s="887" t="s">
        <v>13</v>
      </c>
      <c r="E72" s="97">
        <v>22.79</v>
      </c>
      <c r="F72" s="946"/>
      <c r="G72" s="95"/>
      <c r="H72" s="1473"/>
    </row>
    <row r="73" spans="1:8" s="224" customFormat="1" x14ac:dyDescent="0.25">
      <c r="A73" s="215">
        <v>42449</v>
      </c>
      <c r="B73" s="882" t="s">
        <v>914</v>
      </c>
      <c r="C73" s="879" t="s">
        <v>12</v>
      </c>
      <c r="D73" s="887" t="s">
        <v>13</v>
      </c>
      <c r="E73" s="97">
        <v>18.079999999999998</v>
      </c>
      <c r="F73" s="946"/>
      <c r="G73" s="95"/>
      <c r="H73" s="1473"/>
    </row>
    <row r="74" spans="1:8" s="224" customFormat="1" x14ac:dyDescent="0.25">
      <c r="A74" s="215">
        <v>42449</v>
      </c>
      <c r="B74" s="882" t="s">
        <v>1057</v>
      </c>
      <c r="C74" s="879" t="s">
        <v>12</v>
      </c>
      <c r="D74" s="887" t="s">
        <v>13</v>
      </c>
      <c r="E74" s="97">
        <v>6</v>
      </c>
      <c r="F74" s="946"/>
      <c r="G74" s="95"/>
      <c r="H74" s="1473"/>
    </row>
    <row r="75" spans="1:8" s="224" customFormat="1" x14ac:dyDescent="0.25">
      <c r="A75" s="215">
        <v>42449</v>
      </c>
      <c r="B75" s="882" t="s">
        <v>14</v>
      </c>
      <c r="C75" s="879" t="s">
        <v>12</v>
      </c>
      <c r="D75" s="887" t="s">
        <v>13</v>
      </c>
      <c r="E75" s="97">
        <v>4.8099999999999996</v>
      </c>
      <c r="F75" s="946"/>
      <c r="G75" s="95"/>
      <c r="H75" s="1473"/>
    </row>
    <row r="76" spans="1:8" s="224" customFormat="1" x14ac:dyDescent="0.25">
      <c r="A76" s="215">
        <v>42449</v>
      </c>
      <c r="B76" s="882" t="s">
        <v>1268</v>
      </c>
      <c r="C76" s="879" t="s">
        <v>12</v>
      </c>
      <c r="D76" s="887" t="s">
        <v>15</v>
      </c>
      <c r="E76" s="97">
        <v>40</v>
      </c>
      <c r="F76" s="946"/>
      <c r="G76" s="95"/>
      <c r="H76" s="1473"/>
    </row>
    <row r="77" spans="1:8" x14ac:dyDescent="0.25">
      <c r="A77" s="215">
        <v>42450</v>
      </c>
      <c r="B77" s="882" t="s">
        <v>32</v>
      </c>
      <c r="C77" s="879" t="s">
        <v>12</v>
      </c>
      <c r="D77" s="887" t="s">
        <v>13</v>
      </c>
      <c r="E77" s="97">
        <v>12</v>
      </c>
      <c r="F77" s="946"/>
      <c r="G77" s="95"/>
      <c r="H77" s="946"/>
    </row>
    <row r="78" spans="1:8" x14ac:dyDescent="0.25">
      <c r="A78" s="215">
        <v>42450</v>
      </c>
      <c r="B78" s="349" t="s">
        <v>260</v>
      </c>
      <c r="C78" s="350"/>
      <c r="D78" s="141"/>
      <c r="E78" s="97">
        <v>50</v>
      </c>
      <c r="F78" s="946"/>
      <c r="G78" s="95"/>
      <c r="H78" s="946">
        <v>50</v>
      </c>
    </row>
    <row r="79" spans="1:8" x14ac:dyDescent="0.25">
      <c r="A79" s="215">
        <v>42450</v>
      </c>
      <c r="B79" s="882" t="s">
        <v>1269</v>
      </c>
      <c r="C79" s="879" t="s">
        <v>12</v>
      </c>
      <c r="D79" s="887" t="s">
        <v>13</v>
      </c>
      <c r="E79" s="97">
        <v>140</v>
      </c>
      <c r="F79" s="946"/>
      <c r="G79" s="95"/>
      <c r="H79" s="946"/>
    </row>
    <row r="80" spans="1:8" x14ac:dyDescent="0.25">
      <c r="A80" s="215">
        <v>42451</v>
      </c>
      <c r="B80" s="882" t="s">
        <v>32</v>
      </c>
      <c r="C80" s="879" t="s">
        <v>12</v>
      </c>
      <c r="D80" s="887" t="s">
        <v>13</v>
      </c>
      <c r="E80" s="97">
        <v>12</v>
      </c>
      <c r="F80" s="946"/>
      <c r="G80" s="95"/>
      <c r="H80" s="946"/>
    </row>
    <row r="81" spans="1:8" s="224" customFormat="1" x14ac:dyDescent="0.25">
      <c r="A81" s="215">
        <v>42451</v>
      </c>
      <c r="B81" s="882" t="s">
        <v>134</v>
      </c>
      <c r="C81" s="879" t="s">
        <v>12</v>
      </c>
      <c r="D81" s="887" t="s">
        <v>15</v>
      </c>
      <c r="E81" s="97">
        <v>8</v>
      </c>
      <c r="F81" s="946"/>
      <c r="G81" s="95"/>
      <c r="H81" s="1473"/>
    </row>
    <row r="82" spans="1:8" x14ac:dyDescent="0.25">
      <c r="A82" s="215">
        <v>42452</v>
      </c>
      <c r="B82" s="882" t="s">
        <v>32</v>
      </c>
      <c r="C82" s="879" t="s">
        <v>12</v>
      </c>
      <c r="D82" s="887" t="s">
        <v>13</v>
      </c>
      <c r="E82" s="97">
        <v>12</v>
      </c>
      <c r="F82" s="946"/>
      <c r="G82" s="95"/>
      <c r="H82" s="946"/>
    </row>
    <row r="83" spans="1:8" x14ac:dyDescent="0.25">
      <c r="A83" s="215">
        <v>42452</v>
      </c>
      <c r="B83" s="882" t="s">
        <v>138</v>
      </c>
      <c r="C83" s="879" t="s">
        <v>19</v>
      </c>
      <c r="D83" s="887" t="s">
        <v>13</v>
      </c>
      <c r="E83" s="97">
        <v>50</v>
      </c>
      <c r="F83" s="946"/>
      <c r="G83" s="95"/>
      <c r="H83" s="946"/>
    </row>
    <row r="84" spans="1:8" x14ac:dyDescent="0.25">
      <c r="A84" s="215">
        <v>42452</v>
      </c>
      <c r="B84" s="882" t="s">
        <v>1270</v>
      </c>
      <c r="C84" s="879" t="s">
        <v>19</v>
      </c>
      <c r="D84" s="887" t="s">
        <v>13</v>
      </c>
      <c r="E84" s="97">
        <v>20</v>
      </c>
      <c r="F84" s="946"/>
      <c r="G84" s="95"/>
      <c r="H84" s="946"/>
    </row>
    <row r="85" spans="1:8" x14ac:dyDescent="0.25">
      <c r="A85" s="215">
        <v>42452</v>
      </c>
      <c r="B85" s="882" t="s">
        <v>1271</v>
      </c>
      <c r="C85" s="879" t="s">
        <v>19</v>
      </c>
      <c r="D85" s="887" t="s">
        <v>13</v>
      </c>
      <c r="E85" s="97">
        <v>22</v>
      </c>
      <c r="F85" s="946"/>
      <c r="G85" s="95"/>
      <c r="H85" s="946"/>
    </row>
    <row r="86" spans="1:8" x14ac:dyDescent="0.25">
      <c r="A86" s="215">
        <v>42452</v>
      </c>
      <c r="B86" s="882" t="s">
        <v>14</v>
      </c>
      <c r="C86" s="879" t="s">
        <v>12</v>
      </c>
      <c r="D86" s="887" t="s">
        <v>13</v>
      </c>
      <c r="E86" s="97">
        <v>10.5</v>
      </c>
      <c r="F86" s="946"/>
      <c r="G86" s="95"/>
      <c r="H86" s="946"/>
    </row>
    <row r="87" spans="1:8" s="224" customFormat="1" x14ac:dyDescent="0.25">
      <c r="A87" s="215">
        <v>42453</v>
      </c>
      <c r="B87" s="862" t="s">
        <v>878</v>
      </c>
      <c r="C87" s="350" t="s">
        <v>12</v>
      </c>
      <c r="D87" s="957" t="s">
        <v>13</v>
      </c>
      <c r="E87" s="97">
        <v>51.9</v>
      </c>
      <c r="F87" s="1473"/>
      <c r="G87" s="252"/>
      <c r="H87" s="946"/>
    </row>
    <row r="88" spans="1:8" x14ac:dyDescent="0.25">
      <c r="A88" s="215">
        <v>42453</v>
      </c>
      <c r="B88" s="862" t="s">
        <v>256</v>
      </c>
      <c r="C88" s="879"/>
      <c r="D88" s="1475"/>
      <c r="E88" s="97"/>
      <c r="F88" s="946">
        <v>217.31</v>
      </c>
      <c r="G88" s="97">
        <v>217.31</v>
      </c>
      <c r="H88" s="946"/>
    </row>
    <row r="89" spans="1:8" x14ac:dyDescent="0.25">
      <c r="A89" s="215">
        <v>42453</v>
      </c>
      <c r="B89" s="882" t="s">
        <v>32</v>
      </c>
      <c r="C89" s="879" t="s">
        <v>12</v>
      </c>
      <c r="D89" s="887" t="s">
        <v>13</v>
      </c>
      <c r="E89" s="97">
        <v>6</v>
      </c>
      <c r="F89" s="946"/>
      <c r="G89" s="95"/>
      <c r="H89" s="946"/>
    </row>
    <row r="90" spans="1:8" x14ac:dyDescent="0.25">
      <c r="A90" s="215">
        <v>42454</v>
      </c>
      <c r="B90" s="349" t="s">
        <v>649</v>
      </c>
      <c r="C90" s="350" t="s">
        <v>12</v>
      </c>
      <c r="D90" s="141" t="s">
        <v>13</v>
      </c>
      <c r="E90" s="97">
        <v>19.03</v>
      </c>
      <c r="F90" s="946"/>
      <c r="G90" s="95"/>
      <c r="H90" s="946"/>
    </row>
    <row r="91" spans="1:8" x14ac:dyDescent="0.25">
      <c r="A91" s="215">
        <v>42454</v>
      </c>
      <c r="B91" s="349" t="s">
        <v>82</v>
      </c>
      <c r="C91" s="350" t="s">
        <v>12</v>
      </c>
      <c r="D91" s="141" t="s">
        <v>13</v>
      </c>
      <c r="E91" s="97">
        <v>20</v>
      </c>
      <c r="F91" s="946"/>
      <c r="G91" s="95"/>
      <c r="H91" s="946"/>
    </row>
    <row r="92" spans="1:8" x14ac:dyDescent="0.25">
      <c r="A92" s="215">
        <v>42455</v>
      </c>
      <c r="B92" s="862" t="s">
        <v>14</v>
      </c>
      <c r="C92" s="879" t="s">
        <v>12</v>
      </c>
      <c r="D92" s="887" t="s">
        <v>13</v>
      </c>
      <c r="E92" s="250">
        <v>6.17</v>
      </c>
      <c r="F92" s="946"/>
      <c r="G92" s="95"/>
      <c r="H92" s="946"/>
    </row>
    <row r="93" spans="1:8" x14ac:dyDescent="0.25">
      <c r="A93" s="215">
        <v>42456</v>
      </c>
      <c r="B93" s="862" t="s">
        <v>14</v>
      </c>
      <c r="C93" s="879" t="s">
        <v>12</v>
      </c>
      <c r="D93" s="887" t="s">
        <v>13</v>
      </c>
      <c r="E93" s="250">
        <v>5.5</v>
      </c>
      <c r="F93" s="946"/>
      <c r="G93" s="95"/>
      <c r="H93" s="946"/>
    </row>
    <row r="94" spans="1:8" x14ac:dyDescent="0.25">
      <c r="A94" s="215">
        <v>42456</v>
      </c>
      <c r="B94" s="862" t="s">
        <v>138</v>
      </c>
      <c r="C94" s="879" t="s">
        <v>19</v>
      </c>
      <c r="D94" s="887" t="s">
        <v>13</v>
      </c>
      <c r="E94" s="250">
        <v>50</v>
      </c>
      <c r="F94" s="946"/>
      <c r="G94" s="95"/>
      <c r="H94" s="946"/>
    </row>
    <row r="95" spans="1:8" x14ac:dyDescent="0.25">
      <c r="A95" s="215">
        <v>42456</v>
      </c>
      <c r="B95" s="862" t="s">
        <v>1272</v>
      </c>
      <c r="C95" s="879" t="s">
        <v>12</v>
      </c>
      <c r="D95" s="887" t="s">
        <v>13</v>
      </c>
      <c r="E95" s="250">
        <v>15</v>
      </c>
      <c r="F95" s="946"/>
      <c r="G95" s="95"/>
      <c r="H95" s="946"/>
    </row>
    <row r="96" spans="1:8" x14ac:dyDescent="0.25">
      <c r="A96" s="215">
        <v>42456</v>
      </c>
      <c r="B96" s="862" t="s">
        <v>134</v>
      </c>
      <c r="C96" s="879" t="s">
        <v>12</v>
      </c>
      <c r="D96" s="887" t="s">
        <v>13</v>
      </c>
      <c r="E96" s="250">
        <v>7.52</v>
      </c>
      <c r="F96" s="946"/>
      <c r="G96" s="95"/>
      <c r="H96" s="946"/>
    </row>
    <row r="97" spans="1:8" x14ac:dyDescent="0.25">
      <c r="A97" s="215">
        <v>42457</v>
      </c>
      <c r="B97" s="882" t="s">
        <v>32</v>
      </c>
      <c r="C97" s="879" t="s">
        <v>12</v>
      </c>
      <c r="D97" s="887" t="s">
        <v>13</v>
      </c>
      <c r="E97" s="97">
        <v>12</v>
      </c>
      <c r="F97" s="946"/>
      <c r="G97" s="95"/>
      <c r="H97" s="946"/>
    </row>
    <row r="98" spans="1:8" x14ac:dyDescent="0.25">
      <c r="A98" s="215">
        <v>42457</v>
      </c>
      <c r="B98" s="862" t="s">
        <v>14</v>
      </c>
      <c r="C98" s="879" t="s">
        <v>12</v>
      </c>
      <c r="D98" s="887" t="s">
        <v>13</v>
      </c>
      <c r="E98" s="250">
        <v>5.5</v>
      </c>
      <c r="F98" s="946"/>
      <c r="G98" s="95"/>
      <c r="H98" s="946"/>
    </row>
    <row r="99" spans="1:8" x14ac:dyDescent="0.25">
      <c r="A99" s="215">
        <v>42458</v>
      </c>
      <c r="B99" s="882" t="s">
        <v>32</v>
      </c>
      <c r="C99" s="879" t="s">
        <v>12</v>
      </c>
      <c r="D99" s="887" t="s">
        <v>13</v>
      </c>
      <c r="E99" s="97">
        <v>12</v>
      </c>
      <c r="F99" s="946"/>
      <c r="G99" s="95"/>
      <c r="H99" s="946"/>
    </row>
    <row r="100" spans="1:8" s="224" customFormat="1" x14ac:dyDescent="0.25">
      <c r="A100" s="215">
        <v>42458</v>
      </c>
      <c r="B100" s="882" t="s">
        <v>1014</v>
      </c>
      <c r="C100" s="879" t="s">
        <v>12</v>
      </c>
      <c r="D100" s="887" t="s">
        <v>13</v>
      </c>
      <c r="E100" s="97">
        <v>8.49</v>
      </c>
      <c r="F100" s="946"/>
      <c r="G100" s="95"/>
      <c r="H100" s="1473"/>
    </row>
    <row r="101" spans="1:8" s="224" customFormat="1" x14ac:dyDescent="0.25">
      <c r="A101" s="215">
        <v>42458</v>
      </c>
      <c r="B101" s="882" t="s">
        <v>1273</v>
      </c>
      <c r="C101" s="879" t="s">
        <v>12</v>
      </c>
      <c r="D101" s="887" t="s">
        <v>13</v>
      </c>
      <c r="E101" s="97">
        <v>13.98</v>
      </c>
      <c r="F101" s="946"/>
      <c r="G101" s="95"/>
      <c r="H101" s="1473"/>
    </row>
    <row r="102" spans="1:8" s="224" customFormat="1" x14ac:dyDescent="0.25">
      <c r="A102" s="215">
        <v>42458</v>
      </c>
      <c r="B102" s="882" t="s">
        <v>914</v>
      </c>
      <c r="C102" s="879" t="s">
        <v>12</v>
      </c>
      <c r="D102" s="887" t="s">
        <v>13</v>
      </c>
      <c r="E102" s="97">
        <v>5.1100000000000003</v>
      </c>
      <c r="F102" s="946"/>
      <c r="G102" s="95"/>
      <c r="H102" s="1473"/>
    </row>
    <row r="103" spans="1:8" x14ac:dyDescent="0.25">
      <c r="A103" s="215">
        <v>42459</v>
      </c>
      <c r="B103" s="882" t="s">
        <v>32</v>
      </c>
      <c r="C103" s="879" t="s">
        <v>12</v>
      </c>
      <c r="D103" s="887" t="s">
        <v>13</v>
      </c>
      <c r="E103" s="97">
        <v>12</v>
      </c>
      <c r="F103" s="946"/>
      <c r="G103" s="95"/>
      <c r="H103" s="946"/>
    </row>
    <row r="104" spans="1:8" x14ac:dyDescent="0.25">
      <c r="A104" s="215">
        <v>42460</v>
      </c>
      <c r="B104" s="882" t="s">
        <v>32</v>
      </c>
      <c r="C104" s="879" t="s">
        <v>12</v>
      </c>
      <c r="D104" s="887" t="s">
        <v>13</v>
      </c>
      <c r="E104" s="97">
        <v>12</v>
      </c>
      <c r="F104" s="946"/>
      <c r="G104" s="95"/>
      <c r="H104" s="946"/>
    </row>
    <row r="105" spans="1:8" x14ac:dyDescent="0.25">
      <c r="A105" s="215">
        <v>42460</v>
      </c>
      <c r="B105" s="862" t="s">
        <v>256</v>
      </c>
      <c r="C105" s="879"/>
      <c r="D105" s="1475"/>
      <c r="E105" s="97"/>
      <c r="F105" s="946">
        <v>200</v>
      </c>
      <c r="G105" s="97">
        <v>200</v>
      </c>
      <c r="H105" s="946"/>
    </row>
    <row r="106" spans="1:8" ht="15.75" thickBot="1" x14ac:dyDescent="0.3">
      <c r="A106" s="215">
        <v>42460</v>
      </c>
      <c r="B106" s="882" t="s">
        <v>1274</v>
      </c>
      <c r="C106" s="879" t="s">
        <v>12</v>
      </c>
      <c r="D106" s="887" t="s">
        <v>13</v>
      </c>
      <c r="E106" s="97">
        <v>40</v>
      </c>
      <c r="F106" s="946"/>
      <c r="G106" s="95"/>
      <c r="H106" s="946"/>
    </row>
    <row r="107" spans="1:8" ht="25.5" customHeight="1" thickBot="1" x14ac:dyDescent="0.3">
      <c r="A107" s="3060"/>
      <c r="B107" s="3061"/>
      <c r="C107" s="3062"/>
      <c r="D107" s="3062"/>
      <c r="E107" s="100">
        <f>SUM(E6:E106)</f>
        <v>3413.2800000000007</v>
      </c>
      <c r="F107" s="1065">
        <f>SUM(F5:F106)</f>
        <v>3627.9630000000029</v>
      </c>
      <c r="G107" s="101">
        <f>SUM(G6:G106)</f>
        <v>417.31</v>
      </c>
      <c r="H107" s="93">
        <f>SUM(H5:H106)</f>
        <v>1617.31</v>
      </c>
    </row>
    <row r="108" spans="1:8" ht="25.5" customHeight="1" thickBot="1" x14ac:dyDescent="0.3">
      <c r="A108" s="3077" t="s">
        <v>49</v>
      </c>
      <c r="B108" s="3078"/>
      <c r="C108" s="3078"/>
      <c r="D108" s="3078"/>
      <c r="E108" s="144"/>
      <c r="F108" s="519">
        <f>F107-E107</f>
        <v>214.68300000000227</v>
      </c>
      <c r="G108" s="555"/>
      <c r="H108" s="556">
        <f>H107-G107</f>
        <v>1200</v>
      </c>
    </row>
    <row r="109" spans="1:8" x14ac:dyDescent="0.25">
      <c r="F109" s="89"/>
    </row>
    <row r="110" spans="1:8" x14ac:dyDescent="0.25">
      <c r="B110" s="79" t="s">
        <v>32</v>
      </c>
      <c r="C110" s="475">
        <v>289</v>
      </c>
    </row>
    <row r="111" spans="1:8" x14ac:dyDescent="0.25">
      <c r="B111" s="79" t="s">
        <v>1218</v>
      </c>
      <c r="C111" s="475">
        <v>320</v>
      </c>
      <c r="D111" s="79"/>
    </row>
    <row r="112" spans="1:8" x14ac:dyDescent="0.25">
      <c r="B112" s="79" t="s">
        <v>50</v>
      </c>
      <c r="C112" s="484">
        <v>112.11</v>
      </c>
    </row>
    <row r="113" spans="1:9" s="85" customFormat="1" x14ac:dyDescent="0.25">
      <c r="A113" s="79"/>
      <c r="B113" s="79" t="s">
        <v>14</v>
      </c>
      <c r="C113" s="484">
        <v>115.74</v>
      </c>
      <c r="E113" s="89"/>
      <c r="F113" s="79"/>
      <c r="G113" s="79"/>
    </row>
    <row r="114" spans="1:9" s="85" customFormat="1" x14ac:dyDescent="0.25">
      <c r="A114" s="79"/>
      <c r="B114" s="79" t="s">
        <v>51</v>
      </c>
      <c r="C114" s="475">
        <v>70.92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52</v>
      </c>
      <c r="C115" s="475">
        <v>60</v>
      </c>
      <c r="E115" s="89"/>
      <c r="F115" s="79"/>
      <c r="G115" s="79"/>
      <c r="H115" s="79"/>
    </row>
    <row r="116" spans="1:9" s="85" customFormat="1" x14ac:dyDescent="0.25">
      <c r="A116" s="79"/>
      <c r="B116" s="867" t="s">
        <v>53</v>
      </c>
      <c r="C116" s="475">
        <v>240</v>
      </c>
      <c r="D116" s="89"/>
      <c r="E116" s="89"/>
      <c r="F116" s="79"/>
      <c r="G116" s="79"/>
      <c r="H116" s="79"/>
    </row>
    <row r="117" spans="1:9" s="85" customFormat="1" x14ac:dyDescent="0.25">
      <c r="A117" s="79"/>
      <c r="B117" s="79" t="s">
        <v>1232</v>
      </c>
      <c r="C117" s="475">
        <v>568.53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56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910</v>
      </c>
      <c r="C119" s="475">
        <v>239.17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418</v>
      </c>
      <c r="E120" s="89"/>
      <c r="F120" s="79"/>
      <c r="G120" s="79"/>
      <c r="H120" s="79"/>
    </row>
    <row r="121" spans="1:9" s="85" customFormat="1" x14ac:dyDescent="0.25">
      <c r="A121" s="79"/>
      <c r="B121" s="79" t="s">
        <v>419</v>
      </c>
      <c r="C121" s="475">
        <v>826.21</v>
      </c>
      <c r="D121" s="79"/>
      <c r="E121" s="89"/>
      <c r="F121" s="79"/>
      <c r="G121" s="79"/>
      <c r="H121" s="79"/>
    </row>
    <row r="122" spans="1:9" x14ac:dyDescent="0.25">
      <c r="B122" s="79" t="s">
        <v>911</v>
      </c>
      <c r="C122" s="475">
        <v>31.7</v>
      </c>
    </row>
    <row r="124" spans="1:9" x14ac:dyDescent="0.25">
      <c r="B124" s="79" t="s">
        <v>486</v>
      </c>
      <c r="C124" s="475">
        <f>G124/I124</f>
        <v>94.720967741935482</v>
      </c>
      <c r="E124" s="224" t="s">
        <v>487</v>
      </c>
      <c r="F124" s="224"/>
      <c r="G124" s="216">
        <v>2936.35</v>
      </c>
      <c r="H124" s="518" t="s">
        <v>488</v>
      </c>
      <c r="I124" s="85">
        <v>31</v>
      </c>
    </row>
    <row r="136" spans="3:8" x14ac:dyDescent="0.25">
      <c r="C136" s="79"/>
      <c r="D136" s="79"/>
      <c r="E136" s="79"/>
      <c r="H136" s="216"/>
    </row>
    <row r="137" spans="3:8" x14ac:dyDescent="0.25">
      <c r="C137" s="79"/>
      <c r="D137" s="79"/>
      <c r="E137" s="79"/>
      <c r="H137" s="216"/>
    </row>
    <row r="138" spans="3:8" x14ac:dyDescent="0.25">
      <c r="C138" s="79"/>
      <c r="D138" s="79"/>
      <c r="E138" s="79"/>
      <c r="F138" s="216"/>
      <c r="H138" s="216"/>
    </row>
    <row r="139" spans="3:8" x14ac:dyDescent="0.25">
      <c r="C139" s="79"/>
      <c r="D139" s="79"/>
      <c r="E139" s="79"/>
      <c r="F139" s="216"/>
      <c r="H139" s="216"/>
    </row>
    <row r="140" spans="3:8" x14ac:dyDescent="0.25">
      <c r="C140" s="79"/>
      <c r="D140" s="79"/>
      <c r="E140" s="79"/>
      <c r="F140" s="216"/>
    </row>
    <row r="141" spans="3:8" x14ac:dyDescent="0.25">
      <c r="C141" s="79"/>
      <c r="D141" s="79"/>
      <c r="E141" s="79"/>
      <c r="H141" s="216"/>
    </row>
    <row r="143" spans="3:8" x14ac:dyDescent="0.25">
      <c r="C143" s="79"/>
      <c r="D143" s="79"/>
      <c r="E143" s="79"/>
      <c r="H143" s="629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</sheetData>
  <autoFilter ref="A2:H108" xr:uid="{00000000-0009-0000-0000-00002D000000}"/>
  <mergeCells count="10">
    <mergeCell ref="A107:D107"/>
    <mergeCell ref="A108:D108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Plan52"/>
  <dimension ref="A1:I154"/>
  <sheetViews>
    <sheetView zoomScale="85" zoomScaleNormal="85" workbookViewId="0">
      <pane ySplit="4" topLeftCell="A146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1275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42461</v>
      </c>
      <c r="B5" s="369" t="s">
        <v>10</v>
      </c>
      <c r="C5" s="370"/>
      <c r="D5" s="207"/>
      <c r="E5" s="179"/>
      <c r="F5" s="933">
        <f>'Março-16'!F108</f>
        <v>214.68300000000227</v>
      </c>
      <c r="G5" s="163"/>
      <c r="H5" s="933">
        <f>'Março-16'!H108</f>
        <v>1200</v>
      </c>
    </row>
    <row r="6" spans="1:8" s="224" customFormat="1" x14ac:dyDescent="0.25">
      <c r="A6" s="215">
        <v>42461</v>
      </c>
      <c r="B6" s="348" t="s">
        <v>11</v>
      </c>
      <c r="C6" s="351"/>
      <c r="D6" s="248"/>
      <c r="E6" s="250">
        <v>40</v>
      </c>
      <c r="F6" s="1473"/>
      <c r="G6" s="252"/>
      <c r="H6" s="1473"/>
    </row>
    <row r="7" spans="1:8" s="224" customFormat="1" x14ac:dyDescent="0.25">
      <c r="A7" s="215">
        <v>42461</v>
      </c>
      <c r="B7" s="349" t="s">
        <v>311</v>
      </c>
      <c r="C7" s="350"/>
      <c r="D7" s="141"/>
      <c r="E7" s="97"/>
      <c r="F7" s="946"/>
      <c r="G7" s="97"/>
      <c r="H7" s="946">
        <v>2.2200000000000002</v>
      </c>
    </row>
    <row r="8" spans="1:8" s="224" customFormat="1" x14ac:dyDescent="0.25">
      <c r="A8" s="215">
        <v>42461</v>
      </c>
      <c r="B8" s="882" t="s">
        <v>32</v>
      </c>
      <c r="C8" s="879" t="s">
        <v>12</v>
      </c>
      <c r="D8" s="887" t="s">
        <v>13</v>
      </c>
      <c r="E8" s="97">
        <v>12</v>
      </c>
      <c r="F8" s="946"/>
      <c r="G8" s="97"/>
      <c r="H8" s="1473"/>
    </row>
    <row r="9" spans="1:8" s="224" customFormat="1" x14ac:dyDescent="0.25">
      <c r="A9" s="215">
        <v>42461</v>
      </c>
      <c r="B9" s="862" t="s">
        <v>256</v>
      </c>
      <c r="C9" s="879"/>
      <c r="D9" s="1475"/>
      <c r="E9" s="97"/>
      <c r="F9" s="946">
        <v>202.22</v>
      </c>
      <c r="G9" s="97">
        <v>202.22</v>
      </c>
      <c r="H9" s="1473"/>
    </row>
    <row r="10" spans="1:8" s="224" customFormat="1" x14ac:dyDescent="0.25">
      <c r="A10" s="215">
        <v>42461</v>
      </c>
      <c r="B10" s="882" t="s">
        <v>1276</v>
      </c>
      <c r="C10" s="879" t="s">
        <v>12</v>
      </c>
      <c r="D10" s="887" t="s">
        <v>13</v>
      </c>
      <c r="E10" s="97">
        <v>130</v>
      </c>
      <c r="F10" s="946"/>
      <c r="G10" s="97"/>
      <c r="H10" s="1473"/>
    </row>
    <row r="11" spans="1:8" s="224" customFormat="1" x14ac:dyDescent="0.25">
      <c r="A11" s="215">
        <v>42461</v>
      </c>
      <c r="B11" s="862" t="s">
        <v>14</v>
      </c>
      <c r="C11" s="879" t="s">
        <v>12</v>
      </c>
      <c r="D11" s="1475" t="s">
        <v>13</v>
      </c>
      <c r="E11" s="97">
        <v>5.15</v>
      </c>
      <c r="F11" s="946"/>
      <c r="G11" s="97"/>
      <c r="H11" s="1473"/>
    </row>
    <row r="12" spans="1:8" s="224" customFormat="1" x14ac:dyDescent="0.25">
      <c r="A12" s="215">
        <v>42462</v>
      </c>
      <c r="B12" s="882" t="s">
        <v>14</v>
      </c>
      <c r="C12" s="879" t="s">
        <v>12</v>
      </c>
      <c r="D12" s="887" t="s">
        <v>13</v>
      </c>
      <c r="E12" s="97">
        <v>18.59</v>
      </c>
      <c r="F12" s="946"/>
      <c r="G12" s="97"/>
      <c r="H12" s="1473"/>
    </row>
    <row r="13" spans="1:8" s="224" customFormat="1" x14ac:dyDescent="0.25">
      <c r="A13" s="215">
        <v>42463</v>
      </c>
      <c r="B13" s="882" t="s">
        <v>14</v>
      </c>
      <c r="C13" s="879" t="s">
        <v>12</v>
      </c>
      <c r="D13" s="887" t="s">
        <v>13</v>
      </c>
      <c r="E13" s="97">
        <v>6.75</v>
      </c>
      <c r="F13" s="946"/>
      <c r="G13" s="97"/>
      <c r="H13" s="1473"/>
    </row>
    <row r="14" spans="1:8" s="224" customFormat="1" x14ac:dyDescent="0.25">
      <c r="A14" s="215">
        <v>42463</v>
      </c>
      <c r="B14" s="882" t="s">
        <v>134</v>
      </c>
      <c r="C14" s="879" t="s">
        <v>12</v>
      </c>
      <c r="D14" s="887" t="s">
        <v>15</v>
      </c>
      <c r="E14" s="97">
        <v>8</v>
      </c>
      <c r="F14" s="946"/>
      <c r="G14" s="97"/>
      <c r="H14" s="1473"/>
    </row>
    <row r="15" spans="1:8" s="224" customFormat="1" x14ac:dyDescent="0.25">
      <c r="A15" s="215">
        <v>42464</v>
      </c>
      <c r="B15" s="882" t="s">
        <v>32</v>
      </c>
      <c r="C15" s="879" t="s">
        <v>12</v>
      </c>
      <c r="D15" s="887" t="s">
        <v>13</v>
      </c>
      <c r="E15" s="97">
        <v>12</v>
      </c>
      <c r="F15" s="946"/>
      <c r="G15" s="97"/>
      <c r="H15" s="1473"/>
    </row>
    <row r="16" spans="1:8" s="224" customFormat="1" x14ac:dyDescent="0.25">
      <c r="A16" s="215">
        <v>42464</v>
      </c>
      <c r="B16" s="882" t="s">
        <v>1151</v>
      </c>
      <c r="C16" s="879" t="s">
        <v>12</v>
      </c>
      <c r="D16" s="887" t="s">
        <v>13</v>
      </c>
      <c r="E16" s="97">
        <v>10.9</v>
      </c>
      <c r="F16" s="946"/>
      <c r="G16" s="97"/>
      <c r="H16" s="1473"/>
    </row>
    <row r="17" spans="1:8" s="224" customFormat="1" x14ac:dyDescent="0.25">
      <c r="A17" s="215">
        <v>42464</v>
      </c>
      <c r="B17" s="882" t="s">
        <v>138</v>
      </c>
      <c r="C17" s="879" t="s">
        <v>19</v>
      </c>
      <c r="D17" s="887" t="s">
        <v>13</v>
      </c>
      <c r="E17" s="97">
        <v>50</v>
      </c>
      <c r="F17" s="946"/>
      <c r="G17" s="97"/>
      <c r="H17" s="1473"/>
    </row>
    <row r="18" spans="1:8" s="224" customFormat="1" x14ac:dyDescent="0.25">
      <c r="A18" s="215">
        <v>42464</v>
      </c>
      <c r="B18" s="882" t="s">
        <v>1277</v>
      </c>
      <c r="C18" s="879" t="s">
        <v>19</v>
      </c>
      <c r="D18" s="887" t="s">
        <v>13</v>
      </c>
      <c r="E18" s="97">
        <v>19.899999999999999</v>
      </c>
      <c r="F18" s="946"/>
      <c r="G18" s="97"/>
      <c r="H18" s="1473"/>
    </row>
    <row r="19" spans="1:8" s="224" customFormat="1" x14ac:dyDescent="0.25">
      <c r="A19" s="215">
        <v>42465</v>
      </c>
      <c r="B19" s="882" t="s">
        <v>32</v>
      </c>
      <c r="C19" s="879" t="s">
        <v>12</v>
      </c>
      <c r="D19" s="887" t="s">
        <v>13</v>
      </c>
      <c r="E19" s="97">
        <v>12</v>
      </c>
      <c r="F19" s="946"/>
      <c r="G19" s="97"/>
      <c r="H19" s="1473"/>
    </row>
    <row r="20" spans="1:8" s="224" customFormat="1" x14ac:dyDescent="0.25">
      <c r="A20" s="215">
        <v>42465</v>
      </c>
      <c r="B20" s="882" t="s">
        <v>134</v>
      </c>
      <c r="C20" s="879" t="s">
        <v>12</v>
      </c>
      <c r="D20" s="887" t="s">
        <v>13</v>
      </c>
      <c r="E20" s="97">
        <v>5.94</v>
      </c>
      <c r="F20" s="946"/>
      <c r="G20" s="97"/>
      <c r="H20" s="1473"/>
    </row>
    <row r="21" spans="1:8" s="224" customFormat="1" x14ac:dyDescent="0.25">
      <c r="A21" s="215">
        <v>42466</v>
      </c>
      <c r="B21" s="882" t="s">
        <v>32</v>
      </c>
      <c r="C21" s="879" t="s">
        <v>12</v>
      </c>
      <c r="D21" s="887" t="s">
        <v>15</v>
      </c>
      <c r="E21" s="97">
        <v>12</v>
      </c>
      <c r="F21" s="946"/>
      <c r="G21" s="97"/>
      <c r="H21" s="1473"/>
    </row>
    <row r="22" spans="1:8" s="224" customFormat="1" ht="15.75" customHeight="1" x14ac:dyDescent="0.25">
      <c r="A22" s="215">
        <v>42466</v>
      </c>
      <c r="B22" s="349" t="s">
        <v>1278</v>
      </c>
      <c r="C22" s="879" t="s">
        <v>12</v>
      </c>
      <c r="D22" s="983" t="s">
        <v>25</v>
      </c>
      <c r="E22" s="250"/>
      <c r="F22" s="1473">
        <v>1530.49</v>
      </c>
      <c r="G22" s="252"/>
      <c r="H22" s="946"/>
    </row>
    <row r="23" spans="1:8" s="224" customFormat="1" ht="15.75" customHeight="1" x14ac:dyDescent="0.25">
      <c r="A23" s="215">
        <v>42466</v>
      </c>
      <c r="B23" s="862" t="s">
        <v>1279</v>
      </c>
      <c r="C23" s="350" t="s">
        <v>12</v>
      </c>
      <c r="D23" s="141" t="s">
        <v>13</v>
      </c>
      <c r="E23" s="97">
        <v>329.36</v>
      </c>
      <c r="F23" s="1473"/>
      <c r="G23" s="252"/>
      <c r="H23" s="946"/>
    </row>
    <row r="24" spans="1:8" s="224" customFormat="1" ht="15.75" customHeight="1" x14ac:dyDescent="0.25">
      <c r="A24" s="215">
        <v>42466</v>
      </c>
      <c r="B24" s="882" t="s">
        <v>1280</v>
      </c>
      <c r="C24" s="350" t="s">
        <v>12</v>
      </c>
      <c r="D24" s="141" t="s">
        <v>13</v>
      </c>
      <c r="E24" s="97">
        <v>79.040000000000006</v>
      </c>
      <c r="F24" s="1473"/>
      <c r="G24" s="252"/>
      <c r="H24" s="946"/>
    </row>
    <row r="25" spans="1:8" x14ac:dyDescent="0.25">
      <c r="A25" s="215">
        <v>42466</v>
      </c>
      <c r="B25" s="862" t="s">
        <v>52</v>
      </c>
      <c r="C25" s="879" t="s">
        <v>12</v>
      </c>
      <c r="D25" s="1475" t="s">
        <v>15</v>
      </c>
      <c r="E25" s="97">
        <v>60</v>
      </c>
      <c r="F25" s="946"/>
      <c r="G25" s="97"/>
      <c r="H25" s="946"/>
    </row>
    <row r="26" spans="1:8" s="224" customFormat="1" x14ac:dyDescent="0.25">
      <c r="A26" s="215">
        <v>42466</v>
      </c>
      <c r="B26" s="862" t="s">
        <v>1091</v>
      </c>
      <c r="C26" s="879" t="s">
        <v>12</v>
      </c>
      <c r="D26" s="887" t="s">
        <v>15</v>
      </c>
      <c r="E26" s="250">
        <v>175</v>
      </c>
      <c r="F26" s="946"/>
      <c r="G26" s="97"/>
      <c r="H26" s="1473"/>
    </row>
    <row r="27" spans="1:8" x14ac:dyDescent="0.25">
      <c r="A27" s="215">
        <v>42466</v>
      </c>
      <c r="B27" s="349" t="s">
        <v>260</v>
      </c>
      <c r="C27" s="350"/>
      <c r="D27" s="141"/>
      <c r="E27" s="97">
        <v>360</v>
      </c>
      <c r="F27" s="946"/>
      <c r="G27" s="95"/>
      <c r="H27" s="946">
        <v>360</v>
      </c>
    </row>
    <row r="28" spans="1:8" x14ac:dyDescent="0.25">
      <c r="A28" s="215">
        <v>42466</v>
      </c>
      <c r="B28" s="882" t="s">
        <v>14</v>
      </c>
      <c r="C28" s="879" t="s">
        <v>12</v>
      </c>
      <c r="D28" s="887" t="s">
        <v>13</v>
      </c>
      <c r="E28" s="97">
        <v>7.11</v>
      </c>
      <c r="F28" s="946"/>
      <c r="G28" s="95"/>
      <c r="H28" s="946"/>
    </row>
    <row r="29" spans="1:8" s="224" customFormat="1" x14ac:dyDescent="0.25">
      <c r="A29" s="215">
        <v>42467</v>
      </c>
      <c r="B29" s="862" t="s">
        <v>1281</v>
      </c>
      <c r="C29" s="879" t="s">
        <v>12</v>
      </c>
      <c r="D29" s="887" t="s">
        <v>13</v>
      </c>
      <c r="E29" s="250">
        <v>9</v>
      </c>
      <c r="F29" s="946"/>
      <c r="G29" s="97"/>
      <c r="H29" s="1473"/>
    </row>
    <row r="30" spans="1:8" s="224" customFormat="1" x14ac:dyDescent="0.25">
      <c r="A30" s="215">
        <v>42467</v>
      </c>
      <c r="B30" s="882" t="s">
        <v>32</v>
      </c>
      <c r="C30" s="879" t="s">
        <v>12</v>
      </c>
      <c r="D30" s="887" t="s">
        <v>15</v>
      </c>
      <c r="E30" s="97">
        <v>12</v>
      </c>
      <c r="F30" s="946"/>
      <c r="G30" s="97"/>
      <c r="H30" s="1473"/>
    </row>
    <row r="31" spans="1:8" s="224" customFormat="1" x14ac:dyDescent="0.25">
      <c r="A31" s="215">
        <v>42467</v>
      </c>
      <c r="B31" s="862" t="s">
        <v>14</v>
      </c>
      <c r="C31" s="879" t="s">
        <v>12</v>
      </c>
      <c r="D31" s="887" t="s">
        <v>13</v>
      </c>
      <c r="E31" s="250">
        <v>8.94</v>
      </c>
      <c r="F31" s="946"/>
      <c r="G31" s="97"/>
      <c r="H31" s="1473"/>
    </row>
    <row r="32" spans="1:8" s="224" customFormat="1" x14ac:dyDescent="0.25">
      <c r="A32" s="215">
        <v>42468</v>
      </c>
      <c r="B32" s="882" t="s">
        <v>32</v>
      </c>
      <c r="C32" s="879" t="s">
        <v>12</v>
      </c>
      <c r="D32" s="887" t="s">
        <v>13</v>
      </c>
      <c r="E32" s="97">
        <v>12</v>
      </c>
      <c r="F32" s="946"/>
      <c r="G32" s="97"/>
      <c r="H32" s="1473"/>
    </row>
    <row r="33" spans="1:8" s="224" customFormat="1" x14ac:dyDescent="0.25">
      <c r="A33" s="215">
        <v>42468</v>
      </c>
      <c r="B33" s="882" t="s">
        <v>138</v>
      </c>
      <c r="C33" s="879" t="s">
        <v>19</v>
      </c>
      <c r="D33" s="887" t="s">
        <v>13</v>
      </c>
      <c r="E33" s="97">
        <v>50</v>
      </c>
      <c r="F33" s="946"/>
      <c r="G33" s="97"/>
      <c r="H33" s="1473"/>
    </row>
    <row r="34" spans="1:8" s="224" customFormat="1" x14ac:dyDescent="0.25">
      <c r="A34" s="215">
        <v>42468</v>
      </c>
      <c r="B34" s="882" t="s">
        <v>1057</v>
      </c>
      <c r="C34" s="879" t="s">
        <v>12</v>
      </c>
      <c r="D34" s="887" t="s">
        <v>13</v>
      </c>
      <c r="E34" s="97">
        <v>13.67</v>
      </c>
      <c r="F34" s="946"/>
      <c r="G34" s="97"/>
      <c r="H34" s="1473"/>
    </row>
    <row r="35" spans="1:8" x14ac:dyDescent="0.25">
      <c r="A35" s="215">
        <v>42469</v>
      </c>
      <c r="B35" s="882" t="s">
        <v>14</v>
      </c>
      <c r="C35" s="879" t="s">
        <v>12</v>
      </c>
      <c r="D35" s="887" t="s">
        <v>13</v>
      </c>
      <c r="E35" s="97">
        <v>21.72</v>
      </c>
      <c r="F35" s="946"/>
      <c r="G35" s="95"/>
      <c r="H35" s="946"/>
    </row>
    <row r="36" spans="1:8" x14ac:dyDescent="0.25">
      <c r="A36" s="215">
        <v>42469</v>
      </c>
      <c r="B36" s="882" t="s">
        <v>914</v>
      </c>
      <c r="C36" s="879" t="s">
        <v>12</v>
      </c>
      <c r="D36" s="887" t="s">
        <v>13</v>
      </c>
      <c r="E36" s="97">
        <v>13.34</v>
      </c>
      <c r="F36" s="946"/>
      <c r="G36" s="95"/>
      <c r="H36" s="946"/>
    </row>
    <row r="37" spans="1:8" x14ac:dyDescent="0.25">
      <c r="A37" s="215">
        <v>42469</v>
      </c>
      <c r="B37" s="882" t="s">
        <v>1274</v>
      </c>
      <c r="C37" s="879" t="s">
        <v>12</v>
      </c>
      <c r="D37" s="887" t="s">
        <v>13</v>
      </c>
      <c r="E37" s="97">
        <v>40</v>
      </c>
      <c r="F37" s="946"/>
      <c r="G37" s="95"/>
      <c r="H37" s="946"/>
    </row>
    <row r="38" spans="1:8" x14ac:dyDescent="0.25">
      <c r="A38" s="215">
        <v>42469</v>
      </c>
      <c r="B38" s="882" t="s">
        <v>1282</v>
      </c>
      <c r="C38" s="879" t="s">
        <v>12</v>
      </c>
      <c r="D38" s="887" t="s">
        <v>13</v>
      </c>
      <c r="E38" s="97">
        <v>20.100000000000001</v>
      </c>
      <c r="F38" s="946"/>
      <c r="G38" s="95"/>
      <c r="H38" s="946"/>
    </row>
    <row r="39" spans="1:8" s="224" customFormat="1" x14ac:dyDescent="0.25">
      <c r="A39" s="215">
        <v>42470</v>
      </c>
      <c r="B39" s="862" t="s">
        <v>14</v>
      </c>
      <c r="C39" s="879" t="s">
        <v>12</v>
      </c>
      <c r="D39" s="887" t="s">
        <v>13</v>
      </c>
      <c r="E39" s="250">
        <v>4.1900000000000004</v>
      </c>
      <c r="F39" s="946"/>
      <c r="G39" s="97"/>
      <c r="H39" s="1473"/>
    </row>
    <row r="40" spans="1:8" s="224" customFormat="1" x14ac:dyDescent="0.25">
      <c r="A40" s="215">
        <v>42470</v>
      </c>
      <c r="B40" s="862" t="s">
        <v>249</v>
      </c>
      <c r="C40" s="879" t="s">
        <v>12</v>
      </c>
      <c r="D40" s="887" t="s">
        <v>13</v>
      </c>
      <c r="E40" s="250">
        <v>10.37</v>
      </c>
      <c r="F40" s="946"/>
      <c r="G40" s="97"/>
      <c r="H40" s="1473"/>
    </row>
    <row r="41" spans="1:8" x14ac:dyDescent="0.25">
      <c r="A41" s="215">
        <v>42471</v>
      </c>
      <c r="B41" s="882" t="s">
        <v>32</v>
      </c>
      <c r="C41" s="879" t="s">
        <v>12</v>
      </c>
      <c r="D41" s="887" t="s">
        <v>13</v>
      </c>
      <c r="E41" s="97">
        <v>12</v>
      </c>
      <c r="F41" s="946"/>
      <c r="G41" s="97"/>
      <c r="H41" s="946"/>
    </row>
    <row r="42" spans="1:8" x14ac:dyDescent="0.25">
      <c r="A42" s="215">
        <v>42471</v>
      </c>
      <c r="B42" s="882" t="s">
        <v>14</v>
      </c>
      <c r="C42" s="879" t="s">
        <v>12</v>
      </c>
      <c r="D42" s="887" t="s">
        <v>13</v>
      </c>
      <c r="E42" s="97">
        <v>8.3000000000000007</v>
      </c>
      <c r="F42" s="946"/>
      <c r="G42" s="97"/>
      <c r="H42" s="946"/>
    </row>
    <row r="43" spans="1:8" x14ac:dyDescent="0.25">
      <c r="A43" s="215">
        <v>42471</v>
      </c>
      <c r="B43" s="882" t="s">
        <v>1283</v>
      </c>
      <c r="C43" s="879" t="s">
        <v>12</v>
      </c>
      <c r="D43" s="887" t="s">
        <v>15</v>
      </c>
      <c r="E43" s="97">
        <v>30</v>
      </c>
      <c r="F43" s="946"/>
      <c r="G43" s="97"/>
      <c r="H43" s="946"/>
    </row>
    <row r="44" spans="1:8" x14ac:dyDescent="0.25">
      <c r="A44" s="215">
        <v>42472</v>
      </c>
      <c r="B44" s="882" t="s">
        <v>32</v>
      </c>
      <c r="C44" s="879" t="s">
        <v>12</v>
      </c>
      <c r="D44" s="887" t="s">
        <v>13</v>
      </c>
      <c r="E44" s="97">
        <v>12</v>
      </c>
      <c r="F44" s="946"/>
      <c r="G44" s="97"/>
      <c r="H44" s="946"/>
    </row>
    <row r="45" spans="1:8" x14ac:dyDescent="0.25">
      <c r="A45" s="215">
        <v>42472</v>
      </c>
      <c r="B45" s="882" t="s">
        <v>147</v>
      </c>
      <c r="C45" s="879" t="s">
        <v>12</v>
      </c>
      <c r="D45" s="887" t="s">
        <v>15</v>
      </c>
      <c r="E45" s="97">
        <v>15</v>
      </c>
      <c r="F45" s="946"/>
      <c r="G45" s="97"/>
      <c r="H45" s="946"/>
    </row>
    <row r="46" spans="1:8" x14ac:dyDescent="0.25">
      <c r="A46" s="215">
        <v>42473</v>
      </c>
      <c r="B46" s="882" t="s">
        <v>32</v>
      </c>
      <c r="C46" s="879" t="s">
        <v>12</v>
      </c>
      <c r="D46" s="887" t="s">
        <v>13</v>
      </c>
      <c r="E46" s="97">
        <v>12</v>
      </c>
      <c r="F46" s="946"/>
      <c r="G46" s="97"/>
      <c r="H46" s="946"/>
    </row>
    <row r="47" spans="1:8" x14ac:dyDescent="0.25">
      <c r="A47" s="215">
        <v>42473</v>
      </c>
      <c r="B47" s="882" t="s">
        <v>14</v>
      </c>
      <c r="C47" s="879" t="s">
        <v>12</v>
      </c>
      <c r="D47" s="887" t="s">
        <v>13</v>
      </c>
      <c r="E47" s="97">
        <v>4.1100000000000003</v>
      </c>
      <c r="F47" s="946"/>
      <c r="G47" s="97"/>
      <c r="H47" s="946"/>
    </row>
    <row r="48" spans="1:8" x14ac:dyDescent="0.25">
      <c r="A48" s="215">
        <v>42474</v>
      </c>
      <c r="B48" s="882" t="s">
        <v>32</v>
      </c>
      <c r="C48" s="879" t="s">
        <v>12</v>
      </c>
      <c r="D48" s="887" t="s">
        <v>13</v>
      </c>
      <c r="E48" s="97">
        <v>12</v>
      </c>
      <c r="F48" s="946"/>
      <c r="G48" s="97"/>
      <c r="H48" s="946"/>
    </row>
    <row r="49" spans="1:8" x14ac:dyDescent="0.25">
      <c r="A49" s="215">
        <v>42474</v>
      </c>
      <c r="B49" s="882" t="s">
        <v>138</v>
      </c>
      <c r="C49" s="879" t="s">
        <v>12</v>
      </c>
      <c r="D49" s="887" t="s">
        <v>13</v>
      </c>
      <c r="E49" s="97">
        <v>20</v>
      </c>
      <c r="F49" s="946"/>
      <c r="G49" s="97"/>
      <c r="H49" s="946"/>
    </row>
    <row r="50" spans="1:8" x14ac:dyDescent="0.25">
      <c r="A50" s="215">
        <v>42474</v>
      </c>
      <c r="B50" s="882" t="s">
        <v>138</v>
      </c>
      <c r="C50" s="879" t="s">
        <v>19</v>
      </c>
      <c r="D50" s="887" t="s">
        <v>13</v>
      </c>
      <c r="E50" s="97">
        <v>40</v>
      </c>
      <c r="F50" s="946"/>
      <c r="G50" s="95"/>
      <c r="H50" s="946"/>
    </row>
    <row r="51" spans="1:8" x14ac:dyDescent="0.25">
      <c r="A51" s="215">
        <v>42474</v>
      </c>
      <c r="B51" s="882" t="s">
        <v>134</v>
      </c>
      <c r="C51" s="879" t="s">
        <v>12</v>
      </c>
      <c r="D51" s="887" t="s">
        <v>15</v>
      </c>
      <c r="E51" s="97">
        <v>8</v>
      </c>
      <c r="F51" s="946"/>
      <c r="G51" s="95"/>
      <c r="H51" s="946"/>
    </row>
    <row r="52" spans="1:8" s="224" customFormat="1" x14ac:dyDescent="0.25">
      <c r="A52" s="215">
        <v>42475</v>
      </c>
      <c r="B52" s="882" t="s">
        <v>32</v>
      </c>
      <c r="C52" s="879" t="s">
        <v>12</v>
      </c>
      <c r="D52" s="887" t="s">
        <v>13</v>
      </c>
      <c r="E52" s="97">
        <v>12</v>
      </c>
      <c r="F52" s="946"/>
      <c r="G52" s="97"/>
      <c r="H52" s="1473"/>
    </row>
    <row r="53" spans="1:8" s="224" customFormat="1" x14ac:dyDescent="0.25">
      <c r="A53" s="215">
        <v>42475</v>
      </c>
      <c r="B53" s="882" t="s">
        <v>1284</v>
      </c>
      <c r="C53" s="879" t="s">
        <v>19</v>
      </c>
      <c r="D53" s="887" t="s">
        <v>13</v>
      </c>
      <c r="E53" s="97">
        <v>34.32</v>
      </c>
      <c r="F53" s="946"/>
      <c r="G53" s="97"/>
      <c r="H53" s="1473"/>
    </row>
    <row r="54" spans="1:8" s="224" customFormat="1" x14ac:dyDescent="0.25">
      <c r="A54" s="215">
        <v>42475</v>
      </c>
      <c r="B54" s="882" t="s">
        <v>1285</v>
      </c>
      <c r="C54" s="879" t="s">
        <v>19</v>
      </c>
      <c r="D54" s="887" t="s">
        <v>13</v>
      </c>
      <c r="E54" s="97">
        <v>13.75</v>
      </c>
      <c r="F54" s="946"/>
      <c r="G54" s="97"/>
      <c r="H54" s="1473"/>
    </row>
    <row r="55" spans="1:8" s="224" customFormat="1" x14ac:dyDescent="0.25">
      <c r="A55" s="215">
        <v>42475</v>
      </c>
      <c r="B55" s="882" t="s">
        <v>14</v>
      </c>
      <c r="C55" s="879" t="s">
        <v>12</v>
      </c>
      <c r="D55" s="887" t="s">
        <v>13</v>
      </c>
      <c r="E55" s="97">
        <v>8</v>
      </c>
      <c r="F55" s="946"/>
      <c r="G55" s="97"/>
      <c r="H55" s="1473"/>
    </row>
    <row r="56" spans="1:8" s="224" customFormat="1" x14ac:dyDescent="0.25">
      <c r="A56" s="215">
        <v>42476</v>
      </c>
      <c r="B56" s="349" t="s">
        <v>311</v>
      </c>
      <c r="C56" s="350"/>
      <c r="D56" s="141"/>
      <c r="E56" s="97"/>
      <c r="F56" s="946"/>
      <c r="G56" s="97"/>
      <c r="H56" s="946">
        <v>5.47</v>
      </c>
    </row>
    <row r="57" spans="1:8" x14ac:dyDescent="0.25">
      <c r="A57" s="215">
        <v>42476</v>
      </c>
      <c r="B57" s="862" t="s">
        <v>80</v>
      </c>
      <c r="C57" s="879" t="s">
        <v>12</v>
      </c>
      <c r="D57" s="1475" t="s">
        <v>15</v>
      </c>
      <c r="E57" s="97">
        <v>20</v>
      </c>
      <c r="F57" s="946"/>
      <c r="G57" s="97"/>
      <c r="H57" s="946"/>
    </row>
    <row r="58" spans="1:8" x14ac:dyDescent="0.25">
      <c r="A58" s="215">
        <v>42476</v>
      </c>
      <c r="B58" s="862" t="s">
        <v>1286</v>
      </c>
      <c r="C58" s="879" t="s">
        <v>12</v>
      </c>
      <c r="D58" s="1475" t="s">
        <v>13</v>
      </c>
      <c r="E58" s="97">
        <v>27.05</v>
      </c>
      <c r="F58" s="946"/>
      <c r="G58" s="97"/>
      <c r="H58" s="946"/>
    </row>
    <row r="59" spans="1:8" s="224" customFormat="1" x14ac:dyDescent="0.25">
      <c r="A59" s="215">
        <v>42477</v>
      </c>
      <c r="B59" s="862" t="s">
        <v>134</v>
      </c>
      <c r="C59" s="879" t="s">
        <v>12</v>
      </c>
      <c r="D59" s="887" t="s">
        <v>13</v>
      </c>
      <c r="E59" s="250">
        <v>10.49</v>
      </c>
      <c r="F59" s="946"/>
      <c r="G59" s="97"/>
      <c r="H59" s="1473"/>
    </row>
    <row r="60" spans="1:8" s="224" customFormat="1" x14ac:dyDescent="0.25">
      <c r="A60" s="215">
        <v>42477</v>
      </c>
      <c r="B60" s="862" t="s">
        <v>14</v>
      </c>
      <c r="C60" s="879" t="s">
        <v>12</v>
      </c>
      <c r="D60" s="887" t="s">
        <v>13</v>
      </c>
      <c r="E60" s="250">
        <v>8.3000000000000007</v>
      </c>
      <c r="F60" s="946"/>
      <c r="G60" s="97"/>
      <c r="H60" s="1473"/>
    </row>
    <row r="61" spans="1:8" s="224" customFormat="1" x14ac:dyDescent="0.25">
      <c r="A61" s="215">
        <v>42478</v>
      </c>
      <c r="B61" s="882" t="s">
        <v>32</v>
      </c>
      <c r="C61" s="879" t="s">
        <v>12</v>
      </c>
      <c r="D61" s="887" t="s">
        <v>13</v>
      </c>
      <c r="E61" s="97">
        <v>12</v>
      </c>
      <c r="F61" s="946"/>
      <c r="G61" s="97"/>
      <c r="H61" s="1473"/>
    </row>
    <row r="62" spans="1:8" s="224" customFormat="1" x14ac:dyDescent="0.25">
      <c r="A62" s="215">
        <v>42478</v>
      </c>
      <c r="B62" s="882" t="s">
        <v>139</v>
      </c>
      <c r="C62" s="879" t="s">
        <v>12</v>
      </c>
      <c r="D62" s="887" t="s">
        <v>13</v>
      </c>
      <c r="E62" s="97">
        <v>6</v>
      </c>
      <c r="F62" s="946"/>
      <c r="G62" s="97"/>
      <c r="H62" s="1473"/>
    </row>
    <row r="63" spans="1:8" s="224" customFormat="1" x14ac:dyDescent="0.25">
      <c r="A63" s="215">
        <v>42478</v>
      </c>
      <c r="B63" s="862" t="s">
        <v>134</v>
      </c>
      <c r="C63" s="879" t="s">
        <v>12</v>
      </c>
      <c r="D63" s="887" t="s">
        <v>13</v>
      </c>
      <c r="E63" s="250">
        <v>4.74</v>
      </c>
      <c r="F63" s="946"/>
      <c r="G63" s="97"/>
      <c r="H63" s="1473"/>
    </row>
    <row r="64" spans="1:8" s="224" customFormat="1" ht="15.75" customHeight="1" x14ac:dyDescent="0.25">
      <c r="A64" s="215">
        <v>42479</v>
      </c>
      <c r="B64" s="882" t="s">
        <v>32</v>
      </c>
      <c r="C64" s="879" t="s">
        <v>12</v>
      </c>
      <c r="D64" s="887" t="s">
        <v>13</v>
      </c>
      <c r="E64" s="97">
        <v>12</v>
      </c>
      <c r="F64" s="946"/>
      <c r="G64" s="95"/>
      <c r="H64" s="946"/>
    </row>
    <row r="65" spans="1:8" s="224" customFormat="1" ht="15.75" customHeight="1" x14ac:dyDescent="0.25">
      <c r="A65" s="215">
        <v>42479</v>
      </c>
      <c r="B65" s="882" t="s">
        <v>1287</v>
      </c>
      <c r="C65" s="879" t="s">
        <v>12</v>
      </c>
      <c r="D65" s="887" t="s">
        <v>13</v>
      </c>
      <c r="E65" s="97">
        <v>14</v>
      </c>
      <c r="F65" s="946"/>
      <c r="G65" s="95"/>
      <c r="H65" s="946"/>
    </row>
    <row r="66" spans="1:8" s="224" customFormat="1" ht="15.75" customHeight="1" x14ac:dyDescent="0.25">
      <c r="A66" s="215">
        <v>42479</v>
      </c>
      <c r="B66" s="882" t="s">
        <v>138</v>
      </c>
      <c r="C66" s="879" t="s">
        <v>12</v>
      </c>
      <c r="D66" s="887" t="s">
        <v>15</v>
      </c>
      <c r="E66" s="97">
        <v>20</v>
      </c>
      <c r="F66" s="946"/>
      <c r="G66" s="95"/>
      <c r="H66" s="946"/>
    </row>
    <row r="67" spans="1:8" s="224" customFormat="1" x14ac:dyDescent="0.25">
      <c r="A67" s="215">
        <v>42480</v>
      </c>
      <c r="B67" s="882" t="s">
        <v>1288</v>
      </c>
      <c r="C67" s="879" t="s">
        <v>12</v>
      </c>
      <c r="D67" s="887" t="s">
        <v>25</v>
      </c>
      <c r="E67" s="97"/>
      <c r="F67" s="946">
        <v>1420</v>
      </c>
      <c r="G67" s="95"/>
      <c r="H67" s="1473"/>
    </row>
    <row r="68" spans="1:8" s="224" customFormat="1" x14ac:dyDescent="0.25">
      <c r="A68" s="215">
        <v>42480</v>
      </c>
      <c r="B68" s="882" t="s">
        <v>1289</v>
      </c>
      <c r="C68" s="879" t="s">
        <v>12</v>
      </c>
      <c r="D68" s="887" t="s">
        <v>13</v>
      </c>
      <c r="E68" s="97">
        <v>568.53</v>
      </c>
      <c r="F68" s="946"/>
      <c r="G68" s="95"/>
      <c r="H68" s="1473"/>
    </row>
    <row r="69" spans="1:8" x14ac:dyDescent="0.25">
      <c r="A69" s="215">
        <v>42480</v>
      </c>
      <c r="B69" s="882" t="s">
        <v>1290</v>
      </c>
      <c r="C69" s="879" t="s">
        <v>12</v>
      </c>
      <c r="D69" s="887" t="s">
        <v>13</v>
      </c>
      <c r="E69" s="250">
        <v>29.73</v>
      </c>
      <c r="F69" s="946"/>
      <c r="G69" s="95"/>
      <c r="H69" s="946"/>
    </row>
    <row r="70" spans="1:8" s="224" customFormat="1" x14ac:dyDescent="0.25">
      <c r="A70" s="215">
        <v>42480</v>
      </c>
      <c r="B70" s="882" t="s">
        <v>32</v>
      </c>
      <c r="C70" s="879" t="s">
        <v>12</v>
      </c>
      <c r="D70" s="887" t="s">
        <v>13</v>
      </c>
      <c r="E70" s="97">
        <v>12</v>
      </c>
      <c r="F70" s="946"/>
      <c r="G70" s="95"/>
      <c r="H70" s="1473"/>
    </row>
    <row r="71" spans="1:8" s="224" customFormat="1" x14ac:dyDescent="0.25">
      <c r="A71" s="215">
        <v>42480</v>
      </c>
      <c r="B71" s="882" t="s">
        <v>138</v>
      </c>
      <c r="C71" s="879" t="s">
        <v>19</v>
      </c>
      <c r="D71" s="887" t="s">
        <v>13</v>
      </c>
      <c r="E71" s="97">
        <v>50</v>
      </c>
      <c r="F71" s="946"/>
      <c r="G71" s="95"/>
      <c r="H71" s="1473"/>
    </row>
    <row r="72" spans="1:8" s="224" customFormat="1" x14ac:dyDescent="0.25">
      <c r="A72" s="215">
        <v>42480</v>
      </c>
      <c r="B72" s="882" t="s">
        <v>1291</v>
      </c>
      <c r="C72" s="879" t="s">
        <v>19</v>
      </c>
      <c r="D72" s="887" t="s">
        <v>13</v>
      </c>
      <c r="E72" s="97">
        <v>24</v>
      </c>
      <c r="F72" s="946"/>
      <c r="G72" s="95"/>
      <c r="H72" s="1473"/>
    </row>
    <row r="73" spans="1:8" s="224" customFormat="1" x14ac:dyDescent="0.25">
      <c r="A73" s="215">
        <v>42480</v>
      </c>
      <c r="B73" s="882" t="s">
        <v>1057</v>
      </c>
      <c r="C73" s="879" t="s">
        <v>19</v>
      </c>
      <c r="D73" s="887" t="s">
        <v>13</v>
      </c>
      <c r="E73" s="97">
        <v>4</v>
      </c>
      <c r="F73" s="946"/>
      <c r="G73" s="95"/>
      <c r="H73" s="1473"/>
    </row>
    <row r="74" spans="1:8" s="224" customFormat="1" x14ac:dyDescent="0.25">
      <c r="A74" s="215">
        <v>42480</v>
      </c>
      <c r="B74" s="882" t="s">
        <v>1292</v>
      </c>
      <c r="C74" s="879" t="s">
        <v>19</v>
      </c>
      <c r="D74" s="887" t="s">
        <v>13</v>
      </c>
      <c r="E74" s="97">
        <v>4</v>
      </c>
      <c r="F74" s="946"/>
      <c r="G74" s="95"/>
      <c r="H74" s="1473"/>
    </row>
    <row r="75" spans="1:8" s="224" customFormat="1" x14ac:dyDescent="0.25">
      <c r="A75" s="215">
        <v>42480</v>
      </c>
      <c r="B75" s="882" t="s">
        <v>1293</v>
      </c>
      <c r="C75" s="879" t="s">
        <v>19</v>
      </c>
      <c r="D75" s="887" t="s">
        <v>13</v>
      </c>
      <c r="E75" s="97">
        <v>50</v>
      </c>
      <c r="F75" s="946"/>
      <c r="G75" s="95"/>
      <c r="H75" s="1473"/>
    </row>
    <row r="76" spans="1:8" x14ac:dyDescent="0.25">
      <c r="A76" s="215">
        <v>42480</v>
      </c>
      <c r="B76" s="349" t="s">
        <v>260</v>
      </c>
      <c r="C76" s="350"/>
      <c r="D76" s="141"/>
      <c r="E76" s="97">
        <v>50</v>
      </c>
      <c r="F76" s="946"/>
      <c r="G76" s="95"/>
      <c r="H76" s="946">
        <v>50</v>
      </c>
    </row>
    <row r="77" spans="1:8" x14ac:dyDescent="0.25">
      <c r="A77" s="215">
        <v>42481</v>
      </c>
      <c r="B77" s="862" t="s">
        <v>32</v>
      </c>
      <c r="C77" s="879" t="s">
        <v>12</v>
      </c>
      <c r="D77" s="887" t="s">
        <v>13</v>
      </c>
      <c r="E77" s="250">
        <v>12</v>
      </c>
      <c r="F77" s="946"/>
      <c r="G77" s="95"/>
      <c r="H77" s="946"/>
    </row>
    <row r="78" spans="1:8" x14ac:dyDescent="0.25">
      <c r="A78" s="215">
        <v>42482</v>
      </c>
      <c r="B78" s="862" t="s">
        <v>14</v>
      </c>
      <c r="C78" s="879" t="s">
        <v>12</v>
      </c>
      <c r="D78" s="887" t="s">
        <v>13</v>
      </c>
      <c r="E78" s="250">
        <v>15.01</v>
      </c>
      <c r="F78" s="946"/>
      <c r="G78" s="95"/>
      <c r="H78" s="946"/>
    </row>
    <row r="79" spans="1:8" x14ac:dyDescent="0.25">
      <c r="A79" s="215">
        <v>42482</v>
      </c>
      <c r="B79" s="862" t="s">
        <v>1294</v>
      </c>
      <c r="C79" s="879" t="s">
        <v>12</v>
      </c>
      <c r="D79" s="887" t="s">
        <v>13</v>
      </c>
      <c r="E79" s="250">
        <v>80</v>
      </c>
      <c r="F79" s="946"/>
      <c r="G79" s="95"/>
      <c r="H79" s="946"/>
    </row>
    <row r="80" spans="1:8" x14ac:dyDescent="0.25">
      <c r="A80" s="215">
        <v>42482</v>
      </c>
      <c r="B80" s="862" t="s">
        <v>1295</v>
      </c>
      <c r="C80" s="879" t="s">
        <v>12</v>
      </c>
      <c r="D80" s="887" t="s">
        <v>13</v>
      </c>
      <c r="E80" s="250">
        <v>17.5</v>
      </c>
      <c r="F80" s="946"/>
      <c r="G80" s="95"/>
      <c r="H80" s="946"/>
    </row>
    <row r="81" spans="1:8" x14ac:dyDescent="0.25">
      <c r="A81" s="215">
        <v>42482</v>
      </c>
      <c r="B81" s="862" t="s">
        <v>914</v>
      </c>
      <c r="C81" s="879" t="s">
        <v>12</v>
      </c>
      <c r="D81" s="887" t="s">
        <v>13</v>
      </c>
      <c r="E81" s="250">
        <v>9.56</v>
      </c>
      <c r="F81" s="946"/>
      <c r="G81" s="95"/>
      <c r="H81" s="946"/>
    </row>
    <row r="82" spans="1:8" x14ac:dyDescent="0.25">
      <c r="A82" s="215">
        <v>42482</v>
      </c>
      <c r="B82" s="862" t="s">
        <v>14</v>
      </c>
      <c r="C82" s="879" t="s">
        <v>12</v>
      </c>
      <c r="D82" s="887" t="s">
        <v>13</v>
      </c>
      <c r="E82" s="250">
        <v>22.4</v>
      </c>
      <c r="F82" s="946"/>
      <c r="G82" s="95"/>
      <c r="H82" s="946"/>
    </row>
    <row r="83" spans="1:8" x14ac:dyDescent="0.25">
      <c r="A83" s="215">
        <v>42483</v>
      </c>
      <c r="B83" s="862" t="s">
        <v>138</v>
      </c>
      <c r="C83" s="879" t="s">
        <v>12</v>
      </c>
      <c r="D83" s="887" t="s">
        <v>13</v>
      </c>
      <c r="E83" s="250">
        <v>30</v>
      </c>
      <c r="F83" s="946"/>
      <c r="G83" s="95"/>
      <c r="H83" s="946"/>
    </row>
    <row r="84" spans="1:8" x14ac:dyDescent="0.25">
      <c r="A84" s="215">
        <v>42483</v>
      </c>
      <c r="B84" s="862" t="s">
        <v>1296</v>
      </c>
      <c r="C84" s="879" t="s">
        <v>12</v>
      </c>
      <c r="D84" s="887" t="s">
        <v>13</v>
      </c>
      <c r="E84" s="250">
        <v>29.39</v>
      </c>
      <c r="F84" s="946"/>
      <c r="G84" s="95"/>
      <c r="H84" s="946"/>
    </row>
    <row r="85" spans="1:8" x14ac:dyDescent="0.25">
      <c r="A85" s="215">
        <v>42484</v>
      </c>
      <c r="B85" s="862" t="s">
        <v>14</v>
      </c>
      <c r="C85" s="879" t="s">
        <v>12</v>
      </c>
      <c r="D85" s="887" t="s">
        <v>13</v>
      </c>
      <c r="E85" s="250">
        <v>10</v>
      </c>
      <c r="F85" s="946"/>
      <c r="G85" s="95"/>
      <c r="H85" s="946"/>
    </row>
    <row r="86" spans="1:8" x14ac:dyDescent="0.25">
      <c r="A86" s="215">
        <v>42484</v>
      </c>
      <c r="B86" s="862" t="s">
        <v>1297</v>
      </c>
      <c r="C86" s="879" t="s">
        <v>12</v>
      </c>
      <c r="D86" s="887" t="s">
        <v>15</v>
      </c>
      <c r="E86" s="250">
        <v>80</v>
      </c>
      <c r="F86" s="946"/>
      <c r="G86" s="95"/>
      <c r="H86" s="946"/>
    </row>
    <row r="87" spans="1:8" s="224" customFormat="1" x14ac:dyDescent="0.25">
      <c r="A87" s="215">
        <v>42485</v>
      </c>
      <c r="B87" s="862" t="s">
        <v>878</v>
      </c>
      <c r="C87" s="350" t="s">
        <v>12</v>
      </c>
      <c r="D87" s="957" t="s">
        <v>13</v>
      </c>
      <c r="E87" s="97">
        <v>51.9</v>
      </c>
      <c r="F87" s="1473"/>
      <c r="G87" s="252"/>
      <c r="H87" s="946"/>
    </row>
    <row r="88" spans="1:8" s="224" customFormat="1" x14ac:dyDescent="0.25">
      <c r="A88" s="215">
        <v>42485</v>
      </c>
      <c r="B88" s="862" t="s">
        <v>1298</v>
      </c>
      <c r="C88" s="350" t="s">
        <v>12</v>
      </c>
      <c r="D88" s="957" t="s">
        <v>25</v>
      </c>
      <c r="E88" s="97"/>
      <c r="F88" s="1473">
        <v>120</v>
      </c>
      <c r="G88" s="252"/>
      <c r="H88" s="946"/>
    </row>
    <row r="89" spans="1:8" x14ac:dyDescent="0.25">
      <c r="A89" s="215">
        <v>42485</v>
      </c>
      <c r="B89" s="862" t="s">
        <v>32</v>
      </c>
      <c r="C89" s="879" t="s">
        <v>12</v>
      </c>
      <c r="D89" s="887" t="s">
        <v>15</v>
      </c>
      <c r="E89" s="250">
        <v>12</v>
      </c>
      <c r="F89" s="946"/>
      <c r="G89" s="95"/>
      <c r="H89" s="946"/>
    </row>
    <row r="90" spans="1:8" x14ac:dyDescent="0.25">
      <c r="A90" s="215">
        <v>42485</v>
      </c>
      <c r="B90" s="862" t="s">
        <v>14</v>
      </c>
      <c r="C90" s="879" t="s">
        <v>12</v>
      </c>
      <c r="D90" s="887" t="s">
        <v>13</v>
      </c>
      <c r="E90" s="250">
        <v>5.8</v>
      </c>
      <c r="F90" s="946"/>
      <c r="G90" s="95"/>
      <c r="H90" s="946"/>
    </row>
    <row r="91" spans="1:8" x14ac:dyDescent="0.25">
      <c r="A91" s="215">
        <v>42486</v>
      </c>
      <c r="B91" s="862" t="s">
        <v>32</v>
      </c>
      <c r="C91" s="879" t="s">
        <v>12</v>
      </c>
      <c r="D91" s="887" t="s">
        <v>15</v>
      </c>
      <c r="E91" s="250">
        <v>12</v>
      </c>
      <c r="F91" s="946"/>
      <c r="G91" s="95"/>
      <c r="H91" s="946"/>
    </row>
    <row r="92" spans="1:8" x14ac:dyDescent="0.25">
      <c r="A92" s="215">
        <v>42486</v>
      </c>
      <c r="B92" s="349" t="s">
        <v>1299</v>
      </c>
      <c r="C92" s="350" t="s">
        <v>12</v>
      </c>
      <c r="D92" s="141" t="s">
        <v>13</v>
      </c>
      <c r="E92" s="97">
        <v>13</v>
      </c>
      <c r="F92" s="946"/>
      <c r="G92" s="95"/>
      <c r="H92" s="946"/>
    </row>
    <row r="93" spans="1:8" x14ac:dyDescent="0.25">
      <c r="A93" s="215">
        <v>42486</v>
      </c>
      <c r="B93" s="349" t="s">
        <v>14</v>
      </c>
      <c r="C93" s="350" t="s">
        <v>12</v>
      </c>
      <c r="D93" s="141" t="s">
        <v>13</v>
      </c>
      <c r="E93" s="97">
        <v>5.63</v>
      </c>
      <c r="F93" s="946"/>
      <c r="G93" s="95"/>
      <c r="H93" s="946"/>
    </row>
    <row r="94" spans="1:8" x14ac:dyDescent="0.25">
      <c r="A94" s="215">
        <v>42487</v>
      </c>
      <c r="B94" s="862" t="s">
        <v>32</v>
      </c>
      <c r="C94" s="879" t="s">
        <v>12</v>
      </c>
      <c r="D94" s="887" t="s">
        <v>13</v>
      </c>
      <c r="E94" s="250">
        <v>12</v>
      </c>
      <c r="F94" s="946"/>
      <c r="G94" s="95"/>
      <c r="H94" s="946"/>
    </row>
    <row r="95" spans="1:8" x14ac:dyDescent="0.25">
      <c r="A95" s="215">
        <v>42487</v>
      </c>
      <c r="B95" s="862" t="s">
        <v>138</v>
      </c>
      <c r="C95" s="879" t="s">
        <v>19</v>
      </c>
      <c r="D95" s="887" t="s">
        <v>13</v>
      </c>
      <c r="E95" s="250">
        <v>60</v>
      </c>
      <c r="F95" s="946"/>
      <c r="G95" s="95"/>
      <c r="H95" s="946"/>
    </row>
    <row r="96" spans="1:8" x14ac:dyDescent="0.25">
      <c r="A96" s="215">
        <v>42487</v>
      </c>
      <c r="B96" s="862" t="s">
        <v>1300</v>
      </c>
      <c r="C96" s="879" t="s">
        <v>19</v>
      </c>
      <c r="D96" s="887" t="s">
        <v>15</v>
      </c>
      <c r="E96" s="250">
        <v>20</v>
      </c>
      <c r="F96" s="946"/>
      <c r="G96" s="95"/>
      <c r="H96" s="946"/>
    </row>
    <row r="97" spans="1:8" x14ac:dyDescent="0.25">
      <c r="A97" s="215">
        <v>42487</v>
      </c>
      <c r="B97" s="862" t="s">
        <v>1301</v>
      </c>
      <c r="C97" s="879" t="s">
        <v>19</v>
      </c>
      <c r="D97" s="887" t="s">
        <v>15</v>
      </c>
      <c r="E97" s="250">
        <v>8</v>
      </c>
      <c r="F97" s="946"/>
      <c r="G97" s="95"/>
      <c r="H97" s="946"/>
    </row>
    <row r="98" spans="1:8" x14ac:dyDescent="0.25">
      <c r="A98" s="215">
        <v>42487</v>
      </c>
      <c r="B98" s="862" t="s">
        <v>134</v>
      </c>
      <c r="C98" s="879" t="s">
        <v>12</v>
      </c>
      <c r="D98" s="887" t="s">
        <v>15</v>
      </c>
      <c r="E98" s="250">
        <v>8</v>
      </c>
      <c r="F98" s="946"/>
      <c r="G98" s="95"/>
      <c r="H98" s="946"/>
    </row>
    <row r="99" spans="1:8" x14ac:dyDescent="0.25">
      <c r="A99" s="215">
        <v>42488</v>
      </c>
      <c r="B99" s="862" t="s">
        <v>32</v>
      </c>
      <c r="C99" s="879" t="s">
        <v>12</v>
      </c>
      <c r="D99" s="887" t="s">
        <v>15</v>
      </c>
      <c r="E99" s="250">
        <v>12</v>
      </c>
      <c r="F99" s="946"/>
      <c r="G99" s="95"/>
      <c r="H99" s="946"/>
    </row>
    <row r="100" spans="1:8" x14ac:dyDescent="0.25">
      <c r="A100" s="215">
        <v>42488</v>
      </c>
      <c r="B100" s="862" t="s">
        <v>914</v>
      </c>
      <c r="C100" s="879" t="s">
        <v>12</v>
      </c>
      <c r="D100" s="887" t="s">
        <v>13</v>
      </c>
      <c r="E100" s="250">
        <v>4.5</v>
      </c>
      <c r="F100" s="946"/>
      <c r="G100" s="95"/>
      <c r="H100" s="946"/>
    </row>
    <row r="101" spans="1:8" x14ac:dyDescent="0.25">
      <c r="A101" s="215">
        <v>42488</v>
      </c>
      <c r="B101" s="862" t="s">
        <v>14</v>
      </c>
      <c r="C101" s="879" t="s">
        <v>12</v>
      </c>
      <c r="D101" s="887" t="s">
        <v>13</v>
      </c>
      <c r="E101" s="250">
        <v>8.81</v>
      </c>
      <c r="F101" s="946"/>
      <c r="G101" s="95"/>
      <c r="H101" s="946"/>
    </row>
    <row r="102" spans="1:8" x14ac:dyDescent="0.25">
      <c r="A102" s="215">
        <v>42489</v>
      </c>
      <c r="B102" s="349" t="s">
        <v>32</v>
      </c>
      <c r="C102" s="350" t="s">
        <v>12</v>
      </c>
      <c r="D102" s="141" t="s">
        <v>13</v>
      </c>
      <c r="E102" s="97">
        <v>12</v>
      </c>
      <c r="F102" s="946"/>
      <c r="G102" s="95"/>
      <c r="H102" s="946"/>
    </row>
    <row r="103" spans="1:8" x14ac:dyDescent="0.25">
      <c r="A103" s="215">
        <v>42490</v>
      </c>
      <c r="B103" s="862" t="s">
        <v>14</v>
      </c>
      <c r="C103" s="879" t="s">
        <v>12</v>
      </c>
      <c r="D103" s="887" t="s">
        <v>13</v>
      </c>
      <c r="E103" s="250">
        <v>17.739999999999998</v>
      </c>
      <c r="F103" s="946"/>
      <c r="G103" s="95"/>
      <c r="H103" s="946"/>
    </row>
    <row r="104" spans="1:8" ht="15.75" thickBot="1" x14ac:dyDescent="0.3">
      <c r="A104" s="215">
        <v>42490</v>
      </c>
      <c r="B104" s="862" t="s">
        <v>147</v>
      </c>
      <c r="C104" s="879" t="s">
        <v>12</v>
      </c>
      <c r="D104" s="887" t="s">
        <v>15</v>
      </c>
      <c r="E104" s="250">
        <v>15</v>
      </c>
      <c r="F104" s="946"/>
      <c r="G104" s="95"/>
      <c r="H104" s="946"/>
    </row>
    <row r="105" spans="1:8" ht="25.5" customHeight="1" thickBot="1" x14ac:dyDescent="0.3">
      <c r="A105" s="3060"/>
      <c r="B105" s="3061"/>
      <c r="C105" s="3062"/>
      <c r="D105" s="3062"/>
      <c r="E105" s="100">
        <f>SUM(E6:E104)</f>
        <v>3321.6299999999997</v>
      </c>
      <c r="F105" s="1065">
        <f>SUM(F5:F104)</f>
        <v>3487.3930000000023</v>
      </c>
      <c r="G105" s="101">
        <f>SUM(G6:G104)</f>
        <v>202.22</v>
      </c>
      <c r="H105" s="93">
        <f>SUM(H5:H104)</f>
        <v>1617.69</v>
      </c>
    </row>
    <row r="106" spans="1:8" ht="25.5" customHeight="1" thickBot="1" x14ac:dyDescent="0.3">
      <c r="A106" s="3077" t="s">
        <v>49</v>
      </c>
      <c r="B106" s="3078"/>
      <c r="C106" s="3078"/>
      <c r="D106" s="3078"/>
      <c r="E106" s="144"/>
      <c r="F106" s="519">
        <f>F105-E105</f>
        <v>165.76300000000265</v>
      </c>
      <c r="G106" s="555"/>
      <c r="H106" s="556">
        <f>H105-G105</f>
        <v>1415.47</v>
      </c>
    </row>
    <row r="107" spans="1:8" x14ac:dyDescent="0.25">
      <c r="F107" s="89"/>
    </row>
    <row r="108" spans="1:8" x14ac:dyDescent="0.25">
      <c r="B108" s="79" t="s">
        <v>32</v>
      </c>
      <c r="C108" s="475">
        <v>228</v>
      </c>
    </row>
    <row r="109" spans="1:8" x14ac:dyDescent="0.25">
      <c r="B109" s="79" t="s">
        <v>1218</v>
      </c>
      <c r="C109" s="475">
        <v>320</v>
      </c>
      <c r="D109" s="79"/>
    </row>
    <row r="110" spans="1:8" x14ac:dyDescent="0.25">
      <c r="B110" s="79" t="s">
        <v>50</v>
      </c>
      <c r="C110" s="484">
        <v>55.54</v>
      </c>
    </row>
    <row r="111" spans="1:8" s="85" customFormat="1" x14ac:dyDescent="0.25">
      <c r="A111" s="79"/>
      <c r="B111" s="79" t="s">
        <v>14</v>
      </c>
      <c r="C111" s="484">
        <v>186.55</v>
      </c>
      <c r="E111" s="89"/>
      <c r="F111" s="79"/>
      <c r="G111" s="79"/>
    </row>
    <row r="112" spans="1:8" s="85" customFormat="1" x14ac:dyDescent="0.25">
      <c r="A112" s="79"/>
      <c r="B112" s="79" t="s">
        <v>51</v>
      </c>
      <c r="C112" s="475">
        <v>108.77</v>
      </c>
      <c r="E112" s="89"/>
      <c r="F112" s="79"/>
      <c r="G112" s="79"/>
      <c r="H112" s="79"/>
    </row>
    <row r="113" spans="1:9" s="85" customFormat="1" x14ac:dyDescent="0.25">
      <c r="A113" s="79"/>
      <c r="B113" s="79" t="s">
        <v>52</v>
      </c>
      <c r="C113" s="475">
        <v>60</v>
      </c>
      <c r="E113" s="89"/>
      <c r="F113" s="79"/>
      <c r="G113" s="79"/>
      <c r="H113" s="79"/>
    </row>
    <row r="114" spans="1:9" s="85" customFormat="1" x14ac:dyDescent="0.25">
      <c r="A114" s="79"/>
      <c r="B114" s="867" t="s">
        <v>53</v>
      </c>
      <c r="C114" s="475">
        <v>313.88</v>
      </c>
      <c r="D114" s="89"/>
      <c r="E114" s="89"/>
      <c r="F114" s="79"/>
      <c r="G114" s="79"/>
      <c r="H114" s="79"/>
    </row>
    <row r="115" spans="1:9" s="85" customFormat="1" x14ac:dyDescent="0.25">
      <c r="A115" s="79"/>
      <c r="B115" s="79" t="s">
        <v>1232</v>
      </c>
      <c r="C115" s="475">
        <v>568.53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56</v>
      </c>
      <c r="C116" s="475">
        <v>76.44</v>
      </c>
      <c r="E116" s="89"/>
      <c r="F116" s="79"/>
      <c r="G116" s="79"/>
      <c r="H116" s="79"/>
    </row>
    <row r="117" spans="1:9" s="85" customFormat="1" x14ac:dyDescent="0.25">
      <c r="A117" s="79"/>
      <c r="B117" s="79" t="s">
        <v>910</v>
      </c>
      <c r="C117" s="475">
        <v>307.68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418</v>
      </c>
      <c r="C118" s="475"/>
      <c r="D118" s="79"/>
      <c r="E118" s="89"/>
      <c r="F118" s="79"/>
      <c r="G118" s="79"/>
      <c r="H118" s="79"/>
    </row>
    <row r="119" spans="1:9" x14ac:dyDescent="0.25">
      <c r="B119" s="79" t="s">
        <v>419</v>
      </c>
      <c r="C119" s="475">
        <v>502.24</v>
      </c>
    </row>
    <row r="120" spans="1:9" x14ac:dyDescent="0.25">
      <c r="B120" s="79" t="s">
        <v>911</v>
      </c>
      <c r="C120" s="475"/>
    </row>
    <row r="122" spans="1:9" x14ac:dyDescent="0.25">
      <c r="B122" s="79" t="s">
        <v>486</v>
      </c>
      <c r="C122" s="475">
        <f>G122/I122</f>
        <v>95.721000000000004</v>
      </c>
      <c r="E122" s="224" t="s">
        <v>487</v>
      </c>
      <c r="F122" s="224"/>
      <c r="G122" s="216">
        <v>2871.63</v>
      </c>
      <c r="H122" s="518" t="s">
        <v>488</v>
      </c>
      <c r="I122" s="85">
        <v>30</v>
      </c>
    </row>
    <row r="133" spans="3:8" x14ac:dyDescent="0.25">
      <c r="C133" s="79"/>
      <c r="D133" s="79"/>
      <c r="E133" s="79"/>
      <c r="H133" s="216"/>
    </row>
    <row r="134" spans="3:8" x14ac:dyDescent="0.25">
      <c r="C134" s="79"/>
      <c r="D134" s="79"/>
      <c r="E134" s="79"/>
      <c r="H134" s="216"/>
    </row>
    <row r="135" spans="3:8" x14ac:dyDescent="0.25">
      <c r="C135" s="79"/>
      <c r="D135" s="79"/>
      <c r="E135" s="79"/>
      <c r="F135" s="216"/>
      <c r="H135" s="216"/>
    </row>
    <row r="136" spans="3:8" x14ac:dyDescent="0.25">
      <c r="C136" s="79"/>
      <c r="D136" s="79"/>
      <c r="E136" s="79"/>
      <c r="F136" s="216"/>
      <c r="H136" s="216"/>
    </row>
    <row r="137" spans="3:8" x14ac:dyDescent="0.25">
      <c r="C137" s="79"/>
      <c r="D137" s="79"/>
      <c r="E137" s="79"/>
      <c r="F137" s="216"/>
    </row>
    <row r="138" spans="3:8" x14ac:dyDescent="0.25">
      <c r="C138" s="79"/>
      <c r="D138" s="79"/>
      <c r="E138" s="79"/>
      <c r="H138" s="216"/>
    </row>
    <row r="140" spans="3:8" x14ac:dyDescent="0.25">
      <c r="C140" s="79"/>
      <c r="D140" s="79"/>
      <c r="E140" s="79"/>
      <c r="H140" s="629"/>
    </row>
    <row r="146" spans="3:8" x14ac:dyDescent="0.25">
      <c r="C146" s="79"/>
      <c r="D146" s="79"/>
      <c r="E146" s="79"/>
      <c r="H146" s="216"/>
    </row>
    <row r="147" spans="3:8" x14ac:dyDescent="0.25">
      <c r="C147" s="79"/>
      <c r="D147" s="79"/>
      <c r="E147" s="79"/>
      <c r="H147" s="216"/>
    </row>
    <row r="148" spans="3:8" x14ac:dyDescent="0.25">
      <c r="C148" s="79"/>
      <c r="D148" s="79"/>
      <c r="E148" s="79"/>
      <c r="H148" s="216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</sheetData>
  <autoFilter ref="A2:H106" xr:uid="{00000000-0009-0000-0000-00002E000000}"/>
  <mergeCells count="10">
    <mergeCell ref="A105:D105"/>
    <mergeCell ref="A106:D10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Plan53"/>
  <dimension ref="A1:I141"/>
  <sheetViews>
    <sheetView zoomScale="85" zoomScaleNormal="85" workbookViewId="0">
      <pane ySplit="4" topLeftCell="A68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1302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42491</v>
      </c>
      <c r="B5" s="369" t="s">
        <v>10</v>
      </c>
      <c r="C5" s="370"/>
      <c r="D5" s="207"/>
      <c r="E5" s="179"/>
      <c r="F5" s="933">
        <f>'Abril-16'!F106</f>
        <v>165.76300000000265</v>
      </c>
      <c r="G5" s="163"/>
      <c r="H5" s="933">
        <f>'Abril-16'!H106</f>
        <v>1415.47</v>
      </c>
    </row>
    <row r="6" spans="1:8" s="224" customFormat="1" x14ac:dyDescent="0.25">
      <c r="A6" s="215">
        <v>42491</v>
      </c>
      <c r="B6" s="348" t="s">
        <v>11</v>
      </c>
      <c r="C6" s="351"/>
      <c r="D6" s="248"/>
      <c r="E6" s="250">
        <v>9</v>
      </c>
      <c r="F6" s="1473"/>
      <c r="G6" s="252"/>
      <c r="H6" s="1473"/>
    </row>
    <row r="7" spans="1:8" s="224" customFormat="1" x14ac:dyDescent="0.25">
      <c r="A7" s="215">
        <v>42491</v>
      </c>
      <c r="B7" s="349" t="s">
        <v>32</v>
      </c>
      <c r="C7" s="350" t="s">
        <v>12</v>
      </c>
      <c r="D7" s="141" t="s">
        <v>13</v>
      </c>
      <c r="E7" s="97">
        <v>12</v>
      </c>
      <c r="F7" s="946"/>
      <c r="G7" s="97"/>
      <c r="H7" s="946"/>
    </row>
    <row r="8" spans="1:8" s="224" customFormat="1" x14ac:dyDescent="0.25">
      <c r="A8" s="215">
        <v>42491</v>
      </c>
      <c r="B8" s="862" t="s">
        <v>256</v>
      </c>
      <c r="C8" s="879"/>
      <c r="D8" s="1475"/>
      <c r="E8" s="97"/>
      <c r="F8" s="946">
        <v>215.47</v>
      </c>
      <c r="G8" s="97">
        <v>215.47</v>
      </c>
      <c r="H8" s="1473"/>
    </row>
    <row r="9" spans="1:8" s="224" customFormat="1" x14ac:dyDescent="0.25">
      <c r="A9" s="215">
        <v>42491</v>
      </c>
      <c r="B9" s="882" t="s">
        <v>1303</v>
      </c>
      <c r="C9" s="879" t="s">
        <v>12</v>
      </c>
      <c r="D9" s="887" t="s">
        <v>13</v>
      </c>
      <c r="E9" s="97">
        <v>150</v>
      </c>
      <c r="F9" s="946"/>
      <c r="G9" s="97"/>
      <c r="H9" s="1473"/>
    </row>
    <row r="10" spans="1:8" s="224" customFormat="1" x14ac:dyDescent="0.25">
      <c r="A10" s="215">
        <v>42491</v>
      </c>
      <c r="B10" s="862" t="s">
        <v>14</v>
      </c>
      <c r="C10" s="879" t="s">
        <v>12</v>
      </c>
      <c r="D10" s="1475" t="s">
        <v>13</v>
      </c>
      <c r="E10" s="97">
        <v>13.77</v>
      </c>
      <c r="F10" s="946"/>
      <c r="G10" s="97"/>
      <c r="H10" s="1473"/>
    </row>
    <row r="11" spans="1:8" s="224" customFormat="1" x14ac:dyDescent="0.25">
      <c r="A11" s="215">
        <v>42492</v>
      </c>
      <c r="B11" s="862" t="s">
        <v>256</v>
      </c>
      <c r="C11" s="879"/>
      <c r="D11" s="1475"/>
      <c r="E11" s="97"/>
      <c r="F11" s="946">
        <v>700</v>
      </c>
      <c r="G11" s="97">
        <v>700</v>
      </c>
      <c r="H11" s="1473"/>
    </row>
    <row r="12" spans="1:8" s="224" customFormat="1" ht="15.75" customHeight="1" x14ac:dyDescent="0.25">
      <c r="A12" s="215">
        <v>42492</v>
      </c>
      <c r="B12" s="862" t="s">
        <v>1304</v>
      </c>
      <c r="C12" s="350" t="s">
        <v>12</v>
      </c>
      <c r="D12" s="141" t="s">
        <v>13</v>
      </c>
      <c r="E12" s="97">
        <v>417.95</v>
      </c>
      <c r="F12" s="1473"/>
      <c r="G12" s="252"/>
      <c r="H12" s="946"/>
    </row>
    <row r="13" spans="1:8" s="224" customFormat="1" x14ac:dyDescent="0.25">
      <c r="A13" s="215">
        <v>42492</v>
      </c>
      <c r="B13" s="349" t="s">
        <v>32</v>
      </c>
      <c r="C13" s="350" t="s">
        <v>12</v>
      </c>
      <c r="D13" s="141" t="s">
        <v>13</v>
      </c>
      <c r="E13" s="97">
        <v>12</v>
      </c>
      <c r="F13" s="946"/>
      <c r="G13" s="97"/>
      <c r="H13" s="1473"/>
    </row>
    <row r="14" spans="1:8" s="224" customFormat="1" x14ac:dyDescent="0.25">
      <c r="A14" s="215">
        <v>42493</v>
      </c>
      <c r="B14" s="882" t="s">
        <v>1305</v>
      </c>
      <c r="C14" s="879" t="s">
        <v>12</v>
      </c>
      <c r="D14" s="887" t="s">
        <v>13</v>
      </c>
      <c r="E14" s="97">
        <v>250</v>
      </c>
      <c r="F14" s="946"/>
      <c r="G14" s="97"/>
      <c r="H14" s="1473"/>
    </row>
    <row r="15" spans="1:8" s="224" customFormat="1" ht="15.75" customHeight="1" x14ac:dyDescent="0.25">
      <c r="A15" s="215">
        <v>42493</v>
      </c>
      <c r="B15" s="862" t="s">
        <v>138</v>
      </c>
      <c r="C15" s="350" t="s">
        <v>19</v>
      </c>
      <c r="D15" s="141" t="s">
        <v>13</v>
      </c>
      <c r="E15" s="97">
        <v>40</v>
      </c>
      <c r="F15" s="1473"/>
      <c r="G15" s="252"/>
      <c r="H15" s="946"/>
    </row>
    <row r="16" spans="1:8" s="224" customFormat="1" x14ac:dyDescent="0.25">
      <c r="A16" s="215">
        <v>42493</v>
      </c>
      <c r="B16" s="349" t="s">
        <v>1306</v>
      </c>
      <c r="C16" s="350" t="s">
        <v>19</v>
      </c>
      <c r="D16" s="141" t="s">
        <v>13</v>
      </c>
      <c r="E16" s="97">
        <v>41.78</v>
      </c>
      <c r="F16" s="946"/>
      <c r="G16" s="97"/>
      <c r="H16" s="1473"/>
    </row>
    <row r="17" spans="1:8" s="224" customFormat="1" x14ac:dyDescent="0.25">
      <c r="A17" s="215">
        <v>42493</v>
      </c>
      <c r="B17" s="349" t="s">
        <v>32</v>
      </c>
      <c r="C17" s="350" t="s">
        <v>12</v>
      </c>
      <c r="D17" s="141" t="s">
        <v>13</v>
      </c>
      <c r="E17" s="97">
        <v>12</v>
      </c>
      <c r="F17" s="946"/>
      <c r="G17" s="97"/>
      <c r="H17" s="1473"/>
    </row>
    <row r="18" spans="1:8" s="224" customFormat="1" x14ac:dyDescent="0.25">
      <c r="A18" s="215">
        <v>42494</v>
      </c>
      <c r="B18" s="349" t="s">
        <v>32</v>
      </c>
      <c r="C18" s="350" t="s">
        <v>12</v>
      </c>
      <c r="D18" s="141" t="s">
        <v>13</v>
      </c>
      <c r="E18" s="97">
        <v>12</v>
      </c>
      <c r="F18" s="946"/>
      <c r="G18" s="97"/>
      <c r="H18" s="1473"/>
    </row>
    <row r="19" spans="1:8" s="224" customFormat="1" x14ac:dyDescent="0.25">
      <c r="A19" s="215">
        <v>42494</v>
      </c>
      <c r="B19" s="349" t="s">
        <v>14</v>
      </c>
      <c r="C19" s="350" t="s">
        <v>12</v>
      </c>
      <c r="D19" s="141" t="s">
        <v>13</v>
      </c>
      <c r="E19" s="97">
        <v>5.5</v>
      </c>
      <c r="F19" s="946"/>
      <c r="G19" s="97"/>
      <c r="H19" s="1473"/>
    </row>
    <row r="20" spans="1:8" s="224" customFormat="1" x14ac:dyDescent="0.25">
      <c r="A20" s="215">
        <v>42495</v>
      </c>
      <c r="B20" s="349" t="s">
        <v>32</v>
      </c>
      <c r="C20" s="350" t="s">
        <v>12</v>
      </c>
      <c r="D20" s="141" t="s">
        <v>13</v>
      </c>
      <c r="E20" s="97">
        <v>12</v>
      </c>
      <c r="F20" s="946"/>
      <c r="G20" s="97"/>
      <c r="H20" s="1473"/>
    </row>
    <row r="21" spans="1:8" s="224" customFormat="1" x14ac:dyDescent="0.25">
      <c r="A21" s="215">
        <v>42495</v>
      </c>
      <c r="B21" s="349" t="s">
        <v>134</v>
      </c>
      <c r="C21" s="350" t="s">
        <v>12</v>
      </c>
      <c r="D21" s="141" t="s">
        <v>13</v>
      </c>
      <c r="E21" s="97">
        <v>8</v>
      </c>
      <c r="F21" s="946"/>
      <c r="G21" s="97"/>
      <c r="H21" s="1473"/>
    </row>
    <row r="22" spans="1:8" s="224" customFormat="1" x14ac:dyDescent="0.25">
      <c r="A22" s="215">
        <v>42495</v>
      </c>
      <c r="B22" s="349" t="s">
        <v>311</v>
      </c>
      <c r="C22" s="350"/>
      <c r="D22" s="141"/>
      <c r="E22" s="97"/>
      <c r="F22" s="946"/>
      <c r="G22" s="97"/>
      <c r="H22" s="946">
        <v>3.37</v>
      </c>
    </row>
    <row r="23" spans="1:8" s="224" customFormat="1" x14ac:dyDescent="0.25">
      <c r="A23" s="215">
        <v>42496</v>
      </c>
      <c r="B23" s="349" t="s">
        <v>32</v>
      </c>
      <c r="C23" s="350" t="s">
        <v>12</v>
      </c>
      <c r="D23" s="141" t="s">
        <v>13</v>
      </c>
      <c r="E23" s="97">
        <v>12</v>
      </c>
      <c r="F23" s="946"/>
      <c r="G23" s="97"/>
      <c r="H23" s="1473"/>
    </row>
    <row r="24" spans="1:8" x14ac:dyDescent="0.25">
      <c r="A24" s="215">
        <v>42496</v>
      </c>
      <c r="B24" s="349" t="s">
        <v>260</v>
      </c>
      <c r="C24" s="350"/>
      <c r="D24" s="141"/>
      <c r="E24" s="97">
        <v>610</v>
      </c>
      <c r="F24" s="946"/>
      <c r="G24" s="95"/>
      <c r="H24" s="946">
        <v>610</v>
      </c>
    </row>
    <row r="25" spans="1:8" s="224" customFormat="1" ht="15.75" customHeight="1" x14ac:dyDescent="0.25">
      <c r="A25" s="215">
        <v>42496</v>
      </c>
      <c r="B25" s="349" t="s">
        <v>1307</v>
      </c>
      <c r="C25" s="879" t="s">
        <v>12</v>
      </c>
      <c r="D25" s="983" t="s">
        <v>25</v>
      </c>
      <c r="E25" s="250"/>
      <c r="F25" s="1473">
        <v>1548.82</v>
      </c>
      <c r="G25" s="252"/>
      <c r="H25" s="946"/>
    </row>
    <row r="26" spans="1:8" s="224" customFormat="1" ht="15.75" customHeight="1" x14ac:dyDescent="0.25">
      <c r="A26" s="215">
        <v>42496</v>
      </c>
      <c r="B26" s="882" t="s">
        <v>1308</v>
      </c>
      <c r="C26" s="350" t="s">
        <v>12</v>
      </c>
      <c r="D26" s="141" t="s">
        <v>13</v>
      </c>
      <c r="E26" s="97">
        <v>64.44</v>
      </c>
      <c r="F26" s="1473"/>
      <c r="G26" s="252"/>
      <c r="H26" s="946"/>
    </row>
    <row r="27" spans="1:8" s="224" customFormat="1" x14ac:dyDescent="0.25">
      <c r="A27" s="215">
        <v>42496</v>
      </c>
      <c r="B27" s="862" t="s">
        <v>1091</v>
      </c>
      <c r="C27" s="879" t="s">
        <v>12</v>
      </c>
      <c r="D27" s="887" t="s">
        <v>15</v>
      </c>
      <c r="E27" s="250">
        <v>200</v>
      </c>
      <c r="F27" s="946"/>
      <c r="G27" s="97"/>
      <c r="H27" s="1473"/>
    </row>
    <row r="28" spans="1:8" x14ac:dyDescent="0.25">
      <c r="A28" s="215">
        <v>42496</v>
      </c>
      <c r="B28" s="862" t="s">
        <v>52</v>
      </c>
      <c r="C28" s="879" t="s">
        <v>12</v>
      </c>
      <c r="D28" s="1475" t="s">
        <v>15</v>
      </c>
      <c r="E28" s="97">
        <v>60</v>
      </c>
      <c r="F28" s="946"/>
      <c r="G28" s="97"/>
      <c r="H28" s="946"/>
    </row>
    <row r="29" spans="1:8" x14ac:dyDescent="0.25">
      <c r="A29" s="215">
        <v>42496</v>
      </c>
      <c r="B29" s="862" t="s">
        <v>138</v>
      </c>
      <c r="C29" s="879" t="s">
        <v>19</v>
      </c>
      <c r="D29" s="1475" t="s">
        <v>13</v>
      </c>
      <c r="E29" s="97">
        <v>50</v>
      </c>
      <c r="F29" s="946"/>
      <c r="G29" s="97"/>
      <c r="H29" s="946"/>
    </row>
    <row r="30" spans="1:8" x14ac:dyDescent="0.25">
      <c r="A30" s="215">
        <v>42496</v>
      </c>
      <c r="B30" s="862" t="s">
        <v>1306</v>
      </c>
      <c r="C30" s="879" t="s">
        <v>19</v>
      </c>
      <c r="D30" s="1475" t="s">
        <v>13</v>
      </c>
      <c r="E30" s="97">
        <v>42</v>
      </c>
      <c r="F30" s="946"/>
      <c r="G30" s="97"/>
      <c r="H30" s="946"/>
    </row>
    <row r="31" spans="1:8" x14ac:dyDescent="0.25">
      <c r="A31" s="215">
        <v>42496</v>
      </c>
      <c r="B31" s="862" t="s">
        <v>14</v>
      </c>
      <c r="C31" s="879" t="s">
        <v>19</v>
      </c>
      <c r="D31" s="1475" t="s">
        <v>13</v>
      </c>
      <c r="E31" s="97">
        <v>19.22</v>
      </c>
      <c r="F31" s="946"/>
      <c r="G31" s="97"/>
      <c r="H31" s="946"/>
    </row>
    <row r="32" spans="1:8" s="224" customFormat="1" x14ac:dyDescent="0.25">
      <c r="A32" s="215">
        <v>42497</v>
      </c>
      <c r="B32" s="862" t="s">
        <v>32</v>
      </c>
      <c r="C32" s="879" t="s">
        <v>12</v>
      </c>
      <c r="D32" s="887" t="s">
        <v>13</v>
      </c>
      <c r="E32" s="250">
        <v>13.5</v>
      </c>
      <c r="F32" s="946"/>
      <c r="G32" s="97"/>
      <c r="H32" s="1473"/>
    </row>
    <row r="33" spans="1:8" s="224" customFormat="1" x14ac:dyDescent="0.25">
      <c r="A33" s="215">
        <v>42497</v>
      </c>
      <c r="B33" s="862" t="s">
        <v>14</v>
      </c>
      <c r="C33" s="879" t="s">
        <v>12</v>
      </c>
      <c r="D33" s="887" t="s">
        <v>13</v>
      </c>
      <c r="E33" s="250">
        <v>12.68</v>
      </c>
      <c r="F33" s="946"/>
      <c r="G33" s="97"/>
      <c r="H33" s="1473"/>
    </row>
    <row r="34" spans="1:8" s="224" customFormat="1" x14ac:dyDescent="0.25">
      <c r="A34" s="215">
        <v>42497</v>
      </c>
      <c r="B34" s="862" t="s">
        <v>914</v>
      </c>
      <c r="C34" s="879" t="s">
        <v>12</v>
      </c>
      <c r="D34" s="887" t="s">
        <v>13</v>
      </c>
      <c r="E34" s="250">
        <v>11.64</v>
      </c>
      <c r="F34" s="946"/>
      <c r="G34" s="97"/>
      <c r="H34" s="1473"/>
    </row>
    <row r="35" spans="1:8" s="224" customFormat="1" x14ac:dyDescent="0.25">
      <c r="A35" s="215">
        <v>42498</v>
      </c>
      <c r="B35" s="862" t="s">
        <v>14</v>
      </c>
      <c r="C35" s="879" t="s">
        <v>12</v>
      </c>
      <c r="D35" s="887" t="s">
        <v>13</v>
      </c>
      <c r="E35" s="250">
        <v>10.36</v>
      </c>
      <c r="F35" s="946"/>
      <c r="G35" s="97"/>
      <c r="H35" s="1473"/>
    </row>
    <row r="36" spans="1:8" s="224" customFormat="1" x14ac:dyDescent="0.25">
      <c r="A36" s="215">
        <v>42498</v>
      </c>
      <c r="B36" s="862" t="s">
        <v>1309</v>
      </c>
      <c r="C36" s="879" t="s">
        <v>12</v>
      </c>
      <c r="D36" s="887" t="s">
        <v>15</v>
      </c>
      <c r="E36" s="250">
        <v>50</v>
      </c>
      <c r="F36" s="946"/>
      <c r="G36" s="97"/>
      <c r="H36" s="1473"/>
    </row>
    <row r="37" spans="1:8" s="224" customFormat="1" x14ac:dyDescent="0.25">
      <c r="A37" s="215">
        <v>42499</v>
      </c>
      <c r="B37" s="349" t="s">
        <v>32</v>
      </c>
      <c r="C37" s="350" t="s">
        <v>12</v>
      </c>
      <c r="D37" s="141" t="s">
        <v>13</v>
      </c>
      <c r="E37" s="97">
        <v>12</v>
      </c>
      <c r="F37" s="946"/>
      <c r="G37" s="97"/>
      <c r="H37" s="1473"/>
    </row>
    <row r="38" spans="1:8" s="224" customFormat="1" x14ac:dyDescent="0.25">
      <c r="A38" s="215">
        <v>42500</v>
      </c>
      <c r="B38" s="349" t="s">
        <v>32</v>
      </c>
      <c r="C38" s="350" t="s">
        <v>12</v>
      </c>
      <c r="D38" s="141" t="s">
        <v>13</v>
      </c>
      <c r="E38" s="97">
        <v>12</v>
      </c>
      <c r="F38" s="946"/>
      <c r="G38" s="97"/>
      <c r="H38" s="1473"/>
    </row>
    <row r="39" spans="1:8" s="224" customFormat="1" x14ac:dyDescent="0.25">
      <c r="A39" s="215">
        <v>42501</v>
      </c>
      <c r="B39" s="349" t="s">
        <v>32</v>
      </c>
      <c r="C39" s="350" t="s">
        <v>12</v>
      </c>
      <c r="D39" s="141" t="s">
        <v>13</v>
      </c>
      <c r="E39" s="97">
        <v>12</v>
      </c>
      <c r="F39" s="946"/>
      <c r="G39" s="97"/>
      <c r="H39" s="1473"/>
    </row>
    <row r="40" spans="1:8" s="224" customFormat="1" x14ac:dyDescent="0.25">
      <c r="A40" s="215">
        <v>42501</v>
      </c>
      <c r="B40" s="349" t="s">
        <v>1274</v>
      </c>
      <c r="C40" s="350" t="s">
        <v>12</v>
      </c>
      <c r="D40" s="141" t="s">
        <v>13</v>
      </c>
      <c r="E40" s="97">
        <v>40</v>
      </c>
      <c r="F40" s="946"/>
      <c r="G40" s="97"/>
      <c r="H40" s="1473"/>
    </row>
    <row r="41" spans="1:8" s="224" customFormat="1" x14ac:dyDescent="0.25">
      <c r="A41" s="215">
        <v>42502</v>
      </c>
      <c r="B41" s="349" t="s">
        <v>32</v>
      </c>
      <c r="C41" s="350" t="s">
        <v>12</v>
      </c>
      <c r="D41" s="141" t="s">
        <v>13</v>
      </c>
      <c r="E41" s="97">
        <v>12</v>
      </c>
      <c r="F41" s="946"/>
      <c r="G41" s="97"/>
      <c r="H41" s="1473"/>
    </row>
    <row r="42" spans="1:8" s="224" customFormat="1" x14ac:dyDescent="0.25">
      <c r="A42" s="215">
        <v>42502</v>
      </c>
      <c r="B42" s="349" t="s">
        <v>138</v>
      </c>
      <c r="C42" s="350" t="s">
        <v>19</v>
      </c>
      <c r="D42" s="141" t="s">
        <v>13</v>
      </c>
      <c r="E42" s="97">
        <v>70</v>
      </c>
      <c r="F42" s="946"/>
      <c r="G42" s="97"/>
      <c r="H42" s="1473"/>
    </row>
    <row r="43" spans="1:8" s="224" customFormat="1" x14ac:dyDescent="0.25">
      <c r="A43" s="215">
        <v>42502</v>
      </c>
      <c r="B43" s="349" t="s">
        <v>1310</v>
      </c>
      <c r="C43" s="350" t="s">
        <v>19</v>
      </c>
      <c r="D43" s="141" t="s">
        <v>13</v>
      </c>
      <c r="E43" s="97">
        <v>62.67</v>
      </c>
      <c r="F43" s="946"/>
      <c r="G43" s="97"/>
      <c r="H43" s="1473"/>
    </row>
    <row r="44" spans="1:8" s="224" customFormat="1" x14ac:dyDescent="0.25">
      <c r="A44" s="215">
        <v>42502</v>
      </c>
      <c r="B44" s="349" t="s">
        <v>134</v>
      </c>
      <c r="C44" s="350" t="s">
        <v>12</v>
      </c>
      <c r="D44" s="141" t="s">
        <v>15</v>
      </c>
      <c r="E44" s="97">
        <v>8</v>
      </c>
      <c r="F44" s="946"/>
      <c r="G44" s="97"/>
      <c r="H44" s="1473"/>
    </row>
    <row r="45" spans="1:8" s="224" customFormat="1" x14ac:dyDescent="0.25">
      <c r="A45" s="215">
        <v>42503</v>
      </c>
      <c r="B45" s="349" t="s">
        <v>32</v>
      </c>
      <c r="C45" s="350" t="s">
        <v>12</v>
      </c>
      <c r="D45" s="141" t="s">
        <v>13</v>
      </c>
      <c r="E45" s="97">
        <v>12</v>
      </c>
      <c r="F45" s="946"/>
      <c r="G45" s="97"/>
      <c r="H45" s="1473"/>
    </row>
    <row r="46" spans="1:8" s="224" customFormat="1" x14ac:dyDescent="0.25">
      <c r="A46" s="215">
        <v>42503</v>
      </c>
      <c r="B46" s="349" t="s">
        <v>134</v>
      </c>
      <c r="C46" s="350" t="s">
        <v>12</v>
      </c>
      <c r="D46" s="141" t="s">
        <v>13</v>
      </c>
      <c r="E46" s="97">
        <v>6.27</v>
      </c>
      <c r="F46" s="946"/>
      <c r="G46" s="97"/>
      <c r="H46" s="1473"/>
    </row>
    <row r="47" spans="1:8" x14ac:dyDescent="0.25">
      <c r="A47" s="215">
        <v>42504</v>
      </c>
      <c r="B47" s="882" t="s">
        <v>14</v>
      </c>
      <c r="C47" s="879" t="s">
        <v>12</v>
      </c>
      <c r="D47" s="887" t="s">
        <v>13</v>
      </c>
      <c r="E47" s="97">
        <v>8.25</v>
      </c>
      <c r="F47" s="946"/>
      <c r="G47" s="95"/>
      <c r="H47" s="946"/>
    </row>
    <row r="48" spans="1:8" x14ac:dyDescent="0.25">
      <c r="A48" s="215">
        <v>42504</v>
      </c>
      <c r="B48" s="882" t="s">
        <v>14</v>
      </c>
      <c r="C48" s="879" t="s">
        <v>12</v>
      </c>
      <c r="D48" s="887" t="s">
        <v>13</v>
      </c>
      <c r="E48" s="97">
        <v>9.3699999999999992</v>
      </c>
      <c r="F48" s="946"/>
      <c r="G48" s="95"/>
      <c r="H48" s="946"/>
    </row>
    <row r="49" spans="1:8" x14ac:dyDescent="0.25">
      <c r="A49" s="215">
        <v>42504</v>
      </c>
      <c r="B49" s="882" t="s">
        <v>134</v>
      </c>
      <c r="C49" s="879" t="s">
        <v>12</v>
      </c>
      <c r="D49" s="887" t="s">
        <v>13</v>
      </c>
      <c r="E49" s="97">
        <v>12.54</v>
      </c>
      <c r="F49" s="946"/>
      <c r="G49" s="95"/>
      <c r="H49" s="946"/>
    </row>
    <row r="50" spans="1:8" x14ac:dyDescent="0.25">
      <c r="A50" s="215">
        <v>42505</v>
      </c>
      <c r="B50" s="882" t="s">
        <v>134</v>
      </c>
      <c r="C50" s="879" t="s">
        <v>12</v>
      </c>
      <c r="D50" s="887" t="s">
        <v>15</v>
      </c>
      <c r="E50" s="97">
        <v>7.5</v>
      </c>
      <c r="F50" s="946"/>
      <c r="G50" s="95"/>
      <c r="H50" s="946"/>
    </row>
    <row r="51" spans="1:8" x14ac:dyDescent="0.25">
      <c r="A51" s="215">
        <v>42506</v>
      </c>
      <c r="B51" s="349" t="s">
        <v>32</v>
      </c>
      <c r="C51" s="350" t="s">
        <v>12</v>
      </c>
      <c r="D51" s="141" t="s">
        <v>13</v>
      </c>
      <c r="E51" s="97">
        <v>12</v>
      </c>
      <c r="F51" s="946"/>
      <c r="G51" s="95"/>
      <c r="H51" s="946"/>
    </row>
    <row r="52" spans="1:8" x14ac:dyDescent="0.25">
      <c r="A52" s="215">
        <v>42506</v>
      </c>
      <c r="B52" s="349" t="s">
        <v>914</v>
      </c>
      <c r="C52" s="350" t="s">
        <v>12</v>
      </c>
      <c r="D52" s="141" t="s">
        <v>13</v>
      </c>
      <c r="E52" s="97">
        <v>11.12</v>
      </c>
      <c r="F52" s="946"/>
      <c r="G52" s="95"/>
      <c r="H52" s="946"/>
    </row>
    <row r="53" spans="1:8" x14ac:dyDescent="0.25">
      <c r="A53" s="215">
        <v>42506</v>
      </c>
      <c r="B53" s="349" t="s">
        <v>14</v>
      </c>
      <c r="C53" s="350" t="s">
        <v>12</v>
      </c>
      <c r="D53" s="141" t="s">
        <v>13</v>
      </c>
      <c r="E53" s="97">
        <v>10.59</v>
      </c>
      <c r="F53" s="946"/>
      <c r="G53" s="95"/>
      <c r="H53" s="946"/>
    </row>
    <row r="54" spans="1:8" x14ac:dyDescent="0.25">
      <c r="A54" s="215">
        <v>42507</v>
      </c>
      <c r="B54" s="349" t="s">
        <v>32</v>
      </c>
      <c r="C54" s="350" t="s">
        <v>12</v>
      </c>
      <c r="D54" s="141" t="s">
        <v>13</v>
      </c>
      <c r="E54" s="97">
        <v>12</v>
      </c>
      <c r="F54" s="946"/>
      <c r="G54" s="95"/>
      <c r="H54" s="946"/>
    </row>
    <row r="55" spans="1:8" x14ac:dyDescent="0.25">
      <c r="A55" s="215">
        <v>42507</v>
      </c>
      <c r="B55" s="882" t="s">
        <v>134</v>
      </c>
      <c r="C55" s="879" t="s">
        <v>12</v>
      </c>
      <c r="D55" s="887" t="s">
        <v>13</v>
      </c>
      <c r="E55" s="97">
        <v>15.12</v>
      </c>
      <c r="F55" s="946"/>
      <c r="G55" s="95"/>
      <c r="H55" s="946"/>
    </row>
    <row r="56" spans="1:8" s="224" customFormat="1" x14ac:dyDescent="0.25">
      <c r="A56" s="215">
        <v>42508</v>
      </c>
      <c r="B56" s="349" t="s">
        <v>32</v>
      </c>
      <c r="C56" s="350" t="s">
        <v>12</v>
      </c>
      <c r="D56" s="141" t="s">
        <v>13</v>
      </c>
      <c r="E56" s="97">
        <v>12</v>
      </c>
      <c r="F56" s="946"/>
      <c r="G56" s="97"/>
      <c r="H56" s="1473"/>
    </row>
    <row r="57" spans="1:8" s="224" customFormat="1" x14ac:dyDescent="0.25">
      <c r="A57" s="215">
        <v>42508</v>
      </c>
      <c r="B57" s="349" t="s">
        <v>1311</v>
      </c>
      <c r="C57" s="350" t="s">
        <v>19</v>
      </c>
      <c r="D57" s="141" t="s">
        <v>13</v>
      </c>
      <c r="E57" s="97">
        <v>45.51</v>
      </c>
      <c r="F57" s="946"/>
      <c r="G57" s="97"/>
      <c r="H57" s="1473"/>
    </row>
    <row r="58" spans="1:8" s="224" customFormat="1" x14ac:dyDescent="0.25">
      <c r="A58" s="215">
        <v>42509</v>
      </c>
      <c r="B58" s="349" t="s">
        <v>32</v>
      </c>
      <c r="C58" s="350" t="s">
        <v>12</v>
      </c>
      <c r="D58" s="141" t="s">
        <v>13</v>
      </c>
      <c r="E58" s="97">
        <v>12</v>
      </c>
      <c r="F58" s="946"/>
      <c r="G58" s="97"/>
      <c r="H58" s="1473"/>
    </row>
    <row r="59" spans="1:8" s="224" customFormat="1" x14ac:dyDescent="0.25">
      <c r="A59" s="215">
        <v>42509</v>
      </c>
      <c r="B59" s="349" t="s">
        <v>138</v>
      </c>
      <c r="C59" s="350" t="s">
        <v>12</v>
      </c>
      <c r="D59" s="141" t="s">
        <v>13</v>
      </c>
      <c r="E59" s="97">
        <v>40</v>
      </c>
      <c r="F59" s="946"/>
      <c r="G59" s="97"/>
      <c r="H59" s="1473"/>
    </row>
    <row r="60" spans="1:8" s="224" customFormat="1" x14ac:dyDescent="0.25">
      <c r="A60" s="215">
        <v>42509</v>
      </c>
      <c r="B60" s="349" t="s">
        <v>14</v>
      </c>
      <c r="C60" s="350" t="s">
        <v>12</v>
      </c>
      <c r="D60" s="141" t="s">
        <v>13</v>
      </c>
      <c r="E60" s="97">
        <v>6.27</v>
      </c>
      <c r="F60" s="946"/>
      <c r="G60" s="97"/>
      <c r="H60" s="1473"/>
    </row>
    <row r="61" spans="1:8" x14ac:dyDescent="0.25">
      <c r="A61" s="215">
        <v>42510</v>
      </c>
      <c r="B61" s="349" t="s">
        <v>32</v>
      </c>
      <c r="C61" s="350" t="s">
        <v>12</v>
      </c>
      <c r="D61" s="141" t="s">
        <v>13</v>
      </c>
      <c r="E61" s="97">
        <v>12</v>
      </c>
      <c r="F61" s="946"/>
      <c r="G61" s="97"/>
      <c r="H61" s="946"/>
    </row>
    <row r="62" spans="1:8" s="224" customFormat="1" x14ac:dyDescent="0.25">
      <c r="A62" s="215">
        <v>42510</v>
      </c>
      <c r="B62" s="882" t="s">
        <v>1312</v>
      </c>
      <c r="C62" s="879" t="s">
        <v>12</v>
      </c>
      <c r="D62" s="887" t="s">
        <v>25</v>
      </c>
      <c r="E62" s="97"/>
      <c r="F62" s="946">
        <v>1420</v>
      </c>
      <c r="G62" s="95"/>
      <c r="H62" s="1473"/>
    </row>
    <row r="63" spans="1:8" s="224" customFormat="1" x14ac:dyDescent="0.25">
      <c r="A63" s="215">
        <v>42510</v>
      </c>
      <c r="B63" s="882" t="s">
        <v>1313</v>
      </c>
      <c r="C63" s="879" t="s">
        <v>12</v>
      </c>
      <c r="D63" s="887" t="s">
        <v>13</v>
      </c>
      <c r="E63" s="97">
        <v>568.53</v>
      </c>
      <c r="F63" s="946"/>
      <c r="G63" s="95"/>
      <c r="H63" s="1473"/>
    </row>
    <row r="64" spans="1:8" x14ac:dyDescent="0.25">
      <c r="A64" s="215">
        <v>42510</v>
      </c>
      <c r="B64" s="882" t="s">
        <v>1314</v>
      </c>
      <c r="C64" s="879" t="s">
        <v>12</v>
      </c>
      <c r="D64" s="887" t="s">
        <v>13</v>
      </c>
      <c r="E64" s="250">
        <v>41.28</v>
      </c>
      <c r="F64" s="946"/>
      <c r="G64" s="95"/>
      <c r="H64" s="946"/>
    </row>
    <row r="65" spans="1:8" s="224" customFormat="1" x14ac:dyDescent="0.25">
      <c r="A65" s="215">
        <v>42510</v>
      </c>
      <c r="B65" s="349" t="s">
        <v>260</v>
      </c>
      <c r="C65" s="350"/>
      <c r="D65" s="141"/>
      <c r="E65" s="97">
        <v>50</v>
      </c>
      <c r="F65" s="946"/>
      <c r="G65" s="95"/>
      <c r="H65" s="946">
        <v>50</v>
      </c>
    </row>
    <row r="66" spans="1:8" s="224" customFormat="1" x14ac:dyDescent="0.25">
      <c r="A66" s="215">
        <v>42511</v>
      </c>
      <c r="B66" s="882" t="s">
        <v>1315</v>
      </c>
      <c r="C66" s="879" t="s">
        <v>12</v>
      </c>
      <c r="D66" s="887" t="s">
        <v>15</v>
      </c>
      <c r="E66" s="97">
        <v>80</v>
      </c>
      <c r="F66" s="946"/>
      <c r="G66" s="95"/>
      <c r="H66" s="1473"/>
    </row>
    <row r="67" spans="1:8" x14ac:dyDescent="0.25">
      <c r="A67" s="215">
        <v>42512</v>
      </c>
      <c r="B67" s="862" t="s">
        <v>14</v>
      </c>
      <c r="C67" s="879" t="s">
        <v>12</v>
      </c>
      <c r="D67" s="887" t="s">
        <v>13</v>
      </c>
      <c r="E67" s="250">
        <v>3.39</v>
      </c>
      <c r="F67" s="946"/>
      <c r="G67" s="95"/>
      <c r="H67" s="946"/>
    </row>
    <row r="68" spans="1:8" x14ac:dyDescent="0.25">
      <c r="A68" s="215">
        <v>42512</v>
      </c>
      <c r="B68" s="862" t="s">
        <v>914</v>
      </c>
      <c r="C68" s="879" t="s">
        <v>12</v>
      </c>
      <c r="D68" s="887" t="s">
        <v>13</v>
      </c>
      <c r="E68" s="250">
        <v>12.09</v>
      </c>
      <c r="F68" s="946"/>
      <c r="G68" s="95"/>
      <c r="H68" s="946"/>
    </row>
    <row r="69" spans="1:8" x14ac:dyDescent="0.25">
      <c r="A69" s="215">
        <v>42512</v>
      </c>
      <c r="B69" s="862" t="s">
        <v>1274</v>
      </c>
      <c r="C69" s="879" t="s">
        <v>12</v>
      </c>
      <c r="D69" s="887" t="s">
        <v>13</v>
      </c>
      <c r="E69" s="250">
        <v>39.99</v>
      </c>
      <c r="F69" s="946"/>
      <c r="G69" s="95"/>
      <c r="H69" s="946"/>
    </row>
    <row r="70" spans="1:8" x14ac:dyDescent="0.25">
      <c r="A70" s="215">
        <v>42513</v>
      </c>
      <c r="B70" s="349" t="s">
        <v>32</v>
      </c>
      <c r="C70" s="350" t="s">
        <v>12</v>
      </c>
      <c r="D70" s="141" t="s">
        <v>13</v>
      </c>
      <c r="E70" s="97">
        <v>12</v>
      </c>
      <c r="F70" s="946"/>
      <c r="G70" s="95"/>
      <c r="H70" s="946"/>
    </row>
    <row r="71" spans="1:8" x14ac:dyDescent="0.25">
      <c r="A71" s="215">
        <v>42513</v>
      </c>
      <c r="B71" s="349" t="s">
        <v>1316</v>
      </c>
      <c r="C71" s="350" t="s">
        <v>12</v>
      </c>
      <c r="D71" s="141" t="s">
        <v>13</v>
      </c>
      <c r="E71" s="97">
        <v>16.5</v>
      </c>
      <c r="F71" s="946"/>
      <c r="G71" s="95"/>
      <c r="H71" s="946"/>
    </row>
    <row r="72" spans="1:8" x14ac:dyDescent="0.25">
      <c r="A72" s="215">
        <v>42513</v>
      </c>
      <c r="B72" s="349" t="s">
        <v>138</v>
      </c>
      <c r="C72" s="350" t="s">
        <v>12</v>
      </c>
      <c r="D72" s="141" t="s">
        <v>13</v>
      </c>
      <c r="E72" s="97">
        <v>60</v>
      </c>
      <c r="F72" s="946"/>
      <c r="G72" s="95"/>
      <c r="H72" s="946"/>
    </row>
    <row r="73" spans="1:8" x14ac:dyDescent="0.25">
      <c r="A73" s="215">
        <v>42514</v>
      </c>
      <c r="B73" s="862" t="s">
        <v>878</v>
      </c>
      <c r="C73" s="350" t="s">
        <v>12</v>
      </c>
      <c r="D73" s="957" t="s">
        <v>13</v>
      </c>
      <c r="E73" s="250">
        <v>51.9</v>
      </c>
      <c r="F73" s="946"/>
      <c r="G73" s="95"/>
      <c r="H73" s="946"/>
    </row>
    <row r="74" spans="1:8" x14ac:dyDescent="0.25">
      <c r="A74" s="215">
        <v>42514</v>
      </c>
      <c r="B74" s="349" t="s">
        <v>32</v>
      </c>
      <c r="C74" s="350" t="s">
        <v>12</v>
      </c>
      <c r="D74" s="141" t="s">
        <v>13</v>
      </c>
      <c r="E74" s="97">
        <v>12</v>
      </c>
      <c r="F74" s="946"/>
      <c r="G74" s="95"/>
      <c r="H74" s="946"/>
    </row>
    <row r="75" spans="1:8" x14ac:dyDescent="0.25">
      <c r="A75" s="215">
        <v>42514</v>
      </c>
      <c r="B75" s="349" t="s">
        <v>1317</v>
      </c>
      <c r="C75" s="350" t="s">
        <v>12</v>
      </c>
      <c r="D75" s="141" t="s">
        <v>13</v>
      </c>
      <c r="E75" s="97">
        <v>13</v>
      </c>
      <c r="F75" s="946"/>
      <c r="G75" s="95"/>
      <c r="H75" s="946"/>
    </row>
    <row r="76" spans="1:8" x14ac:dyDescent="0.25">
      <c r="A76" s="215">
        <v>42514</v>
      </c>
      <c r="B76" s="349" t="s">
        <v>147</v>
      </c>
      <c r="C76" s="350" t="s">
        <v>12</v>
      </c>
      <c r="D76" s="141" t="s">
        <v>13</v>
      </c>
      <c r="E76" s="97">
        <v>15</v>
      </c>
      <c r="F76" s="946"/>
      <c r="G76" s="95"/>
      <c r="H76" s="946"/>
    </row>
    <row r="77" spans="1:8" x14ac:dyDescent="0.25">
      <c r="A77" s="215">
        <v>42515</v>
      </c>
      <c r="B77" s="349" t="s">
        <v>32</v>
      </c>
      <c r="C77" s="350" t="s">
        <v>12</v>
      </c>
      <c r="D77" s="141" t="s">
        <v>13</v>
      </c>
      <c r="E77" s="97">
        <v>12</v>
      </c>
      <c r="F77" s="946"/>
      <c r="G77" s="95"/>
      <c r="H77" s="946"/>
    </row>
    <row r="78" spans="1:8" s="224" customFormat="1" x14ac:dyDescent="0.25">
      <c r="A78" s="215">
        <v>42516</v>
      </c>
      <c r="B78" s="349" t="s">
        <v>32</v>
      </c>
      <c r="C78" s="350" t="s">
        <v>12</v>
      </c>
      <c r="D78" s="141" t="s">
        <v>13</v>
      </c>
      <c r="E78" s="97">
        <v>12</v>
      </c>
      <c r="F78" s="1473"/>
      <c r="G78" s="252"/>
      <c r="H78" s="946"/>
    </row>
    <row r="79" spans="1:8" x14ac:dyDescent="0.25">
      <c r="A79" s="215">
        <v>42517</v>
      </c>
      <c r="B79" s="349" t="s">
        <v>32</v>
      </c>
      <c r="C79" s="350" t="s">
        <v>12</v>
      </c>
      <c r="D79" s="141" t="s">
        <v>13</v>
      </c>
      <c r="E79" s="97">
        <v>15</v>
      </c>
      <c r="F79" s="946"/>
      <c r="G79" s="95"/>
      <c r="H79" s="946"/>
    </row>
    <row r="80" spans="1:8" s="224" customFormat="1" x14ac:dyDescent="0.25">
      <c r="A80" s="215">
        <v>42517</v>
      </c>
      <c r="B80" s="882" t="s">
        <v>1315</v>
      </c>
      <c r="C80" s="879" t="s">
        <v>12</v>
      </c>
      <c r="D80" s="887" t="s">
        <v>15</v>
      </c>
      <c r="E80" s="97">
        <v>40</v>
      </c>
      <c r="F80" s="946"/>
      <c r="G80" s="95"/>
      <c r="H80" s="1473"/>
    </row>
    <row r="81" spans="1:8" s="224" customFormat="1" x14ac:dyDescent="0.25">
      <c r="A81" s="215">
        <v>42517</v>
      </c>
      <c r="B81" s="882" t="s">
        <v>14</v>
      </c>
      <c r="C81" s="879" t="s">
        <v>12</v>
      </c>
      <c r="D81" s="887" t="s">
        <v>13</v>
      </c>
      <c r="E81" s="97">
        <v>6</v>
      </c>
      <c r="F81" s="946"/>
      <c r="G81" s="95"/>
      <c r="H81" s="1473"/>
    </row>
    <row r="82" spans="1:8" x14ac:dyDescent="0.25">
      <c r="A82" s="215">
        <v>42518</v>
      </c>
      <c r="B82" s="862" t="s">
        <v>32</v>
      </c>
      <c r="C82" s="879" t="s">
        <v>12</v>
      </c>
      <c r="D82" s="887" t="s">
        <v>13</v>
      </c>
      <c r="E82" s="250">
        <v>14</v>
      </c>
      <c r="F82" s="946"/>
      <c r="G82" s="95"/>
      <c r="H82" s="946"/>
    </row>
    <row r="83" spans="1:8" x14ac:dyDescent="0.25">
      <c r="A83" s="215">
        <v>42518</v>
      </c>
      <c r="B83" s="862" t="s">
        <v>14</v>
      </c>
      <c r="C83" s="879" t="s">
        <v>12</v>
      </c>
      <c r="D83" s="887" t="s">
        <v>13</v>
      </c>
      <c r="E83" s="250">
        <v>9.59</v>
      </c>
      <c r="F83" s="946"/>
      <c r="G83" s="95"/>
      <c r="H83" s="946"/>
    </row>
    <row r="84" spans="1:8" x14ac:dyDescent="0.25">
      <c r="A84" s="215">
        <v>42519</v>
      </c>
      <c r="B84" s="862" t="s">
        <v>14</v>
      </c>
      <c r="C84" s="879" t="s">
        <v>12</v>
      </c>
      <c r="D84" s="887" t="s">
        <v>13</v>
      </c>
      <c r="E84" s="250">
        <v>10.93</v>
      </c>
      <c r="F84" s="946"/>
      <c r="G84" s="95"/>
      <c r="H84" s="946"/>
    </row>
    <row r="85" spans="1:8" x14ac:dyDescent="0.25">
      <c r="A85" s="215">
        <v>42519</v>
      </c>
      <c r="B85" s="862" t="s">
        <v>81</v>
      </c>
      <c r="C85" s="879" t="s">
        <v>12</v>
      </c>
      <c r="D85" s="887" t="s">
        <v>13</v>
      </c>
      <c r="E85" s="250">
        <v>5.5</v>
      </c>
      <c r="F85" s="946"/>
      <c r="G85" s="95"/>
      <c r="H85" s="946"/>
    </row>
    <row r="86" spans="1:8" x14ac:dyDescent="0.25">
      <c r="A86" s="215">
        <v>42519</v>
      </c>
      <c r="B86" s="862" t="s">
        <v>134</v>
      </c>
      <c r="C86" s="879" t="s">
        <v>12</v>
      </c>
      <c r="D86" s="887" t="s">
        <v>13</v>
      </c>
      <c r="E86" s="250">
        <v>6.27</v>
      </c>
      <c r="F86" s="946"/>
      <c r="G86" s="95"/>
      <c r="H86" s="946"/>
    </row>
    <row r="87" spans="1:8" x14ac:dyDescent="0.25">
      <c r="A87" s="215">
        <v>42520</v>
      </c>
      <c r="B87" s="862" t="s">
        <v>32</v>
      </c>
      <c r="C87" s="879" t="s">
        <v>12</v>
      </c>
      <c r="D87" s="887" t="s">
        <v>13</v>
      </c>
      <c r="E87" s="250">
        <v>12</v>
      </c>
      <c r="F87" s="946"/>
      <c r="G87" s="95"/>
      <c r="H87" s="946"/>
    </row>
    <row r="88" spans="1:8" x14ac:dyDescent="0.25">
      <c r="A88" s="215">
        <v>42520</v>
      </c>
      <c r="B88" s="862" t="s">
        <v>14</v>
      </c>
      <c r="C88" s="879" t="s">
        <v>12</v>
      </c>
      <c r="D88" s="887" t="s">
        <v>13</v>
      </c>
      <c r="E88" s="250">
        <v>8.52</v>
      </c>
      <c r="F88" s="946"/>
      <c r="G88" s="95"/>
      <c r="H88" s="946"/>
    </row>
    <row r="89" spans="1:8" x14ac:dyDescent="0.25">
      <c r="A89" s="215">
        <v>42521</v>
      </c>
      <c r="B89" s="862" t="s">
        <v>32</v>
      </c>
      <c r="C89" s="879" t="s">
        <v>12</v>
      </c>
      <c r="D89" s="887" t="s">
        <v>13</v>
      </c>
      <c r="E89" s="250">
        <v>12</v>
      </c>
      <c r="F89" s="946"/>
      <c r="G89" s="95"/>
      <c r="H89" s="946"/>
    </row>
    <row r="90" spans="1:8" x14ac:dyDescent="0.25">
      <c r="A90" s="215">
        <v>42521</v>
      </c>
      <c r="B90" s="862" t="s">
        <v>138</v>
      </c>
      <c r="C90" s="879" t="s">
        <v>12</v>
      </c>
      <c r="D90" s="887" t="s">
        <v>13</v>
      </c>
      <c r="E90" s="250">
        <v>60</v>
      </c>
      <c r="F90" s="946"/>
      <c r="G90" s="95"/>
      <c r="H90" s="946"/>
    </row>
    <row r="91" spans="1:8" ht="15.75" thickBot="1" x14ac:dyDescent="0.3">
      <c r="A91" s="215">
        <v>42521</v>
      </c>
      <c r="B91" s="862" t="s">
        <v>134</v>
      </c>
      <c r="C91" s="879" t="s">
        <v>12</v>
      </c>
      <c r="D91" s="887" t="s">
        <v>15</v>
      </c>
      <c r="E91" s="250">
        <v>8</v>
      </c>
      <c r="F91" s="946"/>
      <c r="G91" s="95"/>
      <c r="H91" s="946"/>
    </row>
    <row r="92" spans="1:8" ht="25.5" customHeight="1" thickBot="1" x14ac:dyDescent="0.3">
      <c r="A92" s="3060"/>
      <c r="B92" s="3061"/>
      <c r="C92" s="3062"/>
      <c r="D92" s="3062"/>
      <c r="E92" s="100">
        <f>SUM(E6:E91)</f>
        <v>3832.54</v>
      </c>
      <c r="F92" s="1065">
        <f>SUM(F5:F91)</f>
        <v>4050.0530000000026</v>
      </c>
      <c r="G92" s="101">
        <f>SUM(G6:G91)</f>
        <v>915.47</v>
      </c>
      <c r="H92" s="93">
        <f>SUM(H5:H91)</f>
        <v>2078.84</v>
      </c>
    </row>
    <row r="93" spans="1:8" ht="25.5" customHeight="1" thickBot="1" x14ac:dyDescent="0.3">
      <c r="A93" s="3077" t="s">
        <v>49</v>
      </c>
      <c r="B93" s="3078"/>
      <c r="C93" s="3078"/>
      <c r="D93" s="3078"/>
      <c r="E93" s="144"/>
      <c r="F93" s="519">
        <f>F92-E92</f>
        <v>217.51300000000265</v>
      </c>
      <c r="G93" s="555"/>
      <c r="H93" s="556">
        <f>H92-G92</f>
        <v>1163.3700000000001</v>
      </c>
    </row>
    <row r="94" spans="1:8" x14ac:dyDescent="0.25">
      <c r="F94" s="89"/>
    </row>
    <row r="95" spans="1:8" x14ac:dyDescent="0.25">
      <c r="B95" s="79" t="s">
        <v>32</v>
      </c>
      <c r="C95" s="475">
        <v>306.5</v>
      </c>
    </row>
    <row r="96" spans="1:8" x14ac:dyDescent="0.25">
      <c r="B96" s="79" t="s">
        <v>1218</v>
      </c>
      <c r="C96" s="475">
        <v>320</v>
      </c>
      <c r="D96" s="79"/>
    </row>
    <row r="97" spans="1:9" x14ac:dyDescent="0.25">
      <c r="B97" s="79" t="s">
        <v>50</v>
      </c>
      <c r="C97" s="484">
        <v>69.2</v>
      </c>
    </row>
    <row r="98" spans="1:9" s="85" customFormat="1" x14ac:dyDescent="0.25">
      <c r="A98" s="79"/>
      <c r="B98" s="79" t="s">
        <v>14</v>
      </c>
      <c r="C98" s="484">
        <v>134.44</v>
      </c>
      <c r="E98" s="89"/>
      <c r="F98" s="79"/>
      <c r="G98" s="79"/>
    </row>
    <row r="99" spans="1:9" s="85" customFormat="1" x14ac:dyDescent="0.25">
      <c r="A99" s="79"/>
      <c r="B99" s="79" t="s">
        <v>51</v>
      </c>
      <c r="C99" s="475">
        <v>105.72</v>
      </c>
      <c r="E99" s="89"/>
      <c r="F99" s="79"/>
      <c r="G99" s="79"/>
      <c r="H99" s="79"/>
    </row>
    <row r="100" spans="1:9" s="85" customFormat="1" x14ac:dyDescent="0.25">
      <c r="A100" s="79"/>
      <c r="B100" s="79" t="s">
        <v>52</v>
      </c>
      <c r="C100" s="475">
        <v>60</v>
      </c>
      <c r="E100" s="89"/>
      <c r="F100" s="79"/>
      <c r="G100" s="79"/>
      <c r="H100" s="79"/>
    </row>
    <row r="101" spans="1:9" s="85" customFormat="1" x14ac:dyDescent="0.25">
      <c r="A101" s="79"/>
      <c r="B101" s="867" t="s">
        <v>53</v>
      </c>
      <c r="C101" s="475">
        <v>619.88</v>
      </c>
      <c r="D101" s="89"/>
      <c r="E101" s="89"/>
      <c r="F101" s="79"/>
      <c r="G101" s="79"/>
      <c r="H101" s="79"/>
    </row>
    <row r="102" spans="1:9" s="85" customFormat="1" x14ac:dyDescent="0.25">
      <c r="A102" s="79"/>
      <c r="B102" s="79" t="s">
        <v>1232</v>
      </c>
      <c r="C102" s="475">
        <v>568.53</v>
      </c>
      <c r="E102" s="89"/>
      <c r="F102" s="79"/>
      <c r="G102" s="79"/>
      <c r="H102" s="79"/>
    </row>
    <row r="103" spans="1:9" s="85" customFormat="1" x14ac:dyDescent="0.25">
      <c r="A103" s="79"/>
      <c r="B103" s="79" t="s">
        <v>56</v>
      </c>
      <c r="C103" s="475"/>
      <c r="E103" s="89"/>
      <c r="F103" s="79"/>
      <c r="G103" s="79"/>
      <c r="H103" s="79"/>
    </row>
    <row r="104" spans="1:9" s="85" customFormat="1" x14ac:dyDescent="0.25">
      <c r="A104" s="79"/>
      <c r="B104" s="79" t="s">
        <v>57</v>
      </c>
      <c r="C104" s="475">
        <v>213.04</v>
      </c>
      <c r="E104" s="89"/>
      <c r="F104" s="79"/>
      <c r="G104" s="79"/>
      <c r="H104" s="79"/>
    </row>
    <row r="105" spans="1:9" s="85" customFormat="1" x14ac:dyDescent="0.25">
      <c r="A105" s="79"/>
      <c r="B105" s="79" t="s">
        <v>418</v>
      </c>
      <c r="C105" s="475"/>
      <c r="D105" s="79"/>
      <c r="E105" s="89"/>
      <c r="F105" s="79"/>
      <c r="G105" s="79"/>
      <c r="H105" s="79"/>
    </row>
    <row r="106" spans="1:9" x14ac:dyDescent="0.25">
      <c r="B106" s="79" t="s">
        <v>419</v>
      </c>
      <c r="C106" s="475">
        <v>626.79999999999995</v>
      </c>
    </row>
    <row r="107" spans="1:9" x14ac:dyDescent="0.25">
      <c r="B107" s="79" t="s">
        <v>911</v>
      </c>
      <c r="C107" s="475"/>
    </row>
    <row r="109" spans="1:9" x14ac:dyDescent="0.25">
      <c r="B109" s="79" t="s">
        <v>486</v>
      </c>
      <c r="C109" s="475">
        <f>G109/I109</f>
        <v>102.04967741935484</v>
      </c>
      <c r="E109" s="224" t="s">
        <v>487</v>
      </c>
      <c r="F109" s="224"/>
      <c r="G109" s="216">
        <v>3163.54</v>
      </c>
      <c r="H109" s="518" t="s">
        <v>488</v>
      </c>
      <c r="I109" s="85">
        <v>31</v>
      </c>
    </row>
    <row r="120" spans="3:8" x14ac:dyDescent="0.25">
      <c r="C120" s="79"/>
      <c r="D120" s="79"/>
      <c r="E120" s="79"/>
      <c r="H120" s="216"/>
    </row>
    <row r="121" spans="3:8" x14ac:dyDescent="0.25">
      <c r="C121" s="79"/>
      <c r="D121" s="79"/>
      <c r="E121" s="79"/>
      <c r="H121" s="216"/>
    </row>
    <row r="122" spans="3:8" x14ac:dyDescent="0.25">
      <c r="C122" s="79"/>
      <c r="D122" s="79"/>
      <c r="E122" s="79"/>
      <c r="F122" s="216"/>
      <c r="H122" s="216"/>
    </row>
    <row r="123" spans="3:8" x14ac:dyDescent="0.25">
      <c r="C123" s="79"/>
      <c r="D123" s="79"/>
      <c r="E123" s="79"/>
      <c r="F123" s="216"/>
      <c r="H123" s="216"/>
    </row>
    <row r="124" spans="3:8" x14ac:dyDescent="0.25">
      <c r="C124" s="79"/>
      <c r="D124" s="79"/>
      <c r="E124" s="79"/>
      <c r="F124" s="216"/>
    </row>
    <row r="125" spans="3:8" x14ac:dyDescent="0.25">
      <c r="C125" s="79"/>
      <c r="D125" s="79"/>
      <c r="E125" s="79"/>
      <c r="H125" s="216"/>
    </row>
    <row r="127" spans="3:8" x14ac:dyDescent="0.25">
      <c r="C127" s="79"/>
      <c r="D127" s="79"/>
      <c r="E127" s="79"/>
      <c r="H127" s="629"/>
    </row>
    <row r="133" spans="3:8" x14ac:dyDescent="0.25">
      <c r="C133" s="79"/>
      <c r="D133" s="79"/>
      <c r="E133" s="79"/>
      <c r="H133" s="216"/>
    </row>
    <row r="134" spans="3:8" x14ac:dyDescent="0.25">
      <c r="C134" s="79"/>
      <c r="D134" s="79"/>
      <c r="E134" s="79"/>
      <c r="H134" s="216"/>
    </row>
    <row r="135" spans="3:8" x14ac:dyDescent="0.25">
      <c r="C135" s="79"/>
      <c r="D135" s="79"/>
      <c r="E135" s="79"/>
      <c r="H135" s="216"/>
    </row>
    <row r="136" spans="3:8" x14ac:dyDescent="0.25">
      <c r="C136" s="79"/>
      <c r="D136" s="79"/>
      <c r="E136" s="79"/>
      <c r="H136" s="216"/>
    </row>
    <row r="137" spans="3:8" x14ac:dyDescent="0.25">
      <c r="C137" s="79"/>
      <c r="D137" s="79"/>
      <c r="E137" s="79"/>
      <c r="H137" s="216"/>
    </row>
    <row r="138" spans="3:8" x14ac:dyDescent="0.25">
      <c r="C138" s="79"/>
      <c r="D138" s="79"/>
      <c r="E138" s="79"/>
      <c r="H138" s="216"/>
    </row>
    <row r="139" spans="3:8" x14ac:dyDescent="0.25">
      <c r="C139" s="79"/>
      <c r="D139" s="79"/>
      <c r="E139" s="79"/>
      <c r="H139" s="216"/>
    </row>
    <row r="140" spans="3:8" x14ac:dyDescent="0.25">
      <c r="C140" s="79"/>
      <c r="D140" s="79"/>
      <c r="E140" s="79"/>
      <c r="H140" s="216"/>
    </row>
    <row r="141" spans="3:8" x14ac:dyDescent="0.25">
      <c r="C141" s="79"/>
      <c r="D141" s="79"/>
      <c r="E141" s="79"/>
      <c r="H141" s="216"/>
    </row>
  </sheetData>
  <autoFilter ref="A2:H93" xr:uid="{00000000-0009-0000-0000-00002F000000}"/>
  <mergeCells count="10">
    <mergeCell ref="A92:D92"/>
    <mergeCell ref="A93:D93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Plan54"/>
  <dimension ref="A1:I152"/>
  <sheetViews>
    <sheetView zoomScale="85" zoomScaleNormal="85" workbookViewId="0">
      <pane ySplit="4" topLeftCell="A77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1318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42522</v>
      </c>
      <c r="B5" s="369" t="s">
        <v>10</v>
      </c>
      <c r="C5" s="370"/>
      <c r="D5" s="207"/>
      <c r="E5" s="179"/>
      <c r="F5" s="933">
        <f>'Maio-16'!F93</f>
        <v>217.51300000000265</v>
      </c>
      <c r="G5" s="163"/>
      <c r="H5" s="933">
        <f>'Maio-16'!H93</f>
        <v>1163.3700000000001</v>
      </c>
    </row>
    <row r="6" spans="1:8" s="224" customFormat="1" x14ac:dyDescent="0.25">
      <c r="A6" s="215">
        <v>42522</v>
      </c>
      <c r="B6" s="348" t="s">
        <v>11</v>
      </c>
      <c r="C6" s="351"/>
      <c r="D6" s="248"/>
      <c r="E6" s="250">
        <v>8</v>
      </c>
      <c r="F6" s="1473"/>
      <c r="G6" s="252"/>
      <c r="H6" s="1473"/>
    </row>
    <row r="7" spans="1:8" s="224" customFormat="1" x14ac:dyDescent="0.25">
      <c r="A7" s="215">
        <v>42522</v>
      </c>
      <c r="B7" s="349" t="s">
        <v>32</v>
      </c>
      <c r="C7" s="350" t="s">
        <v>12</v>
      </c>
      <c r="D7" s="141" t="s">
        <v>13</v>
      </c>
      <c r="E7" s="97">
        <v>12</v>
      </c>
      <c r="F7" s="946"/>
      <c r="G7" s="97"/>
      <c r="H7" s="946"/>
    </row>
    <row r="8" spans="1:8" s="224" customFormat="1" x14ac:dyDescent="0.25">
      <c r="A8" s="215">
        <v>42522</v>
      </c>
      <c r="B8" s="862" t="s">
        <v>134</v>
      </c>
      <c r="C8" s="350" t="s">
        <v>12</v>
      </c>
      <c r="D8" s="141" t="s">
        <v>13</v>
      </c>
      <c r="E8" s="97">
        <v>7.06</v>
      </c>
      <c r="F8" s="946"/>
      <c r="G8" s="97"/>
      <c r="H8" s="1473"/>
    </row>
    <row r="9" spans="1:8" s="224" customFormat="1" x14ac:dyDescent="0.25">
      <c r="A9" s="215">
        <v>42523</v>
      </c>
      <c r="B9" s="349" t="s">
        <v>1319</v>
      </c>
      <c r="C9" s="350" t="s">
        <v>12</v>
      </c>
      <c r="D9" s="141" t="s">
        <v>13</v>
      </c>
      <c r="E9" s="97">
        <v>30</v>
      </c>
      <c r="F9" s="946"/>
      <c r="G9" s="97"/>
      <c r="H9" s="1473"/>
    </row>
    <row r="10" spans="1:8" s="224" customFormat="1" x14ac:dyDescent="0.25">
      <c r="A10" s="215">
        <v>42523</v>
      </c>
      <c r="B10" s="349" t="s">
        <v>32</v>
      </c>
      <c r="C10" s="350" t="s">
        <v>12</v>
      </c>
      <c r="D10" s="141" t="s">
        <v>13</v>
      </c>
      <c r="E10" s="97">
        <v>12</v>
      </c>
      <c r="F10" s="946"/>
      <c r="G10" s="97"/>
      <c r="H10" s="1473"/>
    </row>
    <row r="11" spans="1:8" s="224" customFormat="1" x14ac:dyDescent="0.25">
      <c r="A11" s="215">
        <v>42523</v>
      </c>
      <c r="B11" s="349" t="s">
        <v>14</v>
      </c>
      <c r="C11" s="350" t="s">
        <v>12</v>
      </c>
      <c r="D11" s="141" t="s">
        <v>13</v>
      </c>
      <c r="E11" s="97">
        <v>7.21</v>
      </c>
      <c r="F11" s="946"/>
      <c r="G11" s="97"/>
      <c r="H11" s="1473"/>
    </row>
    <row r="12" spans="1:8" s="224" customFormat="1" x14ac:dyDescent="0.25">
      <c r="A12" s="215">
        <v>42524</v>
      </c>
      <c r="B12" s="349" t="s">
        <v>311</v>
      </c>
      <c r="C12" s="350"/>
      <c r="D12" s="141"/>
      <c r="E12" s="97"/>
      <c r="F12" s="946"/>
      <c r="G12" s="97"/>
      <c r="H12" s="946">
        <v>7</v>
      </c>
    </row>
    <row r="13" spans="1:8" s="224" customFormat="1" x14ac:dyDescent="0.25">
      <c r="A13" s="215">
        <v>42524</v>
      </c>
      <c r="B13" s="349" t="s">
        <v>32</v>
      </c>
      <c r="C13" s="350" t="s">
        <v>12</v>
      </c>
      <c r="D13" s="141" t="s">
        <v>13</v>
      </c>
      <c r="E13" s="97">
        <v>12</v>
      </c>
      <c r="F13" s="946"/>
      <c r="G13" s="97"/>
      <c r="H13" s="1473"/>
    </row>
    <row r="14" spans="1:8" s="224" customFormat="1" x14ac:dyDescent="0.25">
      <c r="A14" s="215">
        <v>42524</v>
      </c>
      <c r="B14" s="349" t="s">
        <v>134</v>
      </c>
      <c r="C14" s="350" t="s">
        <v>12</v>
      </c>
      <c r="D14" s="141" t="s">
        <v>13</v>
      </c>
      <c r="E14" s="97">
        <v>6.27</v>
      </c>
      <c r="F14" s="946"/>
      <c r="G14" s="97"/>
      <c r="H14" s="1473"/>
    </row>
    <row r="15" spans="1:8" s="224" customFormat="1" ht="15.75" customHeight="1" x14ac:dyDescent="0.25">
      <c r="A15" s="215">
        <v>42525</v>
      </c>
      <c r="B15" s="862" t="s">
        <v>914</v>
      </c>
      <c r="C15" s="350" t="s">
        <v>12</v>
      </c>
      <c r="D15" s="141" t="s">
        <v>13</v>
      </c>
      <c r="E15" s="97">
        <v>6.88</v>
      </c>
      <c r="F15" s="1473"/>
      <c r="G15" s="252"/>
      <c r="H15" s="946"/>
    </row>
    <row r="16" spans="1:8" s="224" customFormat="1" ht="15.75" customHeight="1" x14ac:dyDescent="0.25">
      <c r="A16" s="215">
        <v>42525</v>
      </c>
      <c r="B16" s="862" t="s">
        <v>14</v>
      </c>
      <c r="C16" s="350" t="s">
        <v>12</v>
      </c>
      <c r="D16" s="141" t="s">
        <v>13</v>
      </c>
      <c r="E16" s="97">
        <v>26.55</v>
      </c>
      <c r="F16" s="1473"/>
      <c r="G16" s="252"/>
      <c r="H16" s="946"/>
    </row>
    <row r="17" spans="1:8" s="224" customFormat="1" ht="15.75" customHeight="1" x14ac:dyDescent="0.25">
      <c r="A17" s="215">
        <v>42525</v>
      </c>
      <c r="B17" s="862" t="s">
        <v>1320</v>
      </c>
      <c r="C17" s="350" t="s">
        <v>19</v>
      </c>
      <c r="D17" s="141" t="s">
        <v>13</v>
      </c>
      <c r="E17" s="97">
        <v>39.700000000000003</v>
      </c>
      <c r="F17" s="1473"/>
      <c r="G17" s="252"/>
      <c r="H17" s="946"/>
    </row>
    <row r="18" spans="1:8" s="224" customFormat="1" x14ac:dyDescent="0.25">
      <c r="A18" s="215">
        <v>42526</v>
      </c>
      <c r="B18" s="349" t="s">
        <v>14</v>
      </c>
      <c r="C18" s="350" t="s">
        <v>12</v>
      </c>
      <c r="D18" s="141" t="s">
        <v>13</v>
      </c>
      <c r="E18" s="97">
        <v>12.66</v>
      </c>
      <c r="F18" s="946"/>
      <c r="G18" s="97"/>
      <c r="H18" s="1473"/>
    </row>
    <row r="19" spans="1:8" s="224" customFormat="1" x14ac:dyDescent="0.25">
      <c r="A19" s="215">
        <v>42526</v>
      </c>
      <c r="B19" s="349" t="s">
        <v>134</v>
      </c>
      <c r="C19" s="350" t="s">
        <v>12</v>
      </c>
      <c r="D19" s="141" t="s">
        <v>13</v>
      </c>
      <c r="E19" s="97">
        <v>6.27</v>
      </c>
      <c r="F19" s="946"/>
      <c r="G19" s="97"/>
      <c r="H19" s="1473"/>
    </row>
    <row r="20" spans="1:8" x14ac:dyDescent="0.25">
      <c r="A20" s="215">
        <v>42527</v>
      </c>
      <c r="B20" s="349" t="s">
        <v>32</v>
      </c>
      <c r="C20" s="350" t="s">
        <v>12</v>
      </c>
      <c r="D20" s="141" t="s">
        <v>13</v>
      </c>
      <c r="E20" s="97">
        <v>12</v>
      </c>
      <c r="F20" s="946"/>
      <c r="G20" s="95"/>
      <c r="H20" s="946"/>
    </row>
    <row r="21" spans="1:8" s="224" customFormat="1" ht="15.75" customHeight="1" x14ac:dyDescent="0.25">
      <c r="A21" s="215">
        <v>42527</v>
      </c>
      <c r="B21" s="349" t="s">
        <v>1321</v>
      </c>
      <c r="C21" s="879" t="s">
        <v>12</v>
      </c>
      <c r="D21" s="983" t="s">
        <v>25</v>
      </c>
      <c r="E21" s="250"/>
      <c r="F21" s="1473">
        <v>1548.82</v>
      </c>
      <c r="G21" s="252"/>
      <c r="H21" s="946"/>
    </row>
    <row r="22" spans="1:8" s="224" customFormat="1" x14ac:dyDescent="0.25">
      <c r="A22" s="215">
        <v>42527</v>
      </c>
      <c r="B22" s="862" t="s">
        <v>1322</v>
      </c>
      <c r="C22" s="350" t="s">
        <v>12</v>
      </c>
      <c r="D22" s="957" t="s">
        <v>25</v>
      </c>
      <c r="E22" s="97"/>
      <c r="F22" s="1473">
        <v>130</v>
      </c>
      <c r="G22" s="252"/>
      <c r="H22" s="946"/>
    </row>
    <row r="23" spans="1:8" s="224" customFormat="1" ht="15.75" customHeight="1" x14ac:dyDescent="0.25">
      <c r="A23" s="215">
        <v>42527</v>
      </c>
      <c r="B23" s="862" t="s">
        <v>1323</v>
      </c>
      <c r="C23" s="350" t="s">
        <v>12</v>
      </c>
      <c r="D23" s="141" t="s">
        <v>13</v>
      </c>
      <c r="E23" s="97">
        <v>605.08000000000004</v>
      </c>
      <c r="F23" s="1473"/>
      <c r="G23" s="252"/>
      <c r="H23" s="946"/>
    </row>
    <row r="24" spans="1:8" s="224" customFormat="1" ht="15.75" customHeight="1" x14ac:dyDescent="0.25">
      <c r="A24" s="215">
        <v>42527</v>
      </c>
      <c r="B24" s="882" t="s">
        <v>1324</v>
      </c>
      <c r="C24" s="350" t="s">
        <v>12</v>
      </c>
      <c r="D24" s="141" t="s">
        <v>13</v>
      </c>
      <c r="E24" s="97">
        <v>70.86</v>
      </c>
      <c r="F24" s="1473"/>
      <c r="G24" s="252"/>
      <c r="H24" s="946"/>
    </row>
    <row r="25" spans="1:8" s="224" customFormat="1" x14ac:dyDescent="0.25">
      <c r="A25" s="215">
        <v>42527</v>
      </c>
      <c r="B25" s="862" t="s">
        <v>1091</v>
      </c>
      <c r="C25" s="879" t="s">
        <v>12</v>
      </c>
      <c r="D25" s="887" t="s">
        <v>15</v>
      </c>
      <c r="E25" s="250">
        <v>175</v>
      </c>
      <c r="F25" s="946"/>
      <c r="G25" s="97"/>
      <c r="H25" s="1473"/>
    </row>
    <row r="26" spans="1:8" x14ac:dyDescent="0.25">
      <c r="A26" s="215">
        <v>42527</v>
      </c>
      <c r="B26" s="862" t="s">
        <v>52</v>
      </c>
      <c r="C26" s="879" t="s">
        <v>12</v>
      </c>
      <c r="D26" s="1475" t="s">
        <v>15</v>
      </c>
      <c r="E26" s="97">
        <v>60</v>
      </c>
      <c r="F26" s="946"/>
      <c r="G26" s="97"/>
      <c r="H26" s="946"/>
    </row>
    <row r="27" spans="1:8" x14ac:dyDescent="0.25">
      <c r="A27" s="215">
        <v>42527</v>
      </c>
      <c r="B27" s="349" t="s">
        <v>260</v>
      </c>
      <c r="C27" s="350"/>
      <c r="D27" s="141"/>
      <c r="E27" s="97">
        <v>160</v>
      </c>
      <c r="F27" s="946"/>
      <c r="G27" s="95"/>
      <c r="H27" s="946">
        <v>160</v>
      </c>
    </row>
    <row r="28" spans="1:8" x14ac:dyDescent="0.25">
      <c r="A28" s="215">
        <v>42527</v>
      </c>
      <c r="B28" s="862" t="s">
        <v>1218</v>
      </c>
      <c r="C28" s="879" t="s">
        <v>19</v>
      </c>
      <c r="D28" s="1475" t="s">
        <v>13</v>
      </c>
      <c r="E28" s="97">
        <v>70</v>
      </c>
      <c r="F28" s="946"/>
      <c r="G28" s="97"/>
      <c r="H28" s="946"/>
    </row>
    <row r="29" spans="1:8" x14ac:dyDescent="0.25">
      <c r="A29" s="215">
        <v>42527</v>
      </c>
      <c r="B29" s="862" t="s">
        <v>1325</v>
      </c>
      <c r="C29" s="879" t="s">
        <v>19</v>
      </c>
      <c r="D29" s="1475" t="s">
        <v>13</v>
      </c>
      <c r="E29" s="97">
        <v>50</v>
      </c>
      <c r="F29" s="946"/>
      <c r="G29" s="97"/>
      <c r="H29" s="946"/>
    </row>
    <row r="30" spans="1:8" x14ac:dyDescent="0.25">
      <c r="A30" s="215">
        <v>42527</v>
      </c>
      <c r="B30" s="862" t="s">
        <v>134</v>
      </c>
      <c r="C30" s="879" t="s">
        <v>12</v>
      </c>
      <c r="D30" s="1475" t="s">
        <v>15</v>
      </c>
      <c r="E30" s="97">
        <v>8</v>
      </c>
      <c r="F30" s="946"/>
      <c r="G30" s="97"/>
      <c r="H30" s="946"/>
    </row>
    <row r="31" spans="1:8" x14ac:dyDescent="0.25">
      <c r="A31" s="215">
        <v>42528</v>
      </c>
      <c r="B31" s="349" t="s">
        <v>32</v>
      </c>
      <c r="C31" s="350" t="s">
        <v>12</v>
      </c>
      <c r="D31" s="141" t="s">
        <v>13</v>
      </c>
      <c r="E31" s="97">
        <v>12</v>
      </c>
      <c r="F31" s="946"/>
      <c r="G31" s="97"/>
      <c r="H31" s="946"/>
    </row>
    <row r="32" spans="1:8" x14ac:dyDescent="0.25">
      <c r="A32" s="215">
        <v>42528</v>
      </c>
      <c r="B32" s="349" t="s">
        <v>1326</v>
      </c>
      <c r="C32" s="350" t="s">
        <v>12</v>
      </c>
      <c r="D32" s="141" t="s">
        <v>13</v>
      </c>
      <c r="E32" s="97">
        <v>10.5</v>
      </c>
      <c r="F32" s="946"/>
      <c r="G32" s="97"/>
      <c r="H32" s="946"/>
    </row>
    <row r="33" spans="1:8" x14ac:dyDescent="0.25">
      <c r="A33" s="215">
        <v>42528</v>
      </c>
      <c r="B33" s="349" t="s">
        <v>14</v>
      </c>
      <c r="C33" s="350" t="s">
        <v>12</v>
      </c>
      <c r="D33" s="141" t="s">
        <v>13</v>
      </c>
      <c r="E33" s="97">
        <v>24.4</v>
      </c>
      <c r="F33" s="946"/>
      <c r="G33" s="97"/>
      <c r="H33" s="946"/>
    </row>
    <row r="34" spans="1:8" x14ac:dyDescent="0.25">
      <c r="A34" s="215">
        <v>42529</v>
      </c>
      <c r="B34" s="349" t="s">
        <v>32</v>
      </c>
      <c r="C34" s="350" t="s">
        <v>12</v>
      </c>
      <c r="D34" s="141" t="s">
        <v>13</v>
      </c>
      <c r="E34" s="97">
        <v>12</v>
      </c>
      <c r="F34" s="946"/>
      <c r="G34" s="97"/>
      <c r="H34" s="946"/>
    </row>
    <row r="35" spans="1:8" x14ac:dyDescent="0.25">
      <c r="A35" s="215">
        <v>42529</v>
      </c>
      <c r="B35" s="349" t="s">
        <v>1327</v>
      </c>
      <c r="C35" s="350" t="s">
        <v>12</v>
      </c>
      <c r="D35" s="141" t="s">
        <v>13</v>
      </c>
      <c r="E35" s="97">
        <v>17</v>
      </c>
      <c r="F35" s="946"/>
      <c r="G35" s="97"/>
      <c r="H35" s="946"/>
    </row>
    <row r="36" spans="1:8" x14ac:dyDescent="0.25">
      <c r="A36" s="215">
        <v>42529</v>
      </c>
      <c r="B36" s="349" t="s">
        <v>1328</v>
      </c>
      <c r="C36" s="350" t="s">
        <v>12</v>
      </c>
      <c r="D36" s="141" t="s">
        <v>13</v>
      </c>
      <c r="E36" s="97">
        <v>16.97</v>
      </c>
      <c r="F36" s="946"/>
      <c r="G36" s="97"/>
      <c r="H36" s="946"/>
    </row>
    <row r="37" spans="1:8" x14ac:dyDescent="0.25">
      <c r="A37" s="215">
        <v>42529</v>
      </c>
      <c r="B37" s="349" t="s">
        <v>14</v>
      </c>
      <c r="C37" s="350" t="s">
        <v>12</v>
      </c>
      <c r="D37" s="141" t="s">
        <v>13</v>
      </c>
      <c r="E37" s="97">
        <v>3.41</v>
      </c>
      <c r="F37" s="946"/>
      <c r="G37" s="97"/>
      <c r="H37" s="946"/>
    </row>
    <row r="38" spans="1:8" s="224" customFormat="1" x14ac:dyDescent="0.25">
      <c r="A38" s="215">
        <v>42530</v>
      </c>
      <c r="B38" s="349" t="s">
        <v>32</v>
      </c>
      <c r="C38" s="350" t="s">
        <v>12</v>
      </c>
      <c r="D38" s="141" t="s">
        <v>13</v>
      </c>
      <c r="E38" s="97">
        <v>12</v>
      </c>
      <c r="F38" s="946"/>
      <c r="G38" s="97"/>
      <c r="H38" s="1473"/>
    </row>
    <row r="39" spans="1:8" s="224" customFormat="1" x14ac:dyDescent="0.25">
      <c r="A39" s="215">
        <v>42530</v>
      </c>
      <c r="B39" s="349" t="s">
        <v>134</v>
      </c>
      <c r="C39" s="350" t="s">
        <v>12</v>
      </c>
      <c r="D39" s="141" t="s">
        <v>13</v>
      </c>
      <c r="E39" s="97">
        <v>18.100000000000001</v>
      </c>
      <c r="F39" s="946"/>
      <c r="G39" s="97"/>
      <c r="H39" s="1473"/>
    </row>
    <row r="40" spans="1:8" s="224" customFormat="1" x14ac:dyDescent="0.25">
      <c r="A40" s="215">
        <v>42530</v>
      </c>
      <c r="B40" s="349" t="s">
        <v>914</v>
      </c>
      <c r="C40" s="350" t="s">
        <v>12</v>
      </c>
      <c r="D40" s="141" t="s">
        <v>13</v>
      </c>
      <c r="E40" s="97">
        <v>19.13</v>
      </c>
      <c r="F40" s="946"/>
      <c r="G40" s="97"/>
      <c r="H40" s="1473"/>
    </row>
    <row r="41" spans="1:8" s="224" customFormat="1" x14ac:dyDescent="0.25">
      <c r="A41" s="215">
        <v>42530</v>
      </c>
      <c r="B41" s="349" t="s">
        <v>1329</v>
      </c>
      <c r="C41" s="350" t="s">
        <v>12</v>
      </c>
      <c r="D41" s="141" t="s">
        <v>13</v>
      </c>
      <c r="E41" s="97">
        <v>105</v>
      </c>
      <c r="F41" s="946"/>
      <c r="G41" s="97"/>
      <c r="H41" s="1473"/>
    </row>
    <row r="42" spans="1:8" s="224" customFormat="1" x14ac:dyDescent="0.25">
      <c r="A42" s="215">
        <v>42530</v>
      </c>
      <c r="B42" s="882" t="s">
        <v>1315</v>
      </c>
      <c r="C42" s="879" t="s">
        <v>12</v>
      </c>
      <c r="D42" s="887" t="s">
        <v>15</v>
      </c>
      <c r="E42" s="97">
        <v>80</v>
      </c>
      <c r="F42" s="946"/>
      <c r="G42" s="97"/>
      <c r="H42" s="1473"/>
    </row>
    <row r="43" spans="1:8" s="224" customFormat="1" x14ac:dyDescent="0.25">
      <c r="A43" s="215">
        <v>42531</v>
      </c>
      <c r="B43" s="349" t="s">
        <v>32</v>
      </c>
      <c r="C43" s="350" t="s">
        <v>12</v>
      </c>
      <c r="D43" s="141" t="s">
        <v>13</v>
      </c>
      <c r="E43" s="97">
        <v>12</v>
      </c>
      <c r="F43" s="946"/>
      <c r="G43" s="97"/>
      <c r="H43" s="1473"/>
    </row>
    <row r="44" spans="1:8" s="224" customFormat="1" x14ac:dyDescent="0.25">
      <c r="A44" s="215">
        <v>42531</v>
      </c>
      <c r="B44" s="349" t="s">
        <v>80</v>
      </c>
      <c r="C44" s="350" t="s">
        <v>12</v>
      </c>
      <c r="D44" s="141" t="s">
        <v>15</v>
      </c>
      <c r="E44" s="97">
        <v>21</v>
      </c>
      <c r="F44" s="946"/>
      <c r="G44" s="97"/>
      <c r="H44" s="1473"/>
    </row>
    <row r="45" spans="1:8" s="224" customFormat="1" x14ac:dyDescent="0.25">
      <c r="A45" s="215">
        <v>42532</v>
      </c>
      <c r="B45" s="862" t="s">
        <v>14</v>
      </c>
      <c r="C45" s="350" t="s">
        <v>12</v>
      </c>
      <c r="D45" s="141" t="s">
        <v>13</v>
      </c>
      <c r="E45" s="250">
        <v>9.92</v>
      </c>
      <c r="F45" s="946"/>
      <c r="G45" s="97"/>
      <c r="H45" s="1473"/>
    </row>
    <row r="46" spans="1:8" s="224" customFormat="1" x14ac:dyDescent="0.25">
      <c r="A46" s="215">
        <v>42532</v>
      </c>
      <c r="B46" s="862" t="s">
        <v>1330</v>
      </c>
      <c r="C46" s="350" t="s">
        <v>12</v>
      </c>
      <c r="D46" s="141" t="s">
        <v>13</v>
      </c>
      <c r="E46" s="250">
        <v>20</v>
      </c>
      <c r="F46" s="946"/>
      <c r="G46" s="97"/>
      <c r="H46" s="1473"/>
    </row>
    <row r="47" spans="1:8" s="224" customFormat="1" x14ac:dyDescent="0.25">
      <c r="A47" s="215">
        <v>42532</v>
      </c>
      <c r="B47" s="862" t="s">
        <v>134</v>
      </c>
      <c r="C47" s="350" t="s">
        <v>12</v>
      </c>
      <c r="D47" s="141" t="s">
        <v>13</v>
      </c>
      <c r="E47" s="250">
        <v>7.29</v>
      </c>
      <c r="F47" s="946"/>
      <c r="G47" s="97"/>
      <c r="H47" s="1473"/>
    </row>
    <row r="48" spans="1:8" s="224" customFormat="1" x14ac:dyDescent="0.25">
      <c r="A48" s="215">
        <v>42533</v>
      </c>
      <c r="B48" s="862" t="s">
        <v>1331</v>
      </c>
      <c r="C48" s="879" t="s">
        <v>12</v>
      </c>
      <c r="D48" s="887" t="s">
        <v>15</v>
      </c>
      <c r="E48" s="250">
        <v>40</v>
      </c>
      <c r="F48" s="946"/>
      <c r="G48" s="97"/>
      <c r="H48" s="1473"/>
    </row>
    <row r="49" spans="1:8" s="224" customFormat="1" x14ac:dyDescent="0.25">
      <c r="A49" s="215">
        <v>42533</v>
      </c>
      <c r="B49" s="862" t="s">
        <v>134</v>
      </c>
      <c r="C49" s="879" t="s">
        <v>12</v>
      </c>
      <c r="D49" s="887" t="s">
        <v>15</v>
      </c>
      <c r="E49" s="250">
        <v>8</v>
      </c>
      <c r="F49" s="946"/>
      <c r="G49" s="97"/>
      <c r="H49" s="1473"/>
    </row>
    <row r="50" spans="1:8" s="224" customFormat="1" x14ac:dyDescent="0.25">
      <c r="A50" s="215">
        <v>42534</v>
      </c>
      <c r="B50" s="862" t="s">
        <v>256</v>
      </c>
      <c r="C50" s="879"/>
      <c r="D50" s="1475"/>
      <c r="E50" s="97"/>
      <c r="F50" s="946">
        <v>230.37</v>
      </c>
      <c r="G50" s="97">
        <v>230.37</v>
      </c>
      <c r="H50" s="1473"/>
    </row>
    <row r="51" spans="1:8" s="224" customFormat="1" x14ac:dyDescent="0.25">
      <c r="A51" s="215">
        <v>42534</v>
      </c>
      <c r="B51" s="349" t="s">
        <v>32</v>
      </c>
      <c r="C51" s="350" t="s">
        <v>12</v>
      </c>
      <c r="D51" s="141" t="s">
        <v>13</v>
      </c>
      <c r="E51" s="97">
        <v>12</v>
      </c>
      <c r="F51" s="946"/>
      <c r="G51" s="97"/>
      <c r="H51" s="1473"/>
    </row>
    <row r="52" spans="1:8" s="224" customFormat="1" x14ac:dyDescent="0.25">
      <c r="A52" s="215">
        <v>42534</v>
      </c>
      <c r="B52" s="862" t="s">
        <v>14</v>
      </c>
      <c r="C52" s="350" t="s">
        <v>12</v>
      </c>
      <c r="D52" s="141" t="s">
        <v>13</v>
      </c>
      <c r="E52" s="250">
        <v>14.36</v>
      </c>
      <c r="F52" s="946"/>
      <c r="G52" s="97"/>
      <c r="H52" s="1473"/>
    </row>
    <row r="53" spans="1:8" s="224" customFormat="1" x14ac:dyDescent="0.25">
      <c r="A53" s="215">
        <v>42535</v>
      </c>
      <c r="B53" s="349" t="s">
        <v>32</v>
      </c>
      <c r="C53" s="350" t="s">
        <v>12</v>
      </c>
      <c r="D53" s="141" t="s">
        <v>13</v>
      </c>
      <c r="E53" s="97">
        <v>12</v>
      </c>
      <c r="F53" s="946"/>
      <c r="G53" s="97"/>
      <c r="H53" s="1473"/>
    </row>
    <row r="54" spans="1:8" s="224" customFormat="1" x14ac:dyDescent="0.25">
      <c r="A54" s="215">
        <v>42535</v>
      </c>
      <c r="B54" s="349" t="s">
        <v>1331</v>
      </c>
      <c r="C54" s="350" t="s">
        <v>19</v>
      </c>
      <c r="D54" s="141" t="s">
        <v>13</v>
      </c>
      <c r="E54" s="97">
        <v>40</v>
      </c>
      <c r="F54" s="946"/>
      <c r="G54" s="97"/>
      <c r="H54" s="1473"/>
    </row>
    <row r="55" spans="1:8" s="224" customFormat="1" x14ac:dyDescent="0.25">
      <c r="A55" s="215">
        <v>42535</v>
      </c>
      <c r="B55" s="349" t="s">
        <v>134</v>
      </c>
      <c r="C55" s="350" t="s">
        <v>12</v>
      </c>
      <c r="D55" s="141" t="s">
        <v>13</v>
      </c>
      <c r="E55" s="97">
        <v>7.06</v>
      </c>
      <c r="F55" s="946"/>
      <c r="G55" s="97"/>
      <c r="H55" s="1473"/>
    </row>
    <row r="56" spans="1:8" s="224" customFormat="1" x14ac:dyDescent="0.25">
      <c r="A56" s="215">
        <v>42536</v>
      </c>
      <c r="B56" s="349" t="s">
        <v>32</v>
      </c>
      <c r="C56" s="350" t="s">
        <v>12</v>
      </c>
      <c r="D56" s="141" t="s">
        <v>13</v>
      </c>
      <c r="E56" s="97">
        <v>12</v>
      </c>
      <c r="F56" s="946"/>
      <c r="G56" s="97"/>
      <c r="H56" s="1473"/>
    </row>
    <row r="57" spans="1:8" s="224" customFormat="1" x14ac:dyDescent="0.25">
      <c r="A57" s="215">
        <v>42536</v>
      </c>
      <c r="B57" s="862" t="s">
        <v>14</v>
      </c>
      <c r="C57" s="350" t="s">
        <v>12</v>
      </c>
      <c r="D57" s="141" t="s">
        <v>13</v>
      </c>
      <c r="E57" s="250">
        <v>11.27</v>
      </c>
      <c r="F57" s="946"/>
      <c r="G57" s="97"/>
      <c r="H57" s="1473"/>
    </row>
    <row r="58" spans="1:8" s="224" customFormat="1" x14ac:dyDescent="0.25">
      <c r="A58" s="215">
        <v>42537</v>
      </c>
      <c r="B58" s="349" t="s">
        <v>32</v>
      </c>
      <c r="C58" s="350" t="s">
        <v>12</v>
      </c>
      <c r="D58" s="141" t="s">
        <v>13</v>
      </c>
      <c r="E58" s="97">
        <v>12</v>
      </c>
      <c r="F58" s="946"/>
      <c r="G58" s="97"/>
      <c r="H58" s="1473"/>
    </row>
    <row r="59" spans="1:8" s="224" customFormat="1" x14ac:dyDescent="0.25">
      <c r="A59" s="215">
        <v>42537</v>
      </c>
      <c r="B59" s="349" t="s">
        <v>134</v>
      </c>
      <c r="C59" s="350" t="s">
        <v>12</v>
      </c>
      <c r="D59" s="141" t="s">
        <v>13</v>
      </c>
      <c r="E59" s="97">
        <v>8</v>
      </c>
      <c r="F59" s="946"/>
      <c r="G59" s="97"/>
      <c r="H59" s="1473"/>
    </row>
    <row r="60" spans="1:8" x14ac:dyDescent="0.25">
      <c r="A60" s="215">
        <v>42537</v>
      </c>
      <c r="B60" s="349" t="s">
        <v>147</v>
      </c>
      <c r="C60" s="350" t="s">
        <v>12</v>
      </c>
      <c r="D60" s="141" t="s">
        <v>13</v>
      </c>
      <c r="E60" s="97">
        <v>15</v>
      </c>
      <c r="F60" s="946"/>
      <c r="G60" s="95"/>
      <c r="H60" s="946"/>
    </row>
    <row r="61" spans="1:8" s="224" customFormat="1" x14ac:dyDescent="0.25">
      <c r="A61" s="215">
        <v>42538</v>
      </c>
      <c r="B61" s="349" t="s">
        <v>32</v>
      </c>
      <c r="C61" s="350" t="s">
        <v>12</v>
      </c>
      <c r="D61" s="141" t="s">
        <v>13</v>
      </c>
      <c r="E61" s="97">
        <v>12</v>
      </c>
      <c r="F61" s="946"/>
      <c r="G61" s="97"/>
      <c r="H61" s="1473"/>
    </row>
    <row r="62" spans="1:8" s="224" customFormat="1" x14ac:dyDescent="0.25">
      <c r="A62" s="215">
        <v>42538</v>
      </c>
      <c r="B62" s="349" t="s">
        <v>1332</v>
      </c>
      <c r="C62" s="350" t="s">
        <v>19</v>
      </c>
      <c r="D62" s="141" t="s">
        <v>13</v>
      </c>
      <c r="E62" s="97">
        <v>16.8</v>
      </c>
      <c r="F62" s="946"/>
      <c r="G62" s="97"/>
      <c r="H62" s="1473"/>
    </row>
    <row r="63" spans="1:8" s="224" customFormat="1" x14ac:dyDescent="0.25">
      <c r="A63" s="215">
        <v>42538</v>
      </c>
      <c r="B63" s="349" t="s">
        <v>134</v>
      </c>
      <c r="C63" s="350" t="s">
        <v>19</v>
      </c>
      <c r="D63" s="141" t="s">
        <v>13</v>
      </c>
      <c r="E63" s="97">
        <v>25.96</v>
      </c>
      <c r="F63" s="946"/>
      <c r="G63" s="97"/>
      <c r="H63" s="1473"/>
    </row>
    <row r="64" spans="1:8" s="224" customFormat="1" x14ac:dyDescent="0.25">
      <c r="A64" s="215">
        <v>42538</v>
      </c>
      <c r="B64" s="349" t="s">
        <v>134</v>
      </c>
      <c r="C64" s="350" t="s">
        <v>12</v>
      </c>
      <c r="D64" s="141" t="s">
        <v>13</v>
      </c>
      <c r="E64" s="97">
        <v>7.06</v>
      </c>
      <c r="F64" s="946"/>
      <c r="G64" s="97"/>
      <c r="H64" s="1473"/>
    </row>
    <row r="65" spans="1:8" s="224" customFormat="1" x14ac:dyDescent="0.25">
      <c r="A65" s="215">
        <v>42539</v>
      </c>
      <c r="B65" s="862" t="s">
        <v>256</v>
      </c>
      <c r="C65" s="879"/>
      <c r="D65" s="1475"/>
      <c r="E65" s="97"/>
      <c r="F65" s="946">
        <v>100</v>
      </c>
      <c r="G65" s="97">
        <v>100</v>
      </c>
      <c r="H65" s="1473"/>
    </row>
    <row r="66" spans="1:8" s="224" customFormat="1" x14ac:dyDescent="0.25">
      <c r="A66" s="215">
        <v>42539</v>
      </c>
      <c r="B66" s="882" t="s">
        <v>32</v>
      </c>
      <c r="C66" s="879" t="s">
        <v>12</v>
      </c>
      <c r="D66" s="887" t="s">
        <v>13</v>
      </c>
      <c r="E66" s="97">
        <v>13</v>
      </c>
      <c r="F66" s="946"/>
      <c r="G66" s="97"/>
      <c r="H66" s="1473"/>
    </row>
    <row r="67" spans="1:8" s="224" customFormat="1" x14ac:dyDescent="0.25">
      <c r="A67" s="215">
        <v>42539</v>
      </c>
      <c r="B67" s="882" t="s">
        <v>1284</v>
      </c>
      <c r="C67" s="879" t="s">
        <v>19</v>
      </c>
      <c r="D67" s="887" t="s">
        <v>13</v>
      </c>
      <c r="E67" s="97">
        <v>47.6</v>
      </c>
      <c r="F67" s="946"/>
      <c r="G67" s="97"/>
      <c r="H67" s="1473"/>
    </row>
    <row r="68" spans="1:8" s="224" customFormat="1" x14ac:dyDescent="0.25">
      <c r="A68" s="215">
        <v>42540</v>
      </c>
      <c r="B68" s="882" t="s">
        <v>14</v>
      </c>
      <c r="C68" s="879" t="s">
        <v>12</v>
      </c>
      <c r="D68" s="887" t="s">
        <v>13</v>
      </c>
      <c r="E68" s="97">
        <v>9.77</v>
      </c>
      <c r="F68" s="946"/>
      <c r="G68" s="97"/>
      <c r="H68" s="1473"/>
    </row>
    <row r="69" spans="1:8" x14ac:dyDescent="0.25">
      <c r="A69" s="215">
        <v>42541</v>
      </c>
      <c r="B69" s="882" t="s">
        <v>32</v>
      </c>
      <c r="C69" s="879" t="s">
        <v>12</v>
      </c>
      <c r="D69" s="887" t="s">
        <v>13</v>
      </c>
      <c r="E69" s="97">
        <v>12</v>
      </c>
      <c r="F69" s="946"/>
      <c r="G69" s="95"/>
      <c r="H69" s="946"/>
    </row>
    <row r="70" spans="1:8" s="224" customFormat="1" x14ac:dyDescent="0.25">
      <c r="A70" s="215">
        <v>42541</v>
      </c>
      <c r="B70" s="882" t="s">
        <v>1333</v>
      </c>
      <c r="C70" s="879" t="s">
        <v>12</v>
      </c>
      <c r="D70" s="887" t="s">
        <v>25</v>
      </c>
      <c r="E70" s="97"/>
      <c r="F70" s="946">
        <v>1420</v>
      </c>
      <c r="G70" s="95"/>
      <c r="H70" s="1473"/>
    </row>
    <row r="71" spans="1:8" s="224" customFormat="1" x14ac:dyDescent="0.25">
      <c r="A71" s="215">
        <v>42541</v>
      </c>
      <c r="B71" s="882" t="s">
        <v>1334</v>
      </c>
      <c r="C71" s="879" t="s">
        <v>12</v>
      </c>
      <c r="D71" s="887" t="s">
        <v>13</v>
      </c>
      <c r="E71" s="97">
        <v>568.53</v>
      </c>
      <c r="F71" s="946"/>
      <c r="G71" s="95"/>
      <c r="H71" s="1473"/>
    </row>
    <row r="72" spans="1:8" x14ac:dyDescent="0.25">
      <c r="A72" s="215">
        <v>42541</v>
      </c>
      <c r="B72" s="882" t="s">
        <v>1335</v>
      </c>
      <c r="C72" s="879" t="s">
        <v>12</v>
      </c>
      <c r="D72" s="887" t="s">
        <v>13</v>
      </c>
      <c r="E72" s="250">
        <v>45.42</v>
      </c>
      <c r="F72" s="946"/>
      <c r="G72" s="95"/>
      <c r="H72" s="946"/>
    </row>
    <row r="73" spans="1:8" x14ac:dyDescent="0.25">
      <c r="A73" s="215">
        <v>42541</v>
      </c>
      <c r="B73" s="349" t="s">
        <v>260</v>
      </c>
      <c r="C73" s="350"/>
      <c r="D73" s="141"/>
      <c r="E73" s="97">
        <v>150</v>
      </c>
      <c r="F73" s="946"/>
      <c r="G73" s="95"/>
      <c r="H73" s="946">
        <v>150</v>
      </c>
    </row>
    <row r="74" spans="1:8" s="224" customFormat="1" x14ac:dyDescent="0.25">
      <c r="A74" s="215">
        <v>42541</v>
      </c>
      <c r="B74" s="882" t="s">
        <v>14</v>
      </c>
      <c r="C74" s="879" t="s">
        <v>12</v>
      </c>
      <c r="D74" s="887" t="s">
        <v>13</v>
      </c>
      <c r="E74" s="97">
        <v>4.97</v>
      </c>
      <c r="F74" s="946"/>
      <c r="G74" s="95"/>
      <c r="H74" s="1473"/>
    </row>
    <row r="75" spans="1:8" s="224" customFormat="1" x14ac:dyDescent="0.25">
      <c r="A75" s="215">
        <v>42541</v>
      </c>
      <c r="B75" s="882" t="s">
        <v>1336</v>
      </c>
      <c r="C75" s="879" t="s">
        <v>12</v>
      </c>
      <c r="D75" s="887" t="s">
        <v>13</v>
      </c>
      <c r="E75" s="97">
        <v>4.4000000000000004</v>
      </c>
      <c r="F75" s="946"/>
      <c r="G75" s="95"/>
      <c r="H75" s="1473"/>
    </row>
    <row r="76" spans="1:8" s="224" customFormat="1" x14ac:dyDescent="0.25">
      <c r="A76" s="215">
        <v>42542</v>
      </c>
      <c r="B76" s="882" t="s">
        <v>32</v>
      </c>
      <c r="C76" s="879" t="s">
        <v>12</v>
      </c>
      <c r="D76" s="887" t="s">
        <v>13</v>
      </c>
      <c r="E76" s="97">
        <v>12</v>
      </c>
      <c r="F76" s="946"/>
      <c r="G76" s="95"/>
      <c r="H76" s="1473"/>
    </row>
    <row r="77" spans="1:8" s="224" customFormat="1" x14ac:dyDescent="0.25">
      <c r="A77" s="215">
        <v>42542</v>
      </c>
      <c r="B77" s="882" t="s">
        <v>1337</v>
      </c>
      <c r="C77" s="879" t="s">
        <v>12</v>
      </c>
      <c r="D77" s="887" t="s">
        <v>13</v>
      </c>
      <c r="E77" s="97">
        <v>14</v>
      </c>
      <c r="F77" s="946"/>
      <c r="G77" s="95"/>
      <c r="H77" s="1473"/>
    </row>
    <row r="78" spans="1:8" s="224" customFormat="1" x14ac:dyDescent="0.25">
      <c r="A78" s="215">
        <v>42542</v>
      </c>
      <c r="B78" s="882" t="s">
        <v>1338</v>
      </c>
      <c r="C78" s="879" t="s">
        <v>12</v>
      </c>
      <c r="D78" s="887" t="s">
        <v>13</v>
      </c>
      <c r="E78" s="97">
        <v>12.85</v>
      </c>
      <c r="F78" s="946"/>
      <c r="G78" s="95"/>
      <c r="H78" s="1473"/>
    </row>
    <row r="79" spans="1:8" s="224" customFormat="1" x14ac:dyDescent="0.25">
      <c r="A79" s="215">
        <v>42542</v>
      </c>
      <c r="B79" s="882" t="s">
        <v>1331</v>
      </c>
      <c r="C79" s="879" t="s">
        <v>12</v>
      </c>
      <c r="D79" s="887" t="s">
        <v>15</v>
      </c>
      <c r="E79" s="97">
        <v>30</v>
      </c>
      <c r="F79" s="946"/>
      <c r="G79" s="95"/>
      <c r="H79" s="1473"/>
    </row>
    <row r="80" spans="1:8" s="224" customFormat="1" x14ac:dyDescent="0.25">
      <c r="A80" s="215">
        <v>42542</v>
      </c>
      <c r="B80" s="882" t="s">
        <v>1339</v>
      </c>
      <c r="C80" s="879" t="s">
        <v>19</v>
      </c>
      <c r="D80" s="887" t="s">
        <v>13</v>
      </c>
      <c r="E80" s="97">
        <v>90.53</v>
      </c>
      <c r="F80" s="946"/>
      <c r="G80" s="95"/>
      <c r="H80" s="1473"/>
    </row>
    <row r="81" spans="1:8" x14ac:dyDescent="0.25">
      <c r="A81" s="215">
        <v>42543</v>
      </c>
      <c r="B81" s="882" t="s">
        <v>32</v>
      </c>
      <c r="C81" s="879" t="s">
        <v>12</v>
      </c>
      <c r="D81" s="887" t="s">
        <v>13</v>
      </c>
      <c r="E81" s="97">
        <v>12</v>
      </c>
      <c r="F81" s="946"/>
      <c r="G81" s="95"/>
      <c r="H81" s="946"/>
    </row>
    <row r="82" spans="1:8" x14ac:dyDescent="0.25">
      <c r="A82" s="215">
        <v>42543</v>
      </c>
      <c r="B82" s="882" t="s">
        <v>914</v>
      </c>
      <c r="C82" s="879" t="s">
        <v>12</v>
      </c>
      <c r="D82" s="887" t="s">
        <v>13</v>
      </c>
      <c r="E82" s="97">
        <v>20.66</v>
      </c>
      <c r="F82" s="946"/>
      <c r="G82" s="95"/>
      <c r="H82" s="946"/>
    </row>
    <row r="83" spans="1:8" x14ac:dyDescent="0.25">
      <c r="A83" s="215">
        <v>42543</v>
      </c>
      <c r="B83" s="882" t="s">
        <v>14</v>
      </c>
      <c r="C83" s="879" t="s">
        <v>12</v>
      </c>
      <c r="D83" s="887" t="s">
        <v>13</v>
      </c>
      <c r="E83" s="97">
        <v>32.159999999999997</v>
      </c>
      <c r="F83" s="946"/>
      <c r="G83" s="95"/>
      <c r="H83" s="946"/>
    </row>
    <row r="84" spans="1:8" x14ac:dyDescent="0.25">
      <c r="A84" s="215">
        <v>42544</v>
      </c>
      <c r="B84" s="882" t="s">
        <v>32</v>
      </c>
      <c r="C84" s="879" t="s">
        <v>12</v>
      </c>
      <c r="D84" s="887" t="s">
        <v>13</v>
      </c>
      <c r="E84" s="97">
        <v>12</v>
      </c>
      <c r="F84" s="946"/>
      <c r="G84" s="95"/>
      <c r="H84" s="946"/>
    </row>
    <row r="85" spans="1:8" x14ac:dyDescent="0.25">
      <c r="A85" s="215">
        <v>42544</v>
      </c>
      <c r="B85" s="882" t="s">
        <v>80</v>
      </c>
      <c r="C85" s="879" t="s">
        <v>12</v>
      </c>
      <c r="D85" s="887" t="s">
        <v>13</v>
      </c>
      <c r="E85" s="97">
        <v>17</v>
      </c>
      <c r="F85" s="946"/>
      <c r="G85" s="95"/>
      <c r="H85" s="946"/>
    </row>
    <row r="86" spans="1:8" x14ac:dyDescent="0.25">
      <c r="A86" s="215">
        <v>42545</v>
      </c>
      <c r="B86" s="862" t="s">
        <v>878</v>
      </c>
      <c r="C86" s="350" t="s">
        <v>12</v>
      </c>
      <c r="D86" s="957" t="s">
        <v>13</v>
      </c>
      <c r="E86" s="250">
        <v>51.9</v>
      </c>
      <c r="F86" s="946"/>
      <c r="G86" s="95"/>
      <c r="H86" s="946"/>
    </row>
    <row r="87" spans="1:8" x14ac:dyDescent="0.25">
      <c r="A87" s="215">
        <v>42545</v>
      </c>
      <c r="B87" s="882" t="s">
        <v>32</v>
      </c>
      <c r="C87" s="879" t="s">
        <v>12</v>
      </c>
      <c r="D87" s="887" t="s">
        <v>13</v>
      </c>
      <c r="E87" s="97">
        <v>12</v>
      </c>
      <c r="F87" s="946"/>
      <c r="G87" s="95"/>
      <c r="H87" s="946"/>
    </row>
    <row r="88" spans="1:8" x14ac:dyDescent="0.25">
      <c r="A88" s="215">
        <v>42545</v>
      </c>
      <c r="B88" s="882" t="s">
        <v>14</v>
      </c>
      <c r="C88" s="879" t="s">
        <v>12</v>
      </c>
      <c r="D88" s="887" t="s">
        <v>13</v>
      </c>
      <c r="E88" s="97">
        <v>14.47</v>
      </c>
      <c r="F88" s="946"/>
      <c r="G88" s="95"/>
      <c r="H88" s="946"/>
    </row>
    <row r="89" spans="1:8" s="224" customFormat="1" x14ac:dyDescent="0.25">
      <c r="A89" s="215">
        <v>42545</v>
      </c>
      <c r="B89" s="882" t="s">
        <v>1331</v>
      </c>
      <c r="C89" s="879" t="s">
        <v>12</v>
      </c>
      <c r="D89" s="887" t="s">
        <v>15</v>
      </c>
      <c r="E89" s="97">
        <v>40</v>
      </c>
      <c r="F89" s="946"/>
      <c r="G89" s="97"/>
      <c r="H89" s="1473"/>
    </row>
    <row r="90" spans="1:8" s="224" customFormat="1" x14ac:dyDescent="0.25">
      <c r="A90" s="215">
        <v>42545</v>
      </c>
      <c r="B90" s="882" t="s">
        <v>1315</v>
      </c>
      <c r="C90" s="879" t="s">
        <v>12</v>
      </c>
      <c r="D90" s="887" t="s">
        <v>15</v>
      </c>
      <c r="E90" s="97">
        <v>40</v>
      </c>
      <c r="F90" s="946"/>
      <c r="G90" s="97"/>
      <c r="H90" s="1473"/>
    </row>
    <row r="91" spans="1:8" x14ac:dyDescent="0.25">
      <c r="A91" s="215">
        <v>42546</v>
      </c>
      <c r="B91" s="862" t="s">
        <v>1340</v>
      </c>
      <c r="C91" s="879" t="s">
        <v>12</v>
      </c>
      <c r="D91" s="887" t="s">
        <v>15</v>
      </c>
      <c r="E91" s="250">
        <v>45</v>
      </c>
      <c r="F91" s="946"/>
      <c r="G91" s="95"/>
      <c r="H91" s="946"/>
    </row>
    <row r="92" spans="1:8" x14ac:dyDescent="0.25">
      <c r="A92" s="215">
        <v>42546</v>
      </c>
      <c r="B92" s="862" t="s">
        <v>1092</v>
      </c>
      <c r="C92" s="879" t="s">
        <v>12</v>
      </c>
      <c r="D92" s="887" t="s">
        <v>15</v>
      </c>
      <c r="E92" s="250">
        <v>10</v>
      </c>
      <c r="F92" s="946"/>
      <c r="G92" s="95"/>
      <c r="H92" s="946"/>
    </row>
    <row r="93" spans="1:8" s="224" customFormat="1" x14ac:dyDescent="0.25">
      <c r="A93" s="215">
        <v>42547</v>
      </c>
      <c r="B93" s="862" t="s">
        <v>14</v>
      </c>
      <c r="C93" s="350" t="s">
        <v>12</v>
      </c>
      <c r="D93" s="957" t="s">
        <v>13</v>
      </c>
      <c r="E93" s="97">
        <v>23.27</v>
      </c>
      <c r="F93" s="1473"/>
      <c r="G93" s="252"/>
      <c r="H93" s="946"/>
    </row>
    <row r="94" spans="1:8" x14ac:dyDescent="0.25">
      <c r="A94" s="215">
        <v>42548</v>
      </c>
      <c r="B94" s="882" t="s">
        <v>32</v>
      </c>
      <c r="C94" s="879" t="s">
        <v>12</v>
      </c>
      <c r="D94" s="887" t="s">
        <v>13</v>
      </c>
      <c r="E94" s="97">
        <v>12</v>
      </c>
      <c r="F94" s="946"/>
      <c r="G94" s="95"/>
      <c r="H94" s="946"/>
    </row>
    <row r="95" spans="1:8" x14ac:dyDescent="0.25">
      <c r="A95" s="215">
        <v>42548</v>
      </c>
      <c r="B95" s="862" t="s">
        <v>14</v>
      </c>
      <c r="C95" s="350" t="s">
        <v>12</v>
      </c>
      <c r="D95" s="957" t="s">
        <v>13</v>
      </c>
      <c r="E95" s="97">
        <v>9.2899999999999991</v>
      </c>
      <c r="F95" s="946"/>
      <c r="G95" s="95"/>
      <c r="H95" s="946"/>
    </row>
    <row r="96" spans="1:8" x14ac:dyDescent="0.25">
      <c r="A96" s="215">
        <v>42549</v>
      </c>
      <c r="B96" s="882" t="s">
        <v>32</v>
      </c>
      <c r="C96" s="879" t="s">
        <v>12</v>
      </c>
      <c r="D96" s="887" t="s">
        <v>13</v>
      </c>
      <c r="E96" s="97">
        <v>12</v>
      </c>
      <c r="F96" s="946"/>
      <c r="G96" s="95"/>
      <c r="H96" s="946"/>
    </row>
    <row r="97" spans="1:8" x14ac:dyDescent="0.25">
      <c r="A97" s="215">
        <v>42549</v>
      </c>
      <c r="B97" s="862" t="s">
        <v>134</v>
      </c>
      <c r="C97" s="879" t="s">
        <v>12</v>
      </c>
      <c r="D97" s="887" t="s">
        <v>15</v>
      </c>
      <c r="E97" s="250">
        <v>8</v>
      </c>
      <c r="F97" s="946"/>
      <c r="G97" s="95"/>
      <c r="H97" s="946"/>
    </row>
    <row r="98" spans="1:8" x14ac:dyDescent="0.25">
      <c r="A98" s="215">
        <v>42550</v>
      </c>
      <c r="B98" s="882" t="s">
        <v>32</v>
      </c>
      <c r="C98" s="879" t="s">
        <v>12</v>
      </c>
      <c r="D98" s="887" t="s">
        <v>15</v>
      </c>
      <c r="E98" s="97">
        <v>12</v>
      </c>
      <c r="F98" s="946"/>
      <c r="G98" s="95"/>
      <c r="H98" s="946"/>
    </row>
    <row r="99" spans="1:8" x14ac:dyDescent="0.25">
      <c r="A99" s="215">
        <v>42550</v>
      </c>
      <c r="B99" s="862" t="s">
        <v>14</v>
      </c>
      <c r="C99" s="350" t="s">
        <v>12</v>
      </c>
      <c r="D99" s="957" t="s">
        <v>13</v>
      </c>
      <c r="E99" s="97">
        <v>8.82</v>
      </c>
      <c r="F99" s="946"/>
      <c r="G99" s="95"/>
      <c r="H99" s="946"/>
    </row>
    <row r="100" spans="1:8" x14ac:dyDescent="0.25">
      <c r="A100" s="215">
        <v>42550</v>
      </c>
      <c r="B100" s="862" t="s">
        <v>1341</v>
      </c>
      <c r="C100" s="350" t="s">
        <v>12</v>
      </c>
      <c r="D100" s="957" t="s">
        <v>15</v>
      </c>
      <c r="E100" s="97">
        <v>5</v>
      </c>
      <c r="F100" s="946"/>
      <c r="G100" s="95"/>
      <c r="H100" s="946"/>
    </row>
    <row r="101" spans="1:8" x14ac:dyDescent="0.25">
      <c r="A101" s="215">
        <v>42551</v>
      </c>
      <c r="B101" s="882" t="s">
        <v>32</v>
      </c>
      <c r="C101" s="879" t="s">
        <v>12</v>
      </c>
      <c r="D101" s="887" t="s">
        <v>13</v>
      </c>
      <c r="E101" s="97">
        <v>12</v>
      </c>
      <c r="F101" s="946"/>
      <c r="G101" s="95"/>
      <c r="H101" s="946"/>
    </row>
    <row r="102" spans="1:8" ht="15.75" thickBot="1" x14ac:dyDescent="0.3">
      <c r="A102" s="215">
        <v>42551</v>
      </c>
      <c r="B102" s="349" t="s">
        <v>80</v>
      </c>
      <c r="C102" s="350" t="s">
        <v>12</v>
      </c>
      <c r="D102" s="141" t="s">
        <v>13</v>
      </c>
      <c r="E102" s="97">
        <v>17</v>
      </c>
      <c r="F102" s="946"/>
      <c r="G102" s="95"/>
      <c r="H102" s="946"/>
    </row>
    <row r="103" spans="1:8" ht="25.5" customHeight="1" thickBot="1" x14ac:dyDescent="0.3">
      <c r="A103" s="3060"/>
      <c r="B103" s="3061"/>
      <c r="C103" s="3062"/>
      <c r="D103" s="3062"/>
      <c r="E103" s="100">
        <f>SUM(E6:E102)</f>
        <v>3493.41</v>
      </c>
      <c r="F103" s="1065">
        <f>SUM(F5:F102)</f>
        <v>3646.7030000000027</v>
      </c>
      <c r="G103" s="101">
        <f>SUM(G6:G102)</f>
        <v>330.37</v>
      </c>
      <c r="H103" s="93">
        <f>SUM(H5:H102)</f>
        <v>1480.3700000000001</v>
      </c>
    </row>
    <row r="104" spans="1:8" ht="25.5" customHeight="1" thickBot="1" x14ac:dyDescent="0.3">
      <c r="A104" s="3077" t="s">
        <v>49</v>
      </c>
      <c r="B104" s="3078"/>
      <c r="C104" s="3078"/>
      <c r="D104" s="3078"/>
      <c r="E104" s="144"/>
      <c r="F104" s="519">
        <f>F103-E103</f>
        <v>153.29300000000285</v>
      </c>
      <c r="G104" s="555"/>
      <c r="H104" s="556">
        <f>H103-G103</f>
        <v>1150</v>
      </c>
    </row>
    <row r="105" spans="1:8" x14ac:dyDescent="0.25">
      <c r="F105" s="89"/>
    </row>
    <row r="106" spans="1:8" x14ac:dyDescent="0.25">
      <c r="B106" s="79" t="s">
        <v>32</v>
      </c>
      <c r="C106" s="475">
        <v>277</v>
      </c>
    </row>
    <row r="107" spans="1:8" x14ac:dyDescent="0.25">
      <c r="B107" s="79" t="s">
        <v>1218</v>
      </c>
      <c r="C107" s="475">
        <v>220</v>
      </c>
      <c r="D107" s="79"/>
    </row>
    <row r="108" spans="1:8" x14ac:dyDescent="0.25">
      <c r="B108" s="79" t="s">
        <v>50</v>
      </c>
      <c r="C108" s="484">
        <v>98.97</v>
      </c>
    </row>
    <row r="109" spans="1:8" s="85" customFormat="1" x14ac:dyDescent="0.25">
      <c r="A109" s="79"/>
      <c r="B109" s="79" t="s">
        <v>14</v>
      </c>
      <c r="C109" s="484">
        <v>212.53</v>
      </c>
      <c r="E109" s="89"/>
      <c r="F109" s="79"/>
      <c r="G109" s="79"/>
    </row>
    <row r="110" spans="1:8" s="85" customFormat="1" x14ac:dyDescent="0.25">
      <c r="A110" s="79"/>
      <c r="B110" s="79" t="s">
        <v>51</v>
      </c>
      <c r="C110" s="475">
        <v>116.28</v>
      </c>
      <c r="E110" s="89"/>
      <c r="F110" s="79"/>
      <c r="G110" s="79"/>
      <c r="H110" s="79"/>
    </row>
    <row r="111" spans="1:8" s="85" customFormat="1" x14ac:dyDescent="0.25">
      <c r="A111" s="79"/>
      <c r="B111" s="79" t="s">
        <v>52</v>
      </c>
      <c r="C111" s="475">
        <v>60</v>
      </c>
      <c r="E111" s="89"/>
      <c r="F111" s="79"/>
      <c r="G111" s="79"/>
      <c r="H111" s="79"/>
    </row>
    <row r="112" spans="1:8" s="85" customFormat="1" x14ac:dyDescent="0.25">
      <c r="A112" s="79"/>
      <c r="B112" s="867" t="s">
        <v>53</v>
      </c>
      <c r="C112" s="475">
        <v>382</v>
      </c>
      <c r="D112" s="89"/>
      <c r="E112" s="89"/>
      <c r="F112" s="79"/>
      <c r="G112" s="79"/>
      <c r="H112" s="79"/>
    </row>
    <row r="113" spans="1:9" s="85" customFormat="1" x14ac:dyDescent="0.25">
      <c r="A113" s="79"/>
      <c r="B113" s="79" t="s">
        <v>1232</v>
      </c>
      <c r="C113" s="475">
        <v>568.53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56</v>
      </c>
      <c r="C114" s="475">
        <v>55</v>
      </c>
      <c r="E114" s="89"/>
      <c r="F114" s="79"/>
      <c r="G114" s="79"/>
      <c r="H114" s="79"/>
    </row>
    <row r="115" spans="1:9" s="85" customFormat="1" x14ac:dyDescent="0.25">
      <c r="A115" s="79"/>
      <c r="B115" s="79" t="s">
        <v>57</v>
      </c>
      <c r="C115" s="475">
        <v>373.04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418</v>
      </c>
      <c r="C116" s="475"/>
      <c r="D116" s="79"/>
      <c r="E116" s="89"/>
      <c r="F116" s="79"/>
      <c r="G116" s="79"/>
      <c r="H116" s="79"/>
    </row>
    <row r="117" spans="1:9" x14ac:dyDescent="0.25">
      <c r="B117" s="79" t="s">
        <v>419</v>
      </c>
      <c r="C117" s="475">
        <v>706.62</v>
      </c>
    </row>
    <row r="118" spans="1:9" x14ac:dyDescent="0.25">
      <c r="B118" s="79" t="s">
        <v>911</v>
      </c>
      <c r="C118" s="475">
        <v>17</v>
      </c>
    </row>
    <row r="120" spans="1:9" x14ac:dyDescent="0.25">
      <c r="B120" s="79" t="s">
        <v>486</v>
      </c>
      <c r="C120" s="475">
        <f>G120/I120</f>
        <v>105.84699999999999</v>
      </c>
      <c r="E120" s="224" t="s">
        <v>487</v>
      </c>
      <c r="F120" s="224"/>
      <c r="G120" s="216">
        <v>3175.41</v>
      </c>
      <c r="H120" s="518" t="s">
        <v>488</v>
      </c>
      <c r="I120" s="85">
        <v>30</v>
      </c>
    </row>
    <row r="131" spans="3:8" x14ac:dyDescent="0.25">
      <c r="C131" s="79"/>
      <c r="D131" s="79"/>
      <c r="E131" s="79"/>
      <c r="H131" s="216"/>
    </row>
    <row r="132" spans="3:8" x14ac:dyDescent="0.25">
      <c r="C132" s="79"/>
      <c r="D132" s="79"/>
      <c r="E132" s="79"/>
      <c r="H132" s="216"/>
    </row>
    <row r="133" spans="3:8" x14ac:dyDescent="0.25">
      <c r="C133" s="79"/>
      <c r="D133" s="79"/>
      <c r="E133" s="79"/>
      <c r="F133" s="216"/>
      <c r="H133" s="216"/>
    </row>
    <row r="134" spans="3:8" x14ac:dyDescent="0.25">
      <c r="C134" s="79"/>
      <c r="D134" s="79"/>
      <c r="E134" s="79"/>
      <c r="F134" s="216"/>
      <c r="H134" s="216"/>
    </row>
    <row r="135" spans="3:8" x14ac:dyDescent="0.25">
      <c r="C135" s="79"/>
      <c r="D135" s="79"/>
      <c r="E135" s="79"/>
      <c r="F135" s="216"/>
    </row>
    <row r="136" spans="3:8" x14ac:dyDescent="0.25">
      <c r="C136" s="79"/>
      <c r="D136" s="79"/>
      <c r="E136" s="79"/>
      <c r="H136" s="216"/>
    </row>
    <row r="138" spans="3:8" x14ac:dyDescent="0.25">
      <c r="C138" s="79"/>
      <c r="D138" s="79"/>
      <c r="E138" s="79"/>
      <c r="H138" s="629"/>
    </row>
    <row r="144" spans="3:8" x14ac:dyDescent="0.25">
      <c r="C144" s="79"/>
      <c r="D144" s="79"/>
      <c r="E144" s="79"/>
      <c r="H144" s="216"/>
    </row>
    <row r="145" spans="3:8" x14ac:dyDescent="0.25">
      <c r="C145" s="79"/>
      <c r="D145" s="79"/>
      <c r="E145" s="79"/>
      <c r="H145" s="216"/>
    </row>
    <row r="146" spans="3:8" x14ac:dyDescent="0.25">
      <c r="C146" s="79"/>
      <c r="D146" s="79"/>
      <c r="E146" s="79"/>
      <c r="H146" s="216"/>
    </row>
    <row r="147" spans="3:8" x14ac:dyDescent="0.25">
      <c r="C147" s="79"/>
      <c r="D147" s="79"/>
      <c r="E147" s="79"/>
      <c r="H147" s="216"/>
    </row>
    <row r="148" spans="3:8" x14ac:dyDescent="0.25">
      <c r="C148" s="79"/>
      <c r="D148" s="79"/>
      <c r="E148" s="79"/>
      <c r="H148" s="216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</sheetData>
  <autoFilter ref="A2:H104" xr:uid="{00000000-0009-0000-0000-000030000000}"/>
  <mergeCells count="10">
    <mergeCell ref="A103:D103"/>
    <mergeCell ref="A104:D10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Plan55"/>
  <dimension ref="A1:I157"/>
  <sheetViews>
    <sheetView zoomScale="85" zoomScaleNormal="85" workbookViewId="0">
      <pane ySplit="4" topLeftCell="A47" activePane="bottomLeft" state="frozen"/>
      <selection activeCell="C44" sqref="C44"/>
      <selection pane="bottomLeft" activeCell="B49" sqref="B4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1342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42552</v>
      </c>
      <c r="B5" s="369" t="s">
        <v>10</v>
      </c>
      <c r="C5" s="370"/>
      <c r="D5" s="207"/>
      <c r="E5" s="179"/>
      <c r="F5" s="933">
        <f>'Junho-16'!F104</f>
        <v>153.29300000000285</v>
      </c>
      <c r="G5" s="163"/>
      <c r="H5" s="933">
        <f>'Junho-16'!H104</f>
        <v>1150</v>
      </c>
    </row>
    <row r="6" spans="1:8" s="224" customFormat="1" x14ac:dyDescent="0.25">
      <c r="A6" s="215">
        <v>42552</v>
      </c>
      <c r="B6" s="348" t="s">
        <v>11</v>
      </c>
      <c r="C6" s="351"/>
      <c r="D6" s="248"/>
      <c r="E6" s="250">
        <v>45</v>
      </c>
      <c r="F6" s="1473"/>
      <c r="G6" s="252"/>
      <c r="H6" s="1473"/>
    </row>
    <row r="7" spans="1:8" s="224" customFormat="1" x14ac:dyDescent="0.25">
      <c r="A7" s="215">
        <v>42552</v>
      </c>
      <c r="B7" s="349" t="s">
        <v>32</v>
      </c>
      <c r="C7" s="350" t="s">
        <v>12</v>
      </c>
      <c r="D7" s="141" t="s">
        <v>13</v>
      </c>
      <c r="E7" s="97">
        <v>12</v>
      </c>
      <c r="F7" s="946"/>
      <c r="G7" s="97"/>
      <c r="H7" s="946"/>
    </row>
    <row r="8" spans="1:8" s="224" customFormat="1" x14ac:dyDescent="0.25">
      <c r="A8" s="215">
        <v>42552</v>
      </c>
      <c r="B8" s="862" t="s">
        <v>14</v>
      </c>
      <c r="C8" s="350" t="s">
        <v>12</v>
      </c>
      <c r="D8" s="141" t="s">
        <v>13</v>
      </c>
      <c r="E8" s="97">
        <v>22.5</v>
      </c>
      <c r="F8" s="946"/>
      <c r="G8" s="97"/>
      <c r="H8" s="1473"/>
    </row>
    <row r="9" spans="1:8" s="224" customFormat="1" x14ac:dyDescent="0.25">
      <c r="A9" s="215">
        <v>42552</v>
      </c>
      <c r="B9" s="349" t="s">
        <v>1137</v>
      </c>
      <c r="C9" s="350" t="s">
        <v>12</v>
      </c>
      <c r="D9" s="141" t="s">
        <v>13</v>
      </c>
      <c r="E9" s="97">
        <v>10.5</v>
      </c>
      <c r="F9" s="946"/>
      <c r="G9" s="97"/>
      <c r="H9" s="1473"/>
    </row>
    <row r="10" spans="1:8" s="224" customFormat="1" x14ac:dyDescent="0.25">
      <c r="A10" s="215">
        <v>42553</v>
      </c>
      <c r="B10" s="349" t="s">
        <v>1331</v>
      </c>
      <c r="C10" s="350" t="s">
        <v>12</v>
      </c>
      <c r="D10" s="141" t="s">
        <v>13</v>
      </c>
      <c r="E10" s="97">
        <v>50</v>
      </c>
      <c r="F10" s="946"/>
      <c r="G10" s="97"/>
      <c r="H10" s="1473"/>
    </row>
    <row r="11" spans="1:8" s="224" customFormat="1" x14ac:dyDescent="0.25">
      <c r="A11" s="215">
        <v>42553</v>
      </c>
      <c r="B11" s="349" t="s">
        <v>32</v>
      </c>
      <c r="C11" s="350" t="s">
        <v>12</v>
      </c>
      <c r="D11" s="141" t="s">
        <v>13</v>
      </c>
      <c r="E11" s="97">
        <v>15</v>
      </c>
      <c r="F11" s="946"/>
      <c r="G11" s="97"/>
      <c r="H11" s="1473"/>
    </row>
    <row r="12" spans="1:8" s="224" customFormat="1" x14ac:dyDescent="0.25">
      <c r="A12" s="215">
        <v>42553</v>
      </c>
      <c r="B12" s="349" t="s">
        <v>1343</v>
      </c>
      <c r="C12" s="350" t="s">
        <v>19</v>
      </c>
      <c r="D12" s="141" t="s">
        <v>13</v>
      </c>
      <c r="E12" s="97">
        <v>30.72</v>
      </c>
      <c r="F12" s="946"/>
      <c r="G12" s="97"/>
      <c r="H12" s="1473"/>
    </row>
    <row r="13" spans="1:8" s="224" customFormat="1" x14ac:dyDescent="0.25">
      <c r="A13" s="215">
        <v>42553</v>
      </c>
      <c r="B13" s="349" t="s">
        <v>649</v>
      </c>
      <c r="C13" s="350" t="s">
        <v>19</v>
      </c>
      <c r="D13" s="141" t="s">
        <v>13</v>
      </c>
      <c r="E13" s="97">
        <v>23.8</v>
      </c>
      <c r="F13" s="946"/>
      <c r="G13" s="97"/>
      <c r="H13" s="1473"/>
    </row>
    <row r="14" spans="1:8" s="224" customFormat="1" x14ac:dyDescent="0.25">
      <c r="A14" s="215">
        <v>42553</v>
      </c>
      <c r="B14" s="349" t="s">
        <v>1344</v>
      </c>
      <c r="C14" s="350" t="s">
        <v>12</v>
      </c>
      <c r="D14" s="141" t="s">
        <v>15</v>
      </c>
      <c r="E14" s="97">
        <v>21.5</v>
      </c>
      <c r="F14" s="946"/>
      <c r="G14" s="97"/>
      <c r="H14" s="1473"/>
    </row>
    <row r="15" spans="1:8" s="224" customFormat="1" x14ac:dyDescent="0.25">
      <c r="A15" s="215">
        <v>42554</v>
      </c>
      <c r="B15" s="862" t="s">
        <v>256</v>
      </c>
      <c r="C15" s="879"/>
      <c r="D15" s="1475"/>
      <c r="E15" s="97"/>
      <c r="F15" s="946">
        <v>250</v>
      </c>
      <c r="G15" s="97">
        <v>250</v>
      </c>
      <c r="H15" s="1473"/>
    </row>
    <row r="16" spans="1:8" s="224" customFormat="1" x14ac:dyDescent="0.25">
      <c r="A16" s="215">
        <v>42554</v>
      </c>
      <c r="B16" s="349" t="s">
        <v>14</v>
      </c>
      <c r="C16" s="350" t="s">
        <v>12</v>
      </c>
      <c r="D16" s="141" t="s">
        <v>13</v>
      </c>
      <c r="E16" s="97">
        <v>17.739999999999998</v>
      </c>
      <c r="F16" s="946"/>
      <c r="G16" s="97"/>
      <c r="H16" s="1473"/>
    </row>
    <row r="17" spans="1:8" s="224" customFormat="1" x14ac:dyDescent="0.25">
      <c r="A17" s="215">
        <v>42554</v>
      </c>
      <c r="B17" s="349" t="s">
        <v>134</v>
      </c>
      <c r="C17" s="350" t="s">
        <v>12</v>
      </c>
      <c r="D17" s="141" t="s">
        <v>13</v>
      </c>
      <c r="E17" s="97">
        <v>7.92</v>
      </c>
      <c r="F17" s="946"/>
      <c r="G17" s="97"/>
      <c r="H17" s="1473"/>
    </row>
    <row r="18" spans="1:8" s="224" customFormat="1" x14ac:dyDescent="0.25">
      <c r="A18" s="215">
        <v>42555</v>
      </c>
      <c r="B18" s="349" t="s">
        <v>32</v>
      </c>
      <c r="C18" s="350" t="s">
        <v>12</v>
      </c>
      <c r="D18" s="141" t="s">
        <v>13</v>
      </c>
      <c r="E18" s="97">
        <v>12</v>
      </c>
      <c r="F18" s="946"/>
      <c r="G18" s="97"/>
      <c r="H18" s="946"/>
    </row>
    <row r="19" spans="1:8" s="224" customFormat="1" x14ac:dyDescent="0.25">
      <c r="A19" s="215">
        <v>42555</v>
      </c>
      <c r="B19" s="349" t="s">
        <v>14</v>
      </c>
      <c r="C19" s="350" t="s">
        <v>12</v>
      </c>
      <c r="D19" s="141" t="s">
        <v>13</v>
      </c>
      <c r="E19" s="97">
        <v>4.03</v>
      </c>
      <c r="F19" s="946"/>
      <c r="G19" s="97"/>
      <c r="H19" s="1473"/>
    </row>
    <row r="20" spans="1:8" s="224" customFormat="1" x14ac:dyDescent="0.25">
      <c r="A20" s="215">
        <v>42556</v>
      </c>
      <c r="B20" s="349" t="s">
        <v>32</v>
      </c>
      <c r="C20" s="350" t="s">
        <v>12</v>
      </c>
      <c r="D20" s="141" t="s">
        <v>13</v>
      </c>
      <c r="E20" s="97">
        <v>12</v>
      </c>
      <c r="F20" s="946"/>
      <c r="G20" s="97"/>
      <c r="H20" s="1473"/>
    </row>
    <row r="21" spans="1:8" s="224" customFormat="1" x14ac:dyDescent="0.25">
      <c r="A21" s="215">
        <v>42556</v>
      </c>
      <c r="B21" s="349" t="s">
        <v>1274</v>
      </c>
      <c r="C21" s="350" t="s">
        <v>12</v>
      </c>
      <c r="D21" s="141" t="s">
        <v>13</v>
      </c>
      <c r="E21" s="97">
        <v>40</v>
      </c>
      <c r="F21" s="946"/>
      <c r="G21" s="97"/>
      <c r="H21" s="1473"/>
    </row>
    <row r="22" spans="1:8" s="224" customFormat="1" x14ac:dyDescent="0.25">
      <c r="A22" s="215">
        <v>42556</v>
      </c>
      <c r="B22" s="349" t="s">
        <v>14</v>
      </c>
      <c r="C22" s="350" t="s">
        <v>12</v>
      </c>
      <c r="D22" s="141" t="s">
        <v>13</v>
      </c>
      <c r="E22" s="97">
        <v>5.23</v>
      </c>
      <c r="F22" s="946"/>
      <c r="G22" s="97"/>
      <c r="H22" s="1473"/>
    </row>
    <row r="23" spans="1:8" s="224" customFormat="1" x14ac:dyDescent="0.25">
      <c r="A23" s="215">
        <v>42556</v>
      </c>
      <c r="B23" s="349" t="s">
        <v>311</v>
      </c>
      <c r="C23" s="350"/>
      <c r="D23" s="141"/>
      <c r="E23" s="97"/>
      <c r="F23" s="946"/>
      <c r="G23" s="97"/>
      <c r="H23" s="946">
        <v>6.17</v>
      </c>
    </row>
    <row r="24" spans="1:8" x14ac:dyDescent="0.25">
      <c r="A24" s="215">
        <v>42557</v>
      </c>
      <c r="B24" s="349" t="s">
        <v>32</v>
      </c>
      <c r="C24" s="350" t="s">
        <v>12</v>
      </c>
      <c r="D24" s="141" t="s">
        <v>13</v>
      </c>
      <c r="E24" s="97">
        <v>12</v>
      </c>
      <c r="F24" s="946"/>
      <c r="G24" s="95"/>
      <c r="H24" s="946"/>
    </row>
    <row r="25" spans="1:8" x14ac:dyDescent="0.25">
      <c r="A25" s="215">
        <v>42557</v>
      </c>
      <c r="B25" s="349" t="s">
        <v>260</v>
      </c>
      <c r="C25" s="350"/>
      <c r="D25" s="141"/>
      <c r="E25" s="97">
        <v>260</v>
      </c>
      <c r="F25" s="946"/>
      <c r="G25" s="95"/>
      <c r="H25" s="946">
        <v>260</v>
      </c>
    </row>
    <row r="26" spans="1:8" s="224" customFormat="1" ht="15.75" customHeight="1" x14ac:dyDescent="0.25">
      <c r="A26" s="215">
        <v>42557</v>
      </c>
      <c r="B26" s="349" t="s">
        <v>1345</v>
      </c>
      <c r="C26" s="879" t="s">
        <v>12</v>
      </c>
      <c r="D26" s="983" t="s">
        <v>25</v>
      </c>
      <c r="E26" s="250"/>
      <c r="F26" s="1473">
        <v>1548.82</v>
      </c>
      <c r="G26" s="252"/>
      <c r="H26" s="946"/>
    </row>
    <row r="27" spans="1:8" s="224" customFormat="1" ht="15.75" customHeight="1" x14ac:dyDescent="0.25">
      <c r="A27" s="215">
        <v>42557</v>
      </c>
      <c r="B27" s="862" t="s">
        <v>1346</v>
      </c>
      <c r="C27" s="350" t="s">
        <v>12</v>
      </c>
      <c r="D27" s="141" t="s">
        <v>13</v>
      </c>
      <c r="E27" s="97">
        <v>433.08</v>
      </c>
      <c r="F27" s="1473"/>
      <c r="G27" s="252"/>
      <c r="H27" s="946"/>
    </row>
    <row r="28" spans="1:8" s="224" customFormat="1" ht="15.75" customHeight="1" x14ac:dyDescent="0.25">
      <c r="A28" s="215">
        <v>42557</v>
      </c>
      <c r="B28" s="882" t="s">
        <v>1347</v>
      </c>
      <c r="C28" s="350" t="s">
        <v>12</v>
      </c>
      <c r="D28" s="141" t="s">
        <v>13</v>
      </c>
      <c r="E28" s="97">
        <v>54.47</v>
      </c>
      <c r="F28" s="1473"/>
      <c r="G28" s="252"/>
      <c r="H28" s="946"/>
    </row>
    <row r="29" spans="1:8" s="224" customFormat="1" x14ac:dyDescent="0.25">
      <c r="A29" s="215">
        <v>42557</v>
      </c>
      <c r="B29" s="862" t="s">
        <v>1091</v>
      </c>
      <c r="C29" s="879" t="s">
        <v>12</v>
      </c>
      <c r="D29" s="887" t="s">
        <v>15</v>
      </c>
      <c r="E29" s="250">
        <v>210</v>
      </c>
      <c r="F29" s="946"/>
      <c r="G29" s="97"/>
      <c r="H29" s="1473"/>
    </row>
    <row r="30" spans="1:8" x14ac:dyDescent="0.25">
      <c r="A30" s="215">
        <v>42557</v>
      </c>
      <c r="B30" s="862" t="s">
        <v>52</v>
      </c>
      <c r="C30" s="879" t="s">
        <v>12</v>
      </c>
      <c r="D30" s="1475" t="s">
        <v>15</v>
      </c>
      <c r="E30" s="97">
        <v>60</v>
      </c>
      <c r="F30" s="946"/>
      <c r="G30" s="97"/>
      <c r="H30" s="946"/>
    </row>
    <row r="31" spans="1:8" x14ac:dyDescent="0.25">
      <c r="A31" s="215">
        <v>42557</v>
      </c>
      <c r="B31" s="349" t="s">
        <v>14</v>
      </c>
      <c r="C31" s="350" t="s">
        <v>12</v>
      </c>
      <c r="D31" s="141" t="s">
        <v>13</v>
      </c>
      <c r="E31" s="97">
        <v>9.86</v>
      </c>
      <c r="F31" s="946"/>
      <c r="G31" s="95"/>
      <c r="H31" s="946"/>
    </row>
    <row r="32" spans="1:8" x14ac:dyDescent="0.25">
      <c r="A32" s="215">
        <v>42558</v>
      </c>
      <c r="B32" s="349" t="s">
        <v>32</v>
      </c>
      <c r="C32" s="350" t="s">
        <v>12</v>
      </c>
      <c r="D32" s="141" t="s">
        <v>13</v>
      </c>
      <c r="E32" s="97">
        <v>12</v>
      </c>
      <c r="F32" s="946"/>
      <c r="G32" s="97"/>
      <c r="H32" s="946"/>
    </row>
    <row r="33" spans="1:8" x14ac:dyDescent="0.25">
      <c r="A33" s="215">
        <v>42558</v>
      </c>
      <c r="B33" s="349" t="s">
        <v>1331</v>
      </c>
      <c r="C33" s="350" t="s">
        <v>19</v>
      </c>
      <c r="D33" s="141" t="s">
        <v>13</v>
      </c>
      <c r="E33" s="97">
        <v>70</v>
      </c>
      <c r="F33" s="946"/>
      <c r="G33" s="97"/>
      <c r="H33" s="946"/>
    </row>
    <row r="34" spans="1:8" x14ac:dyDescent="0.25">
      <c r="A34" s="215">
        <v>42558</v>
      </c>
      <c r="B34" s="349" t="s">
        <v>1348</v>
      </c>
      <c r="C34" s="350" t="s">
        <v>19</v>
      </c>
      <c r="D34" s="141" t="s">
        <v>13</v>
      </c>
      <c r="E34" s="97">
        <v>50</v>
      </c>
      <c r="F34" s="946"/>
      <c r="G34" s="97"/>
      <c r="H34" s="946"/>
    </row>
    <row r="35" spans="1:8" x14ac:dyDescent="0.25">
      <c r="A35" s="215">
        <v>42558</v>
      </c>
      <c r="B35" s="349" t="s">
        <v>134</v>
      </c>
      <c r="C35" s="350" t="s">
        <v>19</v>
      </c>
      <c r="D35" s="141" t="s">
        <v>13</v>
      </c>
      <c r="E35" s="97">
        <v>9.2799999999999994</v>
      </c>
      <c r="F35" s="946"/>
      <c r="G35" s="97"/>
      <c r="H35" s="946"/>
    </row>
    <row r="36" spans="1:8" x14ac:dyDescent="0.25">
      <c r="A36" s="215">
        <v>42558</v>
      </c>
      <c r="B36" s="349" t="s">
        <v>1349</v>
      </c>
      <c r="C36" s="350" t="s">
        <v>19</v>
      </c>
      <c r="D36" s="141" t="s">
        <v>13</v>
      </c>
      <c r="E36" s="97">
        <v>53.56</v>
      </c>
      <c r="F36" s="946"/>
      <c r="G36" s="97"/>
      <c r="H36" s="946"/>
    </row>
    <row r="37" spans="1:8" x14ac:dyDescent="0.25">
      <c r="A37" s="215">
        <v>42559</v>
      </c>
      <c r="B37" s="349" t="s">
        <v>32</v>
      </c>
      <c r="C37" s="350" t="s">
        <v>12</v>
      </c>
      <c r="D37" s="141" t="s">
        <v>13</v>
      </c>
      <c r="E37" s="97">
        <v>12</v>
      </c>
      <c r="F37" s="946"/>
      <c r="G37" s="97"/>
      <c r="H37" s="946"/>
    </row>
    <row r="38" spans="1:8" x14ac:dyDescent="0.25">
      <c r="A38" s="215">
        <v>42559</v>
      </c>
      <c r="B38" s="349" t="s">
        <v>14</v>
      </c>
      <c r="C38" s="350" t="s">
        <v>12</v>
      </c>
      <c r="D38" s="141" t="s">
        <v>13</v>
      </c>
      <c r="E38" s="97">
        <v>8.5</v>
      </c>
      <c r="F38" s="946"/>
      <c r="G38" s="97"/>
      <c r="H38" s="946"/>
    </row>
    <row r="39" spans="1:8" x14ac:dyDescent="0.25">
      <c r="A39" s="215">
        <v>42560</v>
      </c>
      <c r="B39" s="862" t="s">
        <v>1350</v>
      </c>
      <c r="C39" s="350" t="s">
        <v>12</v>
      </c>
      <c r="D39" s="141" t="s">
        <v>13</v>
      </c>
      <c r="E39" s="97">
        <v>44.17</v>
      </c>
      <c r="F39" s="946"/>
      <c r="G39" s="97"/>
      <c r="H39" s="946"/>
    </row>
    <row r="40" spans="1:8" x14ac:dyDescent="0.25">
      <c r="A40" s="215">
        <v>42560</v>
      </c>
      <c r="B40" s="862" t="s">
        <v>32</v>
      </c>
      <c r="C40" s="350" t="s">
        <v>12</v>
      </c>
      <c r="D40" s="141" t="s">
        <v>13</v>
      </c>
      <c r="E40" s="97">
        <v>15</v>
      </c>
      <c r="F40" s="946"/>
      <c r="G40" s="97"/>
      <c r="H40" s="946"/>
    </row>
    <row r="41" spans="1:8" x14ac:dyDescent="0.25">
      <c r="A41" s="215">
        <v>42560</v>
      </c>
      <c r="B41" s="862" t="s">
        <v>80</v>
      </c>
      <c r="C41" s="350" t="s">
        <v>12</v>
      </c>
      <c r="D41" s="141" t="s">
        <v>13</v>
      </c>
      <c r="E41" s="97">
        <v>29</v>
      </c>
      <c r="F41" s="946"/>
      <c r="G41" s="97"/>
      <c r="H41" s="946"/>
    </row>
    <row r="42" spans="1:8" x14ac:dyDescent="0.25">
      <c r="A42" s="215">
        <v>42561</v>
      </c>
      <c r="B42" s="862" t="s">
        <v>914</v>
      </c>
      <c r="C42" s="350" t="s">
        <v>12</v>
      </c>
      <c r="D42" s="141" t="s">
        <v>13</v>
      </c>
      <c r="E42" s="97">
        <v>8.56</v>
      </c>
      <c r="F42" s="946"/>
      <c r="G42" s="97"/>
      <c r="H42" s="946"/>
    </row>
    <row r="43" spans="1:8" x14ac:dyDescent="0.25">
      <c r="A43" s="215">
        <v>42561</v>
      </c>
      <c r="B43" s="862" t="s">
        <v>1351</v>
      </c>
      <c r="C43" s="350" t="s">
        <v>12</v>
      </c>
      <c r="D43" s="141" t="s">
        <v>13</v>
      </c>
      <c r="E43" s="97">
        <v>19.3</v>
      </c>
      <c r="F43" s="946"/>
      <c r="G43" s="97"/>
      <c r="H43" s="946"/>
    </row>
    <row r="44" spans="1:8" x14ac:dyDescent="0.25">
      <c r="A44" s="215">
        <v>42561</v>
      </c>
      <c r="B44" s="862" t="s">
        <v>1274</v>
      </c>
      <c r="C44" s="350" t="s">
        <v>12</v>
      </c>
      <c r="D44" s="141" t="s">
        <v>13</v>
      </c>
      <c r="E44" s="97">
        <v>40</v>
      </c>
      <c r="F44" s="946"/>
      <c r="G44" s="97"/>
      <c r="H44" s="946"/>
    </row>
    <row r="45" spans="1:8" x14ac:dyDescent="0.25">
      <c r="A45" s="215">
        <v>42562</v>
      </c>
      <c r="B45" s="349" t="s">
        <v>32</v>
      </c>
      <c r="C45" s="350" t="s">
        <v>12</v>
      </c>
      <c r="D45" s="141" t="s">
        <v>13</v>
      </c>
      <c r="E45" s="97">
        <v>12</v>
      </c>
      <c r="F45" s="946"/>
      <c r="G45" s="97"/>
      <c r="H45" s="946"/>
    </row>
    <row r="46" spans="1:8" x14ac:dyDescent="0.25">
      <c r="A46" s="215">
        <v>42562</v>
      </c>
      <c r="B46" s="349" t="s">
        <v>134</v>
      </c>
      <c r="C46" s="350" t="s">
        <v>12</v>
      </c>
      <c r="D46" s="141" t="s">
        <v>13</v>
      </c>
      <c r="E46" s="97">
        <v>8</v>
      </c>
      <c r="F46" s="946"/>
      <c r="G46" s="97"/>
      <c r="H46" s="946"/>
    </row>
    <row r="47" spans="1:8" s="224" customFormat="1" x14ac:dyDescent="0.25">
      <c r="A47" s="215">
        <v>42563</v>
      </c>
      <c r="B47" s="349" t="s">
        <v>32</v>
      </c>
      <c r="C47" s="350" t="s">
        <v>12</v>
      </c>
      <c r="D47" s="141" t="s">
        <v>13</v>
      </c>
      <c r="E47" s="97">
        <v>12</v>
      </c>
      <c r="F47" s="946"/>
      <c r="G47" s="97"/>
      <c r="H47" s="1473"/>
    </row>
    <row r="48" spans="1:8" s="224" customFormat="1" x14ac:dyDescent="0.25">
      <c r="A48" s="215">
        <v>42563</v>
      </c>
      <c r="B48" s="349" t="s">
        <v>1331</v>
      </c>
      <c r="C48" s="350" t="s">
        <v>19</v>
      </c>
      <c r="D48" s="141" t="s">
        <v>13</v>
      </c>
      <c r="E48" s="97">
        <v>40</v>
      </c>
      <c r="F48" s="946"/>
      <c r="G48" s="97"/>
      <c r="H48" s="1473"/>
    </row>
    <row r="49" spans="1:8" s="224" customFormat="1" x14ac:dyDescent="0.25">
      <c r="A49" s="215">
        <v>42563</v>
      </c>
      <c r="B49" s="349" t="s">
        <v>1352</v>
      </c>
      <c r="C49" s="350" t="s">
        <v>19</v>
      </c>
      <c r="D49" s="141" t="s">
        <v>13</v>
      </c>
      <c r="E49" s="97">
        <v>25</v>
      </c>
      <c r="F49" s="946"/>
      <c r="G49" s="97"/>
      <c r="H49" s="1473"/>
    </row>
    <row r="50" spans="1:8" s="224" customFormat="1" x14ac:dyDescent="0.25">
      <c r="A50" s="215">
        <v>42563</v>
      </c>
      <c r="B50" s="349" t="s">
        <v>14</v>
      </c>
      <c r="C50" s="350" t="s">
        <v>12</v>
      </c>
      <c r="D50" s="141" t="s">
        <v>13</v>
      </c>
      <c r="E50" s="97">
        <v>8</v>
      </c>
      <c r="F50" s="946"/>
      <c r="G50" s="97"/>
      <c r="H50" s="1473"/>
    </row>
    <row r="51" spans="1:8" s="224" customFormat="1" x14ac:dyDescent="0.25">
      <c r="A51" s="215">
        <v>42564</v>
      </c>
      <c r="B51" s="349" t="s">
        <v>32</v>
      </c>
      <c r="C51" s="350" t="s">
        <v>12</v>
      </c>
      <c r="D51" s="141" t="s">
        <v>13</v>
      </c>
      <c r="E51" s="97">
        <v>12</v>
      </c>
      <c r="F51" s="946"/>
      <c r="G51" s="97"/>
      <c r="H51" s="1473"/>
    </row>
    <row r="52" spans="1:8" s="224" customFormat="1" x14ac:dyDescent="0.25">
      <c r="A52" s="215">
        <v>42564</v>
      </c>
      <c r="B52" s="349" t="s">
        <v>14</v>
      </c>
      <c r="C52" s="350" t="s">
        <v>12</v>
      </c>
      <c r="D52" s="141" t="s">
        <v>13</v>
      </c>
      <c r="E52" s="97">
        <v>8</v>
      </c>
      <c r="F52" s="946"/>
      <c r="G52" s="97"/>
      <c r="H52" s="1473"/>
    </row>
    <row r="53" spans="1:8" s="224" customFormat="1" x14ac:dyDescent="0.25">
      <c r="A53" s="215">
        <v>42564</v>
      </c>
      <c r="B53" s="349" t="s">
        <v>1353</v>
      </c>
      <c r="C53" s="350" t="s">
        <v>12</v>
      </c>
      <c r="D53" s="141" t="s">
        <v>15</v>
      </c>
      <c r="E53" s="97">
        <v>20</v>
      </c>
      <c r="F53" s="946"/>
      <c r="G53" s="97"/>
      <c r="H53" s="1473"/>
    </row>
    <row r="54" spans="1:8" s="224" customFormat="1" x14ac:dyDescent="0.25">
      <c r="A54" s="215">
        <v>42564</v>
      </c>
      <c r="B54" s="862" t="s">
        <v>256</v>
      </c>
      <c r="C54" s="879"/>
      <c r="D54" s="1475"/>
      <c r="E54" s="97"/>
      <c r="F54" s="946">
        <v>166.17</v>
      </c>
      <c r="G54" s="97">
        <v>166.17400000000001</v>
      </c>
      <c r="H54" s="1473"/>
    </row>
    <row r="55" spans="1:8" s="224" customFormat="1" x14ac:dyDescent="0.25">
      <c r="A55" s="215">
        <v>42565</v>
      </c>
      <c r="B55" s="349" t="s">
        <v>32</v>
      </c>
      <c r="C55" s="350" t="s">
        <v>12</v>
      </c>
      <c r="D55" s="141" t="s">
        <v>13</v>
      </c>
      <c r="E55" s="97">
        <v>12</v>
      </c>
      <c r="F55" s="946"/>
      <c r="G55" s="97"/>
      <c r="H55" s="1473"/>
    </row>
    <row r="56" spans="1:8" s="224" customFormat="1" x14ac:dyDescent="0.25">
      <c r="A56" s="215">
        <v>42565</v>
      </c>
      <c r="B56" s="349" t="s">
        <v>134</v>
      </c>
      <c r="C56" s="350" t="s">
        <v>12</v>
      </c>
      <c r="D56" s="141" t="s">
        <v>13</v>
      </c>
      <c r="E56" s="97">
        <v>8</v>
      </c>
      <c r="F56" s="946"/>
      <c r="G56" s="97"/>
      <c r="H56" s="1473"/>
    </row>
    <row r="57" spans="1:8" s="224" customFormat="1" x14ac:dyDescent="0.25">
      <c r="A57" s="215">
        <v>42565</v>
      </c>
      <c r="B57" s="349" t="s">
        <v>1354</v>
      </c>
      <c r="C57" s="350" t="s">
        <v>12</v>
      </c>
      <c r="D57" s="141" t="s">
        <v>15</v>
      </c>
      <c r="E57" s="97">
        <v>3</v>
      </c>
      <c r="F57" s="946"/>
      <c r="G57" s="97"/>
      <c r="H57" s="1473"/>
    </row>
    <row r="58" spans="1:8" s="224" customFormat="1" x14ac:dyDescent="0.25">
      <c r="A58" s="215">
        <v>42566</v>
      </c>
      <c r="B58" s="349" t="s">
        <v>32</v>
      </c>
      <c r="C58" s="350" t="s">
        <v>12</v>
      </c>
      <c r="D58" s="141" t="s">
        <v>13</v>
      </c>
      <c r="E58" s="97">
        <v>12</v>
      </c>
      <c r="F58" s="946"/>
      <c r="G58" s="97"/>
      <c r="H58" s="1473"/>
    </row>
    <row r="59" spans="1:8" s="224" customFormat="1" x14ac:dyDescent="0.25">
      <c r="A59" s="215">
        <v>42567</v>
      </c>
      <c r="B59" s="862" t="s">
        <v>14</v>
      </c>
      <c r="C59" s="879" t="s">
        <v>12</v>
      </c>
      <c r="D59" s="887" t="s">
        <v>13</v>
      </c>
      <c r="E59" s="250">
        <v>20.99</v>
      </c>
      <c r="F59" s="946"/>
      <c r="G59" s="97"/>
      <c r="H59" s="1473"/>
    </row>
    <row r="60" spans="1:8" s="224" customFormat="1" x14ac:dyDescent="0.25">
      <c r="A60" s="215">
        <v>42568</v>
      </c>
      <c r="B60" s="349" t="s">
        <v>14</v>
      </c>
      <c r="C60" s="350" t="s">
        <v>12</v>
      </c>
      <c r="D60" s="141" t="s">
        <v>13</v>
      </c>
      <c r="E60" s="97">
        <v>6</v>
      </c>
      <c r="F60" s="946"/>
      <c r="G60" s="97"/>
      <c r="H60" s="1473"/>
    </row>
    <row r="61" spans="1:8" s="224" customFormat="1" x14ac:dyDescent="0.25">
      <c r="A61" s="215">
        <v>42569</v>
      </c>
      <c r="B61" s="349" t="s">
        <v>32</v>
      </c>
      <c r="C61" s="350" t="s">
        <v>12</v>
      </c>
      <c r="D61" s="141" t="s">
        <v>13</v>
      </c>
      <c r="E61" s="97">
        <v>12</v>
      </c>
      <c r="F61" s="946"/>
      <c r="G61" s="97"/>
      <c r="H61" s="1473"/>
    </row>
    <row r="62" spans="1:8" s="224" customFormat="1" x14ac:dyDescent="0.25">
      <c r="A62" s="215">
        <v>42569</v>
      </c>
      <c r="B62" s="349" t="s">
        <v>1148</v>
      </c>
      <c r="C62" s="350" t="s">
        <v>12</v>
      </c>
      <c r="D62" s="141" t="s">
        <v>13</v>
      </c>
      <c r="E62" s="97">
        <v>14</v>
      </c>
      <c r="F62" s="946"/>
      <c r="G62" s="97"/>
      <c r="H62" s="1473"/>
    </row>
    <row r="63" spans="1:8" s="224" customFormat="1" x14ac:dyDescent="0.25">
      <c r="A63" s="215">
        <v>42569</v>
      </c>
      <c r="B63" s="349" t="s">
        <v>14</v>
      </c>
      <c r="C63" s="350" t="s">
        <v>12</v>
      </c>
      <c r="D63" s="141" t="s">
        <v>13</v>
      </c>
      <c r="E63" s="97">
        <v>13.16</v>
      </c>
      <c r="F63" s="946"/>
      <c r="G63" s="97"/>
      <c r="H63" s="1473"/>
    </row>
    <row r="64" spans="1:8" s="224" customFormat="1" x14ac:dyDescent="0.25">
      <c r="A64" s="215">
        <v>42570</v>
      </c>
      <c r="B64" s="349" t="s">
        <v>32</v>
      </c>
      <c r="C64" s="350" t="s">
        <v>12</v>
      </c>
      <c r="D64" s="141" t="s">
        <v>13</v>
      </c>
      <c r="E64" s="97">
        <v>12</v>
      </c>
      <c r="F64" s="946"/>
      <c r="G64" s="97"/>
      <c r="H64" s="1473"/>
    </row>
    <row r="65" spans="1:8" s="224" customFormat="1" x14ac:dyDescent="0.25">
      <c r="A65" s="215">
        <v>42570</v>
      </c>
      <c r="B65" s="349" t="s">
        <v>1218</v>
      </c>
      <c r="C65" s="350" t="s">
        <v>19</v>
      </c>
      <c r="D65" s="141" t="s">
        <v>13</v>
      </c>
      <c r="E65" s="97">
        <v>60</v>
      </c>
      <c r="F65" s="946"/>
      <c r="G65" s="97"/>
      <c r="H65" s="1473"/>
    </row>
    <row r="66" spans="1:8" s="224" customFormat="1" x14ac:dyDescent="0.25">
      <c r="A66" s="215">
        <v>42570</v>
      </c>
      <c r="B66" s="349" t="s">
        <v>134</v>
      </c>
      <c r="C66" s="350" t="s">
        <v>12</v>
      </c>
      <c r="D66" s="141" t="s">
        <v>13</v>
      </c>
      <c r="E66" s="97">
        <v>9</v>
      </c>
      <c r="F66" s="946"/>
      <c r="G66" s="97"/>
      <c r="H66" s="1473"/>
    </row>
    <row r="67" spans="1:8" s="224" customFormat="1" x14ac:dyDescent="0.25">
      <c r="A67" s="215">
        <v>42570</v>
      </c>
      <c r="B67" s="349" t="s">
        <v>1355</v>
      </c>
      <c r="C67" s="350" t="s">
        <v>12</v>
      </c>
      <c r="D67" s="141" t="s">
        <v>13</v>
      </c>
      <c r="E67" s="97">
        <v>17.489999999999998</v>
      </c>
      <c r="F67" s="946"/>
      <c r="G67" s="97"/>
      <c r="H67" s="1473"/>
    </row>
    <row r="68" spans="1:8" s="224" customFormat="1" x14ac:dyDescent="0.25">
      <c r="A68" s="215">
        <v>42571</v>
      </c>
      <c r="B68" s="882" t="s">
        <v>32</v>
      </c>
      <c r="C68" s="350" t="s">
        <v>12</v>
      </c>
      <c r="D68" s="141" t="s">
        <v>13</v>
      </c>
      <c r="E68" s="97">
        <v>13</v>
      </c>
      <c r="F68" s="946"/>
      <c r="G68" s="97"/>
      <c r="H68" s="1473"/>
    </row>
    <row r="69" spans="1:8" x14ac:dyDescent="0.25">
      <c r="A69" s="215">
        <v>42571</v>
      </c>
      <c r="B69" s="349" t="s">
        <v>260</v>
      </c>
      <c r="C69" s="350"/>
      <c r="D69" s="141"/>
      <c r="E69" s="97">
        <v>150</v>
      </c>
      <c r="F69" s="946"/>
      <c r="G69" s="95"/>
      <c r="H69" s="946">
        <v>150</v>
      </c>
    </row>
    <row r="70" spans="1:8" s="224" customFormat="1" x14ac:dyDescent="0.25">
      <c r="A70" s="215">
        <v>42571</v>
      </c>
      <c r="B70" s="882" t="s">
        <v>1356</v>
      </c>
      <c r="C70" s="879" t="s">
        <v>12</v>
      </c>
      <c r="D70" s="887" t="s">
        <v>25</v>
      </c>
      <c r="E70" s="97"/>
      <c r="F70" s="946">
        <v>1420</v>
      </c>
      <c r="G70" s="95"/>
      <c r="H70" s="1473"/>
    </row>
    <row r="71" spans="1:8" s="224" customFormat="1" x14ac:dyDescent="0.25">
      <c r="A71" s="215">
        <v>42571</v>
      </c>
      <c r="B71" s="882" t="s">
        <v>1357</v>
      </c>
      <c r="C71" s="879" t="s">
        <v>12</v>
      </c>
      <c r="D71" s="887" t="s">
        <v>13</v>
      </c>
      <c r="E71" s="97">
        <v>568.53</v>
      </c>
      <c r="F71" s="946"/>
      <c r="G71" s="95"/>
      <c r="H71" s="1473"/>
    </row>
    <row r="72" spans="1:8" s="224" customFormat="1" ht="15.75" customHeight="1" x14ac:dyDescent="0.25">
      <c r="A72" s="215">
        <v>42571</v>
      </c>
      <c r="B72" s="882" t="s">
        <v>1358</v>
      </c>
      <c r="C72" s="350" t="s">
        <v>12</v>
      </c>
      <c r="D72" s="141" t="s">
        <v>13</v>
      </c>
      <c r="E72" s="97">
        <v>57.89</v>
      </c>
      <c r="F72" s="1473"/>
      <c r="G72" s="252"/>
      <c r="H72" s="946"/>
    </row>
    <row r="73" spans="1:8" s="224" customFormat="1" x14ac:dyDescent="0.25">
      <c r="A73" s="215">
        <v>42571</v>
      </c>
      <c r="B73" s="882" t="s">
        <v>14</v>
      </c>
      <c r="C73" s="350" t="s">
        <v>12</v>
      </c>
      <c r="D73" s="141" t="s">
        <v>13</v>
      </c>
      <c r="E73" s="97">
        <v>15.41</v>
      </c>
      <c r="F73" s="946"/>
      <c r="G73" s="95"/>
      <c r="H73" s="1473"/>
    </row>
    <row r="74" spans="1:8" s="224" customFormat="1" x14ac:dyDescent="0.25">
      <c r="A74" s="215">
        <v>42571</v>
      </c>
      <c r="B74" s="882" t="s">
        <v>1359</v>
      </c>
      <c r="C74" s="350" t="s">
        <v>12</v>
      </c>
      <c r="D74" s="141" t="s">
        <v>13</v>
      </c>
      <c r="E74" s="97">
        <v>8.8000000000000007</v>
      </c>
      <c r="F74" s="946"/>
      <c r="G74" s="95"/>
      <c r="H74" s="1473"/>
    </row>
    <row r="75" spans="1:8" s="224" customFormat="1" x14ac:dyDescent="0.25">
      <c r="A75" s="215">
        <v>42572</v>
      </c>
      <c r="B75" s="882" t="s">
        <v>32</v>
      </c>
      <c r="C75" s="350" t="s">
        <v>12</v>
      </c>
      <c r="D75" s="141" t="s">
        <v>13</v>
      </c>
      <c r="E75" s="97">
        <v>13</v>
      </c>
      <c r="F75" s="946"/>
      <c r="G75" s="95"/>
      <c r="H75" s="1473"/>
    </row>
    <row r="76" spans="1:8" s="224" customFormat="1" x14ac:dyDescent="0.25">
      <c r="A76" s="215">
        <v>42572</v>
      </c>
      <c r="B76" s="882" t="s">
        <v>14</v>
      </c>
      <c r="C76" s="350" t="s">
        <v>12</v>
      </c>
      <c r="D76" s="141" t="s">
        <v>13</v>
      </c>
      <c r="E76" s="97">
        <v>11.24</v>
      </c>
      <c r="F76" s="946"/>
      <c r="G76" s="95"/>
      <c r="H76" s="1473"/>
    </row>
    <row r="77" spans="1:8" s="224" customFormat="1" x14ac:dyDescent="0.25">
      <c r="A77" s="215">
        <v>42573</v>
      </c>
      <c r="B77" s="882" t="s">
        <v>32</v>
      </c>
      <c r="C77" s="350" t="s">
        <v>12</v>
      </c>
      <c r="D77" s="141" t="s">
        <v>13</v>
      </c>
      <c r="E77" s="97">
        <v>13</v>
      </c>
      <c r="F77" s="946"/>
      <c r="G77" s="95"/>
      <c r="H77" s="1473"/>
    </row>
    <row r="78" spans="1:8" s="224" customFormat="1" x14ac:dyDescent="0.25">
      <c r="A78" s="215">
        <v>42573</v>
      </c>
      <c r="B78" s="882" t="s">
        <v>1359</v>
      </c>
      <c r="C78" s="350" t="s">
        <v>12</v>
      </c>
      <c r="D78" s="141" t="s">
        <v>13</v>
      </c>
      <c r="E78" s="97">
        <v>8</v>
      </c>
      <c r="F78" s="946"/>
      <c r="G78" s="95"/>
      <c r="H78" s="1473"/>
    </row>
    <row r="79" spans="1:8" s="224" customFormat="1" x14ac:dyDescent="0.25">
      <c r="A79" s="215">
        <v>42573</v>
      </c>
      <c r="B79" s="882" t="s">
        <v>14</v>
      </c>
      <c r="C79" s="350" t="s">
        <v>19</v>
      </c>
      <c r="D79" s="141" t="s">
        <v>13</v>
      </c>
      <c r="E79" s="97">
        <v>20</v>
      </c>
      <c r="F79" s="946"/>
      <c r="G79" s="95"/>
      <c r="H79" s="1473"/>
    </row>
    <row r="80" spans="1:8" s="224" customFormat="1" x14ac:dyDescent="0.25">
      <c r="A80" s="215">
        <v>42573</v>
      </c>
      <c r="B80" s="882" t="s">
        <v>134</v>
      </c>
      <c r="C80" s="350" t="s">
        <v>19</v>
      </c>
      <c r="D80" s="141" t="s">
        <v>13</v>
      </c>
      <c r="E80" s="97">
        <v>19.43</v>
      </c>
      <c r="F80" s="946"/>
      <c r="G80" s="95"/>
      <c r="H80" s="1473"/>
    </row>
    <row r="81" spans="1:8" x14ac:dyDescent="0.25">
      <c r="A81" s="215">
        <v>42573</v>
      </c>
      <c r="B81" s="862" t="s">
        <v>1360</v>
      </c>
      <c r="C81" s="879" t="s">
        <v>12</v>
      </c>
      <c r="D81" s="887" t="s">
        <v>13</v>
      </c>
      <c r="E81" s="250">
        <v>32</v>
      </c>
      <c r="F81" s="946"/>
      <c r="G81" s="95"/>
      <c r="H81" s="946"/>
    </row>
    <row r="82" spans="1:8" x14ac:dyDescent="0.25">
      <c r="A82" s="215">
        <v>42574</v>
      </c>
      <c r="B82" s="862" t="s">
        <v>14</v>
      </c>
      <c r="C82" s="879" t="s">
        <v>12</v>
      </c>
      <c r="D82" s="887" t="s">
        <v>13</v>
      </c>
      <c r="E82" s="250">
        <v>5.88</v>
      </c>
      <c r="F82" s="946"/>
      <c r="G82" s="95"/>
      <c r="H82" s="946"/>
    </row>
    <row r="83" spans="1:8" x14ac:dyDescent="0.25">
      <c r="A83" s="215">
        <v>42575</v>
      </c>
      <c r="B83" s="862" t="s">
        <v>14</v>
      </c>
      <c r="C83" s="879" t="s">
        <v>12</v>
      </c>
      <c r="D83" s="887" t="s">
        <v>13</v>
      </c>
      <c r="E83" s="250">
        <v>18.059999999999999</v>
      </c>
      <c r="F83" s="946"/>
      <c r="G83" s="95"/>
      <c r="H83" s="946"/>
    </row>
    <row r="84" spans="1:8" x14ac:dyDescent="0.25">
      <c r="A84" s="215">
        <v>42576</v>
      </c>
      <c r="B84" s="862" t="s">
        <v>878</v>
      </c>
      <c r="C84" s="350" t="s">
        <v>12</v>
      </c>
      <c r="D84" s="957" t="s">
        <v>13</v>
      </c>
      <c r="E84" s="250">
        <v>58.9</v>
      </c>
      <c r="F84" s="946"/>
      <c r="G84" s="95"/>
      <c r="H84" s="946"/>
    </row>
    <row r="85" spans="1:8" x14ac:dyDescent="0.25">
      <c r="A85" s="215">
        <v>42576</v>
      </c>
      <c r="B85" s="882" t="s">
        <v>32</v>
      </c>
      <c r="C85" s="350" t="s">
        <v>12</v>
      </c>
      <c r="D85" s="141" t="s">
        <v>13</v>
      </c>
      <c r="E85" s="97">
        <v>13</v>
      </c>
      <c r="F85" s="946"/>
      <c r="G85" s="95"/>
      <c r="H85" s="946"/>
    </row>
    <row r="86" spans="1:8" x14ac:dyDescent="0.25">
      <c r="A86" s="215">
        <v>42576</v>
      </c>
      <c r="B86" s="882" t="s">
        <v>1218</v>
      </c>
      <c r="C86" s="350" t="s">
        <v>19</v>
      </c>
      <c r="D86" s="141" t="s">
        <v>13</v>
      </c>
      <c r="E86" s="97">
        <v>60</v>
      </c>
      <c r="F86" s="946"/>
      <c r="G86" s="95"/>
      <c r="H86" s="946"/>
    </row>
    <row r="87" spans="1:8" x14ac:dyDescent="0.25">
      <c r="A87" s="215">
        <v>42576</v>
      </c>
      <c r="B87" s="882" t="s">
        <v>134</v>
      </c>
      <c r="C87" s="350" t="s">
        <v>12</v>
      </c>
      <c r="D87" s="141" t="s">
        <v>15</v>
      </c>
      <c r="E87" s="97">
        <v>8</v>
      </c>
      <c r="F87" s="946"/>
      <c r="G87" s="95"/>
      <c r="H87" s="946"/>
    </row>
    <row r="88" spans="1:8" x14ac:dyDescent="0.25">
      <c r="A88" s="215">
        <v>42576</v>
      </c>
      <c r="B88" s="882" t="s">
        <v>1348</v>
      </c>
      <c r="C88" s="350" t="s">
        <v>19</v>
      </c>
      <c r="D88" s="141" t="s">
        <v>13</v>
      </c>
      <c r="E88" s="97">
        <v>48</v>
      </c>
      <c r="F88" s="946"/>
      <c r="G88" s="95"/>
      <c r="H88" s="946"/>
    </row>
    <row r="89" spans="1:8" x14ac:dyDescent="0.25">
      <c r="A89" s="215">
        <v>42576</v>
      </c>
      <c r="B89" s="882" t="s">
        <v>14</v>
      </c>
      <c r="C89" s="350" t="s">
        <v>19</v>
      </c>
      <c r="D89" s="141" t="s">
        <v>13</v>
      </c>
      <c r="E89" s="97">
        <v>7.88</v>
      </c>
      <c r="F89" s="946"/>
      <c r="G89" s="95"/>
      <c r="H89" s="946"/>
    </row>
    <row r="90" spans="1:8" x14ac:dyDescent="0.25">
      <c r="A90" s="215">
        <v>42577</v>
      </c>
      <c r="B90" s="882" t="s">
        <v>32</v>
      </c>
      <c r="C90" s="350" t="s">
        <v>12</v>
      </c>
      <c r="D90" s="141" t="s">
        <v>13</v>
      </c>
      <c r="E90" s="97">
        <v>13</v>
      </c>
      <c r="F90" s="946"/>
      <c r="G90" s="95"/>
      <c r="H90" s="946"/>
    </row>
    <row r="91" spans="1:8" x14ac:dyDescent="0.25">
      <c r="A91" s="215">
        <v>42577</v>
      </c>
      <c r="B91" s="882" t="s">
        <v>1361</v>
      </c>
      <c r="C91" s="350" t="s">
        <v>19</v>
      </c>
      <c r="D91" s="141" t="s">
        <v>13</v>
      </c>
      <c r="E91" s="97">
        <v>30.72</v>
      </c>
      <c r="F91" s="946"/>
      <c r="G91" s="95"/>
      <c r="H91" s="946"/>
    </row>
    <row r="92" spans="1:8" x14ac:dyDescent="0.25">
      <c r="A92" s="215">
        <v>42577</v>
      </c>
      <c r="B92" s="882" t="s">
        <v>1329</v>
      </c>
      <c r="C92" s="350" t="s">
        <v>12</v>
      </c>
      <c r="D92" s="141" t="s">
        <v>13</v>
      </c>
      <c r="E92" s="97">
        <v>105</v>
      </c>
      <c r="F92" s="946"/>
      <c r="G92" s="95"/>
      <c r="H92" s="946"/>
    </row>
    <row r="93" spans="1:8" x14ac:dyDescent="0.25">
      <c r="A93" s="215">
        <v>42577</v>
      </c>
      <c r="B93" s="882" t="s">
        <v>1362</v>
      </c>
      <c r="C93" s="350" t="s">
        <v>12</v>
      </c>
      <c r="D93" s="141" t="s">
        <v>13</v>
      </c>
      <c r="E93" s="97">
        <v>12</v>
      </c>
      <c r="F93" s="946"/>
      <c r="G93" s="95"/>
      <c r="H93" s="946"/>
    </row>
    <row r="94" spans="1:8" x14ac:dyDescent="0.25">
      <c r="A94" s="215">
        <v>42577</v>
      </c>
      <c r="B94" s="882" t="s">
        <v>14</v>
      </c>
      <c r="C94" s="350" t="s">
        <v>12</v>
      </c>
      <c r="D94" s="141" t="s">
        <v>13</v>
      </c>
      <c r="E94" s="97">
        <v>10.23</v>
      </c>
      <c r="F94" s="946"/>
      <c r="G94" s="95"/>
      <c r="H94" s="946"/>
    </row>
    <row r="95" spans="1:8" s="224" customFormat="1" x14ac:dyDescent="0.25">
      <c r="A95" s="215">
        <v>42578</v>
      </c>
      <c r="B95" s="882" t="s">
        <v>32</v>
      </c>
      <c r="C95" s="350" t="s">
        <v>12</v>
      </c>
      <c r="D95" s="141" t="s">
        <v>13</v>
      </c>
      <c r="E95" s="97">
        <v>13</v>
      </c>
      <c r="F95" s="1473"/>
      <c r="G95" s="252"/>
      <c r="H95" s="946"/>
    </row>
    <row r="96" spans="1:8" x14ac:dyDescent="0.25">
      <c r="A96" s="215">
        <v>42578</v>
      </c>
      <c r="B96" s="882" t="s">
        <v>14</v>
      </c>
      <c r="C96" s="350" t="s">
        <v>12</v>
      </c>
      <c r="D96" s="141" t="s">
        <v>13</v>
      </c>
      <c r="E96" s="97">
        <v>11</v>
      </c>
      <c r="F96" s="946"/>
      <c r="G96" s="95"/>
      <c r="H96" s="946"/>
    </row>
    <row r="97" spans="1:8" x14ac:dyDescent="0.25">
      <c r="A97" s="215">
        <v>42579</v>
      </c>
      <c r="B97" s="882" t="s">
        <v>32</v>
      </c>
      <c r="C97" s="350" t="s">
        <v>12</v>
      </c>
      <c r="D97" s="141" t="s">
        <v>13</v>
      </c>
      <c r="E97" s="97">
        <v>13</v>
      </c>
      <c r="F97" s="946"/>
      <c r="G97" s="95"/>
      <c r="H97" s="946"/>
    </row>
    <row r="98" spans="1:8" x14ac:dyDescent="0.25">
      <c r="A98" s="215">
        <v>42579</v>
      </c>
      <c r="B98" s="882" t="s">
        <v>14</v>
      </c>
      <c r="C98" s="350" t="s">
        <v>12</v>
      </c>
      <c r="D98" s="141" t="s">
        <v>13</v>
      </c>
      <c r="E98" s="97">
        <v>13.07</v>
      </c>
      <c r="F98" s="946"/>
      <c r="G98" s="95"/>
      <c r="H98" s="946"/>
    </row>
    <row r="99" spans="1:8" x14ac:dyDescent="0.25">
      <c r="A99" s="215">
        <v>42580</v>
      </c>
      <c r="B99" s="862" t="s">
        <v>32</v>
      </c>
      <c r="C99" s="350" t="s">
        <v>12</v>
      </c>
      <c r="D99" s="141" t="s">
        <v>13</v>
      </c>
      <c r="E99" s="250">
        <v>13</v>
      </c>
      <c r="F99" s="946"/>
      <c r="G99" s="95"/>
      <c r="H99" s="946"/>
    </row>
    <row r="100" spans="1:8" x14ac:dyDescent="0.25">
      <c r="A100" s="215">
        <v>42580</v>
      </c>
      <c r="B100" s="862" t="s">
        <v>687</v>
      </c>
      <c r="C100" s="350" t="s">
        <v>12</v>
      </c>
      <c r="D100" s="141" t="s">
        <v>13</v>
      </c>
      <c r="E100" s="250">
        <v>6</v>
      </c>
      <c r="F100" s="946"/>
      <c r="G100" s="95"/>
      <c r="H100" s="946"/>
    </row>
    <row r="101" spans="1:8" x14ac:dyDescent="0.25">
      <c r="A101" s="215">
        <v>42580</v>
      </c>
      <c r="B101" s="862" t="s">
        <v>134</v>
      </c>
      <c r="C101" s="350" t="s">
        <v>12</v>
      </c>
      <c r="D101" s="141" t="s">
        <v>13</v>
      </c>
      <c r="E101" s="250">
        <v>18.260000000000002</v>
      </c>
      <c r="F101" s="946"/>
      <c r="G101" s="95"/>
      <c r="H101" s="946"/>
    </row>
    <row r="102" spans="1:8" x14ac:dyDescent="0.25">
      <c r="A102" s="215">
        <v>42580</v>
      </c>
      <c r="B102" s="862" t="s">
        <v>1363</v>
      </c>
      <c r="C102" s="350" t="s">
        <v>19</v>
      </c>
      <c r="D102" s="141" t="s">
        <v>13</v>
      </c>
      <c r="E102" s="250">
        <v>50.78</v>
      </c>
      <c r="F102" s="946"/>
      <c r="G102" s="95"/>
      <c r="H102" s="946"/>
    </row>
    <row r="103" spans="1:8" s="224" customFormat="1" x14ac:dyDescent="0.25">
      <c r="A103" s="215">
        <v>42581</v>
      </c>
      <c r="B103" s="862" t="s">
        <v>256</v>
      </c>
      <c r="C103" s="879"/>
      <c r="D103" s="1475"/>
      <c r="E103" s="97"/>
      <c r="F103" s="946">
        <v>250</v>
      </c>
      <c r="G103" s="97">
        <v>250</v>
      </c>
      <c r="H103" s="1473"/>
    </row>
    <row r="104" spans="1:8" x14ac:dyDescent="0.25">
      <c r="A104" s="215">
        <v>42581</v>
      </c>
      <c r="B104" s="862" t="s">
        <v>32</v>
      </c>
      <c r="C104" s="350" t="s">
        <v>12</v>
      </c>
      <c r="D104" s="141" t="s">
        <v>13</v>
      </c>
      <c r="E104" s="250">
        <v>13</v>
      </c>
      <c r="F104" s="946"/>
      <c r="G104" s="95"/>
      <c r="H104" s="946"/>
    </row>
    <row r="105" spans="1:8" x14ac:dyDescent="0.25">
      <c r="A105" s="215">
        <v>42581</v>
      </c>
      <c r="B105" s="862" t="s">
        <v>1359</v>
      </c>
      <c r="C105" s="350" t="s">
        <v>12</v>
      </c>
      <c r="D105" s="141" t="s">
        <v>13</v>
      </c>
      <c r="E105" s="250">
        <v>8</v>
      </c>
      <c r="F105" s="946"/>
      <c r="G105" s="95"/>
      <c r="H105" s="946"/>
    </row>
    <row r="106" spans="1:8" x14ac:dyDescent="0.25">
      <c r="A106" s="215">
        <v>42581</v>
      </c>
      <c r="B106" s="862" t="s">
        <v>82</v>
      </c>
      <c r="C106" s="350" t="s">
        <v>12</v>
      </c>
      <c r="D106" s="141" t="s">
        <v>13</v>
      </c>
      <c r="E106" s="250">
        <v>27</v>
      </c>
      <c r="F106" s="946"/>
      <c r="G106" s="95"/>
      <c r="H106" s="946"/>
    </row>
    <row r="107" spans="1:8" ht="15.75" thickBot="1" x14ac:dyDescent="0.3">
      <c r="A107" s="215">
        <v>42582</v>
      </c>
      <c r="B107" s="349" t="s">
        <v>14</v>
      </c>
      <c r="C107" s="350" t="s">
        <v>12</v>
      </c>
      <c r="D107" s="141" t="s">
        <v>13</v>
      </c>
      <c r="E107" s="97">
        <v>22.36</v>
      </c>
      <c r="F107" s="946"/>
      <c r="G107" s="95"/>
      <c r="H107" s="946"/>
    </row>
    <row r="108" spans="1:8" ht="25.5" customHeight="1" thickBot="1" x14ac:dyDescent="0.3">
      <c r="A108" s="3060"/>
      <c r="B108" s="3061"/>
      <c r="C108" s="3062"/>
      <c r="D108" s="3062"/>
      <c r="E108" s="100">
        <f>SUM(E6:E107)</f>
        <v>3614.7999999999997</v>
      </c>
      <c r="F108" s="1065">
        <f>SUM(F5:F107)</f>
        <v>3788.2830000000026</v>
      </c>
      <c r="G108" s="101">
        <f>SUM(G6:G107)</f>
        <v>666.17399999999998</v>
      </c>
      <c r="H108" s="93">
        <f>SUM(H5:H107)</f>
        <v>1566.17</v>
      </c>
    </row>
    <row r="109" spans="1:8" ht="25.5" customHeight="1" thickBot="1" x14ac:dyDescent="0.3">
      <c r="A109" s="3077" t="s">
        <v>49</v>
      </c>
      <c r="B109" s="3078"/>
      <c r="C109" s="3078"/>
      <c r="D109" s="3078"/>
      <c r="E109" s="144"/>
      <c r="F109" s="519">
        <f>F108-E108</f>
        <v>173.4830000000029</v>
      </c>
      <c r="G109" s="555"/>
      <c r="H109" s="556">
        <f>H108-G108</f>
        <v>899.99600000000009</v>
      </c>
    </row>
    <row r="110" spans="1:8" x14ac:dyDescent="0.25">
      <c r="F110" s="89"/>
    </row>
    <row r="111" spans="1:8" x14ac:dyDescent="0.25">
      <c r="B111" s="79" t="s">
        <v>32</v>
      </c>
      <c r="C111" s="475">
        <v>303</v>
      </c>
    </row>
    <row r="112" spans="1:8" x14ac:dyDescent="0.25">
      <c r="B112" s="79" t="s">
        <v>1218</v>
      </c>
      <c r="C112" s="475">
        <v>280</v>
      </c>
      <c r="D112" s="79"/>
    </row>
    <row r="113" spans="1:9" x14ac:dyDescent="0.25">
      <c r="B113" s="79" t="s">
        <v>50</v>
      </c>
      <c r="C113" s="484">
        <v>168.39</v>
      </c>
    </row>
    <row r="114" spans="1:9" s="85" customFormat="1" x14ac:dyDescent="0.25">
      <c r="A114" s="79"/>
      <c r="B114" s="79" t="s">
        <v>14</v>
      </c>
      <c r="C114" s="484">
        <v>259.14</v>
      </c>
      <c r="E114" s="89"/>
      <c r="F114" s="79"/>
      <c r="G114" s="79"/>
    </row>
    <row r="115" spans="1:9" s="85" customFormat="1" x14ac:dyDescent="0.25">
      <c r="A115" s="79"/>
      <c r="B115" s="79" t="s">
        <v>51</v>
      </c>
      <c r="C115" s="475">
        <v>115.36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52</v>
      </c>
      <c r="C116" s="475">
        <v>60</v>
      </c>
      <c r="E116" s="89"/>
      <c r="F116" s="79"/>
      <c r="G116" s="79"/>
      <c r="H116" s="79"/>
    </row>
    <row r="117" spans="1:9" s="85" customFormat="1" x14ac:dyDescent="0.25">
      <c r="A117" s="79"/>
      <c r="B117" s="867" t="s">
        <v>53</v>
      </c>
      <c r="C117" s="475">
        <v>223</v>
      </c>
      <c r="D117" s="89"/>
      <c r="E117" s="89"/>
      <c r="F117" s="79"/>
      <c r="G117" s="79"/>
      <c r="H117" s="79"/>
    </row>
    <row r="118" spans="1:9" s="85" customFormat="1" x14ac:dyDescent="0.25">
      <c r="A118" s="79"/>
      <c r="B118" s="79" t="s">
        <v>1232</v>
      </c>
      <c r="C118" s="475">
        <v>568.53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56</v>
      </c>
      <c r="C119" s="475">
        <v>29</v>
      </c>
      <c r="E119" s="89"/>
      <c r="F119" s="79"/>
      <c r="G119" s="79"/>
      <c r="H119" s="79"/>
    </row>
    <row r="120" spans="1:9" s="85" customFormat="1" x14ac:dyDescent="0.25">
      <c r="A120" s="79"/>
      <c r="B120" s="79" t="s">
        <v>57</v>
      </c>
      <c r="C120" s="475">
        <v>300.33999999999997</v>
      </c>
      <c r="E120" s="89"/>
      <c r="F120" s="79"/>
      <c r="G120" s="79"/>
      <c r="H120" s="79"/>
    </row>
    <row r="121" spans="1:9" s="85" customFormat="1" x14ac:dyDescent="0.25">
      <c r="A121" s="79"/>
      <c r="B121" s="79" t="s">
        <v>418</v>
      </c>
      <c r="C121" s="475"/>
      <c r="D121" s="79"/>
      <c r="E121" s="89"/>
      <c r="F121" s="79"/>
      <c r="G121" s="79"/>
      <c r="H121" s="79"/>
    </row>
    <row r="122" spans="1:9" x14ac:dyDescent="0.25">
      <c r="B122" s="79" t="s">
        <v>419</v>
      </c>
      <c r="C122" s="475">
        <v>797.11</v>
      </c>
    </row>
    <row r="123" spans="1:9" x14ac:dyDescent="0.25">
      <c r="B123" s="79" t="s">
        <v>911</v>
      </c>
      <c r="C123" s="475"/>
    </row>
    <row r="125" spans="1:9" x14ac:dyDescent="0.25">
      <c r="B125" s="79" t="s">
        <v>486</v>
      </c>
      <c r="C125" s="475">
        <f>G125/I125</f>
        <v>101.92903225806452</v>
      </c>
      <c r="E125" s="224" t="s">
        <v>487</v>
      </c>
      <c r="F125" s="224"/>
      <c r="G125" s="216">
        <v>3159.8</v>
      </c>
      <c r="H125" s="518" t="s">
        <v>488</v>
      </c>
      <c r="I125" s="85">
        <v>31</v>
      </c>
    </row>
    <row r="136" spans="3:8" x14ac:dyDescent="0.25">
      <c r="C136" s="79"/>
      <c r="D136" s="79"/>
      <c r="E136" s="79"/>
      <c r="H136" s="216"/>
    </row>
    <row r="137" spans="3:8" x14ac:dyDescent="0.25">
      <c r="C137" s="79"/>
      <c r="D137" s="79"/>
      <c r="E137" s="79"/>
      <c r="H137" s="216"/>
    </row>
    <row r="138" spans="3:8" x14ac:dyDescent="0.25">
      <c r="C138" s="79"/>
      <c r="D138" s="79"/>
      <c r="E138" s="79"/>
      <c r="F138" s="216"/>
      <c r="H138" s="216"/>
    </row>
    <row r="139" spans="3:8" x14ac:dyDescent="0.25">
      <c r="C139" s="79"/>
      <c r="D139" s="79"/>
      <c r="E139" s="79"/>
      <c r="F139" s="216"/>
      <c r="H139" s="216"/>
    </row>
    <row r="140" spans="3:8" x14ac:dyDescent="0.25">
      <c r="C140" s="79"/>
      <c r="D140" s="79"/>
      <c r="E140" s="79"/>
      <c r="F140" s="216"/>
    </row>
    <row r="141" spans="3:8" x14ac:dyDescent="0.25">
      <c r="C141" s="79"/>
      <c r="D141" s="79"/>
      <c r="E141" s="79"/>
      <c r="H141" s="216"/>
    </row>
    <row r="143" spans="3:8" x14ac:dyDescent="0.25">
      <c r="C143" s="79"/>
      <c r="D143" s="79"/>
      <c r="E143" s="79"/>
      <c r="H143" s="629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</sheetData>
  <autoFilter ref="A2:H109" xr:uid="{00000000-0009-0000-0000-000031000000}"/>
  <mergeCells count="10">
    <mergeCell ref="A108:D108"/>
    <mergeCell ref="A109:D109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Plan56"/>
  <dimension ref="A1:I154"/>
  <sheetViews>
    <sheetView zoomScale="85" zoomScaleNormal="85" workbookViewId="0">
      <pane ySplit="4" topLeftCell="A47" activePane="bottomLeft" state="frozen"/>
      <selection activeCell="C44" sqref="C44"/>
      <selection pane="bottomLeft" activeCell="U50" sqref="D34:U5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1364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42583</v>
      </c>
      <c r="B5" s="369" t="s">
        <v>10</v>
      </c>
      <c r="C5" s="370"/>
      <c r="D5" s="207"/>
      <c r="E5" s="179"/>
      <c r="F5" s="933">
        <f>'Julho-16'!F109</f>
        <v>173.4830000000029</v>
      </c>
      <c r="G5" s="163"/>
      <c r="H5" s="933">
        <f>'Julho-16'!H109</f>
        <v>899.99600000000009</v>
      </c>
    </row>
    <row r="6" spans="1:8" s="224" customFormat="1" x14ac:dyDescent="0.25">
      <c r="A6" s="215">
        <v>42583</v>
      </c>
      <c r="B6" s="348" t="s">
        <v>11</v>
      </c>
      <c r="C6" s="351"/>
      <c r="D6" s="248"/>
      <c r="E6" s="250">
        <v>10</v>
      </c>
      <c r="F6" s="1473"/>
      <c r="G6" s="252"/>
      <c r="H6" s="1473"/>
    </row>
    <row r="7" spans="1:8" s="224" customFormat="1" x14ac:dyDescent="0.25">
      <c r="A7" s="215">
        <v>42583</v>
      </c>
      <c r="B7" s="862" t="s">
        <v>32</v>
      </c>
      <c r="C7" s="350" t="s">
        <v>12</v>
      </c>
      <c r="D7" s="141" t="s">
        <v>13</v>
      </c>
      <c r="E7" s="250">
        <v>13</v>
      </c>
      <c r="F7" s="946"/>
      <c r="G7" s="97"/>
      <c r="H7" s="946"/>
    </row>
    <row r="8" spans="1:8" s="224" customFormat="1" x14ac:dyDescent="0.25">
      <c r="A8" s="215">
        <v>42584</v>
      </c>
      <c r="B8" s="862" t="s">
        <v>32</v>
      </c>
      <c r="C8" s="350" t="s">
        <v>12</v>
      </c>
      <c r="D8" s="141" t="s">
        <v>13</v>
      </c>
      <c r="E8" s="250">
        <v>13</v>
      </c>
      <c r="F8" s="946"/>
      <c r="G8" s="97"/>
      <c r="H8" s="1473"/>
    </row>
    <row r="9" spans="1:8" s="224" customFormat="1" x14ac:dyDescent="0.25">
      <c r="A9" s="215">
        <v>42584</v>
      </c>
      <c r="B9" s="862" t="s">
        <v>256</v>
      </c>
      <c r="C9" s="879"/>
      <c r="D9" s="1475"/>
      <c r="E9" s="97"/>
      <c r="F9" s="946">
        <v>200</v>
      </c>
      <c r="G9" s="97">
        <v>200</v>
      </c>
      <c r="H9" s="1473"/>
    </row>
    <row r="10" spans="1:8" s="224" customFormat="1" x14ac:dyDescent="0.25">
      <c r="A10" s="215">
        <v>42584</v>
      </c>
      <c r="B10" s="862" t="s">
        <v>1365</v>
      </c>
      <c r="C10" s="350" t="s">
        <v>12</v>
      </c>
      <c r="D10" s="141" t="s">
        <v>13</v>
      </c>
      <c r="E10" s="250">
        <v>177</v>
      </c>
      <c r="F10" s="946"/>
      <c r="G10" s="97"/>
      <c r="H10" s="1473"/>
    </row>
    <row r="11" spans="1:8" s="224" customFormat="1" x14ac:dyDescent="0.25">
      <c r="A11" s="215">
        <v>42584</v>
      </c>
      <c r="B11" s="862" t="s">
        <v>1331</v>
      </c>
      <c r="C11" s="350" t="s">
        <v>12</v>
      </c>
      <c r="D11" s="141" t="s">
        <v>15</v>
      </c>
      <c r="E11" s="250">
        <v>20</v>
      </c>
      <c r="F11" s="946"/>
      <c r="G11" s="97"/>
      <c r="H11" s="1473"/>
    </row>
    <row r="12" spans="1:8" s="224" customFormat="1" x14ac:dyDescent="0.25">
      <c r="A12" s="215">
        <v>42585</v>
      </c>
      <c r="B12" s="862" t="s">
        <v>32</v>
      </c>
      <c r="C12" s="350" t="s">
        <v>12</v>
      </c>
      <c r="D12" s="141" t="s">
        <v>13</v>
      </c>
      <c r="E12" s="250">
        <v>13</v>
      </c>
      <c r="F12" s="946"/>
      <c r="G12" s="97"/>
      <c r="H12" s="1473"/>
    </row>
    <row r="13" spans="1:8" s="224" customFormat="1" x14ac:dyDescent="0.25">
      <c r="A13" s="215">
        <v>42585</v>
      </c>
      <c r="B13" s="862" t="s">
        <v>1331</v>
      </c>
      <c r="C13" s="350" t="s">
        <v>12</v>
      </c>
      <c r="D13" s="141" t="s">
        <v>13</v>
      </c>
      <c r="E13" s="250">
        <v>60</v>
      </c>
      <c r="F13" s="946"/>
      <c r="G13" s="97"/>
      <c r="H13" s="1473"/>
    </row>
    <row r="14" spans="1:8" s="224" customFormat="1" x14ac:dyDescent="0.25">
      <c r="A14" s="215">
        <v>42585</v>
      </c>
      <c r="B14" s="862" t="s">
        <v>14</v>
      </c>
      <c r="C14" s="350" t="s">
        <v>12</v>
      </c>
      <c r="D14" s="141" t="s">
        <v>15</v>
      </c>
      <c r="E14" s="250">
        <v>16.940000000000001</v>
      </c>
      <c r="F14" s="946"/>
      <c r="G14" s="97"/>
      <c r="H14" s="1473"/>
    </row>
    <row r="15" spans="1:8" s="224" customFormat="1" x14ac:dyDescent="0.25">
      <c r="A15" s="215">
        <v>42586</v>
      </c>
      <c r="B15" s="862" t="s">
        <v>32</v>
      </c>
      <c r="C15" s="350" t="s">
        <v>12</v>
      </c>
      <c r="D15" s="141" t="s">
        <v>13</v>
      </c>
      <c r="E15" s="250">
        <v>13</v>
      </c>
      <c r="F15" s="946"/>
      <c r="G15" s="97"/>
      <c r="H15" s="946"/>
    </row>
    <row r="16" spans="1:8" s="224" customFormat="1" x14ac:dyDescent="0.25">
      <c r="A16" s="215">
        <v>42586</v>
      </c>
      <c r="B16" s="862" t="s">
        <v>14</v>
      </c>
      <c r="C16" s="350" t="s">
        <v>12</v>
      </c>
      <c r="D16" s="141" t="s">
        <v>15</v>
      </c>
      <c r="E16" s="250">
        <v>9.1999999999999993</v>
      </c>
      <c r="F16" s="946"/>
      <c r="G16" s="97"/>
      <c r="H16" s="1473"/>
    </row>
    <row r="17" spans="1:8" s="224" customFormat="1" x14ac:dyDescent="0.25">
      <c r="A17" s="215">
        <v>42587</v>
      </c>
      <c r="B17" s="349" t="s">
        <v>147</v>
      </c>
      <c r="C17" s="350" t="s">
        <v>12</v>
      </c>
      <c r="D17" s="141" t="s">
        <v>15</v>
      </c>
      <c r="E17" s="97">
        <v>15</v>
      </c>
      <c r="F17" s="946"/>
      <c r="G17" s="97"/>
      <c r="H17" s="1473"/>
    </row>
    <row r="18" spans="1:8" s="224" customFormat="1" ht="15.75" customHeight="1" x14ac:dyDescent="0.25">
      <c r="A18" s="215">
        <v>42587</v>
      </c>
      <c r="B18" s="349" t="s">
        <v>1366</v>
      </c>
      <c r="C18" s="879" t="s">
        <v>12</v>
      </c>
      <c r="D18" s="983" t="s">
        <v>25</v>
      </c>
      <c r="E18" s="250"/>
      <c r="F18" s="1473">
        <v>1648.82</v>
      </c>
      <c r="G18" s="252"/>
      <c r="H18" s="946"/>
    </row>
    <row r="19" spans="1:8" s="224" customFormat="1" ht="15.75" customHeight="1" x14ac:dyDescent="0.25">
      <c r="A19" s="215">
        <v>42587</v>
      </c>
      <c r="B19" s="862" t="s">
        <v>1367</v>
      </c>
      <c r="C19" s="350" t="s">
        <v>12</v>
      </c>
      <c r="D19" s="141" t="s">
        <v>13</v>
      </c>
      <c r="E19" s="97">
        <v>307.33999999999997</v>
      </c>
      <c r="F19" s="1473"/>
      <c r="G19" s="252"/>
      <c r="H19" s="946"/>
    </row>
    <row r="20" spans="1:8" x14ac:dyDescent="0.25">
      <c r="A20" s="215">
        <v>42587</v>
      </c>
      <c r="B20" s="882" t="s">
        <v>1368</v>
      </c>
      <c r="C20" s="879" t="s">
        <v>12</v>
      </c>
      <c r="D20" s="887" t="s">
        <v>13</v>
      </c>
      <c r="E20" s="250">
        <v>44.76</v>
      </c>
      <c r="F20" s="946"/>
      <c r="G20" s="95"/>
      <c r="H20" s="946"/>
    </row>
    <row r="21" spans="1:8" s="224" customFormat="1" x14ac:dyDescent="0.25">
      <c r="A21" s="215">
        <v>42587</v>
      </c>
      <c r="B21" s="862" t="s">
        <v>1091</v>
      </c>
      <c r="C21" s="879" t="s">
        <v>12</v>
      </c>
      <c r="D21" s="887" t="s">
        <v>15</v>
      </c>
      <c r="E21" s="250">
        <v>360</v>
      </c>
      <c r="F21" s="946"/>
      <c r="G21" s="97"/>
      <c r="H21" s="1473"/>
    </row>
    <row r="22" spans="1:8" x14ac:dyDescent="0.25">
      <c r="A22" s="215">
        <v>42587</v>
      </c>
      <c r="B22" s="862" t="s">
        <v>52</v>
      </c>
      <c r="C22" s="879" t="s">
        <v>12</v>
      </c>
      <c r="D22" s="1475" t="s">
        <v>15</v>
      </c>
      <c r="E22" s="97">
        <v>60</v>
      </c>
      <c r="F22" s="946"/>
      <c r="G22" s="97"/>
      <c r="H22" s="946"/>
    </row>
    <row r="23" spans="1:8" x14ac:dyDescent="0.25">
      <c r="A23" s="215">
        <v>42587</v>
      </c>
      <c r="B23" s="349" t="s">
        <v>260</v>
      </c>
      <c r="C23" s="350"/>
      <c r="D23" s="141"/>
      <c r="E23" s="97">
        <v>310</v>
      </c>
      <c r="F23" s="946"/>
      <c r="G23" s="95"/>
      <c r="H23" s="946">
        <v>310</v>
      </c>
    </row>
    <row r="24" spans="1:8" s="224" customFormat="1" x14ac:dyDescent="0.25">
      <c r="A24" s="215">
        <v>42587</v>
      </c>
      <c r="B24" s="349" t="s">
        <v>311</v>
      </c>
      <c r="C24" s="350"/>
      <c r="D24" s="141"/>
      <c r="E24" s="97"/>
      <c r="F24" s="946"/>
      <c r="G24" s="97"/>
      <c r="H24" s="946">
        <v>5.19</v>
      </c>
    </row>
    <row r="25" spans="1:8" x14ac:dyDescent="0.25">
      <c r="A25" s="215">
        <v>42587</v>
      </c>
      <c r="B25" s="862" t="s">
        <v>32</v>
      </c>
      <c r="C25" s="350" t="s">
        <v>12</v>
      </c>
      <c r="D25" s="141" t="s">
        <v>13</v>
      </c>
      <c r="E25" s="250">
        <v>13</v>
      </c>
      <c r="F25" s="946"/>
      <c r="G25" s="95"/>
      <c r="H25" s="946"/>
    </row>
    <row r="26" spans="1:8" x14ac:dyDescent="0.25">
      <c r="A26" s="215">
        <v>42587</v>
      </c>
      <c r="B26" s="862" t="s">
        <v>134</v>
      </c>
      <c r="C26" s="350" t="s">
        <v>19</v>
      </c>
      <c r="D26" s="141" t="s">
        <v>13</v>
      </c>
      <c r="E26" s="250">
        <v>16.399999999999999</v>
      </c>
      <c r="F26" s="946"/>
      <c r="G26" s="95"/>
      <c r="H26" s="946"/>
    </row>
    <row r="27" spans="1:8" x14ac:dyDescent="0.25">
      <c r="A27" s="215">
        <v>42587</v>
      </c>
      <c r="B27" s="862" t="s">
        <v>14</v>
      </c>
      <c r="C27" s="350" t="s">
        <v>19</v>
      </c>
      <c r="D27" s="141" t="s">
        <v>13</v>
      </c>
      <c r="E27" s="250">
        <v>16.399999999999999</v>
      </c>
      <c r="F27" s="946"/>
      <c r="G27" s="95"/>
      <c r="H27" s="946"/>
    </row>
    <row r="28" spans="1:8" x14ac:dyDescent="0.25">
      <c r="A28" s="215">
        <v>42587</v>
      </c>
      <c r="B28" s="862" t="s">
        <v>82</v>
      </c>
      <c r="C28" s="350" t="s">
        <v>12</v>
      </c>
      <c r="D28" s="141" t="s">
        <v>13</v>
      </c>
      <c r="E28" s="250">
        <v>28</v>
      </c>
      <c r="F28" s="946"/>
      <c r="G28" s="95"/>
      <c r="H28" s="946"/>
    </row>
    <row r="29" spans="1:8" x14ac:dyDescent="0.25">
      <c r="A29" s="215">
        <v>42587</v>
      </c>
      <c r="B29" s="862" t="s">
        <v>1369</v>
      </c>
      <c r="C29" s="350" t="s">
        <v>12</v>
      </c>
      <c r="D29" s="141" t="s">
        <v>13</v>
      </c>
      <c r="E29" s="250">
        <v>26</v>
      </c>
      <c r="F29" s="946"/>
      <c r="G29" s="95"/>
      <c r="H29" s="946"/>
    </row>
    <row r="30" spans="1:8" x14ac:dyDescent="0.25">
      <c r="A30" s="215">
        <v>42588</v>
      </c>
      <c r="B30" s="349" t="s">
        <v>14</v>
      </c>
      <c r="C30" s="350" t="s">
        <v>12</v>
      </c>
      <c r="D30" s="141" t="s">
        <v>13</v>
      </c>
      <c r="E30" s="97">
        <v>9</v>
      </c>
      <c r="F30" s="946"/>
      <c r="G30" s="95"/>
      <c r="H30" s="946"/>
    </row>
    <row r="31" spans="1:8" x14ac:dyDescent="0.25">
      <c r="A31" s="215">
        <v>42588</v>
      </c>
      <c r="B31" s="349" t="s">
        <v>134</v>
      </c>
      <c r="C31" s="350" t="s">
        <v>12</v>
      </c>
      <c r="D31" s="141" t="s">
        <v>13</v>
      </c>
      <c r="E31" s="97">
        <v>14.5</v>
      </c>
      <c r="F31" s="946"/>
      <c r="G31" s="95"/>
      <c r="H31" s="946"/>
    </row>
    <row r="32" spans="1:8" x14ac:dyDescent="0.25">
      <c r="A32" s="215">
        <v>42588</v>
      </c>
      <c r="B32" s="349" t="s">
        <v>80</v>
      </c>
      <c r="C32" s="350" t="s">
        <v>12</v>
      </c>
      <c r="D32" s="141" t="s">
        <v>15</v>
      </c>
      <c r="E32" s="97">
        <v>20</v>
      </c>
      <c r="F32" s="946"/>
      <c r="G32" s="95"/>
      <c r="H32" s="946"/>
    </row>
    <row r="33" spans="1:8" x14ac:dyDescent="0.25">
      <c r="A33" s="215">
        <v>42589</v>
      </c>
      <c r="B33" s="349" t="s">
        <v>134</v>
      </c>
      <c r="C33" s="350" t="s">
        <v>12</v>
      </c>
      <c r="D33" s="141" t="s">
        <v>13</v>
      </c>
      <c r="E33" s="97">
        <v>38.85</v>
      </c>
      <c r="F33" s="946"/>
      <c r="G33" s="97"/>
      <c r="H33" s="946"/>
    </row>
    <row r="34" spans="1:8" x14ac:dyDescent="0.25">
      <c r="A34" s="215">
        <v>42590</v>
      </c>
      <c r="B34" s="862" t="s">
        <v>32</v>
      </c>
      <c r="C34" s="350" t="s">
        <v>12</v>
      </c>
      <c r="D34" s="141" t="s">
        <v>13</v>
      </c>
      <c r="E34" s="250">
        <v>13</v>
      </c>
      <c r="F34" s="946"/>
      <c r="G34" s="95"/>
      <c r="H34" s="946"/>
    </row>
    <row r="35" spans="1:8" x14ac:dyDescent="0.25">
      <c r="A35" s="215">
        <v>42590</v>
      </c>
      <c r="B35" s="349" t="s">
        <v>14</v>
      </c>
      <c r="C35" s="350" t="s">
        <v>12</v>
      </c>
      <c r="D35" s="141" t="s">
        <v>13</v>
      </c>
      <c r="E35" s="97">
        <v>4.25</v>
      </c>
      <c r="F35" s="946"/>
      <c r="G35" s="97"/>
      <c r="H35" s="946"/>
    </row>
    <row r="36" spans="1:8" x14ac:dyDescent="0.25">
      <c r="A36" s="215">
        <v>42591</v>
      </c>
      <c r="B36" s="862" t="s">
        <v>32</v>
      </c>
      <c r="C36" s="350" t="s">
        <v>12</v>
      </c>
      <c r="D36" s="141" t="s">
        <v>13</v>
      </c>
      <c r="E36" s="250">
        <v>13</v>
      </c>
      <c r="F36" s="946"/>
      <c r="G36" s="97"/>
      <c r="H36" s="946"/>
    </row>
    <row r="37" spans="1:8" x14ac:dyDescent="0.25">
      <c r="A37" s="215">
        <v>42591</v>
      </c>
      <c r="B37" s="862" t="s">
        <v>591</v>
      </c>
      <c r="C37" s="350" t="s">
        <v>12</v>
      </c>
      <c r="D37" s="141" t="s">
        <v>13</v>
      </c>
      <c r="E37" s="250">
        <v>10</v>
      </c>
      <c r="F37" s="946"/>
      <c r="G37" s="97"/>
      <c r="H37" s="946"/>
    </row>
    <row r="38" spans="1:8" x14ac:dyDescent="0.25">
      <c r="A38" s="215">
        <v>42591</v>
      </c>
      <c r="B38" s="862" t="s">
        <v>14</v>
      </c>
      <c r="C38" s="350" t="s">
        <v>12</v>
      </c>
      <c r="D38" s="141" t="s">
        <v>13</v>
      </c>
      <c r="E38" s="250">
        <v>9.09</v>
      </c>
      <c r="F38" s="946"/>
      <c r="G38" s="97"/>
      <c r="H38" s="946"/>
    </row>
    <row r="39" spans="1:8" x14ac:dyDescent="0.25">
      <c r="A39" s="215">
        <v>42592</v>
      </c>
      <c r="B39" s="862" t="s">
        <v>32</v>
      </c>
      <c r="C39" s="350" t="s">
        <v>12</v>
      </c>
      <c r="D39" s="141" t="s">
        <v>13</v>
      </c>
      <c r="E39" s="250">
        <v>13</v>
      </c>
      <c r="F39" s="946"/>
      <c r="G39" s="97"/>
      <c r="H39" s="946"/>
    </row>
    <row r="40" spans="1:8" x14ac:dyDescent="0.25">
      <c r="A40" s="215">
        <v>42592</v>
      </c>
      <c r="B40" s="862" t="s">
        <v>14</v>
      </c>
      <c r="C40" s="350" t="s">
        <v>12</v>
      </c>
      <c r="D40" s="141" t="s">
        <v>13</v>
      </c>
      <c r="E40" s="250">
        <v>10.47</v>
      </c>
      <c r="F40" s="946"/>
      <c r="G40" s="97"/>
      <c r="H40" s="946"/>
    </row>
    <row r="41" spans="1:8" x14ac:dyDescent="0.25">
      <c r="A41" s="215">
        <v>42592</v>
      </c>
      <c r="B41" s="862" t="s">
        <v>1343</v>
      </c>
      <c r="C41" s="350" t="s">
        <v>19</v>
      </c>
      <c r="D41" s="141" t="s">
        <v>13</v>
      </c>
      <c r="E41" s="250">
        <v>30.72</v>
      </c>
      <c r="F41" s="946"/>
      <c r="G41" s="97"/>
      <c r="H41" s="946"/>
    </row>
    <row r="42" spans="1:8" s="224" customFormat="1" x14ac:dyDescent="0.25">
      <c r="A42" s="215">
        <v>42592</v>
      </c>
      <c r="B42" s="862" t="s">
        <v>1331</v>
      </c>
      <c r="C42" s="350" t="s">
        <v>12</v>
      </c>
      <c r="D42" s="141" t="s">
        <v>15</v>
      </c>
      <c r="E42" s="250">
        <v>50</v>
      </c>
      <c r="F42" s="946"/>
      <c r="G42" s="97"/>
      <c r="H42" s="1473"/>
    </row>
    <row r="43" spans="1:8" x14ac:dyDescent="0.25">
      <c r="A43" s="215">
        <v>42593</v>
      </c>
      <c r="B43" s="862" t="s">
        <v>32</v>
      </c>
      <c r="C43" s="350" t="s">
        <v>12</v>
      </c>
      <c r="D43" s="141" t="s">
        <v>13</v>
      </c>
      <c r="E43" s="250">
        <v>13</v>
      </c>
      <c r="F43" s="946"/>
      <c r="G43" s="97"/>
      <c r="H43" s="946"/>
    </row>
    <row r="44" spans="1:8" x14ac:dyDescent="0.25">
      <c r="A44" s="215">
        <v>42593</v>
      </c>
      <c r="B44" s="349" t="s">
        <v>134</v>
      </c>
      <c r="C44" s="350" t="s">
        <v>12</v>
      </c>
      <c r="D44" s="141" t="s">
        <v>15</v>
      </c>
      <c r="E44" s="97">
        <v>8</v>
      </c>
      <c r="F44" s="946"/>
      <c r="G44" s="95"/>
      <c r="H44" s="946"/>
    </row>
    <row r="45" spans="1:8" s="224" customFormat="1" x14ac:dyDescent="0.25">
      <c r="A45" s="215">
        <v>42594</v>
      </c>
      <c r="B45" s="862" t="s">
        <v>32</v>
      </c>
      <c r="C45" s="350" t="s">
        <v>12</v>
      </c>
      <c r="D45" s="141" t="s">
        <v>13</v>
      </c>
      <c r="E45" s="250">
        <v>13</v>
      </c>
      <c r="F45" s="946"/>
      <c r="G45" s="97"/>
      <c r="H45" s="1473"/>
    </row>
    <row r="46" spans="1:8" s="224" customFormat="1" x14ac:dyDescent="0.25">
      <c r="A46" s="215">
        <v>42594</v>
      </c>
      <c r="B46" s="862" t="s">
        <v>14</v>
      </c>
      <c r="C46" s="350" t="s">
        <v>12</v>
      </c>
      <c r="D46" s="141" t="s">
        <v>13</v>
      </c>
      <c r="E46" s="250">
        <v>7.37</v>
      </c>
      <c r="F46" s="946"/>
      <c r="G46" s="97"/>
      <c r="H46" s="1473"/>
    </row>
    <row r="47" spans="1:8" s="224" customFormat="1" x14ac:dyDescent="0.25">
      <c r="A47" s="215">
        <v>42594</v>
      </c>
      <c r="B47" s="862" t="s">
        <v>1370</v>
      </c>
      <c r="C47" s="350" t="s">
        <v>12</v>
      </c>
      <c r="D47" s="141" t="s">
        <v>13</v>
      </c>
      <c r="E47" s="250"/>
      <c r="F47" s="946">
        <v>248.22</v>
      </c>
      <c r="G47" s="97"/>
      <c r="H47" s="1473"/>
    </row>
    <row r="48" spans="1:8" s="224" customFormat="1" x14ac:dyDescent="0.25">
      <c r="A48" s="215">
        <v>42595</v>
      </c>
      <c r="B48" s="349" t="s">
        <v>260</v>
      </c>
      <c r="C48" s="350"/>
      <c r="D48" s="141"/>
      <c r="E48" s="97">
        <v>135.81</v>
      </c>
      <c r="F48" s="946"/>
      <c r="G48" s="95"/>
      <c r="H48" s="946">
        <v>135.81</v>
      </c>
    </row>
    <row r="49" spans="1:8" s="224" customFormat="1" x14ac:dyDescent="0.25">
      <c r="A49" s="215">
        <v>42595</v>
      </c>
      <c r="B49" s="862" t="s">
        <v>32</v>
      </c>
      <c r="C49" s="350" t="s">
        <v>12</v>
      </c>
      <c r="D49" s="141" t="s">
        <v>13</v>
      </c>
      <c r="E49" s="250">
        <v>13</v>
      </c>
      <c r="F49" s="946"/>
      <c r="G49" s="97"/>
      <c r="H49" s="1473"/>
    </row>
    <row r="50" spans="1:8" s="224" customFormat="1" x14ac:dyDescent="0.25">
      <c r="A50" s="215">
        <v>42595</v>
      </c>
      <c r="B50" s="862" t="s">
        <v>14</v>
      </c>
      <c r="C50" s="350" t="s">
        <v>12</v>
      </c>
      <c r="D50" s="141" t="s">
        <v>13</v>
      </c>
      <c r="E50" s="250">
        <v>18.739999999999998</v>
      </c>
      <c r="F50" s="946"/>
      <c r="G50" s="97"/>
      <c r="H50" s="1473"/>
    </row>
    <row r="51" spans="1:8" s="224" customFormat="1" x14ac:dyDescent="0.25">
      <c r="A51" s="215">
        <v>42596</v>
      </c>
      <c r="B51" s="862" t="s">
        <v>1371</v>
      </c>
      <c r="C51" s="350" t="s">
        <v>12</v>
      </c>
      <c r="D51" s="141" t="s">
        <v>13</v>
      </c>
      <c r="E51" s="250">
        <v>10</v>
      </c>
      <c r="F51" s="946"/>
      <c r="G51" s="97"/>
      <c r="H51" s="1473"/>
    </row>
    <row r="52" spans="1:8" s="224" customFormat="1" x14ac:dyDescent="0.25">
      <c r="A52" s="215">
        <v>42596</v>
      </c>
      <c r="B52" s="862" t="s">
        <v>1372</v>
      </c>
      <c r="C52" s="350" t="s">
        <v>12</v>
      </c>
      <c r="D52" s="141" t="s">
        <v>13</v>
      </c>
      <c r="E52" s="250">
        <v>7.5</v>
      </c>
      <c r="F52" s="946"/>
      <c r="G52" s="97"/>
      <c r="H52" s="1473"/>
    </row>
    <row r="53" spans="1:8" s="224" customFormat="1" x14ac:dyDescent="0.25">
      <c r="A53" s="215">
        <v>42596</v>
      </c>
      <c r="B53" s="862" t="s">
        <v>1310</v>
      </c>
      <c r="C53" s="350" t="s">
        <v>19</v>
      </c>
      <c r="D53" s="141" t="s">
        <v>13</v>
      </c>
      <c r="E53" s="250">
        <v>80.7</v>
      </c>
      <c r="F53" s="946"/>
      <c r="G53" s="97"/>
      <c r="H53" s="1473"/>
    </row>
    <row r="54" spans="1:8" s="224" customFormat="1" x14ac:dyDescent="0.25">
      <c r="A54" s="215">
        <v>42596</v>
      </c>
      <c r="B54" s="862" t="s">
        <v>1331</v>
      </c>
      <c r="C54" s="879" t="s">
        <v>12</v>
      </c>
      <c r="D54" s="887" t="s">
        <v>13</v>
      </c>
      <c r="E54" s="250">
        <v>60</v>
      </c>
      <c r="F54" s="946"/>
      <c r="G54" s="97"/>
      <c r="H54" s="1473"/>
    </row>
    <row r="55" spans="1:8" x14ac:dyDescent="0.25">
      <c r="A55" s="215">
        <v>42596</v>
      </c>
      <c r="B55" s="349" t="s">
        <v>134</v>
      </c>
      <c r="C55" s="350" t="s">
        <v>12</v>
      </c>
      <c r="D55" s="141" t="s">
        <v>15</v>
      </c>
      <c r="E55" s="97">
        <v>8</v>
      </c>
      <c r="F55" s="946"/>
      <c r="G55" s="95"/>
      <c r="H55" s="946"/>
    </row>
    <row r="56" spans="1:8" s="224" customFormat="1" x14ac:dyDescent="0.25">
      <c r="A56" s="215">
        <v>42597</v>
      </c>
      <c r="B56" s="862" t="s">
        <v>32</v>
      </c>
      <c r="C56" s="350" t="s">
        <v>12</v>
      </c>
      <c r="D56" s="141" t="s">
        <v>13</v>
      </c>
      <c r="E56" s="250">
        <v>13</v>
      </c>
      <c r="F56" s="946"/>
      <c r="G56" s="97"/>
      <c r="H56" s="1473"/>
    </row>
    <row r="57" spans="1:8" s="224" customFormat="1" x14ac:dyDescent="0.25">
      <c r="A57" s="215">
        <v>42597</v>
      </c>
      <c r="B57" s="862" t="s">
        <v>14</v>
      </c>
      <c r="C57" s="350" t="s">
        <v>12</v>
      </c>
      <c r="D57" s="141" t="s">
        <v>13</v>
      </c>
      <c r="E57" s="250">
        <v>8.5</v>
      </c>
      <c r="F57" s="946"/>
      <c r="G57" s="97"/>
      <c r="H57" s="1473"/>
    </row>
    <row r="58" spans="1:8" s="224" customFormat="1" x14ac:dyDescent="0.25">
      <c r="A58" s="215">
        <v>42597</v>
      </c>
      <c r="B58" s="862" t="s">
        <v>1373</v>
      </c>
      <c r="C58" s="350" t="s">
        <v>12</v>
      </c>
      <c r="D58" s="141" t="s">
        <v>15</v>
      </c>
      <c r="E58" s="250">
        <v>5</v>
      </c>
      <c r="F58" s="946"/>
      <c r="G58" s="97"/>
      <c r="H58" s="1473"/>
    </row>
    <row r="59" spans="1:8" s="224" customFormat="1" x14ac:dyDescent="0.25">
      <c r="A59" s="215">
        <v>42598</v>
      </c>
      <c r="B59" s="862" t="s">
        <v>14</v>
      </c>
      <c r="C59" s="350" t="s">
        <v>12</v>
      </c>
      <c r="D59" s="141" t="s">
        <v>13</v>
      </c>
      <c r="E59" s="250">
        <v>16.96</v>
      </c>
      <c r="F59" s="946"/>
      <c r="G59" s="97"/>
      <c r="H59" s="1473"/>
    </row>
    <row r="60" spans="1:8" s="224" customFormat="1" x14ac:dyDescent="0.25">
      <c r="A60" s="215">
        <v>42599</v>
      </c>
      <c r="B60" s="862" t="s">
        <v>32</v>
      </c>
      <c r="C60" s="350" t="s">
        <v>12</v>
      </c>
      <c r="D60" s="141" t="s">
        <v>13</v>
      </c>
      <c r="E60" s="250">
        <v>13</v>
      </c>
      <c r="F60" s="946"/>
      <c r="G60" s="97"/>
      <c r="H60" s="1473"/>
    </row>
    <row r="61" spans="1:8" s="224" customFormat="1" x14ac:dyDescent="0.25">
      <c r="A61" s="215">
        <v>42599</v>
      </c>
      <c r="B61" s="862" t="s">
        <v>1369</v>
      </c>
      <c r="C61" s="350" t="s">
        <v>12</v>
      </c>
      <c r="D61" s="141" t="s">
        <v>13</v>
      </c>
      <c r="E61" s="250">
        <v>9.48</v>
      </c>
      <c r="F61" s="946"/>
      <c r="G61" s="97"/>
      <c r="H61" s="1473"/>
    </row>
    <row r="62" spans="1:8" s="224" customFormat="1" x14ac:dyDescent="0.25">
      <c r="A62" s="215">
        <v>42599</v>
      </c>
      <c r="B62" s="862" t="s">
        <v>249</v>
      </c>
      <c r="C62" s="350" t="s">
        <v>12</v>
      </c>
      <c r="D62" s="141" t="s">
        <v>13</v>
      </c>
      <c r="E62" s="250">
        <v>5.99</v>
      </c>
      <c r="F62" s="946"/>
      <c r="G62" s="97"/>
      <c r="H62" s="1473"/>
    </row>
    <row r="63" spans="1:8" s="224" customFormat="1" x14ac:dyDescent="0.25">
      <c r="A63" s="215">
        <v>42600</v>
      </c>
      <c r="B63" s="862" t="s">
        <v>32</v>
      </c>
      <c r="C63" s="350" t="s">
        <v>12</v>
      </c>
      <c r="D63" s="141" t="s">
        <v>13</v>
      </c>
      <c r="E63" s="250">
        <v>13</v>
      </c>
      <c r="F63" s="946"/>
      <c r="G63" s="97"/>
      <c r="H63" s="1473"/>
    </row>
    <row r="64" spans="1:8" s="224" customFormat="1" x14ac:dyDescent="0.25">
      <c r="A64" s="215">
        <v>42600</v>
      </c>
      <c r="B64" s="349" t="s">
        <v>134</v>
      </c>
      <c r="C64" s="350" t="s">
        <v>12</v>
      </c>
      <c r="D64" s="141" t="s">
        <v>13</v>
      </c>
      <c r="E64" s="97">
        <v>10.3</v>
      </c>
      <c r="F64" s="946"/>
      <c r="G64" s="97"/>
      <c r="H64" s="1473"/>
    </row>
    <row r="65" spans="1:8" s="224" customFormat="1" x14ac:dyDescent="0.25">
      <c r="A65" s="215">
        <v>42601</v>
      </c>
      <c r="B65" s="862" t="s">
        <v>32</v>
      </c>
      <c r="C65" s="350" t="s">
        <v>12</v>
      </c>
      <c r="D65" s="141" t="s">
        <v>13</v>
      </c>
      <c r="E65" s="250">
        <v>13</v>
      </c>
      <c r="F65" s="946"/>
      <c r="G65" s="97"/>
      <c r="H65" s="1473"/>
    </row>
    <row r="66" spans="1:8" s="224" customFormat="1" x14ac:dyDescent="0.25">
      <c r="A66" s="215">
        <v>42601</v>
      </c>
      <c r="B66" s="862" t="s">
        <v>80</v>
      </c>
      <c r="C66" s="350" t="s">
        <v>12</v>
      </c>
      <c r="D66" s="141" t="s">
        <v>13</v>
      </c>
      <c r="E66" s="250">
        <v>17</v>
      </c>
      <c r="F66" s="946"/>
      <c r="G66" s="97"/>
      <c r="H66" s="1473"/>
    </row>
    <row r="67" spans="1:8" s="224" customFormat="1" x14ac:dyDescent="0.25">
      <c r="A67" s="215">
        <v>42601</v>
      </c>
      <c r="B67" s="862" t="s">
        <v>134</v>
      </c>
      <c r="C67" s="350" t="s">
        <v>12</v>
      </c>
      <c r="D67" s="141" t="s">
        <v>13</v>
      </c>
      <c r="E67" s="250">
        <v>6.46</v>
      </c>
      <c r="F67" s="946"/>
      <c r="G67" s="97"/>
      <c r="H67" s="1473"/>
    </row>
    <row r="68" spans="1:8" s="224" customFormat="1" x14ac:dyDescent="0.25">
      <c r="A68" s="215">
        <v>42602</v>
      </c>
      <c r="B68" s="862" t="s">
        <v>32</v>
      </c>
      <c r="C68" s="350" t="s">
        <v>12</v>
      </c>
      <c r="D68" s="141" t="s">
        <v>13</v>
      </c>
      <c r="E68" s="250">
        <v>14.5</v>
      </c>
      <c r="F68" s="946"/>
      <c r="G68" s="97"/>
      <c r="H68" s="1473"/>
    </row>
    <row r="69" spans="1:8" s="224" customFormat="1" x14ac:dyDescent="0.25">
      <c r="A69" s="215">
        <v>42602</v>
      </c>
      <c r="B69" s="882" t="s">
        <v>1374</v>
      </c>
      <c r="C69" s="879" t="s">
        <v>12</v>
      </c>
      <c r="D69" s="887" t="s">
        <v>25</v>
      </c>
      <c r="E69" s="97"/>
      <c r="F69" s="946">
        <v>1420</v>
      </c>
      <c r="G69" s="95"/>
      <c r="H69" s="1473"/>
    </row>
    <row r="70" spans="1:8" s="224" customFormat="1" x14ac:dyDescent="0.25">
      <c r="A70" s="215">
        <v>42602</v>
      </c>
      <c r="B70" s="882" t="s">
        <v>1375</v>
      </c>
      <c r="C70" s="879" t="s">
        <v>12</v>
      </c>
      <c r="D70" s="887" t="s">
        <v>13</v>
      </c>
      <c r="E70" s="97">
        <v>568.53</v>
      </c>
      <c r="F70" s="946"/>
      <c r="G70" s="95"/>
      <c r="H70" s="1473"/>
    </row>
    <row r="71" spans="1:8" s="224" customFormat="1" ht="15.75" customHeight="1" x14ac:dyDescent="0.25">
      <c r="A71" s="215">
        <v>42602</v>
      </c>
      <c r="B71" s="882" t="s">
        <v>1376</v>
      </c>
      <c r="C71" s="350" t="s">
        <v>12</v>
      </c>
      <c r="D71" s="141" t="s">
        <v>13</v>
      </c>
      <c r="E71" s="97">
        <v>69.650000000000006</v>
      </c>
      <c r="F71" s="1473"/>
      <c r="G71" s="252"/>
      <c r="H71" s="946"/>
    </row>
    <row r="72" spans="1:8" s="224" customFormat="1" x14ac:dyDescent="0.25">
      <c r="A72" s="215">
        <v>42602</v>
      </c>
      <c r="B72" s="882" t="s">
        <v>1331</v>
      </c>
      <c r="C72" s="350" t="s">
        <v>12</v>
      </c>
      <c r="D72" s="141" t="s">
        <v>15</v>
      </c>
      <c r="E72" s="97">
        <v>60</v>
      </c>
      <c r="F72" s="946"/>
      <c r="G72" s="97"/>
      <c r="H72" s="1473"/>
    </row>
    <row r="73" spans="1:8" s="224" customFormat="1" x14ac:dyDescent="0.25">
      <c r="A73" s="215">
        <v>42602</v>
      </c>
      <c r="B73" s="882" t="s">
        <v>14</v>
      </c>
      <c r="C73" s="350" t="s">
        <v>19</v>
      </c>
      <c r="D73" s="141" t="s">
        <v>13</v>
      </c>
      <c r="E73" s="97">
        <v>20</v>
      </c>
      <c r="F73" s="946"/>
      <c r="G73" s="97"/>
      <c r="H73" s="1473"/>
    </row>
    <row r="74" spans="1:8" s="224" customFormat="1" x14ac:dyDescent="0.25">
      <c r="A74" s="215">
        <v>42602</v>
      </c>
      <c r="B74" s="882" t="s">
        <v>134</v>
      </c>
      <c r="C74" s="350" t="s">
        <v>19</v>
      </c>
      <c r="D74" s="141" t="s">
        <v>13</v>
      </c>
      <c r="E74" s="97">
        <v>17.45</v>
      </c>
      <c r="F74" s="946"/>
      <c r="G74" s="97"/>
      <c r="H74" s="1473"/>
    </row>
    <row r="75" spans="1:8" s="224" customFormat="1" x14ac:dyDescent="0.25">
      <c r="A75" s="215">
        <v>42603</v>
      </c>
      <c r="B75" s="882"/>
      <c r="C75" s="879"/>
      <c r="D75" s="887"/>
      <c r="E75" s="97"/>
      <c r="F75" s="946"/>
      <c r="G75" s="95"/>
      <c r="H75" s="1473"/>
    </row>
    <row r="76" spans="1:8" x14ac:dyDescent="0.25">
      <c r="A76" s="215">
        <v>42604</v>
      </c>
      <c r="B76" s="862" t="s">
        <v>32</v>
      </c>
      <c r="C76" s="350" t="s">
        <v>12</v>
      </c>
      <c r="D76" s="141" t="s">
        <v>15</v>
      </c>
      <c r="E76" s="250">
        <v>13</v>
      </c>
      <c r="F76" s="946"/>
      <c r="G76" s="95"/>
      <c r="H76" s="946"/>
    </row>
    <row r="77" spans="1:8" s="224" customFormat="1" x14ac:dyDescent="0.25">
      <c r="A77" s="215">
        <v>42604</v>
      </c>
      <c r="B77" s="882" t="s">
        <v>134</v>
      </c>
      <c r="C77" s="350" t="s">
        <v>12</v>
      </c>
      <c r="D77" s="141" t="s">
        <v>13</v>
      </c>
      <c r="E77" s="97">
        <v>7.74</v>
      </c>
      <c r="F77" s="946"/>
      <c r="G77" s="97"/>
      <c r="H77" s="1473"/>
    </row>
    <row r="78" spans="1:8" x14ac:dyDescent="0.25">
      <c r="A78" s="215">
        <v>42604</v>
      </c>
      <c r="B78" s="349" t="s">
        <v>260</v>
      </c>
      <c r="C78" s="350"/>
      <c r="D78" s="141"/>
      <c r="E78" s="97">
        <v>50</v>
      </c>
      <c r="F78" s="946"/>
      <c r="G78" s="95"/>
      <c r="H78" s="946">
        <v>50</v>
      </c>
    </row>
    <row r="79" spans="1:8" x14ac:dyDescent="0.25">
      <c r="A79" s="215">
        <v>42605</v>
      </c>
      <c r="B79" s="862" t="s">
        <v>32</v>
      </c>
      <c r="C79" s="350" t="s">
        <v>12</v>
      </c>
      <c r="D79" s="141" t="s">
        <v>15</v>
      </c>
      <c r="E79" s="250">
        <v>13</v>
      </c>
      <c r="F79" s="946"/>
      <c r="G79" s="95"/>
      <c r="H79" s="946"/>
    </row>
    <row r="80" spans="1:8" s="224" customFormat="1" x14ac:dyDescent="0.25">
      <c r="A80" s="215">
        <v>42605</v>
      </c>
      <c r="B80" s="882" t="s">
        <v>14</v>
      </c>
      <c r="C80" s="350" t="s">
        <v>12</v>
      </c>
      <c r="D80" s="141" t="s">
        <v>13</v>
      </c>
      <c r="E80" s="97">
        <v>9.18</v>
      </c>
      <c r="F80" s="946"/>
      <c r="G80" s="97"/>
      <c r="H80" s="1473"/>
    </row>
    <row r="81" spans="1:8" x14ac:dyDescent="0.25">
      <c r="A81" s="215">
        <v>42606</v>
      </c>
      <c r="B81" s="862" t="s">
        <v>1377</v>
      </c>
      <c r="C81" s="350" t="s">
        <v>12</v>
      </c>
      <c r="D81" s="957" t="s">
        <v>13</v>
      </c>
      <c r="E81" s="250">
        <v>58.9</v>
      </c>
      <c r="F81" s="946"/>
      <c r="G81" s="95"/>
      <c r="H81" s="946"/>
    </row>
    <row r="82" spans="1:8" x14ac:dyDescent="0.25">
      <c r="A82" s="215">
        <v>42606</v>
      </c>
      <c r="B82" s="862" t="s">
        <v>32</v>
      </c>
      <c r="C82" s="350" t="s">
        <v>12</v>
      </c>
      <c r="D82" s="141" t="s">
        <v>15</v>
      </c>
      <c r="E82" s="250">
        <v>13</v>
      </c>
      <c r="F82" s="946"/>
      <c r="G82" s="95"/>
      <c r="H82" s="946"/>
    </row>
    <row r="83" spans="1:8" x14ac:dyDescent="0.25">
      <c r="A83" s="215">
        <v>42606</v>
      </c>
      <c r="B83" s="862" t="s">
        <v>249</v>
      </c>
      <c r="C83" s="350" t="s">
        <v>12</v>
      </c>
      <c r="D83" s="141" t="s">
        <v>13</v>
      </c>
      <c r="E83" s="250">
        <v>6</v>
      </c>
      <c r="F83" s="946"/>
      <c r="G83" s="95"/>
      <c r="H83" s="946"/>
    </row>
    <row r="84" spans="1:8" x14ac:dyDescent="0.25">
      <c r="A84" s="215">
        <v>42607</v>
      </c>
      <c r="B84" s="862" t="s">
        <v>32</v>
      </c>
      <c r="C84" s="350" t="s">
        <v>12</v>
      </c>
      <c r="D84" s="141" t="s">
        <v>15</v>
      </c>
      <c r="E84" s="250">
        <v>13</v>
      </c>
      <c r="F84" s="946"/>
      <c r="G84" s="95"/>
      <c r="H84" s="946"/>
    </row>
    <row r="85" spans="1:8" s="224" customFormat="1" x14ac:dyDescent="0.25">
      <c r="A85" s="215">
        <v>42607</v>
      </c>
      <c r="B85" s="882" t="s">
        <v>134</v>
      </c>
      <c r="C85" s="350" t="s">
        <v>12</v>
      </c>
      <c r="D85" s="141" t="s">
        <v>13</v>
      </c>
      <c r="E85" s="97">
        <v>9.02</v>
      </c>
      <c r="F85" s="946"/>
      <c r="G85" s="97"/>
      <c r="H85" s="1473"/>
    </row>
    <row r="86" spans="1:8" s="224" customFormat="1" x14ac:dyDescent="0.25">
      <c r="A86" s="215">
        <v>42608</v>
      </c>
      <c r="B86" s="862" t="s">
        <v>32</v>
      </c>
      <c r="C86" s="350" t="s">
        <v>12</v>
      </c>
      <c r="D86" s="141" t="s">
        <v>15</v>
      </c>
      <c r="E86" s="250">
        <v>13</v>
      </c>
      <c r="F86" s="946"/>
      <c r="G86" s="97"/>
      <c r="H86" s="1473"/>
    </row>
    <row r="87" spans="1:8" s="224" customFormat="1" x14ac:dyDescent="0.25">
      <c r="A87" s="215">
        <v>42608</v>
      </c>
      <c r="B87" s="862" t="s">
        <v>1378</v>
      </c>
      <c r="C87" s="350" t="s">
        <v>19</v>
      </c>
      <c r="D87" s="141" t="s">
        <v>13</v>
      </c>
      <c r="E87" s="97">
        <v>55.96</v>
      </c>
      <c r="F87" s="1473"/>
      <c r="G87" s="252"/>
      <c r="H87" s="946"/>
    </row>
    <row r="88" spans="1:8" s="224" customFormat="1" x14ac:dyDescent="0.25">
      <c r="A88" s="215">
        <v>42608</v>
      </c>
      <c r="B88" s="862" t="s">
        <v>14</v>
      </c>
      <c r="C88" s="350" t="s">
        <v>19</v>
      </c>
      <c r="D88" s="141" t="s">
        <v>13</v>
      </c>
      <c r="E88" s="97">
        <v>30.17</v>
      </c>
      <c r="F88" s="1473"/>
      <c r="G88" s="252"/>
      <c r="H88" s="946"/>
    </row>
    <row r="89" spans="1:8" s="224" customFormat="1" x14ac:dyDescent="0.25">
      <c r="A89" s="215">
        <v>42608</v>
      </c>
      <c r="B89" s="862" t="s">
        <v>134</v>
      </c>
      <c r="C89" s="350" t="s">
        <v>19</v>
      </c>
      <c r="D89" s="141" t="s">
        <v>13</v>
      </c>
      <c r="E89" s="97">
        <v>9</v>
      </c>
      <c r="F89" s="1473"/>
      <c r="G89" s="252"/>
      <c r="H89" s="946"/>
    </row>
    <row r="90" spans="1:8" s="224" customFormat="1" x14ac:dyDescent="0.25">
      <c r="A90" s="215">
        <v>42608</v>
      </c>
      <c r="B90" s="862" t="s">
        <v>1331</v>
      </c>
      <c r="C90" s="350" t="s">
        <v>12</v>
      </c>
      <c r="D90" s="141" t="s">
        <v>13</v>
      </c>
      <c r="E90" s="97">
        <v>20</v>
      </c>
      <c r="F90" s="1473"/>
      <c r="G90" s="252"/>
      <c r="H90" s="946"/>
    </row>
    <row r="91" spans="1:8" x14ac:dyDescent="0.25">
      <c r="A91" s="215">
        <v>42609</v>
      </c>
      <c r="B91" s="862" t="s">
        <v>14</v>
      </c>
      <c r="C91" s="350" t="s">
        <v>19</v>
      </c>
      <c r="D91" s="141" t="s">
        <v>13</v>
      </c>
      <c r="E91" s="97">
        <v>11.46</v>
      </c>
      <c r="F91" s="946"/>
      <c r="G91" s="95"/>
      <c r="H91" s="946"/>
    </row>
    <row r="92" spans="1:8" x14ac:dyDescent="0.25">
      <c r="A92" s="215">
        <v>42609</v>
      </c>
      <c r="B92" s="349" t="s">
        <v>1379</v>
      </c>
      <c r="C92" s="350" t="s">
        <v>12</v>
      </c>
      <c r="D92" s="141" t="s">
        <v>13</v>
      </c>
      <c r="E92" s="97">
        <v>6</v>
      </c>
      <c r="F92" s="946"/>
      <c r="G92" s="95"/>
      <c r="H92" s="946"/>
    </row>
    <row r="93" spans="1:8" x14ac:dyDescent="0.25">
      <c r="A93" s="215">
        <v>42609</v>
      </c>
      <c r="B93" s="349" t="s">
        <v>32</v>
      </c>
      <c r="C93" s="350" t="s">
        <v>12</v>
      </c>
      <c r="D93" s="141" t="s">
        <v>13</v>
      </c>
      <c r="E93" s="97">
        <v>15.5</v>
      </c>
      <c r="F93" s="946"/>
      <c r="G93" s="95"/>
      <c r="H93" s="946"/>
    </row>
    <row r="94" spans="1:8" x14ac:dyDescent="0.25">
      <c r="A94" s="215">
        <v>42609</v>
      </c>
      <c r="B94" s="349" t="s">
        <v>82</v>
      </c>
      <c r="C94" s="350" t="s">
        <v>12</v>
      </c>
      <c r="D94" s="141" t="s">
        <v>13</v>
      </c>
      <c r="E94" s="97">
        <v>26</v>
      </c>
      <c r="F94" s="946"/>
      <c r="G94" s="95"/>
      <c r="H94" s="946"/>
    </row>
    <row r="95" spans="1:8" x14ac:dyDescent="0.25">
      <c r="A95" s="215">
        <v>42609</v>
      </c>
      <c r="B95" s="349" t="s">
        <v>56</v>
      </c>
      <c r="C95" s="350" t="s">
        <v>12</v>
      </c>
      <c r="D95" s="141" t="s">
        <v>13</v>
      </c>
      <c r="E95" s="97">
        <v>26</v>
      </c>
      <c r="F95" s="946"/>
      <c r="G95" s="95"/>
      <c r="H95" s="946"/>
    </row>
    <row r="96" spans="1:8" x14ac:dyDescent="0.25">
      <c r="A96" s="215">
        <v>42610</v>
      </c>
      <c r="B96" s="349" t="s">
        <v>14</v>
      </c>
      <c r="C96" s="350" t="s">
        <v>12</v>
      </c>
      <c r="D96" s="141" t="s">
        <v>13</v>
      </c>
      <c r="E96" s="97">
        <v>24.19</v>
      </c>
      <c r="F96" s="946"/>
      <c r="G96" s="95"/>
      <c r="H96" s="946"/>
    </row>
    <row r="97" spans="1:8" x14ac:dyDescent="0.25">
      <c r="A97" s="215">
        <v>42611</v>
      </c>
      <c r="B97" s="349" t="s">
        <v>32</v>
      </c>
      <c r="C97" s="350" t="s">
        <v>12</v>
      </c>
      <c r="D97" s="141" t="s">
        <v>13</v>
      </c>
      <c r="E97" s="97">
        <v>13</v>
      </c>
      <c r="F97" s="946"/>
      <c r="G97" s="95"/>
      <c r="H97" s="946"/>
    </row>
    <row r="98" spans="1:8" x14ac:dyDescent="0.25">
      <c r="A98" s="215">
        <v>42611</v>
      </c>
      <c r="B98" s="349" t="s">
        <v>1331</v>
      </c>
      <c r="C98" s="350" t="s">
        <v>12</v>
      </c>
      <c r="D98" s="141" t="s">
        <v>13</v>
      </c>
      <c r="E98" s="97">
        <v>60</v>
      </c>
      <c r="F98" s="946"/>
      <c r="G98" s="95"/>
      <c r="H98" s="946"/>
    </row>
    <row r="99" spans="1:8" x14ac:dyDescent="0.25">
      <c r="A99" s="215">
        <v>42611</v>
      </c>
      <c r="B99" s="349" t="s">
        <v>1343</v>
      </c>
      <c r="C99" s="350" t="s">
        <v>19</v>
      </c>
      <c r="D99" s="141" t="s">
        <v>13</v>
      </c>
      <c r="E99" s="97">
        <v>30.72</v>
      </c>
      <c r="F99" s="946"/>
      <c r="G99" s="95"/>
      <c r="H99" s="946"/>
    </row>
    <row r="100" spans="1:8" x14ac:dyDescent="0.25">
      <c r="A100" s="215">
        <v>42611</v>
      </c>
      <c r="B100" s="349" t="s">
        <v>14</v>
      </c>
      <c r="C100" s="350" t="s">
        <v>12</v>
      </c>
      <c r="D100" s="141" t="s">
        <v>13</v>
      </c>
      <c r="E100" s="97">
        <v>5.79</v>
      </c>
      <c r="F100" s="946"/>
      <c r="G100" s="95"/>
      <c r="H100" s="946"/>
    </row>
    <row r="101" spans="1:8" x14ac:dyDescent="0.25">
      <c r="A101" s="215">
        <v>42612</v>
      </c>
      <c r="B101" s="349" t="s">
        <v>32</v>
      </c>
      <c r="C101" s="350" t="s">
        <v>12</v>
      </c>
      <c r="D101" s="141" t="s">
        <v>13</v>
      </c>
      <c r="E101" s="97">
        <v>13</v>
      </c>
      <c r="F101" s="946"/>
      <c r="G101" s="95"/>
      <c r="H101" s="946"/>
    </row>
    <row r="102" spans="1:8" x14ac:dyDescent="0.25">
      <c r="A102" s="215">
        <v>42612</v>
      </c>
      <c r="B102" s="349" t="s">
        <v>14</v>
      </c>
      <c r="C102" s="350" t="s">
        <v>12</v>
      </c>
      <c r="D102" s="141" t="s">
        <v>13</v>
      </c>
      <c r="E102" s="97">
        <v>5.74</v>
      </c>
      <c r="F102" s="946"/>
      <c r="G102" s="95"/>
      <c r="H102" s="946"/>
    </row>
    <row r="103" spans="1:8" x14ac:dyDescent="0.25">
      <c r="A103" s="215">
        <v>42613</v>
      </c>
      <c r="B103" s="349" t="s">
        <v>32</v>
      </c>
      <c r="C103" s="350" t="s">
        <v>12</v>
      </c>
      <c r="D103" s="141" t="s">
        <v>13</v>
      </c>
      <c r="E103" s="97">
        <v>13</v>
      </c>
      <c r="F103" s="946"/>
      <c r="G103" s="95"/>
      <c r="H103" s="946"/>
    </row>
    <row r="104" spans="1:8" ht="15.75" thickBot="1" x14ac:dyDescent="0.3">
      <c r="A104" s="215">
        <v>42613</v>
      </c>
      <c r="B104" s="349" t="s">
        <v>14</v>
      </c>
      <c r="C104" s="350" t="s">
        <v>12</v>
      </c>
      <c r="D104" s="141" t="s">
        <v>13</v>
      </c>
      <c r="E104" s="97">
        <v>10.89</v>
      </c>
      <c r="F104" s="946"/>
      <c r="G104" s="95"/>
      <c r="H104" s="946"/>
    </row>
    <row r="105" spans="1:8" ht="25.5" customHeight="1" thickBot="1" x14ac:dyDescent="0.3">
      <c r="A105" s="3060"/>
      <c r="B105" s="3061"/>
      <c r="C105" s="3062"/>
      <c r="D105" s="3062"/>
      <c r="E105" s="100">
        <f>SUM(E6:E104)</f>
        <v>3617.1199999999994</v>
      </c>
      <c r="F105" s="1065">
        <f>SUM(F5:F104)</f>
        <v>3690.5230000000029</v>
      </c>
      <c r="G105" s="101">
        <f>SUM(G6:G104)</f>
        <v>200</v>
      </c>
      <c r="H105" s="93">
        <f>SUM(H5:H104)</f>
        <v>1400.9960000000001</v>
      </c>
    </row>
    <row r="106" spans="1:8" ht="25.5" customHeight="1" thickBot="1" x14ac:dyDescent="0.3">
      <c r="A106" s="3077" t="s">
        <v>49</v>
      </c>
      <c r="B106" s="3078"/>
      <c r="C106" s="3078"/>
      <c r="D106" s="3078"/>
      <c r="E106" s="144"/>
      <c r="F106" s="519">
        <f>F105-E105</f>
        <v>73.403000000003431</v>
      </c>
      <c r="G106" s="555"/>
      <c r="H106" s="556">
        <f>H105-G105</f>
        <v>1200.9960000000001</v>
      </c>
    </row>
    <row r="107" spans="1:8" x14ac:dyDescent="0.25">
      <c r="F107" s="89"/>
    </row>
    <row r="108" spans="1:8" x14ac:dyDescent="0.25">
      <c r="B108" s="79" t="s">
        <v>32</v>
      </c>
      <c r="C108" s="475">
        <v>329</v>
      </c>
    </row>
    <row r="109" spans="1:8" x14ac:dyDescent="0.25">
      <c r="B109" s="79" t="s">
        <v>1218</v>
      </c>
      <c r="C109" s="475">
        <v>330</v>
      </c>
      <c r="D109" s="79"/>
    </row>
    <row r="110" spans="1:8" x14ac:dyDescent="0.25">
      <c r="B110" s="79" t="s">
        <v>50</v>
      </c>
      <c r="C110" s="484">
        <v>205.71</v>
      </c>
    </row>
    <row r="111" spans="1:8" s="85" customFormat="1" x14ac:dyDescent="0.25">
      <c r="A111" s="79"/>
      <c r="B111" s="79" t="s">
        <v>14</v>
      </c>
      <c r="C111" s="484">
        <v>244.34</v>
      </c>
      <c r="E111" s="89"/>
      <c r="F111" s="79"/>
      <c r="G111" s="79"/>
    </row>
    <row r="112" spans="1:8" s="85" customFormat="1" x14ac:dyDescent="0.25">
      <c r="A112" s="79"/>
      <c r="B112" s="79" t="s">
        <v>51</v>
      </c>
      <c r="C112" s="475">
        <v>114.41</v>
      </c>
      <c r="E112" s="89"/>
      <c r="F112" s="79"/>
      <c r="G112" s="79"/>
      <c r="H112" s="79"/>
    </row>
    <row r="113" spans="1:9" s="85" customFormat="1" x14ac:dyDescent="0.25">
      <c r="A113" s="79"/>
      <c r="B113" s="79" t="s">
        <v>52</v>
      </c>
      <c r="C113" s="475">
        <v>60</v>
      </c>
      <c r="E113" s="89"/>
      <c r="F113" s="79"/>
      <c r="G113" s="79"/>
      <c r="H113" s="79"/>
    </row>
    <row r="114" spans="1:9" s="85" customFormat="1" x14ac:dyDescent="0.25">
      <c r="A114" s="79"/>
      <c r="B114" s="867" t="s">
        <v>53</v>
      </c>
      <c r="C114" s="475">
        <v>183</v>
      </c>
      <c r="D114" s="89"/>
      <c r="E114" s="89"/>
      <c r="F114" s="79"/>
      <c r="G114" s="79"/>
      <c r="H114" s="79"/>
    </row>
    <row r="115" spans="1:9" s="85" customFormat="1" x14ac:dyDescent="0.25">
      <c r="A115" s="79"/>
      <c r="B115" s="79" t="s">
        <v>1232</v>
      </c>
      <c r="C115" s="475">
        <v>568.53</v>
      </c>
      <c r="E115" s="89"/>
      <c r="F115" s="79"/>
      <c r="G115" s="79"/>
      <c r="H115" s="79"/>
    </row>
    <row r="116" spans="1:9" s="85" customFormat="1" x14ac:dyDescent="0.25">
      <c r="A116" s="79"/>
      <c r="B116" s="79" t="s">
        <v>56</v>
      </c>
      <c r="C116" s="475">
        <v>63</v>
      </c>
      <c r="E116" s="89"/>
      <c r="F116" s="79"/>
      <c r="G116" s="79"/>
      <c r="H116" s="79"/>
    </row>
    <row r="117" spans="1:9" s="85" customFormat="1" x14ac:dyDescent="0.25">
      <c r="A117" s="79"/>
      <c r="B117" s="79" t="s">
        <v>57</v>
      </c>
      <c r="C117" s="475">
        <v>315.19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418</v>
      </c>
      <c r="C118" s="475"/>
      <c r="D118" s="79"/>
      <c r="E118" s="89"/>
      <c r="F118" s="79"/>
      <c r="G118" s="79"/>
      <c r="H118" s="79"/>
    </row>
    <row r="119" spans="1:9" x14ac:dyDescent="0.25">
      <c r="B119" s="79" t="s">
        <v>419</v>
      </c>
      <c r="C119" s="475">
        <v>632.87</v>
      </c>
    </row>
    <row r="120" spans="1:9" x14ac:dyDescent="0.25">
      <c r="B120" s="79" t="s">
        <v>911</v>
      </c>
      <c r="C120" s="475"/>
    </row>
    <row r="122" spans="1:9" x14ac:dyDescent="0.25">
      <c r="B122" s="79" t="s">
        <v>486</v>
      </c>
      <c r="C122" s="475">
        <f>G122/I122</f>
        <v>99.526129032258069</v>
      </c>
      <c r="E122" s="224" t="s">
        <v>487</v>
      </c>
      <c r="F122" s="224"/>
      <c r="G122" s="216">
        <v>3085.31</v>
      </c>
      <c r="H122" s="518" t="s">
        <v>488</v>
      </c>
      <c r="I122" s="85">
        <v>31</v>
      </c>
    </row>
    <row r="133" spans="3:8" x14ac:dyDescent="0.25">
      <c r="C133" s="79"/>
      <c r="D133" s="79"/>
      <c r="E133" s="79"/>
      <c r="H133" s="216"/>
    </row>
    <row r="134" spans="3:8" x14ac:dyDescent="0.25">
      <c r="C134" s="79"/>
      <c r="D134" s="79"/>
      <c r="E134" s="79"/>
      <c r="H134" s="216"/>
    </row>
    <row r="135" spans="3:8" x14ac:dyDescent="0.25">
      <c r="C135" s="79"/>
      <c r="D135" s="79"/>
      <c r="E135" s="79"/>
      <c r="F135" s="216"/>
      <c r="H135" s="216"/>
    </row>
    <row r="136" spans="3:8" x14ac:dyDescent="0.25">
      <c r="C136" s="79"/>
      <c r="D136" s="79"/>
      <c r="E136" s="79"/>
      <c r="F136" s="216"/>
      <c r="H136" s="216"/>
    </row>
    <row r="137" spans="3:8" x14ac:dyDescent="0.25">
      <c r="C137" s="79"/>
      <c r="D137" s="79"/>
      <c r="E137" s="79"/>
      <c r="F137" s="216"/>
    </row>
    <row r="138" spans="3:8" x14ac:dyDescent="0.25">
      <c r="C138" s="79"/>
      <c r="D138" s="79"/>
      <c r="E138" s="79"/>
      <c r="H138" s="216"/>
    </row>
    <row r="140" spans="3:8" x14ac:dyDescent="0.25">
      <c r="C140" s="79"/>
      <c r="D140" s="79"/>
      <c r="E140" s="79"/>
      <c r="H140" s="629"/>
    </row>
    <row r="146" spans="3:8" x14ac:dyDescent="0.25">
      <c r="C146" s="79"/>
      <c r="D146" s="79"/>
      <c r="E146" s="79"/>
      <c r="H146" s="216"/>
    </row>
    <row r="147" spans="3:8" x14ac:dyDescent="0.25">
      <c r="C147" s="79"/>
      <c r="D147" s="79"/>
      <c r="E147" s="79"/>
      <c r="H147" s="216"/>
    </row>
    <row r="148" spans="3:8" x14ac:dyDescent="0.25">
      <c r="C148" s="79"/>
      <c r="D148" s="79"/>
      <c r="E148" s="79"/>
      <c r="H148" s="216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</sheetData>
  <autoFilter ref="A2:H106" xr:uid="{00000000-0009-0000-0000-000032000000}"/>
  <mergeCells count="10">
    <mergeCell ref="A105:D105"/>
    <mergeCell ref="A106:D106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Plan57"/>
  <dimension ref="A1:I155"/>
  <sheetViews>
    <sheetView zoomScale="85" zoomScaleNormal="85" workbookViewId="0">
      <pane ySplit="4" topLeftCell="A47" activePane="bottomLeft" state="frozen"/>
      <selection activeCell="C44" sqref="C44"/>
      <selection pane="bottomLeft" activeCell="B65" sqref="B6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1380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42614</v>
      </c>
      <c r="B5" s="369" t="s">
        <v>10</v>
      </c>
      <c r="C5" s="370"/>
      <c r="D5" s="207"/>
      <c r="E5" s="179"/>
      <c r="F5" s="933">
        <f>'Agosto-16'!F106</f>
        <v>73.403000000003431</v>
      </c>
      <c r="G5" s="163"/>
      <c r="H5" s="933">
        <f>'Agosto-16'!H106</f>
        <v>1200.9960000000001</v>
      </c>
    </row>
    <row r="6" spans="1:8" s="224" customFormat="1" x14ac:dyDescent="0.25">
      <c r="A6" s="215">
        <v>42614</v>
      </c>
      <c r="B6" s="348" t="s">
        <v>11</v>
      </c>
      <c r="C6" s="351"/>
      <c r="D6" s="248"/>
      <c r="E6" s="250">
        <v>13</v>
      </c>
      <c r="F6" s="1473"/>
      <c r="G6" s="252"/>
      <c r="H6" s="1473"/>
    </row>
    <row r="7" spans="1:8" s="224" customFormat="1" x14ac:dyDescent="0.25">
      <c r="A7" s="215">
        <v>42614</v>
      </c>
      <c r="B7" s="862" t="s">
        <v>32</v>
      </c>
      <c r="C7" s="350" t="s">
        <v>12</v>
      </c>
      <c r="D7" s="141" t="s">
        <v>13</v>
      </c>
      <c r="E7" s="250">
        <v>13</v>
      </c>
      <c r="F7" s="946"/>
      <c r="G7" s="97"/>
      <c r="H7" s="946"/>
    </row>
    <row r="8" spans="1:8" s="224" customFormat="1" x14ac:dyDescent="0.25">
      <c r="A8" s="215">
        <v>42614</v>
      </c>
      <c r="B8" s="862" t="s">
        <v>1161</v>
      </c>
      <c r="C8" s="350" t="s">
        <v>12</v>
      </c>
      <c r="D8" s="141" t="s">
        <v>15</v>
      </c>
      <c r="E8" s="250">
        <v>15</v>
      </c>
      <c r="F8" s="946"/>
      <c r="G8" s="97"/>
      <c r="H8" s="946"/>
    </row>
    <row r="9" spans="1:8" s="224" customFormat="1" x14ac:dyDescent="0.25">
      <c r="A9" s="215">
        <v>42614</v>
      </c>
      <c r="B9" s="862" t="s">
        <v>256</v>
      </c>
      <c r="C9" s="879"/>
      <c r="D9" s="1475"/>
      <c r="E9" s="97"/>
      <c r="F9" s="946">
        <v>201</v>
      </c>
      <c r="G9" s="97">
        <v>201</v>
      </c>
      <c r="H9" s="1473"/>
    </row>
    <row r="10" spans="1:8" s="224" customFormat="1" x14ac:dyDescent="0.25">
      <c r="A10" s="215">
        <v>42615</v>
      </c>
      <c r="B10" s="862" t="s">
        <v>32</v>
      </c>
      <c r="C10" s="350" t="s">
        <v>12</v>
      </c>
      <c r="D10" s="141" t="s">
        <v>13</v>
      </c>
      <c r="E10" s="250">
        <v>13</v>
      </c>
      <c r="F10" s="946"/>
      <c r="G10" s="97"/>
      <c r="H10" s="1473"/>
    </row>
    <row r="11" spans="1:8" s="224" customFormat="1" x14ac:dyDescent="0.25">
      <c r="A11" s="215">
        <v>42615</v>
      </c>
      <c r="B11" s="862" t="s">
        <v>134</v>
      </c>
      <c r="C11" s="879" t="s">
        <v>12</v>
      </c>
      <c r="D11" s="1475" t="s">
        <v>15</v>
      </c>
      <c r="E11" s="97">
        <v>8</v>
      </c>
      <c r="F11" s="946"/>
      <c r="G11" s="97"/>
      <c r="H11" s="1473"/>
    </row>
    <row r="12" spans="1:8" s="224" customFormat="1" x14ac:dyDescent="0.25">
      <c r="A12" s="215">
        <v>42615</v>
      </c>
      <c r="B12" s="862" t="s">
        <v>134</v>
      </c>
      <c r="C12" s="350" t="s">
        <v>19</v>
      </c>
      <c r="D12" s="141" t="s">
        <v>15</v>
      </c>
      <c r="E12" s="250">
        <v>38.22</v>
      </c>
      <c r="F12" s="946"/>
      <c r="G12" s="97"/>
      <c r="H12" s="1473"/>
    </row>
    <row r="13" spans="1:8" s="224" customFormat="1" x14ac:dyDescent="0.25">
      <c r="A13" s="215">
        <v>42616</v>
      </c>
      <c r="B13" s="862" t="s">
        <v>32</v>
      </c>
      <c r="C13" s="350" t="s">
        <v>12</v>
      </c>
      <c r="D13" s="141" t="s">
        <v>13</v>
      </c>
      <c r="E13" s="250">
        <v>16</v>
      </c>
      <c r="F13" s="946"/>
      <c r="G13" s="97"/>
      <c r="H13" s="1473"/>
    </row>
    <row r="14" spans="1:8" s="224" customFormat="1" x14ac:dyDescent="0.25">
      <c r="A14" s="215">
        <v>42616</v>
      </c>
      <c r="B14" s="862" t="s">
        <v>1331</v>
      </c>
      <c r="C14" s="350" t="s">
        <v>12</v>
      </c>
      <c r="D14" s="141" t="s">
        <v>13</v>
      </c>
      <c r="E14" s="250">
        <v>50</v>
      </c>
      <c r="F14" s="946"/>
      <c r="G14" s="97"/>
      <c r="H14" s="1473"/>
    </row>
    <row r="15" spans="1:8" s="224" customFormat="1" x14ac:dyDescent="0.25">
      <c r="A15" s="215">
        <v>42617</v>
      </c>
      <c r="B15" s="349" t="s">
        <v>127</v>
      </c>
      <c r="C15" s="350" t="s">
        <v>12</v>
      </c>
      <c r="D15" s="141" t="s">
        <v>13</v>
      </c>
      <c r="E15" s="97">
        <v>7.92</v>
      </c>
      <c r="F15" s="946"/>
      <c r="G15" s="97"/>
      <c r="H15" s="1473"/>
    </row>
    <row r="16" spans="1:8" s="224" customFormat="1" x14ac:dyDescent="0.25">
      <c r="A16" s="215">
        <v>42618</v>
      </c>
      <c r="B16" s="862" t="s">
        <v>32</v>
      </c>
      <c r="C16" s="350" t="s">
        <v>12</v>
      </c>
      <c r="D16" s="141" t="s">
        <v>13</v>
      </c>
      <c r="E16" s="250">
        <v>13</v>
      </c>
      <c r="F16" s="946"/>
      <c r="G16" s="97"/>
      <c r="H16" s="946"/>
    </row>
    <row r="17" spans="1:8" s="224" customFormat="1" x14ac:dyDescent="0.25">
      <c r="A17" s="215">
        <v>42618</v>
      </c>
      <c r="B17" s="349" t="s">
        <v>1381</v>
      </c>
      <c r="C17" s="350" t="s">
        <v>12</v>
      </c>
      <c r="D17" s="141" t="s">
        <v>25</v>
      </c>
      <c r="E17" s="97"/>
      <c r="F17" s="946">
        <v>40</v>
      </c>
      <c r="G17" s="97"/>
      <c r="H17" s="946"/>
    </row>
    <row r="18" spans="1:8" s="224" customFormat="1" x14ac:dyDescent="0.25">
      <c r="A18" s="215">
        <v>42618</v>
      </c>
      <c r="B18" s="349" t="s">
        <v>311</v>
      </c>
      <c r="C18" s="350"/>
      <c r="D18" s="141"/>
      <c r="E18" s="97"/>
      <c r="F18" s="946"/>
      <c r="G18" s="97"/>
      <c r="H18" s="946">
        <v>6.66</v>
      </c>
    </row>
    <row r="19" spans="1:8" s="224" customFormat="1" ht="15.75" customHeight="1" x14ac:dyDescent="0.25">
      <c r="A19" s="215">
        <v>42619</v>
      </c>
      <c r="B19" s="349" t="s">
        <v>1382</v>
      </c>
      <c r="C19" s="879" t="s">
        <v>12</v>
      </c>
      <c r="D19" s="983" t="s">
        <v>25</v>
      </c>
      <c r="E19" s="250"/>
      <c r="F19" s="1473">
        <v>1648.82</v>
      </c>
      <c r="G19" s="252"/>
      <c r="H19" s="946"/>
    </row>
    <row r="20" spans="1:8" s="224" customFormat="1" ht="15.75" customHeight="1" x14ac:dyDescent="0.25">
      <c r="A20" s="215">
        <v>42619</v>
      </c>
      <c r="B20" s="862" t="s">
        <v>1383</v>
      </c>
      <c r="C20" s="350" t="s">
        <v>12</v>
      </c>
      <c r="D20" s="141" t="s">
        <v>13</v>
      </c>
      <c r="E20" s="97">
        <v>353.77</v>
      </c>
      <c r="F20" s="1473"/>
      <c r="G20" s="252"/>
      <c r="H20" s="946"/>
    </row>
    <row r="21" spans="1:8" x14ac:dyDescent="0.25">
      <c r="A21" s="215">
        <v>42619</v>
      </c>
      <c r="B21" s="882" t="s">
        <v>1384</v>
      </c>
      <c r="C21" s="879" t="s">
        <v>12</v>
      </c>
      <c r="D21" s="887" t="s">
        <v>13</v>
      </c>
      <c r="E21" s="250">
        <v>44.76</v>
      </c>
      <c r="F21" s="946"/>
      <c r="G21" s="95"/>
      <c r="H21" s="946"/>
    </row>
    <row r="22" spans="1:8" s="224" customFormat="1" x14ac:dyDescent="0.25">
      <c r="A22" s="215">
        <v>42619</v>
      </c>
      <c r="B22" s="862" t="s">
        <v>1091</v>
      </c>
      <c r="C22" s="879" t="s">
        <v>12</v>
      </c>
      <c r="D22" s="887" t="s">
        <v>15</v>
      </c>
      <c r="E22" s="250">
        <v>225</v>
      </c>
      <c r="F22" s="946"/>
      <c r="G22" s="97"/>
      <c r="H22" s="1473"/>
    </row>
    <row r="23" spans="1:8" x14ac:dyDescent="0.25">
      <c r="A23" s="215">
        <v>42619</v>
      </c>
      <c r="B23" s="862" t="s">
        <v>52</v>
      </c>
      <c r="C23" s="879" t="s">
        <v>12</v>
      </c>
      <c r="D23" s="1475" t="s">
        <v>15</v>
      </c>
      <c r="E23" s="97">
        <v>60</v>
      </c>
      <c r="F23" s="946"/>
      <c r="G23" s="97"/>
      <c r="H23" s="946"/>
    </row>
    <row r="24" spans="1:8" s="224" customFormat="1" x14ac:dyDescent="0.25">
      <c r="A24" s="215">
        <v>42619</v>
      </c>
      <c r="B24" s="349" t="s">
        <v>260</v>
      </c>
      <c r="C24" s="350"/>
      <c r="D24" s="141"/>
      <c r="E24" s="97">
        <v>260</v>
      </c>
      <c r="F24" s="946"/>
      <c r="G24" s="95"/>
      <c r="H24" s="946">
        <v>260</v>
      </c>
    </row>
    <row r="25" spans="1:8" s="224" customFormat="1" x14ac:dyDescent="0.25">
      <c r="A25" s="215">
        <v>42619</v>
      </c>
      <c r="B25" s="862" t="s">
        <v>32</v>
      </c>
      <c r="C25" s="350" t="s">
        <v>12</v>
      </c>
      <c r="D25" s="141" t="s">
        <v>13</v>
      </c>
      <c r="E25" s="250">
        <v>13</v>
      </c>
      <c r="F25" s="946"/>
      <c r="G25" s="97"/>
      <c r="H25" s="1473"/>
    </row>
    <row r="26" spans="1:8" s="224" customFormat="1" x14ac:dyDescent="0.25">
      <c r="A26" s="215">
        <v>42619</v>
      </c>
      <c r="B26" s="349" t="s">
        <v>1385</v>
      </c>
      <c r="C26" s="350" t="s">
        <v>12</v>
      </c>
      <c r="D26" s="141" t="s">
        <v>13</v>
      </c>
      <c r="E26" s="97">
        <v>4</v>
      </c>
      <c r="F26" s="946"/>
      <c r="G26" s="97"/>
      <c r="H26" s="1473"/>
    </row>
    <row r="27" spans="1:8" x14ac:dyDescent="0.25">
      <c r="A27" s="215">
        <v>42619</v>
      </c>
      <c r="B27" s="349" t="s">
        <v>461</v>
      </c>
      <c r="C27" s="350" t="s">
        <v>12</v>
      </c>
      <c r="D27" s="141" t="s">
        <v>13</v>
      </c>
      <c r="E27" s="97">
        <v>13.9</v>
      </c>
      <c r="F27" s="946"/>
      <c r="G27" s="95"/>
      <c r="H27" s="946"/>
    </row>
    <row r="28" spans="1:8" s="224" customFormat="1" x14ac:dyDescent="0.25">
      <c r="A28" s="215">
        <v>42619</v>
      </c>
      <c r="B28" s="349" t="s">
        <v>127</v>
      </c>
      <c r="C28" s="350" t="s">
        <v>12</v>
      </c>
      <c r="D28" s="141" t="s">
        <v>13</v>
      </c>
      <c r="E28" s="97">
        <v>6.12</v>
      </c>
      <c r="F28" s="946"/>
      <c r="G28" s="97"/>
      <c r="H28" s="1473"/>
    </row>
    <row r="29" spans="1:8" x14ac:dyDescent="0.25">
      <c r="A29" s="215">
        <v>42619</v>
      </c>
      <c r="B29" s="349" t="s">
        <v>1331</v>
      </c>
      <c r="C29" s="350" t="s">
        <v>12</v>
      </c>
      <c r="D29" s="141" t="s">
        <v>13</v>
      </c>
      <c r="E29" s="97">
        <v>50</v>
      </c>
      <c r="F29" s="946"/>
      <c r="G29" s="95"/>
      <c r="H29" s="946"/>
    </row>
    <row r="30" spans="1:8" x14ac:dyDescent="0.25">
      <c r="A30" s="215">
        <v>42620</v>
      </c>
      <c r="B30" s="862" t="s">
        <v>32</v>
      </c>
      <c r="C30" s="350" t="s">
        <v>12</v>
      </c>
      <c r="D30" s="141" t="s">
        <v>13</v>
      </c>
      <c r="E30" s="250">
        <v>13</v>
      </c>
      <c r="F30" s="946"/>
      <c r="G30" s="97"/>
      <c r="H30" s="946"/>
    </row>
    <row r="31" spans="1:8" x14ac:dyDescent="0.25">
      <c r="A31" s="215">
        <v>42620</v>
      </c>
      <c r="B31" s="862" t="s">
        <v>127</v>
      </c>
      <c r="C31" s="350" t="s">
        <v>12</v>
      </c>
      <c r="D31" s="141" t="s">
        <v>13</v>
      </c>
      <c r="E31" s="97">
        <v>9.44</v>
      </c>
      <c r="F31" s="946"/>
      <c r="G31" s="97"/>
      <c r="H31" s="946"/>
    </row>
    <row r="32" spans="1:8" x14ac:dyDescent="0.25">
      <c r="A32" s="215">
        <v>42620</v>
      </c>
      <c r="B32" s="862" t="s">
        <v>134</v>
      </c>
      <c r="C32" s="350" t="s">
        <v>12</v>
      </c>
      <c r="D32" s="141" t="s">
        <v>13</v>
      </c>
      <c r="E32" s="97">
        <v>21.44</v>
      </c>
      <c r="F32" s="946"/>
      <c r="G32" s="97"/>
      <c r="H32" s="946"/>
    </row>
    <row r="33" spans="1:8" x14ac:dyDescent="0.25">
      <c r="A33" s="215">
        <v>42621</v>
      </c>
      <c r="B33" s="862" t="s">
        <v>32</v>
      </c>
      <c r="C33" s="350" t="s">
        <v>12</v>
      </c>
      <c r="D33" s="141" t="s">
        <v>13</v>
      </c>
      <c r="E33" s="250">
        <v>13</v>
      </c>
      <c r="F33" s="946"/>
      <c r="G33" s="97"/>
      <c r="H33" s="946"/>
    </row>
    <row r="34" spans="1:8" x14ac:dyDescent="0.25">
      <c r="A34" s="215">
        <v>42621</v>
      </c>
      <c r="B34" s="862" t="s">
        <v>1329</v>
      </c>
      <c r="C34" s="350" t="s">
        <v>12</v>
      </c>
      <c r="D34" s="141" t="s">
        <v>13</v>
      </c>
      <c r="E34" s="250">
        <v>105</v>
      </c>
      <c r="F34" s="946"/>
      <c r="G34" s="97"/>
      <c r="H34" s="946"/>
    </row>
    <row r="35" spans="1:8" x14ac:dyDescent="0.25">
      <c r="A35" s="215">
        <v>42622</v>
      </c>
      <c r="B35" s="862" t="s">
        <v>1386</v>
      </c>
      <c r="C35" s="350" t="s">
        <v>12</v>
      </c>
      <c r="D35" s="141" t="s">
        <v>13</v>
      </c>
      <c r="E35" s="622">
        <v>35</v>
      </c>
      <c r="F35" s="946"/>
      <c r="G35" s="97"/>
      <c r="H35" s="946"/>
    </row>
    <row r="36" spans="1:8" x14ac:dyDescent="0.25">
      <c r="A36" s="215">
        <v>42622</v>
      </c>
      <c r="B36" s="862" t="s">
        <v>32</v>
      </c>
      <c r="C36" s="350" t="s">
        <v>12</v>
      </c>
      <c r="D36" s="141" t="s">
        <v>13</v>
      </c>
      <c r="E36" s="250">
        <v>13</v>
      </c>
      <c r="F36" s="946"/>
      <c r="G36" s="97"/>
      <c r="H36" s="946"/>
    </row>
    <row r="37" spans="1:8" x14ac:dyDescent="0.25">
      <c r="A37" s="215">
        <v>42622</v>
      </c>
      <c r="B37" s="862" t="s">
        <v>127</v>
      </c>
      <c r="C37" s="350" t="s">
        <v>12</v>
      </c>
      <c r="D37" s="141" t="s">
        <v>13</v>
      </c>
      <c r="E37" s="97">
        <v>8.82</v>
      </c>
      <c r="F37" s="946"/>
      <c r="G37" s="97"/>
      <c r="H37" s="946"/>
    </row>
    <row r="38" spans="1:8" x14ac:dyDescent="0.25">
      <c r="A38" s="215">
        <v>42623</v>
      </c>
      <c r="B38" s="349" t="s">
        <v>477</v>
      </c>
      <c r="C38" s="350" t="s">
        <v>12</v>
      </c>
      <c r="D38" s="141" t="s">
        <v>13</v>
      </c>
      <c r="E38" s="97">
        <v>20.57</v>
      </c>
      <c r="F38" s="946"/>
      <c r="G38" s="97"/>
      <c r="H38" s="946"/>
    </row>
    <row r="39" spans="1:8" x14ac:dyDescent="0.25">
      <c r="A39" s="215">
        <v>42623</v>
      </c>
      <c r="B39" s="349" t="s">
        <v>32</v>
      </c>
      <c r="C39" s="350" t="s">
        <v>12</v>
      </c>
      <c r="D39" s="141" t="s">
        <v>13</v>
      </c>
      <c r="E39" s="97">
        <v>14.5</v>
      </c>
      <c r="F39" s="946"/>
      <c r="G39" s="97"/>
      <c r="H39" s="946"/>
    </row>
    <row r="40" spans="1:8" x14ac:dyDescent="0.25">
      <c r="A40" s="215">
        <v>42623</v>
      </c>
      <c r="B40" s="349" t="s">
        <v>134</v>
      </c>
      <c r="C40" s="350" t="s">
        <v>12</v>
      </c>
      <c r="D40" s="141" t="s">
        <v>13</v>
      </c>
      <c r="E40" s="97">
        <v>13.15</v>
      </c>
      <c r="F40" s="946"/>
      <c r="G40" s="97"/>
      <c r="H40" s="946"/>
    </row>
    <row r="41" spans="1:8" s="224" customFormat="1" x14ac:dyDescent="0.25">
      <c r="A41" s="215">
        <v>42623</v>
      </c>
      <c r="B41" s="862" t="s">
        <v>256</v>
      </c>
      <c r="C41" s="879"/>
      <c r="D41" s="1475"/>
      <c r="E41" s="97"/>
      <c r="F41" s="946">
        <v>66.66</v>
      </c>
      <c r="G41" s="97">
        <v>66.66</v>
      </c>
      <c r="H41" s="1473"/>
    </row>
    <row r="42" spans="1:8" x14ac:dyDescent="0.25">
      <c r="A42" s="215">
        <v>42623</v>
      </c>
      <c r="B42" s="349" t="s">
        <v>1387</v>
      </c>
      <c r="C42" s="350" t="s">
        <v>12</v>
      </c>
      <c r="D42" s="141" t="s">
        <v>13</v>
      </c>
      <c r="E42" s="97">
        <v>10.8</v>
      </c>
      <c r="F42" s="946"/>
      <c r="G42" s="97"/>
      <c r="H42" s="946"/>
    </row>
    <row r="43" spans="1:8" x14ac:dyDescent="0.25">
      <c r="A43" s="215">
        <v>42624</v>
      </c>
      <c r="B43" s="862" t="s">
        <v>82</v>
      </c>
      <c r="C43" s="350" t="s">
        <v>12</v>
      </c>
      <c r="D43" s="141" t="s">
        <v>13</v>
      </c>
      <c r="E43" s="97">
        <v>28</v>
      </c>
      <c r="F43" s="946"/>
      <c r="G43" s="97"/>
      <c r="H43" s="946"/>
    </row>
    <row r="44" spans="1:8" x14ac:dyDescent="0.25">
      <c r="A44" s="215">
        <v>42624</v>
      </c>
      <c r="B44" s="862" t="s">
        <v>127</v>
      </c>
      <c r="C44" s="350" t="s">
        <v>12</v>
      </c>
      <c r="D44" s="141" t="s">
        <v>13</v>
      </c>
      <c r="E44" s="97">
        <v>4.93</v>
      </c>
      <c r="F44" s="946"/>
      <c r="G44" s="97"/>
      <c r="H44" s="946"/>
    </row>
    <row r="45" spans="1:8" x14ac:dyDescent="0.25">
      <c r="A45" s="215">
        <v>42624</v>
      </c>
      <c r="B45" s="862" t="s">
        <v>127</v>
      </c>
      <c r="C45" s="350" t="s">
        <v>12</v>
      </c>
      <c r="D45" s="141" t="s">
        <v>13</v>
      </c>
      <c r="E45" s="97">
        <v>11.88</v>
      </c>
      <c r="F45" s="946"/>
      <c r="G45" s="97"/>
      <c r="H45" s="946"/>
    </row>
    <row r="46" spans="1:8" s="224" customFormat="1" x14ac:dyDescent="0.25">
      <c r="A46" s="215">
        <v>42625</v>
      </c>
      <c r="B46" s="349" t="s">
        <v>32</v>
      </c>
      <c r="C46" s="350" t="s">
        <v>12</v>
      </c>
      <c r="D46" s="141" t="s">
        <v>15</v>
      </c>
      <c r="E46" s="97">
        <v>13</v>
      </c>
      <c r="F46" s="946"/>
      <c r="G46" s="673"/>
      <c r="H46" s="1473"/>
    </row>
    <row r="47" spans="1:8" s="224" customFormat="1" x14ac:dyDescent="0.25">
      <c r="A47" s="215">
        <v>42625</v>
      </c>
      <c r="B47" s="349" t="s">
        <v>1331</v>
      </c>
      <c r="C47" s="350" t="s">
        <v>12</v>
      </c>
      <c r="D47" s="141" t="s">
        <v>13</v>
      </c>
      <c r="E47" s="97">
        <v>60</v>
      </c>
      <c r="F47" s="946"/>
      <c r="G47" s="672"/>
      <c r="H47" s="1473"/>
    </row>
    <row r="48" spans="1:8" s="224" customFormat="1" x14ac:dyDescent="0.25">
      <c r="A48" s="215">
        <v>42625</v>
      </c>
      <c r="B48" s="349" t="s">
        <v>127</v>
      </c>
      <c r="C48" s="350" t="s">
        <v>12</v>
      </c>
      <c r="D48" s="141" t="s">
        <v>13</v>
      </c>
      <c r="E48" s="97">
        <v>7.74</v>
      </c>
      <c r="F48" s="946"/>
      <c r="H48" s="1473"/>
    </row>
    <row r="49" spans="1:8" s="224" customFormat="1" x14ac:dyDescent="0.25">
      <c r="A49" s="215">
        <v>42625</v>
      </c>
      <c r="B49" s="862" t="s">
        <v>1343</v>
      </c>
      <c r="C49" s="879" t="s">
        <v>19</v>
      </c>
      <c r="D49" s="887" t="s">
        <v>13</v>
      </c>
      <c r="E49" s="250">
        <v>30.72</v>
      </c>
      <c r="F49" s="946"/>
      <c r="G49" s="97"/>
      <c r="H49" s="1473"/>
    </row>
    <row r="50" spans="1:8" s="224" customFormat="1" x14ac:dyDescent="0.25">
      <c r="A50" s="215">
        <v>42626</v>
      </c>
      <c r="B50" s="349" t="s">
        <v>32</v>
      </c>
      <c r="C50" s="350" t="s">
        <v>12</v>
      </c>
      <c r="D50" s="141" t="s">
        <v>13</v>
      </c>
      <c r="E50" s="97">
        <v>13</v>
      </c>
      <c r="F50" s="946"/>
      <c r="H50" s="1473"/>
    </row>
    <row r="51" spans="1:8" x14ac:dyDescent="0.25">
      <c r="A51" s="215">
        <v>42626</v>
      </c>
      <c r="B51" s="349" t="s">
        <v>249</v>
      </c>
      <c r="C51" s="350" t="s">
        <v>12</v>
      </c>
      <c r="D51" s="141" t="s">
        <v>13</v>
      </c>
      <c r="E51" s="97">
        <v>5.99</v>
      </c>
      <c r="F51" s="946"/>
      <c r="G51" s="97"/>
      <c r="H51" s="946"/>
    </row>
    <row r="52" spans="1:8" s="224" customFormat="1" x14ac:dyDescent="0.25">
      <c r="A52" s="215">
        <v>42626</v>
      </c>
      <c r="B52" s="349" t="s">
        <v>127</v>
      </c>
      <c r="C52" s="350" t="s">
        <v>12</v>
      </c>
      <c r="D52" s="141" t="s">
        <v>13</v>
      </c>
      <c r="E52" s="97">
        <v>7.74</v>
      </c>
      <c r="F52" s="946"/>
      <c r="G52" s="97"/>
      <c r="H52" s="1473"/>
    </row>
    <row r="53" spans="1:8" s="224" customFormat="1" x14ac:dyDescent="0.25">
      <c r="A53" s="215">
        <v>42627</v>
      </c>
      <c r="B53" s="349" t="s">
        <v>32</v>
      </c>
      <c r="C53" s="350" t="s">
        <v>12</v>
      </c>
      <c r="D53" s="141" t="s">
        <v>15</v>
      </c>
      <c r="E53" s="97">
        <v>13</v>
      </c>
      <c r="F53" s="946"/>
      <c r="G53" s="97"/>
      <c r="H53" s="1473"/>
    </row>
    <row r="54" spans="1:8" s="224" customFormat="1" x14ac:dyDescent="0.25">
      <c r="A54" s="215">
        <v>42627</v>
      </c>
      <c r="B54" s="349" t="s">
        <v>127</v>
      </c>
      <c r="C54" s="350" t="s">
        <v>12</v>
      </c>
      <c r="D54" s="141" t="s">
        <v>13</v>
      </c>
      <c r="E54" s="97">
        <v>7</v>
      </c>
      <c r="F54" s="946"/>
      <c r="G54" s="97"/>
      <c r="H54" s="1473"/>
    </row>
    <row r="55" spans="1:8" s="224" customFormat="1" x14ac:dyDescent="0.25">
      <c r="A55" s="215">
        <v>42627</v>
      </c>
      <c r="B55" s="349" t="s">
        <v>1388</v>
      </c>
      <c r="C55" s="350" t="s">
        <v>12</v>
      </c>
      <c r="D55" s="141" t="s">
        <v>15</v>
      </c>
      <c r="E55" s="97">
        <v>22</v>
      </c>
      <c r="F55" s="946"/>
      <c r="G55" s="97"/>
      <c r="H55" s="1473"/>
    </row>
    <row r="56" spans="1:8" s="224" customFormat="1" x14ac:dyDescent="0.25">
      <c r="A56" s="215">
        <v>42627</v>
      </c>
      <c r="B56" s="349" t="s">
        <v>649</v>
      </c>
      <c r="C56" s="350" t="s">
        <v>12</v>
      </c>
      <c r="D56" s="141" t="s">
        <v>15</v>
      </c>
      <c r="E56" s="97">
        <v>20</v>
      </c>
      <c r="F56" s="946"/>
      <c r="G56" s="97"/>
      <c r="H56" s="1473"/>
    </row>
    <row r="57" spans="1:8" s="224" customFormat="1" x14ac:dyDescent="0.25">
      <c r="A57" s="215">
        <v>42628</v>
      </c>
      <c r="B57" s="349" t="s">
        <v>32</v>
      </c>
      <c r="C57" s="350" t="s">
        <v>12</v>
      </c>
      <c r="D57" s="141" t="s">
        <v>15</v>
      </c>
      <c r="E57" s="97">
        <v>13</v>
      </c>
      <c r="F57" s="946"/>
      <c r="G57" s="97"/>
      <c r="H57" s="1473"/>
    </row>
    <row r="58" spans="1:8" s="224" customFormat="1" x14ac:dyDescent="0.25">
      <c r="A58" s="215">
        <v>42628</v>
      </c>
      <c r="B58" s="862" t="s">
        <v>256</v>
      </c>
      <c r="C58" s="879"/>
      <c r="D58" s="1475"/>
      <c r="E58" s="97"/>
      <c r="F58" s="946">
        <v>200</v>
      </c>
      <c r="G58" s="97">
        <v>200</v>
      </c>
      <c r="H58" s="1473"/>
    </row>
    <row r="59" spans="1:8" s="224" customFormat="1" x14ac:dyDescent="0.25">
      <c r="A59" s="215">
        <v>42628</v>
      </c>
      <c r="B59" s="349" t="s">
        <v>1389</v>
      </c>
      <c r="C59" s="350" t="s">
        <v>19</v>
      </c>
      <c r="D59" s="141" t="s">
        <v>13</v>
      </c>
      <c r="E59" s="97">
        <v>25.9</v>
      </c>
      <c r="F59" s="946"/>
      <c r="G59" s="97"/>
      <c r="H59" s="1473"/>
    </row>
    <row r="60" spans="1:8" s="224" customFormat="1" x14ac:dyDescent="0.25">
      <c r="A60" s="215">
        <v>42628</v>
      </c>
      <c r="B60" s="349" t="s">
        <v>103</v>
      </c>
      <c r="C60" s="350" t="s">
        <v>12</v>
      </c>
      <c r="D60" s="141" t="s">
        <v>13</v>
      </c>
      <c r="E60" s="97">
        <v>8</v>
      </c>
      <c r="F60" s="946"/>
      <c r="G60" s="97"/>
      <c r="H60" s="1473"/>
    </row>
    <row r="61" spans="1:8" s="224" customFormat="1" x14ac:dyDescent="0.25">
      <c r="A61" s="215">
        <v>42628</v>
      </c>
      <c r="B61" s="862" t="s">
        <v>1390</v>
      </c>
      <c r="C61" s="350" t="s">
        <v>12</v>
      </c>
      <c r="D61" s="141" t="s">
        <v>13</v>
      </c>
      <c r="E61" s="250">
        <v>300</v>
      </c>
      <c r="F61" s="946"/>
      <c r="G61" s="97"/>
      <c r="H61" s="1473"/>
    </row>
    <row r="62" spans="1:8" s="224" customFormat="1" x14ac:dyDescent="0.25">
      <c r="A62" s="215">
        <v>42629</v>
      </c>
      <c r="B62" s="862" t="s">
        <v>256</v>
      </c>
      <c r="C62" s="879"/>
      <c r="D62" s="1475"/>
      <c r="E62" s="97"/>
      <c r="F62" s="946">
        <v>200</v>
      </c>
      <c r="G62" s="97">
        <v>200</v>
      </c>
      <c r="H62" s="1473"/>
    </row>
    <row r="63" spans="1:8" s="224" customFormat="1" x14ac:dyDescent="0.25">
      <c r="A63" s="215">
        <v>42629</v>
      </c>
      <c r="B63" s="349" t="s">
        <v>32</v>
      </c>
      <c r="C63" s="350" t="s">
        <v>12</v>
      </c>
      <c r="D63" s="141" t="s">
        <v>13</v>
      </c>
      <c r="E63" s="97">
        <v>13</v>
      </c>
      <c r="F63" s="946"/>
      <c r="G63" s="97"/>
      <c r="H63" s="1473"/>
    </row>
    <row r="64" spans="1:8" s="224" customFormat="1" x14ac:dyDescent="0.25">
      <c r="A64" s="215">
        <v>42629</v>
      </c>
      <c r="B64" s="349" t="s">
        <v>127</v>
      </c>
      <c r="C64" s="350" t="s">
        <v>12</v>
      </c>
      <c r="D64" s="141" t="s">
        <v>13</v>
      </c>
      <c r="E64" s="97">
        <v>4.3899999999999997</v>
      </c>
      <c r="F64" s="946"/>
      <c r="G64" s="97"/>
      <c r="H64" s="1473"/>
    </row>
    <row r="65" spans="1:8" s="224" customFormat="1" x14ac:dyDescent="0.25">
      <c r="A65" s="215">
        <v>42630</v>
      </c>
      <c r="B65" s="349" t="s">
        <v>1391</v>
      </c>
      <c r="C65" s="350" t="s">
        <v>19</v>
      </c>
      <c r="D65" s="141" t="s">
        <v>13</v>
      </c>
      <c r="E65" s="97">
        <v>29.9</v>
      </c>
      <c r="F65" s="946"/>
      <c r="G65" s="97"/>
      <c r="H65" s="1473"/>
    </row>
    <row r="66" spans="1:8" s="224" customFormat="1" x14ac:dyDescent="0.25">
      <c r="A66" s="215">
        <v>42630</v>
      </c>
      <c r="B66" s="349" t="s">
        <v>1392</v>
      </c>
      <c r="C66" s="350" t="s">
        <v>19</v>
      </c>
      <c r="D66" s="141" t="s">
        <v>13</v>
      </c>
      <c r="E66" s="97">
        <v>40</v>
      </c>
      <c r="F66" s="946"/>
      <c r="G66" s="97"/>
      <c r="H66" s="1473"/>
    </row>
    <row r="67" spans="1:8" s="224" customFormat="1" x14ac:dyDescent="0.25">
      <c r="A67" s="215">
        <v>42630</v>
      </c>
      <c r="B67" s="349" t="s">
        <v>1393</v>
      </c>
      <c r="C67" s="350" t="s">
        <v>19</v>
      </c>
      <c r="D67" s="141" t="s">
        <v>13</v>
      </c>
      <c r="E67" s="97">
        <v>39.26</v>
      </c>
      <c r="F67" s="946"/>
      <c r="G67" s="97"/>
      <c r="H67" s="1473"/>
    </row>
    <row r="68" spans="1:8" s="224" customFormat="1" x14ac:dyDescent="0.25">
      <c r="A68" s="215">
        <v>42630</v>
      </c>
      <c r="B68" s="349" t="s">
        <v>1394</v>
      </c>
      <c r="C68" s="350" t="s">
        <v>12</v>
      </c>
      <c r="D68" s="141" t="s">
        <v>15</v>
      </c>
      <c r="E68" s="97">
        <v>70</v>
      </c>
      <c r="F68" s="946"/>
      <c r="G68" s="97"/>
      <c r="H68" s="1473"/>
    </row>
    <row r="69" spans="1:8" s="224" customFormat="1" x14ac:dyDescent="0.25">
      <c r="A69" s="215">
        <v>42630</v>
      </c>
      <c r="B69" s="349" t="s">
        <v>1395</v>
      </c>
      <c r="C69" s="350" t="s">
        <v>12</v>
      </c>
      <c r="D69" s="141" t="s">
        <v>15</v>
      </c>
      <c r="E69" s="97">
        <v>60</v>
      </c>
      <c r="F69" s="946"/>
      <c r="G69" s="97"/>
      <c r="H69" s="1473"/>
    </row>
    <row r="70" spans="1:8" s="224" customFormat="1" x14ac:dyDescent="0.25">
      <c r="A70" s="215">
        <v>42631</v>
      </c>
      <c r="B70" s="862" t="s">
        <v>256</v>
      </c>
      <c r="C70" s="879"/>
      <c r="D70" s="1475"/>
      <c r="E70" s="97"/>
      <c r="F70" s="946">
        <v>200</v>
      </c>
      <c r="G70" s="97">
        <v>200</v>
      </c>
      <c r="H70" s="1473"/>
    </row>
    <row r="71" spans="1:8" s="224" customFormat="1" x14ac:dyDescent="0.25">
      <c r="A71" s="215">
        <v>42631</v>
      </c>
      <c r="B71" s="349" t="s">
        <v>127</v>
      </c>
      <c r="C71" s="350" t="s">
        <v>12</v>
      </c>
      <c r="D71" s="141" t="s">
        <v>13</v>
      </c>
      <c r="E71" s="97">
        <v>6.81</v>
      </c>
      <c r="F71" s="946"/>
      <c r="G71" s="97"/>
      <c r="H71" s="1473"/>
    </row>
    <row r="72" spans="1:8" s="224" customFormat="1" x14ac:dyDescent="0.25">
      <c r="A72" s="215">
        <v>42631</v>
      </c>
      <c r="B72" s="349" t="s">
        <v>1331</v>
      </c>
      <c r="C72" s="350" t="s">
        <v>12</v>
      </c>
      <c r="D72" s="141" t="s">
        <v>15</v>
      </c>
      <c r="E72" s="97">
        <v>20</v>
      </c>
      <c r="F72" s="946"/>
      <c r="G72" s="97"/>
      <c r="H72" s="1473"/>
    </row>
    <row r="73" spans="1:8" s="224" customFormat="1" x14ac:dyDescent="0.25">
      <c r="A73" s="215">
        <v>42632</v>
      </c>
      <c r="B73" s="349" t="s">
        <v>32</v>
      </c>
      <c r="C73" s="350" t="s">
        <v>12</v>
      </c>
      <c r="D73" s="141" t="s">
        <v>15</v>
      </c>
      <c r="E73" s="97">
        <v>13</v>
      </c>
      <c r="F73" s="946"/>
      <c r="G73" s="97"/>
      <c r="H73" s="1473"/>
    </row>
    <row r="74" spans="1:8" s="224" customFormat="1" x14ac:dyDescent="0.25">
      <c r="A74" s="215">
        <v>42632</v>
      </c>
      <c r="B74" s="349" t="s">
        <v>127</v>
      </c>
      <c r="C74" s="350" t="s">
        <v>12</v>
      </c>
      <c r="D74" s="141" t="s">
        <v>13</v>
      </c>
      <c r="E74" s="97">
        <v>6.44</v>
      </c>
      <c r="F74" s="946"/>
      <c r="G74" s="97"/>
      <c r="H74" s="1473"/>
    </row>
    <row r="75" spans="1:8" s="224" customFormat="1" x14ac:dyDescent="0.25">
      <c r="A75" s="215">
        <v>42632</v>
      </c>
      <c r="B75" s="349" t="s">
        <v>1396</v>
      </c>
      <c r="C75" s="350" t="s">
        <v>12</v>
      </c>
      <c r="D75" s="141" t="s">
        <v>25</v>
      </c>
      <c r="E75" s="97"/>
      <c r="F75" s="946">
        <v>40</v>
      </c>
      <c r="G75" s="97"/>
      <c r="H75" s="1473"/>
    </row>
    <row r="76" spans="1:8" s="224" customFormat="1" x14ac:dyDescent="0.25">
      <c r="A76" s="215">
        <v>42633</v>
      </c>
      <c r="B76" s="882" t="s">
        <v>1397</v>
      </c>
      <c r="C76" s="879" t="s">
        <v>12</v>
      </c>
      <c r="D76" s="887" t="s">
        <v>25</v>
      </c>
      <c r="E76" s="97"/>
      <c r="F76" s="946">
        <v>1420</v>
      </c>
      <c r="G76" s="95"/>
      <c r="H76" s="1473"/>
    </row>
    <row r="77" spans="1:8" s="224" customFormat="1" x14ac:dyDescent="0.25">
      <c r="A77" s="215">
        <v>42633</v>
      </c>
      <c r="B77" s="882" t="s">
        <v>1398</v>
      </c>
      <c r="C77" s="879" t="s">
        <v>12</v>
      </c>
      <c r="D77" s="887" t="s">
        <v>13</v>
      </c>
      <c r="E77" s="97">
        <v>568.53</v>
      </c>
      <c r="F77" s="946"/>
      <c r="G77" s="95"/>
      <c r="H77" s="1473"/>
    </row>
    <row r="78" spans="1:8" s="224" customFormat="1" ht="15.75" customHeight="1" x14ac:dyDescent="0.25">
      <c r="A78" s="215">
        <v>42633</v>
      </c>
      <c r="B78" s="882" t="s">
        <v>1399</v>
      </c>
      <c r="C78" s="350" t="s">
        <v>12</v>
      </c>
      <c r="D78" s="141" t="s">
        <v>13</v>
      </c>
      <c r="E78" s="97">
        <v>54.56</v>
      </c>
      <c r="F78" s="1473"/>
      <c r="G78" s="252"/>
      <c r="H78" s="946"/>
    </row>
    <row r="79" spans="1:8" s="224" customFormat="1" x14ac:dyDescent="0.25">
      <c r="A79" s="215">
        <v>42633</v>
      </c>
      <c r="B79" s="349" t="s">
        <v>32</v>
      </c>
      <c r="C79" s="350" t="s">
        <v>12</v>
      </c>
      <c r="D79" s="141" t="s">
        <v>15</v>
      </c>
      <c r="E79" s="97">
        <v>13</v>
      </c>
      <c r="F79" s="946"/>
      <c r="G79" s="97"/>
      <c r="H79" s="1473"/>
    </row>
    <row r="80" spans="1:8" s="224" customFormat="1" x14ac:dyDescent="0.25">
      <c r="A80" s="215">
        <v>42633</v>
      </c>
      <c r="B80" s="349" t="s">
        <v>260</v>
      </c>
      <c r="C80" s="350"/>
      <c r="D80" s="141"/>
      <c r="E80" s="97">
        <v>350</v>
      </c>
      <c r="F80" s="946"/>
      <c r="G80" s="95"/>
      <c r="H80" s="946">
        <v>350</v>
      </c>
    </row>
    <row r="81" spans="1:8" s="224" customFormat="1" x14ac:dyDescent="0.25">
      <c r="A81" s="215">
        <v>42633</v>
      </c>
      <c r="B81" s="882" t="s">
        <v>1331</v>
      </c>
      <c r="C81" s="350" t="s">
        <v>12</v>
      </c>
      <c r="D81" s="141" t="s">
        <v>15</v>
      </c>
      <c r="E81" s="97">
        <v>70</v>
      </c>
      <c r="F81" s="946"/>
      <c r="G81" s="95"/>
      <c r="H81" s="1473"/>
    </row>
    <row r="82" spans="1:8" s="224" customFormat="1" x14ac:dyDescent="0.25">
      <c r="A82" s="215">
        <v>42634</v>
      </c>
      <c r="B82" s="349" t="s">
        <v>32</v>
      </c>
      <c r="C82" s="350" t="s">
        <v>12</v>
      </c>
      <c r="D82" s="141" t="s">
        <v>15</v>
      </c>
      <c r="E82" s="97">
        <v>13</v>
      </c>
      <c r="F82" s="946"/>
      <c r="G82" s="95"/>
      <c r="H82" s="1473"/>
    </row>
    <row r="83" spans="1:8" s="224" customFormat="1" x14ac:dyDescent="0.25">
      <c r="A83" s="215">
        <v>42634</v>
      </c>
      <c r="B83" s="349" t="s">
        <v>127</v>
      </c>
      <c r="C83" s="350" t="s">
        <v>12</v>
      </c>
      <c r="D83" s="141" t="s">
        <v>13</v>
      </c>
      <c r="E83" s="97">
        <v>18.45</v>
      </c>
      <c r="F83" s="946"/>
      <c r="G83" s="97"/>
      <c r="H83" s="1473"/>
    </row>
    <row r="84" spans="1:8" x14ac:dyDescent="0.25">
      <c r="A84" s="215">
        <v>42635</v>
      </c>
      <c r="B84" s="862" t="s">
        <v>1400</v>
      </c>
      <c r="C84" s="879" t="s">
        <v>12</v>
      </c>
      <c r="D84" s="1475" t="s">
        <v>15</v>
      </c>
      <c r="E84" s="97">
        <v>32</v>
      </c>
      <c r="F84" s="946"/>
      <c r="G84" s="97"/>
      <c r="H84" s="946"/>
    </row>
    <row r="85" spans="1:8" x14ac:dyDescent="0.25">
      <c r="A85" s="215">
        <v>42635</v>
      </c>
      <c r="B85" s="882" t="s">
        <v>1401</v>
      </c>
      <c r="C85" s="879" t="s">
        <v>12</v>
      </c>
      <c r="D85" s="887" t="s">
        <v>13</v>
      </c>
      <c r="E85" s="250">
        <v>45.92</v>
      </c>
      <c r="F85" s="946"/>
      <c r="G85" s="95"/>
      <c r="H85" s="946"/>
    </row>
    <row r="86" spans="1:8" x14ac:dyDescent="0.25">
      <c r="A86" s="215">
        <v>42635</v>
      </c>
      <c r="B86" s="349" t="s">
        <v>32</v>
      </c>
      <c r="C86" s="350" t="s">
        <v>12</v>
      </c>
      <c r="D86" s="141" t="s">
        <v>15</v>
      </c>
      <c r="E86" s="97">
        <v>13</v>
      </c>
      <c r="F86" s="946"/>
      <c r="G86" s="95"/>
      <c r="H86" s="946"/>
    </row>
    <row r="87" spans="1:8" x14ac:dyDescent="0.25">
      <c r="A87" s="215">
        <v>42636</v>
      </c>
      <c r="B87" s="349" t="s">
        <v>32</v>
      </c>
      <c r="C87" s="350" t="s">
        <v>12</v>
      </c>
      <c r="D87" s="141" t="s">
        <v>15</v>
      </c>
      <c r="E87" s="97">
        <v>13</v>
      </c>
      <c r="F87" s="946"/>
      <c r="G87" s="95"/>
      <c r="H87" s="946"/>
    </row>
    <row r="88" spans="1:8" x14ac:dyDescent="0.25">
      <c r="A88" s="215">
        <v>42637</v>
      </c>
      <c r="B88" s="862" t="s">
        <v>1377</v>
      </c>
      <c r="C88" s="350" t="s">
        <v>12</v>
      </c>
      <c r="D88" s="957" t="s">
        <v>13</v>
      </c>
      <c r="E88" s="250">
        <v>58.9</v>
      </c>
      <c r="F88" s="946"/>
      <c r="G88" s="95"/>
      <c r="H88" s="946"/>
    </row>
    <row r="89" spans="1:8" x14ac:dyDescent="0.25">
      <c r="A89" s="215">
        <v>42637</v>
      </c>
      <c r="B89" s="862" t="s">
        <v>32</v>
      </c>
      <c r="C89" s="350" t="s">
        <v>12</v>
      </c>
      <c r="D89" s="957" t="s">
        <v>13</v>
      </c>
      <c r="E89" s="250">
        <v>16</v>
      </c>
      <c r="F89" s="946"/>
      <c r="G89" s="95"/>
      <c r="H89" s="946"/>
    </row>
    <row r="90" spans="1:8" x14ac:dyDescent="0.25">
      <c r="A90" s="215">
        <v>42637</v>
      </c>
      <c r="B90" s="862" t="s">
        <v>1161</v>
      </c>
      <c r="C90" s="350" t="s">
        <v>12</v>
      </c>
      <c r="D90" s="957" t="s">
        <v>15</v>
      </c>
      <c r="E90" s="250">
        <v>15</v>
      </c>
      <c r="F90" s="946"/>
      <c r="G90" s="95"/>
      <c r="H90" s="946"/>
    </row>
    <row r="91" spans="1:8" x14ac:dyDescent="0.25">
      <c r="A91" s="215">
        <v>42637</v>
      </c>
      <c r="B91" s="862" t="s">
        <v>82</v>
      </c>
      <c r="C91" s="350" t="s">
        <v>12</v>
      </c>
      <c r="D91" s="957" t="s">
        <v>13</v>
      </c>
      <c r="E91" s="250">
        <v>28</v>
      </c>
      <c r="F91" s="946"/>
      <c r="G91" s="95"/>
      <c r="H91" s="946"/>
    </row>
    <row r="92" spans="1:8" x14ac:dyDescent="0.25">
      <c r="A92" s="215">
        <v>42637</v>
      </c>
      <c r="B92" s="862" t="s">
        <v>1402</v>
      </c>
      <c r="C92" s="350" t="s">
        <v>12</v>
      </c>
      <c r="D92" s="957" t="s">
        <v>13</v>
      </c>
      <c r="E92" s="250">
        <v>31</v>
      </c>
      <c r="F92" s="946"/>
      <c r="G92" s="95"/>
      <c r="H92" s="946"/>
    </row>
    <row r="93" spans="1:8" x14ac:dyDescent="0.25">
      <c r="A93" s="215">
        <v>42638</v>
      </c>
      <c r="B93" s="862" t="s">
        <v>127</v>
      </c>
      <c r="C93" s="350" t="s">
        <v>12</v>
      </c>
      <c r="D93" s="957" t="s">
        <v>13</v>
      </c>
      <c r="E93" s="250">
        <v>4.1500000000000004</v>
      </c>
      <c r="F93" s="946"/>
      <c r="G93" s="95"/>
      <c r="H93" s="946"/>
    </row>
    <row r="94" spans="1:8" s="224" customFormat="1" x14ac:dyDescent="0.25">
      <c r="A94" s="215">
        <v>42638</v>
      </c>
      <c r="B94" s="862" t="s">
        <v>32</v>
      </c>
      <c r="C94" s="350" t="s">
        <v>12</v>
      </c>
      <c r="D94" s="957" t="s">
        <v>13</v>
      </c>
      <c r="E94" s="250">
        <v>13</v>
      </c>
      <c r="F94" s="1473"/>
      <c r="G94" s="252"/>
      <c r="H94" s="946"/>
    </row>
    <row r="95" spans="1:8" x14ac:dyDescent="0.25">
      <c r="A95" s="215">
        <v>42639</v>
      </c>
      <c r="B95" s="862" t="s">
        <v>127</v>
      </c>
      <c r="C95" s="350" t="s">
        <v>12</v>
      </c>
      <c r="D95" s="957" t="s">
        <v>13</v>
      </c>
      <c r="E95" s="250">
        <v>7.13</v>
      </c>
      <c r="F95" s="946"/>
      <c r="G95" s="95"/>
      <c r="H95" s="946"/>
    </row>
    <row r="96" spans="1:8" x14ac:dyDescent="0.25">
      <c r="A96" s="215">
        <v>42639</v>
      </c>
      <c r="B96" s="862" t="s">
        <v>138</v>
      </c>
      <c r="C96" s="350" t="s">
        <v>12</v>
      </c>
      <c r="D96" s="957" t="s">
        <v>13</v>
      </c>
      <c r="E96" s="250">
        <v>70</v>
      </c>
      <c r="F96" s="946"/>
      <c r="G96" s="95"/>
      <c r="H96" s="946"/>
    </row>
    <row r="97" spans="1:8" x14ac:dyDescent="0.25">
      <c r="A97" s="215">
        <v>42640</v>
      </c>
      <c r="B97" s="862" t="s">
        <v>32</v>
      </c>
      <c r="C97" s="350" t="s">
        <v>12</v>
      </c>
      <c r="D97" s="957" t="s">
        <v>13</v>
      </c>
      <c r="E97" s="97">
        <v>13</v>
      </c>
      <c r="F97" s="946"/>
      <c r="G97" s="95"/>
      <c r="H97" s="946"/>
    </row>
    <row r="98" spans="1:8" x14ac:dyDescent="0.25">
      <c r="A98" s="215">
        <v>42640</v>
      </c>
      <c r="B98" s="862" t="s">
        <v>127</v>
      </c>
      <c r="C98" s="350" t="s">
        <v>12</v>
      </c>
      <c r="D98" s="957" t="s">
        <v>13</v>
      </c>
      <c r="E98" s="97">
        <v>11.68</v>
      </c>
      <c r="F98" s="946"/>
      <c r="G98" s="95"/>
      <c r="H98" s="946"/>
    </row>
    <row r="99" spans="1:8" x14ac:dyDescent="0.25">
      <c r="A99" s="215">
        <v>42641</v>
      </c>
      <c r="B99" s="862" t="s">
        <v>32</v>
      </c>
      <c r="C99" s="350" t="s">
        <v>12</v>
      </c>
      <c r="D99" s="957" t="s">
        <v>13</v>
      </c>
      <c r="E99" s="97">
        <v>13</v>
      </c>
      <c r="F99" s="946"/>
      <c r="G99" s="95"/>
      <c r="H99" s="946"/>
    </row>
    <row r="100" spans="1:8" x14ac:dyDescent="0.25">
      <c r="A100" s="215">
        <v>42641</v>
      </c>
      <c r="B100" s="862" t="s">
        <v>127</v>
      </c>
      <c r="C100" s="350" t="s">
        <v>12</v>
      </c>
      <c r="D100" s="957" t="s">
        <v>13</v>
      </c>
      <c r="E100" s="97">
        <v>5.86</v>
      </c>
      <c r="F100" s="946"/>
      <c r="G100" s="95"/>
      <c r="H100" s="946"/>
    </row>
    <row r="101" spans="1:8" x14ac:dyDescent="0.25">
      <c r="A101" s="215">
        <v>42641</v>
      </c>
      <c r="B101" s="862" t="s">
        <v>1343</v>
      </c>
      <c r="C101" s="350" t="s">
        <v>19</v>
      </c>
      <c r="D101" s="957" t="s">
        <v>13</v>
      </c>
      <c r="E101" s="97">
        <v>33.44</v>
      </c>
      <c r="F101" s="946"/>
      <c r="G101" s="95"/>
      <c r="H101" s="946"/>
    </row>
    <row r="102" spans="1:8" x14ac:dyDescent="0.25">
      <c r="A102" s="215">
        <v>42642</v>
      </c>
      <c r="B102" s="862" t="s">
        <v>32</v>
      </c>
      <c r="C102" s="350" t="s">
        <v>12</v>
      </c>
      <c r="D102" s="957" t="s">
        <v>13</v>
      </c>
      <c r="E102" s="97">
        <v>13</v>
      </c>
      <c r="F102" s="946"/>
      <c r="G102" s="95"/>
      <c r="H102" s="946"/>
    </row>
    <row r="103" spans="1:8" x14ac:dyDescent="0.25">
      <c r="A103" s="215">
        <v>42642</v>
      </c>
      <c r="B103" s="862" t="s">
        <v>38</v>
      </c>
      <c r="C103" s="350" t="s">
        <v>12</v>
      </c>
      <c r="D103" s="957" t="s">
        <v>13</v>
      </c>
      <c r="E103" s="97">
        <v>25</v>
      </c>
      <c r="F103" s="946"/>
      <c r="G103" s="95"/>
      <c r="H103" s="946"/>
    </row>
    <row r="104" spans="1:8" x14ac:dyDescent="0.25">
      <c r="A104" s="215">
        <v>42643</v>
      </c>
      <c r="B104" s="862" t="s">
        <v>32</v>
      </c>
      <c r="C104" s="350" t="s">
        <v>12</v>
      </c>
      <c r="D104" s="957" t="s">
        <v>13</v>
      </c>
      <c r="E104" s="97">
        <v>13</v>
      </c>
      <c r="F104" s="946"/>
      <c r="G104" s="95"/>
      <c r="H104" s="946"/>
    </row>
    <row r="105" spans="1:8" ht="15.75" thickBot="1" x14ac:dyDescent="0.3">
      <c r="A105" s="215">
        <v>42643</v>
      </c>
      <c r="B105" s="862" t="s">
        <v>134</v>
      </c>
      <c r="C105" s="350" t="s">
        <v>12</v>
      </c>
      <c r="D105" s="957" t="s">
        <v>13</v>
      </c>
      <c r="E105" s="250">
        <v>8</v>
      </c>
      <c r="F105" s="946"/>
      <c r="G105" s="95"/>
      <c r="H105" s="946"/>
    </row>
    <row r="106" spans="1:8" ht="25.5" customHeight="1" thickBot="1" x14ac:dyDescent="0.3">
      <c r="A106" s="3060"/>
      <c r="B106" s="3061"/>
      <c r="C106" s="3062"/>
      <c r="D106" s="3062"/>
      <c r="E106" s="100">
        <f>SUM(E6:E105)</f>
        <v>3960.7300000000005</v>
      </c>
      <c r="F106" s="1065">
        <f>SUM(F5:F105)</f>
        <v>4089.8830000000034</v>
      </c>
      <c r="G106" s="101">
        <f>SUM(G6:G105)</f>
        <v>867.66</v>
      </c>
      <c r="H106" s="93">
        <f>SUM(H5:H105)</f>
        <v>1817.6560000000002</v>
      </c>
    </row>
    <row r="107" spans="1:8" ht="25.5" customHeight="1" thickBot="1" x14ac:dyDescent="0.3">
      <c r="A107" s="3114" t="s">
        <v>49</v>
      </c>
      <c r="B107" s="3115"/>
      <c r="C107" s="3115"/>
      <c r="D107" s="3116"/>
      <c r="E107" s="144"/>
      <c r="F107" s="519">
        <f>F106-E106</f>
        <v>129.15300000000298</v>
      </c>
      <c r="G107" s="555"/>
      <c r="H107" s="556">
        <f>H106-G106</f>
        <v>949.99600000000021</v>
      </c>
    </row>
    <row r="108" spans="1:8" x14ac:dyDescent="0.25">
      <c r="F108" s="89"/>
    </row>
    <row r="109" spans="1:8" x14ac:dyDescent="0.25">
      <c r="B109" s="79" t="s">
        <v>32</v>
      </c>
      <c r="C109" s="475">
        <v>332.5</v>
      </c>
    </row>
    <row r="110" spans="1:8" x14ac:dyDescent="0.25">
      <c r="B110" s="79" t="s">
        <v>1218</v>
      </c>
      <c r="C110" s="475">
        <v>320</v>
      </c>
      <c r="D110" s="79"/>
    </row>
    <row r="111" spans="1:8" x14ac:dyDescent="0.25">
      <c r="B111" s="79" t="s">
        <v>50</v>
      </c>
      <c r="C111" s="484">
        <v>150.80000000000001</v>
      </c>
    </row>
    <row r="112" spans="1:8" s="85" customFormat="1" x14ac:dyDescent="0.25">
      <c r="A112" s="79"/>
      <c r="B112" s="79" t="s">
        <v>14</v>
      </c>
      <c r="C112" s="484">
        <v>136.5</v>
      </c>
      <c r="E112" s="89"/>
      <c r="F112" s="79"/>
      <c r="G112" s="79"/>
    </row>
    <row r="113" spans="1:9" s="85" customFormat="1" x14ac:dyDescent="0.25">
      <c r="A113" s="79"/>
      <c r="B113" s="79" t="s">
        <v>51</v>
      </c>
      <c r="C113" s="475">
        <v>145.24</v>
      </c>
      <c r="E113" s="89"/>
      <c r="F113" s="79"/>
      <c r="G113" s="79"/>
      <c r="H113" s="79"/>
    </row>
    <row r="114" spans="1:9" s="85" customFormat="1" x14ac:dyDescent="0.25">
      <c r="A114" s="79"/>
      <c r="B114" s="79" t="s">
        <v>52</v>
      </c>
      <c r="C114" s="475">
        <v>60</v>
      </c>
      <c r="E114" s="89"/>
      <c r="F114" s="79"/>
      <c r="G114" s="79"/>
      <c r="H114" s="79"/>
    </row>
    <row r="115" spans="1:9" s="85" customFormat="1" x14ac:dyDescent="0.25">
      <c r="A115" s="79"/>
      <c r="B115" s="867" t="s">
        <v>53</v>
      </c>
      <c r="C115" s="475">
        <v>400</v>
      </c>
      <c r="D115" s="89"/>
      <c r="E115" s="89"/>
      <c r="F115" s="79"/>
      <c r="G115" s="79"/>
      <c r="H115" s="79"/>
    </row>
    <row r="116" spans="1:9" s="85" customFormat="1" x14ac:dyDescent="0.25">
      <c r="A116" s="79"/>
      <c r="B116" s="79" t="s">
        <v>1232</v>
      </c>
      <c r="C116" s="475">
        <v>568.53</v>
      </c>
      <c r="E116" s="89"/>
      <c r="F116" s="79"/>
      <c r="G116" s="79"/>
      <c r="H116" s="79"/>
    </row>
    <row r="117" spans="1:9" s="85" customFormat="1" x14ac:dyDescent="0.25">
      <c r="A117" s="79"/>
      <c r="B117" s="79" t="s">
        <v>56</v>
      </c>
      <c r="C117" s="475"/>
      <c r="E117" s="89"/>
      <c r="F117" s="79"/>
      <c r="G117" s="79"/>
      <c r="H117" s="79"/>
    </row>
    <row r="118" spans="1:9" s="85" customFormat="1" x14ac:dyDescent="0.25">
      <c r="A118" s="79"/>
      <c r="B118" s="79" t="s">
        <v>57</v>
      </c>
      <c r="C118" s="475">
        <v>335.21</v>
      </c>
      <c r="E118" s="89"/>
      <c r="F118" s="79"/>
      <c r="G118" s="79"/>
      <c r="H118" s="79"/>
    </row>
    <row r="119" spans="1:9" s="85" customFormat="1" x14ac:dyDescent="0.25">
      <c r="A119" s="79"/>
      <c r="B119" s="79" t="s">
        <v>418</v>
      </c>
      <c r="C119" s="475"/>
      <c r="D119" s="79"/>
      <c r="E119" s="89"/>
      <c r="F119" s="79"/>
      <c r="G119" s="79"/>
      <c r="H119" s="79"/>
    </row>
    <row r="120" spans="1:9" x14ac:dyDescent="0.25">
      <c r="B120" s="79" t="s">
        <v>419</v>
      </c>
      <c r="C120" s="475">
        <v>773.84</v>
      </c>
    </row>
    <row r="121" spans="1:9" x14ac:dyDescent="0.25">
      <c r="B121" s="79" t="s">
        <v>911</v>
      </c>
      <c r="C121" s="475">
        <v>4</v>
      </c>
    </row>
    <row r="123" spans="1:9" x14ac:dyDescent="0.25">
      <c r="B123" s="79" t="s">
        <v>486</v>
      </c>
      <c r="C123" s="475">
        <f>G123/I123</f>
        <v>111.241</v>
      </c>
      <c r="E123" s="224" t="s">
        <v>487</v>
      </c>
      <c r="F123" s="224"/>
      <c r="G123" s="216">
        <v>3337.23</v>
      </c>
      <c r="H123" s="518" t="s">
        <v>488</v>
      </c>
      <c r="I123" s="85">
        <v>30</v>
      </c>
    </row>
    <row r="126" spans="1:9" x14ac:dyDescent="0.25">
      <c r="I126" s="85"/>
    </row>
    <row r="134" spans="3:8" x14ac:dyDescent="0.25">
      <c r="C134" s="79"/>
      <c r="D134" s="79"/>
      <c r="E134" s="79"/>
      <c r="H134" s="216"/>
    </row>
    <row r="135" spans="3:8" x14ac:dyDescent="0.25">
      <c r="C135" s="79"/>
      <c r="D135" s="79"/>
      <c r="E135" s="79"/>
      <c r="H135" s="216"/>
    </row>
    <row r="136" spans="3:8" x14ac:dyDescent="0.25">
      <c r="C136" s="79"/>
      <c r="D136" s="79"/>
      <c r="E136" s="79"/>
      <c r="F136" s="216"/>
      <c r="H136" s="216"/>
    </row>
    <row r="137" spans="3:8" x14ac:dyDescent="0.25">
      <c r="C137" s="79"/>
      <c r="D137" s="79"/>
      <c r="E137" s="79"/>
      <c r="F137" s="216"/>
      <c r="H137" s="216"/>
    </row>
    <row r="138" spans="3:8" x14ac:dyDescent="0.25">
      <c r="C138" s="79"/>
      <c r="D138" s="79"/>
      <c r="E138" s="79"/>
      <c r="F138" s="216"/>
    </row>
    <row r="139" spans="3:8" x14ac:dyDescent="0.25">
      <c r="C139" s="79"/>
      <c r="D139" s="79"/>
      <c r="E139" s="79"/>
      <c r="H139" s="216"/>
    </row>
    <row r="141" spans="3:8" x14ac:dyDescent="0.25">
      <c r="C141" s="79"/>
      <c r="D141" s="79"/>
      <c r="E141" s="79"/>
      <c r="H141" s="629"/>
    </row>
    <row r="147" spans="3:8" x14ac:dyDescent="0.25">
      <c r="C147" s="79"/>
      <c r="D147" s="79"/>
      <c r="E147" s="79"/>
      <c r="H147" s="216"/>
    </row>
    <row r="148" spans="3:8" x14ac:dyDescent="0.25">
      <c r="C148" s="79"/>
      <c r="D148" s="79"/>
      <c r="E148" s="79"/>
      <c r="H148" s="216"/>
    </row>
    <row r="149" spans="3:8" x14ac:dyDescent="0.25">
      <c r="C149" s="79"/>
      <c r="D149" s="79"/>
      <c r="E149" s="79"/>
      <c r="H149" s="216"/>
    </row>
    <row r="150" spans="3:8" x14ac:dyDescent="0.25">
      <c r="C150" s="79"/>
      <c r="D150" s="79"/>
      <c r="E150" s="79"/>
      <c r="H150" s="216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</sheetData>
  <autoFilter ref="A2:H107" xr:uid="{00000000-0009-0000-0000-000033000000}"/>
  <mergeCells count="10">
    <mergeCell ref="A106:D106"/>
    <mergeCell ref="A107:D107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Plan58"/>
  <dimension ref="A1:I159"/>
  <sheetViews>
    <sheetView zoomScale="85" zoomScaleNormal="85" workbookViewId="0">
      <pane ySplit="4" topLeftCell="A5" activePane="bottomLeft" state="frozen"/>
      <selection activeCell="C44" sqref="C44"/>
      <selection pane="bottomLeft" activeCell="F15" sqref="F1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1403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x14ac:dyDescent="0.25">
      <c r="A5" s="281">
        <v>42644</v>
      </c>
      <c r="B5" s="369" t="s">
        <v>10</v>
      </c>
      <c r="C5" s="370"/>
      <c r="D5" s="207"/>
      <c r="E5" s="179"/>
      <c r="F5" s="933">
        <f>'Setembro-16'!F107</f>
        <v>129.15300000000298</v>
      </c>
      <c r="G5" s="163"/>
      <c r="H5" s="933">
        <f>'Setembro-16'!H107</f>
        <v>949.99600000000021</v>
      </c>
    </row>
    <row r="6" spans="1:8" s="224" customFormat="1" x14ac:dyDescent="0.25">
      <c r="A6" s="215">
        <v>42644</v>
      </c>
      <c r="B6" s="348" t="s">
        <v>11</v>
      </c>
      <c r="C6" s="351"/>
      <c r="D6" s="248"/>
      <c r="E6" s="250">
        <v>23</v>
      </c>
      <c r="F6" s="1473"/>
      <c r="G6" s="252"/>
      <c r="H6" s="1473"/>
    </row>
    <row r="7" spans="1:8" s="224" customFormat="1" x14ac:dyDescent="0.25">
      <c r="A7" s="215">
        <v>42644</v>
      </c>
      <c r="B7" s="862" t="s">
        <v>1331</v>
      </c>
      <c r="C7" s="350" t="s">
        <v>12</v>
      </c>
      <c r="D7" s="957" t="s">
        <v>13</v>
      </c>
      <c r="E7" s="97">
        <v>40</v>
      </c>
      <c r="F7" s="946"/>
      <c r="G7" s="97"/>
      <c r="H7" s="946"/>
    </row>
    <row r="8" spans="1:8" s="224" customFormat="1" x14ac:dyDescent="0.25">
      <c r="A8" s="215">
        <v>42644</v>
      </c>
      <c r="B8" s="862" t="s">
        <v>32</v>
      </c>
      <c r="C8" s="350" t="s">
        <v>12</v>
      </c>
      <c r="D8" s="957" t="s">
        <v>13</v>
      </c>
      <c r="E8" s="250">
        <v>13</v>
      </c>
      <c r="F8" s="946"/>
      <c r="G8" s="97"/>
      <c r="H8" s="946"/>
    </row>
    <row r="9" spans="1:8" s="224" customFormat="1" x14ac:dyDescent="0.25">
      <c r="A9" s="215">
        <v>42644</v>
      </c>
      <c r="B9" s="862" t="s">
        <v>256</v>
      </c>
      <c r="C9" s="879"/>
      <c r="D9" s="1475"/>
      <c r="E9" s="97"/>
      <c r="F9" s="946">
        <v>150</v>
      </c>
      <c r="G9" s="97">
        <v>150</v>
      </c>
      <c r="H9" s="946"/>
    </row>
    <row r="10" spans="1:8" s="224" customFormat="1" x14ac:dyDescent="0.25">
      <c r="A10" s="215">
        <v>42644</v>
      </c>
      <c r="B10" s="862" t="s">
        <v>134</v>
      </c>
      <c r="C10" s="350" t="s">
        <v>19</v>
      </c>
      <c r="D10" s="957" t="s">
        <v>13</v>
      </c>
      <c r="E10" s="250">
        <v>34.22</v>
      </c>
      <c r="F10" s="946"/>
      <c r="G10" s="97"/>
      <c r="H10" s="946"/>
    </row>
    <row r="11" spans="1:8" s="224" customFormat="1" x14ac:dyDescent="0.25">
      <c r="A11" s="215">
        <v>42644</v>
      </c>
      <c r="B11" s="862" t="s">
        <v>14</v>
      </c>
      <c r="C11" s="350" t="s">
        <v>12</v>
      </c>
      <c r="D11" s="957" t="s">
        <v>13</v>
      </c>
      <c r="E11" s="250">
        <v>4.3099999999999996</v>
      </c>
      <c r="F11" s="946"/>
      <c r="G11" s="97"/>
      <c r="H11" s="946"/>
    </row>
    <row r="12" spans="1:8" s="224" customFormat="1" x14ac:dyDescent="0.25">
      <c r="A12" s="215">
        <v>42645</v>
      </c>
      <c r="B12" s="862" t="s">
        <v>134</v>
      </c>
      <c r="C12" s="350" t="s">
        <v>12</v>
      </c>
      <c r="D12" s="957" t="s">
        <v>13</v>
      </c>
      <c r="E12" s="97">
        <v>7.78</v>
      </c>
      <c r="F12" s="946"/>
      <c r="G12" s="97"/>
      <c r="H12" s="1473"/>
    </row>
    <row r="13" spans="1:8" s="224" customFormat="1" x14ac:dyDescent="0.25">
      <c r="A13" s="215">
        <v>42645</v>
      </c>
      <c r="B13" s="862" t="s">
        <v>14</v>
      </c>
      <c r="C13" s="350" t="s">
        <v>12</v>
      </c>
      <c r="D13" s="957" t="s">
        <v>13</v>
      </c>
      <c r="E13" s="250">
        <v>6.35</v>
      </c>
      <c r="F13" s="946"/>
      <c r="G13" s="97"/>
      <c r="H13" s="1473"/>
    </row>
    <row r="14" spans="1:8" s="224" customFormat="1" x14ac:dyDescent="0.25">
      <c r="A14" s="215">
        <v>42646</v>
      </c>
      <c r="B14" s="862" t="s">
        <v>32</v>
      </c>
      <c r="C14" s="350" t="s">
        <v>12</v>
      </c>
      <c r="D14" s="957" t="s">
        <v>13</v>
      </c>
      <c r="E14" s="250">
        <v>13</v>
      </c>
      <c r="F14" s="946"/>
      <c r="G14" s="97"/>
      <c r="H14" s="946"/>
    </row>
    <row r="15" spans="1:8" s="224" customFormat="1" x14ac:dyDescent="0.25">
      <c r="A15" s="215">
        <v>42647</v>
      </c>
      <c r="B15" s="862" t="s">
        <v>32</v>
      </c>
      <c r="C15" s="350" t="s">
        <v>12</v>
      </c>
      <c r="D15" s="957" t="s">
        <v>13</v>
      </c>
      <c r="E15" s="250">
        <v>13</v>
      </c>
      <c r="F15" s="946"/>
      <c r="G15" s="97"/>
      <c r="H15" s="1473"/>
    </row>
    <row r="16" spans="1:8" s="224" customFormat="1" x14ac:dyDescent="0.25">
      <c r="A16" s="215">
        <v>42647</v>
      </c>
      <c r="B16" s="862" t="s">
        <v>14</v>
      </c>
      <c r="C16" s="350" t="s">
        <v>12</v>
      </c>
      <c r="D16" s="957" t="s">
        <v>13</v>
      </c>
      <c r="E16" s="250">
        <v>7.41</v>
      </c>
      <c r="F16" s="946"/>
      <c r="G16" s="97"/>
      <c r="H16" s="1473"/>
    </row>
    <row r="17" spans="1:8" s="224" customFormat="1" x14ac:dyDescent="0.25">
      <c r="A17" s="215">
        <v>42648</v>
      </c>
      <c r="B17" s="349" t="s">
        <v>311</v>
      </c>
      <c r="C17" s="350"/>
      <c r="D17" s="141"/>
      <c r="E17" s="97"/>
      <c r="F17" s="946"/>
      <c r="G17" s="97"/>
      <c r="H17" s="946">
        <v>5.45</v>
      </c>
    </row>
    <row r="18" spans="1:8" s="224" customFormat="1" x14ac:dyDescent="0.25">
      <c r="A18" s="215">
        <v>42648</v>
      </c>
      <c r="B18" s="862" t="s">
        <v>32</v>
      </c>
      <c r="C18" s="350" t="s">
        <v>12</v>
      </c>
      <c r="D18" s="957" t="s">
        <v>13</v>
      </c>
      <c r="E18" s="250">
        <v>13</v>
      </c>
      <c r="F18" s="946"/>
      <c r="G18" s="97"/>
      <c r="H18" s="1473"/>
    </row>
    <row r="19" spans="1:8" s="224" customFormat="1" x14ac:dyDescent="0.25">
      <c r="A19" s="215">
        <v>42648</v>
      </c>
      <c r="B19" s="862" t="s">
        <v>1404</v>
      </c>
      <c r="C19" s="350" t="s">
        <v>12</v>
      </c>
      <c r="D19" s="957" t="s">
        <v>13</v>
      </c>
      <c r="E19" s="250">
        <v>10</v>
      </c>
      <c r="F19" s="946"/>
      <c r="G19" s="97"/>
      <c r="H19" s="1473"/>
    </row>
    <row r="20" spans="1:8" s="224" customFormat="1" x14ac:dyDescent="0.25">
      <c r="A20" s="215">
        <v>42648</v>
      </c>
      <c r="B20" s="862" t="s">
        <v>14</v>
      </c>
      <c r="C20" s="350" t="s">
        <v>12</v>
      </c>
      <c r="D20" s="957" t="s">
        <v>13</v>
      </c>
      <c r="E20" s="250">
        <v>3.5</v>
      </c>
      <c r="F20" s="946"/>
      <c r="G20" s="97"/>
      <c r="H20" s="1473"/>
    </row>
    <row r="21" spans="1:8" s="224" customFormat="1" x14ac:dyDescent="0.25">
      <c r="A21" s="215">
        <v>42649</v>
      </c>
      <c r="B21" s="349" t="s">
        <v>199</v>
      </c>
      <c r="C21" s="350" t="s">
        <v>12</v>
      </c>
      <c r="D21" s="957" t="s">
        <v>13</v>
      </c>
      <c r="E21" s="97">
        <v>15</v>
      </c>
      <c r="F21" s="946"/>
      <c r="G21" s="97"/>
      <c r="H21" s="946"/>
    </row>
    <row r="22" spans="1:8" s="224" customFormat="1" ht="15.75" customHeight="1" x14ac:dyDescent="0.25">
      <c r="A22" s="215">
        <v>42649</v>
      </c>
      <c r="B22" s="349" t="s">
        <v>1405</v>
      </c>
      <c r="C22" s="879" t="s">
        <v>12</v>
      </c>
      <c r="D22" s="983" t="s">
        <v>25</v>
      </c>
      <c r="E22" s="250"/>
      <c r="F22" s="1473">
        <v>1648.82</v>
      </c>
      <c r="G22" s="252"/>
      <c r="H22" s="946"/>
    </row>
    <row r="23" spans="1:8" s="224" customFormat="1" ht="15.75" customHeight="1" x14ac:dyDescent="0.25">
      <c r="A23" s="215">
        <v>42649</v>
      </c>
      <c r="B23" s="862" t="s">
        <v>1406</v>
      </c>
      <c r="C23" s="350" t="s">
        <v>12</v>
      </c>
      <c r="D23" s="141" t="s">
        <v>13</v>
      </c>
      <c r="E23" s="97">
        <v>514.46</v>
      </c>
      <c r="F23" s="1473"/>
      <c r="G23" s="252"/>
      <c r="H23" s="946"/>
    </row>
    <row r="24" spans="1:8" s="224" customFormat="1" x14ac:dyDescent="0.25">
      <c r="A24" s="215">
        <v>42649</v>
      </c>
      <c r="B24" s="862" t="s">
        <v>1091</v>
      </c>
      <c r="C24" s="879" t="s">
        <v>12</v>
      </c>
      <c r="D24" s="887" t="s">
        <v>15</v>
      </c>
      <c r="E24" s="250">
        <v>210</v>
      </c>
      <c r="F24" s="946"/>
      <c r="G24" s="97"/>
      <c r="H24" s="1473"/>
    </row>
    <row r="25" spans="1:8" x14ac:dyDescent="0.25">
      <c r="A25" s="215">
        <v>42649</v>
      </c>
      <c r="B25" s="862" t="s">
        <v>52</v>
      </c>
      <c r="C25" s="879" t="s">
        <v>12</v>
      </c>
      <c r="D25" s="1475" t="s">
        <v>13</v>
      </c>
      <c r="E25" s="97">
        <v>60</v>
      </c>
      <c r="F25" s="946"/>
      <c r="G25" s="97"/>
      <c r="H25" s="946"/>
    </row>
    <row r="26" spans="1:8" x14ac:dyDescent="0.25">
      <c r="A26" s="215">
        <v>42649</v>
      </c>
      <c r="B26" s="862" t="s">
        <v>1407</v>
      </c>
      <c r="C26" s="879" t="s">
        <v>12</v>
      </c>
      <c r="D26" s="1475" t="s">
        <v>15</v>
      </c>
      <c r="E26" s="97">
        <v>30</v>
      </c>
      <c r="F26" s="946"/>
      <c r="G26" s="97"/>
      <c r="H26" s="946"/>
    </row>
    <row r="27" spans="1:8" s="224" customFormat="1" x14ac:dyDescent="0.25">
      <c r="A27" s="215">
        <v>42649</v>
      </c>
      <c r="B27" s="349" t="s">
        <v>134</v>
      </c>
      <c r="C27" s="879" t="s">
        <v>12</v>
      </c>
      <c r="D27" s="1475" t="s">
        <v>15</v>
      </c>
      <c r="E27" s="97">
        <v>5.5</v>
      </c>
      <c r="F27" s="946"/>
      <c r="G27" s="95"/>
      <c r="H27" s="946"/>
    </row>
    <row r="28" spans="1:8" s="224" customFormat="1" x14ac:dyDescent="0.25">
      <c r="A28" s="215">
        <v>42649</v>
      </c>
      <c r="B28" s="349" t="s">
        <v>260</v>
      </c>
      <c r="C28" s="350"/>
      <c r="D28" s="141"/>
      <c r="E28" s="97">
        <v>255.87</v>
      </c>
      <c r="F28" s="946"/>
      <c r="G28" s="95"/>
      <c r="H28" s="946">
        <v>255.87</v>
      </c>
    </row>
    <row r="29" spans="1:8" x14ac:dyDescent="0.25">
      <c r="A29" s="215">
        <v>42650</v>
      </c>
      <c r="B29" s="349" t="s">
        <v>14</v>
      </c>
      <c r="C29" s="879" t="s">
        <v>12</v>
      </c>
      <c r="D29" s="1475" t="s">
        <v>13</v>
      </c>
      <c r="E29" s="97">
        <v>6.843</v>
      </c>
      <c r="F29" s="946"/>
      <c r="G29" s="95"/>
      <c r="H29" s="946"/>
    </row>
    <row r="30" spans="1:8" s="224" customFormat="1" ht="14.25" customHeight="1" x14ac:dyDescent="0.25">
      <c r="A30" s="215">
        <v>42651</v>
      </c>
      <c r="B30" s="349" t="s">
        <v>1408</v>
      </c>
      <c r="C30" s="350" t="s">
        <v>19</v>
      </c>
      <c r="D30" s="141" t="s">
        <v>13</v>
      </c>
      <c r="E30" s="97">
        <v>23</v>
      </c>
      <c r="F30" s="946"/>
      <c r="G30" s="97"/>
      <c r="H30" s="1473"/>
    </row>
    <row r="31" spans="1:8" s="224" customFormat="1" ht="14.25" customHeight="1" x14ac:dyDescent="0.25">
      <c r="A31" s="215">
        <v>42651</v>
      </c>
      <c r="B31" s="349" t="s">
        <v>134</v>
      </c>
      <c r="C31" s="350" t="s">
        <v>19</v>
      </c>
      <c r="D31" s="141" t="s">
        <v>13</v>
      </c>
      <c r="E31" s="97">
        <v>34.950000000000003</v>
      </c>
      <c r="F31" s="946"/>
      <c r="G31" s="97"/>
      <c r="H31" s="1473"/>
    </row>
    <row r="32" spans="1:8" x14ac:dyDescent="0.25">
      <c r="A32" s="215">
        <v>42651</v>
      </c>
      <c r="B32" s="862" t="s">
        <v>32</v>
      </c>
      <c r="C32" s="350" t="s">
        <v>12</v>
      </c>
      <c r="D32" s="957" t="s">
        <v>13</v>
      </c>
      <c r="E32" s="250">
        <v>16</v>
      </c>
      <c r="F32" s="946"/>
      <c r="G32" s="95"/>
      <c r="H32" s="946"/>
    </row>
    <row r="33" spans="1:8" x14ac:dyDescent="0.25">
      <c r="A33" s="215">
        <v>42651</v>
      </c>
      <c r="B33" s="862" t="s">
        <v>82</v>
      </c>
      <c r="C33" s="350" t="s">
        <v>12</v>
      </c>
      <c r="D33" s="957" t="s">
        <v>13</v>
      </c>
      <c r="E33" s="250">
        <v>28</v>
      </c>
      <c r="F33" s="946"/>
      <c r="G33" s="95"/>
      <c r="H33" s="946"/>
    </row>
    <row r="34" spans="1:8" x14ac:dyDescent="0.25">
      <c r="A34" s="215">
        <v>42651</v>
      </c>
      <c r="B34" s="862" t="s">
        <v>1331</v>
      </c>
      <c r="C34" s="350" t="s">
        <v>12</v>
      </c>
      <c r="D34" s="957" t="s">
        <v>13</v>
      </c>
      <c r="E34" s="250">
        <v>20</v>
      </c>
      <c r="F34" s="946"/>
      <c r="G34" s="95"/>
      <c r="H34" s="946"/>
    </row>
    <row r="35" spans="1:8" x14ac:dyDescent="0.25">
      <c r="A35" s="215">
        <v>42652</v>
      </c>
      <c r="B35" s="349" t="s">
        <v>14</v>
      </c>
      <c r="C35" s="350" t="s">
        <v>12</v>
      </c>
      <c r="D35" s="957" t="s">
        <v>13</v>
      </c>
      <c r="E35" s="97">
        <v>4.6100000000000003</v>
      </c>
      <c r="F35" s="946"/>
      <c r="G35" s="95"/>
      <c r="H35" s="946"/>
    </row>
    <row r="36" spans="1:8" x14ac:dyDescent="0.25">
      <c r="A36" s="215">
        <v>42652</v>
      </c>
      <c r="B36" s="349" t="s">
        <v>477</v>
      </c>
      <c r="C36" s="350" t="s">
        <v>12</v>
      </c>
      <c r="D36" s="957" t="s">
        <v>13</v>
      </c>
      <c r="E36" s="97">
        <v>8.57</v>
      </c>
      <c r="F36" s="946"/>
      <c r="G36" s="95"/>
      <c r="H36" s="946"/>
    </row>
    <row r="37" spans="1:8" x14ac:dyDescent="0.25">
      <c r="A37" s="215">
        <v>42653</v>
      </c>
      <c r="B37" s="862" t="s">
        <v>32</v>
      </c>
      <c r="C37" s="350" t="s">
        <v>12</v>
      </c>
      <c r="D37" s="957" t="s">
        <v>13</v>
      </c>
      <c r="E37" s="250">
        <v>13</v>
      </c>
      <c r="F37" s="946"/>
      <c r="G37" s="97"/>
      <c r="H37" s="946"/>
    </row>
    <row r="38" spans="1:8" x14ac:dyDescent="0.25">
      <c r="A38" s="215">
        <v>42653</v>
      </c>
      <c r="B38" s="862" t="s">
        <v>1294</v>
      </c>
      <c r="C38" s="350" t="s">
        <v>12</v>
      </c>
      <c r="D38" s="957" t="s">
        <v>13</v>
      </c>
      <c r="E38" s="250">
        <v>80</v>
      </c>
      <c r="F38" s="946"/>
      <c r="G38" s="97"/>
      <c r="H38" s="946"/>
    </row>
    <row r="39" spans="1:8" x14ac:dyDescent="0.25">
      <c r="A39" s="215">
        <v>42653</v>
      </c>
      <c r="B39" s="862" t="s">
        <v>1331</v>
      </c>
      <c r="C39" s="350" t="s">
        <v>12</v>
      </c>
      <c r="D39" s="957" t="s">
        <v>13</v>
      </c>
      <c r="E39" s="250">
        <v>50</v>
      </c>
      <c r="F39" s="946"/>
      <c r="G39" s="97"/>
      <c r="H39" s="946"/>
    </row>
    <row r="40" spans="1:8" x14ac:dyDescent="0.25">
      <c r="A40" s="215">
        <v>42653</v>
      </c>
      <c r="B40" s="862" t="s">
        <v>14</v>
      </c>
      <c r="C40" s="350" t="s">
        <v>12</v>
      </c>
      <c r="D40" s="957" t="s">
        <v>13</v>
      </c>
      <c r="E40" s="250">
        <v>6.33</v>
      </c>
      <c r="F40" s="946"/>
      <c r="G40" s="97"/>
      <c r="H40" s="946"/>
    </row>
    <row r="41" spans="1:8" x14ac:dyDescent="0.25">
      <c r="A41" s="215">
        <v>42654</v>
      </c>
      <c r="B41" s="862" t="s">
        <v>32</v>
      </c>
      <c r="C41" s="350" t="s">
        <v>12</v>
      </c>
      <c r="D41" s="957" t="s">
        <v>13</v>
      </c>
      <c r="E41" s="250">
        <v>13</v>
      </c>
      <c r="F41" s="946"/>
      <c r="G41" s="97"/>
      <c r="H41" s="946"/>
    </row>
    <row r="42" spans="1:8" x14ac:dyDescent="0.25">
      <c r="A42" s="215">
        <v>42654</v>
      </c>
      <c r="B42" s="862" t="s">
        <v>114</v>
      </c>
      <c r="C42" s="350" t="s">
        <v>12</v>
      </c>
      <c r="D42" s="957" t="s">
        <v>13</v>
      </c>
      <c r="E42" s="250">
        <v>18.690000000000001</v>
      </c>
      <c r="F42" s="946"/>
      <c r="G42" s="97"/>
      <c r="H42" s="946"/>
    </row>
    <row r="43" spans="1:8" x14ac:dyDescent="0.25">
      <c r="A43" s="215">
        <v>42654</v>
      </c>
      <c r="B43" s="862" t="s">
        <v>1284</v>
      </c>
      <c r="C43" s="350" t="s">
        <v>12</v>
      </c>
      <c r="D43" s="957" t="s">
        <v>13</v>
      </c>
      <c r="E43" s="250">
        <v>31.99</v>
      </c>
      <c r="F43" s="946"/>
      <c r="G43" s="97"/>
      <c r="H43" s="946"/>
    </row>
    <row r="44" spans="1:8" s="224" customFormat="1" x14ac:dyDescent="0.25">
      <c r="A44" s="215">
        <v>42655</v>
      </c>
      <c r="B44" s="862" t="s">
        <v>256</v>
      </c>
      <c r="C44" s="879"/>
      <c r="D44" s="1475"/>
      <c r="E44" s="97"/>
      <c r="F44" s="946">
        <v>160</v>
      </c>
      <c r="G44" s="97">
        <v>160</v>
      </c>
      <c r="H44" s="946"/>
    </row>
    <row r="45" spans="1:8" x14ac:dyDescent="0.25">
      <c r="A45" s="215">
        <v>42655</v>
      </c>
      <c r="B45" s="862" t="s">
        <v>1409</v>
      </c>
      <c r="C45" s="350" t="s">
        <v>19</v>
      </c>
      <c r="D45" s="957" t="s">
        <v>13</v>
      </c>
      <c r="E45" s="97">
        <v>33.799999999999997</v>
      </c>
      <c r="F45" s="946"/>
      <c r="G45" s="97"/>
      <c r="H45" s="946"/>
    </row>
    <row r="46" spans="1:8" x14ac:dyDescent="0.25">
      <c r="A46" s="215">
        <v>42655</v>
      </c>
      <c r="B46" s="862" t="s">
        <v>1410</v>
      </c>
      <c r="C46" s="350" t="s">
        <v>19</v>
      </c>
      <c r="D46" s="957" t="s">
        <v>13</v>
      </c>
      <c r="E46" s="97">
        <v>65.78</v>
      </c>
      <c r="F46" s="946"/>
      <c r="G46" s="97"/>
      <c r="H46" s="946"/>
    </row>
    <row r="47" spans="1:8" x14ac:dyDescent="0.25">
      <c r="A47" s="215">
        <v>42655</v>
      </c>
      <c r="B47" s="862" t="s">
        <v>134</v>
      </c>
      <c r="C47" s="350" t="s">
        <v>12</v>
      </c>
      <c r="D47" s="957" t="s">
        <v>13</v>
      </c>
      <c r="E47" s="97">
        <v>24.14</v>
      </c>
      <c r="F47" s="946"/>
      <c r="G47" s="97"/>
      <c r="H47" s="946"/>
    </row>
    <row r="48" spans="1:8" x14ac:dyDescent="0.25">
      <c r="A48" s="215">
        <v>42656</v>
      </c>
      <c r="B48" s="862" t="s">
        <v>32</v>
      </c>
      <c r="C48" s="350" t="s">
        <v>12</v>
      </c>
      <c r="D48" s="957" t="s">
        <v>13</v>
      </c>
      <c r="E48" s="250">
        <v>15.5</v>
      </c>
      <c r="F48" s="946"/>
      <c r="G48" s="97"/>
      <c r="H48" s="946"/>
    </row>
    <row r="49" spans="1:8" x14ac:dyDescent="0.25">
      <c r="A49" s="215">
        <v>42656</v>
      </c>
      <c r="B49" s="862" t="s">
        <v>1411</v>
      </c>
      <c r="C49" s="350" t="s">
        <v>19</v>
      </c>
      <c r="D49" s="957" t="s">
        <v>13</v>
      </c>
      <c r="E49" s="250">
        <v>30</v>
      </c>
      <c r="F49" s="946"/>
      <c r="G49" s="97"/>
      <c r="H49" s="946"/>
    </row>
    <row r="50" spans="1:8" x14ac:dyDescent="0.25">
      <c r="A50" s="215">
        <v>42656</v>
      </c>
      <c r="B50" s="862" t="s">
        <v>1412</v>
      </c>
      <c r="C50" s="350" t="s">
        <v>12</v>
      </c>
      <c r="D50" s="957" t="s">
        <v>13</v>
      </c>
      <c r="E50" s="250">
        <v>48</v>
      </c>
      <c r="F50" s="946"/>
      <c r="G50" s="97"/>
      <c r="H50" s="946"/>
    </row>
    <row r="51" spans="1:8" x14ac:dyDescent="0.25">
      <c r="A51" s="215">
        <v>42656</v>
      </c>
      <c r="B51" s="862" t="s">
        <v>1413</v>
      </c>
      <c r="C51" s="350" t="s">
        <v>12</v>
      </c>
      <c r="D51" s="957" t="s">
        <v>13</v>
      </c>
      <c r="E51" s="250">
        <v>9.31</v>
      </c>
      <c r="F51" s="946"/>
      <c r="G51" s="97"/>
      <c r="H51" s="946"/>
    </row>
    <row r="52" spans="1:8" x14ac:dyDescent="0.25">
      <c r="A52" s="215">
        <v>42656</v>
      </c>
      <c r="B52" s="862" t="s">
        <v>14</v>
      </c>
      <c r="C52" s="350" t="s">
        <v>12</v>
      </c>
      <c r="D52" s="957" t="s">
        <v>13</v>
      </c>
      <c r="E52" s="250">
        <v>3.69</v>
      </c>
      <c r="F52" s="946"/>
      <c r="G52" s="97"/>
      <c r="H52" s="946"/>
    </row>
    <row r="53" spans="1:8" x14ac:dyDescent="0.25">
      <c r="A53" s="215">
        <v>42656</v>
      </c>
      <c r="B53" s="862" t="s">
        <v>1161</v>
      </c>
      <c r="C53" s="350" t="s">
        <v>12</v>
      </c>
      <c r="D53" s="957" t="s">
        <v>15</v>
      </c>
      <c r="E53" s="250">
        <v>15</v>
      </c>
      <c r="F53" s="946"/>
      <c r="G53" s="97"/>
      <c r="H53" s="946"/>
    </row>
    <row r="54" spans="1:8" x14ac:dyDescent="0.25">
      <c r="A54" s="215">
        <v>42656</v>
      </c>
      <c r="B54" s="862" t="s">
        <v>138</v>
      </c>
      <c r="C54" s="350" t="s">
        <v>12</v>
      </c>
      <c r="D54" s="957" t="s">
        <v>15</v>
      </c>
      <c r="E54" s="250">
        <v>30</v>
      </c>
      <c r="F54" s="946"/>
      <c r="G54" s="97"/>
      <c r="H54" s="946"/>
    </row>
    <row r="55" spans="1:8" x14ac:dyDescent="0.25">
      <c r="A55" s="215">
        <v>42656</v>
      </c>
      <c r="B55" s="862" t="s">
        <v>1414</v>
      </c>
      <c r="C55" s="350" t="s">
        <v>12</v>
      </c>
      <c r="D55" s="957" t="s">
        <v>15</v>
      </c>
      <c r="E55" s="250">
        <v>10</v>
      </c>
      <c r="F55" s="946"/>
      <c r="G55" s="97"/>
      <c r="H55" s="946"/>
    </row>
    <row r="56" spans="1:8" x14ac:dyDescent="0.25">
      <c r="A56" s="215">
        <v>42657</v>
      </c>
      <c r="B56" s="862" t="s">
        <v>32</v>
      </c>
      <c r="C56" s="350" t="s">
        <v>12</v>
      </c>
      <c r="D56" s="957" t="s">
        <v>13</v>
      </c>
      <c r="E56" s="250">
        <v>13</v>
      </c>
      <c r="F56" s="946"/>
      <c r="G56" s="97"/>
      <c r="H56" s="946"/>
    </row>
    <row r="57" spans="1:8" x14ac:dyDescent="0.25">
      <c r="A57" s="215">
        <v>42657</v>
      </c>
      <c r="B57" s="862" t="s">
        <v>14</v>
      </c>
      <c r="C57" s="350" t="s">
        <v>12</v>
      </c>
      <c r="D57" s="957" t="s">
        <v>13</v>
      </c>
      <c r="E57" s="250">
        <v>4.0599999999999996</v>
      </c>
      <c r="F57" s="946"/>
      <c r="G57" s="97"/>
      <c r="H57" s="946"/>
    </row>
    <row r="58" spans="1:8" x14ac:dyDescent="0.25">
      <c r="A58" s="215">
        <v>42658</v>
      </c>
      <c r="B58" s="349" t="s">
        <v>1396</v>
      </c>
      <c r="C58" s="350" t="s">
        <v>12</v>
      </c>
      <c r="D58" s="141" t="s">
        <v>25</v>
      </c>
      <c r="E58" s="97"/>
      <c r="F58" s="946">
        <v>40</v>
      </c>
      <c r="G58" s="97"/>
      <c r="H58" s="946"/>
    </row>
    <row r="59" spans="1:8" x14ac:dyDescent="0.25">
      <c r="A59" s="215">
        <v>42658</v>
      </c>
      <c r="B59" s="862" t="s">
        <v>134</v>
      </c>
      <c r="C59" s="350" t="s">
        <v>12</v>
      </c>
      <c r="D59" s="957" t="s">
        <v>13</v>
      </c>
      <c r="E59" s="97">
        <v>25.91</v>
      </c>
      <c r="F59" s="946"/>
      <c r="G59" s="97"/>
      <c r="H59" s="946"/>
    </row>
    <row r="60" spans="1:8" x14ac:dyDescent="0.25">
      <c r="A60" s="215">
        <v>42659</v>
      </c>
      <c r="B60" s="862" t="s">
        <v>1415</v>
      </c>
      <c r="C60" s="350" t="s">
        <v>12</v>
      </c>
      <c r="D60" s="141" t="s">
        <v>15</v>
      </c>
      <c r="E60" s="250">
        <v>10</v>
      </c>
      <c r="F60" s="946"/>
      <c r="G60" s="97"/>
      <c r="H60" s="946"/>
    </row>
    <row r="61" spans="1:8" x14ac:dyDescent="0.25">
      <c r="A61" s="215">
        <v>42660</v>
      </c>
      <c r="B61" s="862" t="s">
        <v>32</v>
      </c>
      <c r="C61" s="350" t="s">
        <v>12</v>
      </c>
      <c r="D61" s="957" t="s">
        <v>13</v>
      </c>
      <c r="E61" s="250">
        <v>13</v>
      </c>
      <c r="F61" s="946"/>
      <c r="G61" s="97"/>
      <c r="H61" s="946"/>
    </row>
    <row r="62" spans="1:8" x14ac:dyDescent="0.25">
      <c r="A62" s="215">
        <v>42660</v>
      </c>
      <c r="B62" s="862" t="s">
        <v>1416</v>
      </c>
      <c r="C62" s="350" t="s">
        <v>19</v>
      </c>
      <c r="D62" s="957" t="s">
        <v>13</v>
      </c>
      <c r="E62" s="250">
        <v>27.66</v>
      </c>
      <c r="F62" s="946"/>
      <c r="G62" s="97"/>
      <c r="H62" s="946"/>
    </row>
    <row r="63" spans="1:8" x14ac:dyDescent="0.25">
      <c r="A63" s="215">
        <v>42660</v>
      </c>
      <c r="B63" s="862" t="s">
        <v>138</v>
      </c>
      <c r="C63" s="350" t="s">
        <v>12</v>
      </c>
      <c r="D63" s="957" t="s">
        <v>13</v>
      </c>
      <c r="E63" s="250">
        <v>60</v>
      </c>
      <c r="F63" s="946"/>
      <c r="G63" s="97"/>
      <c r="H63" s="946"/>
    </row>
    <row r="64" spans="1:8" x14ac:dyDescent="0.25">
      <c r="A64" s="215">
        <v>42660</v>
      </c>
      <c r="B64" s="862" t="s">
        <v>14</v>
      </c>
      <c r="C64" s="350" t="s">
        <v>12</v>
      </c>
      <c r="D64" s="957" t="s">
        <v>13</v>
      </c>
      <c r="E64" s="250">
        <v>3.73</v>
      </c>
      <c r="F64" s="946"/>
      <c r="G64" s="97"/>
      <c r="H64" s="946"/>
    </row>
    <row r="65" spans="1:8" s="224" customFormat="1" x14ac:dyDescent="0.25">
      <c r="A65" s="215">
        <v>42661</v>
      </c>
      <c r="B65" s="862" t="s">
        <v>256</v>
      </c>
      <c r="C65" s="879"/>
      <c r="D65" s="1475"/>
      <c r="E65" s="97"/>
      <c r="F65" s="946">
        <v>100</v>
      </c>
      <c r="G65" s="97">
        <v>100</v>
      </c>
      <c r="H65" s="946"/>
    </row>
    <row r="66" spans="1:8" x14ac:dyDescent="0.25">
      <c r="A66" s="215">
        <v>42661</v>
      </c>
      <c r="B66" s="862" t="s">
        <v>32</v>
      </c>
      <c r="C66" s="350" t="s">
        <v>12</v>
      </c>
      <c r="D66" s="957" t="s">
        <v>15</v>
      </c>
      <c r="E66" s="250">
        <v>13</v>
      </c>
      <c r="F66" s="946"/>
      <c r="G66" s="97"/>
      <c r="H66" s="946"/>
    </row>
    <row r="67" spans="1:8" x14ac:dyDescent="0.25">
      <c r="A67" s="215">
        <v>42661</v>
      </c>
      <c r="B67" s="862" t="s">
        <v>14</v>
      </c>
      <c r="C67" s="350" t="s">
        <v>12</v>
      </c>
      <c r="D67" s="957" t="s">
        <v>13</v>
      </c>
      <c r="E67" s="250">
        <v>6.59</v>
      </c>
      <c r="F67" s="946"/>
      <c r="G67" s="97"/>
      <c r="H67" s="946"/>
    </row>
    <row r="68" spans="1:8" s="224" customFormat="1" x14ac:dyDescent="0.25">
      <c r="A68" s="215">
        <v>42662</v>
      </c>
      <c r="B68" s="862" t="s">
        <v>872</v>
      </c>
      <c r="C68" s="879" t="s">
        <v>12</v>
      </c>
      <c r="D68" s="887" t="s">
        <v>25</v>
      </c>
      <c r="E68" s="250"/>
      <c r="F68" s="1473">
        <v>150</v>
      </c>
      <c r="G68" s="252"/>
      <c r="H68" s="1473"/>
    </row>
    <row r="69" spans="1:8" x14ac:dyDescent="0.25">
      <c r="A69" s="215">
        <v>42662</v>
      </c>
      <c r="B69" s="862" t="s">
        <v>32</v>
      </c>
      <c r="C69" s="350" t="s">
        <v>12</v>
      </c>
      <c r="D69" s="957" t="s">
        <v>15</v>
      </c>
      <c r="E69" s="250">
        <v>13</v>
      </c>
      <c r="F69" s="946"/>
      <c r="G69" s="97"/>
      <c r="H69" s="946"/>
    </row>
    <row r="70" spans="1:8" x14ac:dyDescent="0.25">
      <c r="A70" s="215">
        <v>42662</v>
      </c>
      <c r="B70" s="862" t="s">
        <v>14</v>
      </c>
      <c r="C70" s="350" t="s">
        <v>12</v>
      </c>
      <c r="D70" s="957" t="s">
        <v>13</v>
      </c>
      <c r="E70" s="250">
        <v>3.59</v>
      </c>
      <c r="F70" s="946"/>
      <c r="G70" s="97"/>
      <c r="H70" s="946"/>
    </row>
    <row r="71" spans="1:8" s="224" customFormat="1" x14ac:dyDescent="0.25">
      <c r="A71" s="215">
        <v>42663</v>
      </c>
      <c r="B71" s="882" t="s">
        <v>1417</v>
      </c>
      <c r="C71" s="879" t="s">
        <v>12</v>
      </c>
      <c r="D71" s="887" t="s">
        <v>25</v>
      </c>
      <c r="E71" s="97"/>
      <c r="F71" s="946">
        <v>1420</v>
      </c>
      <c r="G71" s="95"/>
      <c r="H71" s="1473"/>
    </row>
    <row r="72" spans="1:8" s="224" customFormat="1" x14ac:dyDescent="0.25">
      <c r="A72" s="215">
        <v>42663</v>
      </c>
      <c r="B72" s="882" t="s">
        <v>1418</v>
      </c>
      <c r="C72" s="879" t="s">
        <v>12</v>
      </c>
      <c r="D72" s="887" t="s">
        <v>13</v>
      </c>
      <c r="E72" s="97">
        <v>568.53</v>
      </c>
      <c r="F72" s="946"/>
      <c r="G72" s="95"/>
      <c r="H72" s="1473"/>
    </row>
    <row r="73" spans="1:8" s="224" customFormat="1" ht="15.75" customHeight="1" x14ac:dyDescent="0.25">
      <c r="A73" s="215">
        <v>42663</v>
      </c>
      <c r="B73" s="882" t="s">
        <v>1419</v>
      </c>
      <c r="C73" s="350" t="s">
        <v>12</v>
      </c>
      <c r="D73" s="141" t="s">
        <v>13</v>
      </c>
      <c r="E73" s="97">
        <v>53</v>
      </c>
      <c r="F73" s="1473"/>
      <c r="G73" s="252"/>
      <c r="H73" s="946"/>
    </row>
    <row r="74" spans="1:8" s="224" customFormat="1" x14ac:dyDescent="0.25">
      <c r="A74" s="215">
        <v>42663</v>
      </c>
      <c r="B74" s="349" t="s">
        <v>260</v>
      </c>
      <c r="C74" s="350"/>
      <c r="D74" s="141"/>
      <c r="E74" s="97">
        <v>248.68</v>
      </c>
      <c r="F74" s="946"/>
      <c r="G74" s="95"/>
      <c r="H74" s="946">
        <v>248.68</v>
      </c>
    </row>
    <row r="75" spans="1:8" s="224" customFormat="1" x14ac:dyDescent="0.25">
      <c r="A75" s="215">
        <v>42663</v>
      </c>
      <c r="B75" s="862" t="s">
        <v>32</v>
      </c>
      <c r="C75" s="350" t="s">
        <v>12</v>
      </c>
      <c r="D75" s="957" t="s">
        <v>15</v>
      </c>
      <c r="E75" s="250">
        <v>13</v>
      </c>
      <c r="F75" s="946"/>
      <c r="G75" s="95"/>
      <c r="H75" s="1473"/>
    </row>
    <row r="76" spans="1:8" s="224" customFormat="1" x14ac:dyDescent="0.25">
      <c r="A76" s="215">
        <v>42663</v>
      </c>
      <c r="B76" s="862" t="s">
        <v>14</v>
      </c>
      <c r="C76" s="350" t="s">
        <v>12</v>
      </c>
      <c r="D76" s="957" t="s">
        <v>13</v>
      </c>
      <c r="E76" s="250">
        <v>7.52</v>
      </c>
      <c r="F76" s="946"/>
      <c r="G76" s="95"/>
      <c r="H76" s="1473"/>
    </row>
    <row r="77" spans="1:8" s="224" customFormat="1" x14ac:dyDescent="0.25">
      <c r="A77" s="215">
        <v>42663</v>
      </c>
      <c r="B77" s="862" t="s">
        <v>1343</v>
      </c>
      <c r="C77" s="350" t="s">
        <v>19</v>
      </c>
      <c r="D77" s="957" t="s">
        <v>15</v>
      </c>
      <c r="E77" s="250">
        <v>33.5</v>
      </c>
      <c r="F77" s="946"/>
      <c r="G77" s="95"/>
      <c r="H77" s="1473"/>
    </row>
    <row r="78" spans="1:8" s="224" customFormat="1" x14ac:dyDescent="0.25">
      <c r="A78" s="215">
        <v>42664</v>
      </c>
      <c r="B78" s="862" t="s">
        <v>32</v>
      </c>
      <c r="C78" s="350" t="s">
        <v>12</v>
      </c>
      <c r="D78" s="957" t="s">
        <v>13</v>
      </c>
      <c r="E78" s="250">
        <v>13</v>
      </c>
      <c r="F78" s="946"/>
      <c r="G78" s="95"/>
      <c r="H78" s="1473"/>
    </row>
    <row r="79" spans="1:8" s="224" customFormat="1" x14ac:dyDescent="0.25">
      <c r="A79" s="215">
        <v>42664</v>
      </c>
      <c r="B79" s="862" t="s">
        <v>138</v>
      </c>
      <c r="C79" s="350" t="s">
        <v>12</v>
      </c>
      <c r="D79" s="957" t="s">
        <v>15</v>
      </c>
      <c r="E79" s="250">
        <v>60</v>
      </c>
      <c r="F79" s="946"/>
      <c r="G79" s="95"/>
      <c r="H79" s="1473"/>
    </row>
    <row r="80" spans="1:8" s="224" customFormat="1" x14ac:dyDescent="0.25">
      <c r="A80" s="215">
        <v>42664</v>
      </c>
      <c r="B80" s="862" t="s">
        <v>1420</v>
      </c>
      <c r="C80" s="350" t="s">
        <v>19</v>
      </c>
      <c r="D80" s="957" t="s">
        <v>13</v>
      </c>
      <c r="E80" s="250">
        <v>30</v>
      </c>
      <c r="F80" s="946"/>
      <c r="G80" s="95"/>
      <c r="H80" s="1473"/>
    </row>
    <row r="81" spans="1:8" s="224" customFormat="1" x14ac:dyDescent="0.25">
      <c r="A81" s="215">
        <v>42664</v>
      </c>
      <c r="B81" s="862" t="s">
        <v>1421</v>
      </c>
      <c r="C81" s="350" t="s">
        <v>19</v>
      </c>
      <c r="D81" s="957" t="s">
        <v>13</v>
      </c>
      <c r="E81" s="250">
        <v>65</v>
      </c>
      <c r="F81" s="946"/>
      <c r="G81" s="95"/>
      <c r="H81" s="1473"/>
    </row>
    <row r="82" spans="1:8" s="224" customFormat="1" x14ac:dyDescent="0.25">
      <c r="A82" s="215">
        <v>42664</v>
      </c>
      <c r="B82" s="862" t="s">
        <v>134</v>
      </c>
      <c r="C82" s="350" t="s">
        <v>19</v>
      </c>
      <c r="D82" s="957" t="s">
        <v>13</v>
      </c>
      <c r="E82" s="250">
        <v>15</v>
      </c>
      <c r="F82" s="946"/>
      <c r="G82" s="95"/>
      <c r="H82" s="1473"/>
    </row>
    <row r="83" spans="1:8" s="224" customFormat="1" x14ac:dyDescent="0.25">
      <c r="A83" s="215">
        <v>42664</v>
      </c>
      <c r="B83" s="862" t="s">
        <v>1284</v>
      </c>
      <c r="C83" s="350" t="s">
        <v>19</v>
      </c>
      <c r="D83" s="957" t="s">
        <v>13</v>
      </c>
      <c r="E83" s="250">
        <v>29.8</v>
      </c>
      <c r="F83" s="946"/>
      <c r="G83" s="95"/>
      <c r="H83" s="1473"/>
    </row>
    <row r="84" spans="1:8" s="224" customFormat="1" x14ac:dyDescent="0.25">
      <c r="A84" s="215">
        <v>42665</v>
      </c>
      <c r="B84" s="862" t="s">
        <v>32</v>
      </c>
      <c r="C84" s="350" t="s">
        <v>12</v>
      </c>
      <c r="D84" s="957" t="s">
        <v>13</v>
      </c>
      <c r="E84" s="250">
        <v>13</v>
      </c>
      <c r="F84" s="946"/>
      <c r="G84" s="95"/>
      <c r="H84" s="1473"/>
    </row>
    <row r="85" spans="1:8" s="224" customFormat="1" x14ac:dyDescent="0.25">
      <c r="A85" s="215">
        <v>42665</v>
      </c>
      <c r="B85" s="882" t="s">
        <v>82</v>
      </c>
      <c r="C85" s="350" t="s">
        <v>12</v>
      </c>
      <c r="D85" s="957" t="s">
        <v>13</v>
      </c>
      <c r="E85" s="97">
        <v>28</v>
      </c>
      <c r="F85" s="946"/>
      <c r="G85" s="95"/>
      <c r="H85" s="1473"/>
    </row>
    <row r="86" spans="1:8" x14ac:dyDescent="0.25">
      <c r="A86" s="215">
        <v>42666</v>
      </c>
      <c r="B86" s="862" t="s">
        <v>17</v>
      </c>
      <c r="C86" s="350" t="s">
        <v>12</v>
      </c>
      <c r="D86" s="957" t="s">
        <v>13</v>
      </c>
      <c r="E86" s="250">
        <v>15</v>
      </c>
      <c r="F86" s="946"/>
      <c r="G86" s="95"/>
      <c r="H86" s="946"/>
    </row>
    <row r="87" spans="1:8" x14ac:dyDescent="0.25">
      <c r="A87" s="215">
        <v>42667</v>
      </c>
      <c r="B87" s="862" t="s">
        <v>1377</v>
      </c>
      <c r="C87" s="350" t="s">
        <v>12</v>
      </c>
      <c r="D87" s="957" t="s">
        <v>13</v>
      </c>
      <c r="E87" s="250">
        <v>58.9</v>
      </c>
      <c r="F87" s="946"/>
      <c r="G87" s="95"/>
      <c r="H87" s="946"/>
    </row>
    <row r="88" spans="1:8" s="224" customFormat="1" x14ac:dyDescent="0.25">
      <c r="A88" s="215">
        <v>42667</v>
      </c>
      <c r="B88" s="862" t="s">
        <v>32</v>
      </c>
      <c r="C88" s="350" t="s">
        <v>12</v>
      </c>
      <c r="D88" s="957" t="s">
        <v>13</v>
      </c>
      <c r="E88" s="250">
        <v>13</v>
      </c>
      <c r="F88" s="946"/>
      <c r="G88" s="95"/>
      <c r="H88" s="1473"/>
    </row>
    <row r="89" spans="1:8" s="224" customFormat="1" x14ac:dyDescent="0.25">
      <c r="A89" s="215">
        <v>42667</v>
      </c>
      <c r="B89" s="862" t="s">
        <v>14</v>
      </c>
      <c r="C89" s="350" t="s">
        <v>12</v>
      </c>
      <c r="D89" s="957" t="s">
        <v>13</v>
      </c>
      <c r="E89" s="250">
        <v>6.63</v>
      </c>
      <c r="F89" s="946"/>
      <c r="G89" s="95"/>
      <c r="H89" s="1473"/>
    </row>
    <row r="90" spans="1:8" s="224" customFormat="1" x14ac:dyDescent="0.25">
      <c r="A90" s="215">
        <v>42668</v>
      </c>
      <c r="B90" s="862" t="s">
        <v>32</v>
      </c>
      <c r="C90" s="350" t="s">
        <v>12</v>
      </c>
      <c r="D90" s="957" t="s">
        <v>13</v>
      </c>
      <c r="E90" s="250">
        <v>13</v>
      </c>
      <c r="F90" s="946"/>
      <c r="G90" s="95"/>
      <c r="H90" s="1473"/>
    </row>
    <row r="91" spans="1:8" s="224" customFormat="1" x14ac:dyDescent="0.25">
      <c r="A91" s="215">
        <v>42668</v>
      </c>
      <c r="B91" s="862" t="s">
        <v>14</v>
      </c>
      <c r="C91" s="350" t="s">
        <v>12</v>
      </c>
      <c r="D91" s="957" t="s">
        <v>13</v>
      </c>
      <c r="E91" s="250">
        <v>6.17</v>
      </c>
      <c r="F91" s="946"/>
      <c r="G91" s="95"/>
      <c r="H91" s="1473"/>
    </row>
    <row r="92" spans="1:8" s="224" customFormat="1" x14ac:dyDescent="0.25">
      <c r="A92" s="215">
        <v>42669</v>
      </c>
      <c r="B92" s="862" t="s">
        <v>32</v>
      </c>
      <c r="C92" s="350" t="s">
        <v>12</v>
      </c>
      <c r="D92" s="957" t="s">
        <v>13</v>
      </c>
      <c r="E92" s="250">
        <v>13</v>
      </c>
      <c r="F92" s="946"/>
      <c r="G92" s="95"/>
      <c r="H92" s="1473"/>
    </row>
    <row r="93" spans="1:8" x14ac:dyDescent="0.25">
      <c r="A93" s="215">
        <v>42669</v>
      </c>
      <c r="B93" s="862" t="s">
        <v>1422</v>
      </c>
      <c r="C93" s="350" t="s">
        <v>12</v>
      </c>
      <c r="D93" s="957" t="s">
        <v>13</v>
      </c>
      <c r="E93" s="250">
        <v>25.45</v>
      </c>
      <c r="F93" s="946"/>
      <c r="G93" s="95"/>
      <c r="H93" s="946"/>
    </row>
    <row r="94" spans="1:8" x14ac:dyDescent="0.25">
      <c r="A94" s="215">
        <v>42669</v>
      </c>
      <c r="B94" s="862" t="s">
        <v>14</v>
      </c>
      <c r="C94" s="350" t="s">
        <v>12</v>
      </c>
      <c r="D94" s="957" t="s">
        <v>13</v>
      </c>
      <c r="E94" s="250">
        <v>4.1900000000000004</v>
      </c>
      <c r="F94" s="946"/>
      <c r="G94" s="95"/>
      <c r="H94" s="946"/>
    </row>
    <row r="95" spans="1:8" x14ac:dyDescent="0.25">
      <c r="A95" s="215">
        <v>42669</v>
      </c>
      <c r="B95" s="862" t="s">
        <v>138</v>
      </c>
      <c r="C95" s="879" t="s">
        <v>12</v>
      </c>
      <c r="D95" s="887" t="s">
        <v>15</v>
      </c>
      <c r="E95" s="250">
        <v>20</v>
      </c>
      <c r="F95" s="946"/>
      <c r="G95" s="95"/>
      <c r="H95" s="946"/>
    </row>
    <row r="96" spans="1:8" s="224" customFormat="1" x14ac:dyDescent="0.25">
      <c r="A96" s="215">
        <v>42670</v>
      </c>
      <c r="B96" s="862" t="s">
        <v>32</v>
      </c>
      <c r="C96" s="350" t="s">
        <v>12</v>
      </c>
      <c r="D96" s="957" t="s">
        <v>13</v>
      </c>
      <c r="E96" s="250">
        <v>13</v>
      </c>
      <c r="F96" s="1473"/>
      <c r="G96" s="252"/>
      <c r="H96" s="946"/>
    </row>
    <row r="97" spans="1:8" s="224" customFormat="1" x14ac:dyDescent="0.25">
      <c r="A97" s="215">
        <v>42670</v>
      </c>
      <c r="B97" s="862" t="s">
        <v>14</v>
      </c>
      <c r="C97" s="350" t="s">
        <v>12</v>
      </c>
      <c r="D97" s="957" t="s">
        <v>13</v>
      </c>
      <c r="E97" s="250">
        <v>11.75</v>
      </c>
      <c r="F97" s="1473"/>
      <c r="G97" s="252"/>
      <c r="H97" s="946"/>
    </row>
    <row r="98" spans="1:8" x14ac:dyDescent="0.25">
      <c r="A98" s="215">
        <v>42671</v>
      </c>
      <c r="B98" s="862" t="s">
        <v>32</v>
      </c>
      <c r="C98" s="350" t="s">
        <v>12</v>
      </c>
      <c r="D98" s="957" t="s">
        <v>13</v>
      </c>
      <c r="E98" s="250">
        <v>13</v>
      </c>
      <c r="F98" s="946"/>
      <c r="G98" s="95"/>
      <c r="H98" s="946"/>
    </row>
    <row r="99" spans="1:8" x14ac:dyDescent="0.25">
      <c r="A99" s="215">
        <v>42671</v>
      </c>
      <c r="B99" s="862" t="s">
        <v>1423</v>
      </c>
      <c r="C99" s="350" t="s">
        <v>12</v>
      </c>
      <c r="D99" s="957" t="s">
        <v>13</v>
      </c>
      <c r="E99" s="250">
        <v>50</v>
      </c>
      <c r="F99" s="946"/>
      <c r="G99" s="95"/>
      <c r="H99" s="946"/>
    </row>
    <row r="100" spans="1:8" x14ac:dyDescent="0.25">
      <c r="A100" s="215">
        <v>42671</v>
      </c>
      <c r="B100" s="862" t="s">
        <v>1410</v>
      </c>
      <c r="C100" s="350" t="s">
        <v>19</v>
      </c>
      <c r="D100" s="957" t="s">
        <v>13</v>
      </c>
      <c r="E100" s="250">
        <v>52.76</v>
      </c>
      <c r="F100" s="946"/>
      <c r="G100" s="95"/>
      <c r="H100" s="946"/>
    </row>
    <row r="101" spans="1:8" x14ac:dyDescent="0.25">
      <c r="A101" s="215">
        <v>42671</v>
      </c>
      <c r="B101" s="862" t="s">
        <v>134</v>
      </c>
      <c r="C101" s="350" t="s">
        <v>19</v>
      </c>
      <c r="D101" s="957" t="s">
        <v>13</v>
      </c>
      <c r="E101" s="250">
        <v>3.6</v>
      </c>
      <c r="F101" s="946"/>
      <c r="G101" s="95"/>
      <c r="H101" s="946"/>
    </row>
    <row r="102" spans="1:8" x14ac:dyDescent="0.25">
      <c r="A102" s="215">
        <v>42671</v>
      </c>
      <c r="B102" s="862" t="s">
        <v>138</v>
      </c>
      <c r="C102" s="350" t="s">
        <v>12</v>
      </c>
      <c r="D102" s="957" t="s">
        <v>15</v>
      </c>
      <c r="E102" s="250">
        <v>50</v>
      </c>
      <c r="F102" s="946"/>
      <c r="G102" s="95"/>
      <c r="H102" s="946"/>
    </row>
    <row r="103" spans="1:8" x14ac:dyDescent="0.25">
      <c r="A103" s="215">
        <v>42672</v>
      </c>
      <c r="B103" s="349" t="s">
        <v>14</v>
      </c>
      <c r="C103" s="350" t="s">
        <v>12</v>
      </c>
      <c r="D103" s="141" t="s">
        <v>13</v>
      </c>
      <c r="E103" s="97">
        <v>5</v>
      </c>
      <c r="F103" s="946"/>
      <c r="G103" s="95"/>
      <c r="H103" s="946"/>
    </row>
    <row r="104" spans="1:8" x14ac:dyDescent="0.25">
      <c r="A104" s="215">
        <v>42672</v>
      </c>
      <c r="B104" s="349" t="s">
        <v>32</v>
      </c>
      <c r="C104" s="350" t="s">
        <v>12</v>
      </c>
      <c r="D104" s="141" t="s">
        <v>13</v>
      </c>
      <c r="E104" s="97">
        <v>13</v>
      </c>
      <c r="F104" s="946"/>
      <c r="G104" s="95"/>
      <c r="H104" s="946"/>
    </row>
    <row r="105" spans="1:8" x14ac:dyDescent="0.25">
      <c r="A105" s="215">
        <v>42672</v>
      </c>
      <c r="B105" s="349" t="s">
        <v>1161</v>
      </c>
      <c r="C105" s="350" t="s">
        <v>12</v>
      </c>
      <c r="D105" s="141" t="s">
        <v>15</v>
      </c>
      <c r="E105" s="97">
        <v>15</v>
      </c>
      <c r="F105" s="946"/>
      <c r="G105" s="95"/>
      <c r="H105" s="946"/>
    </row>
    <row r="106" spans="1:8" x14ac:dyDescent="0.25">
      <c r="A106" s="215">
        <v>42672</v>
      </c>
      <c r="B106" s="349" t="s">
        <v>1424</v>
      </c>
      <c r="C106" s="350" t="s">
        <v>12</v>
      </c>
      <c r="D106" s="141" t="s">
        <v>13</v>
      </c>
      <c r="E106" s="97">
        <v>18</v>
      </c>
      <c r="F106" s="946"/>
      <c r="G106" s="95"/>
      <c r="H106" s="946"/>
    </row>
    <row r="107" spans="1:8" x14ac:dyDescent="0.25">
      <c r="A107" s="215">
        <v>42673</v>
      </c>
      <c r="B107" s="862" t="s">
        <v>14</v>
      </c>
      <c r="C107" s="350" t="s">
        <v>12</v>
      </c>
      <c r="D107" s="141" t="s">
        <v>13</v>
      </c>
      <c r="E107" s="250">
        <v>6.69</v>
      </c>
      <c r="F107" s="946"/>
      <c r="G107" s="95"/>
      <c r="H107" s="946"/>
    </row>
    <row r="108" spans="1:8" x14ac:dyDescent="0.25">
      <c r="A108" s="215">
        <v>42673</v>
      </c>
      <c r="B108" s="862" t="s">
        <v>256</v>
      </c>
      <c r="C108" s="879"/>
      <c r="D108" s="1475"/>
      <c r="E108" s="97"/>
      <c r="F108" s="946">
        <v>150</v>
      </c>
      <c r="G108" s="97">
        <v>150</v>
      </c>
      <c r="H108" s="946"/>
    </row>
    <row r="109" spans="1:8" ht="15.75" thickBot="1" x14ac:dyDescent="0.3">
      <c r="A109" s="215">
        <v>42674</v>
      </c>
      <c r="B109" s="349" t="s">
        <v>1425</v>
      </c>
      <c r="C109" s="350" t="s">
        <v>12</v>
      </c>
      <c r="D109" s="141" t="s">
        <v>13</v>
      </c>
      <c r="E109" s="97">
        <v>41.54</v>
      </c>
      <c r="F109" s="946"/>
      <c r="G109" s="95"/>
      <c r="H109" s="946"/>
    </row>
    <row r="110" spans="1:8" ht="25.5" customHeight="1" thickBot="1" x14ac:dyDescent="0.3">
      <c r="A110" s="3060"/>
      <c r="B110" s="3061"/>
      <c r="C110" s="3062"/>
      <c r="D110" s="3062"/>
      <c r="E110" s="100">
        <f>SUM(E6:E109)</f>
        <v>3759.853000000001</v>
      </c>
      <c r="F110" s="1065">
        <f>SUM(F5:F109)</f>
        <v>3947.9730000000027</v>
      </c>
      <c r="G110" s="101">
        <f>SUM(G6:G109)</f>
        <v>560</v>
      </c>
      <c r="H110" s="93">
        <f>SUM(H5:H109)</f>
        <v>1459.9960000000003</v>
      </c>
    </row>
    <row r="111" spans="1:8" ht="25.5" customHeight="1" thickBot="1" x14ac:dyDescent="0.3">
      <c r="A111" s="3117" t="s">
        <v>49</v>
      </c>
      <c r="B111" s="3118"/>
      <c r="C111" s="3118"/>
      <c r="D111" s="3119"/>
      <c r="E111" s="144"/>
      <c r="F111" s="519">
        <f>F110-E110</f>
        <v>188.12000000000171</v>
      </c>
      <c r="G111" s="555"/>
      <c r="H111" s="556">
        <f>H110-G110</f>
        <v>899.99600000000032</v>
      </c>
    </row>
    <row r="113" spans="1:9" x14ac:dyDescent="0.25">
      <c r="B113" s="79" t="s">
        <v>32</v>
      </c>
      <c r="C113" s="475">
        <v>320.04000000000002</v>
      </c>
    </row>
    <row r="114" spans="1:9" x14ac:dyDescent="0.25">
      <c r="B114" s="79" t="s">
        <v>1218</v>
      </c>
      <c r="C114" s="475">
        <v>330</v>
      </c>
    </row>
    <row r="115" spans="1:9" x14ac:dyDescent="0.25">
      <c r="B115" s="79" t="s">
        <v>50</v>
      </c>
      <c r="C115" s="484">
        <v>270.10000000000002</v>
      </c>
      <c r="D115" s="79"/>
    </row>
    <row r="116" spans="1:9" s="85" customFormat="1" x14ac:dyDescent="0.25">
      <c r="A116" s="79"/>
      <c r="B116" s="79" t="s">
        <v>14</v>
      </c>
      <c r="C116" s="484">
        <v>108.96</v>
      </c>
      <c r="E116" s="89"/>
      <c r="F116" s="79"/>
      <c r="G116" s="79"/>
    </row>
    <row r="117" spans="1:9" s="85" customFormat="1" x14ac:dyDescent="0.25">
      <c r="A117" s="79"/>
      <c r="B117" s="79" t="s">
        <v>51</v>
      </c>
      <c r="C117" s="475">
        <v>53</v>
      </c>
      <c r="E117" s="89"/>
      <c r="F117" s="79"/>
      <c r="G117" s="79"/>
      <c r="H117" s="79"/>
    </row>
    <row r="118" spans="1:9" s="85" customFormat="1" x14ac:dyDescent="0.25">
      <c r="A118" s="79"/>
      <c r="B118" s="79" t="s">
        <v>52</v>
      </c>
      <c r="C118" s="475">
        <v>60</v>
      </c>
      <c r="E118" s="89"/>
      <c r="F118" s="79"/>
      <c r="G118" s="79"/>
      <c r="H118" s="79"/>
    </row>
    <row r="119" spans="1:9" s="85" customFormat="1" x14ac:dyDescent="0.25">
      <c r="A119" s="79"/>
      <c r="B119" s="867" t="s">
        <v>53</v>
      </c>
      <c r="C119" s="475">
        <v>375</v>
      </c>
      <c r="D119" s="89"/>
      <c r="E119" s="89"/>
      <c r="F119" s="79"/>
      <c r="G119" s="79"/>
      <c r="H119" s="79"/>
    </row>
    <row r="120" spans="1:9" s="85" customFormat="1" x14ac:dyDescent="0.25">
      <c r="A120" s="79"/>
      <c r="B120" s="79" t="s">
        <v>1232</v>
      </c>
      <c r="C120" s="475">
        <v>568.53</v>
      </c>
      <c r="E120" s="89"/>
      <c r="F120" s="79"/>
      <c r="G120" s="79"/>
      <c r="H120" s="79"/>
    </row>
    <row r="121" spans="1:9" s="85" customFormat="1" x14ac:dyDescent="0.25">
      <c r="A121" s="79"/>
      <c r="B121" s="79" t="s">
        <v>56</v>
      </c>
      <c r="C121" s="475">
        <v>10</v>
      </c>
      <c r="E121" s="89"/>
      <c r="F121" s="79"/>
      <c r="G121" s="79"/>
      <c r="H121" s="79"/>
    </row>
    <row r="122" spans="1:9" s="85" customFormat="1" x14ac:dyDescent="0.25">
      <c r="A122" s="79"/>
      <c r="B122" s="79" t="s">
        <v>57</v>
      </c>
      <c r="C122" s="475">
        <v>331.13</v>
      </c>
      <c r="E122" s="89"/>
      <c r="F122" s="79"/>
      <c r="G122" s="79"/>
      <c r="H122" s="79"/>
    </row>
    <row r="123" spans="1:9" s="85" customFormat="1" x14ac:dyDescent="0.25">
      <c r="A123" s="79"/>
      <c r="B123" s="79" t="s">
        <v>418</v>
      </c>
      <c r="C123" s="475"/>
      <c r="D123" s="79"/>
      <c r="E123" s="89"/>
      <c r="F123" s="79"/>
      <c r="G123" s="79"/>
      <c r="H123" s="79"/>
    </row>
    <row r="124" spans="1:9" x14ac:dyDescent="0.25">
      <c r="B124" s="79" t="s">
        <v>419</v>
      </c>
      <c r="C124" s="475">
        <v>674.18</v>
      </c>
    </row>
    <row r="125" spans="1:9" x14ac:dyDescent="0.25">
      <c r="B125" s="79" t="s">
        <v>911</v>
      </c>
      <c r="C125" s="475"/>
    </row>
    <row r="126" spans="1:9" x14ac:dyDescent="0.25">
      <c r="E126" s="85"/>
    </row>
    <row r="127" spans="1:9" x14ac:dyDescent="0.25">
      <c r="B127" s="79" t="s">
        <v>486</v>
      </c>
      <c r="C127" s="475">
        <f>G127/I127</f>
        <v>106.35866666666668</v>
      </c>
      <c r="E127" s="224" t="s">
        <v>487</v>
      </c>
      <c r="F127" s="224"/>
      <c r="G127" s="216">
        <v>3190.76</v>
      </c>
      <c r="H127" s="518" t="s">
        <v>488</v>
      </c>
      <c r="I127" s="85">
        <v>30</v>
      </c>
    </row>
    <row r="130" spans="3:9" x14ac:dyDescent="0.25">
      <c r="I130" s="85"/>
    </row>
    <row r="138" spans="3:9" x14ac:dyDescent="0.25">
      <c r="C138" s="79"/>
      <c r="D138" s="79"/>
      <c r="E138" s="79"/>
      <c r="H138" s="216"/>
    </row>
    <row r="139" spans="3:9" x14ac:dyDescent="0.25">
      <c r="C139" s="79"/>
      <c r="D139" s="79"/>
      <c r="E139" s="79"/>
      <c r="H139" s="216"/>
    </row>
    <row r="140" spans="3:9" x14ac:dyDescent="0.25">
      <c r="C140" s="79"/>
      <c r="D140" s="79"/>
      <c r="E140" s="79"/>
      <c r="F140" s="216"/>
      <c r="H140" s="216"/>
    </row>
    <row r="141" spans="3:9" x14ac:dyDescent="0.25">
      <c r="C141" s="79"/>
      <c r="D141" s="79"/>
      <c r="E141" s="79"/>
      <c r="F141" s="216"/>
      <c r="H141" s="216"/>
    </row>
    <row r="142" spans="3:9" x14ac:dyDescent="0.25">
      <c r="C142" s="79"/>
      <c r="D142" s="79"/>
      <c r="E142" s="79"/>
      <c r="F142" s="216"/>
    </row>
    <row r="143" spans="3:9" x14ac:dyDescent="0.25">
      <c r="C143" s="79"/>
      <c r="D143" s="79"/>
      <c r="E143" s="79"/>
      <c r="H143" s="216"/>
    </row>
    <row r="145" spans="3:8" x14ac:dyDescent="0.25">
      <c r="C145" s="79"/>
      <c r="D145" s="79"/>
      <c r="E145" s="79"/>
      <c r="H145" s="629"/>
    </row>
    <row r="151" spans="3:8" x14ac:dyDescent="0.25">
      <c r="C151" s="79"/>
      <c r="D151" s="79"/>
      <c r="E151" s="79"/>
      <c r="H151" s="216"/>
    </row>
    <row r="152" spans="3:8" x14ac:dyDescent="0.25">
      <c r="C152" s="79"/>
      <c r="D152" s="79"/>
      <c r="E152" s="79"/>
      <c r="H152" s="216"/>
    </row>
    <row r="153" spans="3:8" x14ac:dyDescent="0.25">
      <c r="C153" s="79"/>
      <c r="D153" s="79"/>
      <c r="E153" s="79"/>
      <c r="H153" s="216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  <row r="158" spans="3:8" x14ac:dyDescent="0.25">
      <c r="C158" s="79"/>
      <c r="D158" s="79"/>
      <c r="E158" s="79"/>
      <c r="H158" s="216"/>
    </row>
    <row r="159" spans="3:8" x14ac:dyDescent="0.25">
      <c r="C159" s="79"/>
      <c r="D159" s="79"/>
      <c r="E159" s="79"/>
      <c r="H159" s="216"/>
    </row>
  </sheetData>
  <autoFilter ref="A2:H111" xr:uid="{00000000-0009-0000-0000-000034000000}"/>
  <mergeCells count="10">
    <mergeCell ref="A110:D110"/>
    <mergeCell ref="A111:D111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Plan59"/>
  <dimension ref="A1:I162"/>
  <sheetViews>
    <sheetView zoomScale="85" zoomScaleNormal="85" workbookViewId="0">
      <pane ySplit="4" topLeftCell="A86" activePane="bottomLeft" state="frozen"/>
      <selection activeCell="C44" sqref="C44"/>
      <selection pane="bottomLeft" activeCell="B116" sqref="B11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1426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t="15" customHeight="1" x14ac:dyDescent="0.25">
      <c r="A5" s="281">
        <v>42675</v>
      </c>
      <c r="B5" s="369" t="s">
        <v>10</v>
      </c>
      <c r="C5" s="370"/>
      <c r="D5" s="207"/>
      <c r="E5" s="179"/>
      <c r="F5" s="933">
        <f>'Outubro-16'!F111</f>
        <v>188.12000000000171</v>
      </c>
      <c r="G5" s="163"/>
      <c r="H5" s="933">
        <f>'Outubro-16'!H111</f>
        <v>899.99600000000032</v>
      </c>
    </row>
    <row r="6" spans="1:8" s="224" customFormat="1" ht="15" customHeight="1" x14ac:dyDescent="0.25">
      <c r="A6" s="215">
        <v>42675</v>
      </c>
      <c r="B6" s="348" t="s">
        <v>11</v>
      </c>
      <c r="C6" s="351"/>
      <c r="D6" s="248"/>
      <c r="E6" s="250">
        <v>15</v>
      </c>
      <c r="F6" s="1473"/>
      <c r="G6" s="252"/>
      <c r="H6" s="1473"/>
    </row>
    <row r="7" spans="1:8" s="224" customFormat="1" ht="15" customHeight="1" x14ac:dyDescent="0.25">
      <c r="A7" s="215">
        <v>42675</v>
      </c>
      <c r="B7" s="349" t="s">
        <v>32</v>
      </c>
      <c r="C7" s="350" t="s">
        <v>12</v>
      </c>
      <c r="D7" s="141" t="s">
        <v>13</v>
      </c>
      <c r="E7" s="97">
        <v>13</v>
      </c>
      <c r="F7" s="946"/>
      <c r="G7" s="97"/>
      <c r="H7" s="946"/>
    </row>
    <row r="8" spans="1:8" s="224" customFormat="1" ht="15" customHeight="1" x14ac:dyDescent="0.25">
      <c r="A8" s="215">
        <v>42675</v>
      </c>
      <c r="B8" s="862" t="s">
        <v>1331</v>
      </c>
      <c r="C8" s="350" t="s">
        <v>12</v>
      </c>
      <c r="D8" s="141" t="s">
        <v>15</v>
      </c>
      <c r="E8" s="250">
        <v>20</v>
      </c>
      <c r="F8" s="946"/>
      <c r="G8" s="97"/>
      <c r="H8" s="946"/>
    </row>
    <row r="9" spans="1:8" s="224" customFormat="1" ht="15" customHeight="1" x14ac:dyDescent="0.25">
      <c r="A9" s="215">
        <v>42675</v>
      </c>
      <c r="B9" s="862" t="s">
        <v>14</v>
      </c>
      <c r="C9" s="350" t="s">
        <v>12</v>
      </c>
      <c r="D9" s="141" t="s">
        <v>13</v>
      </c>
      <c r="E9" s="250">
        <v>8.9700000000000006</v>
      </c>
      <c r="F9" s="946"/>
      <c r="G9" s="97"/>
      <c r="H9" s="946"/>
    </row>
    <row r="10" spans="1:8" s="224" customFormat="1" ht="15" customHeight="1" x14ac:dyDescent="0.25">
      <c r="A10" s="215">
        <v>42676</v>
      </c>
      <c r="B10" s="862" t="s">
        <v>32</v>
      </c>
      <c r="C10" s="350" t="s">
        <v>12</v>
      </c>
      <c r="D10" s="141" t="s">
        <v>13</v>
      </c>
      <c r="E10" s="97">
        <v>13</v>
      </c>
      <c r="F10" s="946"/>
      <c r="G10" s="97"/>
      <c r="H10" s="1473"/>
    </row>
    <row r="11" spans="1:8" s="224" customFormat="1" ht="15" customHeight="1" x14ac:dyDescent="0.25">
      <c r="A11" s="215">
        <v>42676</v>
      </c>
      <c r="B11" s="862" t="s">
        <v>14</v>
      </c>
      <c r="C11" s="350" t="s">
        <v>12</v>
      </c>
      <c r="D11" s="141" t="s">
        <v>13</v>
      </c>
      <c r="E11" s="97">
        <v>12.9</v>
      </c>
      <c r="F11" s="946"/>
      <c r="G11" s="97"/>
      <c r="H11" s="1473"/>
    </row>
    <row r="12" spans="1:8" s="224" customFormat="1" ht="15" customHeight="1" x14ac:dyDescent="0.25">
      <c r="A12" s="215">
        <v>42676</v>
      </c>
      <c r="B12" s="862" t="s">
        <v>1427</v>
      </c>
      <c r="C12" s="350" t="s">
        <v>12</v>
      </c>
      <c r="D12" s="141" t="s">
        <v>15</v>
      </c>
      <c r="E12" s="97">
        <v>12.6</v>
      </c>
      <c r="F12" s="946"/>
      <c r="G12" s="97"/>
      <c r="H12" s="1473"/>
    </row>
    <row r="13" spans="1:8" s="224" customFormat="1" ht="15" customHeight="1" x14ac:dyDescent="0.25">
      <c r="A13" s="215">
        <v>42677</v>
      </c>
      <c r="B13" s="862" t="s">
        <v>32</v>
      </c>
      <c r="C13" s="350" t="s">
        <v>12</v>
      </c>
      <c r="D13" s="141" t="s">
        <v>13</v>
      </c>
      <c r="E13" s="97">
        <v>13</v>
      </c>
      <c r="F13" s="946"/>
      <c r="G13" s="97"/>
      <c r="H13" s="1473"/>
    </row>
    <row r="14" spans="1:8" s="224" customFormat="1" ht="15" customHeight="1" x14ac:dyDescent="0.25">
      <c r="A14" s="215">
        <v>42677</v>
      </c>
      <c r="B14" s="862" t="s">
        <v>1331</v>
      </c>
      <c r="C14" s="350" t="s">
        <v>12</v>
      </c>
      <c r="D14" s="141" t="s">
        <v>15</v>
      </c>
      <c r="E14" s="250">
        <v>20</v>
      </c>
      <c r="F14" s="946"/>
      <c r="G14" s="97"/>
      <c r="H14" s="946"/>
    </row>
    <row r="15" spans="1:8" s="224" customFormat="1" ht="15.75" customHeight="1" x14ac:dyDescent="0.25">
      <c r="A15" s="215">
        <v>42677</v>
      </c>
      <c r="B15" s="862" t="s">
        <v>1428</v>
      </c>
      <c r="C15" s="350" t="s">
        <v>12</v>
      </c>
      <c r="D15" s="141" t="s">
        <v>13</v>
      </c>
      <c r="E15" s="97">
        <v>9.6999999999999993</v>
      </c>
      <c r="F15" s="946"/>
      <c r="G15" s="97"/>
      <c r="H15" s="1473"/>
    </row>
    <row r="16" spans="1:8" s="224" customFormat="1" ht="15" customHeight="1" x14ac:dyDescent="0.25">
      <c r="A16" s="215">
        <v>42678</v>
      </c>
      <c r="B16" s="862" t="s">
        <v>32</v>
      </c>
      <c r="C16" s="350" t="s">
        <v>12</v>
      </c>
      <c r="D16" s="141" t="s">
        <v>13</v>
      </c>
      <c r="E16" s="97">
        <v>13</v>
      </c>
      <c r="F16" s="946"/>
      <c r="G16" s="97"/>
      <c r="H16" s="1473"/>
    </row>
    <row r="17" spans="1:8" ht="15" customHeight="1" x14ac:dyDescent="0.25">
      <c r="A17" s="215">
        <v>42678</v>
      </c>
      <c r="B17" s="862" t="s">
        <v>256</v>
      </c>
      <c r="C17" s="879"/>
      <c r="D17" s="1475"/>
      <c r="E17" s="97"/>
      <c r="F17" s="946">
        <v>150</v>
      </c>
      <c r="G17" s="97">
        <v>150</v>
      </c>
      <c r="H17" s="946"/>
    </row>
    <row r="18" spans="1:8" s="224" customFormat="1" ht="15" customHeight="1" x14ac:dyDescent="0.25">
      <c r="A18" s="215">
        <v>42678</v>
      </c>
      <c r="B18" s="862" t="s">
        <v>1331</v>
      </c>
      <c r="C18" s="350" t="s">
        <v>12</v>
      </c>
      <c r="D18" s="141" t="s">
        <v>15</v>
      </c>
      <c r="E18" s="97">
        <v>50</v>
      </c>
      <c r="F18" s="946"/>
      <c r="G18" s="97"/>
      <c r="H18" s="1473"/>
    </row>
    <row r="19" spans="1:8" s="224" customFormat="1" ht="15" customHeight="1" x14ac:dyDescent="0.25">
      <c r="A19" s="215">
        <v>42678</v>
      </c>
      <c r="B19" s="862" t="s">
        <v>134</v>
      </c>
      <c r="C19" s="350" t="s">
        <v>19</v>
      </c>
      <c r="D19" s="141" t="s">
        <v>13</v>
      </c>
      <c r="E19" s="97">
        <v>48.68</v>
      </c>
      <c r="F19" s="946"/>
      <c r="G19" s="97"/>
      <c r="H19" s="1473"/>
    </row>
    <row r="20" spans="1:8" s="224" customFormat="1" ht="15" customHeight="1" x14ac:dyDescent="0.25">
      <c r="A20" s="215">
        <v>42678</v>
      </c>
      <c r="B20" s="862" t="s">
        <v>1429</v>
      </c>
      <c r="C20" s="350" t="s">
        <v>19</v>
      </c>
      <c r="D20" s="141" t="s">
        <v>13</v>
      </c>
      <c r="E20" s="97">
        <v>14.9</v>
      </c>
      <c r="F20" s="946"/>
      <c r="G20" s="97"/>
      <c r="H20" s="1473"/>
    </row>
    <row r="21" spans="1:8" s="224" customFormat="1" ht="15" customHeight="1" x14ac:dyDescent="0.25">
      <c r="A21" s="215">
        <v>42678</v>
      </c>
      <c r="B21" s="862" t="s">
        <v>14</v>
      </c>
      <c r="C21" s="350" t="s">
        <v>12</v>
      </c>
      <c r="D21" s="141" t="s">
        <v>13</v>
      </c>
      <c r="E21" s="97">
        <v>3.75</v>
      </c>
      <c r="F21" s="946"/>
      <c r="G21" s="97"/>
      <c r="H21" s="1473"/>
    </row>
    <row r="22" spans="1:8" s="224" customFormat="1" ht="15" customHeight="1" x14ac:dyDescent="0.25">
      <c r="A22" s="215">
        <v>42679</v>
      </c>
      <c r="B22" s="349" t="s">
        <v>311</v>
      </c>
      <c r="C22" s="350"/>
      <c r="D22" s="141"/>
      <c r="E22" s="97"/>
      <c r="F22" s="946"/>
      <c r="G22" s="97"/>
      <c r="H22" s="946">
        <v>3.99</v>
      </c>
    </row>
    <row r="23" spans="1:8" ht="15" customHeight="1" x14ac:dyDescent="0.25">
      <c r="A23" s="215">
        <v>42679</v>
      </c>
      <c r="B23" s="862" t="s">
        <v>256</v>
      </c>
      <c r="C23" s="879"/>
      <c r="D23" s="1475"/>
      <c r="E23" s="97"/>
      <c r="F23" s="946">
        <v>53.99</v>
      </c>
      <c r="G23" s="97">
        <v>53.99</v>
      </c>
      <c r="H23" s="946"/>
    </row>
    <row r="24" spans="1:8" s="224" customFormat="1" ht="15" customHeight="1" x14ac:dyDescent="0.25">
      <c r="A24" s="215">
        <v>42679</v>
      </c>
      <c r="B24" s="862" t="s">
        <v>32</v>
      </c>
      <c r="C24" s="350" t="s">
        <v>12</v>
      </c>
      <c r="D24" s="141" t="s">
        <v>13</v>
      </c>
      <c r="E24" s="250">
        <v>13</v>
      </c>
      <c r="F24" s="946"/>
      <c r="G24" s="97"/>
      <c r="H24" s="1473"/>
    </row>
    <row r="25" spans="1:8" s="224" customFormat="1" ht="15" customHeight="1" x14ac:dyDescent="0.25">
      <c r="A25" s="215">
        <v>42679</v>
      </c>
      <c r="B25" s="862" t="s">
        <v>249</v>
      </c>
      <c r="C25" s="350" t="s">
        <v>12</v>
      </c>
      <c r="D25" s="141" t="s">
        <v>13</v>
      </c>
      <c r="E25" s="250">
        <v>5.99</v>
      </c>
      <c r="F25" s="946"/>
      <c r="G25" s="97"/>
      <c r="H25" s="1473"/>
    </row>
    <row r="26" spans="1:8" s="224" customFormat="1" ht="15" customHeight="1" x14ac:dyDescent="0.25">
      <c r="A26" s="215">
        <v>42679</v>
      </c>
      <c r="B26" s="862" t="s">
        <v>82</v>
      </c>
      <c r="C26" s="350" t="s">
        <v>12</v>
      </c>
      <c r="D26" s="141" t="s">
        <v>13</v>
      </c>
      <c r="E26" s="250">
        <v>25</v>
      </c>
      <c r="F26" s="946"/>
      <c r="G26" s="97"/>
      <c r="H26" s="1473"/>
    </row>
    <row r="27" spans="1:8" s="224" customFormat="1" ht="15" customHeight="1" x14ac:dyDescent="0.25">
      <c r="A27" s="215">
        <v>42680</v>
      </c>
      <c r="B27" s="349" t="s">
        <v>14</v>
      </c>
      <c r="C27" s="350" t="s">
        <v>12</v>
      </c>
      <c r="D27" s="141" t="s">
        <v>13</v>
      </c>
      <c r="E27" s="97">
        <v>5.62</v>
      </c>
      <c r="F27" s="946"/>
      <c r="G27" s="97"/>
      <c r="H27" s="946"/>
    </row>
    <row r="28" spans="1:8" s="224" customFormat="1" ht="15.75" customHeight="1" x14ac:dyDescent="0.25">
      <c r="A28" s="215">
        <v>42681</v>
      </c>
      <c r="B28" s="349" t="s">
        <v>1430</v>
      </c>
      <c r="C28" s="879" t="s">
        <v>12</v>
      </c>
      <c r="D28" s="983" t="s">
        <v>25</v>
      </c>
      <c r="E28" s="250"/>
      <c r="F28" s="1473">
        <v>1648.82</v>
      </c>
      <c r="G28" s="252"/>
      <c r="H28" s="946"/>
    </row>
    <row r="29" spans="1:8" s="224" customFormat="1" ht="15.75" customHeight="1" x14ac:dyDescent="0.25">
      <c r="A29" s="215">
        <v>42681</v>
      </c>
      <c r="B29" s="862" t="s">
        <v>1431</v>
      </c>
      <c r="C29" s="350" t="s">
        <v>12</v>
      </c>
      <c r="D29" s="141" t="s">
        <v>13</v>
      </c>
      <c r="E29" s="97">
        <v>365.92</v>
      </c>
      <c r="F29" s="1473"/>
      <c r="G29" s="252"/>
      <c r="H29" s="946"/>
    </row>
    <row r="30" spans="1:8" s="224" customFormat="1" ht="15" customHeight="1" x14ac:dyDescent="0.25">
      <c r="A30" s="215">
        <v>42681</v>
      </c>
      <c r="B30" s="862" t="s">
        <v>1091</v>
      </c>
      <c r="C30" s="879" t="s">
        <v>12</v>
      </c>
      <c r="D30" s="887" t="s">
        <v>15</v>
      </c>
      <c r="E30" s="250">
        <v>240</v>
      </c>
      <c r="F30" s="946"/>
      <c r="G30" s="97"/>
      <c r="H30" s="1473"/>
    </row>
    <row r="31" spans="1:8" ht="15" customHeight="1" x14ac:dyDescent="0.25">
      <c r="A31" s="215">
        <v>42681</v>
      </c>
      <c r="B31" s="862" t="s">
        <v>52</v>
      </c>
      <c r="C31" s="879" t="s">
        <v>12</v>
      </c>
      <c r="D31" s="1475" t="s">
        <v>13</v>
      </c>
      <c r="E31" s="97">
        <v>60</v>
      </c>
      <c r="F31" s="946"/>
      <c r="G31" s="97"/>
      <c r="H31" s="946"/>
    </row>
    <row r="32" spans="1:8" s="224" customFormat="1" ht="15" customHeight="1" x14ac:dyDescent="0.25">
      <c r="A32" s="215">
        <v>42681</v>
      </c>
      <c r="B32" s="882" t="s">
        <v>1432</v>
      </c>
      <c r="C32" s="879" t="s">
        <v>12</v>
      </c>
      <c r="D32" s="887" t="s">
        <v>13</v>
      </c>
      <c r="E32" s="250">
        <v>45.96</v>
      </c>
      <c r="F32" s="946"/>
      <c r="G32" s="95"/>
      <c r="H32" s="946"/>
    </row>
    <row r="33" spans="1:8" s="224" customFormat="1" ht="15" customHeight="1" x14ac:dyDescent="0.25">
      <c r="A33" s="215">
        <v>42681</v>
      </c>
      <c r="B33" s="349" t="s">
        <v>260</v>
      </c>
      <c r="C33" s="350"/>
      <c r="D33" s="141"/>
      <c r="E33" s="97">
        <v>360</v>
      </c>
      <c r="F33" s="946"/>
      <c r="G33" s="95"/>
      <c r="H33" s="946">
        <v>360</v>
      </c>
    </row>
    <row r="34" spans="1:8" s="224" customFormat="1" ht="15" customHeight="1" x14ac:dyDescent="0.25">
      <c r="A34" s="215">
        <v>42681</v>
      </c>
      <c r="B34" s="349" t="s">
        <v>32</v>
      </c>
      <c r="C34" s="879" t="s">
        <v>12</v>
      </c>
      <c r="D34" s="887" t="s">
        <v>15</v>
      </c>
      <c r="E34" s="97">
        <v>13</v>
      </c>
      <c r="F34" s="946"/>
      <c r="G34" s="97"/>
      <c r="H34" s="946"/>
    </row>
    <row r="35" spans="1:8" s="224" customFormat="1" ht="15" customHeight="1" x14ac:dyDescent="0.25">
      <c r="A35" s="215">
        <v>42681</v>
      </c>
      <c r="B35" s="349" t="s">
        <v>1433</v>
      </c>
      <c r="C35" s="879" t="s">
        <v>12</v>
      </c>
      <c r="D35" s="887" t="s">
        <v>15</v>
      </c>
      <c r="E35" s="97">
        <v>13</v>
      </c>
      <c r="F35" s="946"/>
      <c r="G35" s="97"/>
      <c r="H35" s="946"/>
    </row>
    <row r="36" spans="1:8" ht="15" customHeight="1" x14ac:dyDescent="0.25">
      <c r="A36" s="215">
        <v>42681</v>
      </c>
      <c r="B36" s="349" t="s">
        <v>14</v>
      </c>
      <c r="C36" s="350" t="s">
        <v>12</v>
      </c>
      <c r="D36" s="887" t="s">
        <v>13</v>
      </c>
      <c r="E36" s="97">
        <v>4.7</v>
      </c>
      <c r="F36" s="946"/>
      <c r="G36" s="95"/>
      <c r="H36" s="946"/>
    </row>
    <row r="37" spans="1:8" s="224" customFormat="1" ht="15" customHeight="1" x14ac:dyDescent="0.25">
      <c r="A37" s="215">
        <v>42681</v>
      </c>
      <c r="B37" s="349" t="s">
        <v>1294</v>
      </c>
      <c r="C37" s="879" t="s">
        <v>12</v>
      </c>
      <c r="D37" s="887" t="s">
        <v>13</v>
      </c>
      <c r="E37" s="97">
        <v>80</v>
      </c>
      <c r="F37" s="946"/>
      <c r="G37" s="97"/>
      <c r="H37" s="946"/>
    </row>
    <row r="38" spans="1:8" s="224" customFormat="1" ht="15" customHeight="1" x14ac:dyDescent="0.25">
      <c r="A38" s="215">
        <v>42682</v>
      </c>
      <c r="B38" s="349" t="s">
        <v>32</v>
      </c>
      <c r="C38" s="879" t="s">
        <v>12</v>
      </c>
      <c r="D38" s="887" t="s">
        <v>15</v>
      </c>
      <c r="E38" s="97">
        <v>13</v>
      </c>
      <c r="F38" s="946"/>
      <c r="G38" s="97"/>
      <c r="H38" s="1473"/>
    </row>
    <row r="39" spans="1:8" s="224" customFormat="1" ht="15" customHeight="1" x14ac:dyDescent="0.25">
      <c r="A39" s="215">
        <v>42682</v>
      </c>
      <c r="B39" s="349" t="s">
        <v>134</v>
      </c>
      <c r="C39" s="879" t="s">
        <v>12</v>
      </c>
      <c r="D39" s="887" t="s">
        <v>15</v>
      </c>
      <c r="E39" s="97">
        <v>8</v>
      </c>
      <c r="F39" s="946"/>
      <c r="G39" s="97"/>
      <c r="H39" s="1473"/>
    </row>
    <row r="40" spans="1:8" ht="15" customHeight="1" x14ac:dyDescent="0.25">
      <c r="A40" s="215">
        <v>42683</v>
      </c>
      <c r="B40" s="349" t="s">
        <v>1434</v>
      </c>
      <c r="C40" s="350" t="s">
        <v>12</v>
      </c>
      <c r="D40" s="141" t="s">
        <v>13</v>
      </c>
      <c r="E40" s="97">
        <v>85.12</v>
      </c>
      <c r="F40" s="946"/>
      <c r="G40" s="95"/>
      <c r="H40" s="946"/>
    </row>
    <row r="41" spans="1:8" ht="15" customHeight="1" x14ac:dyDescent="0.25">
      <c r="A41" s="215">
        <v>42683</v>
      </c>
      <c r="B41" s="349" t="s">
        <v>32</v>
      </c>
      <c r="C41" s="879" t="s">
        <v>12</v>
      </c>
      <c r="D41" s="887" t="s">
        <v>15</v>
      </c>
      <c r="E41" s="97">
        <v>13</v>
      </c>
      <c r="F41" s="946"/>
      <c r="G41" s="95"/>
      <c r="H41" s="946"/>
    </row>
    <row r="42" spans="1:8" ht="15" customHeight="1" x14ac:dyDescent="0.25">
      <c r="A42" s="215">
        <v>42683</v>
      </c>
      <c r="B42" s="349" t="s">
        <v>14</v>
      </c>
      <c r="C42" s="350" t="s">
        <v>12</v>
      </c>
      <c r="D42" s="887" t="s">
        <v>15</v>
      </c>
      <c r="E42" s="97">
        <v>14.63</v>
      </c>
      <c r="F42" s="946"/>
      <c r="G42" s="95"/>
      <c r="H42" s="946"/>
    </row>
    <row r="43" spans="1:8" ht="15" customHeight="1" x14ac:dyDescent="0.25">
      <c r="A43" s="215">
        <v>42684</v>
      </c>
      <c r="B43" s="349" t="s">
        <v>32</v>
      </c>
      <c r="C43" s="879" t="s">
        <v>12</v>
      </c>
      <c r="D43" s="887" t="s">
        <v>15</v>
      </c>
      <c r="E43" s="97">
        <v>13</v>
      </c>
      <c r="F43" s="946"/>
      <c r="G43" s="97"/>
      <c r="H43" s="946"/>
    </row>
    <row r="44" spans="1:8" ht="15" customHeight="1" x14ac:dyDescent="0.25">
      <c r="A44" s="215">
        <v>42684</v>
      </c>
      <c r="B44" s="862" t="s">
        <v>14</v>
      </c>
      <c r="C44" s="350" t="s">
        <v>12</v>
      </c>
      <c r="D44" s="141" t="s">
        <v>13</v>
      </c>
      <c r="E44" s="97">
        <v>8.75</v>
      </c>
      <c r="F44" s="946"/>
      <c r="G44" s="97"/>
      <c r="H44" s="946"/>
    </row>
    <row r="45" spans="1:8" ht="15" customHeight="1" x14ac:dyDescent="0.25">
      <c r="A45" s="215">
        <v>42684</v>
      </c>
      <c r="B45" s="349" t="s">
        <v>1331</v>
      </c>
      <c r="C45" s="879" t="s">
        <v>12</v>
      </c>
      <c r="D45" s="887" t="s">
        <v>15</v>
      </c>
      <c r="E45" s="97">
        <v>20</v>
      </c>
      <c r="F45" s="946"/>
      <c r="G45" s="97"/>
      <c r="H45" s="946"/>
    </row>
    <row r="46" spans="1:8" ht="15" customHeight="1" x14ac:dyDescent="0.25">
      <c r="A46" s="215">
        <v>42685</v>
      </c>
      <c r="B46" s="349" t="s">
        <v>32</v>
      </c>
      <c r="C46" s="879" t="s">
        <v>12</v>
      </c>
      <c r="D46" s="887" t="s">
        <v>15</v>
      </c>
      <c r="E46" s="97">
        <v>13</v>
      </c>
      <c r="F46" s="946"/>
      <c r="G46" s="97"/>
      <c r="H46" s="946"/>
    </row>
    <row r="47" spans="1:8" ht="15" customHeight="1" x14ac:dyDescent="0.25">
      <c r="A47" s="215">
        <v>42685</v>
      </c>
      <c r="B47" s="862" t="s">
        <v>1435</v>
      </c>
      <c r="C47" s="879" t="s">
        <v>12</v>
      </c>
      <c r="D47" s="887" t="s">
        <v>13</v>
      </c>
      <c r="E47" s="97">
        <v>160</v>
      </c>
      <c r="F47" s="946"/>
      <c r="G47" s="97"/>
      <c r="H47" s="946"/>
    </row>
    <row r="48" spans="1:8" ht="15" customHeight="1" x14ac:dyDescent="0.25">
      <c r="A48" s="215">
        <v>42685</v>
      </c>
      <c r="B48" s="862" t="s">
        <v>256</v>
      </c>
      <c r="C48" s="879"/>
      <c r="D48" s="1475"/>
      <c r="E48" s="97"/>
      <c r="F48" s="946">
        <v>160</v>
      </c>
      <c r="G48" s="97">
        <v>160</v>
      </c>
      <c r="H48" s="946"/>
    </row>
    <row r="49" spans="1:8" ht="15" customHeight="1" x14ac:dyDescent="0.25">
      <c r="A49" s="215">
        <v>42685</v>
      </c>
      <c r="B49" s="349" t="s">
        <v>138</v>
      </c>
      <c r="C49" s="879" t="s">
        <v>12</v>
      </c>
      <c r="D49" s="887" t="s">
        <v>15</v>
      </c>
      <c r="E49" s="97">
        <v>40</v>
      </c>
      <c r="F49" s="946"/>
      <c r="G49" s="97"/>
      <c r="H49" s="946"/>
    </row>
    <row r="50" spans="1:8" ht="15" customHeight="1" x14ac:dyDescent="0.25">
      <c r="A50" s="215">
        <v>42685</v>
      </c>
      <c r="B50" s="349" t="s">
        <v>1436</v>
      </c>
      <c r="C50" s="879" t="s">
        <v>19</v>
      </c>
      <c r="D50" s="887" t="s">
        <v>13</v>
      </c>
      <c r="E50" s="97">
        <v>20.39</v>
      </c>
      <c r="F50" s="946"/>
      <c r="G50" s="97"/>
      <c r="H50" s="946"/>
    </row>
    <row r="51" spans="1:8" s="224" customFormat="1" ht="15" customHeight="1" x14ac:dyDescent="0.25">
      <c r="A51" s="215">
        <v>42685</v>
      </c>
      <c r="B51" s="349" t="s">
        <v>134</v>
      </c>
      <c r="C51" s="879" t="s">
        <v>12</v>
      </c>
      <c r="D51" s="887" t="s">
        <v>15</v>
      </c>
      <c r="E51" s="97">
        <v>8</v>
      </c>
      <c r="F51" s="946"/>
      <c r="G51" s="97"/>
      <c r="H51" s="1473"/>
    </row>
    <row r="52" spans="1:8" ht="15" customHeight="1" x14ac:dyDescent="0.25">
      <c r="A52" s="215">
        <v>42686</v>
      </c>
      <c r="B52" s="349" t="s">
        <v>32</v>
      </c>
      <c r="C52" s="879" t="s">
        <v>12</v>
      </c>
      <c r="D52" s="887" t="s">
        <v>13</v>
      </c>
      <c r="E52" s="97">
        <v>13</v>
      </c>
      <c r="F52" s="946"/>
      <c r="G52" s="97"/>
      <c r="H52" s="946"/>
    </row>
    <row r="53" spans="1:8" ht="15" customHeight="1" x14ac:dyDescent="0.25">
      <c r="A53" s="215">
        <v>42686</v>
      </c>
      <c r="B53" s="862" t="s">
        <v>14</v>
      </c>
      <c r="C53" s="350" t="s">
        <v>12</v>
      </c>
      <c r="D53" s="141" t="s">
        <v>13</v>
      </c>
      <c r="E53" s="97">
        <v>7.01</v>
      </c>
      <c r="F53" s="946"/>
      <c r="G53" s="97"/>
      <c r="H53" s="946"/>
    </row>
    <row r="54" spans="1:8" ht="15" customHeight="1" x14ac:dyDescent="0.25">
      <c r="A54" s="215">
        <v>42687</v>
      </c>
      <c r="B54" s="862" t="s">
        <v>477</v>
      </c>
      <c r="C54" s="350" t="s">
        <v>12</v>
      </c>
      <c r="D54" s="141" t="s">
        <v>13</v>
      </c>
      <c r="E54" s="97">
        <v>20.75</v>
      </c>
      <c r="F54" s="946"/>
      <c r="G54" s="97"/>
      <c r="H54" s="946"/>
    </row>
    <row r="55" spans="1:8" ht="15" customHeight="1" x14ac:dyDescent="0.25">
      <c r="A55" s="215">
        <v>42687</v>
      </c>
      <c r="B55" s="862" t="s">
        <v>14</v>
      </c>
      <c r="C55" s="350" t="s">
        <v>12</v>
      </c>
      <c r="D55" s="141" t="s">
        <v>13</v>
      </c>
      <c r="E55" s="250">
        <v>3.36</v>
      </c>
      <c r="F55" s="946"/>
      <c r="G55" s="97"/>
      <c r="H55" s="946"/>
    </row>
    <row r="56" spans="1:8" ht="15" customHeight="1" x14ac:dyDescent="0.25">
      <c r="A56" s="215">
        <v>42687</v>
      </c>
      <c r="B56" s="862" t="s">
        <v>14</v>
      </c>
      <c r="C56" s="350" t="s">
        <v>12</v>
      </c>
      <c r="D56" s="141" t="s">
        <v>13</v>
      </c>
      <c r="E56" s="250">
        <v>16.760000000000002</v>
      </c>
      <c r="F56" s="946"/>
      <c r="G56" s="97"/>
      <c r="H56" s="946"/>
    </row>
    <row r="57" spans="1:8" ht="15" customHeight="1" x14ac:dyDescent="0.25">
      <c r="A57" s="215">
        <v>42688</v>
      </c>
      <c r="B57" s="862" t="s">
        <v>14</v>
      </c>
      <c r="C57" s="350" t="s">
        <v>12</v>
      </c>
      <c r="D57" s="141" t="s">
        <v>13</v>
      </c>
      <c r="E57" s="250">
        <v>4.93</v>
      </c>
      <c r="F57" s="946"/>
      <c r="G57" s="97"/>
      <c r="H57" s="946"/>
    </row>
    <row r="58" spans="1:8" ht="15" customHeight="1" x14ac:dyDescent="0.25">
      <c r="A58" s="215">
        <v>42688</v>
      </c>
      <c r="B58" s="862" t="s">
        <v>82</v>
      </c>
      <c r="C58" s="350" t="s">
        <v>19</v>
      </c>
      <c r="D58" s="141" t="s">
        <v>13</v>
      </c>
      <c r="E58" s="250">
        <v>39.840000000000003</v>
      </c>
      <c r="F58" s="946"/>
      <c r="G58" s="97"/>
      <c r="H58" s="946"/>
    </row>
    <row r="59" spans="1:8" ht="15" customHeight="1" x14ac:dyDescent="0.25">
      <c r="A59" s="215">
        <v>42688</v>
      </c>
      <c r="B59" s="349" t="s">
        <v>1396</v>
      </c>
      <c r="C59" s="350" t="s">
        <v>12</v>
      </c>
      <c r="D59" s="141" t="s">
        <v>25</v>
      </c>
      <c r="E59" s="97"/>
      <c r="F59" s="946">
        <v>40</v>
      </c>
      <c r="G59" s="97"/>
      <c r="H59" s="946"/>
    </row>
    <row r="60" spans="1:8" ht="15" customHeight="1" x14ac:dyDescent="0.25">
      <c r="A60" s="215">
        <v>42689</v>
      </c>
      <c r="B60" s="862" t="s">
        <v>14</v>
      </c>
      <c r="C60" s="350" t="s">
        <v>12</v>
      </c>
      <c r="D60" s="141" t="s">
        <v>13</v>
      </c>
      <c r="E60" s="622">
        <v>12.24</v>
      </c>
      <c r="F60" s="946"/>
      <c r="G60" s="97"/>
      <c r="H60" s="946"/>
    </row>
    <row r="61" spans="1:8" ht="15" customHeight="1" x14ac:dyDescent="0.25">
      <c r="A61" s="215">
        <v>42690</v>
      </c>
      <c r="B61" s="349" t="s">
        <v>32</v>
      </c>
      <c r="C61" s="879" t="s">
        <v>12</v>
      </c>
      <c r="D61" s="887" t="s">
        <v>13</v>
      </c>
      <c r="E61" s="97">
        <v>13</v>
      </c>
      <c r="F61" s="946"/>
      <c r="G61" s="97"/>
      <c r="H61" s="946"/>
    </row>
    <row r="62" spans="1:8" ht="15" customHeight="1" x14ac:dyDescent="0.25">
      <c r="A62" s="215">
        <v>42690</v>
      </c>
      <c r="B62" s="349" t="s">
        <v>14</v>
      </c>
      <c r="C62" s="879" t="s">
        <v>12</v>
      </c>
      <c r="D62" s="887" t="s">
        <v>13</v>
      </c>
      <c r="E62" s="97">
        <v>5.83</v>
      </c>
      <c r="F62" s="946"/>
      <c r="G62" s="97"/>
      <c r="H62" s="946"/>
    </row>
    <row r="63" spans="1:8" ht="15" customHeight="1" x14ac:dyDescent="0.25">
      <c r="A63" s="215">
        <v>42690</v>
      </c>
      <c r="B63" s="349" t="s">
        <v>138</v>
      </c>
      <c r="C63" s="879" t="s">
        <v>12</v>
      </c>
      <c r="D63" s="887" t="s">
        <v>15</v>
      </c>
      <c r="E63" s="97">
        <v>20</v>
      </c>
      <c r="F63" s="946"/>
      <c r="G63" s="97"/>
      <c r="H63" s="946"/>
    </row>
    <row r="64" spans="1:8" ht="15" customHeight="1" x14ac:dyDescent="0.25">
      <c r="A64" s="215">
        <v>42690</v>
      </c>
      <c r="B64" s="349" t="s">
        <v>1437</v>
      </c>
      <c r="C64" s="879" t="s">
        <v>12</v>
      </c>
      <c r="D64" s="887" t="s">
        <v>13</v>
      </c>
      <c r="E64" s="97">
        <v>33.44</v>
      </c>
      <c r="F64" s="946"/>
      <c r="G64" s="97"/>
      <c r="H64" s="946"/>
    </row>
    <row r="65" spans="1:8" ht="15" customHeight="1" x14ac:dyDescent="0.25">
      <c r="A65" s="215">
        <v>42691</v>
      </c>
      <c r="B65" s="349" t="s">
        <v>32</v>
      </c>
      <c r="C65" s="879" t="s">
        <v>12</v>
      </c>
      <c r="D65" s="887" t="s">
        <v>13</v>
      </c>
      <c r="E65" s="97">
        <v>13</v>
      </c>
      <c r="F65" s="946"/>
      <c r="G65" s="97"/>
      <c r="H65" s="946"/>
    </row>
    <row r="66" spans="1:8" ht="15" customHeight="1" x14ac:dyDescent="0.25">
      <c r="A66" s="215">
        <v>42691</v>
      </c>
      <c r="B66" s="349" t="s">
        <v>138</v>
      </c>
      <c r="C66" s="879" t="s">
        <v>12</v>
      </c>
      <c r="D66" s="887" t="s">
        <v>13</v>
      </c>
      <c r="E66" s="97">
        <v>50</v>
      </c>
      <c r="F66" s="946"/>
      <c r="G66" s="97"/>
      <c r="H66" s="946"/>
    </row>
    <row r="67" spans="1:8" ht="15" customHeight="1" x14ac:dyDescent="0.25">
      <c r="A67" s="215">
        <v>42691</v>
      </c>
      <c r="B67" s="349" t="s">
        <v>1438</v>
      </c>
      <c r="C67" s="879" t="s">
        <v>19</v>
      </c>
      <c r="D67" s="887" t="s">
        <v>13</v>
      </c>
      <c r="E67" s="97">
        <v>35.229999999999997</v>
      </c>
      <c r="F67" s="946"/>
      <c r="G67" s="97"/>
      <c r="H67" s="946"/>
    </row>
    <row r="68" spans="1:8" ht="15" customHeight="1" x14ac:dyDescent="0.25">
      <c r="A68" s="215">
        <v>42691</v>
      </c>
      <c r="B68" s="349" t="s">
        <v>147</v>
      </c>
      <c r="C68" s="879" t="s">
        <v>12</v>
      </c>
      <c r="D68" s="887" t="s">
        <v>15</v>
      </c>
      <c r="E68" s="97">
        <v>15</v>
      </c>
      <c r="F68" s="946"/>
      <c r="G68" s="97"/>
      <c r="H68" s="946"/>
    </row>
    <row r="69" spans="1:8" s="224" customFormat="1" ht="15" customHeight="1" x14ac:dyDescent="0.25">
      <c r="A69" s="215">
        <v>42692</v>
      </c>
      <c r="B69" s="882" t="s">
        <v>1439</v>
      </c>
      <c r="C69" s="350" t="s">
        <v>12</v>
      </c>
      <c r="D69" s="887" t="s">
        <v>15</v>
      </c>
      <c r="E69" s="97"/>
      <c r="F69" s="946">
        <v>1420</v>
      </c>
      <c r="G69" s="95"/>
      <c r="H69" s="1473"/>
    </row>
    <row r="70" spans="1:8" s="224" customFormat="1" ht="15" customHeight="1" x14ac:dyDescent="0.25">
      <c r="A70" s="215">
        <v>42692</v>
      </c>
      <c r="B70" s="882" t="s">
        <v>1440</v>
      </c>
      <c r="C70" s="879" t="s">
        <v>12</v>
      </c>
      <c r="D70" s="887" t="s">
        <v>13</v>
      </c>
      <c r="E70" s="97">
        <v>568.53</v>
      </c>
      <c r="F70" s="946"/>
      <c r="G70" s="95"/>
      <c r="H70" s="1473"/>
    </row>
    <row r="71" spans="1:8" s="224" customFormat="1" ht="15.75" customHeight="1" x14ac:dyDescent="0.25">
      <c r="A71" s="215">
        <v>42692</v>
      </c>
      <c r="B71" s="882" t="s">
        <v>1419</v>
      </c>
      <c r="C71" s="350" t="s">
        <v>12</v>
      </c>
      <c r="D71" s="141" t="s">
        <v>13</v>
      </c>
      <c r="E71" s="97">
        <v>64.569999999999993</v>
      </c>
      <c r="F71" s="1473"/>
      <c r="G71" s="252"/>
      <c r="H71" s="946"/>
    </row>
    <row r="72" spans="1:8" s="224" customFormat="1" ht="15" customHeight="1" x14ac:dyDescent="0.25">
      <c r="A72" s="215">
        <v>42692</v>
      </c>
      <c r="B72" s="349" t="s">
        <v>32</v>
      </c>
      <c r="C72" s="879" t="s">
        <v>12</v>
      </c>
      <c r="D72" s="887" t="s">
        <v>13</v>
      </c>
      <c r="E72" s="97">
        <v>13</v>
      </c>
      <c r="F72" s="946"/>
      <c r="G72" s="95"/>
      <c r="H72" s="1473"/>
    </row>
    <row r="73" spans="1:8" s="224" customFormat="1" ht="15" customHeight="1" x14ac:dyDescent="0.25">
      <c r="A73" s="215">
        <v>42692</v>
      </c>
      <c r="B73" s="349" t="s">
        <v>14</v>
      </c>
      <c r="C73" s="879" t="s">
        <v>12</v>
      </c>
      <c r="D73" s="887" t="s">
        <v>13</v>
      </c>
      <c r="E73" s="97">
        <v>7.08</v>
      </c>
      <c r="F73" s="946"/>
      <c r="G73" s="95"/>
      <c r="H73" s="1473"/>
    </row>
    <row r="74" spans="1:8" s="224" customFormat="1" ht="15" customHeight="1" x14ac:dyDescent="0.25">
      <c r="A74" s="215">
        <v>42693</v>
      </c>
      <c r="B74" s="349" t="s">
        <v>32</v>
      </c>
      <c r="C74" s="879" t="s">
        <v>12</v>
      </c>
      <c r="D74" s="887" t="s">
        <v>13</v>
      </c>
      <c r="E74" s="97">
        <v>13</v>
      </c>
      <c r="F74" s="946"/>
      <c r="G74" s="95"/>
      <c r="H74" s="1473"/>
    </row>
    <row r="75" spans="1:8" s="224" customFormat="1" ht="15" customHeight="1" x14ac:dyDescent="0.25">
      <c r="A75" s="215">
        <v>42693</v>
      </c>
      <c r="B75" s="349" t="s">
        <v>82</v>
      </c>
      <c r="C75" s="879" t="s">
        <v>12</v>
      </c>
      <c r="D75" s="887" t="s">
        <v>13</v>
      </c>
      <c r="E75" s="97">
        <v>28</v>
      </c>
      <c r="F75" s="946"/>
      <c r="G75" s="95"/>
      <c r="H75" s="1473"/>
    </row>
    <row r="76" spans="1:8" s="224" customFormat="1" ht="15" customHeight="1" x14ac:dyDescent="0.25">
      <c r="A76" s="215">
        <v>42694</v>
      </c>
      <c r="B76" s="882" t="s">
        <v>14</v>
      </c>
      <c r="C76" s="879" t="s">
        <v>12</v>
      </c>
      <c r="D76" s="887" t="s">
        <v>13</v>
      </c>
      <c r="E76" s="97">
        <v>4.0599999999999996</v>
      </c>
      <c r="F76" s="946"/>
      <c r="G76" s="95"/>
      <c r="H76" s="1473"/>
    </row>
    <row r="77" spans="1:8" s="224" customFormat="1" ht="15" customHeight="1" x14ac:dyDescent="0.25">
      <c r="A77" s="215">
        <v>42695</v>
      </c>
      <c r="B77" s="349" t="s">
        <v>32</v>
      </c>
      <c r="C77" s="879" t="s">
        <v>12</v>
      </c>
      <c r="D77" s="887" t="s">
        <v>13</v>
      </c>
      <c r="E77" s="97">
        <v>13</v>
      </c>
      <c r="F77" s="946"/>
      <c r="G77" s="95"/>
      <c r="H77" s="1473"/>
    </row>
    <row r="78" spans="1:8" ht="15" customHeight="1" x14ac:dyDescent="0.25">
      <c r="A78" s="215">
        <v>42695</v>
      </c>
      <c r="B78" s="349" t="s">
        <v>1441</v>
      </c>
      <c r="C78" s="350" t="s">
        <v>12</v>
      </c>
      <c r="D78" s="141" t="s">
        <v>13</v>
      </c>
      <c r="E78" s="97">
        <v>102.15</v>
      </c>
      <c r="F78" s="946"/>
      <c r="G78" s="95"/>
      <c r="H78" s="946"/>
    </row>
    <row r="79" spans="1:8" s="224" customFormat="1" ht="15" customHeight="1" x14ac:dyDescent="0.25">
      <c r="A79" s="215">
        <v>42695</v>
      </c>
      <c r="B79" s="349" t="s">
        <v>1442</v>
      </c>
      <c r="C79" s="350" t="s">
        <v>12</v>
      </c>
      <c r="D79" s="141" t="s">
        <v>13</v>
      </c>
      <c r="E79" s="97">
        <v>75</v>
      </c>
      <c r="F79" s="946"/>
      <c r="G79" s="95"/>
      <c r="H79" s="1473"/>
    </row>
    <row r="80" spans="1:8" ht="15" customHeight="1" x14ac:dyDescent="0.25">
      <c r="A80" s="215">
        <v>42695</v>
      </c>
      <c r="B80" s="349" t="s">
        <v>14</v>
      </c>
      <c r="C80" s="350" t="s">
        <v>12</v>
      </c>
      <c r="D80" s="141" t="s">
        <v>13</v>
      </c>
      <c r="E80" s="97">
        <v>14.11</v>
      </c>
      <c r="F80" s="946"/>
      <c r="G80" s="95"/>
      <c r="H80" s="946"/>
    </row>
    <row r="81" spans="1:8" ht="15" customHeight="1" x14ac:dyDescent="0.25">
      <c r="A81" s="215">
        <v>42695</v>
      </c>
      <c r="B81" s="349" t="s">
        <v>1261</v>
      </c>
      <c r="C81" s="350" t="s">
        <v>12</v>
      </c>
      <c r="D81" s="141" t="s">
        <v>13</v>
      </c>
      <c r="E81" s="97">
        <v>10</v>
      </c>
      <c r="F81" s="946"/>
      <c r="G81" s="95"/>
      <c r="H81" s="946"/>
    </row>
    <row r="82" spans="1:8" ht="15" customHeight="1" x14ac:dyDescent="0.25">
      <c r="A82" s="215">
        <v>42695</v>
      </c>
      <c r="B82" s="349" t="s">
        <v>138</v>
      </c>
      <c r="C82" s="350" t="s">
        <v>12</v>
      </c>
      <c r="D82" s="141" t="s">
        <v>15</v>
      </c>
      <c r="E82" s="97">
        <v>20</v>
      </c>
      <c r="F82" s="946"/>
      <c r="G82" s="95"/>
      <c r="H82" s="946"/>
    </row>
    <row r="83" spans="1:8" s="224" customFormat="1" ht="15" customHeight="1" x14ac:dyDescent="0.25">
      <c r="A83" s="215">
        <v>42695</v>
      </c>
      <c r="B83" s="349" t="s">
        <v>260</v>
      </c>
      <c r="C83" s="350"/>
      <c r="D83" s="141"/>
      <c r="E83" s="97">
        <v>50</v>
      </c>
      <c r="F83" s="946"/>
      <c r="G83" s="95"/>
      <c r="H83" s="946">
        <v>50</v>
      </c>
    </row>
    <row r="84" spans="1:8" s="224" customFormat="1" ht="15" customHeight="1" x14ac:dyDescent="0.25">
      <c r="A84" s="215">
        <v>42696</v>
      </c>
      <c r="B84" s="349" t="s">
        <v>32</v>
      </c>
      <c r="C84" s="879" t="s">
        <v>12</v>
      </c>
      <c r="D84" s="887" t="s">
        <v>13</v>
      </c>
      <c r="E84" s="97">
        <v>13</v>
      </c>
      <c r="F84" s="946"/>
      <c r="G84" s="95"/>
      <c r="H84" s="1473"/>
    </row>
    <row r="85" spans="1:8" s="224" customFormat="1" ht="15" customHeight="1" x14ac:dyDescent="0.25">
      <c r="A85" s="215">
        <v>42696</v>
      </c>
      <c r="B85" s="349" t="s">
        <v>14</v>
      </c>
      <c r="C85" s="879" t="s">
        <v>12</v>
      </c>
      <c r="D85" s="887" t="s">
        <v>13</v>
      </c>
      <c r="E85" s="97">
        <v>11.31</v>
      </c>
      <c r="F85" s="946"/>
      <c r="G85" s="95"/>
      <c r="H85" s="1473"/>
    </row>
    <row r="86" spans="1:8" s="224" customFormat="1" ht="15" customHeight="1" x14ac:dyDescent="0.25">
      <c r="A86" s="215">
        <v>42696</v>
      </c>
      <c r="B86" s="349" t="s">
        <v>249</v>
      </c>
      <c r="C86" s="879" t="s">
        <v>12</v>
      </c>
      <c r="D86" s="887" t="s">
        <v>13</v>
      </c>
      <c r="E86" s="97">
        <v>6</v>
      </c>
      <c r="F86" s="946"/>
      <c r="G86" s="95"/>
      <c r="H86" s="1473"/>
    </row>
    <row r="87" spans="1:8" ht="15" customHeight="1" x14ac:dyDescent="0.25">
      <c r="A87" s="215">
        <v>42697</v>
      </c>
      <c r="B87" s="862" t="s">
        <v>1443</v>
      </c>
      <c r="C87" s="879" t="s">
        <v>12</v>
      </c>
      <c r="D87" s="887" t="s">
        <v>13</v>
      </c>
      <c r="E87" s="250">
        <v>20</v>
      </c>
      <c r="F87" s="946"/>
      <c r="G87" s="95"/>
      <c r="H87" s="946"/>
    </row>
    <row r="88" spans="1:8" s="224" customFormat="1" ht="15" customHeight="1" x14ac:dyDescent="0.25">
      <c r="A88" s="215">
        <v>42697</v>
      </c>
      <c r="B88" s="349" t="s">
        <v>32</v>
      </c>
      <c r="C88" s="879" t="s">
        <v>12</v>
      </c>
      <c r="D88" s="887" t="s">
        <v>13</v>
      </c>
      <c r="E88" s="97">
        <v>13</v>
      </c>
      <c r="F88" s="946"/>
      <c r="G88" s="95"/>
      <c r="H88" s="1473"/>
    </row>
    <row r="89" spans="1:8" ht="15" customHeight="1" x14ac:dyDescent="0.25">
      <c r="A89" s="215">
        <v>42697</v>
      </c>
      <c r="B89" s="349" t="s">
        <v>14</v>
      </c>
      <c r="C89" s="879" t="s">
        <v>12</v>
      </c>
      <c r="D89" s="887" t="s">
        <v>13</v>
      </c>
      <c r="E89" s="97">
        <v>6.21</v>
      </c>
      <c r="F89" s="946"/>
      <c r="G89" s="95"/>
      <c r="H89" s="946"/>
    </row>
    <row r="90" spans="1:8" ht="15" customHeight="1" x14ac:dyDescent="0.25">
      <c r="A90" s="215">
        <v>42697</v>
      </c>
      <c r="B90" s="349" t="s">
        <v>138</v>
      </c>
      <c r="C90" s="879" t="s">
        <v>12</v>
      </c>
      <c r="D90" s="887" t="s">
        <v>15</v>
      </c>
      <c r="E90" s="97">
        <v>20</v>
      </c>
      <c r="F90" s="946"/>
      <c r="G90" s="95"/>
      <c r="H90" s="946"/>
    </row>
    <row r="91" spans="1:8" ht="15" customHeight="1" x14ac:dyDescent="0.25">
      <c r="A91" s="215">
        <v>42698</v>
      </c>
      <c r="B91" s="862" t="s">
        <v>1377</v>
      </c>
      <c r="C91" s="350" t="s">
        <v>12</v>
      </c>
      <c r="D91" s="957" t="s">
        <v>13</v>
      </c>
      <c r="E91" s="250">
        <v>58.9</v>
      </c>
      <c r="F91" s="946"/>
      <c r="G91" s="95"/>
      <c r="H91" s="946"/>
    </row>
    <row r="92" spans="1:8" ht="15" customHeight="1" x14ac:dyDescent="0.25">
      <c r="A92" s="215">
        <v>42698</v>
      </c>
      <c r="B92" s="349" t="s">
        <v>32</v>
      </c>
      <c r="C92" s="879" t="s">
        <v>12</v>
      </c>
      <c r="D92" s="887" t="s">
        <v>13</v>
      </c>
      <c r="E92" s="97">
        <v>13</v>
      </c>
      <c r="F92" s="946"/>
      <c r="G92" s="95"/>
      <c r="H92" s="946"/>
    </row>
    <row r="93" spans="1:8" ht="15" customHeight="1" x14ac:dyDescent="0.25">
      <c r="A93" s="215">
        <v>42698</v>
      </c>
      <c r="B93" s="349" t="s">
        <v>1444</v>
      </c>
      <c r="C93" s="879" t="s">
        <v>12</v>
      </c>
      <c r="D93" s="887" t="s">
        <v>15</v>
      </c>
      <c r="E93" s="97">
        <v>7</v>
      </c>
      <c r="F93" s="946"/>
      <c r="G93" s="95"/>
      <c r="H93" s="946"/>
    </row>
    <row r="94" spans="1:8" ht="15" customHeight="1" x14ac:dyDescent="0.25">
      <c r="A94" s="215">
        <v>42699</v>
      </c>
      <c r="B94" s="349" t="s">
        <v>32</v>
      </c>
      <c r="C94" s="879" t="s">
        <v>12</v>
      </c>
      <c r="D94" s="887" t="s">
        <v>13</v>
      </c>
      <c r="E94" s="97">
        <v>13</v>
      </c>
      <c r="F94" s="946"/>
      <c r="G94" s="95"/>
      <c r="H94" s="946"/>
    </row>
    <row r="95" spans="1:8" ht="15" customHeight="1" x14ac:dyDescent="0.25">
      <c r="A95" s="215">
        <v>42699</v>
      </c>
      <c r="B95" s="862" t="s">
        <v>1445</v>
      </c>
      <c r="C95" s="879" t="s">
        <v>19</v>
      </c>
      <c r="D95" s="887" t="s">
        <v>13</v>
      </c>
      <c r="E95" s="250">
        <v>69.900000000000006</v>
      </c>
      <c r="F95" s="946"/>
      <c r="G95" s="95"/>
      <c r="H95" s="946"/>
    </row>
    <row r="96" spans="1:8" ht="15" customHeight="1" x14ac:dyDescent="0.25">
      <c r="A96" s="215">
        <v>42699</v>
      </c>
      <c r="B96" s="862" t="s">
        <v>1446</v>
      </c>
      <c r="C96" s="350" t="s">
        <v>19</v>
      </c>
      <c r="D96" s="957" t="s">
        <v>13</v>
      </c>
      <c r="E96" s="250">
        <v>53.4</v>
      </c>
      <c r="F96" s="946"/>
      <c r="G96" s="95"/>
      <c r="H96" s="946"/>
    </row>
    <row r="97" spans="1:8" ht="15" customHeight="1" x14ac:dyDescent="0.25">
      <c r="A97" s="215">
        <v>42699</v>
      </c>
      <c r="B97" s="862" t="s">
        <v>1331</v>
      </c>
      <c r="C97" s="350" t="s">
        <v>12</v>
      </c>
      <c r="D97" s="957" t="s">
        <v>13</v>
      </c>
      <c r="E97" s="250">
        <v>60</v>
      </c>
      <c r="F97" s="946"/>
      <c r="G97" s="95"/>
      <c r="H97" s="946"/>
    </row>
    <row r="98" spans="1:8" ht="15" customHeight="1" x14ac:dyDescent="0.25">
      <c r="A98" s="215">
        <v>42700</v>
      </c>
      <c r="B98" s="862" t="s">
        <v>14</v>
      </c>
      <c r="C98" s="350" t="s">
        <v>12</v>
      </c>
      <c r="D98" s="957" t="s">
        <v>13</v>
      </c>
      <c r="E98" s="250">
        <v>31.55</v>
      </c>
      <c r="F98" s="946"/>
      <c r="G98" s="95"/>
      <c r="H98" s="946"/>
    </row>
    <row r="99" spans="1:8" ht="15" customHeight="1" x14ac:dyDescent="0.25">
      <c r="A99" s="215">
        <v>42700</v>
      </c>
      <c r="B99" s="349" t="s">
        <v>32</v>
      </c>
      <c r="C99" s="879" t="s">
        <v>12</v>
      </c>
      <c r="D99" s="887" t="s">
        <v>13</v>
      </c>
      <c r="E99" s="250">
        <v>13</v>
      </c>
      <c r="F99" s="946"/>
      <c r="G99" s="95"/>
      <c r="H99" s="946"/>
    </row>
    <row r="100" spans="1:8" s="224" customFormat="1" ht="15" customHeight="1" x14ac:dyDescent="0.25">
      <c r="A100" s="215">
        <v>42701</v>
      </c>
      <c r="B100" s="862" t="s">
        <v>14</v>
      </c>
      <c r="C100" s="879" t="s">
        <v>12</v>
      </c>
      <c r="D100" s="887" t="s">
        <v>13</v>
      </c>
      <c r="E100" s="97">
        <v>6.61</v>
      </c>
      <c r="F100" s="1473"/>
      <c r="G100" s="252"/>
      <c r="H100" s="946"/>
    </row>
    <row r="101" spans="1:8" s="224" customFormat="1" ht="15" customHeight="1" x14ac:dyDescent="0.25">
      <c r="A101" s="215">
        <v>42701</v>
      </c>
      <c r="B101" s="862" t="s">
        <v>1294</v>
      </c>
      <c r="C101" s="879" t="s">
        <v>12</v>
      </c>
      <c r="D101" s="887" t="s">
        <v>13</v>
      </c>
      <c r="E101" s="97">
        <v>81.98</v>
      </c>
      <c r="F101" s="1473"/>
      <c r="G101" s="252"/>
      <c r="H101" s="946"/>
    </row>
    <row r="102" spans="1:8" ht="15" customHeight="1" x14ac:dyDescent="0.25">
      <c r="A102" s="215">
        <v>42701</v>
      </c>
      <c r="B102" s="862" t="s">
        <v>256</v>
      </c>
      <c r="C102" s="879"/>
      <c r="D102" s="1475"/>
      <c r="E102" s="97"/>
      <c r="F102" s="946">
        <v>300</v>
      </c>
      <c r="G102" s="97">
        <v>300</v>
      </c>
      <c r="H102" s="946"/>
    </row>
    <row r="103" spans="1:8" ht="15" customHeight="1" x14ac:dyDescent="0.25">
      <c r="A103" s="215">
        <v>42702</v>
      </c>
      <c r="B103" s="349" t="s">
        <v>32</v>
      </c>
      <c r="C103" s="879" t="s">
        <v>12</v>
      </c>
      <c r="D103" s="887" t="s">
        <v>13</v>
      </c>
      <c r="E103" s="250">
        <v>13</v>
      </c>
      <c r="F103" s="946"/>
      <c r="G103" s="95"/>
      <c r="H103" s="946"/>
    </row>
    <row r="104" spans="1:8" ht="15" customHeight="1" x14ac:dyDescent="0.25">
      <c r="A104" s="215">
        <v>42702</v>
      </c>
      <c r="B104" s="349" t="s">
        <v>1447</v>
      </c>
      <c r="C104" s="879" t="s">
        <v>12</v>
      </c>
      <c r="D104" s="887" t="s">
        <v>13</v>
      </c>
      <c r="E104" s="250">
        <v>129.75</v>
      </c>
      <c r="F104" s="946"/>
      <c r="G104" s="95"/>
      <c r="H104" s="946"/>
    </row>
    <row r="105" spans="1:8" ht="15" customHeight="1" x14ac:dyDescent="0.25">
      <c r="A105" s="215">
        <v>42702</v>
      </c>
      <c r="B105" s="349" t="s">
        <v>14</v>
      </c>
      <c r="C105" s="879" t="s">
        <v>12</v>
      </c>
      <c r="D105" s="887" t="s">
        <v>13</v>
      </c>
      <c r="E105" s="250">
        <v>2.85</v>
      </c>
      <c r="F105" s="946"/>
      <c r="G105" s="95"/>
      <c r="H105" s="946"/>
    </row>
    <row r="106" spans="1:8" ht="15" customHeight="1" x14ac:dyDescent="0.25">
      <c r="A106" s="215">
        <v>42703</v>
      </c>
      <c r="B106" s="349" t="s">
        <v>1241</v>
      </c>
      <c r="C106" s="879" t="s">
        <v>12</v>
      </c>
      <c r="D106" s="887" t="s">
        <v>13</v>
      </c>
      <c r="E106" s="97">
        <v>25</v>
      </c>
      <c r="F106" s="946"/>
      <c r="G106" s="95"/>
      <c r="H106" s="946"/>
    </row>
    <row r="107" spans="1:8" ht="15" customHeight="1" x14ac:dyDescent="0.25">
      <c r="A107" s="215">
        <v>42703</v>
      </c>
      <c r="B107" s="349" t="s">
        <v>32</v>
      </c>
      <c r="C107" s="350" t="s">
        <v>12</v>
      </c>
      <c r="D107" s="141" t="s">
        <v>13</v>
      </c>
      <c r="E107" s="97">
        <v>13</v>
      </c>
      <c r="F107" s="946"/>
      <c r="G107" s="95"/>
      <c r="H107" s="946"/>
    </row>
    <row r="108" spans="1:8" ht="15" customHeight="1" x14ac:dyDescent="0.25">
      <c r="A108" s="215">
        <v>42703</v>
      </c>
      <c r="B108" s="349" t="s">
        <v>1448</v>
      </c>
      <c r="C108" s="879" t="s">
        <v>12</v>
      </c>
      <c r="D108" s="887" t="s">
        <v>13</v>
      </c>
      <c r="E108" s="97">
        <v>23.64</v>
      </c>
      <c r="F108" s="946"/>
      <c r="G108" s="95"/>
      <c r="H108" s="946"/>
    </row>
    <row r="109" spans="1:8" ht="15" customHeight="1" x14ac:dyDescent="0.25">
      <c r="A109" s="215">
        <v>42703</v>
      </c>
      <c r="B109" s="349" t="s">
        <v>1437</v>
      </c>
      <c r="C109" s="350" t="s">
        <v>12</v>
      </c>
      <c r="D109" s="141" t="s">
        <v>13</v>
      </c>
      <c r="E109" s="97">
        <v>33.44</v>
      </c>
      <c r="F109" s="946"/>
      <c r="G109" s="95"/>
      <c r="H109" s="946"/>
    </row>
    <row r="110" spans="1:8" ht="15" customHeight="1" x14ac:dyDescent="0.25">
      <c r="A110" s="215">
        <v>42704</v>
      </c>
      <c r="B110" s="349" t="s">
        <v>308</v>
      </c>
      <c r="C110" s="350" t="s">
        <v>12</v>
      </c>
      <c r="D110" s="141" t="s">
        <v>25</v>
      </c>
      <c r="E110" s="97"/>
      <c r="F110" s="946">
        <v>1775</v>
      </c>
      <c r="G110" s="95"/>
      <c r="H110" s="946"/>
    </row>
    <row r="111" spans="1:8" s="224" customFormat="1" ht="15" customHeight="1" x14ac:dyDescent="0.25">
      <c r="A111" s="215">
        <v>42704</v>
      </c>
      <c r="B111" s="349" t="s">
        <v>260</v>
      </c>
      <c r="C111" s="350"/>
      <c r="D111" s="141"/>
      <c r="E111" s="97">
        <v>1000</v>
      </c>
      <c r="F111" s="946"/>
      <c r="G111" s="95"/>
      <c r="H111" s="946">
        <v>1000</v>
      </c>
    </row>
    <row r="112" spans="1:8" ht="15" customHeight="1" thickBot="1" x14ac:dyDescent="0.3">
      <c r="A112" s="215">
        <v>42704</v>
      </c>
      <c r="B112" s="349" t="s">
        <v>32</v>
      </c>
      <c r="C112" s="879" t="s">
        <v>12</v>
      </c>
      <c r="D112" s="887" t="s">
        <v>13</v>
      </c>
      <c r="E112" s="250">
        <v>13</v>
      </c>
      <c r="F112" s="946"/>
      <c r="G112" s="95"/>
      <c r="H112" s="946"/>
    </row>
    <row r="113" spans="1:8" ht="25.5" customHeight="1" thickBot="1" x14ac:dyDescent="0.3">
      <c r="A113" s="3060"/>
      <c r="B113" s="3061"/>
      <c r="C113" s="3062"/>
      <c r="D113" s="3062"/>
      <c r="E113" s="100">
        <f>SUM(E6:E112)</f>
        <v>4955.01</v>
      </c>
      <c r="F113" s="1065">
        <f>SUM(F5:F112)</f>
        <v>5735.9300000000021</v>
      </c>
      <c r="G113" s="101">
        <f>SUM(G6:G112)</f>
        <v>663.99</v>
      </c>
      <c r="H113" s="93">
        <f>SUM(H5:H112)</f>
        <v>2313.9860000000003</v>
      </c>
    </row>
    <row r="114" spans="1:8" ht="25.5" customHeight="1" thickBot="1" x14ac:dyDescent="0.3">
      <c r="A114" s="3117" t="s">
        <v>49</v>
      </c>
      <c r="B114" s="3118"/>
      <c r="C114" s="3118"/>
      <c r="D114" s="3119"/>
      <c r="E114" s="144"/>
      <c r="F114" s="519">
        <f>F113-E113</f>
        <v>780.92000000000189</v>
      </c>
      <c r="G114" s="555"/>
      <c r="H114" s="556">
        <f>H113-G113</f>
        <v>1649.9960000000003</v>
      </c>
    </row>
    <row r="115" spans="1:8" x14ac:dyDescent="0.25">
      <c r="F115" s="89"/>
    </row>
    <row r="116" spans="1:8" x14ac:dyDescent="0.25">
      <c r="B116" s="79" t="s">
        <v>32</v>
      </c>
      <c r="C116" s="475">
        <v>312</v>
      </c>
    </row>
    <row r="117" spans="1:8" x14ac:dyDescent="0.25">
      <c r="B117" s="79" t="s">
        <v>1218</v>
      </c>
      <c r="C117" s="475">
        <v>320</v>
      </c>
      <c r="D117" s="79"/>
    </row>
    <row r="118" spans="1:8" x14ac:dyDescent="0.25">
      <c r="B118" s="79" t="s">
        <v>50</v>
      </c>
      <c r="C118" s="484">
        <v>189.9</v>
      </c>
    </row>
    <row r="119" spans="1:8" s="85" customFormat="1" x14ac:dyDescent="0.25">
      <c r="A119" s="79"/>
      <c r="B119" s="79" t="s">
        <v>14</v>
      </c>
      <c r="C119" s="484">
        <v>193.23</v>
      </c>
      <c r="E119" s="89"/>
      <c r="F119" s="79"/>
      <c r="G119" s="79"/>
    </row>
    <row r="120" spans="1:8" s="85" customFormat="1" x14ac:dyDescent="0.25">
      <c r="A120" s="79"/>
      <c r="B120" s="79" t="s">
        <v>51</v>
      </c>
      <c r="C120" s="475">
        <v>110.53</v>
      </c>
      <c r="E120" s="89"/>
      <c r="F120" s="79"/>
      <c r="G120" s="79"/>
      <c r="H120" s="79"/>
    </row>
    <row r="121" spans="1:8" s="85" customFormat="1" x14ac:dyDescent="0.25">
      <c r="A121" s="79"/>
      <c r="B121" s="79" t="s">
        <v>52</v>
      </c>
      <c r="C121" s="475">
        <v>60</v>
      </c>
      <c r="E121" s="89"/>
      <c r="F121" s="79"/>
      <c r="G121" s="79"/>
      <c r="H121" s="79"/>
    </row>
    <row r="122" spans="1:8" s="85" customFormat="1" x14ac:dyDescent="0.25">
      <c r="A122" s="79"/>
      <c r="B122" s="867" t="s">
        <v>53</v>
      </c>
      <c r="C122" s="475">
        <v>802.02</v>
      </c>
      <c r="D122" s="89"/>
      <c r="E122" s="89"/>
      <c r="F122" s="79"/>
      <c r="G122" s="79"/>
      <c r="H122" s="79"/>
    </row>
    <row r="123" spans="1:8" s="85" customFormat="1" x14ac:dyDescent="0.25">
      <c r="A123" s="79"/>
      <c r="B123" s="79" t="s">
        <v>1232</v>
      </c>
      <c r="C123" s="475">
        <v>568.53</v>
      </c>
      <c r="E123" s="89"/>
      <c r="F123" s="79"/>
      <c r="G123" s="79"/>
      <c r="H123" s="79"/>
    </row>
    <row r="124" spans="1:8" s="85" customFormat="1" x14ac:dyDescent="0.25">
      <c r="A124" s="79"/>
      <c r="B124" s="79" t="s">
        <v>56</v>
      </c>
      <c r="C124" s="475">
        <v>12.6</v>
      </c>
      <c r="E124" s="89"/>
      <c r="F124" s="79"/>
      <c r="G124" s="79"/>
      <c r="H124" s="79"/>
    </row>
    <row r="125" spans="1:8" s="85" customFormat="1" x14ac:dyDescent="0.25">
      <c r="A125" s="79"/>
      <c r="B125" s="79" t="s">
        <v>57</v>
      </c>
      <c r="C125" s="475">
        <v>155.91999999999999</v>
      </c>
      <c r="E125" s="89"/>
      <c r="F125" s="79"/>
      <c r="G125" s="79"/>
      <c r="H125" s="79"/>
    </row>
    <row r="126" spans="1:8" s="85" customFormat="1" x14ac:dyDescent="0.25">
      <c r="A126" s="79"/>
      <c r="B126" s="79" t="s">
        <v>418</v>
      </c>
      <c r="C126" s="475"/>
      <c r="D126" s="79"/>
      <c r="E126" s="89"/>
    </row>
    <row r="127" spans="1:8" x14ac:dyDescent="0.25">
      <c r="B127" s="79" t="s">
        <v>419</v>
      </c>
      <c r="C127" s="475">
        <v>580.5</v>
      </c>
    </row>
    <row r="128" spans="1:8" x14ac:dyDescent="0.25">
      <c r="B128" s="79" t="s">
        <v>911</v>
      </c>
      <c r="C128" s="475">
        <v>82.9</v>
      </c>
    </row>
    <row r="130" spans="2:9" x14ac:dyDescent="0.25">
      <c r="B130" s="79" t="s">
        <v>486</v>
      </c>
      <c r="C130" s="475">
        <f>G130/I130</f>
        <v>117.667</v>
      </c>
      <c r="E130" s="224" t="s">
        <v>487</v>
      </c>
      <c r="F130" s="224"/>
      <c r="G130" s="216">
        <v>3530.01</v>
      </c>
      <c r="H130" s="518" t="s">
        <v>488</v>
      </c>
      <c r="I130" s="85">
        <v>30</v>
      </c>
    </row>
    <row r="133" spans="2:9" x14ac:dyDescent="0.25">
      <c r="I133" s="85"/>
    </row>
    <row r="141" spans="2:9" x14ac:dyDescent="0.25">
      <c r="C141" s="79"/>
      <c r="D141" s="79"/>
      <c r="E141" s="79"/>
      <c r="H141" s="216"/>
    </row>
    <row r="142" spans="2:9" x14ac:dyDescent="0.25">
      <c r="C142" s="79"/>
      <c r="D142" s="79"/>
      <c r="E142" s="79"/>
      <c r="H142" s="216"/>
    </row>
    <row r="143" spans="2:9" x14ac:dyDescent="0.25">
      <c r="C143" s="79"/>
      <c r="D143" s="79"/>
      <c r="E143" s="79"/>
      <c r="F143" s="216"/>
      <c r="H143" s="216"/>
    </row>
    <row r="144" spans="2:9" x14ac:dyDescent="0.25">
      <c r="C144" s="79"/>
      <c r="D144" s="79"/>
      <c r="E144" s="79"/>
      <c r="F144" s="216"/>
      <c r="H144" s="216"/>
    </row>
    <row r="145" spans="3:8" x14ac:dyDescent="0.25">
      <c r="C145" s="79"/>
      <c r="D145" s="79"/>
      <c r="E145" s="79"/>
      <c r="F145" s="216"/>
    </row>
    <row r="146" spans="3:8" x14ac:dyDescent="0.25">
      <c r="C146" s="79"/>
      <c r="D146" s="79"/>
      <c r="E146" s="79"/>
      <c r="H146" s="216"/>
    </row>
    <row r="148" spans="3:8" x14ac:dyDescent="0.25">
      <c r="C148" s="79"/>
      <c r="D148" s="79"/>
      <c r="E148" s="79"/>
      <c r="H148" s="629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  <row r="158" spans="3:8" x14ac:dyDescent="0.25">
      <c r="C158" s="79"/>
      <c r="D158" s="79"/>
      <c r="E158" s="79"/>
      <c r="H158" s="216"/>
    </row>
    <row r="159" spans="3:8" x14ac:dyDescent="0.25">
      <c r="C159" s="79"/>
      <c r="D159" s="79"/>
      <c r="E159" s="79"/>
      <c r="H159" s="216"/>
    </row>
    <row r="160" spans="3:8" x14ac:dyDescent="0.25">
      <c r="C160" s="79"/>
      <c r="D160" s="79"/>
      <c r="E160" s="79"/>
      <c r="H160" s="216"/>
    </row>
    <row r="161" spans="3:8" x14ac:dyDescent="0.25">
      <c r="C161" s="79"/>
      <c r="D161" s="79"/>
      <c r="E161" s="79"/>
      <c r="H161" s="216"/>
    </row>
    <row r="162" spans="3:8" x14ac:dyDescent="0.25">
      <c r="C162" s="79"/>
      <c r="D162" s="79"/>
      <c r="E162" s="79"/>
      <c r="H162" s="216"/>
    </row>
  </sheetData>
  <autoFilter ref="A2:H114" xr:uid="{00000000-0009-0000-0000-000035000000}"/>
  <mergeCells count="10">
    <mergeCell ref="A113:D113"/>
    <mergeCell ref="A114:D11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Plan60" filterMode="1"/>
  <dimension ref="A1:I162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L16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24.7109375" style="85" bestFit="1" customWidth="1"/>
    <col min="5" max="5" width="13.42578125" style="89" customWidth="1"/>
    <col min="6" max="6" width="13.42578125" style="79" bestFit="1" customWidth="1"/>
    <col min="7" max="7" width="12" style="79" customWidth="1"/>
    <col min="8" max="8" width="13.855468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053" t="s">
        <v>0</v>
      </c>
      <c r="B1" s="3054"/>
      <c r="C1" s="3055"/>
      <c r="D1" s="3056"/>
      <c r="E1" s="3079" t="s">
        <v>1449</v>
      </c>
      <c r="F1" s="3080"/>
      <c r="G1" s="3080"/>
      <c r="H1" s="3081"/>
    </row>
    <row r="2" spans="1:8" ht="13.5" customHeight="1" x14ac:dyDescent="0.25">
      <c r="A2" s="3082" t="s">
        <v>2</v>
      </c>
      <c r="B2" s="3082" t="s">
        <v>3</v>
      </c>
      <c r="C2" s="3089" t="s">
        <v>4</v>
      </c>
      <c r="D2" s="3082" t="s">
        <v>5</v>
      </c>
      <c r="E2" s="3069" t="s">
        <v>6</v>
      </c>
      <c r="F2" s="3070"/>
      <c r="G2" s="3085" t="s">
        <v>7</v>
      </c>
      <c r="H2" s="3086"/>
    </row>
    <row r="3" spans="1:8" ht="13.5" hidden="1" customHeight="1" thickBot="1" x14ac:dyDescent="0.3">
      <c r="A3" s="3083"/>
      <c r="B3" s="3083"/>
      <c r="C3" s="3090"/>
      <c r="D3" s="3083"/>
      <c r="E3" s="3071"/>
      <c r="F3" s="3072"/>
      <c r="G3" s="3087"/>
      <c r="H3" s="3088"/>
    </row>
    <row r="4" spans="1:8" ht="13.5" hidden="1" customHeight="1" thickBot="1" x14ac:dyDescent="0.3">
      <c r="A4" s="3084"/>
      <c r="B4" s="3084"/>
      <c r="C4" s="3091"/>
      <c r="D4" s="3084"/>
      <c r="E4" s="147" t="s">
        <v>8</v>
      </c>
      <c r="F4" s="148" t="s">
        <v>9</v>
      </c>
      <c r="G4" s="147" t="s">
        <v>8</v>
      </c>
      <c r="H4" s="148" t="s">
        <v>9</v>
      </c>
    </row>
    <row r="5" spans="1:8" hidden="1" x14ac:dyDescent="0.25">
      <c r="A5" s="281">
        <v>42705</v>
      </c>
      <c r="B5" s="369" t="s">
        <v>10</v>
      </c>
      <c r="C5" s="370"/>
      <c r="D5" s="207"/>
      <c r="E5" s="179"/>
      <c r="F5" s="933">
        <f>'Novembro-16'!F114</f>
        <v>780.92000000000189</v>
      </c>
      <c r="G5" s="163"/>
      <c r="H5" s="933">
        <f>'Novembro-16'!H114</f>
        <v>1649.9960000000003</v>
      </c>
    </row>
    <row r="6" spans="1:8" s="224" customFormat="1" hidden="1" x14ac:dyDescent="0.25">
      <c r="A6" s="215">
        <v>42705</v>
      </c>
      <c r="B6" s="348" t="s">
        <v>11</v>
      </c>
      <c r="C6" s="351"/>
      <c r="D6" s="248"/>
      <c r="E6" s="250">
        <v>43</v>
      </c>
      <c r="F6" s="1473"/>
      <c r="G6" s="252"/>
      <c r="H6" s="1473"/>
    </row>
    <row r="7" spans="1:8" s="224" customFormat="1" ht="15.75" hidden="1" customHeight="1" x14ac:dyDescent="0.25">
      <c r="A7" s="215">
        <v>42705</v>
      </c>
      <c r="B7" s="862" t="s">
        <v>1450</v>
      </c>
      <c r="C7" s="350" t="s">
        <v>12</v>
      </c>
      <c r="D7" s="141" t="s">
        <v>13</v>
      </c>
      <c r="E7" s="97">
        <v>315.86</v>
      </c>
      <c r="F7" s="1473"/>
      <c r="G7" s="252"/>
      <c r="H7" s="946"/>
    </row>
    <row r="8" spans="1:8" s="224" customFormat="1" hidden="1" x14ac:dyDescent="0.25">
      <c r="A8" s="215">
        <v>42705</v>
      </c>
      <c r="B8" s="349" t="s">
        <v>32</v>
      </c>
      <c r="C8" s="350" t="s">
        <v>12</v>
      </c>
      <c r="D8" s="141" t="s">
        <v>13</v>
      </c>
      <c r="E8" s="97">
        <v>13</v>
      </c>
      <c r="F8" s="946"/>
      <c r="G8" s="97"/>
      <c r="H8" s="946"/>
    </row>
    <row r="9" spans="1:8" s="224" customFormat="1" hidden="1" x14ac:dyDescent="0.25">
      <c r="A9" s="215">
        <v>42705</v>
      </c>
      <c r="B9" s="862" t="s">
        <v>1451</v>
      </c>
      <c r="C9" s="350" t="s">
        <v>12</v>
      </c>
      <c r="D9" s="141" t="s">
        <v>13</v>
      </c>
      <c r="E9" s="250">
        <v>350</v>
      </c>
      <c r="F9" s="946"/>
      <c r="G9" s="97"/>
      <c r="H9" s="946"/>
    </row>
    <row r="10" spans="1:8" s="224" customFormat="1" hidden="1" x14ac:dyDescent="0.25">
      <c r="A10" s="215">
        <v>42705</v>
      </c>
      <c r="B10" s="862" t="s">
        <v>14</v>
      </c>
      <c r="C10" s="350" t="s">
        <v>12</v>
      </c>
      <c r="D10" s="141" t="s">
        <v>13</v>
      </c>
      <c r="E10" s="250">
        <v>10</v>
      </c>
      <c r="F10" s="946"/>
      <c r="G10" s="97"/>
      <c r="H10" s="946"/>
    </row>
    <row r="11" spans="1:8" s="224" customFormat="1" hidden="1" x14ac:dyDescent="0.25">
      <c r="A11" s="215">
        <v>42705</v>
      </c>
      <c r="B11" s="862" t="s">
        <v>249</v>
      </c>
      <c r="C11" s="350" t="s">
        <v>12</v>
      </c>
      <c r="D11" s="141" t="s">
        <v>13</v>
      </c>
      <c r="E11" s="250">
        <v>5.99</v>
      </c>
      <c r="F11" s="946"/>
      <c r="G11" s="97"/>
      <c r="H11" s="946"/>
    </row>
    <row r="12" spans="1:8" s="224" customFormat="1" hidden="1" x14ac:dyDescent="0.25">
      <c r="A12" s="215">
        <v>42706</v>
      </c>
      <c r="B12" s="349" t="s">
        <v>32</v>
      </c>
      <c r="C12" s="350" t="s">
        <v>12</v>
      </c>
      <c r="D12" s="141" t="s">
        <v>13</v>
      </c>
      <c r="E12" s="97">
        <v>13</v>
      </c>
      <c r="F12" s="946"/>
      <c r="G12" s="97"/>
      <c r="H12" s="1473"/>
    </row>
    <row r="13" spans="1:8" ht="15" hidden="1" customHeight="1" x14ac:dyDescent="0.25">
      <c r="A13" s="215">
        <v>42706</v>
      </c>
      <c r="B13" s="862" t="s">
        <v>256</v>
      </c>
      <c r="C13" s="879"/>
      <c r="D13" s="1475"/>
      <c r="E13" s="97"/>
      <c r="F13" s="946">
        <v>150</v>
      </c>
      <c r="G13" s="97">
        <v>150</v>
      </c>
      <c r="H13" s="946"/>
    </row>
    <row r="14" spans="1:8" s="224" customFormat="1" hidden="1" x14ac:dyDescent="0.25">
      <c r="A14" s="215">
        <v>42706</v>
      </c>
      <c r="B14" s="862" t="s">
        <v>14</v>
      </c>
      <c r="C14" s="350" t="s">
        <v>12</v>
      </c>
      <c r="D14" s="141" t="s">
        <v>13</v>
      </c>
      <c r="E14" s="97">
        <v>6.36</v>
      </c>
      <c r="F14" s="946"/>
      <c r="G14" s="97"/>
      <c r="H14" s="1473"/>
    </row>
    <row r="15" spans="1:8" s="224" customFormat="1" hidden="1" x14ac:dyDescent="0.25">
      <c r="A15" s="215">
        <v>42706</v>
      </c>
      <c r="B15" s="862" t="s">
        <v>1331</v>
      </c>
      <c r="C15" s="350" t="s">
        <v>12</v>
      </c>
      <c r="D15" s="141" t="s">
        <v>13</v>
      </c>
      <c r="E15" s="97">
        <v>60</v>
      </c>
      <c r="F15" s="946"/>
      <c r="G15" s="97"/>
      <c r="H15" s="1473"/>
    </row>
    <row r="16" spans="1:8" s="224" customFormat="1" hidden="1" x14ac:dyDescent="0.25">
      <c r="A16" s="215">
        <v>42707</v>
      </c>
      <c r="B16" s="862" t="s">
        <v>134</v>
      </c>
      <c r="C16" s="350" t="s">
        <v>12</v>
      </c>
      <c r="D16" s="141" t="s">
        <v>13</v>
      </c>
      <c r="E16" s="97">
        <v>24.48</v>
      </c>
      <c r="F16" s="946"/>
      <c r="G16" s="97"/>
      <c r="H16" s="1473"/>
    </row>
    <row r="17" spans="1:8" s="224" customFormat="1" hidden="1" x14ac:dyDescent="0.25">
      <c r="A17" s="215">
        <v>42707</v>
      </c>
      <c r="B17" s="862" t="s">
        <v>32</v>
      </c>
      <c r="C17" s="350" t="s">
        <v>12</v>
      </c>
      <c r="D17" s="141" t="s">
        <v>13</v>
      </c>
      <c r="E17" s="97">
        <v>14</v>
      </c>
      <c r="F17" s="946"/>
      <c r="G17" s="97"/>
      <c r="H17" s="1473"/>
    </row>
    <row r="18" spans="1:8" s="224" customFormat="1" hidden="1" x14ac:dyDescent="0.25">
      <c r="A18" s="215">
        <v>42707</v>
      </c>
      <c r="B18" s="862" t="s">
        <v>82</v>
      </c>
      <c r="C18" s="350" t="s">
        <v>12</v>
      </c>
      <c r="D18" s="141" t="s">
        <v>13</v>
      </c>
      <c r="E18" s="97">
        <v>28</v>
      </c>
      <c r="F18" s="946"/>
      <c r="G18" s="97"/>
      <c r="H18" s="1473"/>
    </row>
    <row r="19" spans="1:8" s="224" customFormat="1" hidden="1" x14ac:dyDescent="0.25">
      <c r="A19" s="215">
        <v>42708</v>
      </c>
      <c r="B19" s="862" t="s">
        <v>14</v>
      </c>
      <c r="C19" s="350" t="s">
        <v>12</v>
      </c>
      <c r="D19" s="141" t="s">
        <v>13</v>
      </c>
      <c r="E19" s="97">
        <v>9.84</v>
      </c>
      <c r="F19" s="946"/>
      <c r="G19" s="97"/>
      <c r="H19" s="1473"/>
    </row>
    <row r="20" spans="1:8" s="224" customFormat="1" hidden="1" x14ac:dyDescent="0.25">
      <c r="A20" s="215">
        <v>42709</v>
      </c>
      <c r="B20" s="862" t="s">
        <v>32</v>
      </c>
      <c r="C20" s="350" t="s">
        <v>12</v>
      </c>
      <c r="D20" s="141" t="s">
        <v>13</v>
      </c>
      <c r="E20" s="97">
        <v>13</v>
      </c>
      <c r="F20" s="946"/>
      <c r="G20" s="97"/>
      <c r="H20" s="1473"/>
    </row>
    <row r="21" spans="1:8" s="224" customFormat="1" hidden="1" x14ac:dyDescent="0.25">
      <c r="A21" s="215">
        <v>42709</v>
      </c>
      <c r="B21" s="862" t="s">
        <v>14</v>
      </c>
      <c r="C21" s="350" t="s">
        <v>12</v>
      </c>
      <c r="D21" s="141" t="s">
        <v>13</v>
      </c>
      <c r="E21" s="97">
        <v>9.5</v>
      </c>
      <c r="F21" s="946"/>
      <c r="G21" s="97"/>
      <c r="H21" s="1473"/>
    </row>
    <row r="22" spans="1:8" s="224" customFormat="1" ht="15.75" hidden="1" customHeight="1" x14ac:dyDescent="0.25">
      <c r="A22" s="215">
        <v>42710</v>
      </c>
      <c r="B22" s="349" t="s">
        <v>1452</v>
      </c>
      <c r="C22" s="879" t="s">
        <v>12</v>
      </c>
      <c r="D22" s="983" t="s">
        <v>25</v>
      </c>
      <c r="E22" s="250"/>
      <c r="F22" s="1473">
        <v>1648.82</v>
      </c>
      <c r="G22" s="252"/>
      <c r="H22" s="946"/>
    </row>
    <row r="23" spans="1:8" s="224" customFormat="1" hidden="1" x14ac:dyDescent="0.25">
      <c r="A23" s="215">
        <v>42710</v>
      </c>
      <c r="B23" s="862" t="s">
        <v>1091</v>
      </c>
      <c r="C23" s="879" t="s">
        <v>12</v>
      </c>
      <c r="D23" s="887" t="s">
        <v>15</v>
      </c>
      <c r="E23" s="250">
        <v>300</v>
      </c>
      <c r="F23" s="946"/>
      <c r="G23" s="97"/>
      <c r="H23" s="1473"/>
    </row>
    <row r="24" spans="1:8" hidden="1" x14ac:dyDescent="0.25">
      <c r="A24" s="215">
        <v>42710</v>
      </c>
      <c r="B24" s="862" t="s">
        <v>52</v>
      </c>
      <c r="C24" s="879" t="s">
        <v>12</v>
      </c>
      <c r="D24" s="1475" t="s">
        <v>13</v>
      </c>
      <c r="E24" s="97">
        <v>60</v>
      </c>
      <c r="F24" s="946"/>
      <c r="G24" s="97"/>
      <c r="H24" s="946"/>
    </row>
    <row r="25" spans="1:8" s="224" customFormat="1" hidden="1" x14ac:dyDescent="0.25">
      <c r="A25" s="215">
        <v>42710</v>
      </c>
      <c r="B25" s="882" t="s">
        <v>1453</v>
      </c>
      <c r="C25" s="879" t="s">
        <v>12</v>
      </c>
      <c r="D25" s="887" t="s">
        <v>13</v>
      </c>
      <c r="E25" s="250">
        <v>44.76</v>
      </c>
      <c r="F25" s="946"/>
      <c r="G25" s="95"/>
      <c r="H25" s="946"/>
    </row>
    <row r="26" spans="1:8" hidden="1" x14ac:dyDescent="0.25">
      <c r="A26" s="215">
        <v>42710</v>
      </c>
      <c r="B26" s="349" t="s">
        <v>1454</v>
      </c>
      <c r="C26" s="879" t="s">
        <v>12</v>
      </c>
      <c r="D26" s="887" t="s">
        <v>15</v>
      </c>
      <c r="E26" s="97">
        <v>60</v>
      </c>
      <c r="F26" s="946"/>
      <c r="G26" s="95"/>
      <c r="H26" s="946"/>
    </row>
    <row r="27" spans="1:8" s="224" customFormat="1" hidden="1" x14ac:dyDescent="0.25">
      <c r="A27" s="215">
        <v>42710</v>
      </c>
      <c r="B27" s="862" t="s">
        <v>32</v>
      </c>
      <c r="C27" s="350" t="s">
        <v>12</v>
      </c>
      <c r="D27" s="141" t="s">
        <v>13</v>
      </c>
      <c r="E27" s="97">
        <v>13</v>
      </c>
      <c r="F27" s="946"/>
      <c r="G27" s="97"/>
      <c r="H27" s="946"/>
    </row>
    <row r="28" spans="1:8" s="224" customFormat="1" ht="15" hidden="1" customHeight="1" x14ac:dyDescent="0.25">
      <c r="A28" s="215">
        <v>42710</v>
      </c>
      <c r="B28" s="349" t="s">
        <v>260</v>
      </c>
      <c r="C28" s="350"/>
      <c r="D28" s="141"/>
      <c r="E28" s="97">
        <v>660</v>
      </c>
      <c r="F28" s="946"/>
      <c r="G28" s="95"/>
      <c r="H28" s="946">
        <v>660</v>
      </c>
    </row>
    <row r="29" spans="1:8" s="224" customFormat="1" hidden="1" x14ac:dyDescent="0.25">
      <c r="A29" s="215">
        <v>42710</v>
      </c>
      <c r="B29" s="862" t="s">
        <v>14</v>
      </c>
      <c r="C29" s="350" t="s">
        <v>12</v>
      </c>
      <c r="D29" s="141" t="s">
        <v>13</v>
      </c>
      <c r="E29" s="97">
        <v>4.2</v>
      </c>
      <c r="F29" s="946"/>
      <c r="G29" s="95"/>
      <c r="H29" s="946"/>
    </row>
    <row r="30" spans="1:8" s="224" customFormat="1" hidden="1" x14ac:dyDescent="0.25">
      <c r="A30" s="215">
        <v>42710</v>
      </c>
      <c r="B30" s="862" t="s">
        <v>1455</v>
      </c>
      <c r="C30" s="350" t="s">
        <v>12</v>
      </c>
      <c r="D30" s="141" t="s">
        <v>13</v>
      </c>
      <c r="E30" s="97">
        <v>60</v>
      </c>
      <c r="F30" s="946"/>
      <c r="G30" s="97"/>
      <c r="H30" s="1473"/>
    </row>
    <row r="31" spans="1:8" s="224" customFormat="1" hidden="1" x14ac:dyDescent="0.25">
      <c r="A31" s="215">
        <v>42711</v>
      </c>
      <c r="B31" s="862" t="s">
        <v>32</v>
      </c>
      <c r="C31" s="350" t="s">
        <v>12</v>
      </c>
      <c r="D31" s="141" t="s">
        <v>15</v>
      </c>
      <c r="E31" s="97">
        <v>13</v>
      </c>
      <c r="F31" s="946"/>
      <c r="G31" s="97"/>
      <c r="H31" s="946"/>
    </row>
    <row r="32" spans="1:8" s="224" customFormat="1" hidden="1" x14ac:dyDescent="0.25">
      <c r="A32" s="215">
        <v>42711</v>
      </c>
      <c r="B32" s="349" t="s">
        <v>1456</v>
      </c>
      <c r="C32" s="879" t="s">
        <v>12</v>
      </c>
      <c r="D32" s="887" t="s">
        <v>15</v>
      </c>
      <c r="E32" s="97">
        <v>37</v>
      </c>
      <c r="F32" s="946"/>
      <c r="G32" s="97"/>
      <c r="H32" s="946"/>
    </row>
    <row r="33" spans="1:8" s="224" customFormat="1" hidden="1" x14ac:dyDescent="0.25">
      <c r="A33" s="215">
        <v>42711</v>
      </c>
      <c r="B33" s="349" t="s">
        <v>249</v>
      </c>
      <c r="C33" s="879" t="s">
        <v>12</v>
      </c>
      <c r="D33" s="887" t="s">
        <v>13</v>
      </c>
      <c r="E33" s="97">
        <v>6</v>
      </c>
      <c r="F33" s="946"/>
      <c r="G33" s="97"/>
      <c r="H33" s="946"/>
    </row>
    <row r="34" spans="1:8" s="224" customFormat="1" hidden="1" x14ac:dyDescent="0.25">
      <c r="A34" s="215">
        <v>42711</v>
      </c>
      <c r="B34" s="349" t="s">
        <v>14</v>
      </c>
      <c r="C34" s="879" t="s">
        <v>12</v>
      </c>
      <c r="D34" s="887" t="s">
        <v>13</v>
      </c>
      <c r="E34" s="97">
        <v>12.51</v>
      </c>
      <c r="F34" s="946"/>
      <c r="G34" s="97"/>
      <c r="H34" s="946"/>
    </row>
    <row r="35" spans="1:8" s="224" customFormat="1" hidden="1" x14ac:dyDescent="0.25">
      <c r="A35" s="215">
        <v>42712</v>
      </c>
      <c r="B35" s="349" t="s">
        <v>32</v>
      </c>
      <c r="C35" s="879" t="s">
        <v>12</v>
      </c>
      <c r="D35" s="887" t="s">
        <v>15</v>
      </c>
      <c r="E35" s="97">
        <v>13</v>
      </c>
      <c r="F35" s="946"/>
      <c r="G35" s="97"/>
      <c r="H35" s="946"/>
    </row>
    <row r="36" spans="1:8" s="224" customFormat="1" hidden="1" x14ac:dyDescent="0.25">
      <c r="A36" s="215">
        <v>42712</v>
      </c>
      <c r="B36" s="349" t="s">
        <v>14</v>
      </c>
      <c r="C36" s="879" t="s">
        <v>12</v>
      </c>
      <c r="D36" s="887" t="s">
        <v>13</v>
      </c>
      <c r="E36" s="97">
        <v>6.13</v>
      </c>
      <c r="F36" s="946"/>
      <c r="G36" s="97"/>
      <c r="H36" s="946"/>
    </row>
    <row r="37" spans="1:8" s="224" customFormat="1" hidden="1" x14ac:dyDescent="0.25">
      <c r="A37" s="215">
        <v>42713</v>
      </c>
      <c r="B37" s="349" t="s">
        <v>1457</v>
      </c>
      <c r="C37" s="879" t="s">
        <v>12</v>
      </c>
      <c r="D37" s="887" t="s">
        <v>15</v>
      </c>
      <c r="E37" s="97">
        <v>65.489999999999995</v>
      </c>
      <c r="F37" s="946"/>
      <c r="G37" s="97"/>
      <c r="H37" s="946"/>
    </row>
    <row r="38" spans="1:8" ht="15" hidden="1" customHeight="1" x14ac:dyDescent="0.25">
      <c r="A38" s="215">
        <v>42713</v>
      </c>
      <c r="B38" s="349" t="s">
        <v>1396</v>
      </c>
      <c r="C38" s="350" t="s">
        <v>12</v>
      </c>
      <c r="D38" s="141" t="s">
        <v>25</v>
      </c>
      <c r="E38" s="97"/>
      <c r="F38" s="946">
        <v>40</v>
      </c>
      <c r="G38" s="97"/>
      <c r="H38" s="946"/>
    </row>
    <row r="39" spans="1:8" hidden="1" x14ac:dyDescent="0.25">
      <c r="A39" s="215">
        <v>42713</v>
      </c>
      <c r="B39" s="349" t="s">
        <v>1458</v>
      </c>
      <c r="C39" s="350" t="s">
        <v>12</v>
      </c>
      <c r="D39" s="887" t="s">
        <v>13</v>
      </c>
      <c r="E39" s="97">
        <v>30</v>
      </c>
      <c r="F39" s="946"/>
      <c r="G39" s="95"/>
      <c r="H39" s="946"/>
    </row>
    <row r="40" spans="1:8" s="224" customFormat="1" ht="15.75" hidden="1" customHeight="1" x14ac:dyDescent="0.25">
      <c r="A40" s="215">
        <v>42713</v>
      </c>
      <c r="B40" s="882" t="s">
        <v>1459</v>
      </c>
      <c r="C40" s="350" t="s">
        <v>12</v>
      </c>
      <c r="D40" s="141" t="s">
        <v>13</v>
      </c>
      <c r="E40" s="97">
        <v>62.24</v>
      </c>
      <c r="F40" s="1473"/>
      <c r="G40" s="252"/>
      <c r="H40" s="946"/>
    </row>
    <row r="41" spans="1:8" hidden="1" x14ac:dyDescent="0.25">
      <c r="A41" s="215">
        <v>42713</v>
      </c>
      <c r="B41" s="862" t="s">
        <v>32</v>
      </c>
      <c r="C41" s="350" t="s">
        <v>12</v>
      </c>
      <c r="D41" s="141" t="s">
        <v>15</v>
      </c>
      <c r="E41" s="97">
        <v>13</v>
      </c>
      <c r="F41" s="946"/>
      <c r="G41" s="95"/>
      <c r="H41" s="946"/>
    </row>
    <row r="42" spans="1:8" hidden="1" x14ac:dyDescent="0.25">
      <c r="A42" s="215">
        <v>42713</v>
      </c>
      <c r="B42" s="862" t="s">
        <v>1460</v>
      </c>
      <c r="C42" s="350" t="s">
        <v>19</v>
      </c>
      <c r="D42" s="141" t="s">
        <v>13</v>
      </c>
      <c r="E42" s="97">
        <v>59</v>
      </c>
      <c r="F42" s="946"/>
      <c r="G42" s="95"/>
      <c r="H42" s="946"/>
    </row>
    <row r="43" spans="1:8" hidden="1" x14ac:dyDescent="0.25">
      <c r="A43" s="215">
        <v>42713</v>
      </c>
      <c r="B43" s="862" t="s">
        <v>1461</v>
      </c>
      <c r="C43" s="350" t="s">
        <v>19</v>
      </c>
      <c r="D43" s="141" t="s">
        <v>13</v>
      </c>
      <c r="E43" s="97">
        <v>30</v>
      </c>
      <c r="F43" s="946"/>
      <c r="G43" s="95"/>
      <c r="H43" s="946"/>
    </row>
    <row r="44" spans="1:8" hidden="1" x14ac:dyDescent="0.25">
      <c r="A44" s="215">
        <v>42713</v>
      </c>
      <c r="B44" s="862" t="s">
        <v>1462</v>
      </c>
      <c r="C44" s="350" t="s">
        <v>19</v>
      </c>
      <c r="D44" s="141" t="s">
        <v>13</v>
      </c>
      <c r="E44" s="97">
        <v>33</v>
      </c>
      <c r="F44" s="946"/>
      <c r="G44" s="95"/>
      <c r="H44" s="946"/>
    </row>
    <row r="45" spans="1:8" hidden="1" x14ac:dyDescent="0.25">
      <c r="A45" s="215">
        <v>42713</v>
      </c>
      <c r="B45" s="862" t="s">
        <v>134</v>
      </c>
      <c r="C45" s="350" t="s">
        <v>19</v>
      </c>
      <c r="D45" s="141" t="s">
        <v>13</v>
      </c>
      <c r="E45" s="97">
        <v>23.74</v>
      </c>
      <c r="F45" s="946"/>
      <c r="G45" s="95"/>
      <c r="H45" s="946"/>
    </row>
    <row r="46" spans="1:8" hidden="1" x14ac:dyDescent="0.25">
      <c r="A46" s="215">
        <v>42713</v>
      </c>
      <c r="B46" s="862" t="s">
        <v>1429</v>
      </c>
      <c r="C46" s="350" t="s">
        <v>19</v>
      </c>
      <c r="D46" s="141" t="s">
        <v>13</v>
      </c>
      <c r="E46" s="97">
        <v>9.9</v>
      </c>
      <c r="F46" s="946"/>
      <c r="G46" s="95"/>
      <c r="H46" s="946"/>
    </row>
    <row r="47" spans="1:8" hidden="1" x14ac:dyDescent="0.25">
      <c r="A47" s="215">
        <v>42713</v>
      </c>
      <c r="B47" s="862" t="s">
        <v>14</v>
      </c>
      <c r="C47" s="350" t="s">
        <v>12</v>
      </c>
      <c r="D47" s="141" t="s">
        <v>13</v>
      </c>
      <c r="E47" s="97">
        <v>7.5</v>
      </c>
      <c r="F47" s="946"/>
      <c r="G47" s="95"/>
      <c r="H47" s="946"/>
    </row>
    <row r="48" spans="1:8" s="224" customFormat="1" hidden="1" x14ac:dyDescent="0.25">
      <c r="A48" s="215">
        <v>42714</v>
      </c>
      <c r="B48" s="349" t="s">
        <v>478</v>
      </c>
      <c r="C48" s="879" t="s">
        <v>12</v>
      </c>
      <c r="D48" s="887" t="s">
        <v>13</v>
      </c>
      <c r="E48" s="97">
        <v>6.48</v>
      </c>
      <c r="F48" s="946"/>
      <c r="G48" s="97"/>
      <c r="H48" s="946"/>
    </row>
    <row r="49" spans="1:8" s="224" customFormat="1" hidden="1" x14ac:dyDescent="0.25">
      <c r="A49" s="215">
        <v>42714</v>
      </c>
      <c r="B49" s="349" t="s">
        <v>1463</v>
      </c>
      <c r="C49" s="879" t="s">
        <v>12</v>
      </c>
      <c r="D49" s="887" t="s">
        <v>13</v>
      </c>
      <c r="E49" s="97">
        <v>21</v>
      </c>
      <c r="F49" s="946"/>
      <c r="G49" s="97"/>
      <c r="H49" s="946"/>
    </row>
    <row r="50" spans="1:8" s="224" customFormat="1" hidden="1" x14ac:dyDescent="0.25">
      <c r="A50" s="215">
        <v>42715</v>
      </c>
      <c r="B50" s="349" t="s">
        <v>138</v>
      </c>
      <c r="C50" s="879" t="s">
        <v>12</v>
      </c>
      <c r="D50" s="887" t="s">
        <v>15</v>
      </c>
      <c r="E50" s="97">
        <v>20</v>
      </c>
      <c r="F50" s="946"/>
      <c r="G50" s="97"/>
      <c r="H50" s="1473"/>
    </row>
    <row r="51" spans="1:8" s="224" customFormat="1" hidden="1" x14ac:dyDescent="0.25">
      <c r="A51" s="215">
        <v>42715</v>
      </c>
      <c r="B51" s="349" t="s">
        <v>14</v>
      </c>
      <c r="C51" s="879" t="s">
        <v>12</v>
      </c>
      <c r="D51" s="887" t="s">
        <v>13</v>
      </c>
      <c r="E51" s="97">
        <v>8.11</v>
      </c>
      <c r="F51" s="946"/>
      <c r="G51" s="97"/>
      <c r="H51" s="1473"/>
    </row>
    <row r="52" spans="1:8" s="224" customFormat="1" hidden="1" x14ac:dyDescent="0.25">
      <c r="A52" s="215">
        <v>42715</v>
      </c>
      <c r="B52" s="349" t="s">
        <v>14</v>
      </c>
      <c r="C52" s="879" t="s">
        <v>12</v>
      </c>
      <c r="D52" s="887" t="s">
        <v>13</v>
      </c>
      <c r="E52" s="97">
        <v>8.3699999999999992</v>
      </c>
      <c r="F52" s="946"/>
      <c r="G52" s="97"/>
      <c r="H52" s="1473"/>
    </row>
    <row r="53" spans="1:8" ht="15" hidden="1" customHeight="1" x14ac:dyDescent="0.25">
      <c r="A53" s="215">
        <v>42716</v>
      </c>
      <c r="B53" s="862" t="s">
        <v>256</v>
      </c>
      <c r="C53" s="879"/>
      <c r="D53" s="1475"/>
      <c r="E53" s="97"/>
      <c r="F53" s="946">
        <v>260</v>
      </c>
      <c r="G53" s="97">
        <v>260</v>
      </c>
      <c r="H53" s="946"/>
    </row>
    <row r="54" spans="1:8" s="224" customFormat="1" hidden="1" x14ac:dyDescent="0.25">
      <c r="A54" s="215">
        <v>42716</v>
      </c>
      <c r="B54" s="862" t="s">
        <v>32</v>
      </c>
      <c r="C54" s="350" t="s">
        <v>12</v>
      </c>
      <c r="D54" s="141" t="s">
        <v>15</v>
      </c>
      <c r="E54" s="97">
        <v>13</v>
      </c>
      <c r="F54" s="946"/>
      <c r="G54" s="97"/>
      <c r="H54" s="1473"/>
    </row>
    <row r="55" spans="1:8" hidden="1" x14ac:dyDescent="0.25">
      <c r="A55" s="215">
        <v>42717</v>
      </c>
      <c r="B55" s="862" t="s">
        <v>32</v>
      </c>
      <c r="C55" s="350" t="s">
        <v>12</v>
      </c>
      <c r="D55" s="141" t="s">
        <v>15</v>
      </c>
      <c r="E55" s="97">
        <v>13</v>
      </c>
      <c r="F55" s="946"/>
      <c r="G55" s="95"/>
      <c r="H55" s="946"/>
    </row>
    <row r="56" spans="1:8" hidden="1" x14ac:dyDescent="0.25">
      <c r="A56" s="215">
        <v>42717</v>
      </c>
      <c r="B56" s="349" t="s">
        <v>14</v>
      </c>
      <c r="C56" s="879" t="s">
        <v>12</v>
      </c>
      <c r="D56" s="887" t="s">
        <v>13</v>
      </c>
      <c r="E56" s="97">
        <v>16.739999999999998</v>
      </c>
      <c r="F56" s="946"/>
      <c r="G56" s="95"/>
      <c r="H56" s="946"/>
    </row>
    <row r="57" spans="1:8" hidden="1" x14ac:dyDescent="0.25">
      <c r="A57" s="215">
        <v>42717</v>
      </c>
      <c r="B57" s="862" t="s">
        <v>138</v>
      </c>
      <c r="C57" s="350" t="s">
        <v>12</v>
      </c>
      <c r="D57" s="141" t="s">
        <v>15</v>
      </c>
      <c r="E57" s="97">
        <v>60</v>
      </c>
      <c r="F57" s="946"/>
      <c r="G57" s="95"/>
      <c r="H57" s="946"/>
    </row>
    <row r="58" spans="1:8" hidden="1" x14ac:dyDescent="0.25">
      <c r="A58" s="215">
        <v>42718</v>
      </c>
      <c r="B58" s="862" t="s">
        <v>32</v>
      </c>
      <c r="C58" s="350" t="s">
        <v>12</v>
      </c>
      <c r="D58" s="141" t="s">
        <v>13</v>
      </c>
      <c r="E58" s="97">
        <v>13</v>
      </c>
      <c r="F58" s="946"/>
      <c r="G58" s="95"/>
      <c r="H58" s="946"/>
    </row>
    <row r="59" spans="1:8" hidden="1" x14ac:dyDescent="0.25">
      <c r="A59" s="215">
        <v>42718</v>
      </c>
      <c r="B59" s="349" t="s">
        <v>14</v>
      </c>
      <c r="C59" s="879" t="s">
        <v>12</v>
      </c>
      <c r="D59" s="887" t="s">
        <v>13</v>
      </c>
      <c r="E59" s="97">
        <v>26.57</v>
      </c>
      <c r="F59" s="946"/>
      <c r="G59" s="95"/>
      <c r="H59" s="946"/>
    </row>
    <row r="60" spans="1:8" hidden="1" x14ac:dyDescent="0.25">
      <c r="A60" s="215">
        <v>42719</v>
      </c>
      <c r="B60" s="862" t="s">
        <v>32</v>
      </c>
      <c r="C60" s="350" t="s">
        <v>12</v>
      </c>
      <c r="D60" s="141" t="s">
        <v>13</v>
      </c>
      <c r="E60" s="97">
        <v>13</v>
      </c>
      <c r="F60" s="946"/>
      <c r="G60" s="95"/>
      <c r="H60" s="946"/>
    </row>
    <row r="61" spans="1:8" hidden="1" x14ac:dyDescent="0.25">
      <c r="A61" s="215">
        <v>42719</v>
      </c>
      <c r="B61" s="349" t="s">
        <v>1464</v>
      </c>
      <c r="C61" s="879" t="s">
        <v>12</v>
      </c>
      <c r="D61" s="887" t="s">
        <v>15</v>
      </c>
      <c r="E61" s="97">
        <v>7</v>
      </c>
      <c r="F61" s="946"/>
      <c r="G61" s="95"/>
      <c r="H61" s="946"/>
    </row>
    <row r="62" spans="1:8" s="224" customFormat="1" hidden="1" x14ac:dyDescent="0.25">
      <c r="A62" s="215">
        <v>42720</v>
      </c>
      <c r="B62" s="349" t="s">
        <v>1455</v>
      </c>
      <c r="C62" s="879" t="s">
        <v>12</v>
      </c>
      <c r="D62" s="887" t="s">
        <v>15</v>
      </c>
      <c r="E62" s="97">
        <v>60</v>
      </c>
      <c r="F62" s="946"/>
      <c r="G62" s="97"/>
      <c r="H62" s="1473"/>
    </row>
    <row r="63" spans="1:8" hidden="1" x14ac:dyDescent="0.25">
      <c r="A63" s="215">
        <v>42720</v>
      </c>
      <c r="B63" s="862" t="s">
        <v>32</v>
      </c>
      <c r="C63" s="350" t="s">
        <v>12</v>
      </c>
      <c r="D63" s="141" t="s">
        <v>13</v>
      </c>
      <c r="E63" s="97">
        <v>13</v>
      </c>
      <c r="F63" s="946"/>
      <c r="G63" s="95"/>
      <c r="H63" s="946"/>
    </row>
    <row r="64" spans="1:8" hidden="1" x14ac:dyDescent="0.25">
      <c r="A64" s="215">
        <v>42720</v>
      </c>
      <c r="B64" s="349" t="s">
        <v>1465</v>
      </c>
      <c r="C64" s="350" t="s">
        <v>12</v>
      </c>
      <c r="D64" s="141" t="s">
        <v>25</v>
      </c>
      <c r="E64" s="250"/>
      <c r="F64" s="946">
        <v>3943</v>
      </c>
      <c r="G64" s="95"/>
      <c r="H64" s="946"/>
    </row>
    <row r="65" spans="1:8" hidden="1" x14ac:dyDescent="0.25">
      <c r="A65" s="215">
        <v>42720</v>
      </c>
      <c r="B65" s="349" t="s">
        <v>336</v>
      </c>
      <c r="C65" s="350" t="s">
        <v>12</v>
      </c>
      <c r="D65" s="141" t="s">
        <v>25</v>
      </c>
      <c r="E65" s="97"/>
      <c r="F65" s="946">
        <v>1293.82</v>
      </c>
      <c r="G65" s="95"/>
      <c r="H65" s="946"/>
    </row>
    <row r="66" spans="1:8" s="224" customFormat="1" ht="15" hidden="1" customHeight="1" x14ac:dyDescent="0.25">
      <c r="A66" s="215">
        <v>42720</v>
      </c>
      <c r="B66" s="349" t="s">
        <v>260</v>
      </c>
      <c r="C66" s="350"/>
      <c r="D66" s="141"/>
      <c r="E66" s="97">
        <v>400</v>
      </c>
      <c r="F66" s="946"/>
      <c r="G66" s="95"/>
      <c r="H66" s="946">
        <v>400</v>
      </c>
    </row>
    <row r="67" spans="1:8" hidden="1" x14ac:dyDescent="0.25">
      <c r="A67" s="215">
        <v>42720</v>
      </c>
      <c r="B67" s="349" t="s">
        <v>14</v>
      </c>
      <c r="C67" s="879" t="s">
        <v>12</v>
      </c>
      <c r="D67" s="887" t="s">
        <v>13</v>
      </c>
      <c r="E67" s="97">
        <v>23.89</v>
      </c>
      <c r="F67" s="946"/>
      <c r="G67" s="97"/>
      <c r="H67" s="946"/>
    </row>
    <row r="68" spans="1:8" hidden="1" x14ac:dyDescent="0.25">
      <c r="A68" s="215">
        <v>42721</v>
      </c>
      <c r="B68" s="862" t="s">
        <v>32</v>
      </c>
      <c r="C68" s="350" t="s">
        <v>12</v>
      </c>
      <c r="D68" s="141" t="s">
        <v>13</v>
      </c>
      <c r="E68" s="97">
        <v>13</v>
      </c>
      <c r="F68" s="946"/>
      <c r="G68" s="97"/>
      <c r="H68" s="946"/>
    </row>
    <row r="69" spans="1:8" hidden="1" x14ac:dyDescent="0.25">
      <c r="A69" s="215">
        <v>42721</v>
      </c>
      <c r="B69" s="862" t="s">
        <v>82</v>
      </c>
      <c r="C69" s="350" t="s">
        <v>12</v>
      </c>
      <c r="D69" s="141" t="s">
        <v>13</v>
      </c>
      <c r="E69" s="97">
        <v>28</v>
      </c>
      <c r="F69" s="946"/>
      <c r="G69" s="97"/>
      <c r="H69" s="946"/>
    </row>
    <row r="70" spans="1:8" hidden="1" x14ac:dyDescent="0.25">
      <c r="A70" s="215">
        <v>42722</v>
      </c>
      <c r="B70" s="349" t="s">
        <v>14</v>
      </c>
      <c r="C70" s="879" t="s">
        <v>12</v>
      </c>
      <c r="D70" s="887" t="s">
        <v>13</v>
      </c>
      <c r="E70" s="97">
        <v>5.23</v>
      </c>
      <c r="F70" s="946"/>
      <c r="G70" s="97"/>
      <c r="H70" s="946"/>
    </row>
    <row r="71" spans="1:8" hidden="1" x14ac:dyDescent="0.25">
      <c r="A71" s="215">
        <v>42723</v>
      </c>
      <c r="B71" s="862" t="s">
        <v>32</v>
      </c>
      <c r="C71" s="350" t="s">
        <v>12</v>
      </c>
      <c r="D71" s="141" t="s">
        <v>13</v>
      </c>
      <c r="E71" s="97">
        <v>13</v>
      </c>
      <c r="F71" s="946"/>
      <c r="G71" s="97"/>
      <c r="H71" s="946"/>
    </row>
    <row r="72" spans="1:8" hidden="1" x14ac:dyDescent="0.25">
      <c r="A72" s="215">
        <v>42723</v>
      </c>
      <c r="B72" s="349" t="s">
        <v>14</v>
      </c>
      <c r="C72" s="879" t="s">
        <v>12</v>
      </c>
      <c r="D72" s="887" t="s">
        <v>13</v>
      </c>
      <c r="E72" s="97">
        <v>10</v>
      </c>
      <c r="F72" s="946"/>
      <c r="G72" s="97"/>
      <c r="H72" s="946"/>
    </row>
    <row r="73" spans="1:8" hidden="1" x14ac:dyDescent="0.25">
      <c r="A73" s="215">
        <v>42723</v>
      </c>
      <c r="B73" s="349" t="s">
        <v>1343</v>
      </c>
      <c r="C73" s="879" t="s">
        <v>12</v>
      </c>
      <c r="D73" s="887" t="s">
        <v>15</v>
      </c>
      <c r="E73" s="97">
        <v>33</v>
      </c>
      <c r="F73" s="946"/>
      <c r="G73" s="97"/>
      <c r="H73" s="946"/>
    </row>
    <row r="74" spans="1:8" ht="15" hidden="1" customHeight="1" x14ac:dyDescent="0.25">
      <c r="A74" s="215">
        <v>42724</v>
      </c>
      <c r="B74" s="862" t="s">
        <v>256</v>
      </c>
      <c r="C74" s="879"/>
      <c r="D74" s="1475"/>
      <c r="E74" s="97"/>
      <c r="F74" s="946">
        <v>800</v>
      </c>
      <c r="G74" s="97">
        <v>800</v>
      </c>
      <c r="H74" s="946"/>
    </row>
    <row r="75" spans="1:8" s="224" customFormat="1" x14ac:dyDescent="0.25">
      <c r="A75" s="215">
        <v>42724</v>
      </c>
      <c r="B75" s="882" t="s">
        <v>1466</v>
      </c>
      <c r="C75" s="879" t="s">
        <v>12</v>
      </c>
      <c r="D75" s="887" t="s">
        <v>13</v>
      </c>
      <c r="E75" s="97">
        <v>734.87</v>
      </c>
      <c r="F75" s="946"/>
      <c r="G75" s="95"/>
      <c r="H75" s="1473"/>
    </row>
    <row r="76" spans="1:8" s="224" customFormat="1" hidden="1" x14ac:dyDescent="0.25">
      <c r="A76" s="215">
        <v>42724</v>
      </c>
      <c r="B76" s="882" t="s">
        <v>1467</v>
      </c>
      <c r="C76" s="879" t="s">
        <v>12</v>
      </c>
      <c r="D76" s="887" t="s">
        <v>13</v>
      </c>
      <c r="E76" s="97">
        <v>568.53</v>
      </c>
      <c r="F76" s="946"/>
      <c r="G76" s="95"/>
      <c r="H76" s="1473"/>
    </row>
    <row r="77" spans="1:8" hidden="1" x14ac:dyDescent="0.25">
      <c r="A77" s="215">
        <v>42724</v>
      </c>
      <c r="B77" s="862" t="s">
        <v>32</v>
      </c>
      <c r="C77" s="350" t="s">
        <v>12</v>
      </c>
      <c r="D77" s="141" t="s">
        <v>15</v>
      </c>
      <c r="E77" s="97">
        <v>13</v>
      </c>
      <c r="F77" s="946"/>
      <c r="G77" s="97"/>
      <c r="H77" s="946"/>
    </row>
    <row r="78" spans="1:8" s="224" customFormat="1" hidden="1" x14ac:dyDescent="0.25">
      <c r="A78" s="215">
        <v>42724</v>
      </c>
      <c r="B78" s="349" t="s">
        <v>1468</v>
      </c>
      <c r="C78" s="879" t="s">
        <v>19</v>
      </c>
      <c r="D78" s="887" t="s">
        <v>13</v>
      </c>
      <c r="E78" s="97">
        <v>60</v>
      </c>
      <c r="F78" s="946"/>
      <c r="G78" s="95"/>
      <c r="H78" s="1473"/>
    </row>
    <row r="79" spans="1:8" s="224" customFormat="1" hidden="1" x14ac:dyDescent="0.25">
      <c r="A79" s="215">
        <v>42724</v>
      </c>
      <c r="B79" s="349" t="s">
        <v>1462</v>
      </c>
      <c r="C79" s="879" t="s">
        <v>19</v>
      </c>
      <c r="D79" s="887" t="s">
        <v>13</v>
      </c>
      <c r="E79" s="97">
        <v>33.39</v>
      </c>
      <c r="F79" s="946"/>
      <c r="G79" s="95"/>
      <c r="H79" s="1473"/>
    </row>
    <row r="80" spans="1:8" s="224" customFormat="1" hidden="1" x14ac:dyDescent="0.25">
      <c r="A80" s="215">
        <v>42724</v>
      </c>
      <c r="B80" s="349" t="s">
        <v>1469</v>
      </c>
      <c r="C80" s="879" t="s">
        <v>19</v>
      </c>
      <c r="D80" s="887" t="s">
        <v>13</v>
      </c>
      <c r="E80" s="97">
        <v>98.7</v>
      </c>
      <c r="F80" s="946"/>
      <c r="G80" s="95"/>
      <c r="H80" s="1473"/>
    </row>
    <row r="81" spans="1:8" s="224" customFormat="1" hidden="1" x14ac:dyDescent="0.25">
      <c r="A81" s="215">
        <v>42724</v>
      </c>
      <c r="B81" s="349" t="s">
        <v>1470</v>
      </c>
      <c r="C81" s="879" t="s">
        <v>12</v>
      </c>
      <c r="D81" s="887" t="s">
        <v>13</v>
      </c>
      <c r="E81" s="97">
        <v>80</v>
      </c>
      <c r="F81" s="946"/>
      <c r="G81" s="95"/>
      <c r="H81" s="1473"/>
    </row>
    <row r="82" spans="1:8" hidden="1" x14ac:dyDescent="0.25">
      <c r="A82" s="215">
        <v>42724</v>
      </c>
      <c r="B82" s="349" t="s">
        <v>14</v>
      </c>
      <c r="C82" s="879" t="s">
        <v>12</v>
      </c>
      <c r="D82" s="887" t="s">
        <v>13</v>
      </c>
      <c r="E82" s="97">
        <v>8.3000000000000007</v>
      </c>
      <c r="F82" s="946"/>
      <c r="G82" s="97"/>
      <c r="H82" s="946"/>
    </row>
    <row r="83" spans="1:8" s="224" customFormat="1" hidden="1" x14ac:dyDescent="0.25">
      <c r="A83" s="215">
        <v>42725</v>
      </c>
      <c r="B83" s="862" t="s">
        <v>32</v>
      </c>
      <c r="C83" s="350" t="s">
        <v>12</v>
      </c>
      <c r="D83" s="141" t="s">
        <v>15</v>
      </c>
      <c r="E83" s="97">
        <v>13</v>
      </c>
      <c r="F83" s="946"/>
      <c r="G83" s="95"/>
      <c r="H83" s="1473"/>
    </row>
    <row r="84" spans="1:8" s="224" customFormat="1" ht="15" hidden="1" customHeight="1" x14ac:dyDescent="0.25">
      <c r="A84" s="215">
        <v>42725</v>
      </c>
      <c r="B84" s="349" t="s">
        <v>260</v>
      </c>
      <c r="C84" s="350"/>
      <c r="D84" s="141"/>
      <c r="E84" s="97">
        <v>560</v>
      </c>
      <c r="F84" s="946"/>
      <c r="G84" s="95"/>
      <c r="H84" s="946">
        <v>560</v>
      </c>
    </row>
    <row r="85" spans="1:8" s="224" customFormat="1" hidden="1" x14ac:dyDescent="0.25">
      <c r="A85" s="215">
        <v>42725</v>
      </c>
      <c r="B85" s="862" t="s">
        <v>1471</v>
      </c>
      <c r="C85" s="350" t="s">
        <v>12</v>
      </c>
      <c r="D85" s="141" t="s">
        <v>15</v>
      </c>
      <c r="E85" s="97">
        <v>100</v>
      </c>
      <c r="F85" s="946"/>
      <c r="G85" s="95"/>
      <c r="H85" s="1473"/>
    </row>
    <row r="86" spans="1:8" s="224" customFormat="1" hidden="1" x14ac:dyDescent="0.25">
      <c r="A86" s="215">
        <v>42725</v>
      </c>
      <c r="B86" s="862" t="s">
        <v>1472</v>
      </c>
      <c r="C86" s="350" t="s">
        <v>19</v>
      </c>
      <c r="D86" s="141" t="s">
        <v>13</v>
      </c>
      <c r="E86" s="97">
        <v>57.63</v>
      </c>
      <c r="F86" s="946"/>
      <c r="G86" s="95"/>
      <c r="H86" s="1473"/>
    </row>
    <row r="87" spans="1:8" s="224" customFormat="1" hidden="1" x14ac:dyDescent="0.25">
      <c r="A87" s="215">
        <v>42725</v>
      </c>
      <c r="B87" s="349" t="s">
        <v>14</v>
      </c>
      <c r="C87" s="879" t="s">
        <v>12</v>
      </c>
      <c r="D87" s="887" t="s">
        <v>13</v>
      </c>
      <c r="E87" s="97">
        <v>6</v>
      </c>
      <c r="F87" s="946"/>
      <c r="G87" s="95"/>
      <c r="H87" s="1473"/>
    </row>
    <row r="88" spans="1:8" s="224" customFormat="1" hidden="1" x14ac:dyDescent="0.25">
      <c r="A88" s="215">
        <v>42726</v>
      </c>
      <c r="B88" s="862" t="s">
        <v>32</v>
      </c>
      <c r="C88" s="350" t="s">
        <v>12</v>
      </c>
      <c r="D88" s="141" t="s">
        <v>15</v>
      </c>
      <c r="E88" s="97">
        <v>13</v>
      </c>
      <c r="F88" s="946"/>
      <c r="G88" s="95"/>
      <c r="H88" s="1473"/>
    </row>
    <row r="89" spans="1:8" s="224" customFormat="1" hidden="1" x14ac:dyDescent="0.25">
      <c r="A89" s="215">
        <v>42726</v>
      </c>
      <c r="B89" s="349" t="s">
        <v>14</v>
      </c>
      <c r="C89" s="879" t="s">
        <v>12</v>
      </c>
      <c r="D89" s="887" t="s">
        <v>13</v>
      </c>
      <c r="E89" s="97">
        <v>8.83</v>
      </c>
      <c r="F89" s="946"/>
      <c r="G89" s="95"/>
      <c r="H89" s="1473"/>
    </row>
    <row r="90" spans="1:8" s="224" customFormat="1" hidden="1" x14ac:dyDescent="0.25">
      <c r="A90" s="215">
        <v>42727</v>
      </c>
      <c r="B90" s="349" t="s">
        <v>138</v>
      </c>
      <c r="C90" s="879" t="s">
        <v>12</v>
      </c>
      <c r="D90" s="887" t="s">
        <v>15</v>
      </c>
      <c r="E90" s="97">
        <v>20</v>
      </c>
      <c r="F90" s="946"/>
      <c r="G90" s="95"/>
      <c r="H90" s="1473"/>
    </row>
    <row r="91" spans="1:8" s="224" customFormat="1" hidden="1" x14ac:dyDescent="0.25">
      <c r="A91" s="215">
        <v>42727</v>
      </c>
      <c r="B91" s="862" t="s">
        <v>32</v>
      </c>
      <c r="C91" s="350" t="s">
        <v>12</v>
      </c>
      <c r="D91" s="141" t="s">
        <v>15</v>
      </c>
      <c r="E91" s="97">
        <v>13</v>
      </c>
      <c r="F91" s="946"/>
      <c r="G91" s="95"/>
      <c r="H91" s="1473"/>
    </row>
    <row r="92" spans="1:8" s="224" customFormat="1" hidden="1" x14ac:dyDescent="0.25">
      <c r="A92" s="215">
        <v>42728</v>
      </c>
      <c r="B92" s="862" t="s">
        <v>1377</v>
      </c>
      <c r="C92" s="350" t="s">
        <v>12</v>
      </c>
      <c r="D92" s="957" t="s">
        <v>13</v>
      </c>
      <c r="E92" s="97">
        <v>58.9</v>
      </c>
      <c r="F92" s="946"/>
      <c r="G92" s="95"/>
      <c r="H92" s="1473"/>
    </row>
    <row r="93" spans="1:8" s="224" customFormat="1" hidden="1" x14ac:dyDescent="0.25">
      <c r="A93" s="215">
        <v>42728</v>
      </c>
      <c r="B93" s="862" t="s">
        <v>138</v>
      </c>
      <c r="C93" s="350" t="s">
        <v>12</v>
      </c>
      <c r="D93" s="957" t="s">
        <v>15</v>
      </c>
      <c r="E93" s="97">
        <v>80</v>
      </c>
      <c r="F93" s="946"/>
      <c r="G93" s="95"/>
      <c r="H93" s="1473"/>
    </row>
    <row r="94" spans="1:8" s="224" customFormat="1" hidden="1" x14ac:dyDescent="0.25">
      <c r="A94" s="215">
        <v>42728</v>
      </c>
      <c r="B94" s="862" t="s">
        <v>1473</v>
      </c>
      <c r="C94" s="350" t="s">
        <v>12</v>
      </c>
      <c r="D94" s="957" t="s">
        <v>15</v>
      </c>
      <c r="E94" s="97">
        <v>21.8</v>
      </c>
      <c r="F94" s="946"/>
      <c r="G94" s="95"/>
      <c r="H94" s="1473"/>
    </row>
    <row r="95" spans="1:8" s="224" customFormat="1" hidden="1" x14ac:dyDescent="0.25">
      <c r="A95" s="215">
        <v>42728</v>
      </c>
      <c r="B95" s="862" t="s">
        <v>32</v>
      </c>
      <c r="C95" s="350" t="s">
        <v>12</v>
      </c>
      <c r="D95" s="141" t="s">
        <v>15</v>
      </c>
      <c r="E95" s="97">
        <v>14.5</v>
      </c>
      <c r="F95" s="946"/>
      <c r="G95" s="95"/>
      <c r="H95" s="1473"/>
    </row>
    <row r="96" spans="1:8" s="224" customFormat="1" hidden="1" x14ac:dyDescent="0.25">
      <c r="A96" s="215">
        <v>42729</v>
      </c>
      <c r="B96" s="862"/>
      <c r="C96" s="350"/>
      <c r="D96" s="141"/>
      <c r="E96" s="97"/>
      <c r="F96" s="946"/>
      <c r="G96" s="95"/>
      <c r="H96" s="1473"/>
    </row>
    <row r="97" spans="1:8" hidden="1" x14ac:dyDescent="0.25">
      <c r="A97" s="215">
        <v>42730</v>
      </c>
      <c r="B97" s="862" t="s">
        <v>32</v>
      </c>
      <c r="C97" s="350" t="s">
        <v>12</v>
      </c>
      <c r="D97" s="141" t="s">
        <v>15</v>
      </c>
      <c r="E97" s="97">
        <v>13</v>
      </c>
      <c r="F97" s="946"/>
      <c r="G97" s="95"/>
      <c r="H97" s="946"/>
    </row>
    <row r="98" spans="1:8" s="224" customFormat="1" hidden="1" x14ac:dyDescent="0.25">
      <c r="A98" s="215">
        <v>42731</v>
      </c>
      <c r="B98" s="862" t="s">
        <v>32</v>
      </c>
      <c r="C98" s="350" t="s">
        <v>12</v>
      </c>
      <c r="D98" s="141" t="s">
        <v>13</v>
      </c>
      <c r="E98" s="97">
        <v>13</v>
      </c>
      <c r="F98" s="946"/>
      <c r="G98" s="95"/>
      <c r="H98" s="1473"/>
    </row>
    <row r="99" spans="1:8" s="224" customFormat="1" hidden="1" x14ac:dyDescent="0.25">
      <c r="A99" s="215">
        <v>42731</v>
      </c>
      <c r="B99" s="349" t="s">
        <v>14</v>
      </c>
      <c r="C99" s="879" t="s">
        <v>12</v>
      </c>
      <c r="D99" s="887" t="s">
        <v>13</v>
      </c>
      <c r="E99" s="97">
        <v>15.05</v>
      </c>
      <c r="F99" s="946"/>
      <c r="G99" s="95"/>
      <c r="H99" s="1473"/>
    </row>
    <row r="100" spans="1:8" hidden="1" x14ac:dyDescent="0.25">
      <c r="A100" s="215">
        <v>42732</v>
      </c>
      <c r="B100" s="349" t="s">
        <v>14</v>
      </c>
      <c r="C100" s="879" t="s">
        <v>12</v>
      </c>
      <c r="D100" s="887" t="s">
        <v>13</v>
      </c>
      <c r="E100" s="250">
        <v>3</v>
      </c>
      <c r="F100" s="946"/>
      <c r="G100" s="95"/>
      <c r="H100" s="946"/>
    </row>
    <row r="101" spans="1:8" hidden="1" x14ac:dyDescent="0.25">
      <c r="A101" s="215">
        <v>42732</v>
      </c>
      <c r="B101" s="862" t="s">
        <v>32</v>
      </c>
      <c r="C101" s="350" t="s">
        <v>12</v>
      </c>
      <c r="D101" s="141" t="s">
        <v>13</v>
      </c>
      <c r="E101" s="97">
        <v>13</v>
      </c>
      <c r="F101" s="946"/>
      <c r="G101" s="95"/>
      <c r="H101" s="946"/>
    </row>
    <row r="102" spans="1:8" hidden="1" x14ac:dyDescent="0.25">
      <c r="A102" s="215">
        <v>42732</v>
      </c>
      <c r="B102" s="349" t="s">
        <v>43</v>
      </c>
      <c r="C102" s="350" t="s">
        <v>12</v>
      </c>
      <c r="D102" s="141" t="s">
        <v>13</v>
      </c>
      <c r="E102" s="250">
        <v>37</v>
      </c>
      <c r="F102" s="946"/>
      <c r="G102" s="95"/>
      <c r="H102" s="946"/>
    </row>
    <row r="103" spans="1:8" hidden="1" x14ac:dyDescent="0.25">
      <c r="A103" s="215">
        <v>42732</v>
      </c>
      <c r="B103" s="862" t="s">
        <v>134</v>
      </c>
      <c r="C103" s="350" t="s">
        <v>12</v>
      </c>
      <c r="D103" s="141" t="s">
        <v>13</v>
      </c>
      <c r="E103" s="97">
        <v>18.09</v>
      </c>
      <c r="F103" s="946"/>
      <c r="G103" s="95"/>
      <c r="H103" s="946"/>
    </row>
    <row r="104" spans="1:8" hidden="1" x14ac:dyDescent="0.25">
      <c r="A104" s="215">
        <v>42733</v>
      </c>
      <c r="B104" s="862" t="s">
        <v>32</v>
      </c>
      <c r="C104" s="350" t="s">
        <v>12</v>
      </c>
      <c r="D104" s="141" t="s">
        <v>13</v>
      </c>
      <c r="E104" s="97">
        <v>13</v>
      </c>
      <c r="F104" s="946"/>
      <c r="G104" s="95"/>
      <c r="H104" s="946"/>
    </row>
    <row r="105" spans="1:8" hidden="1" x14ac:dyDescent="0.25">
      <c r="A105" s="215">
        <v>42733</v>
      </c>
      <c r="B105" s="862" t="s">
        <v>138</v>
      </c>
      <c r="C105" s="350" t="s">
        <v>12</v>
      </c>
      <c r="D105" s="141" t="s">
        <v>13</v>
      </c>
      <c r="E105" s="97">
        <v>50</v>
      </c>
      <c r="F105" s="946"/>
      <c r="G105" s="95"/>
      <c r="H105" s="946"/>
    </row>
    <row r="106" spans="1:8" s="224" customFormat="1" hidden="1" x14ac:dyDescent="0.25">
      <c r="A106" s="215">
        <v>42734</v>
      </c>
      <c r="B106" s="349" t="s">
        <v>311</v>
      </c>
      <c r="C106" s="350"/>
      <c r="D106" s="141"/>
      <c r="E106" s="97"/>
      <c r="F106" s="946"/>
      <c r="G106" s="97"/>
      <c r="H106" s="946">
        <v>10.5</v>
      </c>
    </row>
    <row r="107" spans="1:8" hidden="1" x14ac:dyDescent="0.25">
      <c r="A107" s="215">
        <v>42734</v>
      </c>
      <c r="B107" s="862" t="s">
        <v>32</v>
      </c>
      <c r="C107" s="350" t="s">
        <v>12</v>
      </c>
      <c r="D107" s="141" t="s">
        <v>13</v>
      </c>
      <c r="E107" s="97">
        <v>13</v>
      </c>
      <c r="F107" s="946"/>
      <c r="G107" s="95"/>
      <c r="H107" s="946"/>
    </row>
    <row r="108" spans="1:8" ht="15" hidden="1" customHeight="1" x14ac:dyDescent="0.25">
      <c r="A108" s="215">
        <v>42734</v>
      </c>
      <c r="B108" s="862" t="s">
        <v>256</v>
      </c>
      <c r="C108" s="879"/>
      <c r="D108" s="1475"/>
      <c r="E108" s="97"/>
      <c r="F108" s="946">
        <v>260</v>
      </c>
      <c r="G108" s="97">
        <v>260</v>
      </c>
      <c r="H108" s="946"/>
    </row>
    <row r="109" spans="1:8" hidden="1" x14ac:dyDescent="0.25">
      <c r="A109" s="215">
        <v>42734</v>
      </c>
      <c r="B109" s="862" t="s">
        <v>1474</v>
      </c>
      <c r="C109" s="350" t="s">
        <v>19</v>
      </c>
      <c r="D109" s="141" t="s">
        <v>13</v>
      </c>
      <c r="E109" s="97">
        <v>73.819999999999993</v>
      </c>
      <c r="F109" s="946"/>
      <c r="G109" s="95"/>
      <c r="H109" s="946"/>
    </row>
    <row r="110" spans="1:8" hidden="1" x14ac:dyDescent="0.25">
      <c r="A110" s="215">
        <v>42734</v>
      </c>
      <c r="B110" s="862" t="s">
        <v>1475</v>
      </c>
      <c r="C110" s="350" t="s">
        <v>12</v>
      </c>
      <c r="D110" s="141" t="s">
        <v>13</v>
      </c>
      <c r="E110" s="97">
        <v>90</v>
      </c>
      <c r="F110" s="946"/>
      <c r="G110" s="95"/>
      <c r="H110" s="946"/>
    </row>
    <row r="111" spans="1:8" hidden="1" x14ac:dyDescent="0.25">
      <c r="A111" s="215">
        <v>42734</v>
      </c>
      <c r="B111" s="862" t="s">
        <v>14</v>
      </c>
      <c r="C111" s="350" t="s">
        <v>12</v>
      </c>
      <c r="D111" s="141" t="s">
        <v>13</v>
      </c>
      <c r="E111" s="97">
        <v>3.71</v>
      </c>
      <c r="F111" s="946"/>
      <c r="G111" s="95"/>
      <c r="H111" s="946"/>
    </row>
    <row r="112" spans="1:8" hidden="1" x14ac:dyDescent="0.25">
      <c r="A112" s="215">
        <v>42735</v>
      </c>
      <c r="B112" s="862"/>
      <c r="C112" s="879"/>
      <c r="D112" s="887"/>
      <c r="E112" s="250"/>
      <c r="F112" s="946"/>
      <c r="G112" s="95"/>
      <c r="H112" s="946"/>
    </row>
    <row r="113" spans="1:8" ht="25.5" hidden="1" customHeight="1" thickBot="1" x14ac:dyDescent="0.3">
      <c r="A113" s="3060"/>
      <c r="B113" s="3061"/>
      <c r="C113" s="3062"/>
      <c r="D113" s="3062"/>
      <c r="E113" s="100">
        <f>SUM(E6:E112)</f>
        <v>6284.0099999999993</v>
      </c>
      <c r="F113" s="1065">
        <f>SUM(F5:F112)</f>
        <v>9176.5600000000013</v>
      </c>
      <c r="G113" s="101">
        <f>SUM(G6:G112)</f>
        <v>1470</v>
      </c>
      <c r="H113" s="93">
        <f>SUM(H5:H112)</f>
        <v>3280.4960000000001</v>
      </c>
    </row>
    <row r="114" spans="1:8" ht="25.5" hidden="1" customHeight="1" thickBot="1" x14ac:dyDescent="0.3">
      <c r="A114" s="3117" t="s">
        <v>49</v>
      </c>
      <c r="B114" s="3118"/>
      <c r="C114" s="3118"/>
      <c r="D114" s="3119"/>
      <c r="E114" s="144"/>
      <c r="F114" s="519">
        <f>F113-E113</f>
        <v>2892.550000000002</v>
      </c>
      <c r="G114" s="555"/>
      <c r="H114" s="556">
        <f>H113-G113</f>
        <v>1810.4960000000001</v>
      </c>
    </row>
    <row r="115" spans="1:8" x14ac:dyDescent="0.25">
      <c r="F115" s="89"/>
    </row>
    <row r="116" spans="1:8" x14ac:dyDescent="0.25">
      <c r="B116" s="79" t="s">
        <v>32</v>
      </c>
      <c r="C116" s="475">
        <v>327.5</v>
      </c>
    </row>
    <row r="117" spans="1:8" x14ac:dyDescent="0.25">
      <c r="B117" s="79" t="s">
        <v>1218</v>
      </c>
      <c r="C117" s="475">
        <v>410</v>
      </c>
      <c r="D117" s="79"/>
    </row>
    <row r="118" spans="1:8" x14ac:dyDescent="0.25">
      <c r="B118" s="79" t="s">
        <v>50</v>
      </c>
      <c r="C118" s="484">
        <v>199.58</v>
      </c>
    </row>
    <row r="119" spans="1:8" s="85" customFormat="1" x14ac:dyDescent="0.25">
      <c r="A119" s="79"/>
      <c r="B119" s="79" t="s">
        <v>14</v>
      </c>
      <c r="C119" s="484">
        <v>206.13</v>
      </c>
      <c r="E119" s="89"/>
      <c r="F119" s="79"/>
      <c r="G119" s="79"/>
    </row>
    <row r="120" spans="1:8" s="85" customFormat="1" x14ac:dyDescent="0.25">
      <c r="A120" s="79"/>
      <c r="B120" s="79" t="s">
        <v>51</v>
      </c>
      <c r="C120" s="475">
        <v>107</v>
      </c>
      <c r="E120" s="89"/>
      <c r="F120" s="79"/>
      <c r="G120" s="79"/>
      <c r="H120" s="79"/>
    </row>
    <row r="121" spans="1:8" s="85" customFormat="1" x14ac:dyDescent="0.25">
      <c r="A121" s="79"/>
      <c r="B121" s="79" t="s">
        <v>52</v>
      </c>
      <c r="C121" s="475">
        <v>60</v>
      </c>
      <c r="E121" s="89"/>
      <c r="F121" s="79"/>
      <c r="G121" s="79"/>
      <c r="H121" s="79"/>
    </row>
    <row r="122" spans="1:8" s="85" customFormat="1" x14ac:dyDescent="0.25">
      <c r="A122" s="79"/>
      <c r="B122" s="867" t="s">
        <v>53</v>
      </c>
      <c r="C122" s="475">
        <v>1204.8699999999999</v>
      </c>
      <c r="D122" s="89"/>
      <c r="E122" s="89"/>
      <c r="F122" s="79"/>
      <c r="G122" s="79"/>
      <c r="H122" s="79"/>
    </row>
    <row r="123" spans="1:8" s="85" customFormat="1" x14ac:dyDescent="0.25">
      <c r="A123" s="79"/>
      <c r="B123" s="79" t="s">
        <v>1232</v>
      </c>
      <c r="C123" s="475">
        <v>568.53</v>
      </c>
      <c r="E123" s="89"/>
      <c r="F123" s="79"/>
      <c r="G123" s="79"/>
      <c r="H123" s="79"/>
    </row>
    <row r="124" spans="1:8" s="85" customFormat="1" x14ac:dyDescent="0.25">
      <c r="A124" s="79"/>
      <c r="B124" s="79" t="s">
        <v>56</v>
      </c>
      <c r="C124" s="475"/>
      <c r="E124" s="89"/>
      <c r="F124" s="79"/>
      <c r="G124" s="79"/>
      <c r="H124" s="79"/>
    </row>
    <row r="125" spans="1:8" s="85" customFormat="1" x14ac:dyDescent="0.25">
      <c r="A125" s="79"/>
      <c r="B125" s="79" t="s">
        <v>57</v>
      </c>
      <c r="C125" s="475">
        <v>296.88</v>
      </c>
      <c r="E125" s="89"/>
      <c r="F125" s="79"/>
      <c r="G125" s="79"/>
      <c r="H125" s="79"/>
    </row>
    <row r="126" spans="1:8" s="85" customFormat="1" x14ac:dyDescent="0.25">
      <c r="A126" s="79"/>
      <c r="B126" s="79" t="s">
        <v>418</v>
      </c>
      <c r="C126" s="475"/>
      <c r="D126" s="79"/>
      <c r="E126" s="89"/>
    </row>
    <row r="127" spans="1:8" x14ac:dyDescent="0.25">
      <c r="B127" s="79" t="s">
        <v>419</v>
      </c>
      <c r="C127" s="475">
        <v>771.41</v>
      </c>
    </row>
    <row r="128" spans="1:8" x14ac:dyDescent="0.25">
      <c r="B128" s="79" t="s">
        <v>911</v>
      </c>
      <c r="C128" s="475">
        <v>55.98</v>
      </c>
    </row>
    <row r="130" spans="2:9" x14ac:dyDescent="0.25">
      <c r="B130" s="79" t="s">
        <v>486</v>
      </c>
      <c r="C130" s="475">
        <f>G130/I130</f>
        <v>149.06483870967742</v>
      </c>
      <c r="E130" s="224" t="s">
        <v>487</v>
      </c>
      <c r="F130" s="224"/>
      <c r="G130" s="216">
        <v>4621.01</v>
      </c>
      <c r="H130" s="518" t="s">
        <v>488</v>
      </c>
      <c r="I130" s="85">
        <v>31</v>
      </c>
    </row>
    <row r="133" spans="2:9" x14ac:dyDescent="0.25">
      <c r="I133" s="85"/>
    </row>
    <row r="141" spans="2:9" x14ac:dyDescent="0.25">
      <c r="C141" s="79"/>
      <c r="D141" s="79"/>
      <c r="E141" s="79"/>
      <c r="H141" s="216"/>
    </row>
    <row r="142" spans="2:9" x14ac:dyDescent="0.25">
      <c r="C142" s="79"/>
      <c r="D142" s="79"/>
      <c r="E142" s="79"/>
      <c r="H142" s="216"/>
    </row>
    <row r="143" spans="2:9" x14ac:dyDescent="0.25">
      <c r="C143" s="79"/>
      <c r="D143" s="79"/>
      <c r="E143" s="79"/>
      <c r="F143" s="216"/>
      <c r="H143" s="216"/>
    </row>
    <row r="144" spans="2:9" x14ac:dyDescent="0.25">
      <c r="C144" s="79"/>
      <c r="D144" s="79"/>
      <c r="E144" s="79"/>
      <c r="F144" s="216"/>
      <c r="H144" s="216"/>
    </row>
    <row r="145" spans="3:8" x14ac:dyDescent="0.25">
      <c r="C145" s="79"/>
      <c r="D145" s="79"/>
      <c r="E145" s="79"/>
      <c r="F145" s="216"/>
    </row>
    <row r="146" spans="3:8" x14ac:dyDescent="0.25">
      <c r="C146" s="79"/>
      <c r="D146" s="79"/>
      <c r="E146" s="79"/>
      <c r="H146" s="216"/>
    </row>
    <row r="148" spans="3:8" x14ac:dyDescent="0.25">
      <c r="C148" s="79"/>
      <c r="D148" s="79"/>
      <c r="E148" s="79"/>
      <c r="H148" s="629"/>
    </row>
    <row r="154" spans="3:8" x14ac:dyDescent="0.25">
      <c r="C154" s="79"/>
      <c r="D154" s="79"/>
      <c r="E154" s="79"/>
      <c r="H154" s="216"/>
    </row>
    <row r="155" spans="3:8" x14ac:dyDescent="0.25">
      <c r="C155" s="79"/>
      <c r="D155" s="79"/>
      <c r="E155" s="79"/>
      <c r="H155" s="216"/>
    </row>
    <row r="156" spans="3:8" x14ac:dyDescent="0.25">
      <c r="C156" s="79"/>
      <c r="D156" s="79"/>
      <c r="E156" s="79"/>
      <c r="H156" s="216"/>
    </row>
    <row r="157" spans="3:8" x14ac:dyDescent="0.25">
      <c r="C157" s="79"/>
      <c r="D157" s="79"/>
      <c r="E157" s="79"/>
      <c r="H157" s="216"/>
    </row>
    <row r="158" spans="3:8" x14ac:dyDescent="0.25">
      <c r="C158" s="79"/>
      <c r="D158" s="79"/>
      <c r="E158" s="79"/>
      <c r="H158" s="216"/>
    </row>
    <row r="159" spans="3:8" x14ac:dyDescent="0.25">
      <c r="C159" s="79"/>
      <c r="D159" s="79"/>
      <c r="E159" s="79"/>
      <c r="H159" s="216"/>
    </row>
    <row r="160" spans="3:8" x14ac:dyDescent="0.25">
      <c r="C160" s="79"/>
      <c r="D160" s="79"/>
      <c r="E160" s="79"/>
      <c r="H160" s="216"/>
    </row>
    <row r="161" spans="3:8" x14ac:dyDescent="0.25">
      <c r="C161" s="79"/>
      <c r="D161" s="79"/>
      <c r="E161" s="79"/>
      <c r="H161" s="216"/>
    </row>
    <row r="162" spans="3:8" x14ac:dyDescent="0.25">
      <c r="C162" s="79"/>
      <c r="D162" s="79"/>
      <c r="E162" s="79"/>
      <c r="H162" s="216"/>
    </row>
  </sheetData>
  <autoFilter ref="A2:H114" xr:uid="{00000000-0009-0000-0000-000036000000}">
    <filterColumn colId="1">
      <filters>
        <filter val="IPVA 2017 (parcela única)"/>
      </filters>
    </filterColumn>
  </autoFilter>
  <mergeCells count="10">
    <mergeCell ref="A113:D113"/>
    <mergeCell ref="A114:D114"/>
    <mergeCell ref="A1:D1"/>
    <mergeCell ref="E1:H1"/>
    <mergeCell ref="A2:A4"/>
    <mergeCell ref="B2:B4"/>
    <mergeCell ref="C2:C4"/>
    <mergeCell ref="D2:D4"/>
    <mergeCell ref="E2:F3"/>
    <mergeCell ref="G2:H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Plan68"/>
  <dimension ref="A1:Q72"/>
  <sheetViews>
    <sheetView zoomScale="85" zoomScaleNormal="85" workbookViewId="0">
      <selection activeCell="C44" sqref="C44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bestFit="1" customWidth="1"/>
    <col min="9" max="11" width="13.85546875" style="79" bestFit="1" customWidth="1"/>
    <col min="12" max="12" width="14.28515625" style="79" bestFit="1" customWidth="1"/>
    <col min="13" max="13" width="16.42578125" style="79" customWidth="1"/>
    <col min="14" max="14" width="17.7109375" style="79" bestFit="1" customWidth="1"/>
    <col min="15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1476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296.83666666666664</v>
      </c>
      <c r="C3" s="332">
        <f t="shared" ref="C3:C15" si="0">D3+E3+F3+G3+H3+I3+J3+K3+L3+M3+N3+O3</f>
        <v>3562.04</v>
      </c>
      <c r="D3" s="588">
        <f>'Janeiro-16'!C94</f>
        <v>268</v>
      </c>
      <c r="E3" s="547">
        <f>'Fevereiro-16'!C97</f>
        <v>269.5</v>
      </c>
      <c r="F3" s="549">
        <f>'Março-16'!C110</f>
        <v>289</v>
      </c>
      <c r="G3" s="588">
        <f>'Abril-16'!C108</f>
        <v>228</v>
      </c>
      <c r="H3" s="549">
        <f>'Maio-16'!C95</f>
        <v>306.5</v>
      </c>
      <c r="I3" s="588">
        <f>'Junho-16'!C106</f>
        <v>277</v>
      </c>
      <c r="J3" s="549">
        <f>'Julho-16'!C111</f>
        <v>303</v>
      </c>
      <c r="K3" s="549">
        <f>'Agosto-16'!C108</f>
        <v>329</v>
      </c>
      <c r="L3" s="549">
        <f>'Setembro-16'!C109</f>
        <v>332.5</v>
      </c>
      <c r="M3" s="565">
        <f>'Outubro-16'!C113</f>
        <v>320.04000000000002</v>
      </c>
      <c r="N3" s="565">
        <f>'Novembro-16'!C116</f>
        <v>312</v>
      </c>
      <c r="O3" s="561">
        <f>'Dezembro-16'!C116</f>
        <v>327.5</v>
      </c>
      <c r="P3" s="329"/>
    </row>
    <row r="4" spans="1:16" x14ac:dyDescent="0.25">
      <c r="A4" s="329" t="s">
        <v>1218</v>
      </c>
      <c r="B4" s="336">
        <f t="shared" ref="B4:B15" si="1">C4/12</f>
        <v>312.37</v>
      </c>
      <c r="C4" s="332">
        <f t="shared" si="0"/>
        <v>3748.44</v>
      </c>
      <c r="D4" s="588">
        <f>'Janeiro-16'!C95</f>
        <v>278.44</v>
      </c>
      <c r="E4" s="547">
        <f>'Fevereiro-16'!C98</f>
        <v>300</v>
      </c>
      <c r="F4" s="549">
        <f>'Março-16'!C111</f>
        <v>320</v>
      </c>
      <c r="G4" s="588">
        <f>'Abril-16'!C109</f>
        <v>320</v>
      </c>
      <c r="H4" s="588">
        <f>'Maio-16'!C96</f>
        <v>320</v>
      </c>
      <c r="I4" s="588">
        <f>'Junho-16'!C107</f>
        <v>220</v>
      </c>
      <c r="J4" s="549">
        <f>'Julho-16'!C112</f>
        <v>280</v>
      </c>
      <c r="K4" s="549">
        <f>'Agosto-16'!C109</f>
        <v>330</v>
      </c>
      <c r="L4" s="588">
        <f>'Setembro-16'!C110</f>
        <v>320</v>
      </c>
      <c r="M4" s="561">
        <f>'Outubro-16'!C114</f>
        <v>330</v>
      </c>
      <c r="N4" s="565">
        <f>'Novembro-16'!C117</f>
        <v>320</v>
      </c>
      <c r="O4" s="561">
        <f>'Dezembro-16'!C117</f>
        <v>410</v>
      </c>
      <c r="P4" s="329"/>
    </row>
    <row r="5" spans="1:16" x14ac:dyDescent="0.25">
      <c r="A5" s="329" t="s">
        <v>50</v>
      </c>
      <c r="B5" s="336">
        <f t="shared" si="1"/>
        <v>139.3475</v>
      </c>
      <c r="C5" s="332">
        <f t="shared" si="0"/>
        <v>1672.17</v>
      </c>
      <c r="D5" s="588">
        <f>'Janeiro-16'!C96</f>
        <v>82.18</v>
      </c>
      <c r="E5" s="587">
        <f>'Fevereiro-16'!C99</f>
        <v>69.69</v>
      </c>
      <c r="F5" s="549">
        <f>'Março-16'!C112</f>
        <v>112.11</v>
      </c>
      <c r="G5" s="588">
        <f>'Abril-16'!C110</f>
        <v>55.54</v>
      </c>
      <c r="H5" s="549">
        <f>'Maio-16'!C97</f>
        <v>69.2</v>
      </c>
      <c r="I5" s="549">
        <f>'Junho-16'!C108</f>
        <v>98.97</v>
      </c>
      <c r="J5" s="549">
        <f>'Julho-16'!C113</f>
        <v>168.39</v>
      </c>
      <c r="K5" s="549">
        <f>'Agosto-16'!C110</f>
        <v>205.71</v>
      </c>
      <c r="L5" s="588">
        <f>'Setembro-16'!C111</f>
        <v>150.80000000000001</v>
      </c>
      <c r="M5" s="561">
        <f>'Outubro-16'!C115</f>
        <v>270.10000000000002</v>
      </c>
      <c r="N5" s="565">
        <f>'Novembro-16'!C118</f>
        <v>189.9</v>
      </c>
      <c r="O5" s="561">
        <f>'Dezembro-16'!C118</f>
        <v>199.58</v>
      </c>
      <c r="P5" s="329"/>
    </row>
    <row r="6" spans="1:16" x14ac:dyDescent="0.25">
      <c r="A6" s="329" t="s">
        <v>14</v>
      </c>
      <c r="B6" s="336">
        <f t="shared" si="1"/>
        <v>174.26333333333332</v>
      </c>
      <c r="C6" s="332">
        <f t="shared" si="0"/>
        <v>2091.16</v>
      </c>
      <c r="D6" s="588">
        <f>'Janeiro-16'!C97</f>
        <v>174.24</v>
      </c>
      <c r="E6" s="587">
        <f>'Fevereiro-16'!C100</f>
        <v>119.36</v>
      </c>
      <c r="F6" s="588">
        <f>'Março-16'!C113</f>
        <v>115.74</v>
      </c>
      <c r="G6" s="549">
        <f>'Abril-16'!C111</f>
        <v>186.55</v>
      </c>
      <c r="H6" s="588">
        <f>'Maio-16'!C98</f>
        <v>134.44</v>
      </c>
      <c r="I6" s="549">
        <f>'Junho-16'!C109</f>
        <v>212.53</v>
      </c>
      <c r="J6" s="549">
        <f>'Julho-16'!C114</f>
        <v>259.14</v>
      </c>
      <c r="K6" s="588">
        <f>'Agosto-16'!C111</f>
        <v>244.34</v>
      </c>
      <c r="L6" s="588">
        <f>'Setembro-16'!C112</f>
        <v>136.5</v>
      </c>
      <c r="M6" s="565">
        <f>'Outubro-16'!C116</f>
        <v>108.96</v>
      </c>
      <c r="N6" s="561">
        <f>'Novembro-16'!C119</f>
        <v>193.23</v>
      </c>
      <c r="O6" s="561">
        <f>'Dezembro-16'!C119</f>
        <v>206.13</v>
      </c>
      <c r="P6" s="329"/>
    </row>
    <row r="7" spans="1:16" x14ac:dyDescent="0.25">
      <c r="A7" s="329" t="s">
        <v>358</v>
      </c>
      <c r="B7" s="336">
        <f t="shared" si="1"/>
        <v>103.30916666666667</v>
      </c>
      <c r="C7" s="332">
        <f t="shared" si="0"/>
        <v>1239.71</v>
      </c>
      <c r="D7" s="588">
        <f>'Janeiro-16'!C98</f>
        <v>116.69</v>
      </c>
      <c r="E7" s="587">
        <f>'Fevereiro-16'!C101</f>
        <v>75.790000000000006</v>
      </c>
      <c r="F7" s="588">
        <f>'Março-16'!C114</f>
        <v>70.92</v>
      </c>
      <c r="G7" s="549">
        <f>'Abril-16'!C112</f>
        <v>108.77</v>
      </c>
      <c r="H7" s="588">
        <f>'Maio-16'!C99</f>
        <v>105.72</v>
      </c>
      <c r="I7" s="549">
        <f>'Junho-16'!C110</f>
        <v>116.28</v>
      </c>
      <c r="J7" s="588">
        <f>'Julho-16'!C115</f>
        <v>115.36</v>
      </c>
      <c r="K7" s="588">
        <f>'Agosto-16'!C112</f>
        <v>114.41</v>
      </c>
      <c r="L7" s="549">
        <f>'Setembro-16'!C113</f>
        <v>145.24</v>
      </c>
      <c r="M7" s="565">
        <f>'Outubro-16'!C117</f>
        <v>53</v>
      </c>
      <c r="N7" s="561">
        <f>'Novembro-16'!C120</f>
        <v>110.53</v>
      </c>
      <c r="O7" s="565">
        <f>'Dezembro-16'!C120</f>
        <v>107</v>
      </c>
      <c r="P7" s="329"/>
    </row>
    <row r="8" spans="1:16" x14ac:dyDescent="0.25">
      <c r="A8" s="329" t="s">
        <v>52</v>
      </c>
      <c r="B8" s="336">
        <f t="shared" si="1"/>
        <v>50</v>
      </c>
      <c r="C8" s="332">
        <f t="shared" si="0"/>
        <v>600</v>
      </c>
      <c r="D8" s="588">
        <f>'Janeiro-16'!C99</f>
        <v>0</v>
      </c>
      <c r="E8" s="587">
        <f>'Fevereiro-16'!C102</f>
        <v>0</v>
      </c>
      <c r="F8" s="549">
        <f>'Março-16'!C115</f>
        <v>60</v>
      </c>
      <c r="G8" s="588">
        <f>'Abril-16'!C113</f>
        <v>60</v>
      </c>
      <c r="H8" s="588">
        <f>'Maio-16'!C100</f>
        <v>60</v>
      </c>
      <c r="I8" s="588">
        <f>'Junho-16'!C111</f>
        <v>60</v>
      </c>
      <c r="J8" s="588">
        <f>'Julho-16'!C116</f>
        <v>60</v>
      </c>
      <c r="K8" s="588">
        <f>'Agosto-16'!C113</f>
        <v>60</v>
      </c>
      <c r="L8" s="588">
        <f>'Setembro-16'!C114</f>
        <v>60</v>
      </c>
      <c r="M8" s="565">
        <f>'Outubro-16'!C118</f>
        <v>60</v>
      </c>
      <c r="N8" s="565">
        <f>'Novembro-16'!C121</f>
        <v>60</v>
      </c>
      <c r="O8" s="565">
        <f>'Dezembro-16'!C121</f>
        <v>60</v>
      </c>
      <c r="P8" s="329"/>
    </row>
    <row r="9" spans="1:16" x14ac:dyDescent="0.25">
      <c r="A9" s="329" t="s">
        <v>53</v>
      </c>
      <c r="B9" s="336">
        <f t="shared" si="1"/>
        <v>436.07833333333338</v>
      </c>
      <c r="C9" s="332">
        <f t="shared" si="0"/>
        <v>5232.9400000000005</v>
      </c>
      <c r="D9" s="588">
        <f>'Janeiro-16'!C100</f>
        <v>192.29</v>
      </c>
      <c r="E9" s="547">
        <f>'Fevereiro-16'!C103</f>
        <v>297</v>
      </c>
      <c r="F9" s="588">
        <f>'Março-16'!C116</f>
        <v>240</v>
      </c>
      <c r="G9" s="549">
        <f>'Abril-16'!C114</f>
        <v>313.88</v>
      </c>
      <c r="H9" s="549">
        <f>'Maio-16'!C101</f>
        <v>619.88</v>
      </c>
      <c r="I9" s="588">
        <f>'Junho-16'!C112</f>
        <v>382</v>
      </c>
      <c r="J9" s="588">
        <f>'Julho-16'!C117</f>
        <v>223</v>
      </c>
      <c r="K9" s="588">
        <f>'Agosto-16'!C114</f>
        <v>183</v>
      </c>
      <c r="L9" s="549">
        <f>'Setembro-16'!C115</f>
        <v>400</v>
      </c>
      <c r="M9" s="565">
        <f>'Outubro-16'!C119</f>
        <v>375</v>
      </c>
      <c r="N9" s="561">
        <f>'Novembro-16'!C122</f>
        <v>802.02</v>
      </c>
      <c r="O9" s="561">
        <f>'Dezembro-16'!C122</f>
        <v>1204.8699999999999</v>
      </c>
      <c r="P9" s="329"/>
    </row>
    <row r="10" spans="1:16" x14ac:dyDescent="0.25">
      <c r="A10" s="329" t="s">
        <v>1232</v>
      </c>
      <c r="B10" s="336">
        <f t="shared" si="1"/>
        <v>568.52999999999986</v>
      </c>
      <c r="C10" s="332">
        <f t="shared" si="0"/>
        <v>6822.3599999999979</v>
      </c>
      <c r="D10" s="588">
        <f>'Janeiro-16'!C101</f>
        <v>568.53</v>
      </c>
      <c r="E10" s="587">
        <f>'Fevereiro-16'!C104</f>
        <v>568.53</v>
      </c>
      <c r="F10" s="588">
        <v>568.53</v>
      </c>
      <c r="G10" s="588">
        <f>'Abril-16'!C115</f>
        <v>568.53</v>
      </c>
      <c r="H10" s="588">
        <f>'Maio-16'!C102</f>
        <v>568.53</v>
      </c>
      <c r="I10" s="588">
        <f>'Junho-16'!C113</f>
        <v>568.53</v>
      </c>
      <c r="J10" s="588">
        <f>'Julho-16'!C118</f>
        <v>568.53</v>
      </c>
      <c r="K10" s="588">
        <f>'Agosto-16'!C115</f>
        <v>568.53</v>
      </c>
      <c r="L10" s="588">
        <f>'Setembro-16'!C116</f>
        <v>568.53</v>
      </c>
      <c r="M10" s="565">
        <f>'Outubro-16'!C120</f>
        <v>568.53</v>
      </c>
      <c r="N10" s="565">
        <f>'Novembro-16'!C123</f>
        <v>568.53</v>
      </c>
      <c r="O10" s="565">
        <f>'Dezembro-16'!C123</f>
        <v>568.53</v>
      </c>
      <c r="P10" s="329"/>
    </row>
    <row r="11" spans="1:16" x14ac:dyDescent="0.25">
      <c r="A11" s="329" t="s">
        <v>56</v>
      </c>
      <c r="B11" s="336">
        <f t="shared" si="1"/>
        <v>25.753333333333334</v>
      </c>
      <c r="C11" s="332">
        <f t="shared" si="0"/>
        <v>309.04000000000002</v>
      </c>
      <c r="D11" s="587">
        <f>'Janeiro-16'!C102</f>
        <v>0</v>
      </c>
      <c r="E11" s="547">
        <f>'Fevereiro-16'!C105</f>
        <v>63</v>
      </c>
      <c r="F11" s="588">
        <f>'Março-16'!C118</f>
        <v>0</v>
      </c>
      <c r="G11" s="561">
        <f>'Abril-16'!C116</f>
        <v>76.44</v>
      </c>
      <c r="H11" s="565">
        <f>'Maio-16'!C103</f>
        <v>0</v>
      </c>
      <c r="I11" s="561">
        <f>'Junho-16'!C114</f>
        <v>55</v>
      </c>
      <c r="J11" s="565">
        <f>'Julho-16'!C119</f>
        <v>29</v>
      </c>
      <c r="K11" s="561">
        <f>'Agosto-16'!C116</f>
        <v>63</v>
      </c>
      <c r="L11" s="565">
        <f>'Setembro-16'!C117</f>
        <v>0</v>
      </c>
      <c r="M11" s="561">
        <f>'Outubro-16'!C121</f>
        <v>10</v>
      </c>
      <c r="N11" s="565">
        <f>'Novembro-16'!C124</f>
        <v>12.6</v>
      </c>
      <c r="O11" s="565">
        <f>'Dezembro-16'!C124</f>
        <v>0</v>
      </c>
      <c r="P11" s="329"/>
    </row>
    <row r="12" spans="1:16" x14ac:dyDescent="0.25">
      <c r="A12" s="329" t="s">
        <v>57</v>
      </c>
      <c r="B12" s="336">
        <f t="shared" si="1"/>
        <v>262.41500000000002</v>
      </c>
      <c r="C12" s="332">
        <f t="shared" si="0"/>
        <v>3148.98</v>
      </c>
      <c r="D12" s="586">
        <f>'Janeiro-16'!C103</f>
        <v>40</v>
      </c>
      <c r="E12" s="547">
        <f>'Fevereiro-16'!C106</f>
        <v>241.38</v>
      </c>
      <c r="F12" s="588">
        <f>'Março-16'!C119</f>
        <v>239.17</v>
      </c>
      <c r="G12" s="561">
        <f>'Abril-16'!C117</f>
        <v>307.68</v>
      </c>
      <c r="H12" s="565">
        <f>'Maio-16'!C104</f>
        <v>213.04</v>
      </c>
      <c r="I12" s="561">
        <f>'Junho-16'!C115</f>
        <v>373.04</v>
      </c>
      <c r="J12" s="565">
        <f>'Julho-16'!C120</f>
        <v>300.33999999999997</v>
      </c>
      <c r="K12" s="561">
        <f>'Agosto-16'!C117</f>
        <v>315.19</v>
      </c>
      <c r="L12" s="561">
        <f>'Setembro-16'!C118</f>
        <v>335.21</v>
      </c>
      <c r="M12" s="565">
        <f>'Outubro-16'!C122</f>
        <v>331.13</v>
      </c>
      <c r="N12" s="565">
        <f>'Novembro-16'!C125</f>
        <v>155.91999999999999</v>
      </c>
      <c r="O12" s="561">
        <f>'Dezembro-16'!C125</f>
        <v>296.88</v>
      </c>
    </row>
    <row r="13" spans="1:16" x14ac:dyDescent="0.25">
      <c r="A13" s="329" t="s">
        <v>418</v>
      </c>
      <c r="B13" s="336">
        <f t="shared" si="1"/>
        <v>0</v>
      </c>
      <c r="C13" s="332">
        <f t="shared" si="0"/>
        <v>0</v>
      </c>
      <c r="D13" s="586">
        <f>'Janeiro-16'!C104</f>
        <v>0</v>
      </c>
      <c r="E13" s="587">
        <f>'Fevereiro-16'!C107</f>
        <v>0</v>
      </c>
      <c r="F13" s="588">
        <f>'Março-16'!C120</f>
        <v>0</v>
      </c>
      <c r="G13" s="565">
        <f>'Abril-16'!C118</f>
        <v>0</v>
      </c>
      <c r="H13" s="565">
        <f>'Maio-16'!C105</f>
        <v>0</v>
      </c>
      <c r="I13" s="565">
        <f>'Junho-16'!C116</f>
        <v>0</v>
      </c>
      <c r="J13" s="565">
        <f>'Julho-16'!C121</f>
        <v>0</v>
      </c>
      <c r="K13" s="565">
        <f>'Agosto-16'!C118</f>
        <v>0</v>
      </c>
      <c r="L13" s="565">
        <f>'Setembro-16'!C119</f>
        <v>0</v>
      </c>
      <c r="M13" s="565">
        <f>'Outubro-16'!C123</f>
        <v>0</v>
      </c>
      <c r="N13" s="565">
        <f>'Novembro-16'!C126</f>
        <v>0</v>
      </c>
      <c r="O13" s="565">
        <f>'Dezembro-16'!C126</f>
        <v>0</v>
      </c>
    </row>
    <row r="14" spans="1:16" x14ac:dyDescent="0.25">
      <c r="A14" s="329" t="s">
        <v>419</v>
      </c>
      <c r="B14" s="336">
        <f t="shared" si="1"/>
        <v>693.3991666666667</v>
      </c>
      <c r="C14" s="332">
        <f t="shared" si="0"/>
        <v>8320.7900000000009</v>
      </c>
      <c r="D14" s="586">
        <f>'Janeiro-16'!C105</f>
        <v>572.04</v>
      </c>
      <c r="E14" s="547">
        <f>'Fevereiro-16'!C108</f>
        <v>856.97</v>
      </c>
      <c r="F14" s="588">
        <f>'Março-16'!C121</f>
        <v>826.21</v>
      </c>
      <c r="G14" s="565">
        <f>'Abril-16'!C119</f>
        <v>502.24</v>
      </c>
      <c r="H14" s="561">
        <f>'Maio-16'!C106</f>
        <v>626.79999999999995</v>
      </c>
      <c r="I14" s="561">
        <f>'Junho-16'!C117</f>
        <v>706.62</v>
      </c>
      <c r="J14" s="561">
        <f>'Julho-16'!C122</f>
        <v>797.11</v>
      </c>
      <c r="K14" s="565">
        <f>'Agosto-16'!C119</f>
        <v>632.87</v>
      </c>
      <c r="L14" s="561">
        <f>'Setembro-16'!C120</f>
        <v>773.84</v>
      </c>
      <c r="M14" s="565">
        <f>'Outubro-16'!C124</f>
        <v>674.18</v>
      </c>
      <c r="N14" s="565">
        <f>'Novembro-16'!C127</f>
        <v>580.5</v>
      </c>
      <c r="O14" s="561">
        <f>'Dezembro-16'!C127</f>
        <v>771.41</v>
      </c>
    </row>
    <row r="15" spans="1:16" x14ac:dyDescent="0.25">
      <c r="A15" s="329" t="s">
        <v>911</v>
      </c>
      <c r="B15" s="336">
        <f t="shared" si="1"/>
        <v>22.35083333333333</v>
      </c>
      <c r="C15" s="332">
        <f t="shared" si="0"/>
        <v>268.20999999999998</v>
      </c>
      <c r="D15" s="586">
        <f>'Janeiro-16'!C106</f>
        <v>0</v>
      </c>
      <c r="E15" s="547">
        <f>'Fevereiro-16'!C109</f>
        <v>76.63</v>
      </c>
      <c r="F15" s="588">
        <f>'Março-16'!C122</f>
        <v>31.7</v>
      </c>
      <c r="G15" s="565">
        <f>'Abril-16'!C120</f>
        <v>0</v>
      </c>
      <c r="H15" s="565">
        <f>'Maio-16'!C107</f>
        <v>0</v>
      </c>
      <c r="I15" s="561">
        <f>'Junho-16'!C118</f>
        <v>17</v>
      </c>
      <c r="J15" s="565">
        <f>'Julho-16'!C123</f>
        <v>0</v>
      </c>
      <c r="K15" s="565">
        <f>'Agosto-16'!C120</f>
        <v>0</v>
      </c>
      <c r="L15" s="561">
        <f>'Setembro-16'!C121</f>
        <v>4</v>
      </c>
      <c r="M15" s="565">
        <f>'Outubro-16'!C125</f>
        <v>0</v>
      </c>
      <c r="N15" s="561">
        <f>'Novembro-16'!C128</f>
        <v>82.9</v>
      </c>
      <c r="O15" s="565">
        <f>'Dezembro-16'!C128</f>
        <v>55.98</v>
      </c>
    </row>
    <row r="16" spans="1:16" ht="15.75" x14ac:dyDescent="0.25">
      <c r="A16" s="389" t="s">
        <v>361</v>
      </c>
      <c r="B16" s="551">
        <f t="shared" ref="B16:O16" si="2">SUM(B3:B15)</f>
        <v>3084.6533333333332</v>
      </c>
      <c r="C16" s="552">
        <f t="shared" si="2"/>
        <v>37015.839999999997</v>
      </c>
      <c r="D16" s="391">
        <f t="shared" ref="D16:N16" si="3">SUM(D3:D15)</f>
        <v>2292.41</v>
      </c>
      <c r="E16" s="391">
        <f t="shared" si="3"/>
        <v>2937.8500000000004</v>
      </c>
      <c r="F16" s="391">
        <f t="shared" si="3"/>
        <v>2873.38</v>
      </c>
      <c r="G16" s="391">
        <f t="shared" si="3"/>
        <v>2727.63</v>
      </c>
      <c r="H16" s="391">
        <f t="shared" si="3"/>
        <v>3024.1100000000006</v>
      </c>
      <c r="I16" s="391">
        <f t="shared" si="3"/>
        <v>3086.97</v>
      </c>
      <c r="J16" s="391">
        <f t="shared" si="3"/>
        <v>3103.87</v>
      </c>
      <c r="K16" s="391">
        <f t="shared" si="3"/>
        <v>3046.0499999999997</v>
      </c>
      <c r="L16" s="391">
        <f t="shared" si="3"/>
        <v>3226.62</v>
      </c>
      <c r="M16" s="391">
        <f t="shared" si="3"/>
        <v>3100.94</v>
      </c>
      <c r="N16" s="391">
        <f t="shared" si="3"/>
        <v>3388.13</v>
      </c>
      <c r="O16" s="616">
        <f t="shared" si="2"/>
        <v>4207.8799999999992</v>
      </c>
    </row>
    <row r="29" spans="1:17" s="200" customFormat="1" ht="17.25" customHeight="1" x14ac:dyDescent="0.3">
      <c r="A29" s="198" t="s">
        <v>362</v>
      </c>
      <c r="B29" s="199">
        <v>3550</v>
      </c>
      <c r="C29" s="196"/>
      <c r="D29" s="196"/>
      <c r="E29" s="196"/>
      <c r="F29" s="196"/>
      <c r="G29" s="196"/>
      <c r="H29" s="196"/>
      <c r="I29" s="196"/>
      <c r="J29" s="196"/>
      <c r="K29" s="196"/>
      <c r="L29" s="196"/>
      <c r="M29" s="196"/>
    </row>
    <row r="30" spans="1:17" s="200" customFormat="1" ht="17.25" customHeight="1" x14ac:dyDescent="0.3">
      <c r="A30" s="198"/>
      <c r="B30" s="199"/>
      <c r="C30" s="196"/>
      <c r="D30" s="196"/>
      <c r="E30" s="196"/>
      <c r="F30" s="196"/>
      <c r="G30" s="196"/>
      <c r="H30" s="196"/>
      <c r="I30" s="196"/>
      <c r="J30" s="196"/>
      <c r="K30" s="196"/>
      <c r="L30" s="196"/>
      <c r="M30" s="196"/>
      <c r="N30" s="196"/>
    </row>
    <row r="31" spans="1:17" ht="15.75" x14ac:dyDescent="0.25">
      <c r="A31" s="197" t="s">
        <v>1477</v>
      </c>
      <c r="B31" s="278" t="s">
        <v>345</v>
      </c>
      <c r="C31" s="193" t="s">
        <v>346</v>
      </c>
      <c r="D31" s="195" t="s">
        <v>347</v>
      </c>
      <c r="E31" s="195" t="s">
        <v>348</v>
      </c>
      <c r="F31" s="195" t="s">
        <v>349</v>
      </c>
      <c r="G31" s="195" t="s">
        <v>364</v>
      </c>
      <c r="H31" s="195" t="s">
        <v>351</v>
      </c>
      <c r="I31" s="195" t="s">
        <v>352</v>
      </c>
      <c r="J31" s="193" t="s">
        <v>353</v>
      </c>
      <c r="K31" s="193" t="s">
        <v>354</v>
      </c>
      <c r="L31" s="193" t="s">
        <v>355</v>
      </c>
      <c r="M31" s="193" t="s">
        <v>365</v>
      </c>
      <c r="N31" s="193" t="s">
        <v>357</v>
      </c>
      <c r="O31" s="193"/>
      <c r="P31" s="193"/>
      <c r="Q31" s="193"/>
    </row>
    <row r="32" spans="1:17" x14ac:dyDescent="0.25">
      <c r="A32" s="79" t="s">
        <v>366</v>
      </c>
      <c r="B32" s="633">
        <f>C32+D32+E32+F32+G32+H32+I32+J32+K32+L32+M32+N32</f>
        <v>15480</v>
      </c>
      <c r="C32" s="865">
        <v>1280</v>
      </c>
      <c r="D32" s="865">
        <v>1420</v>
      </c>
      <c r="E32" s="865">
        <v>1420</v>
      </c>
      <c r="F32" s="865">
        <v>1420</v>
      </c>
      <c r="G32" s="865">
        <v>1420</v>
      </c>
      <c r="H32" s="865">
        <v>1420</v>
      </c>
      <c r="I32" s="865">
        <v>1420</v>
      </c>
      <c r="J32" s="865">
        <v>1420</v>
      </c>
      <c r="K32" s="865">
        <v>1420</v>
      </c>
      <c r="L32" s="865">
        <v>1420</v>
      </c>
      <c r="M32" s="865">
        <v>1420</v>
      </c>
      <c r="N32" s="865"/>
      <c r="Q32" s="629"/>
    </row>
    <row r="33" spans="1:17" x14ac:dyDescent="0.25">
      <c r="A33" s="79" t="s">
        <v>367</v>
      </c>
      <c r="B33" s="633">
        <f>C33+D33+E33+J34+F33+G33+H33+I33+J33+K33+L33+M33+N33</f>
        <v>21289.69</v>
      </c>
      <c r="C33" s="865">
        <v>1788.82</v>
      </c>
      <c r="D33" s="865">
        <v>1648.82</v>
      </c>
      <c r="E33" s="177">
        <v>1530.49</v>
      </c>
      <c r="F33" s="865">
        <v>1548.82</v>
      </c>
      <c r="G33" s="865">
        <v>1548.82</v>
      </c>
      <c r="H33" s="865">
        <v>1548.82</v>
      </c>
      <c r="I33" s="865">
        <v>1648.82</v>
      </c>
      <c r="J33" s="865">
        <v>1648.82</v>
      </c>
      <c r="K33" s="865">
        <v>1648.82</v>
      </c>
      <c r="L33" s="865">
        <v>1648.82</v>
      </c>
      <c r="M33" s="865">
        <v>1648.82</v>
      </c>
      <c r="N33" s="865">
        <v>3431</v>
      </c>
      <c r="O33" s="216" t="s">
        <v>1478</v>
      </c>
      <c r="P33" s="216"/>
      <c r="Q33" s="216"/>
    </row>
    <row r="34" spans="1:17" x14ac:dyDescent="0.25">
      <c r="A34" s="79" t="s">
        <v>368</v>
      </c>
      <c r="B34" s="633">
        <f>C34+D34+E34+J35+F34+G34+H34+I34+J34+K34+L34+M34+N34</f>
        <v>3943</v>
      </c>
      <c r="C34" s="865"/>
      <c r="D34" s="865"/>
      <c r="E34" s="865"/>
      <c r="F34" s="865"/>
      <c r="G34" s="865"/>
      <c r="H34" s="865"/>
      <c r="I34" s="865"/>
      <c r="J34" s="865"/>
      <c r="K34" s="865"/>
      <c r="L34" s="216"/>
      <c r="M34" s="216"/>
      <c r="N34" s="216">
        <v>3943</v>
      </c>
      <c r="O34" s="216"/>
      <c r="P34" s="216"/>
      <c r="Q34" s="216"/>
    </row>
    <row r="35" spans="1:17" x14ac:dyDescent="0.25">
      <c r="A35" s="79" t="s">
        <v>369</v>
      </c>
      <c r="B35" s="633">
        <f t="shared" ref="B35" si="4">C35+D35+E35+J36+F35+G35+H35+I35+J35+K35+L35+M35+N35</f>
        <v>3068.8199999999997</v>
      </c>
      <c r="C35" s="865"/>
      <c r="D35" s="865"/>
      <c r="E35" s="865"/>
      <c r="F35" s="865"/>
      <c r="G35" s="865"/>
      <c r="H35" s="865"/>
      <c r="I35" s="865"/>
      <c r="J35" s="865"/>
      <c r="K35" s="865"/>
      <c r="L35" s="216"/>
      <c r="M35" s="216">
        <v>1775</v>
      </c>
      <c r="N35" s="216">
        <v>1293.82</v>
      </c>
      <c r="O35" s="216"/>
      <c r="P35" s="216"/>
      <c r="Q35" s="216"/>
    </row>
    <row r="36" spans="1:17" x14ac:dyDescent="0.25">
      <c r="A36" s="79" t="s">
        <v>370</v>
      </c>
      <c r="B36" s="633">
        <f>C36+D36+E36+F36+G36+H36+I36+J36+K36+L36+M36+N36</f>
        <v>0</v>
      </c>
      <c r="C36" s="865"/>
      <c r="D36" s="865"/>
      <c r="E36" s="865"/>
      <c r="F36" s="865"/>
      <c r="G36" s="865"/>
      <c r="H36" s="865"/>
      <c r="I36" s="865"/>
      <c r="J36" s="865"/>
      <c r="K36" s="865"/>
      <c r="L36" s="216"/>
      <c r="M36" s="216"/>
      <c r="N36" s="216"/>
      <c r="O36" s="216"/>
      <c r="P36" s="216"/>
      <c r="Q36" s="216"/>
    </row>
    <row r="37" spans="1:17" ht="15.75" x14ac:dyDescent="0.25">
      <c r="A37" s="280" t="s">
        <v>361</v>
      </c>
      <c r="B37" s="206">
        <f>SUM(B32:B36)</f>
        <v>43781.51</v>
      </c>
      <c r="C37" s="206">
        <f>SUM(C32:C36)</f>
        <v>3068.8199999999997</v>
      </c>
      <c r="D37" s="206">
        <f t="shared" ref="D37:K37" si="5">SUM(D32:D33)</f>
        <v>3068.8199999999997</v>
      </c>
      <c r="E37" s="206">
        <f t="shared" si="5"/>
        <v>2950.49</v>
      </c>
      <c r="F37" s="206">
        <f t="shared" si="5"/>
        <v>2968.8199999999997</v>
      </c>
      <c r="G37" s="206">
        <f t="shared" si="5"/>
        <v>2968.8199999999997</v>
      </c>
      <c r="H37" s="206">
        <f t="shared" si="5"/>
        <v>2968.8199999999997</v>
      </c>
      <c r="I37" s="206">
        <f t="shared" si="5"/>
        <v>3068.8199999999997</v>
      </c>
      <c r="J37" s="206">
        <f t="shared" si="5"/>
        <v>3068.8199999999997</v>
      </c>
      <c r="K37" s="206">
        <f t="shared" si="5"/>
        <v>3068.8199999999997</v>
      </c>
      <c r="L37" s="206">
        <f>SUM(L32:L33)</f>
        <v>3068.8199999999997</v>
      </c>
      <c r="M37" s="206">
        <f>SUM(M32:M36)</f>
        <v>4843.82</v>
      </c>
      <c r="N37" s="206">
        <f>SUM(N32:N36)</f>
        <v>8667.82</v>
      </c>
      <c r="O37" s="206"/>
      <c r="P37" s="633"/>
      <c r="Q37" s="633"/>
    </row>
    <row r="38" spans="1:17" ht="15.75" x14ac:dyDescent="0.25">
      <c r="A38" s="280"/>
      <c r="B38" s="206"/>
      <c r="C38" s="206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O38" s="216"/>
      <c r="P38" s="216"/>
      <c r="Q38" s="216"/>
    </row>
    <row r="39" spans="1:17" x14ac:dyDescent="0.25">
      <c r="B39" s="206"/>
      <c r="C39" s="865"/>
      <c r="D39" s="865"/>
      <c r="E39" s="865"/>
      <c r="F39" s="865"/>
      <c r="G39" s="865"/>
      <c r="H39" s="865"/>
      <c r="I39" s="865"/>
      <c r="M39" s="216"/>
      <c r="N39" s="206"/>
      <c r="O39" s="216"/>
      <c r="P39" s="216"/>
      <c r="Q39" s="216"/>
    </row>
    <row r="40" spans="1:17" x14ac:dyDescent="0.25">
      <c r="A40" s="81" t="s">
        <v>371</v>
      </c>
      <c r="B40" s="206">
        <f>C40+D40+E40+F40+G40+H40+I40+J40+K40+M40+L40+N40+O40+P40</f>
        <v>3124</v>
      </c>
      <c r="C40" s="177">
        <v>284</v>
      </c>
      <c r="D40" s="177">
        <v>284</v>
      </c>
      <c r="E40" s="177">
        <v>284</v>
      </c>
      <c r="F40" s="177">
        <v>284</v>
      </c>
      <c r="G40" s="177">
        <v>284</v>
      </c>
      <c r="H40" s="177">
        <v>284</v>
      </c>
      <c r="I40" s="177">
        <v>284</v>
      </c>
      <c r="J40" s="177">
        <v>284</v>
      </c>
      <c r="K40" s="177">
        <v>284</v>
      </c>
      <c r="L40" s="177">
        <v>284</v>
      </c>
      <c r="M40" s="177">
        <v>284</v>
      </c>
      <c r="N40" s="216"/>
      <c r="O40" s="216"/>
      <c r="P40" s="216"/>
      <c r="Q40" s="216"/>
    </row>
    <row r="41" spans="1:17" x14ac:dyDescent="0.25">
      <c r="A41" s="81" t="s">
        <v>372</v>
      </c>
      <c r="B41" s="206">
        <f t="shared" ref="B41" si="6">C41+D41+E41+F41+G41+H41+I41+J41+K41+M41+L41+N41+O41+P41</f>
        <v>378.66</v>
      </c>
      <c r="C41" s="177"/>
      <c r="D41" s="177"/>
      <c r="E41" s="177"/>
      <c r="F41" s="177"/>
      <c r="H41" s="177"/>
      <c r="I41" s="177"/>
      <c r="J41" s="177"/>
      <c r="K41" s="177"/>
      <c r="L41" s="177"/>
      <c r="M41" s="177"/>
      <c r="N41" s="177">
        <v>378.66</v>
      </c>
      <c r="O41" s="216"/>
      <c r="P41" s="216"/>
      <c r="Q41" s="216"/>
    </row>
    <row r="42" spans="1:17" x14ac:dyDescent="0.25">
      <c r="A42" s="81" t="s">
        <v>373</v>
      </c>
      <c r="B42" s="206">
        <f>C42+D42+E42+F42+G42+H42+I42+J42+K42+M42+L42+N42+O42+P42</f>
        <v>284</v>
      </c>
      <c r="C42" s="177"/>
      <c r="D42" s="177"/>
      <c r="E42" s="177"/>
      <c r="F42" s="177"/>
      <c r="G42" s="177"/>
      <c r="H42" s="177"/>
      <c r="I42" s="177"/>
      <c r="J42" s="177"/>
      <c r="K42" s="177"/>
      <c r="L42" s="177"/>
      <c r="M42" s="177">
        <v>142</v>
      </c>
      <c r="N42" s="216">
        <v>142</v>
      </c>
      <c r="O42" s="216"/>
      <c r="P42" s="216"/>
      <c r="Q42" s="216"/>
    </row>
    <row r="43" spans="1:17" ht="15.75" x14ac:dyDescent="0.25">
      <c r="A43" s="280" t="s">
        <v>361</v>
      </c>
      <c r="B43" s="206">
        <f t="shared" ref="B43:N43" si="7">SUM(B40:B42)</f>
        <v>3786.66</v>
      </c>
      <c r="C43" s="206">
        <f t="shared" si="7"/>
        <v>284</v>
      </c>
      <c r="D43" s="206">
        <f t="shared" si="7"/>
        <v>284</v>
      </c>
      <c r="E43" s="206">
        <f t="shared" si="7"/>
        <v>284</v>
      </c>
      <c r="F43" s="206">
        <f t="shared" si="7"/>
        <v>284</v>
      </c>
      <c r="G43" s="206">
        <f t="shared" si="7"/>
        <v>284</v>
      </c>
      <c r="H43" s="206">
        <f t="shared" si="7"/>
        <v>284</v>
      </c>
      <c r="I43" s="206">
        <f t="shared" si="7"/>
        <v>284</v>
      </c>
      <c r="J43" s="206">
        <f t="shared" si="7"/>
        <v>284</v>
      </c>
      <c r="K43" s="206">
        <f>SUM(K40:K42)</f>
        <v>284</v>
      </c>
      <c r="L43" s="206">
        <f t="shared" si="7"/>
        <v>284</v>
      </c>
      <c r="M43" s="206">
        <f t="shared" si="7"/>
        <v>426</v>
      </c>
      <c r="N43" s="633">
        <f t="shared" si="7"/>
        <v>520.66000000000008</v>
      </c>
      <c r="O43" s="633"/>
      <c r="P43" s="633"/>
      <c r="Q43" s="216"/>
    </row>
    <row r="44" spans="1:17" ht="15.75" x14ac:dyDescent="0.25">
      <c r="A44" s="280"/>
      <c r="B44" s="206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6"/>
    </row>
    <row r="45" spans="1:17" x14ac:dyDescent="0.25">
      <c r="A45" s="81"/>
      <c r="B45" s="206"/>
      <c r="C45" s="177"/>
      <c r="D45" s="177"/>
      <c r="E45" s="177"/>
      <c r="F45" s="177"/>
      <c r="G45" s="177"/>
      <c r="H45" s="177"/>
      <c r="I45" s="177"/>
      <c r="J45" s="177"/>
      <c r="K45" s="177"/>
      <c r="L45" s="177"/>
      <c r="M45" s="177"/>
    </row>
    <row r="46" spans="1:17" ht="15.75" x14ac:dyDescent="0.25">
      <c r="A46" s="197" t="s">
        <v>374</v>
      </c>
      <c r="B46" s="278" t="s">
        <v>345</v>
      </c>
      <c r="C46" s="193" t="s">
        <v>346</v>
      </c>
      <c r="D46" s="195" t="s">
        <v>347</v>
      </c>
      <c r="E46" s="195" t="s">
        <v>348</v>
      </c>
      <c r="F46" s="195" t="s">
        <v>349</v>
      </c>
      <c r="G46" s="195" t="s">
        <v>364</v>
      </c>
      <c r="H46" s="195" t="s">
        <v>351</v>
      </c>
      <c r="I46" s="195" t="s">
        <v>352</v>
      </c>
      <c r="J46" s="193" t="s">
        <v>353</v>
      </c>
      <c r="K46" s="193" t="s">
        <v>354</v>
      </c>
      <c r="L46" s="193" t="s">
        <v>355</v>
      </c>
      <c r="M46" s="193" t="s">
        <v>356</v>
      </c>
      <c r="N46" s="193" t="s">
        <v>357</v>
      </c>
      <c r="O46" s="193"/>
    </row>
    <row r="47" spans="1:17" x14ac:dyDescent="0.25">
      <c r="A47" s="79" t="s">
        <v>1214</v>
      </c>
      <c r="B47" s="633">
        <f>C47+D47+E47+F47+G47+H47+I47+J47+K47+L47+M47+N47</f>
        <v>4295.5</v>
      </c>
      <c r="C47" s="865">
        <v>390.5</v>
      </c>
      <c r="D47" s="865">
        <v>390.5</v>
      </c>
      <c r="E47" s="865">
        <v>390.5</v>
      </c>
      <c r="F47" s="865">
        <v>390.5</v>
      </c>
      <c r="G47" s="865">
        <v>390.5</v>
      </c>
      <c r="H47" s="865">
        <v>390.5</v>
      </c>
      <c r="I47" s="865">
        <v>390.5</v>
      </c>
      <c r="J47" s="865">
        <v>390.5</v>
      </c>
      <c r="K47" s="865">
        <v>390.5</v>
      </c>
      <c r="L47" s="865">
        <v>390.5</v>
      </c>
      <c r="M47" s="865">
        <v>390.5</v>
      </c>
      <c r="N47" s="865"/>
    </row>
    <row r="48" spans="1:17" x14ac:dyDescent="0.25">
      <c r="A48" s="79" t="s">
        <v>1215</v>
      </c>
      <c r="B48" s="633">
        <f t="shared" ref="B48:B51" si="8">C48+D48+E48+F48+G48+H48+I48+J48+K48+L48+M48+N48</f>
        <v>520.66</v>
      </c>
      <c r="C48" s="865"/>
      <c r="D48" s="865"/>
      <c r="E48" s="865"/>
      <c r="F48" s="865"/>
      <c r="G48" s="865"/>
      <c r="H48" s="865"/>
      <c r="I48" s="865"/>
      <c r="J48" s="865"/>
      <c r="K48" s="865"/>
      <c r="L48" s="865"/>
      <c r="M48" s="865"/>
      <c r="N48" s="865">
        <v>520.66</v>
      </c>
    </row>
    <row r="49" spans="1:14" x14ac:dyDescent="0.25">
      <c r="A49" s="79" t="s">
        <v>1216</v>
      </c>
      <c r="B49" s="633">
        <f t="shared" si="8"/>
        <v>390.5</v>
      </c>
      <c r="C49" s="865"/>
      <c r="D49" s="865"/>
      <c r="E49" s="865"/>
      <c r="F49" s="865"/>
      <c r="G49" s="865"/>
      <c r="H49" s="865"/>
      <c r="I49" s="865"/>
      <c r="J49" s="865"/>
      <c r="K49" s="865"/>
      <c r="L49" s="865"/>
      <c r="M49" s="865"/>
      <c r="N49" s="865">
        <v>390.5</v>
      </c>
    </row>
    <row r="50" spans="1:14" x14ac:dyDescent="0.25">
      <c r="A50" s="79" t="s">
        <v>1479</v>
      </c>
      <c r="B50" s="633">
        <f t="shared" si="8"/>
        <v>997.48000000000025</v>
      </c>
      <c r="C50" s="865">
        <v>90.68</v>
      </c>
      <c r="D50" s="865">
        <v>90.68</v>
      </c>
      <c r="E50" s="865">
        <v>90.68</v>
      </c>
      <c r="F50" s="865">
        <v>90.68</v>
      </c>
      <c r="G50" s="865">
        <v>90.68</v>
      </c>
      <c r="H50" s="865">
        <v>90.68</v>
      </c>
      <c r="I50" s="865">
        <v>90.68</v>
      </c>
      <c r="J50" s="865">
        <v>90.68</v>
      </c>
      <c r="K50" s="865">
        <v>90.68</v>
      </c>
      <c r="L50" s="216">
        <v>90.68</v>
      </c>
      <c r="M50" s="216">
        <v>90.68</v>
      </c>
      <c r="N50" s="216"/>
    </row>
    <row r="51" spans="1:14" x14ac:dyDescent="0.25">
      <c r="A51" s="79" t="s">
        <v>1480</v>
      </c>
      <c r="B51" s="633">
        <f t="shared" si="8"/>
        <v>0</v>
      </c>
      <c r="C51" s="865"/>
      <c r="D51" s="865"/>
      <c r="E51" s="865"/>
      <c r="F51" s="865"/>
      <c r="G51" s="865"/>
      <c r="H51" s="865"/>
      <c r="I51" s="865"/>
      <c r="J51" s="216"/>
      <c r="K51" s="216"/>
      <c r="L51" s="216"/>
      <c r="M51" s="216"/>
      <c r="N51" s="216"/>
    </row>
    <row r="52" spans="1:14" x14ac:dyDescent="0.25">
      <c r="A52" s="79" t="s">
        <v>1481</v>
      </c>
      <c r="B52" s="633">
        <f>C52+D52+E52+F52+G52+H52+I52+J52+K52+L52+M52+N52</f>
        <v>0</v>
      </c>
      <c r="C52" s="865"/>
      <c r="D52" s="865"/>
      <c r="E52" s="865"/>
      <c r="F52" s="865"/>
      <c r="G52" s="865"/>
      <c r="H52" s="865"/>
      <c r="I52" s="865"/>
      <c r="J52" s="216"/>
      <c r="K52" s="216"/>
      <c r="L52" s="216"/>
      <c r="M52" s="216"/>
      <c r="N52" s="216"/>
    </row>
    <row r="53" spans="1:14" x14ac:dyDescent="0.25">
      <c r="A53" s="79" t="s">
        <v>378</v>
      </c>
      <c r="B53" s="633">
        <f>C53+D53+E53+F53+G53+H53+I53+J53+K53+L53+M53+N53</f>
        <v>300</v>
      </c>
      <c r="C53" s="865"/>
      <c r="D53" s="865"/>
      <c r="E53" s="865"/>
      <c r="F53" s="865">
        <v>100</v>
      </c>
      <c r="G53" s="865">
        <v>100</v>
      </c>
      <c r="H53" s="865">
        <v>100</v>
      </c>
      <c r="I53" s="865"/>
      <c r="J53" s="216"/>
      <c r="K53" s="216"/>
      <c r="L53" s="216"/>
      <c r="M53" s="216"/>
      <c r="N53" s="216"/>
    </row>
    <row r="54" spans="1:14" x14ac:dyDescent="0.25">
      <c r="A54" s="79" t="s">
        <v>379</v>
      </c>
      <c r="B54" s="633">
        <f>C55+D54+E54+F54+G54+H54+I54+J54+K54+L54+M54+N54</f>
        <v>118.33</v>
      </c>
      <c r="D54" s="865"/>
      <c r="E54" s="865">
        <v>118.33</v>
      </c>
      <c r="F54" s="865"/>
      <c r="G54" s="865"/>
      <c r="H54" s="865"/>
      <c r="I54" s="865"/>
      <c r="J54" s="216"/>
      <c r="K54" s="216"/>
      <c r="L54" s="216"/>
      <c r="M54" s="216"/>
      <c r="N54" s="216"/>
    </row>
    <row r="55" spans="1:14" ht="15.75" x14ac:dyDescent="0.25">
      <c r="A55" s="280" t="s">
        <v>361</v>
      </c>
      <c r="B55" s="206">
        <f>SUM(B47:B54)</f>
        <v>6622.47</v>
      </c>
      <c r="C55" s="865"/>
      <c r="D55" s="865"/>
      <c r="E55" s="865"/>
      <c r="F55" s="865"/>
      <c r="G55" s="865"/>
      <c r="H55" s="865"/>
      <c r="I55" s="865"/>
    </row>
    <row r="56" spans="1:14" x14ac:dyDescent="0.25">
      <c r="B56" s="194"/>
      <c r="C56" s="865"/>
      <c r="D56" s="865"/>
      <c r="E56" s="865"/>
      <c r="F56" s="865"/>
      <c r="G56" s="865"/>
      <c r="H56" s="865"/>
      <c r="I56" s="865"/>
    </row>
    <row r="57" spans="1:14" ht="18.75" x14ac:dyDescent="0.3">
      <c r="A57" s="353" t="s">
        <v>380</v>
      </c>
      <c r="B57" s="200" t="s">
        <v>381</v>
      </c>
      <c r="C57" s="354" t="s">
        <v>382</v>
      </c>
      <c r="D57" s="355" t="s">
        <v>383</v>
      </c>
    </row>
    <row r="58" spans="1:14" ht="18.75" x14ac:dyDescent="0.3">
      <c r="A58" s="353">
        <f>'Programação Pagtos.'!B145</f>
        <v>3068.82</v>
      </c>
      <c r="B58" s="79" t="s">
        <v>32</v>
      </c>
      <c r="C58" s="177">
        <f t="shared" ref="C58:C63" si="9">B3</f>
        <v>296.83666666666664</v>
      </c>
      <c r="D58" s="222">
        <f>C58/A58</f>
        <v>9.6726646289670495E-2</v>
      </c>
    </row>
    <row r="59" spans="1:14" x14ac:dyDescent="0.25">
      <c r="B59" s="79" t="s">
        <v>16</v>
      </c>
      <c r="C59" s="177">
        <f t="shared" si="9"/>
        <v>312.37</v>
      </c>
      <c r="D59" s="222">
        <f>C59/A58</f>
        <v>0.10178830951310275</v>
      </c>
      <c r="E59" s="177"/>
      <c r="F59" s="176"/>
    </row>
    <row r="60" spans="1:14" x14ac:dyDescent="0.25">
      <c r="B60" s="79" t="s">
        <v>50</v>
      </c>
      <c r="C60" s="177">
        <f t="shared" si="9"/>
        <v>139.3475</v>
      </c>
      <c r="D60" s="222">
        <f>C60/A58</f>
        <v>4.540751819917753E-2</v>
      </c>
      <c r="E60" s="177"/>
      <c r="F60" s="176"/>
    </row>
    <row r="61" spans="1:14" x14ac:dyDescent="0.25">
      <c r="B61" s="79" t="s">
        <v>14</v>
      </c>
      <c r="C61" s="177">
        <f t="shared" si="9"/>
        <v>174.26333333333332</v>
      </c>
      <c r="D61" s="222">
        <f>C61/A58</f>
        <v>5.6785126965196171E-2</v>
      </c>
      <c r="E61" s="177"/>
      <c r="F61" s="176"/>
    </row>
    <row r="62" spans="1:14" x14ac:dyDescent="0.25">
      <c r="B62" s="79" t="s">
        <v>358</v>
      </c>
      <c r="C62" s="177">
        <f t="shared" si="9"/>
        <v>103.30916666666667</v>
      </c>
      <c r="D62" s="222">
        <f>C62/A58</f>
        <v>3.3664133662667302E-2</v>
      </c>
      <c r="E62" s="177"/>
      <c r="F62" s="176"/>
    </row>
    <row r="63" spans="1:14" x14ac:dyDescent="0.25">
      <c r="B63" s="79" t="s">
        <v>52</v>
      </c>
      <c r="C63" s="863">
        <f t="shared" si="9"/>
        <v>50</v>
      </c>
      <c r="D63" s="222">
        <f>C63/A58</f>
        <v>1.6292907371563012E-2</v>
      </c>
      <c r="E63" s="177"/>
      <c r="F63" s="176"/>
    </row>
    <row r="64" spans="1:14" x14ac:dyDescent="0.25">
      <c r="B64" s="79" t="s">
        <v>53</v>
      </c>
      <c r="C64" s="863">
        <f xml:space="preserve"> B9</f>
        <v>436.07833333333338</v>
      </c>
      <c r="D64" s="222">
        <f>C64/A58</f>
        <v>0.14209967783491159</v>
      </c>
      <c r="E64" s="177"/>
      <c r="F64" s="176"/>
    </row>
    <row r="65" spans="2:6" x14ac:dyDescent="0.25">
      <c r="B65" s="79" t="s">
        <v>1482</v>
      </c>
      <c r="C65" s="1509">
        <f t="shared" ref="C65:C70" si="10">B10</f>
        <v>568.52999999999986</v>
      </c>
      <c r="D65" s="222">
        <f>C65/A58</f>
        <v>0.18526013255909432</v>
      </c>
      <c r="E65" s="177"/>
      <c r="F65" s="176"/>
    </row>
    <row r="66" spans="2:6" x14ac:dyDescent="0.25">
      <c r="B66" s="79" t="s">
        <v>56</v>
      </c>
      <c r="C66" s="863">
        <f t="shared" si="10"/>
        <v>25.753333333333334</v>
      </c>
      <c r="D66" s="222">
        <f>C66/A58</f>
        <v>8.3919334901797222E-3</v>
      </c>
      <c r="E66" s="177"/>
      <c r="F66" s="176"/>
    </row>
    <row r="67" spans="2:6" x14ac:dyDescent="0.25">
      <c r="B67" s="79" t="s">
        <v>57</v>
      </c>
      <c r="C67" s="863">
        <f t="shared" si="10"/>
        <v>262.41500000000002</v>
      </c>
      <c r="D67" s="222">
        <f>C67/A58</f>
        <v>8.5510065758174159E-2</v>
      </c>
      <c r="E67" s="177"/>
      <c r="F67" s="176"/>
    </row>
    <row r="68" spans="2:6" ht="14.25" customHeight="1" x14ac:dyDescent="0.25">
      <c r="B68" s="79" t="s">
        <v>418</v>
      </c>
      <c r="C68" s="863">
        <f t="shared" si="10"/>
        <v>0</v>
      </c>
      <c r="D68" s="222">
        <f>C68/A58</f>
        <v>0</v>
      </c>
    </row>
    <row r="69" spans="2:6" x14ac:dyDescent="0.25">
      <c r="B69" s="79" t="s">
        <v>419</v>
      </c>
      <c r="C69" s="177">
        <f t="shared" si="10"/>
        <v>693.3991666666667</v>
      </c>
      <c r="D69" s="222">
        <f>C69/A58</f>
        <v>0.22594976788037965</v>
      </c>
    </row>
    <row r="70" spans="2:6" x14ac:dyDescent="0.25">
      <c r="B70" s="79" t="s">
        <v>911</v>
      </c>
      <c r="C70" s="1509">
        <f t="shared" si="10"/>
        <v>22.35083333333333</v>
      </c>
      <c r="D70" s="222">
        <f>C70/A58</f>
        <v>7.283201143544857E-3</v>
      </c>
    </row>
    <row r="71" spans="2:6" x14ac:dyDescent="0.25">
      <c r="C71" s="79"/>
      <c r="D71" s="79"/>
    </row>
    <row r="72" spans="2:6" ht="18.75" x14ac:dyDescent="0.3">
      <c r="B72" s="200" t="s">
        <v>388</v>
      </c>
      <c r="C72" s="623">
        <f>SUM(C58:C70)</f>
        <v>3084.6533333333332</v>
      </c>
      <c r="D72" s="624">
        <f>SUM(D58:D70)</f>
        <v>1.0051594206676617</v>
      </c>
      <c r="E72" s="85" t="s">
        <v>280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Plan61"/>
  <dimension ref="A1:J164"/>
  <sheetViews>
    <sheetView zoomScale="85" zoomScaleNormal="85" workbookViewId="0">
      <pane ySplit="4" topLeftCell="A111" activePane="bottomLeft" state="frozen"/>
      <selection activeCell="C44" sqref="C44"/>
      <selection pane="bottomLeft" activeCell="B128" sqref="B12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2.14062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" style="79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1483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42736</v>
      </c>
      <c r="B5" s="369" t="s">
        <v>10</v>
      </c>
      <c r="C5" s="370"/>
      <c r="D5" s="370"/>
      <c r="E5" s="488"/>
      <c r="F5" s="179"/>
      <c r="G5" s="933">
        <f>'Dezembro-16'!F114</f>
        <v>2892.550000000002</v>
      </c>
      <c r="H5" s="163"/>
      <c r="I5" s="933">
        <f>'Dezembro-16'!H114</f>
        <v>1810.4960000000001</v>
      </c>
    </row>
    <row r="6" spans="1:9" s="224" customFormat="1" x14ac:dyDescent="0.25">
      <c r="A6" s="215">
        <v>42736</v>
      </c>
      <c r="B6" s="348" t="s">
        <v>11</v>
      </c>
      <c r="C6" s="351"/>
      <c r="D6" s="351"/>
      <c r="E6" s="673"/>
      <c r="F6" s="250">
        <v>65</v>
      </c>
      <c r="G6" s="1473"/>
      <c r="H6" s="252"/>
      <c r="I6" s="1473"/>
    </row>
    <row r="7" spans="1:9" s="224" customFormat="1" ht="15.75" customHeight="1" x14ac:dyDescent="0.25">
      <c r="A7" s="215">
        <v>42736</v>
      </c>
      <c r="B7" s="862"/>
      <c r="C7" s="350"/>
      <c r="D7" s="350"/>
      <c r="E7" s="757"/>
      <c r="F7" s="97"/>
      <c r="G7" s="1473"/>
      <c r="H7" s="252"/>
      <c r="I7" s="946"/>
    </row>
    <row r="8" spans="1:9" s="224" customFormat="1" x14ac:dyDescent="0.25">
      <c r="A8" s="215">
        <v>42737</v>
      </c>
      <c r="B8" s="862" t="s">
        <v>32</v>
      </c>
      <c r="C8" s="350" t="s">
        <v>12</v>
      </c>
      <c r="D8" s="350" t="s">
        <v>1485</v>
      </c>
      <c r="E8" s="757" t="s">
        <v>13</v>
      </c>
      <c r="F8" s="97">
        <v>13</v>
      </c>
      <c r="G8" s="946"/>
      <c r="H8" s="97"/>
      <c r="I8" s="946"/>
    </row>
    <row r="9" spans="1:9" s="224" customFormat="1" x14ac:dyDescent="0.25">
      <c r="A9" s="215">
        <v>42737</v>
      </c>
      <c r="B9" s="862" t="s">
        <v>14</v>
      </c>
      <c r="C9" s="350" t="s">
        <v>12</v>
      </c>
      <c r="D9" s="350" t="s">
        <v>1486</v>
      </c>
      <c r="E9" s="757" t="s">
        <v>13</v>
      </c>
      <c r="F9" s="97">
        <v>4.5199999999999996</v>
      </c>
      <c r="G9" s="946"/>
      <c r="H9" s="97"/>
      <c r="I9" s="946"/>
    </row>
    <row r="10" spans="1:9" s="224" customFormat="1" x14ac:dyDescent="0.25">
      <c r="A10" s="215">
        <v>42738</v>
      </c>
      <c r="B10" s="862" t="s">
        <v>32</v>
      </c>
      <c r="C10" s="350" t="s">
        <v>12</v>
      </c>
      <c r="D10" s="350" t="s">
        <v>1485</v>
      </c>
      <c r="E10" s="757" t="s">
        <v>13</v>
      </c>
      <c r="F10" s="97">
        <v>13</v>
      </c>
      <c r="G10" s="946"/>
      <c r="H10" s="97"/>
      <c r="I10" s="946"/>
    </row>
    <row r="11" spans="1:9" s="224" customFormat="1" x14ac:dyDescent="0.25">
      <c r="A11" s="215">
        <v>42738</v>
      </c>
      <c r="B11" s="349" t="s">
        <v>138</v>
      </c>
      <c r="C11" s="350" t="s">
        <v>12</v>
      </c>
      <c r="D11" s="350" t="s">
        <v>1487</v>
      </c>
      <c r="E11" s="757" t="s">
        <v>15</v>
      </c>
      <c r="F11" s="97">
        <v>50</v>
      </c>
      <c r="G11" s="946"/>
      <c r="H11" s="97"/>
      <c r="I11" s="946"/>
    </row>
    <row r="12" spans="1:9" s="224" customFormat="1" x14ac:dyDescent="0.25">
      <c r="A12" s="215">
        <v>42739</v>
      </c>
      <c r="B12" s="862" t="s">
        <v>32</v>
      </c>
      <c r="C12" s="350" t="s">
        <v>12</v>
      </c>
      <c r="D12" s="350" t="s">
        <v>1485</v>
      </c>
      <c r="E12" s="757" t="s">
        <v>13</v>
      </c>
      <c r="F12" s="97">
        <v>13</v>
      </c>
      <c r="G12" s="946"/>
      <c r="H12" s="97"/>
      <c r="I12" s="946"/>
    </row>
    <row r="13" spans="1:9" s="224" customFormat="1" x14ac:dyDescent="0.25">
      <c r="A13" s="215">
        <v>42739</v>
      </c>
      <c r="B13" s="862" t="s">
        <v>1488</v>
      </c>
      <c r="C13" s="350" t="s">
        <v>12</v>
      </c>
      <c r="D13" s="350" t="s">
        <v>1489</v>
      </c>
      <c r="E13" s="757" t="s">
        <v>13</v>
      </c>
      <c r="F13" s="97">
        <v>19.37</v>
      </c>
      <c r="G13" s="946"/>
      <c r="H13" s="97"/>
      <c r="I13" s="946"/>
    </row>
    <row r="14" spans="1:9" s="224" customFormat="1" x14ac:dyDescent="0.25">
      <c r="A14" s="215">
        <v>42739</v>
      </c>
      <c r="B14" s="862" t="s">
        <v>14</v>
      </c>
      <c r="C14" s="350" t="s">
        <v>12</v>
      </c>
      <c r="D14" s="350" t="s">
        <v>1486</v>
      </c>
      <c r="E14" s="757" t="s">
        <v>13</v>
      </c>
      <c r="F14" s="97">
        <v>2.5099999999999998</v>
      </c>
      <c r="G14" s="946"/>
      <c r="H14" s="97"/>
      <c r="I14" s="946"/>
    </row>
    <row r="15" spans="1:9" s="224" customFormat="1" x14ac:dyDescent="0.25">
      <c r="A15" s="215">
        <v>42740</v>
      </c>
      <c r="B15" s="862" t="s">
        <v>32</v>
      </c>
      <c r="C15" s="350" t="s">
        <v>12</v>
      </c>
      <c r="D15" s="350" t="s">
        <v>1485</v>
      </c>
      <c r="E15" s="757" t="s">
        <v>13</v>
      </c>
      <c r="F15" s="97">
        <v>13</v>
      </c>
      <c r="G15" s="946"/>
      <c r="H15" s="97"/>
      <c r="I15" s="946"/>
    </row>
    <row r="16" spans="1:9" s="224" customFormat="1" x14ac:dyDescent="0.25">
      <c r="A16" s="215">
        <v>42740</v>
      </c>
      <c r="B16" s="862" t="s">
        <v>14</v>
      </c>
      <c r="C16" s="350" t="s">
        <v>12</v>
      </c>
      <c r="D16" s="350" t="s">
        <v>1486</v>
      </c>
      <c r="E16" s="757" t="s">
        <v>13</v>
      </c>
      <c r="F16" s="97">
        <v>10.29</v>
      </c>
      <c r="G16" s="946"/>
      <c r="H16" s="97"/>
      <c r="I16" s="946"/>
    </row>
    <row r="17" spans="1:9" s="224" customFormat="1" x14ac:dyDescent="0.25">
      <c r="A17" s="215">
        <v>42741</v>
      </c>
      <c r="B17" s="862" t="s">
        <v>32</v>
      </c>
      <c r="C17" s="350" t="s">
        <v>12</v>
      </c>
      <c r="D17" s="350" t="s">
        <v>1485</v>
      </c>
      <c r="E17" s="757" t="s">
        <v>15</v>
      </c>
      <c r="F17" s="97">
        <v>13</v>
      </c>
      <c r="G17" s="946"/>
      <c r="H17" s="97"/>
      <c r="I17" s="946"/>
    </row>
    <row r="18" spans="1:9" s="224" customFormat="1" x14ac:dyDescent="0.25">
      <c r="A18" s="215">
        <v>42741</v>
      </c>
      <c r="B18" s="862" t="s">
        <v>1490</v>
      </c>
      <c r="C18" s="350" t="s">
        <v>12</v>
      </c>
      <c r="D18" s="350" t="s">
        <v>1491</v>
      </c>
      <c r="E18" s="757" t="s">
        <v>15</v>
      </c>
      <c r="F18" s="97">
        <v>70</v>
      </c>
      <c r="G18" s="946"/>
      <c r="H18" s="97"/>
      <c r="I18" s="946"/>
    </row>
    <row r="19" spans="1:9" s="224" customFormat="1" x14ac:dyDescent="0.25">
      <c r="A19" s="215">
        <v>42741</v>
      </c>
      <c r="B19" s="862" t="s">
        <v>1492</v>
      </c>
      <c r="C19" s="350" t="s">
        <v>12</v>
      </c>
      <c r="D19" s="350" t="s">
        <v>1489</v>
      </c>
      <c r="E19" s="757" t="s">
        <v>15</v>
      </c>
      <c r="F19" s="250">
        <v>20</v>
      </c>
      <c r="G19" s="946"/>
      <c r="H19" s="97"/>
      <c r="I19" s="946"/>
    </row>
    <row r="20" spans="1:9" x14ac:dyDescent="0.25">
      <c r="A20" s="215">
        <v>42741</v>
      </c>
      <c r="B20" s="349" t="s">
        <v>138</v>
      </c>
      <c r="C20" s="879" t="s">
        <v>12</v>
      </c>
      <c r="D20" s="879" t="s">
        <v>1487</v>
      </c>
      <c r="E20" s="871" t="s">
        <v>15</v>
      </c>
      <c r="F20" s="97">
        <v>60</v>
      </c>
      <c r="G20" s="946"/>
      <c r="H20" s="95"/>
      <c r="I20" s="946"/>
    </row>
    <row r="21" spans="1:9" s="224" customFormat="1" x14ac:dyDescent="0.25">
      <c r="A21" s="215">
        <v>42741</v>
      </c>
      <c r="B21" s="862" t="s">
        <v>134</v>
      </c>
      <c r="C21" s="350" t="s">
        <v>19</v>
      </c>
      <c r="D21" s="350" t="s">
        <v>1493</v>
      </c>
      <c r="E21" s="757" t="s">
        <v>13</v>
      </c>
      <c r="F21" s="97">
        <v>42.02</v>
      </c>
      <c r="G21" s="946"/>
      <c r="H21" s="97"/>
      <c r="I21" s="946"/>
    </row>
    <row r="22" spans="1:9" s="224" customFormat="1" ht="15.75" customHeight="1" x14ac:dyDescent="0.25">
      <c r="A22" s="215">
        <v>42741</v>
      </c>
      <c r="B22" s="349" t="s">
        <v>1494</v>
      </c>
      <c r="C22" s="879" t="s">
        <v>12</v>
      </c>
      <c r="D22" s="874"/>
      <c r="E22" s="875" t="s">
        <v>25</v>
      </c>
      <c r="F22" s="250"/>
      <c r="G22" s="1473">
        <v>3431</v>
      </c>
      <c r="H22" s="252"/>
      <c r="I22" s="946"/>
    </row>
    <row r="23" spans="1:9" s="224" customFormat="1" x14ac:dyDescent="0.25">
      <c r="A23" s="215">
        <v>42741</v>
      </c>
      <c r="B23" s="862" t="s">
        <v>1495</v>
      </c>
      <c r="C23" s="879" t="s">
        <v>12</v>
      </c>
      <c r="D23" s="879" t="s">
        <v>1491</v>
      </c>
      <c r="E23" s="871" t="s">
        <v>15</v>
      </c>
      <c r="F23" s="250">
        <v>405</v>
      </c>
      <c r="G23" s="946"/>
      <c r="H23" s="97"/>
      <c r="I23" s="1473"/>
    </row>
    <row r="24" spans="1:9" x14ac:dyDescent="0.25">
      <c r="A24" s="215">
        <v>42741</v>
      </c>
      <c r="B24" s="862" t="s">
        <v>52</v>
      </c>
      <c r="C24" s="879" t="s">
        <v>12</v>
      </c>
      <c r="D24" s="879" t="s">
        <v>1496</v>
      </c>
      <c r="E24" s="1510" t="s">
        <v>13</v>
      </c>
      <c r="F24" s="97">
        <v>60</v>
      </c>
      <c r="G24" s="946"/>
      <c r="H24" s="97"/>
      <c r="I24" s="946"/>
    </row>
    <row r="25" spans="1:9" x14ac:dyDescent="0.25">
      <c r="A25" s="215">
        <v>42742</v>
      </c>
      <c r="B25" s="349" t="s">
        <v>14</v>
      </c>
      <c r="C25" s="879" t="s">
        <v>12</v>
      </c>
      <c r="D25" s="350" t="s">
        <v>1486</v>
      </c>
      <c r="E25" s="871" t="s">
        <v>13</v>
      </c>
      <c r="F25" s="97">
        <v>5.5</v>
      </c>
      <c r="G25" s="946"/>
      <c r="H25" s="95"/>
      <c r="I25" s="946"/>
    </row>
    <row r="26" spans="1:9" s="224" customFormat="1" x14ac:dyDescent="0.25">
      <c r="A26" s="215">
        <v>42742</v>
      </c>
      <c r="B26" s="862" t="s">
        <v>32</v>
      </c>
      <c r="C26" s="350" t="s">
        <v>12</v>
      </c>
      <c r="D26" s="350" t="s">
        <v>1485</v>
      </c>
      <c r="E26" s="757" t="s">
        <v>13</v>
      </c>
      <c r="F26" s="97">
        <v>33.85</v>
      </c>
      <c r="G26" s="946"/>
      <c r="H26" s="97"/>
      <c r="I26" s="946"/>
    </row>
    <row r="27" spans="1:9" s="224" customFormat="1" x14ac:dyDescent="0.25">
      <c r="A27" s="215">
        <v>42742</v>
      </c>
      <c r="B27" s="862" t="s">
        <v>43</v>
      </c>
      <c r="C27" s="350" t="s">
        <v>12</v>
      </c>
      <c r="D27" s="350" t="s">
        <v>1493</v>
      </c>
      <c r="E27" s="757" t="s">
        <v>13</v>
      </c>
      <c r="F27" s="97">
        <v>27.8</v>
      </c>
      <c r="G27" s="946"/>
      <c r="H27" s="97"/>
      <c r="I27" s="946"/>
    </row>
    <row r="28" spans="1:9" s="224" customFormat="1" x14ac:dyDescent="0.25">
      <c r="A28" s="215">
        <v>42742</v>
      </c>
      <c r="B28" s="862" t="s">
        <v>82</v>
      </c>
      <c r="C28" s="350" t="s">
        <v>12</v>
      </c>
      <c r="D28" s="350" t="s">
        <v>1493</v>
      </c>
      <c r="E28" s="757" t="s">
        <v>13</v>
      </c>
      <c r="F28" s="97">
        <v>28</v>
      </c>
      <c r="G28" s="946"/>
      <c r="H28" s="97"/>
      <c r="I28" s="946"/>
    </row>
    <row r="29" spans="1:9" s="224" customFormat="1" ht="15" customHeight="1" x14ac:dyDescent="0.25">
      <c r="A29" s="215">
        <v>42743</v>
      </c>
      <c r="B29" s="349" t="s">
        <v>14</v>
      </c>
      <c r="C29" s="350" t="s">
        <v>12</v>
      </c>
      <c r="D29" s="350" t="s">
        <v>1486</v>
      </c>
      <c r="E29" s="757" t="s">
        <v>13</v>
      </c>
      <c r="F29" s="97">
        <v>4.84</v>
      </c>
      <c r="G29" s="946"/>
      <c r="H29" s="95"/>
      <c r="I29" s="946"/>
    </row>
    <row r="30" spans="1:9" s="224" customFormat="1" ht="15" customHeight="1" x14ac:dyDescent="0.25">
      <c r="A30" s="215">
        <v>42743</v>
      </c>
      <c r="B30" s="349" t="s">
        <v>134</v>
      </c>
      <c r="C30" s="350" t="s">
        <v>12</v>
      </c>
      <c r="D30" s="350" t="s">
        <v>1493</v>
      </c>
      <c r="E30" s="757" t="s">
        <v>13</v>
      </c>
      <c r="F30" s="97">
        <v>5.39</v>
      </c>
      <c r="G30" s="946"/>
      <c r="H30" s="95"/>
      <c r="I30" s="946"/>
    </row>
    <row r="31" spans="1:9" s="224" customFormat="1" ht="15" customHeight="1" x14ac:dyDescent="0.25">
      <c r="A31" s="215">
        <v>42743</v>
      </c>
      <c r="B31" s="349" t="s">
        <v>14</v>
      </c>
      <c r="C31" s="350" t="s">
        <v>12</v>
      </c>
      <c r="D31" s="350" t="s">
        <v>1486</v>
      </c>
      <c r="E31" s="757" t="s">
        <v>13</v>
      </c>
      <c r="F31" s="97">
        <v>10.01</v>
      </c>
      <c r="G31" s="946"/>
      <c r="H31" s="95"/>
      <c r="I31" s="946"/>
    </row>
    <row r="32" spans="1:9" s="224" customFormat="1" x14ac:dyDescent="0.25">
      <c r="A32" s="215">
        <v>42744</v>
      </c>
      <c r="B32" s="862" t="s">
        <v>32</v>
      </c>
      <c r="C32" s="350" t="s">
        <v>12</v>
      </c>
      <c r="D32" s="350" t="s">
        <v>1485</v>
      </c>
      <c r="E32" s="757" t="s">
        <v>13</v>
      </c>
      <c r="F32" s="97">
        <v>13</v>
      </c>
      <c r="G32" s="946"/>
      <c r="H32" s="95"/>
      <c r="I32" s="946"/>
    </row>
    <row r="33" spans="1:9" s="224" customFormat="1" x14ac:dyDescent="0.25">
      <c r="A33" s="215">
        <v>42744</v>
      </c>
      <c r="B33" s="862" t="s">
        <v>14</v>
      </c>
      <c r="C33" s="350" t="s">
        <v>12</v>
      </c>
      <c r="D33" s="350" t="s">
        <v>1486</v>
      </c>
      <c r="E33" s="757" t="s">
        <v>13</v>
      </c>
      <c r="F33" s="97">
        <v>8.6300000000000008</v>
      </c>
      <c r="G33" s="946"/>
      <c r="H33" s="95"/>
      <c r="I33" s="946"/>
    </row>
    <row r="34" spans="1:9" s="224" customFormat="1" x14ac:dyDescent="0.25">
      <c r="A34" s="215">
        <v>42745</v>
      </c>
      <c r="B34" s="862" t="s">
        <v>32</v>
      </c>
      <c r="C34" s="350" t="s">
        <v>12</v>
      </c>
      <c r="D34" s="350" t="s">
        <v>1485</v>
      </c>
      <c r="E34" s="757" t="s">
        <v>13</v>
      </c>
      <c r="F34" s="622">
        <v>13</v>
      </c>
      <c r="G34" s="946"/>
      <c r="H34" s="97"/>
      <c r="I34" s="1473"/>
    </row>
    <row r="35" spans="1:9" s="224" customFormat="1" ht="15.75" customHeight="1" x14ac:dyDescent="0.25">
      <c r="A35" s="215">
        <v>42745</v>
      </c>
      <c r="B35" s="862" t="s">
        <v>1497</v>
      </c>
      <c r="C35" s="350" t="s">
        <v>12</v>
      </c>
      <c r="D35" s="350"/>
      <c r="E35" s="757" t="s">
        <v>13</v>
      </c>
      <c r="F35" s="97">
        <v>435.53</v>
      </c>
      <c r="G35" s="1473"/>
      <c r="H35" s="252"/>
      <c r="I35" s="946"/>
    </row>
    <row r="36" spans="1:9" s="224" customFormat="1" x14ac:dyDescent="0.25">
      <c r="A36" s="215">
        <v>42745</v>
      </c>
      <c r="B36" s="882" t="s">
        <v>1498</v>
      </c>
      <c r="C36" s="879" t="s">
        <v>12</v>
      </c>
      <c r="D36" s="879" t="s">
        <v>1499</v>
      </c>
      <c r="E36" s="871" t="s">
        <v>13</v>
      </c>
      <c r="F36" s="250">
        <v>45.89</v>
      </c>
      <c r="G36" s="946"/>
      <c r="H36" s="95"/>
      <c r="I36" s="946"/>
    </row>
    <row r="37" spans="1:9" s="224" customFormat="1" x14ac:dyDescent="0.25">
      <c r="A37" s="215">
        <v>42745</v>
      </c>
      <c r="B37" s="882" t="s">
        <v>1500</v>
      </c>
      <c r="C37" s="879" t="s">
        <v>12</v>
      </c>
      <c r="D37" s="879" t="s">
        <v>1499</v>
      </c>
      <c r="E37" s="871" t="s">
        <v>13</v>
      </c>
      <c r="F37" s="250">
        <v>45.91</v>
      </c>
      <c r="G37" s="946"/>
      <c r="H37" s="95"/>
      <c r="I37" s="946"/>
    </row>
    <row r="38" spans="1:9" s="224" customFormat="1" ht="15.75" customHeight="1" x14ac:dyDescent="0.25">
      <c r="A38" s="215">
        <v>42745</v>
      </c>
      <c r="B38" s="882" t="s">
        <v>1501</v>
      </c>
      <c r="C38" s="350" t="s">
        <v>12</v>
      </c>
      <c r="D38" s="350" t="s">
        <v>1499</v>
      </c>
      <c r="E38" s="757" t="s">
        <v>13</v>
      </c>
      <c r="F38" s="97">
        <v>52.02</v>
      </c>
      <c r="G38" s="1473"/>
      <c r="H38" s="252"/>
      <c r="I38" s="946"/>
    </row>
    <row r="39" spans="1:9" s="224" customFormat="1" ht="15" customHeight="1" x14ac:dyDescent="0.25">
      <c r="A39" s="215">
        <v>42745</v>
      </c>
      <c r="B39" s="349" t="s">
        <v>260</v>
      </c>
      <c r="C39" s="350"/>
      <c r="D39" s="350"/>
      <c r="E39" s="757"/>
      <c r="F39" s="97">
        <v>1989.5</v>
      </c>
      <c r="G39" s="946"/>
      <c r="H39" s="95"/>
      <c r="I39" s="946">
        <v>1989.5</v>
      </c>
    </row>
    <row r="40" spans="1:9" s="224" customFormat="1" ht="15.75" customHeight="1" x14ac:dyDescent="0.25">
      <c r="A40" s="215">
        <v>42745</v>
      </c>
      <c r="B40" s="882" t="s">
        <v>17</v>
      </c>
      <c r="C40" s="350" t="s">
        <v>12</v>
      </c>
      <c r="D40" s="350" t="s">
        <v>1493</v>
      </c>
      <c r="E40" s="757" t="s">
        <v>13</v>
      </c>
      <c r="F40" s="97">
        <v>15</v>
      </c>
      <c r="G40" s="1473"/>
      <c r="H40" s="252"/>
      <c r="I40" s="946"/>
    </row>
    <row r="41" spans="1:9" s="224" customFormat="1" ht="15" customHeight="1" x14ac:dyDescent="0.25">
      <c r="A41" s="215">
        <v>42745</v>
      </c>
      <c r="B41" s="349" t="s">
        <v>1502</v>
      </c>
      <c r="C41" s="350" t="s">
        <v>12</v>
      </c>
      <c r="D41" s="350" t="s">
        <v>1489</v>
      </c>
      <c r="E41" s="757" t="s">
        <v>13</v>
      </c>
      <c r="F41" s="97">
        <v>13.07</v>
      </c>
      <c r="G41" s="946"/>
      <c r="H41" s="95"/>
      <c r="I41" s="946"/>
    </row>
    <row r="42" spans="1:9" s="224" customFormat="1" x14ac:dyDescent="0.25">
      <c r="A42" s="215">
        <v>42746</v>
      </c>
      <c r="B42" s="862" t="s">
        <v>32</v>
      </c>
      <c r="C42" s="350" t="s">
        <v>12</v>
      </c>
      <c r="D42" s="350" t="s">
        <v>1485</v>
      </c>
      <c r="E42" s="757" t="s">
        <v>13</v>
      </c>
      <c r="F42" s="622">
        <v>13</v>
      </c>
      <c r="G42" s="946"/>
      <c r="H42" s="97"/>
      <c r="I42" s="946"/>
    </row>
    <row r="43" spans="1:9" s="224" customFormat="1" x14ac:dyDescent="0.25">
      <c r="A43" s="215">
        <v>42746</v>
      </c>
      <c r="B43" s="862" t="s">
        <v>1503</v>
      </c>
      <c r="C43" s="350" t="s">
        <v>12</v>
      </c>
      <c r="D43" s="350" t="s">
        <v>1504</v>
      </c>
      <c r="E43" s="757" t="s">
        <v>13</v>
      </c>
      <c r="F43" s="622">
        <v>150</v>
      </c>
      <c r="G43" s="946"/>
      <c r="H43" s="97"/>
      <c r="I43" s="946"/>
    </row>
    <row r="44" spans="1:9" s="224" customFormat="1" x14ac:dyDescent="0.25">
      <c r="A44" s="215">
        <v>42746</v>
      </c>
      <c r="B44" s="862" t="s">
        <v>14</v>
      </c>
      <c r="C44" s="350" t="s">
        <v>12</v>
      </c>
      <c r="D44" s="350" t="s">
        <v>1486</v>
      </c>
      <c r="E44" s="757" t="s">
        <v>13</v>
      </c>
      <c r="F44" s="622">
        <v>5.3</v>
      </c>
      <c r="G44" s="946"/>
      <c r="H44" s="97"/>
      <c r="I44" s="946"/>
    </row>
    <row r="45" spans="1:9" s="224" customFormat="1" x14ac:dyDescent="0.25">
      <c r="A45" s="215">
        <v>42746</v>
      </c>
      <c r="B45" s="862" t="s">
        <v>1331</v>
      </c>
      <c r="C45" s="350" t="s">
        <v>12</v>
      </c>
      <c r="D45" s="879" t="s">
        <v>1487</v>
      </c>
      <c r="E45" s="757" t="s">
        <v>15</v>
      </c>
      <c r="F45" s="622">
        <v>20</v>
      </c>
      <c r="G45" s="946"/>
      <c r="H45" s="97"/>
      <c r="I45" s="946"/>
    </row>
    <row r="46" spans="1:9" s="224" customFormat="1" x14ac:dyDescent="0.25">
      <c r="A46" s="215">
        <v>42747</v>
      </c>
      <c r="B46" s="862" t="s">
        <v>32</v>
      </c>
      <c r="C46" s="350" t="s">
        <v>12</v>
      </c>
      <c r="D46" s="350" t="s">
        <v>1485</v>
      </c>
      <c r="E46" s="757" t="s">
        <v>13</v>
      </c>
      <c r="F46" s="622">
        <v>13</v>
      </c>
      <c r="G46" s="946"/>
      <c r="H46" s="97"/>
      <c r="I46" s="946"/>
    </row>
    <row r="47" spans="1:9" s="224" customFormat="1" x14ac:dyDescent="0.25">
      <c r="A47" s="215">
        <v>42747</v>
      </c>
      <c r="B47" s="862" t="s">
        <v>134</v>
      </c>
      <c r="C47" s="350" t="s">
        <v>12</v>
      </c>
      <c r="D47" s="350" t="s">
        <v>1493</v>
      </c>
      <c r="E47" s="757" t="s">
        <v>13</v>
      </c>
      <c r="F47" s="622">
        <v>13.51</v>
      </c>
      <c r="G47" s="946"/>
      <c r="H47" s="97"/>
      <c r="I47" s="946"/>
    </row>
    <row r="48" spans="1:9" s="224" customFormat="1" x14ac:dyDescent="0.25">
      <c r="A48" s="215">
        <v>42747</v>
      </c>
      <c r="B48" s="862" t="s">
        <v>14</v>
      </c>
      <c r="C48" s="350" t="s">
        <v>12</v>
      </c>
      <c r="D48" s="350" t="s">
        <v>1486</v>
      </c>
      <c r="E48" s="757" t="s">
        <v>13</v>
      </c>
      <c r="F48" s="622">
        <v>2.71</v>
      </c>
      <c r="G48" s="946"/>
      <c r="H48" s="97"/>
      <c r="I48" s="946"/>
    </row>
    <row r="49" spans="1:9" s="224" customFormat="1" x14ac:dyDescent="0.25">
      <c r="A49" s="215">
        <v>42748</v>
      </c>
      <c r="B49" s="862" t="s">
        <v>32</v>
      </c>
      <c r="C49" s="350" t="s">
        <v>12</v>
      </c>
      <c r="D49" s="350" t="s">
        <v>1485</v>
      </c>
      <c r="E49" s="757" t="s">
        <v>13</v>
      </c>
      <c r="F49" s="622">
        <v>13</v>
      </c>
      <c r="G49" s="946"/>
      <c r="H49" s="97"/>
      <c r="I49" s="946"/>
    </row>
    <row r="50" spans="1:9" s="224" customFormat="1" x14ac:dyDescent="0.25">
      <c r="A50" s="215">
        <v>42748</v>
      </c>
      <c r="B50" s="349" t="s">
        <v>138</v>
      </c>
      <c r="C50" s="879" t="s">
        <v>19</v>
      </c>
      <c r="D50" s="879" t="s">
        <v>1487</v>
      </c>
      <c r="E50" s="871" t="s">
        <v>13</v>
      </c>
      <c r="F50" s="97">
        <v>70</v>
      </c>
      <c r="G50" s="946"/>
      <c r="H50" s="97"/>
      <c r="I50" s="946"/>
    </row>
    <row r="51" spans="1:9" s="224" customFormat="1" x14ac:dyDescent="0.25">
      <c r="A51" s="215">
        <v>42748</v>
      </c>
      <c r="B51" s="349" t="s">
        <v>1505</v>
      </c>
      <c r="C51" s="879" t="s">
        <v>19</v>
      </c>
      <c r="D51" s="879" t="s">
        <v>1506</v>
      </c>
      <c r="E51" s="871" t="s">
        <v>1507</v>
      </c>
      <c r="F51" s="97">
        <v>200</v>
      </c>
      <c r="G51" s="946"/>
      <c r="H51" s="97"/>
      <c r="I51" s="946"/>
    </row>
    <row r="52" spans="1:9" s="224" customFormat="1" x14ac:dyDescent="0.25">
      <c r="A52" s="215">
        <v>42748</v>
      </c>
      <c r="B52" s="349" t="s">
        <v>1508</v>
      </c>
      <c r="C52" s="879" t="s">
        <v>19</v>
      </c>
      <c r="D52" s="879" t="s">
        <v>1506</v>
      </c>
      <c r="E52" s="871" t="s">
        <v>15</v>
      </c>
      <c r="F52" s="97">
        <v>100</v>
      </c>
      <c r="G52" s="946"/>
      <c r="H52" s="97"/>
      <c r="I52" s="946"/>
    </row>
    <row r="53" spans="1:9" s="224" customFormat="1" x14ac:dyDescent="0.25">
      <c r="A53" s="215">
        <v>42748</v>
      </c>
      <c r="B53" s="349" t="s">
        <v>1509</v>
      </c>
      <c r="C53" s="879" t="s">
        <v>19</v>
      </c>
      <c r="D53" s="879" t="s">
        <v>1491</v>
      </c>
      <c r="E53" s="871" t="s">
        <v>13</v>
      </c>
      <c r="F53" s="97">
        <v>32</v>
      </c>
      <c r="G53" s="946"/>
      <c r="H53" s="97"/>
      <c r="I53" s="946"/>
    </row>
    <row r="54" spans="1:9" s="224" customFormat="1" x14ac:dyDescent="0.25">
      <c r="A54" s="215">
        <v>42748</v>
      </c>
      <c r="B54" s="349" t="s">
        <v>1510</v>
      </c>
      <c r="C54" s="879" t="s">
        <v>19</v>
      </c>
      <c r="D54" s="879" t="s">
        <v>1493</v>
      </c>
      <c r="E54" s="871" t="s">
        <v>13</v>
      </c>
      <c r="F54" s="97">
        <v>55.77</v>
      </c>
      <c r="G54" s="946"/>
      <c r="H54" s="97"/>
      <c r="I54" s="946"/>
    </row>
    <row r="55" spans="1:9" s="224" customFormat="1" x14ac:dyDescent="0.25">
      <c r="A55" s="215">
        <v>42748</v>
      </c>
      <c r="B55" s="349" t="s">
        <v>14</v>
      </c>
      <c r="C55" s="879" t="s">
        <v>12</v>
      </c>
      <c r="D55" s="350" t="s">
        <v>1486</v>
      </c>
      <c r="E55" s="871" t="s">
        <v>13</v>
      </c>
      <c r="F55" s="97">
        <v>6.37</v>
      </c>
      <c r="G55" s="946"/>
      <c r="H55" s="97"/>
      <c r="I55" s="946"/>
    </row>
    <row r="56" spans="1:9" ht="15" customHeight="1" x14ac:dyDescent="0.25">
      <c r="A56" s="215">
        <v>42748</v>
      </c>
      <c r="B56" s="349" t="s">
        <v>1396</v>
      </c>
      <c r="C56" s="350" t="s">
        <v>12</v>
      </c>
      <c r="D56" s="350"/>
      <c r="E56" s="757" t="s">
        <v>25</v>
      </c>
      <c r="F56" s="97"/>
      <c r="G56" s="946">
        <v>40</v>
      </c>
      <c r="H56" s="97"/>
      <c r="I56" s="946"/>
    </row>
    <row r="57" spans="1:9" s="224" customFormat="1" x14ac:dyDescent="0.25">
      <c r="A57" s="215">
        <v>42749</v>
      </c>
      <c r="B57" s="862"/>
      <c r="C57" s="879"/>
      <c r="D57" s="879"/>
      <c r="E57" s="1510"/>
      <c r="F57" s="97"/>
      <c r="G57" s="946"/>
      <c r="H57" s="97"/>
      <c r="I57" s="946"/>
    </row>
    <row r="58" spans="1:9" s="224" customFormat="1" x14ac:dyDescent="0.25">
      <c r="A58" s="215">
        <v>42750</v>
      </c>
      <c r="B58" s="862" t="s">
        <v>1511</v>
      </c>
      <c r="C58" s="879" t="s">
        <v>12</v>
      </c>
      <c r="D58" s="879" t="s">
        <v>1489</v>
      </c>
      <c r="E58" s="1510" t="s">
        <v>13</v>
      </c>
      <c r="F58" s="97">
        <v>16.36</v>
      </c>
      <c r="G58" s="946"/>
      <c r="H58" s="97"/>
      <c r="I58" s="946"/>
    </row>
    <row r="59" spans="1:9" s="224" customFormat="1" x14ac:dyDescent="0.25">
      <c r="A59" s="215">
        <v>42750</v>
      </c>
      <c r="B59" s="862" t="s">
        <v>14</v>
      </c>
      <c r="C59" s="879" t="s">
        <v>12</v>
      </c>
      <c r="D59" s="350" t="s">
        <v>1486</v>
      </c>
      <c r="E59" s="1510" t="s">
        <v>13</v>
      </c>
      <c r="F59" s="97">
        <v>5.7</v>
      </c>
      <c r="G59" s="946"/>
      <c r="H59" s="97"/>
      <c r="I59" s="946"/>
    </row>
    <row r="60" spans="1:9" s="224" customFormat="1" x14ac:dyDescent="0.25">
      <c r="A60" s="215">
        <v>42750</v>
      </c>
      <c r="B60" s="862" t="s">
        <v>1257</v>
      </c>
      <c r="C60" s="879" t="s">
        <v>12</v>
      </c>
      <c r="D60" s="879" t="s">
        <v>1491</v>
      </c>
      <c r="E60" s="1510" t="s">
        <v>15</v>
      </c>
      <c r="F60" s="97">
        <v>45</v>
      </c>
      <c r="G60" s="946"/>
      <c r="H60" s="97"/>
      <c r="I60" s="946"/>
    </row>
    <row r="61" spans="1:9" s="224" customFormat="1" x14ac:dyDescent="0.25">
      <c r="A61" s="215">
        <v>42750</v>
      </c>
      <c r="B61" s="862" t="s">
        <v>256</v>
      </c>
      <c r="C61" s="879"/>
      <c r="D61" s="879"/>
      <c r="E61" s="1510"/>
      <c r="F61" s="97"/>
      <c r="G61" s="946">
        <v>100</v>
      </c>
      <c r="H61" s="97">
        <v>100</v>
      </c>
      <c r="I61" s="946"/>
    </row>
    <row r="62" spans="1:9" s="224" customFormat="1" x14ac:dyDescent="0.25">
      <c r="A62" s="215">
        <v>42751</v>
      </c>
      <c r="B62" s="862" t="s">
        <v>32</v>
      </c>
      <c r="C62" s="350" t="s">
        <v>12</v>
      </c>
      <c r="D62" s="350" t="s">
        <v>1485</v>
      </c>
      <c r="E62" s="757" t="s">
        <v>13</v>
      </c>
      <c r="F62" s="622">
        <v>13</v>
      </c>
      <c r="G62" s="946"/>
      <c r="H62" s="97"/>
      <c r="I62" s="946"/>
    </row>
    <row r="63" spans="1:9" s="224" customFormat="1" x14ac:dyDescent="0.25">
      <c r="A63" s="215">
        <v>42751</v>
      </c>
      <c r="B63" s="862" t="s">
        <v>14</v>
      </c>
      <c r="C63" s="879" t="s">
        <v>12</v>
      </c>
      <c r="D63" s="350" t="s">
        <v>1486</v>
      </c>
      <c r="E63" s="1510" t="s">
        <v>13</v>
      </c>
      <c r="F63" s="97">
        <v>2.41</v>
      </c>
      <c r="G63" s="946"/>
      <c r="H63" s="97"/>
      <c r="I63" s="946"/>
    </row>
    <row r="64" spans="1:9" s="224" customFormat="1" x14ac:dyDescent="0.25">
      <c r="A64" s="215">
        <v>42752</v>
      </c>
      <c r="B64" s="862" t="s">
        <v>32</v>
      </c>
      <c r="C64" s="350" t="s">
        <v>12</v>
      </c>
      <c r="D64" s="350" t="s">
        <v>1485</v>
      </c>
      <c r="E64" s="757" t="s">
        <v>13</v>
      </c>
      <c r="F64" s="622">
        <v>13</v>
      </c>
      <c r="G64" s="946"/>
      <c r="H64" s="97"/>
      <c r="I64" s="946"/>
    </row>
    <row r="65" spans="1:9" s="224" customFormat="1" x14ac:dyDescent="0.25">
      <c r="A65" s="215">
        <v>42752</v>
      </c>
      <c r="B65" s="349" t="s">
        <v>1512</v>
      </c>
      <c r="C65" s="879" t="s">
        <v>12</v>
      </c>
      <c r="D65" s="879" t="s">
        <v>1489</v>
      </c>
      <c r="E65" s="871" t="s">
        <v>15</v>
      </c>
      <c r="F65" s="97">
        <v>12</v>
      </c>
      <c r="G65" s="946"/>
      <c r="H65" s="97"/>
      <c r="I65" s="946"/>
    </row>
    <row r="66" spans="1:9" s="224" customFormat="1" x14ac:dyDescent="0.25">
      <c r="A66" s="215">
        <v>42752</v>
      </c>
      <c r="B66" s="862" t="s">
        <v>14</v>
      </c>
      <c r="C66" s="879" t="s">
        <v>12</v>
      </c>
      <c r="D66" s="350" t="s">
        <v>1486</v>
      </c>
      <c r="E66" s="1510" t="s">
        <v>13</v>
      </c>
      <c r="F66" s="97">
        <v>6.08</v>
      </c>
      <c r="G66" s="946"/>
      <c r="H66" s="97"/>
      <c r="I66" s="946"/>
    </row>
    <row r="67" spans="1:9" s="224" customFormat="1" x14ac:dyDescent="0.25">
      <c r="A67" s="215">
        <v>42753</v>
      </c>
      <c r="B67" s="862" t="s">
        <v>32</v>
      </c>
      <c r="C67" s="350" t="s">
        <v>12</v>
      </c>
      <c r="D67" s="350" t="s">
        <v>1485</v>
      </c>
      <c r="E67" s="757" t="s">
        <v>13</v>
      </c>
      <c r="F67" s="622">
        <v>13</v>
      </c>
      <c r="G67" s="946"/>
      <c r="H67" s="97"/>
      <c r="I67" s="946"/>
    </row>
    <row r="68" spans="1:9" s="224" customFormat="1" x14ac:dyDescent="0.25">
      <c r="A68" s="215">
        <v>42753</v>
      </c>
      <c r="B68" s="862" t="s">
        <v>14</v>
      </c>
      <c r="C68" s="879" t="s">
        <v>12</v>
      </c>
      <c r="D68" s="350" t="s">
        <v>1486</v>
      </c>
      <c r="E68" s="1510" t="s">
        <v>13</v>
      </c>
      <c r="F68" s="97">
        <v>2.64</v>
      </c>
      <c r="G68" s="946"/>
      <c r="H68" s="97"/>
      <c r="I68" s="946"/>
    </row>
    <row r="69" spans="1:9" s="224" customFormat="1" ht="15" customHeight="1" x14ac:dyDescent="0.25">
      <c r="A69" s="215">
        <v>42754</v>
      </c>
      <c r="B69" s="349" t="s">
        <v>260</v>
      </c>
      <c r="C69" s="350"/>
      <c r="D69" s="350"/>
      <c r="E69" s="757"/>
      <c r="F69" s="97">
        <v>1300</v>
      </c>
      <c r="G69" s="946"/>
      <c r="H69" s="95"/>
      <c r="I69" s="946">
        <v>1300</v>
      </c>
    </row>
    <row r="70" spans="1:9" x14ac:dyDescent="0.25">
      <c r="A70" s="215">
        <v>42754</v>
      </c>
      <c r="B70" s="862" t="s">
        <v>32</v>
      </c>
      <c r="C70" s="350" t="s">
        <v>12</v>
      </c>
      <c r="D70" s="350" t="s">
        <v>1485</v>
      </c>
      <c r="E70" s="757" t="s">
        <v>15</v>
      </c>
      <c r="F70" s="622">
        <v>13</v>
      </c>
      <c r="G70" s="946"/>
      <c r="H70" s="97"/>
      <c r="I70" s="946"/>
    </row>
    <row r="71" spans="1:9" s="224" customFormat="1" x14ac:dyDescent="0.25">
      <c r="A71" s="215">
        <v>42754</v>
      </c>
      <c r="B71" s="862" t="s">
        <v>14</v>
      </c>
      <c r="C71" s="879" t="s">
        <v>12</v>
      </c>
      <c r="D71" s="350" t="s">
        <v>1486</v>
      </c>
      <c r="E71" s="1510" t="s">
        <v>13</v>
      </c>
      <c r="F71" s="97">
        <v>9.91</v>
      </c>
      <c r="G71" s="946"/>
      <c r="H71" s="97"/>
      <c r="I71" s="946"/>
    </row>
    <row r="72" spans="1:9" ht="15" customHeight="1" x14ac:dyDescent="0.25">
      <c r="A72" s="215">
        <v>42755</v>
      </c>
      <c r="B72" s="862" t="s">
        <v>32</v>
      </c>
      <c r="C72" s="350" t="s">
        <v>12</v>
      </c>
      <c r="D72" s="350" t="s">
        <v>1485</v>
      </c>
      <c r="E72" s="757" t="s">
        <v>15</v>
      </c>
      <c r="F72" s="622">
        <v>13</v>
      </c>
      <c r="G72" s="946"/>
      <c r="H72" s="97"/>
      <c r="I72" s="946"/>
    </row>
    <row r="73" spans="1:9" s="224" customFormat="1" ht="15" customHeight="1" x14ac:dyDescent="0.25">
      <c r="A73" s="215">
        <v>42755</v>
      </c>
      <c r="B73" s="882" t="s">
        <v>1513</v>
      </c>
      <c r="C73" s="350" t="s">
        <v>12</v>
      </c>
      <c r="D73" s="879"/>
      <c r="E73" s="871" t="s">
        <v>15</v>
      </c>
      <c r="F73" s="97"/>
      <c r="G73" s="946">
        <v>1420</v>
      </c>
      <c r="H73" s="95"/>
      <c r="I73" s="1473"/>
    </row>
    <row r="74" spans="1:9" s="224" customFormat="1" x14ac:dyDescent="0.25">
      <c r="A74" s="215">
        <v>42755</v>
      </c>
      <c r="B74" s="882" t="s">
        <v>1514</v>
      </c>
      <c r="C74" s="879" t="s">
        <v>12</v>
      </c>
      <c r="D74" s="879" t="s">
        <v>1515</v>
      </c>
      <c r="E74" s="871" t="s">
        <v>13</v>
      </c>
      <c r="F74" s="97">
        <v>568.53</v>
      </c>
      <c r="G74" s="946"/>
      <c r="H74" s="95"/>
      <c r="I74" s="1473"/>
    </row>
    <row r="75" spans="1:9" x14ac:dyDescent="0.25">
      <c r="A75" s="215">
        <v>42755</v>
      </c>
      <c r="B75" s="349" t="s">
        <v>260</v>
      </c>
      <c r="C75" s="350"/>
      <c r="D75" s="350"/>
      <c r="E75" s="757"/>
      <c r="F75" s="97">
        <v>700</v>
      </c>
      <c r="G75" s="946"/>
      <c r="H75" s="95"/>
      <c r="I75" s="946">
        <v>700</v>
      </c>
    </row>
    <row r="76" spans="1:9" s="224" customFormat="1" x14ac:dyDescent="0.25">
      <c r="A76" s="215">
        <v>42755</v>
      </c>
      <c r="B76" s="862" t="s">
        <v>14</v>
      </c>
      <c r="C76" s="879" t="s">
        <v>12</v>
      </c>
      <c r="D76" s="350" t="s">
        <v>1486</v>
      </c>
      <c r="E76" s="1510" t="s">
        <v>13</v>
      </c>
      <c r="F76" s="97">
        <v>8.1</v>
      </c>
      <c r="G76" s="946"/>
      <c r="H76" s="95"/>
      <c r="I76" s="1473"/>
    </row>
    <row r="77" spans="1:9" s="224" customFormat="1" x14ac:dyDescent="0.25">
      <c r="A77" s="215">
        <v>42755</v>
      </c>
      <c r="B77" s="862" t="s">
        <v>1472</v>
      </c>
      <c r="C77" s="350" t="s">
        <v>19</v>
      </c>
      <c r="D77" s="879" t="s">
        <v>1491</v>
      </c>
      <c r="E77" s="757" t="s">
        <v>13</v>
      </c>
      <c r="F77" s="97">
        <v>57.63</v>
      </c>
      <c r="G77" s="946"/>
      <c r="H77" s="95"/>
      <c r="I77" s="1473"/>
    </row>
    <row r="78" spans="1:9" s="224" customFormat="1" x14ac:dyDescent="0.25">
      <c r="A78" s="215">
        <v>42755</v>
      </c>
      <c r="B78" s="862" t="s">
        <v>1516</v>
      </c>
      <c r="C78" s="879" t="s">
        <v>19</v>
      </c>
      <c r="D78" s="879" t="s">
        <v>1489</v>
      </c>
      <c r="E78" s="1510" t="s">
        <v>13</v>
      </c>
      <c r="F78" s="97">
        <v>20.9</v>
      </c>
      <c r="G78" s="946"/>
      <c r="H78" s="95"/>
      <c r="I78" s="1473"/>
    </row>
    <row r="79" spans="1:9" s="224" customFormat="1" x14ac:dyDescent="0.25">
      <c r="A79" s="215">
        <v>42756</v>
      </c>
      <c r="B79" s="349" t="s">
        <v>138</v>
      </c>
      <c r="C79" s="879" t="s">
        <v>19</v>
      </c>
      <c r="D79" s="879" t="s">
        <v>1487</v>
      </c>
      <c r="E79" s="871" t="s">
        <v>13</v>
      </c>
      <c r="F79" s="97">
        <v>70</v>
      </c>
      <c r="G79" s="946"/>
      <c r="H79" s="95"/>
      <c r="I79" s="1473"/>
    </row>
    <row r="80" spans="1:9" s="224" customFormat="1" x14ac:dyDescent="0.25">
      <c r="A80" s="215">
        <v>42756</v>
      </c>
      <c r="B80" s="349" t="s">
        <v>32</v>
      </c>
      <c r="C80" s="879" t="s">
        <v>12</v>
      </c>
      <c r="D80" s="350" t="s">
        <v>1485</v>
      </c>
      <c r="E80" s="871" t="s">
        <v>13</v>
      </c>
      <c r="F80" s="97">
        <v>14.5</v>
      </c>
      <c r="G80" s="946"/>
      <c r="H80" s="95"/>
      <c r="I80" s="1473"/>
    </row>
    <row r="81" spans="1:9" s="224" customFormat="1" x14ac:dyDescent="0.25">
      <c r="A81" s="215">
        <v>42756</v>
      </c>
      <c r="B81" s="349" t="s">
        <v>1510</v>
      </c>
      <c r="C81" s="879" t="s">
        <v>12</v>
      </c>
      <c r="D81" s="879" t="s">
        <v>1493</v>
      </c>
      <c r="E81" s="871" t="s">
        <v>13</v>
      </c>
      <c r="F81" s="97">
        <v>51.5</v>
      </c>
      <c r="G81" s="946"/>
      <c r="H81" s="95"/>
      <c r="I81" s="1473"/>
    </row>
    <row r="82" spans="1:9" s="224" customFormat="1" x14ac:dyDescent="0.25">
      <c r="A82" s="215">
        <v>42756</v>
      </c>
      <c r="B82" s="349" t="s">
        <v>82</v>
      </c>
      <c r="C82" s="879" t="s">
        <v>12</v>
      </c>
      <c r="D82" s="879" t="s">
        <v>1493</v>
      </c>
      <c r="E82" s="871" t="s">
        <v>13</v>
      </c>
      <c r="F82" s="97">
        <v>28</v>
      </c>
      <c r="G82" s="946"/>
      <c r="H82" s="95"/>
      <c r="I82" s="1473"/>
    </row>
    <row r="83" spans="1:9" s="224" customFormat="1" ht="15" customHeight="1" x14ac:dyDescent="0.25">
      <c r="A83" s="215">
        <v>42757</v>
      </c>
      <c r="B83" s="349" t="s">
        <v>14</v>
      </c>
      <c r="C83" s="879" t="s">
        <v>12</v>
      </c>
      <c r="D83" s="350" t="s">
        <v>1486</v>
      </c>
      <c r="E83" s="871" t="s">
        <v>13</v>
      </c>
      <c r="F83" s="97">
        <v>12.69</v>
      </c>
      <c r="G83" s="946"/>
      <c r="H83" s="95"/>
      <c r="I83" s="946"/>
    </row>
    <row r="84" spans="1:9" s="224" customFormat="1" x14ac:dyDescent="0.25">
      <c r="A84" s="215">
        <v>42757</v>
      </c>
      <c r="B84" s="349" t="s">
        <v>311</v>
      </c>
      <c r="C84" s="350"/>
      <c r="D84" s="350"/>
      <c r="E84" s="757"/>
      <c r="F84" s="97"/>
      <c r="G84" s="946"/>
      <c r="H84" s="97"/>
      <c r="I84" s="946">
        <v>2.13</v>
      </c>
    </row>
    <row r="85" spans="1:9" s="224" customFormat="1" x14ac:dyDescent="0.25">
      <c r="A85" s="215">
        <v>42758</v>
      </c>
      <c r="B85" s="349" t="s">
        <v>32</v>
      </c>
      <c r="C85" s="879" t="s">
        <v>12</v>
      </c>
      <c r="D85" s="350" t="s">
        <v>1485</v>
      </c>
      <c r="E85" s="871" t="s">
        <v>15</v>
      </c>
      <c r="F85" s="97">
        <v>13</v>
      </c>
      <c r="G85" s="946"/>
      <c r="H85" s="95"/>
      <c r="I85" s="1473"/>
    </row>
    <row r="86" spans="1:9" s="224" customFormat="1" ht="15" customHeight="1" x14ac:dyDescent="0.25">
      <c r="A86" s="215">
        <v>42758</v>
      </c>
      <c r="B86" s="349" t="s">
        <v>14</v>
      </c>
      <c r="C86" s="879" t="s">
        <v>12</v>
      </c>
      <c r="D86" s="350" t="s">
        <v>1486</v>
      </c>
      <c r="E86" s="871" t="s">
        <v>13</v>
      </c>
      <c r="F86" s="97">
        <v>8.93</v>
      </c>
      <c r="G86" s="946"/>
      <c r="H86" s="95"/>
      <c r="I86" s="946"/>
    </row>
    <row r="87" spans="1:9" s="224" customFormat="1" x14ac:dyDescent="0.25">
      <c r="A87" s="215">
        <v>42759</v>
      </c>
      <c r="B87" s="862" t="s">
        <v>1377</v>
      </c>
      <c r="C87" s="350" t="s">
        <v>12</v>
      </c>
      <c r="D87" s="874" t="s">
        <v>1504</v>
      </c>
      <c r="E87" s="870" t="s">
        <v>13</v>
      </c>
      <c r="F87" s="97">
        <v>58.9</v>
      </c>
      <c r="G87" s="946"/>
      <c r="H87" s="95"/>
      <c r="I87" s="1473"/>
    </row>
    <row r="88" spans="1:9" s="224" customFormat="1" x14ac:dyDescent="0.25">
      <c r="A88" s="215">
        <v>42759</v>
      </c>
      <c r="B88" s="349" t="s">
        <v>32</v>
      </c>
      <c r="C88" s="879" t="s">
        <v>12</v>
      </c>
      <c r="D88" s="350" t="s">
        <v>1485</v>
      </c>
      <c r="E88" s="871" t="s">
        <v>13</v>
      </c>
      <c r="F88" s="97">
        <v>13</v>
      </c>
      <c r="G88" s="946"/>
      <c r="H88" s="95"/>
      <c r="I88" s="1473"/>
    </row>
    <row r="89" spans="1:9" s="224" customFormat="1" x14ac:dyDescent="0.25">
      <c r="A89" s="215">
        <v>42759</v>
      </c>
      <c r="B89" s="349" t="s">
        <v>138</v>
      </c>
      <c r="C89" s="879" t="s">
        <v>19</v>
      </c>
      <c r="D89" s="879" t="s">
        <v>1487</v>
      </c>
      <c r="E89" s="871" t="s">
        <v>13</v>
      </c>
      <c r="F89" s="97">
        <v>70</v>
      </c>
      <c r="G89" s="946"/>
      <c r="H89" s="95"/>
      <c r="I89" s="1473"/>
    </row>
    <row r="90" spans="1:9" s="224" customFormat="1" x14ac:dyDescent="0.25">
      <c r="A90" s="215">
        <v>42759</v>
      </c>
      <c r="B90" s="862" t="s">
        <v>1517</v>
      </c>
      <c r="C90" s="879" t="s">
        <v>19</v>
      </c>
      <c r="D90" s="879" t="s">
        <v>1506</v>
      </c>
      <c r="E90" s="871" t="s">
        <v>13</v>
      </c>
      <c r="F90" s="97">
        <v>100</v>
      </c>
      <c r="G90" s="946"/>
      <c r="H90" s="95"/>
      <c r="I90" s="1473"/>
    </row>
    <row r="91" spans="1:9" s="224" customFormat="1" x14ac:dyDescent="0.25">
      <c r="A91" s="215">
        <v>42759</v>
      </c>
      <c r="B91" s="349" t="s">
        <v>1518</v>
      </c>
      <c r="C91" s="879" t="s">
        <v>12</v>
      </c>
      <c r="D91" s="879" t="s">
        <v>1506</v>
      </c>
      <c r="E91" s="871" t="s">
        <v>13</v>
      </c>
      <c r="F91" s="97">
        <v>12</v>
      </c>
      <c r="G91" s="946"/>
      <c r="H91" s="95"/>
      <c r="I91" s="1473"/>
    </row>
    <row r="92" spans="1:9" s="224" customFormat="1" x14ac:dyDescent="0.25">
      <c r="A92" s="215">
        <v>42759</v>
      </c>
      <c r="B92" s="349" t="s">
        <v>134</v>
      </c>
      <c r="C92" s="879" t="s">
        <v>12</v>
      </c>
      <c r="D92" s="879" t="s">
        <v>1493</v>
      </c>
      <c r="E92" s="871" t="s">
        <v>15</v>
      </c>
      <c r="F92" s="97">
        <v>8</v>
      </c>
      <c r="G92" s="946"/>
      <c r="H92" s="95"/>
      <c r="I92" s="1473"/>
    </row>
    <row r="93" spans="1:9" s="224" customFormat="1" x14ac:dyDescent="0.25">
      <c r="A93" s="215">
        <v>42759</v>
      </c>
      <c r="B93" s="349" t="s">
        <v>1519</v>
      </c>
      <c r="C93" s="879" t="s">
        <v>12</v>
      </c>
      <c r="D93" s="879" t="s">
        <v>1506</v>
      </c>
      <c r="E93" s="871" t="s">
        <v>15</v>
      </c>
      <c r="F93" s="97">
        <v>20</v>
      </c>
      <c r="G93" s="946"/>
      <c r="H93" s="95"/>
      <c r="I93" s="1473"/>
    </row>
    <row r="94" spans="1:9" s="224" customFormat="1" x14ac:dyDescent="0.25">
      <c r="A94" s="215">
        <v>42760</v>
      </c>
      <c r="B94" s="349" t="s">
        <v>32</v>
      </c>
      <c r="C94" s="879" t="s">
        <v>12</v>
      </c>
      <c r="D94" s="350" t="s">
        <v>1485</v>
      </c>
      <c r="E94" s="871" t="s">
        <v>13</v>
      </c>
      <c r="F94" s="97">
        <v>13</v>
      </c>
      <c r="G94" s="946"/>
      <c r="H94" s="95"/>
      <c r="I94" s="1473"/>
    </row>
    <row r="95" spans="1:9" s="224" customFormat="1" x14ac:dyDescent="0.25">
      <c r="A95" s="215">
        <v>42760</v>
      </c>
      <c r="B95" s="349" t="s">
        <v>1343</v>
      </c>
      <c r="C95" s="879" t="s">
        <v>19</v>
      </c>
      <c r="D95" s="879" t="s">
        <v>1491</v>
      </c>
      <c r="E95" s="871" t="s">
        <v>13</v>
      </c>
      <c r="F95" s="97">
        <v>33.44</v>
      </c>
      <c r="G95" s="946"/>
      <c r="H95" s="95"/>
      <c r="I95" s="1473"/>
    </row>
    <row r="96" spans="1:9" s="224" customFormat="1" x14ac:dyDescent="0.25">
      <c r="A96" s="215">
        <v>42760</v>
      </c>
      <c r="B96" s="349" t="s">
        <v>1014</v>
      </c>
      <c r="C96" s="879" t="s">
        <v>12</v>
      </c>
      <c r="D96" s="879" t="s">
        <v>1491</v>
      </c>
      <c r="E96" s="871" t="s">
        <v>13</v>
      </c>
      <c r="F96" s="97">
        <v>23.44</v>
      </c>
      <c r="G96" s="946"/>
      <c r="H96" s="95"/>
      <c r="I96" s="1473"/>
    </row>
    <row r="97" spans="1:9" s="224" customFormat="1" ht="15" customHeight="1" x14ac:dyDescent="0.25">
      <c r="A97" s="215">
        <v>42760</v>
      </c>
      <c r="B97" s="349" t="s">
        <v>14</v>
      </c>
      <c r="C97" s="879" t="s">
        <v>12</v>
      </c>
      <c r="D97" s="350" t="s">
        <v>1486</v>
      </c>
      <c r="E97" s="871" t="s">
        <v>13</v>
      </c>
      <c r="F97" s="97">
        <v>4.18</v>
      </c>
      <c r="G97" s="946"/>
      <c r="H97" s="95"/>
      <c r="I97" s="946"/>
    </row>
    <row r="98" spans="1:9" s="224" customFormat="1" x14ac:dyDescent="0.25">
      <c r="A98" s="215">
        <v>42761</v>
      </c>
      <c r="B98" s="349" t="s">
        <v>32</v>
      </c>
      <c r="C98" s="879" t="s">
        <v>12</v>
      </c>
      <c r="D98" s="350" t="s">
        <v>1485</v>
      </c>
      <c r="E98" s="871" t="s">
        <v>13</v>
      </c>
      <c r="F98" s="97">
        <v>13</v>
      </c>
      <c r="G98" s="946"/>
      <c r="H98" s="95"/>
      <c r="I98" s="1473"/>
    </row>
    <row r="99" spans="1:9" ht="15" customHeight="1" x14ac:dyDescent="0.25">
      <c r="A99" s="215">
        <v>42762</v>
      </c>
      <c r="B99" s="862" t="s">
        <v>256</v>
      </c>
      <c r="C99" s="879"/>
      <c r="D99" s="879"/>
      <c r="E99" s="1510"/>
      <c r="F99" s="97"/>
      <c r="G99" s="946">
        <v>202.13</v>
      </c>
      <c r="H99" s="97">
        <v>202.13</v>
      </c>
      <c r="I99" s="946"/>
    </row>
    <row r="100" spans="1:9" s="224" customFormat="1" x14ac:dyDescent="0.25">
      <c r="A100" s="215">
        <v>42762</v>
      </c>
      <c r="B100" s="349" t="s">
        <v>1520</v>
      </c>
      <c r="C100" s="879" t="s">
        <v>12</v>
      </c>
      <c r="D100" s="879" t="s">
        <v>1489</v>
      </c>
      <c r="E100" s="871" t="s">
        <v>13</v>
      </c>
      <c r="F100" s="97">
        <v>41.37</v>
      </c>
      <c r="G100" s="946"/>
      <c r="H100" s="95"/>
      <c r="I100" s="1473"/>
    </row>
    <row r="101" spans="1:9" s="224" customFormat="1" x14ac:dyDescent="0.25">
      <c r="A101" s="215">
        <v>42762</v>
      </c>
      <c r="B101" s="349" t="s">
        <v>32</v>
      </c>
      <c r="C101" s="879" t="s">
        <v>12</v>
      </c>
      <c r="D101" s="350" t="s">
        <v>1485</v>
      </c>
      <c r="E101" s="871" t="s">
        <v>13</v>
      </c>
      <c r="F101" s="97">
        <v>13</v>
      </c>
      <c r="G101" s="946"/>
      <c r="H101" s="95"/>
      <c r="I101" s="1473"/>
    </row>
    <row r="102" spans="1:9" s="224" customFormat="1" x14ac:dyDescent="0.25">
      <c r="A102" s="215">
        <v>42762</v>
      </c>
      <c r="B102" s="349" t="s">
        <v>14</v>
      </c>
      <c r="C102" s="879" t="s">
        <v>12</v>
      </c>
      <c r="D102" s="350" t="s">
        <v>1486</v>
      </c>
      <c r="E102" s="871" t="s">
        <v>13</v>
      </c>
      <c r="F102" s="97">
        <v>6.84</v>
      </c>
      <c r="G102" s="946"/>
      <c r="H102" s="95"/>
      <c r="I102" s="1473"/>
    </row>
    <row r="103" spans="1:9" s="224" customFormat="1" x14ac:dyDescent="0.25">
      <c r="A103" s="215">
        <v>42763</v>
      </c>
      <c r="B103" s="349" t="s">
        <v>1257</v>
      </c>
      <c r="C103" s="879" t="s">
        <v>12</v>
      </c>
      <c r="D103" s="879" t="s">
        <v>1491</v>
      </c>
      <c r="E103" s="871" t="s">
        <v>13</v>
      </c>
      <c r="F103" s="97">
        <v>45</v>
      </c>
      <c r="G103" s="946"/>
      <c r="H103" s="95"/>
      <c r="I103" s="1473"/>
    </row>
    <row r="104" spans="1:9" s="224" customFormat="1" x14ac:dyDescent="0.25">
      <c r="A104" s="215">
        <v>42763</v>
      </c>
      <c r="B104" s="349" t="s">
        <v>14</v>
      </c>
      <c r="C104" s="879" t="s">
        <v>12</v>
      </c>
      <c r="D104" s="350" t="s">
        <v>1486</v>
      </c>
      <c r="E104" s="871" t="s">
        <v>13</v>
      </c>
      <c r="F104" s="97">
        <v>6.49</v>
      </c>
      <c r="G104" s="946"/>
      <c r="H104" s="95"/>
      <c r="I104" s="1473"/>
    </row>
    <row r="105" spans="1:9" s="224" customFormat="1" x14ac:dyDescent="0.25">
      <c r="A105" s="215">
        <v>42764</v>
      </c>
      <c r="B105" s="862" t="s">
        <v>17</v>
      </c>
      <c r="C105" s="350" t="s">
        <v>12</v>
      </c>
      <c r="D105" s="350" t="s">
        <v>1493</v>
      </c>
      <c r="E105" s="757" t="s">
        <v>15</v>
      </c>
      <c r="F105" s="97">
        <v>3.5</v>
      </c>
      <c r="G105" s="946"/>
      <c r="H105" s="95"/>
      <c r="I105" s="1473"/>
    </row>
    <row r="106" spans="1:9" s="224" customFormat="1" x14ac:dyDescent="0.25">
      <c r="A106" s="215">
        <v>42764</v>
      </c>
      <c r="B106" s="349" t="s">
        <v>14</v>
      </c>
      <c r="C106" s="879" t="s">
        <v>12</v>
      </c>
      <c r="D106" s="350" t="s">
        <v>1486</v>
      </c>
      <c r="E106" s="871" t="s">
        <v>13</v>
      </c>
      <c r="F106" s="97">
        <v>26</v>
      </c>
      <c r="G106" s="946"/>
      <c r="H106" s="95"/>
      <c r="I106" s="1473"/>
    </row>
    <row r="107" spans="1:9" s="224" customFormat="1" x14ac:dyDescent="0.25">
      <c r="A107" s="215">
        <v>42765</v>
      </c>
      <c r="B107" s="349" t="s">
        <v>32</v>
      </c>
      <c r="C107" s="879" t="s">
        <v>12</v>
      </c>
      <c r="D107" s="350" t="s">
        <v>1485</v>
      </c>
      <c r="E107" s="871" t="s">
        <v>13</v>
      </c>
      <c r="F107" s="97">
        <v>13</v>
      </c>
      <c r="G107" s="946"/>
      <c r="H107" s="95"/>
      <c r="I107" s="1473"/>
    </row>
    <row r="108" spans="1:9" s="224" customFormat="1" x14ac:dyDescent="0.25">
      <c r="A108" s="215">
        <v>42765</v>
      </c>
      <c r="B108" s="349" t="s">
        <v>14</v>
      </c>
      <c r="C108" s="879" t="s">
        <v>12</v>
      </c>
      <c r="D108" s="350" t="s">
        <v>1486</v>
      </c>
      <c r="E108" s="871" t="s">
        <v>13</v>
      </c>
      <c r="F108" s="97">
        <v>5.15</v>
      </c>
      <c r="G108" s="946"/>
      <c r="H108" s="95"/>
      <c r="I108" s="1473"/>
    </row>
    <row r="109" spans="1:9" s="224" customFormat="1" x14ac:dyDescent="0.25">
      <c r="A109" s="215">
        <v>42766</v>
      </c>
      <c r="B109" s="349" t="s">
        <v>32</v>
      </c>
      <c r="C109" s="879" t="s">
        <v>12</v>
      </c>
      <c r="D109" s="350" t="s">
        <v>1485</v>
      </c>
      <c r="E109" s="871" t="s">
        <v>13</v>
      </c>
      <c r="F109" s="97">
        <v>13</v>
      </c>
      <c r="G109" s="946"/>
      <c r="H109" s="95"/>
      <c r="I109" s="1473"/>
    </row>
    <row r="110" spans="1:9" s="224" customFormat="1" ht="15.75" thickBot="1" x14ac:dyDescent="0.3">
      <c r="A110" s="215">
        <v>42766</v>
      </c>
      <c r="B110" s="349" t="s">
        <v>14</v>
      </c>
      <c r="C110" s="879" t="s">
        <v>12</v>
      </c>
      <c r="D110" s="350" t="s">
        <v>1486</v>
      </c>
      <c r="E110" s="871" t="s">
        <v>13</v>
      </c>
      <c r="F110" s="97">
        <v>9.2799999999999994</v>
      </c>
      <c r="G110" s="946"/>
      <c r="H110" s="95"/>
      <c r="I110" s="1473"/>
    </row>
    <row r="111" spans="1:9" ht="25.5" customHeight="1" thickBot="1" x14ac:dyDescent="0.3">
      <c r="A111" s="3120"/>
      <c r="B111" s="3121"/>
      <c r="C111" s="3121"/>
      <c r="D111" s="3121"/>
      <c r="E111" s="3122"/>
      <c r="F111" s="100">
        <f>SUM(F6:F110)</f>
        <v>7885.7799999999979</v>
      </c>
      <c r="G111" s="1065">
        <f>SUM(G5:G110)</f>
        <v>8085.6800000000021</v>
      </c>
      <c r="H111" s="101">
        <f>SUM(H6:H110)</f>
        <v>302.13</v>
      </c>
      <c r="I111" s="93">
        <f>SUM(I5:I110)</f>
        <v>5802.1260000000002</v>
      </c>
    </row>
    <row r="112" spans="1:9" ht="25.5" customHeight="1" thickBot="1" x14ac:dyDescent="0.3">
      <c r="A112" s="3117" t="s">
        <v>49</v>
      </c>
      <c r="B112" s="3118"/>
      <c r="C112" s="3118"/>
      <c r="D112" s="3118"/>
      <c r="E112" s="3119"/>
      <c r="F112" s="144"/>
      <c r="G112" s="519">
        <f>G111-F111</f>
        <v>199.90000000000418</v>
      </c>
      <c r="H112" s="555"/>
      <c r="I112" s="556">
        <f>I111-H111</f>
        <v>5499.9960000000001</v>
      </c>
    </row>
    <row r="113" spans="1:9" ht="25.5" customHeight="1" x14ac:dyDescent="0.25">
      <c r="A113" s="753"/>
      <c r="B113" s="753"/>
      <c r="C113" s="753"/>
      <c r="D113" s="753"/>
      <c r="E113" s="753"/>
      <c r="F113" s="754"/>
      <c r="G113" s="755"/>
      <c r="H113" s="756"/>
      <c r="I113" s="756"/>
    </row>
    <row r="114" spans="1:9" x14ac:dyDescent="0.25">
      <c r="B114" s="81" t="s">
        <v>3</v>
      </c>
      <c r="C114" s="193" t="s">
        <v>382</v>
      </c>
      <c r="D114" s="193" t="s">
        <v>1521</v>
      </c>
      <c r="E114" s="193"/>
      <c r="G114" s="89"/>
    </row>
    <row r="115" spans="1:9" x14ac:dyDescent="0.25">
      <c r="B115" s="79" t="s">
        <v>32</v>
      </c>
      <c r="C115" s="475">
        <v>334.35</v>
      </c>
      <c r="D115" s="85" t="s">
        <v>1485</v>
      </c>
    </row>
    <row r="116" spans="1:9" x14ac:dyDescent="0.25">
      <c r="B116" s="79" t="s">
        <v>1218</v>
      </c>
      <c r="C116" s="475">
        <v>340</v>
      </c>
      <c r="D116" s="85" t="s">
        <v>1487</v>
      </c>
    </row>
    <row r="117" spans="1:9" x14ac:dyDescent="0.25">
      <c r="B117" s="79" t="s">
        <v>50</v>
      </c>
      <c r="C117" s="484">
        <v>278.49</v>
      </c>
      <c r="D117" s="85" t="s">
        <v>1493</v>
      </c>
    </row>
    <row r="118" spans="1:9" s="85" customFormat="1" x14ac:dyDescent="0.25">
      <c r="A118" s="79"/>
      <c r="B118" s="79" t="s">
        <v>14</v>
      </c>
      <c r="C118" s="484">
        <v>175.08</v>
      </c>
      <c r="D118" s="85" t="s">
        <v>1486</v>
      </c>
    </row>
    <row r="119" spans="1:9" s="85" customFormat="1" x14ac:dyDescent="0.25">
      <c r="A119" s="79"/>
      <c r="B119" s="79" t="s">
        <v>51</v>
      </c>
      <c r="C119" s="475">
        <v>143.82</v>
      </c>
      <c r="D119" s="864" t="s">
        <v>1499</v>
      </c>
      <c r="F119" s="89"/>
      <c r="G119" s="79"/>
      <c r="H119" s="79"/>
      <c r="I119" s="79"/>
    </row>
    <row r="120" spans="1:9" s="85" customFormat="1" x14ac:dyDescent="0.25">
      <c r="A120" s="79"/>
      <c r="B120" s="79" t="s">
        <v>52</v>
      </c>
      <c r="C120" s="475">
        <v>60</v>
      </c>
      <c r="D120" s="864" t="s">
        <v>1496</v>
      </c>
      <c r="F120" s="89"/>
      <c r="G120" s="79"/>
      <c r="H120" s="79"/>
      <c r="I120" s="79"/>
    </row>
    <row r="121" spans="1:9" s="85" customFormat="1" x14ac:dyDescent="0.25">
      <c r="A121" s="79"/>
      <c r="B121" s="867" t="s">
        <v>53</v>
      </c>
      <c r="C121" s="475">
        <v>181.67</v>
      </c>
      <c r="D121" s="864" t="s">
        <v>1522</v>
      </c>
      <c r="E121" s="224"/>
      <c r="F121" s="89"/>
      <c r="G121" s="79"/>
      <c r="H121" s="79"/>
      <c r="I121" s="79"/>
    </row>
    <row r="122" spans="1:9" s="85" customFormat="1" x14ac:dyDescent="0.25">
      <c r="A122" s="79"/>
      <c r="B122" s="79" t="s">
        <v>1232</v>
      </c>
      <c r="C122" s="475">
        <v>568.53</v>
      </c>
      <c r="D122" s="864" t="s">
        <v>1515</v>
      </c>
      <c r="F122" s="89"/>
      <c r="G122" s="79"/>
      <c r="H122" s="79"/>
      <c r="I122" s="79"/>
    </row>
    <row r="123" spans="1:9" s="85" customFormat="1" x14ac:dyDescent="0.25">
      <c r="A123" s="79"/>
      <c r="B123" s="79" t="s">
        <v>56</v>
      </c>
      <c r="C123" s="475"/>
      <c r="D123" s="864" t="s">
        <v>1523</v>
      </c>
      <c r="F123" s="89"/>
      <c r="G123" s="79"/>
      <c r="H123" s="79"/>
      <c r="I123" s="79"/>
    </row>
    <row r="124" spans="1:9" s="85" customFormat="1" x14ac:dyDescent="0.25">
      <c r="A124" s="79"/>
      <c r="B124" s="79" t="s">
        <v>57</v>
      </c>
      <c r="C124" s="475">
        <v>511.93</v>
      </c>
      <c r="D124" s="864" t="s">
        <v>1506</v>
      </c>
      <c r="F124" s="89"/>
      <c r="G124" s="79"/>
      <c r="H124" s="79"/>
      <c r="I124" s="79"/>
    </row>
    <row r="125" spans="1:9" s="85" customFormat="1" x14ac:dyDescent="0.25">
      <c r="A125" s="79"/>
      <c r="B125" s="79" t="s">
        <v>418</v>
      </c>
      <c r="C125" s="475"/>
      <c r="D125" s="85" t="s">
        <v>1524</v>
      </c>
      <c r="F125" s="89"/>
    </row>
    <row r="126" spans="1:9" x14ac:dyDescent="0.25">
      <c r="B126" s="79" t="s">
        <v>419</v>
      </c>
      <c r="C126" s="475">
        <v>711.51</v>
      </c>
      <c r="D126" s="85" t="s">
        <v>1491</v>
      </c>
    </row>
    <row r="127" spans="1:9" x14ac:dyDescent="0.25">
      <c r="B127" s="79" t="s">
        <v>911</v>
      </c>
      <c r="C127" s="475">
        <v>55.98</v>
      </c>
      <c r="D127" s="85" t="s">
        <v>1525</v>
      </c>
    </row>
    <row r="128" spans="1:9" x14ac:dyDescent="0.25">
      <c r="B128" s="79" t="s">
        <v>1526</v>
      </c>
      <c r="C128" s="475">
        <v>233.9</v>
      </c>
      <c r="D128" s="85" t="s">
        <v>1504</v>
      </c>
    </row>
    <row r="129" spans="2:10" x14ac:dyDescent="0.25">
      <c r="B129" s="79" t="s">
        <v>1527</v>
      </c>
      <c r="C129" s="475">
        <v>236.02</v>
      </c>
      <c r="D129" s="85" t="s">
        <v>1489</v>
      </c>
    </row>
    <row r="130" spans="2:10" x14ac:dyDescent="0.25">
      <c r="C130" s="475"/>
    </row>
    <row r="131" spans="2:10" x14ac:dyDescent="0.25">
      <c r="D131" s="79"/>
      <c r="E131" s="79"/>
    </row>
    <row r="132" spans="2:10" x14ac:dyDescent="0.25">
      <c r="B132" s="79" t="s">
        <v>486</v>
      </c>
      <c r="C132" s="475">
        <f>H132/J132</f>
        <v>123.58967741935484</v>
      </c>
      <c r="F132" s="224" t="s">
        <v>487</v>
      </c>
      <c r="G132" s="224"/>
      <c r="H132" s="216">
        <v>3831.28</v>
      </c>
      <c r="I132" s="518" t="s">
        <v>488</v>
      </c>
      <c r="J132" s="85">
        <v>31</v>
      </c>
    </row>
    <row r="135" spans="2:10" x14ac:dyDescent="0.25">
      <c r="J135" s="85"/>
    </row>
    <row r="143" spans="2:10" x14ac:dyDescent="0.25">
      <c r="C143" s="79"/>
      <c r="D143" s="79"/>
      <c r="E143" s="79"/>
      <c r="F143" s="79"/>
      <c r="I143" s="216"/>
    </row>
    <row r="144" spans="2:10" x14ac:dyDescent="0.25">
      <c r="C144" s="79"/>
      <c r="D144" s="79"/>
      <c r="E144" s="79"/>
      <c r="F144" s="79"/>
      <c r="I144" s="216"/>
    </row>
    <row r="145" spans="3:9" x14ac:dyDescent="0.25">
      <c r="C145" s="79"/>
      <c r="D145" s="79"/>
      <c r="E145" s="79"/>
      <c r="F145" s="79"/>
      <c r="G145" s="216"/>
      <c r="I145" s="216"/>
    </row>
    <row r="146" spans="3:9" x14ac:dyDescent="0.25">
      <c r="C146" s="79"/>
      <c r="D146" s="79"/>
      <c r="E146" s="79"/>
      <c r="F146" s="79"/>
      <c r="G146" s="216"/>
      <c r="I146" s="216"/>
    </row>
    <row r="147" spans="3:9" x14ac:dyDescent="0.25">
      <c r="C147" s="79"/>
      <c r="D147" s="79"/>
      <c r="E147" s="79"/>
      <c r="F147" s="79"/>
      <c r="G147" s="216"/>
    </row>
    <row r="148" spans="3:9" x14ac:dyDescent="0.25">
      <c r="C148" s="79"/>
      <c r="D148" s="79"/>
      <c r="E148" s="79"/>
      <c r="F148" s="79"/>
      <c r="I148" s="216"/>
    </row>
    <row r="150" spans="3:9" x14ac:dyDescent="0.25">
      <c r="C150" s="79"/>
      <c r="D150" s="79"/>
      <c r="E150" s="79"/>
      <c r="F150" s="79"/>
      <c r="I150" s="629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  <row r="161" spans="3:9" x14ac:dyDescent="0.25">
      <c r="C161" s="79"/>
      <c r="D161" s="79"/>
      <c r="E161" s="79"/>
      <c r="F161" s="79"/>
      <c r="I161" s="216"/>
    </row>
    <row r="162" spans="3:9" x14ac:dyDescent="0.25">
      <c r="C162" s="79"/>
      <c r="D162" s="79"/>
      <c r="E162" s="79"/>
      <c r="F162" s="79"/>
      <c r="I162" s="216"/>
    </row>
    <row r="163" spans="3:9" x14ac:dyDescent="0.25">
      <c r="C163" s="79"/>
      <c r="D163" s="79"/>
      <c r="E163" s="79"/>
      <c r="F163" s="79"/>
      <c r="I163" s="216"/>
    </row>
    <row r="164" spans="3:9" x14ac:dyDescent="0.25">
      <c r="C164" s="79"/>
      <c r="D164" s="79"/>
      <c r="E164" s="79"/>
      <c r="F164" s="79"/>
      <c r="I164" s="216"/>
    </row>
  </sheetData>
  <autoFilter ref="A2:I112" xr:uid="{00000000-0009-0000-0000-000038000000}"/>
  <mergeCells count="11">
    <mergeCell ref="A111:E111"/>
    <mergeCell ref="A112:E112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Plan62"/>
  <dimension ref="A1:J160"/>
  <sheetViews>
    <sheetView zoomScale="85" zoomScaleNormal="85" workbookViewId="0">
      <pane ySplit="4" topLeftCell="A106" activePane="bottomLeft" state="frozen"/>
      <selection activeCell="C44" sqref="C44"/>
      <selection pane="bottomLeft" activeCell="B124" sqref="B12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2.4257812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1528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42767</v>
      </c>
      <c r="B5" s="369" t="s">
        <v>10</v>
      </c>
      <c r="C5" s="370"/>
      <c r="D5" s="370"/>
      <c r="E5" s="488"/>
      <c r="F5" s="179"/>
      <c r="G5" s="933">
        <f>'Janeiro-17'!G112</f>
        <v>199.90000000000418</v>
      </c>
      <c r="H5" s="163"/>
      <c r="I5" s="933">
        <f>'Janeiro-17'!I112</f>
        <v>5499.9960000000001</v>
      </c>
    </row>
    <row r="6" spans="1:9" s="224" customFormat="1" x14ac:dyDescent="0.25">
      <c r="A6" s="215">
        <v>42767</v>
      </c>
      <c r="B6" s="348" t="s">
        <v>11</v>
      </c>
      <c r="C6" s="351"/>
      <c r="D6" s="351"/>
      <c r="E6" s="673"/>
      <c r="F6" s="250">
        <v>30</v>
      </c>
      <c r="G6" s="1473"/>
      <c r="H6" s="252"/>
      <c r="I6" s="1473"/>
    </row>
    <row r="7" spans="1:9" s="224" customFormat="1" x14ac:dyDescent="0.25">
      <c r="A7" s="215">
        <v>42767</v>
      </c>
      <c r="B7" s="349" t="s">
        <v>311</v>
      </c>
      <c r="C7" s="350"/>
      <c r="D7" s="350"/>
      <c r="E7" s="757"/>
      <c r="F7" s="97"/>
      <c r="G7" s="946"/>
      <c r="H7" s="97"/>
      <c r="I7" s="946">
        <v>5.74</v>
      </c>
    </row>
    <row r="8" spans="1:9" s="224" customFormat="1" ht="15.75" customHeight="1" x14ac:dyDescent="0.25">
      <c r="A8" s="215">
        <v>42767</v>
      </c>
      <c r="B8" s="349" t="s">
        <v>32</v>
      </c>
      <c r="C8" s="879" t="s">
        <v>12</v>
      </c>
      <c r="D8" s="879" t="s">
        <v>1485</v>
      </c>
      <c r="E8" s="871" t="s">
        <v>13</v>
      </c>
      <c r="F8" s="97">
        <v>13</v>
      </c>
      <c r="G8" s="1473"/>
      <c r="H8" s="252"/>
      <c r="I8" s="946"/>
    </row>
    <row r="9" spans="1:9" s="224" customFormat="1" x14ac:dyDescent="0.25">
      <c r="A9" s="215">
        <v>42767</v>
      </c>
      <c r="B9" s="862" t="s">
        <v>14</v>
      </c>
      <c r="C9" s="879" t="s">
        <v>12</v>
      </c>
      <c r="D9" s="879" t="s">
        <v>1486</v>
      </c>
      <c r="E9" s="1510" t="s">
        <v>13</v>
      </c>
      <c r="F9" s="97">
        <v>33.49</v>
      </c>
      <c r="G9" s="946"/>
      <c r="H9" s="97"/>
      <c r="I9" s="946"/>
    </row>
    <row r="10" spans="1:9" x14ac:dyDescent="0.25">
      <c r="A10" s="215">
        <v>42767</v>
      </c>
      <c r="B10" s="873" t="s">
        <v>1455</v>
      </c>
      <c r="C10" s="879" t="s">
        <v>12</v>
      </c>
      <c r="D10" s="879" t="s">
        <v>1487</v>
      </c>
      <c r="E10" s="871" t="s">
        <v>15</v>
      </c>
      <c r="F10" s="97">
        <v>60</v>
      </c>
      <c r="G10" s="946"/>
      <c r="H10" s="97"/>
      <c r="I10" s="946"/>
    </row>
    <row r="11" spans="1:9" ht="15" customHeight="1" x14ac:dyDescent="0.25">
      <c r="A11" s="215">
        <v>42768</v>
      </c>
      <c r="B11" s="862" t="s">
        <v>256</v>
      </c>
      <c r="C11" s="879"/>
      <c r="D11" s="879"/>
      <c r="E11" s="1510"/>
      <c r="F11" s="97"/>
      <c r="G11" s="946">
        <v>105.74</v>
      </c>
      <c r="H11" s="97">
        <v>105.74</v>
      </c>
      <c r="I11" s="946"/>
    </row>
    <row r="12" spans="1:9" s="224" customFormat="1" x14ac:dyDescent="0.25">
      <c r="A12" s="215">
        <v>42768</v>
      </c>
      <c r="B12" s="349" t="s">
        <v>32</v>
      </c>
      <c r="C12" s="879" t="s">
        <v>12</v>
      </c>
      <c r="D12" s="879" t="s">
        <v>1485</v>
      </c>
      <c r="E12" s="871" t="s">
        <v>13</v>
      </c>
      <c r="F12" s="97">
        <v>13</v>
      </c>
      <c r="G12" s="946"/>
      <c r="H12" s="97"/>
      <c r="I12" s="946"/>
    </row>
    <row r="13" spans="1:9" s="224" customFormat="1" x14ac:dyDescent="0.25">
      <c r="A13" s="215">
        <v>42768</v>
      </c>
      <c r="B13" s="349" t="s">
        <v>147</v>
      </c>
      <c r="C13" s="879" t="s">
        <v>12</v>
      </c>
      <c r="D13" s="879" t="s">
        <v>1489</v>
      </c>
      <c r="E13" s="871" t="s">
        <v>15</v>
      </c>
      <c r="F13" s="97">
        <v>15</v>
      </c>
      <c r="G13" s="946"/>
      <c r="H13" s="97"/>
      <c r="I13" s="946"/>
    </row>
    <row r="14" spans="1:9" s="224" customFormat="1" x14ac:dyDescent="0.25">
      <c r="A14" s="215">
        <v>42768</v>
      </c>
      <c r="B14" s="349" t="s">
        <v>134</v>
      </c>
      <c r="C14" s="879" t="s">
        <v>12</v>
      </c>
      <c r="D14" s="879" t="s">
        <v>1493</v>
      </c>
      <c r="E14" s="871" t="s">
        <v>15</v>
      </c>
      <c r="F14" s="97">
        <v>8</v>
      </c>
      <c r="G14" s="946"/>
      <c r="H14" s="97"/>
      <c r="I14" s="946"/>
    </row>
    <row r="15" spans="1:9" s="224" customFormat="1" x14ac:dyDescent="0.25">
      <c r="A15" s="215">
        <v>42769</v>
      </c>
      <c r="B15" s="349" t="s">
        <v>311</v>
      </c>
      <c r="C15" s="350"/>
      <c r="D15" s="350"/>
      <c r="E15" s="757"/>
      <c r="F15" s="97"/>
      <c r="G15" s="946"/>
      <c r="H15" s="97"/>
      <c r="I15" s="946">
        <v>4.41</v>
      </c>
    </row>
    <row r="16" spans="1:9" s="224" customFormat="1" x14ac:dyDescent="0.25">
      <c r="A16" s="215">
        <v>42769</v>
      </c>
      <c r="B16" s="349" t="s">
        <v>32</v>
      </c>
      <c r="C16" s="879" t="s">
        <v>12</v>
      </c>
      <c r="D16" s="879" t="s">
        <v>1485</v>
      </c>
      <c r="E16" s="871" t="s">
        <v>15</v>
      </c>
      <c r="F16" s="97">
        <v>13</v>
      </c>
      <c r="G16" s="946"/>
      <c r="H16" s="97"/>
      <c r="I16" s="946"/>
    </row>
    <row r="17" spans="1:9" s="224" customFormat="1" x14ac:dyDescent="0.25">
      <c r="A17" s="215">
        <v>42769</v>
      </c>
      <c r="B17" s="349" t="s">
        <v>14</v>
      </c>
      <c r="C17" s="879" t="s">
        <v>12</v>
      </c>
      <c r="D17" s="879" t="s">
        <v>1486</v>
      </c>
      <c r="E17" s="871" t="s">
        <v>13</v>
      </c>
      <c r="F17" s="97">
        <v>12.73</v>
      </c>
      <c r="G17" s="946"/>
      <c r="H17" s="97"/>
      <c r="I17" s="946"/>
    </row>
    <row r="18" spans="1:9" s="224" customFormat="1" x14ac:dyDescent="0.25">
      <c r="A18" s="215">
        <v>42769</v>
      </c>
      <c r="B18" s="349" t="s">
        <v>1529</v>
      </c>
      <c r="C18" s="879" t="s">
        <v>12</v>
      </c>
      <c r="D18" s="879" t="s">
        <v>1491</v>
      </c>
      <c r="E18" s="871" t="s">
        <v>15</v>
      </c>
      <c r="F18" s="97">
        <v>35</v>
      </c>
      <c r="G18" s="946"/>
      <c r="H18" s="97"/>
      <c r="I18" s="946"/>
    </row>
    <row r="19" spans="1:9" s="224" customFormat="1" x14ac:dyDescent="0.25">
      <c r="A19" s="215">
        <v>42770</v>
      </c>
      <c r="B19" s="349" t="s">
        <v>32</v>
      </c>
      <c r="C19" s="879" t="s">
        <v>12</v>
      </c>
      <c r="D19" s="879" t="s">
        <v>1485</v>
      </c>
      <c r="E19" s="871" t="s">
        <v>15</v>
      </c>
      <c r="F19" s="97">
        <v>13</v>
      </c>
      <c r="G19" s="946"/>
      <c r="H19" s="97"/>
      <c r="I19" s="946"/>
    </row>
    <row r="20" spans="1:9" s="224" customFormat="1" x14ac:dyDescent="0.25">
      <c r="A20" s="215">
        <v>42770</v>
      </c>
      <c r="B20" s="349" t="s">
        <v>134</v>
      </c>
      <c r="C20" s="350" t="s">
        <v>19</v>
      </c>
      <c r="D20" s="350" t="s">
        <v>1493</v>
      </c>
      <c r="E20" s="757" t="s">
        <v>13</v>
      </c>
      <c r="F20" s="97">
        <v>55</v>
      </c>
      <c r="G20" s="946"/>
      <c r="H20" s="97"/>
      <c r="I20" s="946"/>
    </row>
    <row r="21" spans="1:9" s="224" customFormat="1" x14ac:dyDescent="0.25">
      <c r="A21" s="215">
        <v>42770</v>
      </c>
      <c r="B21" s="349" t="s">
        <v>14</v>
      </c>
      <c r="C21" s="879" t="s">
        <v>12</v>
      </c>
      <c r="D21" s="879" t="s">
        <v>1486</v>
      </c>
      <c r="E21" s="871" t="s">
        <v>13</v>
      </c>
      <c r="F21" s="97">
        <v>2.94</v>
      </c>
      <c r="G21" s="946"/>
      <c r="H21" s="97"/>
      <c r="I21" s="946"/>
    </row>
    <row r="22" spans="1:9" s="224" customFormat="1" x14ac:dyDescent="0.25">
      <c r="A22" s="215">
        <v>42770</v>
      </c>
      <c r="B22" s="349" t="s">
        <v>82</v>
      </c>
      <c r="C22" s="350" t="s">
        <v>12</v>
      </c>
      <c r="D22" s="350" t="s">
        <v>1493</v>
      </c>
      <c r="E22" s="757" t="s">
        <v>13</v>
      </c>
      <c r="F22" s="97">
        <v>28</v>
      </c>
      <c r="G22" s="946"/>
      <c r="H22" s="97"/>
      <c r="I22" s="946"/>
    </row>
    <row r="23" spans="1:9" s="224" customFormat="1" x14ac:dyDescent="0.25">
      <c r="A23" s="215">
        <v>42771</v>
      </c>
      <c r="B23" s="862"/>
      <c r="C23" s="350"/>
      <c r="D23" s="350"/>
      <c r="E23" s="757"/>
      <c r="F23" s="97"/>
      <c r="G23" s="946"/>
      <c r="H23" s="97"/>
      <c r="I23" s="946"/>
    </row>
    <row r="24" spans="1:9" s="224" customFormat="1" x14ac:dyDescent="0.25">
      <c r="A24" s="215">
        <v>42772</v>
      </c>
      <c r="B24" s="349" t="s">
        <v>32</v>
      </c>
      <c r="C24" s="879" t="s">
        <v>12</v>
      </c>
      <c r="D24" s="879" t="s">
        <v>1485</v>
      </c>
      <c r="E24" s="871" t="s">
        <v>15</v>
      </c>
      <c r="F24" s="250">
        <v>13</v>
      </c>
      <c r="G24" s="946"/>
      <c r="H24" s="97"/>
      <c r="I24" s="946"/>
    </row>
    <row r="25" spans="1:9" s="224" customFormat="1" ht="15.75" customHeight="1" x14ac:dyDescent="0.25">
      <c r="A25" s="215">
        <v>42772</v>
      </c>
      <c r="B25" s="349" t="s">
        <v>1530</v>
      </c>
      <c r="C25" s="879" t="s">
        <v>12</v>
      </c>
      <c r="D25" s="874"/>
      <c r="E25" s="875" t="s">
        <v>25</v>
      </c>
      <c r="F25" s="97"/>
      <c r="G25" s="1473">
        <v>1648.82</v>
      </c>
      <c r="H25" s="252"/>
      <c r="I25" s="946"/>
    </row>
    <row r="26" spans="1:9" s="224" customFormat="1" ht="15.75" customHeight="1" x14ac:dyDescent="0.25">
      <c r="A26" s="215">
        <v>42772</v>
      </c>
      <c r="B26" s="862" t="s">
        <v>1531</v>
      </c>
      <c r="C26" s="350" t="s">
        <v>12</v>
      </c>
      <c r="D26" s="350"/>
      <c r="E26" s="757" t="s">
        <v>13</v>
      </c>
      <c r="F26" s="250">
        <v>437.22</v>
      </c>
      <c r="G26" s="1473"/>
      <c r="H26" s="252"/>
      <c r="I26" s="946"/>
    </row>
    <row r="27" spans="1:9" s="224" customFormat="1" x14ac:dyDescent="0.25">
      <c r="A27" s="215">
        <v>42772</v>
      </c>
      <c r="B27" s="862" t="s">
        <v>1091</v>
      </c>
      <c r="C27" s="879" t="s">
        <v>12</v>
      </c>
      <c r="D27" s="879" t="s">
        <v>1491</v>
      </c>
      <c r="E27" s="871" t="s">
        <v>15</v>
      </c>
      <c r="F27" s="97">
        <v>172</v>
      </c>
      <c r="G27" s="946"/>
      <c r="H27" s="97"/>
      <c r="I27" s="1473"/>
    </row>
    <row r="28" spans="1:9" x14ac:dyDescent="0.25">
      <c r="A28" s="215">
        <v>42772</v>
      </c>
      <c r="B28" s="862" t="s">
        <v>1532</v>
      </c>
      <c r="C28" s="879" t="s">
        <v>12</v>
      </c>
      <c r="D28" s="879" t="s">
        <v>1504</v>
      </c>
      <c r="E28" s="1510" t="s">
        <v>13</v>
      </c>
      <c r="F28" s="97">
        <v>50</v>
      </c>
      <c r="G28" s="946"/>
      <c r="H28" s="97"/>
      <c r="I28" s="946"/>
    </row>
    <row r="29" spans="1:9" s="224" customFormat="1" ht="15" customHeight="1" x14ac:dyDescent="0.25">
      <c r="A29" s="215">
        <v>42772</v>
      </c>
      <c r="B29" s="349" t="s">
        <v>260</v>
      </c>
      <c r="C29" s="350"/>
      <c r="D29" s="350"/>
      <c r="E29" s="757"/>
      <c r="F29" s="97">
        <v>345.59</v>
      </c>
      <c r="G29" s="946"/>
      <c r="H29" s="95"/>
      <c r="I29" s="946">
        <v>345.59</v>
      </c>
    </row>
    <row r="30" spans="1:9" s="224" customFormat="1" x14ac:dyDescent="0.25">
      <c r="A30" s="215">
        <v>42772</v>
      </c>
      <c r="B30" s="349" t="s">
        <v>14</v>
      </c>
      <c r="C30" s="879" t="s">
        <v>12</v>
      </c>
      <c r="D30" s="879" t="s">
        <v>1486</v>
      </c>
      <c r="E30" s="871" t="s">
        <v>13</v>
      </c>
      <c r="F30" s="97">
        <v>5.69</v>
      </c>
      <c r="G30" s="946"/>
      <c r="H30" s="97"/>
      <c r="I30" s="946"/>
    </row>
    <row r="31" spans="1:9" s="224" customFormat="1" x14ac:dyDescent="0.25">
      <c r="A31" s="215">
        <v>42772</v>
      </c>
      <c r="B31" s="349" t="s">
        <v>1257</v>
      </c>
      <c r="C31" s="879" t="s">
        <v>12</v>
      </c>
      <c r="D31" s="879" t="s">
        <v>1491</v>
      </c>
      <c r="E31" s="871" t="s">
        <v>13</v>
      </c>
      <c r="F31" s="250">
        <v>44.99</v>
      </c>
      <c r="G31" s="946"/>
      <c r="H31" s="97"/>
      <c r="I31" s="946"/>
    </row>
    <row r="32" spans="1:9" x14ac:dyDescent="0.25">
      <c r="A32" s="215">
        <v>42773</v>
      </c>
      <c r="B32" s="862" t="s">
        <v>52</v>
      </c>
      <c r="C32" s="879" t="s">
        <v>12</v>
      </c>
      <c r="D32" s="879" t="s">
        <v>1496</v>
      </c>
      <c r="E32" s="1510" t="s">
        <v>13</v>
      </c>
      <c r="F32" s="97">
        <v>60</v>
      </c>
      <c r="G32" s="946"/>
      <c r="H32" s="97"/>
      <c r="I32" s="946"/>
    </row>
    <row r="33" spans="1:9" s="224" customFormat="1" x14ac:dyDescent="0.25">
      <c r="A33" s="215">
        <v>42773</v>
      </c>
      <c r="B33" s="873" t="s">
        <v>32</v>
      </c>
      <c r="C33" s="879" t="s">
        <v>12</v>
      </c>
      <c r="D33" s="879" t="s">
        <v>1485</v>
      </c>
      <c r="E33" s="871" t="s">
        <v>13</v>
      </c>
      <c r="F33" s="97">
        <v>13</v>
      </c>
      <c r="G33" s="946"/>
      <c r="H33" s="97"/>
      <c r="I33" s="946"/>
    </row>
    <row r="34" spans="1:9" s="224" customFormat="1" x14ac:dyDescent="0.25">
      <c r="A34" s="215">
        <v>42773</v>
      </c>
      <c r="B34" s="349" t="s">
        <v>1533</v>
      </c>
      <c r="C34" s="879" t="s">
        <v>19</v>
      </c>
      <c r="D34" s="879" t="s">
        <v>1489</v>
      </c>
      <c r="E34" s="871" t="s">
        <v>13</v>
      </c>
      <c r="F34" s="250">
        <v>42</v>
      </c>
      <c r="G34" s="946"/>
      <c r="H34" s="97"/>
      <c r="I34" s="946"/>
    </row>
    <row r="35" spans="1:9" x14ac:dyDescent="0.25">
      <c r="A35" s="215">
        <v>42773</v>
      </c>
      <c r="B35" s="349" t="s">
        <v>134</v>
      </c>
      <c r="C35" s="879" t="s">
        <v>19</v>
      </c>
      <c r="D35" s="879" t="s">
        <v>1493</v>
      </c>
      <c r="E35" s="871" t="s">
        <v>13</v>
      </c>
      <c r="F35" s="97">
        <v>20</v>
      </c>
      <c r="G35" s="946"/>
      <c r="H35" s="95"/>
      <c r="I35" s="946"/>
    </row>
    <row r="36" spans="1:9" x14ac:dyDescent="0.25">
      <c r="A36" s="215">
        <v>42773</v>
      </c>
      <c r="B36" s="349" t="s">
        <v>1429</v>
      </c>
      <c r="C36" s="879" t="s">
        <v>12</v>
      </c>
      <c r="D36" s="879" t="s">
        <v>1491</v>
      </c>
      <c r="E36" s="871" t="s">
        <v>13</v>
      </c>
      <c r="F36" s="97">
        <v>13.9</v>
      </c>
      <c r="G36" s="946"/>
      <c r="H36" s="95"/>
      <c r="I36" s="946"/>
    </row>
    <row r="37" spans="1:9" s="224" customFormat="1" x14ac:dyDescent="0.25">
      <c r="A37" s="215">
        <v>42774</v>
      </c>
      <c r="B37" s="349" t="s">
        <v>32</v>
      </c>
      <c r="C37" s="879" t="s">
        <v>12</v>
      </c>
      <c r="D37" s="879" t="s">
        <v>1485</v>
      </c>
      <c r="E37" s="871" t="s">
        <v>13</v>
      </c>
      <c r="F37" s="97">
        <v>13</v>
      </c>
      <c r="G37" s="946"/>
      <c r="H37" s="97"/>
      <c r="I37" s="946"/>
    </row>
    <row r="38" spans="1:9" s="224" customFormat="1" x14ac:dyDescent="0.25">
      <c r="A38" s="215">
        <v>42774</v>
      </c>
      <c r="B38" s="349" t="s">
        <v>14</v>
      </c>
      <c r="C38" s="879" t="s">
        <v>12</v>
      </c>
      <c r="D38" s="879" t="s">
        <v>1486</v>
      </c>
      <c r="E38" s="871" t="s">
        <v>13</v>
      </c>
      <c r="F38" s="97">
        <v>5.17</v>
      </c>
      <c r="G38" s="946"/>
      <c r="H38" s="97"/>
      <c r="I38" s="946"/>
    </row>
    <row r="39" spans="1:9" s="224" customFormat="1" x14ac:dyDescent="0.25">
      <c r="A39" s="215">
        <v>42774</v>
      </c>
      <c r="B39" s="349" t="s">
        <v>205</v>
      </c>
      <c r="C39" s="879" t="s">
        <v>12</v>
      </c>
      <c r="D39" s="879" t="s">
        <v>1487</v>
      </c>
      <c r="E39" s="871" t="s">
        <v>15</v>
      </c>
      <c r="F39" s="97">
        <v>10</v>
      </c>
      <c r="G39" s="946"/>
      <c r="H39" s="97"/>
      <c r="I39" s="946"/>
    </row>
    <row r="40" spans="1:9" s="224" customFormat="1" x14ac:dyDescent="0.25">
      <c r="A40" s="215">
        <v>42775</v>
      </c>
      <c r="B40" s="349" t="s">
        <v>32</v>
      </c>
      <c r="C40" s="879" t="s">
        <v>12</v>
      </c>
      <c r="D40" s="879" t="s">
        <v>1485</v>
      </c>
      <c r="E40" s="871" t="s">
        <v>13</v>
      </c>
      <c r="F40" s="97">
        <v>13</v>
      </c>
      <c r="G40" s="946"/>
      <c r="H40" s="97"/>
      <c r="I40" s="946"/>
    </row>
    <row r="41" spans="1:9" s="224" customFormat="1" x14ac:dyDescent="0.25">
      <c r="A41" s="215">
        <v>42775</v>
      </c>
      <c r="B41" s="349" t="s">
        <v>14</v>
      </c>
      <c r="C41" s="879" t="s">
        <v>12</v>
      </c>
      <c r="D41" s="879" t="s">
        <v>1486</v>
      </c>
      <c r="E41" s="871" t="s">
        <v>13</v>
      </c>
      <c r="F41" s="97">
        <v>3.47</v>
      </c>
      <c r="G41" s="946"/>
      <c r="H41" s="97"/>
      <c r="I41" s="946"/>
    </row>
    <row r="42" spans="1:9" s="224" customFormat="1" x14ac:dyDescent="0.25">
      <c r="A42" s="215">
        <v>42775</v>
      </c>
      <c r="B42" s="873" t="s">
        <v>1455</v>
      </c>
      <c r="C42" s="879" t="s">
        <v>12</v>
      </c>
      <c r="D42" s="879" t="s">
        <v>1487</v>
      </c>
      <c r="E42" s="871" t="s">
        <v>15</v>
      </c>
      <c r="F42" s="97">
        <v>60</v>
      </c>
      <c r="G42" s="946"/>
      <c r="H42" s="97"/>
      <c r="I42" s="946"/>
    </row>
    <row r="43" spans="1:9" s="224" customFormat="1" x14ac:dyDescent="0.25">
      <c r="A43" s="215">
        <v>42775</v>
      </c>
      <c r="B43" s="349" t="s">
        <v>311</v>
      </c>
      <c r="C43" s="350"/>
      <c r="D43" s="350"/>
      <c r="E43" s="757"/>
      <c r="F43" s="97"/>
      <c r="G43" s="946"/>
      <c r="H43" s="97"/>
      <c r="I43" s="946">
        <v>12.89</v>
      </c>
    </row>
    <row r="44" spans="1:9" s="224" customFormat="1" x14ac:dyDescent="0.25">
      <c r="A44" s="215">
        <v>42776</v>
      </c>
      <c r="B44" s="349" t="s">
        <v>32</v>
      </c>
      <c r="C44" s="879" t="s">
        <v>12</v>
      </c>
      <c r="D44" s="879" t="s">
        <v>1485</v>
      </c>
      <c r="E44" s="871" t="s">
        <v>13</v>
      </c>
      <c r="F44" s="97">
        <v>13</v>
      </c>
      <c r="G44" s="946"/>
      <c r="H44" s="97"/>
      <c r="I44" s="946"/>
    </row>
    <row r="45" spans="1:9" s="224" customFormat="1" x14ac:dyDescent="0.25">
      <c r="A45" s="215">
        <v>42776</v>
      </c>
      <c r="B45" s="862" t="s">
        <v>1534</v>
      </c>
      <c r="C45" s="350" t="s">
        <v>12</v>
      </c>
      <c r="D45" s="350" t="s">
        <v>1489</v>
      </c>
      <c r="E45" s="757" t="s">
        <v>15</v>
      </c>
      <c r="F45" s="97">
        <v>83</v>
      </c>
      <c r="G45" s="946"/>
      <c r="H45" s="97"/>
      <c r="I45" s="946"/>
    </row>
    <row r="46" spans="1:9" s="224" customFormat="1" x14ac:dyDescent="0.25">
      <c r="A46" s="215">
        <v>42776</v>
      </c>
      <c r="B46" s="862" t="s">
        <v>138</v>
      </c>
      <c r="C46" s="350" t="s">
        <v>19</v>
      </c>
      <c r="D46" s="879" t="s">
        <v>1487</v>
      </c>
      <c r="E46" s="757" t="s">
        <v>13</v>
      </c>
      <c r="F46" s="97">
        <v>70</v>
      </c>
      <c r="G46" s="946"/>
      <c r="H46" s="97"/>
      <c r="I46" s="946"/>
    </row>
    <row r="47" spans="1:9" s="224" customFormat="1" x14ac:dyDescent="0.25">
      <c r="A47" s="215">
        <v>42776</v>
      </c>
      <c r="B47" s="862" t="s">
        <v>256</v>
      </c>
      <c r="C47" s="879"/>
      <c r="D47" s="879"/>
      <c r="E47" s="1510"/>
      <c r="F47" s="97"/>
      <c r="G47" s="946">
        <v>462.89</v>
      </c>
      <c r="H47" s="97">
        <v>462.89</v>
      </c>
      <c r="I47" s="946"/>
    </row>
    <row r="48" spans="1:9" s="224" customFormat="1" x14ac:dyDescent="0.25">
      <c r="A48" s="215">
        <v>42776</v>
      </c>
      <c r="B48" s="862" t="s">
        <v>1535</v>
      </c>
      <c r="C48" s="350" t="s">
        <v>19</v>
      </c>
      <c r="D48" s="350" t="s">
        <v>1506</v>
      </c>
      <c r="E48" s="757" t="s">
        <v>13</v>
      </c>
      <c r="F48" s="97">
        <v>40</v>
      </c>
      <c r="G48" s="946"/>
      <c r="H48" s="97"/>
      <c r="I48" s="946"/>
    </row>
    <row r="49" spans="1:9" s="224" customFormat="1" x14ac:dyDescent="0.25">
      <c r="A49" s="215">
        <v>42776</v>
      </c>
      <c r="B49" s="862" t="s">
        <v>1536</v>
      </c>
      <c r="C49" s="350" t="s">
        <v>12</v>
      </c>
      <c r="D49" s="350" t="s">
        <v>1506</v>
      </c>
      <c r="E49" s="757" t="s">
        <v>13</v>
      </c>
      <c r="F49" s="97">
        <v>20</v>
      </c>
      <c r="G49" s="946"/>
      <c r="H49" s="97"/>
      <c r="I49" s="946"/>
    </row>
    <row r="50" spans="1:9" s="224" customFormat="1" ht="15" customHeight="1" x14ac:dyDescent="0.25">
      <c r="A50" s="215">
        <v>42777</v>
      </c>
      <c r="B50" s="349" t="s">
        <v>1537</v>
      </c>
      <c r="C50" s="350" t="s">
        <v>12</v>
      </c>
      <c r="D50" s="350" t="s">
        <v>1489</v>
      </c>
      <c r="E50" s="757" t="s">
        <v>15</v>
      </c>
      <c r="F50" s="97">
        <v>100</v>
      </c>
      <c r="G50" s="946"/>
      <c r="H50" s="95"/>
      <c r="I50" s="946"/>
    </row>
    <row r="51" spans="1:9" s="224" customFormat="1" ht="15" customHeight="1" x14ac:dyDescent="0.25">
      <c r="A51" s="215">
        <v>42778</v>
      </c>
      <c r="B51" s="349" t="s">
        <v>14</v>
      </c>
      <c r="C51" s="350" t="s">
        <v>12</v>
      </c>
      <c r="D51" s="879" t="s">
        <v>1486</v>
      </c>
      <c r="E51" s="757" t="s">
        <v>13</v>
      </c>
      <c r="F51" s="97">
        <v>3.85</v>
      </c>
      <c r="G51" s="946"/>
      <c r="H51" s="95"/>
      <c r="I51" s="946"/>
    </row>
    <row r="52" spans="1:9" s="224" customFormat="1" ht="15" customHeight="1" x14ac:dyDescent="0.25">
      <c r="A52" s="215">
        <v>42779</v>
      </c>
      <c r="B52" s="349" t="s">
        <v>32</v>
      </c>
      <c r="C52" s="879" t="s">
        <v>12</v>
      </c>
      <c r="D52" s="879" t="s">
        <v>1485</v>
      </c>
      <c r="E52" s="871" t="s">
        <v>13</v>
      </c>
      <c r="F52" s="97">
        <v>13</v>
      </c>
      <c r="G52" s="946"/>
      <c r="H52" s="95"/>
      <c r="I52" s="946"/>
    </row>
    <row r="53" spans="1:9" s="224" customFormat="1" ht="15" customHeight="1" x14ac:dyDescent="0.25">
      <c r="A53" s="215">
        <v>42779</v>
      </c>
      <c r="B53" s="349" t="s">
        <v>1538</v>
      </c>
      <c r="C53" s="879" t="s">
        <v>19</v>
      </c>
      <c r="D53" s="879" t="s">
        <v>1491</v>
      </c>
      <c r="E53" s="871" t="s">
        <v>13</v>
      </c>
      <c r="F53" s="97">
        <v>70</v>
      </c>
      <c r="G53" s="946"/>
      <c r="H53" s="95"/>
      <c r="I53" s="946"/>
    </row>
    <row r="54" spans="1:9" s="224" customFormat="1" ht="15" customHeight="1" x14ac:dyDescent="0.25">
      <c r="A54" s="215">
        <v>42779</v>
      </c>
      <c r="B54" s="349" t="s">
        <v>134</v>
      </c>
      <c r="C54" s="879" t="s">
        <v>19</v>
      </c>
      <c r="D54" s="879" t="s">
        <v>1493</v>
      </c>
      <c r="E54" s="871" t="s">
        <v>13</v>
      </c>
      <c r="F54" s="97">
        <v>12</v>
      </c>
      <c r="G54" s="946"/>
      <c r="H54" s="95"/>
      <c r="I54" s="946"/>
    </row>
    <row r="55" spans="1:9" s="224" customFormat="1" ht="15" customHeight="1" x14ac:dyDescent="0.25">
      <c r="A55" s="215">
        <v>42779</v>
      </c>
      <c r="B55" s="349" t="s">
        <v>1539</v>
      </c>
      <c r="C55" s="879" t="s">
        <v>19</v>
      </c>
      <c r="D55" s="879" t="s">
        <v>1489</v>
      </c>
      <c r="E55" s="871" t="s">
        <v>13</v>
      </c>
      <c r="F55" s="97">
        <v>20</v>
      </c>
      <c r="G55" s="946"/>
      <c r="H55" s="95"/>
      <c r="I55" s="946"/>
    </row>
    <row r="56" spans="1:9" s="224" customFormat="1" x14ac:dyDescent="0.25">
      <c r="A56" s="215">
        <v>42780</v>
      </c>
      <c r="B56" s="349" t="s">
        <v>32</v>
      </c>
      <c r="C56" s="879" t="s">
        <v>12</v>
      </c>
      <c r="D56" s="879" t="s">
        <v>1485</v>
      </c>
      <c r="E56" s="871" t="s">
        <v>13</v>
      </c>
      <c r="F56" s="97">
        <v>13</v>
      </c>
      <c r="G56" s="946"/>
      <c r="H56" s="95"/>
      <c r="I56" s="946"/>
    </row>
    <row r="57" spans="1:9" s="224" customFormat="1" x14ac:dyDescent="0.25">
      <c r="A57" s="215">
        <v>42780</v>
      </c>
      <c r="B57" s="349" t="s">
        <v>14</v>
      </c>
      <c r="C57" s="350" t="s">
        <v>12</v>
      </c>
      <c r="D57" s="879" t="s">
        <v>1486</v>
      </c>
      <c r="E57" s="757" t="s">
        <v>13</v>
      </c>
      <c r="F57" s="97">
        <v>5.87</v>
      </c>
      <c r="G57" s="946"/>
      <c r="H57" s="95"/>
      <c r="I57" s="946"/>
    </row>
    <row r="58" spans="1:9" s="224" customFormat="1" x14ac:dyDescent="0.25">
      <c r="A58" s="215">
        <v>42781</v>
      </c>
      <c r="B58" s="349" t="s">
        <v>32</v>
      </c>
      <c r="C58" s="879" t="s">
        <v>12</v>
      </c>
      <c r="D58" s="879" t="s">
        <v>1485</v>
      </c>
      <c r="E58" s="871" t="s">
        <v>13</v>
      </c>
      <c r="F58" s="97">
        <v>13</v>
      </c>
      <c r="G58" s="946"/>
      <c r="H58" s="95"/>
      <c r="I58" s="946"/>
    </row>
    <row r="59" spans="1:9" s="224" customFormat="1" x14ac:dyDescent="0.25">
      <c r="A59" s="215">
        <v>42781</v>
      </c>
      <c r="B59" s="349" t="s">
        <v>134</v>
      </c>
      <c r="C59" s="350" t="s">
        <v>12</v>
      </c>
      <c r="D59" s="350" t="s">
        <v>1493</v>
      </c>
      <c r="E59" s="757" t="s">
        <v>13</v>
      </c>
      <c r="F59" s="97">
        <v>8</v>
      </c>
      <c r="G59" s="946"/>
      <c r="H59" s="95"/>
      <c r="I59" s="946"/>
    </row>
    <row r="60" spans="1:9" ht="15" customHeight="1" x14ac:dyDescent="0.25">
      <c r="A60" s="215">
        <v>42781</v>
      </c>
      <c r="B60" s="349" t="s">
        <v>1396</v>
      </c>
      <c r="C60" s="350" t="s">
        <v>12</v>
      </c>
      <c r="D60" s="350"/>
      <c r="E60" s="757" t="s">
        <v>25</v>
      </c>
      <c r="F60" s="97"/>
      <c r="G60" s="946">
        <v>40</v>
      </c>
      <c r="H60" s="97"/>
      <c r="I60" s="946"/>
    </row>
    <row r="61" spans="1:9" s="224" customFormat="1" x14ac:dyDescent="0.25">
      <c r="A61" s="215">
        <v>42781</v>
      </c>
      <c r="B61" s="862" t="s">
        <v>1540</v>
      </c>
      <c r="C61" s="350" t="s">
        <v>12</v>
      </c>
      <c r="D61" s="350" t="s">
        <v>1489</v>
      </c>
      <c r="E61" s="757" t="s">
        <v>13</v>
      </c>
      <c r="F61" s="622">
        <v>120</v>
      </c>
      <c r="G61" s="946"/>
      <c r="H61" s="95"/>
      <c r="I61" s="946"/>
    </row>
    <row r="62" spans="1:9" s="224" customFormat="1" x14ac:dyDescent="0.25">
      <c r="A62" s="215">
        <v>42782</v>
      </c>
      <c r="B62" s="349" t="s">
        <v>32</v>
      </c>
      <c r="C62" s="879" t="s">
        <v>12</v>
      </c>
      <c r="D62" s="879" t="s">
        <v>1485</v>
      </c>
      <c r="E62" s="871" t="s">
        <v>13</v>
      </c>
      <c r="F62" s="97">
        <v>13</v>
      </c>
      <c r="G62" s="946"/>
      <c r="H62" s="95"/>
      <c r="I62" s="946"/>
    </row>
    <row r="63" spans="1:9" s="224" customFormat="1" x14ac:dyDescent="0.25">
      <c r="A63" s="215">
        <v>42782</v>
      </c>
      <c r="B63" s="862" t="s">
        <v>591</v>
      </c>
      <c r="C63" s="350" t="s">
        <v>12</v>
      </c>
      <c r="D63" s="350" t="s">
        <v>1489</v>
      </c>
      <c r="E63" s="757" t="s">
        <v>13</v>
      </c>
      <c r="F63" s="252">
        <v>8.5500000000000007</v>
      </c>
      <c r="G63" s="946"/>
      <c r="H63" s="97"/>
      <c r="I63" s="1473"/>
    </row>
    <row r="64" spans="1:9" s="224" customFormat="1" x14ac:dyDescent="0.25">
      <c r="A64" s="215">
        <v>42782</v>
      </c>
      <c r="B64" s="862" t="s">
        <v>14</v>
      </c>
      <c r="C64" s="350" t="s">
        <v>12</v>
      </c>
      <c r="D64" s="879" t="s">
        <v>1486</v>
      </c>
      <c r="E64" s="757" t="s">
        <v>13</v>
      </c>
      <c r="F64" s="178">
        <v>14.2</v>
      </c>
      <c r="G64" s="1482"/>
      <c r="H64" s="97"/>
      <c r="I64" s="1473"/>
    </row>
    <row r="65" spans="1:9" s="224" customFormat="1" x14ac:dyDescent="0.25">
      <c r="A65" s="215">
        <v>42783</v>
      </c>
      <c r="B65" s="862" t="s">
        <v>256</v>
      </c>
      <c r="C65" s="879"/>
      <c r="D65" s="879"/>
      <c r="E65" s="1510"/>
      <c r="F65" s="97"/>
      <c r="G65" s="946">
        <v>100</v>
      </c>
      <c r="H65" s="97">
        <v>100</v>
      </c>
      <c r="I65" s="946"/>
    </row>
    <row r="66" spans="1:9" s="224" customFormat="1" x14ac:dyDescent="0.25">
      <c r="A66" s="215">
        <v>42783</v>
      </c>
      <c r="B66" s="349" t="s">
        <v>32</v>
      </c>
      <c r="C66" s="879" t="s">
        <v>12</v>
      </c>
      <c r="D66" s="879" t="s">
        <v>1485</v>
      </c>
      <c r="E66" s="871" t="s">
        <v>13</v>
      </c>
      <c r="F66" s="97">
        <v>13</v>
      </c>
      <c r="G66" s="946"/>
      <c r="H66" s="95"/>
      <c r="I66" s="946"/>
    </row>
    <row r="67" spans="1:9" s="224" customFormat="1" x14ac:dyDescent="0.25">
      <c r="A67" s="215">
        <v>42783</v>
      </c>
      <c r="B67" s="862" t="s">
        <v>14</v>
      </c>
      <c r="C67" s="350" t="s">
        <v>12</v>
      </c>
      <c r="D67" s="879" t="s">
        <v>1486</v>
      </c>
      <c r="E67" s="757" t="s">
        <v>13</v>
      </c>
      <c r="F67" s="626">
        <v>7.19</v>
      </c>
      <c r="G67" s="1482"/>
      <c r="H67" s="97"/>
      <c r="I67" s="1473"/>
    </row>
    <row r="68" spans="1:9" x14ac:dyDescent="0.25">
      <c r="A68" s="215">
        <v>42783</v>
      </c>
      <c r="B68" s="873" t="s">
        <v>1455</v>
      </c>
      <c r="C68" s="879" t="s">
        <v>12</v>
      </c>
      <c r="D68" s="879" t="s">
        <v>1487</v>
      </c>
      <c r="E68" s="871" t="s">
        <v>15</v>
      </c>
      <c r="F68" s="97">
        <v>60</v>
      </c>
      <c r="G68" s="946"/>
      <c r="H68" s="97"/>
      <c r="I68" s="946"/>
    </row>
    <row r="69" spans="1:9" s="224" customFormat="1" x14ac:dyDescent="0.25">
      <c r="A69" s="215">
        <v>42784</v>
      </c>
      <c r="B69" s="349" t="s">
        <v>32</v>
      </c>
      <c r="C69" s="879" t="s">
        <v>12</v>
      </c>
      <c r="D69" s="879" t="s">
        <v>1485</v>
      </c>
      <c r="E69" s="871" t="s">
        <v>13</v>
      </c>
      <c r="F69" s="97">
        <v>13</v>
      </c>
      <c r="G69" s="946"/>
      <c r="H69" s="95"/>
      <c r="I69" s="946"/>
    </row>
    <row r="70" spans="1:9" s="224" customFormat="1" x14ac:dyDescent="0.25">
      <c r="A70" s="215">
        <v>42784</v>
      </c>
      <c r="B70" s="862" t="s">
        <v>82</v>
      </c>
      <c r="C70" s="350" t="s">
        <v>12</v>
      </c>
      <c r="D70" s="350" t="s">
        <v>1493</v>
      </c>
      <c r="E70" s="757" t="s">
        <v>13</v>
      </c>
      <c r="F70" s="626">
        <v>27</v>
      </c>
      <c r="G70" s="1482"/>
      <c r="H70" s="97"/>
      <c r="I70" s="1473"/>
    </row>
    <row r="71" spans="1:9" s="224" customFormat="1" x14ac:dyDescent="0.25">
      <c r="A71" s="215">
        <v>42785</v>
      </c>
      <c r="B71" s="862" t="s">
        <v>14</v>
      </c>
      <c r="C71" s="350" t="s">
        <v>12</v>
      </c>
      <c r="D71" s="879" t="s">
        <v>1486</v>
      </c>
      <c r="E71" s="757" t="s">
        <v>13</v>
      </c>
      <c r="F71" s="626">
        <v>3.77</v>
      </c>
      <c r="G71" s="946"/>
      <c r="H71" s="95"/>
      <c r="I71" s="946"/>
    </row>
    <row r="72" spans="1:9" s="224" customFormat="1" ht="15.75" customHeight="1" x14ac:dyDescent="0.25">
      <c r="A72" s="215">
        <v>42785</v>
      </c>
      <c r="B72" s="349" t="s">
        <v>32</v>
      </c>
      <c r="C72" s="879" t="s">
        <v>12</v>
      </c>
      <c r="D72" s="879" t="s">
        <v>1485</v>
      </c>
      <c r="E72" s="871" t="s">
        <v>13</v>
      </c>
      <c r="F72" s="97">
        <v>22.43</v>
      </c>
      <c r="G72" s="1473"/>
      <c r="H72" s="252"/>
      <c r="I72" s="946"/>
    </row>
    <row r="73" spans="1:9" s="224" customFormat="1" x14ac:dyDescent="0.25">
      <c r="A73" s="215">
        <v>42786</v>
      </c>
      <c r="B73" s="349" t="s">
        <v>311</v>
      </c>
      <c r="C73" s="350"/>
      <c r="D73" s="350"/>
      <c r="E73" s="757"/>
      <c r="F73" s="97"/>
      <c r="G73" s="946"/>
      <c r="H73" s="97"/>
      <c r="I73" s="946">
        <v>13.51</v>
      </c>
    </row>
    <row r="74" spans="1:9" s="224" customFormat="1" ht="15" customHeight="1" x14ac:dyDescent="0.25">
      <c r="A74" s="215">
        <v>42786</v>
      </c>
      <c r="B74" s="349" t="s">
        <v>32</v>
      </c>
      <c r="C74" s="879" t="s">
        <v>12</v>
      </c>
      <c r="D74" s="879" t="s">
        <v>1485</v>
      </c>
      <c r="E74" s="871" t="s">
        <v>15</v>
      </c>
      <c r="F74" s="97">
        <v>13</v>
      </c>
      <c r="G74" s="946"/>
      <c r="H74" s="95"/>
      <c r="I74" s="946"/>
    </row>
    <row r="75" spans="1:9" s="224" customFormat="1" ht="15" customHeight="1" x14ac:dyDescent="0.25">
      <c r="A75" s="215">
        <v>42786</v>
      </c>
      <c r="B75" s="882" t="s">
        <v>1541</v>
      </c>
      <c r="C75" s="350" t="s">
        <v>12</v>
      </c>
      <c r="D75" s="879"/>
      <c r="E75" s="871" t="s">
        <v>15</v>
      </c>
      <c r="F75" s="97"/>
      <c r="G75" s="946">
        <v>1420</v>
      </c>
      <c r="H75" s="95"/>
      <c r="I75" s="1473"/>
    </row>
    <row r="76" spans="1:9" s="224" customFormat="1" x14ac:dyDescent="0.25">
      <c r="A76" s="215">
        <v>42786</v>
      </c>
      <c r="B76" s="882" t="s">
        <v>1542</v>
      </c>
      <c r="C76" s="879" t="s">
        <v>12</v>
      </c>
      <c r="D76" s="879" t="s">
        <v>1515</v>
      </c>
      <c r="E76" s="871" t="s">
        <v>13</v>
      </c>
      <c r="F76" s="97">
        <v>568.53</v>
      </c>
      <c r="G76" s="946"/>
      <c r="H76" s="95"/>
      <c r="I76" s="1473"/>
    </row>
    <row r="77" spans="1:9" x14ac:dyDescent="0.25">
      <c r="A77" s="215">
        <v>42786</v>
      </c>
      <c r="B77" s="862" t="s">
        <v>14</v>
      </c>
      <c r="C77" s="350" t="s">
        <v>12</v>
      </c>
      <c r="D77" s="879" t="s">
        <v>1486</v>
      </c>
      <c r="E77" s="757" t="s">
        <v>13</v>
      </c>
      <c r="F77" s="178">
        <v>8.69</v>
      </c>
      <c r="G77" s="946"/>
      <c r="H77" s="95"/>
      <c r="I77" s="946"/>
    </row>
    <row r="78" spans="1:9" s="224" customFormat="1" x14ac:dyDescent="0.25">
      <c r="A78" s="215">
        <v>42786</v>
      </c>
      <c r="B78" s="862" t="s">
        <v>1294</v>
      </c>
      <c r="C78" s="879" t="s">
        <v>12</v>
      </c>
      <c r="D78" s="879" t="s">
        <v>1491</v>
      </c>
      <c r="E78" s="1510" t="s">
        <v>13</v>
      </c>
      <c r="F78" s="97">
        <v>83.98</v>
      </c>
      <c r="G78" s="946"/>
      <c r="H78" s="95"/>
      <c r="I78" s="1473"/>
    </row>
    <row r="79" spans="1:9" s="224" customFormat="1" ht="15" customHeight="1" x14ac:dyDescent="0.25">
      <c r="A79" s="215">
        <v>42787</v>
      </c>
      <c r="B79" s="349" t="s">
        <v>260</v>
      </c>
      <c r="C79" s="350"/>
      <c r="D79" s="350"/>
      <c r="E79" s="757"/>
      <c r="F79" s="97">
        <v>200</v>
      </c>
      <c r="G79" s="946"/>
      <c r="H79" s="95"/>
      <c r="I79" s="946">
        <v>200</v>
      </c>
    </row>
    <row r="80" spans="1:9" x14ac:dyDescent="0.25">
      <c r="A80" s="215">
        <v>42787</v>
      </c>
      <c r="B80" s="349" t="s">
        <v>32</v>
      </c>
      <c r="C80" s="879" t="s">
        <v>12</v>
      </c>
      <c r="D80" s="879" t="s">
        <v>1485</v>
      </c>
      <c r="E80" s="871" t="s">
        <v>15</v>
      </c>
      <c r="F80" s="97">
        <v>13</v>
      </c>
      <c r="G80" s="946"/>
      <c r="H80" s="95"/>
      <c r="I80" s="946"/>
    </row>
    <row r="81" spans="1:9" x14ac:dyDescent="0.25">
      <c r="A81" s="215">
        <v>42788</v>
      </c>
      <c r="B81" s="349" t="s">
        <v>32</v>
      </c>
      <c r="C81" s="879" t="s">
        <v>12</v>
      </c>
      <c r="D81" s="879" t="s">
        <v>1485</v>
      </c>
      <c r="E81" s="871" t="s">
        <v>15</v>
      </c>
      <c r="F81" s="97">
        <v>13</v>
      </c>
      <c r="G81" s="946"/>
      <c r="H81" s="95"/>
      <c r="I81" s="946"/>
    </row>
    <row r="82" spans="1:9" x14ac:dyDescent="0.25">
      <c r="A82" s="215">
        <v>42788</v>
      </c>
      <c r="B82" s="862" t="s">
        <v>14</v>
      </c>
      <c r="C82" s="350" t="s">
        <v>12</v>
      </c>
      <c r="D82" s="879" t="s">
        <v>1486</v>
      </c>
      <c r="E82" s="757" t="s">
        <v>13</v>
      </c>
      <c r="F82" s="626">
        <v>10.119999999999999</v>
      </c>
      <c r="G82" s="946"/>
      <c r="H82" s="95"/>
      <c r="I82" s="946"/>
    </row>
    <row r="83" spans="1:9" x14ac:dyDescent="0.25">
      <c r="A83" s="215">
        <v>42788</v>
      </c>
      <c r="B83" s="862" t="s">
        <v>1235</v>
      </c>
      <c r="C83" s="350" t="s">
        <v>12</v>
      </c>
      <c r="D83" s="350" t="s">
        <v>1491</v>
      </c>
      <c r="E83" s="757" t="s">
        <v>13</v>
      </c>
      <c r="F83" s="626">
        <v>8</v>
      </c>
      <c r="G83" s="946"/>
      <c r="H83" s="95"/>
      <c r="I83" s="946"/>
    </row>
    <row r="84" spans="1:9" x14ac:dyDescent="0.25">
      <c r="A84" s="215">
        <v>42788</v>
      </c>
      <c r="B84" s="862" t="s">
        <v>461</v>
      </c>
      <c r="C84" s="350" t="s">
        <v>12</v>
      </c>
      <c r="D84" s="350" t="s">
        <v>1489</v>
      </c>
      <c r="E84" s="757" t="s">
        <v>13</v>
      </c>
      <c r="F84" s="178">
        <v>13</v>
      </c>
      <c r="G84" s="946"/>
      <c r="H84" s="95"/>
      <c r="I84" s="946"/>
    </row>
    <row r="85" spans="1:9" x14ac:dyDescent="0.25">
      <c r="A85" s="215">
        <v>42789</v>
      </c>
      <c r="B85" s="349" t="s">
        <v>32</v>
      </c>
      <c r="C85" s="879" t="s">
        <v>12</v>
      </c>
      <c r="D85" s="879" t="s">
        <v>1485</v>
      </c>
      <c r="E85" s="871" t="s">
        <v>15</v>
      </c>
      <c r="F85" s="97">
        <v>13</v>
      </c>
      <c r="G85" s="946"/>
      <c r="H85" s="95"/>
      <c r="I85" s="946"/>
    </row>
    <row r="86" spans="1:9" x14ac:dyDescent="0.25">
      <c r="A86" s="215">
        <v>42789</v>
      </c>
      <c r="B86" s="862" t="s">
        <v>14</v>
      </c>
      <c r="C86" s="350" t="s">
        <v>12</v>
      </c>
      <c r="D86" s="879" t="s">
        <v>1486</v>
      </c>
      <c r="E86" s="757" t="s">
        <v>13</v>
      </c>
      <c r="F86" s="178">
        <v>24.02</v>
      </c>
      <c r="G86" s="946"/>
      <c r="H86" s="95"/>
      <c r="I86" s="946"/>
    </row>
    <row r="87" spans="1:9" s="224" customFormat="1" x14ac:dyDescent="0.25">
      <c r="A87" s="215">
        <v>42790</v>
      </c>
      <c r="B87" s="862" t="s">
        <v>1377</v>
      </c>
      <c r="C87" s="350" t="s">
        <v>12</v>
      </c>
      <c r="D87" s="874" t="s">
        <v>1504</v>
      </c>
      <c r="E87" s="870" t="s">
        <v>13</v>
      </c>
      <c r="F87" s="97">
        <v>58.9</v>
      </c>
      <c r="G87" s="946"/>
      <c r="H87" s="95"/>
      <c r="I87" s="1473"/>
    </row>
    <row r="88" spans="1:9" x14ac:dyDescent="0.25">
      <c r="A88" s="215">
        <v>42790</v>
      </c>
      <c r="B88" s="349" t="s">
        <v>32</v>
      </c>
      <c r="C88" s="879" t="s">
        <v>12</v>
      </c>
      <c r="D88" s="879" t="s">
        <v>1485</v>
      </c>
      <c r="E88" s="871" t="s">
        <v>15</v>
      </c>
      <c r="F88" s="97">
        <v>13</v>
      </c>
      <c r="G88" s="946"/>
      <c r="H88" s="95"/>
      <c r="I88" s="946"/>
    </row>
    <row r="89" spans="1:9" ht="15" customHeight="1" x14ac:dyDescent="0.25">
      <c r="A89" s="215">
        <v>42790</v>
      </c>
      <c r="B89" s="862" t="s">
        <v>256</v>
      </c>
      <c r="C89" s="879"/>
      <c r="D89" s="879"/>
      <c r="E89" s="1510"/>
      <c r="F89" s="97"/>
      <c r="G89" s="946">
        <v>200</v>
      </c>
      <c r="H89" s="97">
        <v>200</v>
      </c>
      <c r="I89" s="946"/>
    </row>
    <row r="90" spans="1:9" s="224" customFormat="1" x14ac:dyDescent="0.25">
      <c r="A90" s="215">
        <v>42790</v>
      </c>
      <c r="B90" s="862" t="s">
        <v>1248</v>
      </c>
      <c r="C90" s="879" t="s">
        <v>12</v>
      </c>
      <c r="D90" s="879" t="s">
        <v>1489</v>
      </c>
      <c r="E90" s="871" t="s">
        <v>15</v>
      </c>
      <c r="F90" s="250">
        <v>120</v>
      </c>
      <c r="G90" s="946"/>
      <c r="H90" s="95"/>
      <c r="I90" s="1473"/>
    </row>
    <row r="91" spans="1:9" s="224" customFormat="1" x14ac:dyDescent="0.25">
      <c r="A91" s="215">
        <v>42790</v>
      </c>
      <c r="B91" s="862" t="s">
        <v>1543</v>
      </c>
      <c r="C91" s="879" t="s">
        <v>19</v>
      </c>
      <c r="D91" s="879" t="s">
        <v>1506</v>
      </c>
      <c r="E91" s="871" t="s">
        <v>13</v>
      </c>
      <c r="F91" s="250">
        <v>39.9</v>
      </c>
      <c r="G91" s="946"/>
      <c r="H91" s="95"/>
      <c r="I91" s="1473"/>
    </row>
    <row r="92" spans="1:9" s="224" customFormat="1" x14ac:dyDescent="0.25">
      <c r="A92" s="215">
        <v>42790</v>
      </c>
      <c r="B92" s="862" t="s">
        <v>1544</v>
      </c>
      <c r="C92" s="879" t="s">
        <v>19</v>
      </c>
      <c r="D92" s="879" t="s">
        <v>1491</v>
      </c>
      <c r="E92" s="871" t="s">
        <v>13</v>
      </c>
      <c r="F92" s="250">
        <v>35</v>
      </c>
      <c r="G92" s="946"/>
      <c r="H92" s="95"/>
      <c r="I92" s="1473"/>
    </row>
    <row r="93" spans="1:9" s="224" customFormat="1" x14ac:dyDescent="0.25">
      <c r="A93" s="215">
        <v>42790</v>
      </c>
      <c r="B93" s="862" t="s">
        <v>134</v>
      </c>
      <c r="C93" s="879" t="s">
        <v>19</v>
      </c>
      <c r="D93" s="879" t="s">
        <v>1493</v>
      </c>
      <c r="E93" s="871" t="s">
        <v>13</v>
      </c>
      <c r="F93" s="250">
        <v>36.659999999999997</v>
      </c>
      <c r="G93" s="946"/>
      <c r="H93" s="95"/>
      <c r="I93" s="1473"/>
    </row>
    <row r="94" spans="1:9" s="224" customFormat="1" x14ac:dyDescent="0.25">
      <c r="A94" s="215">
        <v>42790</v>
      </c>
      <c r="B94" s="862" t="s">
        <v>14</v>
      </c>
      <c r="C94" s="879" t="s">
        <v>12</v>
      </c>
      <c r="D94" s="879" t="s">
        <v>1486</v>
      </c>
      <c r="E94" s="871" t="s">
        <v>13</v>
      </c>
      <c r="F94" s="250">
        <v>7</v>
      </c>
      <c r="G94" s="946"/>
      <c r="H94" s="95"/>
      <c r="I94" s="1473"/>
    </row>
    <row r="95" spans="1:9" s="224" customFormat="1" x14ac:dyDescent="0.25">
      <c r="A95" s="215">
        <v>42790</v>
      </c>
      <c r="B95" s="862" t="s">
        <v>147</v>
      </c>
      <c r="C95" s="879" t="s">
        <v>12</v>
      </c>
      <c r="D95" s="879" t="s">
        <v>1489</v>
      </c>
      <c r="E95" s="871" t="s">
        <v>15</v>
      </c>
      <c r="F95" s="250">
        <v>15</v>
      </c>
      <c r="G95" s="946"/>
      <c r="H95" s="95"/>
      <c r="I95" s="1473"/>
    </row>
    <row r="96" spans="1:9" s="224" customFormat="1" x14ac:dyDescent="0.25">
      <c r="A96" s="215">
        <v>42791</v>
      </c>
      <c r="B96" s="862" t="s">
        <v>138</v>
      </c>
      <c r="C96" s="350" t="s">
        <v>12</v>
      </c>
      <c r="D96" s="879" t="s">
        <v>1487</v>
      </c>
      <c r="E96" s="757" t="s">
        <v>15</v>
      </c>
      <c r="F96" s="97">
        <v>70</v>
      </c>
      <c r="G96" s="946"/>
      <c r="H96" s="95"/>
      <c r="I96" s="1473"/>
    </row>
    <row r="97" spans="1:9" s="224" customFormat="1" x14ac:dyDescent="0.25">
      <c r="A97" s="215">
        <v>42791</v>
      </c>
      <c r="B97" s="862" t="s">
        <v>14</v>
      </c>
      <c r="C97" s="350" t="s">
        <v>12</v>
      </c>
      <c r="D97" s="879" t="s">
        <v>1486</v>
      </c>
      <c r="E97" s="757" t="s">
        <v>13</v>
      </c>
      <c r="F97" s="97">
        <v>9.6999999999999993</v>
      </c>
      <c r="G97" s="946"/>
      <c r="H97" s="95"/>
      <c r="I97" s="1473"/>
    </row>
    <row r="98" spans="1:9" s="224" customFormat="1" x14ac:dyDescent="0.25">
      <c r="A98" s="215">
        <v>42791</v>
      </c>
      <c r="B98" s="349" t="s">
        <v>311</v>
      </c>
      <c r="C98" s="350"/>
      <c r="D98" s="350"/>
      <c r="E98" s="757"/>
      <c r="F98" s="97"/>
      <c r="G98" s="946"/>
      <c r="H98" s="97"/>
      <c r="I98" s="946">
        <v>4.3099999999999996</v>
      </c>
    </row>
    <row r="99" spans="1:9" s="224" customFormat="1" x14ac:dyDescent="0.25">
      <c r="A99" s="215">
        <v>42792</v>
      </c>
      <c r="B99" s="862" t="s">
        <v>14</v>
      </c>
      <c r="C99" s="350" t="s">
        <v>12</v>
      </c>
      <c r="D99" s="879" t="s">
        <v>1486</v>
      </c>
      <c r="E99" s="757" t="s">
        <v>13</v>
      </c>
      <c r="F99" s="97">
        <v>2.7</v>
      </c>
      <c r="G99" s="946"/>
      <c r="H99" s="95"/>
      <c r="I99" s="1473"/>
    </row>
    <row r="100" spans="1:9" s="224" customFormat="1" x14ac:dyDescent="0.25">
      <c r="A100" s="215">
        <v>42792</v>
      </c>
      <c r="B100" s="862" t="s">
        <v>1545</v>
      </c>
      <c r="C100" s="350" t="s">
        <v>12</v>
      </c>
      <c r="D100" s="350" t="s">
        <v>1489</v>
      </c>
      <c r="E100" s="757" t="s">
        <v>15</v>
      </c>
      <c r="F100" s="97">
        <v>30</v>
      </c>
      <c r="G100" s="946"/>
      <c r="H100" s="95"/>
      <c r="I100" s="1473"/>
    </row>
    <row r="101" spans="1:9" s="224" customFormat="1" x14ac:dyDescent="0.25">
      <c r="A101" s="215">
        <v>42793</v>
      </c>
      <c r="B101" s="862" t="s">
        <v>14</v>
      </c>
      <c r="C101" s="350" t="s">
        <v>12</v>
      </c>
      <c r="D101" s="879" t="s">
        <v>1486</v>
      </c>
      <c r="E101" s="757" t="s">
        <v>13</v>
      </c>
      <c r="F101" s="97">
        <v>3.5</v>
      </c>
      <c r="G101" s="946"/>
      <c r="H101" s="95"/>
      <c r="I101" s="1473"/>
    </row>
    <row r="102" spans="1:9" s="224" customFormat="1" x14ac:dyDescent="0.25">
      <c r="A102" s="215">
        <v>42793</v>
      </c>
      <c r="B102" s="862" t="s">
        <v>1546</v>
      </c>
      <c r="C102" s="350" t="s">
        <v>12</v>
      </c>
      <c r="D102" s="350" t="s">
        <v>1493</v>
      </c>
      <c r="E102" s="757" t="s">
        <v>13</v>
      </c>
      <c r="F102" s="97">
        <v>10</v>
      </c>
      <c r="G102" s="946"/>
      <c r="H102" s="95"/>
      <c r="I102" s="1473"/>
    </row>
    <row r="103" spans="1:9" s="224" customFormat="1" x14ac:dyDescent="0.25">
      <c r="A103" s="215">
        <v>42793</v>
      </c>
      <c r="B103" s="862" t="s">
        <v>527</v>
      </c>
      <c r="C103" s="350" t="s">
        <v>12</v>
      </c>
      <c r="D103" s="350" t="s">
        <v>1493</v>
      </c>
      <c r="E103" s="757" t="s">
        <v>13</v>
      </c>
      <c r="F103" s="97">
        <v>13</v>
      </c>
      <c r="G103" s="946"/>
      <c r="H103" s="95"/>
      <c r="I103" s="1473"/>
    </row>
    <row r="104" spans="1:9" s="224" customFormat="1" x14ac:dyDescent="0.25">
      <c r="A104" s="215">
        <v>42793</v>
      </c>
      <c r="B104" s="862" t="s">
        <v>14</v>
      </c>
      <c r="C104" s="350" t="s">
        <v>12</v>
      </c>
      <c r="D104" s="879" t="s">
        <v>1486</v>
      </c>
      <c r="E104" s="757" t="s">
        <v>13</v>
      </c>
      <c r="F104" s="97">
        <v>6.31</v>
      </c>
      <c r="G104" s="946"/>
      <c r="H104" s="95"/>
      <c r="I104" s="1473"/>
    </row>
    <row r="105" spans="1:9" s="224" customFormat="1" x14ac:dyDescent="0.25">
      <c r="A105" s="215">
        <v>42793</v>
      </c>
      <c r="B105" s="862" t="s">
        <v>32</v>
      </c>
      <c r="C105" s="350" t="s">
        <v>12</v>
      </c>
      <c r="D105" s="879" t="s">
        <v>1485</v>
      </c>
      <c r="E105" s="757" t="s">
        <v>13</v>
      </c>
      <c r="F105" s="97">
        <v>18</v>
      </c>
      <c r="G105" s="946"/>
      <c r="H105" s="95"/>
      <c r="I105" s="1473"/>
    </row>
    <row r="106" spans="1:9" s="224" customFormat="1" x14ac:dyDescent="0.25">
      <c r="A106" s="215">
        <v>42794</v>
      </c>
      <c r="B106" s="862" t="s">
        <v>17</v>
      </c>
      <c r="C106" s="350" t="s">
        <v>12</v>
      </c>
      <c r="D106" s="350" t="s">
        <v>1493</v>
      </c>
      <c r="E106" s="757" t="s">
        <v>15</v>
      </c>
      <c r="F106" s="97">
        <v>19</v>
      </c>
      <c r="G106" s="946"/>
      <c r="H106" s="95"/>
      <c r="I106" s="1473"/>
    </row>
    <row r="107" spans="1:9" s="224" customFormat="1" ht="15.75" thickBot="1" x14ac:dyDescent="0.3">
      <c r="A107" s="215">
        <v>42794</v>
      </c>
      <c r="B107" s="349" t="s">
        <v>14</v>
      </c>
      <c r="C107" s="879" t="s">
        <v>12</v>
      </c>
      <c r="D107" s="879" t="s">
        <v>1486</v>
      </c>
      <c r="E107" s="871" t="s">
        <v>13</v>
      </c>
      <c r="F107" s="97">
        <v>9.02</v>
      </c>
      <c r="G107" s="946"/>
      <c r="H107" s="95"/>
      <c r="I107" s="1473"/>
    </row>
    <row r="108" spans="1:9" ht="25.5" customHeight="1" thickBot="1" x14ac:dyDescent="0.3">
      <c r="A108" s="3060"/>
      <c r="B108" s="3061"/>
      <c r="C108" s="3062"/>
      <c r="D108" s="3062"/>
      <c r="E108" s="3062"/>
      <c r="F108" s="100">
        <f>SUM(F6:F107)</f>
        <v>3926.0799999999995</v>
      </c>
      <c r="G108" s="1065">
        <f>SUM(G5:G107)</f>
        <v>4177.350000000004</v>
      </c>
      <c r="H108" s="101">
        <f>SUM(H6:H107)</f>
        <v>868.63</v>
      </c>
      <c r="I108" s="93">
        <f>SUM(I5:I107)</f>
        <v>6086.4460000000008</v>
      </c>
    </row>
    <row r="109" spans="1:9" ht="25.5" customHeight="1" thickBot="1" x14ac:dyDescent="0.3">
      <c r="A109" s="3117" t="s">
        <v>49</v>
      </c>
      <c r="B109" s="3118"/>
      <c r="C109" s="3118"/>
      <c r="D109" s="3118"/>
      <c r="E109" s="3119"/>
      <c r="F109" s="144"/>
      <c r="G109" s="519">
        <f>G108-F108</f>
        <v>251.27000000000453</v>
      </c>
      <c r="H109" s="555"/>
      <c r="I109" s="556">
        <f>I108-H108</f>
        <v>5217.8160000000007</v>
      </c>
    </row>
    <row r="110" spans="1:9" x14ac:dyDescent="0.25">
      <c r="G110" s="89"/>
    </row>
    <row r="111" spans="1:9" x14ac:dyDescent="0.25">
      <c r="B111" s="79" t="s">
        <v>32</v>
      </c>
      <c r="C111" s="475">
        <v>300.43</v>
      </c>
      <c r="D111" s="85" t="s">
        <v>1485</v>
      </c>
    </row>
    <row r="112" spans="1:9" x14ac:dyDescent="0.25">
      <c r="B112" s="79" t="s">
        <v>1218</v>
      </c>
      <c r="C112" s="475">
        <v>330</v>
      </c>
      <c r="D112" s="85" t="s">
        <v>1487</v>
      </c>
    </row>
    <row r="113" spans="1:10" x14ac:dyDescent="0.25">
      <c r="B113" s="79" t="s">
        <v>50</v>
      </c>
      <c r="C113" s="484">
        <v>236.66</v>
      </c>
      <c r="D113" s="85" t="s">
        <v>1493</v>
      </c>
    </row>
    <row r="114" spans="1:10" s="85" customFormat="1" x14ac:dyDescent="0.25">
      <c r="A114" s="79"/>
      <c r="B114" s="79" t="s">
        <v>14</v>
      </c>
      <c r="C114" s="484">
        <v>179.43</v>
      </c>
      <c r="D114" s="85" t="s">
        <v>1486</v>
      </c>
    </row>
    <row r="115" spans="1:10" s="85" customFormat="1" x14ac:dyDescent="0.25">
      <c r="A115" s="79"/>
      <c r="B115" s="79" t="s">
        <v>51</v>
      </c>
      <c r="C115" s="475"/>
      <c r="D115" s="864" t="s">
        <v>1499</v>
      </c>
      <c r="E115" s="864"/>
      <c r="F115" s="89"/>
      <c r="G115" s="79"/>
      <c r="H115" s="79"/>
      <c r="I115" s="79"/>
    </row>
    <row r="116" spans="1:10" s="85" customFormat="1" x14ac:dyDescent="0.25">
      <c r="A116" s="79"/>
      <c r="B116" s="79" t="s">
        <v>52</v>
      </c>
      <c r="C116" s="475">
        <v>60</v>
      </c>
      <c r="D116" s="864" t="s">
        <v>1496</v>
      </c>
      <c r="E116" s="864"/>
      <c r="F116" s="89"/>
      <c r="G116" s="79"/>
      <c r="H116" s="79"/>
      <c r="I116" s="79"/>
    </row>
    <row r="117" spans="1:10" s="85" customFormat="1" x14ac:dyDescent="0.25">
      <c r="A117" s="79"/>
      <c r="B117" s="867" t="s">
        <v>53</v>
      </c>
      <c r="C117" s="475">
        <v>181.67</v>
      </c>
      <c r="D117" s="864" t="s">
        <v>1522</v>
      </c>
      <c r="E117" s="864"/>
      <c r="F117" s="89"/>
      <c r="G117" s="79"/>
      <c r="H117" s="79"/>
      <c r="I117" s="79"/>
    </row>
    <row r="118" spans="1:10" s="85" customFormat="1" x14ac:dyDescent="0.25">
      <c r="A118" s="79"/>
      <c r="B118" s="79" t="s">
        <v>1232</v>
      </c>
      <c r="C118" s="475">
        <v>568.53</v>
      </c>
      <c r="D118" s="864" t="s">
        <v>1515</v>
      </c>
      <c r="E118" s="864"/>
      <c r="F118" s="89"/>
      <c r="G118" s="79"/>
      <c r="H118" s="79"/>
      <c r="I118" s="79"/>
    </row>
    <row r="119" spans="1:10" s="85" customFormat="1" x14ac:dyDescent="0.25">
      <c r="A119" s="79"/>
      <c r="B119" s="79" t="s">
        <v>56</v>
      </c>
      <c r="D119" s="864" t="s">
        <v>1523</v>
      </c>
      <c r="E119" s="864"/>
      <c r="F119" s="89"/>
      <c r="G119" s="79"/>
      <c r="H119" s="79"/>
      <c r="I119" s="79"/>
    </row>
    <row r="120" spans="1:10" s="85" customFormat="1" x14ac:dyDescent="0.25">
      <c r="A120" s="79"/>
      <c r="B120" s="79" t="s">
        <v>57</v>
      </c>
      <c r="C120" s="475">
        <v>199.58</v>
      </c>
      <c r="D120" s="864" t="s">
        <v>1506</v>
      </c>
      <c r="E120" s="864"/>
      <c r="F120" s="89"/>
      <c r="G120" s="79"/>
      <c r="H120" s="79"/>
      <c r="I120" s="79"/>
    </row>
    <row r="121" spans="1:10" s="85" customFormat="1" x14ac:dyDescent="0.25">
      <c r="A121" s="79"/>
      <c r="B121" s="79" t="s">
        <v>418</v>
      </c>
      <c r="C121" s="475"/>
      <c r="D121" s="85" t="s">
        <v>1524</v>
      </c>
      <c r="F121" s="89"/>
    </row>
    <row r="122" spans="1:10" x14ac:dyDescent="0.25">
      <c r="B122" s="79" t="s">
        <v>419</v>
      </c>
      <c r="C122" s="475">
        <v>462.87</v>
      </c>
      <c r="D122" s="85" t="s">
        <v>1491</v>
      </c>
    </row>
    <row r="123" spans="1:10" x14ac:dyDescent="0.25">
      <c r="B123" s="79" t="s">
        <v>911</v>
      </c>
      <c r="C123" s="475">
        <v>55.98</v>
      </c>
      <c r="D123" s="85" t="s">
        <v>1525</v>
      </c>
    </row>
    <row r="124" spans="1:10" x14ac:dyDescent="0.25">
      <c r="B124" s="79" t="s">
        <v>1526</v>
      </c>
      <c r="C124" s="475">
        <v>208.9</v>
      </c>
      <c r="D124" s="85" t="s">
        <v>1504</v>
      </c>
    </row>
    <row r="125" spans="1:10" x14ac:dyDescent="0.25">
      <c r="B125" s="79" t="s">
        <v>1527</v>
      </c>
      <c r="C125" s="475">
        <v>566.54999999999995</v>
      </c>
      <c r="D125" s="85" t="s">
        <v>1489</v>
      </c>
    </row>
    <row r="126" spans="1:10" x14ac:dyDescent="0.25">
      <c r="C126" s="475"/>
    </row>
    <row r="127" spans="1:10" x14ac:dyDescent="0.25">
      <c r="D127" s="79"/>
      <c r="E127" s="79"/>
    </row>
    <row r="128" spans="1:10" x14ac:dyDescent="0.25">
      <c r="B128" s="79" t="s">
        <v>486</v>
      </c>
      <c r="C128" s="475">
        <f>H128/J128</f>
        <v>119.66035714285714</v>
      </c>
      <c r="F128" s="224" t="s">
        <v>487</v>
      </c>
      <c r="G128" s="224"/>
      <c r="H128" s="216">
        <v>3350.49</v>
      </c>
      <c r="I128" s="518" t="s">
        <v>488</v>
      </c>
      <c r="J128" s="85">
        <v>28</v>
      </c>
    </row>
    <row r="131" spans="3:10" x14ac:dyDescent="0.25">
      <c r="J131" s="85"/>
    </row>
    <row r="135" spans="3:10" x14ac:dyDescent="0.25">
      <c r="D135" s="79"/>
      <c r="E135" s="79"/>
    </row>
    <row r="139" spans="3:10" x14ac:dyDescent="0.25">
      <c r="C139" s="79"/>
      <c r="D139" s="79"/>
      <c r="E139" s="79"/>
      <c r="F139" s="79"/>
      <c r="I139" s="216"/>
    </row>
    <row r="140" spans="3:10" x14ac:dyDescent="0.25">
      <c r="C140" s="79"/>
      <c r="D140" s="79"/>
      <c r="E140" s="79"/>
      <c r="F140" s="79"/>
      <c r="I140" s="216"/>
    </row>
    <row r="141" spans="3:10" x14ac:dyDescent="0.25">
      <c r="C141" s="79"/>
      <c r="D141" s="79"/>
      <c r="E141" s="79"/>
      <c r="F141" s="79"/>
      <c r="G141" s="216"/>
      <c r="I141" s="216"/>
    </row>
    <row r="142" spans="3:10" x14ac:dyDescent="0.25">
      <c r="C142" s="79"/>
      <c r="D142" s="79"/>
      <c r="E142" s="79"/>
      <c r="F142" s="79"/>
      <c r="G142" s="216"/>
      <c r="I142" s="216"/>
    </row>
    <row r="143" spans="3:10" x14ac:dyDescent="0.25">
      <c r="C143" s="79"/>
      <c r="D143" s="79"/>
      <c r="E143" s="79"/>
      <c r="F143" s="79"/>
      <c r="G143" s="216"/>
    </row>
    <row r="144" spans="3:10" x14ac:dyDescent="0.25">
      <c r="C144" s="79"/>
      <c r="D144" s="79"/>
      <c r="E144" s="79"/>
      <c r="F144" s="79"/>
      <c r="I144" s="216"/>
    </row>
    <row r="146" spans="3:9" x14ac:dyDescent="0.25">
      <c r="C146" s="79"/>
      <c r="D146" s="79"/>
      <c r="E146" s="79"/>
      <c r="F146" s="79"/>
      <c r="I146" s="629"/>
    </row>
    <row r="152" spans="3:9" x14ac:dyDescent="0.25">
      <c r="C152" s="79"/>
      <c r="D152" s="79"/>
      <c r="E152" s="79"/>
      <c r="F152" s="79"/>
      <c r="I152" s="216"/>
    </row>
    <row r="153" spans="3:9" x14ac:dyDescent="0.25">
      <c r="C153" s="79"/>
      <c r="D153" s="79"/>
      <c r="E153" s="79"/>
      <c r="F153" s="79"/>
      <c r="I153" s="216"/>
    </row>
    <row r="154" spans="3:9" x14ac:dyDescent="0.25">
      <c r="C154" s="79"/>
      <c r="D154" s="79"/>
      <c r="E154" s="79"/>
      <c r="F154" s="79"/>
      <c r="I154" s="216"/>
    </row>
    <row r="155" spans="3:9" x14ac:dyDescent="0.25">
      <c r="C155" s="79"/>
      <c r="D155" s="79"/>
      <c r="E155" s="79"/>
      <c r="F155" s="79"/>
      <c r="I155" s="216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</sheetData>
  <autoFilter ref="A2:I109" xr:uid="{00000000-0009-0000-0000-000039000000}"/>
  <mergeCells count="11">
    <mergeCell ref="A108:E108"/>
    <mergeCell ref="A109:E109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Plan63"/>
  <dimension ref="A1:J162"/>
  <sheetViews>
    <sheetView zoomScale="80" zoomScaleNormal="80" workbookViewId="0">
      <pane ySplit="4" topLeftCell="A9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4.570312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3.5703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1547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42795</v>
      </c>
      <c r="B5" s="369" t="s">
        <v>10</v>
      </c>
      <c r="C5" s="370"/>
      <c r="D5" s="370"/>
      <c r="E5" s="488"/>
      <c r="F5" s="179"/>
      <c r="G5" s="933">
        <f>'Fevereiro-17'!G109</f>
        <v>251.27000000000453</v>
      </c>
      <c r="H5" s="163"/>
      <c r="I5" s="933">
        <f>'Fevereiro-17'!I109</f>
        <v>5217.8160000000007</v>
      </c>
    </row>
    <row r="6" spans="1:9" s="224" customFormat="1" x14ac:dyDescent="0.25">
      <c r="A6" s="215">
        <v>42795</v>
      </c>
      <c r="B6" s="348" t="s">
        <v>11</v>
      </c>
      <c r="C6" s="351"/>
      <c r="D6" s="351"/>
      <c r="E6" s="673"/>
      <c r="F6" s="250"/>
      <c r="G6" s="1473"/>
      <c r="H6" s="252"/>
      <c r="I6" s="1473"/>
    </row>
    <row r="7" spans="1:9" s="224" customFormat="1" x14ac:dyDescent="0.25">
      <c r="A7" s="215">
        <v>42795</v>
      </c>
      <c r="B7" s="862" t="s">
        <v>32</v>
      </c>
      <c r="C7" s="350" t="s">
        <v>12</v>
      </c>
      <c r="D7" s="350" t="s">
        <v>1485</v>
      </c>
      <c r="E7" s="757" t="s">
        <v>15</v>
      </c>
      <c r="F7" s="97">
        <v>13</v>
      </c>
      <c r="G7" s="946"/>
      <c r="H7" s="95"/>
      <c r="I7" s="1473"/>
    </row>
    <row r="8" spans="1:9" s="224" customFormat="1" x14ac:dyDescent="0.25">
      <c r="A8" s="215">
        <v>42795</v>
      </c>
      <c r="B8" s="862" t="s">
        <v>14</v>
      </c>
      <c r="C8" s="350" t="s">
        <v>12</v>
      </c>
      <c r="D8" s="350" t="s">
        <v>1486</v>
      </c>
      <c r="E8" s="757" t="s">
        <v>13</v>
      </c>
      <c r="F8" s="97">
        <v>5.72</v>
      </c>
      <c r="G8" s="946"/>
      <c r="H8" s="95"/>
      <c r="I8" s="1473"/>
    </row>
    <row r="9" spans="1:9" s="224" customFormat="1" x14ac:dyDescent="0.25">
      <c r="A9" s="215">
        <v>42796</v>
      </c>
      <c r="B9" s="862" t="s">
        <v>32</v>
      </c>
      <c r="C9" s="350" t="s">
        <v>12</v>
      </c>
      <c r="D9" s="350" t="s">
        <v>1485</v>
      </c>
      <c r="E9" s="757" t="s">
        <v>15</v>
      </c>
      <c r="F9" s="97">
        <v>13</v>
      </c>
      <c r="G9" s="946"/>
      <c r="H9" s="97"/>
      <c r="I9" s="946"/>
    </row>
    <row r="10" spans="1:9" x14ac:dyDescent="0.25">
      <c r="A10" s="215">
        <v>42796</v>
      </c>
      <c r="B10" s="873" t="s">
        <v>1455</v>
      </c>
      <c r="C10" s="879" t="s">
        <v>12</v>
      </c>
      <c r="D10" s="879" t="s">
        <v>1487</v>
      </c>
      <c r="E10" s="871" t="s">
        <v>15</v>
      </c>
      <c r="F10" s="97">
        <v>60</v>
      </c>
      <c r="G10" s="946"/>
      <c r="H10" s="97"/>
      <c r="I10" s="946"/>
    </row>
    <row r="11" spans="1:9" s="224" customFormat="1" x14ac:dyDescent="0.25">
      <c r="A11" s="215">
        <v>42796</v>
      </c>
      <c r="B11" s="862" t="s">
        <v>14</v>
      </c>
      <c r="C11" s="350" t="s">
        <v>12</v>
      </c>
      <c r="D11" s="350" t="s">
        <v>1486</v>
      </c>
      <c r="E11" s="757" t="s">
        <v>13</v>
      </c>
      <c r="F11" s="97">
        <v>7.5</v>
      </c>
      <c r="G11" s="946"/>
      <c r="H11" s="95"/>
      <c r="I11" s="1473"/>
    </row>
    <row r="12" spans="1:9" x14ac:dyDescent="0.25">
      <c r="A12" s="215">
        <v>42797</v>
      </c>
      <c r="B12" s="862" t="s">
        <v>32</v>
      </c>
      <c r="C12" s="350" t="s">
        <v>12</v>
      </c>
      <c r="D12" s="350" t="s">
        <v>1485</v>
      </c>
      <c r="E12" s="757" t="s">
        <v>13</v>
      </c>
      <c r="F12" s="97">
        <v>13</v>
      </c>
      <c r="G12" s="946"/>
      <c r="H12" s="97"/>
      <c r="I12" s="946"/>
    </row>
    <row r="13" spans="1:9" x14ac:dyDescent="0.25">
      <c r="A13" s="215">
        <v>42797</v>
      </c>
      <c r="B13" s="862" t="s">
        <v>14</v>
      </c>
      <c r="C13" s="350" t="s">
        <v>12</v>
      </c>
      <c r="D13" s="350" t="s">
        <v>1486</v>
      </c>
      <c r="E13" s="757" t="s">
        <v>13</v>
      </c>
      <c r="F13" s="97">
        <v>8.2899999999999991</v>
      </c>
      <c r="G13" s="946"/>
      <c r="H13" s="97"/>
      <c r="I13" s="946"/>
    </row>
    <row r="14" spans="1:9" x14ac:dyDescent="0.25">
      <c r="A14" s="215">
        <v>42797</v>
      </c>
      <c r="B14" s="862" t="s">
        <v>1548</v>
      </c>
      <c r="C14" s="350" t="s">
        <v>12</v>
      </c>
      <c r="D14" s="350" t="s">
        <v>1491</v>
      </c>
      <c r="E14" s="757" t="s">
        <v>13</v>
      </c>
      <c r="F14" s="97">
        <v>37.450000000000003</v>
      </c>
      <c r="G14" s="946"/>
      <c r="H14" s="97"/>
      <c r="I14" s="946"/>
    </row>
    <row r="15" spans="1:9" ht="15" customHeight="1" x14ac:dyDescent="0.25">
      <c r="A15" s="215">
        <v>42798</v>
      </c>
      <c r="B15" s="862" t="s">
        <v>32</v>
      </c>
      <c r="C15" s="350" t="s">
        <v>12</v>
      </c>
      <c r="D15" s="350" t="s">
        <v>1485</v>
      </c>
      <c r="E15" s="757" t="s">
        <v>13</v>
      </c>
      <c r="F15" s="97">
        <v>14.5</v>
      </c>
      <c r="G15" s="946"/>
      <c r="H15" s="97"/>
      <c r="I15" s="946"/>
    </row>
    <row r="16" spans="1:9" ht="15" customHeight="1" x14ac:dyDescent="0.25">
      <c r="A16" s="215">
        <v>42798</v>
      </c>
      <c r="B16" s="862" t="s">
        <v>14</v>
      </c>
      <c r="C16" s="350" t="s">
        <v>12</v>
      </c>
      <c r="D16" s="350" t="s">
        <v>1486</v>
      </c>
      <c r="E16" s="757" t="s">
        <v>13</v>
      </c>
      <c r="F16" s="97">
        <v>20.28</v>
      </c>
      <c r="G16" s="946"/>
      <c r="H16" s="97"/>
      <c r="I16" s="946"/>
    </row>
    <row r="17" spans="1:9" ht="15" customHeight="1" x14ac:dyDescent="0.25">
      <c r="A17" s="215">
        <v>42798</v>
      </c>
      <c r="B17" s="862" t="s">
        <v>82</v>
      </c>
      <c r="C17" s="350" t="s">
        <v>12</v>
      </c>
      <c r="D17" s="350" t="s">
        <v>1493</v>
      </c>
      <c r="E17" s="757" t="s">
        <v>13</v>
      </c>
      <c r="F17" s="97">
        <v>28</v>
      </c>
      <c r="G17" s="946"/>
      <c r="H17" s="97"/>
      <c r="I17" s="946"/>
    </row>
    <row r="18" spans="1:9" s="224" customFormat="1" x14ac:dyDescent="0.25">
      <c r="A18" s="215">
        <v>42798</v>
      </c>
      <c r="B18" s="862" t="s">
        <v>256</v>
      </c>
      <c r="C18" s="879"/>
      <c r="D18" s="879"/>
      <c r="E18" s="1510"/>
      <c r="F18" s="97"/>
      <c r="G18" s="946">
        <v>150</v>
      </c>
      <c r="H18" s="97">
        <v>150</v>
      </c>
      <c r="I18" s="946"/>
    </row>
    <row r="19" spans="1:9" s="224" customFormat="1" x14ac:dyDescent="0.25">
      <c r="A19" s="215">
        <v>42798</v>
      </c>
      <c r="B19" s="349" t="s">
        <v>311</v>
      </c>
      <c r="C19" s="350"/>
      <c r="D19" s="350"/>
      <c r="E19" s="757"/>
      <c r="F19" s="97"/>
      <c r="G19" s="946"/>
      <c r="H19" s="97"/>
      <c r="I19" s="946">
        <v>5</v>
      </c>
    </row>
    <row r="20" spans="1:9" s="224" customFormat="1" x14ac:dyDescent="0.25">
      <c r="A20" s="215">
        <v>42799</v>
      </c>
      <c r="B20" s="862" t="s">
        <v>14</v>
      </c>
      <c r="C20" s="350" t="s">
        <v>12</v>
      </c>
      <c r="D20" s="350" t="s">
        <v>1486</v>
      </c>
      <c r="E20" s="757" t="s">
        <v>13</v>
      </c>
      <c r="F20" s="97">
        <v>21.11</v>
      </c>
      <c r="G20" s="946"/>
      <c r="H20" s="97"/>
      <c r="I20" s="946"/>
    </row>
    <row r="21" spans="1:9" s="224" customFormat="1" ht="15.75" customHeight="1" x14ac:dyDescent="0.25">
      <c r="A21" s="215">
        <v>42800</v>
      </c>
      <c r="B21" s="349" t="s">
        <v>1549</v>
      </c>
      <c r="C21" s="879" t="s">
        <v>12</v>
      </c>
      <c r="D21" s="874"/>
      <c r="E21" s="875" t="s">
        <v>25</v>
      </c>
      <c r="F21" s="97"/>
      <c r="G21" s="1473">
        <v>1819.63</v>
      </c>
      <c r="H21" s="252"/>
      <c r="I21" s="946"/>
    </row>
    <row r="22" spans="1:9" s="224" customFormat="1" ht="15.75" customHeight="1" x14ac:dyDescent="0.25">
      <c r="A22" s="215">
        <v>42800</v>
      </c>
      <c r="B22" s="862" t="s">
        <v>1550</v>
      </c>
      <c r="C22" s="350" t="s">
        <v>12</v>
      </c>
      <c r="D22" s="350"/>
      <c r="E22" s="757" t="s">
        <v>13</v>
      </c>
      <c r="F22" s="250">
        <v>361.14</v>
      </c>
      <c r="G22" s="1473"/>
      <c r="H22" s="252"/>
      <c r="I22" s="946"/>
    </row>
    <row r="23" spans="1:9" s="224" customFormat="1" x14ac:dyDescent="0.25">
      <c r="A23" s="215">
        <v>42800</v>
      </c>
      <c r="B23" s="862" t="s">
        <v>1091</v>
      </c>
      <c r="C23" s="879" t="s">
        <v>12</v>
      </c>
      <c r="D23" s="879" t="s">
        <v>1491</v>
      </c>
      <c r="E23" s="871" t="s">
        <v>15</v>
      </c>
      <c r="F23" s="97">
        <v>129</v>
      </c>
      <c r="G23" s="946"/>
      <c r="H23" s="97"/>
      <c r="I23" s="1473"/>
    </row>
    <row r="24" spans="1:9" x14ac:dyDescent="0.25">
      <c r="A24" s="215">
        <v>42800</v>
      </c>
      <c r="B24" s="862" t="s">
        <v>1532</v>
      </c>
      <c r="C24" s="879" t="s">
        <v>12</v>
      </c>
      <c r="D24" s="879" t="s">
        <v>1504</v>
      </c>
      <c r="E24" s="1510" t="s">
        <v>13</v>
      </c>
      <c r="F24" s="97">
        <v>50</v>
      </c>
      <c r="G24" s="946"/>
      <c r="H24" s="97"/>
      <c r="I24" s="946"/>
    </row>
    <row r="25" spans="1:9" x14ac:dyDescent="0.25">
      <c r="A25" s="215">
        <v>42800</v>
      </c>
      <c r="B25" s="862" t="s">
        <v>52</v>
      </c>
      <c r="C25" s="879" t="s">
        <v>12</v>
      </c>
      <c r="D25" s="879" t="s">
        <v>1496</v>
      </c>
      <c r="E25" s="1510" t="s">
        <v>13</v>
      </c>
      <c r="F25" s="97">
        <v>60</v>
      </c>
      <c r="G25" s="946"/>
      <c r="H25" s="97"/>
      <c r="I25" s="946"/>
    </row>
    <row r="26" spans="1:9" s="224" customFormat="1" ht="15" customHeight="1" x14ac:dyDescent="0.25">
      <c r="A26" s="215">
        <v>42800</v>
      </c>
      <c r="B26" s="862" t="s">
        <v>32</v>
      </c>
      <c r="C26" s="350" t="s">
        <v>12</v>
      </c>
      <c r="D26" s="350" t="s">
        <v>1485</v>
      </c>
      <c r="E26" s="757" t="s">
        <v>13</v>
      </c>
      <c r="F26" s="97">
        <v>13</v>
      </c>
      <c r="G26" s="946"/>
      <c r="H26" s="95"/>
      <c r="I26" s="946"/>
    </row>
    <row r="27" spans="1:9" s="224" customFormat="1" ht="15" customHeight="1" x14ac:dyDescent="0.25">
      <c r="A27" s="215">
        <v>42800</v>
      </c>
      <c r="B27" s="349" t="s">
        <v>260</v>
      </c>
      <c r="C27" s="350"/>
      <c r="D27" s="350"/>
      <c r="E27" s="757"/>
      <c r="F27" s="97">
        <v>477.18</v>
      </c>
      <c r="G27" s="946"/>
      <c r="H27" s="95"/>
      <c r="I27" s="946">
        <v>477.18</v>
      </c>
    </row>
    <row r="28" spans="1:9" s="224" customFormat="1" x14ac:dyDescent="0.25">
      <c r="A28" s="215">
        <v>42800</v>
      </c>
      <c r="B28" s="882" t="s">
        <v>1551</v>
      </c>
      <c r="C28" s="879" t="s">
        <v>12</v>
      </c>
      <c r="D28" s="879" t="s">
        <v>1499</v>
      </c>
      <c r="E28" s="871" t="s">
        <v>13</v>
      </c>
      <c r="F28" s="250">
        <v>46</v>
      </c>
      <c r="G28" s="946"/>
      <c r="H28" s="95"/>
      <c r="I28" s="946"/>
    </row>
    <row r="29" spans="1:9" s="224" customFormat="1" ht="15.75" customHeight="1" x14ac:dyDescent="0.25">
      <c r="A29" s="215">
        <v>42800</v>
      </c>
      <c r="B29" s="882" t="s">
        <v>1552</v>
      </c>
      <c r="C29" s="350" t="s">
        <v>12</v>
      </c>
      <c r="D29" s="350" t="s">
        <v>1499</v>
      </c>
      <c r="E29" s="757" t="s">
        <v>13</v>
      </c>
      <c r="F29" s="97">
        <v>60.9</v>
      </c>
      <c r="G29" s="1473"/>
      <c r="H29" s="252"/>
      <c r="I29" s="946"/>
    </row>
    <row r="30" spans="1:9" s="224" customFormat="1" ht="15.75" customHeight="1" x14ac:dyDescent="0.25">
      <c r="A30" s="215">
        <v>42800</v>
      </c>
      <c r="B30" s="882" t="s">
        <v>1553</v>
      </c>
      <c r="C30" s="350" t="s">
        <v>12</v>
      </c>
      <c r="D30" s="350" t="s">
        <v>1499</v>
      </c>
      <c r="E30" s="757" t="s">
        <v>13</v>
      </c>
      <c r="F30" s="97">
        <v>54.25</v>
      </c>
      <c r="G30" s="1473"/>
      <c r="H30" s="252"/>
      <c r="I30" s="946"/>
    </row>
    <row r="31" spans="1:9" s="224" customFormat="1" x14ac:dyDescent="0.25">
      <c r="A31" s="215">
        <v>42800</v>
      </c>
      <c r="B31" s="862" t="s">
        <v>14</v>
      </c>
      <c r="C31" s="350" t="s">
        <v>12</v>
      </c>
      <c r="D31" s="350" t="s">
        <v>1486</v>
      </c>
      <c r="E31" s="757" t="s">
        <v>13</v>
      </c>
      <c r="F31" s="97">
        <v>16.28</v>
      </c>
      <c r="G31" s="946"/>
      <c r="H31" s="97"/>
      <c r="I31" s="946"/>
    </row>
    <row r="32" spans="1:9" s="224" customFormat="1" x14ac:dyDescent="0.25">
      <c r="A32" s="215">
        <v>42800</v>
      </c>
      <c r="B32" s="349" t="s">
        <v>1554</v>
      </c>
      <c r="C32" s="350" t="s">
        <v>19</v>
      </c>
      <c r="D32" s="350" t="s">
        <v>1491</v>
      </c>
      <c r="E32" s="757" t="s">
        <v>13</v>
      </c>
      <c r="F32" s="97">
        <v>65.489999999999995</v>
      </c>
      <c r="G32" s="946"/>
      <c r="H32" s="97"/>
      <c r="I32" s="946"/>
    </row>
    <row r="33" spans="1:9" s="224" customFormat="1" x14ac:dyDescent="0.25">
      <c r="A33" s="215">
        <v>42801</v>
      </c>
      <c r="B33" s="862" t="s">
        <v>32</v>
      </c>
      <c r="C33" s="350" t="s">
        <v>12</v>
      </c>
      <c r="D33" s="350" t="s">
        <v>1485</v>
      </c>
      <c r="E33" s="757" t="s">
        <v>15</v>
      </c>
      <c r="F33" s="97">
        <v>13</v>
      </c>
      <c r="G33" s="946"/>
      <c r="H33" s="97"/>
      <c r="I33" s="946"/>
    </row>
    <row r="34" spans="1:9" s="224" customFormat="1" x14ac:dyDescent="0.25">
      <c r="A34" s="215">
        <v>42801</v>
      </c>
      <c r="B34" s="862" t="s">
        <v>1555</v>
      </c>
      <c r="C34" s="350" t="s">
        <v>12</v>
      </c>
      <c r="D34" s="350" t="s">
        <v>1524</v>
      </c>
      <c r="E34" s="757" t="s">
        <v>13</v>
      </c>
      <c r="F34" s="97">
        <v>17</v>
      </c>
      <c r="G34" s="946"/>
      <c r="H34" s="97"/>
      <c r="I34" s="946"/>
    </row>
    <row r="35" spans="1:9" s="224" customFormat="1" x14ac:dyDescent="0.25">
      <c r="A35" s="215">
        <v>42801</v>
      </c>
      <c r="B35" s="862" t="s">
        <v>1556</v>
      </c>
      <c r="C35" s="350" t="s">
        <v>12</v>
      </c>
      <c r="D35" s="350" t="s">
        <v>1524</v>
      </c>
      <c r="E35" s="757" t="s">
        <v>13</v>
      </c>
      <c r="F35" s="97">
        <v>50</v>
      </c>
      <c r="G35" s="946"/>
      <c r="H35" s="97"/>
      <c r="I35" s="946"/>
    </row>
    <row r="36" spans="1:9" s="224" customFormat="1" x14ac:dyDescent="0.25">
      <c r="A36" s="215">
        <v>42801</v>
      </c>
      <c r="B36" s="862" t="s">
        <v>14</v>
      </c>
      <c r="C36" s="350" t="s">
        <v>12</v>
      </c>
      <c r="D36" s="350" t="s">
        <v>1486</v>
      </c>
      <c r="E36" s="757" t="s">
        <v>13</v>
      </c>
      <c r="F36" s="97">
        <v>5.93</v>
      </c>
      <c r="G36" s="946"/>
      <c r="H36" s="97"/>
      <c r="I36" s="946"/>
    </row>
    <row r="37" spans="1:9" x14ac:dyDescent="0.25">
      <c r="A37" s="215">
        <v>42801</v>
      </c>
      <c r="B37" s="873" t="s">
        <v>1455</v>
      </c>
      <c r="C37" s="879" t="s">
        <v>12</v>
      </c>
      <c r="D37" s="879" t="s">
        <v>1487</v>
      </c>
      <c r="E37" s="871" t="s">
        <v>15</v>
      </c>
      <c r="F37" s="97">
        <v>60</v>
      </c>
      <c r="G37" s="946"/>
      <c r="H37" s="97"/>
      <c r="I37" s="946"/>
    </row>
    <row r="38" spans="1:9" x14ac:dyDescent="0.25">
      <c r="A38" s="215">
        <v>42802</v>
      </c>
      <c r="B38" s="862" t="s">
        <v>32</v>
      </c>
      <c r="C38" s="350" t="s">
        <v>12</v>
      </c>
      <c r="D38" s="350" t="s">
        <v>1485</v>
      </c>
      <c r="E38" s="757" t="s">
        <v>15</v>
      </c>
      <c r="F38" s="97">
        <v>13</v>
      </c>
      <c r="G38" s="946"/>
      <c r="H38" s="97"/>
      <c r="I38" s="946"/>
    </row>
    <row r="39" spans="1:9" x14ac:dyDescent="0.25">
      <c r="A39" s="215">
        <v>42802</v>
      </c>
      <c r="B39" s="862" t="s">
        <v>14</v>
      </c>
      <c r="C39" s="350" t="s">
        <v>12</v>
      </c>
      <c r="D39" s="350" t="s">
        <v>1486</v>
      </c>
      <c r="E39" s="757" t="s">
        <v>13</v>
      </c>
      <c r="F39" s="97">
        <v>5.99</v>
      </c>
      <c r="G39" s="946"/>
      <c r="H39" s="97"/>
      <c r="I39" s="946"/>
    </row>
    <row r="40" spans="1:9" s="224" customFormat="1" x14ac:dyDescent="0.25">
      <c r="A40" s="215">
        <v>42802</v>
      </c>
      <c r="B40" s="349" t="s">
        <v>311</v>
      </c>
      <c r="C40" s="350"/>
      <c r="D40" s="350"/>
      <c r="E40" s="757"/>
      <c r="G40" s="946"/>
      <c r="H40" s="97"/>
      <c r="I40" s="946">
        <v>6.97</v>
      </c>
    </row>
    <row r="41" spans="1:9" s="224" customFormat="1" x14ac:dyDescent="0.25">
      <c r="A41" s="215">
        <v>42803</v>
      </c>
      <c r="B41" s="862" t="s">
        <v>32</v>
      </c>
      <c r="C41" s="350" t="s">
        <v>12</v>
      </c>
      <c r="D41" s="350" t="s">
        <v>1485</v>
      </c>
      <c r="E41" s="757" t="s">
        <v>13</v>
      </c>
      <c r="F41" s="97">
        <v>13</v>
      </c>
      <c r="G41" s="946"/>
      <c r="H41" s="97"/>
      <c r="I41" s="946"/>
    </row>
    <row r="42" spans="1:9" x14ac:dyDescent="0.25">
      <c r="A42" s="215">
        <v>42803</v>
      </c>
      <c r="B42" s="862" t="s">
        <v>14</v>
      </c>
      <c r="C42" s="350" t="s">
        <v>12</v>
      </c>
      <c r="D42" s="350" t="s">
        <v>1486</v>
      </c>
      <c r="E42" s="757" t="s">
        <v>13</v>
      </c>
      <c r="F42" s="97">
        <v>11.19</v>
      </c>
      <c r="G42" s="946"/>
      <c r="H42" s="97"/>
      <c r="I42" s="946"/>
    </row>
    <row r="43" spans="1:9" s="224" customFormat="1" x14ac:dyDescent="0.25">
      <c r="A43" s="215">
        <v>42804</v>
      </c>
      <c r="B43" s="862" t="s">
        <v>32</v>
      </c>
      <c r="C43" s="350" t="s">
        <v>12</v>
      </c>
      <c r="D43" s="350" t="s">
        <v>1485</v>
      </c>
      <c r="E43" s="757" t="s">
        <v>13</v>
      </c>
      <c r="F43" s="97">
        <v>13</v>
      </c>
      <c r="G43" s="946"/>
      <c r="H43" s="97"/>
      <c r="I43" s="946"/>
    </row>
    <row r="44" spans="1:9" s="224" customFormat="1" x14ac:dyDescent="0.25">
      <c r="A44" s="215">
        <v>42804</v>
      </c>
      <c r="B44" s="862" t="s">
        <v>14</v>
      </c>
      <c r="C44" s="350" t="s">
        <v>12</v>
      </c>
      <c r="D44" s="350" t="s">
        <v>1486</v>
      </c>
      <c r="E44" s="757" t="s">
        <v>13</v>
      </c>
      <c r="F44" s="97">
        <v>9.0500000000000007</v>
      </c>
      <c r="G44" s="946"/>
      <c r="H44" s="97"/>
      <c r="I44" s="946"/>
    </row>
    <row r="45" spans="1:9" x14ac:dyDescent="0.25">
      <c r="A45" s="215">
        <v>42805</v>
      </c>
      <c r="B45" s="349" t="s">
        <v>1557</v>
      </c>
      <c r="C45" s="350" t="s">
        <v>12</v>
      </c>
      <c r="D45" s="350" t="s">
        <v>1491</v>
      </c>
      <c r="E45" s="757" t="s">
        <v>13</v>
      </c>
      <c r="F45" s="97">
        <v>30</v>
      </c>
      <c r="G45" s="946"/>
      <c r="H45" s="95"/>
      <c r="I45" s="946"/>
    </row>
    <row r="46" spans="1:9" x14ac:dyDescent="0.25">
      <c r="A46" s="215">
        <v>42805</v>
      </c>
      <c r="B46" s="349" t="s">
        <v>1558</v>
      </c>
      <c r="C46" s="350" t="s">
        <v>12</v>
      </c>
      <c r="D46" s="350" t="s">
        <v>1489</v>
      </c>
      <c r="E46" s="757" t="s">
        <v>13</v>
      </c>
      <c r="F46" s="97">
        <v>46</v>
      </c>
      <c r="G46" s="946"/>
      <c r="H46" s="95"/>
      <c r="I46" s="946"/>
    </row>
    <row r="47" spans="1:9" x14ac:dyDescent="0.25">
      <c r="A47" s="215">
        <v>42805</v>
      </c>
      <c r="B47" s="349" t="s">
        <v>1559</v>
      </c>
      <c r="C47" s="350" t="s">
        <v>12</v>
      </c>
      <c r="D47" s="350" t="s">
        <v>1493</v>
      </c>
      <c r="E47" s="757" t="s">
        <v>13</v>
      </c>
      <c r="F47" s="97">
        <v>10</v>
      </c>
      <c r="G47" s="946"/>
      <c r="H47" s="95"/>
      <c r="I47" s="946"/>
    </row>
    <row r="48" spans="1:9" x14ac:dyDescent="0.25">
      <c r="A48" s="215">
        <v>42805</v>
      </c>
      <c r="B48" s="349" t="s">
        <v>1560</v>
      </c>
      <c r="C48" s="350" t="s">
        <v>12</v>
      </c>
      <c r="D48" s="350" t="s">
        <v>1489</v>
      </c>
      <c r="E48" s="757" t="s">
        <v>13</v>
      </c>
      <c r="F48" s="97">
        <v>25</v>
      </c>
      <c r="G48" s="946"/>
      <c r="H48" s="95"/>
      <c r="I48" s="946"/>
    </row>
    <row r="49" spans="1:9" x14ac:dyDescent="0.25">
      <c r="A49" s="215">
        <v>42805</v>
      </c>
      <c r="B49" s="349" t="s">
        <v>14</v>
      </c>
      <c r="C49" s="350" t="s">
        <v>12</v>
      </c>
      <c r="D49" s="350" t="s">
        <v>1486</v>
      </c>
      <c r="E49" s="757" t="s">
        <v>13</v>
      </c>
      <c r="F49" s="97">
        <v>7.05</v>
      </c>
      <c r="G49" s="946"/>
      <c r="H49" s="95"/>
      <c r="I49" s="946"/>
    </row>
    <row r="50" spans="1:9" x14ac:dyDescent="0.25">
      <c r="A50" s="215">
        <v>42805</v>
      </c>
      <c r="B50" s="349" t="s">
        <v>14</v>
      </c>
      <c r="C50" s="350" t="s">
        <v>12</v>
      </c>
      <c r="D50" s="350" t="s">
        <v>1486</v>
      </c>
      <c r="E50" s="757" t="s">
        <v>13</v>
      </c>
      <c r="F50" s="97">
        <v>12</v>
      </c>
      <c r="G50" s="946"/>
      <c r="H50" s="95"/>
      <c r="I50" s="946"/>
    </row>
    <row r="51" spans="1:9" x14ac:dyDescent="0.25">
      <c r="A51" s="215">
        <v>42806</v>
      </c>
      <c r="B51" s="349" t="s">
        <v>14</v>
      </c>
      <c r="C51" s="350" t="s">
        <v>12</v>
      </c>
      <c r="D51" s="350" t="s">
        <v>1486</v>
      </c>
      <c r="E51" s="757" t="s">
        <v>13</v>
      </c>
      <c r="F51" s="97">
        <v>18.36</v>
      </c>
      <c r="G51" s="946"/>
      <c r="H51" s="95"/>
      <c r="I51" s="946"/>
    </row>
    <row r="52" spans="1:9" s="224" customFormat="1" x14ac:dyDescent="0.25">
      <c r="A52" s="215">
        <v>42807</v>
      </c>
      <c r="B52" s="862" t="s">
        <v>32</v>
      </c>
      <c r="C52" s="350" t="s">
        <v>12</v>
      </c>
      <c r="D52" s="350" t="s">
        <v>1485</v>
      </c>
      <c r="E52" s="757" t="s">
        <v>15</v>
      </c>
      <c r="F52" s="97">
        <v>13</v>
      </c>
      <c r="G52" s="946"/>
      <c r="H52" s="97"/>
      <c r="I52" s="946"/>
    </row>
    <row r="53" spans="1:9" s="224" customFormat="1" x14ac:dyDescent="0.25">
      <c r="A53" s="215">
        <v>42807</v>
      </c>
      <c r="B53" s="349" t="s">
        <v>134</v>
      </c>
      <c r="C53" s="350" t="s">
        <v>12</v>
      </c>
      <c r="D53" s="350" t="s">
        <v>1493</v>
      </c>
      <c r="E53" s="757" t="s">
        <v>13</v>
      </c>
      <c r="F53" s="97">
        <v>50.97</v>
      </c>
      <c r="G53" s="946"/>
      <c r="H53" s="97"/>
      <c r="I53" s="946"/>
    </row>
    <row r="54" spans="1:9" s="224" customFormat="1" x14ac:dyDescent="0.25">
      <c r="A54" s="215">
        <v>42807</v>
      </c>
      <c r="B54" s="862" t="s">
        <v>256</v>
      </c>
      <c r="C54" s="879"/>
      <c r="D54" s="879"/>
      <c r="E54" s="1510"/>
      <c r="F54" s="97"/>
      <c r="G54" s="946">
        <v>215</v>
      </c>
      <c r="H54" s="97">
        <v>215</v>
      </c>
      <c r="I54" s="946"/>
    </row>
    <row r="55" spans="1:9" x14ac:dyDescent="0.25">
      <c r="A55" s="215">
        <v>42808</v>
      </c>
      <c r="B55" s="873" t="s">
        <v>1455</v>
      </c>
      <c r="C55" s="879" t="s">
        <v>12</v>
      </c>
      <c r="D55" s="879" t="s">
        <v>1487</v>
      </c>
      <c r="E55" s="871" t="s">
        <v>15</v>
      </c>
      <c r="F55" s="97">
        <v>60</v>
      </c>
      <c r="G55" s="946"/>
      <c r="H55" s="97"/>
      <c r="I55" s="946"/>
    </row>
    <row r="56" spans="1:9" s="224" customFormat="1" x14ac:dyDescent="0.25">
      <c r="A56" s="215">
        <v>42808</v>
      </c>
      <c r="B56" s="862" t="s">
        <v>32</v>
      </c>
      <c r="C56" s="350" t="s">
        <v>12</v>
      </c>
      <c r="D56" s="350" t="s">
        <v>1485</v>
      </c>
      <c r="E56" s="757" t="s">
        <v>13</v>
      </c>
      <c r="F56" s="97">
        <v>13</v>
      </c>
      <c r="G56" s="946"/>
      <c r="H56" s="97"/>
      <c r="I56" s="946"/>
    </row>
    <row r="57" spans="1:9" s="224" customFormat="1" x14ac:dyDescent="0.25">
      <c r="A57" s="215">
        <v>42808</v>
      </c>
      <c r="B57" s="349" t="s">
        <v>14</v>
      </c>
      <c r="C57" s="350" t="s">
        <v>12</v>
      </c>
      <c r="D57" s="350" t="s">
        <v>1486</v>
      </c>
      <c r="E57" s="757" t="s">
        <v>13</v>
      </c>
      <c r="F57" s="97">
        <v>9.99</v>
      </c>
      <c r="G57" s="946"/>
      <c r="H57" s="97"/>
      <c r="I57" s="946"/>
    </row>
    <row r="58" spans="1:9" s="224" customFormat="1" x14ac:dyDescent="0.25">
      <c r="A58" s="215">
        <v>42808</v>
      </c>
      <c r="B58" s="349" t="s">
        <v>1294</v>
      </c>
      <c r="C58" s="350" t="s">
        <v>12</v>
      </c>
      <c r="D58" s="350" t="s">
        <v>1491</v>
      </c>
      <c r="E58" s="757" t="s">
        <v>13</v>
      </c>
      <c r="F58" s="97">
        <v>83.98</v>
      </c>
      <c r="G58" s="946"/>
      <c r="H58" s="97"/>
      <c r="I58" s="946"/>
    </row>
    <row r="59" spans="1:9" ht="15" customHeight="1" x14ac:dyDescent="0.25">
      <c r="A59" s="215">
        <v>42809</v>
      </c>
      <c r="B59" s="349" t="s">
        <v>1396</v>
      </c>
      <c r="C59" s="350" t="s">
        <v>12</v>
      </c>
      <c r="D59" s="350"/>
      <c r="E59" s="757" t="s">
        <v>25</v>
      </c>
      <c r="F59" s="97"/>
      <c r="G59" s="946">
        <v>40</v>
      </c>
      <c r="H59" s="97"/>
      <c r="I59" s="946"/>
    </row>
    <row r="60" spans="1:9" s="224" customFormat="1" x14ac:dyDescent="0.25">
      <c r="A60" s="215">
        <v>42809</v>
      </c>
      <c r="B60" s="862" t="s">
        <v>32</v>
      </c>
      <c r="C60" s="350" t="s">
        <v>12</v>
      </c>
      <c r="D60" s="350" t="s">
        <v>1485</v>
      </c>
      <c r="E60" s="757" t="s">
        <v>15</v>
      </c>
      <c r="F60" s="97">
        <v>13</v>
      </c>
      <c r="G60" s="946"/>
      <c r="H60" s="97"/>
      <c r="I60" s="946"/>
    </row>
    <row r="61" spans="1:9" s="224" customFormat="1" x14ac:dyDescent="0.25">
      <c r="A61" s="215">
        <v>42809</v>
      </c>
      <c r="B61" s="349" t="s">
        <v>14</v>
      </c>
      <c r="C61" s="350" t="s">
        <v>12</v>
      </c>
      <c r="D61" s="350" t="s">
        <v>1486</v>
      </c>
      <c r="E61" s="757" t="s">
        <v>13</v>
      </c>
      <c r="F61" s="97">
        <v>3.37</v>
      </c>
      <c r="G61" s="946"/>
      <c r="H61" s="97"/>
      <c r="I61" s="946"/>
    </row>
    <row r="62" spans="1:9" s="224" customFormat="1" x14ac:dyDescent="0.25">
      <c r="A62" s="215">
        <v>42810</v>
      </c>
      <c r="B62" s="862" t="s">
        <v>32</v>
      </c>
      <c r="C62" s="350" t="s">
        <v>12</v>
      </c>
      <c r="D62" s="350" t="s">
        <v>1485</v>
      </c>
      <c r="E62" s="757" t="s">
        <v>15</v>
      </c>
      <c r="F62" s="97">
        <v>13</v>
      </c>
      <c r="G62" s="946"/>
      <c r="H62" s="97"/>
      <c r="I62" s="946"/>
    </row>
    <row r="63" spans="1:9" s="224" customFormat="1" x14ac:dyDescent="0.25">
      <c r="A63" s="215">
        <v>42810</v>
      </c>
      <c r="B63" s="349" t="s">
        <v>14</v>
      </c>
      <c r="C63" s="350" t="s">
        <v>12</v>
      </c>
      <c r="D63" s="350" t="s">
        <v>1486</v>
      </c>
      <c r="E63" s="757" t="s">
        <v>13</v>
      </c>
      <c r="F63" s="97">
        <v>6.5</v>
      </c>
      <c r="G63" s="946"/>
      <c r="H63" s="97"/>
      <c r="I63" s="946"/>
    </row>
    <row r="64" spans="1:9" s="224" customFormat="1" x14ac:dyDescent="0.25">
      <c r="A64" s="215">
        <v>42811</v>
      </c>
      <c r="B64" s="862" t="s">
        <v>32</v>
      </c>
      <c r="C64" s="350" t="s">
        <v>12</v>
      </c>
      <c r="D64" s="350" t="s">
        <v>1485</v>
      </c>
      <c r="E64" s="757" t="s">
        <v>15</v>
      </c>
      <c r="F64" s="97">
        <v>13</v>
      </c>
      <c r="G64" s="946"/>
      <c r="H64" s="97"/>
      <c r="I64" s="946"/>
    </row>
    <row r="65" spans="1:9" s="224" customFormat="1" x14ac:dyDescent="0.25">
      <c r="A65" s="215">
        <v>42811</v>
      </c>
      <c r="B65" s="349" t="s">
        <v>14</v>
      </c>
      <c r="C65" s="350" t="s">
        <v>12</v>
      </c>
      <c r="D65" s="350" t="s">
        <v>1486</v>
      </c>
      <c r="E65" s="757" t="s">
        <v>13</v>
      </c>
      <c r="F65" s="97">
        <v>10.33</v>
      </c>
      <c r="G65" s="946"/>
      <c r="H65" s="97"/>
      <c r="I65" s="946"/>
    </row>
    <row r="66" spans="1:9" s="224" customFormat="1" x14ac:dyDescent="0.25">
      <c r="A66" s="215">
        <v>42811</v>
      </c>
      <c r="B66" s="349" t="s">
        <v>134</v>
      </c>
      <c r="C66" s="350" t="s">
        <v>12</v>
      </c>
      <c r="D66" s="350" t="s">
        <v>1493</v>
      </c>
      <c r="E66" s="757" t="s">
        <v>13</v>
      </c>
      <c r="F66" s="97">
        <v>40</v>
      </c>
      <c r="G66" s="946"/>
      <c r="H66" s="97"/>
      <c r="I66" s="946"/>
    </row>
    <row r="67" spans="1:9" s="224" customFormat="1" x14ac:dyDescent="0.25">
      <c r="A67" s="215">
        <v>42811</v>
      </c>
      <c r="B67" s="349" t="s">
        <v>1561</v>
      </c>
      <c r="C67" s="350" t="s">
        <v>12</v>
      </c>
      <c r="D67" s="350" t="s">
        <v>1489</v>
      </c>
      <c r="E67" s="757" t="s">
        <v>13</v>
      </c>
      <c r="F67" s="97">
        <v>5.5</v>
      </c>
      <c r="G67" s="946"/>
      <c r="H67" s="97"/>
      <c r="I67" s="946"/>
    </row>
    <row r="68" spans="1:9" s="224" customFormat="1" x14ac:dyDescent="0.25">
      <c r="A68" s="215">
        <v>42811</v>
      </c>
      <c r="B68" s="349" t="s">
        <v>311</v>
      </c>
      <c r="C68" s="350"/>
      <c r="D68" s="350"/>
      <c r="E68" s="757"/>
      <c r="G68" s="946"/>
      <c r="H68" s="97"/>
      <c r="I68" s="946">
        <v>10.8</v>
      </c>
    </row>
    <row r="69" spans="1:9" s="224" customFormat="1" x14ac:dyDescent="0.25">
      <c r="A69" s="215">
        <v>42812</v>
      </c>
      <c r="B69" s="862" t="s">
        <v>32</v>
      </c>
      <c r="C69" s="350" t="s">
        <v>12</v>
      </c>
      <c r="D69" s="350" t="s">
        <v>1485</v>
      </c>
      <c r="E69" s="757" t="s">
        <v>13</v>
      </c>
      <c r="F69" s="97">
        <v>14.5</v>
      </c>
      <c r="G69" s="946"/>
      <c r="H69" s="97"/>
      <c r="I69" s="946"/>
    </row>
    <row r="70" spans="1:9" s="224" customFormat="1" x14ac:dyDescent="0.25">
      <c r="A70" s="215">
        <v>42812</v>
      </c>
      <c r="B70" s="349" t="s">
        <v>82</v>
      </c>
      <c r="C70" s="350" t="s">
        <v>12</v>
      </c>
      <c r="D70" s="350" t="s">
        <v>1493</v>
      </c>
      <c r="E70" s="757" t="s">
        <v>13</v>
      </c>
      <c r="F70" s="97">
        <v>29</v>
      </c>
      <c r="G70" s="946"/>
      <c r="H70" s="97"/>
      <c r="I70" s="946"/>
    </row>
    <row r="71" spans="1:9" s="224" customFormat="1" x14ac:dyDescent="0.25">
      <c r="A71" s="215">
        <v>42813</v>
      </c>
      <c r="B71" s="873" t="s">
        <v>14</v>
      </c>
      <c r="C71" s="350" t="s">
        <v>12</v>
      </c>
      <c r="D71" s="350" t="s">
        <v>1486</v>
      </c>
      <c r="E71" s="757" t="s">
        <v>13</v>
      </c>
      <c r="F71" s="97">
        <v>28.09</v>
      </c>
      <c r="G71" s="946"/>
      <c r="H71" s="97"/>
      <c r="I71" s="946"/>
    </row>
    <row r="72" spans="1:9" s="224" customFormat="1" ht="15" customHeight="1" x14ac:dyDescent="0.25">
      <c r="A72" s="215">
        <v>42814</v>
      </c>
      <c r="B72" s="882" t="s">
        <v>1562</v>
      </c>
      <c r="C72" s="350" t="s">
        <v>12</v>
      </c>
      <c r="D72" s="879"/>
      <c r="E72" s="871" t="s">
        <v>15</v>
      </c>
      <c r="F72" s="97"/>
      <c r="G72" s="946">
        <v>1510.31</v>
      </c>
      <c r="H72" s="95"/>
      <c r="I72" s="1473"/>
    </row>
    <row r="73" spans="1:9" s="224" customFormat="1" x14ac:dyDescent="0.25">
      <c r="A73" s="215">
        <v>42814</v>
      </c>
      <c r="B73" s="882" t="s">
        <v>1563</v>
      </c>
      <c r="C73" s="879" t="s">
        <v>12</v>
      </c>
      <c r="D73" s="879" t="s">
        <v>1515</v>
      </c>
      <c r="E73" s="871" t="s">
        <v>13</v>
      </c>
      <c r="F73" s="97">
        <v>568.53</v>
      </c>
      <c r="G73" s="946"/>
      <c r="H73" s="95"/>
      <c r="I73" s="1473"/>
    </row>
    <row r="74" spans="1:9" s="224" customFormat="1" x14ac:dyDescent="0.25">
      <c r="A74" s="215">
        <v>42814</v>
      </c>
      <c r="B74" s="873" t="s">
        <v>1564</v>
      </c>
      <c r="C74" s="879" t="s">
        <v>12</v>
      </c>
      <c r="D74" s="879" t="s">
        <v>1491</v>
      </c>
      <c r="E74" s="871" t="s">
        <v>15</v>
      </c>
      <c r="F74" s="97">
        <v>100</v>
      </c>
      <c r="G74" s="946"/>
      <c r="H74" s="97"/>
      <c r="I74" s="946"/>
    </row>
    <row r="75" spans="1:9" s="224" customFormat="1" x14ac:dyDescent="0.25">
      <c r="A75" s="215">
        <v>42814</v>
      </c>
      <c r="B75" s="862" t="s">
        <v>32</v>
      </c>
      <c r="C75" s="350" t="s">
        <v>12</v>
      </c>
      <c r="D75" s="350" t="s">
        <v>1485</v>
      </c>
      <c r="E75" s="757" t="s">
        <v>15</v>
      </c>
      <c r="F75" s="97">
        <v>13</v>
      </c>
      <c r="G75" s="946"/>
      <c r="H75" s="97"/>
      <c r="I75" s="946"/>
    </row>
    <row r="76" spans="1:9" s="224" customFormat="1" ht="15" customHeight="1" x14ac:dyDescent="0.25">
      <c r="A76" s="215">
        <v>42814</v>
      </c>
      <c r="B76" s="349" t="s">
        <v>260</v>
      </c>
      <c r="C76" s="350"/>
      <c r="D76" s="350"/>
      <c r="E76" s="757"/>
      <c r="F76" s="97">
        <v>147.72999999999999</v>
      </c>
      <c r="G76" s="946"/>
      <c r="H76" s="95"/>
      <c r="I76" s="946">
        <v>147.72999999999999</v>
      </c>
    </row>
    <row r="77" spans="1:9" x14ac:dyDescent="0.25">
      <c r="A77" s="215">
        <v>42814</v>
      </c>
      <c r="B77" s="873" t="s">
        <v>14</v>
      </c>
      <c r="C77" s="350" t="s">
        <v>12</v>
      </c>
      <c r="D77" s="350" t="s">
        <v>1486</v>
      </c>
      <c r="E77" s="757" t="s">
        <v>13</v>
      </c>
      <c r="F77" s="97">
        <v>22.49</v>
      </c>
      <c r="G77" s="946"/>
      <c r="H77" s="95"/>
      <c r="I77" s="946"/>
    </row>
    <row r="78" spans="1:9" x14ac:dyDescent="0.25">
      <c r="A78" s="215">
        <v>42814</v>
      </c>
      <c r="B78" s="873" t="s">
        <v>1331</v>
      </c>
      <c r="C78" s="350" t="s">
        <v>12</v>
      </c>
      <c r="D78" s="350" t="s">
        <v>1487</v>
      </c>
      <c r="E78" s="757" t="s">
        <v>15</v>
      </c>
      <c r="F78" s="97">
        <v>10</v>
      </c>
      <c r="G78" s="946"/>
      <c r="H78" s="95"/>
      <c r="I78" s="946"/>
    </row>
    <row r="79" spans="1:9" s="224" customFormat="1" x14ac:dyDescent="0.25">
      <c r="A79" s="215">
        <v>42814</v>
      </c>
      <c r="B79" s="862" t="s">
        <v>256</v>
      </c>
      <c r="C79" s="879"/>
      <c r="D79" s="879"/>
      <c r="E79" s="1510"/>
      <c r="F79" s="97"/>
      <c r="G79" s="946">
        <v>1700.5</v>
      </c>
      <c r="H79" s="97">
        <v>1700.5</v>
      </c>
      <c r="I79" s="946"/>
    </row>
    <row r="80" spans="1:9" s="224" customFormat="1" x14ac:dyDescent="0.25">
      <c r="A80" s="215">
        <v>42815</v>
      </c>
      <c r="B80" s="862" t="s">
        <v>32</v>
      </c>
      <c r="C80" s="350" t="s">
        <v>12</v>
      </c>
      <c r="D80" s="350" t="s">
        <v>1485</v>
      </c>
      <c r="E80" s="757" t="s">
        <v>15</v>
      </c>
      <c r="F80" s="97">
        <v>13</v>
      </c>
      <c r="G80" s="946"/>
      <c r="H80" s="95"/>
      <c r="I80" s="1473"/>
    </row>
    <row r="81" spans="1:9" s="224" customFormat="1" x14ac:dyDescent="0.25">
      <c r="A81" s="215">
        <v>42815</v>
      </c>
      <c r="B81" s="882" t="s">
        <v>1565</v>
      </c>
      <c r="C81" s="879" t="s">
        <v>12</v>
      </c>
      <c r="D81" s="879" t="s">
        <v>1515</v>
      </c>
      <c r="E81" s="871" t="s">
        <v>13</v>
      </c>
      <c r="F81" s="97">
        <v>1627.73</v>
      </c>
      <c r="G81" s="946"/>
      <c r="H81" s="95"/>
      <c r="I81" s="1473"/>
    </row>
    <row r="82" spans="1:9" s="224" customFormat="1" x14ac:dyDescent="0.25">
      <c r="A82" s="215">
        <v>42815</v>
      </c>
      <c r="B82" s="862" t="s">
        <v>1566</v>
      </c>
      <c r="C82" s="350" t="s">
        <v>19</v>
      </c>
      <c r="D82" s="350" t="s">
        <v>1491</v>
      </c>
      <c r="E82" s="757" t="s">
        <v>13</v>
      </c>
      <c r="F82" s="97">
        <v>90</v>
      </c>
      <c r="G82" s="946"/>
      <c r="H82" s="95"/>
      <c r="I82" s="1473"/>
    </row>
    <row r="83" spans="1:9" s="224" customFormat="1" x14ac:dyDescent="0.25">
      <c r="A83" s="215">
        <v>42815</v>
      </c>
      <c r="B83" s="862" t="s">
        <v>1378</v>
      </c>
      <c r="C83" s="350" t="s">
        <v>19</v>
      </c>
      <c r="D83" s="350" t="s">
        <v>1491</v>
      </c>
      <c r="E83" s="757" t="s">
        <v>15</v>
      </c>
      <c r="F83" s="97">
        <v>40</v>
      </c>
      <c r="G83" s="946"/>
      <c r="H83" s="95"/>
      <c r="I83" s="1473"/>
    </row>
    <row r="84" spans="1:9" x14ac:dyDescent="0.25">
      <c r="A84" s="1052">
        <v>42815</v>
      </c>
      <c r="B84" s="873" t="s">
        <v>1455</v>
      </c>
      <c r="C84" s="879" t="s">
        <v>12</v>
      </c>
      <c r="D84" s="879" t="s">
        <v>1487</v>
      </c>
      <c r="E84" s="871" t="s">
        <v>15</v>
      </c>
      <c r="F84" s="97">
        <v>60</v>
      </c>
      <c r="G84" s="946"/>
      <c r="H84" s="97"/>
      <c r="I84" s="946"/>
    </row>
    <row r="85" spans="1:9" s="224" customFormat="1" x14ac:dyDescent="0.25">
      <c r="A85" s="215">
        <v>42816</v>
      </c>
      <c r="B85" s="862" t="s">
        <v>32</v>
      </c>
      <c r="C85" s="350" t="s">
        <v>12</v>
      </c>
      <c r="D85" s="350" t="s">
        <v>1485</v>
      </c>
      <c r="E85" s="757" t="s">
        <v>15</v>
      </c>
      <c r="F85" s="97">
        <v>13</v>
      </c>
      <c r="G85" s="946"/>
      <c r="H85" s="95"/>
      <c r="I85" s="1473"/>
    </row>
    <row r="86" spans="1:9" s="224" customFormat="1" x14ac:dyDescent="0.25">
      <c r="A86" s="215">
        <v>42817</v>
      </c>
      <c r="B86" s="862" t="s">
        <v>32</v>
      </c>
      <c r="C86" s="350" t="s">
        <v>12</v>
      </c>
      <c r="D86" s="350" t="s">
        <v>1485</v>
      </c>
      <c r="E86" s="757" t="s">
        <v>15</v>
      </c>
      <c r="F86" s="97">
        <v>13</v>
      </c>
      <c r="G86" s="946"/>
      <c r="H86" s="95"/>
      <c r="I86" s="1473"/>
    </row>
    <row r="87" spans="1:9" x14ac:dyDescent="0.25">
      <c r="A87" s="215">
        <v>42817</v>
      </c>
      <c r="B87" s="873" t="s">
        <v>14</v>
      </c>
      <c r="C87" s="350" t="s">
        <v>12</v>
      </c>
      <c r="D87" s="350" t="s">
        <v>1486</v>
      </c>
      <c r="E87" s="757" t="s">
        <v>13</v>
      </c>
      <c r="F87" s="97">
        <v>21.5</v>
      </c>
      <c r="G87" s="946"/>
      <c r="H87" s="95"/>
      <c r="I87" s="946"/>
    </row>
    <row r="88" spans="1:9" s="224" customFormat="1" ht="15" customHeight="1" x14ac:dyDescent="0.25">
      <c r="A88" s="215">
        <v>42818</v>
      </c>
      <c r="B88" s="862" t="s">
        <v>256</v>
      </c>
      <c r="C88" s="879"/>
      <c r="D88" s="879"/>
      <c r="E88" s="1510"/>
      <c r="F88" s="97"/>
      <c r="G88" s="946">
        <v>200</v>
      </c>
      <c r="H88" s="97">
        <v>200</v>
      </c>
      <c r="I88" s="946"/>
    </row>
    <row r="89" spans="1:9" s="224" customFormat="1" x14ac:dyDescent="0.25">
      <c r="A89" s="215">
        <v>42818</v>
      </c>
      <c r="B89" s="862" t="s">
        <v>1377</v>
      </c>
      <c r="C89" s="350" t="s">
        <v>12</v>
      </c>
      <c r="D89" s="874" t="s">
        <v>1504</v>
      </c>
      <c r="E89" s="870" t="s">
        <v>13</v>
      </c>
      <c r="F89" s="97">
        <v>58.9</v>
      </c>
      <c r="G89" s="946"/>
      <c r="H89" s="95"/>
      <c r="I89" s="1473"/>
    </row>
    <row r="90" spans="1:9" s="224" customFormat="1" x14ac:dyDescent="0.25">
      <c r="A90" s="215">
        <v>42818</v>
      </c>
      <c r="B90" s="862" t="s">
        <v>32</v>
      </c>
      <c r="C90" s="350" t="s">
        <v>12</v>
      </c>
      <c r="D90" s="350" t="s">
        <v>1485</v>
      </c>
      <c r="E90" s="757" t="s">
        <v>15</v>
      </c>
      <c r="F90" s="97">
        <v>13</v>
      </c>
      <c r="G90" s="946"/>
      <c r="H90" s="95"/>
      <c r="I90" s="1473"/>
    </row>
    <row r="91" spans="1:9" x14ac:dyDescent="0.25">
      <c r="A91" s="215">
        <v>42818</v>
      </c>
      <c r="B91" s="873" t="s">
        <v>14</v>
      </c>
      <c r="C91" s="350" t="s">
        <v>12</v>
      </c>
      <c r="D91" s="350" t="s">
        <v>1486</v>
      </c>
      <c r="E91" s="757" t="s">
        <v>13</v>
      </c>
      <c r="F91" s="97">
        <v>6.42</v>
      </c>
      <c r="G91" s="946"/>
      <c r="H91" s="95"/>
      <c r="I91" s="946"/>
    </row>
    <row r="92" spans="1:9" s="224" customFormat="1" x14ac:dyDescent="0.25">
      <c r="A92" s="215">
        <v>42819</v>
      </c>
      <c r="B92" s="862" t="s">
        <v>32</v>
      </c>
      <c r="C92" s="350" t="s">
        <v>12</v>
      </c>
      <c r="D92" s="350" t="s">
        <v>1485</v>
      </c>
      <c r="E92" s="757" t="s">
        <v>15</v>
      </c>
      <c r="F92" s="97">
        <v>14.5</v>
      </c>
      <c r="G92" s="946"/>
      <c r="H92" s="95"/>
      <c r="I92" s="1473"/>
    </row>
    <row r="93" spans="1:9" s="224" customFormat="1" x14ac:dyDescent="0.25">
      <c r="A93" s="215">
        <v>42819</v>
      </c>
      <c r="B93" s="862" t="s">
        <v>14</v>
      </c>
      <c r="C93" s="350" t="s">
        <v>12</v>
      </c>
      <c r="D93" s="350" t="s">
        <v>1486</v>
      </c>
      <c r="E93" s="757" t="s">
        <v>13</v>
      </c>
      <c r="F93" s="97">
        <v>17.489999999999998</v>
      </c>
      <c r="G93" s="946"/>
      <c r="H93" s="95"/>
      <c r="I93" s="1473"/>
    </row>
    <row r="94" spans="1:9" s="224" customFormat="1" x14ac:dyDescent="0.25">
      <c r="A94" s="215">
        <v>42819</v>
      </c>
      <c r="B94" s="862" t="s">
        <v>1567</v>
      </c>
      <c r="C94" s="350" t="s">
        <v>12</v>
      </c>
      <c r="D94" s="350" t="s">
        <v>1489</v>
      </c>
      <c r="E94" s="757" t="s">
        <v>13</v>
      </c>
      <c r="F94" s="97">
        <v>20.88</v>
      </c>
      <c r="G94" s="946"/>
      <c r="H94" s="95"/>
      <c r="I94" s="1473"/>
    </row>
    <row r="95" spans="1:9" s="224" customFormat="1" x14ac:dyDescent="0.25">
      <c r="A95" s="215">
        <v>42819</v>
      </c>
      <c r="B95" s="862" t="s">
        <v>134</v>
      </c>
      <c r="C95" s="350" t="s">
        <v>12</v>
      </c>
      <c r="D95" s="350" t="s">
        <v>1493</v>
      </c>
      <c r="E95" s="757" t="s">
        <v>13</v>
      </c>
      <c r="F95" s="97">
        <v>11.63</v>
      </c>
      <c r="G95" s="946"/>
      <c r="H95" s="95"/>
      <c r="I95" s="1473"/>
    </row>
    <row r="96" spans="1:9" s="224" customFormat="1" x14ac:dyDescent="0.25">
      <c r="A96" s="215">
        <v>42820</v>
      </c>
      <c r="B96" s="862" t="s">
        <v>1331</v>
      </c>
      <c r="C96" s="879" t="s">
        <v>12</v>
      </c>
      <c r="D96" s="879" t="s">
        <v>1487</v>
      </c>
      <c r="E96" s="1510" t="s">
        <v>15</v>
      </c>
      <c r="F96" s="97">
        <v>50</v>
      </c>
      <c r="G96" s="946"/>
      <c r="H96" s="95"/>
      <c r="I96" s="1473"/>
    </row>
    <row r="97" spans="1:9" x14ac:dyDescent="0.25">
      <c r="A97" s="215">
        <v>42820</v>
      </c>
      <c r="B97" s="873" t="s">
        <v>14</v>
      </c>
      <c r="C97" s="350" t="s">
        <v>12</v>
      </c>
      <c r="D97" s="350" t="s">
        <v>1486</v>
      </c>
      <c r="E97" s="757" t="s">
        <v>15</v>
      </c>
      <c r="F97" s="97">
        <v>13.77</v>
      </c>
      <c r="G97" s="946"/>
      <c r="H97" s="95"/>
      <c r="I97" s="946"/>
    </row>
    <row r="98" spans="1:9" s="224" customFormat="1" x14ac:dyDescent="0.25">
      <c r="A98" s="215">
        <v>42821</v>
      </c>
      <c r="B98" s="862" t="s">
        <v>32</v>
      </c>
      <c r="C98" s="350" t="s">
        <v>12</v>
      </c>
      <c r="D98" s="350" t="s">
        <v>1485</v>
      </c>
      <c r="E98" s="757" t="s">
        <v>13</v>
      </c>
      <c r="F98" s="97">
        <v>13</v>
      </c>
      <c r="G98" s="946"/>
      <c r="H98" s="95"/>
      <c r="I98" s="1473"/>
    </row>
    <row r="99" spans="1:9" x14ac:dyDescent="0.25">
      <c r="A99" s="215">
        <v>42821</v>
      </c>
      <c r="B99" s="349" t="s">
        <v>1568</v>
      </c>
      <c r="C99" s="350" t="s">
        <v>12</v>
      </c>
      <c r="D99" s="350" t="s">
        <v>1522</v>
      </c>
      <c r="E99" s="757" t="s">
        <v>13</v>
      </c>
      <c r="F99" s="97">
        <v>16.5</v>
      </c>
      <c r="G99" s="946"/>
      <c r="H99" s="95"/>
      <c r="I99" s="946"/>
    </row>
    <row r="100" spans="1:9" s="224" customFormat="1" x14ac:dyDescent="0.25">
      <c r="A100" s="215">
        <v>42822</v>
      </c>
      <c r="B100" s="862" t="s">
        <v>32</v>
      </c>
      <c r="C100" s="350" t="s">
        <v>12</v>
      </c>
      <c r="D100" s="350" t="s">
        <v>1485</v>
      </c>
      <c r="E100" s="757" t="s">
        <v>15</v>
      </c>
      <c r="F100" s="97">
        <v>13</v>
      </c>
      <c r="G100" s="946"/>
      <c r="H100" s="95"/>
      <c r="I100" s="1473"/>
    </row>
    <row r="101" spans="1:9" x14ac:dyDescent="0.25">
      <c r="A101" s="1052">
        <v>42822</v>
      </c>
      <c r="B101" s="873" t="s">
        <v>1455</v>
      </c>
      <c r="C101" s="879" t="s">
        <v>12</v>
      </c>
      <c r="D101" s="879" t="s">
        <v>1487</v>
      </c>
      <c r="E101" s="871" t="s">
        <v>15</v>
      </c>
      <c r="F101" s="97">
        <v>60</v>
      </c>
      <c r="G101" s="946"/>
      <c r="H101" s="97"/>
      <c r="I101" s="946"/>
    </row>
    <row r="102" spans="1:9" s="224" customFormat="1" x14ac:dyDescent="0.25">
      <c r="A102" s="215">
        <v>42822</v>
      </c>
      <c r="B102" s="862" t="s">
        <v>32</v>
      </c>
      <c r="C102" s="350" t="s">
        <v>12</v>
      </c>
      <c r="D102" s="350" t="s">
        <v>1485</v>
      </c>
      <c r="E102" s="757" t="s">
        <v>13</v>
      </c>
      <c r="F102" s="97">
        <v>13</v>
      </c>
      <c r="G102" s="946"/>
      <c r="H102" s="95"/>
      <c r="I102" s="1473"/>
    </row>
    <row r="103" spans="1:9" x14ac:dyDescent="0.25">
      <c r="A103" s="215">
        <v>42822</v>
      </c>
      <c r="B103" s="873" t="s">
        <v>14</v>
      </c>
      <c r="C103" s="350" t="s">
        <v>12</v>
      </c>
      <c r="D103" s="350" t="s">
        <v>1486</v>
      </c>
      <c r="E103" s="757" t="s">
        <v>15</v>
      </c>
      <c r="F103" s="97">
        <v>9.69</v>
      </c>
      <c r="G103" s="946"/>
      <c r="H103" s="95"/>
      <c r="I103" s="946"/>
    </row>
    <row r="104" spans="1:9" s="224" customFormat="1" x14ac:dyDescent="0.25">
      <c r="A104" s="215">
        <v>42822</v>
      </c>
      <c r="B104" s="862" t="s">
        <v>1548</v>
      </c>
      <c r="C104" s="879" t="s">
        <v>19</v>
      </c>
      <c r="D104" s="879" t="s">
        <v>1491</v>
      </c>
      <c r="E104" s="1510" t="s">
        <v>13</v>
      </c>
      <c r="F104" s="97">
        <v>37.950000000000003</v>
      </c>
      <c r="G104" s="946"/>
      <c r="H104" s="95"/>
      <c r="I104" s="1473"/>
    </row>
    <row r="105" spans="1:9" s="224" customFormat="1" ht="15" customHeight="1" x14ac:dyDescent="0.25">
      <c r="A105" s="215">
        <v>42823</v>
      </c>
      <c r="B105" s="862" t="s">
        <v>256</v>
      </c>
      <c r="C105" s="879"/>
      <c r="D105" s="879"/>
      <c r="E105" s="1510"/>
      <c r="F105" s="97"/>
      <c r="G105" s="946">
        <v>100</v>
      </c>
      <c r="H105" s="97">
        <v>100</v>
      </c>
      <c r="I105" s="946"/>
    </row>
    <row r="106" spans="1:9" s="224" customFormat="1" x14ac:dyDescent="0.25">
      <c r="A106" s="215">
        <v>42823</v>
      </c>
      <c r="B106" s="862" t="s">
        <v>32</v>
      </c>
      <c r="C106" s="350" t="s">
        <v>12</v>
      </c>
      <c r="D106" s="350" t="s">
        <v>1485</v>
      </c>
      <c r="E106" s="757" t="s">
        <v>13</v>
      </c>
      <c r="F106" s="97">
        <v>13</v>
      </c>
      <c r="G106" s="946"/>
      <c r="H106" s="95"/>
      <c r="I106" s="1473"/>
    </row>
    <row r="107" spans="1:9" x14ac:dyDescent="0.25">
      <c r="A107" s="215">
        <v>42823</v>
      </c>
      <c r="B107" s="873" t="s">
        <v>14</v>
      </c>
      <c r="C107" s="350" t="s">
        <v>12</v>
      </c>
      <c r="D107" s="350" t="s">
        <v>1486</v>
      </c>
      <c r="E107" s="757" t="s">
        <v>15</v>
      </c>
      <c r="F107" s="97">
        <v>15.92</v>
      </c>
      <c r="G107" s="946"/>
      <c r="H107" s="95"/>
      <c r="I107" s="946"/>
    </row>
    <row r="108" spans="1:9" s="224" customFormat="1" x14ac:dyDescent="0.25">
      <c r="A108" s="215">
        <v>42824</v>
      </c>
      <c r="B108" s="862" t="s">
        <v>32</v>
      </c>
      <c r="C108" s="350" t="s">
        <v>12</v>
      </c>
      <c r="D108" s="350" t="s">
        <v>1485</v>
      </c>
      <c r="E108" s="757" t="s">
        <v>13</v>
      </c>
      <c r="F108" s="97">
        <v>13</v>
      </c>
      <c r="G108" s="946"/>
      <c r="H108" s="95"/>
      <c r="I108" s="1473"/>
    </row>
    <row r="109" spans="1:9" s="224" customFormat="1" x14ac:dyDescent="0.25">
      <c r="A109" s="215">
        <v>42824</v>
      </c>
      <c r="B109" s="862" t="s">
        <v>134</v>
      </c>
      <c r="C109" s="350" t="s">
        <v>12</v>
      </c>
      <c r="D109" s="350" t="s">
        <v>1493</v>
      </c>
      <c r="E109" s="757" t="s">
        <v>13</v>
      </c>
      <c r="F109" s="97">
        <v>8</v>
      </c>
      <c r="G109" s="946"/>
      <c r="H109" s="95"/>
      <c r="I109" s="1473"/>
    </row>
    <row r="110" spans="1:9" x14ac:dyDescent="0.25">
      <c r="A110" s="215">
        <v>42825</v>
      </c>
      <c r="B110" s="862" t="s">
        <v>32</v>
      </c>
      <c r="C110" s="350" t="s">
        <v>12</v>
      </c>
      <c r="D110" s="350" t="s">
        <v>1485</v>
      </c>
      <c r="E110" s="757" t="s">
        <v>13</v>
      </c>
      <c r="F110" s="97">
        <v>13</v>
      </c>
      <c r="G110" s="946"/>
      <c r="H110" s="95"/>
      <c r="I110" s="946"/>
    </row>
    <row r="111" spans="1:9" x14ac:dyDescent="0.25">
      <c r="A111" s="215">
        <v>42825</v>
      </c>
      <c r="B111" s="862" t="s">
        <v>1294</v>
      </c>
      <c r="C111" s="350" t="s">
        <v>12</v>
      </c>
      <c r="D111" s="350" t="s">
        <v>1491</v>
      </c>
      <c r="E111" s="757" t="s">
        <v>13</v>
      </c>
      <c r="F111" s="97">
        <v>83.98</v>
      </c>
      <c r="G111" s="946"/>
      <c r="H111" s="95"/>
      <c r="I111" s="946"/>
    </row>
    <row r="112" spans="1:9" s="224" customFormat="1" ht="15.75" thickBot="1" x14ac:dyDescent="0.3">
      <c r="A112" s="215">
        <v>42825</v>
      </c>
      <c r="B112" s="873" t="s">
        <v>14</v>
      </c>
      <c r="C112" s="350" t="s">
        <v>12</v>
      </c>
      <c r="D112" s="350" t="s">
        <v>1486</v>
      </c>
      <c r="E112" s="757" t="s">
        <v>15</v>
      </c>
      <c r="F112" s="97">
        <v>3.88</v>
      </c>
      <c r="G112" s="946"/>
      <c r="H112" s="95"/>
      <c r="I112" s="1473"/>
    </row>
    <row r="113" spans="1:9" ht="25.5" customHeight="1" thickBot="1" x14ac:dyDescent="0.3">
      <c r="A113" s="3120"/>
      <c r="B113" s="3121"/>
      <c r="C113" s="3121"/>
      <c r="D113" s="3121"/>
      <c r="E113" s="3122"/>
      <c r="F113" s="100">
        <f>SUM(F6:F112)</f>
        <v>5602.3799999999992</v>
      </c>
      <c r="G113" s="1065">
        <f>SUM(G5:G112)</f>
        <v>5986.7100000000046</v>
      </c>
      <c r="H113" s="101">
        <f>SUM(H6:H112)</f>
        <v>2365.5</v>
      </c>
      <c r="I113" s="93">
        <f>SUM(I5:I112)</f>
        <v>5865.496000000001</v>
      </c>
    </row>
    <row r="114" spans="1:9" ht="25.5" customHeight="1" thickBot="1" x14ac:dyDescent="0.3">
      <c r="A114" s="3117" t="s">
        <v>49</v>
      </c>
      <c r="B114" s="3118"/>
      <c r="C114" s="3118"/>
      <c r="D114" s="3118"/>
      <c r="E114" s="3119"/>
      <c r="F114" s="745"/>
      <c r="G114" s="519">
        <f>G113-F113</f>
        <v>384.33000000000538</v>
      </c>
      <c r="H114" s="555"/>
      <c r="I114" s="556">
        <f>I113-H113</f>
        <v>3499.996000000001</v>
      </c>
    </row>
    <row r="115" spans="1:9" x14ac:dyDescent="0.25">
      <c r="G115" s="89"/>
    </row>
    <row r="116" spans="1:9" x14ac:dyDescent="0.25">
      <c r="B116" s="79" t="s">
        <v>32</v>
      </c>
      <c r="C116" s="475">
        <v>355.5</v>
      </c>
      <c r="D116" s="85" t="s">
        <v>1485</v>
      </c>
    </row>
    <row r="117" spans="1:9" x14ac:dyDescent="0.25">
      <c r="B117" s="79" t="s">
        <v>1218</v>
      </c>
      <c r="C117" s="475">
        <v>360</v>
      </c>
      <c r="D117" s="85" t="s">
        <v>1487</v>
      </c>
    </row>
    <row r="118" spans="1:9" x14ac:dyDescent="0.25">
      <c r="B118" s="79" t="s">
        <v>50</v>
      </c>
      <c r="C118" s="484">
        <v>177.6</v>
      </c>
      <c r="D118" s="85" t="s">
        <v>1493</v>
      </c>
    </row>
    <row r="119" spans="1:9" s="85" customFormat="1" x14ac:dyDescent="0.25">
      <c r="A119" s="79"/>
      <c r="B119" s="79" t="s">
        <v>14</v>
      </c>
      <c r="C119" s="484">
        <v>318.19</v>
      </c>
      <c r="D119" s="85" t="s">
        <v>1486</v>
      </c>
    </row>
    <row r="120" spans="1:9" s="85" customFormat="1" x14ac:dyDescent="0.25">
      <c r="A120" s="79"/>
      <c r="B120" s="79" t="s">
        <v>51</v>
      </c>
      <c r="C120" s="475">
        <v>161.15</v>
      </c>
      <c r="D120" s="864" t="s">
        <v>1499</v>
      </c>
      <c r="E120" s="79"/>
      <c r="F120" s="89"/>
      <c r="G120" s="79"/>
      <c r="H120" s="79"/>
      <c r="I120" s="79"/>
    </row>
    <row r="121" spans="1:9" s="85" customFormat="1" x14ac:dyDescent="0.25">
      <c r="A121" s="79"/>
      <c r="B121" s="79" t="s">
        <v>52</v>
      </c>
      <c r="C121" s="475">
        <v>60</v>
      </c>
      <c r="D121" s="864" t="s">
        <v>1496</v>
      </c>
      <c r="F121" s="89"/>
      <c r="G121" s="79"/>
      <c r="H121" s="79"/>
      <c r="I121" s="79"/>
    </row>
    <row r="122" spans="1:9" s="85" customFormat="1" x14ac:dyDescent="0.25">
      <c r="A122" s="79"/>
      <c r="B122" s="867" t="s">
        <v>53</v>
      </c>
      <c r="C122" s="475">
        <v>83.17</v>
      </c>
      <c r="D122" s="864" t="s">
        <v>1522</v>
      </c>
      <c r="E122" s="89"/>
      <c r="F122" s="89"/>
      <c r="G122" s="79"/>
      <c r="H122" s="79"/>
      <c r="I122" s="79"/>
    </row>
    <row r="123" spans="1:9" s="85" customFormat="1" x14ac:dyDescent="0.25">
      <c r="A123" s="79"/>
      <c r="B123" s="79" t="s">
        <v>1232</v>
      </c>
      <c r="C123" s="475">
        <v>2196.2600000000002</v>
      </c>
      <c r="D123" s="864" t="s">
        <v>1515</v>
      </c>
      <c r="F123" s="89"/>
      <c r="G123" s="79"/>
      <c r="H123" s="79"/>
      <c r="I123" s="79"/>
    </row>
    <row r="124" spans="1:9" s="85" customFormat="1" x14ac:dyDescent="0.25">
      <c r="A124" s="79"/>
      <c r="B124" s="79" t="s">
        <v>56</v>
      </c>
      <c r="C124" s="475"/>
      <c r="D124" s="864" t="s">
        <v>1523</v>
      </c>
      <c r="F124" s="89"/>
      <c r="G124" s="79"/>
      <c r="H124" s="79"/>
      <c r="I124" s="79"/>
    </row>
    <row r="125" spans="1:9" s="85" customFormat="1" x14ac:dyDescent="0.25">
      <c r="A125" s="79"/>
      <c r="B125" s="79" t="s">
        <v>1569</v>
      </c>
      <c r="C125" s="475">
        <v>59.78</v>
      </c>
      <c r="D125" s="864" t="s">
        <v>1506</v>
      </c>
      <c r="F125" s="89"/>
      <c r="G125" s="79"/>
      <c r="H125" s="79"/>
      <c r="I125" s="79"/>
    </row>
    <row r="126" spans="1:9" s="85" customFormat="1" x14ac:dyDescent="0.25">
      <c r="A126" s="79"/>
      <c r="B126" s="79" t="s">
        <v>418</v>
      </c>
      <c r="C126" s="475">
        <v>67</v>
      </c>
      <c r="D126" s="85" t="s">
        <v>1524</v>
      </c>
      <c r="E126" s="79"/>
      <c r="F126" s="89"/>
    </row>
    <row r="127" spans="1:9" x14ac:dyDescent="0.25">
      <c r="B127" s="79" t="s">
        <v>419</v>
      </c>
      <c r="C127" s="475">
        <v>697.85</v>
      </c>
      <c r="D127" s="85" t="s">
        <v>1491</v>
      </c>
    </row>
    <row r="128" spans="1:9" x14ac:dyDescent="0.25">
      <c r="B128" s="79" t="s">
        <v>911</v>
      </c>
      <c r="C128" s="475">
        <v>184.71</v>
      </c>
      <c r="D128" s="85" t="s">
        <v>1525</v>
      </c>
    </row>
    <row r="129" spans="2:10" x14ac:dyDescent="0.25">
      <c r="B129" s="79" t="s">
        <v>1526</v>
      </c>
      <c r="C129" s="475">
        <v>158.9</v>
      </c>
      <c r="D129" s="85" t="s">
        <v>1504</v>
      </c>
      <c r="E129" s="79"/>
    </row>
    <row r="130" spans="2:10" x14ac:dyDescent="0.25">
      <c r="B130" s="79" t="s">
        <v>1527</v>
      </c>
      <c r="C130" s="475">
        <v>97.38</v>
      </c>
      <c r="D130" s="85" t="s">
        <v>1489</v>
      </c>
    </row>
    <row r="133" spans="2:10" x14ac:dyDescent="0.25">
      <c r="B133" s="79" t="s">
        <v>486</v>
      </c>
      <c r="C133" s="475">
        <f>H133/J133</f>
        <v>160.56354838709677</v>
      </c>
      <c r="F133" s="224" t="s">
        <v>487</v>
      </c>
      <c r="G133" s="224"/>
      <c r="H133" s="216">
        <v>4977.47</v>
      </c>
      <c r="I133" s="518" t="s">
        <v>488</v>
      </c>
      <c r="J133" s="85">
        <v>31</v>
      </c>
    </row>
    <row r="137" spans="2:10" x14ac:dyDescent="0.25">
      <c r="D137" s="79"/>
      <c r="E137" s="79"/>
    </row>
    <row r="141" spans="2:10" x14ac:dyDescent="0.25">
      <c r="C141" s="79"/>
      <c r="D141" s="79"/>
      <c r="E141" s="79"/>
      <c r="F141" s="79"/>
      <c r="I141" s="216"/>
    </row>
    <row r="142" spans="2:10" x14ac:dyDescent="0.25">
      <c r="C142" s="79"/>
      <c r="D142" s="79"/>
      <c r="E142" s="79"/>
      <c r="F142" s="79"/>
      <c r="I142" s="216"/>
    </row>
    <row r="143" spans="2:10" x14ac:dyDescent="0.25">
      <c r="C143" s="79"/>
      <c r="D143" s="79"/>
      <c r="E143" s="79"/>
      <c r="F143" s="79"/>
      <c r="G143" s="216"/>
      <c r="I143" s="216"/>
    </row>
    <row r="144" spans="2:10" x14ac:dyDescent="0.25">
      <c r="C144" s="79"/>
      <c r="D144" s="79"/>
      <c r="E144" s="79"/>
      <c r="F144" s="79"/>
      <c r="G144" s="216"/>
      <c r="I144" s="216"/>
    </row>
    <row r="145" spans="3:9" x14ac:dyDescent="0.25">
      <c r="C145" s="79"/>
      <c r="D145" s="79"/>
      <c r="E145" s="79"/>
      <c r="F145" s="79"/>
      <c r="G145" s="216"/>
    </row>
    <row r="146" spans="3:9" x14ac:dyDescent="0.25">
      <c r="C146" s="79"/>
      <c r="D146" s="79"/>
      <c r="E146" s="79"/>
      <c r="F146" s="79"/>
      <c r="I146" s="216"/>
    </row>
    <row r="148" spans="3:9" x14ac:dyDescent="0.25">
      <c r="C148" s="79"/>
      <c r="D148" s="79"/>
      <c r="E148" s="79"/>
      <c r="F148" s="79"/>
      <c r="I148" s="629"/>
    </row>
    <row r="154" spans="3:9" x14ac:dyDescent="0.25">
      <c r="C154" s="79"/>
      <c r="D154" s="79"/>
      <c r="E154" s="79"/>
      <c r="F154" s="79"/>
      <c r="I154" s="216"/>
    </row>
    <row r="155" spans="3:9" x14ac:dyDescent="0.25">
      <c r="C155" s="79"/>
      <c r="D155" s="79"/>
      <c r="E155" s="79"/>
      <c r="F155" s="79"/>
      <c r="I155" s="216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  <row r="161" spans="3:9" x14ac:dyDescent="0.25">
      <c r="C161" s="79"/>
      <c r="D161" s="79"/>
      <c r="E161" s="79"/>
      <c r="F161" s="79"/>
      <c r="I161" s="216"/>
    </row>
    <row r="162" spans="3:9" x14ac:dyDescent="0.25">
      <c r="C162" s="79"/>
      <c r="D162" s="79"/>
      <c r="E162" s="79"/>
      <c r="F162" s="79"/>
      <c r="I162" s="216"/>
    </row>
  </sheetData>
  <autoFilter ref="A2:I114" xr:uid="{00000000-0009-0000-0000-00003A000000}"/>
  <mergeCells count="11">
    <mergeCell ref="A113:E113"/>
    <mergeCell ref="A114:E114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Plan64"/>
  <dimension ref="A1:J154"/>
  <sheetViews>
    <sheetView zoomScale="80" zoomScaleNormal="80" workbookViewId="0">
      <pane ySplit="4" topLeftCell="A5" activePane="bottomLeft" state="frozen"/>
      <selection activeCell="C44" sqref="C44"/>
      <selection pane="bottomLeft" activeCell="F8" sqref="F8:F10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4.570312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1570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126" t="s">
        <v>1484</v>
      </c>
      <c r="E2" s="3123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127"/>
      <c r="E3" s="3124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128"/>
      <c r="E4" s="3125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42826</v>
      </c>
      <c r="B5" s="369" t="s">
        <v>10</v>
      </c>
      <c r="C5" s="370"/>
      <c r="D5" s="370"/>
      <c r="E5" s="488"/>
      <c r="F5" s="179"/>
      <c r="G5" s="933">
        <f>'Março-17'!G114</f>
        <v>384.33000000000538</v>
      </c>
      <c r="H5" s="163"/>
      <c r="I5" s="933">
        <f>'Março-17'!I114</f>
        <v>3499.996000000001</v>
      </c>
    </row>
    <row r="6" spans="1:9" s="224" customFormat="1" x14ac:dyDescent="0.25">
      <c r="A6" s="215">
        <v>42826</v>
      </c>
      <c r="B6" s="348" t="s">
        <v>11</v>
      </c>
      <c r="C6" s="351"/>
      <c r="D6" s="351"/>
      <c r="E6" s="673"/>
      <c r="F6" s="250">
        <v>15</v>
      </c>
      <c r="G6" s="1473"/>
      <c r="H6" s="252"/>
      <c r="I6" s="1473"/>
    </row>
    <row r="7" spans="1:9" s="224" customFormat="1" x14ac:dyDescent="0.25">
      <c r="A7" s="215">
        <v>42826</v>
      </c>
      <c r="B7" s="349" t="s">
        <v>311</v>
      </c>
      <c r="C7" s="350"/>
      <c r="D7" s="350"/>
      <c r="E7" s="757"/>
      <c r="G7" s="946"/>
      <c r="H7" s="97"/>
      <c r="I7" s="946">
        <v>6.95</v>
      </c>
    </row>
    <row r="8" spans="1:9" s="224" customFormat="1" x14ac:dyDescent="0.25">
      <c r="A8" s="215">
        <v>42826</v>
      </c>
      <c r="B8" s="862" t="s">
        <v>32</v>
      </c>
      <c r="C8" s="350" t="s">
        <v>12</v>
      </c>
      <c r="D8" s="350" t="s">
        <v>1485</v>
      </c>
      <c r="E8" s="757" t="s">
        <v>13</v>
      </c>
      <c r="F8" s="97">
        <v>13</v>
      </c>
      <c r="G8" s="946"/>
      <c r="H8" s="95"/>
      <c r="I8" s="1473"/>
    </row>
    <row r="9" spans="1:9" s="224" customFormat="1" x14ac:dyDescent="0.25">
      <c r="A9" s="215">
        <v>42826</v>
      </c>
      <c r="B9" s="862" t="s">
        <v>134</v>
      </c>
      <c r="C9" s="350" t="s">
        <v>12</v>
      </c>
      <c r="D9" s="350" t="s">
        <v>1493</v>
      </c>
      <c r="E9" s="757" t="s">
        <v>13</v>
      </c>
      <c r="F9" s="97">
        <v>18.5</v>
      </c>
      <c r="G9" s="946"/>
      <c r="H9" s="95"/>
      <c r="I9" s="1473"/>
    </row>
    <row r="10" spans="1:9" s="224" customFormat="1" x14ac:dyDescent="0.25">
      <c r="A10" s="215">
        <v>42826</v>
      </c>
      <c r="B10" s="862" t="s">
        <v>14</v>
      </c>
      <c r="C10" s="350" t="s">
        <v>12</v>
      </c>
      <c r="D10" s="350" t="s">
        <v>1486</v>
      </c>
      <c r="E10" s="757" t="s">
        <v>13</v>
      </c>
      <c r="F10" s="97">
        <v>4.7699999999999996</v>
      </c>
      <c r="G10" s="946"/>
      <c r="H10" s="95"/>
      <c r="I10" s="1473"/>
    </row>
    <row r="11" spans="1:9" s="224" customFormat="1" x14ac:dyDescent="0.25">
      <c r="A11" s="215">
        <v>42826</v>
      </c>
      <c r="B11" s="862" t="s">
        <v>82</v>
      </c>
      <c r="C11" s="350" t="s">
        <v>12</v>
      </c>
      <c r="D11" s="350" t="s">
        <v>1493</v>
      </c>
      <c r="E11" s="757" t="s">
        <v>13</v>
      </c>
      <c r="F11" s="97">
        <v>29</v>
      </c>
      <c r="G11" s="946"/>
      <c r="H11" s="95"/>
      <c r="I11" s="1473"/>
    </row>
    <row r="12" spans="1:9" s="224" customFormat="1" x14ac:dyDescent="0.25">
      <c r="A12" s="215">
        <v>42827</v>
      </c>
      <c r="B12" s="862" t="s">
        <v>14</v>
      </c>
      <c r="C12" s="350" t="s">
        <v>12</v>
      </c>
      <c r="D12" s="350" t="s">
        <v>1486</v>
      </c>
      <c r="E12" s="757" t="s">
        <v>13</v>
      </c>
      <c r="F12" s="97">
        <v>2.5299999999999998</v>
      </c>
      <c r="G12" s="946"/>
      <c r="H12" s="97"/>
      <c r="I12" s="946"/>
    </row>
    <row r="13" spans="1:9" s="224" customFormat="1" x14ac:dyDescent="0.25">
      <c r="A13" s="215">
        <v>42827</v>
      </c>
      <c r="B13" s="862" t="s">
        <v>134</v>
      </c>
      <c r="C13" s="350" t="s">
        <v>12</v>
      </c>
      <c r="D13" s="350" t="s">
        <v>1493</v>
      </c>
      <c r="E13" s="757" t="s">
        <v>13</v>
      </c>
      <c r="F13" s="97">
        <v>17.84</v>
      </c>
      <c r="G13" s="946"/>
      <c r="H13" s="97"/>
      <c r="I13" s="946"/>
    </row>
    <row r="14" spans="1:9" s="224" customFormat="1" x14ac:dyDescent="0.25">
      <c r="A14" s="215">
        <v>42828</v>
      </c>
      <c r="B14" s="862" t="s">
        <v>32</v>
      </c>
      <c r="C14" s="350" t="s">
        <v>12</v>
      </c>
      <c r="D14" s="350" t="s">
        <v>1485</v>
      </c>
      <c r="E14" s="757" t="s">
        <v>13</v>
      </c>
      <c r="F14" s="97">
        <v>13</v>
      </c>
      <c r="G14" s="946"/>
      <c r="H14" s="95"/>
      <c r="I14" s="1473"/>
    </row>
    <row r="15" spans="1:9" s="224" customFormat="1" x14ac:dyDescent="0.25">
      <c r="A15" s="215">
        <v>42828</v>
      </c>
      <c r="B15" s="862" t="s">
        <v>14</v>
      </c>
      <c r="C15" s="350" t="s">
        <v>12</v>
      </c>
      <c r="D15" s="350" t="s">
        <v>1486</v>
      </c>
      <c r="E15" s="757" t="s">
        <v>13</v>
      </c>
      <c r="F15" s="97">
        <v>2.6</v>
      </c>
      <c r="G15" s="946"/>
      <c r="H15" s="95"/>
      <c r="I15" s="1473"/>
    </row>
    <row r="16" spans="1:9" s="224" customFormat="1" x14ac:dyDescent="0.25">
      <c r="A16" s="215">
        <v>42829</v>
      </c>
      <c r="B16" s="862" t="s">
        <v>32</v>
      </c>
      <c r="C16" s="350" t="s">
        <v>12</v>
      </c>
      <c r="D16" s="350" t="s">
        <v>1485</v>
      </c>
      <c r="E16" s="757" t="s">
        <v>15</v>
      </c>
      <c r="F16" s="97">
        <v>13</v>
      </c>
      <c r="G16" s="946"/>
      <c r="H16" s="95"/>
      <c r="I16" s="1473"/>
    </row>
    <row r="17" spans="1:9" s="224" customFormat="1" x14ac:dyDescent="0.25">
      <c r="A17" s="215">
        <v>42829</v>
      </c>
      <c r="B17" s="862" t="s">
        <v>14</v>
      </c>
      <c r="C17" s="350" t="s">
        <v>12</v>
      </c>
      <c r="D17" s="350" t="s">
        <v>1486</v>
      </c>
      <c r="E17" s="757" t="s">
        <v>13</v>
      </c>
      <c r="F17" s="97">
        <v>2.6</v>
      </c>
      <c r="G17" s="946"/>
      <c r="H17" s="95"/>
      <c r="I17" s="1473"/>
    </row>
    <row r="18" spans="1:9" x14ac:dyDescent="0.25">
      <c r="A18" s="215">
        <v>42829</v>
      </c>
      <c r="B18" s="873" t="s">
        <v>1455</v>
      </c>
      <c r="C18" s="879" t="s">
        <v>12</v>
      </c>
      <c r="D18" s="879" t="s">
        <v>1487</v>
      </c>
      <c r="E18" s="871" t="s">
        <v>15</v>
      </c>
      <c r="F18" s="97">
        <v>60</v>
      </c>
      <c r="G18" s="946"/>
      <c r="H18" s="97"/>
      <c r="I18" s="946"/>
    </row>
    <row r="19" spans="1:9" s="224" customFormat="1" x14ac:dyDescent="0.25">
      <c r="A19" s="215">
        <v>42830</v>
      </c>
      <c r="B19" s="862" t="s">
        <v>32</v>
      </c>
      <c r="C19" s="350" t="s">
        <v>12</v>
      </c>
      <c r="D19" s="350" t="s">
        <v>1485</v>
      </c>
      <c r="E19" s="757" t="s">
        <v>13</v>
      </c>
      <c r="F19" s="97">
        <v>13</v>
      </c>
      <c r="G19" s="946"/>
      <c r="H19" s="95"/>
      <c r="I19" s="1473"/>
    </row>
    <row r="20" spans="1:9" x14ac:dyDescent="0.25">
      <c r="A20" s="215">
        <v>42830</v>
      </c>
      <c r="B20" s="862" t="s">
        <v>14</v>
      </c>
      <c r="C20" s="350" t="s">
        <v>12</v>
      </c>
      <c r="D20" s="350" t="s">
        <v>1486</v>
      </c>
      <c r="E20" s="757" t="s">
        <v>13</v>
      </c>
      <c r="F20" s="97">
        <v>18.98</v>
      </c>
      <c r="G20" s="946"/>
      <c r="H20" s="97"/>
      <c r="I20" s="946"/>
    </row>
    <row r="21" spans="1:9" x14ac:dyDescent="0.25">
      <c r="A21" s="215">
        <v>42831</v>
      </c>
      <c r="B21" s="862" t="s">
        <v>32</v>
      </c>
      <c r="C21" s="350" t="s">
        <v>12</v>
      </c>
      <c r="D21" s="350" t="s">
        <v>1485</v>
      </c>
      <c r="E21" s="757" t="s">
        <v>13</v>
      </c>
      <c r="F21" s="97">
        <v>13</v>
      </c>
      <c r="G21" s="946"/>
      <c r="H21" s="97"/>
      <c r="I21" s="946"/>
    </row>
    <row r="22" spans="1:9" s="224" customFormat="1" ht="15.75" customHeight="1" x14ac:dyDescent="0.25">
      <c r="A22" s="215">
        <v>42831</v>
      </c>
      <c r="B22" s="349" t="s">
        <v>1571</v>
      </c>
      <c r="C22" s="879" t="s">
        <v>12</v>
      </c>
      <c r="D22" s="874"/>
      <c r="E22" s="875" t="s">
        <v>25</v>
      </c>
      <c r="F22" s="97"/>
      <c r="G22" s="1473">
        <v>1603.46</v>
      </c>
      <c r="H22" s="252"/>
      <c r="I22" s="946"/>
    </row>
    <row r="23" spans="1:9" s="224" customFormat="1" ht="15.75" customHeight="1" x14ac:dyDescent="0.25">
      <c r="A23" s="215">
        <v>42831</v>
      </c>
      <c r="B23" s="862" t="s">
        <v>1572</v>
      </c>
      <c r="C23" s="350" t="s">
        <v>12</v>
      </c>
      <c r="D23" s="350"/>
      <c r="E23" s="757" t="s">
        <v>13</v>
      </c>
      <c r="F23" s="250">
        <v>330.61</v>
      </c>
      <c r="G23" s="1473"/>
      <c r="H23" s="252"/>
      <c r="I23" s="946"/>
    </row>
    <row r="24" spans="1:9" s="224" customFormat="1" x14ac:dyDescent="0.25">
      <c r="A24" s="215">
        <v>42800</v>
      </c>
      <c r="B24" s="882" t="s">
        <v>1573</v>
      </c>
      <c r="C24" s="879" t="s">
        <v>12</v>
      </c>
      <c r="D24" s="879" t="s">
        <v>1499</v>
      </c>
      <c r="E24" s="871" t="s">
        <v>13</v>
      </c>
      <c r="F24" s="250">
        <v>44.76</v>
      </c>
      <c r="G24" s="946"/>
      <c r="H24" s="95"/>
      <c r="I24" s="946"/>
    </row>
    <row r="25" spans="1:9" s="224" customFormat="1" x14ac:dyDescent="0.25">
      <c r="A25" s="215">
        <v>42831</v>
      </c>
      <c r="B25" s="873" t="s">
        <v>1574</v>
      </c>
      <c r="C25" s="879" t="s">
        <v>12</v>
      </c>
      <c r="D25" s="879" t="s">
        <v>1491</v>
      </c>
      <c r="E25" s="871" t="s">
        <v>15</v>
      </c>
      <c r="F25" s="97">
        <v>100</v>
      </c>
      <c r="G25" s="946"/>
      <c r="H25" s="97"/>
      <c r="I25" s="946"/>
    </row>
    <row r="26" spans="1:9" x14ac:dyDescent="0.25">
      <c r="A26" s="215">
        <v>42831</v>
      </c>
      <c r="B26" s="862" t="s">
        <v>1532</v>
      </c>
      <c r="C26" s="879" t="s">
        <v>12</v>
      </c>
      <c r="D26" s="879" t="s">
        <v>1504</v>
      </c>
      <c r="E26" s="1510" t="s">
        <v>13</v>
      </c>
      <c r="F26" s="97">
        <v>50</v>
      </c>
      <c r="G26" s="946"/>
      <c r="H26" s="97"/>
      <c r="I26" s="946"/>
    </row>
    <row r="27" spans="1:9" x14ac:dyDescent="0.25">
      <c r="A27" s="215">
        <v>42831</v>
      </c>
      <c r="B27" s="862" t="s">
        <v>52</v>
      </c>
      <c r="C27" s="879" t="s">
        <v>12</v>
      </c>
      <c r="D27" s="879" t="s">
        <v>1496</v>
      </c>
      <c r="E27" s="1510" t="s">
        <v>13</v>
      </c>
      <c r="F27" s="97">
        <v>60</v>
      </c>
      <c r="G27" s="946"/>
      <c r="H27" s="97"/>
      <c r="I27" s="946"/>
    </row>
    <row r="28" spans="1:9" s="224" customFormat="1" ht="15.75" customHeight="1" x14ac:dyDescent="0.25">
      <c r="A28" s="452">
        <v>42800</v>
      </c>
      <c r="B28" s="611" t="s">
        <v>1575</v>
      </c>
      <c r="C28" s="454" t="s">
        <v>12</v>
      </c>
      <c r="D28" s="454"/>
      <c r="E28" s="758" t="s">
        <v>13</v>
      </c>
      <c r="F28" s="97"/>
      <c r="G28" s="1473"/>
      <c r="H28" s="252"/>
      <c r="I28" s="946"/>
    </row>
    <row r="29" spans="1:9" s="224" customFormat="1" x14ac:dyDescent="0.25">
      <c r="A29" s="215">
        <v>42831</v>
      </c>
      <c r="B29" s="349" t="s">
        <v>311</v>
      </c>
      <c r="C29" s="350"/>
      <c r="D29" s="350"/>
      <c r="E29" s="757"/>
      <c r="G29" s="946"/>
      <c r="H29" s="97"/>
      <c r="I29" s="946">
        <v>6.99</v>
      </c>
    </row>
    <row r="30" spans="1:9" s="224" customFormat="1" ht="15" customHeight="1" x14ac:dyDescent="0.25">
      <c r="A30" s="215">
        <v>42831</v>
      </c>
      <c r="B30" s="349" t="s">
        <v>260</v>
      </c>
      <c r="C30" s="350"/>
      <c r="D30" s="350"/>
      <c r="E30" s="757"/>
      <c r="F30" s="97">
        <v>486.38</v>
      </c>
      <c r="G30" s="946"/>
      <c r="H30" s="95"/>
      <c r="I30" s="946">
        <v>486.38</v>
      </c>
    </row>
    <row r="31" spans="1:9" x14ac:dyDescent="0.25">
      <c r="A31" s="215">
        <v>42831</v>
      </c>
      <c r="B31" s="862" t="s">
        <v>14</v>
      </c>
      <c r="C31" s="350" t="s">
        <v>12</v>
      </c>
      <c r="D31" s="350" t="s">
        <v>1486</v>
      </c>
      <c r="E31" s="757" t="s">
        <v>13</v>
      </c>
      <c r="F31" s="97">
        <v>9.85</v>
      </c>
      <c r="G31" s="946"/>
      <c r="H31" s="97"/>
      <c r="I31" s="946"/>
    </row>
    <row r="32" spans="1:9" s="224" customFormat="1" x14ac:dyDescent="0.25">
      <c r="A32" s="215">
        <v>42832</v>
      </c>
      <c r="B32" s="862" t="s">
        <v>32</v>
      </c>
      <c r="C32" s="350" t="s">
        <v>12</v>
      </c>
      <c r="D32" s="350" t="s">
        <v>1485</v>
      </c>
      <c r="E32" s="757" t="s">
        <v>13</v>
      </c>
      <c r="F32" s="97">
        <v>13</v>
      </c>
      <c r="G32" s="946"/>
      <c r="H32" s="97"/>
      <c r="I32" s="946"/>
    </row>
    <row r="33" spans="1:9" s="224" customFormat="1" x14ac:dyDescent="0.25">
      <c r="A33" s="215">
        <v>42832</v>
      </c>
      <c r="B33" s="349" t="s">
        <v>311</v>
      </c>
      <c r="C33" s="350"/>
      <c r="D33" s="350"/>
      <c r="E33" s="757"/>
      <c r="G33" s="946"/>
      <c r="H33" s="97"/>
      <c r="I33" s="946">
        <v>8.39</v>
      </c>
    </row>
    <row r="34" spans="1:9" x14ac:dyDescent="0.25">
      <c r="A34" s="215">
        <v>42832</v>
      </c>
      <c r="B34" s="862" t="s">
        <v>134</v>
      </c>
      <c r="C34" s="350" t="s">
        <v>12</v>
      </c>
      <c r="D34" s="350" t="s">
        <v>1493</v>
      </c>
      <c r="E34" s="757" t="s">
        <v>13</v>
      </c>
      <c r="F34" s="97">
        <v>23.22</v>
      </c>
      <c r="G34" s="946"/>
      <c r="H34" s="97"/>
      <c r="I34" s="946"/>
    </row>
    <row r="35" spans="1:9" x14ac:dyDescent="0.25">
      <c r="A35" s="215">
        <v>42832</v>
      </c>
      <c r="B35" s="862" t="s">
        <v>134</v>
      </c>
      <c r="C35" s="350" t="s">
        <v>12</v>
      </c>
      <c r="D35" s="350" t="s">
        <v>1493</v>
      </c>
      <c r="E35" s="757" t="s">
        <v>15</v>
      </c>
      <c r="F35" s="97">
        <v>8</v>
      </c>
      <c r="G35" s="946"/>
      <c r="H35" s="97"/>
      <c r="I35" s="946"/>
    </row>
    <row r="36" spans="1:9" s="224" customFormat="1" x14ac:dyDescent="0.25">
      <c r="A36" s="215">
        <v>42833</v>
      </c>
      <c r="B36" s="349" t="s">
        <v>32</v>
      </c>
      <c r="C36" s="879" t="s">
        <v>12</v>
      </c>
      <c r="D36" s="350" t="s">
        <v>1485</v>
      </c>
      <c r="E36" s="871" t="s">
        <v>13</v>
      </c>
      <c r="F36" s="250">
        <v>14.5</v>
      </c>
      <c r="G36" s="946"/>
      <c r="H36" s="97"/>
      <c r="I36" s="946"/>
    </row>
    <row r="37" spans="1:9" s="224" customFormat="1" x14ac:dyDescent="0.25">
      <c r="A37" s="215">
        <v>42834</v>
      </c>
      <c r="B37" s="349" t="s">
        <v>14</v>
      </c>
      <c r="C37" s="879" t="s">
        <v>12</v>
      </c>
      <c r="D37" s="350" t="s">
        <v>1486</v>
      </c>
      <c r="E37" s="871" t="s">
        <v>13</v>
      </c>
      <c r="F37" s="250">
        <v>5.71</v>
      </c>
      <c r="G37" s="946"/>
      <c r="H37" s="97"/>
      <c r="I37" s="946"/>
    </row>
    <row r="38" spans="1:9" x14ac:dyDescent="0.25">
      <c r="A38" s="215">
        <v>42834</v>
      </c>
      <c r="B38" s="862" t="s">
        <v>134</v>
      </c>
      <c r="C38" s="350" t="s">
        <v>12</v>
      </c>
      <c r="D38" s="350" t="s">
        <v>1493</v>
      </c>
      <c r="E38" s="757" t="s">
        <v>13</v>
      </c>
      <c r="F38" s="97">
        <v>23.72</v>
      </c>
      <c r="G38" s="946"/>
      <c r="H38" s="97"/>
      <c r="I38" s="946"/>
    </row>
    <row r="39" spans="1:9" s="224" customFormat="1" x14ac:dyDescent="0.25">
      <c r="A39" s="215">
        <v>42835</v>
      </c>
      <c r="B39" s="862" t="s">
        <v>32</v>
      </c>
      <c r="C39" s="350" t="s">
        <v>12</v>
      </c>
      <c r="D39" s="350" t="s">
        <v>1485</v>
      </c>
      <c r="E39" s="757" t="s">
        <v>13</v>
      </c>
      <c r="F39" s="97">
        <v>13</v>
      </c>
      <c r="G39" s="946"/>
      <c r="H39" s="97"/>
      <c r="I39" s="946"/>
    </row>
    <row r="40" spans="1:9" s="224" customFormat="1" x14ac:dyDescent="0.25">
      <c r="A40" s="215">
        <v>42835</v>
      </c>
      <c r="B40" s="862" t="s">
        <v>1331</v>
      </c>
      <c r="C40" s="350" t="s">
        <v>19</v>
      </c>
      <c r="D40" s="350" t="s">
        <v>1487</v>
      </c>
      <c r="E40" s="757" t="s">
        <v>13</v>
      </c>
      <c r="F40" s="97">
        <v>70</v>
      </c>
      <c r="G40" s="946"/>
      <c r="H40" s="97"/>
      <c r="I40" s="946"/>
    </row>
    <row r="41" spans="1:9" s="224" customFormat="1" x14ac:dyDescent="0.25">
      <c r="A41" s="215">
        <v>42835</v>
      </c>
      <c r="B41" s="862" t="s">
        <v>1576</v>
      </c>
      <c r="C41" s="350" t="s">
        <v>12</v>
      </c>
      <c r="D41" s="350" t="s">
        <v>1506</v>
      </c>
      <c r="E41" s="757" t="s">
        <v>13</v>
      </c>
      <c r="F41" s="97">
        <v>22.9</v>
      </c>
      <c r="G41" s="946"/>
      <c r="H41" s="97"/>
      <c r="I41" s="946"/>
    </row>
    <row r="42" spans="1:9" s="224" customFormat="1" x14ac:dyDescent="0.25">
      <c r="A42" s="215">
        <v>42835</v>
      </c>
      <c r="B42" s="862" t="s">
        <v>1577</v>
      </c>
      <c r="C42" s="350" t="s">
        <v>19</v>
      </c>
      <c r="D42" s="350" t="s">
        <v>1489</v>
      </c>
      <c r="E42" s="757" t="s">
        <v>13</v>
      </c>
      <c r="F42" s="97">
        <v>79.8</v>
      </c>
      <c r="G42" s="946"/>
      <c r="H42" s="97"/>
      <c r="I42" s="946"/>
    </row>
    <row r="43" spans="1:9" s="224" customFormat="1" x14ac:dyDescent="0.25">
      <c r="A43" s="215">
        <v>42835</v>
      </c>
      <c r="B43" s="862" t="s">
        <v>1578</v>
      </c>
      <c r="C43" s="350" t="s">
        <v>19</v>
      </c>
      <c r="D43" s="350" t="s">
        <v>1491</v>
      </c>
      <c r="E43" s="757" t="s">
        <v>13</v>
      </c>
      <c r="F43" s="97">
        <v>48</v>
      </c>
      <c r="G43" s="946"/>
      <c r="H43" s="97"/>
      <c r="I43" s="946"/>
    </row>
    <row r="44" spans="1:9" s="224" customFormat="1" x14ac:dyDescent="0.25">
      <c r="A44" s="215">
        <v>42835</v>
      </c>
      <c r="B44" s="862" t="s">
        <v>1579</v>
      </c>
      <c r="C44" s="350" t="s">
        <v>19</v>
      </c>
      <c r="D44" s="350" t="s">
        <v>1491</v>
      </c>
      <c r="E44" s="757" t="s">
        <v>13</v>
      </c>
      <c r="F44" s="97">
        <v>38</v>
      </c>
      <c r="G44" s="946"/>
      <c r="H44" s="97"/>
      <c r="I44" s="946"/>
    </row>
    <row r="45" spans="1:9" s="224" customFormat="1" x14ac:dyDescent="0.25">
      <c r="A45" s="215">
        <v>42835</v>
      </c>
      <c r="B45" s="862" t="s">
        <v>134</v>
      </c>
      <c r="C45" s="350" t="s">
        <v>19</v>
      </c>
      <c r="D45" s="350" t="s">
        <v>1493</v>
      </c>
      <c r="E45" s="757" t="s">
        <v>13</v>
      </c>
      <c r="F45" s="97">
        <v>11.94</v>
      </c>
      <c r="G45" s="946"/>
      <c r="H45" s="97"/>
      <c r="I45" s="946"/>
    </row>
    <row r="46" spans="1:9" s="224" customFormat="1" x14ac:dyDescent="0.25">
      <c r="A46" s="215">
        <v>42835</v>
      </c>
      <c r="B46" s="862" t="s">
        <v>14</v>
      </c>
      <c r="C46" s="350" t="s">
        <v>19</v>
      </c>
      <c r="D46" s="350" t="s">
        <v>1486</v>
      </c>
      <c r="E46" s="757" t="s">
        <v>13</v>
      </c>
      <c r="F46" s="97">
        <v>7</v>
      </c>
      <c r="G46" s="946"/>
      <c r="H46" s="97"/>
      <c r="I46" s="946"/>
    </row>
    <row r="47" spans="1:9" s="224" customFormat="1" x14ac:dyDescent="0.25">
      <c r="A47" s="215">
        <v>42836</v>
      </c>
      <c r="B47" s="862" t="s">
        <v>32</v>
      </c>
      <c r="C47" s="350" t="s">
        <v>12</v>
      </c>
      <c r="D47" s="350" t="s">
        <v>1485</v>
      </c>
      <c r="E47" s="757" t="s">
        <v>13</v>
      </c>
      <c r="F47" s="97">
        <v>13</v>
      </c>
      <c r="G47" s="946"/>
      <c r="H47" s="97"/>
      <c r="I47" s="946"/>
    </row>
    <row r="48" spans="1:9" s="224" customFormat="1" x14ac:dyDescent="0.25">
      <c r="A48" s="215">
        <v>42836</v>
      </c>
      <c r="B48" s="862" t="s">
        <v>14</v>
      </c>
      <c r="C48" s="350" t="s">
        <v>12</v>
      </c>
      <c r="D48" s="350" t="s">
        <v>1486</v>
      </c>
      <c r="E48" s="757" t="s">
        <v>13</v>
      </c>
      <c r="F48" s="97">
        <v>14.29</v>
      </c>
      <c r="G48" s="946"/>
      <c r="H48" s="97"/>
      <c r="I48" s="946"/>
    </row>
    <row r="49" spans="1:9" x14ac:dyDescent="0.25">
      <c r="A49" s="215">
        <v>42837</v>
      </c>
      <c r="B49" s="862" t="s">
        <v>32</v>
      </c>
      <c r="C49" s="350" t="s">
        <v>12</v>
      </c>
      <c r="D49" s="350" t="s">
        <v>1485</v>
      </c>
      <c r="E49" s="757" t="s">
        <v>13</v>
      </c>
      <c r="F49" s="97">
        <v>13</v>
      </c>
      <c r="G49" s="946"/>
      <c r="H49" s="95"/>
      <c r="I49" s="946"/>
    </row>
    <row r="50" spans="1:9" s="224" customFormat="1" x14ac:dyDescent="0.25">
      <c r="A50" s="215">
        <v>42837</v>
      </c>
      <c r="B50" s="862" t="s">
        <v>14</v>
      </c>
      <c r="C50" s="350" t="s">
        <v>12</v>
      </c>
      <c r="D50" s="350" t="s">
        <v>1486</v>
      </c>
      <c r="E50" s="757" t="s">
        <v>13</v>
      </c>
      <c r="F50" s="97">
        <v>8.49</v>
      </c>
      <c r="G50" s="946"/>
      <c r="H50" s="97"/>
      <c r="I50" s="946"/>
    </row>
    <row r="51" spans="1:9" x14ac:dyDescent="0.25">
      <c r="A51" s="215">
        <v>42838</v>
      </c>
      <c r="B51" s="862" t="s">
        <v>32</v>
      </c>
      <c r="C51" s="350" t="s">
        <v>12</v>
      </c>
      <c r="D51" s="350" t="s">
        <v>1485</v>
      </c>
      <c r="E51" s="757" t="s">
        <v>15</v>
      </c>
      <c r="F51" s="97">
        <v>13</v>
      </c>
      <c r="G51" s="946"/>
      <c r="H51" s="95"/>
      <c r="I51" s="946"/>
    </row>
    <row r="52" spans="1:9" s="224" customFormat="1" x14ac:dyDescent="0.25">
      <c r="A52" s="215">
        <v>42839</v>
      </c>
      <c r="B52" s="349" t="s">
        <v>1343</v>
      </c>
      <c r="C52" s="879" t="s">
        <v>19</v>
      </c>
      <c r="D52" s="350" t="s">
        <v>1491</v>
      </c>
      <c r="E52" s="871" t="s">
        <v>13</v>
      </c>
      <c r="F52" s="97">
        <v>34</v>
      </c>
      <c r="G52" s="946"/>
      <c r="H52" s="97"/>
      <c r="I52" s="946"/>
    </row>
    <row r="53" spans="1:9" s="224" customFormat="1" x14ac:dyDescent="0.25">
      <c r="A53" s="215">
        <v>42839</v>
      </c>
      <c r="B53" s="349" t="s">
        <v>1580</v>
      </c>
      <c r="C53" s="879" t="s">
        <v>19</v>
      </c>
      <c r="D53" s="350" t="s">
        <v>1491</v>
      </c>
      <c r="E53" s="871" t="s">
        <v>13</v>
      </c>
      <c r="F53" s="97">
        <v>15.89</v>
      </c>
      <c r="G53" s="946"/>
      <c r="H53" s="97"/>
      <c r="I53" s="946"/>
    </row>
    <row r="54" spans="1:9" s="224" customFormat="1" x14ac:dyDescent="0.25">
      <c r="A54" s="215">
        <v>42839</v>
      </c>
      <c r="B54" s="349" t="s">
        <v>134</v>
      </c>
      <c r="C54" s="879" t="s">
        <v>12</v>
      </c>
      <c r="D54" s="879" t="s">
        <v>1493</v>
      </c>
      <c r="E54" s="871" t="s">
        <v>13</v>
      </c>
      <c r="F54" s="97">
        <v>10.89</v>
      </c>
      <c r="G54" s="946"/>
      <c r="H54" s="97"/>
      <c r="I54" s="946"/>
    </row>
    <row r="55" spans="1:9" s="224" customFormat="1" x14ac:dyDescent="0.25">
      <c r="A55" s="215">
        <v>42840</v>
      </c>
      <c r="B55" s="349" t="s">
        <v>1360</v>
      </c>
      <c r="C55" s="879" t="s">
        <v>12</v>
      </c>
      <c r="D55" s="879" t="s">
        <v>1493</v>
      </c>
      <c r="E55" s="871" t="s">
        <v>13</v>
      </c>
      <c r="F55" s="97">
        <v>35</v>
      </c>
      <c r="G55" s="946"/>
      <c r="H55" s="97"/>
      <c r="I55" s="946"/>
    </row>
    <row r="56" spans="1:9" s="224" customFormat="1" x14ac:dyDescent="0.25">
      <c r="A56" s="215">
        <v>42841</v>
      </c>
      <c r="B56" s="862" t="s">
        <v>256</v>
      </c>
      <c r="C56" s="879"/>
      <c r="D56" s="879"/>
      <c r="E56" s="1510"/>
      <c r="F56" s="97"/>
      <c r="G56" s="946">
        <v>150</v>
      </c>
      <c r="H56" s="97">
        <v>150</v>
      </c>
      <c r="I56" s="946"/>
    </row>
    <row r="57" spans="1:9" s="224" customFormat="1" x14ac:dyDescent="0.25">
      <c r="A57" s="215">
        <v>42841</v>
      </c>
      <c r="B57" s="349" t="s">
        <v>14</v>
      </c>
      <c r="C57" s="879" t="s">
        <v>12</v>
      </c>
      <c r="D57" s="350" t="s">
        <v>1486</v>
      </c>
      <c r="E57" s="871" t="s">
        <v>13</v>
      </c>
      <c r="F57" s="97">
        <v>2.4300000000000002</v>
      </c>
      <c r="G57" s="946"/>
      <c r="H57" s="97"/>
      <c r="I57" s="946"/>
    </row>
    <row r="58" spans="1:9" x14ac:dyDescent="0.25">
      <c r="A58" s="215">
        <v>42841</v>
      </c>
      <c r="B58" s="862" t="s">
        <v>1581</v>
      </c>
      <c r="C58" s="350" t="s">
        <v>12</v>
      </c>
      <c r="D58" s="350" t="s">
        <v>1489</v>
      </c>
      <c r="E58" s="757" t="s">
        <v>13</v>
      </c>
      <c r="F58" s="97">
        <v>53.66</v>
      </c>
      <c r="G58" s="946"/>
      <c r="H58" s="95"/>
      <c r="I58" s="946"/>
    </row>
    <row r="59" spans="1:9" x14ac:dyDescent="0.25">
      <c r="A59" s="215">
        <v>42841</v>
      </c>
      <c r="B59" s="862" t="s">
        <v>17</v>
      </c>
      <c r="C59" s="350" t="s">
        <v>12</v>
      </c>
      <c r="D59" s="350" t="s">
        <v>1493</v>
      </c>
      <c r="E59" s="757" t="s">
        <v>13</v>
      </c>
      <c r="F59" s="97">
        <v>8</v>
      </c>
      <c r="G59" s="946"/>
      <c r="H59" s="95"/>
      <c r="I59" s="946"/>
    </row>
    <row r="60" spans="1:9" s="224" customFormat="1" x14ac:dyDescent="0.25">
      <c r="A60" s="215">
        <v>42842</v>
      </c>
      <c r="B60" s="862" t="s">
        <v>32</v>
      </c>
      <c r="C60" s="350" t="s">
        <v>12</v>
      </c>
      <c r="D60" s="350" t="s">
        <v>1485</v>
      </c>
      <c r="E60" s="757" t="s">
        <v>15</v>
      </c>
      <c r="F60" s="97">
        <v>13</v>
      </c>
      <c r="G60" s="946"/>
      <c r="H60" s="97"/>
      <c r="I60" s="946"/>
    </row>
    <row r="61" spans="1:9" s="224" customFormat="1" x14ac:dyDescent="0.25">
      <c r="A61" s="215">
        <v>42842</v>
      </c>
      <c r="B61" s="349" t="s">
        <v>134</v>
      </c>
      <c r="C61" s="879" t="s">
        <v>12</v>
      </c>
      <c r="D61" s="879" t="s">
        <v>1493</v>
      </c>
      <c r="E61" s="871" t="s">
        <v>15</v>
      </c>
      <c r="F61" s="97">
        <v>8</v>
      </c>
      <c r="G61" s="946"/>
      <c r="H61" s="97"/>
      <c r="I61" s="946"/>
    </row>
    <row r="62" spans="1:9" s="224" customFormat="1" x14ac:dyDescent="0.25">
      <c r="A62" s="215">
        <v>42843</v>
      </c>
      <c r="B62" s="862" t="s">
        <v>32</v>
      </c>
      <c r="C62" s="350" t="s">
        <v>12</v>
      </c>
      <c r="D62" s="350" t="s">
        <v>1485</v>
      </c>
      <c r="E62" s="757" t="s">
        <v>13</v>
      </c>
      <c r="F62" s="97">
        <v>13</v>
      </c>
      <c r="G62" s="946"/>
      <c r="H62" s="97"/>
      <c r="I62" s="946"/>
    </row>
    <row r="63" spans="1:9" s="224" customFormat="1" x14ac:dyDescent="0.25">
      <c r="A63" s="215">
        <v>42843</v>
      </c>
      <c r="B63" s="349" t="s">
        <v>114</v>
      </c>
      <c r="C63" s="350" t="s">
        <v>12</v>
      </c>
      <c r="D63" s="350" t="s">
        <v>1489</v>
      </c>
      <c r="E63" s="757" t="s">
        <v>13</v>
      </c>
      <c r="F63" s="97">
        <v>6.55</v>
      </c>
      <c r="G63" s="946"/>
      <c r="H63" s="97"/>
      <c r="I63" s="946"/>
    </row>
    <row r="64" spans="1:9" s="224" customFormat="1" x14ac:dyDescent="0.25">
      <c r="A64" s="215">
        <v>42843</v>
      </c>
      <c r="B64" s="349" t="s">
        <v>14</v>
      </c>
      <c r="C64" s="350" t="s">
        <v>12</v>
      </c>
      <c r="D64" s="350" t="s">
        <v>1486</v>
      </c>
      <c r="E64" s="757" t="s">
        <v>13</v>
      </c>
      <c r="F64" s="97">
        <v>7.5</v>
      </c>
      <c r="G64" s="946"/>
      <c r="H64" s="97"/>
      <c r="I64" s="946"/>
    </row>
    <row r="65" spans="1:9" s="224" customFormat="1" x14ac:dyDescent="0.25">
      <c r="A65" s="215">
        <v>42844</v>
      </c>
      <c r="B65" s="862" t="s">
        <v>32</v>
      </c>
      <c r="C65" s="350" t="s">
        <v>12</v>
      </c>
      <c r="D65" s="350" t="s">
        <v>1485</v>
      </c>
      <c r="E65" s="757" t="s">
        <v>15</v>
      </c>
      <c r="F65" s="97">
        <v>13</v>
      </c>
      <c r="G65" s="946"/>
      <c r="H65" s="97"/>
      <c r="I65" s="946"/>
    </row>
    <row r="66" spans="1:9" s="224" customFormat="1" x14ac:dyDescent="0.25">
      <c r="A66" s="215">
        <v>42844</v>
      </c>
      <c r="B66" s="862" t="s">
        <v>1331</v>
      </c>
      <c r="C66" s="350" t="s">
        <v>19</v>
      </c>
      <c r="D66" s="350" t="s">
        <v>1487</v>
      </c>
      <c r="E66" s="757" t="s">
        <v>13</v>
      </c>
      <c r="F66" s="97">
        <v>50</v>
      </c>
      <c r="G66" s="946"/>
      <c r="H66" s="97"/>
      <c r="I66" s="946"/>
    </row>
    <row r="67" spans="1:9" s="224" customFormat="1" x14ac:dyDescent="0.25">
      <c r="A67" s="215">
        <v>42844</v>
      </c>
      <c r="B67" s="349" t="s">
        <v>14</v>
      </c>
      <c r="C67" s="350" t="s">
        <v>12</v>
      </c>
      <c r="D67" s="350" t="s">
        <v>1486</v>
      </c>
      <c r="E67" s="757" t="s">
        <v>13</v>
      </c>
      <c r="F67" s="97">
        <v>8.9700000000000006</v>
      </c>
      <c r="G67" s="946"/>
      <c r="H67" s="97"/>
      <c r="I67" s="946"/>
    </row>
    <row r="68" spans="1:9" s="224" customFormat="1" x14ac:dyDescent="0.25">
      <c r="A68" s="215">
        <v>42845</v>
      </c>
      <c r="B68" s="862" t="s">
        <v>32</v>
      </c>
      <c r="C68" s="350" t="s">
        <v>12</v>
      </c>
      <c r="D68" s="350" t="s">
        <v>1485</v>
      </c>
      <c r="E68" s="757" t="s">
        <v>13</v>
      </c>
      <c r="F68" s="97">
        <v>13</v>
      </c>
      <c r="G68" s="946"/>
      <c r="H68" s="97"/>
      <c r="I68" s="946"/>
    </row>
    <row r="69" spans="1:9" s="224" customFormat="1" ht="15" customHeight="1" x14ac:dyDescent="0.25">
      <c r="A69" s="215">
        <v>42845</v>
      </c>
      <c r="B69" s="882" t="s">
        <v>1582</v>
      </c>
      <c r="C69" s="350" t="s">
        <v>12</v>
      </c>
      <c r="D69" s="879"/>
      <c r="E69" s="871" t="s">
        <v>15</v>
      </c>
      <c r="F69" s="97"/>
      <c r="G69" s="946">
        <v>1510.31</v>
      </c>
      <c r="H69" s="95"/>
      <c r="I69" s="1473"/>
    </row>
    <row r="70" spans="1:9" s="224" customFormat="1" x14ac:dyDescent="0.25">
      <c r="A70" s="215">
        <v>42845</v>
      </c>
      <c r="B70" s="873" t="s">
        <v>1564</v>
      </c>
      <c r="C70" s="879" t="s">
        <v>12</v>
      </c>
      <c r="D70" s="350" t="s">
        <v>1491</v>
      </c>
      <c r="E70" s="871" t="s">
        <v>15</v>
      </c>
      <c r="F70" s="97">
        <v>100</v>
      </c>
      <c r="G70" s="946"/>
      <c r="H70" s="97"/>
      <c r="I70" s="946"/>
    </row>
    <row r="71" spans="1:9" x14ac:dyDescent="0.25">
      <c r="A71" s="215">
        <v>42845</v>
      </c>
      <c r="B71" s="873" t="s">
        <v>1583</v>
      </c>
      <c r="C71" s="879" t="s">
        <v>12</v>
      </c>
      <c r="D71" s="350" t="s">
        <v>1491</v>
      </c>
      <c r="E71" s="871" t="s">
        <v>15</v>
      </c>
      <c r="F71" s="97">
        <v>120</v>
      </c>
      <c r="G71" s="946"/>
      <c r="H71" s="95"/>
      <c r="I71" s="946"/>
    </row>
    <row r="72" spans="1:9" s="224" customFormat="1" ht="15" customHeight="1" x14ac:dyDescent="0.25">
      <c r="A72" s="215">
        <v>42845</v>
      </c>
      <c r="B72" s="349" t="s">
        <v>260</v>
      </c>
      <c r="C72" s="350"/>
      <c r="D72" s="350"/>
      <c r="E72" s="757"/>
      <c r="F72" s="97">
        <v>641.29</v>
      </c>
      <c r="G72" s="946"/>
      <c r="H72" s="95"/>
      <c r="I72" s="946">
        <v>641.29</v>
      </c>
    </row>
    <row r="73" spans="1:9" s="224" customFormat="1" x14ac:dyDescent="0.25">
      <c r="A73" s="215">
        <v>42845</v>
      </c>
      <c r="B73" s="862" t="s">
        <v>256</v>
      </c>
      <c r="C73" s="879"/>
      <c r="D73" s="879"/>
      <c r="E73" s="1510"/>
      <c r="F73" s="97"/>
      <c r="G73" s="946">
        <v>600</v>
      </c>
      <c r="H73" s="97">
        <v>600</v>
      </c>
      <c r="I73" s="946"/>
    </row>
    <row r="74" spans="1:9" ht="15" customHeight="1" x14ac:dyDescent="0.25">
      <c r="A74" s="215">
        <v>42845</v>
      </c>
      <c r="B74" s="349" t="s">
        <v>1396</v>
      </c>
      <c r="C74" s="350" t="s">
        <v>12</v>
      </c>
      <c r="D74" s="350"/>
      <c r="E74" s="757" t="s">
        <v>25</v>
      </c>
      <c r="F74" s="97"/>
      <c r="G74" s="946">
        <v>40</v>
      </c>
      <c r="H74" s="97"/>
      <c r="I74" s="946"/>
    </row>
    <row r="75" spans="1:9" s="224" customFormat="1" x14ac:dyDescent="0.25">
      <c r="A75" s="215">
        <v>42845</v>
      </c>
      <c r="B75" s="862" t="s">
        <v>1584</v>
      </c>
      <c r="C75" s="350" t="s">
        <v>19</v>
      </c>
      <c r="D75" s="350" t="s">
        <v>1493</v>
      </c>
      <c r="E75" s="757" t="s">
        <v>13</v>
      </c>
      <c r="F75" s="97">
        <v>41.39</v>
      </c>
      <c r="G75" s="946"/>
      <c r="H75" s="97"/>
      <c r="I75" s="946"/>
    </row>
    <row r="76" spans="1:9" s="224" customFormat="1" x14ac:dyDescent="0.25">
      <c r="A76" s="215">
        <v>42845</v>
      </c>
      <c r="B76" s="862" t="s">
        <v>1585</v>
      </c>
      <c r="C76" s="350" t="s">
        <v>19</v>
      </c>
      <c r="D76" s="350" t="s">
        <v>1506</v>
      </c>
      <c r="E76" s="757" t="s">
        <v>13</v>
      </c>
      <c r="F76" s="97">
        <v>809.19</v>
      </c>
      <c r="G76" s="946"/>
      <c r="H76" s="97"/>
      <c r="I76" s="946"/>
    </row>
    <row r="77" spans="1:9" s="224" customFormat="1" x14ac:dyDescent="0.25">
      <c r="A77" s="215">
        <v>42846</v>
      </c>
      <c r="B77" s="862" t="s">
        <v>138</v>
      </c>
      <c r="C77" s="879" t="s">
        <v>12</v>
      </c>
      <c r="D77" s="350" t="s">
        <v>1487</v>
      </c>
      <c r="E77" s="1510" t="s">
        <v>15</v>
      </c>
      <c r="F77" s="97">
        <v>40</v>
      </c>
      <c r="G77" s="946"/>
      <c r="H77" s="95"/>
      <c r="I77" s="1473"/>
    </row>
    <row r="78" spans="1:9" s="224" customFormat="1" x14ac:dyDescent="0.25">
      <c r="A78" s="215">
        <v>42846</v>
      </c>
      <c r="B78" s="862" t="s">
        <v>82</v>
      </c>
      <c r="C78" s="879" t="s">
        <v>12</v>
      </c>
      <c r="D78" s="879" t="s">
        <v>1493</v>
      </c>
      <c r="E78" s="1510" t="s">
        <v>13</v>
      </c>
      <c r="F78" s="97">
        <v>9</v>
      </c>
      <c r="G78" s="946"/>
      <c r="H78" s="95"/>
      <c r="I78" s="1473"/>
    </row>
    <row r="79" spans="1:9" s="224" customFormat="1" x14ac:dyDescent="0.25">
      <c r="A79" s="215">
        <v>42847</v>
      </c>
      <c r="B79" s="862" t="s">
        <v>14</v>
      </c>
      <c r="C79" s="350" t="s">
        <v>12</v>
      </c>
      <c r="D79" s="350" t="s">
        <v>1486</v>
      </c>
      <c r="E79" s="757" t="s">
        <v>13</v>
      </c>
      <c r="F79" s="97">
        <v>21.7</v>
      </c>
      <c r="G79" s="946"/>
      <c r="H79" s="95"/>
      <c r="I79" s="1473"/>
    </row>
    <row r="80" spans="1:9" s="224" customFormat="1" x14ac:dyDescent="0.25">
      <c r="A80" s="215">
        <v>42848</v>
      </c>
      <c r="B80" s="862" t="s">
        <v>134</v>
      </c>
      <c r="C80" s="350" t="s">
        <v>12</v>
      </c>
      <c r="D80" s="350" t="s">
        <v>1493</v>
      </c>
      <c r="E80" s="757" t="s">
        <v>13</v>
      </c>
      <c r="F80" s="97">
        <v>6.93</v>
      </c>
      <c r="G80" s="946"/>
      <c r="H80" s="95"/>
      <c r="I80" s="1473"/>
    </row>
    <row r="81" spans="1:9" s="224" customFormat="1" x14ac:dyDescent="0.25">
      <c r="A81" s="215">
        <v>42849</v>
      </c>
      <c r="B81" s="862" t="s">
        <v>1377</v>
      </c>
      <c r="C81" s="350" t="s">
        <v>12</v>
      </c>
      <c r="D81" s="874" t="s">
        <v>1504</v>
      </c>
      <c r="E81" s="870" t="s">
        <v>13</v>
      </c>
      <c r="F81" s="97">
        <v>58.9</v>
      </c>
      <c r="G81" s="946"/>
      <c r="H81" s="95"/>
      <c r="I81" s="1473"/>
    </row>
    <row r="82" spans="1:9" s="224" customFormat="1" x14ac:dyDescent="0.25">
      <c r="A82" s="215">
        <v>42849</v>
      </c>
      <c r="B82" s="862" t="s">
        <v>32</v>
      </c>
      <c r="C82" s="350" t="s">
        <v>12</v>
      </c>
      <c r="D82" s="350" t="s">
        <v>1485</v>
      </c>
      <c r="E82" s="757" t="s">
        <v>13</v>
      </c>
      <c r="F82" s="97">
        <v>13</v>
      </c>
      <c r="G82" s="946"/>
      <c r="H82" s="97"/>
      <c r="I82" s="946"/>
    </row>
    <row r="83" spans="1:9" s="224" customFormat="1" x14ac:dyDescent="0.25">
      <c r="A83" s="215">
        <v>42849</v>
      </c>
      <c r="B83" s="862" t="s">
        <v>1586</v>
      </c>
      <c r="C83" s="350" t="s">
        <v>12</v>
      </c>
      <c r="D83" s="874" t="s">
        <v>1522</v>
      </c>
      <c r="E83" s="870" t="s">
        <v>13</v>
      </c>
      <c r="F83" s="97">
        <v>40</v>
      </c>
      <c r="G83" s="946"/>
      <c r="H83" s="95"/>
      <c r="I83" s="1473"/>
    </row>
    <row r="84" spans="1:9" s="224" customFormat="1" x14ac:dyDescent="0.25">
      <c r="A84" s="215">
        <v>42849</v>
      </c>
      <c r="B84" s="862" t="s">
        <v>1587</v>
      </c>
      <c r="C84" s="350" t="s">
        <v>19</v>
      </c>
      <c r="D84" s="350" t="s">
        <v>1489</v>
      </c>
      <c r="E84" s="757" t="s">
        <v>13</v>
      </c>
      <c r="F84" s="97">
        <v>40.22</v>
      </c>
      <c r="G84" s="946"/>
      <c r="H84" s="97"/>
      <c r="I84" s="946"/>
    </row>
    <row r="85" spans="1:9" s="224" customFormat="1" x14ac:dyDescent="0.25">
      <c r="A85" s="215">
        <v>42849</v>
      </c>
      <c r="B85" s="862" t="s">
        <v>1331</v>
      </c>
      <c r="C85" s="350" t="s">
        <v>12</v>
      </c>
      <c r="D85" s="350" t="s">
        <v>1487</v>
      </c>
      <c r="E85" s="757" t="s">
        <v>13</v>
      </c>
      <c r="F85" s="97">
        <v>50</v>
      </c>
      <c r="G85" s="946"/>
      <c r="H85" s="97"/>
      <c r="I85" s="946"/>
    </row>
    <row r="86" spans="1:9" s="224" customFormat="1" x14ac:dyDescent="0.25">
      <c r="A86" s="215">
        <v>42849</v>
      </c>
      <c r="B86" s="862" t="s">
        <v>14</v>
      </c>
      <c r="C86" s="350" t="s">
        <v>12</v>
      </c>
      <c r="D86" s="350" t="s">
        <v>1486</v>
      </c>
      <c r="E86" s="757" t="s">
        <v>13</v>
      </c>
      <c r="F86" s="97">
        <v>3.82</v>
      </c>
      <c r="G86" s="946"/>
      <c r="H86" s="97"/>
      <c r="I86" s="946"/>
    </row>
    <row r="87" spans="1:9" s="224" customFormat="1" x14ac:dyDescent="0.25">
      <c r="A87" s="215">
        <v>42850</v>
      </c>
      <c r="B87" s="862" t="s">
        <v>32</v>
      </c>
      <c r="C87" s="350" t="s">
        <v>12</v>
      </c>
      <c r="D87" s="350" t="s">
        <v>1485</v>
      </c>
      <c r="E87" s="757" t="s">
        <v>15</v>
      </c>
      <c r="F87" s="97">
        <v>13</v>
      </c>
      <c r="G87" s="946"/>
      <c r="H87" s="95"/>
      <c r="I87" s="1473"/>
    </row>
    <row r="88" spans="1:9" s="224" customFormat="1" x14ac:dyDescent="0.25">
      <c r="A88" s="215">
        <v>42850</v>
      </c>
      <c r="B88" s="862" t="s">
        <v>14</v>
      </c>
      <c r="C88" s="350" t="s">
        <v>12</v>
      </c>
      <c r="D88" s="350" t="s">
        <v>1486</v>
      </c>
      <c r="E88" s="757" t="s">
        <v>13</v>
      </c>
      <c r="F88" s="97">
        <v>6.78</v>
      </c>
      <c r="G88" s="946"/>
      <c r="H88" s="95"/>
      <c r="I88" s="1473"/>
    </row>
    <row r="89" spans="1:9" s="224" customFormat="1" x14ac:dyDescent="0.25">
      <c r="A89" s="215">
        <v>42851</v>
      </c>
      <c r="B89" s="862" t="s">
        <v>32</v>
      </c>
      <c r="C89" s="350" t="s">
        <v>12</v>
      </c>
      <c r="D89" s="350" t="s">
        <v>1485</v>
      </c>
      <c r="E89" s="757" t="s">
        <v>13</v>
      </c>
      <c r="F89" s="97">
        <v>13</v>
      </c>
      <c r="G89" s="946"/>
      <c r="H89" s="95"/>
      <c r="I89" s="1473"/>
    </row>
    <row r="90" spans="1:9" s="224" customFormat="1" x14ac:dyDescent="0.25">
      <c r="A90" s="215">
        <v>42851</v>
      </c>
      <c r="B90" s="862" t="s">
        <v>14</v>
      </c>
      <c r="C90" s="350" t="s">
        <v>12</v>
      </c>
      <c r="D90" s="350" t="s">
        <v>1486</v>
      </c>
      <c r="E90" s="757" t="s">
        <v>13</v>
      </c>
      <c r="F90" s="97">
        <v>14.04</v>
      </c>
      <c r="G90" s="946"/>
      <c r="H90" s="95"/>
      <c r="I90" s="1473"/>
    </row>
    <row r="91" spans="1:9" x14ac:dyDescent="0.25">
      <c r="A91" s="215">
        <v>42852</v>
      </c>
      <c r="B91" s="862" t="s">
        <v>32</v>
      </c>
      <c r="C91" s="350" t="s">
        <v>12</v>
      </c>
      <c r="D91" s="350" t="s">
        <v>1485</v>
      </c>
      <c r="E91" s="757" t="s">
        <v>13</v>
      </c>
      <c r="F91" s="97">
        <v>13</v>
      </c>
      <c r="G91" s="946"/>
      <c r="H91" s="95"/>
      <c r="I91" s="946"/>
    </row>
    <row r="92" spans="1:9" x14ac:dyDescent="0.25">
      <c r="A92" s="215">
        <v>42853</v>
      </c>
      <c r="B92" s="862" t="s">
        <v>32</v>
      </c>
      <c r="C92" s="350" t="s">
        <v>12</v>
      </c>
      <c r="D92" s="350" t="s">
        <v>1485</v>
      </c>
      <c r="E92" s="757" t="s">
        <v>15</v>
      </c>
      <c r="F92" s="97">
        <v>13</v>
      </c>
      <c r="G92" s="946"/>
      <c r="H92" s="97"/>
      <c r="I92" s="946"/>
    </row>
    <row r="93" spans="1:9" s="224" customFormat="1" x14ac:dyDescent="0.25">
      <c r="A93" s="215">
        <v>42853</v>
      </c>
      <c r="B93" s="862" t="s">
        <v>256</v>
      </c>
      <c r="C93" s="879"/>
      <c r="D93" s="879"/>
      <c r="E93" s="1510"/>
      <c r="F93" s="97"/>
      <c r="G93" s="946">
        <v>200</v>
      </c>
      <c r="H93" s="97">
        <v>200</v>
      </c>
      <c r="I93" s="1473"/>
    </row>
    <row r="94" spans="1:9" s="224" customFormat="1" x14ac:dyDescent="0.25">
      <c r="A94" s="215">
        <v>42853</v>
      </c>
      <c r="B94" s="862" t="s">
        <v>14</v>
      </c>
      <c r="C94" s="350" t="s">
        <v>12</v>
      </c>
      <c r="D94" s="350" t="s">
        <v>1486</v>
      </c>
      <c r="E94" s="757" t="s">
        <v>13</v>
      </c>
      <c r="F94" s="97">
        <v>6.26</v>
      </c>
      <c r="G94" s="946"/>
      <c r="H94" s="95"/>
      <c r="I94" s="1473"/>
    </row>
    <row r="95" spans="1:9" s="224" customFormat="1" x14ac:dyDescent="0.25">
      <c r="A95" s="215">
        <v>42853</v>
      </c>
      <c r="B95" s="349" t="s">
        <v>1554</v>
      </c>
      <c r="C95" s="350" t="s">
        <v>19</v>
      </c>
      <c r="D95" s="350" t="s">
        <v>1491</v>
      </c>
      <c r="E95" s="757" t="s">
        <v>13</v>
      </c>
      <c r="F95" s="97">
        <v>65</v>
      </c>
      <c r="G95" s="946"/>
      <c r="H95" s="97"/>
      <c r="I95" s="946"/>
    </row>
    <row r="96" spans="1:9" s="224" customFormat="1" x14ac:dyDescent="0.25">
      <c r="A96" s="215">
        <v>42854</v>
      </c>
      <c r="B96" s="862" t="s">
        <v>14</v>
      </c>
      <c r="C96" s="350" t="s">
        <v>12</v>
      </c>
      <c r="D96" s="350" t="s">
        <v>1486</v>
      </c>
      <c r="E96" s="757" t="s">
        <v>13</v>
      </c>
      <c r="F96" s="97">
        <v>16.899999999999999</v>
      </c>
      <c r="G96" s="946"/>
      <c r="H96" s="95"/>
      <c r="I96" s="1473"/>
    </row>
    <row r="97" spans="1:9" x14ac:dyDescent="0.25">
      <c r="A97" s="215">
        <v>42854</v>
      </c>
      <c r="B97" s="862" t="s">
        <v>32</v>
      </c>
      <c r="C97" s="350" t="s">
        <v>12</v>
      </c>
      <c r="D97" s="350" t="s">
        <v>1485</v>
      </c>
      <c r="E97" s="757" t="s">
        <v>13</v>
      </c>
      <c r="F97" s="97">
        <v>14.5</v>
      </c>
      <c r="G97" s="946"/>
      <c r="H97" s="97"/>
      <c r="I97" s="946"/>
    </row>
    <row r="98" spans="1:9" s="224" customFormat="1" x14ac:dyDescent="0.25">
      <c r="A98" s="215">
        <v>42854</v>
      </c>
      <c r="B98" s="862" t="s">
        <v>1588</v>
      </c>
      <c r="C98" s="350" t="s">
        <v>12</v>
      </c>
      <c r="D98" s="350" t="s">
        <v>1489</v>
      </c>
      <c r="E98" s="757" t="s">
        <v>13</v>
      </c>
      <c r="F98" s="97">
        <v>40</v>
      </c>
      <c r="G98" s="946"/>
      <c r="H98" s="95"/>
      <c r="I98" s="1473"/>
    </row>
    <row r="99" spans="1:9" s="224" customFormat="1" x14ac:dyDescent="0.25">
      <c r="A99" s="215">
        <v>42854</v>
      </c>
      <c r="B99" s="862" t="s">
        <v>1589</v>
      </c>
      <c r="C99" s="350" t="s">
        <v>19</v>
      </c>
      <c r="D99" s="350" t="s">
        <v>1489</v>
      </c>
      <c r="E99" s="757" t="s">
        <v>13</v>
      </c>
      <c r="F99" s="97">
        <v>51.88</v>
      </c>
      <c r="G99" s="946"/>
      <c r="H99" s="95"/>
      <c r="I99" s="1473"/>
    </row>
    <row r="100" spans="1:9" s="224" customFormat="1" x14ac:dyDescent="0.25">
      <c r="A100" s="215">
        <v>42854</v>
      </c>
      <c r="B100" s="862" t="s">
        <v>103</v>
      </c>
      <c r="C100" s="350" t="s">
        <v>12</v>
      </c>
      <c r="D100" s="350" t="s">
        <v>1489</v>
      </c>
      <c r="E100" s="757" t="s">
        <v>13</v>
      </c>
      <c r="F100" s="97">
        <v>9</v>
      </c>
      <c r="G100" s="946"/>
      <c r="H100" s="95"/>
      <c r="I100" s="1473"/>
    </row>
    <row r="101" spans="1:9" s="224" customFormat="1" x14ac:dyDescent="0.25">
      <c r="A101" s="215">
        <v>42854</v>
      </c>
      <c r="B101" s="862" t="s">
        <v>1331</v>
      </c>
      <c r="C101" s="350" t="s">
        <v>12</v>
      </c>
      <c r="D101" s="350" t="s">
        <v>1487</v>
      </c>
      <c r="E101" s="757" t="s">
        <v>13</v>
      </c>
      <c r="F101" s="97">
        <v>60</v>
      </c>
      <c r="G101" s="946"/>
      <c r="H101" s="95"/>
      <c r="I101" s="1473"/>
    </row>
    <row r="102" spans="1:9" s="224" customFormat="1" x14ac:dyDescent="0.25">
      <c r="A102" s="215">
        <v>42854</v>
      </c>
      <c r="B102" s="862" t="s">
        <v>82</v>
      </c>
      <c r="C102" s="350" t="s">
        <v>12</v>
      </c>
      <c r="D102" s="350" t="s">
        <v>1493</v>
      </c>
      <c r="E102" s="757" t="s">
        <v>13</v>
      </c>
      <c r="F102" s="97">
        <v>29</v>
      </c>
      <c r="G102" s="946"/>
      <c r="H102" s="95"/>
      <c r="I102" s="1473"/>
    </row>
    <row r="103" spans="1:9" s="224" customFormat="1" x14ac:dyDescent="0.25">
      <c r="A103" s="215">
        <v>42855</v>
      </c>
      <c r="B103" s="862" t="s">
        <v>14</v>
      </c>
      <c r="C103" s="350" t="s">
        <v>12</v>
      </c>
      <c r="D103" s="350" t="s">
        <v>1486</v>
      </c>
      <c r="E103" s="757" t="s">
        <v>13</v>
      </c>
      <c r="F103" s="97">
        <v>6.12</v>
      </c>
      <c r="G103" s="946"/>
      <c r="H103" s="95"/>
      <c r="I103" s="1473"/>
    </row>
    <row r="104" spans="1:9" s="224" customFormat="1" ht="15.75" thickBot="1" x14ac:dyDescent="0.3">
      <c r="A104" s="215">
        <v>42855</v>
      </c>
      <c r="B104" s="862" t="s">
        <v>80</v>
      </c>
      <c r="C104" s="879" t="s">
        <v>12</v>
      </c>
      <c r="D104" s="1511" t="s">
        <v>1523</v>
      </c>
      <c r="E104" s="1510" t="s">
        <v>13</v>
      </c>
      <c r="F104" s="97">
        <v>17.5</v>
      </c>
      <c r="G104" s="946"/>
      <c r="H104" s="95"/>
      <c r="I104" s="1473"/>
    </row>
    <row r="105" spans="1:9" ht="25.5" customHeight="1" thickBot="1" x14ac:dyDescent="0.3">
      <c r="A105" s="3060"/>
      <c r="B105" s="3061"/>
      <c r="C105" s="3062"/>
      <c r="D105" s="3062"/>
      <c r="E105" s="3062"/>
      <c r="F105" s="100">
        <f>SUM(F6:F104)</f>
        <v>4436.3</v>
      </c>
      <c r="G105" s="1065">
        <f>SUM(G5:G104)</f>
        <v>4488.1000000000058</v>
      </c>
      <c r="H105" s="101">
        <f>SUM(H6:H104)</f>
        <v>950</v>
      </c>
      <c r="I105" s="93">
        <f>SUM(I5:I104)</f>
        <v>4649.996000000001</v>
      </c>
    </row>
    <row r="106" spans="1:9" ht="25.5" customHeight="1" thickBot="1" x14ac:dyDescent="0.3">
      <c r="A106" s="3117" t="s">
        <v>49</v>
      </c>
      <c r="B106" s="3118"/>
      <c r="C106" s="3118"/>
      <c r="D106" s="3118"/>
      <c r="E106" s="3119"/>
      <c r="F106" s="144"/>
      <c r="G106" s="519">
        <f>G105-F105</f>
        <v>51.800000000005639</v>
      </c>
      <c r="H106" s="555"/>
      <c r="I106" s="556">
        <f>I105-H105</f>
        <v>3699.996000000001</v>
      </c>
    </row>
    <row r="107" spans="1:9" x14ac:dyDescent="0.25">
      <c r="G107" s="89"/>
    </row>
    <row r="108" spans="1:9" x14ac:dyDescent="0.25">
      <c r="B108" s="79" t="s">
        <v>32</v>
      </c>
      <c r="C108" s="475">
        <v>276</v>
      </c>
      <c r="D108" s="85" t="s">
        <v>1485</v>
      </c>
    </row>
    <row r="109" spans="1:9" x14ac:dyDescent="0.25">
      <c r="B109" s="79" t="s">
        <v>1218</v>
      </c>
      <c r="C109" s="475">
        <v>330</v>
      </c>
      <c r="D109" s="85" t="s">
        <v>1487</v>
      </c>
    </row>
    <row r="110" spans="1:9" x14ac:dyDescent="0.25">
      <c r="B110" s="79" t="s">
        <v>50</v>
      </c>
      <c r="C110" s="484">
        <v>280.43</v>
      </c>
      <c r="D110" s="85" t="s">
        <v>1493</v>
      </c>
    </row>
    <row r="111" spans="1:9" s="85" customFormat="1" x14ac:dyDescent="0.25">
      <c r="A111" s="79"/>
      <c r="B111" s="79" t="s">
        <v>14</v>
      </c>
      <c r="C111" s="484">
        <v>171.34</v>
      </c>
      <c r="D111" s="85" t="s">
        <v>1486</v>
      </c>
    </row>
    <row r="112" spans="1:9" s="85" customFormat="1" x14ac:dyDescent="0.25">
      <c r="A112" s="79"/>
      <c r="B112" s="79" t="s">
        <v>51</v>
      </c>
      <c r="C112" s="475">
        <v>44.76</v>
      </c>
      <c r="D112" s="864" t="s">
        <v>1499</v>
      </c>
      <c r="E112" s="79"/>
      <c r="F112" s="89"/>
      <c r="G112" s="79"/>
      <c r="H112" s="79"/>
      <c r="I112" s="79"/>
    </row>
    <row r="113" spans="1:10" s="85" customFormat="1" x14ac:dyDescent="0.25">
      <c r="A113" s="79"/>
      <c r="B113" s="79" t="s">
        <v>52</v>
      </c>
      <c r="C113" s="475">
        <v>60</v>
      </c>
      <c r="D113" s="864" t="s">
        <v>1496</v>
      </c>
      <c r="F113" s="89"/>
      <c r="G113" s="79"/>
      <c r="H113" s="79"/>
      <c r="I113" s="79"/>
    </row>
    <row r="114" spans="1:10" s="85" customFormat="1" x14ac:dyDescent="0.25">
      <c r="A114" s="79"/>
      <c r="B114" s="867" t="s">
        <v>53</v>
      </c>
      <c r="C114" s="475">
        <v>40</v>
      </c>
      <c r="D114" s="864" t="s">
        <v>1522</v>
      </c>
      <c r="E114" s="89"/>
      <c r="F114" s="89"/>
      <c r="G114" s="79"/>
      <c r="H114" s="79"/>
      <c r="I114" s="79"/>
    </row>
    <row r="115" spans="1:10" s="85" customFormat="1" x14ac:dyDescent="0.25">
      <c r="A115" s="79"/>
      <c r="B115" s="79" t="s">
        <v>1232</v>
      </c>
      <c r="C115" s="475"/>
      <c r="D115" s="864" t="s">
        <v>1515</v>
      </c>
      <c r="F115" s="89"/>
      <c r="G115" s="79"/>
      <c r="H115" s="79"/>
      <c r="I115" s="79"/>
    </row>
    <row r="116" spans="1:10" s="85" customFormat="1" x14ac:dyDescent="0.25">
      <c r="A116" s="79"/>
      <c r="B116" s="79" t="s">
        <v>56</v>
      </c>
      <c r="C116" s="475">
        <v>17.5</v>
      </c>
      <c r="D116" s="864" t="s">
        <v>1523</v>
      </c>
      <c r="F116" s="89"/>
      <c r="G116" s="79"/>
      <c r="H116" s="79"/>
      <c r="I116" s="79"/>
    </row>
    <row r="117" spans="1:10" s="85" customFormat="1" x14ac:dyDescent="0.25">
      <c r="A117" s="79"/>
      <c r="B117" s="79" t="s">
        <v>57</v>
      </c>
      <c r="C117" s="475">
        <v>921.77</v>
      </c>
      <c r="D117" s="864" t="s">
        <v>1506</v>
      </c>
      <c r="F117" s="89"/>
      <c r="G117" s="79"/>
      <c r="H117" s="79"/>
      <c r="I117" s="79"/>
    </row>
    <row r="118" spans="1:10" s="85" customFormat="1" x14ac:dyDescent="0.25">
      <c r="A118" s="79"/>
      <c r="B118" s="79" t="s">
        <v>418</v>
      </c>
      <c r="C118" s="475">
        <v>46.25</v>
      </c>
      <c r="D118" s="85" t="s">
        <v>1524</v>
      </c>
      <c r="E118" s="79"/>
      <c r="F118" s="89"/>
    </row>
    <row r="119" spans="1:10" x14ac:dyDescent="0.25">
      <c r="B119" s="79" t="s">
        <v>419</v>
      </c>
      <c r="C119" s="475">
        <v>520.89</v>
      </c>
      <c r="D119" s="85" t="s">
        <v>1491</v>
      </c>
    </row>
    <row r="120" spans="1:10" x14ac:dyDescent="0.25">
      <c r="B120" s="79" t="s">
        <v>911</v>
      </c>
      <c r="C120" s="475">
        <v>184.71</v>
      </c>
      <c r="D120" s="85" t="s">
        <v>1525</v>
      </c>
    </row>
    <row r="121" spans="1:10" x14ac:dyDescent="0.25">
      <c r="B121" s="79" t="s">
        <v>1526</v>
      </c>
      <c r="C121" s="475">
        <v>118.9</v>
      </c>
      <c r="D121" s="85" t="s">
        <v>1504</v>
      </c>
      <c r="E121" s="79"/>
    </row>
    <row r="122" spans="1:10" x14ac:dyDescent="0.25">
      <c r="B122" s="79" t="s">
        <v>1527</v>
      </c>
      <c r="C122" s="475">
        <v>281.11</v>
      </c>
      <c r="D122" s="85" t="s">
        <v>1489</v>
      </c>
    </row>
    <row r="125" spans="1:10" x14ac:dyDescent="0.25">
      <c r="B125" s="79" t="s">
        <v>486</v>
      </c>
      <c r="C125" s="475">
        <f>H125/J125</f>
        <v>109.78766666666667</v>
      </c>
      <c r="F125" s="224" t="s">
        <v>487</v>
      </c>
      <c r="G125" s="224"/>
      <c r="H125" s="216">
        <v>3293.63</v>
      </c>
      <c r="I125" s="518" t="s">
        <v>488</v>
      </c>
      <c r="J125" s="85">
        <v>30</v>
      </c>
    </row>
    <row r="129" spans="3:9" x14ac:dyDescent="0.25">
      <c r="D129" s="79"/>
      <c r="E129" s="79"/>
    </row>
    <row r="133" spans="3:9" x14ac:dyDescent="0.25">
      <c r="C133" s="79"/>
      <c r="D133" s="79"/>
      <c r="E133" s="79"/>
      <c r="F133" s="79"/>
      <c r="I133" s="216"/>
    </row>
    <row r="134" spans="3:9" x14ac:dyDescent="0.25">
      <c r="C134" s="79"/>
      <c r="D134" s="79"/>
      <c r="E134" s="79"/>
      <c r="F134" s="79"/>
      <c r="I134" s="216"/>
    </row>
    <row r="135" spans="3:9" x14ac:dyDescent="0.25">
      <c r="C135" s="79"/>
      <c r="D135" s="79"/>
      <c r="E135" s="79"/>
      <c r="F135" s="79"/>
      <c r="G135" s="216"/>
      <c r="I135" s="216"/>
    </row>
    <row r="136" spans="3:9" x14ac:dyDescent="0.25">
      <c r="C136" s="79"/>
      <c r="D136" s="79"/>
      <c r="E136" s="79"/>
      <c r="F136" s="79"/>
      <c r="G136" s="216"/>
      <c r="I136" s="216"/>
    </row>
    <row r="137" spans="3:9" x14ac:dyDescent="0.25">
      <c r="C137" s="79"/>
      <c r="D137" s="79"/>
      <c r="E137" s="79"/>
      <c r="F137" s="79"/>
      <c r="G137" s="216"/>
    </row>
    <row r="138" spans="3:9" x14ac:dyDescent="0.25">
      <c r="C138" s="79"/>
      <c r="D138" s="79"/>
      <c r="E138" s="79"/>
      <c r="F138" s="79"/>
      <c r="I138" s="216"/>
    </row>
    <row r="140" spans="3:9" x14ac:dyDescent="0.25">
      <c r="C140" s="79"/>
      <c r="D140" s="79"/>
      <c r="E140" s="79"/>
      <c r="F140" s="79"/>
      <c r="I140" s="629"/>
    </row>
    <row r="146" spans="3:9" x14ac:dyDescent="0.25">
      <c r="C146" s="79"/>
      <c r="D146" s="79"/>
      <c r="E146" s="79"/>
      <c r="F146" s="79"/>
      <c r="I146" s="216"/>
    </row>
    <row r="147" spans="3:9" x14ac:dyDescent="0.25">
      <c r="C147" s="79"/>
      <c r="D147" s="79"/>
      <c r="E147" s="79"/>
      <c r="F147" s="79"/>
      <c r="I147" s="216"/>
    </row>
    <row r="148" spans="3:9" x14ac:dyDescent="0.25">
      <c r="C148" s="79"/>
      <c r="D148" s="79"/>
      <c r="E148" s="79"/>
      <c r="F148" s="79"/>
      <c r="I148" s="216"/>
    </row>
    <row r="149" spans="3:9" x14ac:dyDescent="0.25">
      <c r="C149" s="79"/>
      <c r="D149" s="79"/>
      <c r="E149" s="79"/>
      <c r="F149" s="79"/>
      <c r="I149" s="216"/>
    </row>
    <row r="150" spans="3:9" x14ac:dyDescent="0.25">
      <c r="C150" s="79"/>
      <c r="D150" s="79"/>
      <c r="E150" s="79"/>
      <c r="F150" s="79"/>
      <c r="I150" s="216"/>
    </row>
    <row r="151" spans="3:9" x14ac:dyDescent="0.25">
      <c r="C151" s="79"/>
      <c r="D151" s="79"/>
      <c r="E151" s="79"/>
      <c r="F151" s="79"/>
      <c r="I151" s="216"/>
    </row>
    <row r="152" spans="3:9" x14ac:dyDescent="0.25">
      <c r="C152" s="79"/>
      <c r="D152" s="79"/>
      <c r="E152" s="79"/>
      <c r="F152" s="79"/>
      <c r="I152" s="216"/>
    </row>
    <row r="153" spans="3:9" x14ac:dyDescent="0.25">
      <c r="C153" s="79"/>
      <c r="D153" s="79"/>
      <c r="E153" s="79"/>
      <c r="F153" s="79"/>
      <c r="I153" s="216"/>
    </row>
    <row r="154" spans="3:9" x14ac:dyDescent="0.25">
      <c r="C154" s="79"/>
      <c r="D154" s="79"/>
      <c r="E154" s="79"/>
      <c r="F154" s="79"/>
      <c r="I154" s="216"/>
    </row>
  </sheetData>
  <autoFilter ref="A2:I106" xr:uid="{00000000-0009-0000-0000-00003B000000}"/>
  <mergeCells count="11">
    <mergeCell ref="A105:E105"/>
    <mergeCell ref="A106:E106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Plan65"/>
  <dimension ref="A1:J163"/>
  <sheetViews>
    <sheetView zoomScale="85" zoomScaleNormal="85" workbookViewId="0">
      <pane ySplit="4" topLeftCell="A47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1590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42856</v>
      </c>
      <c r="B5" s="369" t="s">
        <v>10</v>
      </c>
      <c r="C5" s="370"/>
      <c r="D5" s="370"/>
      <c r="E5" s="488"/>
      <c r="F5" s="179"/>
      <c r="G5" s="933">
        <f>'Abril-17'!G106</f>
        <v>51.800000000005639</v>
      </c>
      <c r="H5" s="163"/>
      <c r="I5" s="933">
        <f>'Abril-17'!I106</f>
        <v>3699.996000000001</v>
      </c>
    </row>
    <row r="6" spans="1:9" s="224" customFormat="1" x14ac:dyDescent="0.25">
      <c r="A6" s="215">
        <v>42856</v>
      </c>
      <c r="B6" s="348" t="s">
        <v>11</v>
      </c>
      <c r="C6" s="351"/>
      <c r="D6" s="351"/>
      <c r="E6" s="673"/>
      <c r="F6" s="250">
        <v>17</v>
      </c>
      <c r="G6" s="1473"/>
      <c r="H6" s="252"/>
      <c r="I6" s="1473"/>
    </row>
    <row r="7" spans="1:9" s="224" customFormat="1" x14ac:dyDescent="0.25">
      <c r="A7" s="215">
        <v>42856</v>
      </c>
      <c r="B7" s="862" t="s">
        <v>256</v>
      </c>
      <c r="C7" s="879"/>
      <c r="D7" s="879"/>
      <c r="E7" s="1510"/>
      <c r="F7" s="97"/>
      <c r="G7" s="946">
        <v>200</v>
      </c>
      <c r="H7" s="97">
        <v>200</v>
      </c>
      <c r="I7" s="1473"/>
    </row>
    <row r="8" spans="1:9" s="224" customFormat="1" x14ac:dyDescent="0.25">
      <c r="A8" s="215">
        <v>42856</v>
      </c>
      <c r="B8" s="349" t="s">
        <v>311</v>
      </c>
      <c r="C8" s="350"/>
      <c r="D8" s="350"/>
      <c r="E8" s="757"/>
      <c r="F8" s="672"/>
      <c r="G8" s="946"/>
      <c r="H8" s="97"/>
      <c r="I8" s="946">
        <v>3.82</v>
      </c>
    </row>
    <row r="9" spans="1:9" s="224" customFormat="1" x14ac:dyDescent="0.25">
      <c r="A9" s="215">
        <v>42856</v>
      </c>
      <c r="B9" s="349" t="s">
        <v>134</v>
      </c>
      <c r="C9" s="350" t="s">
        <v>12</v>
      </c>
      <c r="D9" s="350" t="s">
        <v>1493</v>
      </c>
      <c r="E9" s="757" t="s">
        <v>13</v>
      </c>
      <c r="F9" s="178">
        <v>20.57</v>
      </c>
      <c r="G9" s="946"/>
      <c r="H9" s="97"/>
      <c r="I9" s="946"/>
    </row>
    <row r="10" spans="1:9" s="224" customFormat="1" x14ac:dyDescent="0.25">
      <c r="A10" s="215">
        <v>42856</v>
      </c>
      <c r="B10" s="862" t="s">
        <v>14</v>
      </c>
      <c r="C10" s="350" t="s">
        <v>12</v>
      </c>
      <c r="D10" s="350" t="s">
        <v>1486</v>
      </c>
      <c r="E10" s="757" t="s">
        <v>13</v>
      </c>
      <c r="F10" s="97">
        <v>11.21</v>
      </c>
      <c r="G10" s="946"/>
      <c r="H10" s="95"/>
      <c r="I10" s="1473"/>
    </row>
    <row r="11" spans="1:9" s="224" customFormat="1" x14ac:dyDescent="0.25">
      <c r="A11" s="215">
        <v>42857</v>
      </c>
      <c r="B11" s="862" t="s">
        <v>32</v>
      </c>
      <c r="C11" s="350" t="s">
        <v>12</v>
      </c>
      <c r="D11" s="350" t="s">
        <v>1485</v>
      </c>
      <c r="E11" s="757" t="s">
        <v>13</v>
      </c>
      <c r="F11" s="97">
        <v>13</v>
      </c>
      <c r="G11" s="946"/>
      <c r="H11" s="95"/>
      <c r="I11" s="1473"/>
    </row>
    <row r="12" spans="1:9" s="224" customFormat="1" x14ac:dyDescent="0.25">
      <c r="A12" s="215">
        <v>42857</v>
      </c>
      <c r="B12" s="862" t="s">
        <v>461</v>
      </c>
      <c r="C12" s="350" t="s">
        <v>12</v>
      </c>
      <c r="D12" s="350" t="s">
        <v>1489</v>
      </c>
      <c r="E12" s="757" t="s">
        <v>13</v>
      </c>
      <c r="F12" s="97">
        <v>14</v>
      </c>
      <c r="G12" s="946"/>
      <c r="H12" s="95"/>
      <c r="I12" s="1473"/>
    </row>
    <row r="13" spans="1:9" s="224" customFormat="1" x14ac:dyDescent="0.25">
      <c r="A13" s="215">
        <v>42857</v>
      </c>
      <c r="B13" s="862" t="s">
        <v>1257</v>
      </c>
      <c r="C13" s="350" t="s">
        <v>12</v>
      </c>
      <c r="D13" s="350" t="s">
        <v>1491</v>
      </c>
      <c r="E13" s="757" t="s">
        <v>13</v>
      </c>
      <c r="F13" s="97">
        <v>42</v>
      </c>
      <c r="G13" s="946"/>
      <c r="H13" s="95"/>
      <c r="I13" s="1473"/>
    </row>
    <row r="14" spans="1:9" s="224" customFormat="1" x14ac:dyDescent="0.25">
      <c r="A14" s="215">
        <v>42857</v>
      </c>
      <c r="B14" s="862" t="s">
        <v>14</v>
      </c>
      <c r="C14" s="350" t="s">
        <v>12</v>
      </c>
      <c r="D14" s="350" t="s">
        <v>1486</v>
      </c>
      <c r="E14" s="757" t="s">
        <v>13</v>
      </c>
      <c r="F14" s="97">
        <v>6.67</v>
      </c>
      <c r="G14" s="946"/>
      <c r="H14" s="95"/>
      <c r="I14" s="1473"/>
    </row>
    <row r="15" spans="1:9" s="224" customFormat="1" x14ac:dyDescent="0.25">
      <c r="A15" s="215">
        <v>42858</v>
      </c>
      <c r="B15" s="862" t="s">
        <v>32</v>
      </c>
      <c r="C15" s="350" t="s">
        <v>12</v>
      </c>
      <c r="D15" s="350" t="s">
        <v>1485</v>
      </c>
      <c r="E15" s="757" t="s">
        <v>13</v>
      </c>
      <c r="F15" s="97">
        <v>13</v>
      </c>
      <c r="G15" s="946"/>
      <c r="H15" s="95"/>
      <c r="I15" s="1473"/>
    </row>
    <row r="16" spans="1:9" s="224" customFormat="1" x14ac:dyDescent="0.25">
      <c r="A16" s="215">
        <v>42858</v>
      </c>
      <c r="B16" s="862" t="s">
        <v>14</v>
      </c>
      <c r="C16" s="350" t="s">
        <v>12</v>
      </c>
      <c r="D16" s="350" t="s">
        <v>1486</v>
      </c>
      <c r="E16" s="757" t="s">
        <v>13</v>
      </c>
      <c r="F16" s="97">
        <v>9.5</v>
      </c>
      <c r="G16" s="946"/>
      <c r="H16" s="95"/>
      <c r="I16" s="1473"/>
    </row>
    <row r="17" spans="1:9" s="224" customFormat="1" x14ac:dyDescent="0.25">
      <c r="A17" s="215">
        <v>42858</v>
      </c>
      <c r="B17" s="862" t="s">
        <v>1331</v>
      </c>
      <c r="C17" s="350" t="s">
        <v>12</v>
      </c>
      <c r="D17" s="350" t="s">
        <v>1487</v>
      </c>
      <c r="E17" s="757" t="s">
        <v>15</v>
      </c>
      <c r="F17" s="97">
        <v>20</v>
      </c>
      <c r="G17" s="946"/>
      <c r="H17" s="95"/>
      <c r="I17" s="1473"/>
    </row>
    <row r="18" spans="1:9" s="224" customFormat="1" x14ac:dyDescent="0.25">
      <c r="A18" s="215">
        <v>42858</v>
      </c>
      <c r="B18" s="862" t="s">
        <v>1591</v>
      </c>
      <c r="C18" s="350" t="s">
        <v>12</v>
      </c>
      <c r="D18" s="350" t="s">
        <v>1491</v>
      </c>
      <c r="E18" s="757" t="s">
        <v>15</v>
      </c>
      <c r="F18" s="97">
        <v>40</v>
      </c>
      <c r="G18" s="946"/>
      <c r="H18" s="95"/>
      <c r="I18" s="1473"/>
    </row>
    <row r="19" spans="1:9" s="224" customFormat="1" x14ac:dyDescent="0.25">
      <c r="A19" s="215">
        <v>42859</v>
      </c>
      <c r="B19" s="862" t="s">
        <v>32</v>
      </c>
      <c r="C19" s="350" t="s">
        <v>12</v>
      </c>
      <c r="D19" s="350" t="s">
        <v>1485</v>
      </c>
      <c r="E19" s="757" t="s">
        <v>13</v>
      </c>
      <c r="F19" s="97">
        <v>13</v>
      </c>
      <c r="G19" s="946"/>
      <c r="H19" s="95"/>
      <c r="I19" s="1473"/>
    </row>
    <row r="20" spans="1:9" s="224" customFormat="1" x14ac:dyDescent="0.25">
      <c r="A20" s="215">
        <v>42859</v>
      </c>
      <c r="B20" s="862" t="s">
        <v>256</v>
      </c>
      <c r="C20" s="879"/>
      <c r="D20" s="879"/>
      <c r="E20" s="1510"/>
      <c r="F20" s="97"/>
      <c r="G20" s="946">
        <v>143.82</v>
      </c>
      <c r="H20" s="97">
        <v>143.82</v>
      </c>
      <c r="I20" s="1473"/>
    </row>
    <row r="21" spans="1:9" s="224" customFormat="1" x14ac:dyDescent="0.25">
      <c r="A21" s="215">
        <v>42859</v>
      </c>
      <c r="B21" s="862" t="s">
        <v>138</v>
      </c>
      <c r="C21" s="350" t="s">
        <v>19</v>
      </c>
      <c r="D21" s="350" t="s">
        <v>1487</v>
      </c>
      <c r="E21" s="757" t="s">
        <v>13</v>
      </c>
      <c r="F21" s="97">
        <v>70</v>
      </c>
      <c r="G21" s="946"/>
      <c r="H21" s="95"/>
      <c r="I21" s="1473"/>
    </row>
    <row r="22" spans="1:9" s="224" customFormat="1" x14ac:dyDescent="0.25">
      <c r="A22" s="215">
        <v>42859</v>
      </c>
      <c r="B22" s="862" t="s">
        <v>14</v>
      </c>
      <c r="C22" s="350" t="s">
        <v>12</v>
      </c>
      <c r="D22" s="350" t="s">
        <v>1486</v>
      </c>
      <c r="E22" s="757" t="s">
        <v>13</v>
      </c>
      <c r="F22" s="97">
        <v>4</v>
      </c>
      <c r="G22" s="946"/>
      <c r="H22" s="95"/>
      <c r="I22" s="1473"/>
    </row>
    <row r="23" spans="1:9" s="224" customFormat="1" x14ac:dyDescent="0.25">
      <c r="A23" s="215">
        <v>42860</v>
      </c>
      <c r="B23" s="862" t="s">
        <v>32</v>
      </c>
      <c r="C23" s="350" t="s">
        <v>12</v>
      </c>
      <c r="D23" s="350" t="s">
        <v>1485</v>
      </c>
      <c r="E23" s="757" t="s">
        <v>15</v>
      </c>
      <c r="F23" s="97">
        <v>13</v>
      </c>
      <c r="G23" s="946"/>
      <c r="H23" s="97"/>
      <c r="I23" s="946"/>
    </row>
    <row r="24" spans="1:9" s="224" customFormat="1" ht="15.75" customHeight="1" x14ac:dyDescent="0.25">
      <c r="A24" s="215">
        <v>42860</v>
      </c>
      <c r="B24" s="349" t="s">
        <v>1592</v>
      </c>
      <c r="C24" s="879" t="s">
        <v>12</v>
      </c>
      <c r="D24" s="874"/>
      <c r="E24" s="875" t="s">
        <v>25</v>
      </c>
      <c r="F24" s="97"/>
      <c r="G24" s="1473">
        <v>1729.32</v>
      </c>
      <c r="H24" s="252"/>
      <c r="I24" s="946"/>
    </row>
    <row r="25" spans="1:9" s="224" customFormat="1" ht="15.75" customHeight="1" x14ac:dyDescent="0.25">
      <c r="A25" s="215">
        <v>42860</v>
      </c>
      <c r="B25" s="862" t="s">
        <v>1593</v>
      </c>
      <c r="C25" s="350" t="s">
        <v>12</v>
      </c>
      <c r="D25" s="350"/>
      <c r="E25" s="757" t="s">
        <v>13</v>
      </c>
      <c r="F25" s="250">
        <v>202.62</v>
      </c>
      <c r="G25" s="1473"/>
      <c r="H25" s="252"/>
      <c r="I25" s="946"/>
    </row>
    <row r="26" spans="1:9" s="224" customFormat="1" x14ac:dyDescent="0.25">
      <c r="A26" s="215">
        <v>42860</v>
      </c>
      <c r="B26" s="882" t="s">
        <v>1594</v>
      </c>
      <c r="C26" s="879" t="s">
        <v>12</v>
      </c>
      <c r="D26" s="879" t="s">
        <v>1499</v>
      </c>
      <c r="E26" s="871" t="s">
        <v>13</v>
      </c>
      <c r="F26" s="250">
        <v>45.94</v>
      </c>
      <c r="G26" s="946"/>
      <c r="H26" s="95"/>
      <c r="I26" s="946"/>
    </row>
    <row r="27" spans="1:9" s="224" customFormat="1" ht="15.75" customHeight="1" x14ac:dyDescent="0.25">
      <c r="A27" s="215">
        <v>42860</v>
      </c>
      <c r="B27" s="882" t="s">
        <v>1575</v>
      </c>
      <c r="C27" s="879" t="s">
        <v>12</v>
      </c>
      <c r="D27" s="879" t="s">
        <v>1499</v>
      </c>
      <c r="E27" s="1510" t="s">
        <v>13</v>
      </c>
      <c r="F27" s="97">
        <v>41.33</v>
      </c>
      <c r="G27" s="1473"/>
      <c r="H27" s="252"/>
      <c r="I27" s="946"/>
    </row>
    <row r="28" spans="1:9" x14ac:dyDescent="0.25">
      <c r="A28" s="215">
        <v>42860</v>
      </c>
      <c r="B28" s="862" t="s">
        <v>1532</v>
      </c>
      <c r="C28" s="879" t="s">
        <v>12</v>
      </c>
      <c r="D28" s="879" t="s">
        <v>1504</v>
      </c>
      <c r="E28" s="1510" t="s">
        <v>13</v>
      </c>
      <c r="F28" s="97">
        <v>50</v>
      </c>
      <c r="G28" s="946"/>
      <c r="H28" s="97"/>
      <c r="I28" s="946"/>
    </row>
    <row r="29" spans="1:9" x14ac:dyDescent="0.25">
      <c r="A29" s="215">
        <v>42860</v>
      </c>
      <c r="B29" s="862" t="s">
        <v>52</v>
      </c>
      <c r="C29" s="879" t="s">
        <v>12</v>
      </c>
      <c r="D29" s="879" t="s">
        <v>1496</v>
      </c>
      <c r="E29" s="1510" t="s">
        <v>13</v>
      </c>
      <c r="F29" s="97">
        <v>60</v>
      </c>
      <c r="G29" s="946"/>
      <c r="H29" s="97"/>
      <c r="I29" s="946"/>
    </row>
    <row r="30" spans="1:9" x14ac:dyDescent="0.25">
      <c r="A30" s="215">
        <v>42860</v>
      </c>
      <c r="B30" s="862" t="s">
        <v>1456</v>
      </c>
      <c r="C30" s="879" t="s">
        <v>12</v>
      </c>
      <c r="D30" s="879" t="s">
        <v>1496</v>
      </c>
      <c r="E30" s="1510" t="s">
        <v>13</v>
      </c>
      <c r="F30" s="97">
        <v>45</v>
      </c>
      <c r="G30" s="946"/>
      <c r="H30" s="97"/>
      <c r="I30" s="946"/>
    </row>
    <row r="31" spans="1:9" x14ac:dyDescent="0.25">
      <c r="A31" s="215">
        <v>42860</v>
      </c>
      <c r="B31" s="862" t="s">
        <v>1595</v>
      </c>
      <c r="C31" s="879" t="s">
        <v>12</v>
      </c>
      <c r="D31" s="879"/>
      <c r="E31" s="1510" t="s">
        <v>25</v>
      </c>
      <c r="F31" s="97"/>
      <c r="G31" s="946">
        <v>200</v>
      </c>
      <c r="H31" s="97"/>
      <c r="I31" s="946"/>
    </row>
    <row r="32" spans="1:9" s="224" customFormat="1" ht="15" customHeight="1" x14ac:dyDescent="0.25">
      <c r="A32" s="215">
        <v>42860</v>
      </c>
      <c r="B32" s="349" t="s">
        <v>260</v>
      </c>
      <c r="C32" s="350"/>
      <c r="D32" s="350"/>
      <c r="E32" s="757"/>
      <c r="F32" s="97">
        <v>640</v>
      </c>
      <c r="G32" s="946"/>
      <c r="H32" s="95"/>
      <c r="I32" s="946">
        <v>640</v>
      </c>
    </row>
    <row r="33" spans="1:9" s="224" customFormat="1" x14ac:dyDescent="0.25">
      <c r="A33" s="215">
        <v>42860</v>
      </c>
      <c r="B33" s="862" t="s">
        <v>14</v>
      </c>
      <c r="C33" s="350" t="s">
        <v>12</v>
      </c>
      <c r="D33" s="350" t="s">
        <v>1486</v>
      </c>
      <c r="E33" s="757" t="s">
        <v>13</v>
      </c>
      <c r="F33" s="97">
        <v>3.48</v>
      </c>
      <c r="G33" s="946"/>
      <c r="H33" s="97"/>
      <c r="I33" s="946"/>
    </row>
    <row r="34" spans="1:9" s="224" customFormat="1" ht="15" customHeight="1" x14ac:dyDescent="0.25">
      <c r="A34" s="215">
        <v>42861</v>
      </c>
      <c r="B34" s="862" t="s">
        <v>14</v>
      </c>
      <c r="C34" s="350" t="s">
        <v>12</v>
      </c>
      <c r="D34" s="350" t="s">
        <v>1486</v>
      </c>
      <c r="E34" s="757" t="s">
        <v>13</v>
      </c>
      <c r="F34" s="97">
        <v>23.48</v>
      </c>
      <c r="G34" s="946"/>
      <c r="H34" s="95"/>
      <c r="I34" s="946"/>
    </row>
    <row r="35" spans="1:9" s="224" customFormat="1" ht="15" customHeight="1" x14ac:dyDescent="0.25">
      <c r="A35" s="215">
        <v>42861</v>
      </c>
      <c r="B35" s="862" t="s">
        <v>32</v>
      </c>
      <c r="C35" s="350" t="s">
        <v>12</v>
      </c>
      <c r="D35" s="350" t="s">
        <v>1485</v>
      </c>
      <c r="E35" s="757" t="s">
        <v>15</v>
      </c>
      <c r="F35" s="97">
        <v>14.5</v>
      </c>
      <c r="G35" s="946"/>
      <c r="H35" s="95"/>
      <c r="I35" s="946"/>
    </row>
    <row r="36" spans="1:9" x14ac:dyDescent="0.25">
      <c r="A36" s="215">
        <v>42862</v>
      </c>
      <c r="B36" s="862" t="s">
        <v>81</v>
      </c>
      <c r="C36" s="350" t="s">
        <v>12</v>
      </c>
      <c r="D36" s="350" t="s">
        <v>1493</v>
      </c>
      <c r="E36" s="757" t="s">
        <v>13</v>
      </c>
      <c r="F36" s="97">
        <v>22.79</v>
      </c>
      <c r="G36" s="946"/>
      <c r="H36" s="97"/>
      <c r="I36" s="946"/>
    </row>
    <row r="37" spans="1:9" s="224" customFormat="1" x14ac:dyDescent="0.25">
      <c r="A37" s="215">
        <v>42862</v>
      </c>
      <c r="B37" s="349" t="s">
        <v>311</v>
      </c>
      <c r="C37" s="350"/>
      <c r="D37" s="350"/>
      <c r="E37" s="757"/>
      <c r="G37" s="946"/>
      <c r="H37" s="97"/>
      <c r="I37" s="946">
        <v>8.1</v>
      </c>
    </row>
    <row r="38" spans="1:9" s="224" customFormat="1" x14ac:dyDescent="0.25">
      <c r="A38" s="215">
        <v>42863</v>
      </c>
      <c r="B38" s="862" t="s">
        <v>32</v>
      </c>
      <c r="C38" s="350" t="s">
        <v>12</v>
      </c>
      <c r="D38" s="350" t="s">
        <v>1485</v>
      </c>
      <c r="E38" s="757" t="s">
        <v>15</v>
      </c>
      <c r="F38" s="97">
        <v>13</v>
      </c>
      <c r="G38" s="946"/>
      <c r="H38" s="97"/>
      <c r="I38" s="946"/>
    </row>
    <row r="39" spans="1:9" s="224" customFormat="1" x14ac:dyDescent="0.25">
      <c r="A39" s="215">
        <v>42863</v>
      </c>
      <c r="B39" s="862" t="s">
        <v>1596</v>
      </c>
      <c r="C39" s="350" t="s">
        <v>12</v>
      </c>
      <c r="D39" s="350" t="s">
        <v>1522</v>
      </c>
      <c r="E39" s="757" t="s">
        <v>15</v>
      </c>
      <c r="F39" s="97">
        <v>150</v>
      </c>
      <c r="G39" s="946"/>
      <c r="H39" s="97"/>
      <c r="I39" s="946"/>
    </row>
    <row r="40" spans="1:9" s="224" customFormat="1" x14ac:dyDescent="0.25">
      <c r="A40" s="215">
        <v>42863</v>
      </c>
      <c r="B40" s="862" t="s">
        <v>147</v>
      </c>
      <c r="C40" s="350" t="s">
        <v>12</v>
      </c>
      <c r="D40" s="350" t="s">
        <v>1489</v>
      </c>
      <c r="E40" s="757" t="s">
        <v>15</v>
      </c>
      <c r="F40" s="97">
        <v>15</v>
      </c>
      <c r="G40" s="946"/>
      <c r="H40" s="97"/>
      <c r="I40" s="946"/>
    </row>
    <row r="41" spans="1:9" s="224" customFormat="1" x14ac:dyDescent="0.25">
      <c r="A41" s="215">
        <v>42864</v>
      </c>
      <c r="B41" s="862" t="s">
        <v>32</v>
      </c>
      <c r="C41" s="350" t="s">
        <v>12</v>
      </c>
      <c r="D41" s="350" t="s">
        <v>1485</v>
      </c>
      <c r="E41" s="757" t="s">
        <v>13</v>
      </c>
      <c r="F41" s="97">
        <v>13</v>
      </c>
      <c r="G41" s="946"/>
      <c r="H41" s="97"/>
      <c r="I41" s="946"/>
    </row>
    <row r="42" spans="1:9" s="224" customFormat="1" x14ac:dyDescent="0.25">
      <c r="A42" s="215">
        <v>42864</v>
      </c>
      <c r="B42" s="349" t="s">
        <v>1554</v>
      </c>
      <c r="C42" s="350" t="s">
        <v>19</v>
      </c>
      <c r="D42" s="350" t="s">
        <v>1491</v>
      </c>
      <c r="E42" s="757" t="s">
        <v>13</v>
      </c>
      <c r="F42" s="97">
        <v>66.400000000000006</v>
      </c>
      <c r="G42" s="946"/>
      <c r="H42" s="97"/>
      <c r="I42" s="946"/>
    </row>
    <row r="43" spans="1:9" s="224" customFormat="1" ht="15" customHeight="1" x14ac:dyDescent="0.25">
      <c r="A43" s="215">
        <v>42864</v>
      </c>
      <c r="B43" s="862" t="s">
        <v>14</v>
      </c>
      <c r="C43" s="350" t="s">
        <v>12</v>
      </c>
      <c r="D43" s="350" t="s">
        <v>1486</v>
      </c>
      <c r="E43" s="757" t="s">
        <v>13</v>
      </c>
      <c r="F43" s="97">
        <v>8.4</v>
      </c>
      <c r="G43" s="946"/>
      <c r="H43" s="95"/>
      <c r="I43" s="946"/>
    </row>
    <row r="44" spans="1:9" s="224" customFormat="1" x14ac:dyDescent="0.25">
      <c r="A44" s="215">
        <v>42864</v>
      </c>
      <c r="B44" s="349" t="s">
        <v>1597</v>
      </c>
      <c r="C44" s="350" t="s">
        <v>12</v>
      </c>
      <c r="D44" s="350" t="s">
        <v>1491</v>
      </c>
      <c r="E44" s="757" t="s">
        <v>15</v>
      </c>
      <c r="F44" s="626">
        <v>120</v>
      </c>
      <c r="G44" s="946"/>
      <c r="H44" s="97"/>
      <c r="I44" s="946"/>
    </row>
    <row r="45" spans="1:9" s="224" customFormat="1" x14ac:dyDescent="0.25">
      <c r="A45" s="215">
        <v>42864</v>
      </c>
      <c r="B45" s="349" t="s">
        <v>311</v>
      </c>
      <c r="C45" s="350"/>
      <c r="D45" s="350"/>
      <c r="E45" s="757"/>
      <c r="G45" s="946"/>
      <c r="H45" s="97"/>
      <c r="I45" s="946">
        <v>4.2699999999999996</v>
      </c>
    </row>
    <row r="46" spans="1:9" x14ac:dyDescent="0.25">
      <c r="A46" s="215">
        <v>42865</v>
      </c>
      <c r="B46" s="862" t="s">
        <v>32</v>
      </c>
      <c r="C46" s="350" t="s">
        <v>12</v>
      </c>
      <c r="D46" s="350" t="s">
        <v>1485</v>
      </c>
      <c r="E46" s="757" t="s">
        <v>13</v>
      </c>
      <c r="F46" s="97">
        <v>13</v>
      </c>
      <c r="G46" s="946"/>
      <c r="H46" s="97"/>
      <c r="I46" s="946"/>
    </row>
    <row r="47" spans="1:9" x14ac:dyDescent="0.25">
      <c r="A47" s="215">
        <v>42865</v>
      </c>
      <c r="B47" s="862" t="s">
        <v>138</v>
      </c>
      <c r="C47" s="350" t="s">
        <v>19</v>
      </c>
      <c r="D47" s="350" t="s">
        <v>1487</v>
      </c>
      <c r="E47" s="757" t="s">
        <v>15</v>
      </c>
      <c r="F47" s="97">
        <v>70</v>
      </c>
      <c r="G47" s="946"/>
      <c r="H47" s="97"/>
      <c r="I47" s="946"/>
    </row>
    <row r="48" spans="1:9" x14ac:dyDescent="0.25">
      <c r="A48" s="215">
        <v>42865</v>
      </c>
      <c r="B48" s="862" t="s">
        <v>1598</v>
      </c>
      <c r="C48" s="350" t="s">
        <v>12</v>
      </c>
      <c r="D48" s="350" t="s">
        <v>1506</v>
      </c>
      <c r="E48" s="757" t="s">
        <v>13</v>
      </c>
      <c r="F48" s="97">
        <v>50</v>
      </c>
      <c r="G48" s="946"/>
      <c r="H48" s="97"/>
      <c r="I48" s="946"/>
    </row>
    <row r="49" spans="1:9" x14ac:dyDescent="0.25">
      <c r="A49" s="215">
        <v>42866</v>
      </c>
      <c r="B49" s="862" t="s">
        <v>32</v>
      </c>
      <c r="C49" s="350" t="s">
        <v>12</v>
      </c>
      <c r="D49" s="350" t="s">
        <v>1485</v>
      </c>
      <c r="E49" s="757" t="s">
        <v>13</v>
      </c>
      <c r="F49" s="97">
        <v>13</v>
      </c>
      <c r="G49" s="946"/>
      <c r="H49" s="97"/>
      <c r="I49" s="946"/>
    </row>
    <row r="50" spans="1:9" s="224" customFormat="1" x14ac:dyDescent="0.25">
      <c r="A50" s="215">
        <v>42866</v>
      </c>
      <c r="B50" s="349" t="s">
        <v>14</v>
      </c>
      <c r="C50" s="350" t="s">
        <v>12</v>
      </c>
      <c r="D50" s="350" t="s">
        <v>1486</v>
      </c>
      <c r="E50" s="757" t="s">
        <v>13</v>
      </c>
      <c r="F50" s="97">
        <v>21.37</v>
      </c>
      <c r="G50" s="946"/>
      <c r="H50" s="97"/>
      <c r="I50" s="946"/>
    </row>
    <row r="51" spans="1:9" x14ac:dyDescent="0.25">
      <c r="A51" s="215">
        <v>42867</v>
      </c>
      <c r="B51" s="862" t="s">
        <v>32</v>
      </c>
      <c r="C51" s="350" t="s">
        <v>12</v>
      </c>
      <c r="D51" s="350" t="s">
        <v>1485</v>
      </c>
      <c r="E51" s="757" t="s">
        <v>15</v>
      </c>
      <c r="F51" s="97">
        <v>13</v>
      </c>
      <c r="G51" s="946"/>
      <c r="H51" s="97"/>
      <c r="I51" s="946"/>
    </row>
    <row r="52" spans="1:9" s="224" customFormat="1" x14ac:dyDescent="0.25">
      <c r="A52" s="215">
        <v>42867</v>
      </c>
      <c r="B52" s="349" t="s">
        <v>1599</v>
      </c>
      <c r="C52" s="350" t="s">
        <v>19</v>
      </c>
      <c r="D52" s="350" t="s">
        <v>1493</v>
      </c>
      <c r="E52" s="757" t="s">
        <v>13</v>
      </c>
      <c r="F52" s="97">
        <v>30.12</v>
      </c>
      <c r="G52" s="946"/>
      <c r="H52" s="97"/>
      <c r="I52" s="946"/>
    </row>
    <row r="53" spans="1:9" s="224" customFormat="1" x14ac:dyDescent="0.25">
      <c r="A53" s="215">
        <v>42867</v>
      </c>
      <c r="B53" s="349" t="s">
        <v>14</v>
      </c>
      <c r="C53" s="879" t="s">
        <v>12</v>
      </c>
      <c r="D53" s="350" t="s">
        <v>1486</v>
      </c>
      <c r="E53" s="871" t="s">
        <v>13</v>
      </c>
      <c r="F53" s="250">
        <v>9.9</v>
      </c>
      <c r="G53" s="946"/>
      <c r="H53" s="97"/>
      <c r="I53" s="946"/>
    </row>
    <row r="54" spans="1:9" x14ac:dyDescent="0.25">
      <c r="A54" s="215">
        <v>42868</v>
      </c>
      <c r="B54" s="862" t="s">
        <v>1581</v>
      </c>
      <c r="C54" s="350" t="s">
        <v>12</v>
      </c>
      <c r="D54" s="350" t="s">
        <v>1489</v>
      </c>
      <c r="E54" s="757" t="s">
        <v>13</v>
      </c>
      <c r="F54" s="97">
        <v>74.14</v>
      </c>
      <c r="G54" s="946"/>
      <c r="H54" s="97"/>
      <c r="I54" s="946"/>
    </row>
    <row r="55" spans="1:9" s="224" customFormat="1" x14ac:dyDescent="0.25">
      <c r="A55" s="215">
        <v>42868</v>
      </c>
      <c r="B55" s="349" t="s">
        <v>1600</v>
      </c>
      <c r="C55" s="350" t="s">
        <v>12</v>
      </c>
      <c r="D55" s="350" t="s">
        <v>1489</v>
      </c>
      <c r="E55" s="757" t="s">
        <v>13</v>
      </c>
      <c r="F55" s="97">
        <v>35</v>
      </c>
      <c r="G55" s="946"/>
      <c r="H55" s="97"/>
      <c r="I55" s="946"/>
    </row>
    <row r="56" spans="1:9" x14ac:dyDescent="0.25">
      <c r="A56" s="215">
        <v>42869</v>
      </c>
      <c r="B56" s="862" t="s">
        <v>138</v>
      </c>
      <c r="C56" s="350" t="s">
        <v>12</v>
      </c>
      <c r="D56" s="350" t="s">
        <v>1487</v>
      </c>
      <c r="E56" s="757" t="s">
        <v>15</v>
      </c>
      <c r="F56" s="97">
        <v>40</v>
      </c>
      <c r="G56" s="946"/>
      <c r="H56" s="97"/>
      <c r="I56" s="946"/>
    </row>
    <row r="57" spans="1:9" x14ac:dyDescent="0.25">
      <c r="A57" s="215">
        <v>42869</v>
      </c>
      <c r="B57" s="862" t="s">
        <v>14</v>
      </c>
      <c r="C57" s="350" t="s">
        <v>12</v>
      </c>
      <c r="D57" s="350" t="s">
        <v>1486</v>
      </c>
      <c r="E57" s="757" t="s">
        <v>13</v>
      </c>
      <c r="F57" s="97">
        <v>5.5</v>
      </c>
      <c r="G57" s="946"/>
      <c r="H57" s="97"/>
      <c r="I57" s="946"/>
    </row>
    <row r="58" spans="1:9" s="224" customFormat="1" x14ac:dyDescent="0.25">
      <c r="A58" s="215">
        <v>42870</v>
      </c>
      <c r="B58" s="862" t="s">
        <v>32</v>
      </c>
      <c r="C58" s="350" t="s">
        <v>12</v>
      </c>
      <c r="D58" s="350" t="s">
        <v>1485</v>
      </c>
      <c r="E58" s="757" t="s">
        <v>15</v>
      </c>
      <c r="F58" s="97">
        <v>13</v>
      </c>
      <c r="G58" s="946"/>
      <c r="H58" s="97"/>
      <c r="I58" s="946"/>
    </row>
    <row r="59" spans="1:9" s="224" customFormat="1" x14ac:dyDescent="0.25">
      <c r="A59" s="215">
        <v>42870</v>
      </c>
      <c r="B59" s="862" t="s">
        <v>1257</v>
      </c>
      <c r="C59" s="350" t="s">
        <v>12</v>
      </c>
      <c r="D59" s="350" t="s">
        <v>1491</v>
      </c>
      <c r="E59" s="757" t="s">
        <v>13</v>
      </c>
      <c r="F59" s="97">
        <v>42</v>
      </c>
      <c r="G59" s="946"/>
      <c r="H59" s="95"/>
      <c r="I59" s="1473"/>
    </row>
    <row r="60" spans="1:9" ht="15" customHeight="1" x14ac:dyDescent="0.25">
      <c r="A60" s="215">
        <v>42870</v>
      </c>
      <c r="B60" s="349" t="s">
        <v>1396</v>
      </c>
      <c r="C60" s="350" t="s">
        <v>12</v>
      </c>
      <c r="D60" s="350"/>
      <c r="E60" s="757" t="s">
        <v>25</v>
      </c>
      <c r="F60" s="97"/>
      <c r="G60" s="946">
        <v>40</v>
      </c>
      <c r="H60" s="97"/>
      <c r="I60" s="946"/>
    </row>
    <row r="61" spans="1:9" s="224" customFormat="1" x14ac:dyDescent="0.25">
      <c r="A61" s="215">
        <v>42871</v>
      </c>
      <c r="B61" s="862" t="s">
        <v>256</v>
      </c>
      <c r="C61" s="879"/>
      <c r="D61" s="879"/>
      <c r="E61" s="1510"/>
      <c r="F61" s="97"/>
      <c r="G61" s="946">
        <v>112.37</v>
      </c>
      <c r="H61" s="97">
        <v>112.37</v>
      </c>
      <c r="I61" s="1473"/>
    </row>
    <row r="62" spans="1:9" s="224" customFormat="1" x14ac:dyDescent="0.25">
      <c r="A62" s="215">
        <v>42871</v>
      </c>
      <c r="B62" s="862" t="s">
        <v>32</v>
      </c>
      <c r="C62" s="350" t="s">
        <v>12</v>
      </c>
      <c r="D62" s="350" t="s">
        <v>1485</v>
      </c>
      <c r="E62" s="757" t="s">
        <v>13</v>
      </c>
      <c r="F62" s="97">
        <v>13</v>
      </c>
      <c r="G62" s="946"/>
      <c r="H62" s="97"/>
      <c r="I62" s="946"/>
    </row>
    <row r="63" spans="1:9" s="224" customFormat="1" x14ac:dyDescent="0.25">
      <c r="A63" s="215">
        <v>42871</v>
      </c>
      <c r="B63" s="862" t="s">
        <v>1601</v>
      </c>
      <c r="C63" s="350" t="s">
        <v>12</v>
      </c>
      <c r="D63" s="350" t="s">
        <v>1522</v>
      </c>
      <c r="E63" s="757" t="s">
        <v>13</v>
      </c>
      <c r="F63" s="97">
        <v>65</v>
      </c>
      <c r="G63" s="946"/>
      <c r="H63" s="97"/>
      <c r="I63" s="946"/>
    </row>
    <row r="64" spans="1:9" s="224" customFormat="1" x14ac:dyDescent="0.25">
      <c r="A64" s="215">
        <v>42871</v>
      </c>
      <c r="B64" s="862" t="s">
        <v>134</v>
      </c>
      <c r="C64" s="350" t="s">
        <v>12</v>
      </c>
      <c r="D64" s="350" t="s">
        <v>1493</v>
      </c>
      <c r="E64" s="757" t="s">
        <v>13</v>
      </c>
      <c r="F64" s="97">
        <v>17.489999999999998</v>
      </c>
      <c r="G64" s="946"/>
      <c r="H64" s="97"/>
      <c r="I64" s="946"/>
    </row>
    <row r="65" spans="1:9" s="224" customFormat="1" x14ac:dyDescent="0.25">
      <c r="A65" s="215">
        <v>42871</v>
      </c>
      <c r="B65" s="862" t="s">
        <v>1602</v>
      </c>
      <c r="C65" s="350" t="s">
        <v>12</v>
      </c>
      <c r="D65" s="350" t="s">
        <v>1522</v>
      </c>
      <c r="E65" s="757" t="s">
        <v>13</v>
      </c>
      <c r="F65" s="97">
        <v>10</v>
      </c>
      <c r="G65" s="946"/>
      <c r="H65" s="97"/>
      <c r="I65" s="946"/>
    </row>
    <row r="66" spans="1:9" s="224" customFormat="1" x14ac:dyDescent="0.25">
      <c r="A66" s="215">
        <v>42872</v>
      </c>
      <c r="B66" s="862" t="s">
        <v>256</v>
      </c>
      <c r="C66" s="879"/>
      <c r="D66" s="879"/>
      <c r="E66" s="1510"/>
      <c r="F66" s="97"/>
      <c r="G66" s="946">
        <v>150</v>
      </c>
      <c r="H66" s="97">
        <v>150</v>
      </c>
      <c r="I66" s="1473"/>
    </row>
    <row r="67" spans="1:9" s="224" customFormat="1" x14ac:dyDescent="0.25">
      <c r="A67" s="215">
        <v>42872</v>
      </c>
      <c r="B67" s="862" t="s">
        <v>32</v>
      </c>
      <c r="C67" s="350" t="s">
        <v>12</v>
      </c>
      <c r="D67" s="350" t="s">
        <v>1485</v>
      </c>
      <c r="E67" s="757" t="s">
        <v>13</v>
      </c>
      <c r="F67" s="97">
        <v>13</v>
      </c>
      <c r="G67" s="946"/>
      <c r="H67" s="97"/>
      <c r="I67" s="946"/>
    </row>
    <row r="68" spans="1:9" s="224" customFormat="1" x14ac:dyDescent="0.25">
      <c r="A68" s="215">
        <v>42872</v>
      </c>
      <c r="B68" s="862" t="s">
        <v>1603</v>
      </c>
      <c r="C68" s="350" t="s">
        <v>12</v>
      </c>
      <c r="D68" s="350" t="s">
        <v>1522</v>
      </c>
      <c r="E68" s="757" t="s">
        <v>13</v>
      </c>
      <c r="F68" s="97">
        <v>20</v>
      </c>
      <c r="G68" s="946"/>
      <c r="H68" s="97"/>
      <c r="I68" s="946"/>
    </row>
    <row r="69" spans="1:9" x14ac:dyDescent="0.25">
      <c r="A69" s="215">
        <v>42872</v>
      </c>
      <c r="B69" s="862" t="s">
        <v>14</v>
      </c>
      <c r="C69" s="350" t="s">
        <v>12</v>
      </c>
      <c r="D69" s="350" t="s">
        <v>1486</v>
      </c>
      <c r="E69" s="757" t="s">
        <v>13</v>
      </c>
      <c r="F69" s="97">
        <v>10.4</v>
      </c>
      <c r="G69" s="946"/>
      <c r="H69" s="95"/>
      <c r="I69" s="946"/>
    </row>
    <row r="70" spans="1:9" s="224" customFormat="1" x14ac:dyDescent="0.25">
      <c r="A70" s="215">
        <v>42873</v>
      </c>
      <c r="B70" s="862" t="s">
        <v>1331</v>
      </c>
      <c r="C70" s="350" t="s">
        <v>12</v>
      </c>
      <c r="D70" s="350" t="s">
        <v>1487</v>
      </c>
      <c r="E70" s="757" t="s">
        <v>15</v>
      </c>
      <c r="F70" s="97">
        <v>10</v>
      </c>
      <c r="G70" s="946"/>
      <c r="H70" s="95"/>
      <c r="I70" s="1473"/>
    </row>
    <row r="71" spans="1:9" x14ac:dyDescent="0.25">
      <c r="A71" s="215">
        <v>42873</v>
      </c>
      <c r="B71" s="862" t="s">
        <v>32</v>
      </c>
      <c r="C71" s="350" t="s">
        <v>12</v>
      </c>
      <c r="D71" s="350" t="s">
        <v>1485</v>
      </c>
      <c r="E71" s="757" t="s">
        <v>13</v>
      </c>
      <c r="F71" s="97">
        <v>13</v>
      </c>
      <c r="G71" s="946"/>
      <c r="H71" s="95"/>
      <c r="I71" s="946"/>
    </row>
    <row r="72" spans="1:9" s="224" customFormat="1" x14ac:dyDescent="0.25">
      <c r="A72" s="215">
        <v>42873</v>
      </c>
      <c r="B72" s="862" t="s">
        <v>14</v>
      </c>
      <c r="C72" s="350" t="s">
        <v>12</v>
      </c>
      <c r="D72" s="350" t="s">
        <v>1486</v>
      </c>
      <c r="E72" s="757" t="s">
        <v>13</v>
      </c>
      <c r="F72" s="97">
        <v>6.15</v>
      </c>
      <c r="G72" s="946"/>
      <c r="H72" s="97"/>
      <c r="I72" s="946"/>
    </row>
    <row r="73" spans="1:9" s="224" customFormat="1" ht="15" customHeight="1" x14ac:dyDescent="0.25">
      <c r="A73" s="215">
        <v>42874</v>
      </c>
      <c r="B73" s="882" t="s">
        <v>1604</v>
      </c>
      <c r="C73" s="350" t="s">
        <v>12</v>
      </c>
      <c r="D73" s="879"/>
      <c r="E73" s="871" t="s">
        <v>25</v>
      </c>
      <c r="F73" s="97"/>
      <c r="G73" s="946">
        <v>1510.31</v>
      </c>
      <c r="H73" s="95"/>
      <c r="I73" s="1473"/>
    </row>
    <row r="74" spans="1:9" s="224" customFormat="1" x14ac:dyDescent="0.25">
      <c r="A74" s="215">
        <v>42874</v>
      </c>
      <c r="B74" s="862" t="s">
        <v>1605</v>
      </c>
      <c r="C74" s="879" t="s">
        <v>12</v>
      </c>
      <c r="D74" s="879" t="s">
        <v>1522</v>
      </c>
      <c r="E74" s="1510" t="s">
        <v>13</v>
      </c>
      <c r="F74" s="97">
        <v>234.77</v>
      </c>
      <c r="G74" s="946"/>
      <c r="H74" s="95"/>
      <c r="I74" s="1473"/>
    </row>
    <row r="75" spans="1:9" s="224" customFormat="1" x14ac:dyDescent="0.25">
      <c r="A75" s="215">
        <v>42874</v>
      </c>
      <c r="B75" s="873" t="s">
        <v>1564</v>
      </c>
      <c r="C75" s="879" t="s">
        <v>12</v>
      </c>
      <c r="D75" s="350" t="s">
        <v>1491</v>
      </c>
      <c r="E75" s="871" t="s">
        <v>15</v>
      </c>
      <c r="F75" s="97">
        <v>100</v>
      </c>
      <c r="G75" s="946"/>
      <c r="H75" s="97"/>
      <c r="I75" s="946"/>
    </row>
    <row r="76" spans="1:9" s="224" customFormat="1" ht="15" customHeight="1" x14ac:dyDescent="0.25">
      <c r="A76" s="215">
        <v>42874</v>
      </c>
      <c r="B76" s="349" t="s">
        <v>260</v>
      </c>
      <c r="C76" s="350"/>
      <c r="D76" s="350"/>
      <c r="E76" s="757"/>
      <c r="F76" s="97">
        <v>550</v>
      </c>
      <c r="G76" s="946"/>
      <c r="H76" s="95"/>
      <c r="I76" s="946">
        <v>550</v>
      </c>
    </row>
    <row r="77" spans="1:9" s="224" customFormat="1" x14ac:dyDescent="0.25">
      <c r="A77" s="215">
        <v>42874</v>
      </c>
      <c r="B77" s="862" t="s">
        <v>32</v>
      </c>
      <c r="C77" s="350" t="s">
        <v>12</v>
      </c>
      <c r="D77" s="350" t="s">
        <v>1485</v>
      </c>
      <c r="E77" s="757" t="s">
        <v>13</v>
      </c>
      <c r="F77" s="97">
        <v>13</v>
      </c>
      <c r="G77" s="946"/>
      <c r="H77" s="97"/>
      <c r="I77" s="946"/>
    </row>
    <row r="78" spans="1:9" s="224" customFormat="1" x14ac:dyDescent="0.25">
      <c r="A78" s="215">
        <v>42874</v>
      </c>
      <c r="B78" s="862" t="s">
        <v>134</v>
      </c>
      <c r="C78" s="350" t="s">
        <v>12</v>
      </c>
      <c r="D78" s="350" t="s">
        <v>1493</v>
      </c>
      <c r="E78" s="757" t="s">
        <v>13</v>
      </c>
      <c r="F78" s="97">
        <v>22.64</v>
      </c>
      <c r="G78" s="946"/>
      <c r="H78" s="97"/>
      <c r="I78" s="946"/>
    </row>
    <row r="79" spans="1:9" s="224" customFormat="1" x14ac:dyDescent="0.25">
      <c r="A79" s="215">
        <v>42874</v>
      </c>
      <c r="B79" s="862" t="s">
        <v>1331</v>
      </c>
      <c r="C79" s="350" t="s">
        <v>12</v>
      </c>
      <c r="D79" s="350" t="s">
        <v>1487</v>
      </c>
      <c r="E79" s="757" t="s">
        <v>13</v>
      </c>
      <c r="F79" s="97">
        <v>70</v>
      </c>
      <c r="G79" s="946"/>
      <c r="H79" s="97"/>
      <c r="I79" s="946"/>
    </row>
    <row r="80" spans="1:9" s="224" customFormat="1" x14ac:dyDescent="0.25">
      <c r="A80" s="215">
        <v>42874</v>
      </c>
      <c r="B80" s="862" t="s">
        <v>134</v>
      </c>
      <c r="C80" s="350" t="s">
        <v>12</v>
      </c>
      <c r="D80" s="350" t="s">
        <v>1493</v>
      </c>
      <c r="E80" s="757" t="s">
        <v>13</v>
      </c>
      <c r="F80" s="97">
        <v>8.91</v>
      </c>
      <c r="G80" s="946"/>
      <c r="H80" s="97"/>
      <c r="I80" s="946"/>
    </row>
    <row r="81" spans="1:9" s="224" customFormat="1" x14ac:dyDescent="0.25">
      <c r="A81" s="215">
        <v>42875</v>
      </c>
      <c r="B81" s="862" t="s">
        <v>32</v>
      </c>
      <c r="C81" s="350" t="s">
        <v>12</v>
      </c>
      <c r="D81" s="350" t="s">
        <v>1485</v>
      </c>
      <c r="E81" s="757" t="s">
        <v>13</v>
      </c>
      <c r="F81" s="97">
        <v>14.5</v>
      </c>
      <c r="G81" s="946"/>
      <c r="H81" s="95"/>
      <c r="I81" s="1473"/>
    </row>
    <row r="82" spans="1:9" s="224" customFormat="1" x14ac:dyDescent="0.25">
      <c r="A82" s="215">
        <v>42875</v>
      </c>
      <c r="B82" s="862" t="s">
        <v>14</v>
      </c>
      <c r="C82" s="350" t="s">
        <v>12</v>
      </c>
      <c r="D82" s="350" t="s">
        <v>1486</v>
      </c>
      <c r="E82" s="757" t="s">
        <v>13</v>
      </c>
      <c r="F82" s="97">
        <v>7.93</v>
      </c>
      <c r="G82" s="946"/>
      <c r="H82" s="97"/>
      <c r="I82" s="946"/>
    </row>
    <row r="83" spans="1:9" s="224" customFormat="1" x14ac:dyDescent="0.25">
      <c r="A83" s="215">
        <v>42876</v>
      </c>
      <c r="B83" s="862" t="s">
        <v>14</v>
      </c>
      <c r="C83" s="350" t="s">
        <v>12</v>
      </c>
      <c r="D83" s="350" t="s">
        <v>1486</v>
      </c>
      <c r="E83" s="757" t="s">
        <v>13</v>
      </c>
      <c r="F83" s="97">
        <v>12.37</v>
      </c>
      <c r="G83" s="946"/>
      <c r="H83" s="95"/>
      <c r="I83" s="1473"/>
    </row>
    <row r="84" spans="1:9" s="224" customFormat="1" x14ac:dyDescent="0.25">
      <c r="A84" s="215">
        <v>42877</v>
      </c>
      <c r="B84" s="862" t="s">
        <v>32</v>
      </c>
      <c r="C84" s="350" t="s">
        <v>12</v>
      </c>
      <c r="D84" s="350" t="s">
        <v>1485</v>
      </c>
      <c r="E84" s="757" t="s">
        <v>15</v>
      </c>
      <c r="F84" s="97">
        <v>13</v>
      </c>
      <c r="G84" s="946"/>
      <c r="H84" s="95"/>
      <c r="I84" s="1473"/>
    </row>
    <row r="85" spans="1:9" s="224" customFormat="1" x14ac:dyDescent="0.25">
      <c r="A85" s="215">
        <v>42878</v>
      </c>
      <c r="B85" s="862" t="s">
        <v>32</v>
      </c>
      <c r="C85" s="350" t="s">
        <v>12</v>
      </c>
      <c r="D85" s="350" t="s">
        <v>1485</v>
      </c>
      <c r="E85" s="757" t="s">
        <v>15</v>
      </c>
      <c r="F85" s="97">
        <v>13</v>
      </c>
      <c r="G85" s="946"/>
      <c r="H85" s="95"/>
      <c r="I85" s="1473"/>
    </row>
    <row r="86" spans="1:9" s="224" customFormat="1" x14ac:dyDescent="0.25">
      <c r="A86" s="215">
        <v>42878</v>
      </c>
      <c r="B86" s="862" t="s">
        <v>14</v>
      </c>
      <c r="C86" s="350" t="s">
        <v>12</v>
      </c>
      <c r="D86" s="350" t="s">
        <v>1486</v>
      </c>
      <c r="E86" s="757" t="s">
        <v>13</v>
      </c>
      <c r="F86" s="97">
        <v>7.22</v>
      </c>
      <c r="G86" s="946"/>
      <c r="H86" s="97"/>
      <c r="I86" s="946"/>
    </row>
    <row r="87" spans="1:9" s="224" customFormat="1" x14ac:dyDescent="0.25">
      <c r="A87" s="215">
        <v>42878</v>
      </c>
      <c r="B87" s="862" t="s">
        <v>1332</v>
      </c>
      <c r="C87" s="350" t="s">
        <v>19</v>
      </c>
      <c r="D87" s="350" t="s">
        <v>1491</v>
      </c>
      <c r="E87" s="757" t="s">
        <v>13</v>
      </c>
      <c r="F87" s="97">
        <v>41.79</v>
      </c>
      <c r="G87" s="946"/>
      <c r="H87" s="95"/>
      <c r="I87" s="1473"/>
    </row>
    <row r="88" spans="1:9" s="224" customFormat="1" x14ac:dyDescent="0.25">
      <c r="A88" s="215">
        <v>42878</v>
      </c>
      <c r="B88" s="862" t="s">
        <v>1606</v>
      </c>
      <c r="C88" s="350" t="s">
        <v>19</v>
      </c>
      <c r="D88" s="350" t="s">
        <v>1489</v>
      </c>
      <c r="E88" s="757" t="s">
        <v>13</v>
      </c>
      <c r="F88" s="97">
        <v>12.7</v>
      </c>
      <c r="G88" s="946"/>
      <c r="H88" s="95"/>
      <c r="I88" s="1473"/>
    </row>
    <row r="89" spans="1:9" s="224" customFormat="1" x14ac:dyDescent="0.25">
      <c r="A89" s="215">
        <v>42879</v>
      </c>
      <c r="B89" s="862" t="s">
        <v>1607</v>
      </c>
      <c r="C89" s="350" t="s">
        <v>12</v>
      </c>
      <c r="D89" s="874" t="s">
        <v>1504</v>
      </c>
      <c r="E89" s="870" t="s">
        <v>13</v>
      </c>
      <c r="F89" s="97">
        <v>60.46</v>
      </c>
      <c r="G89" s="946"/>
      <c r="H89" s="95"/>
      <c r="I89" s="1473"/>
    </row>
    <row r="90" spans="1:9" s="224" customFormat="1" x14ac:dyDescent="0.25">
      <c r="A90" s="215">
        <v>42879</v>
      </c>
      <c r="B90" s="862" t="s">
        <v>32</v>
      </c>
      <c r="C90" s="350" t="s">
        <v>12</v>
      </c>
      <c r="D90" s="350" t="s">
        <v>1485</v>
      </c>
      <c r="E90" s="757" t="s">
        <v>15</v>
      </c>
      <c r="F90" s="97">
        <v>13</v>
      </c>
      <c r="G90" s="946"/>
      <c r="H90" s="95"/>
      <c r="I90" s="1473"/>
    </row>
    <row r="91" spans="1:9" s="224" customFormat="1" x14ac:dyDescent="0.25">
      <c r="A91" s="215">
        <v>42879</v>
      </c>
      <c r="B91" s="862" t="s">
        <v>134</v>
      </c>
      <c r="C91" s="350" t="s">
        <v>12</v>
      </c>
      <c r="D91" s="350" t="s">
        <v>1493</v>
      </c>
      <c r="E91" s="757" t="s">
        <v>15</v>
      </c>
      <c r="F91" s="97">
        <v>16</v>
      </c>
      <c r="G91" s="946"/>
      <c r="H91" s="95"/>
      <c r="I91" s="1473"/>
    </row>
    <row r="92" spans="1:9" s="224" customFormat="1" x14ac:dyDescent="0.25">
      <c r="A92" s="215">
        <v>42880</v>
      </c>
      <c r="B92" s="862" t="s">
        <v>32</v>
      </c>
      <c r="C92" s="350" t="s">
        <v>12</v>
      </c>
      <c r="D92" s="350" t="s">
        <v>1485</v>
      </c>
      <c r="E92" s="757" t="s">
        <v>13</v>
      </c>
      <c r="F92" s="97">
        <v>13</v>
      </c>
      <c r="G92" s="946"/>
      <c r="H92" s="95"/>
      <c r="I92" s="1473"/>
    </row>
    <row r="93" spans="1:9" s="224" customFormat="1" x14ac:dyDescent="0.25">
      <c r="A93" s="215">
        <v>42880</v>
      </c>
      <c r="B93" s="862" t="s">
        <v>138</v>
      </c>
      <c r="C93" s="350" t="s">
        <v>19</v>
      </c>
      <c r="D93" s="350" t="s">
        <v>1487</v>
      </c>
      <c r="E93" s="757" t="s">
        <v>13</v>
      </c>
      <c r="F93" s="97">
        <v>70</v>
      </c>
      <c r="G93" s="946"/>
      <c r="H93" s="95"/>
      <c r="I93" s="1473"/>
    </row>
    <row r="94" spans="1:9" s="224" customFormat="1" x14ac:dyDescent="0.25">
      <c r="A94" s="215">
        <v>42880</v>
      </c>
      <c r="B94" s="862" t="s">
        <v>1608</v>
      </c>
      <c r="C94" s="350" t="s">
        <v>12</v>
      </c>
      <c r="D94" s="350" t="s">
        <v>1506</v>
      </c>
      <c r="E94" s="757" t="s">
        <v>13</v>
      </c>
      <c r="F94" s="97">
        <v>19.899999999999999</v>
      </c>
      <c r="G94" s="946"/>
      <c r="H94" s="95"/>
      <c r="I94" s="1473"/>
    </row>
    <row r="95" spans="1:9" s="224" customFormat="1" x14ac:dyDescent="0.25">
      <c r="A95" s="215">
        <v>42880</v>
      </c>
      <c r="B95" s="862" t="s">
        <v>14</v>
      </c>
      <c r="C95" s="350" t="s">
        <v>12</v>
      </c>
      <c r="D95" s="350" t="s">
        <v>1486</v>
      </c>
      <c r="E95" s="757" t="s">
        <v>13</v>
      </c>
      <c r="F95" s="97">
        <v>3.96</v>
      </c>
      <c r="G95" s="946"/>
      <c r="H95" s="95"/>
      <c r="I95" s="1473"/>
    </row>
    <row r="96" spans="1:9" s="224" customFormat="1" x14ac:dyDescent="0.25">
      <c r="A96" s="215">
        <v>42881</v>
      </c>
      <c r="B96" s="862" t="s">
        <v>32</v>
      </c>
      <c r="C96" s="350" t="s">
        <v>12</v>
      </c>
      <c r="D96" s="350" t="s">
        <v>1485</v>
      </c>
      <c r="E96" s="757" t="s">
        <v>15</v>
      </c>
      <c r="F96" s="97">
        <v>13</v>
      </c>
      <c r="G96" s="946"/>
      <c r="H96" s="95"/>
      <c r="I96" s="1473"/>
    </row>
    <row r="97" spans="1:9" s="224" customFormat="1" x14ac:dyDescent="0.25">
      <c r="A97" s="215">
        <v>42881</v>
      </c>
      <c r="B97" s="862" t="s">
        <v>1257</v>
      </c>
      <c r="C97" s="350" t="s">
        <v>12</v>
      </c>
      <c r="D97" s="350" t="s">
        <v>1491</v>
      </c>
      <c r="E97" s="757" t="s">
        <v>13</v>
      </c>
      <c r="F97" s="97">
        <v>42</v>
      </c>
      <c r="G97" s="946"/>
      <c r="H97" s="95"/>
      <c r="I97" s="1473"/>
    </row>
    <row r="98" spans="1:9" s="224" customFormat="1" x14ac:dyDescent="0.25">
      <c r="A98" s="215">
        <v>42881</v>
      </c>
      <c r="B98" s="862" t="s">
        <v>14</v>
      </c>
      <c r="C98" s="350" t="s">
        <v>12</v>
      </c>
      <c r="D98" s="350" t="s">
        <v>1486</v>
      </c>
      <c r="E98" s="757" t="s">
        <v>13</v>
      </c>
      <c r="F98" s="97">
        <v>8.5399999999999991</v>
      </c>
      <c r="G98" s="946"/>
      <c r="H98" s="95"/>
      <c r="I98" s="1473"/>
    </row>
    <row r="99" spans="1:9" s="224" customFormat="1" x14ac:dyDescent="0.25">
      <c r="A99" s="215">
        <v>42882</v>
      </c>
      <c r="B99" s="862" t="s">
        <v>256</v>
      </c>
      <c r="C99" s="879"/>
      <c r="D99" s="879"/>
      <c r="E99" s="1510"/>
      <c r="F99" s="97"/>
      <c r="G99" s="946">
        <v>300</v>
      </c>
      <c r="H99" s="97">
        <v>300</v>
      </c>
      <c r="I99" s="1473"/>
    </row>
    <row r="100" spans="1:9" s="224" customFormat="1" x14ac:dyDescent="0.25">
      <c r="A100" s="215">
        <v>42882</v>
      </c>
      <c r="B100" s="862" t="s">
        <v>32</v>
      </c>
      <c r="C100" s="350" t="s">
        <v>12</v>
      </c>
      <c r="D100" s="350" t="s">
        <v>1485</v>
      </c>
      <c r="E100" s="757" t="s">
        <v>13</v>
      </c>
      <c r="F100" s="97">
        <v>14.5</v>
      </c>
      <c r="G100" s="946"/>
      <c r="H100" s="95"/>
      <c r="I100" s="1473"/>
    </row>
    <row r="101" spans="1:9" s="224" customFormat="1" x14ac:dyDescent="0.25">
      <c r="A101" s="215">
        <v>42882</v>
      </c>
      <c r="B101" s="862" t="s">
        <v>1609</v>
      </c>
      <c r="C101" s="350" t="s">
        <v>19</v>
      </c>
      <c r="D101" s="874" t="s">
        <v>1506</v>
      </c>
      <c r="E101" s="870" t="s">
        <v>13</v>
      </c>
      <c r="F101" s="97">
        <v>100</v>
      </c>
      <c r="G101" s="946"/>
      <c r="H101" s="95"/>
      <c r="I101" s="1473"/>
    </row>
    <row r="102" spans="1:9" s="224" customFormat="1" x14ac:dyDescent="0.25">
      <c r="A102" s="215">
        <v>42882</v>
      </c>
      <c r="B102" s="862" t="s">
        <v>1300</v>
      </c>
      <c r="C102" s="350" t="s">
        <v>19</v>
      </c>
      <c r="D102" s="350" t="s">
        <v>1506</v>
      </c>
      <c r="E102" s="757" t="s">
        <v>13</v>
      </c>
      <c r="F102" s="97">
        <v>23</v>
      </c>
      <c r="G102" s="946"/>
      <c r="H102" s="95"/>
      <c r="I102" s="1473"/>
    </row>
    <row r="103" spans="1:9" s="224" customFormat="1" x14ac:dyDescent="0.25">
      <c r="A103" s="215">
        <v>42882</v>
      </c>
      <c r="B103" s="862" t="s">
        <v>134</v>
      </c>
      <c r="C103" s="350" t="s">
        <v>19</v>
      </c>
      <c r="D103" s="350" t="s">
        <v>1493</v>
      </c>
      <c r="E103" s="757" t="s">
        <v>13</v>
      </c>
      <c r="F103" s="97">
        <v>12.22</v>
      </c>
      <c r="G103" s="946"/>
      <c r="H103" s="95"/>
      <c r="I103" s="1473"/>
    </row>
    <row r="104" spans="1:9" s="224" customFormat="1" x14ac:dyDescent="0.25">
      <c r="A104" s="215">
        <v>42882</v>
      </c>
      <c r="B104" s="862" t="s">
        <v>82</v>
      </c>
      <c r="C104" s="350" t="s">
        <v>12</v>
      </c>
      <c r="D104" s="350" t="s">
        <v>1493</v>
      </c>
      <c r="E104" s="757" t="s">
        <v>13</v>
      </c>
      <c r="F104" s="97">
        <v>29</v>
      </c>
      <c r="G104" s="946"/>
      <c r="H104" s="95"/>
      <c r="I104" s="1473"/>
    </row>
    <row r="105" spans="1:9" s="224" customFormat="1" x14ac:dyDescent="0.25">
      <c r="A105" s="215">
        <v>42883</v>
      </c>
      <c r="B105" s="862" t="s">
        <v>14</v>
      </c>
      <c r="C105" s="350" t="s">
        <v>12</v>
      </c>
      <c r="D105" s="350" t="s">
        <v>1486</v>
      </c>
      <c r="E105" s="757" t="s">
        <v>13</v>
      </c>
      <c r="F105" s="97">
        <v>4.3600000000000003</v>
      </c>
      <c r="G105" s="946"/>
      <c r="H105" s="95"/>
      <c r="I105" s="1473"/>
    </row>
    <row r="106" spans="1:9" s="224" customFormat="1" x14ac:dyDescent="0.25">
      <c r="A106" s="215">
        <v>42883</v>
      </c>
      <c r="B106" s="862" t="s">
        <v>134</v>
      </c>
      <c r="C106" s="350" t="s">
        <v>12</v>
      </c>
      <c r="D106" s="350" t="s">
        <v>1493</v>
      </c>
      <c r="E106" s="757" t="s">
        <v>13</v>
      </c>
      <c r="F106" s="97">
        <v>22.34</v>
      </c>
      <c r="G106" s="946"/>
      <c r="H106" s="95"/>
      <c r="I106" s="1473"/>
    </row>
    <row r="107" spans="1:9" s="224" customFormat="1" x14ac:dyDescent="0.25">
      <c r="A107" s="215">
        <v>42884</v>
      </c>
      <c r="B107" s="862" t="s">
        <v>32</v>
      </c>
      <c r="C107" s="350" t="s">
        <v>12</v>
      </c>
      <c r="D107" s="350" t="s">
        <v>1485</v>
      </c>
      <c r="E107" s="757" t="s">
        <v>15</v>
      </c>
      <c r="F107" s="97">
        <v>13</v>
      </c>
      <c r="G107" s="946"/>
      <c r="H107" s="95"/>
      <c r="I107" s="1473"/>
    </row>
    <row r="108" spans="1:9" x14ac:dyDescent="0.25">
      <c r="A108" s="215">
        <v>42885</v>
      </c>
      <c r="B108" s="862" t="s">
        <v>32</v>
      </c>
      <c r="C108" s="350" t="s">
        <v>12</v>
      </c>
      <c r="D108" s="350" t="s">
        <v>1485</v>
      </c>
      <c r="E108" s="757" t="s">
        <v>15</v>
      </c>
      <c r="F108" s="97">
        <v>13</v>
      </c>
      <c r="G108" s="946"/>
      <c r="H108" s="95"/>
      <c r="I108" s="946"/>
    </row>
    <row r="109" spans="1:9" s="224" customFormat="1" x14ac:dyDescent="0.25">
      <c r="A109" s="215">
        <v>42885</v>
      </c>
      <c r="B109" s="862" t="s">
        <v>138</v>
      </c>
      <c r="C109" s="350" t="s">
        <v>12</v>
      </c>
      <c r="D109" s="350" t="s">
        <v>1487</v>
      </c>
      <c r="E109" s="757" t="s">
        <v>15</v>
      </c>
      <c r="F109" s="97">
        <v>30</v>
      </c>
      <c r="G109" s="946"/>
      <c r="H109" s="95"/>
      <c r="I109" s="1473"/>
    </row>
    <row r="110" spans="1:9" x14ac:dyDescent="0.25">
      <c r="A110" s="215">
        <v>42885</v>
      </c>
      <c r="B110" s="862" t="s">
        <v>1610</v>
      </c>
      <c r="C110" s="350" t="s">
        <v>12</v>
      </c>
      <c r="D110" s="350" t="s">
        <v>1522</v>
      </c>
      <c r="E110" s="757" t="s">
        <v>13</v>
      </c>
      <c r="F110" s="97">
        <v>39.5</v>
      </c>
      <c r="G110" s="946"/>
      <c r="H110" s="95"/>
      <c r="I110" s="946"/>
    </row>
    <row r="111" spans="1:9" s="224" customFormat="1" x14ac:dyDescent="0.25">
      <c r="A111" s="215">
        <v>42885</v>
      </c>
      <c r="B111" s="862" t="s">
        <v>14</v>
      </c>
      <c r="C111" s="350" t="s">
        <v>12</v>
      </c>
      <c r="D111" s="350" t="s">
        <v>1486</v>
      </c>
      <c r="E111" s="757" t="s">
        <v>13</v>
      </c>
      <c r="F111" s="97">
        <v>6.08</v>
      </c>
      <c r="G111" s="946"/>
      <c r="H111" s="95"/>
      <c r="I111" s="1473"/>
    </row>
    <row r="112" spans="1:9" s="224" customFormat="1" x14ac:dyDescent="0.25">
      <c r="A112" s="215">
        <v>42886</v>
      </c>
      <c r="B112" s="862" t="s">
        <v>32</v>
      </c>
      <c r="C112" s="350" t="s">
        <v>12</v>
      </c>
      <c r="D112" s="350" t="s">
        <v>1485</v>
      </c>
      <c r="E112" s="757" t="s">
        <v>13</v>
      </c>
      <c r="F112" s="97">
        <v>13</v>
      </c>
      <c r="G112" s="946"/>
      <c r="H112" s="95"/>
      <c r="I112" s="1473"/>
    </row>
    <row r="113" spans="1:10" s="224" customFormat="1" ht="15.75" thickBot="1" x14ac:dyDescent="0.3">
      <c r="A113" s="215">
        <v>42886</v>
      </c>
      <c r="B113" s="862" t="s">
        <v>14</v>
      </c>
      <c r="C113" s="350" t="s">
        <v>12</v>
      </c>
      <c r="D113" s="350" t="s">
        <v>1486</v>
      </c>
      <c r="E113" s="757" t="s">
        <v>13</v>
      </c>
      <c r="F113" s="97">
        <v>13.18</v>
      </c>
      <c r="G113" s="946"/>
      <c r="H113" s="95"/>
      <c r="I113" s="1473"/>
    </row>
    <row r="114" spans="1:10" ht="25.5" customHeight="1" thickBot="1" x14ac:dyDescent="0.3">
      <c r="A114" s="3060"/>
      <c r="B114" s="3061"/>
      <c r="C114" s="3062"/>
      <c r="D114" s="3062"/>
      <c r="E114" s="3062"/>
      <c r="F114" s="100">
        <f>SUM(F6:F113)</f>
        <v>4164.83</v>
      </c>
      <c r="G114" s="1065">
        <f>SUM(G5:G113)</f>
        <v>4437.6200000000053</v>
      </c>
      <c r="H114" s="101">
        <f>SUM(H6:H113)</f>
        <v>906.19</v>
      </c>
      <c r="I114" s="93">
        <f>SUM(I5:I113)</f>
        <v>4906.1860000000015</v>
      </c>
      <c r="J114" s="89"/>
    </row>
    <row r="115" spans="1:10" ht="25.5" customHeight="1" thickBot="1" x14ac:dyDescent="0.3">
      <c r="A115" s="3117" t="s">
        <v>49</v>
      </c>
      <c r="B115" s="3118"/>
      <c r="C115" s="3118"/>
      <c r="D115" s="3118"/>
      <c r="E115" s="3119"/>
      <c r="F115" s="144"/>
      <c r="G115" s="519">
        <f>G114-F114</f>
        <v>272.79000000000542</v>
      </c>
      <c r="H115" s="555"/>
      <c r="I115" s="556">
        <f>I114-H114</f>
        <v>3999.9960000000015</v>
      </c>
    </row>
    <row r="116" spans="1:10" x14ac:dyDescent="0.25">
      <c r="G116" s="89"/>
    </row>
    <row r="117" spans="1:10" x14ac:dyDescent="0.25">
      <c r="B117" s="79" t="s">
        <v>32</v>
      </c>
      <c r="C117" s="475">
        <v>316.5</v>
      </c>
      <c r="D117" s="85" t="s">
        <v>1485</v>
      </c>
    </row>
    <row r="118" spans="1:10" x14ac:dyDescent="0.25">
      <c r="B118" s="79" t="s">
        <v>1218</v>
      </c>
      <c r="C118" s="475">
        <v>380</v>
      </c>
      <c r="D118" s="85" t="s">
        <v>1487</v>
      </c>
    </row>
    <row r="119" spans="1:10" x14ac:dyDescent="0.25">
      <c r="B119" s="79" t="s">
        <v>50</v>
      </c>
      <c r="C119" s="484">
        <v>202.08</v>
      </c>
      <c r="D119" s="85" t="s">
        <v>1493</v>
      </c>
    </row>
    <row r="120" spans="1:10" s="85" customFormat="1" x14ac:dyDescent="0.25">
      <c r="A120" s="79"/>
      <c r="B120" s="79" t="s">
        <v>14</v>
      </c>
      <c r="C120" s="484">
        <v>183.7</v>
      </c>
      <c r="D120" s="85" t="s">
        <v>1486</v>
      </c>
    </row>
    <row r="121" spans="1:10" s="85" customFormat="1" x14ac:dyDescent="0.25">
      <c r="A121" s="79"/>
      <c r="B121" s="79" t="s">
        <v>51</v>
      </c>
      <c r="C121" s="475">
        <v>87.27</v>
      </c>
      <c r="D121" s="864" t="s">
        <v>1499</v>
      </c>
      <c r="E121" s="79"/>
      <c r="F121" s="89"/>
      <c r="G121" s="79"/>
      <c r="H121" s="79"/>
      <c r="I121" s="79"/>
    </row>
    <row r="122" spans="1:10" s="85" customFormat="1" x14ac:dyDescent="0.25">
      <c r="A122" s="79"/>
      <c r="B122" s="79" t="s">
        <v>52</v>
      </c>
      <c r="C122" s="475">
        <v>105</v>
      </c>
      <c r="D122" s="864" t="s">
        <v>1496</v>
      </c>
      <c r="F122" s="89"/>
      <c r="G122" s="79"/>
      <c r="H122" s="79"/>
      <c r="I122" s="79"/>
    </row>
    <row r="123" spans="1:10" s="85" customFormat="1" x14ac:dyDescent="0.25">
      <c r="A123" s="79"/>
      <c r="B123" s="867" t="s">
        <v>53</v>
      </c>
      <c r="C123" s="475">
        <v>519.27</v>
      </c>
      <c r="D123" s="864" t="s">
        <v>1522</v>
      </c>
      <c r="E123" s="89"/>
      <c r="F123" s="89"/>
      <c r="G123" s="79"/>
      <c r="H123" s="79"/>
      <c r="I123" s="79"/>
    </row>
    <row r="124" spans="1:10" s="85" customFormat="1" x14ac:dyDescent="0.25">
      <c r="A124" s="79"/>
      <c r="B124" s="79" t="s">
        <v>1232</v>
      </c>
      <c r="C124" s="475"/>
      <c r="D124" s="864" t="s">
        <v>1515</v>
      </c>
      <c r="F124" s="89"/>
      <c r="G124" s="79"/>
      <c r="H124" s="79"/>
      <c r="I124" s="79"/>
    </row>
    <row r="125" spans="1:10" s="85" customFormat="1" x14ac:dyDescent="0.25">
      <c r="A125" s="79"/>
      <c r="B125" s="79" t="s">
        <v>56</v>
      </c>
      <c r="C125" s="475"/>
      <c r="D125" s="864" t="s">
        <v>1523</v>
      </c>
      <c r="F125" s="89"/>
      <c r="G125" s="79"/>
      <c r="H125" s="79"/>
      <c r="I125" s="79"/>
    </row>
    <row r="126" spans="1:10" s="85" customFormat="1" x14ac:dyDescent="0.25">
      <c r="A126" s="79"/>
      <c r="B126" s="79" t="s">
        <v>57</v>
      </c>
      <c r="C126" s="475">
        <v>192.9</v>
      </c>
      <c r="D126" s="864" t="s">
        <v>1506</v>
      </c>
      <c r="F126" s="89"/>
      <c r="G126" s="79"/>
      <c r="H126" s="79"/>
      <c r="I126" s="79"/>
    </row>
    <row r="127" spans="1:10" s="85" customFormat="1" x14ac:dyDescent="0.25">
      <c r="A127" s="79"/>
      <c r="B127" s="79" t="s">
        <v>418</v>
      </c>
      <c r="C127" s="475"/>
      <c r="D127" s="85" t="s">
        <v>1524</v>
      </c>
      <c r="E127" s="79"/>
      <c r="F127" s="89"/>
    </row>
    <row r="128" spans="1:10" x14ac:dyDescent="0.25">
      <c r="B128" s="79" t="s">
        <v>419</v>
      </c>
      <c r="C128" s="475">
        <v>494.19</v>
      </c>
      <c r="D128" s="85" t="s">
        <v>1491</v>
      </c>
    </row>
    <row r="129" spans="2:10" x14ac:dyDescent="0.25">
      <c r="B129" s="79" t="s">
        <v>911</v>
      </c>
      <c r="C129" s="475">
        <v>128.72999999999999</v>
      </c>
      <c r="D129" s="85" t="s">
        <v>1525</v>
      </c>
    </row>
    <row r="130" spans="2:10" x14ac:dyDescent="0.25">
      <c r="B130" s="79" t="s">
        <v>1526</v>
      </c>
      <c r="C130" s="475">
        <v>125.46</v>
      </c>
      <c r="D130" s="85" t="s">
        <v>1504</v>
      </c>
      <c r="E130" s="79"/>
    </row>
    <row r="131" spans="2:10" x14ac:dyDescent="0.25">
      <c r="B131" s="79" t="s">
        <v>1527</v>
      </c>
      <c r="C131" s="475">
        <v>209.74</v>
      </c>
      <c r="D131" s="85" t="s">
        <v>1489</v>
      </c>
    </row>
    <row r="134" spans="2:10" x14ac:dyDescent="0.25">
      <c r="B134" s="79" t="s">
        <v>486</v>
      </c>
      <c r="C134" s="475">
        <f>H134/J134</f>
        <v>95.413870967741929</v>
      </c>
      <c r="F134" s="224" t="s">
        <v>487</v>
      </c>
      <c r="H134" s="216">
        <v>2957.83</v>
      </c>
      <c r="I134" s="518" t="s">
        <v>488</v>
      </c>
      <c r="J134" s="85">
        <v>31</v>
      </c>
    </row>
    <row r="138" spans="2:10" x14ac:dyDescent="0.25">
      <c r="D138" s="79"/>
      <c r="E138" s="79"/>
    </row>
    <row r="142" spans="2:10" x14ac:dyDescent="0.25">
      <c r="C142" s="79"/>
      <c r="D142" s="79"/>
      <c r="E142" s="79"/>
      <c r="F142" s="79"/>
      <c r="I142" s="216"/>
    </row>
    <row r="143" spans="2:10" x14ac:dyDescent="0.25">
      <c r="C143" s="79"/>
      <c r="D143" s="79"/>
      <c r="E143" s="79"/>
      <c r="F143" s="79"/>
      <c r="I143" s="216"/>
    </row>
    <row r="144" spans="2:10" x14ac:dyDescent="0.25">
      <c r="C144" s="79"/>
      <c r="D144" s="79"/>
      <c r="E144" s="79"/>
      <c r="F144" s="79"/>
      <c r="G144" s="216"/>
      <c r="I144" s="216"/>
    </row>
    <row r="145" spans="3:9" x14ac:dyDescent="0.25">
      <c r="C145" s="79"/>
      <c r="D145" s="79"/>
      <c r="E145" s="79"/>
      <c r="F145" s="79"/>
      <c r="G145" s="216"/>
      <c r="I145" s="216"/>
    </row>
    <row r="146" spans="3:9" x14ac:dyDescent="0.25">
      <c r="C146" s="79"/>
      <c r="D146" s="79"/>
      <c r="E146" s="79"/>
      <c r="F146" s="79"/>
      <c r="G146" s="216"/>
    </row>
    <row r="147" spans="3:9" x14ac:dyDescent="0.25">
      <c r="C147" s="79"/>
      <c r="D147" s="79"/>
      <c r="E147" s="79"/>
      <c r="F147" s="79"/>
      <c r="I147" s="216"/>
    </row>
    <row r="149" spans="3:9" x14ac:dyDescent="0.25">
      <c r="C149" s="79"/>
      <c r="D149" s="79"/>
      <c r="E149" s="79"/>
      <c r="F149" s="79"/>
      <c r="I149" s="629"/>
    </row>
    <row r="155" spans="3:9" x14ac:dyDescent="0.25">
      <c r="C155" s="79"/>
      <c r="D155" s="79"/>
      <c r="E155" s="79"/>
      <c r="F155" s="79"/>
      <c r="I155" s="216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  <row r="161" spans="3:9" x14ac:dyDescent="0.25">
      <c r="C161" s="79"/>
      <c r="D161" s="79"/>
      <c r="E161" s="79"/>
      <c r="F161" s="79"/>
      <c r="I161" s="216"/>
    </row>
    <row r="162" spans="3:9" x14ac:dyDescent="0.25">
      <c r="C162" s="79"/>
      <c r="D162" s="79"/>
      <c r="E162" s="79"/>
      <c r="F162" s="79"/>
      <c r="I162" s="216"/>
    </row>
    <row r="163" spans="3:9" x14ac:dyDescent="0.25">
      <c r="C163" s="79"/>
      <c r="D163" s="79"/>
      <c r="E163" s="79"/>
      <c r="F163" s="79"/>
      <c r="I163" s="216"/>
    </row>
  </sheetData>
  <autoFilter ref="A2:I115" xr:uid="{00000000-0009-0000-0000-00003C000000}"/>
  <mergeCells count="11">
    <mergeCell ref="A114:E114"/>
    <mergeCell ref="A115:E115"/>
    <mergeCell ref="A1:E1"/>
    <mergeCell ref="F1:I1"/>
    <mergeCell ref="A2:A4"/>
    <mergeCell ref="B2:B4"/>
    <mergeCell ref="C2:C4"/>
    <mergeCell ref="E2:E4"/>
    <mergeCell ref="F2:G3"/>
    <mergeCell ref="H2:I3"/>
    <mergeCell ref="D2:D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Plan74"/>
  <dimension ref="A1:K162"/>
  <sheetViews>
    <sheetView zoomScale="80" zoomScaleNormal="80" workbookViewId="0">
      <pane ySplit="4" topLeftCell="A1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0.28515625" style="79" customWidth="1"/>
    <col min="11" max="11" width="10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9" ht="27" customHeight="1" thickBot="1" x14ac:dyDescent="0.3">
      <c r="A1" s="3053" t="s">
        <v>0</v>
      </c>
      <c r="B1" s="3054"/>
      <c r="C1" s="3055"/>
      <c r="D1" s="3055"/>
      <c r="E1" s="3056"/>
      <c r="F1" s="3079" t="s">
        <v>1611</v>
      </c>
      <c r="G1" s="3080"/>
      <c r="H1" s="3080"/>
      <c r="I1" s="3081"/>
    </row>
    <row r="2" spans="1: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</row>
    <row r="3" spans="1: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</row>
    <row r="4" spans="1:9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</row>
    <row r="5" spans="1:9" x14ac:dyDescent="0.25">
      <c r="A5" s="281">
        <v>42887</v>
      </c>
      <c r="B5" s="369" t="s">
        <v>10</v>
      </c>
      <c r="C5" s="370"/>
      <c r="D5" s="370"/>
      <c r="E5" s="488"/>
      <c r="F5" s="179"/>
      <c r="G5" s="933">
        <f>'Maio-17'!G115</f>
        <v>272.79000000000542</v>
      </c>
      <c r="H5" s="163"/>
      <c r="I5" s="933">
        <f>'Maio-17'!I115</f>
        <v>3999.9960000000015</v>
      </c>
    </row>
    <row r="6" spans="1:9" s="224" customFormat="1" x14ac:dyDescent="0.25">
      <c r="A6" s="215">
        <v>42887</v>
      </c>
      <c r="B6" s="348" t="s">
        <v>11</v>
      </c>
      <c r="C6" s="351"/>
      <c r="D6" s="351"/>
      <c r="E6" s="673"/>
      <c r="F6" s="250"/>
      <c r="G6" s="1473"/>
      <c r="H6" s="252"/>
      <c r="I6" s="1473"/>
    </row>
    <row r="7" spans="1:9" s="224" customFormat="1" x14ac:dyDescent="0.25">
      <c r="A7" s="215">
        <v>42887</v>
      </c>
      <c r="B7" s="862" t="s">
        <v>32</v>
      </c>
      <c r="C7" s="350" t="s">
        <v>12</v>
      </c>
      <c r="D7" s="350" t="s">
        <v>1485</v>
      </c>
      <c r="E7" s="757" t="s">
        <v>13</v>
      </c>
      <c r="F7" s="97">
        <v>13</v>
      </c>
      <c r="G7" s="946"/>
      <c r="H7" s="97"/>
      <c r="I7" s="1473"/>
    </row>
    <row r="8" spans="1:9" s="224" customFormat="1" x14ac:dyDescent="0.25">
      <c r="A8" s="215">
        <v>42887</v>
      </c>
      <c r="B8" s="862" t="s">
        <v>14</v>
      </c>
      <c r="C8" s="350" t="s">
        <v>12</v>
      </c>
      <c r="D8" s="350" t="s">
        <v>1486</v>
      </c>
      <c r="E8" s="757" t="s">
        <v>13</v>
      </c>
      <c r="F8" s="97">
        <v>12.82</v>
      </c>
      <c r="G8" s="946"/>
      <c r="H8" s="97"/>
      <c r="I8" s="946"/>
    </row>
    <row r="9" spans="1:9" s="224" customFormat="1" x14ac:dyDescent="0.25">
      <c r="A9" s="215">
        <v>42887</v>
      </c>
      <c r="B9" s="349" t="s">
        <v>311</v>
      </c>
      <c r="C9" s="350"/>
      <c r="D9" s="350"/>
      <c r="E9" s="757"/>
      <c r="G9" s="946"/>
      <c r="H9" s="97"/>
      <c r="I9" s="946">
        <v>7.76</v>
      </c>
    </row>
    <row r="10" spans="1:9" s="224" customFormat="1" x14ac:dyDescent="0.25">
      <c r="A10" s="215">
        <v>42888</v>
      </c>
      <c r="B10" s="862" t="s">
        <v>32</v>
      </c>
      <c r="C10" s="350" t="s">
        <v>12</v>
      </c>
      <c r="D10" s="350" t="s">
        <v>1485</v>
      </c>
      <c r="E10" s="757" t="s">
        <v>13</v>
      </c>
      <c r="F10" s="97">
        <v>13</v>
      </c>
      <c r="G10" s="946"/>
      <c r="H10" s="97"/>
      <c r="I10" s="946"/>
    </row>
    <row r="11" spans="1:9" s="224" customFormat="1" x14ac:dyDescent="0.25">
      <c r="A11" s="215">
        <v>42888</v>
      </c>
      <c r="B11" s="862" t="s">
        <v>1612</v>
      </c>
      <c r="C11" s="350" t="s">
        <v>19</v>
      </c>
      <c r="D11" s="350" t="s">
        <v>1493</v>
      </c>
      <c r="E11" s="757" t="s">
        <v>13</v>
      </c>
      <c r="F11" s="97">
        <v>37.94</v>
      </c>
      <c r="G11" s="946"/>
      <c r="H11" s="95"/>
      <c r="I11" s="1473"/>
    </row>
    <row r="12" spans="1:9" s="224" customFormat="1" x14ac:dyDescent="0.25">
      <c r="A12" s="215">
        <v>42888</v>
      </c>
      <c r="B12" s="862" t="s">
        <v>1331</v>
      </c>
      <c r="C12" s="350" t="s">
        <v>12</v>
      </c>
      <c r="D12" s="350" t="s">
        <v>1487</v>
      </c>
      <c r="E12" s="757" t="s">
        <v>13</v>
      </c>
      <c r="F12" s="97">
        <v>50</v>
      </c>
      <c r="G12" s="946"/>
      <c r="H12" s="95"/>
      <c r="I12" s="1473"/>
    </row>
    <row r="13" spans="1:9" s="224" customFormat="1" x14ac:dyDescent="0.25">
      <c r="A13" s="215">
        <v>42888</v>
      </c>
      <c r="B13" s="862" t="s">
        <v>14</v>
      </c>
      <c r="C13" s="350" t="s">
        <v>12</v>
      </c>
      <c r="D13" s="350" t="s">
        <v>1486</v>
      </c>
      <c r="E13" s="757" t="s">
        <v>13</v>
      </c>
      <c r="F13" s="97">
        <v>8.91</v>
      </c>
      <c r="G13" s="946"/>
      <c r="H13" s="95"/>
      <c r="I13" s="1473"/>
    </row>
    <row r="14" spans="1:9" s="224" customFormat="1" x14ac:dyDescent="0.25">
      <c r="A14" s="215">
        <v>42889</v>
      </c>
      <c r="B14" s="862" t="s">
        <v>14</v>
      </c>
      <c r="C14" s="350" t="s">
        <v>12</v>
      </c>
      <c r="D14" s="350" t="s">
        <v>1486</v>
      </c>
      <c r="E14" s="757" t="s">
        <v>13</v>
      </c>
      <c r="F14" s="97">
        <v>13.86</v>
      </c>
      <c r="G14" s="946"/>
      <c r="H14" s="95"/>
      <c r="I14" s="1473"/>
    </row>
    <row r="15" spans="1:9" s="224" customFormat="1" x14ac:dyDescent="0.25">
      <c r="A15" s="215">
        <v>42889</v>
      </c>
      <c r="B15" s="862" t="s">
        <v>32</v>
      </c>
      <c r="C15" s="350" t="s">
        <v>12</v>
      </c>
      <c r="D15" s="350" t="s">
        <v>1485</v>
      </c>
      <c r="E15" s="757" t="s">
        <v>13</v>
      </c>
      <c r="F15" s="97">
        <v>14.5</v>
      </c>
      <c r="G15" s="946"/>
      <c r="H15" s="97"/>
      <c r="I15" s="946"/>
    </row>
    <row r="16" spans="1:9" s="224" customFormat="1" x14ac:dyDescent="0.25">
      <c r="A16" s="215">
        <v>42889</v>
      </c>
      <c r="B16" s="862" t="s">
        <v>1613</v>
      </c>
      <c r="C16" s="350" t="s">
        <v>12</v>
      </c>
      <c r="D16" s="350" t="s">
        <v>1523</v>
      </c>
      <c r="E16" s="757" t="s">
        <v>13</v>
      </c>
      <c r="F16" s="97">
        <v>18</v>
      </c>
      <c r="G16" s="946"/>
      <c r="H16" s="97"/>
      <c r="I16" s="946"/>
    </row>
    <row r="17" spans="1:9" s="224" customFormat="1" x14ac:dyDescent="0.25">
      <c r="A17" s="215">
        <v>42890</v>
      </c>
      <c r="B17" s="862" t="s">
        <v>256</v>
      </c>
      <c r="C17" s="879"/>
      <c r="D17" s="879"/>
      <c r="E17" s="1510"/>
      <c r="F17" s="97"/>
      <c r="G17" s="946">
        <v>100</v>
      </c>
      <c r="H17" s="97">
        <v>100</v>
      </c>
      <c r="I17" s="1473"/>
    </row>
    <row r="18" spans="1:9" s="224" customFormat="1" x14ac:dyDescent="0.25">
      <c r="A18" s="215">
        <v>42890</v>
      </c>
      <c r="B18" s="862" t="s">
        <v>14</v>
      </c>
      <c r="C18" s="350" t="s">
        <v>12</v>
      </c>
      <c r="D18" s="350" t="s">
        <v>1486</v>
      </c>
      <c r="E18" s="757" t="s">
        <v>13</v>
      </c>
      <c r="F18" s="97">
        <v>11.99</v>
      </c>
      <c r="G18" s="946"/>
      <c r="H18" s="95"/>
      <c r="I18" s="1473"/>
    </row>
    <row r="19" spans="1:9" s="224" customFormat="1" x14ac:dyDescent="0.25">
      <c r="A19" s="215">
        <v>42890</v>
      </c>
      <c r="B19" s="862" t="s">
        <v>17</v>
      </c>
      <c r="C19" s="350" t="s">
        <v>12</v>
      </c>
      <c r="D19" s="350" t="s">
        <v>1493</v>
      </c>
      <c r="E19" s="757" t="s">
        <v>15</v>
      </c>
      <c r="F19" s="97">
        <v>5</v>
      </c>
      <c r="G19" s="946"/>
      <c r="H19" s="95"/>
      <c r="I19" s="1473"/>
    </row>
    <row r="20" spans="1:9" s="224" customFormat="1" x14ac:dyDescent="0.25">
      <c r="A20" s="215">
        <v>42890</v>
      </c>
      <c r="B20" s="862" t="s">
        <v>1614</v>
      </c>
      <c r="C20" s="350" t="s">
        <v>12</v>
      </c>
      <c r="D20" s="350" t="s">
        <v>1489</v>
      </c>
      <c r="E20" s="757" t="s">
        <v>13</v>
      </c>
      <c r="F20" s="97">
        <v>33.119999999999997</v>
      </c>
      <c r="G20" s="946"/>
      <c r="H20" s="97"/>
      <c r="I20" s="946"/>
    </row>
    <row r="21" spans="1:9" s="224" customFormat="1" x14ac:dyDescent="0.25">
      <c r="A21" s="215">
        <v>42890</v>
      </c>
      <c r="B21" s="862" t="s">
        <v>14</v>
      </c>
      <c r="C21" s="350" t="s">
        <v>12</v>
      </c>
      <c r="D21" s="350" t="s">
        <v>1486</v>
      </c>
      <c r="E21" s="757" t="s">
        <v>13</v>
      </c>
      <c r="F21" s="97">
        <v>8.5299999999999994</v>
      </c>
      <c r="G21" s="946"/>
      <c r="H21" s="95"/>
      <c r="I21" s="1473"/>
    </row>
    <row r="22" spans="1:9" s="224" customFormat="1" x14ac:dyDescent="0.25">
      <c r="A22" s="215">
        <v>42891</v>
      </c>
      <c r="B22" s="862" t="s">
        <v>32</v>
      </c>
      <c r="C22" s="350" t="s">
        <v>12</v>
      </c>
      <c r="D22" s="350" t="s">
        <v>1485</v>
      </c>
      <c r="E22" s="757" t="s">
        <v>13</v>
      </c>
      <c r="F22" s="97">
        <v>13</v>
      </c>
      <c r="G22" s="946"/>
      <c r="H22" s="95"/>
      <c r="I22" s="1473"/>
    </row>
    <row r="23" spans="1:9" s="224" customFormat="1" x14ac:dyDescent="0.25">
      <c r="A23" s="215">
        <v>42891</v>
      </c>
      <c r="B23" s="349" t="s">
        <v>311</v>
      </c>
      <c r="C23" s="350"/>
      <c r="D23" s="350"/>
      <c r="E23" s="757"/>
      <c r="G23" s="946"/>
      <c r="H23" s="97"/>
      <c r="I23" s="946">
        <v>8.8699999999999992</v>
      </c>
    </row>
    <row r="24" spans="1:9" s="224" customFormat="1" x14ac:dyDescent="0.25">
      <c r="A24" s="215">
        <v>42892</v>
      </c>
      <c r="B24" s="862" t="s">
        <v>32</v>
      </c>
      <c r="C24" s="350" t="s">
        <v>12</v>
      </c>
      <c r="D24" s="350" t="s">
        <v>1485</v>
      </c>
      <c r="E24" s="757" t="s">
        <v>13</v>
      </c>
      <c r="F24" s="97">
        <v>13</v>
      </c>
      <c r="G24" s="946"/>
      <c r="H24" s="95"/>
      <c r="I24" s="1473"/>
    </row>
    <row r="25" spans="1:9" s="224" customFormat="1" ht="15.75" customHeight="1" x14ac:dyDescent="0.25">
      <c r="A25" s="215">
        <v>42892</v>
      </c>
      <c r="B25" s="349" t="s">
        <v>1615</v>
      </c>
      <c r="C25" s="879" t="s">
        <v>12</v>
      </c>
      <c r="D25" s="874"/>
      <c r="E25" s="875" t="s">
        <v>25</v>
      </c>
      <c r="F25" s="97"/>
      <c r="G25" s="1473">
        <v>1729.32</v>
      </c>
      <c r="H25" s="252"/>
      <c r="I25" s="946"/>
    </row>
    <row r="26" spans="1:9" s="224" customFormat="1" x14ac:dyDescent="0.25">
      <c r="A26" s="215">
        <v>42892</v>
      </c>
      <c r="B26" s="862" t="s">
        <v>1616</v>
      </c>
      <c r="C26" s="879" t="s">
        <v>12</v>
      </c>
      <c r="D26" s="879"/>
      <c r="E26" s="871" t="s">
        <v>13</v>
      </c>
      <c r="F26" s="250">
        <v>359.07</v>
      </c>
      <c r="G26" s="946"/>
      <c r="H26" s="95"/>
      <c r="I26" s="946"/>
    </row>
    <row r="27" spans="1:9" s="224" customFormat="1" ht="15.75" customHeight="1" x14ac:dyDescent="0.25">
      <c r="A27" s="215">
        <v>42892</v>
      </c>
      <c r="B27" s="882" t="s">
        <v>1617</v>
      </c>
      <c r="C27" s="879" t="s">
        <v>12</v>
      </c>
      <c r="D27" s="879" t="s">
        <v>1499</v>
      </c>
      <c r="E27" s="1510" t="s">
        <v>13</v>
      </c>
      <c r="F27" s="97">
        <v>45.94</v>
      </c>
      <c r="G27" s="1473"/>
      <c r="H27" s="252"/>
      <c r="I27" s="946"/>
    </row>
    <row r="28" spans="1:9" x14ac:dyDescent="0.25">
      <c r="A28" s="215">
        <v>42892</v>
      </c>
      <c r="B28" s="882" t="s">
        <v>1618</v>
      </c>
      <c r="C28" s="879" t="s">
        <v>12</v>
      </c>
      <c r="D28" s="879" t="s">
        <v>1499</v>
      </c>
      <c r="E28" s="1510" t="s">
        <v>13</v>
      </c>
      <c r="F28" s="97">
        <v>60.02</v>
      </c>
      <c r="G28" s="946"/>
      <c r="H28" s="97"/>
      <c r="I28" s="946"/>
    </row>
    <row r="29" spans="1:9" x14ac:dyDescent="0.25">
      <c r="A29" s="215">
        <v>42892</v>
      </c>
      <c r="B29" s="862" t="s">
        <v>1532</v>
      </c>
      <c r="C29" s="879" t="s">
        <v>12</v>
      </c>
      <c r="D29" s="879" t="s">
        <v>1504</v>
      </c>
      <c r="E29" s="1510" t="s">
        <v>13</v>
      </c>
      <c r="F29" s="97">
        <v>50</v>
      </c>
      <c r="G29" s="946"/>
      <c r="H29" s="97"/>
      <c r="I29" s="946"/>
    </row>
    <row r="30" spans="1:9" x14ac:dyDescent="0.25">
      <c r="A30" s="215">
        <v>42892</v>
      </c>
      <c r="B30" s="862" t="s">
        <v>52</v>
      </c>
      <c r="C30" s="879" t="s">
        <v>12</v>
      </c>
      <c r="D30" s="879" t="s">
        <v>1496</v>
      </c>
      <c r="E30" s="1510" t="s">
        <v>15</v>
      </c>
      <c r="F30" s="97">
        <v>60</v>
      </c>
      <c r="G30" s="946"/>
      <c r="H30" s="97"/>
      <c r="I30" s="946"/>
    </row>
    <row r="31" spans="1:9" s="224" customFormat="1" ht="15" customHeight="1" x14ac:dyDescent="0.25">
      <c r="A31" s="215">
        <v>42892</v>
      </c>
      <c r="B31" s="349" t="s">
        <v>260</v>
      </c>
      <c r="C31" s="350"/>
      <c r="D31" s="350"/>
      <c r="E31" s="757"/>
      <c r="F31" s="97">
        <v>483.67</v>
      </c>
      <c r="G31" s="946"/>
      <c r="H31" s="95"/>
      <c r="I31" s="946">
        <v>483.67</v>
      </c>
    </row>
    <row r="32" spans="1:9" s="224" customFormat="1" ht="15.75" customHeight="1" x14ac:dyDescent="0.25">
      <c r="A32" s="215">
        <v>42892</v>
      </c>
      <c r="B32" s="862" t="s">
        <v>1619</v>
      </c>
      <c r="C32" s="350" t="s">
        <v>12</v>
      </c>
      <c r="D32" s="350"/>
      <c r="E32" s="757" t="s">
        <v>25</v>
      </c>
      <c r="F32" s="250"/>
      <c r="G32" s="1473">
        <v>200</v>
      </c>
      <c r="H32" s="252"/>
      <c r="I32" s="946"/>
    </row>
    <row r="33" spans="1:9" x14ac:dyDescent="0.25">
      <c r="A33" s="215">
        <v>42892</v>
      </c>
      <c r="B33" s="349" t="s">
        <v>1554</v>
      </c>
      <c r="C33" s="350" t="s">
        <v>19</v>
      </c>
      <c r="D33" s="350" t="s">
        <v>1491</v>
      </c>
      <c r="E33" s="757" t="s">
        <v>13</v>
      </c>
      <c r="F33" s="97">
        <v>66.400000000000006</v>
      </c>
      <c r="G33" s="946"/>
      <c r="H33" s="97"/>
      <c r="I33" s="946"/>
    </row>
    <row r="34" spans="1:9" s="224" customFormat="1" ht="15" customHeight="1" x14ac:dyDescent="0.25">
      <c r="A34" s="215">
        <v>42893</v>
      </c>
      <c r="B34" s="862" t="s">
        <v>1331</v>
      </c>
      <c r="C34" s="350" t="s">
        <v>12</v>
      </c>
      <c r="D34" s="350" t="s">
        <v>1487</v>
      </c>
      <c r="E34" s="757" t="s">
        <v>15</v>
      </c>
      <c r="F34" s="97">
        <v>70</v>
      </c>
      <c r="G34" s="946"/>
      <c r="H34" s="95"/>
      <c r="I34" s="946"/>
    </row>
    <row r="35" spans="1:9" s="224" customFormat="1" x14ac:dyDescent="0.25">
      <c r="A35" s="215">
        <v>42894</v>
      </c>
      <c r="B35" s="862" t="s">
        <v>32</v>
      </c>
      <c r="C35" s="350" t="s">
        <v>12</v>
      </c>
      <c r="D35" s="350" t="s">
        <v>1485</v>
      </c>
      <c r="E35" s="757" t="s">
        <v>15</v>
      </c>
      <c r="F35" s="97">
        <v>13</v>
      </c>
      <c r="G35" s="946"/>
      <c r="H35" s="97"/>
      <c r="I35" s="946"/>
    </row>
    <row r="36" spans="1:9" s="224" customFormat="1" x14ac:dyDescent="0.25">
      <c r="A36" s="215">
        <v>42894</v>
      </c>
      <c r="B36" s="862" t="s">
        <v>14</v>
      </c>
      <c r="C36" s="350" t="s">
        <v>12</v>
      </c>
      <c r="D36" s="350" t="s">
        <v>1486</v>
      </c>
      <c r="E36" s="757" t="s">
        <v>13</v>
      </c>
      <c r="F36" s="97">
        <v>6</v>
      </c>
      <c r="G36" s="946"/>
      <c r="H36" s="95"/>
      <c r="I36" s="1473"/>
    </row>
    <row r="37" spans="1:9" s="224" customFormat="1" x14ac:dyDescent="0.25">
      <c r="A37" s="215">
        <v>42895</v>
      </c>
      <c r="B37" s="862" t="s">
        <v>32</v>
      </c>
      <c r="C37" s="350" t="s">
        <v>12</v>
      </c>
      <c r="D37" s="350" t="s">
        <v>1485</v>
      </c>
      <c r="E37" s="757" t="s">
        <v>13</v>
      </c>
      <c r="F37" s="97">
        <v>13</v>
      </c>
      <c r="G37" s="946"/>
      <c r="H37" s="95"/>
      <c r="I37" s="1473"/>
    </row>
    <row r="38" spans="1:9" s="224" customFormat="1" ht="15" customHeight="1" x14ac:dyDescent="0.25">
      <c r="A38" s="215">
        <v>42895</v>
      </c>
      <c r="B38" s="862" t="s">
        <v>1620</v>
      </c>
      <c r="C38" s="350" t="s">
        <v>12</v>
      </c>
      <c r="D38" s="350" t="s">
        <v>1491</v>
      </c>
      <c r="E38" s="757" t="s">
        <v>15</v>
      </c>
      <c r="F38" s="97">
        <v>100</v>
      </c>
      <c r="G38" s="946"/>
      <c r="H38" s="95"/>
      <c r="I38" s="946"/>
    </row>
    <row r="39" spans="1:9" s="224" customFormat="1" ht="15" customHeight="1" x14ac:dyDescent="0.25">
      <c r="A39" s="215">
        <v>42895</v>
      </c>
      <c r="B39" s="862" t="s">
        <v>1274</v>
      </c>
      <c r="C39" s="350" t="s">
        <v>12</v>
      </c>
      <c r="D39" s="350" t="s">
        <v>1491</v>
      </c>
      <c r="E39" s="757" t="s">
        <v>13</v>
      </c>
      <c r="F39" s="97">
        <v>40</v>
      </c>
      <c r="G39" s="946"/>
      <c r="H39" s="95"/>
      <c r="I39" s="946"/>
    </row>
    <row r="40" spans="1:9" s="224" customFormat="1" ht="15" customHeight="1" x14ac:dyDescent="0.25">
      <c r="A40" s="215">
        <v>42895</v>
      </c>
      <c r="B40" s="862" t="s">
        <v>134</v>
      </c>
      <c r="C40" s="350" t="s">
        <v>12</v>
      </c>
      <c r="D40" s="350" t="s">
        <v>1493</v>
      </c>
      <c r="E40" s="757" t="s">
        <v>13</v>
      </c>
      <c r="F40" s="97">
        <v>9.35</v>
      </c>
      <c r="G40" s="946"/>
      <c r="H40" s="95"/>
      <c r="I40" s="946"/>
    </row>
    <row r="41" spans="1:9" s="224" customFormat="1" x14ac:dyDescent="0.25">
      <c r="A41" s="215">
        <v>42895</v>
      </c>
      <c r="B41" s="349" t="s">
        <v>311</v>
      </c>
      <c r="C41" s="350"/>
      <c r="D41" s="350"/>
      <c r="E41" s="757"/>
      <c r="G41" s="946"/>
      <c r="H41" s="97"/>
      <c r="I41" s="946">
        <v>4.51</v>
      </c>
    </row>
    <row r="42" spans="1:9" s="224" customFormat="1" ht="15" customHeight="1" x14ac:dyDescent="0.25">
      <c r="A42" s="215">
        <v>42896</v>
      </c>
      <c r="B42" s="862" t="s">
        <v>14</v>
      </c>
      <c r="C42" s="350" t="s">
        <v>12</v>
      </c>
      <c r="D42" s="350" t="s">
        <v>1486</v>
      </c>
      <c r="E42" s="757" t="s">
        <v>13</v>
      </c>
      <c r="F42" s="97">
        <v>8.77</v>
      </c>
      <c r="G42" s="946"/>
      <c r="H42" s="95"/>
      <c r="I42" s="946"/>
    </row>
    <row r="43" spans="1:9" s="224" customFormat="1" ht="15" customHeight="1" x14ac:dyDescent="0.25">
      <c r="A43" s="215">
        <v>42896</v>
      </c>
      <c r="B43" s="862" t="s">
        <v>1621</v>
      </c>
      <c r="C43" s="350" t="s">
        <v>12</v>
      </c>
      <c r="D43" s="350" t="s">
        <v>1524</v>
      </c>
      <c r="E43" s="757" t="s">
        <v>13</v>
      </c>
      <c r="F43" s="97">
        <v>64.2</v>
      </c>
      <c r="G43" s="946"/>
      <c r="H43" s="95"/>
      <c r="I43" s="946"/>
    </row>
    <row r="44" spans="1:9" s="224" customFormat="1" ht="15" customHeight="1" x14ac:dyDescent="0.25">
      <c r="A44" s="215">
        <v>42896</v>
      </c>
      <c r="B44" s="862" t="s">
        <v>147</v>
      </c>
      <c r="C44" s="350" t="s">
        <v>12</v>
      </c>
      <c r="D44" s="350" t="s">
        <v>1489</v>
      </c>
      <c r="E44" s="757" t="s">
        <v>15</v>
      </c>
      <c r="F44" s="97">
        <v>15</v>
      </c>
      <c r="G44" s="946"/>
      <c r="H44" s="95"/>
      <c r="I44" s="946"/>
    </row>
    <row r="45" spans="1:9" s="224" customFormat="1" ht="15" customHeight="1" x14ac:dyDescent="0.25">
      <c r="A45" s="215">
        <v>42896</v>
      </c>
      <c r="B45" s="862" t="s">
        <v>32</v>
      </c>
      <c r="C45" s="350" t="s">
        <v>12</v>
      </c>
      <c r="D45" s="350" t="s">
        <v>1485</v>
      </c>
      <c r="E45" s="757" t="s">
        <v>13</v>
      </c>
      <c r="F45" s="97">
        <v>14.5</v>
      </c>
      <c r="G45" s="946"/>
      <c r="H45" s="95"/>
      <c r="I45" s="946"/>
    </row>
    <row r="46" spans="1:9" s="224" customFormat="1" ht="15" customHeight="1" x14ac:dyDescent="0.25">
      <c r="A46" s="215">
        <v>42896</v>
      </c>
      <c r="B46" s="862" t="s">
        <v>82</v>
      </c>
      <c r="C46" s="879" t="s">
        <v>12</v>
      </c>
      <c r="D46" s="879" t="s">
        <v>1493</v>
      </c>
      <c r="E46" s="757" t="s">
        <v>15</v>
      </c>
      <c r="F46" s="97">
        <v>29</v>
      </c>
      <c r="G46" s="946"/>
      <c r="H46" s="95"/>
      <c r="I46" s="946"/>
    </row>
    <row r="47" spans="1:9" s="224" customFormat="1" ht="15" customHeight="1" x14ac:dyDescent="0.25">
      <c r="A47" s="215">
        <v>42897</v>
      </c>
      <c r="B47" s="862" t="s">
        <v>978</v>
      </c>
      <c r="C47" s="879" t="s">
        <v>12</v>
      </c>
      <c r="D47" s="879" t="s">
        <v>1489</v>
      </c>
      <c r="E47" s="757" t="s">
        <v>15</v>
      </c>
      <c r="F47" s="97">
        <v>15</v>
      </c>
      <c r="G47" s="946"/>
      <c r="H47" s="95"/>
      <c r="I47" s="946"/>
    </row>
    <row r="48" spans="1:9" s="224" customFormat="1" x14ac:dyDescent="0.25">
      <c r="A48" s="215">
        <v>42898</v>
      </c>
      <c r="B48" s="862" t="s">
        <v>32</v>
      </c>
      <c r="C48" s="350" t="s">
        <v>12</v>
      </c>
      <c r="D48" s="350" t="s">
        <v>1485</v>
      </c>
      <c r="E48" s="757" t="s">
        <v>15</v>
      </c>
      <c r="F48" s="97">
        <v>13</v>
      </c>
      <c r="G48" s="946"/>
      <c r="H48" s="97"/>
      <c r="I48" s="946"/>
    </row>
    <row r="49" spans="1:9" s="224" customFormat="1" x14ac:dyDescent="0.25">
      <c r="A49" s="215">
        <v>42898</v>
      </c>
      <c r="B49" s="862" t="s">
        <v>134</v>
      </c>
      <c r="C49" s="350" t="s">
        <v>12</v>
      </c>
      <c r="D49" s="350" t="s">
        <v>1493</v>
      </c>
      <c r="E49" s="757" t="s">
        <v>15</v>
      </c>
      <c r="F49" s="97">
        <v>15</v>
      </c>
      <c r="G49" s="946"/>
      <c r="H49" s="97"/>
      <c r="I49" s="946"/>
    </row>
    <row r="50" spans="1:9" s="224" customFormat="1" x14ac:dyDescent="0.25">
      <c r="A50" s="215">
        <v>42899</v>
      </c>
      <c r="B50" s="862" t="s">
        <v>32</v>
      </c>
      <c r="C50" s="350" t="s">
        <v>12</v>
      </c>
      <c r="D50" s="350" t="s">
        <v>1485</v>
      </c>
      <c r="E50" s="757" t="s">
        <v>15</v>
      </c>
      <c r="F50" s="97">
        <v>13</v>
      </c>
      <c r="G50" s="946"/>
      <c r="H50" s="97"/>
      <c r="I50" s="946"/>
    </row>
    <row r="51" spans="1:9" s="224" customFormat="1" x14ac:dyDescent="0.25">
      <c r="A51" s="215">
        <v>42899</v>
      </c>
      <c r="B51" s="862" t="s">
        <v>1578</v>
      </c>
      <c r="C51" s="350" t="s">
        <v>19</v>
      </c>
      <c r="D51" s="350" t="s">
        <v>1491</v>
      </c>
      <c r="E51" s="757" t="s">
        <v>15</v>
      </c>
      <c r="F51" s="97">
        <v>70</v>
      </c>
      <c r="G51" s="946"/>
      <c r="H51" s="97"/>
      <c r="I51" s="946"/>
    </row>
    <row r="52" spans="1:9" s="224" customFormat="1" x14ac:dyDescent="0.25">
      <c r="A52" s="215">
        <v>42899</v>
      </c>
      <c r="B52" s="862" t="s">
        <v>1622</v>
      </c>
      <c r="C52" s="350" t="s">
        <v>12</v>
      </c>
      <c r="D52" s="350" t="s">
        <v>1489</v>
      </c>
      <c r="E52" s="757" t="s">
        <v>15</v>
      </c>
      <c r="F52" s="97">
        <v>25</v>
      </c>
      <c r="G52" s="946"/>
      <c r="H52" s="97"/>
      <c r="I52" s="946"/>
    </row>
    <row r="53" spans="1:9" s="224" customFormat="1" x14ac:dyDescent="0.25">
      <c r="A53" s="215">
        <v>42899</v>
      </c>
      <c r="B53" s="862" t="s">
        <v>1623</v>
      </c>
      <c r="C53" s="350" t="s">
        <v>12</v>
      </c>
      <c r="D53" s="350" t="s">
        <v>1489</v>
      </c>
      <c r="E53" s="757" t="s">
        <v>15</v>
      </c>
      <c r="F53" s="97">
        <v>9</v>
      </c>
      <c r="G53" s="946"/>
      <c r="H53" s="97"/>
      <c r="I53" s="946"/>
    </row>
    <row r="54" spans="1:9" s="224" customFormat="1" x14ac:dyDescent="0.25">
      <c r="A54" s="215">
        <v>42899</v>
      </c>
      <c r="B54" s="862" t="s">
        <v>1331</v>
      </c>
      <c r="C54" s="350" t="s">
        <v>12</v>
      </c>
      <c r="D54" s="350" t="s">
        <v>1487</v>
      </c>
      <c r="E54" s="757" t="s">
        <v>15</v>
      </c>
      <c r="F54" s="97">
        <v>50</v>
      </c>
      <c r="G54" s="946"/>
      <c r="H54" s="97"/>
      <c r="I54" s="946"/>
    </row>
    <row r="55" spans="1:9" s="224" customFormat="1" x14ac:dyDescent="0.25">
      <c r="A55" s="215">
        <v>42900</v>
      </c>
      <c r="B55" s="862" t="s">
        <v>32</v>
      </c>
      <c r="C55" s="350" t="s">
        <v>12</v>
      </c>
      <c r="D55" s="350" t="s">
        <v>1485</v>
      </c>
      <c r="E55" s="757" t="s">
        <v>15</v>
      </c>
      <c r="F55" s="97">
        <v>13</v>
      </c>
      <c r="G55" s="946"/>
      <c r="H55" s="97"/>
      <c r="I55" s="946"/>
    </row>
    <row r="56" spans="1:9" s="224" customFormat="1" x14ac:dyDescent="0.25">
      <c r="A56" s="215">
        <v>42900</v>
      </c>
      <c r="B56" s="862" t="s">
        <v>1624</v>
      </c>
      <c r="C56" s="350" t="s">
        <v>12</v>
      </c>
      <c r="D56" s="350" t="s">
        <v>1489</v>
      </c>
      <c r="E56" s="757" t="s">
        <v>15</v>
      </c>
      <c r="F56" s="97">
        <v>10</v>
      </c>
      <c r="G56" s="946"/>
      <c r="H56" s="97"/>
      <c r="I56" s="946"/>
    </row>
    <row r="57" spans="1:9" s="224" customFormat="1" x14ac:dyDescent="0.25">
      <c r="A57" s="215">
        <v>42900</v>
      </c>
      <c r="B57" s="862" t="s">
        <v>256</v>
      </c>
      <c r="C57" s="879"/>
      <c r="D57" s="879"/>
      <c r="E57" s="1510"/>
      <c r="F57" s="97"/>
      <c r="G57" s="946">
        <v>154.81</v>
      </c>
      <c r="H57" s="97">
        <v>154.81</v>
      </c>
      <c r="I57" s="1473"/>
    </row>
    <row r="58" spans="1:9" s="224" customFormat="1" x14ac:dyDescent="0.25">
      <c r="A58" s="215">
        <v>42900</v>
      </c>
      <c r="B58" s="862" t="s">
        <v>134</v>
      </c>
      <c r="C58" s="350" t="s">
        <v>12</v>
      </c>
      <c r="D58" s="350" t="s">
        <v>1493</v>
      </c>
      <c r="E58" s="757" t="s">
        <v>13</v>
      </c>
      <c r="F58" s="97">
        <v>9.35</v>
      </c>
      <c r="G58" s="946"/>
      <c r="H58" s="97"/>
      <c r="I58" s="946"/>
    </row>
    <row r="59" spans="1:9" s="224" customFormat="1" x14ac:dyDescent="0.25">
      <c r="A59" s="215">
        <v>42901</v>
      </c>
      <c r="B59" s="862" t="s">
        <v>134</v>
      </c>
      <c r="C59" s="350" t="s">
        <v>12</v>
      </c>
      <c r="D59" s="350" t="s">
        <v>1493</v>
      </c>
      <c r="E59" s="757" t="s">
        <v>13</v>
      </c>
      <c r="F59" s="626">
        <v>12.5</v>
      </c>
      <c r="G59" s="946"/>
      <c r="H59" s="97"/>
      <c r="I59" s="946"/>
    </row>
    <row r="60" spans="1:9" s="224" customFormat="1" x14ac:dyDescent="0.25">
      <c r="A60" s="215">
        <v>42901</v>
      </c>
      <c r="B60" s="862" t="s">
        <v>1625</v>
      </c>
      <c r="C60" s="350" t="s">
        <v>12</v>
      </c>
      <c r="D60" s="350" t="s">
        <v>1506</v>
      </c>
      <c r="E60" s="757" t="s">
        <v>13</v>
      </c>
      <c r="F60" s="97">
        <v>29.99</v>
      </c>
      <c r="G60" s="946"/>
      <c r="H60" s="97"/>
      <c r="I60" s="946"/>
    </row>
    <row r="61" spans="1:9" s="224" customFormat="1" x14ac:dyDescent="0.25">
      <c r="A61" s="215">
        <v>42901</v>
      </c>
      <c r="B61" s="862" t="s">
        <v>14</v>
      </c>
      <c r="C61" s="350" t="s">
        <v>12</v>
      </c>
      <c r="D61" s="350" t="s">
        <v>1486</v>
      </c>
      <c r="E61" s="757" t="s">
        <v>13</v>
      </c>
      <c r="F61" s="97">
        <v>2.34</v>
      </c>
      <c r="G61" s="946"/>
      <c r="H61" s="97"/>
      <c r="I61" s="946"/>
    </row>
    <row r="62" spans="1:9" s="224" customFormat="1" x14ac:dyDescent="0.25">
      <c r="A62" s="215">
        <v>42901</v>
      </c>
      <c r="B62" s="862" t="s">
        <v>32</v>
      </c>
      <c r="C62" s="350" t="s">
        <v>12</v>
      </c>
      <c r="D62" s="350" t="s">
        <v>1485</v>
      </c>
      <c r="E62" s="757" t="s">
        <v>15</v>
      </c>
      <c r="F62" s="97">
        <v>14.5</v>
      </c>
      <c r="G62" s="946"/>
      <c r="H62" s="97"/>
      <c r="I62" s="946"/>
    </row>
    <row r="63" spans="1:9" s="224" customFormat="1" x14ac:dyDescent="0.25">
      <c r="A63" s="215">
        <v>42901</v>
      </c>
      <c r="B63" s="862" t="s">
        <v>82</v>
      </c>
      <c r="C63" s="350" t="s">
        <v>12</v>
      </c>
      <c r="D63" s="350" t="s">
        <v>1493</v>
      </c>
      <c r="E63" s="757" t="s">
        <v>13</v>
      </c>
      <c r="F63" s="178">
        <v>29</v>
      </c>
      <c r="G63" s="946"/>
      <c r="H63" s="97"/>
      <c r="I63" s="946"/>
    </row>
    <row r="64" spans="1:9" s="224" customFormat="1" x14ac:dyDescent="0.25">
      <c r="A64" s="215">
        <v>42901</v>
      </c>
      <c r="B64" s="862" t="s">
        <v>14</v>
      </c>
      <c r="C64" s="350" t="s">
        <v>12</v>
      </c>
      <c r="D64" s="350" t="s">
        <v>1486</v>
      </c>
      <c r="E64" s="757" t="s">
        <v>13</v>
      </c>
      <c r="F64" s="97">
        <v>2.65</v>
      </c>
      <c r="G64" s="946"/>
      <c r="H64" s="97"/>
      <c r="I64" s="946"/>
    </row>
    <row r="65" spans="1:9" s="224" customFormat="1" x14ac:dyDescent="0.25">
      <c r="A65" s="215">
        <v>42902</v>
      </c>
      <c r="B65" s="349" t="s">
        <v>311</v>
      </c>
      <c r="C65" s="350"/>
      <c r="D65" s="350"/>
      <c r="E65" s="757"/>
      <c r="G65" s="946"/>
      <c r="H65" s="97"/>
      <c r="I65" s="946">
        <v>1.98</v>
      </c>
    </row>
    <row r="66" spans="1:9" ht="15" customHeight="1" x14ac:dyDescent="0.25">
      <c r="A66" s="215">
        <v>42902</v>
      </c>
      <c r="B66" s="349" t="s">
        <v>1396</v>
      </c>
      <c r="C66" s="350" t="s">
        <v>12</v>
      </c>
      <c r="D66" s="350"/>
      <c r="E66" s="757" t="s">
        <v>25</v>
      </c>
      <c r="F66" s="97"/>
      <c r="G66" s="946">
        <v>40</v>
      </c>
      <c r="H66" s="97"/>
      <c r="I66" s="946"/>
    </row>
    <row r="67" spans="1:9" s="224" customFormat="1" x14ac:dyDescent="0.25">
      <c r="A67" s="215">
        <v>42902</v>
      </c>
      <c r="B67" s="862" t="s">
        <v>1626</v>
      </c>
      <c r="C67" s="350" t="s">
        <v>12</v>
      </c>
      <c r="D67" s="350" t="s">
        <v>1493</v>
      </c>
      <c r="E67" s="757" t="s">
        <v>15</v>
      </c>
      <c r="F67" s="97">
        <v>12</v>
      </c>
      <c r="G67" s="946"/>
      <c r="H67" s="97"/>
      <c r="I67" s="946"/>
    </row>
    <row r="68" spans="1:9" s="224" customFormat="1" x14ac:dyDescent="0.25">
      <c r="A68" s="215">
        <v>42902</v>
      </c>
      <c r="B68" s="862" t="s">
        <v>134</v>
      </c>
      <c r="C68" s="350" t="s">
        <v>12</v>
      </c>
      <c r="D68" s="350" t="s">
        <v>1493</v>
      </c>
      <c r="E68" s="757" t="s">
        <v>13</v>
      </c>
      <c r="F68" s="97">
        <v>12.67</v>
      </c>
      <c r="G68" s="946"/>
      <c r="H68" s="97"/>
      <c r="I68" s="946"/>
    </row>
    <row r="69" spans="1:9" s="224" customFormat="1" x14ac:dyDescent="0.25">
      <c r="A69" s="215">
        <v>42902</v>
      </c>
      <c r="B69" s="862" t="s">
        <v>1627</v>
      </c>
      <c r="C69" s="350" t="s">
        <v>12</v>
      </c>
      <c r="D69" s="350" t="s">
        <v>1489</v>
      </c>
      <c r="E69" s="757" t="s">
        <v>13</v>
      </c>
      <c r="F69" s="97">
        <v>93.22</v>
      </c>
      <c r="G69" s="946"/>
      <c r="H69" s="97"/>
      <c r="I69" s="946"/>
    </row>
    <row r="70" spans="1:9" s="224" customFormat="1" x14ac:dyDescent="0.25">
      <c r="A70" s="215">
        <v>42902</v>
      </c>
      <c r="B70" s="862" t="s">
        <v>1628</v>
      </c>
      <c r="C70" s="350" t="s">
        <v>12</v>
      </c>
      <c r="D70" s="350" t="s">
        <v>1489</v>
      </c>
      <c r="E70" s="757" t="s">
        <v>13</v>
      </c>
      <c r="F70" s="97">
        <v>13</v>
      </c>
      <c r="G70" s="946"/>
      <c r="H70" s="97"/>
      <c r="I70" s="946"/>
    </row>
    <row r="71" spans="1:9" s="224" customFormat="1" x14ac:dyDescent="0.25">
      <c r="A71" s="215">
        <v>42903</v>
      </c>
      <c r="B71" s="862" t="s">
        <v>14</v>
      </c>
      <c r="C71" s="350" t="s">
        <v>12</v>
      </c>
      <c r="D71" s="350" t="s">
        <v>1486</v>
      </c>
      <c r="E71" s="757" t="s">
        <v>13</v>
      </c>
      <c r="F71" s="97">
        <v>5.7</v>
      </c>
      <c r="G71" s="946"/>
      <c r="H71" s="97"/>
      <c r="I71" s="946"/>
    </row>
    <row r="72" spans="1:9" s="224" customFormat="1" x14ac:dyDescent="0.25">
      <c r="A72" s="215">
        <v>42903</v>
      </c>
      <c r="B72" s="349" t="s">
        <v>134</v>
      </c>
      <c r="C72" s="350" t="s">
        <v>12</v>
      </c>
      <c r="D72" s="350" t="s">
        <v>1493</v>
      </c>
      <c r="E72" s="757" t="s">
        <v>13</v>
      </c>
      <c r="F72" s="97">
        <v>18.86</v>
      </c>
      <c r="G72" s="946"/>
      <c r="H72" s="97"/>
      <c r="I72" s="946"/>
    </row>
    <row r="73" spans="1:9" s="224" customFormat="1" ht="15" customHeight="1" x14ac:dyDescent="0.25">
      <c r="A73" s="215">
        <v>42904</v>
      </c>
      <c r="B73" s="862" t="s">
        <v>14</v>
      </c>
      <c r="C73" s="350" t="s">
        <v>12</v>
      </c>
      <c r="D73" s="350" t="s">
        <v>1486</v>
      </c>
      <c r="E73" s="757" t="s">
        <v>13</v>
      </c>
      <c r="F73" s="97">
        <v>4.7300000000000004</v>
      </c>
      <c r="G73" s="946"/>
      <c r="H73" s="95"/>
      <c r="I73" s="946"/>
    </row>
    <row r="74" spans="1:9" s="224" customFormat="1" x14ac:dyDescent="0.25">
      <c r="A74" s="215">
        <v>42905</v>
      </c>
      <c r="B74" s="862" t="s">
        <v>32</v>
      </c>
      <c r="C74" s="350" t="s">
        <v>12</v>
      </c>
      <c r="D74" s="350" t="s">
        <v>1485</v>
      </c>
      <c r="E74" s="757" t="s">
        <v>13</v>
      </c>
      <c r="F74" s="97">
        <v>13</v>
      </c>
      <c r="G74" s="946"/>
      <c r="H74" s="97"/>
      <c r="I74" s="946"/>
    </row>
    <row r="75" spans="1:9" s="224" customFormat="1" x14ac:dyDescent="0.25">
      <c r="A75" s="215">
        <v>42905</v>
      </c>
      <c r="B75" s="862" t="s">
        <v>256</v>
      </c>
      <c r="C75" s="879"/>
      <c r="D75" s="879"/>
      <c r="E75" s="1510"/>
      <c r="F75" s="97"/>
      <c r="G75" s="946">
        <v>500</v>
      </c>
      <c r="H75" s="97">
        <v>500</v>
      </c>
      <c r="I75" s="1473"/>
    </row>
    <row r="76" spans="1:9" s="224" customFormat="1" x14ac:dyDescent="0.25">
      <c r="A76" s="215">
        <v>42905</v>
      </c>
      <c r="B76" s="862" t="s">
        <v>521</v>
      </c>
      <c r="C76" s="350" t="s">
        <v>12</v>
      </c>
      <c r="D76" s="350" t="s">
        <v>1489</v>
      </c>
      <c r="E76" s="757" t="s">
        <v>13</v>
      </c>
      <c r="F76" s="97">
        <v>12.67</v>
      </c>
      <c r="G76" s="946"/>
      <c r="H76" s="97"/>
      <c r="I76" s="946"/>
    </row>
    <row r="77" spans="1:9" s="224" customFormat="1" ht="15" customHeight="1" x14ac:dyDescent="0.25">
      <c r="A77" s="215">
        <v>42906</v>
      </c>
      <c r="B77" s="882" t="s">
        <v>1629</v>
      </c>
      <c r="C77" s="350" t="s">
        <v>12</v>
      </c>
      <c r="D77" s="879"/>
      <c r="E77" s="871" t="s">
        <v>25</v>
      </c>
      <c r="F77" s="97"/>
      <c r="G77" s="946">
        <v>1510.31</v>
      </c>
      <c r="H77" s="95"/>
      <c r="I77" s="1473"/>
    </row>
    <row r="78" spans="1:9" s="224" customFormat="1" x14ac:dyDescent="0.25">
      <c r="A78" s="215">
        <v>42906</v>
      </c>
      <c r="B78" s="873" t="s">
        <v>1564</v>
      </c>
      <c r="C78" s="879" t="s">
        <v>12</v>
      </c>
      <c r="D78" s="350" t="s">
        <v>1491</v>
      </c>
      <c r="E78" s="871" t="s">
        <v>15</v>
      </c>
      <c r="F78" s="97">
        <v>100</v>
      </c>
      <c r="G78" s="946"/>
      <c r="H78" s="97"/>
      <c r="I78" s="946"/>
    </row>
    <row r="79" spans="1:9" s="224" customFormat="1" x14ac:dyDescent="0.25">
      <c r="A79" s="215">
        <v>42906</v>
      </c>
      <c r="B79" s="873" t="s">
        <v>687</v>
      </c>
      <c r="C79" s="879" t="s">
        <v>12</v>
      </c>
      <c r="D79" s="350" t="s">
        <v>1491</v>
      </c>
      <c r="E79" s="871" t="s">
        <v>15</v>
      </c>
      <c r="F79" s="97">
        <v>20</v>
      </c>
      <c r="G79" s="946"/>
      <c r="H79" s="97"/>
      <c r="I79" s="946"/>
    </row>
    <row r="80" spans="1:9" s="224" customFormat="1" ht="15" customHeight="1" x14ac:dyDescent="0.25">
      <c r="A80" s="215">
        <v>42906</v>
      </c>
      <c r="B80" s="862" t="s">
        <v>1630</v>
      </c>
      <c r="C80" s="350" t="s">
        <v>12</v>
      </c>
      <c r="D80" s="350" t="s">
        <v>1491</v>
      </c>
      <c r="E80" s="757" t="s">
        <v>15</v>
      </c>
      <c r="F80" s="97">
        <v>50</v>
      </c>
      <c r="G80" s="946"/>
      <c r="H80" s="95"/>
      <c r="I80" s="946"/>
    </row>
    <row r="81" spans="1:9" s="224" customFormat="1" ht="15" customHeight="1" x14ac:dyDescent="0.25">
      <c r="A81" s="215">
        <v>42906</v>
      </c>
      <c r="B81" s="349" t="s">
        <v>260</v>
      </c>
      <c r="C81" s="350"/>
      <c r="D81" s="350"/>
      <c r="E81" s="757"/>
      <c r="F81" s="97">
        <v>1008.02</v>
      </c>
      <c r="G81" s="946"/>
      <c r="H81" s="95"/>
      <c r="I81" s="946">
        <v>1008.02</v>
      </c>
    </row>
    <row r="82" spans="1:9" s="224" customFormat="1" ht="15" customHeight="1" x14ac:dyDescent="0.25">
      <c r="A82" s="215">
        <v>42906</v>
      </c>
      <c r="B82" s="862" t="s">
        <v>32</v>
      </c>
      <c r="C82" s="350" t="s">
        <v>12</v>
      </c>
      <c r="D82" s="350" t="s">
        <v>1485</v>
      </c>
      <c r="E82" s="757" t="s">
        <v>13</v>
      </c>
      <c r="F82" s="97">
        <v>13</v>
      </c>
      <c r="G82" s="946"/>
      <c r="H82" s="95"/>
      <c r="I82" s="946"/>
    </row>
    <row r="83" spans="1:9" s="224" customFormat="1" x14ac:dyDescent="0.25">
      <c r="A83" s="215">
        <v>42906</v>
      </c>
      <c r="B83" s="862" t="s">
        <v>1331</v>
      </c>
      <c r="C83" s="350" t="s">
        <v>12</v>
      </c>
      <c r="D83" s="350" t="s">
        <v>1487</v>
      </c>
      <c r="E83" s="757" t="s">
        <v>15</v>
      </c>
      <c r="F83" s="97">
        <v>50</v>
      </c>
      <c r="G83" s="946"/>
      <c r="H83" s="97"/>
      <c r="I83" s="946"/>
    </row>
    <row r="84" spans="1:9" s="224" customFormat="1" x14ac:dyDescent="0.25">
      <c r="A84" s="215">
        <v>42907</v>
      </c>
      <c r="B84" s="862" t="s">
        <v>32</v>
      </c>
      <c r="C84" s="350" t="s">
        <v>12</v>
      </c>
      <c r="D84" s="350" t="s">
        <v>1485</v>
      </c>
      <c r="E84" s="757" t="s">
        <v>15</v>
      </c>
      <c r="F84" s="97">
        <v>13</v>
      </c>
      <c r="G84" s="946"/>
      <c r="H84" s="97"/>
      <c r="I84" s="946"/>
    </row>
    <row r="85" spans="1:9" s="224" customFormat="1" ht="15" customHeight="1" x14ac:dyDescent="0.25">
      <c r="A85" s="215">
        <v>42907</v>
      </c>
      <c r="B85" s="862" t="s">
        <v>14</v>
      </c>
      <c r="C85" s="350" t="s">
        <v>12</v>
      </c>
      <c r="D85" s="350" t="s">
        <v>1486</v>
      </c>
      <c r="E85" s="757" t="s">
        <v>13</v>
      </c>
      <c r="F85" s="97">
        <v>8.17</v>
      </c>
      <c r="G85" s="946"/>
      <c r="H85" s="95"/>
      <c r="I85" s="946"/>
    </row>
    <row r="86" spans="1:9" s="224" customFormat="1" ht="15" customHeight="1" x14ac:dyDescent="0.25">
      <c r="A86" s="215">
        <v>42908</v>
      </c>
      <c r="B86" s="862" t="s">
        <v>32</v>
      </c>
      <c r="C86" s="350" t="s">
        <v>12</v>
      </c>
      <c r="D86" s="350" t="s">
        <v>1485</v>
      </c>
      <c r="E86" s="757" t="s">
        <v>15</v>
      </c>
      <c r="F86" s="97">
        <v>13</v>
      </c>
      <c r="G86" s="946"/>
      <c r="H86" s="95"/>
      <c r="I86" s="946"/>
    </row>
    <row r="87" spans="1:9" s="224" customFormat="1" ht="15" customHeight="1" x14ac:dyDescent="0.25">
      <c r="A87" s="215">
        <v>42908</v>
      </c>
      <c r="B87" s="862" t="s">
        <v>1631</v>
      </c>
      <c r="C87" s="350" t="s">
        <v>19</v>
      </c>
      <c r="D87" s="350" t="s">
        <v>1506</v>
      </c>
      <c r="E87" s="757" t="s">
        <v>13</v>
      </c>
      <c r="F87" s="97">
        <v>29.9</v>
      </c>
      <c r="G87" s="946"/>
      <c r="H87" s="95"/>
      <c r="I87" s="946"/>
    </row>
    <row r="88" spans="1:9" s="224" customFormat="1" ht="15" customHeight="1" x14ac:dyDescent="0.25">
      <c r="A88" s="215">
        <v>42908</v>
      </c>
      <c r="B88" s="862" t="s">
        <v>1632</v>
      </c>
      <c r="C88" s="350" t="s">
        <v>19</v>
      </c>
      <c r="D88" s="350" t="s">
        <v>1489</v>
      </c>
      <c r="E88" s="757" t="s">
        <v>13</v>
      </c>
      <c r="F88" s="97">
        <v>57.5</v>
      </c>
      <c r="G88" s="946"/>
      <c r="H88" s="95"/>
      <c r="I88" s="946"/>
    </row>
    <row r="89" spans="1:9" s="224" customFormat="1" x14ac:dyDescent="0.25">
      <c r="A89" s="215">
        <v>42908</v>
      </c>
      <c r="B89" s="862" t="s">
        <v>1633</v>
      </c>
      <c r="C89" s="350" t="s">
        <v>19</v>
      </c>
      <c r="D89" s="350" t="s">
        <v>1506</v>
      </c>
      <c r="E89" s="757" t="s">
        <v>13</v>
      </c>
      <c r="F89" s="97">
        <v>31</v>
      </c>
      <c r="G89" s="946"/>
      <c r="H89" s="97"/>
      <c r="I89" s="946"/>
    </row>
    <row r="90" spans="1:9" s="224" customFormat="1" x14ac:dyDescent="0.25">
      <c r="A90" s="215">
        <v>42909</v>
      </c>
      <c r="B90" s="862" t="s">
        <v>32</v>
      </c>
      <c r="C90" s="350" t="s">
        <v>12</v>
      </c>
      <c r="D90" s="350" t="s">
        <v>1485</v>
      </c>
      <c r="E90" s="757" t="s">
        <v>13</v>
      </c>
      <c r="F90" s="97">
        <v>13</v>
      </c>
      <c r="G90" s="946"/>
      <c r="H90" s="97"/>
      <c r="I90" s="946"/>
    </row>
    <row r="91" spans="1:9" s="224" customFormat="1" x14ac:dyDescent="0.25">
      <c r="A91" s="215">
        <v>42910</v>
      </c>
      <c r="B91" s="862" t="s">
        <v>1634</v>
      </c>
      <c r="C91" s="350" t="s">
        <v>12</v>
      </c>
      <c r="D91" s="350" t="s">
        <v>1522</v>
      </c>
      <c r="E91" s="757" t="s">
        <v>13</v>
      </c>
      <c r="F91" s="97">
        <v>376</v>
      </c>
      <c r="G91" s="946"/>
      <c r="H91" s="97"/>
      <c r="I91" s="946"/>
    </row>
    <row r="92" spans="1:9" s="224" customFormat="1" x14ac:dyDescent="0.25">
      <c r="A92" s="215">
        <v>42910</v>
      </c>
      <c r="B92" s="862" t="s">
        <v>1331</v>
      </c>
      <c r="C92" s="350" t="s">
        <v>12</v>
      </c>
      <c r="D92" s="350" t="s">
        <v>1487</v>
      </c>
      <c r="E92" s="757" t="s">
        <v>13</v>
      </c>
      <c r="F92" s="97">
        <v>50</v>
      </c>
      <c r="G92" s="946"/>
      <c r="H92" s="95"/>
      <c r="I92" s="1473"/>
    </row>
    <row r="93" spans="1:9" s="224" customFormat="1" x14ac:dyDescent="0.25">
      <c r="A93" s="215">
        <v>42910</v>
      </c>
      <c r="B93" s="862" t="s">
        <v>32</v>
      </c>
      <c r="C93" s="350" t="s">
        <v>12</v>
      </c>
      <c r="D93" s="350" t="s">
        <v>1485</v>
      </c>
      <c r="E93" s="757" t="s">
        <v>13</v>
      </c>
      <c r="F93" s="97">
        <v>13</v>
      </c>
      <c r="G93" s="946"/>
      <c r="H93" s="97"/>
      <c r="I93" s="946"/>
    </row>
    <row r="94" spans="1:9" s="224" customFormat="1" x14ac:dyDescent="0.25">
      <c r="A94" s="215">
        <v>42910</v>
      </c>
      <c r="B94" s="862" t="s">
        <v>14</v>
      </c>
      <c r="C94" s="350" t="s">
        <v>12</v>
      </c>
      <c r="D94" s="350" t="s">
        <v>1486</v>
      </c>
      <c r="E94" s="757" t="s">
        <v>13</v>
      </c>
      <c r="F94" s="97">
        <v>2.74</v>
      </c>
      <c r="G94" s="946"/>
      <c r="H94" s="95"/>
      <c r="I94" s="1473"/>
    </row>
    <row r="95" spans="1:9" s="224" customFormat="1" x14ac:dyDescent="0.25">
      <c r="A95" s="215">
        <v>42910</v>
      </c>
      <c r="B95" s="862" t="s">
        <v>82</v>
      </c>
      <c r="C95" s="350" t="s">
        <v>12</v>
      </c>
      <c r="D95" s="350" t="s">
        <v>1493</v>
      </c>
      <c r="E95" s="757" t="s">
        <v>13</v>
      </c>
      <c r="F95" s="97">
        <v>29</v>
      </c>
      <c r="G95" s="946"/>
      <c r="H95" s="95"/>
      <c r="I95" s="1473"/>
    </row>
    <row r="96" spans="1:9" s="224" customFormat="1" x14ac:dyDescent="0.25">
      <c r="A96" s="215">
        <v>42911</v>
      </c>
      <c r="B96" s="862" t="s">
        <v>14</v>
      </c>
      <c r="C96" s="350" t="s">
        <v>12</v>
      </c>
      <c r="D96" s="350" t="s">
        <v>1486</v>
      </c>
      <c r="E96" s="757" t="s">
        <v>13</v>
      </c>
      <c r="F96" s="97">
        <v>2.71</v>
      </c>
      <c r="G96" s="946"/>
      <c r="H96" s="95"/>
      <c r="I96" s="1473"/>
    </row>
    <row r="97" spans="1:10" s="224" customFormat="1" x14ac:dyDescent="0.25">
      <c r="A97" s="215">
        <v>42911</v>
      </c>
      <c r="B97" s="862" t="s">
        <v>17</v>
      </c>
      <c r="C97" s="350" t="s">
        <v>12</v>
      </c>
      <c r="D97" s="350" t="s">
        <v>1493</v>
      </c>
      <c r="E97" s="757" t="s">
        <v>13</v>
      </c>
      <c r="F97" s="97">
        <v>10.5</v>
      </c>
      <c r="G97" s="946"/>
      <c r="H97" s="97"/>
      <c r="I97" s="946"/>
    </row>
    <row r="98" spans="1:10" s="224" customFormat="1" x14ac:dyDescent="0.25">
      <c r="A98" s="215">
        <v>42911</v>
      </c>
      <c r="B98" s="862" t="s">
        <v>1607</v>
      </c>
      <c r="C98" s="350" t="s">
        <v>12</v>
      </c>
      <c r="D98" s="874" t="s">
        <v>1504</v>
      </c>
      <c r="E98" s="870" t="s">
        <v>13</v>
      </c>
      <c r="F98" s="97">
        <v>60.46</v>
      </c>
      <c r="G98" s="946"/>
      <c r="H98" s="97"/>
      <c r="I98" s="946"/>
    </row>
    <row r="99" spans="1:10" s="224" customFormat="1" x14ac:dyDescent="0.25">
      <c r="A99" s="215">
        <v>42912</v>
      </c>
      <c r="B99" s="862" t="s">
        <v>32</v>
      </c>
      <c r="C99" s="350" t="s">
        <v>12</v>
      </c>
      <c r="D99" s="350" t="s">
        <v>1485</v>
      </c>
      <c r="E99" s="757" t="s">
        <v>13</v>
      </c>
      <c r="F99" s="97">
        <v>13</v>
      </c>
      <c r="G99" s="946"/>
      <c r="H99" s="95"/>
      <c r="I99" s="1473"/>
    </row>
    <row r="100" spans="1:10" s="224" customFormat="1" x14ac:dyDescent="0.25">
      <c r="A100" s="215">
        <v>42912</v>
      </c>
      <c r="B100" s="862" t="s">
        <v>1274</v>
      </c>
      <c r="C100" s="350" t="s">
        <v>12</v>
      </c>
      <c r="D100" s="350" t="s">
        <v>1491</v>
      </c>
      <c r="E100" s="757" t="s">
        <v>13</v>
      </c>
      <c r="F100" s="97">
        <v>40</v>
      </c>
      <c r="G100" s="946"/>
      <c r="H100" s="95"/>
      <c r="I100" s="1473"/>
    </row>
    <row r="101" spans="1:10" s="224" customFormat="1" x14ac:dyDescent="0.25">
      <c r="A101" s="215">
        <v>42913</v>
      </c>
      <c r="B101" s="862" t="s">
        <v>32</v>
      </c>
      <c r="C101" s="350" t="s">
        <v>12</v>
      </c>
      <c r="D101" s="350" t="s">
        <v>1485</v>
      </c>
      <c r="E101" s="757" t="s">
        <v>13</v>
      </c>
      <c r="F101" s="97">
        <v>13</v>
      </c>
      <c r="G101" s="946"/>
      <c r="H101" s="95"/>
      <c r="I101" s="1473"/>
    </row>
    <row r="102" spans="1:10" s="224" customFormat="1" x14ac:dyDescent="0.25">
      <c r="A102" s="215">
        <v>42913</v>
      </c>
      <c r="B102" s="862" t="s">
        <v>478</v>
      </c>
      <c r="C102" s="350" t="s">
        <v>12</v>
      </c>
      <c r="D102" s="350" t="s">
        <v>1489</v>
      </c>
      <c r="E102" s="757" t="s">
        <v>13</v>
      </c>
      <c r="F102" s="97">
        <v>3.24</v>
      </c>
      <c r="G102" s="946"/>
      <c r="H102" s="95"/>
      <c r="I102" s="1473"/>
    </row>
    <row r="103" spans="1:10" s="224" customFormat="1" x14ac:dyDescent="0.25">
      <c r="A103" s="215">
        <v>42914</v>
      </c>
      <c r="B103" s="862" t="s">
        <v>32</v>
      </c>
      <c r="C103" s="350" t="s">
        <v>12</v>
      </c>
      <c r="D103" s="350" t="s">
        <v>1485</v>
      </c>
      <c r="E103" s="757" t="s">
        <v>13</v>
      </c>
      <c r="F103" s="97">
        <v>13</v>
      </c>
      <c r="G103" s="946"/>
      <c r="H103" s="95"/>
      <c r="I103" s="1473"/>
    </row>
    <row r="104" spans="1:10" s="224" customFormat="1" x14ac:dyDescent="0.25">
      <c r="A104" s="215">
        <v>42914</v>
      </c>
      <c r="B104" s="862" t="s">
        <v>14</v>
      </c>
      <c r="C104" s="350" t="s">
        <v>12</v>
      </c>
      <c r="D104" s="350" t="s">
        <v>1486</v>
      </c>
      <c r="E104" s="757" t="s">
        <v>13</v>
      </c>
      <c r="F104" s="97">
        <v>7.45</v>
      </c>
      <c r="G104" s="946"/>
      <c r="H104" s="95"/>
      <c r="I104" s="1473"/>
    </row>
    <row r="105" spans="1:10" s="224" customFormat="1" x14ac:dyDescent="0.25">
      <c r="A105" s="215">
        <v>42915</v>
      </c>
      <c r="B105" s="862" t="s">
        <v>32</v>
      </c>
      <c r="C105" s="350" t="s">
        <v>12</v>
      </c>
      <c r="D105" s="350" t="s">
        <v>1485</v>
      </c>
      <c r="E105" s="757" t="s">
        <v>13</v>
      </c>
      <c r="F105" s="97">
        <v>13</v>
      </c>
      <c r="G105" s="946"/>
      <c r="H105" s="95"/>
      <c r="I105" s="1473"/>
    </row>
    <row r="106" spans="1:10" s="224" customFormat="1" x14ac:dyDescent="0.25">
      <c r="A106" s="215">
        <v>42915</v>
      </c>
      <c r="B106" s="862" t="s">
        <v>14</v>
      </c>
      <c r="C106" s="350" t="s">
        <v>12</v>
      </c>
      <c r="D106" s="350" t="s">
        <v>1486</v>
      </c>
      <c r="E106" s="757" t="s">
        <v>13</v>
      </c>
      <c r="F106" s="97">
        <v>8.1</v>
      </c>
      <c r="G106" s="946"/>
      <c r="H106" s="95"/>
      <c r="I106" s="1473"/>
    </row>
    <row r="107" spans="1:10" s="224" customFormat="1" x14ac:dyDescent="0.25">
      <c r="A107" s="215">
        <v>42916</v>
      </c>
      <c r="B107" s="862" t="s">
        <v>32</v>
      </c>
      <c r="C107" s="350" t="s">
        <v>12</v>
      </c>
      <c r="D107" s="350" t="s">
        <v>1485</v>
      </c>
      <c r="E107" s="757" t="s">
        <v>13</v>
      </c>
      <c r="F107" s="97">
        <v>13</v>
      </c>
      <c r="G107" s="946"/>
      <c r="H107" s="95"/>
      <c r="I107" s="1473"/>
    </row>
    <row r="108" spans="1:10" s="224" customFormat="1" x14ac:dyDescent="0.25">
      <c r="A108" s="215">
        <v>42916</v>
      </c>
      <c r="B108" s="862" t="s">
        <v>256</v>
      </c>
      <c r="C108" s="879"/>
      <c r="D108" s="879"/>
      <c r="E108" s="1510"/>
      <c r="F108" s="97"/>
      <c r="G108" s="946">
        <v>410</v>
      </c>
      <c r="H108" s="97">
        <v>410</v>
      </c>
      <c r="I108" s="1473"/>
    </row>
    <row r="109" spans="1:10" s="224" customFormat="1" x14ac:dyDescent="0.25">
      <c r="A109" s="215">
        <v>42916</v>
      </c>
      <c r="B109" s="862" t="s">
        <v>138</v>
      </c>
      <c r="C109" s="350" t="s">
        <v>19</v>
      </c>
      <c r="D109" s="350" t="s">
        <v>1487</v>
      </c>
      <c r="E109" s="757" t="s">
        <v>13</v>
      </c>
      <c r="F109" s="97">
        <v>70</v>
      </c>
      <c r="G109" s="946"/>
      <c r="H109" s="95"/>
      <c r="I109" s="1473"/>
    </row>
    <row r="110" spans="1:10" s="224" customFormat="1" x14ac:dyDescent="0.25">
      <c r="A110" s="215">
        <v>42916</v>
      </c>
      <c r="B110" s="862" t="s">
        <v>1635</v>
      </c>
      <c r="C110" s="350" t="s">
        <v>19</v>
      </c>
      <c r="D110" s="350" t="s">
        <v>1506</v>
      </c>
      <c r="E110" s="757" t="s">
        <v>15</v>
      </c>
      <c r="F110" s="97">
        <v>44.9</v>
      </c>
      <c r="G110" s="946"/>
      <c r="H110" s="95"/>
      <c r="I110" s="1473"/>
      <c r="J110" s="764"/>
    </row>
    <row r="111" spans="1:10" s="224" customFormat="1" x14ac:dyDescent="0.25">
      <c r="A111" s="452">
        <v>42916</v>
      </c>
      <c r="B111" s="453" t="s">
        <v>1635</v>
      </c>
      <c r="C111" s="454" t="s">
        <v>19</v>
      </c>
      <c r="D111" s="454" t="s">
        <v>1506</v>
      </c>
      <c r="E111" s="758" t="s">
        <v>13</v>
      </c>
      <c r="F111" s="523"/>
      <c r="G111" s="524"/>
      <c r="H111" s="516"/>
      <c r="I111" s="457"/>
      <c r="J111" s="767">
        <v>45</v>
      </c>
    </row>
    <row r="112" spans="1:10" s="224" customFormat="1" ht="15.75" thickBot="1" x14ac:dyDescent="0.3">
      <c r="A112" s="215">
        <v>42916</v>
      </c>
      <c r="B112" s="862" t="s">
        <v>14</v>
      </c>
      <c r="C112" s="350" t="s">
        <v>12</v>
      </c>
      <c r="D112" s="350" t="s">
        <v>1486</v>
      </c>
      <c r="E112" s="85" t="s">
        <v>13</v>
      </c>
      <c r="F112" s="97">
        <v>6.36</v>
      </c>
      <c r="G112" s="946"/>
      <c r="H112" s="95"/>
      <c r="I112" s="1473"/>
    </row>
    <row r="113" spans="1:11" ht="25.5" customHeight="1" thickBot="1" x14ac:dyDescent="0.3">
      <c r="A113" s="3060"/>
      <c r="B113" s="3061"/>
      <c r="C113" s="3062"/>
      <c r="D113" s="3062"/>
      <c r="E113" s="3062"/>
      <c r="F113" s="100">
        <f>SUM(F6:F112)</f>
        <v>4489.82</v>
      </c>
      <c r="G113" s="1065">
        <f>SUM(G5:G112)</f>
        <v>4917.230000000005</v>
      </c>
      <c r="H113" s="101">
        <f>SUM(H6:H112)</f>
        <v>1164.81</v>
      </c>
      <c r="I113" s="93">
        <f>SUM(I5:I112)</f>
        <v>5514.8060000000005</v>
      </c>
      <c r="J113" s="89"/>
    </row>
    <row r="114" spans="1:11" ht="25.5" customHeight="1" thickBot="1" x14ac:dyDescent="0.3">
      <c r="A114" s="3117" t="s">
        <v>49</v>
      </c>
      <c r="B114" s="3118"/>
      <c r="C114" s="3118"/>
      <c r="D114" s="3118"/>
      <c r="E114" s="3119"/>
      <c r="F114" s="144"/>
      <c r="G114" s="519">
        <f>G113-F113</f>
        <v>427.41000000000531</v>
      </c>
      <c r="H114" s="555"/>
      <c r="I114" s="556">
        <f>I113-H113</f>
        <v>4349.996000000001</v>
      </c>
    </row>
    <row r="115" spans="1:11" x14ac:dyDescent="0.25">
      <c r="J115" s="89"/>
      <c r="K115" s="89"/>
    </row>
    <row r="116" spans="1:11" x14ac:dyDescent="0.25">
      <c r="B116" s="79" t="s">
        <v>32</v>
      </c>
      <c r="C116" s="475">
        <v>303.5</v>
      </c>
      <c r="D116" s="85" t="s">
        <v>1485</v>
      </c>
    </row>
    <row r="117" spans="1:11" x14ac:dyDescent="0.25">
      <c r="B117" s="79" t="s">
        <v>1218</v>
      </c>
      <c r="C117" s="475">
        <v>340</v>
      </c>
      <c r="D117" s="85" t="s">
        <v>1487</v>
      </c>
    </row>
    <row r="118" spans="1:11" x14ac:dyDescent="0.25">
      <c r="B118" s="79" t="s">
        <v>50</v>
      </c>
      <c r="C118" s="484">
        <v>230.17</v>
      </c>
      <c r="D118" s="85" t="s">
        <v>1493</v>
      </c>
    </row>
    <row r="119" spans="1:11" s="85" customFormat="1" x14ac:dyDescent="0.25">
      <c r="A119" s="79"/>
      <c r="B119" s="79" t="s">
        <v>14</v>
      </c>
      <c r="C119" s="484">
        <v>121.83</v>
      </c>
      <c r="D119" s="85" t="s">
        <v>1486</v>
      </c>
    </row>
    <row r="120" spans="1:11" s="85" customFormat="1" x14ac:dyDescent="0.25">
      <c r="A120" s="79"/>
      <c r="B120" s="79" t="s">
        <v>51</v>
      </c>
      <c r="C120" s="475">
        <v>105.96</v>
      </c>
      <c r="D120" s="864" t="s">
        <v>1499</v>
      </c>
      <c r="E120" s="79"/>
      <c r="F120" s="89"/>
      <c r="G120" s="79"/>
      <c r="H120" s="79"/>
      <c r="I120" s="79"/>
    </row>
    <row r="121" spans="1:11" s="85" customFormat="1" x14ac:dyDescent="0.25">
      <c r="A121" s="79"/>
      <c r="B121" s="79" t="s">
        <v>52</v>
      </c>
      <c r="C121" s="475">
        <v>60</v>
      </c>
      <c r="D121" s="864" t="s">
        <v>1496</v>
      </c>
      <c r="F121" s="89"/>
      <c r="G121" s="79"/>
      <c r="H121" s="79"/>
      <c r="I121" s="79"/>
    </row>
    <row r="122" spans="1:11" s="85" customFormat="1" x14ac:dyDescent="0.25">
      <c r="A122" s="79"/>
      <c r="B122" s="867" t="s">
        <v>53</v>
      </c>
      <c r="C122" s="475">
        <v>518</v>
      </c>
      <c r="D122" s="864" t="s">
        <v>1522</v>
      </c>
      <c r="E122" s="89"/>
      <c r="F122" s="89"/>
      <c r="G122" s="79"/>
      <c r="H122" s="79"/>
      <c r="I122" s="79"/>
    </row>
    <row r="123" spans="1:11" s="85" customFormat="1" x14ac:dyDescent="0.25">
      <c r="A123" s="79"/>
      <c r="B123" s="79" t="s">
        <v>1232</v>
      </c>
      <c r="C123" s="475"/>
      <c r="D123" s="864" t="s">
        <v>1515</v>
      </c>
      <c r="F123" s="89"/>
      <c r="G123" s="79"/>
      <c r="H123" s="79"/>
      <c r="I123" s="79"/>
    </row>
    <row r="124" spans="1:11" s="85" customFormat="1" x14ac:dyDescent="0.25">
      <c r="A124" s="79"/>
      <c r="B124" s="79" t="s">
        <v>56</v>
      </c>
      <c r="C124" s="475">
        <v>18</v>
      </c>
      <c r="D124" s="864" t="s">
        <v>1523</v>
      </c>
      <c r="F124" s="89"/>
      <c r="G124" s="79"/>
      <c r="H124" s="79"/>
      <c r="I124" s="79"/>
    </row>
    <row r="125" spans="1:11" s="85" customFormat="1" x14ac:dyDescent="0.25">
      <c r="A125" s="79"/>
      <c r="B125" s="79" t="s">
        <v>57</v>
      </c>
      <c r="C125" s="475">
        <v>230.79</v>
      </c>
      <c r="D125" s="864" t="s">
        <v>1506</v>
      </c>
      <c r="F125" s="89"/>
      <c r="G125" s="79"/>
      <c r="H125" s="79"/>
      <c r="I125" s="79"/>
    </row>
    <row r="126" spans="1:11" s="85" customFormat="1" x14ac:dyDescent="0.25">
      <c r="A126" s="79"/>
      <c r="B126" s="79" t="s">
        <v>418</v>
      </c>
      <c r="C126" s="475">
        <v>64.2</v>
      </c>
      <c r="D126" s="85" t="s">
        <v>1524</v>
      </c>
      <c r="E126" s="79"/>
      <c r="F126" s="89"/>
    </row>
    <row r="127" spans="1:11" x14ac:dyDescent="0.25">
      <c r="B127" s="79" t="s">
        <v>419</v>
      </c>
      <c r="C127" s="475">
        <v>486.4</v>
      </c>
      <c r="D127" s="85" t="s">
        <v>1491</v>
      </c>
    </row>
    <row r="128" spans="1:11" x14ac:dyDescent="0.25">
      <c r="B128" s="79" t="s">
        <v>911</v>
      </c>
      <c r="C128" s="475">
        <v>128.72999999999999</v>
      </c>
      <c r="D128" s="85" t="s">
        <v>1525</v>
      </c>
    </row>
    <row r="129" spans="2:10" x14ac:dyDescent="0.25">
      <c r="B129" s="79" t="s">
        <v>1526</v>
      </c>
      <c r="C129" s="475">
        <v>110.46</v>
      </c>
      <c r="D129" s="85" t="s">
        <v>1504</v>
      </c>
      <c r="E129" s="79"/>
    </row>
    <row r="130" spans="2:10" x14ac:dyDescent="0.25">
      <c r="B130" s="79" t="s">
        <v>1527</v>
      </c>
      <c r="C130" s="475">
        <v>324.75</v>
      </c>
      <c r="D130" s="85" t="s">
        <v>1489</v>
      </c>
    </row>
    <row r="133" spans="2:10" x14ac:dyDescent="0.25">
      <c r="B133" s="79" t="s">
        <v>486</v>
      </c>
      <c r="C133" s="475">
        <f>H133/J133</f>
        <v>101.43766666666667</v>
      </c>
      <c r="F133" s="224" t="s">
        <v>487</v>
      </c>
      <c r="H133" s="216">
        <v>3043.13</v>
      </c>
      <c r="I133" s="518" t="s">
        <v>488</v>
      </c>
      <c r="J133" s="85">
        <v>30</v>
      </c>
    </row>
    <row r="137" spans="2:10" x14ac:dyDescent="0.25">
      <c r="D137" s="79"/>
      <c r="E137" s="79"/>
    </row>
    <row r="141" spans="2:10" x14ac:dyDescent="0.25">
      <c r="C141" s="79"/>
      <c r="D141" s="79"/>
      <c r="E141" s="79"/>
      <c r="F141" s="79"/>
      <c r="I141" s="216"/>
    </row>
    <row r="142" spans="2:10" x14ac:dyDescent="0.25">
      <c r="C142" s="79"/>
      <c r="D142" s="79"/>
      <c r="E142" s="79"/>
      <c r="F142" s="79"/>
      <c r="I142" s="216"/>
    </row>
    <row r="143" spans="2:10" x14ac:dyDescent="0.25">
      <c r="C143" s="79"/>
      <c r="D143" s="79"/>
      <c r="E143" s="79"/>
      <c r="F143" s="79"/>
      <c r="G143" s="216"/>
      <c r="I143" s="216"/>
    </row>
    <row r="144" spans="2:10" x14ac:dyDescent="0.25">
      <c r="C144" s="79"/>
      <c r="D144" s="79"/>
      <c r="E144" s="79"/>
      <c r="F144" s="79"/>
      <c r="G144" s="216"/>
      <c r="I144" s="216"/>
    </row>
    <row r="145" spans="3:9" x14ac:dyDescent="0.25">
      <c r="C145" s="79"/>
      <c r="D145" s="79"/>
      <c r="E145" s="79"/>
      <c r="F145" s="79"/>
      <c r="G145" s="216"/>
    </row>
    <row r="146" spans="3:9" x14ac:dyDescent="0.25">
      <c r="C146" s="79"/>
      <c r="D146" s="79"/>
      <c r="E146" s="79"/>
      <c r="F146" s="79"/>
      <c r="I146" s="216"/>
    </row>
    <row r="148" spans="3:9" x14ac:dyDescent="0.25">
      <c r="C148" s="79"/>
      <c r="D148" s="79"/>
      <c r="E148" s="79"/>
      <c r="F148" s="79"/>
      <c r="I148" s="629"/>
    </row>
    <row r="154" spans="3:9" x14ac:dyDescent="0.25">
      <c r="C154" s="79"/>
      <c r="D154" s="79"/>
      <c r="E154" s="79"/>
      <c r="F154" s="79"/>
      <c r="I154" s="216"/>
    </row>
    <row r="155" spans="3:9" x14ac:dyDescent="0.25">
      <c r="C155" s="79"/>
      <c r="D155" s="79"/>
      <c r="E155" s="79"/>
      <c r="F155" s="79"/>
      <c r="I155" s="216"/>
    </row>
    <row r="156" spans="3:9" x14ac:dyDescent="0.25">
      <c r="C156" s="79"/>
      <c r="D156" s="79"/>
      <c r="E156" s="79"/>
      <c r="F156" s="79"/>
      <c r="I156" s="216"/>
    </row>
    <row r="157" spans="3:9" x14ac:dyDescent="0.25">
      <c r="C157" s="79"/>
      <c r="D157" s="79"/>
      <c r="E157" s="79"/>
      <c r="F157" s="79"/>
      <c r="I157" s="216"/>
    </row>
    <row r="158" spans="3:9" x14ac:dyDescent="0.25">
      <c r="C158" s="79"/>
      <c r="D158" s="79"/>
      <c r="E158" s="79"/>
      <c r="F158" s="79"/>
      <c r="I158" s="216"/>
    </row>
    <row r="159" spans="3:9" x14ac:dyDescent="0.25">
      <c r="C159" s="79"/>
      <c r="D159" s="79"/>
      <c r="E159" s="79"/>
      <c r="F159" s="79"/>
      <c r="I159" s="216"/>
    </row>
    <row r="160" spans="3:9" x14ac:dyDescent="0.25">
      <c r="C160" s="79"/>
      <c r="D160" s="79"/>
      <c r="E160" s="79"/>
      <c r="F160" s="79"/>
      <c r="I160" s="216"/>
    </row>
    <row r="161" spans="3:9" x14ac:dyDescent="0.25">
      <c r="C161" s="79"/>
      <c r="D161" s="79"/>
      <c r="E161" s="79"/>
      <c r="F161" s="79"/>
      <c r="I161" s="216"/>
    </row>
    <row r="162" spans="3:9" x14ac:dyDescent="0.25">
      <c r="C162" s="79"/>
      <c r="D162" s="79"/>
      <c r="E162" s="79"/>
      <c r="F162" s="79"/>
      <c r="I162" s="216"/>
    </row>
  </sheetData>
  <autoFilter ref="A2:I114" xr:uid="{00000000-0009-0000-0000-00003D000000}"/>
  <mergeCells count="11">
    <mergeCell ref="A113:E113"/>
    <mergeCell ref="A114:E114"/>
    <mergeCell ref="A1:E1"/>
    <mergeCell ref="F1:I1"/>
    <mergeCell ref="A2:A4"/>
    <mergeCell ref="B2:B4"/>
    <mergeCell ref="C2:C4"/>
    <mergeCell ref="D2:D4"/>
    <mergeCell ref="E2:E4"/>
    <mergeCell ref="F2:G3"/>
    <mergeCell ref="H2:I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Plan75"/>
  <dimension ref="A1:K162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28515625" style="79" bestFit="1" customWidth="1"/>
    <col min="13" max="13" width="11.5703125" style="79" bestFit="1" customWidth="1"/>
    <col min="14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1636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42917</v>
      </c>
      <c r="B5" s="369" t="s">
        <v>10</v>
      </c>
      <c r="C5" s="370"/>
      <c r="D5" s="370"/>
      <c r="E5" s="488"/>
      <c r="F5" s="179"/>
      <c r="G5" s="933">
        <f>'Junho-17'!G114</f>
        <v>427.41000000000531</v>
      </c>
      <c r="H5" s="163"/>
      <c r="I5" s="933">
        <f>'Junho-17'!I114</f>
        <v>4349.996000000001</v>
      </c>
      <c r="J5" s="163"/>
      <c r="K5" s="933"/>
    </row>
    <row r="6" spans="1:11" s="224" customFormat="1" x14ac:dyDescent="0.25">
      <c r="A6" s="215">
        <v>42917</v>
      </c>
      <c r="B6" s="348" t="s">
        <v>11</v>
      </c>
      <c r="C6" s="351"/>
      <c r="D6" s="351"/>
      <c r="E6" s="673"/>
      <c r="F6" s="250">
        <v>50</v>
      </c>
      <c r="G6" s="1473"/>
      <c r="H6" s="252"/>
      <c r="I6" s="1473"/>
      <c r="J6" s="252"/>
      <c r="K6" s="1473"/>
    </row>
    <row r="7" spans="1:11" s="224" customFormat="1" x14ac:dyDescent="0.25">
      <c r="A7" s="215">
        <v>42917</v>
      </c>
      <c r="B7" s="862" t="s">
        <v>1638</v>
      </c>
      <c r="C7" s="350" t="s">
        <v>12</v>
      </c>
      <c r="D7" s="350" t="s">
        <v>1491</v>
      </c>
      <c r="E7" s="757" t="s">
        <v>15</v>
      </c>
      <c r="F7" s="97">
        <v>30</v>
      </c>
      <c r="G7" s="946"/>
      <c r="H7" s="97"/>
      <c r="I7" s="1473"/>
      <c r="J7" s="97"/>
      <c r="K7" s="1473"/>
    </row>
    <row r="8" spans="1:11" s="224" customFormat="1" x14ac:dyDescent="0.25">
      <c r="A8" s="215">
        <v>42917</v>
      </c>
      <c r="B8" s="862" t="s">
        <v>82</v>
      </c>
      <c r="C8" s="350" t="s">
        <v>12</v>
      </c>
      <c r="D8" s="350" t="s">
        <v>1493</v>
      </c>
      <c r="E8" s="757" t="s">
        <v>13</v>
      </c>
      <c r="F8" s="97">
        <v>29</v>
      </c>
      <c r="G8" s="946"/>
      <c r="H8" s="97"/>
      <c r="I8" s="1473"/>
      <c r="J8" s="97"/>
      <c r="K8" s="1473"/>
    </row>
    <row r="9" spans="1:11" s="224" customFormat="1" x14ac:dyDescent="0.25">
      <c r="A9" s="215">
        <v>42917</v>
      </c>
      <c r="B9" s="349" t="s">
        <v>311</v>
      </c>
      <c r="C9" s="350"/>
      <c r="D9" s="765"/>
      <c r="E9" s="766"/>
      <c r="G9" s="1512"/>
      <c r="H9" s="97"/>
      <c r="I9" s="946">
        <v>2.37</v>
      </c>
      <c r="J9" s="97"/>
      <c r="K9" s="946"/>
    </row>
    <row r="10" spans="1:11" s="224" customFormat="1" x14ac:dyDescent="0.25">
      <c r="A10" s="215">
        <v>42918</v>
      </c>
      <c r="B10" s="349" t="s">
        <v>14</v>
      </c>
      <c r="C10" s="350" t="s">
        <v>12</v>
      </c>
      <c r="D10" s="350" t="s">
        <v>1486</v>
      </c>
      <c r="E10" s="757" t="s">
        <v>13</v>
      </c>
      <c r="F10" s="252">
        <v>8.35</v>
      </c>
      <c r="G10" s="946"/>
      <c r="H10" s="97"/>
      <c r="I10" s="946"/>
      <c r="J10" s="97"/>
      <c r="K10" s="946"/>
    </row>
    <row r="11" spans="1:11" s="224" customFormat="1" x14ac:dyDescent="0.25">
      <c r="A11" s="215">
        <v>42919</v>
      </c>
      <c r="B11" s="862" t="s">
        <v>32</v>
      </c>
      <c r="C11" s="350" t="s">
        <v>12</v>
      </c>
      <c r="D11" s="350" t="s">
        <v>1485</v>
      </c>
      <c r="E11" s="757" t="s">
        <v>13</v>
      </c>
      <c r="F11" s="97">
        <v>13</v>
      </c>
      <c r="G11" s="946"/>
      <c r="H11" s="97"/>
      <c r="I11" s="946"/>
      <c r="J11" s="97"/>
      <c r="K11" s="946"/>
    </row>
    <row r="12" spans="1:11" s="224" customFormat="1" x14ac:dyDescent="0.25">
      <c r="A12" s="215">
        <v>42919</v>
      </c>
      <c r="B12" s="862" t="s">
        <v>1639</v>
      </c>
      <c r="C12" s="350" t="s">
        <v>12</v>
      </c>
      <c r="D12" s="350" t="s">
        <v>1524</v>
      </c>
      <c r="E12" s="757" t="s">
        <v>13</v>
      </c>
      <c r="F12" s="97">
        <v>9.8000000000000007</v>
      </c>
      <c r="G12" s="946"/>
      <c r="H12" s="97"/>
      <c r="I12" s="946"/>
      <c r="J12" s="97"/>
      <c r="K12" s="946"/>
    </row>
    <row r="13" spans="1:11" s="224" customFormat="1" x14ac:dyDescent="0.25">
      <c r="A13" s="215">
        <v>42919</v>
      </c>
      <c r="B13" s="862" t="s">
        <v>521</v>
      </c>
      <c r="C13" s="350" t="s">
        <v>12</v>
      </c>
      <c r="D13" s="350" t="s">
        <v>1489</v>
      </c>
      <c r="E13" s="757" t="s">
        <v>13</v>
      </c>
      <c r="F13" s="97">
        <v>18.579999999999998</v>
      </c>
      <c r="G13" s="946"/>
      <c r="H13" s="97"/>
      <c r="I13" s="946"/>
      <c r="J13" s="97"/>
      <c r="K13" s="946"/>
    </row>
    <row r="14" spans="1:11" s="224" customFormat="1" x14ac:dyDescent="0.25">
      <c r="A14" s="215">
        <v>42920</v>
      </c>
      <c r="B14" s="862" t="s">
        <v>32</v>
      </c>
      <c r="C14" s="350" t="s">
        <v>12</v>
      </c>
      <c r="D14" s="350" t="s">
        <v>1485</v>
      </c>
      <c r="E14" s="757" t="s">
        <v>13</v>
      </c>
      <c r="F14" s="97">
        <v>13</v>
      </c>
      <c r="G14" s="946"/>
      <c r="H14" s="95"/>
      <c r="I14" s="1473"/>
      <c r="J14" s="95"/>
      <c r="K14" s="1473"/>
    </row>
    <row r="15" spans="1:11" s="224" customFormat="1" x14ac:dyDescent="0.25">
      <c r="A15" s="215">
        <v>42920</v>
      </c>
      <c r="B15" s="349" t="s">
        <v>311</v>
      </c>
      <c r="C15" s="350"/>
      <c r="D15" s="350"/>
      <c r="E15" s="766"/>
      <c r="G15" s="1512"/>
      <c r="H15" s="97"/>
      <c r="I15" s="946">
        <v>4.9400000000000004</v>
      </c>
      <c r="J15" s="97"/>
      <c r="K15" s="946"/>
    </row>
    <row r="16" spans="1:11" s="224" customFormat="1" x14ac:dyDescent="0.25">
      <c r="A16" s="215">
        <v>42920</v>
      </c>
      <c r="B16" s="453" t="s">
        <v>1640</v>
      </c>
      <c r="C16" s="454" t="s">
        <v>12</v>
      </c>
      <c r="D16" s="776">
        <v>100</v>
      </c>
      <c r="E16" s="758"/>
      <c r="F16" s="523"/>
      <c r="G16" s="524"/>
      <c r="H16" s="516"/>
      <c r="I16" s="457"/>
      <c r="J16" s="516"/>
      <c r="K16" s="457"/>
    </row>
    <row r="17" spans="1:11" s="224" customFormat="1" ht="15.75" customHeight="1" x14ac:dyDescent="0.25">
      <c r="A17" s="215">
        <v>42920</v>
      </c>
      <c r="B17" s="453" t="s">
        <v>1641</v>
      </c>
      <c r="C17" s="454" t="s">
        <v>12</v>
      </c>
      <c r="D17" s="776">
        <v>29.9</v>
      </c>
      <c r="E17" s="758"/>
      <c r="F17" s="523"/>
      <c r="G17" s="524"/>
      <c r="H17" s="516"/>
      <c r="I17" s="457"/>
      <c r="J17" s="516"/>
      <c r="K17" s="457"/>
    </row>
    <row r="18" spans="1:11" s="224" customFormat="1" x14ac:dyDescent="0.25">
      <c r="A18" s="215">
        <v>42921</v>
      </c>
      <c r="B18" s="862" t="s">
        <v>32</v>
      </c>
      <c r="C18" s="350" t="s">
        <v>12</v>
      </c>
      <c r="D18" s="350" t="s">
        <v>1485</v>
      </c>
      <c r="E18" s="757" t="s">
        <v>15</v>
      </c>
      <c r="F18" s="97">
        <v>13</v>
      </c>
      <c r="G18" s="946"/>
      <c r="H18" s="95"/>
      <c r="I18" s="1473"/>
      <c r="J18" s="95"/>
      <c r="K18" s="1473"/>
    </row>
    <row r="19" spans="1:11" s="224" customFormat="1" x14ac:dyDescent="0.25">
      <c r="A19" s="215">
        <v>42921</v>
      </c>
      <c r="B19" s="349" t="s">
        <v>14</v>
      </c>
      <c r="C19" s="350" t="s">
        <v>12</v>
      </c>
      <c r="D19" s="350" t="s">
        <v>1486</v>
      </c>
      <c r="E19" s="757" t="s">
        <v>13</v>
      </c>
      <c r="F19" s="252">
        <v>14.98</v>
      </c>
      <c r="G19" s="946"/>
      <c r="H19" s="97"/>
      <c r="I19" s="946"/>
      <c r="J19" s="97"/>
      <c r="K19" s="946"/>
    </row>
    <row r="20" spans="1:11" s="224" customFormat="1" x14ac:dyDescent="0.25">
      <c r="A20" s="215">
        <v>42921</v>
      </c>
      <c r="B20" s="349" t="s">
        <v>311</v>
      </c>
      <c r="C20" s="350"/>
      <c r="D20" s="765"/>
      <c r="E20" s="766"/>
      <c r="G20" s="1512"/>
      <c r="H20" s="97"/>
      <c r="I20" s="946">
        <v>11.68</v>
      </c>
      <c r="J20" s="97"/>
      <c r="K20" s="946"/>
    </row>
    <row r="21" spans="1:11" s="224" customFormat="1" x14ac:dyDescent="0.25">
      <c r="A21" s="215">
        <v>42922</v>
      </c>
      <c r="B21" s="862" t="s">
        <v>256</v>
      </c>
      <c r="C21" s="879"/>
      <c r="D21" s="879"/>
      <c r="E21" s="1510"/>
      <c r="F21" s="97"/>
      <c r="G21" s="946">
        <v>268.72000000000003</v>
      </c>
      <c r="H21" s="97">
        <v>268.72000000000003</v>
      </c>
      <c r="I21" s="1473"/>
      <c r="J21" s="97"/>
      <c r="K21" s="1473"/>
    </row>
    <row r="22" spans="1:11" s="224" customFormat="1" x14ac:dyDescent="0.25">
      <c r="A22" s="215">
        <v>42922</v>
      </c>
      <c r="B22" s="862" t="s">
        <v>32</v>
      </c>
      <c r="C22" s="350" t="s">
        <v>12</v>
      </c>
      <c r="D22" s="350" t="s">
        <v>1485</v>
      </c>
      <c r="E22" s="757" t="s">
        <v>15</v>
      </c>
      <c r="F22" s="97">
        <v>13</v>
      </c>
      <c r="G22" s="946"/>
      <c r="H22" s="95"/>
      <c r="I22" s="1473"/>
      <c r="J22" s="95"/>
      <c r="K22" s="1473"/>
    </row>
    <row r="23" spans="1:11" s="224" customFormat="1" ht="15.75" customHeight="1" x14ac:dyDescent="0.25">
      <c r="A23" s="215">
        <v>42922</v>
      </c>
      <c r="B23" s="349" t="s">
        <v>1642</v>
      </c>
      <c r="C23" s="879" t="s">
        <v>12</v>
      </c>
      <c r="D23" s="874"/>
      <c r="E23" s="871" t="s">
        <v>25</v>
      </c>
      <c r="F23" s="97"/>
      <c r="G23" s="1473">
        <v>1583.78</v>
      </c>
      <c r="H23" s="252"/>
      <c r="I23" s="946"/>
      <c r="J23" s="252"/>
      <c r="K23" s="946"/>
    </row>
    <row r="24" spans="1:11" s="224" customFormat="1" x14ac:dyDescent="0.25">
      <c r="A24" s="215">
        <v>42922</v>
      </c>
      <c r="B24" s="862" t="s">
        <v>1643</v>
      </c>
      <c r="C24" s="879" t="s">
        <v>12</v>
      </c>
      <c r="D24" s="879"/>
      <c r="E24" s="871" t="s">
        <v>13</v>
      </c>
      <c r="F24" s="250">
        <v>200</v>
      </c>
      <c r="G24" s="946"/>
      <c r="H24" s="95"/>
      <c r="I24" s="946"/>
      <c r="J24" s="95"/>
      <c r="K24" s="946"/>
    </row>
    <row r="25" spans="1:11" s="224" customFormat="1" ht="15.75" customHeight="1" x14ac:dyDescent="0.25">
      <c r="A25" s="215">
        <v>42922</v>
      </c>
      <c r="B25" s="882" t="s">
        <v>1644</v>
      </c>
      <c r="C25" s="879" t="s">
        <v>12</v>
      </c>
      <c r="D25" s="879" t="s">
        <v>1499</v>
      </c>
      <c r="E25" s="871" t="s">
        <v>13</v>
      </c>
      <c r="F25" s="97">
        <v>45.86</v>
      </c>
      <c r="G25" s="1473"/>
      <c r="H25" s="252"/>
      <c r="I25" s="946"/>
      <c r="J25" s="252"/>
      <c r="K25" s="946"/>
    </row>
    <row r="26" spans="1:11" x14ac:dyDescent="0.25">
      <c r="A26" s="215">
        <v>42922</v>
      </c>
      <c r="B26" s="882" t="s">
        <v>1645</v>
      </c>
      <c r="C26" s="879" t="s">
        <v>12</v>
      </c>
      <c r="D26" s="879" t="s">
        <v>1499</v>
      </c>
      <c r="E26" s="871" t="s">
        <v>13</v>
      </c>
      <c r="F26" s="97">
        <v>53.92</v>
      </c>
      <c r="G26" s="946"/>
      <c r="H26" s="97"/>
      <c r="I26" s="946"/>
      <c r="J26" s="97"/>
      <c r="K26" s="946"/>
    </row>
    <row r="27" spans="1:11" x14ac:dyDescent="0.25">
      <c r="A27" s="215">
        <v>42922</v>
      </c>
      <c r="B27" s="862" t="s">
        <v>1532</v>
      </c>
      <c r="C27" s="879" t="s">
        <v>12</v>
      </c>
      <c r="D27" s="879" t="s">
        <v>1504</v>
      </c>
      <c r="E27" s="871" t="s">
        <v>13</v>
      </c>
      <c r="F27" s="97">
        <v>50</v>
      </c>
      <c r="G27" s="946"/>
      <c r="H27" s="97"/>
      <c r="I27" s="946"/>
      <c r="J27" s="97"/>
      <c r="K27" s="946"/>
    </row>
    <row r="28" spans="1:11" x14ac:dyDescent="0.25">
      <c r="A28" s="215">
        <v>42922</v>
      </c>
      <c r="B28" s="862" t="s">
        <v>52</v>
      </c>
      <c r="C28" s="879" t="s">
        <v>12</v>
      </c>
      <c r="D28" s="879" t="s">
        <v>1496</v>
      </c>
      <c r="E28" s="871" t="s">
        <v>13</v>
      </c>
      <c r="F28" s="97">
        <v>60</v>
      </c>
      <c r="G28" s="946"/>
      <c r="H28" s="97"/>
      <c r="I28" s="946"/>
      <c r="J28" s="97"/>
      <c r="K28" s="946"/>
    </row>
    <row r="29" spans="1:11" s="224" customFormat="1" ht="15" customHeight="1" x14ac:dyDescent="0.25">
      <c r="A29" s="215">
        <v>42922</v>
      </c>
      <c r="B29" s="349" t="s">
        <v>260</v>
      </c>
      <c r="C29" s="350"/>
      <c r="D29" s="350"/>
      <c r="E29" s="757"/>
      <c r="F29" s="97">
        <v>950</v>
      </c>
      <c r="G29" s="946"/>
      <c r="H29" s="95"/>
      <c r="I29" s="946">
        <v>950</v>
      </c>
      <c r="J29" s="95"/>
      <c r="K29" s="946"/>
    </row>
    <row r="30" spans="1:11" s="224" customFormat="1" ht="15" customHeight="1" x14ac:dyDescent="0.25">
      <c r="A30" s="215">
        <v>42922</v>
      </c>
      <c r="B30" s="349" t="s">
        <v>1646</v>
      </c>
      <c r="C30" s="350" t="s">
        <v>12</v>
      </c>
      <c r="D30" s="350" t="s">
        <v>1496</v>
      </c>
      <c r="E30" s="757" t="s">
        <v>15</v>
      </c>
      <c r="F30" s="97">
        <v>40</v>
      </c>
      <c r="G30" s="946"/>
      <c r="H30" s="95"/>
      <c r="I30" s="946"/>
      <c r="J30" s="95"/>
      <c r="K30" s="946"/>
    </row>
    <row r="31" spans="1:11" s="224" customFormat="1" x14ac:dyDescent="0.25">
      <c r="A31" s="215">
        <v>42922</v>
      </c>
      <c r="B31" s="862" t="s">
        <v>1331</v>
      </c>
      <c r="C31" s="350" t="s">
        <v>12</v>
      </c>
      <c r="D31" s="350" t="s">
        <v>1487</v>
      </c>
      <c r="E31" s="757" t="s">
        <v>13</v>
      </c>
      <c r="F31" s="97">
        <v>70</v>
      </c>
      <c r="G31" s="946"/>
      <c r="H31" s="95"/>
      <c r="I31" s="1473"/>
      <c r="J31" s="95"/>
      <c r="K31" s="1473"/>
    </row>
    <row r="32" spans="1:11" s="224" customFormat="1" x14ac:dyDescent="0.25">
      <c r="A32" s="215">
        <v>42922</v>
      </c>
      <c r="B32" s="349" t="s">
        <v>14</v>
      </c>
      <c r="C32" s="350" t="s">
        <v>12</v>
      </c>
      <c r="D32" s="350" t="s">
        <v>1486</v>
      </c>
      <c r="E32" s="757" t="s">
        <v>13</v>
      </c>
      <c r="F32" s="252">
        <v>2.97</v>
      </c>
      <c r="G32" s="946"/>
      <c r="H32" s="97"/>
      <c r="I32" s="946"/>
      <c r="J32" s="97"/>
      <c r="K32" s="946"/>
    </row>
    <row r="33" spans="1:11" s="224" customFormat="1" x14ac:dyDescent="0.25">
      <c r="A33" s="215">
        <v>42922</v>
      </c>
      <c r="B33" s="349" t="s">
        <v>1647</v>
      </c>
      <c r="C33" s="350" t="s">
        <v>12</v>
      </c>
      <c r="D33" s="350"/>
      <c r="E33" s="757" t="s">
        <v>25</v>
      </c>
      <c r="F33" s="252"/>
      <c r="G33" s="946">
        <v>76</v>
      </c>
      <c r="H33" s="97"/>
      <c r="I33" s="946"/>
      <c r="J33" s="97"/>
      <c r="K33" s="946"/>
    </row>
    <row r="34" spans="1:11" s="224" customFormat="1" ht="15.75" customHeight="1" x14ac:dyDescent="0.25">
      <c r="A34" s="215">
        <v>42923</v>
      </c>
      <c r="B34" s="862" t="s">
        <v>32</v>
      </c>
      <c r="C34" s="350" t="s">
        <v>12</v>
      </c>
      <c r="D34" s="350" t="s">
        <v>1485</v>
      </c>
      <c r="E34" s="757" t="s">
        <v>15</v>
      </c>
      <c r="F34" s="97">
        <v>14</v>
      </c>
      <c r="G34" s="1473"/>
      <c r="H34" s="252"/>
      <c r="I34" s="946"/>
      <c r="J34" s="252"/>
      <c r="K34" s="946"/>
    </row>
    <row r="35" spans="1:11" s="224" customFormat="1" x14ac:dyDescent="0.25">
      <c r="A35" s="215">
        <v>42923</v>
      </c>
      <c r="B35" s="349" t="s">
        <v>14</v>
      </c>
      <c r="C35" s="350" t="s">
        <v>12</v>
      </c>
      <c r="D35" s="350" t="s">
        <v>1486</v>
      </c>
      <c r="E35" s="757" t="s">
        <v>13</v>
      </c>
      <c r="F35" s="252">
        <v>2.5</v>
      </c>
      <c r="G35" s="946"/>
      <c r="H35" s="97"/>
      <c r="I35" s="946"/>
      <c r="J35" s="97"/>
      <c r="K35" s="946"/>
    </row>
    <row r="36" spans="1:11" s="224" customFormat="1" x14ac:dyDescent="0.25">
      <c r="A36" s="215">
        <v>42923</v>
      </c>
      <c r="B36" s="349" t="s">
        <v>311</v>
      </c>
      <c r="C36" s="350"/>
      <c r="D36" s="765"/>
      <c r="E36" s="766"/>
      <c r="G36" s="1512"/>
      <c r="H36" s="97"/>
      <c r="I36" s="946">
        <v>2.23</v>
      </c>
      <c r="J36" s="97"/>
      <c r="K36" s="946"/>
    </row>
    <row r="37" spans="1:11" s="224" customFormat="1" ht="15.75" customHeight="1" x14ac:dyDescent="0.25">
      <c r="A37" s="215">
        <v>42924</v>
      </c>
      <c r="B37" s="862" t="s">
        <v>32</v>
      </c>
      <c r="C37" s="350" t="s">
        <v>12</v>
      </c>
      <c r="D37" s="350" t="s">
        <v>1485</v>
      </c>
      <c r="E37" s="757" t="s">
        <v>13</v>
      </c>
      <c r="F37" s="97">
        <v>14</v>
      </c>
      <c r="G37" s="1473"/>
      <c r="H37" s="252"/>
      <c r="I37" s="946"/>
      <c r="J37" s="252"/>
      <c r="K37" s="946"/>
    </row>
    <row r="38" spans="1:11" x14ac:dyDescent="0.25">
      <c r="A38" s="215">
        <v>42924</v>
      </c>
      <c r="B38" s="349" t="s">
        <v>1438</v>
      </c>
      <c r="C38" s="350" t="s">
        <v>19</v>
      </c>
      <c r="D38" s="350" t="s">
        <v>1489</v>
      </c>
      <c r="E38" s="757" t="s">
        <v>13</v>
      </c>
      <c r="F38" s="97">
        <v>57.68</v>
      </c>
      <c r="G38" s="946"/>
      <c r="H38" s="97"/>
      <c r="I38" s="946"/>
      <c r="J38" s="97"/>
      <c r="K38" s="946"/>
    </row>
    <row r="39" spans="1:11" s="224" customFormat="1" x14ac:dyDescent="0.25">
      <c r="A39" s="215">
        <v>42924</v>
      </c>
      <c r="B39" s="349" t="s">
        <v>14</v>
      </c>
      <c r="C39" s="350" t="s">
        <v>12</v>
      </c>
      <c r="D39" s="350" t="s">
        <v>1486</v>
      </c>
      <c r="E39" s="757" t="s">
        <v>13</v>
      </c>
      <c r="F39" s="252">
        <v>2.4900000000000002</v>
      </c>
      <c r="G39" s="946"/>
      <c r="H39" s="97"/>
      <c r="I39" s="946"/>
      <c r="J39" s="97"/>
      <c r="K39" s="946"/>
    </row>
    <row r="40" spans="1:11" x14ac:dyDescent="0.25">
      <c r="A40" s="215">
        <v>42924</v>
      </c>
      <c r="B40" s="349" t="s">
        <v>82</v>
      </c>
      <c r="C40" s="350" t="s">
        <v>12</v>
      </c>
      <c r="D40" s="350" t="s">
        <v>1493</v>
      </c>
      <c r="E40" s="757" t="s">
        <v>13</v>
      </c>
      <c r="F40" s="97">
        <v>29</v>
      </c>
      <c r="G40" s="946"/>
      <c r="H40" s="97"/>
      <c r="I40" s="946"/>
      <c r="J40" s="97"/>
      <c r="K40" s="946"/>
    </row>
    <row r="41" spans="1:11" s="224" customFormat="1" ht="15" customHeight="1" x14ac:dyDescent="0.25">
      <c r="A41" s="215">
        <v>42925</v>
      </c>
      <c r="B41" s="349" t="s">
        <v>14</v>
      </c>
      <c r="C41" s="350" t="s">
        <v>12</v>
      </c>
      <c r="D41" s="350" t="s">
        <v>1486</v>
      </c>
      <c r="E41" s="757" t="s">
        <v>13</v>
      </c>
      <c r="F41" s="252">
        <v>6.99</v>
      </c>
      <c r="G41" s="946"/>
      <c r="H41" s="95"/>
      <c r="I41" s="946"/>
      <c r="J41" s="95"/>
      <c r="K41" s="946"/>
    </row>
    <row r="42" spans="1:11" s="224" customFormat="1" ht="15" customHeight="1" x14ac:dyDescent="0.25">
      <c r="A42" s="215">
        <v>42925</v>
      </c>
      <c r="B42" s="862" t="s">
        <v>134</v>
      </c>
      <c r="C42" s="350" t="s">
        <v>12</v>
      </c>
      <c r="D42" s="350" t="s">
        <v>1493</v>
      </c>
      <c r="E42" s="757" t="s">
        <v>13</v>
      </c>
      <c r="F42" s="97">
        <v>2.9</v>
      </c>
      <c r="G42" s="946"/>
      <c r="H42" s="95"/>
      <c r="I42" s="946"/>
      <c r="J42" s="95"/>
      <c r="K42" s="946"/>
    </row>
    <row r="43" spans="1:11" s="224" customFormat="1" ht="15" customHeight="1" x14ac:dyDescent="0.25">
      <c r="A43" s="215">
        <v>42925</v>
      </c>
      <c r="B43" s="862" t="s">
        <v>1648</v>
      </c>
      <c r="C43" s="350" t="s">
        <v>12</v>
      </c>
      <c r="D43" s="350" t="s">
        <v>1489</v>
      </c>
      <c r="E43" s="757" t="s">
        <v>13</v>
      </c>
      <c r="F43" s="97">
        <v>22.5</v>
      </c>
      <c r="G43" s="946"/>
      <c r="H43" s="95"/>
      <c r="I43" s="946"/>
      <c r="J43" s="95"/>
      <c r="K43" s="946"/>
    </row>
    <row r="44" spans="1:11" s="224" customFormat="1" ht="15" customHeight="1" x14ac:dyDescent="0.25">
      <c r="A44" s="215">
        <v>42925</v>
      </c>
      <c r="B44" s="862" t="s">
        <v>134</v>
      </c>
      <c r="C44" s="350" t="s">
        <v>12</v>
      </c>
      <c r="D44" s="350" t="s">
        <v>1493</v>
      </c>
      <c r="E44" s="757" t="s">
        <v>13</v>
      </c>
      <c r="F44" s="97">
        <v>5.7</v>
      </c>
      <c r="G44" s="946"/>
      <c r="H44" s="95"/>
      <c r="I44" s="946"/>
      <c r="J44" s="95"/>
      <c r="K44" s="946"/>
    </row>
    <row r="45" spans="1:11" s="224" customFormat="1" ht="15" customHeight="1" x14ac:dyDescent="0.25">
      <c r="A45" s="215">
        <v>42925</v>
      </c>
      <c r="B45" s="862" t="s">
        <v>134</v>
      </c>
      <c r="C45" s="350" t="s">
        <v>12</v>
      </c>
      <c r="D45" s="350" t="s">
        <v>1493</v>
      </c>
      <c r="E45" s="757" t="s">
        <v>13</v>
      </c>
      <c r="F45" s="97">
        <v>4.18</v>
      </c>
      <c r="G45" s="946"/>
      <c r="H45" s="95"/>
      <c r="I45" s="946"/>
      <c r="J45" s="95"/>
      <c r="K45" s="946"/>
    </row>
    <row r="46" spans="1:11" s="224" customFormat="1" x14ac:dyDescent="0.25">
      <c r="A46" s="215">
        <v>42926</v>
      </c>
      <c r="B46" s="862" t="s">
        <v>32</v>
      </c>
      <c r="C46" s="350" t="s">
        <v>12</v>
      </c>
      <c r="D46" s="350" t="s">
        <v>1485</v>
      </c>
      <c r="E46" s="757" t="s">
        <v>15</v>
      </c>
      <c r="F46" s="97">
        <v>14</v>
      </c>
      <c r="G46" s="946"/>
      <c r="H46" s="97"/>
      <c r="I46" s="946"/>
      <c r="J46" s="97"/>
      <c r="K46" s="946"/>
    </row>
    <row r="47" spans="1:11" x14ac:dyDescent="0.25">
      <c r="A47" s="215">
        <v>42926</v>
      </c>
      <c r="B47" s="349" t="s">
        <v>1554</v>
      </c>
      <c r="C47" s="350" t="s">
        <v>19</v>
      </c>
      <c r="D47" s="350" t="s">
        <v>1491</v>
      </c>
      <c r="E47" s="757" t="s">
        <v>13</v>
      </c>
      <c r="F47" s="97">
        <v>66.38</v>
      </c>
      <c r="G47" s="946"/>
      <c r="H47" s="97"/>
      <c r="I47" s="946"/>
      <c r="J47" s="97"/>
      <c r="K47" s="946"/>
    </row>
    <row r="48" spans="1:11" s="224" customFormat="1" ht="15" customHeight="1" x14ac:dyDescent="0.25">
      <c r="A48" s="215">
        <v>42926</v>
      </c>
      <c r="B48" s="349" t="s">
        <v>14</v>
      </c>
      <c r="C48" s="350" t="s">
        <v>12</v>
      </c>
      <c r="D48" s="350" t="s">
        <v>1486</v>
      </c>
      <c r="E48" s="757" t="s">
        <v>13</v>
      </c>
      <c r="F48" s="252">
        <v>6.14</v>
      </c>
      <c r="G48" s="946"/>
      <c r="H48" s="95"/>
      <c r="I48" s="946"/>
      <c r="J48" s="95"/>
      <c r="K48" s="946"/>
    </row>
    <row r="49" spans="1:11" s="224" customFormat="1" ht="15" customHeight="1" x14ac:dyDescent="0.25">
      <c r="A49" s="215">
        <v>42927</v>
      </c>
      <c r="B49" s="349" t="s">
        <v>81</v>
      </c>
      <c r="C49" s="350" t="s">
        <v>12</v>
      </c>
      <c r="D49" s="350" t="s">
        <v>1493</v>
      </c>
      <c r="E49" s="757" t="s">
        <v>15</v>
      </c>
      <c r="F49" s="252">
        <v>4</v>
      </c>
      <c r="G49" s="946"/>
      <c r="H49" s="95"/>
      <c r="I49" s="946"/>
      <c r="J49" s="95"/>
      <c r="K49" s="946"/>
    </row>
    <row r="50" spans="1:11" s="224" customFormat="1" x14ac:dyDescent="0.25">
      <c r="A50" s="215">
        <v>42927</v>
      </c>
      <c r="B50" s="862" t="s">
        <v>1649</v>
      </c>
      <c r="C50" s="350" t="s">
        <v>19</v>
      </c>
      <c r="D50" s="350" t="s">
        <v>1506</v>
      </c>
      <c r="E50" s="757" t="s">
        <v>13</v>
      </c>
      <c r="F50" s="97">
        <v>40</v>
      </c>
      <c r="G50" s="946"/>
      <c r="H50" s="95"/>
      <c r="I50" s="1473"/>
      <c r="J50" s="95"/>
      <c r="K50" s="1473"/>
    </row>
    <row r="51" spans="1:11" s="224" customFormat="1" x14ac:dyDescent="0.25">
      <c r="A51" s="215">
        <v>42927</v>
      </c>
      <c r="B51" s="862" t="s">
        <v>1650</v>
      </c>
      <c r="C51" s="350" t="s">
        <v>19</v>
      </c>
      <c r="D51" s="350" t="s">
        <v>1491</v>
      </c>
      <c r="E51" s="757" t="s">
        <v>15</v>
      </c>
      <c r="F51" s="97">
        <v>40</v>
      </c>
      <c r="G51" s="946"/>
      <c r="H51" s="95"/>
      <c r="I51" s="1473"/>
      <c r="J51" s="95"/>
      <c r="K51" s="1473"/>
    </row>
    <row r="52" spans="1:11" s="224" customFormat="1" x14ac:dyDescent="0.25">
      <c r="A52" s="215">
        <v>42927</v>
      </c>
      <c r="B52" s="862" t="s">
        <v>1651</v>
      </c>
      <c r="C52" s="350" t="s">
        <v>19</v>
      </c>
      <c r="D52" s="350" t="s">
        <v>1491</v>
      </c>
      <c r="E52" s="757" t="s">
        <v>13</v>
      </c>
      <c r="F52" s="97">
        <v>60</v>
      </c>
      <c r="G52" s="946"/>
      <c r="H52" s="95"/>
      <c r="I52" s="1473"/>
      <c r="J52" s="95"/>
      <c r="K52" s="1473"/>
    </row>
    <row r="53" spans="1:11" s="224" customFormat="1" x14ac:dyDescent="0.25">
      <c r="A53" s="215">
        <v>42927</v>
      </c>
      <c r="B53" s="862" t="s">
        <v>134</v>
      </c>
      <c r="C53" s="350" t="s">
        <v>19</v>
      </c>
      <c r="D53" s="350" t="s">
        <v>1493</v>
      </c>
      <c r="E53" s="757" t="s">
        <v>13</v>
      </c>
      <c r="F53" s="97">
        <v>8.32</v>
      </c>
      <c r="G53" s="946"/>
      <c r="H53" s="95"/>
      <c r="I53" s="1473"/>
      <c r="J53" s="95"/>
      <c r="K53" s="1473"/>
    </row>
    <row r="54" spans="1:11" s="224" customFormat="1" x14ac:dyDescent="0.25">
      <c r="A54" s="215">
        <v>42928</v>
      </c>
      <c r="B54" s="349" t="s">
        <v>14</v>
      </c>
      <c r="C54" s="350" t="s">
        <v>12</v>
      </c>
      <c r="D54" s="350" t="s">
        <v>1486</v>
      </c>
      <c r="E54" s="757" t="s">
        <v>13</v>
      </c>
      <c r="F54" s="252">
        <v>6.21</v>
      </c>
      <c r="G54" s="946"/>
      <c r="H54" s="95"/>
      <c r="I54" s="1473"/>
      <c r="J54" s="95"/>
      <c r="K54" s="1473"/>
    </row>
    <row r="55" spans="1:11" s="224" customFormat="1" ht="15" customHeight="1" x14ac:dyDescent="0.25">
      <c r="A55" s="215">
        <v>42929</v>
      </c>
      <c r="B55" s="862" t="s">
        <v>32</v>
      </c>
      <c r="C55" s="350" t="s">
        <v>12</v>
      </c>
      <c r="D55" s="350" t="s">
        <v>1485</v>
      </c>
      <c r="E55" s="757" t="s">
        <v>15</v>
      </c>
      <c r="F55" s="97">
        <v>14</v>
      </c>
      <c r="G55" s="946"/>
      <c r="H55" s="95"/>
      <c r="I55" s="946"/>
      <c r="J55" s="95"/>
      <c r="K55" s="946"/>
    </row>
    <row r="56" spans="1:11" s="224" customFormat="1" x14ac:dyDescent="0.25">
      <c r="A56" s="215">
        <v>42929</v>
      </c>
      <c r="B56" s="349" t="s">
        <v>14</v>
      </c>
      <c r="C56" s="350" t="s">
        <v>12</v>
      </c>
      <c r="D56" s="350" t="s">
        <v>1486</v>
      </c>
      <c r="E56" s="757" t="s">
        <v>13</v>
      </c>
      <c r="F56" s="252">
        <v>5.89</v>
      </c>
      <c r="G56" s="946"/>
      <c r="H56" s="95"/>
      <c r="I56" s="1473"/>
      <c r="J56" s="95"/>
      <c r="K56" s="1473"/>
    </row>
    <row r="57" spans="1:11" ht="15" customHeight="1" x14ac:dyDescent="0.25">
      <c r="A57" s="215">
        <v>42929</v>
      </c>
      <c r="B57" s="349" t="s">
        <v>1396</v>
      </c>
      <c r="C57" s="350" t="s">
        <v>12</v>
      </c>
      <c r="D57" s="350"/>
      <c r="E57" s="757" t="s">
        <v>25</v>
      </c>
      <c r="F57" s="97"/>
      <c r="G57" s="946">
        <v>40</v>
      </c>
      <c r="H57" s="97"/>
      <c r="I57" s="946"/>
      <c r="J57" s="97"/>
      <c r="K57" s="946"/>
    </row>
    <row r="58" spans="1:11" s="224" customFormat="1" ht="15" customHeight="1" x14ac:dyDescent="0.25">
      <c r="A58" s="215">
        <v>42930</v>
      </c>
      <c r="B58" s="862" t="s">
        <v>32</v>
      </c>
      <c r="C58" s="350" t="s">
        <v>12</v>
      </c>
      <c r="D58" s="350" t="s">
        <v>1485</v>
      </c>
      <c r="E58" s="757" t="s">
        <v>15</v>
      </c>
      <c r="F58" s="97">
        <v>14</v>
      </c>
      <c r="G58" s="946"/>
      <c r="H58" s="95"/>
      <c r="I58" s="946"/>
      <c r="J58" s="95"/>
      <c r="K58" s="946"/>
    </row>
    <row r="59" spans="1:11" s="224" customFormat="1" ht="15" customHeight="1" x14ac:dyDescent="0.25">
      <c r="A59" s="215">
        <v>42930</v>
      </c>
      <c r="B59" s="862" t="s">
        <v>1331</v>
      </c>
      <c r="C59" s="350" t="s">
        <v>12</v>
      </c>
      <c r="D59" s="350" t="s">
        <v>1487</v>
      </c>
      <c r="E59" s="757" t="s">
        <v>13</v>
      </c>
      <c r="F59" s="97">
        <v>70</v>
      </c>
      <c r="G59" s="946"/>
      <c r="H59" s="95"/>
      <c r="I59" s="946"/>
      <c r="J59" s="95"/>
      <c r="K59" s="946"/>
    </row>
    <row r="60" spans="1:11" s="224" customFormat="1" ht="15" customHeight="1" x14ac:dyDescent="0.25">
      <c r="A60" s="215">
        <v>42930</v>
      </c>
      <c r="B60" s="862" t="s">
        <v>1652</v>
      </c>
      <c r="C60" s="350" t="s">
        <v>12</v>
      </c>
      <c r="D60" s="350" t="s">
        <v>1489</v>
      </c>
      <c r="E60" s="757" t="s">
        <v>13</v>
      </c>
      <c r="F60" s="97">
        <v>46</v>
      </c>
      <c r="G60" s="946"/>
      <c r="H60" s="95"/>
      <c r="I60" s="946"/>
      <c r="J60" s="95"/>
      <c r="K60" s="946"/>
    </row>
    <row r="61" spans="1:11" s="224" customFormat="1" ht="15" customHeight="1" x14ac:dyDescent="0.25">
      <c r="A61" s="215">
        <v>42930</v>
      </c>
      <c r="B61" s="862" t="s">
        <v>14</v>
      </c>
      <c r="C61" s="350" t="s">
        <v>12</v>
      </c>
      <c r="D61" s="350" t="s">
        <v>1486</v>
      </c>
      <c r="E61" s="757" t="s">
        <v>13</v>
      </c>
      <c r="F61" s="97">
        <v>10.19</v>
      </c>
      <c r="G61" s="946"/>
      <c r="H61" s="95"/>
      <c r="I61" s="946"/>
      <c r="J61" s="95"/>
      <c r="K61" s="946"/>
    </row>
    <row r="62" spans="1:11" s="224" customFormat="1" ht="15" customHeight="1" x14ac:dyDescent="0.25">
      <c r="A62" s="215">
        <v>42931</v>
      </c>
      <c r="B62" s="862" t="s">
        <v>1653</v>
      </c>
      <c r="C62" s="350" t="s">
        <v>12</v>
      </c>
      <c r="D62" s="350" t="s">
        <v>1524</v>
      </c>
      <c r="E62" s="757" t="s">
        <v>13</v>
      </c>
      <c r="F62" s="97">
        <v>34.85</v>
      </c>
      <c r="G62" s="946"/>
      <c r="H62" s="95"/>
      <c r="I62" s="946"/>
      <c r="J62" s="95"/>
      <c r="K62" s="946"/>
    </row>
    <row r="63" spans="1:11" s="224" customFormat="1" x14ac:dyDescent="0.25">
      <c r="A63" s="215">
        <v>42931</v>
      </c>
      <c r="B63" s="862" t="s">
        <v>256</v>
      </c>
      <c r="C63" s="879"/>
      <c r="D63" s="879"/>
      <c r="E63" s="1510"/>
      <c r="F63" s="97"/>
      <c r="G63" s="946">
        <v>102.5</v>
      </c>
      <c r="H63" s="97">
        <v>102.5</v>
      </c>
      <c r="I63" s="1473"/>
      <c r="J63" s="97"/>
      <c r="K63" s="1473"/>
    </row>
    <row r="64" spans="1:11" s="224" customFormat="1" ht="15" customHeight="1" x14ac:dyDescent="0.25">
      <c r="A64" s="215">
        <v>42931</v>
      </c>
      <c r="B64" s="862" t="s">
        <v>32</v>
      </c>
      <c r="C64" s="350" t="s">
        <v>12</v>
      </c>
      <c r="D64" s="350" t="s">
        <v>1485</v>
      </c>
      <c r="E64" s="757" t="s">
        <v>15</v>
      </c>
      <c r="F64" s="97">
        <v>14.5</v>
      </c>
      <c r="G64" s="946"/>
      <c r="H64" s="95"/>
      <c r="I64" s="946"/>
      <c r="J64" s="95"/>
      <c r="K64" s="946"/>
    </row>
    <row r="65" spans="1:11" s="224" customFormat="1" ht="15" customHeight="1" x14ac:dyDescent="0.25">
      <c r="A65" s="215">
        <v>42931</v>
      </c>
      <c r="B65" s="862" t="s">
        <v>1654</v>
      </c>
      <c r="C65" s="350" t="s">
        <v>19</v>
      </c>
      <c r="D65" s="350" t="s">
        <v>1489</v>
      </c>
      <c r="E65" s="757" t="s">
        <v>13</v>
      </c>
      <c r="F65" s="97">
        <v>38.15</v>
      </c>
      <c r="G65" s="946"/>
      <c r="H65" s="95"/>
      <c r="I65" s="946"/>
      <c r="J65" s="95"/>
      <c r="K65" s="946"/>
    </row>
    <row r="66" spans="1:11" s="224" customFormat="1" x14ac:dyDescent="0.25">
      <c r="A66" s="215">
        <v>42931</v>
      </c>
      <c r="B66" s="349" t="s">
        <v>81</v>
      </c>
      <c r="C66" s="350" t="s">
        <v>12</v>
      </c>
      <c r="D66" s="350" t="s">
        <v>1493</v>
      </c>
      <c r="E66" s="757" t="s">
        <v>13</v>
      </c>
      <c r="F66" s="252">
        <v>11</v>
      </c>
      <c r="G66" s="946"/>
      <c r="H66" s="95"/>
      <c r="I66" s="1473"/>
      <c r="J66" s="95"/>
      <c r="K66" s="1473"/>
    </row>
    <row r="67" spans="1:11" s="224" customFormat="1" x14ac:dyDescent="0.25">
      <c r="A67" s="215">
        <v>42932</v>
      </c>
      <c r="B67" s="349" t="s">
        <v>14</v>
      </c>
      <c r="C67" s="350" t="s">
        <v>12</v>
      </c>
      <c r="D67" s="350" t="s">
        <v>1486</v>
      </c>
      <c r="E67" s="757" t="s">
        <v>13</v>
      </c>
      <c r="F67" s="252">
        <v>6.91</v>
      </c>
      <c r="G67" s="946"/>
      <c r="H67" s="95"/>
      <c r="I67" s="1473"/>
      <c r="J67" s="95"/>
      <c r="K67" s="1473"/>
    </row>
    <row r="68" spans="1:11" s="224" customFormat="1" x14ac:dyDescent="0.25">
      <c r="A68" s="215">
        <v>42932</v>
      </c>
      <c r="B68" s="349" t="s">
        <v>134</v>
      </c>
      <c r="C68" s="350" t="s">
        <v>12</v>
      </c>
      <c r="D68" s="350" t="s">
        <v>1493</v>
      </c>
      <c r="E68" s="757" t="s">
        <v>13</v>
      </c>
      <c r="F68" s="178">
        <v>18.37</v>
      </c>
      <c r="G68" s="946"/>
      <c r="H68" s="97"/>
      <c r="I68" s="946"/>
      <c r="J68" s="97"/>
      <c r="K68" s="946"/>
    </row>
    <row r="69" spans="1:11" s="224" customFormat="1" x14ac:dyDescent="0.25">
      <c r="A69" s="215">
        <v>42932</v>
      </c>
      <c r="B69" s="349" t="s">
        <v>14</v>
      </c>
      <c r="C69" s="350" t="s">
        <v>12</v>
      </c>
      <c r="D69" s="350" t="s">
        <v>1486</v>
      </c>
      <c r="E69" s="757" t="s">
        <v>13</v>
      </c>
      <c r="F69" s="252">
        <v>3.8</v>
      </c>
      <c r="G69" s="946"/>
      <c r="H69" s="95"/>
      <c r="I69" s="1473"/>
      <c r="J69" s="95"/>
      <c r="K69" s="1473"/>
    </row>
    <row r="70" spans="1:11" s="224" customFormat="1" ht="15" customHeight="1" x14ac:dyDescent="0.25">
      <c r="A70" s="215">
        <v>42933</v>
      </c>
      <c r="B70" s="862" t="s">
        <v>32</v>
      </c>
      <c r="C70" s="350" t="s">
        <v>12</v>
      </c>
      <c r="D70" s="350" t="s">
        <v>1485</v>
      </c>
      <c r="E70" s="757" t="s">
        <v>13</v>
      </c>
      <c r="F70" s="97">
        <v>14</v>
      </c>
      <c r="G70" s="946"/>
      <c r="H70" s="95"/>
      <c r="I70" s="946"/>
      <c r="J70" s="95"/>
      <c r="K70" s="946"/>
    </row>
    <row r="71" spans="1:11" s="224" customFormat="1" ht="15" customHeight="1" x14ac:dyDescent="0.25">
      <c r="A71" s="215">
        <v>42933</v>
      </c>
      <c r="B71" s="862" t="s">
        <v>1655</v>
      </c>
      <c r="C71" s="350" t="s">
        <v>19</v>
      </c>
      <c r="D71" s="350" t="s">
        <v>1524</v>
      </c>
      <c r="E71" s="757" t="s">
        <v>13</v>
      </c>
      <c r="F71" s="97">
        <v>18</v>
      </c>
      <c r="G71" s="946"/>
      <c r="H71" s="95"/>
      <c r="I71" s="946"/>
      <c r="J71" s="95"/>
      <c r="K71" s="946"/>
    </row>
    <row r="72" spans="1:11" s="224" customFormat="1" ht="15" customHeight="1" x14ac:dyDescent="0.25">
      <c r="A72" s="215">
        <v>42933</v>
      </c>
      <c r="B72" s="862" t="s">
        <v>1438</v>
      </c>
      <c r="C72" s="350" t="s">
        <v>19</v>
      </c>
      <c r="D72" s="350" t="s">
        <v>1489</v>
      </c>
      <c r="E72" s="757" t="s">
        <v>13</v>
      </c>
      <c r="F72" s="97">
        <v>49.48</v>
      </c>
      <c r="G72" s="946"/>
      <c r="H72" s="95"/>
      <c r="I72" s="946"/>
      <c r="J72" s="95"/>
      <c r="K72" s="946"/>
    </row>
    <row r="73" spans="1:11" s="224" customFormat="1" ht="15" customHeight="1" x14ac:dyDescent="0.25">
      <c r="A73" s="215">
        <v>42934</v>
      </c>
      <c r="B73" s="862" t="s">
        <v>32</v>
      </c>
      <c r="C73" s="350" t="s">
        <v>12</v>
      </c>
      <c r="D73" s="350" t="s">
        <v>1485</v>
      </c>
      <c r="E73" s="757" t="s">
        <v>13</v>
      </c>
      <c r="F73" s="97">
        <v>14</v>
      </c>
      <c r="G73" s="946"/>
      <c r="H73" s="95"/>
      <c r="I73" s="946"/>
      <c r="J73" s="95"/>
      <c r="K73" s="946"/>
    </row>
    <row r="74" spans="1:11" s="224" customFormat="1" x14ac:dyDescent="0.25">
      <c r="A74" s="215">
        <v>42934</v>
      </c>
      <c r="B74" s="862" t="s">
        <v>256</v>
      </c>
      <c r="C74" s="879"/>
      <c r="D74" s="879"/>
      <c r="E74" s="1510"/>
      <c r="F74" s="97"/>
      <c r="G74" s="946">
        <v>450</v>
      </c>
      <c r="H74" s="97">
        <v>450</v>
      </c>
      <c r="I74" s="1473"/>
      <c r="J74" s="97"/>
      <c r="K74" s="1473"/>
    </row>
    <row r="75" spans="1:11" s="224" customFormat="1" ht="15" customHeight="1" x14ac:dyDescent="0.25">
      <c r="A75" s="215">
        <v>42934</v>
      </c>
      <c r="B75" s="862" t="s">
        <v>1656</v>
      </c>
      <c r="C75" s="350" t="s">
        <v>19</v>
      </c>
      <c r="D75" s="350" t="s">
        <v>1491</v>
      </c>
      <c r="E75" s="757" t="s">
        <v>13</v>
      </c>
      <c r="F75" s="97">
        <v>61.25</v>
      </c>
      <c r="G75" s="946"/>
      <c r="H75" s="95"/>
      <c r="I75" s="946"/>
      <c r="J75" s="95"/>
      <c r="K75" s="946"/>
    </row>
    <row r="76" spans="1:11" s="224" customFormat="1" ht="15" customHeight="1" x14ac:dyDescent="0.25">
      <c r="A76" s="215">
        <v>42934</v>
      </c>
      <c r="B76" s="862" t="s">
        <v>1257</v>
      </c>
      <c r="C76" s="350" t="s">
        <v>19</v>
      </c>
      <c r="D76" s="350" t="s">
        <v>1491</v>
      </c>
      <c r="E76" s="757" t="s">
        <v>15</v>
      </c>
      <c r="F76" s="97">
        <v>40</v>
      </c>
      <c r="G76" s="946"/>
      <c r="H76" s="95"/>
      <c r="I76" s="946"/>
      <c r="J76" s="95"/>
      <c r="K76" s="946"/>
    </row>
    <row r="77" spans="1:11" s="224" customFormat="1" ht="15" customHeight="1" x14ac:dyDescent="0.25">
      <c r="A77" s="215">
        <v>42935</v>
      </c>
      <c r="B77" s="862" t="s">
        <v>32</v>
      </c>
      <c r="C77" s="350" t="s">
        <v>12</v>
      </c>
      <c r="D77" s="350" t="s">
        <v>1485</v>
      </c>
      <c r="E77" s="757" t="s">
        <v>15</v>
      </c>
      <c r="F77" s="97">
        <v>14</v>
      </c>
      <c r="G77" s="946"/>
      <c r="H77" s="95"/>
      <c r="I77" s="946"/>
      <c r="J77" s="95"/>
      <c r="K77" s="946"/>
    </row>
    <row r="78" spans="1:11" s="224" customFormat="1" ht="15" customHeight="1" x14ac:dyDescent="0.25">
      <c r="A78" s="215">
        <v>42935</v>
      </c>
      <c r="B78" s="349" t="s">
        <v>14</v>
      </c>
      <c r="C78" s="350" t="s">
        <v>12</v>
      </c>
      <c r="D78" s="350" t="s">
        <v>1486</v>
      </c>
      <c r="E78" s="757" t="s">
        <v>13</v>
      </c>
      <c r="F78" s="252">
        <v>3.98</v>
      </c>
      <c r="G78" s="946"/>
      <c r="H78" s="95"/>
      <c r="I78" s="946"/>
      <c r="J78" s="95"/>
      <c r="K78" s="946"/>
    </row>
    <row r="79" spans="1:11" s="224" customFormat="1" ht="15" customHeight="1" x14ac:dyDescent="0.25">
      <c r="A79" s="215">
        <v>42935</v>
      </c>
      <c r="B79" s="862" t="s">
        <v>1657</v>
      </c>
      <c r="C79" s="350" t="s">
        <v>12</v>
      </c>
      <c r="D79" s="350" t="s">
        <v>1524</v>
      </c>
      <c r="E79" s="757" t="s">
        <v>15</v>
      </c>
      <c r="F79" s="97">
        <v>230</v>
      </c>
      <c r="G79" s="946"/>
      <c r="H79" s="95"/>
      <c r="I79" s="946"/>
      <c r="J79" s="95"/>
      <c r="K79" s="946"/>
    </row>
    <row r="80" spans="1:11" s="224" customFormat="1" x14ac:dyDescent="0.25">
      <c r="A80" s="215">
        <v>42936</v>
      </c>
      <c r="B80" s="349" t="s">
        <v>311</v>
      </c>
      <c r="C80" s="350"/>
      <c r="D80" s="765"/>
      <c r="E80" s="766"/>
      <c r="G80" s="1512"/>
      <c r="H80" s="97"/>
      <c r="I80" s="946">
        <v>3.35</v>
      </c>
      <c r="J80" s="97"/>
      <c r="K80" s="946"/>
    </row>
    <row r="81" spans="1:11" s="224" customFormat="1" ht="15" customHeight="1" x14ac:dyDescent="0.25">
      <c r="A81" s="215">
        <v>42936</v>
      </c>
      <c r="B81" s="862" t="s">
        <v>1658</v>
      </c>
      <c r="C81" s="350" t="s">
        <v>12</v>
      </c>
      <c r="D81" s="350" t="s">
        <v>1522</v>
      </c>
      <c r="E81" s="757" t="s">
        <v>13</v>
      </c>
      <c r="F81" s="97">
        <v>1161.19</v>
      </c>
      <c r="G81" s="946"/>
      <c r="H81" s="95"/>
      <c r="I81" s="946"/>
      <c r="J81" s="95"/>
      <c r="K81" s="946"/>
    </row>
    <row r="82" spans="1:11" s="224" customFormat="1" ht="15" customHeight="1" x14ac:dyDescent="0.25">
      <c r="A82" s="215">
        <v>42936</v>
      </c>
      <c r="B82" s="882" t="s">
        <v>1659</v>
      </c>
      <c r="C82" s="350" t="s">
        <v>12</v>
      </c>
      <c r="D82" s="879"/>
      <c r="E82" s="871" t="s">
        <v>25</v>
      </c>
      <c r="F82" s="97"/>
      <c r="G82" s="946">
        <v>1510.31</v>
      </c>
      <c r="H82" s="95"/>
      <c r="I82" s="1473"/>
      <c r="J82" s="95"/>
      <c r="K82" s="1473"/>
    </row>
    <row r="83" spans="1:11" s="224" customFormat="1" x14ac:dyDescent="0.25">
      <c r="A83" s="215">
        <v>42936</v>
      </c>
      <c r="B83" s="873" t="s">
        <v>1564</v>
      </c>
      <c r="C83" s="879" t="s">
        <v>12</v>
      </c>
      <c r="D83" s="350" t="s">
        <v>1491</v>
      </c>
      <c r="E83" s="871" t="s">
        <v>15</v>
      </c>
      <c r="F83" s="97">
        <v>100</v>
      </c>
      <c r="G83" s="946"/>
      <c r="H83" s="97"/>
      <c r="I83" s="946"/>
      <c r="J83" s="97"/>
      <c r="K83" s="946"/>
    </row>
    <row r="84" spans="1:11" s="224" customFormat="1" ht="15.75" customHeight="1" x14ac:dyDescent="0.25">
      <c r="A84" s="215">
        <v>42936</v>
      </c>
      <c r="B84" s="882" t="s">
        <v>1660</v>
      </c>
      <c r="C84" s="879" t="s">
        <v>12</v>
      </c>
      <c r="D84" s="879" t="s">
        <v>1499</v>
      </c>
      <c r="E84" s="871" t="s">
        <v>13</v>
      </c>
      <c r="F84" s="97">
        <v>45.9</v>
      </c>
      <c r="G84" s="1473"/>
      <c r="H84" s="252"/>
      <c r="I84" s="946"/>
      <c r="J84" s="252"/>
      <c r="K84" s="946"/>
    </row>
    <row r="85" spans="1:11" s="224" customFormat="1" x14ac:dyDescent="0.25">
      <c r="A85" s="215">
        <v>42936</v>
      </c>
      <c r="B85" s="862" t="s">
        <v>256</v>
      </c>
      <c r="C85" s="879"/>
      <c r="D85" s="879"/>
      <c r="E85" s="1510"/>
      <c r="F85" s="97"/>
      <c r="G85" s="946">
        <v>1203.3499999999999</v>
      </c>
      <c r="H85" s="97">
        <v>1203.3499999999999</v>
      </c>
      <c r="I85" s="1473"/>
      <c r="J85" s="97"/>
      <c r="K85" s="1473"/>
    </row>
    <row r="86" spans="1:11" s="224" customFormat="1" ht="15" customHeight="1" x14ac:dyDescent="0.25">
      <c r="A86" s="215">
        <v>42936</v>
      </c>
      <c r="B86" s="862" t="s">
        <v>32</v>
      </c>
      <c r="C86" s="350" t="s">
        <v>12</v>
      </c>
      <c r="D86" s="350" t="s">
        <v>1485</v>
      </c>
      <c r="E86" s="757" t="s">
        <v>13</v>
      </c>
      <c r="F86" s="97">
        <v>14</v>
      </c>
      <c r="G86" s="946"/>
      <c r="H86" s="95"/>
      <c r="I86" s="946"/>
      <c r="J86" s="95"/>
      <c r="K86" s="946"/>
    </row>
    <row r="87" spans="1:11" s="224" customFormat="1" ht="15" customHeight="1" x14ac:dyDescent="0.25">
      <c r="A87" s="215">
        <v>42936</v>
      </c>
      <c r="B87" s="349" t="s">
        <v>260</v>
      </c>
      <c r="C87" s="350"/>
      <c r="D87" s="350"/>
      <c r="E87" s="757"/>
      <c r="F87" s="97">
        <v>700</v>
      </c>
      <c r="G87" s="946"/>
      <c r="H87" s="95"/>
      <c r="I87" s="946">
        <v>700</v>
      </c>
      <c r="J87" s="95"/>
      <c r="K87" s="946"/>
    </row>
    <row r="88" spans="1:11" s="224" customFormat="1" ht="15" customHeight="1" x14ac:dyDescent="0.25">
      <c r="A88" s="215">
        <v>42937</v>
      </c>
      <c r="B88" s="862" t="s">
        <v>32</v>
      </c>
      <c r="C88" s="350" t="s">
        <v>12</v>
      </c>
      <c r="D88" s="350" t="s">
        <v>1485</v>
      </c>
      <c r="E88" s="757" t="s">
        <v>13</v>
      </c>
      <c r="F88" s="97">
        <v>14</v>
      </c>
      <c r="G88" s="946"/>
      <c r="H88" s="95"/>
      <c r="I88" s="946"/>
      <c r="J88" s="95"/>
      <c r="K88" s="946"/>
    </row>
    <row r="89" spans="1:11" s="224" customFormat="1" ht="15" customHeight="1" x14ac:dyDescent="0.25">
      <c r="A89" s="215">
        <v>42937</v>
      </c>
      <c r="B89" s="862" t="s">
        <v>1331</v>
      </c>
      <c r="C89" s="350" t="s">
        <v>12</v>
      </c>
      <c r="D89" s="350" t="s">
        <v>1487</v>
      </c>
      <c r="E89" s="757" t="s">
        <v>15</v>
      </c>
      <c r="F89" s="97">
        <v>40</v>
      </c>
      <c r="G89" s="946"/>
      <c r="H89" s="95"/>
      <c r="I89" s="946"/>
      <c r="J89" s="95"/>
      <c r="K89" s="946"/>
    </row>
    <row r="90" spans="1:11" s="224" customFormat="1" x14ac:dyDescent="0.25">
      <c r="A90" s="215">
        <v>42938</v>
      </c>
      <c r="B90" s="862" t="s">
        <v>82</v>
      </c>
      <c r="C90" s="350" t="s">
        <v>12</v>
      </c>
      <c r="D90" s="350" t="s">
        <v>1493</v>
      </c>
      <c r="E90" s="757" t="s">
        <v>13</v>
      </c>
      <c r="F90" s="97">
        <v>29</v>
      </c>
      <c r="G90" s="946"/>
      <c r="H90" s="97"/>
      <c r="I90" s="946"/>
      <c r="J90" s="97"/>
      <c r="K90" s="946"/>
    </row>
    <row r="91" spans="1:11" s="224" customFormat="1" x14ac:dyDescent="0.25">
      <c r="A91" s="215">
        <v>42939</v>
      </c>
      <c r="B91" s="349" t="s">
        <v>14</v>
      </c>
      <c r="C91" s="350" t="s">
        <v>12</v>
      </c>
      <c r="D91" s="350" t="s">
        <v>1486</v>
      </c>
      <c r="E91" s="757" t="s">
        <v>13</v>
      </c>
      <c r="F91" s="252">
        <v>6.99</v>
      </c>
      <c r="G91" s="946"/>
      <c r="H91" s="97"/>
      <c r="I91" s="946"/>
      <c r="J91" s="97"/>
      <c r="K91" s="946"/>
    </row>
    <row r="92" spans="1:11" s="224" customFormat="1" x14ac:dyDescent="0.25">
      <c r="A92" s="215">
        <v>42939</v>
      </c>
      <c r="B92" s="862" t="s">
        <v>1581</v>
      </c>
      <c r="C92" s="350" t="s">
        <v>12</v>
      </c>
      <c r="D92" s="350" t="s">
        <v>1489</v>
      </c>
      <c r="E92" s="757" t="s">
        <v>13</v>
      </c>
      <c r="F92" s="97">
        <v>40</v>
      </c>
      <c r="G92" s="946"/>
      <c r="H92" s="97"/>
      <c r="I92" s="946"/>
      <c r="J92" s="97"/>
      <c r="K92" s="946"/>
    </row>
    <row r="93" spans="1:11" s="224" customFormat="1" x14ac:dyDescent="0.25">
      <c r="A93" s="215">
        <v>42940</v>
      </c>
      <c r="B93" s="862" t="s">
        <v>1607</v>
      </c>
      <c r="C93" s="350" t="s">
        <v>12</v>
      </c>
      <c r="D93" s="874" t="s">
        <v>1504</v>
      </c>
      <c r="E93" s="870" t="s">
        <v>13</v>
      </c>
      <c r="F93" s="97">
        <v>60.46</v>
      </c>
      <c r="G93" s="946"/>
      <c r="H93" s="97"/>
      <c r="I93" s="946"/>
      <c r="J93" s="97"/>
      <c r="K93" s="946"/>
    </row>
    <row r="94" spans="1:11" s="224" customFormat="1" x14ac:dyDescent="0.25">
      <c r="A94" s="215">
        <v>42940</v>
      </c>
      <c r="B94" s="862" t="s">
        <v>32</v>
      </c>
      <c r="C94" s="350" t="s">
        <v>12</v>
      </c>
      <c r="D94" s="350" t="s">
        <v>1485</v>
      </c>
      <c r="E94" s="757" t="s">
        <v>15</v>
      </c>
      <c r="F94" s="97">
        <v>14</v>
      </c>
      <c r="G94" s="946"/>
      <c r="H94" s="97"/>
      <c r="I94" s="946"/>
      <c r="J94" s="97"/>
      <c r="K94" s="946"/>
    </row>
    <row r="95" spans="1:11" s="224" customFormat="1" x14ac:dyDescent="0.25">
      <c r="A95" s="215">
        <v>42941</v>
      </c>
      <c r="B95" s="349" t="s">
        <v>1661</v>
      </c>
      <c r="C95" s="350" t="s">
        <v>12</v>
      </c>
      <c r="D95" s="350"/>
      <c r="E95" s="757" t="s">
        <v>13</v>
      </c>
      <c r="F95" s="97">
        <v>497.66</v>
      </c>
      <c r="G95" s="946"/>
      <c r="H95" s="95"/>
      <c r="I95" s="946"/>
      <c r="J95" s="95"/>
      <c r="K95" s="946">
        <v>497.66</v>
      </c>
    </row>
    <row r="96" spans="1:11" s="224" customFormat="1" x14ac:dyDescent="0.25">
      <c r="A96" s="215">
        <v>42941</v>
      </c>
      <c r="B96" s="862" t="s">
        <v>32</v>
      </c>
      <c r="C96" s="350" t="s">
        <v>12</v>
      </c>
      <c r="D96" s="350" t="s">
        <v>1485</v>
      </c>
      <c r="E96" s="757" t="s">
        <v>13</v>
      </c>
      <c r="F96" s="97">
        <v>14</v>
      </c>
      <c r="G96" s="946"/>
      <c r="H96" s="97"/>
      <c r="I96" s="946"/>
      <c r="J96" s="97"/>
      <c r="K96" s="946"/>
    </row>
    <row r="97" spans="1:11" s="224" customFormat="1" x14ac:dyDescent="0.25">
      <c r="A97" s="215">
        <v>42941</v>
      </c>
      <c r="B97" s="862" t="s">
        <v>256</v>
      </c>
      <c r="C97" s="879"/>
      <c r="D97" s="879"/>
      <c r="E97" s="1510"/>
      <c r="F97" s="97"/>
      <c r="G97" s="946">
        <v>200</v>
      </c>
      <c r="H97" s="97">
        <v>200</v>
      </c>
      <c r="I97" s="1473"/>
      <c r="J97" s="97"/>
      <c r="K97" s="1473"/>
    </row>
    <row r="98" spans="1:11" s="224" customFormat="1" x14ac:dyDescent="0.25">
      <c r="A98" s="215">
        <v>42942</v>
      </c>
      <c r="B98" s="862" t="s">
        <v>1662</v>
      </c>
      <c r="C98" s="350" t="s">
        <v>12</v>
      </c>
      <c r="D98" s="350" t="s">
        <v>1522</v>
      </c>
      <c r="E98" s="757" t="s">
        <v>13</v>
      </c>
      <c r="F98" s="97">
        <v>68.099999999999994</v>
      </c>
      <c r="G98" s="946"/>
      <c r="H98" s="95"/>
      <c r="I98" s="1473"/>
      <c r="J98" s="95"/>
      <c r="K98" s="1473"/>
    </row>
    <row r="99" spans="1:11" s="224" customFormat="1" x14ac:dyDescent="0.25">
      <c r="A99" s="215">
        <v>42942</v>
      </c>
      <c r="B99" s="862" t="s">
        <v>1663</v>
      </c>
      <c r="C99" s="350" t="s">
        <v>12</v>
      </c>
      <c r="D99" s="350" t="s">
        <v>1522</v>
      </c>
      <c r="E99" s="757" t="s">
        <v>13</v>
      </c>
      <c r="F99" s="97">
        <v>115.84</v>
      </c>
      <c r="G99" s="946"/>
      <c r="H99" s="95"/>
      <c r="I99" s="1473"/>
      <c r="J99" s="95"/>
      <c r="K99" s="1473"/>
    </row>
    <row r="100" spans="1:11" s="224" customFormat="1" x14ac:dyDescent="0.25">
      <c r="A100" s="215">
        <v>42942</v>
      </c>
      <c r="B100" s="862" t="s">
        <v>32</v>
      </c>
      <c r="C100" s="350" t="s">
        <v>12</v>
      </c>
      <c r="D100" s="350" t="s">
        <v>1485</v>
      </c>
      <c r="E100" s="757" t="s">
        <v>15</v>
      </c>
      <c r="F100" s="97">
        <v>14</v>
      </c>
      <c r="G100" s="946"/>
      <c r="H100" s="95"/>
      <c r="I100" s="1473"/>
      <c r="J100" s="95"/>
      <c r="K100" s="1473"/>
    </row>
    <row r="101" spans="1:11" s="224" customFormat="1" x14ac:dyDescent="0.25">
      <c r="A101" s="215">
        <v>42942</v>
      </c>
      <c r="B101" s="862" t="s">
        <v>256</v>
      </c>
      <c r="C101" s="879"/>
      <c r="D101" s="879"/>
      <c r="E101" s="1510"/>
      <c r="F101" s="97"/>
      <c r="G101" s="946">
        <v>200</v>
      </c>
      <c r="H101" s="97">
        <v>200</v>
      </c>
      <c r="I101" s="1473"/>
      <c r="J101" s="97"/>
      <c r="K101" s="1473"/>
    </row>
    <row r="102" spans="1:11" s="224" customFormat="1" x14ac:dyDescent="0.25">
      <c r="A102" s="215">
        <v>42942</v>
      </c>
      <c r="B102" s="349" t="s">
        <v>1331</v>
      </c>
      <c r="C102" s="350" t="s">
        <v>12</v>
      </c>
      <c r="D102" s="350" t="s">
        <v>1487</v>
      </c>
      <c r="E102" s="757" t="s">
        <v>13</v>
      </c>
      <c r="F102" s="252">
        <v>60</v>
      </c>
      <c r="G102" s="946"/>
      <c r="H102" s="97"/>
      <c r="I102" s="946"/>
      <c r="J102" s="97"/>
      <c r="K102" s="946"/>
    </row>
    <row r="103" spans="1:11" s="224" customFormat="1" x14ac:dyDescent="0.25">
      <c r="A103" s="215">
        <v>42942</v>
      </c>
      <c r="B103" s="349" t="s">
        <v>14</v>
      </c>
      <c r="C103" s="350" t="s">
        <v>12</v>
      </c>
      <c r="D103" s="350" t="s">
        <v>1486</v>
      </c>
      <c r="E103" s="757" t="s">
        <v>13</v>
      </c>
      <c r="F103" s="252">
        <v>4.45</v>
      </c>
      <c r="G103" s="946"/>
      <c r="H103" s="97"/>
      <c r="I103" s="946"/>
      <c r="J103" s="97"/>
      <c r="K103" s="946"/>
    </row>
    <row r="104" spans="1:11" s="224" customFormat="1" x14ac:dyDescent="0.25">
      <c r="A104" s="215">
        <v>42943</v>
      </c>
      <c r="B104" s="862" t="s">
        <v>32</v>
      </c>
      <c r="C104" s="350" t="s">
        <v>12</v>
      </c>
      <c r="D104" s="350" t="s">
        <v>1485</v>
      </c>
      <c r="E104" s="757" t="s">
        <v>15</v>
      </c>
      <c r="F104" s="97">
        <v>14</v>
      </c>
      <c r="G104" s="946"/>
      <c r="H104" s="95"/>
      <c r="I104" s="1473"/>
      <c r="J104" s="95"/>
      <c r="K104" s="1473"/>
    </row>
    <row r="105" spans="1:11" s="224" customFormat="1" x14ac:dyDescent="0.25">
      <c r="A105" s="215">
        <v>42943</v>
      </c>
      <c r="B105" s="862" t="s">
        <v>114</v>
      </c>
      <c r="C105" s="350" t="s">
        <v>12</v>
      </c>
      <c r="D105" s="350" t="s">
        <v>1489</v>
      </c>
      <c r="E105" s="757" t="s">
        <v>13</v>
      </c>
      <c r="F105" s="97">
        <v>11.53</v>
      </c>
      <c r="G105" s="946"/>
      <c r="H105" s="97"/>
      <c r="I105" s="946"/>
      <c r="J105" s="97"/>
      <c r="K105" s="946"/>
    </row>
    <row r="106" spans="1:11" s="224" customFormat="1" x14ac:dyDescent="0.25">
      <c r="A106" s="215">
        <v>42943</v>
      </c>
      <c r="B106" s="349" t="s">
        <v>14</v>
      </c>
      <c r="C106" s="350" t="s">
        <v>12</v>
      </c>
      <c r="D106" s="350" t="s">
        <v>1486</v>
      </c>
      <c r="E106" s="757" t="s">
        <v>13</v>
      </c>
      <c r="F106" s="252">
        <v>11.1</v>
      </c>
      <c r="G106" s="946"/>
      <c r="H106" s="97"/>
      <c r="I106" s="946"/>
      <c r="J106" s="97"/>
      <c r="K106" s="946"/>
    </row>
    <row r="107" spans="1:11" s="224" customFormat="1" x14ac:dyDescent="0.25">
      <c r="A107" s="215">
        <v>42944</v>
      </c>
      <c r="B107" s="862" t="s">
        <v>32</v>
      </c>
      <c r="C107" s="350" t="s">
        <v>12</v>
      </c>
      <c r="D107" s="350" t="s">
        <v>1485</v>
      </c>
      <c r="E107" s="757" t="s">
        <v>15</v>
      </c>
      <c r="F107" s="97">
        <v>14</v>
      </c>
      <c r="G107" s="946"/>
      <c r="H107" s="95"/>
      <c r="I107" s="1473"/>
      <c r="J107" s="95"/>
      <c r="K107" s="1473"/>
    </row>
    <row r="108" spans="1:11" s="224" customFormat="1" x14ac:dyDescent="0.25">
      <c r="A108" s="215">
        <v>42945</v>
      </c>
      <c r="B108" s="862" t="s">
        <v>1664</v>
      </c>
      <c r="C108" s="350" t="s">
        <v>12</v>
      </c>
      <c r="D108" s="350" t="s">
        <v>1493</v>
      </c>
      <c r="E108" s="757" t="s">
        <v>15</v>
      </c>
      <c r="F108" s="97">
        <v>35.369999999999997</v>
      </c>
      <c r="G108" s="946"/>
      <c r="H108" s="95"/>
      <c r="I108" s="1473"/>
      <c r="J108" s="95"/>
      <c r="K108" s="1473"/>
    </row>
    <row r="109" spans="1:11" s="224" customFormat="1" x14ac:dyDescent="0.25">
      <c r="A109" s="215">
        <v>42946</v>
      </c>
      <c r="B109" s="349" t="s">
        <v>1665</v>
      </c>
      <c r="C109" s="350" t="s">
        <v>12</v>
      </c>
      <c r="D109" s="350" t="s">
        <v>1491</v>
      </c>
      <c r="E109" s="757" t="s">
        <v>15</v>
      </c>
      <c r="F109" s="97">
        <v>10</v>
      </c>
      <c r="G109" s="946"/>
      <c r="H109" s="95"/>
      <c r="I109" s="1473"/>
      <c r="J109" s="95"/>
      <c r="K109" s="1473"/>
    </row>
    <row r="110" spans="1:11" s="224" customFormat="1" x14ac:dyDescent="0.25">
      <c r="A110" s="215">
        <v>42946</v>
      </c>
      <c r="B110" s="349" t="s">
        <v>14</v>
      </c>
      <c r="C110" s="350" t="s">
        <v>12</v>
      </c>
      <c r="D110" s="350" t="s">
        <v>1486</v>
      </c>
      <c r="E110" s="757" t="s">
        <v>13</v>
      </c>
      <c r="F110" s="97">
        <v>6.99</v>
      </c>
      <c r="G110" s="946"/>
      <c r="H110" s="95"/>
      <c r="I110" s="1473"/>
      <c r="J110" s="95"/>
      <c r="K110" s="1473"/>
    </row>
    <row r="111" spans="1:11" s="224" customFormat="1" x14ac:dyDescent="0.25">
      <c r="A111" s="215">
        <v>42947</v>
      </c>
      <c r="B111" s="862" t="s">
        <v>1666</v>
      </c>
      <c r="C111" s="350" t="s">
        <v>12</v>
      </c>
      <c r="D111" s="350"/>
      <c r="E111" s="757" t="s">
        <v>25</v>
      </c>
      <c r="F111" s="97"/>
      <c r="G111" s="946"/>
      <c r="H111" s="97"/>
      <c r="I111" s="946"/>
      <c r="J111" s="97"/>
      <c r="K111" s="946">
        <v>20</v>
      </c>
    </row>
    <row r="112" spans="1:11" s="224" customFormat="1" ht="15.75" thickBot="1" x14ac:dyDescent="0.3">
      <c r="A112" s="215">
        <v>42947</v>
      </c>
      <c r="B112" s="862" t="s">
        <v>32</v>
      </c>
      <c r="C112" s="350" t="s">
        <v>12</v>
      </c>
      <c r="D112" s="350" t="s">
        <v>1485</v>
      </c>
      <c r="E112" s="757" t="s">
        <v>13</v>
      </c>
      <c r="F112" s="97">
        <v>14</v>
      </c>
      <c r="G112" s="946"/>
      <c r="H112" s="97"/>
      <c r="I112" s="946"/>
      <c r="J112" s="97"/>
      <c r="K112" s="946"/>
    </row>
    <row r="113" spans="1:11" ht="25.5" customHeight="1" thickBot="1" x14ac:dyDescent="0.3">
      <c r="A113" s="3060"/>
      <c r="B113" s="3061"/>
      <c r="C113" s="3062"/>
      <c r="D113" s="3062"/>
      <c r="E113" s="3062"/>
      <c r="F113" s="100">
        <f>SUM(F6:F112)</f>
        <v>5941.4</v>
      </c>
      <c r="G113" s="1065">
        <f>SUM(G5:G112)</f>
        <v>6062.0700000000052</v>
      </c>
      <c r="H113" s="101">
        <f>SUM(H6:H112)</f>
        <v>2424.5699999999997</v>
      </c>
      <c r="I113" s="93">
        <f>SUM(I5:I112)</f>
        <v>6024.5660000000007</v>
      </c>
      <c r="J113" s="101"/>
      <c r="K113" s="93"/>
    </row>
    <row r="114" spans="1:11" ht="25.5" customHeight="1" thickBot="1" x14ac:dyDescent="0.3">
      <c r="A114" s="3117" t="s">
        <v>49</v>
      </c>
      <c r="B114" s="3118"/>
      <c r="C114" s="3118"/>
      <c r="D114" s="3118"/>
      <c r="E114" s="3119"/>
      <c r="F114" s="144"/>
      <c r="G114" s="519">
        <f>G113-F113</f>
        <v>120.67000000000553</v>
      </c>
      <c r="H114" s="555"/>
      <c r="I114" s="556">
        <f>I113-H113</f>
        <v>3599.996000000001</v>
      </c>
      <c r="J114" s="555"/>
      <c r="K114" s="556">
        <f>SUM(K5:K113)</f>
        <v>517.66000000000008</v>
      </c>
    </row>
    <row r="115" spans="1:11" x14ac:dyDescent="0.25">
      <c r="G115" s="89"/>
    </row>
    <row r="116" spans="1:11" x14ac:dyDescent="0.25">
      <c r="B116" s="79" t="s">
        <v>32</v>
      </c>
      <c r="C116" s="475">
        <v>290.5</v>
      </c>
      <c r="D116" s="85" t="s">
        <v>1485</v>
      </c>
    </row>
    <row r="117" spans="1:11" x14ac:dyDescent="0.25">
      <c r="B117" s="79" t="s">
        <v>1218</v>
      </c>
      <c r="C117" s="475">
        <v>240</v>
      </c>
      <c r="D117" s="85" t="s">
        <v>1487</v>
      </c>
    </row>
    <row r="118" spans="1:11" x14ac:dyDescent="0.25">
      <c r="B118" s="79" t="s">
        <v>50</v>
      </c>
      <c r="C118" s="484">
        <v>176.84</v>
      </c>
      <c r="D118" s="85" t="s">
        <v>1493</v>
      </c>
    </row>
    <row r="119" spans="1:11" s="85" customFormat="1" x14ac:dyDescent="0.25">
      <c r="A119" s="79"/>
      <c r="B119" s="79" t="s">
        <v>14</v>
      </c>
      <c r="C119" s="484">
        <v>110.93</v>
      </c>
      <c r="D119" s="85" t="s">
        <v>1486</v>
      </c>
    </row>
    <row r="120" spans="1:11" s="85" customFormat="1" x14ac:dyDescent="0.25">
      <c r="A120" s="79"/>
      <c r="B120" s="79" t="s">
        <v>51</v>
      </c>
      <c r="C120" s="475">
        <v>145.68</v>
      </c>
      <c r="D120" s="864" t="s">
        <v>1499</v>
      </c>
      <c r="E120" s="79"/>
      <c r="F120" s="89"/>
      <c r="G120" s="79"/>
      <c r="H120" s="79"/>
      <c r="I120" s="79"/>
      <c r="J120" s="79"/>
      <c r="K120" s="79"/>
    </row>
    <row r="121" spans="1:11" s="85" customFormat="1" x14ac:dyDescent="0.25">
      <c r="A121" s="79"/>
      <c r="B121" s="79" t="s">
        <v>52</v>
      </c>
      <c r="C121" s="475">
        <v>100</v>
      </c>
      <c r="D121" s="864" t="s">
        <v>1496</v>
      </c>
      <c r="F121" s="89"/>
      <c r="G121" s="79"/>
      <c r="H121" s="79"/>
      <c r="I121" s="79"/>
      <c r="J121" s="79"/>
      <c r="K121" s="79"/>
    </row>
    <row r="122" spans="1:11" s="85" customFormat="1" x14ac:dyDescent="0.25">
      <c r="A122" s="79"/>
      <c r="B122" s="867" t="s">
        <v>53</v>
      </c>
      <c r="C122" s="475">
        <v>1345.13</v>
      </c>
      <c r="D122" s="864" t="s">
        <v>1522</v>
      </c>
      <c r="E122" s="89"/>
      <c r="F122" s="89"/>
      <c r="G122" s="79"/>
      <c r="H122" s="79"/>
      <c r="I122" s="79"/>
      <c r="J122" s="79"/>
      <c r="K122" s="79"/>
    </row>
    <row r="123" spans="1:11" s="85" customFormat="1" x14ac:dyDescent="0.25">
      <c r="A123" s="79"/>
      <c r="B123" s="79" t="s">
        <v>1232</v>
      </c>
      <c r="C123" s="475"/>
      <c r="D123" s="864" t="s">
        <v>1515</v>
      </c>
      <c r="F123" s="89"/>
      <c r="G123" s="79"/>
      <c r="H123" s="79"/>
      <c r="I123" s="79"/>
      <c r="J123" s="79"/>
      <c r="K123" s="79"/>
    </row>
    <row r="124" spans="1:11" s="85" customFormat="1" x14ac:dyDescent="0.25">
      <c r="A124" s="79"/>
      <c r="B124" s="79" t="s">
        <v>56</v>
      </c>
      <c r="C124" s="475"/>
      <c r="D124" s="864" t="s">
        <v>1523</v>
      </c>
      <c r="F124" s="89"/>
      <c r="G124" s="79"/>
      <c r="H124" s="79"/>
      <c r="I124" s="79"/>
      <c r="J124" s="79"/>
      <c r="K124" s="79"/>
    </row>
    <row r="125" spans="1:11" s="85" customFormat="1" x14ac:dyDescent="0.25">
      <c r="A125" s="79"/>
      <c r="B125" s="79" t="s">
        <v>57</v>
      </c>
      <c r="C125" s="475">
        <v>90</v>
      </c>
      <c r="D125" s="864" t="s">
        <v>1506</v>
      </c>
      <c r="F125" s="89"/>
      <c r="G125" s="79"/>
      <c r="H125" s="79"/>
      <c r="I125" s="79"/>
      <c r="J125" s="79"/>
      <c r="K125" s="79"/>
    </row>
    <row r="126" spans="1:11" s="85" customFormat="1" x14ac:dyDescent="0.25">
      <c r="A126" s="79"/>
      <c r="B126" s="79" t="s">
        <v>418</v>
      </c>
      <c r="C126" s="475">
        <v>292.64999999999998</v>
      </c>
      <c r="D126" s="85" t="s">
        <v>1524</v>
      </c>
      <c r="E126" s="79"/>
      <c r="F126" s="89"/>
    </row>
    <row r="127" spans="1:11" x14ac:dyDescent="0.25">
      <c r="B127" s="79" t="s">
        <v>419</v>
      </c>
      <c r="C127" s="475">
        <v>407.63</v>
      </c>
      <c r="D127" s="85" t="s">
        <v>1491</v>
      </c>
    </row>
    <row r="128" spans="1:11" x14ac:dyDescent="0.25">
      <c r="B128" s="79" t="s">
        <v>911</v>
      </c>
      <c r="C128" s="475"/>
      <c r="D128" s="85" t="s">
        <v>1525</v>
      </c>
    </row>
    <row r="129" spans="2:11" x14ac:dyDescent="0.25">
      <c r="B129" s="79" t="s">
        <v>1526</v>
      </c>
      <c r="C129" s="475">
        <v>110.46</v>
      </c>
      <c r="D129" s="85" t="s">
        <v>1504</v>
      </c>
      <c r="E129" s="79"/>
    </row>
    <row r="130" spans="2:11" x14ac:dyDescent="0.25">
      <c r="B130" s="79" t="s">
        <v>1527</v>
      </c>
      <c r="C130" s="475">
        <v>428.23</v>
      </c>
      <c r="D130" s="85" t="s">
        <v>1489</v>
      </c>
    </row>
    <row r="133" spans="2:11" x14ac:dyDescent="0.25">
      <c r="B133" s="79" t="s">
        <v>486</v>
      </c>
      <c r="C133" s="475">
        <f>H133/J133</f>
        <v>120.7658064516129</v>
      </c>
      <c r="F133" s="224" t="s">
        <v>487</v>
      </c>
      <c r="H133" s="216">
        <v>3743.74</v>
      </c>
      <c r="I133" s="518" t="s">
        <v>488</v>
      </c>
      <c r="J133" s="768">
        <v>31</v>
      </c>
      <c r="K133" s="518"/>
    </row>
    <row r="137" spans="2:11" x14ac:dyDescent="0.25">
      <c r="D137" s="79"/>
      <c r="E137" s="79"/>
    </row>
    <row r="141" spans="2:11" x14ac:dyDescent="0.25">
      <c r="C141" s="79"/>
      <c r="D141" s="79"/>
      <c r="E141" s="79"/>
      <c r="F141" s="79"/>
      <c r="I141" s="216"/>
      <c r="K141" s="216"/>
    </row>
    <row r="142" spans="2:11" x14ac:dyDescent="0.25">
      <c r="C142" s="79"/>
      <c r="D142" s="79"/>
      <c r="E142" s="79"/>
      <c r="F142" s="79"/>
      <c r="I142" s="216"/>
      <c r="K142" s="216"/>
    </row>
    <row r="143" spans="2:11" x14ac:dyDescent="0.25">
      <c r="C143" s="79"/>
      <c r="D143" s="79"/>
      <c r="E143" s="79"/>
      <c r="F143" s="79"/>
      <c r="G143" s="216"/>
      <c r="I143" s="216"/>
      <c r="K143" s="216"/>
    </row>
    <row r="144" spans="2:11" x14ac:dyDescent="0.25">
      <c r="C144" s="79"/>
      <c r="D144" s="79"/>
      <c r="E144" s="79"/>
      <c r="F144" s="79"/>
      <c r="G144" s="216"/>
      <c r="I144" s="216"/>
      <c r="K144" s="216"/>
    </row>
    <row r="145" spans="3:11" x14ac:dyDescent="0.25">
      <c r="C145" s="79"/>
      <c r="D145" s="79"/>
      <c r="E145" s="79"/>
      <c r="F145" s="79"/>
      <c r="G145" s="216"/>
    </row>
    <row r="146" spans="3:11" x14ac:dyDescent="0.25">
      <c r="C146" s="79"/>
      <c r="D146" s="79"/>
      <c r="E146" s="79"/>
      <c r="F146" s="79"/>
      <c r="I146" s="216"/>
      <c r="K146" s="216"/>
    </row>
    <row r="148" spans="3:11" x14ac:dyDescent="0.25">
      <c r="C148" s="79"/>
      <c r="D148" s="79"/>
      <c r="E148" s="79"/>
      <c r="F148" s="79"/>
      <c r="I148" s="629"/>
      <c r="K148" s="629"/>
    </row>
    <row r="154" spans="3:11" x14ac:dyDescent="0.25">
      <c r="C154" s="79"/>
      <c r="D154" s="79"/>
      <c r="E154" s="79"/>
      <c r="F154" s="79"/>
      <c r="I154" s="216"/>
      <c r="K154" s="216"/>
    </row>
    <row r="155" spans="3:11" x14ac:dyDescent="0.25">
      <c r="C155" s="79"/>
      <c r="D155" s="79"/>
      <c r="E155" s="79"/>
      <c r="F155" s="79"/>
      <c r="I155" s="216"/>
      <c r="K155" s="216"/>
    </row>
    <row r="156" spans="3:11" x14ac:dyDescent="0.25">
      <c r="C156" s="79"/>
      <c r="D156" s="79"/>
      <c r="E156" s="79"/>
      <c r="F156" s="79"/>
      <c r="I156" s="216"/>
      <c r="K156" s="216"/>
    </row>
    <row r="157" spans="3:11" x14ac:dyDescent="0.25">
      <c r="C157" s="79"/>
      <c r="D157" s="79"/>
      <c r="E157" s="79"/>
      <c r="F157" s="79"/>
      <c r="I157" s="216"/>
      <c r="K157" s="216"/>
    </row>
    <row r="158" spans="3:11" x14ac:dyDescent="0.25">
      <c r="C158" s="79"/>
      <c r="D158" s="79"/>
      <c r="E158" s="79"/>
      <c r="F158" s="79"/>
      <c r="I158" s="216"/>
      <c r="K158" s="216"/>
    </row>
    <row r="159" spans="3:11" x14ac:dyDescent="0.25">
      <c r="C159" s="79"/>
      <c r="D159" s="79"/>
      <c r="E159" s="79"/>
      <c r="F159" s="79"/>
      <c r="I159" s="216"/>
      <c r="K159" s="216"/>
    </row>
    <row r="160" spans="3:11" x14ac:dyDescent="0.25">
      <c r="C160" s="79"/>
      <c r="D160" s="79"/>
      <c r="E160" s="79"/>
      <c r="F160" s="79"/>
      <c r="I160" s="216"/>
      <c r="K160" s="216"/>
    </row>
    <row r="161" spans="3:11" x14ac:dyDescent="0.25">
      <c r="C161" s="79"/>
      <c r="D161" s="79"/>
      <c r="E161" s="79"/>
      <c r="F161" s="79"/>
      <c r="I161" s="216"/>
      <c r="K161" s="216"/>
    </row>
    <row r="162" spans="3:11" x14ac:dyDescent="0.25">
      <c r="C162" s="79"/>
      <c r="D162" s="79"/>
      <c r="E162" s="79"/>
      <c r="F162" s="79"/>
      <c r="I162" s="216"/>
      <c r="K162" s="216"/>
    </row>
  </sheetData>
  <autoFilter ref="A2:I114" xr:uid="{00000000-0009-0000-0000-00003E000000}"/>
  <mergeCells count="12">
    <mergeCell ref="J2:K3"/>
    <mergeCell ref="F1:K1"/>
    <mergeCell ref="A113:E113"/>
    <mergeCell ref="A114:E114"/>
    <mergeCell ref="A1:E1"/>
    <mergeCell ref="A2:A4"/>
    <mergeCell ref="B2:B4"/>
    <mergeCell ref="C2:C4"/>
    <mergeCell ref="D2:D4"/>
    <mergeCell ref="E2:E4"/>
    <mergeCell ref="F2:G3"/>
    <mergeCell ref="H2:I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Plan76"/>
  <dimension ref="A1:L223"/>
  <sheetViews>
    <sheetView zoomScale="85" zoomScaleNormal="85" workbookViewId="0">
      <pane ySplit="4" topLeftCell="A4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1667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42948</v>
      </c>
      <c r="B5" s="369" t="s">
        <v>10</v>
      </c>
      <c r="C5" s="370"/>
      <c r="D5" s="370"/>
      <c r="E5" s="777"/>
      <c r="F5" s="179"/>
      <c r="G5" s="1479">
        <f>'Julho-17'!G114</f>
        <v>120.67000000000553</v>
      </c>
      <c r="H5" s="179"/>
      <c r="I5" s="933">
        <f>'Julho-17'!I114</f>
        <v>3599.996000000001</v>
      </c>
      <c r="J5" s="179"/>
      <c r="K5" s="933">
        <v>497.66</v>
      </c>
    </row>
    <row r="6" spans="1:11" s="224" customFormat="1" x14ac:dyDescent="0.25">
      <c r="A6" s="215">
        <v>42948</v>
      </c>
      <c r="B6" s="348" t="s">
        <v>11</v>
      </c>
      <c r="C6" s="351"/>
      <c r="D6" s="351"/>
      <c r="E6" s="673"/>
      <c r="F6" s="250"/>
      <c r="G6" s="1480"/>
      <c r="H6" s="250"/>
      <c r="I6" s="1473"/>
      <c r="J6" s="250"/>
      <c r="K6" s="1473"/>
    </row>
    <row r="7" spans="1:11" s="224" customFormat="1" x14ac:dyDescent="0.25">
      <c r="A7" s="215">
        <v>42948</v>
      </c>
      <c r="B7" s="349" t="s">
        <v>311</v>
      </c>
      <c r="C7" s="350"/>
      <c r="D7" s="765"/>
      <c r="E7" s="778"/>
      <c r="F7" s="709"/>
      <c r="G7" s="1513"/>
      <c r="H7" s="97"/>
      <c r="I7" s="946">
        <v>2.42</v>
      </c>
      <c r="J7" s="97"/>
      <c r="K7" s="946"/>
    </row>
    <row r="8" spans="1:11" s="224" customFormat="1" x14ac:dyDescent="0.25">
      <c r="A8" s="215">
        <v>42948</v>
      </c>
      <c r="B8" s="862" t="s">
        <v>32</v>
      </c>
      <c r="C8" s="350" t="s">
        <v>12</v>
      </c>
      <c r="D8" s="350" t="s">
        <v>1485</v>
      </c>
      <c r="E8" s="480" t="s">
        <v>13</v>
      </c>
      <c r="F8" s="97">
        <v>14</v>
      </c>
      <c r="G8" s="1064"/>
      <c r="H8" s="97"/>
      <c r="I8" s="1473"/>
      <c r="J8" s="97"/>
      <c r="K8" s="1473"/>
    </row>
    <row r="9" spans="1:11" s="224" customFormat="1" x14ac:dyDescent="0.25">
      <c r="A9" s="215">
        <v>42948</v>
      </c>
      <c r="B9" s="862" t="s">
        <v>81</v>
      </c>
      <c r="C9" s="350" t="s">
        <v>12</v>
      </c>
      <c r="D9" s="350" t="s">
        <v>1493</v>
      </c>
      <c r="E9" s="480" t="s">
        <v>13</v>
      </c>
      <c r="F9" s="97">
        <v>3.5</v>
      </c>
      <c r="G9" s="1064"/>
      <c r="H9" s="97"/>
      <c r="I9" s="1473"/>
      <c r="J9" s="97"/>
      <c r="K9" s="1473"/>
    </row>
    <row r="10" spans="1:11" s="224" customFormat="1" x14ac:dyDescent="0.25">
      <c r="A10" s="215">
        <v>42948</v>
      </c>
      <c r="B10" s="862" t="s">
        <v>1597</v>
      </c>
      <c r="C10" s="350" t="s">
        <v>12</v>
      </c>
      <c r="D10" s="350" t="s">
        <v>1491</v>
      </c>
      <c r="E10" s="480" t="s">
        <v>15</v>
      </c>
      <c r="F10" s="97">
        <v>20</v>
      </c>
      <c r="G10" s="1064"/>
      <c r="H10" s="97"/>
      <c r="I10" s="1473"/>
      <c r="J10" s="97"/>
      <c r="K10" s="1473"/>
    </row>
    <row r="11" spans="1:11" s="224" customFormat="1" x14ac:dyDescent="0.25">
      <c r="A11" s="215">
        <v>42948</v>
      </c>
      <c r="B11" s="862" t="s">
        <v>256</v>
      </c>
      <c r="C11" s="879"/>
      <c r="D11" s="879"/>
      <c r="E11" s="871"/>
      <c r="F11" s="97"/>
      <c r="G11" s="1064">
        <v>152.41999999999999</v>
      </c>
      <c r="H11" s="97">
        <v>152.41999999999999</v>
      </c>
      <c r="I11" s="1473"/>
      <c r="J11" s="97"/>
      <c r="K11" s="1473"/>
    </row>
    <row r="12" spans="1:11" s="224" customFormat="1" x14ac:dyDescent="0.25">
      <c r="A12" s="215">
        <v>42948</v>
      </c>
      <c r="B12" s="349" t="s">
        <v>14</v>
      </c>
      <c r="C12" s="350" t="s">
        <v>12</v>
      </c>
      <c r="D12" s="350" t="s">
        <v>1486</v>
      </c>
      <c r="E12" s="480" t="s">
        <v>13</v>
      </c>
      <c r="F12" s="250">
        <v>7.35</v>
      </c>
      <c r="G12" s="1064"/>
      <c r="H12" s="97"/>
      <c r="I12" s="1473"/>
      <c r="J12" s="97"/>
      <c r="K12" s="1473"/>
    </row>
    <row r="13" spans="1:11" s="224" customFormat="1" x14ac:dyDescent="0.25">
      <c r="A13" s="215">
        <v>42948</v>
      </c>
      <c r="B13" s="349" t="s">
        <v>1331</v>
      </c>
      <c r="C13" s="350" t="s">
        <v>12</v>
      </c>
      <c r="D13" s="350" t="s">
        <v>1487</v>
      </c>
      <c r="E13" s="480" t="s">
        <v>13</v>
      </c>
      <c r="F13" s="250">
        <v>60</v>
      </c>
      <c r="G13" s="1064"/>
      <c r="H13" s="97"/>
      <c r="I13" s="946"/>
      <c r="J13" s="97"/>
      <c r="K13" s="946"/>
    </row>
    <row r="14" spans="1:11" s="224" customFormat="1" x14ac:dyDescent="0.25">
      <c r="A14" s="215">
        <v>42949</v>
      </c>
      <c r="B14" s="862" t="s">
        <v>32</v>
      </c>
      <c r="C14" s="350" t="s">
        <v>12</v>
      </c>
      <c r="D14" s="350" t="s">
        <v>1485</v>
      </c>
      <c r="E14" s="480" t="s">
        <v>13</v>
      </c>
      <c r="F14" s="97">
        <v>14</v>
      </c>
      <c r="G14" s="1513"/>
      <c r="H14" s="97"/>
      <c r="I14" s="946"/>
      <c r="J14" s="97"/>
      <c r="K14" s="946"/>
    </row>
    <row r="15" spans="1:11" s="224" customFormat="1" x14ac:dyDescent="0.25">
      <c r="A15" s="215">
        <v>42949</v>
      </c>
      <c r="B15" s="349" t="s">
        <v>14</v>
      </c>
      <c r="C15" s="350" t="s">
        <v>12</v>
      </c>
      <c r="D15" s="350" t="s">
        <v>1486</v>
      </c>
      <c r="E15" s="480" t="s">
        <v>13</v>
      </c>
      <c r="F15" s="250">
        <v>5.79</v>
      </c>
      <c r="G15" s="1064"/>
      <c r="H15" s="97"/>
      <c r="I15" s="1473"/>
      <c r="J15" s="97"/>
      <c r="K15" s="1473"/>
    </row>
    <row r="16" spans="1:11" s="224" customFormat="1" x14ac:dyDescent="0.25">
      <c r="A16" s="215">
        <v>42949</v>
      </c>
      <c r="B16" s="349" t="s">
        <v>994</v>
      </c>
      <c r="C16" s="350"/>
      <c r="D16" s="350"/>
      <c r="E16" s="480" t="s">
        <v>25</v>
      </c>
      <c r="F16" s="250"/>
      <c r="G16" s="1064">
        <v>41.48</v>
      </c>
      <c r="H16" s="97"/>
      <c r="I16" s="1473"/>
      <c r="J16" s="97"/>
      <c r="K16" s="1473"/>
    </row>
    <row r="17" spans="1:11" s="224" customFormat="1" x14ac:dyDescent="0.25">
      <c r="A17" s="215">
        <v>42950</v>
      </c>
      <c r="B17" s="862" t="s">
        <v>32</v>
      </c>
      <c r="C17" s="350" t="s">
        <v>12</v>
      </c>
      <c r="D17" s="350" t="s">
        <v>1485</v>
      </c>
      <c r="E17" s="480" t="s">
        <v>13</v>
      </c>
      <c r="F17" s="97">
        <v>14</v>
      </c>
      <c r="G17" s="1064"/>
      <c r="H17" s="97"/>
      <c r="I17" s="946"/>
      <c r="J17" s="97"/>
      <c r="K17" s="946"/>
    </row>
    <row r="18" spans="1:11" s="224" customFormat="1" x14ac:dyDescent="0.25">
      <c r="A18" s="215">
        <v>42950</v>
      </c>
      <c r="B18" s="862" t="s">
        <v>134</v>
      </c>
      <c r="C18" s="350" t="s">
        <v>12</v>
      </c>
      <c r="D18" s="350" t="s">
        <v>1493</v>
      </c>
      <c r="E18" s="480" t="s">
        <v>13</v>
      </c>
      <c r="F18" s="97">
        <v>13</v>
      </c>
      <c r="G18" s="1064"/>
      <c r="H18" s="97"/>
      <c r="I18" s="946"/>
      <c r="J18" s="97"/>
      <c r="K18" s="946"/>
    </row>
    <row r="19" spans="1:11" s="224" customFormat="1" ht="15.75" customHeight="1" x14ac:dyDescent="0.25">
      <c r="A19" s="215">
        <v>42951</v>
      </c>
      <c r="B19" s="349" t="s">
        <v>1668</v>
      </c>
      <c r="C19" s="879" t="s">
        <v>12</v>
      </c>
      <c r="D19" s="874"/>
      <c r="E19" s="871" t="s">
        <v>25</v>
      </c>
      <c r="F19" s="97"/>
      <c r="G19" s="1480">
        <v>1594.37</v>
      </c>
      <c r="H19" s="250"/>
      <c r="I19" s="946"/>
      <c r="J19" s="97"/>
      <c r="K19" s="946"/>
    </row>
    <row r="20" spans="1:11" s="224" customFormat="1" x14ac:dyDescent="0.25">
      <c r="A20" s="215">
        <v>42951</v>
      </c>
      <c r="B20" s="862" t="s">
        <v>1669</v>
      </c>
      <c r="C20" s="879" t="s">
        <v>12</v>
      </c>
      <c r="D20" s="879"/>
      <c r="E20" s="871" t="s">
        <v>13</v>
      </c>
      <c r="F20" s="250">
        <v>391.93</v>
      </c>
      <c r="G20" s="1064"/>
      <c r="H20" s="97"/>
      <c r="I20" s="946"/>
      <c r="J20" s="523"/>
      <c r="K20" s="457"/>
    </row>
    <row r="21" spans="1:11" x14ac:dyDescent="0.25">
      <c r="A21" s="215">
        <v>42951</v>
      </c>
      <c r="B21" s="862" t="s">
        <v>1532</v>
      </c>
      <c r="C21" s="879" t="s">
        <v>12</v>
      </c>
      <c r="D21" s="879" t="s">
        <v>1504</v>
      </c>
      <c r="E21" s="871" t="s">
        <v>13</v>
      </c>
      <c r="F21" s="97">
        <v>50</v>
      </c>
      <c r="G21" s="1064"/>
      <c r="H21" s="97"/>
      <c r="I21" s="946"/>
      <c r="J21" s="97"/>
      <c r="K21" s="1473"/>
    </row>
    <row r="22" spans="1:11" x14ac:dyDescent="0.25">
      <c r="A22" s="215">
        <v>42951</v>
      </c>
      <c r="B22" s="862" t="s">
        <v>52</v>
      </c>
      <c r="C22" s="879" t="s">
        <v>12</v>
      </c>
      <c r="D22" s="879" t="s">
        <v>1496</v>
      </c>
      <c r="E22" s="871" t="s">
        <v>13</v>
      </c>
      <c r="F22" s="97">
        <v>60</v>
      </c>
      <c r="G22" s="1064"/>
      <c r="H22" s="97"/>
      <c r="I22" s="946"/>
      <c r="J22" s="97"/>
      <c r="K22" s="946"/>
    </row>
    <row r="23" spans="1:11" s="224" customFormat="1" ht="15" customHeight="1" x14ac:dyDescent="0.25">
      <c r="A23" s="215">
        <v>42951</v>
      </c>
      <c r="B23" s="349" t="s">
        <v>1670</v>
      </c>
      <c r="C23" s="350"/>
      <c r="D23" s="350"/>
      <c r="E23" s="480" t="s">
        <v>25</v>
      </c>
      <c r="F23" s="97"/>
      <c r="G23" s="1064">
        <v>150</v>
      </c>
      <c r="H23" s="97"/>
      <c r="I23" s="946"/>
      <c r="J23" s="97"/>
      <c r="K23" s="946"/>
    </row>
    <row r="24" spans="1:11" s="224" customFormat="1" ht="15" customHeight="1" x14ac:dyDescent="0.25">
      <c r="A24" s="215">
        <v>42951</v>
      </c>
      <c r="B24" s="349" t="s">
        <v>260</v>
      </c>
      <c r="C24" s="350"/>
      <c r="D24" s="350"/>
      <c r="E24" s="480"/>
      <c r="F24" s="97">
        <v>250</v>
      </c>
      <c r="G24" s="1064"/>
      <c r="H24" s="97"/>
      <c r="I24" s="946">
        <v>250</v>
      </c>
      <c r="J24" s="97"/>
      <c r="K24" s="946"/>
    </row>
    <row r="25" spans="1:11" s="224" customFormat="1" ht="15" customHeight="1" x14ac:dyDescent="0.25">
      <c r="A25" s="215">
        <v>42951</v>
      </c>
      <c r="B25" s="862" t="s">
        <v>32</v>
      </c>
      <c r="C25" s="350" t="s">
        <v>12</v>
      </c>
      <c r="D25" s="350" t="s">
        <v>1485</v>
      </c>
      <c r="E25" s="480" t="s">
        <v>15</v>
      </c>
      <c r="F25" s="97">
        <v>14</v>
      </c>
      <c r="G25" s="1064"/>
      <c r="H25" s="97"/>
      <c r="I25" s="946"/>
      <c r="J25" s="97"/>
      <c r="K25" s="946"/>
    </row>
    <row r="26" spans="1:11" s="224" customFormat="1" x14ac:dyDescent="0.25">
      <c r="A26" s="215">
        <v>42951</v>
      </c>
      <c r="B26" s="349" t="s">
        <v>1661</v>
      </c>
      <c r="C26" s="350" t="s">
        <v>12</v>
      </c>
      <c r="D26" s="350"/>
      <c r="E26" s="480" t="s">
        <v>13</v>
      </c>
      <c r="F26" s="97">
        <v>540.16</v>
      </c>
      <c r="G26" s="1064"/>
      <c r="H26" s="97"/>
      <c r="I26" s="946"/>
      <c r="J26" s="97"/>
      <c r="K26" s="946">
        <v>540.16</v>
      </c>
    </row>
    <row r="27" spans="1:11" s="224" customFormat="1" ht="15" customHeight="1" x14ac:dyDescent="0.25">
      <c r="A27" s="215">
        <v>42951</v>
      </c>
      <c r="B27" s="349" t="s">
        <v>1257</v>
      </c>
      <c r="C27" s="350" t="s">
        <v>12</v>
      </c>
      <c r="D27" s="350" t="s">
        <v>1491</v>
      </c>
      <c r="E27" s="480" t="s">
        <v>13</v>
      </c>
      <c r="F27" s="97">
        <v>40</v>
      </c>
      <c r="G27" s="1064"/>
      <c r="H27" s="97"/>
      <c r="I27" s="946"/>
      <c r="J27" s="97"/>
      <c r="K27" s="1473"/>
    </row>
    <row r="28" spans="1:11" s="224" customFormat="1" ht="15" customHeight="1" x14ac:dyDescent="0.25">
      <c r="A28" s="215">
        <v>42952</v>
      </c>
      <c r="B28" s="862" t="s">
        <v>32</v>
      </c>
      <c r="C28" s="350" t="s">
        <v>12</v>
      </c>
      <c r="D28" s="350" t="s">
        <v>1485</v>
      </c>
      <c r="E28" s="480" t="s">
        <v>13</v>
      </c>
      <c r="F28" s="97">
        <v>14.5</v>
      </c>
      <c r="G28" s="1064"/>
      <c r="H28" s="97"/>
      <c r="I28" s="946"/>
      <c r="J28" s="97"/>
      <c r="K28" s="1473"/>
    </row>
    <row r="29" spans="1:11" s="224" customFormat="1" ht="15" customHeight="1" x14ac:dyDescent="0.25">
      <c r="A29" s="215">
        <v>42952</v>
      </c>
      <c r="B29" s="349" t="s">
        <v>82</v>
      </c>
      <c r="C29" s="350" t="s">
        <v>12</v>
      </c>
      <c r="D29" s="350" t="s">
        <v>1493</v>
      </c>
      <c r="E29" s="480" t="s">
        <v>13</v>
      </c>
      <c r="F29" s="97">
        <v>29</v>
      </c>
      <c r="G29" s="1064"/>
      <c r="H29" s="97"/>
      <c r="I29" s="946"/>
      <c r="J29" s="97"/>
      <c r="K29" s="1473"/>
    </row>
    <row r="30" spans="1:11" s="224" customFormat="1" x14ac:dyDescent="0.25">
      <c r="A30" s="215">
        <v>42952</v>
      </c>
      <c r="B30" s="349" t="s">
        <v>311</v>
      </c>
      <c r="C30" s="350"/>
      <c r="D30" s="765"/>
      <c r="E30" s="778"/>
      <c r="F30" s="709"/>
      <c r="G30" s="248"/>
      <c r="H30" s="97"/>
      <c r="I30" s="946">
        <v>16.13</v>
      </c>
      <c r="J30" s="97"/>
      <c r="K30" s="946"/>
    </row>
    <row r="31" spans="1:11" s="224" customFormat="1" x14ac:dyDescent="0.25">
      <c r="A31" s="215">
        <v>42953</v>
      </c>
      <c r="B31" s="862" t="s">
        <v>1671</v>
      </c>
      <c r="C31" s="350" t="s">
        <v>12</v>
      </c>
      <c r="D31" s="350" t="s">
        <v>1489</v>
      </c>
      <c r="E31" s="480" t="s">
        <v>13</v>
      </c>
      <c r="F31" s="97">
        <v>23.55</v>
      </c>
      <c r="G31" s="1513"/>
      <c r="H31" s="97"/>
      <c r="I31" s="1473"/>
      <c r="J31" s="97"/>
      <c r="K31" s="1473"/>
    </row>
    <row r="32" spans="1:11" s="224" customFormat="1" x14ac:dyDescent="0.25">
      <c r="A32" s="215">
        <v>42953</v>
      </c>
      <c r="B32" s="862" t="s">
        <v>14</v>
      </c>
      <c r="C32" s="350" t="s">
        <v>12</v>
      </c>
      <c r="D32" s="350" t="s">
        <v>1486</v>
      </c>
      <c r="E32" s="480" t="s">
        <v>13</v>
      </c>
      <c r="F32" s="97">
        <v>4.09</v>
      </c>
      <c r="G32" s="1064"/>
      <c r="H32" s="97"/>
      <c r="I32" s="1473"/>
      <c r="J32" s="97"/>
      <c r="K32" s="1473"/>
    </row>
    <row r="33" spans="1:11" s="224" customFormat="1" x14ac:dyDescent="0.25">
      <c r="A33" s="215">
        <v>42954</v>
      </c>
      <c r="B33" s="862" t="s">
        <v>32</v>
      </c>
      <c r="C33" s="350" t="s">
        <v>12</v>
      </c>
      <c r="D33" s="350" t="s">
        <v>1485</v>
      </c>
      <c r="E33" s="480" t="s">
        <v>15</v>
      </c>
      <c r="F33" s="97">
        <v>14</v>
      </c>
      <c r="G33" s="1064"/>
      <c r="H33" s="97"/>
      <c r="I33" s="946"/>
      <c r="J33" s="250"/>
      <c r="K33" s="946"/>
    </row>
    <row r="34" spans="1:11" s="224" customFormat="1" x14ac:dyDescent="0.25">
      <c r="A34" s="215">
        <v>42954</v>
      </c>
      <c r="B34" s="862" t="s">
        <v>138</v>
      </c>
      <c r="C34" s="350" t="s">
        <v>12</v>
      </c>
      <c r="D34" s="350" t="s">
        <v>1487</v>
      </c>
      <c r="E34" s="480" t="s">
        <v>15</v>
      </c>
      <c r="F34" s="97">
        <v>20</v>
      </c>
      <c r="G34" s="1064"/>
      <c r="H34" s="97"/>
      <c r="I34" s="946"/>
      <c r="J34" s="250"/>
      <c r="K34" s="946"/>
    </row>
    <row r="35" spans="1:11" s="224" customFormat="1" x14ac:dyDescent="0.25">
      <c r="A35" s="215">
        <v>42954</v>
      </c>
      <c r="B35" s="862" t="s">
        <v>1672</v>
      </c>
      <c r="C35" s="350" t="s">
        <v>12</v>
      </c>
      <c r="D35" s="350" t="s">
        <v>1496</v>
      </c>
      <c r="E35" s="480" t="s">
        <v>15</v>
      </c>
      <c r="F35" s="97">
        <v>60</v>
      </c>
      <c r="G35" s="1064"/>
      <c r="H35" s="97"/>
      <c r="I35" s="946"/>
      <c r="J35" s="250"/>
      <c r="K35" s="946"/>
    </row>
    <row r="36" spans="1:11" s="224" customFormat="1" x14ac:dyDescent="0.25">
      <c r="A36" s="215">
        <v>42954</v>
      </c>
      <c r="B36" s="862" t="s">
        <v>14</v>
      </c>
      <c r="C36" s="350" t="s">
        <v>12</v>
      </c>
      <c r="D36" s="350" t="s">
        <v>1486</v>
      </c>
      <c r="E36" s="480" t="s">
        <v>13</v>
      </c>
      <c r="F36" s="97">
        <v>9.1999999999999993</v>
      </c>
      <c r="G36" s="1064"/>
      <c r="H36" s="97"/>
      <c r="I36" s="1473"/>
      <c r="J36" s="97"/>
      <c r="K36" s="1473"/>
    </row>
    <row r="37" spans="1:11" s="224" customFormat="1" x14ac:dyDescent="0.25">
      <c r="A37" s="215">
        <v>42954</v>
      </c>
      <c r="B37" s="349" t="s">
        <v>1554</v>
      </c>
      <c r="C37" s="350" t="s">
        <v>19</v>
      </c>
      <c r="D37" s="350" t="s">
        <v>1491</v>
      </c>
      <c r="E37" s="480" t="s">
        <v>13</v>
      </c>
      <c r="F37" s="97">
        <v>66.38</v>
      </c>
      <c r="G37" s="1064"/>
      <c r="H37" s="97"/>
      <c r="I37" s="946"/>
      <c r="J37" s="250"/>
      <c r="K37" s="946"/>
    </row>
    <row r="38" spans="1:11" s="224" customFormat="1" x14ac:dyDescent="0.25">
      <c r="A38" s="215">
        <v>42954</v>
      </c>
      <c r="B38" s="862" t="s">
        <v>1673</v>
      </c>
      <c r="C38" s="350" t="s">
        <v>19</v>
      </c>
      <c r="D38" s="350" t="s">
        <v>1506</v>
      </c>
      <c r="E38" s="480" t="s">
        <v>13</v>
      </c>
      <c r="F38" s="97">
        <v>35</v>
      </c>
      <c r="G38" s="1064"/>
      <c r="H38" s="97"/>
      <c r="I38" s="946"/>
      <c r="J38" s="250"/>
      <c r="K38" s="946"/>
    </row>
    <row r="39" spans="1:11" s="224" customFormat="1" ht="15.75" customHeight="1" x14ac:dyDescent="0.25">
      <c r="A39" s="215">
        <v>42955</v>
      </c>
      <c r="B39" s="862" t="s">
        <v>32</v>
      </c>
      <c r="C39" s="350" t="s">
        <v>12</v>
      </c>
      <c r="D39" s="350" t="s">
        <v>1485</v>
      </c>
      <c r="E39" s="480" t="s">
        <v>15</v>
      </c>
      <c r="F39" s="97">
        <v>14</v>
      </c>
      <c r="G39" s="1064"/>
      <c r="H39" s="250"/>
      <c r="I39" s="946"/>
      <c r="J39" s="97"/>
      <c r="K39" s="946"/>
    </row>
    <row r="40" spans="1:11" s="224" customFormat="1" ht="15.75" customHeight="1" x14ac:dyDescent="0.25">
      <c r="A40" s="215">
        <v>42955</v>
      </c>
      <c r="B40" s="862" t="s">
        <v>138</v>
      </c>
      <c r="C40" s="350" t="s">
        <v>19</v>
      </c>
      <c r="D40" s="350" t="s">
        <v>1487</v>
      </c>
      <c r="E40" s="480" t="s">
        <v>13</v>
      </c>
      <c r="F40" s="97">
        <v>70</v>
      </c>
      <c r="G40" s="1480"/>
      <c r="H40" s="250"/>
      <c r="I40" s="946"/>
      <c r="J40" s="97"/>
      <c r="K40" s="946"/>
    </row>
    <row r="41" spans="1:11" s="224" customFormat="1" ht="15.75" customHeight="1" x14ac:dyDescent="0.25">
      <c r="A41" s="215">
        <v>42955</v>
      </c>
      <c r="B41" s="862" t="s">
        <v>1674</v>
      </c>
      <c r="C41" s="350" t="s">
        <v>12</v>
      </c>
      <c r="D41" s="350" t="s">
        <v>1489</v>
      </c>
      <c r="E41" s="480" t="s">
        <v>13</v>
      </c>
      <c r="F41" s="97">
        <v>32.65</v>
      </c>
      <c r="G41" s="1480"/>
      <c r="H41" s="250"/>
      <c r="I41" s="946"/>
      <c r="J41" s="97"/>
      <c r="K41" s="946"/>
    </row>
    <row r="42" spans="1:11" s="224" customFormat="1" ht="15.75" customHeight="1" x14ac:dyDescent="0.25">
      <c r="A42" s="215">
        <v>42955</v>
      </c>
      <c r="B42" s="862" t="s">
        <v>14</v>
      </c>
      <c r="C42" s="350" t="s">
        <v>12</v>
      </c>
      <c r="D42" s="350" t="s">
        <v>1486</v>
      </c>
      <c r="E42" s="480" t="s">
        <v>13</v>
      </c>
      <c r="F42" s="97">
        <v>2.4500000000000002</v>
      </c>
      <c r="G42" s="1480"/>
      <c r="H42" s="250"/>
      <c r="I42" s="946"/>
      <c r="J42" s="97"/>
      <c r="K42" s="946"/>
    </row>
    <row r="43" spans="1:11" s="224" customFormat="1" ht="15.75" customHeight="1" x14ac:dyDescent="0.25">
      <c r="A43" s="215">
        <v>42956</v>
      </c>
      <c r="B43" s="862" t="s">
        <v>32</v>
      </c>
      <c r="C43" s="350" t="s">
        <v>12</v>
      </c>
      <c r="D43" s="350" t="s">
        <v>1485</v>
      </c>
      <c r="E43" s="480" t="s">
        <v>15</v>
      </c>
      <c r="F43" s="97">
        <v>14</v>
      </c>
      <c r="G43" s="1064"/>
      <c r="H43" s="250"/>
      <c r="I43" s="946"/>
      <c r="J43" s="97"/>
      <c r="K43" s="946"/>
    </row>
    <row r="44" spans="1:11" s="224" customFormat="1" x14ac:dyDescent="0.25">
      <c r="A44" s="215">
        <v>42956</v>
      </c>
      <c r="B44" s="862" t="s">
        <v>1597</v>
      </c>
      <c r="C44" s="350" t="s">
        <v>12</v>
      </c>
      <c r="D44" s="350" t="s">
        <v>1491</v>
      </c>
      <c r="E44" s="480" t="s">
        <v>13</v>
      </c>
      <c r="F44" s="97">
        <v>20</v>
      </c>
      <c r="G44" s="1480"/>
      <c r="H44" s="97"/>
      <c r="I44" s="946"/>
      <c r="J44" s="250"/>
      <c r="K44" s="946"/>
    </row>
    <row r="45" spans="1:11" s="224" customFormat="1" x14ac:dyDescent="0.25">
      <c r="A45" s="215">
        <v>42956</v>
      </c>
      <c r="B45" s="862" t="s">
        <v>14</v>
      </c>
      <c r="C45" s="350" t="s">
        <v>12</v>
      </c>
      <c r="D45" s="350" t="s">
        <v>1486</v>
      </c>
      <c r="E45" s="480" t="s">
        <v>13</v>
      </c>
      <c r="F45" s="97">
        <v>8.89</v>
      </c>
      <c r="G45" s="1480"/>
      <c r="H45" s="97"/>
      <c r="I45" s="946"/>
      <c r="J45" s="250"/>
      <c r="K45" s="946"/>
    </row>
    <row r="46" spans="1:11" s="224" customFormat="1" x14ac:dyDescent="0.25">
      <c r="A46" s="215">
        <v>42957</v>
      </c>
      <c r="B46" s="862" t="s">
        <v>32</v>
      </c>
      <c r="C46" s="350" t="s">
        <v>12</v>
      </c>
      <c r="D46" s="350" t="s">
        <v>1485</v>
      </c>
      <c r="E46" s="480" t="s">
        <v>15</v>
      </c>
      <c r="F46" s="97">
        <v>14</v>
      </c>
      <c r="G46" s="1064"/>
      <c r="H46" s="97"/>
      <c r="I46" s="946"/>
      <c r="J46" s="97"/>
      <c r="K46" s="946"/>
    </row>
    <row r="47" spans="1:11" s="224" customFormat="1" x14ac:dyDescent="0.25">
      <c r="A47" s="215">
        <v>42957</v>
      </c>
      <c r="B47" s="862" t="s">
        <v>14</v>
      </c>
      <c r="C47" s="350" t="s">
        <v>12</v>
      </c>
      <c r="D47" s="350" t="s">
        <v>1486</v>
      </c>
      <c r="E47" s="480" t="s">
        <v>13</v>
      </c>
      <c r="F47" s="97">
        <v>4.91</v>
      </c>
      <c r="G47" s="1480"/>
      <c r="H47" s="97"/>
      <c r="I47" s="946"/>
      <c r="J47" s="250"/>
      <c r="K47" s="946"/>
    </row>
    <row r="48" spans="1:11" s="224" customFormat="1" x14ac:dyDescent="0.25">
      <c r="A48" s="215">
        <v>42958</v>
      </c>
      <c r="B48" s="349" t="s">
        <v>1331</v>
      </c>
      <c r="C48" s="350" t="s">
        <v>12</v>
      </c>
      <c r="D48" s="350" t="s">
        <v>1487</v>
      </c>
      <c r="E48" s="480" t="s">
        <v>15</v>
      </c>
      <c r="F48" s="250">
        <v>15</v>
      </c>
      <c r="G48" s="1064"/>
      <c r="H48" s="97"/>
      <c r="I48" s="946"/>
      <c r="J48" s="97"/>
      <c r="K48" s="946"/>
    </row>
    <row r="49" spans="1:11" s="224" customFormat="1" ht="15.75" customHeight="1" x14ac:dyDescent="0.25">
      <c r="A49" s="215">
        <v>42958</v>
      </c>
      <c r="B49" s="862" t="s">
        <v>56</v>
      </c>
      <c r="C49" s="350" t="s">
        <v>12</v>
      </c>
      <c r="D49" s="350" t="s">
        <v>1523</v>
      </c>
      <c r="E49" s="480" t="s">
        <v>13</v>
      </c>
      <c r="F49" s="97">
        <v>32</v>
      </c>
      <c r="G49" s="1513"/>
      <c r="H49" s="250"/>
      <c r="I49" s="946"/>
      <c r="J49" s="97"/>
      <c r="K49" s="946"/>
    </row>
    <row r="50" spans="1:11" ht="15" customHeight="1" x14ac:dyDescent="0.25">
      <c r="A50" s="215">
        <v>42959</v>
      </c>
      <c r="B50" s="349" t="s">
        <v>1396</v>
      </c>
      <c r="C50" s="350" t="s">
        <v>12</v>
      </c>
      <c r="D50" s="350"/>
      <c r="E50" s="757" t="s">
        <v>25</v>
      </c>
      <c r="F50" s="97"/>
      <c r="G50" s="946">
        <v>40</v>
      </c>
      <c r="H50" s="97"/>
      <c r="I50" s="946"/>
      <c r="J50" s="97"/>
      <c r="K50" s="946"/>
    </row>
    <row r="51" spans="1:11" x14ac:dyDescent="0.25">
      <c r="A51" s="215">
        <v>42959</v>
      </c>
      <c r="B51" s="862" t="s">
        <v>1331</v>
      </c>
      <c r="C51" s="350" t="s">
        <v>12</v>
      </c>
      <c r="D51" s="350" t="s">
        <v>1487</v>
      </c>
      <c r="E51" s="480" t="s">
        <v>15</v>
      </c>
      <c r="F51" s="97">
        <v>40</v>
      </c>
      <c r="G51" s="1064"/>
      <c r="H51" s="97"/>
      <c r="I51" s="946"/>
      <c r="J51" s="97"/>
      <c r="K51" s="946"/>
    </row>
    <row r="52" spans="1:11" s="224" customFormat="1" x14ac:dyDescent="0.25">
      <c r="A52" s="215">
        <v>42959</v>
      </c>
      <c r="B52" s="862" t="s">
        <v>256</v>
      </c>
      <c r="C52" s="879"/>
      <c r="D52" s="879"/>
      <c r="E52" s="871"/>
      <c r="F52" s="97"/>
      <c r="G52" s="1064">
        <v>216.13</v>
      </c>
      <c r="H52" s="97">
        <v>216.13</v>
      </c>
      <c r="I52" s="1473"/>
      <c r="J52" s="97"/>
      <c r="K52" s="1473"/>
    </row>
    <row r="53" spans="1:11" x14ac:dyDescent="0.25">
      <c r="A53" s="215">
        <v>42959</v>
      </c>
      <c r="B53" s="349" t="s">
        <v>1438</v>
      </c>
      <c r="C53" s="350" t="s">
        <v>19</v>
      </c>
      <c r="D53" s="350" t="s">
        <v>1489</v>
      </c>
      <c r="E53" s="480" t="s">
        <v>13</v>
      </c>
      <c r="F53" s="97">
        <v>55.93</v>
      </c>
      <c r="G53" s="1064"/>
      <c r="H53" s="97"/>
      <c r="I53" s="946"/>
      <c r="J53" s="97"/>
      <c r="K53" s="946"/>
    </row>
    <row r="54" spans="1:11" s="224" customFormat="1" x14ac:dyDescent="0.25">
      <c r="A54" s="215">
        <v>42959</v>
      </c>
      <c r="B54" s="862" t="s">
        <v>32</v>
      </c>
      <c r="C54" s="350" t="s">
        <v>12</v>
      </c>
      <c r="D54" s="350" t="s">
        <v>1485</v>
      </c>
      <c r="E54" s="480" t="s">
        <v>15</v>
      </c>
      <c r="F54" s="97">
        <v>14.5</v>
      </c>
      <c r="G54" s="1064"/>
      <c r="H54" s="97"/>
      <c r="I54" s="946"/>
      <c r="J54" s="97"/>
      <c r="K54" s="946"/>
    </row>
    <row r="55" spans="1:11" s="224" customFormat="1" x14ac:dyDescent="0.25">
      <c r="A55" s="215">
        <v>42960</v>
      </c>
      <c r="B55" s="349" t="s">
        <v>1675</v>
      </c>
      <c r="C55" s="350" t="s">
        <v>19</v>
      </c>
      <c r="D55" s="350" t="s">
        <v>1489</v>
      </c>
      <c r="E55" s="480" t="s">
        <v>13</v>
      </c>
      <c r="F55" s="250">
        <v>45.97</v>
      </c>
      <c r="G55" s="1064"/>
      <c r="H55" s="97"/>
      <c r="I55" s="946"/>
      <c r="J55" s="97"/>
      <c r="K55" s="946"/>
    </row>
    <row r="56" spans="1:11" s="224" customFormat="1" x14ac:dyDescent="0.25">
      <c r="A56" s="215">
        <v>42960</v>
      </c>
      <c r="B56" s="349" t="s">
        <v>1676</v>
      </c>
      <c r="C56" s="350" t="s">
        <v>12</v>
      </c>
      <c r="D56" s="350" t="s">
        <v>1493</v>
      </c>
      <c r="E56" s="480" t="s">
        <v>15</v>
      </c>
      <c r="F56" s="250">
        <v>8.5</v>
      </c>
      <c r="G56" s="1064"/>
      <c r="H56" s="97"/>
      <c r="I56" s="946"/>
      <c r="J56" s="97"/>
      <c r="K56" s="946"/>
    </row>
    <row r="57" spans="1:11" x14ac:dyDescent="0.25">
      <c r="A57" s="215">
        <v>42961</v>
      </c>
      <c r="B57" s="862" t="s">
        <v>32</v>
      </c>
      <c r="C57" s="350" t="s">
        <v>12</v>
      </c>
      <c r="D57" s="350" t="s">
        <v>1485</v>
      </c>
      <c r="E57" s="480" t="s">
        <v>13</v>
      </c>
      <c r="F57" s="97">
        <v>14</v>
      </c>
      <c r="G57" s="1064"/>
      <c r="H57" s="97"/>
      <c r="I57" s="946"/>
      <c r="J57" s="97"/>
      <c r="K57" s="946"/>
    </row>
    <row r="58" spans="1:11" x14ac:dyDescent="0.25">
      <c r="A58" s="215">
        <v>42961</v>
      </c>
      <c r="B58" s="862" t="s">
        <v>147</v>
      </c>
      <c r="C58" s="350" t="s">
        <v>12</v>
      </c>
      <c r="D58" s="350" t="s">
        <v>1489</v>
      </c>
      <c r="E58" s="480" t="s">
        <v>15</v>
      </c>
      <c r="F58" s="97">
        <v>10</v>
      </c>
      <c r="G58" s="1064"/>
      <c r="H58" s="97"/>
      <c r="I58" s="946"/>
      <c r="J58" s="97"/>
      <c r="K58" s="946"/>
    </row>
    <row r="59" spans="1:11" s="224" customFormat="1" x14ac:dyDescent="0.25">
      <c r="A59" s="215">
        <v>42962</v>
      </c>
      <c r="B59" s="862" t="s">
        <v>1677</v>
      </c>
      <c r="C59" s="350" t="s">
        <v>12</v>
      </c>
      <c r="D59" s="145"/>
      <c r="E59" s="1480" t="s">
        <v>25</v>
      </c>
      <c r="F59" s="1514"/>
      <c r="G59" s="1064">
        <v>491.39</v>
      </c>
      <c r="H59" s="1481"/>
      <c r="I59" s="627"/>
      <c r="J59" s="709"/>
      <c r="K59" s="627"/>
    </row>
    <row r="60" spans="1:11" s="224" customFormat="1" ht="15" customHeight="1" x14ac:dyDescent="0.25">
      <c r="A60" s="215">
        <v>42962</v>
      </c>
      <c r="B60" s="862" t="s">
        <v>32</v>
      </c>
      <c r="C60" s="350" t="s">
        <v>12</v>
      </c>
      <c r="D60" s="350" t="s">
        <v>1485</v>
      </c>
      <c r="E60" s="480" t="s">
        <v>13</v>
      </c>
      <c r="F60" s="97">
        <v>14</v>
      </c>
      <c r="G60" s="1064"/>
      <c r="H60" s="97"/>
      <c r="I60" s="946"/>
      <c r="J60" s="97"/>
      <c r="K60" s="1473"/>
    </row>
    <row r="61" spans="1:11" s="224" customFormat="1" ht="15" customHeight="1" x14ac:dyDescent="0.25">
      <c r="A61" s="215">
        <v>42963</v>
      </c>
      <c r="B61" s="862" t="s">
        <v>32</v>
      </c>
      <c r="C61" s="350" t="s">
        <v>12</v>
      </c>
      <c r="D61" s="350" t="s">
        <v>1485</v>
      </c>
      <c r="E61" s="480" t="s">
        <v>13</v>
      </c>
      <c r="F61" s="97">
        <v>14</v>
      </c>
      <c r="G61" s="1064"/>
      <c r="H61" s="97"/>
      <c r="I61" s="946"/>
      <c r="J61" s="97"/>
      <c r="K61" s="946"/>
    </row>
    <row r="62" spans="1:11" s="224" customFormat="1" ht="15" customHeight="1" x14ac:dyDescent="0.25">
      <c r="A62" s="215">
        <v>42964</v>
      </c>
      <c r="B62" s="862" t="s">
        <v>32</v>
      </c>
      <c r="C62" s="350" t="s">
        <v>12</v>
      </c>
      <c r="D62" s="350" t="s">
        <v>1485</v>
      </c>
      <c r="E62" s="480" t="s">
        <v>15</v>
      </c>
      <c r="F62" s="97">
        <v>14</v>
      </c>
      <c r="G62" s="1064"/>
      <c r="H62" s="97"/>
      <c r="I62" s="946"/>
      <c r="J62" s="97"/>
      <c r="K62" s="946"/>
    </row>
    <row r="63" spans="1:11" s="224" customFormat="1" x14ac:dyDescent="0.25">
      <c r="A63" s="215">
        <v>42964</v>
      </c>
      <c r="B63" s="862" t="s">
        <v>14</v>
      </c>
      <c r="C63" s="350" t="s">
        <v>12</v>
      </c>
      <c r="D63" s="350" t="s">
        <v>1486</v>
      </c>
      <c r="E63" s="480" t="s">
        <v>13</v>
      </c>
      <c r="F63" s="97">
        <v>8.5</v>
      </c>
      <c r="G63" s="1480"/>
      <c r="H63" s="97"/>
      <c r="I63" s="946"/>
      <c r="J63" s="250"/>
      <c r="K63" s="946"/>
    </row>
    <row r="64" spans="1:11" s="224" customFormat="1" x14ac:dyDescent="0.25">
      <c r="A64" s="215">
        <v>42965</v>
      </c>
      <c r="B64" s="862" t="s">
        <v>32</v>
      </c>
      <c r="C64" s="350" t="s">
        <v>12</v>
      </c>
      <c r="D64" s="350" t="s">
        <v>1485</v>
      </c>
      <c r="E64" s="480" t="s">
        <v>15</v>
      </c>
      <c r="F64" s="97">
        <v>14</v>
      </c>
      <c r="G64" s="1064"/>
      <c r="H64" s="97"/>
      <c r="I64" s="946"/>
      <c r="J64" s="97"/>
      <c r="K64" s="946"/>
    </row>
    <row r="65" spans="1:11" s="224" customFormat="1" ht="15" customHeight="1" x14ac:dyDescent="0.25">
      <c r="A65" s="215">
        <v>42965</v>
      </c>
      <c r="B65" s="882" t="s">
        <v>1678</v>
      </c>
      <c r="C65" s="350" t="s">
        <v>12</v>
      </c>
      <c r="D65" s="879"/>
      <c r="E65" s="871" t="s">
        <v>25</v>
      </c>
      <c r="F65" s="97"/>
      <c r="G65" s="1064">
        <v>1510.31</v>
      </c>
      <c r="H65" s="97"/>
      <c r="I65" s="1473"/>
      <c r="J65" s="250"/>
      <c r="K65" s="946"/>
    </row>
    <row r="66" spans="1:11" s="224" customFormat="1" ht="15.75" customHeight="1" x14ac:dyDescent="0.25">
      <c r="A66" s="215">
        <v>42965</v>
      </c>
      <c r="B66" s="882" t="s">
        <v>1679</v>
      </c>
      <c r="C66" s="879" t="s">
        <v>12</v>
      </c>
      <c r="D66" s="879" t="s">
        <v>1499</v>
      </c>
      <c r="E66" s="871" t="s">
        <v>13</v>
      </c>
      <c r="F66" s="97">
        <v>45.92</v>
      </c>
      <c r="G66" s="1480"/>
      <c r="H66" s="250"/>
      <c r="I66" s="946"/>
      <c r="J66" s="97"/>
      <c r="K66" s="946"/>
    </row>
    <row r="67" spans="1:11" x14ac:dyDescent="0.25">
      <c r="A67" s="215">
        <v>42965</v>
      </c>
      <c r="B67" s="882" t="s">
        <v>1680</v>
      </c>
      <c r="C67" s="879" t="s">
        <v>12</v>
      </c>
      <c r="D67" s="879" t="s">
        <v>1499</v>
      </c>
      <c r="E67" s="871" t="s">
        <v>13</v>
      </c>
      <c r="F67" s="622">
        <v>63.17</v>
      </c>
      <c r="G67" s="1063"/>
      <c r="H67" s="622"/>
      <c r="I67" s="982"/>
      <c r="J67" s="780"/>
      <c r="K67" s="614"/>
    </row>
    <row r="68" spans="1:11" s="224" customFormat="1" x14ac:dyDescent="0.25">
      <c r="A68" s="215">
        <v>42965</v>
      </c>
      <c r="B68" s="349" t="s">
        <v>1661</v>
      </c>
      <c r="C68" s="350" t="s">
        <v>12</v>
      </c>
      <c r="D68" s="350"/>
      <c r="E68" s="480" t="s">
        <v>13</v>
      </c>
      <c r="F68" s="97">
        <v>903.41</v>
      </c>
      <c r="G68" s="1064"/>
      <c r="H68" s="97"/>
      <c r="I68" s="946"/>
      <c r="J68" s="97"/>
      <c r="K68" s="946">
        <v>903.41</v>
      </c>
    </row>
    <row r="69" spans="1:11" s="224" customFormat="1" x14ac:dyDescent="0.25">
      <c r="A69" s="215">
        <v>42965</v>
      </c>
      <c r="B69" s="873" t="s">
        <v>1564</v>
      </c>
      <c r="C69" s="879" t="s">
        <v>12</v>
      </c>
      <c r="D69" s="350" t="s">
        <v>1491</v>
      </c>
      <c r="E69" s="871" t="s">
        <v>15</v>
      </c>
      <c r="F69" s="97">
        <v>100</v>
      </c>
      <c r="G69" s="1064"/>
      <c r="H69" s="97"/>
      <c r="I69" s="946"/>
      <c r="J69" s="97"/>
      <c r="K69" s="946"/>
    </row>
    <row r="70" spans="1:11" s="224" customFormat="1" ht="15" customHeight="1" x14ac:dyDescent="0.25">
      <c r="A70" s="215">
        <v>42965</v>
      </c>
      <c r="B70" s="862" t="s">
        <v>1681</v>
      </c>
      <c r="C70" s="350" t="s">
        <v>12</v>
      </c>
      <c r="D70" s="350" t="s">
        <v>1489</v>
      </c>
      <c r="E70" s="480" t="s">
        <v>13</v>
      </c>
      <c r="F70" s="97">
        <v>19</v>
      </c>
      <c r="G70" s="1064"/>
      <c r="H70" s="97"/>
      <c r="I70" s="946"/>
      <c r="J70" s="97"/>
      <c r="K70" s="946"/>
    </row>
    <row r="71" spans="1:11" s="224" customFormat="1" ht="15" customHeight="1" x14ac:dyDescent="0.25">
      <c r="A71" s="215">
        <v>42965</v>
      </c>
      <c r="B71" s="862" t="s">
        <v>114</v>
      </c>
      <c r="C71" s="350" t="s">
        <v>12</v>
      </c>
      <c r="D71" s="350" t="s">
        <v>1489</v>
      </c>
      <c r="E71" s="480" t="s">
        <v>13</v>
      </c>
      <c r="F71" s="97">
        <v>11</v>
      </c>
      <c r="G71" s="1064"/>
      <c r="H71" s="97"/>
      <c r="I71" s="946"/>
      <c r="J71" s="97"/>
      <c r="K71" s="946"/>
    </row>
    <row r="72" spans="1:11" s="224" customFormat="1" ht="15" customHeight="1" x14ac:dyDescent="0.25">
      <c r="A72" s="215">
        <v>42965</v>
      </c>
      <c r="B72" s="862" t="s">
        <v>134</v>
      </c>
      <c r="C72" s="350" t="s">
        <v>12</v>
      </c>
      <c r="D72" s="350" t="s">
        <v>1493</v>
      </c>
      <c r="E72" s="480" t="s">
        <v>13</v>
      </c>
      <c r="F72" s="97">
        <v>16.5</v>
      </c>
      <c r="G72" s="1064"/>
      <c r="H72" s="97"/>
      <c r="I72" s="946"/>
      <c r="J72" s="97"/>
      <c r="K72" s="946"/>
    </row>
    <row r="73" spans="1:11" s="224" customFormat="1" ht="15" customHeight="1" x14ac:dyDescent="0.25">
      <c r="A73" s="215">
        <v>42965</v>
      </c>
      <c r="B73" s="862" t="s">
        <v>1257</v>
      </c>
      <c r="C73" s="350" t="s">
        <v>12</v>
      </c>
      <c r="D73" s="350" t="s">
        <v>1491</v>
      </c>
      <c r="E73" s="480" t="s">
        <v>13</v>
      </c>
      <c r="F73" s="97">
        <v>40</v>
      </c>
      <c r="G73" s="1064"/>
      <c r="H73" s="97"/>
      <c r="I73" s="946"/>
      <c r="J73" s="97"/>
      <c r="K73" s="946"/>
    </row>
    <row r="74" spans="1:11" s="224" customFormat="1" ht="15" customHeight="1" x14ac:dyDescent="0.25">
      <c r="A74" s="215">
        <v>42965</v>
      </c>
      <c r="B74" s="862" t="s">
        <v>14</v>
      </c>
      <c r="C74" s="350" t="s">
        <v>12</v>
      </c>
      <c r="D74" s="350" t="s">
        <v>1486</v>
      </c>
      <c r="E74" s="480" t="s">
        <v>13</v>
      </c>
      <c r="F74" s="97">
        <v>12.89</v>
      </c>
      <c r="G74" s="1064"/>
      <c r="H74" s="97"/>
      <c r="I74" s="946"/>
      <c r="J74" s="97"/>
      <c r="K74" s="946"/>
    </row>
    <row r="75" spans="1:11" s="224" customFormat="1" x14ac:dyDescent="0.25">
      <c r="A75" s="215">
        <v>42965</v>
      </c>
      <c r="B75" s="349" t="s">
        <v>311</v>
      </c>
      <c r="C75" s="350"/>
      <c r="D75" s="765"/>
      <c r="E75" s="766"/>
      <c r="G75" s="1512"/>
      <c r="H75" s="97"/>
      <c r="I75" s="946">
        <v>1.65</v>
      </c>
      <c r="J75" s="97"/>
      <c r="K75" s="946"/>
    </row>
    <row r="76" spans="1:11" s="224" customFormat="1" ht="15" customHeight="1" x14ac:dyDescent="0.25">
      <c r="A76" s="215">
        <v>42966</v>
      </c>
      <c r="B76" s="862" t="s">
        <v>32</v>
      </c>
      <c r="C76" s="350" t="s">
        <v>12</v>
      </c>
      <c r="D76" s="350" t="s">
        <v>1485</v>
      </c>
      <c r="E76" s="480" t="s">
        <v>13</v>
      </c>
      <c r="F76" s="97">
        <v>13</v>
      </c>
      <c r="G76" s="1064"/>
      <c r="H76" s="97"/>
      <c r="I76" s="946"/>
      <c r="J76" s="97"/>
      <c r="K76" s="946"/>
    </row>
    <row r="77" spans="1:11" s="224" customFormat="1" ht="15" customHeight="1" x14ac:dyDescent="0.25">
      <c r="A77" s="215">
        <v>42966</v>
      </c>
      <c r="B77" s="862" t="s">
        <v>134</v>
      </c>
      <c r="C77" s="350" t="s">
        <v>12</v>
      </c>
      <c r="D77" s="350" t="s">
        <v>1493</v>
      </c>
      <c r="E77" s="480" t="s">
        <v>13</v>
      </c>
      <c r="F77" s="97">
        <v>26.13</v>
      </c>
      <c r="G77" s="1064"/>
      <c r="H77" s="97"/>
      <c r="I77" s="946"/>
      <c r="J77" s="97"/>
      <c r="K77" s="946"/>
    </row>
    <row r="78" spans="1:11" s="224" customFormat="1" ht="15" customHeight="1" x14ac:dyDescent="0.25">
      <c r="A78" s="215">
        <v>42966</v>
      </c>
      <c r="B78" s="862" t="s">
        <v>14</v>
      </c>
      <c r="C78" s="350" t="s">
        <v>12</v>
      </c>
      <c r="D78" s="350" t="s">
        <v>1486</v>
      </c>
      <c r="E78" s="480" t="s">
        <v>13</v>
      </c>
      <c r="F78" s="97">
        <v>12.89</v>
      </c>
      <c r="G78" s="1064"/>
      <c r="H78" s="97"/>
      <c r="I78" s="946"/>
      <c r="J78" s="97"/>
      <c r="K78" s="946"/>
    </row>
    <row r="79" spans="1:11" s="224" customFormat="1" ht="15" customHeight="1" x14ac:dyDescent="0.25">
      <c r="A79" s="215">
        <v>42966</v>
      </c>
      <c r="B79" s="862" t="s">
        <v>82</v>
      </c>
      <c r="C79" s="350" t="s">
        <v>12</v>
      </c>
      <c r="D79" s="350" t="s">
        <v>1493</v>
      </c>
      <c r="E79" s="480" t="s">
        <v>13</v>
      </c>
      <c r="F79" s="97">
        <v>29</v>
      </c>
      <c r="G79" s="1064"/>
      <c r="H79" s="97"/>
      <c r="I79" s="946"/>
      <c r="J79" s="97"/>
      <c r="K79" s="946"/>
    </row>
    <row r="80" spans="1:11" s="224" customFormat="1" ht="15" customHeight="1" x14ac:dyDescent="0.25">
      <c r="A80" s="215">
        <v>42967</v>
      </c>
      <c r="B80" s="862" t="s">
        <v>14</v>
      </c>
      <c r="C80" s="350" t="s">
        <v>12</v>
      </c>
      <c r="D80" s="350" t="s">
        <v>1486</v>
      </c>
      <c r="E80" s="480" t="s">
        <v>13</v>
      </c>
      <c r="F80" s="97">
        <v>2.09</v>
      </c>
      <c r="G80" s="1064"/>
      <c r="H80" s="97"/>
      <c r="I80" s="946"/>
      <c r="J80" s="97"/>
      <c r="K80" s="946"/>
    </row>
    <row r="81" spans="1:11" s="224" customFormat="1" ht="15" customHeight="1" x14ac:dyDescent="0.25">
      <c r="A81" s="215">
        <v>42968</v>
      </c>
      <c r="B81" s="862" t="s">
        <v>32</v>
      </c>
      <c r="C81" s="350" t="s">
        <v>12</v>
      </c>
      <c r="D81" s="350" t="s">
        <v>1485</v>
      </c>
      <c r="E81" s="480" t="s">
        <v>15</v>
      </c>
      <c r="F81" s="97">
        <v>14</v>
      </c>
      <c r="G81" s="1064"/>
      <c r="H81" s="97"/>
      <c r="I81" s="946"/>
      <c r="J81" s="97"/>
      <c r="K81" s="946"/>
    </row>
    <row r="82" spans="1:11" s="224" customFormat="1" ht="15" customHeight="1" x14ac:dyDescent="0.25">
      <c r="A82" s="215">
        <v>42968</v>
      </c>
      <c r="B82" s="349" t="s">
        <v>81</v>
      </c>
      <c r="C82" s="350" t="s">
        <v>12</v>
      </c>
      <c r="D82" s="350" t="s">
        <v>1493</v>
      </c>
      <c r="E82" s="480" t="s">
        <v>15</v>
      </c>
      <c r="F82" s="97">
        <v>3</v>
      </c>
      <c r="G82" s="1064"/>
      <c r="H82" s="97"/>
      <c r="I82" s="946"/>
      <c r="J82" s="97"/>
      <c r="K82" s="946"/>
    </row>
    <row r="83" spans="1:11" x14ac:dyDescent="0.25">
      <c r="A83" s="215">
        <v>42968</v>
      </c>
      <c r="B83" s="862" t="s">
        <v>1331</v>
      </c>
      <c r="C83" s="350" t="s">
        <v>12</v>
      </c>
      <c r="D83" s="350" t="s">
        <v>1487</v>
      </c>
      <c r="E83" s="480" t="s">
        <v>15</v>
      </c>
      <c r="F83" s="97">
        <v>25</v>
      </c>
      <c r="G83" s="1064"/>
      <c r="H83" s="97"/>
      <c r="I83" s="946"/>
      <c r="J83" s="97"/>
      <c r="K83" s="946"/>
    </row>
    <row r="84" spans="1:11" s="224" customFormat="1" ht="15" customHeight="1" x14ac:dyDescent="0.25">
      <c r="A84" s="215">
        <v>42968</v>
      </c>
      <c r="B84" s="862" t="s">
        <v>14</v>
      </c>
      <c r="C84" s="350" t="s">
        <v>12</v>
      </c>
      <c r="D84" s="350" t="s">
        <v>1486</v>
      </c>
      <c r="E84" s="480" t="s">
        <v>13</v>
      </c>
      <c r="F84" s="97">
        <v>9.1199999999999992</v>
      </c>
      <c r="G84" s="1064"/>
      <c r="H84" s="97"/>
      <c r="I84" s="946"/>
      <c r="J84" s="97"/>
      <c r="K84" s="946"/>
    </row>
    <row r="85" spans="1:11" s="224" customFormat="1" ht="15" customHeight="1" x14ac:dyDescent="0.25">
      <c r="A85" s="215">
        <v>42969</v>
      </c>
      <c r="B85" s="862" t="s">
        <v>32</v>
      </c>
      <c r="C85" s="350" t="s">
        <v>12</v>
      </c>
      <c r="D85" s="350" t="s">
        <v>1485</v>
      </c>
      <c r="E85" s="480" t="s">
        <v>13</v>
      </c>
      <c r="F85" s="97">
        <v>14</v>
      </c>
      <c r="G85" s="1064"/>
      <c r="H85" s="97"/>
      <c r="I85" s="946"/>
      <c r="J85" s="97"/>
      <c r="K85" s="946"/>
    </row>
    <row r="86" spans="1:11" x14ac:dyDescent="0.25">
      <c r="A86" s="215">
        <v>42969</v>
      </c>
      <c r="B86" s="862" t="s">
        <v>1331</v>
      </c>
      <c r="C86" s="350" t="s">
        <v>19</v>
      </c>
      <c r="D86" s="350" t="s">
        <v>1487</v>
      </c>
      <c r="E86" s="480" t="s">
        <v>13</v>
      </c>
      <c r="F86" s="97">
        <v>70</v>
      </c>
      <c r="G86" s="1064"/>
      <c r="H86" s="97"/>
      <c r="I86" s="946"/>
      <c r="J86" s="97"/>
      <c r="K86" s="946"/>
    </row>
    <row r="87" spans="1:11" s="224" customFormat="1" x14ac:dyDescent="0.25">
      <c r="A87" s="215">
        <v>42969</v>
      </c>
      <c r="B87" s="862" t="s">
        <v>1682</v>
      </c>
      <c r="C87" s="350" t="s">
        <v>19</v>
      </c>
      <c r="D87" s="350" t="s">
        <v>1506</v>
      </c>
      <c r="E87" s="480" t="s">
        <v>13</v>
      </c>
      <c r="F87" s="97">
        <v>50</v>
      </c>
      <c r="G87" s="1064"/>
      <c r="H87" s="97"/>
      <c r="I87" s="946"/>
      <c r="J87" s="97"/>
      <c r="K87" s="946"/>
    </row>
    <row r="88" spans="1:11" s="224" customFormat="1" ht="15" customHeight="1" x14ac:dyDescent="0.25">
      <c r="A88" s="215">
        <v>42969</v>
      </c>
      <c r="B88" s="862" t="s">
        <v>14</v>
      </c>
      <c r="C88" s="350" t="s">
        <v>12</v>
      </c>
      <c r="D88" s="350" t="s">
        <v>1486</v>
      </c>
      <c r="E88" s="480" t="s">
        <v>13</v>
      </c>
      <c r="F88" s="97">
        <v>5.91</v>
      </c>
      <c r="G88" s="1064"/>
      <c r="H88" s="97"/>
      <c r="I88" s="946"/>
      <c r="J88" s="97"/>
      <c r="K88" s="946"/>
    </row>
    <row r="89" spans="1:11" s="224" customFormat="1" x14ac:dyDescent="0.25">
      <c r="A89" s="215">
        <v>42970</v>
      </c>
      <c r="B89" s="862" t="s">
        <v>32</v>
      </c>
      <c r="C89" s="350" t="s">
        <v>12</v>
      </c>
      <c r="D89" s="350" t="s">
        <v>1485</v>
      </c>
      <c r="E89" s="480" t="s">
        <v>13</v>
      </c>
      <c r="F89" s="97">
        <v>14</v>
      </c>
      <c r="G89" s="1064"/>
      <c r="H89" s="97"/>
      <c r="I89" s="946"/>
      <c r="J89" s="97"/>
      <c r="K89" s="946"/>
    </row>
    <row r="90" spans="1:11" s="224" customFormat="1" ht="15" customHeight="1" x14ac:dyDescent="0.25">
      <c r="A90" s="215">
        <v>42970</v>
      </c>
      <c r="B90" s="862" t="s">
        <v>14</v>
      </c>
      <c r="C90" s="350" t="s">
        <v>12</v>
      </c>
      <c r="D90" s="350" t="s">
        <v>1486</v>
      </c>
      <c r="E90" s="480" t="s">
        <v>13</v>
      </c>
      <c r="F90" s="97">
        <v>11.94</v>
      </c>
      <c r="G90" s="1064"/>
      <c r="H90" s="97"/>
      <c r="I90" s="946"/>
      <c r="J90" s="97"/>
      <c r="K90" s="946"/>
    </row>
    <row r="91" spans="1:11" s="224" customFormat="1" x14ac:dyDescent="0.25">
      <c r="A91" s="215">
        <v>42971</v>
      </c>
      <c r="B91" s="862" t="s">
        <v>32</v>
      </c>
      <c r="C91" s="350" t="s">
        <v>12</v>
      </c>
      <c r="D91" s="350" t="s">
        <v>1485</v>
      </c>
      <c r="E91" s="480" t="s">
        <v>13</v>
      </c>
      <c r="F91" s="97">
        <v>14</v>
      </c>
      <c r="G91" s="1064"/>
      <c r="H91" s="97"/>
      <c r="I91" s="946"/>
      <c r="J91" s="97"/>
      <c r="K91" s="946"/>
    </row>
    <row r="92" spans="1:11" s="224" customFormat="1" x14ac:dyDescent="0.25">
      <c r="A92" s="215">
        <v>42971</v>
      </c>
      <c r="B92" s="862" t="s">
        <v>1683</v>
      </c>
      <c r="C92" s="350" t="s">
        <v>12</v>
      </c>
      <c r="D92" s="874" t="s">
        <v>1504</v>
      </c>
      <c r="E92" s="875" t="s">
        <v>13</v>
      </c>
      <c r="F92" s="97">
        <v>60.9</v>
      </c>
      <c r="G92" s="1064"/>
      <c r="H92" s="97"/>
      <c r="I92" s="946"/>
      <c r="J92" s="97"/>
      <c r="K92" s="946"/>
    </row>
    <row r="93" spans="1:11" s="224" customFormat="1" x14ac:dyDescent="0.25">
      <c r="A93" s="215">
        <v>42971</v>
      </c>
      <c r="B93" s="862" t="s">
        <v>1372</v>
      </c>
      <c r="C93" s="350" t="s">
        <v>12</v>
      </c>
      <c r="D93" s="350" t="s">
        <v>1491</v>
      </c>
      <c r="E93" s="480" t="s">
        <v>13</v>
      </c>
      <c r="F93" s="97">
        <v>2</v>
      </c>
      <c r="G93" s="1064"/>
      <c r="H93" s="97"/>
      <c r="I93" s="946"/>
      <c r="J93" s="97"/>
      <c r="K93" s="946"/>
    </row>
    <row r="94" spans="1:11" s="224" customFormat="1" x14ac:dyDescent="0.25">
      <c r="A94" s="215">
        <v>42971</v>
      </c>
      <c r="B94" s="862" t="s">
        <v>1249</v>
      </c>
      <c r="C94" s="350" t="s">
        <v>12</v>
      </c>
      <c r="D94" s="350" t="s">
        <v>1491</v>
      </c>
      <c r="E94" s="480" t="s">
        <v>13</v>
      </c>
      <c r="F94" s="97">
        <v>14.9</v>
      </c>
      <c r="G94" s="1064"/>
      <c r="H94" s="97"/>
      <c r="I94" s="946"/>
      <c r="J94" s="97"/>
      <c r="K94" s="946"/>
    </row>
    <row r="95" spans="1:11" s="224" customFormat="1" x14ac:dyDescent="0.25">
      <c r="A95" s="215">
        <v>42972</v>
      </c>
      <c r="B95" s="862" t="s">
        <v>32</v>
      </c>
      <c r="C95" s="350" t="s">
        <v>12</v>
      </c>
      <c r="D95" s="350" t="s">
        <v>1485</v>
      </c>
      <c r="E95" s="480" t="s">
        <v>13</v>
      </c>
      <c r="F95" s="97">
        <v>14</v>
      </c>
      <c r="G95" s="1064"/>
      <c r="H95" s="97"/>
      <c r="I95" s="946"/>
      <c r="J95" s="97"/>
      <c r="K95" s="946"/>
    </row>
    <row r="96" spans="1:11" s="224" customFormat="1" x14ac:dyDescent="0.25">
      <c r="A96" s="215">
        <v>42972</v>
      </c>
      <c r="B96" s="862" t="s">
        <v>1664</v>
      </c>
      <c r="C96" s="350" t="s">
        <v>19</v>
      </c>
      <c r="D96" s="350" t="s">
        <v>1493</v>
      </c>
      <c r="E96" s="480" t="s">
        <v>13</v>
      </c>
      <c r="F96" s="97">
        <v>44.54</v>
      </c>
      <c r="G96" s="1064"/>
      <c r="H96" s="97"/>
      <c r="I96" s="946"/>
      <c r="J96" s="97"/>
      <c r="K96" s="946"/>
    </row>
    <row r="97" spans="1:11" s="224" customFormat="1" x14ac:dyDescent="0.25">
      <c r="A97" s="215">
        <v>42973</v>
      </c>
      <c r="B97" s="862" t="s">
        <v>32</v>
      </c>
      <c r="C97" s="350" t="s">
        <v>12</v>
      </c>
      <c r="D97" s="350" t="s">
        <v>1485</v>
      </c>
      <c r="E97" s="480" t="s">
        <v>13</v>
      </c>
      <c r="F97" s="97">
        <v>13</v>
      </c>
      <c r="G97" s="1064"/>
      <c r="H97" s="97"/>
      <c r="I97" s="946"/>
      <c r="J97" s="97"/>
      <c r="K97" s="946"/>
    </row>
    <row r="98" spans="1:11" s="224" customFormat="1" x14ac:dyDescent="0.25">
      <c r="A98" s="215">
        <v>42974</v>
      </c>
      <c r="B98" s="862" t="s">
        <v>14</v>
      </c>
      <c r="C98" s="350" t="s">
        <v>12</v>
      </c>
      <c r="D98" s="350" t="s">
        <v>1486</v>
      </c>
      <c r="E98" s="480" t="s">
        <v>13</v>
      </c>
      <c r="F98" s="97">
        <v>13.32</v>
      </c>
      <c r="G98" s="1064"/>
      <c r="H98" s="97"/>
      <c r="I98" s="1473"/>
      <c r="J98" s="97"/>
      <c r="K98" s="946"/>
    </row>
    <row r="99" spans="1:11" s="224" customFormat="1" x14ac:dyDescent="0.25">
      <c r="A99" s="215">
        <v>42974</v>
      </c>
      <c r="B99" s="862" t="s">
        <v>14</v>
      </c>
      <c r="C99" s="350" t="s">
        <v>12</v>
      </c>
      <c r="D99" s="350" t="s">
        <v>1486</v>
      </c>
      <c r="E99" s="480" t="s">
        <v>13</v>
      </c>
      <c r="F99" s="97">
        <v>7.98</v>
      </c>
      <c r="G99" s="1064"/>
      <c r="H99" s="97"/>
      <c r="I99" s="1473"/>
      <c r="J99" s="97"/>
      <c r="K99" s="946"/>
    </row>
    <row r="100" spans="1:11" s="224" customFormat="1" x14ac:dyDescent="0.25">
      <c r="A100" s="215">
        <v>42975</v>
      </c>
      <c r="B100" s="862" t="s">
        <v>32</v>
      </c>
      <c r="C100" s="350" t="s">
        <v>12</v>
      </c>
      <c r="D100" s="350" t="s">
        <v>1485</v>
      </c>
      <c r="E100" s="480" t="s">
        <v>13</v>
      </c>
      <c r="F100" s="97">
        <v>14</v>
      </c>
      <c r="G100" s="1064"/>
      <c r="H100" s="97"/>
      <c r="I100" s="946"/>
      <c r="J100" s="97"/>
      <c r="K100" s="946"/>
    </row>
    <row r="101" spans="1:11" x14ac:dyDescent="0.25">
      <c r="A101" s="215">
        <v>42975</v>
      </c>
      <c r="B101" s="862" t="s">
        <v>1331</v>
      </c>
      <c r="C101" s="350" t="s">
        <v>12</v>
      </c>
      <c r="D101" s="350" t="s">
        <v>1487</v>
      </c>
      <c r="E101" s="480" t="s">
        <v>15</v>
      </c>
      <c r="F101" s="97">
        <v>50</v>
      </c>
      <c r="G101" s="1064"/>
      <c r="H101" s="97"/>
      <c r="I101" s="946"/>
      <c r="J101" s="97"/>
      <c r="K101" s="946"/>
    </row>
    <row r="102" spans="1:11" s="224" customFormat="1" x14ac:dyDescent="0.25">
      <c r="A102" s="215">
        <v>42975</v>
      </c>
      <c r="B102" s="862" t="s">
        <v>14</v>
      </c>
      <c r="C102" s="350" t="s">
        <v>12</v>
      </c>
      <c r="D102" s="350" t="s">
        <v>1486</v>
      </c>
      <c r="E102" s="480" t="s">
        <v>13</v>
      </c>
      <c r="F102" s="97">
        <v>15.07</v>
      </c>
      <c r="G102" s="1064"/>
      <c r="H102" s="97"/>
      <c r="I102" s="946"/>
      <c r="J102" s="97"/>
      <c r="K102" s="946"/>
    </row>
    <row r="103" spans="1:11" s="224" customFormat="1" x14ac:dyDescent="0.25">
      <c r="A103" s="1052">
        <v>42976</v>
      </c>
      <c r="B103" s="862" t="s">
        <v>32</v>
      </c>
      <c r="C103" s="879" t="s">
        <v>12</v>
      </c>
      <c r="D103" s="879" t="s">
        <v>1485</v>
      </c>
      <c r="E103" s="871" t="s">
        <v>13</v>
      </c>
      <c r="F103" s="97">
        <v>14</v>
      </c>
      <c r="G103" s="1064"/>
      <c r="H103" s="97"/>
      <c r="I103" s="946"/>
      <c r="J103" s="97"/>
      <c r="K103" s="946"/>
    </row>
    <row r="104" spans="1:11" s="224" customFormat="1" x14ac:dyDescent="0.25">
      <c r="A104" s="1052">
        <v>42976</v>
      </c>
      <c r="B104" s="862" t="s">
        <v>1684</v>
      </c>
      <c r="C104" s="879" t="s">
        <v>12</v>
      </c>
      <c r="D104" s="879" t="s">
        <v>1489</v>
      </c>
      <c r="E104" s="864" t="s">
        <v>13</v>
      </c>
      <c r="F104" s="97">
        <v>21.9</v>
      </c>
      <c r="G104" s="1064"/>
      <c r="H104" s="97"/>
      <c r="I104" s="1473"/>
      <c r="J104" s="97"/>
      <c r="K104" s="946"/>
    </row>
    <row r="105" spans="1:11" s="224" customFormat="1" x14ac:dyDescent="0.25">
      <c r="A105" s="215">
        <v>42977</v>
      </c>
      <c r="B105" s="862" t="s">
        <v>1685</v>
      </c>
      <c r="C105" s="879"/>
      <c r="D105" s="879"/>
      <c r="E105" s="871"/>
      <c r="F105" s="97"/>
      <c r="G105" s="1064">
        <v>49.22</v>
      </c>
      <c r="H105" s="97"/>
      <c r="I105" s="1473"/>
      <c r="J105" s="97">
        <v>49.22</v>
      </c>
      <c r="K105" s="1473"/>
    </row>
    <row r="106" spans="1:11" s="224" customFormat="1" x14ac:dyDescent="0.25">
      <c r="A106" s="215">
        <v>42977</v>
      </c>
      <c r="B106" s="862" t="s">
        <v>32</v>
      </c>
      <c r="C106" s="879" t="s">
        <v>12</v>
      </c>
      <c r="D106" s="879" t="s">
        <v>1485</v>
      </c>
      <c r="E106" s="871" t="s">
        <v>13</v>
      </c>
      <c r="F106" s="97">
        <v>14</v>
      </c>
      <c r="G106" s="1064"/>
      <c r="H106" s="97"/>
      <c r="I106" s="1473"/>
      <c r="J106" s="97"/>
      <c r="K106" s="1473"/>
    </row>
    <row r="107" spans="1:11" s="224" customFormat="1" x14ac:dyDescent="0.25">
      <c r="A107" s="215">
        <v>42977</v>
      </c>
      <c r="B107" s="862" t="s">
        <v>14</v>
      </c>
      <c r="C107" s="350" t="s">
        <v>12</v>
      </c>
      <c r="D107" s="350" t="s">
        <v>1486</v>
      </c>
      <c r="E107" s="480" t="s">
        <v>13</v>
      </c>
      <c r="F107" s="97">
        <v>8.3699999999999992</v>
      </c>
      <c r="G107" s="1064"/>
      <c r="H107" s="97"/>
      <c r="I107" s="946"/>
      <c r="J107" s="97"/>
      <c r="K107" s="946"/>
    </row>
    <row r="108" spans="1:11" s="224" customFormat="1" x14ac:dyDescent="0.25">
      <c r="A108" s="215">
        <v>42978</v>
      </c>
      <c r="B108" s="349" t="s">
        <v>311</v>
      </c>
      <c r="C108" s="350"/>
      <c r="D108" s="765"/>
      <c r="E108" s="766"/>
      <c r="G108" s="1512"/>
      <c r="H108" s="97"/>
      <c r="I108" s="946">
        <v>2.84</v>
      </c>
      <c r="J108" s="97"/>
      <c r="K108" s="946"/>
    </row>
    <row r="109" spans="1:11" s="224" customFormat="1" x14ac:dyDescent="0.25">
      <c r="A109" s="215">
        <v>42978</v>
      </c>
      <c r="B109" s="862" t="s">
        <v>32</v>
      </c>
      <c r="C109" s="879" t="s">
        <v>12</v>
      </c>
      <c r="D109" s="879" t="s">
        <v>1485</v>
      </c>
      <c r="E109" s="871" t="s">
        <v>13</v>
      </c>
      <c r="F109" s="97">
        <v>14</v>
      </c>
      <c r="G109" s="1064"/>
      <c r="H109" s="97"/>
      <c r="I109" s="1473"/>
      <c r="J109" s="97"/>
      <c r="K109" s="1473"/>
    </row>
    <row r="110" spans="1:11" s="224" customFormat="1" x14ac:dyDescent="0.25">
      <c r="A110" s="215">
        <v>42978</v>
      </c>
      <c r="B110" s="862" t="s">
        <v>81</v>
      </c>
      <c r="C110" s="879" t="s">
        <v>12</v>
      </c>
      <c r="D110" s="879" t="s">
        <v>1493</v>
      </c>
      <c r="E110" s="871" t="s">
        <v>13</v>
      </c>
      <c r="F110" s="97">
        <v>3</v>
      </c>
      <c r="G110" s="1064"/>
      <c r="H110" s="97"/>
      <c r="I110" s="1473"/>
      <c r="J110" s="97"/>
      <c r="K110" s="1473"/>
    </row>
    <row r="111" spans="1:11" s="224" customFormat="1" x14ac:dyDescent="0.25">
      <c r="A111" s="215">
        <v>42978</v>
      </c>
      <c r="B111" s="862" t="s">
        <v>14</v>
      </c>
      <c r="C111" s="350" t="s">
        <v>12</v>
      </c>
      <c r="D111" s="350" t="s">
        <v>1486</v>
      </c>
      <c r="E111" s="480" t="s">
        <v>13</v>
      </c>
      <c r="F111" s="97">
        <v>8</v>
      </c>
      <c r="G111" s="1064"/>
      <c r="H111" s="97"/>
      <c r="I111" s="946"/>
      <c r="J111" s="97"/>
      <c r="K111" s="946"/>
    </row>
    <row r="112" spans="1:11" s="224" customFormat="1" x14ac:dyDescent="0.25">
      <c r="A112" s="215">
        <v>42978</v>
      </c>
      <c r="B112" s="862" t="s">
        <v>1666</v>
      </c>
      <c r="C112" s="350" t="s">
        <v>12</v>
      </c>
      <c r="D112" s="350"/>
      <c r="E112" s="757" t="s">
        <v>25</v>
      </c>
      <c r="F112" s="97"/>
      <c r="G112" s="946"/>
      <c r="H112" s="97"/>
      <c r="I112" s="946"/>
      <c r="J112" s="97"/>
      <c r="K112" s="946">
        <v>20</v>
      </c>
    </row>
    <row r="113" spans="1:12" s="224" customFormat="1" ht="15.75" thickBot="1" x14ac:dyDescent="0.3">
      <c r="A113" s="215">
        <v>42978</v>
      </c>
      <c r="B113" s="862" t="s">
        <v>147</v>
      </c>
      <c r="C113" s="350" t="s">
        <v>12</v>
      </c>
      <c r="D113" s="350" t="s">
        <v>1489</v>
      </c>
      <c r="E113" s="480" t="s">
        <v>15</v>
      </c>
      <c r="F113" s="97">
        <v>10</v>
      </c>
      <c r="G113" s="1064"/>
      <c r="H113" s="416"/>
      <c r="I113" s="1515"/>
      <c r="J113" s="416"/>
      <c r="K113" s="1515"/>
    </row>
    <row r="114" spans="1:12" ht="25.5" customHeight="1" thickBot="1" x14ac:dyDescent="0.3">
      <c r="A114" s="3060"/>
      <c r="B114" s="3061"/>
      <c r="C114" s="3062"/>
      <c r="D114" s="3062"/>
      <c r="E114" s="3062"/>
      <c r="F114" s="100">
        <f>SUM(F6:F113)</f>
        <v>4123.7000000000007</v>
      </c>
      <c r="G114" s="1065">
        <f>SUM(G5:G113)</f>
        <v>4365.9900000000061</v>
      </c>
      <c r="H114" s="101">
        <f>SUM(H6:H113)</f>
        <v>368.54999999999995</v>
      </c>
      <c r="I114" s="93">
        <f>SUM(I5:I113)</f>
        <v>3873.0360000000014</v>
      </c>
      <c r="J114" s="774">
        <f>SUM(J5:J113)</f>
        <v>49.22</v>
      </c>
      <c r="K114" s="1516">
        <f>SUM(K5:K113)</f>
        <v>1961.23</v>
      </c>
      <c r="L114" s="89"/>
    </row>
    <row r="115" spans="1:12" ht="25.5" customHeight="1" thickBot="1" x14ac:dyDescent="0.3">
      <c r="A115" s="3117" t="s">
        <v>49</v>
      </c>
      <c r="B115" s="3118"/>
      <c r="C115" s="3118"/>
      <c r="D115" s="3118"/>
      <c r="E115" s="3118"/>
      <c r="F115" s="144"/>
      <c r="G115" s="519">
        <f>G114-F114</f>
        <v>242.29000000000542</v>
      </c>
      <c r="H115" s="555"/>
      <c r="I115" s="772">
        <f>I114-H114</f>
        <v>3504.4860000000017</v>
      </c>
      <c r="J115" s="773"/>
      <c r="K115" s="775">
        <f>K114-J114</f>
        <v>1912.01</v>
      </c>
    </row>
    <row r="116" spans="1:12" x14ac:dyDescent="0.25">
      <c r="G116" s="89"/>
      <c r="J116" s="769"/>
      <c r="K116" s="868"/>
    </row>
    <row r="117" spans="1:12" x14ac:dyDescent="0.25">
      <c r="B117" s="79" t="s">
        <v>32</v>
      </c>
      <c r="C117" s="475">
        <v>363</v>
      </c>
      <c r="D117" s="85" t="s">
        <v>1485</v>
      </c>
      <c r="J117" s="769"/>
      <c r="K117" s="866"/>
    </row>
    <row r="118" spans="1:12" x14ac:dyDescent="0.25">
      <c r="B118" s="79" t="s">
        <v>1218</v>
      </c>
      <c r="C118" s="475">
        <v>340</v>
      </c>
      <c r="D118" s="85" t="s">
        <v>1487</v>
      </c>
      <c r="J118" s="769"/>
      <c r="K118" s="868"/>
    </row>
    <row r="119" spans="1:12" x14ac:dyDescent="0.25">
      <c r="B119" s="79" t="s">
        <v>50</v>
      </c>
      <c r="C119" s="484">
        <v>176.17</v>
      </c>
      <c r="D119" s="85" t="s">
        <v>1493</v>
      </c>
      <c r="J119" s="769"/>
      <c r="K119" s="866"/>
    </row>
    <row r="120" spans="1:12" s="85" customFormat="1" x14ac:dyDescent="0.25">
      <c r="A120" s="79"/>
      <c r="B120" s="79" t="s">
        <v>14</v>
      </c>
      <c r="C120" s="484">
        <v>158.76</v>
      </c>
      <c r="D120" s="85" t="s">
        <v>1486</v>
      </c>
      <c r="E120" s="85" t="s">
        <v>280</v>
      </c>
      <c r="J120" s="769"/>
      <c r="K120" s="866"/>
    </row>
    <row r="121" spans="1:12" s="85" customFormat="1" x14ac:dyDescent="0.25">
      <c r="A121" s="79"/>
      <c r="B121" s="79" t="s">
        <v>51</v>
      </c>
      <c r="C121" s="475">
        <v>109.09</v>
      </c>
      <c r="D121" s="864" t="s">
        <v>1499</v>
      </c>
      <c r="E121" s="79"/>
      <c r="F121" s="89"/>
      <c r="G121" s="79"/>
      <c r="H121" s="79"/>
      <c r="I121" s="79"/>
      <c r="J121" s="769"/>
      <c r="K121" s="866"/>
    </row>
    <row r="122" spans="1:12" s="85" customFormat="1" x14ac:dyDescent="0.25">
      <c r="A122" s="79"/>
      <c r="B122" s="79" t="s">
        <v>52</v>
      </c>
      <c r="C122" s="475">
        <v>120</v>
      </c>
      <c r="D122" s="864" t="s">
        <v>1496</v>
      </c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867" t="s">
        <v>53</v>
      </c>
      <c r="C123" s="475"/>
      <c r="D123" s="864" t="s">
        <v>1522</v>
      </c>
      <c r="E123" s="8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1232</v>
      </c>
      <c r="C124" s="475"/>
      <c r="D124" s="864" t="s">
        <v>1515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56</v>
      </c>
      <c r="C125" s="475">
        <v>32</v>
      </c>
      <c r="D125" s="864" t="s">
        <v>1523</v>
      </c>
      <c r="F125" s="89"/>
      <c r="G125" s="79"/>
      <c r="H125" s="79"/>
      <c r="I125" s="79"/>
      <c r="J125" s="769"/>
      <c r="K125" s="868"/>
    </row>
    <row r="126" spans="1:12" s="85" customFormat="1" x14ac:dyDescent="0.25">
      <c r="A126" s="79"/>
      <c r="B126" s="79" t="s">
        <v>1686</v>
      </c>
      <c r="C126" s="475">
        <v>250.28</v>
      </c>
      <c r="D126" s="864" t="s">
        <v>1506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418</v>
      </c>
      <c r="C127" s="475">
        <v>69.900000000000006</v>
      </c>
      <c r="D127" s="85" t="s">
        <v>1524</v>
      </c>
      <c r="E127" s="79"/>
      <c r="F127" s="89"/>
      <c r="J127" s="769"/>
      <c r="K127" s="866"/>
    </row>
    <row r="128" spans="1:12" x14ac:dyDescent="0.25">
      <c r="B128" s="79" t="s">
        <v>419</v>
      </c>
      <c r="C128" s="475">
        <v>372.95</v>
      </c>
      <c r="D128" s="85" t="s">
        <v>1491</v>
      </c>
      <c r="J128" s="769"/>
      <c r="K128" s="868"/>
    </row>
    <row r="129" spans="2:12" x14ac:dyDescent="0.25">
      <c r="B129" s="79" t="s">
        <v>911</v>
      </c>
      <c r="C129" s="475"/>
      <c r="D129" s="85" t="s">
        <v>1525</v>
      </c>
      <c r="J129" s="769"/>
      <c r="K129" s="868"/>
    </row>
    <row r="130" spans="2:12" x14ac:dyDescent="0.25">
      <c r="B130" s="79" t="s">
        <v>1526</v>
      </c>
      <c r="C130" s="475">
        <v>110.9</v>
      </c>
      <c r="D130" s="85" t="s">
        <v>1504</v>
      </c>
      <c r="E130" s="79"/>
      <c r="J130" s="769"/>
      <c r="K130" s="866"/>
    </row>
    <row r="131" spans="2:12" x14ac:dyDescent="0.25">
      <c r="B131" s="79" t="s">
        <v>1527</v>
      </c>
      <c r="C131" s="475">
        <v>343.33</v>
      </c>
      <c r="D131" s="85" t="s">
        <v>1489</v>
      </c>
      <c r="J131" s="769"/>
      <c r="K131" s="868"/>
    </row>
    <row r="132" spans="2:12" x14ac:dyDescent="0.25">
      <c r="J132" s="769"/>
      <c r="K132" s="866"/>
    </row>
    <row r="133" spans="2:12" x14ac:dyDescent="0.25">
      <c r="J133" s="769"/>
      <c r="K133" s="866"/>
    </row>
    <row r="134" spans="2:12" x14ac:dyDescent="0.25">
      <c r="B134" s="79" t="s">
        <v>486</v>
      </c>
      <c r="C134" s="475">
        <f>H134/J134</f>
        <v>78.391290322580645</v>
      </c>
      <c r="F134" s="224" t="s">
        <v>487</v>
      </c>
      <c r="H134" s="216">
        <v>2430.13</v>
      </c>
      <c r="I134" s="518" t="s">
        <v>488</v>
      </c>
      <c r="J134" s="1517">
        <v>31</v>
      </c>
      <c r="K134" s="866"/>
      <c r="L134" s="85"/>
    </row>
    <row r="135" spans="2:12" x14ac:dyDescent="0.25">
      <c r="J135" s="769"/>
      <c r="K135" s="866"/>
    </row>
    <row r="136" spans="2:12" x14ac:dyDescent="0.25">
      <c r="J136" s="769"/>
      <c r="K136" s="868"/>
    </row>
    <row r="137" spans="2:12" x14ac:dyDescent="0.25">
      <c r="J137" s="769"/>
      <c r="K137" s="866"/>
    </row>
    <row r="138" spans="2:12" x14ac:dyDescent="0.25">
      <c r="D138" s="79"/>
      <c r="E138" s="79"/>
      <c r="J138" s="769"/>
      <c r="K138" s="866"/>
    </row>
    <row r="139" spans="2:12" x14ac:dyDescent="0.25">
      <c r="J139" s="769"/>
      <c r="K139" s="866"/>
    </row>
    <row r="140" spans="2:12" x14ac:dyDescent="0.25">
      <c r="J140" s="769"/>
      <c r="K140" s="866"/>
    </row>
    <row r="141" spans="2:12" x14ac:dyDescent="0.25">
      <c r="J141" s="769"/>
      <c r="K141" s="866"/>
    </row>
    <row r="142" spans="2:12" x14ac:dyDescent="0.25">
      <c r="C142" s="79"/>
      <c r="D142" s="79"/>
      <c r="E142" s="79"/>
      <c r="F142" s="79"/>
      <c r="I142" s="216"/>
      <c r="J142" s="769"/>
      <c r="K142" s="866"/>
    </row>
    <row r="143" spans="2:12" x14ac:dyDescent="0.25">
      <c r="C143" s="79"/>
      <c r="D143" s="79"/>
      <c r="E143" s="79"/>
      <c r="F143" s="79"/>
      <c r="I143" s="216"/>
      <c r="J143" s="769"/>
      <c r="K143" s="866"/>
    </row>
    <row r="144" spans="2:12" x14ac:dyDescent="0.25">
      <c r="C144" s="79"/>
      <c r="D144" s="79"/>
      <c r="E144" s="79"/>
      <c r="F144" s="79"/>
      <c r="G144" s="216"/>
      <c r="I144" s="216"/>
      <c r="J144" s="769"/>
      <c r="K144" s="868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J146" s="770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8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629"/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J169" s="769"/>
      <c r="K169" s="868"/>
    </row>
    <row r="170" spans="3:11" x14ac:dyDescent="0.25">
      <c r="J170" s="769"/>
      <c r="K170" s="868"/>
    </row>
    <row r="171" spans="3:11" x14ac:dyDescent="0.25">
      <c r="J171" s="769"/>
      <c r="K171" s="868"/>
    </row>
    <row r="172" spans="3:11" x14ac:dyDescent="0.25">
      <c r="J172" s="769"/>
      <c r="K172" s="868"/>
    </row>
    <row r="173" spans="3:11" x14ac:dyDescent="0.25">
      <c r="J173" s="769"/>
      <c r="K173" s="866"/>
    </row>
    <row r="174" spans="3:11" x14ac:dyDescent="0.25">
      <c r="J174" s="223"/>
      <c r="K174" s="629"/>
    </row>
    <row r="175" spans="3:11" x14ac:dyDescent="0.25">
      <c r="J175" s="756"/>
      <c r="K175" s="756"/>
    </row>
    <row r="180" spans="10:11" x14ac:dyDescent="0.25">
      <c r="J180" s="85"/>
      <c r="K180" s="85"/>
    </row>
    <row r="187" spans="10:11" x14ac:dyDescent="0.25">
      <c r="J187" s="85"/>
      <c r="K187" s="85"/>
    </row>
    <row r="194" spans="10:11" x14ac:dyDescent="0.25">
      <c r="J194" s="771"/>
      <c r="K194" s="518"/>
    </row>
    <row r="202" spans="10:11" x14ac:dyDescent="0.25">
      <c r="K202" s="216"/>
    </row>
    <row r="203" spans="10:11" x14ac:dyDescent="0.25">
      <c r="K203" s="216"/>
    </row>
    <row r="204" spans="10:11" x14ac:dyDescent="0.25">
      <c r="K204" s="216"/>
    </row>
    <row r="205" spans="10:11" x14ac:dyDescent="0.25">
      <c r="K205" s="216"/>
    </row>
    <row r="207" spans="10:11" x14ac:dyDescent="0.25">
      <c r="K207" s="216"/>
    </row>
    <row r="209" spans="11:11" x14ac:dyDescent="0.25">
      <c r="K209" s="629"/>
    </row>
    <row r="215" spans="11:11" x14ac:dyDescent="0.25">
      <c r="K215" s="216"/>
    </row>
    <row r="216" spans="11:11" x14ac:dyDescent="0.25">
      <c r="K216" s="216"/>
    </row>
    <row r="217" spans="11:11" x14ac:dyDescent="0.25">
      <c r="K217" s="216"/>
    </row>
    <row r="218" spans="11:11" x14ac:dyDescent="0.25">
      <c r="K218" s="216"/>
    </row>
    <row r="219" spans="11:11" x14ac:dyDescent="0.25">
      <c r="K219" s="216"/>
    </row>
    <row r="220" spans="11:11" x14ac:dyDescent="0.25">
      <c r="K220" s="216"/>
    </row>
    <row r="221" spans="11:11" x14ac:dyDescent="0.25">
      <c r="K221" s="216"/>
    </row>
    <row r="222" spans="11:11" x14ac:dyDescent="0.25">
      <c r="K222" s="216"/>
    </row>
    <row r="223" spans="11:11" x14ac:dyDescent="0.25">
      <c r="K223" s="216"/>
    </row>
  </sheetData>
  <autoFilter ref="A2:I115" xr:uid="{00000000-0009-0000-0000-00003F000000}"/>
  <mergeCells count="12">
    <mergeCell ref="J2:K3"/>
    <mergeCell ref="F1:K1"/>
    <mergeCell ref="A114:E114"/>
    <mergeCell ref="A115:E115"/>
    <mergeCell ref="A1:E1"/>
    <mergeCell ref="A2:A4"/>
    <mergeCell ref="B2:B4"/>
    <mergeCell ref="C2:C4"/>
    <mergeCell ref="D2:D4"/>
    <mergeCell ref="E2:E4"/>
    <mergeCell ref="F2:G3"/>
    <mergeCell ref="H2:I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Plan77"/>
  <dimension ref="A1:L223"/>
  <sheetViews>
    <sheetView zoomScale="85" zoomScaleNormal="85" workbookViewId="0">
      <pane ySplit="4" topLeftCell="A41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1687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42979</v>
      </c>
      <c r="B5" s="369" t="s">
        <v>10</v>
      </c>
      <c r="C5" s="370"/>
      <c r="D5" s="370"/>
      <c r="E5" s="777"/>
      <c r="F5" s="179"/>
      <c r="G5" s="1479">
        <f>'Agosto-17'!G115</f>
        <v>242.29000000000542</v>
      </c>
      <c r="H5" s="179"/>
      <c r="I5" s="933">
        <f>'Agosto-17'!I115</f>
        <v>3504.4860000000017</v>
      </c>
      <c r="J5" s="179"/>
      <c r="K5" s="933">
        <f>'Agosto-17'!K115</f>
        <v>1912.01</v>
      </c>
    </row>
    <row r="6" spans="1:11" s="224" customFormat="1" x14ac:dyDescent="0.25">
      <c r="A6" s="215">
        <v>42979</v>
      </c>
      <c r="B6" s="348" t="s">
        <v>11</v>
      </c>
      <c r="C6" s="351"/>
      <c r="D6" s="351"/>
      <c r="E6" s="673"/>
      <c r="F6" s="250"/>
      <c r="G6" s="1480"/>
      <c r="H6" s="250"/>
      <c r="I6" s="1473"/>
      <c r="J6" s="250"/>
      <c r="K6" s="1473"/>
    </row>
    <row r="7" spans="1:11" s="224" customFormat="1" x14ac:dyDescent="0.25">
      <c r="A7" s="215">
        <v>42979</v>
      </c>
      <c r="B7" s="862" t="s">
        <v>32</v>
      </c>
      <c r="C7" s="879" t="s">
        <v>12</v>
      </c>
      <c r="D7" s="879" t="s">
        <v>1485</v>
      </c>
      <c r="E7" s="871" t="s">
        <v>13</v>
      </c>
      <c r="F7" s="97">
        <v>14</v>
      </c>
      <c r="G7" s="946"/>
      <c r="H7" s="97"/>
      <c r="I7" s="946"/>
      <c r="J7" s="97"/>
      <c r="K7" s="946"/>
    </row>
    <row r="8" spans="1:11" s="224" customFormat="1" x14ac:dyDescent="0.25">
      <c r="A8" s="215">
        <v>42979</v>
      </c>
      <c r="B8" s="862" t="s">
        <v>14</v>
      </c>
      <c r="C8" s="350" t="s">
        <v>12</v>
      </c>
      <c r="D8" s="350" t="s">
        <v>1486</v>
      </c>
      <c r="E8" s="480" t="s">
        <v>13</v>
      </c>
      <c r="F8" s="97">
        <v>9.35</v>
      </c>
      <c r="G8" s="946"/>
      <c r="H8" s="97"/>
      <c r="I8" s="946"/>
      <c r="J8" s="97"/>
      <c r="K8" s="946"/>
    </row>
    <row r="9" spans="1:11" s="224" customFormat="1" x14ac:dyDescent="0.25">
      <c r="A9" s="215">
        <v>42979</v>
      </c>
      <c r="B9" s="862" t="s">
        <v>1597</v>
      </c>
      <c r="C9" s="350" t="s">
        <v>12</v>
      </c>
      <c r="D9" s="350" t="s">
        <v>1491</v>
      </c>
      <c r="E9" s="480" t="s">
        <v>15</v>
      </c>
      <c r="F9" s="97">
        <v>50</v>
      </c>
      <c r="G9" s="1518"/>
      <c r="H9" s="97"/>
      <c r="I9" s="946"/>
      <c r="J9" s="97"/>
      <c r="K9" s="946"/>
    </row>
    <row r="10" spans="1:11" s="224" customFormat="1" x14ac:dyDescent="0.25">
      <c r="A10" s="215">
        <v>42980</v>
      </c>
      <c r="B10" s="862" t="s">
        <v>82</v>
      </c>
      <c r="C10" s="350" t="s">
        <v>12</v>
      </c>
      <c r="D10" s="350" t="s">
        <v>1493</v>
      </c>
      <c r="E10" s="480" t="s">
        <v>13</v>
      </c>
      <c r="F10" s="97">
        <v>29</v>
      </c>
      <c r="G10" s="1064"/>
      <c r="H10" s="97"/>
      <c r="I10" s="1473"/>
      <c r="J10" s="97"/>
      <c r="K10" s="1473"/>
    </row>
    <row r="11" spans="1:11" s="224" customFormat="1" x14ac:dyDescent="0.25">
      <c r="A11" s="215">
        <v>42981</v>
      </c>
      <c r="B11" s="862" t="s">
        <v>14</v>
      </c>
      <c r="C11" s="350" t="s">
        <v>12</v>
      </c>
      <c r="D11" s="350" t="s">
        <v>1486</v>
      </c>
      <c r="E11" s="480" t="s">
        <v>13</v>
      </c>
      <c r="F11" s="97">
        <v>17</v>
      </c>
      <c r="G11" s="1064"/>
      <c r="H11" s="97"/>
      <c r="I11" s="1473"/>
      <c r="J11" s="97"/>
      <c r="K11" s="1473"/>
    </row>
    <row r="12" spans="1:11" s="224" customFormat="1" x14ac:dyDescent="0.25">
      <c r="A12" s="215">
        <v>42981</v>
      </c>
      <c r="B12" s="862" t="s">
        <v>1688</v>
      </c>
      <c r="C12" s="879" t="s">
        <v>12</v>
      </c>
      <c r="D12" s="879" t="s">
        <v>1489</v>
      </c>
      <c r="E12" s="871" t="s">
        <v>13</v>
      </c>
      <c r="F12" s="97">
        <v>20</v>
      </c>
      <c r="G12" s="1064"/>
      <c r="H12" s="97"/>
      <c r="I12" s="1473"/>
      <c r="J12" s="97"/>
      <c r="K12" s="1473"/>
    </row>
    <row r="13" spans="1:11" s="224" customFormat="1" x14ac:dyDescent="0.25">
      <c r="A13" s="215">
        <v>42981</v>
      </c>
      <c r="B13" s="862" t="s">
        <v>256</v>
      </c>
      <c r="C13" s="879"/>
      <c r="D13" s="879"/>
      <c r="E13" s="871"/>
      <c r="F13" s="97"/>
      <c r="G13" s="1064">
        <v>1404.49</v>
      </c>
      <c r="H13" s="97">
        <v>1404.49</v>
      </c>
      <c r="I13" s="1473"/>
      <c r="J13" s="97"/>
      <c r="K13" s="1473"/>
    </row>
    <row r="14" spans="1:11" s="224" customFormat="1" x14ac:dyDescent="0.25">
      <c r="A14" s="215">
        <v>42981</v>
      </c>
      <c r="B14" s="349" t="s">
        <v>1661</v>
      </c>
      <c r="C14" s="350" t="s">
        <v>12</v>
      </c>
      <c r="D14" s="350"/>
      <c r="E14" s="480" t="s">
        <v>13</v>
      </c>
      <c r="F14" s="97">
        <v>1088.24</v>
      </c>
      <c r="G14" s="1064"/>
      <c r="H14" s="97"/>
      <c r="I14" s="946"/>
      <c r="J14" s="97"/>
      <c r="K14" s="946">
        <v>1088.24</v>
      </c>
    </row>
    <row r="15" spans="1:11" s="224" customFormat="1" x14ac:dyDescent="0.25">
      <c r="A15" s="215">
        <v>42982</v>
      </c>
      <c r="B15" s="862" t="s">
        <v>32</v>
      </c>
      <c r="C15" s="879" t="s">
        <v>12</v>
      </c>
      <c r="D15" s="879" t="s">
        <v>1485</v>
      </c>
      <c r="E15" s="871" t="s">
        <v>13</v>
      </c>
      <c r="F15" s="97">
        <v>14</v>
      </c>
      <c r="G15" s="1064"/>
      <c r="H15" s="97"/>
      <c r="I15" s="1473"/>
      <c r="J15" s="97"/>
      <c r="K15" s="1473"/>
    </row>
    <row r="16" spans="1:11" s="224" customFormat="1" x14ac:dyDescent="0.25">
      <c r="A16" s="215">
        <v>42982</v>
      </c>
      <c r="B16" s="862" t="s">
        <v>914</v>
      </c>
      <c r="C16" s="879" t="s">
        <v>12</v>
      </c>
      <c r="D16" s="879" t="s">
        <v>1491</v>
      </c>
      <c r="E16" s="871" t="s">
        <v>13</v>
      </c>
      <c r="F16" s="97">
        <v>15.78</v>
      </c>
      <c r="G16" s="1064"/>
      <c r="H16" s="97"/>
      <c r="I16" s="1473"/>
      <c r="J16" s="97"/>
      <c r="K16" s="1473"/>
    </row>
    <row r="17" spans="1:11" s="224" customFormat="1" x14ac:dyDescent="0.25">
      <c r="A17" s="215">
        <v>42982</v>
      </c>
      <c r="B17" s="862" t="s">
        <v>1689</v>
      </c>
      <c r="C17" s="879" t="s">
        <v>19</v>
      </c>
      <c r="D17" s="879" t="s">
        <v>1491</v>
      </c>
      <c r="E17" s="871" t="s">
        <v>13</v>
      </c>
      <c r="F17" s="97">
        <v>60</v>
      </c>
      <c r="G17" s="1064"/>
      <c r="H17" s="97"/>
      <c r="I17" s="1473"/>
      <c r="J17" s="97"/>
      <c r="K17" s="1473"/>
    </row>
    <row r="18" spans="1:11" s="224" customFormat="1" x14ac:dyDescent="0.25">
      <c r="A18" s="215">
        <v>42982</v>
      </c>
      <c r="B18" s="862" t="s">
        <v>1257</v>
      </c>
      <c r="C18" s="879" t="s">
        <v>19</v>
      </c>
      <c r="D18" s="879" t="s">
        <v>1491</v>
      </c>
      <c r="E18" s="871" t="s">
        <v>13</v>
      </c>
      <c r="F18" s="97">
        <v>38.97</v>
      </c>
      <c r="G18" s="1064"/>
      <c r="H18" s="97"/>
      <c r="I18" s="1473"/>
      <c r="J18" s="97"/>
      <c r="K18" s="1473"/>
    </row>
    <row r="19" spans="1:11" s="224" customFormat="1" x14ac:dyDescent="0.25">
      <c r="A19" s="215">
        <v>42982</v>
      </c>
      <c r="B19" s="862" t="s">
        <v>14</v>
      </c>
      <c r="C19" s="879" t="s">
        <v>12</v>
      </c>
      <c r="D19" s="879" t="s">
        <v>1486</v>
      </c>
      <c r="E19" s="871" t="s">
        <v>13</v>
      </c>
      <c r="F19" s="97">
        <v>6.99</v>
      </c>
      <c r="G19" s="1064"/>
      <c r="H19" s="97"/>
      <c r="I19" s="1473"/>
      <c r="J19" s="97"/>
      <c r="K19" s="1473"/>
    </row>
    <row r="20" spans="1:11" s="224" customFormat="1" x14ac:dyDescent="0.25">
      <c r="A20" s="215">
        <v>42983</v>
      </c>
      <c r="B20" s="862" t="s">
        <v>32</v>
      </c>
      <c r="C20" s="879" t="s">
        <v>12</v>
      </c>
      <c r="D20" s="879" t="s">
        <v>1485</v>
      </c>
      <c r="E20" s="871" t="s">
        <v>13</v>
      </c>
      <c r="F20" s="97">
        <v>14</v>
      </c>
      <c r="G20" s="1064"/>
      <c r="H20" s="97"/>
      <c r="I20" s="946"/>
      <c r="J20" s="97"/>
      <c r="K20" s="946"/>
    </row>
    <row r="21" spans="1:11" s="224" customFormat="1" x14ac:dyDescent="0.25">
      <c r="A21" s="215">
        <v>42983</v>
      </c>
      <c r="B21" s="862" t="s">
        <v>14</v>
      </c>
      <c r="C21" s="879" t="s">
        <v>12</v>
      </c>
      <c r="D21" s="879" t="s">
        <v>1486</v>
      </c>
      <c r="E21" s="871" t="s">
        <v>13</v>
      </c>
      <c r="F21" s="97">
        <v>15.75</v>
      </c>
      <c r="G21" s="1064"/>
      <c r="H21" s="97"/>
      <c r="I21" s="1473"/>
      <c r="J21" s="97"/>
      <c r="K21" s="1473"/>
    </row>
    <row r="22" spans="1:11" x14ac:dyDescent="0.25">
      <c r="A22" s="215">
        <v>42983</v>
      </c>
      <c r="B22" s="862" t="s">
        <v>1331</v>
      </c>
      <c r="C22" s="350" t="s">
        <v>12</v>
      </c>
      <c r="D22" s="350" t="s">
        <v>1487</v>
      </c>
      <c r="E22" s="480" t="s">
        <v>15</v>
      </c>
      <c r="F22" s="97">
        <v>20</v>
      </c>
      <c r="G22" s="1064"/>
      <c r="H22" s="97"/>
      <c r="I22" s="946"/>
      <c r="J22" s="97"/>
      <c r="K22" s="946"/>
    </row>
    <row r="23" spans="1:11" s="224" customFormat="1" ht="15.75" customHeight="1" x14ac:dyDescent="0.25">
      <c r="A23" s="215">
        <v>42984</v>
      </c>
      <c r="B23" s="349" t="s">
        <v>1690</v>
      </c>
      <c r="C23" s="879" t="s">
        <v>12</v>
      </c>
      <c r="D23" s="874"/>
      <c r="E23" s="871" t="s">
        <v>25</v>
      </c>
      <c r="F23" s="97"/>
      <c r="G23" s="1480">
        <v>1574.44</v>
      </c>
      <c r="H23" s="250"/>
      <c r="I23" s="946"/>
      <c r="J23" s="97"/>
      <c r="K23" s="946"/>
    </row>
    <row r="24" spans="1:11" s="224" customFormat="1" x14ac:dyDescent="0.25">
      <c r="A24" s="215">
        <v>42984</v>
      </c>
      <c r="B24" s="862" t="s">
        <v>1691</v>
      </c>
      <c r="C24" s="879" t="s">
        <v>12</v>
      </c>
      <c r="D24" s="879"/>
      <c r="E24" s="871" t="s">
        <v>13</v>
      </c>
      <c r="F24" s="250">
        <v>309.33</v>
      </c>
      <c r="G24" s="1064"/>
      <c r="H24" s="97"/>
      <c r="I24" s="946"/>
      <c r="J24" s="523"/>
      <c r="K24" s="457"/>
    </row>
    <row r="25" spans="1:11" x14ac:dyDescent="0.25">
      <c r="A25" s="215">
        <v>42984</v>
      </c>
      <c r="B25" s="862" t="s">
        <v>1532</v>
      </c>
      <c r="C25" s="879" t="s">
        <v>12</v>
      </c>
      <c r="D25" s="879" t="s">
        <v>1504</v>
      </c>
      <c r="E25" s="871" t="s">
        <v>13</v>
      </c>
      <c r="F25" s="97">
        <v>50</v>
      </c>
      <c r="G25" s="1064"/>
      <c r="H25" s="97"/>
      <c r="I25" s="946"/>
      <c r="J25" s="97"/>
      <c r="K25" s="1473"/>
    </row>
    <row r="26" spans="1:11" x14ac:dyDescent="0.25">
      <c r="A26" s="215">
        <v>42984</v>
      </c>
      <c r="B26" s="882" t="s">
        <v>1692</v>
      </c>
      <c r="C26" s="879" t="s">
        <v>12</v>
      </c>
      <c r="D26" s="879" t="s">
        <v>1499</v>
      </c>
      <c r="E26" s="871" t="s">
        <v>13</v>
      </c>
      <c r="F26" s="622">
        <v>69.150000000000006</v>
      </c>
      <c r="G26" s="1063"/>
      <c r="H26" s="622"/>
      <c r="I26" s="982"/>
      <c r="J26" s="780"/>
      <c r="K26" s="614"/>
    </row>
    <row r="27" spans="1:11" x14ac:dyDescent="0.25">
      <c r="A27" s="215">
        <v>42984</v>
      </c>
      <c r="B27" s="862" t="s">
        <v>52</v>
      </c>
      <c r="C27" s="879" t="s">
        <v>12</v>
      </c>
      <c r="D27" s="879" t="s">
        <v>1496</v>
      </c>
      <c r="E27" s="871" t="s">
        <v>13</v>
      </c>
      <c r="F27" s="97">
        <v>60</v>
      </c>
      <c r="G27" s="1064"/>
      <c r="H27" s="97"/>
      <c r="I27" s="946"/>
      <c r="J27" s="97"/>
      <c r="K27" s="946"/>
    </row>
    <row r="28" spans="1:11" s="224" customFormat="1" x14ac:dyDescent="0.25">
      <c r="A28" s="215">
        <v>42984</v>
      </c>
      <c r="B28" s="349" t="s">
        <v>311</v>
      </c>
      <c r="C28" s="350"/>
      <c r="D28" s="765"/>
      <c r="E28" s="778"/>
      <c r="F28" s="709"/>
      <c r="G28" s="248"/>
      <c r="H28" s="97"/>
      <c r="I28" s="946">
        <v>10.74</v>
      </c>
      <c r="J28" s="97"/>
      <c r="K28" s="946"/>
    </row>
    <row r="29" spans="1:11" s="224" customFormat="1" ht="15" customHeight="1" x14ac:dyDescent="0.25">
      <c r="A29" s="215">
        <v>42984</v>
      </c>
      <c r="B29" s="349" t="s">
        <v>260</v>
      </c>
      <c r="C29" s="350"/>
      <c r="D29" s="350"/>
      <c r="E29" s="480"/>
      <c r="F29" s="97">
        <v>550</v>
      </c>
      <c r="G29" s="1064"/>
      <c r="H29" s="97"/>
      <c r="I29" s="946">
        <v>550</v>
      </c>
      <c r="J29" s="97"/>
      <c r="K29" s="946"/>
    </row>
    <row r="30" spans="1:11" s="224" customFormat="1" ht="15" customHeight="1" x14ac:dyDescent="0.25">
      <c r="A30" s="215">
        <v>42984</v>
      </c>
      <c r="B30" s="862" t="s">
        <v>32</v>
      </c>
      <c r="C30" s="879" t="s">
        <v>12</v>
      </c>
      <c r="D30" s="879" t="s">
        <v>1485</v>
      </c>
      <c r="E30" s="871" t="s">
        <v>13</v>
      </c>
      <c r="F30" s="97">
        <v>14</v>
      </c>
      <c r="G30" s="1064"/>
      <c r="H30" s="97"/>
      <c r="I30" s="946"/>
      <c r="J30" s="97"/>
      <c r="K30" s="946"/>
    </row>
    <row r="31" spans="1:11" x14ac:dyDescent="0.25">
      <c r="A31" s="215">
        <v>42984</v>
      </c>
      <c r="B31" s="862" t="s">
        <v>1331</v>
      </c>
      <c r="C31" s="350" t="s">
        <v>12</v>
      </c>
      <c r="D31" s="350" t="s">
        <v>1487</v>
      </c>
      <c r="E31" s="480" t="s">
        <v>13</v>
      </c>
      <c r="F31" s="97">
        <v>70</v>
      </c>
      <c r="G31" s="1064"/>
      <c r="H31" s="97"/>
      <c r="I31" s="946"/>
      <c r="J31" s="97"/>
      <c r="K31" s="946"/>
    </row>
    <row r="32" spans="1:11" s="224" customFormat="1" ht="15" customHeight="1" x14ac:dyDescent="0.25">
      <c r="A32" s="215">
        <v>42984</v>
      </c>
      <c r="B32" s="349" t="s">
        <v>1554</v>
      </c>
      <c r="C32" s="350" t="s">
        <v>19</v>
      </c>
      <c r="D32" s="350" t="s">
        <v>1491</v>
      </c>
      <c r="E32" s="480" t="s">
        <v>13</v>
      </c>
      <c r="F32" s="97">
        <v>66.38</v>
      </c>
      <c r="G32" s="1064"/>
      <c r="H32" s="97"/>
      <c r="I32" s="946"/>
      <c r="J32" s="97"/>
      <c r="K32" s="946"/>
    </row>
    <row r="33" spans="1:11" s="224" customFormat="1" ht="15" customHeight="1" x14ac:dyDescent="0.25">
      <c r="A33" s="215">
        <v>42984</v>
      </c>
      <c r="B33" s="349" t="s">
        <v>1332</v>
      </c>
      <c r="C33" s="350" t="s">
        <v>19</v>
      </c>
      <c r="D33" s="350" t="s">
        <v>1491</v>
      </c>
      <c r="E33" s="480" t="s">
        <v>13</v>
      </c>
      <c r="F33" s="97">
        <v>22.47</v>
      </c>
      <c r="G33" s="1064"/>
      <c r="H33" s="97"/>
      <c r="I33" s="946"/>
      <c r="J33" s="97"/>
      <c r="K33" s="946"/>
    </row>
    <row r="34" spans="1:11" s="224" customFormat="1" ht="15" customHeight="1" x14ac:dyDescent="0.25">
      <c r="A34" s="215">
        <v>42984</v>
      </c>
      <c r="B34" s="349" t="s">
        <v>1693</v>
      </c>
      <c r="C34" s="350" t="s">
        <v>12</v>
      </c>
      <c r="D34" s="350" t="s">
        <v>1489</v>
      </c>
      <c r="E34" s="480" t="s">
        <v>15</v>
      </c>
      <c r="F34" s="97">
        <v>11.9</v>
      </c>
      <c r="G34" s="1064"/>
      <c r="H34" s="97"/>
      <c r="I34" s="946"/>
      <c r="J34" s="97"/>
      <c r="K34" s="946"/>
    </row>
    <row r="35" spans="1:11" s="224" customFormat="1" ht="15" customHeight="1" x14ac:dyDescent="0.25">
      <c r="A35" s="215">
        <v>42985</v>
      </c>
      <c r="B35" s="349" t="s">
        <v>1067</v>
      </c>
      <c r="C35" s="350" t="s">
        <v>12</v>
      </c>
      <c r="D35" s="350" t="s">
        <v>1489</v>
      </c>
      <c r="E35" s="480" t="s">
        <v>13</v>
      </c>
      <c r="F35" s="97">
        <v>5</v>
      </c>
      <c r="G35" s="1064"/>
      <c r="H35" s="97"/>
      <c r="I35" s="946"/>
      <c r="J35" s="97"/>
      <c r="K35" s="946"/>
    </row>
    <row r="36" spans="1:11" s="224" customFormat="1" ht="15" customHeight="1" x14ac:dyDescent="0.25">
      <c r="A36" s="215">
        <v>42986</v>
      </c>
      <c r="B36" s="862" t="s">
        <v>14</v>
      </c>
      <c r="C36" s="879" t="s">
        <v>12</v>
      </c>
      <c r="D36" s="879" t="s">
        <v>1486</v>
      </c>
      <c r="E36" s="871" t="s">
        <v>13</v>
      </c>
      <c r="F36" s="97">
        <v>14.13</v>
      </c>
      <c r="G36" s="1064"/>
      <c r="H36" s="97"/>
      <c r="I36" s="946"/>
      <c r="J36" s="97"/>
      <c r="K36" s="946"/>
    </row>
    <row r="37" spans="1:11" s="224" customFormat="1" ht="15" customHeight="1" x14ac:dyDescent="0.25">
      <c r="A37" s="215">
        <v>42986</v>
      </c>
      <c r="B37" s="862" t="s">
        <v>1438</v>
      </c>
      <c r="C37" s="350" t="s">
        <v>12</v>
      </c>
      <c r="D37" s="350" t="s">
        <v>1489</v>
      </c>
      <c r="E37" s="480" t="s">
        <v>13</v>
      </c>
      <c r="F37" s="97">
        <v>27.8</v>
      </c>
      <c r="G37" s="1064"/>
      <c r="H37" s="97"/>
      <c r="I37" s="946"/>
      <c r="J37" s="97"/>
      <c r="K37" s="946"/>
    </row>
    <row r="38" spans="1:11" s="224" customFormat="1" ht="15" customHeight="1" x14ac:dyDescent="0.25">
      <c r="A38" s="215">
        <v>42986</v>
      </c>
      <c r="B38" s="862" t="s">
        <v>1694</v>
      </c>
      <c r="C38" s="350" t="s">
        <v>12</v>
      </c>
      <c r="D38" s="350" t="s">
        <v>1489</v>
      </c>
      <c r="E38" s="480" t="s">
        <v>13</v>
      </c>
      <c r="F38" s="97">
        <v>36.97</v>
      </c>
      <c r="G38" s="1064"/>
      <c r="H38" s="97"/>
      <c r="I38" s="946"/>
      <c r="J38" s="97"/>
      <c r="K38" s="946"/>
    </row>
    <row r="39" spans="1:11" s="224" customFormat="1" ht="15" customHeight="1" x14ac:dyDescent="0.25">
      <c r="A39" s="215">
        <v>42986</v>
      </c>
      <c r="B39" s="862" t="s">
        <v>1695</v>
      </c>
      <c r="C39" s="350" t="s">
        <v>12</v>
      </c>
      <c r="D39" s="350" t="s">
        <v>1523</v>
      </c>
      <c r="E39" s="480" t="s">
        <v>13</v>
      </c>
      <c r="F39" s="97">
        <v>60</v>
      </c>
      <c r="G39" s="1064"/>
      <c r="H39" s="97"/>
      <c r="I39" s="946"/>
      <c r="J39" s="97"/>
      <c r="K39" s="946"/>
    </row>
    <row r="40" spans="1:11" s="224" customFormat="1" ht="15" customHeight="1" x14ac:dyDescent="0.25">
      <c r="A40" s="215">
        <v>42986</v>
      </c>
      <c r="B40" s="862" t="s">
        <v>1696</v>
      </c>
      <c r="C40" s="350" t="s">
        <v>12</v>
      </c>
      <c r="D40" s="350" t="s">
        <v>1493</v>
      </c>
      <c r="E40" s="480" t="s">
        <v>15</v>
      </c>
      <c r="F40" s="97">
        <v>10</v>
      </c>
      <c r="G40" s="1064"/>
      <c r="H40" s="97"/>
      <c r="I40" s="946"/>
      <c r="J40" s="97"/>
      <c r="K40" s="946"/>
    </row>
    <row r="41" spans="1:11" s="224" customFormat="1" x14ac:dyDescent="0.25">
      <c r="A41" s="215">
        <v>42987</v>
      </c>
      <c r="B41" s="862" t="s">
        <v>14</v>
      </c>
      <c r="C41" s="879" t="s">
        <v>12</v>
      </c>
      <c r="D41" s="879" t="s">
        <v>1486</v>
      </c>
      <c r="E41" s="871" t="s">
        <v>13</v>
      </c>
      <c r="F41" s="97">
        <v>8.09</v>
      </c>
      <c r="G41" s="1064"/>
      <c r="H41" s="97"/>
      <c r="I41" s="946"/>
      <c r="J41" s="97"/>
      <c r="K41" s="946"/>
    </row>
    <row r="42" spans="1:11" s="224" customFormat="1" x14ac:dyDescent="0.25">
      <c r="A42" s="215">
        <v>42988</v>
      </c>
      <c r="B42" s="862" t="s">
        <v>14</v>
      </c>
      <c r="C42" s="879" t="s">
        <v>12</v>
      </c>
      <c r="D42" s="879" t="s">
        <v>1486</v>
      </c>
      <c r="E42" s="871" t="s">
        <v>13</v>
      </c>
      <c r="F42" s="97">
        <v>6.49</v>
      </c>
      <c r="G42" s="1064"/>
      <c r="H42" s="97"/>
      <c r="I42" s="946"/>
      <c r="J42" s="97"/>
      <c r="K42" s="946"/>
    </row>
    <row r="43" spans="1:11" s="224" customFormat="1" ht="15" customHeight="1" x14ac:dyDescent="0.25">
      <c r="A43" s="215">
        <v>42988</v>
      </c>
      <c r="B43" s="862" t="s">
        <v>1331</v>
      </c>
      <c r="C43" s="350" t="s">
        <v>12</v>
      </c>
      <c r="D43" s="350" t="s">
        <v>1487</v>
      </c>
      <c r="E43" s="480" t="s">
        <v>15</v>
      </c>
      <c r="F43" s="97">
        <v>40</v>
      </c>
      <c r="G43" s="1064"/>
      <c r="H43" s="97"/>
      <c r="I43" s="946"/>
      <c r="J43" s="97"/>
      <c r="K43" s="1473"/>
    </row>
    <row r="44" spans="1:11" s="224" customFormat="1" ht="15" customHeight="1" x14ac:dyDescent="0.25">
      <c r="A44" s="215">
        <v>42988</v>
      </c>
      <c r="B44" s="349" t="s">
        <v>134</v>
      </c>
      <c r="C44" s="350" t="s">
        <v>19</v>
      </c>
      <c r="D44" s="350" t="s">
        <v>1493</v>
      </c>
      <c r="E44" s="480" t="s">
        <v>13</v>
      </c>
      <c r="F44" s="97">
        <v>27.68</v>
      </c>
      <c r="G44" s="1064"/>
      <c r="H44" s="97"/>
      <c r="I44" s="946"/>
      <c r="J44" s="97"/>
      <c r="K44" s="1473"/>
    </row>
    <row r="45" spans="1:11" s="224" customFormat="1" ht="15" customHeight="1" x14ac:dyDescent="0.25">
      <c r="A45" s="215">
        <v>42989</v>
      </c>
      <c r="B45" s="862" t="s">
        <v>32</v>
      </c>
      <c r="C45" s="879" t="s">
        <v>12</v>
      </c>
      <c r="D45" s="879" t="s">
        <v>1485</v>
      </c>
      <c r="E45" s="871" t="s">
        <v>13</v>
      </c>
      <c r="F45" s="622">
        <v>14</v>
      </c>
      <c r="G45" s="1064"/>
      <c r="H45" s="97"/>
      <c r="I45" s="946"/>
      <c r="J45" s="97"/>
      <c r="K45" s="1473"/>
    </row>
    <row r="46" spans="1:11" s="224" customFormat="1" x14ac:dyDescent="0.25">
      <c r="A46" s="215">
        <v>42989</v>
      </c>
      <c r="B46" s="862" t="s">
        <v>14</v>
      </c>
      <c r="C46" s="879" t="s">
        <v>12</v>
      </c>
      <c r="D46" s="879" t="s">
        <v>1486</v>
      </c>
      <c r="E46" s="871" t="s">
        <v>13</v>
      </c>
      <c r="F46" s="97">
        <v>6.04</v>
      </c>
      <c r="G46" s="1064"/>
      <c r="H46" s="97"/>
      <c r="I46" s="946"/>
      <c r="J46" s="97"/>
      <c r="K46" s="946"/>
    </row>
    <row r="47" spans="1:11" s="224" customFormat="1" ht="15" customHeight="1" x14ac:dyDescent="0.25">
      <c r="A47" s="215">
        <v>42990</v>
      </c>
      <c r="B47" s="862" t="s">
        <v>32</v>
      </c>
      <c r="C47" s="879" t="s">
        <v>12</v>
      </c>
      <c r="D47" s="879" t="s">
        <v>1485</v>
      </c>
      <c r="E47" s="871" t="s">
        <v>13</v>
      </c>
      <c r="F47" s="622">
        <v>14</v>
      </c>
      <c r="G47" s="1064"/>
      <c r="H47" s="97"/>
      <c r="I47" s="946"/>
      <c r="J47" s="97"/>
      <c r="K47" s="1473"/>
    </row>
    <row r="48" spans="1:11" s="224" customFormat="1" x14ac:dyDescent="0.25">
      <c r="A48" s="215">
        <v>42990</v>
      </c>
      <c r="B48" s="862" t="s">
        <v>14</v>
      </c>
      <c r="C48" s="879" t="s">
        <v>12</v>
      </c>
      <c r="D48" s="879" t="s">
        <v>1486</v>
      </c>
      <c r="E48" s="871" t="s">
        <v>13</v>
      </c>
      <c r="F48" s="97">
        <v>6.55</v>
      </c>
      <c r="G48" s="1064"/>
      <c r="H48" s="97"/>
      <c r="I48" s="946"/>
      <c r="J48" s="97"/>
      <c r="K48" s="946"/>
    </row>
    <row r="49" spans="1:11" s="224" customFormat="1" x14ac:dyDescent="0.25">
      <c r="A49" s="215">
        <v>42991</v>
      </c>
      <c r="B49" s="862" t="s">
        <v>32</v>
      </c>
      <c r="C49" s="879" t="s">
        <v>12</v>
      </c>
      <c r="D49" s="879" t="s">
        <v>1485</v>
      </c>
      <c r="E49" s="871" t="s">
        <v>13</v>
      </c>
      <c r="F49" s="622">
        <v>14</v>
      </c>
      <c r="G49" s="248"/>
      <c r="H49" s="97"/>
      <c r="I49" s="946"/>
      <c r="J49" s="97"/>
      <c r="K49" s="946"/>
    </row>
    <row r="50" spans="1:11" s="224" customFormat="1" x14ac:dyDescent="0.25">
      <c r="A50" s="215">
        <v>42991</v>
      </c>
      <c r="B50" s="862" t="s">
        <v>14</v>
      </c>
      <c r="C50" s="879" t="s">
        <v>12</v>
      </c>
      <c r="D50" s="879" t="s">
        <v>1486</v>
      </c>
      <c r="E50" s="871" t="s">
        <v>13</v>
      </c>
      <c r="F50" s="97">
        <v>7.03</v>
      </c>
      <c r="G50" s="1064"/>
      <c r="H50" s="97"/>
      <c r="I50" s="946"/>
      <c r="J50" s="97"/>
      <c r="K50" s="946"/>
    </row>
    <row r="51" spans="1:11" s="224" customFormat="1" x14ac:dyDescent="0.25">
      <c r="A51" s="215">
        <v>42991</v>
      </c>
      <c r="B51" s="862" t="s">
        <v>1243</v>
      </c>
      <c r="C51" s="879" t="s">
        <v>12</v>
      </c>
      <c r="D51" s="879" t="s">
        <v>1522</v>
      </c>
      <c r="E51" s="871" t="s">
        <v>15</v>
      </c>
      <c r="F51" s="97">
        <v>30</v>
      </c>
      <c r="G51" s="1064"/>
      <c r="H51" s="97"/>
      <c r="I51" s="946"/>
      <c r="J51" s="97"/>
      <c r="K51" s="946"/>
    </row>
    <row r="52" spans="1:11" s="224" customFormat="1" x14ac:dyDescent="0.25">
      <c r="A52" s="215">
        <v>42992</v>
      </c>
      <c r="B52" s="862" t="s">
        <v>32</v>
      </c>
      <c r="C52" s="879" t="s">
        <v>12</v>
      </c>
      <c r="D52" s="879" t="s">
        <v>1485</v>
      </c>
      <c r="E52" s="871" t="s">
        <v>13</v>
      </c>
      <c r="F52" s="622">
        <v>14</v>
      </c>
      <c r="G52" s="1513"/>
      <c r="H52" s="97"/>
      <c r="I52" s="1473"/>
      <c r="J52" s="97"/>
      <c r="K52" s="1473"/>
    </row>
    <row r="53" spans="1:11" s="224" customFormat="1" x14ac:dyDescent="0.25">
      <c r="A53" s="215">
        <v>42992</v>
      </c>
      <c r="B53" s="862" t="s">
        <v>14</v>
      </c>
      <c r="C53" s="879" t="s">
        <v>12</v>
      </c>
      <c r="D53" s="879" t="s">
        <v>1486</v>
      </c>
      <c r="E53" s="871" t="s">
        <v>13</v>
      </c>
      <c r="F53" s="97">
        <v>2.4900000000000002</v>
      </c>
      <c r="G53" s="1064"/>
      <c r="H53" s="97"/>
      <c r="I53" s="946"/>
      <c r="J53" s="97"/>
      <c r="K53" s="946"/>
    </row>
    <row r="54" spans="1:11" s="224" customFormat="1" x14ac:dyDescent="0.25">
      <c r="A54" s="215">
        <v>42993</v>
      </c>
      <c r="B54" s="862" t="s">
        <v>32</v>
      </c>
      <c r="C54" s="879" t="s">
        <v>12</v>
      </c>
      <c r="D54" s="879" t="s">
        <v>1485</v>
      </c>
      <c r="E54" s="871" t="s">
        <v>13</v>
      </c>
      <c r="F54" s="622">
        <v>14</v>
      </c>
      <c r="G54" s="1064"/>
      <c r="H54" s="97"/>
      <c r="I54" s="1473"/>
      <c r="J54" s="97"/>
      <c r="K54" s="1473"/>
    </row>
    <row r="55" spans="1:11" s="224" customFormat="1" x14ac:dyDescent="0.25">
      <c r="A55" s="215">
        <v>42993</v>
      </c>
      <c r="B55" s="862" t="s">
        <v>14</v>
      </c>
      <c r="C55" s="879" t="s">
        <v>12</v>
      </c>
      <c r="D55" s="879" t="s">
        <v>1486</v>
      </c>
      <c r="E55" s="871" t="s">
        <v>13</v>
      </c>
      <c r="F55" s="97">
        <v>17.32</v>
      </c>
      <c r="G55" s="1064"/>
      <c r="H55" s="97"/>
      <c r="I55" s="1473"/>
      <c r="J55" s="97"/>
      <c r="K55" s="1473"/>
    </row>
    <row r="56" spans="1:11" ht="15" customHeight="1" x14ac:dyDescent="0.25">
      <c r="A56" s="215">
        <v>42993</v>
      </c>
      <c r="B56" s="349" t="s">
        <v>1396</v>
      </c>
      <c r="C56" s="350" t="s">
        <v>12</v>
      </c>
      <c r="D56" s="350"/>
      <c r="E56" s="757" t="s">
        <v>25</v>
      </c>
      <c r="F56" s="97"/>
      <c r="G56" s="946">
        <v>40</v>
      </c>
      <c r="H56" s="97"/>
      <c r="I56" s="946"/>
      <c r="J56" s="97"/>
      <c r="K56" s="946"/>
    </row>
    <row r="57" spans="1:11" s="224" customFormat="1" x14ac:dyDescent="0.25">
      <c r="A57" s="215">
        <v>42994</v>
      </c>
      <c r="B57" s="862" t="s">
        <v>256</v>
      </c>
      <c r="C57" s="879"/>
      <c r="D57" s="879"/>
      <c r="E57" s="871"/>
      <c r="F57" s="97"/>
      <c r="G57" s="1064">
        <v>160.74</v>
      </c>
      <c r="H57" s="97">
        <v>160.74</v>
      </c>
      <c r="I57" s="1473"/>
      <c r="J57" s="97"/>
      <c r="K57" s="1473"/>
    </row>
    <row r="58" spans="1:11" s="224" customFormat="1" x14ac:dyDescent="0.25">
      <c r="A58" s="215">
        <v>42994</v>
      </c>
      <c r="B58" s="862" t="s">
        <v>134</v>
      </c>
      <c r="C58" s="350" t="s">
        <v>19</v>
      </c>
      <c r="D58" s="350" t="s">
        <v>1493</v>
      </c>
      <c r="E58" s="480" t="s">
        <v>15</v>
      </c>
      <c r="F58" s="97">
        <v>18</v>
      </c>
      <c r="G58" s="1064"/>
      <c r="H58" s="97"/>
      <c r="I58" s="946"/>
      <c r="J58" s="250"/>
      <c r="K58" s="946"/>
    </row>
    <row r="59" spans="1:11" s="224" customFormat="1" x14ac:dyDescent="0.25">
      <c r="A59" s="215">
        <v>42994</v>
      </c>
      <c r="B59" s="862" t="s">
        <v>32</v>
      </c>
      <c r="C59" s="879" t="s">
        <v>12</v>
      </c>
      <c r="D59" s="879" t="s">
        <v>1485</v>
      </c>
      <c r="E59" s="871" t="s">
        <v>13</v>
      </c>
      <c r="F59" s="622">
        <v>15</v>
      </c>
      <c r="G59" s="1064"/>
      <c r="H59" s="97"/>
      <c r="I59" s="1473"/>
      <c r="J59" s="97"/>
      <c r="K59" s="1473"/>
    </row>
    <row r="60" spans="1:11" s="224" customFormat="1" x14ac:dyDescent="0.25">
      <c r="A60" s="215">
        <v>42994</v>
      </c>
      <c r="B60" s="862" t="s">
        <v>82</v>
      </c>
      <c r="C60" s="350" t="s">
        <v>12</v>
      </c>
      <c r="D60" s="350" t="s">
        <v>1493</v>
      </c>
      <c r="E60" s="480" t="s">
        <v>13</v>
      </c>
      <c r="F60" s="97">
        <v>29</v>
      </c>
      <c r="G60" s="1064"/>
      <c r="H60" s="97"/>
      <c r="I60" s="946"/>
      <c r="J60" s="250"/>
      <c r="K60" s="946"/>
    </row>
    <row r="61" spans="1:11" s="224" customFormat="1" x14ac:dyDescent="0.25">
      <c r="A61" s="215">
        <v>42995</v>
      </c>
      <c r="B61" s="862" t="s">
        <v>17</v>
      </c>
      <c r="C61" s="350" t="s">
        <v>12</v>
      </c>
      <c r="D61" s="350" t="s">
        <v>1493</v>
      </c>
      <c r="E61" s="480" t="s">
        <v>15</v>
      </c>
      <c r="F61" s="97">
        <v>7.5</v>
      </c>
      <c r="G61" s="1064"/>
      <c r="H61" s="97"/>
      <c r="I61" s="946"/>
      <c r="J61" s="250"/>
      <c r="K61" s="946"/>
    </row>
    <row r="62" spans="1:11" s="224" customFormat="1" x14ac:dyDescent="0.25">
      <c r="A62" s="215">
        <v>42995</v>
      </c>
      <c r="B62" s="862" t="s">
        <v>14</v>
      </c>
      <c r="C62" s="879" t="s">
        <v>12</v>
      </c>
      <c r="D62" s="879" t="s">
        <v>1486</v>
      </c>
      <c r="E62" s="871" t="s">
        <v>13</v>
      </c>
      <c r="F62" s="97">
        <v>7.66</v>
      </c>
      <c r="G62" s="1064"/>
      <c r="H62" s="97"/>
      <c r="I62" s="946"/>
      <c r="J62" s="250"/>
      <c r="K62" s="946"/>
    </row>
    <row r="63" spans="1:11" s="224" customFormat="1" x14ac:dyDescent="0.25">
      <c r="A63" s="215">
        <v>42996</v>
      </c>
      <c r="B63" s="862" t="s">
        <v>32</v>
      </c>
      <c r="C63" s="879" t="s">
        <v>12</v>
      </c>
      <c r="D63" s="879" t="s">
        <v>1485</v>
      </c>
      <c r="E63" s="871" t="s">
        <v>13</v>
      </c>
      <c r="F63" s="622">
        <v>14</v>
      </c>
      <c r="G63" s="1064"/>
      <c r="H63" s="97"/>
      <c r="I63" s="946"/>
      <c r="J63" s="250"/>
      <c r="K63" s="946"/>
    </row>
    <row r="64" spans="1:11" s="224" customFormat="1" x14ac:dyDescent="0.25">
      <c r="A64" s="215">
        <v>42996</v>
      </c>
      <c r="B64" s="862" t="s">
        <v>199</v>
      </c>
      <c r="C64" s="879" t="s">
        <v>12</v>
      </c>
      <c r="D64" s="879" t="s">
        <v>1522</v>
      </c>
      <c r="E64" s="871" t="s">
        <v>13</v>
      </c>
      <c r="F64" s="622">
        <v>22</v>
      </c>
      <c r="G64" s="1064"/>
      <c r="H64" s="97"/>
      <c r="I64" s="946"/>
      <c r="J64" s="250"/>
      <c r="K64" s="946"/>
    </row>
    <row r="65" spans="1:11" s="224" customFormat="1" x14ac:dyDescent="0.25">
      <c r="A65" s="215">
        <v>42996</v>
      </c>
      <c r="B65" s="862" t="s">
        <v>1697</v>
      </c>
      <c r="C65" s="879" t="s">
        <v>12</v>
      </c>
      <c r="D65" s="879" t="s">
        <v>1491</v>
      </c>
      <c r="E65" s="871" t="s">
        <v>15</v>
      </c>
      <c r="F65" s="622">
        <v>125</v>
      </c>
      <c r="G65" s="1064"/>
      <c r="H65" s="97"/>
      <c r="I65" s="946"/>
      <c r="J65" s="250"/>
      <c r="K65" s="946"/>
    </row>
    <row r="66" spans="1:11" s="224" customFormat="1" x14ac:dyDescent="0.25">
      <c r="A66" s="215">
        <v>42996</v>
      </c>
      <c r="B66" s="862" t="s">
        <v>1698</v>
      </c>
      <c r="C66" s="879" t="s">
        <v>12</v>
      </c>
      <c r="D66" s="879" t="s">
        <v>1491</v>
      </c>
      <c r="E66" s="871" t="s">
        <v>15</v>
      </c>
      <c r="F66" s="622">
        <v>25</v>
      </c>
      <c r="G66" s="1064"/>
      <c r="H66" s="97"/>
      <c r="I66" s="946"/>
      <c r="J66" s="250"/>
      <c r="K66" s="946"/>
    </row>
    <row r="67" spans="1:11" s="224" customFormat="1" x14ac:dyDescent="0.25">
      <c r="A67" s="215">
        <v>42996</v>
      </c>
      <c r="B67" s="862" t="s">
        <v>14</v>
      </c>
      <c r="C67" s="879" t="s">
        <v>12</v>
      </c>
      <c r="D67" s="879" t="s">
        <v>1486</v>
      </c>
      <c r="E67" s="871" t="s">
        <v>13</v>
      </c>
      <c r="F67" s="97">
        <v>11.18</v>
      </c>
      <c r="G67" s="1064"/>
      <c r="H67" s="97"/>
      <c r="I67" s="1473"/>
      <c r="J67" s="97"/>
      <c r="K67" s="1473"/>
    </row>
    <row r="68" spans="1:11" s="224" customFormat="1" x14ac:dyDescent="0.25">
      <c r="A68" s="215">
        <v>42997</v>
      </c>
      <c r="B68" s="862" t="s">
        <v>32</v>
      </c>
      <c r="C68" s="879" t="s">
        <v>12</v>
      </c>
      <c r="D68" s="879" t="s">
        <v>1485</v>
      </c>
      <c r="E68" s="871" t="s">
        <v>13</v>
      </c>
      <c r="F68" s="622">
        <v>14</v>
      </c>
      <c r="G68" s="1064"/>
      <c r="H68" s="97"/>
      <c r="I68" s="946"/>
      <c r="J68" s="97"/>
      <c r="K68" s="946"/>
    </row>
    <row r="69" spans="1:11" s="224" customFormat="1" x14ac:dyDescent="0.25">
      <c r="A69" s="215">
        <v>42997</v>
      </c>
      <c r="B69" s="862" t="s">
        <v>147</v>
      </c>
      <c r="C69" s="350" t="s">
        <v>12</v>
      </c>
      <c r="D69" s="350" t="s">
        <v>1489</v>
      </c>
      <c r="E69" s="145" t="s">
        <v>15</v>
      </c>
      <c r="F69" s="97">
        <v>10</v>
      </c>
      <c r="G69" s="1064"/>
      <c r="H69" s="97"/>
      <c r="I69" s="1473"/>
      <c r="J69" s="97"/>
      <c r="K69" s="1473"/>
    </row>
    <row r="70" spans="1:11" s="224" customFormat="1" ht="15" customHeight="1" x14ac:dyDescent="0.25">
      <c r="A70" s="215">
        <v>42998</v>
      </c>
      <c r="B70" s="882" t="s">
        <v>1699</v>
      </c>
      <c r="C70" s="350" t="s">
        <v>12</v>
      </c>
      <c r="D70" s="879"/>
      <c r="E70" s="875" t="s">
        <v>25</v>
      </c>
      <c r="F70" s="96"/>
      <c r="G70" s="1519">
        <v>1510.31</v>
      </c>
      <c r="H70" s="96"/>
      <c r="I70" s="1520"/>
      <c r="J70" s="525"/>
      <c r="K70" s="1482"/>
    </row>
    <row r="71" spans="1:11" s="224" customFormat="1" x14ac:dyDescent="0.25">
      <c r="A71" s="215">
        <v>42998</v>
      </c>
      <c r="B71" s="873" t="s">
        <v>1564</v>
      </c>
      <c r="C71" s="879" t="s">
        <v>12</v>
      </c>
      <c r="D71" s="879" t="s">
        <v>1491</v>
      </c>
      <c r="E71" s="871" t="s">
        <v>15</v>
      </c>
      <c r="F71" s="97">
        <v>100</v>
      </c>
      <c r="G71" s="1064"/>
      <c r="H71" s="97"/>
      <c r="I71" s="946"/>
      <c r="J71" s="97"/>
      <c r="K71" s="946"/>
    </row>
    <row r="72" spans="1:11" s="224" customFormat="1" ht="15.75" customHeight="1" x14ac:dyDescent="0.25">
      <c r="A72" s="215">
        <v>42998</v>
      </c>
      <c r="B72" s="882" t="s">
        <v>1700</v>
      </c>
      <c r="C72" s="879" t="s">
        <v>12</v>
      </c>
      <c r="D72" s="879" t="s">
        <v>1499</v>
      </c>
      <c r="E72" s="871" t="s">
        <v>13</v>
      </c>
      <c r="F72" s="97">
        <v>44.76</v>
      </c>
      <c r="G72" s="1480"/>
      <c r="H72" s="250"/>
      <c r="I72" s="946"/>
      <c r="J72" s="97"/>
      <c r="K72" s="946"/>
    </row>
    <row r="73" spans="1:11" s="224" customFormat="1" ht="15" customHeight="1" x14ac:dyDescent="0.25">
      <c r="A73" s="215">
        <v>42998</v>
      </c>
      <c r="B73" s="873" t="s">
        <v>1455</v>
      </c>
      <c r="C73" s="879" t="s">
        <v>12</v>
      </c>
      <c r="D73" s="879" t="s">
        <v>1487</v>
      </c>
      <c r="E73" s="871" t="s">
        <v>15</v>
      </c>
      <c r="F73" s="97">
        <v>60</v>
      </c>
      <c r="G73" s="1064"/>
      <c r="H73" s="97"/>
      <c r="I73" s="946"/>
      <c r="J73" s="97"/>
      <c r="K73" s="946"/>
    </row>
    <row r="74" spans="1:11" s="224" customFormat="1" ht="15" customHeight="1" x14ac:dyDescent="0.25">
      <c r="A74" s="215">
        <v>42998</v>
      </c>
      <c r="B74" s="862" t="s">
        <v>32</v>
      </c>
      <c r="C74" s="879" t="s">
        <v>12</v>
      </c>
      <c r="D74" s="879" t="s">
        <v>1485</v>
      </c>
      <c r="E74" s="871" t="s">
        <v>13</v>
      </c>
      <c r="F74" s="622">
        <v>14</v>
      </c>
      <c r="G74" s="1064"/>
      <c r="H74" s="97"/>
      <c r="I74" s="946"/>
      <c r="J74" s="97"/>
      <c r="K74" s="946"/>
    </row>
    <row r="75" spans="1:11" s="224" customFormat="1" ht="15" customHeight="1" x14ac:dyDescent="0.25">
      <c r="A75" s="215">
        <v>42998</v>
      </c>
      <c r="B75" s="862" t="s">
        <v>1257</v>
      </c>
      <c r="C75" s="879" t="s">
        <v>12</v>
      </c>
      <c r="D75" s="879" t="s">
        <v>1485</v>
      </c>
      <c r="E75" s="871" t="s">
        <v>13</v>
      </c>
      <c r="F75" s="622">
        <v>40</v>
      </c>
      <c r="G75" s="1064"/>
      <c r="H75" s="97"/>
      <c r="I75" s="946"/>
      <c r="J75" s="97"/>
      <c r="K75" s="946"/>
    </row>
    <row r="76" spans="1:11" s="224" customFormat="1" ht="15" customHeight="1" x14ac:dyDescent="0.25">
      <c r="A76" s="215">
        <v>42998</v>
      </c>
      <c r="B76" s="862" t="s">
        <v>14</v>
      </c>
      <c r="C76" s="879" t="s">
        <v>12</v>
      </c>
      <c r="D76" s="879" t="s">
        <v>1486</v>
      </c>
      <c r="E76" s="871" t="s">
        <v>13</v>
      </c>
      <c r="F76" s="97">
        <v>7.91</v>
      </c>
      <c r="G76" s="1064"/>
      <c r="H76" s="97"/>
      <c r="I76" s="946"/>
      <c r="J76" s="97"/>
      <c r="K76" s="946"/>
    </row>
    <row r="77" spans="1:11" s="224" customFormat="1" ht="15" customHeight="1" x14ac:dyDescent="0.25">
      <c r="A77" s="215">
        <v>42998</v>
      </c>
      <c r="B77" s="862" t="s">
        <v>138</v>
      </c>
      <c r="C77" s="879" t="s">
        <v>12</v>
      </c>
      <c r="D77" s="879" t="s">
        <v>1487</v>
      </c>
      <c r="E77" s="871" t="s">
        <v>15</v>
      </c>
      <c r="F77" s="97">
        <v>20</v>
      </c>
      <c r="G77" s="1064"/>
      <c r="H77" s="97"/>
      <c r="I77" s="946"/>
      <c r="J77" s="97"/>
      <c r="K77" s="946"/>
    </row>
    <row r="78" spans="1:11" s="224" customFormat="1" x14ac:dyDescent="0.25">
      <c r="A78" s="215">
        <v>42999</v>
      </c>
      <c r="B78" s="873" t="s">
        <v>1661</v>
      </c>
      <c r="C78" s="879" t="s">
        <v>12</v>
      </c>
      <c r="D78" s="879"/>
      <c r="E78" s="871" t="s">
        <v>13</v>
      </c>
      <c r="F78" s="97">
        <v>546.20000000000005</v>
      </c>
      <c r="G78" s="1064"/>
      <c r="H78" s="97"/>
      <c r="I78" s="946"/>
      <c r="J78" s="97"/>
      <c r="K78" s="946">
        <v>546.20000000000005</v>
      </c>
    </row>
    <row r="79" spans="1:11" s="224" customFormat="1" ht="15" customHeight="1" x14ac:dyDescent="0.25">
      <c r="A79" s="215">
        <v>42999</v>
      </c>
      <c r="B79" s="862" t="s">
        <v>32</v>
      </c>
      <c r="C79" s="879" t="s">
        <v>12</v>
      </c>
      <c r="D79" s="879" t="s">
        <v>1485</v>
      </c>
      <c r="E79" s="871" t="s">
        <v>13</v>
      </c>
      <c r="F79" s="622">
        <v>14</v>
      </c>
      <c r="G79" s="1064"/>
      <c r="H79" s="97"/>
      <c r="I79" s="946"/>
      <c r="J79" s="97"/>
      <c r="K79" s="946"/>
    </row>
    <row r="80" spans="1:11" s="224" customFormat="1" ht="15" customHeight="1" x14ac:dyDescent="0.25">
      <c r="A80" s="215">
        <v>42999</v>
      </c>
      <c r="B80" s="862" t="s">
        <v>14</v>
      </c>
      <c r="C80" s="879" t="s">
        <v>12</v>
      </c>
      <c r="D80" s="879" t="s">
        <v>1486</v>
      </c>
      <c r="E80" s="871" t="s">
        <v>13</v>
      </c>
      <c r="F80" s="97">
        <v>17.97</v>
      </c>
      <c r="G80" s="1064"/>
      <c r="H80" s="97"/>
      <c r="I80" s="946"/>
      <c r="J80" s="97"/>
      <c r="K80" s="946"/>
    </row>
    <row r="81" spans="1:11" s="224" customFormat="1" ht="15" customHeight="1" x14ac:dyDescent="0.25">
      <c r="A81" s="215">
        <v>42999</v>
      </c>
      <c r="B81" s="862" t="s">
        <v>1701</v>
      </c>
      <c r="C81" s="879" t="s">
        <v>12</v>
      </c>
      <c r="D81" s="879" t="s">
        <v>1489</v>
      </c>
      <c r="E81" s="871" t="s">
        <v>13</v>
      </c>
      <c r="F81" s="97">
        <v>9.4</v>
      </c>
      <c r="G81" s="1064"/>
      <c r="H81" s="97"/>
      <c r="I81" s="946"/>
      <c r="J81" s="97"/>
      <c r="K81" s="946"/>
    </row>
    <row r="82" spans="1:11" s="224" customFormat="1" ht="15" customHeight="1" x14ac:dyDescent="0.25">
      <c r="A82" s="215">
        <v>43000</v>
      </c>
      <c r="B82" s="862" t="s">
        <v>32</v>
      </c>
      <c r="C82" s="879" t="s">
        <v>12</v>
      </c>
      <c r="D82" s="879" t="s">
        <v>1485</v>
      </c>
      <c r="E82" s="871" t="s">
        <v>13</v>
      </c>
      <c r="F82" s="622">
        <v>14</v>
      </c>
      <c r="G82" s="1064"/>
      <c r="H82" s="97"/>
      <c r="I82" s="946"/>
      <c r="J82" s="97"/>
      <c r="K82" s="946"/>
    </row>
    <row r="83" spans="1:11" s="224" customFormat="1" ht="15" customHeight="1" x14ac:dyDescent="0.25">
      <c r="A83" s="215">
        <v>43000</v>
      </c>
      <c r="B83" s="862" t="s">
        <v>138</v>
      </c>
      <c r="C83" s="879" t="s">
        <v>12</v>
      </c>
      <c r="D83" s="879" t="s">
        <v>1487</v>
      </c>
      <c r="E83" s="871" t="s">
        <v>13</v>
      </c>
      <c r="F83" s="97">
        <v>70</v>
      </c>
      <c r="G83" s="1064"/>
      <c r="H83" s="97"/>
      <c r="I83" s="946"/>
      <c r="J83" s="97"/>
      <c r="K83" s="946"/>
    </row>
    <row r="84" spans="1:11" s="224" customFormat="1" ht="15" customHeight="1" x14ac:dyDescent="0.25">
      <c r="A84" s="215">
        <v>43000</v>
      </c>
      <c r="B84" s="862" t="s">
        <v>1702</v>
      </c>
      <c r="C84" s="879" t="s">
        <v>19</v>
      </c>
      <c r="D84" s="879" t="s">
        <v>1491</v>
      </c>
      <c r="E84" s="871" t="s">
        <v>13</v>
      </c>
      <c r="F84" s="97">
        <v>54</v>
      </c>
      <c r="G84" s="1064"/>
      <c r="H84" s="97"/>
      <c r="I84" s="946"/>
      <c r="J84" s="97"/>
      <c r="K84" s="946"/>
    </row>
    <row r="85" spans="1:11" s="224" customFormat="1" ht="15" customHeight="1" x14ac:dyDescent="0.25">
      <c r="A85" s="215">
        <v>43000</v>
      </c>
      <c r="B85" s="862" t="s">
        <v>1703</v>
      </c>
      <c r="C85" s="879" t="s">
        <v>19</v>
      </c>
      <c r="D85" s="879" t="s">
        <v>1506</v>
      </c>
      <c r="E85" s="871" t="s">
        <v>13</v>
      </c>
      <c r="F85" s="97">
        <v>30</v>
      </c>
      <c r="G85" s="1064"/>
      <c r="H85" s="97"/>
      <c r="I85" s="946"/>
      <c r="J85" s="97"/>
      <c r="K85" s="946"/>
    </row>
    <row r="86" spans="1:11" s="224" customFormat="1" ht="15" customHeight="1" x14ac:dyDescent="0.25">
      <c r="A86" s="215">
        <v>43000</v>
      </c>
      <c r="B86" s="862" t="s">
        <v>1704</v>
      </c>
      <c r="C86" s="879" t="s">
        <v>19</v>
      </c>
      <c r="D86" s="879" t="s">
        <v>1491</v>
      </c>
      <c r="E86" s="871" t="s">
        <v>13</v>
      </c>
      <c r="F86" s="97">
        <v>37.909999999999997</v>
      </c>
      <c r="G86" s="1064"/>
      <c r="H86" s="97"/>
      <c r="I86" s="946"/>
      <c r="J86" s="97"/>
      <c r="K86" s="946"/>
    </row>
    <row r="87" spans="1:11" s="224" customFormat="1" ht="15" customHeight="1" x14ac:dyDescent="0.25">
      <c r="A87" s="215">
        <v>43000</v>
      </c>
      <c r="B87" s="862" t="s">
        <v>14</v>
      </c>
      <c r="C87" s="879" t="s">
        <v>12</v>
      </c>
      <c r="D87" s="879" t="s">
        <v>1486</v>
      </c>
      <c r="E87" s="871" t="s">
        <v>13</v>
      </c>
      <c r="F87" s="97">
        <v>10</v>
      </c>
      <c r="G87" s="1064"/>
      <c r="H87" s="97"/>
      <c r="I87" s="946"/>
      <c r="J87" s="97"/>
      <c r="K87" s="946"/>
    </row>
    <row r="88" spans="1:11" s="224" customFormat="1" ht="15" customHeight="1" x14ac:dyDescent="0.25">
      <c r="A88" s="215">
        <v>43001</v>
      </c>
      <c r="B88" s="873" t="s">
        <v>914</v>
      </c>
      <c r="C88" s="879" t="s">
        <v>12</v>
      </c>
      <c r="D88" s="879" t="s">
        <v>1491</v>
      </c>
      <c r="E88" s="871" t="s">
        <v>13</v>
      </c>
      <c r="F88" s="97">
        <v>4.1100000000000003</v>
      </c>
      <c r="G88" s="1064"/>
      <c r="H88" s="97"/>
      <c r="I88" s="946"/>
      <c r="J88" s="97"/>
      <c r="K88" s="946"/>
    </row>
    <row r="89" spans="1:11" s="224" customFormat="1" x14ac:dyDescent="0.25">
      <c r="A89" s="215">
        <v>43002</v>
      </c>
      <c r="B89" s="862" t="s">
        <v>1705</v>
      </c>
      <c r="C89" s="879" t="s">
        <v>12</v>
      </c>
      <c r="D89" s="879" t="s">
        <v>1523</v>
      </c>
      <c r="E89" s="871" t="s">
        <v>13</v>
      </c>
      <c r="F89" s="97">
        <v>24</v>
      </c>
      <c r="G89" s="1064"/>
      <c r="H89" s="97"/>
      <c r="I89" s="946"/>
      <c r="J89" s="97"/>
      <c r="K89" s="946"/>
    </row>
    <row r="90" spans="1:11" s="224" customFormat="1" x14ac:dyDescent="0.25">
      <c r="A90" s="215">
        <v>43002</v>
      </c>
      <c r="B90" s="862" t="s">
        <v>14</v>
      </c>
      <c r="C90" s="879" t="s">
        <v>12</v>
      </c>
      <c r="D90" s="879" t="s">
        <v>1486</v>
      </c>
      <c r="E90" s="871" t="s">
        <v>13</v>
      </c>
      <c r="F90" s="97">
        <v>5.99</v>
      </c>
      <c r="G90" s="1064"/>
      <c r="H90" s="97"/>
      <c r="I90" s="946"/>
      <c r="J90" s="97"/>
      <c r="K90" s="946"/>
    </row>
    <row r="91" spans="1:11" s="224" customFormat="1" x14ac:dyDescent="0.25">
      <c r="A91" s="215">
        <v>43002</v>
      </c>
      <c r="B91" s="862" t="s">
        <v>1706</v>
      </c>
      <c r="C91" s="879" t="s">
        <v>12</v>
      </c>
      <c r="D91" s="879" t="s">
        <v>1491</v>
      </c>
      <c r="E91" s="871" t="s">
        <v>15</v>
      </c>
      <c r="F91" s="97">
        <v>120</v>
      </c>
      <c r="G91" s="1064"/>
      <c r="H91" s="97"/>
      <c r="I91" s="946"/>
      <c r="J91" s="97"/>
      <c r="K91" s="946"/>
    </row>
    <row r="92" spans="1:11" s="224" customFormat="1" x14ac:dyDescent="0.25">
      <c r="A92" s="215">
        <v>43002</v>
      </c>
      <c r="B92" s="862" t="s">
        <v>1707</v>
      </c>
      <c r="C92" s="879" t="s">
        <v>12</v>
      </c>
      <c r="D92" s="879" t="s">
        <v>1491</v>
      </c>
      <c r="E92" s="871" t="s">
        <v>15</v>
      </c>
      <c r="F92" s="97">
        <v>30</v>
      </c>
      <c r="G92" s="1064"/>
      <c r="H92" s="97"/>
      <c r="I92" s="946"/>
      <c r="J92" s="97"/>
      <c r="K92" s="946"/>
    </row>
    <row r="93" spans="1:11" s="224" customFormat="1" x14ac:dyDescent="0.25">
      <c r="A93" s="215">
        <v>43002</v>
      </c>
      <c r="B93" s="862" t="s">
        <v>1708</v>
      </c>
      <c r="C93" s="879" t="s">
        <v>12</v>
      </c>
      <c r="D93" s="879" t="s">
        <v>1489</v>
      </c>
      <c r="E93" s="871" t="s">
        <v>15</v>
      </c>
      <c r="F93" s="97">
        <v>30</v>
      </c>
      <c r="G93" s="1064"/>
      <c r="H93" s="97"/>
      <c r="I93" s="946"/>
      <c r="J93" s="97"/>
      <c r="K93" s="946"/>
    </row>
    <row r="94" spans="1:11" s="224" customFormat="1" x14ac:dyDescent="0.25">
      <c r="A94" s="215">
        <v>43003</v>
      </c>
      <c r="B94" s="862" t="s">
        <v>1683</v>
      </c>
      <c r="C94" s="350" t="s">
        <v>12</v>
      </c>
      <c r="D94" s="874" t="s">
        <v>1504</v>
      </c>
      <c r="E94" s="875" t="s">
        <v>13</v>
      </c>
      <c r="F94" s="97">
        <v>60.9</v>
      </c>
      <c r="G94" s="1064"/>
      <c r="H94" s="97"/>
      <c r="I94" s="946"/>
      <c r="J94" s="97"/>
      <c r="K94" s="946"/>
    </row>
    <row r="95" spans="1:11" s="224" customFormat="1" ht="15" customHeight="1" x14ac:dyDescent="0.25">
      <c r="A95" s="215">
        <v>43003</v>
      </c>
      <c r="B95" s="862" t="s">
        <v>32</v>
      </c>
      <c r="C95" s="879" t="s">
        <v>12</v>
      </c>
      <c r="D95" s="879" t="s">
        <v>1485</v>
      </c>
      <c r="E95" s="871" t="s">
        <v>13</v>
      </c>
      <c r="F95" s="622">
        <v>14</v>
      </c>
      <c r="G95" s="1064"/>
      <c r="H95" s="97"/>
      <c r="I95" s="946"/>
      <c r="J95" s="97"/>
      <c r="K95" s="946"/>
    </row>
    <row r="96" spans="1:11" s="224" customFormat="1" x14ac:dyDescent="0.25">
      <c r="A96" s="215">
        <v>43003</v>
      </c>
      <c r="B96" s="862" t="s">
        <v>134</v>
      </c>
      <c r="C96" s="879" t="s">
        <v>12</v>
      </c>
      <c r="D96" s="879" t="s">
        <v>1493</v>
      </c>
      <c r="E96" s="871" t="s">
        <v>15</v>
      </c>
      <c r="F96" s="97">
        <v>18.96</v>
      </c>
      <c r="G96" s="1064"/>
      <c r="H96" s="97"/>
      <c r="I96" s="946"/>
      <c r="J96" s="97"/>
      <c r="K96" s="946"/>
    </row>
    <row r="97" spans="1:11" s="224" customFormat="1" x14ac:dyDescent="0.25">
      <c r="A97" s="215">
        <v>43004</v>
      </c>
      <c r="B97" s="862" t="s">
        <v>32</v>
      </c>
      <c r="C97" s="879" t="s">
        <v>12</v>
      </c>
      <c r="D97" s="879" t="s">
        <v>1485</v>
      </c>
      <c r="E97" s="871" t="s">
        <v>13</v>
      </c>
      <c r="F97" s="622">
        <v>14</v>
      </c>
      <c r="G97" s="1064"/>
      <c r="H97" s="97"/>
      <c r="I97" s="946"/>
      <c r="J97" s="97"/>
      <c r="K97" s="946"/>
    </row>
    <row r="98" spans="1:11" s="224" customFormat="1" x14ac:dyDescent="0.25">
      <c r="A98" s="215">
        <v>43004</v>
      </c>
      <c r="B98" s="862" t="s">
        <v>14</v>
      </c>
      <c r="C98" s="879" t="s">
        <v>12</v>
      </c>
      <c r="D98" s="879" t="s">
        <v>1486</v>
      </c>
      <c r="E98" s="871" t="s">
        <v>13</v>
      </c>
      <c r="F98" s="97">
        <v>6.05</v>
      </c>
      <c r="G98" s="1064"/>
      <c r="H98" s="97"/>
      <c r="I98" s="946"/>
      <c r="J98" s="97"/>
      <c r="K98" s="946"/>
    </row>
    <row r="99" spans="1:11" s="224" customFormat="1" x14ac:dyDescent="0.25">
      <c r="A99" s="215">
        <v>43005</v>
      </c>
      <c r="B99" s="862" t="s">
        <v>32</v>
      </c>
      <c r="C99" s="879" t="s">
        <v>12</v>
      </c>
      <c r="D99" s="879" t="s">
        <v>1485</v>
      </c>
      <c r="E99" s="871" t="s">
        <v>13</v>
      </c>
      <c r="F99" s="622">
        <v>14</v>
      </c>
      <c r="G99" s="1064"/>
      <c r="H99" s="97"/>
      <c r="I99" s="946"/>
      <c r="J99" s="97"/>
      <c r="K99" s="946"/>
    </row>
    <row r="100" spans="1:11" s="224" customFormat="1" x14ac:dyDescent="0.25">
      <c r="A100" s="215">
        <v>43005</v>
      </c>
      <c r="B100" s="862" t="s">
        <v>14</v>
      </c>
      <c r="C100" s="879" t="s">
        <v>12</v>
      </c>
      <c r="D100" s="879" t="s">
        <v>1486</v>
      </c>
      <c r="E100" s="871" t="s">
        <v>13</v>
      </c>
      <c r="F100" s="97">
        <v>5.59</v>
      </c>
      <c r="G100" s="1064"/>
      <c r="H100" s="97"/>
      <c r="I100" s="946"/>
      <c r="J100" s="97"/>
      <c r="K100" s="946"/>
    </row>
    <row r="101" spans="1:11" s="224" customFormat="1" x14ac:dyDescent="0.25">
      <c r="A101" s="215">
        <v>43006</v>
      </c>
      <c r="B101" s="862" t="s">
        <v>138</v>
      </c>
      <c r="C101" s="350" t="s">
        <v>12</v>
      </c>
      <c r="D101" s="350" t="s">
        <v>1487</v>
      </c>
      <c r="E101" s="480" t="s">
        <v>15</v>
      </c>
      <c r="F101" s="97">
        <v>20</v>
      </c>
      <c r="G101" s="1064"/>
      <c r="H101" s="97"/>
      <c r="I101" s="946"/>
      <c r="J101" s="97"/>
      <c r="K101" s="946"/>
    </row>
    <row r="102" spans="1:11" s="224" customFormat="1" x14ac:dyDescent="0.25">
      <c r="A102" s="215">
        <v>43006</v>
      </c>
      <c r="B102" s="862" t="s">
        <v>134</v>
      </c>
      <c r="C102" s="350" t="s">
        <v>12</v>
      </c>
      <c r="D102" s="350" t="s">
        <v>1493</v>
      </c>
      <c r="E102" s="480" t="s">
        <v>13</v>
      </c>
      <c r="F102" s="97">
        <v>9.5</v>
      </c>
      <c r="G102" s="1064"/>
      <c r="H102" s="97"/>
      <c r="I102" s="946"/>
      <c r="J102" s="97"/>
      <c r="K102" s="946"/>
    </row>
    <row r="103" spans="1:11" s="224" customFormat="1" x14ac:dyDescent="0.25">
      <c r="A103" s="215">
        <v>43006</v>
      </c>
      <c r="B103" s="862" t="s">
        <v>1709</v>
      </c>
      <c r="C103" s="350" t="s">
        <v>12</v>
      </c>
      <c r="D103" s="350" t="s">
        <v>1489</v>
      </c>
      <c r="E103" s="480" t="s">
        <v>15</v>
      </c>
      <c r="F103" s="97">
        <v>4.8499999999999996</v>
      </c>
      <c r="G103" s="1064"/>
      <c r="H103" s="97"/>
      <c r="I103" s="946"/>
      <c r="J103" s="97"/>
      <c r="K103" s="946"/>
    </row>
    <row r="104" spans="1:11" s="224" customFormat="1" x14ac:dyDescent="0.25">
      <c r="A104" s="215">
        <v>43006</v>
      </c>
      <c r="B104" s="862" t="s">
        <v>32</v>
      </c>
      <c r="C104" s="879" t="s">
        <v>12</v>
      </c>
      <c r="D104" s="879" t="s">
        <v>1485</v>
      </c>
      <c r="E104" s="871" t="s">
        <v>13</v>
      </c>
      <c r="F104" s="622">
        <v>14</v>
      </c>
      <c r="G104" s="1064"/>
      <c r="H104" s="97"/>
      <c r="I104" s="946"/>
      <c r="J104" s="97"/>
      <c r="K104" s="946"/>
    </row>
    <row r="105" spans="1:11" s="224" customFormat="1" x14ac:dyDescent="0.25">
      <c r="A105" s="215">
        <v>43006</v>
      </c>
      <c r="B105" s="862" t="s">
        <v>14</v>
      </c>
      <c r="C105" s="879" t="s">
        <v>12</v>
      </c>
      <c r="D105" s="879" t="s">
        <v>1486</v>
      </c>
      <c r="E105" s="871" t="s">
        <v>15</v>
      </c>
      <c r="F105" s="97">
        <v>2</v>
      </c>
      <c r="G105" s="1064"/>
      <c r="H105" s="97"/>
      <c r="I105" s="946"/>
      <c r="J105" s="97"/>
      <c r="K105" s="946"/>
    </row>
    <row r="106" spans="1:11" s="224" customFormat="1" x14ac:dyDescent="0.25">
      <c r="A106" s="215">
        <v>43007</v>
      </c>
      <c r="B106" s="862" t="s">
        <v>1710</v>
      </c>
      <c r="C106" s="879" t="s">
        <v>12</v>
      </c>
      <c r="D106" s="879" t="s">
        <v>1504</v>
      </c>
      <c r="E106" s="871" t="s">
        <v>13</v>
      </c>
      <c r="F106" s="622">
        <v>19.899999999999999</v>
      </c>
      <c r="G106" s="1064"/>
      <c r="H106" s="97"/>
      <c r="I106" s="946"/>
      <c r="J106" s="97"/>
      <c r="K106" s="946"/>
    </row>
    <row r="107" spans="1:11" s="224" customFormat="1" x14ac:dyDescent="0.25">
      <c r="A107" s="215">
        <v>43007</v>
      </c>
      <c r="B107" s="862" t="s">
        <v>256</v>
      </c>
      <c r="C107" s="879"/>
      <c r="D107" s="879"/>
      <c r="E107" s="871"/>
      <c r="F107" s="97"/>
      <c r="G107" s="1064">
        <v>150</v>
      </c>
      <c r="H107" s="97">
        <v>150</v>
      </c>
      <c r="I107" s="1473"/>
      <c r="J107" s="97"/>
      <c r="K107" s="1473"/>
    </row>
    <row r="108" spans="1:11" s="224" customFormat="1" x14ac:dyDescent="0.25">
      <c r="A108" s="215">
        <v>43007</v>
      </c>
      <c r="B108" s="862" t="s">
        <v>32</v>
      </c>
      <c r="C108" s="879" t="s">
        <v>12</v>
      </c>
      <c r="D108" s="879" t="s">
        <v>1485</v>
      </c>
      <c r="E108" s="871" t="s">
        <v>13</v>
      </c>
      <c r="F108" s="622">
        <v>14</v>
      </c>
      <c r="G108" s="1064"/>
      <c r="H108" s="97"/>
      <c r="I108" s="1473"/>
      <c r="J108" s="97"/>
      <c r="K108" s="946"/>
    </row>
    <row r="109" spans="1:11" s="224" customFormat="1" x14ac:dyDescent="0.25">
      <c r="A109" s="215">
        <v>43007</v>
      </c>
      <c r="B109" s="862" t="s">
        <v>518</v>
      </c>
      <c r="C109" s="350" t="s">
        <v>12</v>
      </c>
      <c r="D109" s="350" t="s">
        <v>1487</v>
      </c>
      <c r="E109" s="480" t="s">
        <v>13</v>
      </c>
      <c r="F109" s="97">
        <v>20</v>
      </c>
      <c r="G109" s="1064"/>
      <c r="H109" s="97"/>
      <c r="I109" s="1473"/>
      <c r="J109" s="97"/>
      <c r="K109" s="946"/>
    </row>
    <row r="110" spans="1:11" s="224" customFormat="1" x14ac:dyDescent="0.25">
      <c r="A110" s="215">
        <v>43008</v>
      </c>
      <c r="B110" s="862" t="s">
        <v>82</v>
      </c>
      <c r="C110" s="350" t="s">
        <v>12</v>
      </c>
      <c r="D110" s="350" t="s">
        <v>1493</v>
      </c>
      <c r="E110" s="480" t="s">
        <v>13</v>
      </c>
      <c r="F110" s="97">
        <v>32</v>
      </c>
      <c r="G110" s="1064"/>
      <c r="H110" s="97"/>
      <c r="I110" s="946"/>
      <c r="J110" s="97"/>
      <c r="K110" s="946"/>
    </row>
    <row r="111" spans="1:11" s="224" customFormat="1" x14ac:dyDescent="0.25">
      <c r="A111" s="215">
        <v>43008</v>
      </c>
      <c r="B111" s="862" t="s">
        <v>1711</v>
      </c>
      <c r="C111" s="350" t="s">
        <v>12</v>
      </c>
      <c r="D111" s="350" t="s">
        <v>1489</v>
      </c>
      <c r="E111" s="480" t="s">
        <v>15</v>
      </c>
      <c r="F111" s="97">
        <v>4.8499999999999996</v>
      </c>
      <c r="G111" s="1064"/>
      <c r="H111" s="97"/>
      <c r="I111" s="946"/>
      <c r="J111" s="97"/>
      <c r="K111" s="946"/>
    </row>
    <row r="112" spans="1:11" s="224" customFormat="1" x14ac:dyDescent="0.25">
      <c r="A112" s="215">
        <v>43008</v>
      </c>
      <c r="B112" s="862" t="s">
        <v>1666</v>
      </c>
      <c r="C112" s="350" t="s">
        <v>12</v>
      </c>
      <c r="D112" s="350"/>
      <c r="E112" s="757" t="s">
        <v>25</v>
      </c>
      <c r="F112" s="97"/>
      <c r="G112" s="946"/>
      <c r="H112" s="97"/>
      <c r="I112" s="946"/>
      <c r="J112" s="97"/>
      <c r="K112" s="946">
        <v>20</v>
      </c>
    </row>
    <row r="113" spans="1:12" s="224" customFormat="1" ht="15.75" thickBot="1" x14ac:dyDescent="0.3">
      <c r="A113" s="215">
        <v>43008</v>
      </c>
      <c r="B113" s="862" t="s">
        <v>32</v>
      </c>
      <c r="C113" s="879" t="s">
        <v>12</v>
      </c>
      <c r="D113" s="879" t="s">
        <v>1485</v>
      </c>
      <c r="E113" s="871" t="s">
        <v>13</v>
      </c>
      <c r="F113" s="97">
        <v>14</v>
      </c>
      <c r="G113" s="1064"/>
      <c r="H113" s="97"/>
      <c r="I113" s="946"/>
      <c r="J113" s="97"/>
      <c r="K113" s="946"/>
    </row>
    <row r="114" spans="1:12" ht="25.5" customHeight="1" thickBot="1" x14ac:dyDescent="0.3">
      <c r="A114" s="3060"/>
      <c r="B114" s="3061"/>
      <c r="C114" s="3062"/>
      <c r="D114" s="3062"/>
      <c r="E114" s="3062"/>
      <c r="F114" s="100">
        <f>SUM(F6:F113)</f>
        <v>4903.0899999999992</v>
      </c>
      <c r="G114" s="1065">
        <f>SUM(G5:G113)</f>
        <v>5082.2700000000059</v>
      </c>
      <c r="H114" s="101">
        <f>SUM(H6:H113)</f>
        <v>1715.23</v>
      </c>
      <c r="I114" s="93">
        <f>SUM(I5:I113)</f>
        <v>4065.2260000000015</v>
      </c>
      <c r="J114" s="774"/>
      <c r="K114" s="1516"/>
      <c r="L114" s="89"/>
    </row>
    <row r="115" spans="1:12" ht="25.5" customHeight="1" thickBot="1" x14ac:dyDescent="0.3">
      <c r="A115" s="3117" t="s">
        <v>49</v>
      </c>
      <c r="B115" s="3118"/>
      <c r="C115" s="3118"/>
      <c r="D115" s="3118"/>
      <c r="E115" s="3118"/>
      <c r="F115" s="144"/>
      <c r="G115" s="519">
        <f>G114-F114</f>
        <v>179.18000000000666</v>
      </c>
      <c r="H115" s="555"/>
      <c r="I115" s="772">
        <f>I114-H114</f>
        <v>2349.9960000000015</v>
      </c>
      <c r="J115" s="773"/>
      <c r="K115" s="775">
        <f>SUM(K5:K114)</f>
        <v>3566.45</v>
      </c>
    </row>
    <row r="116" spans="1:12" x14ac:dyDescent="0.25">
      <c r="G116" s="89"/>
      <c r="J116" s="769"/>
      <c r="K116" s="868"/>
    </row>
    <row r="117" spans="1:12" x14ac:dyDescent="0.25">
      <c r="B117" s="79" t="s">
        <v>32</v>
      </c>
      <c r="C117" s="475">
        <v>295</v>
      </c>
      <c r="D117" s="85" t="s">
        <v>1485</v>
      </c>
      <c r="J117" s="769"/>
      <c r="K117" s="866"/>
    </row>
    <row r="118" spans="1:12" x14ac:dyDescent="0.25">
      <c r="B118" s="79" t="s">
        <v>1218</v>
      </c>
      <c r="C118" s="475">
        <v>320</v>
      </c>
      <c r="D118" s="85" t="s">
        <v>1487</v>
      </c>
      <c r="J118" s="769"/>
      <c r="K118" s="868"/>
    </row>
    <row r="119" spans="1:12" x14ac:dyDescent="0.25">
      <c r="B119" s="79" t="s">
        <v>50</v>
      </c>
      <c r="C119" s="484">
        <v>181.64</v>
      </c>
      <c r="D119" s="85" t="s">
        <v>1493</v>
      </c>
      <c r="J119" s="769"/>
      <c r="K119" s="866"/>
    </row>
    <row r="120" spans="1:12" s="85" customFormat="1" x14ac:dyDescent="0.25">
      <c r="A120" s="79"/>
      <c r="B120" s="79" t="s">
        <v>14</v>
      </c>
      <c r="C120" s="484">
        <v>191.58</v>
      </c>
      <c r="D120" s="85" t="s">
        <v>1486</v>
      </c>
      <c r="J120" s="769"/>
      <c r="K120" s="866"/>
    </row>
    <row r="121" spans="1:12" s="85" customFormat="1" x14ac:dyDescent="0.25">
      <c r="A121" s="79"/>
      <c r="B121" s="79" t="s">
        <v>51</v>
      </c>
      <c r="C121" s="475">
        <v>113.91</v>
      </c>
      <c r="D121" s="864" t="s">
        <v>1499</v>
      </c>
      <c r="E121" s="79"/>
      <c r="F121" s="89"/>
      <c r="G121" s="79"/>
      <c r="H121" s="79"/>
      <c r="I121" s="79"/>
      <c r="J121" s="769"/>
      <c r="K121" s="866"/>
    </row>
    <row r="122" spans="1:12" s="85" customFormat="1" x14ac:dyDescent="0.25">
      <c r="A122" s="79"/>
      <c r="B122" s="79" t="s">
        <v>52</v>
      </c>
      <c r="C122" s="475">
        <v>60</v>
      </c>
      <c r="D122" s="864" t="s">
        <v>1496</v>
      </c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867" t="s">
        <v>53</v>
      </c>
      <c r="C123" s="475">
        <v>52</v>
      </c>
      <c r="D123" s="864" t="s">
        <v>1522</v>
      </c>
      <c r="E123" s="8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1232</v>
      </c>
      <c r="C124" s="475"/>
      <c r="D124" s="864" t="s">
        <v>1515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56</v>
      </c>
      <c r="C125" s="475">
        <v>84</v>
      </c>
      <c r="D125" s="864" t="s">
        <v>1523</v>
      </c>
      <c r="F125" s="89"/>
      <c r="G125" s="79"/>
      <c r="H125" s="79"/>
      <c r="I125" s="79"/>
      <c r="J125" s="769"/>
      <c r="K125" s="868"/>
    </row>
    <row r="126" spans="1:12" s="85" customFormat="1" x14ac:dyDescent="0.25">
      <c r="A126" s="79"/>
      <c r="B126" s="79" t="s">
        <v>1686</v>
      </c>
      <c r="C126" s="475">
        <v>140.72999999999999</v>
      </c>
      <c r="D126" s="864" t="s">
        <v>1506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418</v>
      </c>
      <c r="C127" s="475"/>
      <c r="D127" s="85" t="s">
        <v>1524</v>
      </c>
      <c r="E127" s="79"/>
      <c r="F127" s="89"/>
      <c r="J127" s="769"/>
      <c r="K127" s="866"/>
    </row>
    <row r="128" spans="1:12" x14ac:dyDescent="0.25">
      <c r="B128" s="79" t="s">
        <v>419</v>
      </c>
      <c r="C128" s="475">
        <v>947.79</v>
      </c>
      <c r="D128" s="85" t="s">
        <v>1491</v>
      </c>
      <c r="J128" s="769"/>
      <c r="K128" s="868"/>
    </row>
    <row r="129" spans="2:12" x14ac:dyDescent="0.25">
      <c r="B129" s="79" t="s">
        <v>911</v>
      </c>
      <c r="C129" s="475"/>
      <c r="D129" s="85" t="s">
        <v>1525</v>
      </c>
      <c r="J129" s="769"/>
      <c r="K129" s="868"/>
    </row>
    <row r="130" spans="2:12" x14ac:dyDescent="0.25">
      <c r="B130" s="79" t="s">
        <v>1526</v>
      </c>
      <c r="C130" s="475">
        <v>140.80000000000001</v>
      </c>
      <c r="D130" s="85" t="s">
        <v>1504</v>
      </c>
      <c r="E130" s="79"/>
      <c r="J130" s="769"/>
      <c r="K130" s="866"/>
    </row>
    <row r="131" spans="2:12" x14ac:dyDescent="0.25">
      <c r="B131" s="79" t="s">
        <v>1527</v>
      </c>
      <c r="C131" s="475">
        <v>190.77</v>
      </c>
      <c r="D131" s="85" t="s">
        <v>1489</v>
      </c>
      <c r="J131" s="769"/>
      <c r="K131" s="868"/>
    </row>
    <row r="132" spans="2:12" x14ac:dyDescent="0.25">
      <c r="J132" s="769"/>
      <c r="K132" s="866"/>
    </row>
    <row r="133" spans="2:12" x14ac:dyDescent="0.25">
      <c r="J133" s="769"/>
      <c r="K133" s="866"/>
    </row>
    <row r="134" spans="2:12" x14ac:dyDescent="0.25">
      <c r="B134" s="79" t="s">
        <v>486</v>
      </c>
      <c r="C134" s="475">
        <f>H134/J134</f>
        <v>90.62166666666667</v>
      </c>
      <c r="F134" s="224" t="s">
        <v>487</v>
      </c>
      <c r="H134" s="216">
        <v>2718.65</v>
      </c>
      <c r="I134" s="518" t="s">
        <v>488</v>
      </c>
      <c r="J134" s="1517">
        <v>30</v>
      </c>
      <c r="K134" s="866"/>
      <c r="L134" s="85"/>
    </row>
    <row r="135" spans="2:12" x14ac:dyDescent="0.25">
      <c r="J135" s="769"/>
      <c r="K135" s="866"/>
    </row>
    <row r="136" spans="2:12" x14ac:dyDescent="0.25">
      <c r="J136" s="769"/>
      <c r="K136" s="868"/>
    </row>
    <row r="137" spans="2:12" x14ac:dyDescent="0.25">
      <c r="J137" s="769"/>
      <c r="K137" s="866"/>
    </row>
    <row r="138" spans="2:12" x14ac:dyDescent="0.25">
      <c r="D138" s="79"/>
      <c r="E138" s="79"/>
      <c r="J138" s="769"/>
      <c r="K138" s="866"/>
    </row>
    <row r="139" spans="2:12" x14ac:dyDescent="0.25">
      <c r="J139" s="769"/>
      <c r="K139" s="866"/>
    </row>
    <row r="140" spans="2:12" x14ac:dyDescent="0.25">
      <c r="J140" s="769"/>
      <c r="K140" s="866"/>
    </row>
    <row r="141" spans="2:12" x14ac:dyDescent="0.25">
      <c r="J141" s="769"/>
      <c r="K141" s="866"/>
    </row>
    <row r="142" spans="2:12" x14ac:dyDescent="0.25">
      <c r="C142" s="79"/>
      <c r="D142" s="79"/>
      <c r="E142" s="79"/>
      <c r="F142" s="79"/>
      <c r="I142" s="216"/>
      <c r="J142" s="769"/>
      <c r="K142" s="866"/>
    </row>
    <row r="143" spans="2:12" x14ac:dyDescent="0.25">
      <c r="C143" s="79"/>
      <c r="D143" s="79"/>
      <c r="E143" s="79"/>
      <c r="F143" s="79"/>
      <c r="I143" s="216"/>
      <c r="J143" s="769"/>
      <c r="K143" s="866"/>
    </row>
    <row r="144" spans="2:12" x14ac:dyDescent="0.25">
      <c r="C144" s="79"/>
      <c r="D144" s="79"/>
      <c r="E144" s="79"/>
      <c r="F144" s="79"/>
      <c r="G144" s="216"/>
      <c r="I144" s="216"/>
      <c r="J144" s="769"/>
      <c r="K144" s="868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J146" s="770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8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629"/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J169" s="769"/>
      <c r="K169" s="868"/>
    </row>
    <row r="170" spans="3:11" x14ac:dyDescent="0.25">
      <c r="J170" s="769"/>
      <c r="K170" s="868"/>
    </row>
    <row r="171" spans="3:11" x14ac:dyDescent="0.25">
      <c r="J171" s="769"/>
      <c r="K171" s="868"/>
    </row>
    <row r="172" spans="3:11" x14ac:dyDescent="0.25">
      <c r="J172" s="769"/>
      <c r="K172" s="868"/>
    </row>
    <row r="173" spans="3:11" x14ac:dyDescent="0.25">
      <c r="J173" s="769"/>
      <c r="K173" s="866"/>
    </row>
    <row r="174" spans="3:11" x14ac:dyDescent="0.25">
      <c r="J174" s="223"/>
      <c r="K174" s="629"/>
    </row>
    <row r="175" spans="3:11" x14ac:dyDescent="0.25">
      <c r="J175" s="756"/>
      <c r="K175" s="756"/>
    </row>
    <row r="180" spans="10:11" x14ac:dyDescent="0.25">
      <c r="J180" s="85"/>
      <c r="K180" s="85"/>
    </row>
    <row r="187" spans="10:11" x14ac:dyDescent="0.25">
      <c r="J187" s="85"/>
      <c r="K187" s="85"/>
    </row>
    <row r="194" spans="10:11" x14ac:dyDescent="0.25">
      <c r="J194" s="771"/>
      <c r="K194" s="518"/>
    </row>
    <row r="202" spans="10:11" x14ac:dyDescent="0.25">
      <c r="K202" s="216"/>
    </row>
    <row r="203" spans="10:11" x14ac:dyDescent="0.25">
      <c r="K203" s="216"/>
    </row>
    <row r="204" spans="10:11" x14ac:dyDescent="0.25">
      <c r="K204" s="216"/>
    </row>
    <row r="205" spans="10:11" x14ac:dyDescent="0.25">
      <c r="K205" s="216"/>
    </row>
    <row r="207" spans="10:11" x14ac:dyDescent="0.25">
      <c r="K207" s="216"/>
    </row>
    <row r="209" spans="11:11" x14ac:dyDescent="0.25">
      <c r="K209" s="629"/>
    </row>
    <row r="215" spans="11:11" x14ac:dyDescent="0.25">
      <c r="K215" s="216"/>
    </row>
    <row r="216" spans="11:11" x14ac:dyDescent="0.25">
      <c r="K216" s="216"/>
    </row>
    <row r="217" spans="11:11" x14ac:dyDescent="0.25">
      <c r="K217" s="216"/>
    </row>
    <row r="218" spans="11:11" x14ac:dyDescent="0.25">
      <c r="K218" s="216"/>
    </row>
    <row r="219" spans="11:11" x14ac:dyDescent="0.25">
      <c r="K219" s="216"/>
    </row>
    <row r="220" spans="11:11" x14ac:dyDescent="0.25">
      <c r="K220" s="216"/>
    </row>
    <row r="221" spans="11:11" x14ac:dyDescent="0.25">
      <c r="K221" s="216"/>
    </row>
    <row r="222" spans="11:11" x14ac:dyDescent="0.25">
      <c r="K222" s="216"/>
    </row>
    <row r="223" spans="11:11" x14ac:dyDescent="0.25">
      <c r="K223" s="216"/>
    </row>
  </sheetData>
  <autoFilter ref="A2:I115" xr:uid="{00000000-0009-0000-0000-000040000000}"/>
  <mergeCells count="12">
    <mergeCell ref="A114:E114"/>
    <mergeCell ref="A115:E11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Plan78"/>
  <dimension ref="A1:L236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1712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084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43009</v>
      </c>
      <c r="B5" s="369" t="s">
        <v>10</v>
      </c>
      <c r="C5" s="370"/>
      <c r="D5" s="370"/>
      <c r="E5" s="777"/>
      <c r="F5" s="179"/>
      <c r="G5" s="1479">
        <f>'Setembro-17'!G115</f>
        <v>179.18000000000666</v>
      </c>
      <c r="H5" s="179"/>
      <c r="I5" s="933">
        <f>'Setembro-17'!I115</f>
        <v>2349.9960000000015</v>
      </c>
      <c r="J5" s="179"/>
      <c r="K5" s="933">
        <f>'Setembro-17'!K115</f>
        <v>3566.45</v>
      </c>
    </row>
    <row r="6" spans="1:11" s="224" customFormat="1" x14ac:dyDescent="0.25">
      <c r="A6" s="215">
        <v>43009</v>
      </c>
      <c r="B6" s="348" t="s">
        <v>11</v>
      </c>
      <c r="C6" s="351"/>
      <c r="D6" s="351"/>
      <c r="E6" s="673"/>
      <c r="F6" s="250">
        <v>20</v>
      </c>
      <c r="G6" s="1480"/>
      <c r="H6" s="250"/>
      <c r="I6" s="1473"/>
      <c r="J6" s="250"/>
      <c r="K6" s="1473"/>
    </row>
    <row r="7" spans="1:11" s="224" customFormat="1" x14ac:dyDescent="0.25">
      <c r="A7" s="215">
        <v>43009</v>
      </c>
      <c r="B7" s="862" t="s">
        <v>256</v>
      </c>
      <c r="C7" s="879"/>
      <c r="D7" s="879"/>
      <c r="E7" s="871"/>
      <c r="F7" s="97"/>
      <c r="G7" s="1064">
        <v>150</v>
      </c>
      <c r="H7" s="97">
        <v>150</v>
      </c>
      <c r="I7" s="946"/>
      <c r="J7" s="97"/>
      <c r="K7" s="946"/>
    </row>
    <row r="8" spans="1:11" s="224" customFormat="1" x14ac:dyDescent="0.25">
      <c r="A8" s="215">
        <v>43009</v>
      </c>
      <c r="B8" s="862" t="s">
        <v>1438</v>
      </c>
      <c r="C8" s="350" t="s">
        <v>12</v>
      </c>
      <c r="D8" s="350" t="s">
        <v>1489</v>
      </c>
      <c r="E8" s="480" t="s">
        <v>13</v>
      </c>
      <c r="F8" s="97">
        <v>43.56</v>
      </c>
      <c r="G8" s="946"/>
      <c r="H8" s="97"/>
      <c r="I8" s="946"/>
      <c r="J8" s="97"/>
      <c r="K8" s="946"/>
    </row>
    <row r="9" spans="1:11" s="224" customFormat="1" x14ac:dyDescent="0.25">
      <c r="A9" s="215">
        <v>43009</v>
      </c>
      <c r="B9" s="862" t="s">
        <v>14</v>
      </c>
      <c r="C9" s="879" t="s">
        <v>12</v>
      </c>
      <c r="D9" s="879" t="s">
        <v>1486</v>
      </c>
      <c r="E9" s="871" t="s">
        <v>13</v>
      </c>
      <c r="F9" s="97">
        <v>8.11</v>
      </c>
      <c r="G9" s="946"/>
      <c r="H9" s="97"/>
      <c r="I9" s="946"/>
      <c r="J9" s="97"/>
      <c r="K9" s="946"/>
    </row>
    <row r="10" spans="1:11" s="224" customFormat="1" x14ac:dyDescent="0.25">
      <c r="A10" s="215">
        <v>43009</v>
      </c>
      <c r="B10" s="862" t="s">
        <v>1713</v>
      </c>
      <c r="C10" s="350" t="s">
        <v>12</v>
      </c>
      <c r="D10" s="350" t="s">
        <v>1489</v>
      </c>
      <c r="E10" s="480" t="s">
        <v>15</v>
      </c>
      <c r="F10" s="97">
        <v>10</v>
      </c>
      <c r="G10" s="946"/>
      <c r="H10" s="97"/>
      <c r="I10" s="946"/>
      <c r="J10" s="97"/>
      <c r="K10" s="946"/>
    </row>
    <row r="11" spans="1:11" s="224" customFormat="1" x14ac:dyDescent="0.25">
      <c r="A11" s="215">
        <v>43010</v>
      </c>
      <c r="B11" s="862" t="s">
        <v>32</v>
      </c>
      <c r="C11" s="879" t="s">
        <v>12</v>
      </c>
      <c r="D11" s="879" t="s">
        <v>1485</v>
      </c>
      <c r="E11" s="871" t="s">
        <v>13</v>
      </c>
      <c r="F11" s="97">
        <v>14</v>
      </c>
      <c r="G11" s="1518"/>
      <c r="H11" s="97"/>
      <c r="I11" s="946"/>
      <c r="J11" s="97"/>
      <c r="K11" s="946"/>
    </row>
    <row r="12" spans="1:11" s="224" customFormat="1" x14ac:dyDescent="0.25">
      <c r="A12" s="215">
        <v>43010</v>
      </c>
      <c r="B12" s="862" t="s">
        <v>14</v>
      </c>
      <c r="C12" s="879" t="s">
        <v>12</v>
      </c>
      <c r="D12" s="879" t="s">
        <v>1486</v>
      </c>
      <c r="E12" s="871" t="s">
        <v>13</v>
      </c>
      <c r="F12" s="97">
        <v>6.46</v>
      </c>
      <c r="G12" s="946"/>
      <c r="H12" s="97"/>
      <c r="I12" s="946"/>
      <c r="J12" s="97"/>
      <c r="K12" s="946"/>
    </row>
    <row r="13" spans="1:11" s="224" customFormat="1" x14ac:dyDescent="0.25">
      <c r="A13" s="215">
        <v>43011</v>
      </c>
      <c r="B13" s="862" t="s">
        <v>32</v>
      </c>
      <c r="C13" s="879" t="s">
        <v>12</v>
      </c>
      <c r="D13" s="879" t="s">
        <v>1485</v>
      </c>
      <c r="E13" s="871" t="s">
        <v>13</v>
      </c>
      <c r="F13" s="97">
        <v>14</v>
      </c>
      <c r="G13" s="1064"/>
      <c r="H13" s="97"/>
      <c r="I13" s="1473"/>
      <c r="J13" s="97"/>
      <c r="K13" s="1473"/>
    </row>
    <row r="14" spans="1:11" s="224" customFormat="1" x14ac:dyDescent="0.25">
      <c r="A14" s="215">
        <v>43011</v>
      </c>
      <c r="B14" s="862" t="s">
        <v>14</v>
      </c>
      <c r="C14" s="879" t="s">
        <v>12</v>
      </c>
      <c r="D14" s="879" t="s">
        <v>1486</v>
      </c>
      <c r="E14" s="871" t="s">
        <v>13</v>
      </c>
      <c r="F14" s="97">
        <v>3</v>
      </c>
      <c r="G14" s="946"/>
      <c r="H14" s="97"/>
      <c r="I14" s="946"/>
      <c r="J14" s="97"/>
      <c r="K14" s="946"/>
    </row>
    <row r="15" spans="1:11" s="224" customFormat="1" x14ac:dyDescent="0.25">
      <c r="A15" s="215">
        <v>43012</v>
      </c>
      <c r="B15" s="862" t="s">
        <v>32</v>
      </c>
      <c r="C15" s="879" t="s">
        <v>12</v>
      </c>
      <c r="D15" s="879" t="s">
        <v>1485</v>
      </c>
      <c r="E15" s="871" t="s">
        <v>13</v>
      </c>
      <c r="F15" s="97">
        <v>14</v>
      </c>
      <c r="G15" s="1064"/>
      <c r="H15" s="97"/>
      <c r="I15" s="1473"/>
      <c r="J15" s="97"/>
      <c r="K15" s="1473"/>
    </row>
    <row r="16" spans="1:11" s="224" customFormat="1" x14ac:dyDescent="0.25">
      <c r="A16" s="215">
        <v>43013</v>
      </c>
      <c r="B16" s="862" t="s">
        <v>32</v>
      </c>
      <c r="C16" s="879" t="s">
        <v>12</v>
      </c>
      <c r="D16" s="879" t="s">
        <v>1485</v>
      </c>
      <c r="E16" s="871" t="s">
        <v>13</v>
      </c>
      <c r="F16" s="97">
        <v>14</v>
      </c>
      <c r="G16" s="1064"/>
      <c r="H16" s="97"/>
      <c r="I16" s="1473"/>
      <c r="J16" s="97"/>
      <c r="K16" s="1473"/>
    </row>
    <row r="17" spans="1:11" s="224" customFormat="1" ht="15.75" customHeight="1" x14ac:dyDescent="0.25">
      <c r="A17" s="215">
        <v>43014</v>
      </c>
      <c r="B17" s="349" t="s">
        <v>1714</v>
      </c>
      <c r="C17" s="879" t="s">
        <v>12</v>
      </c>
      <c r="D17" s="874"/>
      <c r="E17" s="871" t="s">
        <v>25</v>
      </c>
      <c r="F17" s="97"/>
      <c r="G17" s="1480">
        <v>1583.78</v>
      </c>
      <c r="H17" s="250"/>
      <c r="I17" s="946"/>
      <c r="J17" s="97"/>
      <c r="K17" s="946"/>
    </row>
    <row r="18" spans="1:11" s="224" customFormat="1" x14ac:dyDescent="0.25">
      <c r="A18" s="215">
        <v>43014</v>
      </c>
      <c r="B18" s="862" t="s">
        <v>1715</v>
      </c>
      <c r="C18" s="879" t="s">
        <v>12</v>
      </c>
      <c r="D18" s="879"/>
      <c r="E18" s="871" t="s">
        <v>13</v>
      </c>
      <c r="F18" s="250">
        <v>386.82</v>
      </c>
      <c r="G18" s="1064"/>
      <c r="H18" s="97"/>
      <c r="I18" s="946"/>
      <c r="J18" s="523"/>
      <c r="K18" s="457"/>
    </row>
    <row r="19" spans="1:11" x14ac:dyDescent="0.25">
      <c r="A19" s="215">
        <v>43014</v>
      </c>
      <c r="B19" s="862" t="s">
        <v>1532</v>
      </c>
      <c r="C19" s="879" t="s">
        <v>12</v>
      </c>
      <c r="D19" s="879" t="s">
        <v>1504</v>
      </c>
      <c r="E19" s="871" t="s">
        <v>13</v>
      </c>
      <c r="F19" s="97">
        <v>50</v>
      </c>
      <c r="G19" s="1064"/>
      <c r="H19" s="97"/>
      <c r="I19" s="946"/>
      <c r="J19" s="97"/>
      <c r="K19" s="1473"/>
    </row>
    <row r="20" spans="1:11" x14ac:dyDescent="0.25">
      <c r="A20" s="215">
        <v>43014</v>
      </c>
      <c r="B20" s="882" t="s">
        <v>1716</v>
      </c>
      <c r="C20" s="879" t="s">
        <v>12</v>
      </c>
      <c r="D20" s="879" t="s">
        <v>1499</v>
      </c>
      <c r="E20" s="871" t="s">
        <v>13</v>
      </c>
      <c r="F20" s="622">
        <v>56.61</v>
      </c>
      <c r="G20" s="1063"/>
      <c r="H20" s="622"/>
      <c r="I20" s="982"/>
      <c r="J20" s="780"/>
      <c r="K20" s="614"/>
    </row>
    <row r="21" spans="1:11" x14ac:dyDescent="0.25">
      <c r="A21" s="215">
        <v>43014</v>
      </c>
      <c r="B21" s="862" t="s">
        <v>52</v>
      </c>
      <c r="C21" s="879" t="s">
        <v>12</v>
      </c>
      <c r="D21" s="879" t="s">
        <v>1496</v>
      </c>
      <c r="E21" s="871" t="s">
        <v>13</v>
      </c>
      <c r="F21" s="97">
        <v>60</v>
      </c>
      <c r="G21" s="1064"/>
      <c r="H21" s="97"/>
      <c r="I21" s="946"/>
      <c r="J21" s="97"/>
      <c r="K21" s="946"/>
    </row>
    <row r="22" spans="1:11" s="224" customFormat="1" x14ac:dyDescent="0.25">
      <c r="A22" s="215">
        <v>43014</v>
      </c>
      <c r="B22" s="862" t="s">
        <v>32</v>
      </c>
      <c r="C22" s="879" t="s">
        <v>12</v>
      </c>
      <c r="D22" s="879" t="s">
        <v>1485</v>
      </c>
      <c r="E22" s="871" t="s">
        <v>13</v>
      </c>
      <c r="F22" s="97">
        <v>14</v>
      </c>
      <c r="G22" s="1064"/>
      <c r="H22" s="97"/>
      <c r="I22" s="1473"/>
      <c r="J22" s="97"/>
      <c r="K22" s="1473"/>
    </row>
    <row r="23" spans="1:11" s="224" customFormat="1" x14ac:dyDescent="0.25">
      <c r="A23" s="215">
        <v>43014</v>
      </c>
      <c r="B23" s="349" t="s">
        <v>311</v>
      </c>
      <c r="C23" s="350"/>
      <c r="D23" s="765"/>
      <c r="E23" s="778"/>
      <c r="F23" s="709"/>
      <c r="G23" s="248"/>
      <c r="H23" s="97"/>
      <c r="I23" s="946">
        <v>11</v>
      </c>
      <c r="J23" s="97"/>
      <c r="K23" s="946"/>
    </row>
    <row r="24" spans="1:11" s="224" customFormat="1" ht="15" customHeight="1" x14ac:dyDescent="0.25">
      <c r="A24" s="215">
        <v>43014</v>
      </c>
      <c r="B24" s="349" t="s">
        <v>260</v>
      </c>
      <c r="C24" s="350"/>
      <c r="D24" s="350"/>
      <c r="E24" s="480"/>
      <c r="F24" s="97">
        <v>489</v>
      </c>
      <c r="G24" s="1064"/>
      <c r="H24" s="97"/>
      <c r="I24" s="946">
        <v>489</v>
      </c>
      <c r="J24" s="97"/>
      <c r="K24" s="946"/>
    </row>
    <row r="25" spans="1:11" s="224" customFormat="1" x14ac:dyDescent="0.25">
      <c r="A25" s="215">
        <v>43014</v>
      </c>
      <c r="B25" s="862" t="s">
        <v>1331</v>
      </c>
      <c r="C25" s="879" t="s">
        <v>12</v>
      </c>
      <c r="D25" s="879" t="s">
        <v>1487</v>
      </c>
      <c r="E25" s="871" t="s">
        <v>15</v>
      </c>
      <c r="F25" s="97">
        <v>40</v>
      </c>
      <c r="G25" s="248"/>
      <c r="H25" s="97"/>
      <c r="I25" s="946"/>
      <c r="J25" s="97"/>
      <c r="K25" s="946"/>
    </row>
    <row r="26" spans="1:11" s="224" customFormat="1" x14ac:dyDescent="0.25">
      <c r="A26" s="215">
        <v>43014</v>
      </c>
      <c r="B26" s="349" t="s">
        <v>147</v>
      </c>
      <c r="C26" s="350" t="s">
        <v>12</v>
      </c>
      <c r="D26" s="765" t="s">
        <v>1506</v>
      </c>
      <c r="E26" s="778" t="s">
        <v>15</v>
      </c>
      <c r="F26" s="626">
        <v>15</v>
      </c>
      <c r="G26" s="248"/>
      <c r="H26" s="97"/>
      <c r="I26" s="946"/>
      <c r="J26" s="97"/>
      <c r="K26" s="946"/>
    </row>
    <row r="27" spans="1:11" s="224" customFormat="1" x14ac:dyDescent="0.25">
      <c r="A27" s="215">
        <v>43014</v>
      </c>
      <c r="B27" s="349" t="s">
        <v>1717</v>
      </c>
      <c r="C27" s="350" t="s">
        <v>12</v>
      </c>
      <c r="D27" s="765" t="s">
        <v>1489</v>
      </c>
      <c r="E27" s="778" t="s">
        <v>13</v>
      </c>
      <c r="F27" s="785">
        <v>17.440000000000001</v>
      </c>
      <c r="G27" s="248"/>
      <c r="H27" s="97"/>
      <c r="I27" s="946"/>
      <c r="J27" s="97"/>
      <c r="K27" s="946"/>
    </row>
    <row r="28" spans="1:11" s="224" customFormat="1" x14ac:dyDescent="0.25">
      <c r="A28" s="215">
        <v>43014</v>
      </c>
      <c r="B28" s="349" t="s">
        <v>1718</v>
      </c>
      <c r="C28" s="350" t="s">
        <v>12</v>
      </c>
      <c r="D28" s="765" t="s">
        <v>1489</v>
      </c>
      <c r="E28" s="778" t="s">
        <v>13</v>
      </c>
      <c r="F28" s="626">
        <v>7</v>
      </c>
      <c r="G28" s="248"/>
      <c r="H28" s="97"/>
      <c r="I28" s="946"/>
      <c r="J28" s="97"/>
      <c r="K28" s="946"/>
    </row>
    <row r="29" spans="1:11" s="224" customFormat="1" x14ac:dyDescent="0.25">
      <c r="A29" s="215">
        <v>43014</v>
      </c>
      <c r="B29" s="349" t="s">
        <v>1438</v>
      </c>
      <c r="C29" s="350" t="s">
        <v>19</v>
      </c>
      <c r="D29" s="765" t="s">
        <v>1489</v>
      </c>
      <c r="E29" s="778" t="s">
        <v>13</v>
      </c>
      <c r="F29" s="626">
        <v>50.24</v>
      </c>
      <c r="G29" s="248"/>
      <c r="H29" s="97"/>
      <c r="I29" s="946"/>
      <c r="J29" s="97"/>
      <c r="K29" s="946"/>
    </row>
    <row r="30" spans="1:11" s="224" customFormat="1" x14ac:dyDescent="0.25">
      <c r="A30" s="215">
        <v>43014</v>
      </c>
      <c r="B30" s="349" t="s">
        <v>1719</v>
      </c>
      <c r="C30" s="350" t="s">
        <v>12</v>
      </c>
      <c r="D30" s="765" t="s">
        <v>1525</v>
      </c>
      <c r="E30" s="778" t="s">
        <v>13</v>
      </c>
      <c r="F30" s="784">
        <v>24</v>
      </c>
      <c r="G30" s="248"/>
      <c r="H30" s="97"/>
      <c r="I30" s="946"/>
      <c r="J30" s="97"/>
      <c r="K30" s="946"/>
    </row>
    <row r="31" spans="1:11" s="224" customFormat="1" ht="15" customHeight="1" x14ac:dyDescent="0.25">
      <c r="A31" s="215">
        <v>43015</v>
      </c>
      <c r="B31" s="862" t="s">
        <v>32</v>
      </c>
      <c r="C31" s="879" t="s">
        <v>12</v>
      </c>
      <c r="D31" s="879" t="s">
        <v>1485</v>
      </c>
      <c r="E31" s="871" t="s">
        <v>13</v>
      </c>
      <c r="F31" s="97">
        <v>14</v>
      </c>
      <c r="G31" s="1064"/>
      <c r="H31" s="97"/>
      <c r="I31" s="946"/>
      <c r="J31" s="97"/>
      <c r="K31" s="946"/>
    </row>
    <row r="32" spans="1:11" s="224" customFormat="1" ht="15" customHeight="1" x14ac:dyDescent="0.25">
      <c r="A32" s="215">
        <v>43015</v>
      </c>
      <c r="B32" s="862" t="s">
        <v>134</v>
      </c>
      <c r="C32" s="879" t="s">
        <v>12</v>
      </c>
      <c r="D32" s="879" t="s">
        <v>1493</v>
      </c>
      <c r="E32" s="871" t="s">
        <v>15</v>
      </c>
      <c r="F32" s="97">
        <v>10</v>
      </c>
      <c r="G32" s="1064"/>
      <c r="H32" s="97"/>
      <c r="I32" s="946"/>
      <c r="J32" s="97"/>
      <c r="K32" s="946"/>
    </row>
    <row r="33" spans="1:12" x14ac:dyDescent="0.25">
      <c r="A33" s="215">
        <v>43015</v>
      </c>
      <c r="B33" s="862" t="s">
        <v>478</v>
      </c>
      <c r="C33" s="350" t="s">
        <v>12</v>
      </c>
      <c r="D33" s="350" t="s">
        <v>1489</v>
      </c>
      <c r="E33" s="480" t="s">
        <v>13</v>
      </c>
      <c r="F33" s="97">
        <v>9.85</v>
      </c>
      <c r="G33" s="1064"/>
      <c r="H33" s="97"/>
      <c r="I33" s="946"/>
      <c r="J33" s="97"/>
      <c r="K33" s="946"/>
    </row>
    <row r="34" spans="1:12" x14ac:dyDescent="0.25">
      <c r="A34" s="215">
        <v>43015</v>
      </c>
      <c r="B34" s="349" t="s">
        <v>1554</v>
      </c>
      <c r="C34" s="350" t="s">
        <v>19</v>
      </c>
      <c r="D34" s="350" t="s">
        <v>1491</v>
      </c>
      <c r="E34" s="480" t="s">
        <v>13</v>
      </c>
      <c r="F34" s="97">
        <v>66.38</v>
      </c>
      <c r="G34" s="1064"/>
      <c r="H34" s="97"/>
      <c r="I34" s="946"/>
      <c r="J34" s="97"/>
      <c r="K34" s="946"/>
    </row>
    <row r="35" spans="1:12" x14ac:dyDescent="0.25">
      <c r="A35" s="215">
        <v>43016</v>
      </c>
      <c r="B35" s="862" t="s">
        <v>14</v>
      </c>
      <c r="C35" s="879" t="s">
        <v>12</v>
      </c>
      <c r="D35" s="879" t="s">
        <v>1486</v>
      </c>
      <c r="E35" s="871" t="s">
        <v>13</v>
      </c>
      <c r="F35" s="97">
        <v>8.8000000000000007</v>
      </c>
      <c r="G35" s="1064"/>
      <c r="H35" s="97"/>
      <c r="I35" s="946"/>
      <c r="J35" s="97"/>
      <c r="K35" s="946"/>
    </row>
    <row r="36" spans="1:12" x14ac:dyDescent="0.25">
      <c r="A36" s="215">
        <v>43016</v>
      </c>
      <c r="B36" s="862" t="s">
        <v>134</v>
      </c>
      <c r="C36" s="350" t="s">
        <v>12</v>
      </c>
      <c r="D36" s="350" t="s">
        <v>1493</v>
      </c>
      <c r="E36" s="480" t="s">
        <v>13</v>
      </c>
      <c r="F36" s="97">
        <v>10.029999999999999</v>
      </c>
      <c r="G36" s="1064"/>
      <c r="H36" s="97"/>
      <c r="I36" s="946"/>
      <c r="J36" s="97"/>
      <c r="K36" s="946"/>
    </row>
    <row r="37" spans="1:12" x14ac:dyDescent="0.25">
      <c r="A37" s="215">
        <v>43016</v>
      </c>
      <c r="B37" s="862" t="s">
        <v>14</v>
      </c>
      <c r="C37" s="879" t="s">
        <v>12</v>
      </c>
      <c r="D37" s="879" t="s">
        <v>1486</v>
      </c>
      <c r="E37" s="871" t="s">
        <v>13</v>
      </c>
      <c r="F37" s="97">
        <v>4.4800000000000004</v>
      </c>
      <c r="G37" s="1064"/>
      <c r="H37" s="97"/>
      <c r="I37" s="946"/>
      <c r="J37" s="97"/>
      <c r="K37" s="946"/>
    </row>
    <row r="38" spans="1:12" s="224" customFormat="1" ht="15" customHeight="1" x14ac:dyDescent="0.25">
      <c r="A38" s="215">
        <v>43017</v>
      </c>
      <c r="B38" s="862" t="s">
        <v>32</v>
      </c>
      <c r="C38" s="879" t="s">
        <v>12</v>
      </c>
      <c r="D38" s="879" t="s">
        <v>1485</v>
      </c>
      <c r="E38" s="871" t="s">
        <v>13</v>
      </c>
      <c r="F38" s="97">
        <v>14</v>
      </c>
      <c r="G38" s="1064"/>
      <c r="H38" s="97"/>
      <c r="I38" s="946"/>
      <c r="J38" s="97"/>
      <c r="K38" s="946"/>
    </row>
    <row r="39" spans="1:12" s="224" customFormat="1" ht="15" customHeight="1" x14ac:dyDescent="0.25">
      <c r="A39" s="215">
        <v>43017</v>
      </c>
      <c r="B39" s="862" t="s">
        <v>134</v>
      </c>
      <c r="C39" s="350" t="s">
        <v>12</v>
      </c>
      <c r="D39" s="350" t="s">
        <v>1493</v>
      </c>
      <c r="E39" s="480" t="s">
        <v>15</v>
      </c>
      <c r="F39" s="97">
        <v>3</v>
      </c>
      <c r="G39" s="1064"/>
      <c r="H39" s="97"/>
      <c r="I39" s="946"/>
      <c r="J39" s="97"/>
      <c r="K39" s="946"/>
    </row>
    <row r="40" spans="1:12" s="224" customFormat="1" ht="15" customHeight="1" x14ac:dyDescent="0.25">
      <c r="A40" s="215">
        <v>43017</v>
      </c>
      <c r="B40" s="862" t="s">
        <v>1720</v>
      </c>
      <c r="C40" s="350" t="s">
        <v>12</v>
      </c>
      <c r="D40" s="350" t="s">
        <v>1489</v>
      </c>
      <c r="E40" s="480" t="s">
        <v>13</v>
      </c>
      <c r="F40" s="97">
        <v>13</v>
      </c>
      <c r="G40" s="1064"/>
      <c r="H40" s="97"/>
      <c r="I40" s="946"/>
      <c r="J40" s="97"/>
      <c r="K40" s="946"/>
    </row>
    <row r="41" spans="1:12" s="224" customFormat="1" x14ac:dyDescent="0.25">
      <c r="A41" s="215">
        <v>43018</v>
      </c>
      <c r="B41" s="862" t="s">
        <v>256</v>
      </c>
      <c r="C41" s="879"/>
      <c r="D41" s="879"/>
      <c r="E41" s="871"/>
      <c r="F41" s="97"/>
      <c r="G41" s="1064">
        <v>900</v>
      </c>
      <c r="H41" s="97">
        <v>900</v>
      </c>
      <c r="I41" s="1473"/>
      <c r="J41" s="97"/>
      <c r="K41" s="1473"/>
    </row>
    <row r="42" spans="1:12" s="224" customFormat="1" ht="15" customHeight="1" x14ac:dyDescent="0.25">
      <c r="A42" s="215">
        <v>43018</v>
      </c>
      <c r="B42" s="862" t="s">
        <v>32</v>
      </c>
      <c r="C42" s="879" t="s">
        <v>12</v>
      </c>
      <c r="D42" s="879" t="s">
        <v>1485</v>
      </c>
      <c r="E42" s="871" t="s">
        <v>13</v>
      </c>
      <c r="F42" s="97">
        <v>14</v>
      </c>
      <c r="G42" s="1064"/>
      <c r="H42" s="97"/>
      <c r="I42" s="946"/>
      <c r="J42" s="97"/>
      <c r="K42" s="946"/>
    </row>
    <row r="43" spans="1:12" s="224" customFormat="1" ht="15" customHeight="1" x14ac:dyDescent="0.25">
      <c r="A43" s="215">
        <v>43018</v>
      </c>
      <c r="B43" s="453" t="s">
        <v>1721</v>
      </c>
      <c r="C43" s="879" t="s">
        <v>12</v>
      </c>
      <c r="D43" s="879" t="s">
        <v>1489</v>
      </c>
      <c r="E43" s="871" t="s">
        <v>13</v>
      </c>
      <c r="F43" s="97">
        <v>319.86</v>
      </c>
      <c r="G43" s="1064"/>
      <c r="H43" s="97"/>
      <c r="I43" s="946"/>
      <c r="J43" s="97"/>
      <c r="K43" s="946"/>
    </row>
    <row r="44" spans="1:12" s="224" customFormat="1" ht="15" customHeight="1" x14ac:dyDescent="0.25">
      <c r="A44" s="215">
        <v>43018</v>
      </c>
      <c r="B44" s="453" t="s">
        <v>138</v>
      </c>
      <c r="C44" s="879" t="s">
        <v>19</v>
      </c>
      <c r="D44" s="879" t="s">
        <v>1487</v>
      </c>
      <c r="E44" s="871" t="s">
        <v>13</v>
      </c>
      <c r="F44" s="97">
        <v>40</v>
      </c>
      <c r="G44" s="1064"/>
      <c r="H44" s="97"/>
      <c r="I44" s="946"/>
      <c r="J44" s="97"/>
      <c r="K44" s="946"/>
      <c r="L44" s="764">
        <v>80</v>
      </c>
    </row>
    <row r="45" spans="1:12" s="224" customFormat="1" ht="15" customHeight="1" x14ac:dyDescent="0.25">
      <c r="A45" s="215">
        <v>43018</v>
      </c>
      <c r="B45" s="862" t="s">
        <v>1722</v>
      </c>
      <c r="C45" s="879" t="s">
        <v>19</v>
      </c>
      <c r="D45" s="879" t="s">
        <v>1506</v>
      </c>
      <c r="E45" s="871" t="s">
        <v>13</v>
      </c>
      <c r="F45" s="97">
        <v>69.97</v>
      </c>
      <c r="G45" s="1064"/>
      <c r="H45" s="97"/>
      <c r="I45" s="946"/>
      <c r="J45" s="97"/>
      <c r="K45" s="946"/>
    </row>
    <row r="46" spans="1:12" s="224" customFormat="1" ht="15" customHeight="1" x14ac:dyDescent="0.25">
      <c r="A46" s="215">
        <v>43018</v>
      </c>
      <c r="B46" s="862" t="s">
        <v>14</v>
      </c>
      <c r="C46" s="879" t="s">
        <v>12</v>
      </c>
      <c r="D46" s="879" t="s">
        <v>1486</v>
      </c>
      <c r="E46" s="871" t="s">
        <v>13</v>
      </c>
      <c r="F46" s="97">
        <v>3.7</v>
      </c>
      <c r="G46" s="1064"/>
      <c r="H46" s="97"/>
      <c r="I46" s="946"/>
      <c r="J46" s="97"/>
      <c r="K46" s="946"/>
    </row>
    <row r="47" spans="1:12" ht="15" customHeight="1" x14ac:dyDescent="0.25">
      <c r="A47" s="215">
        <v>43019</v>
      </c>
      <c r="B47" s="349" t="s">
        <v>1396</v>
      </c>
      <c r="C47" s="350" t="s">
        <v>12</v>
      </c>
      <c r="D47" s="350"/>
      <c r="E47" s="757" t="s">
        <v>25</v>
      </c>
      <c r="F47" s="97"/>
      <c r="G47" s="946">
        <v>40</v>
      </c>
      <c r="H47" s="97"/>
      <c r="I47" s="946"/>
      <c r="J47" s="97"/>
      <c r="K47" s="946"/>
    </row>
    <row r="48" spans="1:12" s="224" customFormat="1" ht="15" customHeight="1" x14ac:dyDescent="0.25">
      <c r="A48" s="215">
        <v>43019</v>
      </c>
      <c r="B48" s="862" t="s">
        <v>32</v>
      </c>
      <c r="C48" s="879" t="s">
        <v>12</v>
      </c>
      <c r="D48" s="879" t="s">
        <v>1485</v>
      </c>
      <c r="E48" s="871" t="s">
        <v>13</v>
      </c>
      <c r="F48" s="97">
        <v>14</v>
      </c>
      <c r="G48" s="1064"/>
      <c r="H48" s="97"/>
      <c r="I48" s="946"/>
      <c r="J48" s="97"/>
      <c r="K48" s="946"/>
    </row>
    <row r="49" spans="1:11" s="224" customFormat="1" ht="15" customHeight="1" x14ac:dyDescent="0.25">
      <c r="A49" s="215">
        <v>43019</v>
      </c>
      <c r="B49" s="862" t="s">
        <v>256</v>
      </c>
      <c r="C49" s="879"/>
      <c r="D49" s="879"/>
      <c r="E49" s="871"/>
      <c r="F49" s="97"/>
      <c r="G49" s="1064">
        <v>200</v>
      </c>
      <c r="H49" s="97">
        <v>200</v>
      </c>
      <c r="I49" s="946"/>
      <c r="J49" s="97"/>
      <c r="K49" s="946"/>
    </row>
    <row r="50" spans="1:11" s="224" customFormat="1" ht="15" customHeight="1" x14ac:dyDescent="0.25">
      <c r="A50" s="215">
        <v>43019</v>
      </c>
      <c r="B50" s="862" t="s">
        <v>134</v>
      </c>
      <c r="C50" s="879" t="s">
        <v>12</v>
      </c>
      <c r="D50" s="879" t="s">
        <v>1493</v>
      </c>
      <c r="E50" s="871" t="s">
        <v>13</v>
      </c>
      <c r="F50" s="97">
        <v>15.62</v>
      </c>
      <c r="G50" s="1064"/>
      <c r="H50" s="97"/>
      <c r="I50" s="946"/>
      <c r="J50" s="97"/>
      <c r="K50" s="946"/>
    </row>
    <row r="51" spans="1:11" s="224" customFormat="1" ht="15" customHeight="1" x14ac:dyDescent="0.25">
      <c r="A51" s="215">
        <v>43019</v>
      </c>
      <c r="B51" s="862" t="s">
        <v>23</v>
      </c>
      <c r="C51" s="879" t="s">
        <v>12</v>
      </c>
      <c r="D51" s="879" t="s">
        <v>1489</v>
      </c>
      <c r="E51" s="871" t="s">
        <v>13</v>
      </c>
      <c r="F51" s="97">
        <v>9</v>
      </c>
      <c r="G51" s="1064"/>
      <c r="H51" s="97"/>
      <c r="I51" s="946"/>
      <c r="J51" s="97"/>
      <c r="K51" s="946"/>
    </row>
    <row r="52" spans="1:11" s="224" customFormat="1" ht="15" customHeight="1" x14ac:dyDescent="0.25">
      <c r="A52" s="215">
        <v>43019</v>
      </c>
      <c r="B52" s="862" t="s">
        <v>1597</v>
      </c>
      <c r="C52" s="879" t="s">
        <v>12</v>
      </c>
      <c r="D52" s="879" t="s">
        <v>1491</v>
      </c>
      <c r="E52" s="871" t="s">
        <v>15</v>
      </c>
      <c r="F52" s="97">
        <v>30</v>
      </c>
      <c r="G52" s="1064"/>
      <c r="H52" s="97"/>
      <c r="I52" s="946"/>
      <c r="J52" s="97"/>
      <c r="K52" s="946"/>
    </row>
    <row r="53" spans="1:11" s="224" customFormat="1" ht="15" customHeight="1" x14ac:dyDescent="0.25">
      <c r="A53" s="215">
        <v>43019</v>
      </c>
      <c r="B53" s="862" t="s">
        <v>138</v>
      </c>
      <c r="C53" s="879" t="s">
        <v>12</v>
      </c>
      <c r="D53" s="879" t="s">
        <v>1487</v>
      </c>
      <c r="E53" s="871" t="s">
        <v>15</v>
      </c>
      <c r="F53" s="97">
        <v>20</v>
      </c>
      <c r="G53" s="1064"/>
      <c r="H53" s="97"/>
      <c r="I53" s="946"/>
      <c r="J53" s="97"/>
      <c r="K53" s="946"/>
    </row>
    <row r="54" spans="1:11" s="224" customFormat="1" ht="15" customHeight="1" x14ac:dyDescent="0.25">
      <c r="A54" s="215">
        <v>43020</v>
      </c>
      <c r="B54" s="862" t="s">
        <v>14</v>
      </c>
      <c r="C54" s="879" t="s">
        <v>12</v>
      </c>
      <c r="D54" s="879" t="s">
        <v>1486</v>
      </c>
      <c r="E54" s="871" t="s">
        <v>13</v>
      </c>
      <c r="F54" s="97">
        <v>3.7</v>
      </c>
      <c r="G54" s="1064"/>
      <c r="H54" s="97"/>
      <c r="I54" s="946"/>
      <c r="J54" s="97"/>
      <c r="K54" s="946"/>
    </row>
    <row r="55" spans="1:11" s="224" customFormat="1" ht="15" customHeight="1" x14ac:dyDescent="0.25">
      <c r="A55" s="215">
        <v>43020</v>
      </c>
      <c r="B55" s="862" t="s">
        <v>1331</v>
      </c>
      <c r="C55" s="879" t="s">
        <v>12</v>
      </c>
      <c r="D55" s="879" t="s">
        <v>1487</v>
      </c>
      <c r="E55" s="871" t="s">
        <v>13</v>
      </c>
      <c r="F55" s="97">
        <v>50</v>
      </c>
      <c r="G55" s="1064"/>
      <c r="H55" s="97"/>
      <c r="I55" s="946"/>
      <c r="J55" s="97"/>
      <c r="K55" s="946"/>
    </row>
    <row r="56" spans="1:11" s="224" customFormat="1" ht="15" customHeight="1" x14ac:dyDescent="0.25">
      <c r="A56" s="215">
        <v>43020</v>
      </c>
      <c r="B56" s="349" t="s">
        <v>1723</v>
      </c>
      <c r="C56" s="350" t="s">
        <v>12</v>
      </c>
      <c r="D56" s="350" t="s">
        <v>1489</v>
      </c>
      <c r="E56" s="480" t="s">
        <v>13</v>
      </c>
      <c r="F56" s="97">
        <v>55.3</v>
      </c>
      <c r="G56" s="1064"/>
      <c r="H56" s="97"/>
      <c r="I56" s="946"/>
      <c r="J56" s="97"/>
      <c r="K56" s="946"/>
    </row>
    <row r="57" spans="1:11" s="224" customFormat="1" ht="15" customHeight="1" x14ac:dyDescent="0.25">
      <c r="A57" s="215">
        <v>43020</v>
      </c>
      <c r="B57" s="349" t="s">
        <v>1724</v>
      </c>
      <c r="C57" s="350" t="s">
        <v>12</v>
      </c>
      <c r="D57" s="350" t="s">
        <v>1489</v>
      </c>
      <c r="E57" s="480" t="s">
        <v>13</v>
      </c>
      <c r="F57" s="97">
        <v>44.35</v>
      </c>
      <c r="G57" s="1064"/>
      <c r="H57" s="97"/>
      <c r="I57" s="946"/>
      <c r="J57" s="97"/>
      <c r="K57" s="946"/>
    </row>
    <row r="58" spans="1:11" s="224" customFormat="1" ht="15" customHeight="1" x14ac:dyDescent="0.25">
      <c r="A58" s="215">
        <v>43020</v>
      </c>
      <c r="B58" s="349" t="s">
        <v>1725</v>
      </c>
      <c r="C58" s="350" t="s">
        <v>12</v>
      </c>
      <c r="D58" s="350" t="s">
        <v>1525</v>
      </c>
      <c r="E58" s="480" t="s">
        <v>15</v>
      </c>
      <c r="F58" s="97">
        <v>10</v>
      </c>
      <c r="G58" s="1064"/>
      <c r="H58" s="97"/>
      <c r="I58" s="946"/>
      <c r="J58" s="97"/>
      <c r="K58" s="946"/>
    </row>
    <row r="59" spans="1:11" s="224" customFormat="1" ht="15" customHeight="1" x14ac:dyDescent="0.25">
      <c r="A59" s="215">
        <v>43020</v>
      </c>
      <c r="B59" s="349" t="s">
        <v>1726</v>
      </c>
      <c r="C59" s="350" t="s">
        <v>12</v>
      </c>
      <c r="D59" s="350" t="s">
        <v>1489</v>
      </c>
      <c r="E59" s="480" t="s">
        <v>15</v>
      </c>
      <c r="F59" s="97">
        <v>27.5</v>
      </c>
      <c r="G59" s="1064"/>
      <c r="H59" s="97"/>
      <c r="I59" s="946"/>
      <c r="J59" s="97"/>
      <c r="K59" s="946"/>
    </row>
    <row r="60" spans="1:11" s="224" customFormat="1" ht="15" customHeight="1" x14ac:dyDescent="0.25">
      <c r="A60" s="215">
        <v>43020</v>
      </c>
      <c r="B60" s="349" t="s">
        <v>1727</v>
      </c>
      <c r="C60" s="350" t="s">
        <v>12</v>
      </c>
      <c r="D60" s="350" t="s">
        <v>1493</v>
      </c>
      <c r="E60" s="480" t="s">
        <v>13</v>
      </c>
      <c r="F60" s="97">
        <v>25.5</v>
      </c>
      <c r="G60" s="1064"/>
      <c r="H60" s="97"/>
      <c r="I60" s="946"/>
      <c r="J60" s="97"/>
      <c r="K60" s="946"/>
    </row>
    <row r="61" spans="1:11" s="224" customFormat="1" ht="15" customHeight="1" x14ac:dyDescent="0.25">
      <c r="A61" s="215">
        <v>43020</v>
      </c>
      <c r="B61" s="862" t="s">
        <v>256</v>
      </c>
      <c r="C61" s="879"/>
      <c r="D61" s="879"/>
      <c r="E61" s="871"/>
      <c r="F61" s="97"/>
      <c r="G61" s="1064">
        <v>200</v>
      </c>
      <c r="H61" s="97">
        <v>200</v>
      </c>
      <c r="I61" s="946"/>
      <c r="J61" s="97"/>
      <c r="K61" s="946"/>
    </row>
    <row r="62" spans="1:11" s="224" customFormat="1" ht="15" customHeight="1" x14ac:dyDescent="0.25">
      <c r="A62" s="215">
        <v>43021</v>
      </c>
      <c r="B62" s="862" t="s">
        <v>14</v>
      </c>
      <c r="C62" s="879" t="s">
        <v>12</v>
      </c>
      <c r="D62" s="879" t="s">
        <v>1486</v>
      </c>
      <c r="E62" s="871" t="s">
        <v>13</v>
      </c>
      <c r="F62" s="97">
        <v>16.8</v>
      </c>
      <c r="G62" s="1064"/>
      <c r="H62" s="97"/>
      <c r="I62" s="946"/>
      <c r="J62" s="97"/>
      <c r="K62" s="946"/>
    </row>
    <row r="63" spans="1:11" s="224" customFormat="1" ht="15" customHeight="1" x14ac:dyDescent="0.25">
      <c r="A63" s="215">
        <v>43021</v>
      </c>
      <c r="B63" s="349" t="s">
        <v>1727</v>
      </c>
      <c r="C63" s="350" t="s">
        <v>12</v>
      </c>
      <c r="D63" s="350" t="s">
        <v>1493</v>
      </c>
      <c r="E63" s="480" t="s">
        <v>13</v>
      </c>
      <c r="F63" s="97">
        <v>62.48</v>
      </c>
      <c r="G63" s="1064"/>
      <c r="H63" s="97"/>
      <c r="I63" s="946"/>
      <c r="J63" s="97"/>
      <c r="K63" s="946"/>
    </row>
    <row r="64" spans="1:11" s="224" customFormat="1" ht="15" customHeight="1" x14ac:dyDescent="0.25">
      <c r="A64" s="215">
        <v>43022</v>
      </c>
      <c r="B64" s="862" t="s">
        <v>138</v>
      </c>
      <c r="C64" s="350" t="s">
        <v>12</v>
      </c>
      <c r="D64" s="879" t="s">
        <v>1487</v>
      </c>
      <c r="E64" s="871" t="s">
        <v>13</v>
      </c>
      <c r="F64" s="97">
        <v>60</v>
      </c>
      <c r="G64" s="1064"/>
      <c r="H64" s="97"/>
      <c r="I64" s="946"/>
      <c r="J64" s="97"/>
      <c r="K64" s="946"/>
    </row>
    <row r="65" spans="1:11" s="224" customFormat="1" ht="15" customHeight="1" x14ac:dyDescent="0.25">
      <c r="A65" s="215">
        <v>43022</v>
      </c>
      <c r="B65" s="862" t="s">
        <v>1728</v>
      </c>
      <c r="C65" s="879" t="s">
        <v>12</v>
      </c>
      <c r="D65" s="879" t="s">
        <v>1506</v>
      </c>
      <c r="E65" s="871" t="s">
        <v>15</v>
      </c>
      <c r="F65" s="97">
        <v>25</v>
      </c>
      <c r="G65" s="1064"/>
      <c r="H65" s="97"/>
      <c r="I65" s="946"/>
      <c r="J65" s="97"/>
      <c r="K65" s="946"/>
    </row>
    <row r="66" spans="1:11" s="224" customFormat="1" ht="15" customHeight="1" x14ac:dyDescent="0.25">
      <c r="A66" s="215">
        <v>43022</v>
      </c>
      <c r="B66" s="349" t="s">
        <v>1729</v>
      </c>
      <c r="C66" s="350" t="s">
        <v>12</v>
      </c>
      <c r="D66" s="350" t="s">
        <v>1489</v>
      </c>
      <c r="E66" s="480" t="s">
        <v>15</v>
      </c>
      <c r="F66" s="97">
        <v>7.5</v>
      </c>
      <c r="G66" s="1064"/>
      <c r="H66" s="97"/>
      <c r="I66" s="946"/>
      <c r="J66" s="97"/>
      <c r="K66" s="946"/>
    </row>
    <row r="67" spans="1:11" s="224" customFormat="1" ht="15" customHeight="1" x14ac:dyDescent="0.25">
      <c r="A67" s="215">
        <v>43023</v>
      </c>
      <c r="B67" s="862" t="s">
        <v>82</v>
      </c>
      <c r="C67" s="350" t="s">
        <v>12</v>
      </c>
      <c r="D67" s="350" t="s">
        <v>1493</v>
      </c>
      <c r="E67" s="480" t="s">
        <v>13</v>
      </c>
      <c r="F67" s="97">
        <v>28</v>
      </c>
      <c r="G67" s="1064"/>
      <c r="H67" s="97"/>
      <c r="I67" s="946"/>
      <c r="J67" s="97"/>
      <c r="K67" s="946"/>
    </row>
    <row r="68" spans="1:11" s="224" customFormat="1" ht="15" customHeight="1" x14ac:dyDescent="0.25">
      <c r="A68" s="215">
        <v>43023</v>
      </c>
      <c r="B68" s="862" t="s">
        <v>14</v>
      </c>
      <c r="C68" s="879" t="s">
        <v>12</v>
      </c>
      <c r="D68" s="879" t="s">
        <v>1486</v>
      </c>
      <c r="E68" s="871" t="s">
        <v>13</v>
      </c>
      <c r="F68" s="97">
        <v>13.72</v>
      </c>
      <c r="G68" s="1064"/>
      <c r="H68" s="97"/>
      <c r="I68" s="946"/>
      <c r="J68" s="97"/>
      <c r="K68" s="946"/>
    </row>
    <row r="69" spans="1:11" s="224" customFormat="1" ht="15" customHeight="1" x14ac:dyDescent="0.25">
      <c r="A69" s="215">
        <v>43024</v>
      </c>
      <c r="B69" s="862" t="s">
        <v>1730</v>
      </c>
      <c r="C69" s="350" t="s">
        <v>12</v>
      </c>
      <c r="D69" s="350" t="s">
        <v>1493</v>
      </c>
      <c r="E69" s="480" t="s">
        <v>13</v>
      </c>
      <c r="F69" s="97">
        <v>30</v>
      </c>
      <c r="G69" s="1064"/>
      <c r="H69" s="97"/>
      <c r="I69" s="946"/>
      <c r="J69" s="97"/>
      <c r="K69" s="946"/>
    </row>
    <row r="70" spans="1:11" s="224" customFormat="1" ht="15" customHeight="1" x14ac:dyDescent="0.25">
      <c r="A70" s="215">
        <v>43024</v>
      </c>
      <c r="B70" s="862" t="s">
        <v>32</v>
      </c>
      <c r="C70" s="879" t="s">
        <v>12</v>
      </c>
      <c r="D70" s="879" t="s">
        <v>1485</v>
      </c>
      <c r="E70" s="871" t="s">
        <v>13</v>
      </c>
      <c r="F70" s="97">
        <v>14</v>
      </c>
      <c r="G70" s="1064"/>
      <c r="H70" s="97"/>
      <c r="I70" s="946"/>
      <c r="J70" s="97"/>
      <c r="K70" s="946"/>
    </row>
    <row r="71" spans="1:11" s="224" customFormat="1" ht="15" customHeight="1" x14ac:dyDescent="0.25">
      <c r="A71" s="215">
        <v>43024</v>
      </c>
      <c r="B71" s="862" t="s">
        <v>138</v>
      </c>
      <c r="C71" s="350" t="s">
        <v>12</v>
      </c>
      <c r="D71" s="879" t="s">
        <v>1487</v>
      </c>
      <c r="E71" s="871" t="s">
        <v>15</v>
      </c>
      <c r="F71" s="97">
        <v>20</v>
      </c>
      <c r="G71" s="1064"/>
      <c r="H71" s="97"/>
      <c r="I71" s="946"/>
      <c r="J71" s="97"/>
      <c r="K71" s="946"/>
    </row>
    <row r="72" spans="1:11" s="224" customFormat="1" ht="15" customHeight="1" x14ac:dyDescent="0.25">
      <c r="A72" s="215">
        <v>43025</v>
      </c>
      <c r="B72" s="862" t="s">
        <v>32</v>
      </c>
      <c r="C72" s="879" t="s">
        <v>12</v>
      </c>
      <c r="D72" s="879" t="s">
        <v>1485</v>
      </c>
      <c r="E72" s="871" t="s">
        <v>13</v>
      </c>
      <c r="F72" s="97">
        <v>14</v>
      </c>
      <c r="G72" s="1064"/>
      <c r="H72" s="97"/>
      <c r="I72" s="946"/>
      <c r="J72" s="97"/>
      <c r="K72" s="946"/>
    </row>
    <row r="73" spans="1:11" s="224" customFormat="1" ht="15" customHeight="1" x14ac:dyDescent="0.25">
      <c r="A73" s="215">
        <v>43025</v>
      </c>
      <c r="B73" s="862" t="s">
        <v>14</v>
      </c>
      <c r="C73" s="879" t="s">
        <v>12</v>
      </c>
      <c r="D73" s="879" t="s">
        <v>1486</v>
      </c>
      <c r="E73" s="871" t="s">
        <v>13</v>
      </c>
      <c r="F73" s="97">
        <v>5.14</v>
      </c>
      <c r="G73" s="1064"/>
      <c r="H73" s="97"/>
      <c r="I73" s="946"/>
      <c r="J73" s="97"/>
      <c r="K73" s="946"/>
    </row>
    <row r="74" spans="1:11" s="224" customFormat="1" ht="15" customHeight="1" x14ac:dyDescent="0.25">
      <c r="A74" s="215">
        <v>43025</v>
      </c>
      <c r="B74" s="862" t="s">
        <v>1257</v>
      </c>
      <c r="C74" s="879" t="s">
        <v>12</v>
      </c>
      <c r="D74" s="879" t="s">
        <v>1485</v>
      </c>
      <c r="E74" s="871" t="s">
        <v>15</v>
      </c>
      <c r="F74" s="622">
        <v>40</v>
      </c>
      <c r="G74" s="1064"/>
      <c r="H74" s="97"/>
      <c r="I74" s="946"/>
      <c r="J74" s="97"/>
      <c r="K74" s="946"/>
    </row>
    <row r="75" spans="1:11" s="224" customFormat="1" x14ac:dyDescent="0.25">
      <c r="A75" s="215">
        <v>43026</v>
      </c>
      <c r="B75" s="862" t="s">
        <v>32</v>
      </c>
      <c r="C75" s="879" t="s">
        <v>12</v>
      </c>
      <c r="D75" s="879" t="s">
        <v>1485</v>
      </c>
      <c r="E75" s="871" t="s">
        <v>13</v>
      </c>
      <c r="F75" s="97">
        <v>14</v>
      </c>
      <c r="G75" s="1064"/>
      <c r="H75" s="97"/>
      <c r="I75" s="946"/>
      <c r="J75" s="97"/>
      <c r="K75" s="946"/>
    </row>
    <row r="76" spans="1:11" s="224" customFormat="1" ht="15" customHeight="1" x14ac:dyDescent="0.25">
      <c r="A76" s="215">
        <v>43026</v>
      </c>
      <c r="B76" s="862" t="s">
        <v>1731</v>
      </c>
      <c r="C76" s="350" t="s">
        <v>12</v>
      </c>
      <c r="D76" s="879" t="s">
        <v>1487</v>
      </c>
      <c r="E76" s="871" t="s">
        <v>15</v>
      </c>
      <c r="F76" s="97">
        <v>60</v>
      </c>
      <c r="G76" s="1064"/>
      <c r="H76" s="97"/>
      <c r="I76" s="946"/>
      <c r="J76" s="97"/>
      <c r="K76" s="946"/>
    </row>
    <row r="77" spans="1:11" s="224" customFormat="1" ht="15" customHeight="1" x14ac:dyDescent="0.25">
      <c r="A77" s="215">
        <v>43026</v>
      </c>
      <c r="B77" s="862" t="s">
        <v>256</v>
      </c>
      <c r="C77" s="879"/>
      <c r="D77" s="879"/>
      <c r="E77" s="871"/>
      <c r="F77" s="97"/>
      <c r="G77" s="1064">
        <v>100</v>
      </c>
      <c r="H77" s="97">
        <v>100</v>
      </c>
      <c r="I77" s="946"/>
      <c r="J77" s="97"/>
      <c r="K77" s="946"/>
    </row>
    <row r="78" spans="1:11" s="224" customFormat="1" ht="15" customHeight="1" x14ac:dyDescent="0.25">
      <c r="A78" s="215">
        <v>43026</v>
      </c>
      <c r="B78" s="862" t="s">
        <v>14</v>
      </c>
      <c r="C78" s="879" t="s">
        <v>12</v>
      </c>
      <c r="D78" s="879" t="s">
        <v>1486</v>
      </c>
      <c r="E78" s="871" t="s">
        <v>13</v>
      </c>
      <c r="F78" s="97">
        <v>2.0699999999999998</v>
      </c>
      <c r="G78" s="1064"/>
      <c r="H78" s="97"/>
      <c r="I78" s="946"/>
      <c r="J78" s="97"/>
      <c r="K78" s="946"/>
    </row>
    <row r="79" spans="1:11" s="224" customFormat="1" x14ac:dyDescent="0.25">
      <c r="A79" s="215">
        <v>43027</v>
      </c>
      <c r="B79" s="862" t="s">
        <v>32</v>
      </c>
      <c r="C79" s="879" t="s">
        <v>12</v>
      </c>
      <c r="D79" s="879" t="s">
        <v>1485</v>
      </c>
      <c r="E79" s="871" t="s">
        <v>13</v>
      </c>
      <c r="F79" s="97">
        <v>14</v>
      </c>
      <c r="G79" s="1064"/>
      <c r="H79" s="97"/>
      <c r="I79" s="946"/>
      <c r="J79" s="97"/>
      <c r="K79" s="946"/>
    </row>
    <row r="80" spans="1:11" s="224" customFormat="1" x14ac:dyDescent="0.25">
      <c r="A80" s="215">
        <v>43027</v>
      </c>
      <c r="B80" s="862" t="s">
        <v>1672</v>
      </c>
      <c r="C80" s="350" t="s">
        <v>12</v>
      </c>
      <c r="D80" s="350" t="s">
        <v>1496</v>
      </c>
      <c r="E80" s="480" t="s">
        <v>15</v>
      </c>
      <c r="F80" s="97">
        <v>45</v>
      </c>
      <c r="G80" s="1064"/>
      <c r="H80" s="97"/>
      <c r="I80" s="946"/>
      <c r="J80" s="250"/>
      <c r="K80" s="946"/>
    </row>
    <row r="81" spans="1:11" s="224" customFormat="1" ht="15" customHeight="1" x14ac:dyDescent="0.25">
      <c r="A81" s="215">
        <v>43027</v>
      </c>
      <c r="B81" s="862" t="s">
        <v>14</v>
      </c>
      <c r="C81" s="879" t="s">
        <v>12</v>
      </c>
      <c r="D81" s="879" t="s">
        <v>1486</v>
      </c>
      <c r="E81" s="871" t="s">
        <v>13</v>
      </c>
      <c r="F81" s="97">
        <v>5.22</v>
      </c>
      <c r="G81" s="1064"/>
      <c r="H81" s="97"/>
      <c r="I81" s="946"/>
      <c r="J81" s="97"/>
      <c r="K81" s="946"/>
    </row>
    <row r="82" spans="1:11" s="224" customFormat="1" ht="15" customHeight="1" x14ac:dyDescent="0.25">
      <c r="A82" s="215">
        <v>43028</v>
      </c>
      <c r="B82" s="862" t="s">
        <v>32</v>
      </c>
      <c r="C82" s="879" t="s">
        <v>12</v>
      </c>
      <c r="D82" s="879" t="s">
        <v>1485</v>
      </c>
      <c r="E82" s="871" t="s">
        <v>13</v>
      </c>
      <c r="F82" s="97">
        <v>14</v>
      </c>
      <c r="G82" s="1064"/>
      <c r="H82" s="97"/>
      <c r="I82" s="946"/>
      <c r="J82" s="97"/>
      <c r="K82" s="1473"/>
    </row>
    <row r="83" spans="1:11" s="224" customFormat="1" x14ac:dyDescent="0.25">
      <c r="A83" s="215">
        <v>43028</v>
      </c>
      <c r="B83" s="349" t="s">
        <v>1661</v>
      </c>
      <c r="C83" s="350" t="s">
        <v>12</v>
      </c>
      <c r="D83" s="350"/>
      <c r="E83" s="480" t="s">
        <v>13</v>
      </c>
      <c r="F83" s="97">
        <v>458.25</v>
      </c>
      <c r="G83" s="1064"/>
      <c r="H83" s="97"/>
      <c r="I83" s="946"/>
      <c r="J83" s="97"/>
      <c r="K83" s="946">
        <v>458.25</v>
      </c>
    </row>
    <row r="84" spans="1:11" s="224" customFormat="1" ht="15" customHeight="1" x14ac:dyDescent="0.25">
      <c r="A84" s="215">
        <v>43028</v>
      </c>
      <c r="B84" s="882" t="s">
        <v>1732</v>
      </c>
      <c r="C84" s="350" t="s">
        <v>12</v>
      </c>
      <c r="D84" s="879"/>
      <c r="E84" s="871" t="s">
        <v>25</v>
      </c>
      <c r="F84" s="97"/>
      <c r="G84" s="1064">
        <v>1510.31</v>
      </c>
      <c r="H84" s="97"/>
      <c r="I84" s="1473"/>
      <c r="J84" s="250"/>
      <c r="K84" s="946"/>
    </row>
    <row r="85" spans="1:11" s="224" customFormat="1" x14ac:dyDescent="0.25">
      <c r="A85" s="215">
        <v>43028</v>
      </c>
      <c r="B85" s="873" t="s">
        <v>1564</v>
      </c>
      <c r="C85" s="879" t="s">
        <v>12</v>
      </c>
      <c r="D85" s="350" t="s">
        <v>1491</v>
      </c>
      <c r="E85" s="871" t="s">
        <v>15</v>
      </c>
      <c r="F85" s="97">
        <v>120</v>
      </c>
      <c r="G85" s="1064"/>
      <c r="H85" s="97"/>
      <c r="I85" s="946"/>
      <c r="J85" s="97"/>
      <c r="K85" s="946"/>
    </row>
    <row r="86" spans="1:11" s="224" customFormat="1" ht="15.75" customHeight="1" x14ac:dyDescent="0.25">
      <c r="A86" s="215">
        <v>43028</v>
      </c>
      <c r="B86" s="882" t="s">
        <v>1733</v>
      </c>
      <c r="C86" s="879" t="s">
        <v>12</v>
      </c>
      <c r="D86" s="879" t="s">
        <v>1499</v>
      </c>
      <c r="E86" s="871" t="s">
        <v>13</v>
      </c>
      <c r="F86" s="97">
        <v>44.76</v>
      </c>
      <c r="G86" s="1480"/>
      <c r="H86" s="250"/>
      <c r="I86" s="946"/>
      <c r="J86" s="97"/>
      <c r="K86" s="946"/>
    </row>
    <row r="87" spans="1:11" s="224" customFormat="1" ht="15" customHeight="1" x14ac:dyDescent="0.25">
      <c r="A87" s="215">
        <v>43028</v>
      </c>
      <c r="B87" s="862" t="s">
        <v>138</v>
      </c>
      <c r="C87" s="350" t="s">
        <v>12</v>
      </c>
      <c r="D87" s="879" t="s">
        <v>1487</v>
      </c>
      <c r="E87" s="871" t="s">
        <v>15</v>
      </c>
      <c r="F87" s="97">
        <v>73.400000000000006</v>
      </c>
      <c r="G87" s="1064"/>
      <c r="H87" s="97"/>
      <c r="I87" s="946"/>
      <c r="J87" s="97"/>
      <c r="K87" s="946"/>
    </row>
    <row r="88" spans="1:11" s="224" customFormat="1" ht="15" customHeight="1" x14ac:dyDescent="0.25">
      <c r="A88" s="215">
        <v>43028</v>
      </c>
      <c r="B88" s="873" t="s">
        <v>1734</v>
      </c>
      <c r="C88" s="879" t="s">
        <v>19</v>
      </c>
      <c r="D88" s="879" t="s">
        <v>1506</v>
      </c>
      <c r="E88" s="871" t="s">
        <v>13</v>
      </c>
      <c r="F88" s="97">
        <v>40</v>
      </c>
      <c r="G88" s="1064"/>
      <c r="H88" s="97"/>
      <c r="I88" s="946"/>
      <c r="J88" s="97"/>
      <c r="K88" s="946"/>
    </row>
    <row r="89" spans="1:11" s="224" customFormat="1" ht="15" customHeight="1" x14ac:dyDescent="0.25">
      <c r="A89" s="215">
        <v>43028</v>
      </c>
      <c r="B89" s="862" t="s">
        <v>14</v>
      </c>
      <c r="C89" s="879" t="s">
        <v>12</v>
      </c>
      <c r="D89" s="879" t="s">
        <v>1486</v>
      </c>
      <c r="E89" s="871" t="s">
        <v>13</v>
      </c>
      <c r="F89" s="97">
        <v>4.09</v>
      </c>
      <c r="G89" s="1064"/>
      <c r="H89" s="97"/>
      <c r="I89" s="946"/>
      <c r="J89" s="97"/>
      <c r="K89" s="946"/>
    </row>
    <row r="90" spans="1:11" s="224" customFormat="1" ht="15" customHeight="1" x14ac:dyDescent="0.25">
      <c r="A90" s="215">
        <v>43029</v>
      </c>
      <c r="B90" s="349" t="s">
        <v>260</v>
      </c>
      <c r="C90" s="350"/>
      <c r="D90" s="350"/>
      <c r="E90" s="480"/>
      <c r="F90" s="97">
        <v>400</v>
      </c>
      <c r="G90" s="1064"/>
      <c r="H90" s="97"/>
      <c r="I90" s="946">
        <v>400</v>
      </c>
      <c r="J90" s="97"/>
      <c r="K90" s="946"/>
    </row>
    <row r="91" spans="1:11" s="224" customFormat="1" ht="15" customHeight="1" x14ac:dyDescent="0.25">
      <c r="A91" s="215">
        <v>43029</v>
      </c>
      <c r="B91" s="349" t="s">
        <v>1438</v>
      </c>
      <c r="C91" s="350" t="s">
        <v>19</v>
      </c>
      <c r="D91" s="350" t="s">
        <v>1489</v>
      </c>
      <c r="E91" s="480" t="s">
        <v>13</v>
      </c>
      <c r="F91" s="97">
        <v>72</v>
      </c>
      <c r="G91" s="1064"/>
      <c r="H91" s="97"/>
      <c r="I91" s="946"/>
      <c r="J91" s="97"/>
      <c r="K91" s="946"/>
    </row>
    <row r="92" spans="1:11" s="224" customFormat="1" ht="15" customHeight="1" x14ac:dyDescent="0.25">
      <c r="A92" s="215">
        <v>43029</v>
      </c>
      <c r="B92" s="862" t="s">
        <v>32</v>
      </c>
      <c r="C92" s="879" t="s">
        <v>12</v>
      </c>
      <c r="D92" s="879" t="s">
        <v>1485</v>
      </c>
      <c r="E92" s="871" t="s">
        <v>13</v>
      </c>
      <c r="F92" s="97">
        <v>15</v>
      </c>
      <c r="G92" s="1064"/>
      <c r="H92" s="97"/>
      <c r="I92" s="946"/>
      <c r="J92" s="97"/>
      <c r="K92" s="1473"/>
    </row>
    <row r="93" spans="1:11" s="224" customFormat="1" ht="15" customHeight="1" x14ac:dyDescent="0.25">
      <c r="A93" s="215">
        <v>43030</v>
      </c>
      <c r="B93" s="862" t="s">
        <v>14</v>
      </c>
      <c r="C93" s="879" t="s">
        <v>12</v>
      </c>
      <c r="D93" s="879" t="s">
        <v>1486</v>
      </c>
      <c r="E93" s="871" t="s">
        <v>13</v>
      </c>
      <c r="F93" s="97">
        <v>7.81</v>
      </c>
      <c r="G93" s="1064"/>
      <c r="H93" s="97"/>
      <c r="I93" s="946"/>
      <c r="J93" s="97"/>
      <c r="K93" s="946"/>
    </row>
    <row r="94" spans="1:11" s="224" customFormat="1" ht="15" customHeight="1" x14ac:dyDescent="0.25">
      <c r="A94" s="215">
        <v>43030</v>
      </c>
      <c r="B94" s="862" t="s">
        <v>1735</v>
      </c>
      <c r="C94" s="879" t="s">
        <v>12</v>
      </c>
      <c r="D94" s="879" t="s">
        <v>1489</v>
      </c>
      <c r="E94" s="871" t="s">
        <v>13</v>
      </c>
      <c r="F94" s="97">
        <v>9.4</v>
      </c>
      <c r="G94" s="1064"/>
      <c r="H94" s="97"/>
      <c r="I94" s="946"/>
      <c r="J94" s="97"/>
      <c r="K94" s="946"/>
    </row>
    <row r="95" spans="1:11" s="224" customFormat="1" ht="15" customHeight="1" x14ac:dyDescent="0.25">
      <c r="A95" s="215">
        <v>43031</v>
      </c>
      <c r="B95" s="862" t="s">
        <v>32</v>
      </c>
      <c r="C95" s="879" t="s">
        <v>12</v>
      </c>
      <c r="D95" s="879" t="s">
        <v>1485</v>
      </c>
      <c r="E95" s="871" t="s">
        <v>15</v>
      </c>
      <c r="F95" s="97">
        <v>14</v>
      </c>
      <c r="G95" s="1064"/>
      <c r="H95" s="97"/>
      <c r="I95" s="946"/>
      <c r="J95" s="97"/>
      <c r="K95" s="946"/>
    </row>
    <row r="96" spans="1:11" s="224" customFormat="1" ht="15" customHeight="1" x14ac:dyDescent="0.25">
      <c r="A96" s="215">
        <v>43031</v>
      </c>
      <c r="B96" s="862" t="s">
        <v>1736</v>
      </c>
      <c r="C96" s="879" t="s">
        <v>12</v>
      </c>
      <c r="D96" s="879" t="s">
        <v>1522</v>
      </c>
      <c r="E96" s="871" t="s">
        <v>13</v>
      </c>
      <c r="F96" s="97">
        <v>2</v>
      </c>
      <c r="G96" s="1064"/>
      <c r="H96" s="97"/>
      <c r="I96" s="946"/>
      <c r="J96" s="97"/>
      <c r="K96" s="946"/>
    </row>
    <row r="97" spans="1:11" s="224" customFormat="1" ht="15" customHeight="1" x14ac:dyDescent="0.25">
      <c r="A97" s="215">
        <v>43031</v>
      </c>
      <c r="B97" s="862" t="s">
        <v>147</v>
      </c>
      <c r="C97" s="879" t="s">
        <v>12</v>
      </c>
      <c r="D97" s="879" t="s">
        <v>1506</v>
      </c>
      <c r="E97" s="871" t="s">
        <v>15</v>
      </c>
      <c r="F97" s="97">
        <v>10</v>
      </c>
      <c r="G97" s="1064"/>
      <c r="H97" s="97"/>
      <c r="I97" s="946"/>
      <c r="J97" s="97"/>
      <c r="K97" s="946"/>
    </row>
    <row r="98" spans="1:11" s="224" customFormat="1" x14ac:dyDescent="0.25">
      <c r="A98" s="215">
        <v>43032</v>
      </c>
      <c r="B98" s="862" t="s">
        <v>1607</v>
      </c>
      <c r="C98" s="350" t="s">
        <v>12</v>
      </c>
      <c r="D98" s="874" t="s">
        <v>1504</v>
      </c>
      <c r="E98" s="875" t="s">
        <v>13</v>
      </c>
      <c r="F98" s="97">
        <v>60.9</v>
      </c>
      <c r="G98" s="1064"/>
      <c r="H98" s="97"/>
      <c r="I98" s="946"/>
      <c r="J98" s="97"/>
      <c r="K98" s="946"/>
    </row>
    <row r="99" spans="1:11" s="224" customFormat="1" ht="15" customHeight="1" x14ac:dyDescent="0.25">
      <c r="A99" s="215">
        <v>43032</v>
      </c>
      <c r="B99" s="349" t="s">
        <v>1670</v>
      </c>
      <c r="C99" s="350"/>
      <c r="D99" s="350"/>
      <c r="E99" s="480" t="s">
        <v>25</v>
      </c>
      <c r="F99" s="97"/>
      <c r="G99" s="1064">
        <v>150</v>
      </c>
      <c r="H99" s="97"/>
      <c r="I99" s="946"/>
      <c r="J99" s="97"/>
      <c r="K99" s="946"/>
    </row>
    <row r="100" spans="1:11" s="224" customFormat="1" x14ac:dyDescent="0.25">
      <c r="A100" s="215">
        <v>43032</v>
      </c>
      <c r="B100" s="862" t="s">
        <v>32</v>
      </c>
      <c r="C100" s="879" t="s">
        <v>12</v>
      </c>
      <c r="D100" s="879" t="s">
        <v>1485</v>
      </c>
      <c r="E100" s="871" t="s">
        <v>15</v>
      </c>
      <c r="F100" s="97">
        <v>14</v>
      </c>
      <c r="G100" s="1064"/>
      <c r="H100" s="97"/>
      <c r="I100" s="946"/>
      <c r="J100" s="97"/>
      <c r="K100" s="946"/>
    </row>
    <row r="101" spans="1:11" s="224" customFormat="1" ht="15" customHeight="1" x14ac:dyDescent="0.25">
      <c r="A101" s="215">
        <v>43032</v>
      </c>
      <c r="B101" s="862" t="s">
        <v>14</v>
      </c>
      <c r="C101" s="879" t="s">
        <v>12</v>
      </c>
      <c r="D101" s="879" t="s">
        <v>1486</v>
      </c>
      <c r="E101" s="871" t="s">
        <v>13</v>
      </c>
      <c r="F101" s="97">
        <v>1.59</v>
      </c>
      <c r="G101" s="1064"/>
      <c r="H101" s="97"/>
      <c r="I101" s="946"/>
      <c r="J101" s="97"/>
      <c r="K101" s="946"/>
    </row>
    <row r="102" spans="1:11" s="224" customFormat="1" ht="15" customHeight="1" x14ac:dyDescent="0.25">
      <c r="A102" s="215">
        <v>43032</v>
      </c>
      <c r="B102" s="862" t="s">
        <v>1689</v>
      </c>
      <c r="C102" s="879" t="s">
        <v>19</v>
      </c>
      <c r="D102" s="879" t="s">
        <v>1491</v>
      </c>
      <c r="E102" s="871" t="s">
        <v>15</v>
      </c>
      <c r="F102" s="97">
        <v>50</v>
      </c>
      <c r="G102" s="1064"/>
      <c r="H102" s="97"/>
      <c r="I102" s="946"/>
      <c r="J102" s="97"/>
      <c r="K102" s="946"/>
    </row>
    <row r="103" spans="1:11" s="224" customFormat="1" x14ac:dyDescent="0.25">
      <c r="A103" s="215">
        <v>43033</v>
      </c>
      <c r="B103" s="862" t="s">
        <v>32</v>
      </c>
      <c r="C103" s="879" t="s">
        <v>12</v>
      </c>
      <c r="D103" s="879" t="s">
        <v>1485</v>
      </c>
      <c r="E103" s="871" t="s">
        <v>15</v>
      </c>
      <c r="F103" s="97">
        <v>14</v>
      </c>
      <c r="G103" s="1064"/>
      <c r="H103" s="97"/>
      <c r="I103" s="946"/>
      <c r="J103" s="97"/>
      <c r="K103" s="946"/>
    </row>
    <row r="104" spans="1:11" s="224" customFormat="1" ht="15" customHeight="1" x14ac:dyDescent="0.25">
      <c r="A104" s="215">
        <v>43033</v>
      </c>
      <c r="B104" s="862" t="s">
        <v>14</v>
      </c>
      <c r="C104" s="879" t="s">
        <v>12</v>
      </c>
      <c r="D104" s="879" t="s">
        <v>1486</v>
      </c>
      <c r="E104" s="871" t="s">
        <v>13</v>
      </c>
      <c r="F104" s="97">
        <v>6.03</v>
      </c>
      <c r="G104" s="1064"/>
      <c r="H104" s="97"/>
      <c r="I104" s="946"/>
      <c r="J104" s="97"/>
      <c r="K104" s="946"/>
    </row>
    <row r="105" spans="1:11" s="224" customFormat="1" ht="15" customHeight="1" x14ac:dyDescent="0.25">
      <c r="A105" s="215">
        <v>43034</v>
      </c>
      <c r="B105" s="862" t="s">
        <v>256</v>
      </c>
      <c r="C105" s="879"/>
      <c r="D105" s="879"/>
      <c r="E105" s="871"/>
      <c r="F105" s="97"/>
      <c r="G105" s="1064">
        <v>200</v>
      </c>
      <c r="H105" s="97">
        <v>200</v>
      </c>
      <c r="I105" s="946"/>
      <c r="J105" s="97"/>
      <c r="K105" s="946"/>
    </row>
    <row r="106" spans="1:11" s="224" customFormat="1" x14ac:dyDescent="0.25">
      <c r="A106" s="215">
        <v>43034</v>
      </c>
      <c r="B106" s="862" t="s">
        <v>1737</v>
      </c>
      <c r="C106" s="879" t="s">
        <v>12</v>
      </c>
      <c r="D106" s="879" t="s">
        <v>1489</v>
      </c>
      <c r="E106" s="871" t="s">
        <v>13</v>
      </c>
      <c r="F106" s="97">
        <v>263.99</v>
      </c>
      <c r="G106" s="1064"/>
      <c r="H106" s="97"/>
      <c r="I106" s="946"/>
      <c r="J106" s="97"/>
      <c r="K106" s="946"/>
    </row>
    <row r="107" spans="1:11" s="224" customFormat="1" x14ac:dyDescent="0.25">
      <c r="A107" s="215">
        <v>43034</v>
      </c>
      <c r="B107" s="862" t="s">
        <v>32</v>
      </c>
      <c r="C107" s="879" t="s">
        <v>12</v>
      </c>
      <c r="D107" s="879" t="s">
        <v>1485</v>
      </c>
      <c r="E107" s="871" t="s">
        <v>15</v>
      </c>
      <c r="F107" s="97">
        <v>14</v>
      </c>
      <c r="G107" s="1064"/>
      <c r="H107" s="97"/>
      <c r="I107" s="946"/>
      <c r="J107" s="97"/>
      <c r="K107" s="946"/>
    </row>
    <row r="108" spans="1:11" s="224" customFormat="1" x14ac:dyDescent="0.25">
      <c r="A108" s="215">
        <v>43034</v>
      </c>
      <c r="B108" s="862" t="s">
        <v>1738</v>
      </c>
      <c r="C108" s="879" t="s">
        <v>12</v>
      </c>
      <c r="D108" s="879" t="s">
        <v>1522</v>
      </c>
      <c r="E108" s="871" t="s">
        <v>13</v>
      </c>
      <c r="F108" s="97">
        <v>52</v>
      </c>
      <c r="G108" s="1064"/>
      <c r="H108" s="97"/>
      <c r="I108" s="946"/>
      <c r="J108" s="97"/>
      <c r="K108" s="946"/>
    </row>
    <row r="109" spans="1:11" s="224" customFormat="1" x14ac:dyDescent="0.25">
      <c r="A109" s="215">
        <v>43034</v>
      </c>
      <c r="B109" s="862" t="s">
        <v>1739</v>
      </c>
      <c r="C109" s="879" t="s">
        <v>12</v>
      </c>
      <c r="D109" s="879" t="s">
        <v>1522</v>
      </c>
      <c r="E109" s="871" t="s">
        <v>1740</v>
      </c>
      <c r="F109" s="97">
        <v>165</v>
      </c>
      <c r="G109" s="1064"/>
      <c r="H109" s="97"/>
      <c r="I109" s="946"/>
      <c r="J109" s="97"/>
      <c r="K109" s="946"/>
    </row>
    <row r="110" spans="1:11" s="224" customFormat="1" x14ac:dyDescent="0.25">
      <c r="A110" s="215">
        <v>43034</v>
      </c>
      <c r="B110" s="862" t="s">
        <v>14</v>
      </c>
      <c r="C110" s="879" t="s">
        <v>12</v>
      </c>
      <c r="D110" s="879" t="s">
        <v>1486</v>
      </c>
      <c r="E110" s="871" t="s">
        <v>13</v>
      </c>
      <c r="F110" s="97">
        <v>5.33</v>
      </c>
      <c r="G110" s="1064"/>
      <c r="H110" s="97"/>
      <c r="I110" s="946"/>
      <c r="J110" s="97"/>
      <c r="K110" s="946"/>
    </row>
    <row r="111" spans="1:11" s="224" customFormat="1" x14ac:dyDescent="0.25">
      <c r="A111" s="215">
        <v>43034</v>
      </c>
      <c r="B111" s="862" t="s">
        <v>1741</v>
      </c>
      <c r="C111" s="879" t="s">
        <v>12</v>
      </c>
      <c r="D111" s="879" t="s">
        <v>1506</v>
      </c>
      <c r="E111" s="871" t="s">
        <v>15</v>
      </c>
      <c r="F111" s="97">
        <v>20</v>
      </c>
      <c r="G111" s="1064"/>
      <c r="H111" s="97"/>
      <c r="I111" s="946"/>
      <c r="J111" s="97"/>
      <c r="K111" s="946"/>
    </row>
    <row r="112" spans="1:11" s="224" customFormat="1" x14ac:dyDescent="0.25">
      <c r="A112" s="215">
        <v>43035</v>
      </c>
      <c r="B112" s="862" t="s">
        <v>32</v>
      </c>
      <c r="C112" s="879" t="s">
        <v>12</v>
      </c>
      <c r="D112" s="879" t="s">
        <v>1485</v>
      </c>
      <c r="E112" s="871" t="s">
        <v>15</v>
      </c>
      <c r="F112" s="97">
        <v>14</v>
      </c>
      <c r="G112" s="1064"/>
      <c r="H112" s="97"/>
      <c r="I112" s="946"/>
      <c r="J112" s="97"/>
      <c r="K112" s="946"/>
    </row>
    <row r="113" spans="1:12" s="224" customFormat="1" x14ac:dyDescent="0.25">
      <c r="A113" s="215">
        <v>43035</v>
      </c>
      <c r="B113" s="862" t="s">
        <v>14</v>
      </c>
      <c r="C113" s="879" t="s">
        <v>12</v>
      </c>
      <c r="D113" s="879" t="s">
        <v>1486</v>
      </c>
      <c r="E113" s="871" t="s">
        <v>13</v>
      </c>
      <c r="F113" s="97">
        <v>18.329999999999998</v>
      </c>
      <c r="G113" s="1064"/>
      <c r="H113" s="97"/>
      <c r="I113" s="946"/>
      <c r="J113" s="97"/>
      <c r="K113" s="946"/>
    </row>
    <row r="114" spans="1:12" s="224" customFormat="1" x14ac:dyDescent="0.25">
      <c r="A114" s="215">
        <v>43036</v>
      </c>
      <c r="B114" s="862" t="s">
        <v>32</v>
      </c>
      <c r="C114" s="879" t="s">
        <v>12</v>
      </c>
      <c r="D114" s="879" t="s">
        <v>1485</v>
      </c>
      <c r="E114" s="871" t="s">
        <v>13</v>
      </c>
      <c r="F114" s="97">
        <v>28</v>
      </c>
      <c r="G114" s="1064"/>
      <c r="H114" s="97"/>
      <c r="I114" s="946"/>
      <c r="J114" s="97"/>
      <c r="K114" s="946"/>
    </row>
    <row r="115" spans="1:12" s="224" customFormat="1" x14ac:dyDescent="0.25">
      <c r="A115" s="215">
        <v>43036</v>
      </c>
      <c r="B115" s="862" t="s">
        <v>1331</v>
      </c>
      <c r="C115" s="350" t="s">
        <v>12</v>
      </c>
      <c r="D115" s="350" t="s">
        <v>1487</v>
      </c>
      <c r="E115" s="480" t="s">
        <v>13</v>
      </c>
      <c r="F115" s="97">
        <v>60</v>
      </c>
      <c r="G115" s="1064"/>
      <c r="H115" s="97"/>
      <c r="I115" s="946"/>
      <c r="J115" s="97"/>
      <c r="K115" s="946"/>
    </row>
    <row r="116" spans="1:12" s="224" customFormat="1" x14ac:dyDescent="0.25">
      <c r="A116" s="215">
        <v>43036</v>
      </c>
      <c r="B116" s="862" t="s">
        <v>14</v>
      </c>
      <c r="C116" s="879" t="s">
        <v>12</v>
      </c>
      <c r="D116" s="879" t="s">
        <v>1486</v>
      </c>
      <c r="E116" s="871" t="s">
        <v>13</v>
      </c>
      <c r="F116" s="97">
        <v>6.07</v>
      </c>
      <c r="G116" s="1064"/>
      <c r="H116" s="97"/>
      <c r="I116" s="946"/>
      <c r="J116" s="97"/>
      <c r="K116" s="946"/>
    </row>
    <row r="117" spans="1:12" s="224" customFormat="1" x14ac:dyDescent="0.25">
      <c r="A117" s="215">
        <v>43036</v>
      </c>
      <c r="B117" s="862" t="s">
        <v>631</v>
      </c>
      <c r="C117" s="879" t="s">
        <v>12</v>
      </c>
      <c r="D117" s="879" t="s">
        <v>1489</v>
      </c>
      <c r="E117" s="871" t="s">
        <v>15</v>
      </c>
      <c r="F117" s="97">
        <v>10</v>
      </c>
      <c r="G117" s="1064"/>
      <c r="H117" s="97"/>
      <c r="I117" s="946"/>
      <c r="J117" s="97"/>
      <c r="K117" s="946"/>
    </row>
    <row r="118" spans="1:12" s="224" customFormat="1" ht="15" customHeight="1" x14ac:dyDescent="0.25">
      <c r="A118" s="215">
        <v>43037</v>
      </c>
      <c r="B118" s="862" t="s">
        <v>256</v>
      </c>
      <c r="C118" s="879"/>
      <c r="D118" s="879"/>
      <c r="E118" s="871"/>
      <c r="F118" s="97"/>
      <c r="G118" s="1064">
        <v>200</v>
      </c>
      <c r="H118" s="97">
        <v>200</v>
      </c>
      <c r="I118" s="946"/>
      <c r="J118" s="97"/>
      <c r="K118" s="946"/>
    </row>
    <row r="119" spans="1:12" s="224" customFormat="1" x14ac:dyDescent="0.25">
      <c r="A119" s="215">
        <v>43037</v>
      </c>
      <c r="B119" s="862" t="s">
        <v>134</v>
      </c>
      <c r="C119" s="350" t="s">
        <v>12</v>
      </c>
      <c r="D119" s="350" t="s">
        <v>1493</v>
      </c>
      <c r="E119" s="480" t="s">
        <v>13</v>
      </c>
      <c r="F119" s="97">
        <v>9.35</v>
      </c>
      <c r="G119" s="1064"/>
      <c r="H119" s="97"/>
      <c r="I119" s="1473"/>
      <c r="J119" s="97"/>
      <c r="K119" s="946"/>
    </row>
    <row r="120" spans="1:12" s="224" customFormat="1" x14ac:dyDescent="0.25">
      <c r="A120" s="215">
        <v>43037</v>
      </c>
      <c r="B120" s="862" t="s">
        <v>249</v>
      </c>
      <c r="C120" s="350" t="s">
        <v>12</v>
      </c>
      <c r="D120" s="350" t="s">
        <v>1493</v>
      </c>
      <c r="E120" s="480" t="s">
        <v>13</v>
      </c>
      <c r="F120" s="97">
        <v>2.5</v>
      </c>
      <c r="G120" s="1064"/>
      <c r="H120" s="97"/>
      <c r="I120" s="1473"/>
      <c r="J120" s="97"/>
      <c r="K120" s="946"/>
    </row>
    <row r="121" spans="1:12" s="224" customFormat="1" x14ac:dyDescent="0.25">
      <c r="A121" s="215">
        <v>43038</v>
      </c>
      <c r="B121" s="862" t="s">
        <v>1710</v>
      </c>
      <c r="C121" s="879" t="s">
        <v>12</v>
      </c>
      <c r="D121" s="879" t="s">
        <v>1504</v>
      </c>
      <c r="E121" s="871" t="s">
        <v>13</v>
      </c>
      <c r="F121" s="97">
        <v>19.899999999999999</v>
      </c>
      <c r="G121" s="1064"/>
      <c r="H121" s="97"/>
      <c r="I121" s="1473"/>
      <c r="J121" s="97"/>
      <c r="K121" s="946"/>
    </row>
    <row r="122" spans="1:12" s="224" customFormat="1" x14ac:dyDescent="0.25">
      <c r="A122" s="215">
        <v>43038</v>
      </c>
      <c r="B122" s="862" t="s">
        <v>32</v>
      </c>
      <c r="C122" s="879" t="s">
        <v>12</v>
      </c>
      <c r="D122" s="879" t="s">
        <v>1485</v>
      </c>
      <c r="E122" s="871" t="s">
        <v>13</v>
      </c>
      <c r="F122" s="97">
        <v>14</v>
      </c>
      <c r="G122" s="1064"/>
      <c r="H122" s="97"/>
      <c r="I122" s="946"/>
      <c r="J122" s="97"/>
      <c r="K122" s="946"/>
    </row>
    <row r="123" spans="1:12" s="224" customFormat="1" x14ac:dyDescent="0.25">
      <c r="A123" s="215">
        <v>43038</v>
      </c>
      <c r="B123" s="862" t="s">
        <v>14</v>
      </c>
      <c r="C123" s="879" t="s">
        <v>12</v>
      </c>
      <c r="D123" s="879" t="s">
        <v>1486</v>
      </c>
      <c r="E123" s="871" t="s">
        <v>15</v>
      </c>
      <c r="F123" s="97">
        <v>3.5</v>
      </c>
      <c r="G123" s="1064"/>
      <c r="H123" s="97"/>
      <c r="I123" s="946"/>
      <c r="J123" s="97"/>
      <c r="K123" s="946"/>
    </row>
    <row r="124" spans="1:12" s="224" customFormat="1" x14ac:dyDescent="0.25">
      <c r="A124" s="215">
        <v>43039</v>
      </c>
      <c r="B124" s="862" t="s">
        <v>32</v>
      </c>
      <c r="C124" s="879" t="s">
        <v>12</v>
      </c>
      <c r="D124" s="879" t="s">
        <v>1485</v>
      </c>
      <c r="E124" s="871" t="s">
        <v>13</v>
      </c>
      <c r="F124" s="97">
        <v>14</v>
      </c>
      <c r="G124" s="1064"/>
      <c r="H124" s="97"/>
      <c r="I124" s="946"/>
      <c r="J124" s="97"/>
      <c r="K124" s="946"/>
    </row>
    <row r="125" spans="1:12" s="224" customFormat="1" x14ac:dyDescent="0.25">
      <c r="A125" s="215">
        <v>43039</v>
      </c>
      <c r="B125" s="862" t="s">
        <v>1666</v>
      </c>
      <c r="C125" s="350" t="s">
        <v>12</v>
      </c>
      <c r="D125" s="350"/>
      <c r="E125" s="757" t="s">
        <v>25</v>
      </c>
      <c r="F125" s="97"/>
      <c r="G125" s="946"/>
      <c r="H125" s="97"/>
      <c r="I125" s="946"/>
      <c r="J125" s="97"/>
      <c r="K125" s="946">
        <v>20</v>
      </c>
    </row>
    <row r="126" spans="1:12" s="224" customFormat="1" ht="15.75" thickBot="1" x14ac:dyDescent="0.3">
      <c r="A126" s="215">
        <v>43039</v>
      </c>
      <c r="B126" s="862" t="s">
        <v>14</v>
      </c>
      <c r="C126" s="879" t="s">
        <v>12</v>
      </c>
      <c r="D126" s="879" t="s">
        <v>1486</v>
      </c>
      <c r="E126" s="871" t="s">
        <v>15</v>
      </c>
      <c r="F126" s="97">
        <v>4.24</v>
      </c>
      <c r="G126" s="1064"/>
      <c r="H126" s="97"/>
      <c r="I126" s="946"/>
      <c r="J126" s="97"/>
      <c r="K126" s="946"/>
    </row>
    <row r="127" spans="1:12" ht="25.5" customHeight="1" thickBot="1" x14ac:dyDescent="0.3">
      <c r="A127" s="3060"/>
      <c r="B127" s="3061"/>
      <c r="C127" s="3062"/>
      <c r="D127" s="3062"/>
      <c r="E127" s="3062"/>
      <c r="F127" s="100">
        <f>SUM(F6:F126)</f>
        <v>4895.6499999999987</v>
      </c>
      <c r="G127" s="1065">
        <f>SUM(G5:G126)</f>
        <v>5413.2700000000059</v>
      </c>
      <c r="H127" s="101">
        <f>SUM(H6:H126)</f>
        <v>1950</v>
      </c>
      <c r="I127" s="93">
        <f>SUM(I5:I126)</f>
        <v>3249.9960000000015</v>
      </c>
      <c r="J127" s="774"/>
      <c r="K127" s="1516"/>
      <c r="L127" s="89"/>
    </row>
    <row r="128" spans="1:12" ht="25.5" customHeight="1" thickBot="1" x14ac:dyDescent="0.3">
      <c r="A128" s="3117" t="s">
        <v>49</v>
      </c>
      <c r="B128" s="3118"/>
      <c r="C128" s="3118"/>
      <c r="D128" s="3118"/>
      <c r="E128" s="3118"/>
      <c r="F128" s="144"/>
      <c r="G128" s="519">
        <f>G127-F127</f>
        <v>517.62000000000717</v>
      </c>
      <c r="H128" s="555"/>
      <c r="I128" s="772">
        <f>I127-H127</f>
        <v>1299.9960000000015</v>
      </c>
      <c r="J128" s="773"/>
      <c r="K128" s="775">
        <f>SUM(K5:K127)</f>
        <v>4044.7</v>
      </c>
    </row>
    <row r="129" spans="1:11" x14ac:dyDescent="0.25">
      <c r="G129" s="89"/>
      <c r="J129" s="769"/>
      <c r="K129" s="868"/>
    </row>
    <row r="130" spans="1:11" x14ac:dyDescent="0.25">
      <c r="B130" s="79" t="s">
        <v>32</v>
      </c>
      <c r="C130" s="475">
        <v>337</v>
      </c>
      <c r="D130" s="85" t="s">
        <v>1485</v>
      </c>
      <c r="J130" s="769"/>
      <c r="K130" s="866"/>
    </row>
    <row r="131" spans="1:11" x14ac:dyDescent="0.25">
      <c r="B131" s="79" t="s">
        <v>1218</v>
      </c>
      <c r="C131" s="475">
        <v>423.4</v>
      </c>
      <c r="D131" s="85" t="s">
        <v>1487</v>
      </c>
      <c r="J131" s="769"/>
      <c r="K131" s="868"/>
    </row>
    <row r="132" spans="1:11" x14ac:dyDescent="0.25">
      <c r="B132" s="79" t="s">
        <v>50</v>
      </c>
      <c r="C132" s="484">
        <v>196.48</v>
      </c>
      <c r="D132" s="85" t="s">
        <v>1493</v>
      </c>
      <c r="J132" s="769"/>
      <c r="K132" s="866"/>
    </row>
    <row r="133" spans="1:11" s="85" customFormat="1" x14ac:dyDescent="0.25">
      <c r="A133" s="79"/>
      <c r="B133" s="79" t="s">
        <v>14</v>
      </c>
      <c r="C133" s="484">
        <v>138.19</v>
      </c>
      <c r="D133" s="85" t="s">
        <v>1486</v>
      </c>
      <c r="J133" s="769"/>
      <c r="K133" s="866"/>
    </row>
    <row r="134" spans="1:11" s="85" customFormat="1" x14ac:dyDescent="0.25">
      <c r="A134" s="79"/>
      <c r="B134" s="79" t="s">
        <v>51</v>
      </c>
      <c r="C134" s="475">
        <v>101.37</v>
      </c>
      <c r="D134" s="864" t="s">
        <v>1499</v>
      </c>
      <c r="E134" s="79"/>
      <c r="F134" s="89"/>
      <c r="G134" s="79"/>
      <c r="H134" s="79"/>
      <c r="I134" s="79"/>
      <c r="J134" s="769"/>
      <c r="K134" s="866"/>
    </row>
    <row r="135" spans="1:11" s="85" customFormat="1" x14ac:dyDescent="0.25">
      <c r="A135" s="79"/>
      <c r="B135" s="79" t="s">
        <v>52</v>
      </c>
      <c r="C135" s="475">
        <v>105</v>
      </c>
      <c r="D135" s="864" t="s">
        <v>1496</v>
      </c>
      <c r="F135" s="89"/>
      <c r="G135" s="79"/>
      <c r="H135" s="79"/>
      <c r="I135" s="79"/>
      <c r="J135" s="769"/>
      <c r="K135" s="866"/>
    </row>
    <row r="136" spans="1:11" s="85" customFormat="1" x14ac:dyDescent="0.25">
      <c r="A136" s="79"/>
      <c r="B136" s="867" t="s">
        <v>53</v>
      </c>
      <c r="C136" s="475">
        <v>219</v>
      </c>
      <c r="D136" s="864" t="s">
        <v>1522</v>
      </c>
      <c r="E136" s="89"/>
      <c r="F136" s="89"/>
      <c r="G136" s="79"/>
      <c r="H136" s="79"/>
      <c r="I136" s="79"/>
      <c r="J136" s="769"/>
      <c r="K136" s="866"/>
    </row>
    <row r="137" spans="1:11" s="85" customFormat="1" x14ac:dyDescent="0.25">
      <c r="A137" s="79"/>
      <c r="B137" s="79" t="s">
        <v>1232</v>
      </c>
      <c r="C137" s="475"/>
      <c r="D137" s="864" t="s">
        <v>1515</v>
      </c>
      <c r="F137" s="89"/>
      <c r="G137" s="79"/>
      <c r="H137" s="79"/>
      <c r="I137" s="79"/>
      <c r="J137" s="769"/>
      <c r="K137" s="866"/>
    </row>
    <row r="138" spans="1:11" s="85" customFormat="1" x14ac:dyDescent="0.25">
      <c r="A138" s="79"/>
      <c r="B138" s="79" t="s">
        <v>56</v>
      </c>
      <c r="C138" s="475">
        <v>42.29</v>
      </c>
      <c r="D138" s="864" t="s">
        <v>1523</v>
      </c>
      <c r="F138" s="89"/>
      <c r="G138" s="79"/>
      <c r="H138" s="79"/>
      <c r="I138" s="79"/>
      <c r="J138" s="769"/>
      <c r="K138" s="868"/>
    </row>
    <row r="139" spans="1:11" s="85" customFormat="1" x14ac:dyDescent="0.25">
      <c r="A139" s="79"/>
      <c r="B139" s="79" t="s">
        <v>1686</v>
      </c>
      <c r="C139" s="475">
        <v>254.87</v>
      </c>
      <c r="D139" s="864" t="s">
        <v>1506</v>
      </c>
      <c r="F139" s="89"/>
      <c r="G139" s="79"/>
      <c r="H139" s="79"/>
      <c r="I139" s="79"/>
      <c r="J139" s="769"/>
      <c r="K139" s="866"/>
    </row>
    <row r="140" spans="1:11" s="85" customFormat="1" x14ac:dyDescent="0.25">
      <c r="A140" s="79"/>
      <c r="B140" s="79" t="s">
        <v>418</v>
      </c>
      <c r="C140" s="475"/>
      <c r="D140" s="85" t="s">
        <v>1524</v>
      </c>
      <c r="E140" s="79"/>
      <c r="F140" s="89"/>
      <c r="J140" s="769"/>
      <c r="K140" s="866"/>
    </row>
    <row r="141" spans="1:11" x14ac:dyDescent="0.25">
      <c r="B141" s="79" t="s">
        <v>419</v>
      </c>
      <c r="C141" s="475">
        <v>534.03</v>
      </c>
      <c r="D141" s="85" t="s">
        <v>1491</v>
      </c>
      <c r="J141" s="769"/>
      <c r="K141" s="868"/>
    </row>
    <row r="142" spans="1:11" x14ac:dyDescent="0.25">
      <c r="B142" s="79" t="s">
        <v>911</v>
      </c>
      <c r="C142" s="475">
        <v>34</v>
      </c>
      <c r="D142" s="85" t="s">
        <v>1525</v>
      </c>
      <c r="J142" s="769"/>
      <c r="K142" s="868"/>
    </row>
    <row r="143" spans="1:11" x14ac:dyDescent="0.25">
      <c r="B143" s="79" t="s">
        <v>1526</v>
      </c>
      <c r="C143" s="475">
        <v>142.80000000000001</v>
      </c>
      <c r="D143" s="85" t="s">
        <v>1504</v>
      </c>
      <c r="E143" s="79"/>
      <c r="J143" s="769"/>
      <c r="K143" s="866"/>
    </row>
    <row r="144" spans="1:11" x14ac:dyDescent="0.25">
      <c r="B144" s="79" t="s">
        <v>1527</v>
      </c>
      <c r="C144" s="475">
        <v>1000</v>
      </c>
      <c r="D144" s="85" t="s">
        <v>1489</v>
      </c>
      <c r="J144" s="769"/>
      <c r="K144" s="868"/>
    </row>
    <row r="145" spans="2:12" x14ac:dyDescent="0.25">
      <c r="J145" s="769"/>
      <c r="K145" s="866"/>
    </row>
    <row r="146" spans="2:12" x14ac:dyDescent="0.25">
      <c r="J146" s="769"/>
      <c r="K146" s="866"/>
    </row>
    <row r="147" spans="2:12" x14ac:dyDescent="0.25">
      <c r="B147" s="79" t="s">
        <v>486</v>
      </c>
      <c r="C147" s="475">
        <f>H147/J147</f>
        <v>113.81935483870969</v>
      </c>
      <c r="F147" s="224" t="s">
        <v>487</v>
      </c>
      <c r="H147" s="216">
        <v>3528.4</v>
      </c>
      <c r="I147" s="518" t="s">
        <v>488</v>
      </c>
      <c r="J147" s="1517">
        <v>31</v>
      </c>
      <c r="K147" s="866"/>
      <c r="L147" s="85"/>
    </row>
    <row r="148" spans="2:12" x14ac:dyDescent="0.25">
      <c r="J148" s="769"/>
      <c r="K148" s="866"/>
    </row>
    <row r="149" spans="2:12" x14ac:dyDescent="0.25">
      <c r="J149" s="769"/>
      <c r="K149" s="868"/>
    </row>
    <row r="150" spans="2:12" x14ac:dyDescent="0.25">
      <c r="J150" s="769"/>
      <c r="K150" s="866"/>
    </row>
    <row r="151" spans="2:12" x14ac:dyDescent="0.25">
      <c r="D151" s="79"/>
      <c r="E151" s="79"/>
      <c r="J151" s="769"/>
      <c r="K151" s="866"/>
    </row>
    <row r="152" spans="2:12" x14ac:dyDescent="0.25">
      <c r="J152" s="769"/>
      <c r="K152" s="866"/>
    </row>
    <row r="153" spans="2:12" x14ac:dyDescent="0.25">
      <c r="J153" s="769"/>
      <c r="K153" s="866"/>
    </row>
    <row r="154" spans="2:12" x14ac:dyDescent="0.25">
      <c r="J154" s="769"/>
      <c r="K154" s="866"/>
    </row>
    <row r="155" spans="2:12" x14ac:dyDescent="0.25">
      <c r="C155" s="79"/>
      <c r="D155" s="79"/>
      <c r="E155" s="79"/>
      <c r="F155" s="79"/>
      <c r="I155" s="216"/>
      <c r="J155" s="769"/>
      <c r="K155" s="866"/>
    </row>
    <row r="156" spans="2:12" x14ac:dyDescent="0.25">
      <c r="C156" s="79"/>
      <c r="D156" s="79"/>
      <c r="E156" s="79"/>
      <c r="F156" s="79"/>
      <c r="I156" s="216"/>
      <c r="J156" s="769"/>
      <c r="K156" s="866"/>
    </row>
    <row r="157" spans="2:12" x14ac:dyDescent="0.25">
      <c r="C157" s="79"/>
      <c r="D157" s="79"/>
      <c r="E157" s="79"/>
      <c r="F157" s="79"/>
      <c r="G157" s="216"/>
      <c r="I157" s="216"/>
      <c r="J157" s="769"/>
      <c r="K157" s="868"/>
    </row>
    <row r="158" spans="2:12" x14ac:dyDescent="0.25">
      <c r="C158" s="79"/>
      <c r="D158" s="79"/>
      <c r="E158" s="79"/>
      <c r="F158" s="79"/>
      <c r="G158" s="216"/>
      <c r="I158" s="216"/>
      <c r="J158" s="769"/>
      <c r="K158" s="866"/>
    </row>
    <row r="159" spans="2:12" x14ac:dyDescent="0.25">
      <c r="C159" s="79"/>
      <c r="D159" s="79"/>
      <c r="E159" s="79"/>
      <c r="F159" s="79"/>
      <c r="G159" s="216"/>
      <c r="J159" s="770"/>
      <c r="K159" s="866"/>
    </row>
    <row r="160" spans="2:12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J161" s="769"/>
      <c r="K161" s="866"/>
    </row>
    <row r="162" spans="3:11" x14ac:dyDescent="0.25">
      <c r="C162" s="79"/>
      <c r="D162" s="79"/>
      <c r="E162" s="79"/>
      <c r="F162" s="79"/>
      <c r="I162" s="629"/>
      <c r="J162" s="769"/>
      <c r="K162" s="866"/>
    </row>
    <row r="163" spans="3:11" x14ac:dyDescent="0.25">
      <c r="J163" s="769"/>
      <c r="K163" s="866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J167" s="769"/>
      <c r="K167" s="866"/>
    </row>
    <row r="168" spans="3:11" x14ac:dyDescent="0.25">
      <c r="C168" s="79"/>
      <c r="D168" s="79"/>
      <c r="E168" s="79"/>
      <c r="F168" s="79"/>
      <c r="I168" s="216"/>
      <c r="J168" s="769"/>
      <c r="K168" s="866"/>
    </row>
    <row r="169" spans="3:11" x14ac:dyDescent="0.25">
      <c r="C169" s="79"/>
      <c r="D169" s="79"/>
      <c r="E169" s="79"/>
      <c r="F169" s="79"/>
      <c r="I169" s="216"/>
      <c r="J169" s="769"/>
      <c r="K169" s="866"/>
    </row>
    <row r="170" spans="3:11" x14ac:dyDescent="0.25">
      <c r="C170" s="79"/>
      <c r="D170" s="79"/>
      <c r="E170" s="79"/>
      <c r="F170" s="79"/>
      <c r="I170" s="216"/>
      <c r="J170" s="769"/>
      <c r="K170" s="866"/>
    </row>
    <row r="171" spans="3:11" x14ac:dyDescent="0.25">
      <c r="C171" s="79"/>
      <c r="D171" s="79"/>
      <c r="E171" s="79"/>
      <c r="F171" s="79"/>
      <c r="I171" s="216"/>
      <c r="J171" s="769"/>
      <c r="K171" s="866"/>
    </row>
    <row r="172" spans="3:11" x14ac:dyDescent="0.25">
      <c r="C172" s="79"/>
      <c r="D172" s="79"/>
      <c r="E172" s="79"/>
      <c r="F172" s="79"/>
      <c r="I172" s="216"/>
      <c r="J172" s="769"/>
      <c r="K172" s="868"/>
    </row>
    <row r="173" spans="3:11" x14ac:dyDescent="0.25">
      <c r="C173" s="79"/>
      <c r="D173" s="79"/>
      <c r="E173" s="79"/>
      <c r="F173" s="79"/>
      <c r="I173" s="216"/>
      <c r="J173" s="769"/>
      <c r="K173" s="868"/>
    </row>
    <row r="174" spans="3:11" x14ac:dyDescent="0.25">
      <c r="C174" s="79"/>
      <c r="D174" s="79"/>
      <c r="E174" s="79"/>
      <c r="F174" s="79"/>
      <c r="I174" s="216"/>
      <c r="J174" s="769"/>
      <c r="K174" s="868"/>
    </row>
    <row r="175" spans="3:11" x14ac:dyDescent="0.25">
      <c r="C175" s="79"/>
      <c r="D175" s="79"/>
      <c r="E175" s="79"/>
      <c r="F175" s="79"/>
      <c r="I175" s="216"/>
      <c r="J175" s="769"/>
      <c r="K175" s="868"/>
    </row>
    <row r="176" spans="3:11" x14ac:dyDescent="0.25">
      <c r="C176" s="79"/>
      <c r="D176" s="79"/>
      <c r="E176" s="79"/>
      <c r="F176" s="79"/>
      <c r="I176" s="216"/>
      <c r="J176" s="769"/>
      <c r="K176" s="868"/>
    </row>
    <row r="177" spans="10:11" x14ac:dyDescent="0.25">
      <c r="J177" s="769"/>
      <c r="K177" s="866"/>
    </row>
    <row r="178" spans="10:11" x14ac:dyDescent="0.25">
      <c r="J178" s="769"/>
      <c r="K178" s="866"/>
    </row>
    <row r="179" spans="10:11" x14ac:dyDescent="0.25">
      <c r="J179" s="769"/>
      <c r="K179" s="868"/>
    </row>
    <row r="180" spans="10:11" x14ac:dyDescent="0.25">
      <c r="J180" s="769"/>
      <c r="K180" s="866"/>
    </row>
    <row r="181" spans="10:11" x14ac:dyDescent="0.25">
      <c r="J181" s="769"/>
      <c r="K181" s="866"/>
    </row>
    <row r="182" spans="10:11" x14ac:dyDescent="0.25">
      <c r="J182" s="769"/>
      <c r="K182" s="868"/>
    </row>
    <row r="183" spans="10:11" x14ac:dyDescent="0.25">
      <c r="J183" s="769"/>
      <c r="K183" s="868"/>
    </row>
    <row r="184" spans="10:11" x14ac:dyDescent="0.25">
      <c r="J184" s="769"/>
      <c r="K184" s="868"/>
    </row>
    <row r="185" spans="10:11" x14ac:dyDescent="0.25">
      <c r="J185" s="769"/>
      <c r="K185" s="868"/>
    </row>
    <row r="186" spans="10:11" x14ac:dyDescent="0.25">
      <c r="J186" s="769"/>
      <c r="K186" s="866"/>
    </row>
    <row r="187" spans="10:11" x14ac:dyDescent="0.25">
      <c r="J187" s="223"/>
      <c r="K187" s="629"/>
    </row>
    <row r="188" spans="10:11" x14ac:dyDescent="0.25">
      <c r="J188" s="756"/>
      <c r="K188" s="756"/>
    </row>
    <row r="193" spans="10:11" x14ac:dyDescent="0.25">
      <c r="J193" s="85"/>
      <c r="K193" s="85"/>
    </row>
    <row r="200" spans="10:11" x14ac:dyDescent="0.25">
      <c r="J200" s="85"/>
      <c r="K200" s="85"/>
    </row>
    <row r="207" spans="10:11" x14ac:dyDescent="0.25">
      <c r="J207" s="771"/>
      <c r="K207" s="518"/>
    </row>
    <row r="215" spans="11:11" x14ac:dyDescent="0.25">
      <c r="K215" s="216"/>
    </row>
    <row r="216" spans="11:11" x14ac:dyDescent="0.25">
      <c r="K216" s="216"/>
    </row>
    <row r="217" spans="11:11" x14ac:dyDescent="0.25">
      <c r="K217" s="216"/>
    </row>
    <row r="218" spans="11:11" x14ac:dyDescent="0.25">
      <c r="K218" s="216"/>
    </row>
    <row r="220" spans="11:11" x14ac:dyDescent="0.25">
      <c r="K220" s="216"/>
    </row>
    <row r="222" spans="11:11" x14ac:dyDescent="0.25">
      <c r="K222" s="629"/>
    </row>
    <row r="228" spans="11:11" x14ac:dyDescent="0.25">
      <c r="K228" s="216"/>
    </row>
    <row r="229" spans="11:11" x14ac:dyDescent="0.25">
      <c r="K229" s="216"/>
    </row>
    <row r="230" spans="11:11" x14ac:dyDescent="0.25">
      <c r="K230" s="216"/>
    </row>
    <row r="231" spans="11:11" x14ac:dyDescent="0.25">
      <c r="K231" s="216"/>
    </row>
    <row r="232" spans="11:11" x14ac:dyDescent="0.25">
      <c r="K232" s="216"/>
    </row>
    <row r="233" spans="11:11" x14ac:dyDescent="0.25">
      <c r="K233" s="216"/>
    </row>
    <row r="234" spans="11:11" x14ac:dyDescent="0.25">
      <c r="K234" s="216"/>
    </row>
    <row r="235" spans="11:11" x14ac:dyDescent="0.25">
      <c r="K235" s="216"/>
    </row>
    <row r="236" spans="11:11" x14ac:dyDescent="0.25">
      <c r="K236" s="216"/>
    </row>
  </sheetData>
  <autoFilter ref="A2:I128" xr:uid="{00000000-0009-0000-0000-000041000000}"/>
  <mergeCells count="12">
    <mergeCell ref="A127:E127"/>
    <mergeCell ref="A128:E128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Plan79"/>
  <dimension ref="A1:L218"/>
  <sheetViews>
    <sheetView zoomScale="85" zoomScaleNormal="85" workbookViewId="0">
      <pane ySplit="4" topLeftCell="A76" activePane="bottomLeft" state="frozen"/>
      <selection activeCell="C44" sqref="C44"/>
      <selection pane="bottomLeft" activeCell="B95" sqref="B9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1742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43040</v>
      </c>
      <c r="B5" s="369" t="s">
        <v>10</v>
      </c>
      <c r="C5" s="370"/>
      <c r="D5" s="370"/>
      <c r="E5" s="777"/>
      <c r="F5" s="179"/>
      <c r="G5" s="933">
        <f>'Outubro-17'!G128</f>
        <v>517.62000000000717</v>
      </c>
      <c r="H5" s="179"/>
      <c r="I5" s="933">
        <f>'Outubro-17'!I128</f>
        <v>1299.9960000000015</v>
      </c>
      <c r="J5" s="179"/>
      <c r="K5" s="933">
        <f>'Outubro-17'!K128</f>
        <v>4044.7</v>
      </c>
    </row>
    <row r="6" spans="1:11" s="224" customFormat="1" x14ac:dyDescent="0.25">
      <c r="A6" s="215">
        <v>43040</v>
      </c>
      <c r="B6" s="348" t="s">
        <v>11</v>
      </c>
      <c r="C6" s="351"/>
      <c r="D6" s="351"/>
      <c r="E6" s="673"/>
      <c r="F6" s="250"/>
      <c r="G6" s="1473"/>
      <c r="H6" s="250"/>
      <c r="I6" s="1473"/>
      <c r="J6" s="250"/>
      <c r="K6" s="1473"/>
    </row>
    <row r="7" spans="1:11" s="224" customFormat="1" x14ac:dyDescent="0.25">
      <c r="A7" s="215">
        <v>43040</v>
      </c>
      <c r="B7" s="862" t="s">
        <v>32</v>
      </c>
      <c r="C7" s="879" t="s">
        <v>12</v>
      </c>
      <c r="D7" s="879" t="s">
        <v>1485</v>
      </c>
      <c r="E7" s="871" t="s">
        <v>13</v>
      </c>
      <c r="F7" s="97">
        <v>14</v>
      </c>
      <c r="G7" s="946"/>
      <c r="H7" s="97"/>
      <c r="I7" s="946"/>
      <c r="J7" s="97"/>
      <c r="K7" s="946"/>
    </row>
    <row r="8" spans="1:11" s="224" customFormat="1" x14ac:dyDescent="0.25">
      <c r="A8" s="215">
        <v>43040</v>
      </c>
      <c r="B8" s="862" t="s">
        <v>1743</v>
      </c>
      <c r="C8" s="350" t="s">
        <v>12</v>
      </c>
      <c r="D8" s="350" t="s">
        <v>1522</v>
      </c>
      <c r="E8" s="480" t="s">
        <v>13</v>
      </c>
      <c r="F8" s="97">
        <v>60</v>
      </c>
      <c r="G8" s="946"/>
      <c r="H8" s="97"/>
      <c r="I8" s="946"/>
      <c r="J8" s="97"/>
      <c r="K8" s="946"/>
    </row>
    <row r="9" spans="1:11" s="224" customFormat="1" x14ac:dyDescent="0.25">
      <c r="A9" s="215">
        <v>43040</v>
      </c>
      <c r="B9" s="862" t="s">
        <v>1731</v>
      </c>
      <c r="C9" s="879" t="s">
        <v>12</v>
      </c>
      <c r="D9" s="879" t="s">
        <v>1487</v>
      </c>
      <c r="E9" s="871" t="s">
        <v>15</v>
      </c>
      <c r="F9" s="97">
        <v>60</v>
      </c>
      <c r="G9" s="946"/>
      <c r="H9" s="97"/>
      <c r="I9" s="946"/>
      <c r="J9" s="97"/>
      <c r="K9" s="946"/>
    </row>
    <row r="10" spans="1:11" s="224" customFormat="1" x14ac:dyDescent="0.25">
      <c r="A10" s="215">
        <v>43040</v>
      </c>
      <c r="B10" s="862" t="s">
        <v>1438</v>
      </c>
      <c r="C10" s="879" t="s">
        <v>19</v>
      </c>
      <c r="D10" s="879" t="s">
        <v>1489</v>
      </c>
      <c r="E10" s="871" t="s">
        <v>15</v>
      </c>
      <c r="F10" s="97">
        <v>57</v>
      </c>
      <c r="G10" s="946"/>
      <c r="H10" s="97"/>
      <c r="I10" s="946"/>
      <c r="J10" s="97"/>
      <c r="K10" s="946"/>
    </row>
    <row r="11" spans="1:11" s="224" customFormat="1" x14ac:dyDescent="0.25">
      <c r="A11" s="215">
        <v>43041</v>
      </c>
      <c r="B11" s="862" t="s">
        <v>32</v>
      </c>
      <c r="C11" s="879" t="s">
        <v>12</v>
      </c>
      <c r="D11" s="879" t="s">
        <v>1485</v>
      </c>
      <c r="E11" s="871" t="s">
        <v>13</v>
      </c>
      <c r="F11" s="97">
        <v>14.9</v>
      </c>
      <c r="G11" s="946"/>
      <c r="H11" s="97"/>
      <c r="I11" s="946"/>
      <c r="J11" s="97"/>
      <c r="K11" s="946"/>
    </row>
    <row r="12" spans="1:11" s="224" customFormat="1" x14ac:dyDescent="0.25">
      <c r="A12" s="215">
        <v>43041</v>
      </c>
      <c r="B12" s="862" t="s">
        <v>1744</v>
      </c>
      <c r="C12" s="879" t="s">
        <v>12</v>
      </c>
      <c r="D12" s="879" t="s">
        <v>1493</v>
      </c>
      <c r="E12" s="871" t="s">
        <v>13</v>
      </c>
      <c r="F12" s="97">
        <v>37</v>
      </c>
      <c r="G12" s="946"/>
      <c r="H12" s="97"/>
      <c r="I12" s="946"/>
      <c r="J12" s="97"/>
      <c r="K12" s="946"/>
    </row>
    <row r="13" spans="1:11" s="224" customFormat="1" ht="15" customHeight="1" x14ac:dyDescent="0.25">
      <c r="A13" s="215">
        <v>43042</v>
      </c>
      <c r="B13" s="862" t="s">
        <v>256</v>
      </c>
      <c r="C13" s="879"/>
      <c r="D13" s="879"/>
      <c r="E13" s="871"/>
      <c r="F13" s="97"/>
      <c r="G13" s="1064">
        <v>100</v>
      </c>
      <c r="H13" s="97">
        <v>100</v>
      </c>
      <c r="I13" s="946"/>
      <c r="J13" s="97"/>
      <c r="K13" s="946"/>
    </row>
    <row r="14" spans="1:11" s="224" customFormat="1" x14ac:dyDescent="0.25">
      <c r="A14" s="215">
        <v>43042</v>
      </c>
      <c r="B14" s="862" t="s">
        <v>14</v>
      </c>
      <c r="C14" s="879" t="s">
        <v>12</v>
      </c>
      <c r="D14" s="879" t="s">
        <v>1486</v>
      </c>
      <c r="E14" s="871" t="s">
        <v>13</v>
      </c>
      <c r="F14" s="97">
        <v>1.39</v>
      </c>
      <c r="G14" s="1521"/>
      <c r="H14" s="97"/>
      <c r="I14" s="946"/>
      <c r="J14" s="97"/>
      <c r="K14" s="946"/>
    </row>
    <row r="15" spans="1:11" s="224" customFormat="1" x14ac:dyDescent="0.25">
      <c r="A15" s="215">
        <v>43042</v>
      </c>
      <c r="B15" s="862" t="s">
        <v>1438</v>
      </c>
      <c r="C15" s="879" t="s">
        <v>12</v>
      </c>
      <c r="D15" s="879" t="s">
        <v>1489</v>
      </c>
      <c r="E15" s="871" t="s">
        <v>13</v>
      </c>
      <c r="F15" s="97">
        <v>22.85</v>
      </c>
      <c r="G15" s="946"/>
      <c r="H15" s="97"/>
      <c r="I15" s="946"/>
      <c r="J15" s="97"/>
      <c r="K15" s="946"/>
    </row>
    <row r="16" spans="1:11" s="224" customFormat="1" x14ac:dyDescent="0.25">
      <c r="A16" s="215">
        <v>43042</v>
      </c>
      <c r="B16" s="862" t="s">
        <v>1438</v>
      </c>
      <c r="C16" s="879" t="s">
        <v>12</v>
      </c>
      <c r="D16" s="879" t="s">
        <v>1489</v>
      </c>
      <c r="E16" s="871" t="s">
        <v>13</v>
      </c>
      <c r="F16" s="97">
        <v>2.8</v>
      </c>
      <c r="G16" s="946"/>
      <c r="H16" s="97"/>
      <c r="I16" s="946"/>
      <c r="J16" s="97"/>
      <c r="K16" s="946"/>
    </row>
    <row r="17" spans="1:11" s="224" customFormat="1" x14ac:dyDescent="0.25">
      <c r="A17" s="215">
        <v>43042</v>
      </c>
      <c r="B17" s="862" t="s">
        <v>1745</v>
      </c>
      <c r="C17" s="879" t="s">
        <v>12</v>
      </c>
      <c r="D17" s="879" t="s">
        <v>1489</v>
      </c>
      <c r="E17" s="871" t="s">
        <v>15</v>
      </c>
      <c r="F17" s="97">
        <v>10</v>
      </c>
      <c r="G17" s="946"/>
      <c r="H17" s="97"/>
      <c r="I17" s="946"/>
      <c r="J17" s="97"/>
      <c r="K17" s="946"/>
    </row>
    <row r="18" spans="1:11" s="224" customFormat="1" x14ac:dyDescent="0.25">
      <c r="A18" s="215">
        <v>43043</v>
      </c>
      <c r="B18" s="862" t="s">
        <v>14</v>
      </c>
      <c r="C18" s="879" t="s">
        <v>12</v>
      </c>
      <c r="D18" s="879" t="s">
        <v>1486</v>
      </c>
      <c r="E18" s="871" t="s">
        <v>13</v>
      </c>
      <c r="F18" s="97">
        <v>11.91</v>
      </c>
      <c r="G18" s="946"/>
      <c r="H18" s="97"/>
      <c r="I18" s="1473"/>
      <c r="J18" s="97"/>
      <c r="K18" s="1473"/>
    </row>
    <row r="19" spans="1:11" s="224" customFormat="1" x14ac:dyDescent="0.25">
      <c r="A19" s="215">
        <v>43044</v>
      </c>
      <c r="B19" s="862" t="s">
        <v>1438</v>
      </c>
      <c r="C19" s="879" t="s">
        <v>12</v>
      </c>
      <c r="D19" s="879" t="s">
        <v>1489</v>
      </c>
      <c r="E19" s="871" t="s">
        <v>15</v>
      </c>
      <c r="F19" s="97">
        <v>31.25</v>
      </c>
      <c r="G19" s="946"/>
      <c r="H19" s="97"/>
      <c r="I19" s="1473"/>
      <c r="J19" s="97"/>
      <c r="K19" s="1473"/>
    </row>
    <row r="20" spans="1:11" s="224" customFormat="1" x14ac:dyDescent="0.25">
      <c r="A20" s="215">
        <v>43044</v>
      </c>
      <c r="B20" s="862" t="s">
        <v>14</v>
      </c>
      <c r="C20" s="879" t="s">
        <v>12</v>
      </c>
      <c r="D20" s="879" t="s">
        <v>1486</v>
      </c>
      <c r="E20" s="871" t="s">
        <v>13</v>
      </c>
      <c r="F20" s="97">
        <v>5.01</v>
      </c>
      <c r="G20" s="946"/>
      <c r="H20" s="97"/>
      <c r="I20" s="1473"/>
      <c r="J20" s="97"/>
      <c r="K20" s="1473"/>
    </row>
    <row r="21" spans="1:11" s="224" customFormat="1" x14ac:dyDescent="0.25">
      <c r="A21" s="215">
        <v>43045</v>
      </c>
      <c r="B21" s="349" t="s">
        <v>311</v>
      </c>
      <c r="C21" s="350"/>
      <c r="D21" s="765"/>
      <c r="E21" s="778"/>
      <c r="F21" s="709"/>
      <c r="G21" s="248"/>
      <c r="H21" s="97"/>
      <c r="I21" s="946">
        <v>5.63</v>
      </c>
      <c r="J21" s="97"/>
      <c r="K21" s="946"/>
    </row>
    <row r="22" spans="1:11" s="224" customFormat="1" x14ac:dyDescent="0.25">
      <c r="A22" s="215">
        <v>43045</v>
      </c>
      <c r="B22" s="862" t="s">
        <v>32</v>
      </c>
      <c r="C22" s="879" t="s">
        <v>12</v>
      </c>
      <c r="D22" s="879" t="s">
        <v>1485</v>
      </c>
      <c r="E22" s="871" t="s">
        <v>15</v>
      </c>
      <c r="F22" s="97">
        <v>14</v>
      </c>
      <c r="G22" s="946"/>
      <c r="H22" s="97"/>
      <c r="I22" s="1473"/>
      <c r="J22" s="97"/>
      <c r="K22" s="1473"/>
    </row>
    <row r="23" spans="1:11" s="224" customFormat="1" x14ac:dyDescent="0.25">
      <c r="A23" s="215">
        <v>43045</v>
      </c>
      <c r="B23" s="862" t="s">
        <v>114</v>
      </c>
      <c r="C23" s="879" t="s">
        <v>12</v>
      </c>
      <c r="D23" s="879" t="s">
        <v>1506</v>
      </c>
      <c r="E23" s="871" t="s">
        <v>15</v>
      </c>
      <c r="F23" s="97">
        <v>11</v>
      </c>
      <c r="G23" s="946"/>
      <c r="H23" s="97"/>
      <c r="I23" s="1473"/>
      <c r="J23" s="97"/>
      <c r="K23" s="1473"/>
    </row>
    <row r="24" spans="1:11" s="224" customFormat="1" x14ac:dyDescent="0.25">
      <c r="A24" s="215">
        <v>43045</v>
      </c>
      <c r="B24" s="862" t="s">
        <v>1746</v>
      </c>
      <c r="C24" s="879" t="s">
        <v>12</v>
      </c>
      <c r="D24" s="879" t="s">
        <v>1489</v>
      </c>
      <c r="E24" s="871" t="s">
        <v>15</v>
      </c>
      <c r="F24" s="97">
        <v>8</v>
      </c>
      <c r="G24" s="946"/>
      <c r="H24" s="97"/>
      <c r="I24" s="1473"/>
      <c r="J24" s="97"/>
      <c r="K24" s="1473"/>
    </row>
    <row r="25" spans="1:11" s="224" customFormat="1" ht="15.75" customHeight="1" x14ac:dyDescent="0.25">
      <c r="A25" s="215">
        <v>43046</v>
      </c>
      <c r="B25" s="349" t="s">
        <v>1747</v>
      </c>
      <c r="C25" s="879" t="s">
        <v>12</v>
      </c>
      <c r="D25" s="874"/>
      <c r="E25" s="871" t="s">
        <v>25</v>
      </c>
      <c r="F25" s="1514"/>
      <c r="G25" s="1473">
        <v>1583.78</v>
      </c>
      <c r="H25" s="250"/>
      <c r="I25" s="946"/>
      <c r="J25" s="97"/>
      <c r="K25" s="946"/>
    </row>
    <row r="26" spans="1:11" s="224" customFormat="1" x14ac:dyDescent="0.25">
      <c r="A26" s="215">
        <v>43046</v>
      </c>
      <c r="B26" s="862" t="s">
        <v>1748</v>
      </c>
      <c r="C26" s="879" t="s">
        <v>12</v>
      </c>
      <c r="D26" s="879"/>
      <c r="E26" s="871" t="s">
        <v>13</v>
      </c>
      <c r="F26" s="456">
        <v>263.99</v>
      </c>
      <c r="G26" s="946"/>
      <c r="H26" s="97"/>
      <c r="I26" s="946"/>
      <c r="J26" s="523"/>
      <c r="K26" s="457"/>
    </row>
    <row r="27" spans="1:11" x14ac:dyDescent="0.25">
      <c r="A27" s="215">
        <v>43046</v>
      </c>
      <c r="B27" s="862" t="s">
        <v>1532</v>
      </c>
      <c r="C27" s="879" t="s">
        <v>12</v>
      </c>
      <c r="D27" s="879" t="s">
        <v>1504</v>
      </c>
      <c r="E27" s="871" t="s">
        <v>13</v>
      </c>
      <c r="F27" s="523">
        <v>50</v>
      </c>
      <c r="G27" s="946"/>
      <c r="H27" s="97"/>
      <c r="I27" s="946"/>
      <c r="J27" s="97"/>
      <c r="K27" s="1473"/>
    </row>
    <row r="28" spans="1:11" x14ac:dyDescent="0.25">
      <c r="A28" s="215">
        <v>43046</v>
      </c>
      <c r="B28" s="882" t="s">
        <v>1749</v>
      </c>
      <c r="C28" s="879" t="s">
        <v>12</v>
      </c>
      <c r="D28" s="879" t="s">
        <v>1499</v>
      </c>
      <c r="E28" s="871" t="s">
        <v>13</v>
      </c>
      <c r="F28" s="780">
        <v>57.33</v>
      </c>
      <c r="G28" s="982"/>
      <c r="H28" s="622"/>
      <c r="I28" s="982"/>
      <c r="J28" s="780"/>
      <c r="K28" s="614"/>
    </row>
    <row r="29" spans="1:11" x14ac:dyDescent="0.25">
      <c r="A29" s="215">
        <v>43046</v>
      </c>
      <c r="B29" s="862" t="s">
        <v>52</v>
      </c>
      <c r="C29" s="879" t="s">
        <v>12</v>
      </c>
      <c r="D29" s="879" t="s">
        <v>1496</v>
      </c>
      <c r="E29" s="871" t="s">
        <v>13</v>
      </c>
      <c r="F29" s="523">
        <v>60</v>
      </c>
      <c r="G29" s="1064"/>
      <c r="H29" s="97"/>
      <c r="I29" s="946"/>
      <c r="J29" s="97"/>
      <c r="K29" s="946"/>
    </row>
    <row r="30" spans="1:11" s="224" customFormat="1" x14ac:dyDescent="0.25">
      <c r="A30" s="215">
        <v>43046</v>
      </c>
      <c r="B30" s="862" t="s">
        <v>32</v>
      </c>
      <c r="C30" s="879" t="s">
        <v>12</v>
      </c>
      <c r="D30" s="879" t="s">
        <v>1485</v>
      </c>
      <c r="E30" s="871" t="s">
        <v>15</v>
      </c>
      <c r="F30" s="523">
        <v>14</v>
      </c>
      <c r="G30" s="946"/>
      <c r="H30" s="97"/>
      <c r="I30" s="1473"/>
      <c r="J30" s="97"/>
      <c r="K30" s="1473"/>
    </row>
    <row r="31" spans="1:11" s="224" customFormat="1" ht="15" customHeight="1" x14ac:dyDescent="0.25">
      <c r="A31" s="215">
        <v>43046</v>
      </c>
      <c r="B31" s="349" t="s">
        <v>260</v>
      </c>
      <c r="C31" s="350"/>
      <c r="D31" s="350"/>
      <c r="E31" s="480"/>
      <c r="F31" s="523">
        <v>594.37</v>
      </c>
      <c r="G31" s="1064"/>
      <c r="H31" s="97"/>
      <c r="I31" s="946">
        <v>594.37</v>
      </c>
      <c r="J31" s="97"/>
      <c r="K31" s="946"/>
    </row>
    <row r="32" spans="1:11" x14ac:dyDescent="0.25">
      <c r="A32" s="1052">
        <v>43046</v>
      </c>
      <c r="B32" s="873" t="s">
        <v>1554</v>
      </c>
      <c r="C32" s="879" t="s">
        <v>19</v>
      </c>
      <c r="D32" s="879" t="s">
        <v>1491</v>
      </c>
      <c r="E32" s="871" t="s">
        <v>15</v>
      </c>
      <c r="F32" s="523">
        <v>64</v>
      </c>
      <c r="G32" s="1064"/>
      <c r="H32" s="97"/>
      <c r="I32" s="946"/>
      <c r="J32" s="97"/>
      <c r="K32" s="946"/>
    </row>
    <row r="33" spans="1:11" s="224" customFormat="1" x14ac:dyDescent="0.25">
      <c r="A33" s="1052">
        <v>43046</v>
      </c>
      <c r="B33" s="862" t="s">
        <v>14</v>
      </c>
      <c r="C33" s="879" t="s">
        <v>12</v>
      </c>
      <c r="D33" s="879" t="s">
        <v>1486</v>
      </c>
      <c r="E33" s="871" t="s">
        <v>13</v>
      </c>
      <c r="F33" s="523">
        <v>5.54</v>
      </c>
      <c r="G33" s="946"/>
      <c r="H33" s="97"/>
      <c r="I33" s="1473"/>
      <c r="J33" s="97"/>
      <c r="K33" s="1473"/>
    </row>
    <row r="34" spans="1:11" s="224" customFormat="1" x14ac:dyDescent="0.25">
      <c r="A34" s="215">
        <v>43047</v>
      </c>
      <c r="B34" s="862" t="s">
        <v>32</v>
      </c>
      <c r="C34" s="879" t="s">
        <v>12</v>
      </c>
      <c r="D34" s="879" t="s">
        <v>1485</v>
      </c>
      <c r="E34" s="871" t="s">
        <v>15</v>
      </c>
      <c r="F34" s="523">
        <v>14</v>
      </c>
      <c r="G34" s="946"/>
      <c r="H34" s="97"/>
      <c r="I34" s="1473"/>
      <c r="J34" s="97"/>
      <c r="K34" s="1473"/>
    </row>
    <row r="35" spans="1:11" x14ac:dyDescent="0.25">
      <c r="A35" s="215">
        <v>43047</v>
      </c>
      <c r="B35" s="862" t="s">
        <v>14</v>
      </c>
      <c r="C35" s="879" t="s">
        <v>12</v>
      </c>
      <c r="D35" s="879" t="s">
        <v>1486</v>
      </c>
      <c r="E35" s="871" t="s">
        <v>13</v>
      </c>
      <c r="F35" s="523">
        <v>7.67</v>
      </c>
      <c r="G35" s="946"/>
      <c r="H35" s="97"/>
      <c r="I35" s="946"/>
      <c r="J35" s="97"/>
      <c r="K35" s="946"/>
    </row>
    <row r="36" spans="1:11" s="224" customFormat="1" x14ac:dyDescent="0.25">
      <c r="A36" s="215">
        <v>43048</v>
      </c>
      <c r="B36" s="862" t="s">
        <v>32</v>
      </c>
      <c r="C36" s="879" t="s">
        <v>12</v>
      </c>
      <c r="D36" s="879" t="s">
        <v>1485</v>
      </c>
      <c r="E36" s="871" t="s">
        <v>13</v>
      </c>
      <c r="F36" s="523">
        <v>14</v>
      </c>
      <c r="G36" s="946"/>
      <c r="H36" s="97"/>
      <c r="I36" s="1473"/>
      <c r="J36" s="97"/>
      <c r="K36" s="1473"/>
    </row>
    <row r="37" spans="1:11" s="224" customFormat="1" x14ac:dyDescent="0.25">
      <c r="A37" s="215">
        <v>43048</v>
      </c>
      <c r="B37" s="349" t="s">
        <v>1750</v>
      </c>
      <c r="C37" s="879" t="s">
        <v>12</v>
      </c>
      <c r="D37" s="879" t="s">
        <v>1489</v>
      </c>
      <c r="E37" s="871" t="s">
        <v>13</v>
      </c>
      <c r="F37" s="797">
        <v>11.2</v>
      </c>
      <c r="G37" s="627"/>
      <c r="H37" s="97"/>
      <c r="I37" s="946"/>
      <c r="J37" s="97"/>
      <c r="K37" s="946"/>
    </row>
    <row r="38" spans="1:11" ht="15" customHeight="1" x14ac:dyDescent="0.25">
      <c r="A38" s="215">
        <v>43048</v>
      </c>
      <c r="B38" s="349" t="s">
        <v>1396</v>
      </c>
      <c r="C38" s="350" t="s">
        <v>12</v>
      </c>
      <c r="D38" s="350"/>
      <c r="E38" s="757" t="s">
        <v>25</v>
      </c>
      <c r="F38" s="97"/>
      <c r="G38" s="946">
        <v>40</v>
      </c>
      <c r="H38" s="97"/>
      <c r="I38" s="946"/>
      <c r="J38" s="97"/>
      <c r="K38" s="946"/>
    </row>
    <row r="39" spans="1:11" s="224" customFormat="1" x14ac:dyDescent="0.25">
      <c r="A39" s="215">
        <v>43049</v>
      </c>
      <c r="B39" s="862" t="s">
        <v>1731</v>
      </c>
      <c r="C39" s="879" t="s">
        <v>12</v>
      </c>
      <c r="D39" s="879" t="s">
        <v>1487</v>
      </c>
      <c r="E39" s="871" t="s">
        <v>15</v>
      </c>
      <c r="F39" s="523">
        <v>60</v>
      </c>
      <c r="G39" s="946"/>
      <c r="H39" s="97"/>
      <c r="I39" s="946"/>
      <c r="J39" s="97"/>
      <c r="K39" s="946"/>
    </row>
    <row r="40" spans="1:11" s="224" customFormat="1" x14ac:dyDescent="0.25">
      <c r="A40" s="215">
        <v>43049</v>
      </c>
      <c r="B40" s="862" t="s">
        <v>32</v>
      </c>
      <c r="C40" s="879" t="s">
        <v>12</v>
      </c>
      <c r="D40" s="879" t="s">
        <v>1485</v>
      </c>
      <c r="E40" s="871" t="s">
        <v>13</v>
      </c>
      <c r="F40" s="523">
        <v>14</v>
      </c>
      <c r="G40" s="946"/>
      <c r="H40" s="97"/>
      <c r="I40" s="1473"/>
      <c r="J40" s="97"/>
      <c r="K40" s="1473"/>
    </row>
    <row r="41" spans="1:11" s="224" customFormat="1" ht="15" customHeight="1" x14ac:dyDescent="0.25">
      <c r="A41" s="215">
        <v>43049</v>
      </c>
      <c r="B41" s="349" t="s">
        <v>1751</v>
      </c>
      <c r="C41" s="350" t="s">
        <v>12</v>
      </c>
      <c r="D41" s="350" t="s">
        <v>1491</v>
      </c>
      <c r="E41" s="480" t="s">
        <v>15</v>
      </c>
      <c r="F41" s="523">
        <v>200</v>
      </c>
      <c r="G41" s="946"/>
      <c r="H41" s="97"/>
      <c r="I41" s="946"/>
      <c r="J41" s="97"/>
      <c r="K41" s="946"/>
    </row>
    <row r="42" spans="1:11" s="224" customFormat="1" ht="15" customHeight="1" x14ac:dyDescent="0.25">
      <c r="A42" s="215">
        <v>43049</v>
      </c>
      <c r="B42" s="349" t="s">
        <v>1752</v>
      </c>
      <c r="C42" s="350" t="s">
        <v>12</v>
      </c>
      <c r="D42" s="350" t="s">
        <v>1491</v>
      </c>
      <c r="E42" s="480" t="s">
        <v>15</v>
      </c>
      <c r="F42" s="523">
        <v>30</v>
      </c>
      <c r="G42" s="946"/>
      <c r="H42" s="97"/>
      <c r="I42" s="946"/>
      <c r="J42" s="97"/>
      <c r="K42" s="946"/>
    </row>
    <row r="43" spans="1:11" s="224" customFormat="1" x14ac:dyDescent="0.25">
      <c r="A43" s="215">
        <v>43050</v>
      </c>
      <c r="B43" s="862" t="s">
        <v>32</v>
      </c>
      <c r="C43" s="879" t="s">
        <v>12</v>
      </c>
      <c r="D43" s="879" t="s">
        <v>1485</v>
      </c>
      <c r="E43" s="871" t="s">
        <v>13</v>
      </c>
      <c r="F43" s="523">
        <v>16.899999999999999</v>
      </c>
      <c r="G43" s="627"/>
      <c r="H43" s="97"/>
      <c r="I43" s="946"/>
      <c r="J43" s="97"/>
      <c r="K43" s="946"/>
    </row>
    <row r="44" spans="1:11" s="224" customFormat="1" x14ac:dyDescent="0.25">
      <c r="A44" s="215">
        <v>43050</v>
      </c>
      <c r="B44" s="862" t="s">
        <v>134</v>
      </c>
      <c r="C44" s="879" t="s">
        <v>12</v>
      </c>
      <c r="D44" s="879" t="s">
        <v>1493</v>
      </c>
      <c r="E44" s="871" t="s">
        <v>13</v>
      </c>
      <c r="F44" s="523">
        <v>12.22</v>
      </c>
      <c r="G44" s="627"/>
      <c r="H44" s="97"/>
      <c r="I44" s="946"/>
      <c r="J44" s="97"/>
      <c r="K44" s="946"/>
    </row>
    <row r="45" spans="1:11" s="224" customFormat="1" x14ac:dyDescent="0.25">
      <c r="A45" s="215">
        <v>43051</v>
      </c>
      <c r="B45" s="349" t="s">
        <v>32</v>
      </c>
      <c r="C45" s="350" t="s">
        <v>12</v>
      </c>
      <c r="D45" s="765" t="s">
        <v>1485</v>
      </c>
      <c r="E45" s="778" t="s">
        <v>13</v>
      </c>
      <c r="F45" s="785">
        <v>35.950000000000003</v>
      </c>
      <c r="G45" s="627"/>
      <c r="H45" s="97"/>
      <c r="I45" s="946"/>
      <c r="J45" s="97"/>
      <c r="K45" s="946"/>
    </row>
    <row r="46" spans="1:11" s="224" customFormat="1" x14ac:dyDescent="0.25">
      <c r="A46" s="215">
        <v>43051</v>
      </c>
      <c r="B46" s="862" t="s">
        <v>17</v>
      </c>
      <c r="C46" s="879" t="s">
        <v>12</v>
      </c>
      <c r="D46" s="879" t="s">
        <v>1493</v>
      </c>
      <c r="E46" s="871" t="s">
        <v>15</v>
      </c>
      <c r="F46" s="523">
        <v>12.22</v>
      </c>
      <c r="G46" s="627"/>
      <c r="H46" s="97"/>
      <c r="I46" s="946"/>
      <c r="J46" s="97"/>
      <c r="K46" s="946"/>
    </row>
    <row r="47" spans="1:11" s="224" customFormat="1" x14ac:dyDescent="0.25">
      <c r="A47" s="215">
        <v>43052</v>
      </c>
      <c r="B47" s="349" t="s">
        <v>32</v>
      </c>
      <c r="C47" s="350" t="s">
        <v>12</v>
      </c>
      <c r="D47" s="765" t="s">
        <v>1485</v>
      </c>
      <c r="E47" s="778" t="s">
        <v>13</v>
      </c>
      <c r="F47" s="785">
        <v>14</v>
      </c>
      <c r="G47" s="627"/>
      <c r="H47" s="97"/>
      <c r="I47" s="946"/>
      <c r="J47" s="97"/>
      <c r="K47" s="946"/>
    </row>
    <row r="48" spans="1:11" x14ac:dyDescent="0.25">
      <c r="A48" s="215">
        <v>43052</v>
      </c>
      <c r="B48" s="862" t="s">
        <v>14</v>
      </c>
      <c r="C48" s="879" t="s">
        <v>12</v>
      </c>
      <c r="D48" s="879" t="s">
        <v>1486</v>
      </c>
      <c r="E48" s="871" t="s">
        <v>13</v>
      </c>
      <c r="F48" s="523">
        <v>6.1</v>
      </c>
      <c r="G48" s="946"/>
      <c r="H48" s="97"/>
      <c r="I48" s="946"/>
      <c r="J48" s="97"/>
      <c r="K48" s="946"/>
    </row>
    <row r="49" spans="1:11" x14ac:dyDescent="0.25">
      <c r="A49" s="215">
        <v>43052</v>
      </c>
      <c r="B49" s="862" t="s">
        <v>147</v>
      </c>
      <c r="C49" s="879" t="s">
        <v>12</v>
      </c>
      <c r="D49" s="879" t="s">
        <v>1489</v>
      </c>
      <c r="E49" s="871" t="s">
        <v>15</v>
      </c>
      <c r="F49" s="523">
        <v>10</v>
      </c>
      <c r="G49" s="946"/>
      <c r="H49" s="97"/>
      <c r="I49" s="946"/>
      <c r="J49" s="97"/>
      <c r="K49" s="946"/>
    </row>
    <row r="50" spans="1:11" s="224" customFormat="1" x14ac:dyDescent="0.25">
      <c r="A50" s="215">
        <v>43053</v>
      </c>
      <c r="B50" s="349" t="s">
        <v>32</v>
      </c>
      <c r="C50" s="350" t="s">
        <v>12</v>
      </c>
      <c r="D50" s="765" t="s">
        <v>1485</v>
      </c>
      <c r="E50" s="778" t="s">
        <v>13</v>
      </c>
      <c r="F50" s="785">
        <v>14</v>
      </c>
      <c r="G50" s="627"/>
      <c r="H50" s="97"/>
      <c r="I50" s="946"/>
      <c r="J50" s="97"/>
      <c r="K50" s="946"/>
    </row>
    <row r="51" spans="1:11" s="224" customFormat="1" x14ac:dyDescent="0.25">
      <c r="A51" s="215">
        <v>43053</v>
      </c>
      <c r="B51" s="349" t="s">
        <v>1438</v>
      </c>
      <c r="C51" s="350" t="s">
        <v>19</v>
      </c>
      <c r="D51" s="765" t="s">
        <v>1489</v>
      </c>
      <c r="E51" s="778" t="s">
        <v>13</v>
      </c>
      <c r="F51" s="785">
        <v>42.84</v>
      </c>
      <c r="G51" s="627"/>
      <c r="H51" s="97"/>
      <c r="I51" s="946"/>
      <c r="J51" s="97"/>
      <c r="K51" s="946"/>
    </row>
    <row r="52" spans="1:11" s="224" customFormat="1" x14ac:dyDescent="0.25">
      <c r="A52" s="215">
        <v>43053</v>
      </c>
      <c r="B52" s="349" t="s">
        <v>1331</v>
      </c>
      <c r="C52" s="350" t="s">
        <v>12</v>
      </c>
      <c r="D52" s="765" t="s">
        <v>1487</v>
      </c>
      <c r="E52" s="778" t="s">
        <v>15</v>
      </c>
      <c r="F52" s="785">
        <v>29</v>
      </c>
      <c r="G52" s="627"/>
      <c r="H52" s="97"/>
      <c r="I52" s="946"/>
      <c r="J52" s="97"/>
      <c r="K52" s="946"/>
    </row>
    <row r="53" spans="1:11" s="224" customFormat="1" x14ac:dyDescent="0.25">
      <c r="A53" s="215">
        <v>43054</v>
      </c>
      <c r="B53" s="349" t="s">
        <v>32</v>
      </c>
      <c r="C53" s="350" t="s">
        <v>12</v>
      </c>
      <c r="D53" s="765" t="s">
        <v>1485</v>
      </c>
      <c r="E53" s="778" t="s">
        <v>13</v>
      </c>
      <c r="F53" s="785">
        <v>19</v>
      </c>
      <c r="G53" s="627"/>
      <c r="H53" s="97"/>
      <c r="I53" s="946"/>
      <c r="J53" s="97"/>
      <c r="K53" s="946"/>
    </row>
    <row r="54" spans="1:11" s="224" customFormat="1" x14ac:dyDescent="0.25">
      <c r="A54" s="215">
        <v>43054</v>
      </c>
      <c r="B54" s="349" t="s">
        <v>17</v>
      </c>
      <c r="C54" s="350" t="s">
        <v>12</v>
      </c>
      <c r="D54" s="765" t="s">
        <v>1493</v>
      </c>
      <c r="E54" s="778" t="s">
        <v>15</v>
      </c>
      <c r="F54" s="626">
        <v>10</v>
      </c>
      <c r="G54" s="627"/>
      <c r="H54" s="97"/>
      <c r="I54" s="946"/>
      <c r="J54" s="97"/>
      <c r="K54" s="946"/>
    </row>
    <row r="55" spans="1:11" s="224" customFormat="1" x14ac:dyDescent="0.25">
      <c r="A55" s="215">
        <v>43054</v>
      </c>
      <c r="B55" s="349" t="s">
        <v>1753</v>
      </c>
      <c r="C55" s="350" t="s">
        <v>12</v>
      </c>
      <c r="D55" s="765" t="s">
        <v>1491</v>
      </c>
      <c r="E55" s="778" t="s">
        <v>13</v>
      </c>
      <c r="F55" s="626">
        <v>10.49</v>
      </c>
      <c r="G55" s="627"/>
      <c r="H55" s="97"/>
      <c r="I55" s="946"/>
      <c r="J55" s="97"/>
      <c r="K55" s="946"/>
    </row>
    <row r="56" spans="1:11" x14ac:dyDescent="0.25">
      <c r="A56" s="215">
        <v>43054</v>
      </c>
      <c r="B56" s="862" t="s">
        <v>14</v>
      </c>
      <c r="C56" s="879" t="s">
        <v>12</v>
      </c>
      <c r="D56" s="879" t="s">
        <v>1486</v>
      </c>
      <c r="E56" s="871" t="s">
        <v>13</v>
      </c>
      <c r="F56" s="523">
        <v>21.24</v>
      </c>
      <c r="G56" s="946"/>
      <c r="H56" s="97"/>
      <c r="I56" s="946"/>
      <c r="J56" s="97"/>
      <c r="K56" s="946"/>
    </row>
    <row r="57" spans="1:11" s="224" customFormat="1" x14ac:dyDescent="0.25">
      <c r="A57" s="215">
        <v>43055</v>
      </c>
      <c r="B57" s="349" t="s">
        <v>32</v>
      </c>
      <c r="C57" s="350" t="s">
        <v>12</v>
      </c>
      <c r="D57" s="765" t="s">
        <v>1485</v>
      </c>
      <c r="E57" s="778" t="s">
        <v>13</v>
      </c>
      <c r="F57" s="785">
        <v>14</v>
      </c>
      <c r="G57" s="627"/>
      <c r="H57" s="97"/>
      <c r="I57" s="946"/>
      <c r="J57" s="97"/>
      <c r="K57" s="946"/>
    </row>
    <row r="58" spans="1:11" s="224" customFormat="1" x14ac:dyDescent="0.25">
      <c r="A58" s="215">
        <v>43055</v>
      </c>
      <c r="B58" s="349" t="s">
        <v>627</v>
      </c>
      <c r="C58" s="350" t="s">
        <v>12</v>
      </c>
      <c r="D58" s="765" t="s">
        <v>1491</v>
      </c>
      <c r="E58" s="778" t="s">
        <v>13</v>
      </c>
      <c r="F58" s="785">
        <v>12</v>
      </c>
      <c r="G58" s="627"/>
      <c r="H58" s="97"/>
      <c r="I58" s="946"/>
      <c r="J58" s="97"/>
      <c r="K58" s="946"/>
    </row>
    <row r="59" spans="1:11" s="224" customFormat="1" x14ac:dyDescent="0.25">
      <c r="A59" s="215">
        <v>43055</v>
      </c>
      <c r="B59" s="349" t="s">
        <v>1754</v>
      </c>
      <c r="C59" s="350" t="s">
        <v>12</v>
      </c>
      <c r="D59" s="765" t="s">
        <v>1489</v>
      </c>
      <c r="E59" s="778" t="s">
        <v>13</v>
      </c>
      <c r="F59" s="785">
        <v>4</v>
      </c>
      <c r="G59" s="627"/>
      <c r="H59" s="97"/>
      <c r="I59" s="946"/>
      <c r="J59" s="97"/>
      <c r="K59" s="946"/>
    </row>
    <row r="60" spans="1:11" s="224" customFormat="1" x14ac:dyDescent="0.25">
      <c r="A60" s="215">
        <v>43055</v>
      </c>
      <c r="B60" s="862" t="s">
        <v>1731</v>
      </c>
      <c r="C60" s="879" t="s">
        <v>12</v>
      </c>
      <c r="D60" s="879" t="s">
        <v>1487</v>
      </c>
      <c r="E60" s="871" t="s">
        <v>15</v>
      </c>
      <c r="F60" s="523">
        <v>60</v>
      </c>
      <c r="G60" s="946"/>
      <c r="H60" s="97"/>
      <c r="I60" s="946"/>
      <c r="J60" s="97"/>
      <c r="K60" s="946"/>
    </row>
    <row r="61" spans="1:11" s="224" customFormat="1" x14ac:dyDescent="0.25">
      <c r="A61" s="215">
        <v>43056</v>
      </c>
      <c r="B61" s="349" t="s">
        <v>32</v>
      </c>
      <c r="C61" s="350" t="s">
        <v>12</v>
      </c>
      <c r="D61" s="765" t="s">
        <v>1485</v>
      </c>
      <c r="E61" s="778" t="s">
        <v>13</v>
      </c>
      <c r="F61" s="785">
        <v>14</v>
      </c>
      <c r="G61" s="627"/>
      <c r="H61" s="97"/>
      <c r="I61" s="946"/>
      <c r="J61" s="97"/>
      <c r="K61" s="946"/>
    </row>
    <row r="62" spans="1:11" s="224" customFormat="1" ht="15" customHeight="1" x14ac:dyDescent="0.25">
      <c r="A62" s="215">
        <v>43056</v>
      </c>
      <c r="B62" s="862" t="s">
        <v>256</v>
      </c>
      <c r="C62" s="879"/>
      <c r="D62" s="879"/>
      <c r="E62" s="871"/>
      <c r="F62" s="97"/>
      <c r="G62" s="1064">
        <v>200</v>
      </c>
      <c r="H62" s="97">
        <v>200</v>
      </c>
      <c r="I62" s="946"/>
      <c r="J62" s="97"/>
      <c r="K62" s="946"/>
    </row>
    <row r="63" spans="1:11" s="224" customFormat="1" ht="15" customHeight="1" x14ac:dyDescent="0.25">
      <c r="A63" s="215">
        <v>43056</v>
      </c>
      <c r="B63" s="862" t="s">
        <v>14</v>
      </c>
      <c r="C63" s="879" t="s">
        <v>12</v>
      </c>
      <c r="D63" s="879" t="s">
        <v>1486</v>
      </c>
      <c r="E63" s="871" t="s">
        <v>13</v>
      </c>
      <c r="F63" s="523">
        <v>5.33</v>
      </c>
      <c r="G63" s="946"/>
      <c r="H63" s="97"/>
      <c r="I63" s="946"/>
      <c r="J63" s="97"/>
      <c r="K63" s="946"/>
    </row>
    <row r="64" spans="1:11" s="224" customFormat="1" ht="15" customHeight="1" x14ac:dyDescent="0.25">
      <c r="A64" s="215">
        <v>43057</v>
      </c>
      <c r="B64" s="349" t="s">
        <v>32</v>
      </c>
      <c r="C64" s="350" t="s">
        <v>12</v>
      </c>
      <c r="D64" s="765" t="s">
        <v>1485</v>
      </c>
      <c r="E64" s="778" t="s">
        <v>13</v>
      </c>
      <c r="F64" s="97">
        <v>15.9</v>
      </c>
      <c r="G64" s="946"/>
      <c r="H64" s="97"/>
      <c r="I64" s="946"/>
      <c r="J64" s="97"/>
      <c r="K64" s="946"/>
    </row>
    <row r="65" spans="1:11" s="224" customFormat="1" ht="15" customHeight="1" x14ac:dyDescent="0.25">
      <c r="A65" s="215">
        <v>43057</v>
      </c>
      <c r="B65" s="349" t="s">
        <v>1755</v>
      </c>
      <c r="C65" s="350" t="s">
        <v>12</v>
      </c>
      <c r="D65" s="765" t="s">
        <v>1491</v>
      </c>
      <c r="E65" s="778" t="s">
        <v>13</v>
      </c>
      <c r="F65" s="785">
        <v>16.670000000000002</v>
      </c>
      <c r="G65" s="946"/>
      <c r="H65" s="97"/>
      <c r="I65" s="946"/>
      <c r="J65" s="97"/>
      <c r="K65" s="946"/>
    </row>
    <row r="66" spans="1:11" s="224" customFormat="1" ht="15" customHeight="1" x14ac:dyDescent="0.25">
      <c r="A66" s="215">
        <v>43057</v>
      </c>
      <c r="B66" s="349" t="s">
        <v>461</v>
      </c>
      <c r="C66" s="350" t="s">
        <v>12</v>
      </c>
      <c r="D66" s="765" t="s">
        <v>1506</v>
      </c>
      <c r="E66" s="778" t="s">
        <v>13</v>
      </c>
      <c r="F66" s="785">
        <v>12</v>
      </c>
      <c r="G66" s="946"/>
      <c r="H66" s="97"/>
      <c r="I66" s="946"/>
      <c r="J66" s="97"/>
      <c r="K66" s="946"/>
    </row>
    <row r="67" spans="1:11" s="224" customFormat="1" ht="15" customHeight="1" x14ac:dyDescent="0.25">
      <c r="A67" s="215">
        <v>43057</v>
      </c>
      <c r="B67" s="349" t="s">
        <v>1438</v>
      </c>
      <c r="C67" s="350" t="s">
        <v>19</v>
      </c>
      <c r="D67" s="765" t="s">
        <v>1489</v>
      </c>
      <c r="E67" s="778" t="s">
        <v>13</v>
      </c>
      <c r="F67" s="785">
        <v>48.77</v>
      </c>
      <c r="G67" s="946"/>
      <c r="H67" s="97"/>
      <c r="I67" s="946"/>
      <c r="J67" s="97"/>
      <c r="K67" s="946"/>
    </row>
    <row r="68" spans="1:11" x14ac:dyDescent="0.25">
      <c r="A68" s="215">
        <v>43058</v>
      </c>
      <c r="B68" s="349" t="s">
        <v>32</v>
      </c>
      <c r="C68" s="350" t="s">
        <v>12</v>
      </c>
      <c r="D68" s="765" t="s">
        <v>1485</v>
      </c>
      <c r="E68" s="778" t="s">
        <v>13</v>
      </c>
      <c r="F68" s="97">
        <v>22.27</v>
      </c>
      <c r="G68" s="946"/>
      <c r="H68" s="97"/>
      <c r="I68" s="946"/>
      <c r="J68" s="97"/>
      <c r="K68" s="946"/>
    </row>
    <row r="69" spans="1:11" s="224" customFormat="1" ht="15" customHeight="1" x14ac:dyDescent="0.25">
      <c r="A69" s="215">
        <v>43058</v>
      </c>
      <c r="B69" s="862" t="s">
        <v>14</v>
      </c>
      <c r="C69" s="879" t="s">
        <v>12</v>
      </c>
      <c r="D69" s="879" t="s">
        <v>1486</v>
      </c>
      <c r="E69" s="871" t="s">
        <v>13</v>
      </c>
      <c r="F69" s="523">
        <v>3.08</v>
      </c>
      <c r="G69" s="946"/>
      <c r="H69" s="97"/>
      <c r="I69" s="946"/>
      <c r="J69" s="97"/>
      <c r="K69" s="946"/>
    </row>
    <row r="70" spans="1:11" x14ac:dyDescent="0.25">
      <c r="A70" s="215">
        <v>43059</v>
      </c>
      <c r="B70" s="349" t="s">
        <v>32</v>
      </c>
      <c r="C70" s="350" t="s">
        <v>12</v>
      </c>
      <c r="D70" s="765" t="s">
        <v>1485</v>
      </c>
      <c r="E70" s="778" t="s">
        <v>13</v>
      </c>
      <c r="F70" s="97">
        <v>14</v>
      </c>
      <c r="G70" s="946"/>
      <c r="H70" s="97"/>
      <c r="I70" s="946"/>
      <c r="J70" s="97"/>
      <c r="K70" s="946"/>
    </row>
    <row r="71" spans="1:11" s="224" customFormat="1" ht="15" customHeight="1" x14ac:dyDescent="0.25">
      <c r="A71" s="215">
        <v>43059</v>
      </c>
      <c r="B71" s="882" t="s">
        <v>1756</v>
      </c>
      <c r="C71" s="350" t="s">
        <v>12</v>
      </c>
      <c r="D71" s="879"/>
      <c r="E71" s="871" t="s">
        <v>25</v>
      </c>
      <c r="F71" s="97"/>
      <c r="G71" s="946">
        <v>1510.31</v>
      </c>
      <c r="H71" s="97"/>
      <c r="I71" s="1473"/>
      <c r="J71" s="250"/>
      <c r="K71" s="946"/>
    </row>
    <row r="72" spans="1:11" s="224" customFormat="1" ht="15.75" customHeight="1" x14ac:dyDescent="0.25">
      <c r="A72" s="215">
        <v>43059</v>
      </c>
      <c r="B72" s="882" t="s">
        <v>1757</v>
      </c>
      <c r="C72" s="879" t="s">
        <v>12</v>
      </c>
      <c r="D72" s="879" t="s">
        <v>1499</v>
      </c>
      <c r="E72" s="871" t="s">
        <v>13</v>
      </c>
      <c r="F72" s="97">
        <v>44.76</v>
      </c>
      <c r="G72" s="1473"/>
      <c r="H72" s="250"/>
      <c r="I72" s="946"/>
      <c r="J72" s="97"/>
      <c r="K72" s="946"/>
    </row>
    <row r="73" spans="1:11" s="224" customFormat="1" x14ac:dyDescent="0.25">
      <c r="A73" s="215">
        <v>43059</v>
      </c>
      <c r="B73" s="873" t="s">
        <v>1564</v>
      </c>
      <c r="C73" s="879" t="s">
        <v>12</v>
      </c>
      <c r="D73" s="350" t="s">
        <v>1491</v>
      </c>
      <c r="E73" s="871" t="s">
        <v>15</v>
      </c>
      <c r="F73" s="97">
        <v>120</v>
      </c>
      <c r="G73" s="946"/>
      <c r="H73" s="97"/>
      <c r="I73" s="946"/>
      <c r="J73" s="97"/>
      <c r="K73" s="946"/>
    </row>
    <row r="74" spans="1:11" s="224" customFormat="1" ht="15" customHeight="1" x14ac:dyDescent="0.25">
      <c r="A74" s="215">
        <v>43059</v>
      </c>
      <c r="B74" s="349" t="s">
        <v>260</v>
      </c>
      <c r="C74" s="350"/>
      <c r="D74" s="350"/>
      <c r="E74" s="480"/>
      <c r="F74" s="523">
        <v>800</v>
      </c>
      <c r="G74" s="1064"/>
      <c r="H74" s="97"/>
      <c r="I74" s="946">
        <v>800</v>
      </c>
      <c r="J74" s="97"/>
      <c r="K74" s="946"/>
    </row>
    <row r="75" spans="1:11" s="224" customFormat="1" ht="15" customHeight="1" x14ac:dyDescent="0.25">
      <c r="A75" s="215">
        <v>43059</v>
      </c>
      <c r="B75" s="349" t="s">
        <v>32</v>
      </c>
      <c r="C75" s="350" t="s">
        <v>12</v>
      </c>
      <c r="D75" s="765" t="s">
        <v>1485</v>
      </c>
      <c r="E75" s="778" t="s">
        <v>13</v>
      </c>
      <c r="F75" s="97">
        <v>14</v>
      </c>
      <c r="G75" s="946"/>
      <c r="H75" s="97"/>
      <c r="I75" s="946"/>
      <c r="J75" s="97"/>
      <c r="K75" s="946"/>
    </row>
    <row r="76" spans="1:11" s="224" customFormat="1" ht="15" customHeight="1" x14ac:dyDescent="0.25">
      <c r="A76" s="215">
        <v>43060</v>
      </c>
      <c r="B76" s="349" t="s">
        <v>32</v>
      </c>
      <c r="C76" s="350" t="s">
        <v>12</v>
      </c>
      <c r="D76" s="765" t="s">
        <v>1485</v>
      </c>
      <c r="E76" s="778" t="s">
        <v>13</v>
      </c>
      <c r="F76" s="97">
        <v>14</v>
      </c>
      <c r="G76" s="946"/>
      <c r="H76" s="97"/>
      <c r="I76" s="946"/>
      <c r="J76" s="97"/>
      <c r="K76" s="946"/>
    </row>
    <row r="77" spans="1:11" s="224" customFormat="1" ht="15" customHeight="1" x14ac:dyDescent="0.25">
      <c r="A77" s="215">
        <v>43060</v>
      </c>
      <c r="B77" s="862" t="s">
        <v>1689</v>
      </c>
      <c r="C77" s="879" t="s">
        <v>19</v>
      </c>
      <c r="D77" s="879" t="s">
        <v>1491</v>
      </c>
      <c r="E77" s="778" t="s">
        <v>13</v>
      </c>
      <c r="F77" s="97">
        <v>56.97</v>
      </c>
      <c r="G77" s="946"/>
      <c r="H77" s="97"/>
      <c r="I77" s="946"/>
      <c r="J77" s="97"/>
      <c r="K77" s="946"/>
    </row>
    <row r="78" spans="1:11" s="224" customFormat="1" ht="15" customHeight="1" x14ac:dyDescent="0.25">
      <c r="A78" s="215">
        <v>43060</v>
      </c>
      <c r="B78" s="862" t="s">
        <v>1257</v>
      </c>
      <c r="C78" s="879" t="s">
        <v>19</v>
      </c>
      <c r="D78" s="879" t="s">
        <v>1491</v>
      </c>
      <c r="E78" s="778" t="s">
        <v>13</v>
      </c>
      <c r="F78" s="97">
        <v>40</v>
      </c>
      <c r="G78" s="946"/>
      <c r="H78" s="97"/>
      <c r="I78" s="946"/>
      <c r="J78" s="97"/>
      <c r="K78" s="946"/>
    </row>
    <row r="79" spans="1:11" s="224" customFormat="1" ht="15" customHeight="1" x14ac:dyDescent="0.25">
      <c r="A79" s="215">
        <v>43060</v>
      </c>
      <c r="B79" s="862" t="s">
        <v>1752</v>
      </c>
      <c r="C79" s="879" t="s">
        <v>12</v>
      </c>
      <c r="D79" s="879" t="s">
        <v>1491</v>
      </c>
      <c r="E79" s="871" t="s">
        <v>15</v>
      </c>
      <c r="F79" s="97">
        <v>20</v>
      </c>
      <c r="G79" s="946"/>
      <c r="H79" s="97"/>
      <c r="I79" s="946"/>
      <c r="J79" s="97"/>
      <c r="K79" s="946"/>
    </row>
    <row r="80" spans="1:11" s="224" customFormat="1" ht="15" customHeight="1" x14ac:dyDescent="0.25">
      <c r="A80" s="215">
        <v>43060</v>
      </c>
      <c r="B80" s="862" t="s">
        <v>14</v>
      </c>
      <c r="C80" s="879" t="s">
        <v>12</v>
      </c>
      <c r="D80" s="879" t="s">
        <v>1486</v>
      </c>
      <c r="E80" s="871" t="s">
        <v>13</v>
      </c>
      <c r="F80" s="523">
        <v>4.59</v>
      </c>
      <c r="G80" s="946"/>
      <c r="H80" s="97"/>
      <c r="I80" s="946"/>
      <c r="J80" s="97"/>
      <c r="K80" s="946"/>
    </row>
    <row r="81" spans="1:11" s="224" customFormat="1" ht="15" customHeight="1" x14ac:dyDescent="0.25">
      <c r="A81" s="215">
        <v>43061</v>
      </c>
      <c r="B81" s="349" t="s">
        <v>32</v>
      </c>
      <c r="C81" s="350" t="s">
        <v>12</v>
      </c>
      <c r="D81" s="765" t="s">
        <v>1485</v>
      </c>
      <c r="E81" s="778" t="s">
        <v>15</v>
      </c>
      <c r="F81" s="97">
        <v>14</v>
      </c>
      <c r="G81" s="946"/>
      <c r="H81" s="97"/>
      <c r="I81" s="946"/>
      <c r="J81" s="97"/>
      <c r="K81" s="946"/>
    </row>
    <row r="82" spans="1:11" s="224" customFormat="1" x14ac:dyDescent="0.25">
      <c r="A82" s="215">
        <v>43061</v>
      </c>
      <c r="B82" s="862" t="s">
        <v>1758</v>
      </c>
      <c r="C82" s="879" t="s">
        <v>12</v>
      </c>
      <c r="D82" s="879" t="s">
        <v>1493</v>
      </c>
      <c r="E82" s="871" t="s">
        <v>15</v>
      </c>
      <c r="F82" s="523">
        <v>15</v>
      </c>
      <c r="G82" s="946"/>
      <c r="H82" s="97"/>
      <c r="I82" s="946"/>
      <c r="J82" s="97"/>
      <c r="K82" s="946"/>
    </row>
    <row r="83" spans="1:11" s="224" customFormat="1" ht="15" customHeight="1" x14ac:dyDescent="0.25">
      <c r="A83" s="215">
        <v>43062</v>
      </c>
      <c r="B83" s="862" t="s">
        <v>14</v>
      </c>
      <c r="C83" s="879" t="s">
        <v>12</v>
      </c>
      <c r="D83" s="879" t="s">
        <v>1486</v>
      </c>
      <c r="E83" s="871" t="s">
        <v>13</v>
      </c>
      <c r="F83" s="523">
        <v>10.48</v>
      </c>
      <c r="G83" s="946"/>
      <c r="H83" s="97"/>
      <c r="I83" s="946"/>
      <c r="J83" s="97"/>
      <c r="K83" s="946"/>
    </row>
    <row r="84" spans="1:11" s="224" customFormat="1" x14ac:dyDescent="0.25">
      <c r="A84" s="215">
        <v>43063</v>
      </c>
      <c r="B84" s="862" t="s">
        <v>1683</v>
      </c>
      <c r="C84" s="350" t="s">
        <v>12</v>
      </c>
      <c r="D84" s="874" t="s">
        <v>1504</v>
      </c>
      <c r="E84" s="875" t="s">
        <v>13</v>
      </c>
      <c r="F84" s="97">
        <v>60.9</v>
      </c>
      <c r="G84" s="946"/>
      <c r="H84" s="97"/>
      <c r="I84" s="946"/>
      <c r="J84" s="97"/>
      <c r="K84" s="946"/>
    </row>
    <row r="85" spans="1:11" s="224" customFormat="1" ht="15" customHeight="1" x14ac:dyDescent="0.25">
      <c r="A85" s="215">
        <v>43063</v>
      </c>
      <c r="B85" s="349" t="s">
        <v>32</v>
      </c>
      <c r="C85" s="350" t="s">
        <v>12</v>
      </c>
      <c r="D85" s="350" t="s">
        <v>1485</v>
      </c>
      <c r="E85" s="480" t="s">
        <v>15</v>
      </c>
      <c r="F85" s="97">
        <v>14</v>
      </c>
      <c r="G85" s="946"/>
      <c r="H85" s="97"/>
      <c r="I85" s="946"/>
      <c r="J85" s="97"/>
      <c r="K85" s="946"/>
    </row>
    <row r="86" spans="1:11" s="224" customFormat="1" ht="15" customHeight="1" x14ac:dyDescent="0.25">
      <c r="A86" s="215">
        <v>43063</v>
      </c>
      <c r="B86" s="349" t="s">
        <v>1759</v>
      </c>
      <c r="C86" s="350" t="s">
        <v>19</v>
      </c>
      <c r="D86" s="350" t="s">
        <v>1506</v>
      </c>
      <c r="E86" s="480" t="s">
        <v>13</v>
      </c>
      <c r="F86" s="97">
        <v>270</v>
      </c>
      <c r="G86" s="946"/>
      <c r="H86" s="97"/>
      <c r="I86" s="946"/>
      <c r="J86" s="97"/>
      <c r="K86" s="946"/>
    </row>
    <row r="87" spans="1:11" s="224" customFormat="1" ht="15" customHeight="1" x14ac:dyDescent="0.25">
      <c r="A87" s="215">
        <v>43063</v>
      </c>
      <c r="B87" s="349" t="s">
        <v>1331</v>
      </c>
      <c r="C87" s="350" t="s">
        <v>19</v>
      </c>
      <c r="D87" s="350" t="s">
        <v>1487</v>
      </c>
      <c r="E87" s="480" t="s">
        <v>13</v>
      </c>
      <c r="F87" s="97">
        <v>76.900000000000006</v>
      </c>
      <c r="G87" s="946"/>
      <c r="H87" s="97"/>
      <c r="I87" s="946"/>
      <c r="J87" s="97"/>
      <c r="K87" s="946"/>
    </row>
    <row r="88" spans="1:11" s="224" customFormat="1" ht="15" customHeight="1" x14ac:dyDescent="0.25">
      <c r="A88" s="215">
        <v>43063</v>
      </c>
      <c r="B88" s="862" t="s">
        <v>14</v>
      </c>
      <c r="C88" s="879" t="s">
        <v>12</v>
      </c>
      <c r="D88" s="879" t="s">
        <v>1486</v>
      </c>
      <c r="E88" s="871" t="s">
        <v>13</v>
      </c>
      <c r="F88" s="523">
        <v>2.2000000000000002</v>
      </c>
      <c r="G88" s="946"/>
      <c r="H88" s="97"/>
      <c r="I88" s="946"/>
      <c r="J88" s="97"/>
      <c r="K88" s="946"/>
    </row>
    <row r="89" spans="1:11" s="224" customFormat="1" ht="15" customHeight="1" x14ac:dyDescent="0.25">
      <c r="A89" s="215">
        <v>43063</v>
      </c>
      <c r="B89" s="862" t="s">
        <v>256</v>
      </c>
      <c r="C89" s="879"/>
      <c r="D89" s="879"/>
      <c r="E89" s="871"/>
      <c r="F89" s="97"/>
      <c r="G89" s="1064">
        <v>950</v>
      </c>
      <c r="H89" s="97">
        <v>950</v>
      </c>
      <c r="I89" s="946"/>
      <c r="J89" s="97"/>
      <c r="K89" s="946"/>
    </row>
    <row r="90" spans="1:11" s="224" customFormat="1" ht="15" customHeight="1" x14ac:dyDescent="0.25">
      <c r="A90" s="215">
        <v>43064</v>
      </c>
      <c r="B90" s="349" t="s">
        <v>32</v>
      </c>
      <c r="C90" s="350" t="s">
        <v>12</v>
      </c>
      <c r="D90" s="765" t="s">
        <v>1485</v>
      </c>
      <c r="E90" s="778" t="s">
        <v>13</v>
      </c>
      <c r="F90" s="97">
        <v>15.9</v>
      </c>
      <c r="G90" s="946"/>
      <c r="H90" s="97"/>
      <c r="I90" s="946"/>
      <c r="J90" s="97"/>
      <c r="K90" s="946"/>
    </row>
    <row r="91" spans="1:11" s="224" customFormat="1" ht="15" customHeight="1" x14ac:dyDescent="0.25">
      <c r="A91" s="215">
        <v>43064</v>
      </c>
      <c r="B91" s="349" t="s">
        <v>1760</v>
      </c>
      <c r="C91" s="350" t="s">
        <v>19</v>
      </c>
      <c r="D91" s="350" t="s">
        <v>1522</v>
      </c>
      <c r="E91" s="480" t="s">
        <v>13</v>
      </c>
      <c r="F91" s="97">
        <v>683.91</v>
      </c>
      <c r="G91" s="946"/>
      <c r="H91" s="97"/>
      <c r="I91" s="946"/>
      <c r="J91" s="97"/>
      <c r="K91" s="946"/>
    </row>
    <row r="92" spans="1:11" s="224" customFormat="1" ht="15" customHeight="1" x14ac:dyDescent="0.25">
      <c r="A92" s="215">
        <v>43064</v>
      </c>
      <c r="B92" s="862" t="s">
        <v>14</v>
      </c>
      <c r="C92" s="879" t="s">
        <v>12</v>
      </c>
      <c r="D92" s="879" t="s">
        <v>1486</v>
      </c>
      <c r="E92" s="871" t="s">
        <v>13</v>
      </c>
      <c r="F92" s="523">
        <v>4.97</v>
      </c>
      <c r="G92" s="946"/>
      <c r="H92" s="97"/>
      <c r="I92" s="946"/>
      <c r="J92" s="97"/>
      <c r="K92" s="946"/>
    </row>
    <row r="93" spans="1:11" s="224" customFormat="1" ht="15" customHeight="1" x14ac:dyDescent="0.25">
      <c r="A93" s="215">
        <v>43064</v>
      </c>
      <c r="B93" s="349" t="s">
        <v>82</v>
      </c>
      <c r="C93" s="879" t="s">
        <v>12</v>
      </c>
      <c r="D93" s="879" t="s">
        <v>1493</v>
      </c>
      <c r="E93" s="871" t="s">
        <v>13</v>
      </c>
      <c r="F93" s="97">
        <v>29.9</v>
      </c>
      <c r="G93" s="946"/>
      <c r="H93" s="97"/>
      <c r="I93" s="946"/>
      <c r="J93" s="97"/>
      <c r="K93" s="946"/>
    </row>
    <row r="94" spans="1:11" s="224" customFormat="1" ht="15" customHeight="1" x14ac:dyDescent="0.25">
      <c r="A94" s="215">
        <v>43065</v>
      </c>
      <c r="B94" s="862" t="s">
        <v>14</v>
      </c>
      <c r="C94" s="879" t="s">
        <v>12</v>
      </c>
      <c r="D94" s="879" t="s">
        <v>1486</v>
      </c>
      <c r="E94" s="871" t="s">
        <v>13</v>
      </c>
      <c r="F94" s="523">
        <v>6.99</v>
      </c>
      <c r="G94" s="946"/>
      <c r="H94" s="97"/>
      <c r="I94" s="946"/>
      <c r="J94" s="97"/>
      <c r="K94" s="946"/>
    </row>
    <row r="95" spans="1:11" s="224" customFormat="1" ht="15" customHeight="1" x14ac:dyDescent="0.25">
      <c r="A95" s="215">
        <v>43065</v>
      </c>
      <c r="B95" s="349" t="s">
        <v>1761</v>
      </c>
      <c r="C95" s="350" t="s">
        <v>12</v>
      </c>
      <c r="D95" s="350" t="s">
        <v>1493</v>
      </c>
      <c r="E95" s="480" t="s">
        <v>13</v>
      </c>
      <c r="F95" s="97">
        <v>3.5</v>
      </c>
      <c r="G95" s="946"/>
      <c r="H95" s="97"/>
      <c r="I95" s="946"/>
      <c r="J95" s="97"/>
      <c r="K95" s="946"/>
    </row>
    <row r="96" spans="1:11" s="224" customFormat="1" x14ac:dyDescent="0.25">
      <c r="A96" s="215">
        <v>43065</v>
      </c>
      <c r="B96" s="862" t="s">
        <v>1745</v>
      </c>
      <c r="C96" s="879" t="s">
        <v>12</v>
      </c>
      <c r="D96" s="879" t="s">
        <v>1489</v>
      </c>
      <c r="E96" s="871" t="s">
        <v>15</v>
      </c>
      <c r="F96" s="97">
        <v>10</v>
      </c>
      <c r="G96" s="946"/>
      <c r="H96" s="97"/>
      <c r="I96" s="946"/>
      <c r="J96" s="97"/>
      <c r="K96" s="946"/>
    </row>
    <row r="97" spans="1:12" s="224" customFormat="1" x14ac:dyDescent="0.25">
      <c r="A97" s="215">
        <v>43065</v>
      </c>
      <c r="B97" s="862" t="s">
        <v>17</v>
      </c>
      <c r="C97" s="879" t="s">
        <v>12</v>
      </c>
      <c r="D97" s="879" t="s">
        <v>1493</v>
      </c>
      <c r="E97" s="871" t="s">
        <v>15</v>
      </c>
      <c r="F97" s="97">
        <v>10</v>
      </c>
      <c r="G97" s="946"/>
      <c r="H97" s="97"/>
      <c r="I97" s="946"/>
      <c r="J97" s="97"/>
      <c r="K97" s="946"/>
    </row>
    <row r="98" spans="1:12" s="224" customFormat="1" ht="15" customHeight="1" x14ac:dyDescent="0.25">
      <c r="A98" s="215">
        <v>43066</v>
      </c>
      <c r="B98" s="349" t="s">
        <v>32</v>
      </c>
      <c r="C98" s="350" t="s">
        <v>12</v>
      </c>
      <c r="D98" s="350" t="s">
        <v>1485</v>
      </c>
      <c r="E98" s="480" t="s">
        <v>13</v>
      </c>
      <c r="F98" s="97">
        <v>14</v>
      </c>
      <c r="G98" s="946"/>
      <c r="H98" s="97"/>
      <c r="I98" s="946"/>
      <c r="J98" s="97"/>
      <c r="K98" s="946"/>
    </row>
    <row r="99" spans="1:12" s="224" customFormat="1" ht="15" customHeight="1" x14ac:dyDescent="0.25">
      <c r="A99" s="215">
        <v>43066</v>
      </c>
      <c r="B99" s="862" t="s">
        <v>14</v>
      </c>
      <c r="C99" s="879" t="s">
        <v>12</v>
      </c>
      <c r="D99" s="879" t="s">
        <v>1486</v>
      </c>
      <c r="E99" s="871" t="s">
        <v>13</v>
      </c>
      <c r="F99" s="97">
        <v>7.83</v>
      </c>
      <c r="G99" s="946"/>
      <c r="H99" s="97"/>
      <c r="I99" s="946"/>
      <c r="J99" s="97"/>
      <c r="K99" s="946"/>
    </row>
    <row r="100" spans="1:12" s="224" customFormat="1" ht="15" customHeight="1" x14ac:dyDescent="0.25">
      <c r="A100" s="215">
        <v>43067</v>
      </c>
      <c r="B100" s="349" t="s">
        <v>32</v>
      </c>
      <c r="C100" s="350" t="s">
        <v>12</v>
      </c>
      <c r="D100" s="350" t="s">
        <v>1485</v>
      </c>
      <c r="E100" s="480" t="s">
        <v>13</v>
      </c>
      <c r="F100" s="97">
        <v>14</v>
      </c>
      <c r="G100" s="946"/>
      <c r="H100" s="97"/>
      <c r="I100" s="946"/>
      <c r="J100" s="97"/>
      <c r="K100" s="946"/>
    </row>
    <row r="101" spans="1:12" s="224" customFormat="1" ht="15" customHeight="1" x14ac:dyDescent="0.25">
      <c r="A101" s="215">
        <v>43067</v>
      </c>
      <c r="B101" s="862" t="s">
        <v>1438</v>
      </c>
      <c r="C101" s="879" t="s">
        <v>12</v>
      </c>
      <c r="D101" s="879" t="s">
        <v>1489</v>
      </c>
      <c r="E101" s="871" t="s">
        <v>13</v>
      </c>
      <c r="F101" s="97">
        <v>21.54</v>
      </c>
      <c r="G101" s="946"/>
      <c r="H101" s="97"/>
      <c r="I101" s="946"/>
      <c r="J101" s="97"/>
      <c r="K101" s="946"/>
    </row>
    <row r="102" spans="1:12" s="224" customFormat="1" x14ac:dyDescent="0.25">
      <c r="A102" s="215">
        <v>43068</v>
      </c>
      <c r="B102" s="349" t="s">
        <v>32</v>
      </c>
      <c r="C102" s="350" t="s">
        <v>12</v>
      </c>
      <c r="D102" s="350" t="s">
        <v>1485</v>
      </c>
      <c r="E102" s="480" t="s">
        <v>13</v>
      </c>
      <c r="F102" s="97">
        <v>14</v>
      </c>
      <c r="G102" s="946"/>
      <c r="H102" s="97"/>
      <c r="I102" s="946"/>
      <c r="J102" s="97"/>
      <c r="K102" s="946"/>
    </row>
    <row r="103" spans="1:12" s="224" customFormat="1" x14ac:dyDescent="0.25">
      <c r="A103" s="215">
        <v>43068</v>
      </c>
      <c r="B103" s="862" t="s">
        <v>1710</v>
      </c>
      <c r="C103" s="879" t="s">
        <v>12</v>
      </c>
      <c r="D103" s="879" t="s">
        <v>1504</v>
      </c>
      <c r="E103" s="871" t="s">
        <v>13</v>
      </c>
      <c r="F103" s="97">
        <v>19.899999999999999</v>
      </c>
      <c r="G103" s="946"/>
      <c r="H103" s="97"/>
      <c r="I103" s="1473"/>
      <c r="J103" s="97"/>
      <c r="K103" s="946"/>
    </row>
    <row r="104" spans="1:12" s="224" customFormat="1" x14ac:dyDescent="0.25">
      <c r="A104" s="215">
        <v>43068</v>
      </c>
      <c r="B104" s="862" t="s">
        <v>1762</v>
      </c>
      <c r="C104" s="879" t="s">
        <v>12</v>
      </c>
      <c r="D104" s="879" t="s">
        <v>1522</v>
      </c>
      <c r="E104" s="871" t="s">
        <v>13</v>
      </c>
      <c r="F104" s="97">
        <v>30</v>
      </c>
      <c r="G104" s="946"/>
      <c r="H104" s="97"/>
      <c r="I104" s="1473"/>
      <c r="J104" s="97"/>
      <c r="K104" s="946"/>
    </row>
    <row r="105" spans="1:12" s="224" customFormat="1" x14ac:dyDescent="0.25">
      <c r="A105" s="215">
        <v>43069</v>
      </c>
      <c r="B105" s="349" t="s">
        <v>308</v>
      </c>
      <c r="C105" s="350" t="s">
        <v>12</v>
      </c>
      <c r="D105" s="145"/>
      <c r="E105" s="145" t="s">
        <v>25</v>
      </c>
      <c r="F105" s="1514"/>
      <c r="G105" s="946">
        <v>1887.89</v>
      </c>
      <c r="H105" s="97"/>
      <c r="I105" s="946"/>
      <c r="J105" s="97"/>
      <c r="K105" s="946"/>
    </row>
    <row r="106" spans="1:12" s="224" customFormat="1" x14ac:dyDescent="0.25">
      <c r="A106" s="215">
        <v>43069</v>
      </c>
      <c r="B106" s="862" t="s">
        <v>1331</v>
      </c>
      <c r="C106" s="879" t="s">
        <v>12</v>
      </c>
      <c r="D106" s="879" t="s">
        <v>1487</v>
      </c>
      <c r="E106" s="871" t="s">
        <v>13</v>
      </c>
      <c r="F106" s="97">
        <v>30</v>
      </c>
      <c r="G106" s="946"/>
      <c r="H106" s="97"/>
      <c r="I106" s="946"/>
      <c r="J106" s="97"/>
      <c r="K106" s="946"/>
    </row>
    <row r="107" spans="1:12" s="224" customFormat="1" x14ac:dyDescent="0.25">
      <c r="A107" s="215">
        <v>43069</v>
      </c>
      <c r="B107" s="862" t="s">
        <v>1666</v>
      </c>
      <c r="C107" s="350" t="s">
        <v>12</v>
      </c>
      <c r="D107" s="350"/>
      <c r="E107" s="757" t="s">
        <v>25</v>
      </c>
      <c r="F107" s="97"/>
      <c r="G107" s="946"/>
      <c r="H107" s="97"/>
      <c r="I107" s="946"/>
      <c r="J107" s="97"/>
      <c r="K107" s="946">
        <v>20</v>
      </c>
    </row>
    <row r="108" spans="1:12" s="224" customFormat="1" ht="15.75" thickBot="1" x14ac:dyDescent="0.3">
      <c r="A108" s="215">
        <v>43069</v>
      </c>
      <c r="B108" s="862" t="s">
        <v>1763</v>
      </c>
      <c r="C108" s="879" t="s">
        <v>12</v>
      </c>
      <c r="D108" s="879" t="s">
        <v>1522</v>
      </c>
      <c r="E108" s="871" t="s">
        <v>13</v>
      </c>
      <c r="F108" s="416">
        <v>50</v>
      </c>
      <c r="G108" s="1522"/>
      <c r="H108" s="97"/>
      <c r="I108" s="946"/>
      <c r="J108" s="97"/>
      <c r="K108" s="946"/>
    </row>
    <row r="109" spans="1:12" ht="25.5" customHeight="1" thickBot="1" x14ac:dyDescent="0.3">
      <c r="A109" s="3060"/>
      <c r="B109" s="3061"/>
      <c r="C109" s="3062"/>
      <c r="D109" s="3062"/>
      <c r="E109" s="3062"/>
      <c r="F109" s="100">
        <f>SUM(F6:F108)</f>
        <v>4861.4299999999994</v>
      </c>
      <c r="G109" s="1065">
        <f>SUM(G5:G108)</f>
        <v>6789.6000000000067</v>
      </c>
      <c r="H109" s="101">
        <f>SUM(H6:H108)</f>
        <v>1250</v>
      </c>
      <c r="I109" s="93">
        <f>SUM(I5:I108)</f>
        <v>2699.9960000000015</v>
      </c>
      <c r="J109" s="774"/>
      <c r="K109" s="1516"/>
      <c r="L109" s="89"/>
    </row>
    <row r="110" spans="1:12" ht="25.5" customHeight="1" thickBot="1" x14ac:dyDescent="0.3">
      <c r="A110" s="3117" t="s">
        <v>49</v>
      </c>
      <c r="B110" s="3118"/>
      <c r="C110" s="3118"/>
      <c r="D110" s="3118"/>
      <c r="E110" s="3118"/>
      <c r="F110" s="144"/>
      <c r="G110" s="519">
        <f>G109-F109</f>
        <v>1928.1700000000073</v>
      </c>
      <c r="H110" s="555"/>
      <c r="I110" s="772">
        <f>I109-H109</f>
        <v>1449.9960000000015</v>
      </c>
      <c r="J110" s="773"/>
      <c r="K110" s="775">
        <f>SUM(K5:K109)</f>
        <v>4064.7</v>
      </c>
    </row>
    <row r="111" spans="1:12" x14ac:dyDescent="0.25">
      <c r="G111" s="89"/>
      <c r="J111" s="769"/>
      <c r="K111" s="868"/>
    </row>
    <row r="112" spans="1:12" x14ac:dyDescent="0.25">
      <c r="B112" s="79" t="s">
        <v>32</v>
      </c>
      <c r="C112" s="475">
        <v>392.82</v>
      </c>
      <c r="D112" s="85" t="s">
        <v>1485</v>
      </c>
      <c r="J112" s="769"/>
      <c r="K112" s="866"/>
    </row>
    <row r="113" spans="1:11" x14ac:dyDescent="0.25">
      <c r="B113" s="79" t="s">
        <v>1218</v>
      </c>
      <c r="C113" s="475">
        <v>315.89999999999998</v>
      </c>
      <c r="D113" s="85" t="s">
        <v>1487</v>
      </c>
      <c r="J113" s="769"/>
      <c r="K113" s="868"/>
    </row>
    <row r="114" spans="1:11" x14ac:dyDescent="0.25">
      <c r="B114" s="79" t="s">
        <v>50</v>
      </c>
      <c r="C114" s="484">
        <v>129.84</v>
      </c>
      <c r="D114" s="85" t="s">
        <v>1493</v>
      </c>
      <c r="J114" s="769"/>
      <c r="K114" s="866"/>
    </row>
    <row r="115" spans="1:11" s="85" customFormat="1" x14ac:dyDescent="0.25">
      <c r="A115" s="79"/>
      <c r="B115" s="79" t="s">
        <v>14</v>
      </c>
      <c r="C115" s="484">
        <v>104.33</v>
      </c>
      <c r="D115" s="85" t="s">
        <v>1486</v>
      </c>
      <c r="J115" s="769"/>
      <c r="K115" s="866"/>
    </row>
    <row r="116" spans="1:11" s="85" customFormat="1" x14ac:dyDescent="0.25">
      <c r="A116" s="79"/>
      <c r="B116" s="79" t="s">
        <v>51</v>
      </c>
      <c r="C116" s="475">
        <v>102.09</v>
      </c>
      <c r="D116" s="864" t="s">
        <v>1499</v>
      </c>
      <c r="E116" s="79"/>
      <c r="F116" s="89"/>
      <c r="G116" s="79"/>
      <c r="H116" s="79"/>
      <c r="I116" s="79"/>
      <c r="J116" s="769"/>
      <c r="K116" s="866"/>
    </row>
    <row r="117" spans="1:11" s="85" customFormat="1" x14ac:dyDescent="0.25">
      <c r="A117" s="79"/>
      <c r="B117" s="79" t="s">
        <v>52</v>
      </c>
      <c r="C117" s="475">
        <v>60</v>
      </c>
      <c r="D117" s="864" t="s">
        <v>1496</v>
      </c>
      <c r="F117" s="89"/>
      <c r="G117" s="79"/>
      <c r="H117" s="79"/>
      <c r="I117" s="79"/>
      <c r="J117" s="769"/>
      <c r="K117" s="866"/>
    </row>
    <row r="118" spans="1:11" s="85" customFormat="1" x14ac:dyDescent="0.25">
      <c r="A118" s="79"/>
      <c r="B118" s="867" t="s">
        <v>53</v>
      </c>
      <c r="C118" s="475">
        <v>823.91</v>
      </c>
      <c r="D118" s="864" t="s">
        <v>1522</v>
      </c>
      <c r="E118" s="89"/>
      <c r="F118" s="89"/>
      <c r="G118" s="79"/>
      <c r="H118" s="79"/>
      <c r="I118" s="79"/>
      <c r="J118" s="769"/>
      <c r="K118" s="866"/>
    </row>
    <row r="119" spans="1:11" s="85" customFormat="1" x14ac:dyDescent="0.25">
      <c r="A119" s="79"/>
      <c r="B119" s="79" t="s">
        <v>1232</v>
      </c>
      <c r="C119" s="475"/>
      <c r="D119" s="864" t="s">
        <v>1515</v>
      </c>
      <c r="F119" s="89"/>
      <c r="G119" s="79"/>
      <c r="H119" s="79"/>
      <c r="I119" s="79"/>
      <c r="J119" s="769"/>
      <c r="K119" s="866"/>
    </row>
    <row r="120" spans="1:11" s="85" customFormat="1" x14ac:dyDescent="0.25">
      <c r="A120" s="79"/>
      <c r="B120" s="79" t="s">
        <v>56</v>
      </c>
      <c r="C120" s="475"/>
      <c r="D120" s="864" t="s">
        <v>1523</v>
      </c>
      <c r="F120" s="89"/>
      <c r="G120" s="79"/>
      <c r="H120" s="79"/>
      <c r="I120" s="79"/>
      <c r="J120" s="769"/>
      <c r="K120" s="868"/>
    </row>
    <row r="121" spans="1:11" s="85" customFormat="1" x14ac:dyDescent="0.25">
      <c r="A121" s="79"/>
      <c r="B121" s="79" t="s">
        <v>1686</v>
      </c>
      <c r="C121" s="475">
        <v>509.99</v>
      </c>
      <c r="D121" s="864" t="s">
        <v>1506</v>
      </c>
      <c r="F121" s="89"/>
      <c r="G121" s="79"/>
      <c r="H121" s="79"/>
      <c r="I121" s="79"/>
      <c r="J121" s="769"/>
      <c r="K121" s="866"/>
    </row>
    <row r="122" spans="1:11" s="85" customFormat="1" x14ac:dyDescent="0.25">
      <c r="A122" s="79"/>
      <c r="B122" s="79" t="s">
        <v>418</v>
      </c>
      <c r="C122" s="475"/>
      <c r="D122" s="85" t="s">
        <v>1524</v>
      </c>
      <c r="E122" s="79"/>
      <c r="F122" s="89"/>
      <c r="J122" s="769"/>
      <c r="K122" s="866"/>
    </row>
    <row r="123" spans="1:11" x14ac:dyDescent="0.25">
      <c r="B123" s="79" t="s">
        <v>419</v>
      </c>
      <c r="C123" s="475">
        <v>605.13</v>
      </c>
      <c r="D123" s="85" t="s">
        <v>1491</v>
      </c>
      <c r="J123" s="769"/>
      <c r="K123" s="868"/>
    </row>
    <row r="124" spans="1:11" x14ac:dyDescent="0.25">
      <c r="B124" s="79" t="s">
        <v>911</v>
      </c>
      <c r="C124" s="475"/>
      <c r="D124" s="85" t="s">
        <v>1525</v>
      </c>
      <c r="J124" s="769"/>
      <c r="K124" s="868"/>
    </row>
    <row r="125" spans="1:11" x14ac:dyDescent="0.25">
      <c r="B125" s="79" t="s">
        <v>1526</v>
      </c>
      <c r="C125" s="475">
        <v>142.80000000000001</v>
      </c>
      <c r="D125" s="85" t="s">
        <v>1504</v>
      </c>
      <c r="E125" s="79"/>
      <c r="J125" s="769"/>
      <c r="K125" s="866"/>
    </row>
    <row r="126" spans="1:11" x14ac:dyDescent="0.25">
      <c r="B126" s="79" t="s">
        <v>1527</v>
      </c>
      <c r="C126" s="475">
        <v>280.25</v>
      </c>
      <c r="D126" s="85" t="s">
        <v>1489</v>
      </c>
      <c r="J126" s="769"/>
      <c r="K126" s="868"/>
    </row>
    <row r="127" spans="1:11" x14ac:dyDescent="0.25">
      <c r="J127" s="769"/>
      <c r="K127" s="866"/>
    </row>
    <row r="128" spans="1:11" x14ac:dyDescent="0.25">
      <c r="J128" s="769"/>
      <c r="K128" s="866"/>
    </row>
    <row r="129" spans="2:12" x14ac:dyDescent="0.25">
      <c r="B129" s="79" t="s">
        <v>486</v>
      </c>
      <c r="C129" s="475">
        <f>H129/J129</f>
        <v>115.56866666666666</v>
      </c>
      <c r="F129" s="224" t="s">
        <v>487</v>
      </c>
      <c r="H129" s="216">
        <v>3467.06</v>
      </c>
      <c r="I129" s="518" t="s">
        <v>488</v>
      </c>
      <c r="J129" s="1517">
        <v>30</v>
      </c>
      <c r="K129" s="866"/>
      <c r="L129" s="85"/>
    </row>
    <row r="130" spans="2:12" x14ac:dyDescent="0.25">
      <c r="J130" s="769"/>
      <c r="K130" s="866"/>
    </row>
    <row r="131" spans="2:12" x14ac:dyDescent="0.25">
      <c r="J131" s="769"/>
      <c r="K131" s="868"/>
    </row>
    <row r="132" spans="2:12" x14ac:dyDescent="0.25">
      <c r="J132" s="769"/>
      <c r="K132" s="866"/>
    </row>
    <row r="133" spans="2:12" x14ac:dyDescent="0.25">
      <c r="D133" s="79"/>
      <c r="E133" s="79"/>
      <c r="J133" s="769"/>
      <c r="K133" s="866"/>
    </row>
    <row r="134" spans="2:12" x14ac:dyDescent="0.25">
      <c r="J134" s="769"/>
      <c r="K134" s="866"/>
    </row>
    <row r="135" spans="2:12" x14ac:dyDescent="0.25">
      <c r="J135" s="769"/>
      <c r="K135" s="866"/>
    </row>
    <row r="136" spans="2:12" x14ac:dyDescent="0.25">
      <c r="J136" s="769"/>
      <c r="K136" s="866"/>
    </row>
    <row r="137" spans="2:12" x14ac:dyDescent="0.25">
      <c r="C137" s="79"/>
      <c r="D137" s="79"/>
      <c r="E137" s="79"/>
      <c r="F137" s="79"/>
      <c r="I137" s="216"/>
      <c r="J137" s="769"/>
      <c r="K137" s="866"/>
    </row>
    <row r="138" spans="2:12" x14ac:dyDescent="0.25">
      <c r="C138" s="79"/>
      <c r="D138" s="79"/>
      <c r="E138" s="79"/>
      <c r="F138" s="79"/>
      <c r="I138" s="216"/>
      <c r="J138" s="769"/>
      <c r="K138" s="866"/>
    </row>
    <row r="139" spans="2:12" x14ac:dyDescent="0.25">
      <c r="C139" s="79"/>
      <c r="D139" s="79"/>
      <c r="E139" s="79"/>
      <c r="F139" s="79"/>
      <c r="G139" s="216"/>
      <c r="I139" s="216"/>
      <c r="J139" s="769"/>
      <c r="K139" s="868"/>
    </row>
    <row r="140" spans="2:12" x14ac:dyDescent="0.25">
      <c r="C140" s="79"/>
      <c r="D140" s="79"/>
      <c r="E140" s="79"/>
      <c r="F140" s="79"/>
      <c r="G140" s="216"/>
      <c r="I140" s="216"/>
      <c r="J140" s="769"/>
      <c r="K140" s="866"/>
    </row>
    <row r="141" spans="2:12" x14ac:dyDescent="0.25">
      <c r="C141" s="79"/>
      <c r="D141" s="79"/>
      <c r="E141" s="79"/>
      <c r="F141" s="79"/>
      <c r="G141" s="216"/>
      <c r="J141" s="770"/>
      <c r="K141" s="866"/>
    </row>
    <row r="142" spans="2:12" x14ac:dyDescent="0.25">
      <c r="C142" s="79"/>
      <c r="D142" s="79"/>
      <c r="E142" s="79"/>
      <c r="F142" s="79"/>
      <c r="I142" s="216"/>
      <c r="J142" s="769"/>
      <c r="K142" s="868"/>
    </row>
    <row r="143" spans="2:12" x14ac:dyDescent="0.25">
      <c r="J143" s="769"/>
      <c r="K143" s="866"/>
    </row>
    <row r="144" spans="2:12" x14ac:dyDescent="0.25">
      <c r="C144" s="79"/>
      <c r="D144" s="79"/>
      <c r="E144" s="79"/>
      <c r="F144" s="79"/>
      <c r="I144" s="629"/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6"/>
    </row>
    <row r="152" spans="3:11" x14ac:dyDescent="0.25">
      <c r="C152" s="79"/>
      <c r="D152" s="79"/>
      <c r="E152" s="79"/>
      <c r="F152" s="79"/>
      <c r="I152" s="216"/>
      <c r="J152" s="769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C155" s="79"/>
      <c r="D155" s="79"/>
      <c r="E155" s="79"/>
      <c r="F155" s="79"/>
      <c r="I155" s="216"/>
      <c r="J155" s="769"/>
      <c r="K155" s="868"/>
    </row>
    <row r="156" spans="3:11" x14ac:dyDescent="0.25">
      <c r="C156" s="79"/>
      <c r="D156" s="79"/>
      <c r="E156" s="79"/>
      <c r="F156" s="79"/>
      <c r="I156" s="216"/>
      <c r="J156" s="769"/>
      <c r="K156" s="868"/>
    </row>
    <row r="157" spans="3:11" x14ac:dyDescent="0.25">
      <c r="C157" s="79"/>
      <c r="D157" s="79"/>
      <c r="E157" s="79"/>
      <c r="F157" s="79"/>
      <c r="I157" s="216"/>
      <c r="J157" s="769"/>
      <c r="K157" s="868"/>
    </row>
    <row r="158" spans="3:11" x14ac:dyDescent="0.25">
      <c r="C158" s="79"/>
      <c r="D158" s="79"/>
      <c r="E158" s="79"/>
      <c r="F158" s="79"/>
      <c r="I158" s="216"/>
      <c r="J158" s="769"/>
      <c r="K158" s="868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J161" s="769"/>
      <c r="K161" s="868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C164" s="79"/>
      <c r="D164" s="79"/>
      <c r="E164" s="79"/>
      <c r="F164" s="79"/>
      <c r="J164" s="769"/>
      <c r="K164" s="868"/>
    </row>
    <row r="165" spans="3:11" x14ac:dyDescent="0.25">
      <c r="C165" s="79"/>
      <c r="D165" s="79"/>
      <c r="E165" s="79"/>
      <c r="F165" s="79"/>
      <c r="J165" s="769"/>
      <c r="K165" s="868"/>
    </row>
    <row r="166" spans="3:11" x14ac:dyDescent="0.25">
      <c r="C166" s="79"/>
      <c r="D166" s="79"/>
      <c r="E166" s="79"/>
      <c r="F166" s="79"/>
      <c r="J166" s="769"/>
      <c r="K166" s="868"/>
    </row>
    <row r="167" spans="3:11" x14ac:dyDescent="0.25">
      <c r="C167" s="79"/>
      <c r="D167" s="79"/>
      <c r="E167" s="79"/>
      <c r="F167" s="79"/>
      <c r="J167" s="769"/>
      <c r="K167" s="868"/>
    </row>
    <row r="168" spans="3:11" x14ac:dyDescent="0.25">
      <c r="C168" s="79"/>
      <c r="D168" s="79"/>
      <c r="E168" s="79"/>
      <c r="F168" s="79"/>
      <c r="J168" s="769"/>
      <c r="K168" s="866"/>
    </row>
    <row r="169" spans="3:11" x14ac:dyDescent="0.25">
      <c r="C169" s="79"/>
      <c r="D169" s="79"/>
      <c r="E169" s="79"/>
      <c r="F169" s="79"/>
      <c r="J169" s="223"/>
      <c r="K169" s="629"/>
    </row>
    <row r="170" spans="3:11" x14ac:dyDescent="0.25">
      <c r="C170" s="79"/>
      <c r="D170" s="79"/>
      <c r="E170" s="79"/>
      <c r="F170" s="79"/>
      <c r="J170" s="756"/>
      <c r="K170" s="756"/>
    </row>
    <row r="171" spans="3:11" x14ac:dyDescent="0.25">
      <c r="C171" s="79"/>
      <c r="D171" s="79"/>
      <c r="E171" s="79"/>
      <c r="F171" s="79"/>
    </row>
    <row r="172" spans="3:11" x14ac:dyDescent="0.25">
      <c r="C172" s="79"/>
      <c r="D172" s="79"/>
      <c r="E172" s="79"/>
      <c r="F172" s="79"/>
    </row>
    <row r="173" spans="3:11" x14ac:dyDescent="0.25">
      <c r="C173" s="79"/>
      <c r="D173" s="79"/>
      <c r="E173" s="79"/>
      <c r="F173" s="79"/>
    </row>
    <row r="174" spans="3:11" x14ac:dyDescent="0.25">
      <c r="C174" s="79"/>
      <c r="D174" s="79"/>
      <c r="E174" s="79"/>
      <c r="F174" s="79"/>
    </row>
    <row r="175" spans="3:11" x14ac:dyDescent="0.25">
      <c r="C175" s="79"/>
      <c r="D175" s="79"/>
      <c r="E175" s="79"/>
      <c r="F175" s="79"/>
      <c r="J175" s="85"/>
      <c r="K175" s="85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  <c r="J182" s="85"/>
      <c r="K182" s="85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  <c r="J189" s="771"/>
      <c r="K189" s="518"/>
    </row>
    <row r="190" spans="3:11" x14ac:dyDescent="0.25">
      <c r="C190" s="79"/>
      <c r="D190" s="79"/>
      <c r="E190" s="79"/>
      <c r="F190" s="79"/>
    </row>
    <row r="197" spans="3:11" x14ac:dyDescent="0.25">
      <c r="C197" s="79"/>
      <c r="D197" s="79"/>
      <c r="E197" s="79"/>
      <c r="F197" s="79"/>
      <c r="K197" s="216"/>
    </row>
    <row r="198" spans="3:11" x14ac:dyDescent="0.25">
      <c r="C198" s="79"/>
      <c r="D198" s="79"/>
      <c r="E198" s="79"/>
      <c r="F198" s="79"/>
      <c r="K198" s="216"/>
    </row>
    <row r="199" spans="3:11" x14ac:dyDescent="0.25">
      <c r="C199" s="79"/>
      <c r="D199" s="79"/>
      <c r="E199" s="79"/>
      <c r="F199" s="79"/>
      <c r="K199" s="216"/>
    </row>
    <row r="200" spans="3:11" x14ac:dyDescent="0.25">
      <c r="C200" s="79"/>
      <c r="D200" s="79"/>
      <c r="E200" s="79"/>
      <c r="F200" s="79"/>
      <c r="K200" s="216"/>
    </row>
    <row r="202" spans="3:11" x14ac:dyDescent="0.25">
      <c r="C202" s="79"/>
      <c r="D202" s="79"/>
      <c r="E202" s="79"/>
      <c r="F202" s="79"/>
      <c r="K202" s="216"/>
    </row>
    <row r="204" spans="3:11" x14ac:dyDescent="0.25">
      <c r="C204" s="79"/>
      <c r="D204" s="79"/>
      <c r="E204" s="79"/>
      <c r="F204" s="79"/>
      <c r="K204" s="629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</sheetData>
  <autoFilter ref="A2:I110" xr:uid="{00000000-0009-0000-0000-000042000000}"/>
  <mergeCells count="12">
    <mergeCell ref="A109:E109"/>
    <mergeCell ref="A110:E11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Plan80" filterMode="1"/>
  <dimension ref="A1:L237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O23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3.8554687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1764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280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43070</v>
      </c>
      <c r="B5" s="369" t="s">
        <v>10</v>
      </c>
      <c r="C5" s="370"/>
      <c r="D5" s="370"/>
      <c r="E5" s="777"/>
      <c r="F5" s="179"/>
      <c r="G5" s="933">
        <f>'Novembro-17'!G110</f>
        <v>1928.1700000000073</v>
      </c>
      <c r="H5" s="179"/>
      <c r="I5" s="933">
        <f>'Novembro-17'!I110</f>
        <v>1449.9960000000015</v>
      </c>
      <c r="J5" s="179"/>
      <c r="K5" s="933">
        <f>'Novembro-17'!K110</f>
        <v>4064.7</v>
      </c>
    </row>
    <row r="6" spans="1:11" s="224" customFormat="1" hidden="1" x14ac:dyDescent="0.25">
      <c r="A6" s="215">
        <v>43070</v>
      </c>
      <c r="B6" s="348" t="s">
        <v>11</v>
      </c>
      <c r="C6" s="351"/>
      <c r="D6" s="351"/>
      <c r="E6" s="673"/>
      <c r="F6" s="250">
        <v>10</v>
      </c>
      <c r="G6" s="1473"/>
      <c r="H6" s="250"/>
      <c r="I6" s="1473"/>
      <c r="J6" s="250"/>
      <c r="K6" s="1473"/>
    </row>
    <row r="7" spans="1:11" s="224" customFormat="1" hidden="1" x14ac:dyDescent="0.25">
      <c r="A7" s="215">
        <v>43070</v>
      </c>
      <c r="B7" s="349" t="s">
        <v>1661</v>
      </c>
      <c r="C7" s="350" t="s">
        <v>12</v>
      </c>
      <c r="D7" s="350"/>
      <c r="E7" s="480" t="s">
        <v>13</v>
      </c>
      <c r="F7" s="97">
        <v>1385.82</v>
      </c>
      <c r="G7" s="1064"/>
      <c r="H7" s="97"/>
      <c r="I7" s="946"/>
      <c r="J7" s="97"/>
      <c r="K7" s="946">
        <v>1385.82</v>
      </c>
    </row>
    <row r="8" spans="1:11" s="224" customFormat="1" hidden="1" x14ac:dyDescent="0.25">
      <c r="A8" s="215">
        <v>43070</v>
      </c>
      <c r="B8" s="349" t="s">
        <v>32</v>
      </c>
      <c r="C8" s="350" t="s">
        <v>12</v>
      </c>
      <c r="D8" s="350" t="s">
        <v>1485</v>
      </c>
      <c r="E8" s="480" t="s">
        <v>13</v>
      </c>
      <c r="F8" s="97">
        <v>14</v>
      </c>
      <c r="G8" s="946"/>
      <c r="H8" s="97"/>
      <c r="I8" s="946"/>
      <c r="J8" s="97"/>
      <c r="K8" s="946"/>
    </row>
    <row r="9" spans="1:11" s="224" customFormat="1" hidden="1" x14ac:dyDescent="0.25">
      <c r="A9" s="215">
        <v>43070</v>
      </c>
      <c r="B9" s="862" t="s">
        <v>14</v>
      </c>
      <c r="C9" s="879" t="s">
        <v>12</v>
      </c>
      <c r="D9" s="879" t="s">
        <v>1486</v>
      </c>
      <c r="E9" s="871" t="s">
        <v>13</v>
      </c>
      <c r="F9" s="97">
        <v>19.84</v>
      </c>
      <c r="G9" s="946"/>
      <c r="H9" s="97"/>
      <c r="I9" s="946"/>
      <c r="J9" s="97"/>
      <c r="K9" s="946"/>
    </row>
    <row r="10" spans="1:11" s="224" customFormat="1" hidden="1" x14ac:dyDescent="0.25">
      <c r="A10" s="215">
        <v>43071</v>
      </c>
      <c r="B10" s="862" t="s">
        <v>14</v>
      </c>
      <c r="C10" s="879" t="s">
        <v>12</v>
      </c>
      <c r="D10" s="879" t="s">
        <v>1486</v>
      </c>
      <c r="E10" s="871" t="s">
        <v>13</v>
      </c>
      <c r="F10" s="97">
        <v>9.8800000000000008</v>
      </c>
      <c r="G10" s="946"/>
      <c r="H10" s="97"/>
      <c r="I10" s="946"/>
      <c r="J10" s="97"/>
      <c r="K10" s="946"/>
    </row>
    <row r="11" spans="1:11" s="224" customFormat="1" hidden="1" x14ac:dyDescent="0.25">
      <c r="A11" s="215">
        <v>43071</v>
      </c>
      <c r="B11" s="862" t="s">
        <v>1765</v>
      </c>
      <c r="C11" s="879" t="s">
        <v>12</v>
      </c>
      <c r="D11" s="879" t="s">
        <v>1491</v>
      </c>
      <c r="E11" s="871" t="s">
        <v>13</v>
      </c>
      <c r="F11" s="97">
        <v>2.7</v>
      </c>
      <c r="G11" s="946"/>
      <c r="H11" s="97"/>
      <c r="I11" s="946"/>
      <c r="J11" s="97"/>
      <c r="K11" s="946"/>
    </row>
    <row r="12" spans="1:11" s="224" customFormat="1" hidden="1" x14ac:dyDescent="0.25">
      <c r="A12" s="215">
        <v>43071</v>
      </c>
      <c r="B12" s="862" t="s">
        <v>1438</v>
      </c>
      <c r="C12" s="879" t="s">
        <v>19</v>
      </c>
      <c r="D12" s="879" t="s">
        <v>1489</v>
      </c>
      <c r="E12" s="871" t="s">
        <v>13</v>
      </c>
      <c r="F12" s="97">
        <v>42.46</v>
      </c>
      <c r="G12" s="946"/>
      <c r="H12" s="97"/>
      <c r="I12" s="946"/>
      <c r="J12" s="97"/>
      <c r="K12" s="946"/>
    </row>
    <row r="13" spans="1:11" s="224" customFormat="1" hidden="1" x14ac:dyDescent="0.25">
      <c r="A13" s="215">
        <v>43072</v>
      </c>
      <c r="B13" s="862" t="s">
        <v>1766</v>
      </c>
      <c r="C13" s="879" t="s">
        <v>12</v>
      </c>
      <c r="D13" s="879" t="s">
        <v>1491</v>
      </c>
      <c r="E13" s="871" t="s">
        <v>13</v>
      </c>
      <c r="F13" s="97">
        <v>18.14</v>
      </c>
      <c r="G13" s="946"/>
      <c r="H13" s="97"/>
      <c r="I13" s="946"/>
      <c r="J13" s="97"/>
      <c r="K13" s="946"/>
    </row>
    <row r="14" spans="1:11" s="224" customFormat="1" hidden="1" x14ac:dyDescent="0.25">
      <c r="A14" s="215">
        <v>43072</v>
      </c>
      <c r="B14" s="862" t="s">
        <v>14</v>
      </c>
      <c r="C14" s="879" t="s">
        <v>12</v>
      </c>
      <c r="D14" s="879" t="s">
        <v>1486</v>
      </c>
      <c r="E14" s="871" t="s">
        <v>13</v>
      </c>
      <c r="F14" s="97">
        <v>7.84</v>
      </c>
      <c r="G14" s="946"/>
      <c r="H14" s="97"/>
      <c r="I14" s="946"/>
      <c r="J14" s="97"/>
      <c r="K14" s="946"/>
    </row>
    <row r="15" spans="1:11" s="224" customFormat="1" hidden="1" x14ac:dyDescent="0.25">
      <c r="A15" s="215">
        <v>43072</v>
      </c>
      <c r="B15" s="862" t="s">
        <v>134</v>
      </c>
      <c r="C15" s="879" t="s">
        <v>12</v>
      </c>
      <c r="D15" s="879" t="s">
        <v>1493</v>
      </c>
      <c r="E15" s="871" t="s">
        <v>13</v>
      </c>
      <c r="F15" s="97">
        <v>4.95</v>
      </c>
      <c r="G15" s="946"/>
      <c r="H15" s="97"/>
      <c r="I15" s="946"/>
      <c r="J15" s="97"/>
      <c r="K15" s="946"/>
    </row>
    <row r="16" spans="1:11" s="224" customFormat="1" hidden="1" x14ac:dyDescent="0.25">
      <c r="A16" s="215">
        <v>43073</v>
      </c>
      <c r="B16" s="862" t="s">
        <v>1735</v>
      </c>
      <c r="C16" s="879" t="s">
        <v>12</v>
      </c>
      <c r="D16" s="879" t="s">
        <v>1489</v>
      </c>
      <c r="E16" s="871" t="s">
        <v>13</v>
      </c>
      <c r="F16" s="97">
        <v>9.4</v>
      </c>
      <c r="G16" s="946"/>
      <c r="H16" s="97"/>
      <c r="I16" s="946"/>
      <c r="J16" s="97"/>
      <c r="K16" s="946"/>
    </row>
    <row r="17" spans="1:11" s="224" customFormat="1" hidden="1" x14ac:dyDescent="0.25">
      <c r="A17" s="215">
        <v>43073</v>
      </c>
      <c r="B17" s="349" t="s">
        <v>32</v>
      </c>
      <c r="C17" s="350" t="s">
        <v>12</v>
      </c>
      <c r="D17" s="350" t="s">
        <v>1485</v>
      </c>
      <c r="E17" s="480" t="s">
        <v>13</v>
      </c>
      <c r="F17" s="97">
        <v>14</v>
      </c>
      <c r="G17" s="946"/>
      <c r="H17" s="97"/>
      <c r="I17" s="946"/>
      <c r="J17" s="97"/>
      <c r="K17" s="946"/>
    </row>
    <row r="18" spans="1:11" s="224" customFormat="1" ht="15" hidden="1" customHeight="1" x14ac:dyDescent="0.25">
      <c r="A18" s="215">
        <v>43073</v>
      </c>
      <c r="B18" s="862" t="s">
        <v>1331</v>
      </c>
      <c r="C18" s="879" t="s">
        <v>19</v>
      </c>
      <c r="D18" s="879" t="s">
        <v>1487</v>
      </c>
      <c r="E18" s="871" t="s">
        <v>13</v>
      </c>
      <c r="F18" s="97">
        <v>75</v>
      </c>
      <c r="G18" s="1064"/>
      <c r="H18" s="97"/>
      <c r="I18" s="946"/>
      <c r="J18" s="97"/>
      <c r="K18" s="946"/>
    </row>
    <row r="19" spans="1:11" s="224" customFormat="1" ht="15" hidden="1" customHeight="1" x14ac:dyDescent="0.25">
      <c r="A19" s="215">
        <v>43073</v>
      </c>
      <c r="B19" s="862" t="s">
        <v>1767</v>
      </c>
      <c r="C19" s="879" t="s">
        <v>19</v>
      </c>
      <c r="D19" s="879" t="s">
        <v>1506</v>
      </c>
      <c r="E19" s="871" t="s">
        <v>13</v>
      </c>
      <c r="F19" s="97">
        <v>35.9</v>
      </c>
      <c r="G19" s="1064"/>
      <c r="H19" s="97"/>
      <c r="I19" s="946"/>
      <c r="J19" s="97"/>
      <c r="K19" s="946"/>
    </row>
    <row r="20" spans="1:11" s="224" customFormat="1" ht="15" hidden="1" customHeight="1" x14ac:dyDescent="0.25">
      <c r="A20" s="215">
        <v>43073</v>
      </c>
      <c r="B20" s="862" t="s">
        <v>1768</v>
      </c>
      <c r="C20" s="879" t="s">
        <v>19</v>
      </c>
      <c r="D20" s="879" t="s">
        <v>1506</v>
      </c>
      <c r="E20" s="871" t="s">
        <v>13</v>
      </c>
      <c r="F20" s="97">
        <v>59.99</v>
      </c>
      <c r="G20" s="1064"/>
      <c r="H20" s="97"/>
      <c r="I20" s="946"/>
      <c r="J20" s="97"/>
      <c r="K20" s="946"/>
    </row>
    <row r="21" spans="1:11" s="224" customFormat="1" hidden="1" x14ac:dyDescent="0.25">
      <c r="A21" s="215">
        <v>43073</v>
      </c>
      <c r="B21" s="862" t="s">
        <v>14</v>
      </c>
      <c r="C21" s="879" t="s">
        <v>12</v>
      </c>
      <c r="D21" s="879" t="s">
        <v>1486</v>
      </c>
      <c r="E21" s="871" t="s">
        <v>13</v>
      </c>
      <c r="F21" s="97">
        <v>3.79</v>
      </c>
      <c r="G21" s="946"/>
      <c r="H21" s="97"/>
      <c r="I21" s="946"/>
      <c r="J21" s="97"/>
      <c r="K21" s="946"/>
    </row>
    <row r="22" spans="1:11" s="224" customFormat="1" ht="15" hidden="1" customHeight="1" x14ac:dyDescent="0.25">
      <c r="A22" s="215">
        <v>43074</v>
      </c>
      <c r="B22" s="349" t="s">
        <v>32</v>
      </c>
      <c r="C22" s="350" t="s">
        <v>12</v>
      </c>
      <c r="D22" s="350" t="s">
        <v>1485</v>
      </c>
      <c r="E22" s="480" t="s">
        <v>13</v>
      </c>
      <c r="F22" s="97">
        <v>14</v>
      </c>
      <c r="G22" s="946"/>
      <c r="H22" s="97"/>
      <c r="I22" s="946"/>
      <c r="J22" s="97"/>
      <c r="K22" s="946"/>
    </row>
    <row r="23" spans="1:11" s="224" customFormat="1" ht="15" hidden="1" customHeight="1" x14ac:dyDescent="0.25">
      <c r="A23" s="215">
        <v>43074</v>
      </c>
      <c r="B23" s="862" t="s">
        <v>1752</v>
      </c>
      <c r="C23" s="879" t="s">
        <v>12</v>
      </c>
      <c r="D23" s="879" t="s">
        <v>1491</v>
      </c>
      <c r="E23" s="871" t="s">
        <v>15</v>
      </c>
      <c r="F23" s="97">
        <v>20</v>
      </c>
      <c r="G23" s="946"/>
      <c r="H23" s="97"/>
      <c r="I23" s="946"/>
      <c r="J23" s="97"/>
      <c r="K23" s="946"/>
    </row>
    <row r="24" spans="1:11" s="224" customFormat="1" ht="15.75" hidden="1" customHeight="1" x14ac:dyDescent="0.25">
      <c r="A24" s="215">
        <v>43075</v>
      </c>
      <c r="B24" s="349" t="s">
        <v>1769</v>
      </c>
      <c r="C24" s="879" t="s">
        <v>12</v>
      </c>
      <c r="D24" s="874"/>
      <c r="E24" s="871" t="s">
        <v>25</v>
      </c>
      <c r="F24" s="1514"/>
      <c r="G24" s="1473">
        <v>1583.78</v>
      </c>
      <c r="H24" s="250"/>
      <c r="I24" s="946"/>
      <c r="J24" s="97"/>
      <c r="K24" s="946"/>
    </row>
    <row r="25" spans="1:11" s="224" customFormat="1" hidden="1" x14ac:dyDescent="0.25">
      <c r="A25" s="215">
        <v>43075</v>
      </c>
      <c r="B25" s="862" t="s">
        <v>1770</v>
      </c>
      <c r="C25" s="879" t="s">
        <v>12</v>
      </c>
      <c r="D25" s="879"/>
      <c r="E25" s="871" t="s">
        <v>13</v>
      </c>
      <c r="F25" s="456">
        <v>423.78</v>
      </c>
      <c r="G25" s="946"/>
      <c r="H25" s="97"/>
      <c r="I25" s="946"/>
      <c r="J25" s="523"/>
      <c r="K25" s="457"/>
    </row>
    <row r="26" spans="1:11" hidden="1" x14ac:dyDescent="0.25">
      <c r="A26" s="215">
        <v>43075</v>
      </c>
      <c r="B26" s="862" t="s">
        <v>1532</v>
      </c>
      <c r="C26" s="879" t="s">
        <v>12</v>
      </c>
      <c r="D26" s="879" t="s">
        <v>1504</v>
      </c>
      <c r="E26" s="871" t="s">
        <v>13</v>
      </c>
      <c r="F26" s="523">
        <v>50</v>
      </c>
      <c r="G26" s="946"/>
      <c r="H26" s="97"/>
      <c r="I26" s="946"/>
      <c r="J26" s="97"/>
      <c r="K26" s="1473"/>
    </row>
    <row r="27" spans="1:11" hidden="1" x14ac:dyDescent="0.25">
      <c r="A27" s="215">
        <v>43075</v>
      </c>
      <c r="B27" s="882" t="s">
        <v>1771</v>
      </c>
      <c r="C27" s="879" t="s">
        <v>12</v>
      </c>
      <c r="D27" s="879" t="s">
        <v>1499</v>
      </c>
      <c r="E27" s="871" t="s">
        <v>13</v>
      </c>
      <c r="F27" s="780">
        <v>56</v>
      </c>
      <c r="G27" s="982"/>
      <c r="H27" s="622"/>
      <c r="I27" s="982"/>
      <c r="J27" s="780"/>
      <c r="K27" s="614"/>
    </row>
    <row r="28" spans="1:11" hidden="1" x14ac:dyDescent="0.25">
      <c r="A28" s="215">
        <v>43075</v>
      </c>
      <c r="B28" s="862" t="s">
        <v>52</v>
      </c>
      <c r="C28" s="879" t="s">
        <v>12</v>
      </c>
      <c r="D28" s="879" t="s">
        <v>1496</v>
      </c>
      <c r="E28" s="871" t="s">
        <v>13</v>
      </c>
      <c r="F28" s="523">
        <v>60</v>
      </c>
      <c r="G28" s="1064"/>
      <c r="H28" s="97"/>
      <c r="I28" s="946"/>
      <c r="J28" s="97"/>
      <c r="K28" s="946"/>
    </row>
    <row r="29" spans="1:11" s="224" customFormat="1" hidden="1" x14ac:dyDescent="0.25">
      <c r="A29" s="215">
        <v>43075</v>
      </c>
      <c r="B29" s="862" t="s">
        <v>1772</v>
      </c>
      <c r="C29" s="879" t="s">
        <v>12</v>
      </c>
      <c r="D29" s="879"/>
      <c r="E29" s="871" t="s">
        <v>25</v>
      </c>
      <c r="F29" s="97"/>
      <c r="G29" s="946">
        <v>260</v>
      </c>
      <c r="H29" s="97"/>
      <c r="I29" s="946"/>
      <c r="J29" s="97"/>
      <c r="K29" s="946"/>
    </row>
    <row r="30" spans="1:11" s="224" customFormat="1" hidden="1" x14ac:dyDescent="0.25">
      <c r="A30" s="215">
        <v>43075</v>
      </c>
      <c r="B30" s="349" t="s">
        <v>32</v>
      </c>
      <c r="C30" s="350" t="s">
        <v>12</v>
      </c>
      <c r="D30" s="350" t="s">
        <v>1485</v>
      </c>
      <c r="E30" s="480" t="s">
        <v>15</v>
      </c>
      <c r="F30" s="97">
        <v>14</v>
      </c>
      <c r="G30" s="1521"/>
      <c r="H30" s="96"/>
      <c r="I30" s="1482"/>
      <c r="J30" s="96"/>
      <c r="K30" s="1482"/>
    </row>
    <row r="31" spans="1:11" s="224" customFormat="1" ht="15" hidden="1" customHeight="1" x14ac:dyDescent="0.25">
      <c r="A31" s="215">
        <v>43075</v>
      </c>
      <c r="B31" s="349" t="s">
        <v>260</v>
      </c>
      <c r="C31" s="350"/>
      <c r="D31" s="350"/>
      <c r="E31" s="480"/>
      <c r="F31" s="523">
        <v>750</v>
      </c>
      <c r="G31" s="1064"/>
      <c r="H31" s="97"/>
      <c r="I31" s="946">
        <v>750</v>
      </c>
      <c r="J31" s="97"/>
      <c r="K31" s="946"/>
    </row>
    <row r="32" spans="1:11" s="224" customFormat="1" hidden="1" x14ac:dyDescent="0.25">
      <c r="A32" s="215">
        <v>43075</v>
      </c>
      <c r="B32" s="349" t="s">
        <v>311</v>
      </c>
      <c r="C32" s="350"/>
      <c r="D32" s="765"/>
      <c r="E32" s="778"/>
      <c r="F32" s="709"/>
      <c r="G32" s="248"/>
      <c r="H32" s="97"/>
      <c r="I32" s="946">
        <v>6.19</v>
      </c>
      <c r="J32" s="97"/>
      <c r="K32" s="946"/>
    </row>
    <row r="33" spans="1:11" s="224" customFormat="1" hidden="1" x14ac:dyDescent="0.25">
      <c r="A33" s="215">
        <v>43075</v>
      </c>
      <c r="B33" s="862" t="s">
        <v>14</v>
      </c>
      <c r="C33" s="879" t="s">
        <v>12</v>
      </c>
      <c r="D33" s="879" t="s">
        <v>1486</v>
      </c>
      <c r="E33" s="871" t="s">
        <v>13</v>
      </c>
      <c r="F33" s="97">
        <v>11.02</v>
      </c>
      <c r="G33" s="946"/>
      <c r="H33" s="97"/>
      <c r="I33" s="946"/>
      <c r="J33" s="97"/>
      <c r="K33" s="946"/>
    </row>
    <row r="34" spans="1:11" s="224" customFormat="1" ht="15" hidden="1" customHeight="1" x14ac:dyDescent="0.25">
      <c r="A34" s="215">
        <v>43076</v>
      </c>
      <c r="B34" s="349" t="s">
        <v>32</v>
      </c>
      <c r="C34" s="350" t="s">
        <v>12</v>
      </c>
      <c r="D34" s="350" t="s">
        <v>1485</v>
      </c>
      <c r="E34" s="480" t="s">
        <v>15</v>
      </c>
      <c r="F34" s="97">
        <v>14</v>
      </c>
      <c r="G34" s="1064"/>
      <c r="H34" s="97"/>
      <c r="I34" s="946"/>
      <c r="J34" s="97"/>
      <c r="K34" s="946"/>
    </row>
    <row r="35" spans="1:11" s="224" customFormat="1" ht="15" hidden="1" customHeight="1" x14ac:dyDescent="0.25">
      <c r="A35" s="215">
        <v>43076</v>
      </c>
      <c r="B35" s="349" t="s">
        <v>147</v>
      </c>
      <c r="C35" s="350" t="s">
        <v>12</v>
      </c>
      <c r="D35" s="350" t="s">
        <v>1506</v>
      </c>
      <c r="E35" s="480" t="s">
        <v>15</v>
      </c>
      <c r="F35" s="97">
        <v>20</v>
      </c>
      <c r="G35" s="1064"/>
      <c r="H35" s="97"/>
      <c r="I35" s="946"/>
      <c r="J35" s="97"/>
      <c r="K35" s="946"/>
    </row>
    <row r="36" spans="1:11" s="224" customFormat="1" ht="15" hidden="1" customHeight="1" x14ac:dyDescent="0.25">
      <c r="A36" s="215">
        <v>43076</v>
      </c>
      <c r="B36" s="349" t="s">
        <v>134</v>
      </c>
      <c r="C36" s="350" t="s">
        <v>12</v>
      </c>
      <c r="D36" s="350" t="s">
        <v>1493</v>
      </c>
      <c r="E36" s="480" t="s">
        <v>15</v>
      </c>
      <c r="F36" s="97">
        <v>8</v>
      </c>
      <c r="G36" s="1064"/>
      <c r="H36" s="97"/>
      <c r="I36" s="946"/>
      <c r="J36" s="97"/>
      <c r="K36" s="946"/>
    </row>
    <row r="37" spans="1:11" hidden="1" x14ac:dyDescent="0.25">
      <c r="A37" s="215">
        <v>43077</v>
      </c>
      <c r="B37" s="349" t="s">
        <v>32</v>
      </c>
      <c r="C37" s="350" t="s">
        <v>12</v>
      </c>
      <c r="D37" s="350" t="s">
        <v>1485</v>
      </c>
      <c r="E37" s="480" t="s">
        <v>15</v>
      </c>
      <c r="F37" s="97">
        <v>14</v>
      </c>
      <c r="G37" s="1064"/>
      <c r="H37" s="97"/>
      <c r="I37" s="946"/>
      <c r="J37" s="97"/>
      <c r="K37" s="946"/>
    </row>
    <row r="38" spans="1:11" s="224" customFormat="1" hidden="1" x14ac:dyDescent="0.25">
      <c r="A38" s="215">
        <v>43077</v>
      </c>
      <c r="B38" s="862" t="s">
        <v>14</v>
      </c>
      <c r="C38" s="879" t="s">
        <v>12</v>
      </c>
      <c r="D38" s="879" t="s">
        <v>1486</v>
      </c>
      <c r="E38" s="871" t="s">
        <v>13</v>
      </c>
      <c r="F38" s="97">
        <v>11.02</v>
      </c>
      <c r="G38" s="946"/>
      <c r="H38" s="97"/>
      <c r="I38" s="946"/>
      <c r="J38" s="97"/>
      <c r="K38" s="946"/>
    </row>
    <row r="39" spans="1:11" s="224" customFormat="1" hidden="1" x14ac:dyDescent="0.25">
      <c r="A39" s="215">
        <v>43077</v>
      </c>
      <c r="B39" s="862" t="s">
        <v>1752</v>
      </c>
      <c r="C39" s="879" t="s">
        <v>12</v>
      </c>
      <c r="D39" s="879" t="s">
        <v>1491</v>
      </c>
      <c r="E39" s="871" t="s">
        <v>15</v>
      </c>
      <c r="F39" s="97">
        <v>40</v>
      </c>
      <c r="G39" s="946"/>
      <c r="H39" s="97"/>
      <c r="I39" s="946"/>
      <c r="J39" s="97"/>
      <c r="K39" s="946"/>
    </row>
    <row r="40" spans="1:11" s="224" customFormat="1" hidden="1" x14ac:dyDescent="0.25">
      <c r="A40" s="215">
        <v>43077</v>
      </c>
      <c r="B40" s="862" t="s">
        <v>619</v>
      </c>
      <c r="C40" s="879" t="s">
        <v>12</v>
      </c>
      <c r="D40" s="879" t="s">
        <v>1491</v>
      </c>
      <c r="E40" s="871" t="s">
        <v>15</v>
      </c>
      <c r="F40" s="97">
        <v>30</v>
      </c>
      <c r="G40" s="946"/>
      <c r="H40" s="97"/>
      <c r="I40" s="946"/>
      <c r="J40" s="97"/>
      <c r="K40" s="946"/>
    </row>
    <row r="41" spans="1:11" s="224" customFormat="1" ht="15" hidden="1" customHeight="1" x14ac:dyDescent="0.25">
      <c r="A41" s="215">
        <v>43078</v>
      </c>
      <c r="B41" s="349" t="s">
        <v>32</v>
      </c>
      <c r="C41" s="350" t="s">
        <v>12</v>
      </c>
      <c r="D41" s="350" t="s">
        <v>1485</v>
      </c>
      <c r="E41" s="480" t="s">
        <v>15</v>
      </c>
      <c r="F41" s="97">
        <v>15.9</v>
      </c>
      <c r="G41" s="1064"/>
      <c r="H41" s="97"/>
      <c r="I41" s="946"/>
      <c r="J41" s="97"/>
      <c r="K41" s="946"/>
    </row>
    <row r="42" spans="1:11" s="224" customFormat="1" hidden="1" x14ac:dyDescent="0.25">
      <c r="A42" s="215">
        <v>43078</v>
      </c>
      <c r="B42" s="862" t="s">
        <v>17</v>
      </c>
      <c r="C42" s="879" t="s">
        <v>12</v>
      </c>
      <c r="D42" s="879" t="s">
        <v>1493</v>
      </c>
      <c r="E42" s="871" t="s">
        <v>13</v>
      </c>
      <c r="F42" s="523">
        <v>14</v>
      </c>
      <c r="G42" s="946"/>
      <c r="H42" s="97"/>
      <c r="I42" s="1473"/>
      <c r="J42" s="97"/>
      <c r="K42" s="1473"/>
    </row>
    <row r="43" spans="1:11" s="224" customFormat="1" hidden="1" x14ac:dyDescent="0.25">
      <c r="A43" s="215">
        <v>43078</v>
      </c>
      <c r="B43" s="862" t="s">
        <v>82</v>
      </c>
      <c r="C43" s="879" t="s">
        <v>12</v>
      </c>
      <c r="D43" s="879" t="s">
        <v>1493</v>
      </c>
      <c r="E43" s="871" t="s">
        <v>13</v>
      </c>
      <c r="F43" s="523">
        <v>29.9</v>
      </c>
      <c r="G43" s="946"/>
      <c r="H43" s="97"/>
      <c r="I43" s="1473"/>
      <c r="J43" s="97"/>
      <c r="K43" s="1473"/>
    </row>
    <row r="44" spans="1:11" s="224" customFormat="1" hidden="1" x14ac:dyDescent="0.25">
      <c r="A44" s="215">
        <v>43079</v>
      </c>
      <c r="B44" s="862" t="s">
        <v>14</v>
      </c>
      <c r="C44" s="879" t="s">
        <v>12</v>
      </c>
      <c r="D44" s="879" t="s">
        <v>1486</v>
      </c>
      <c r="E44" s="871" t="s">
        <v>13</v>
      </c>
      <c r="F44" s="97">
        <v>10.49</v>
      </c>
      <c r="G44" s="946"/>
      <c r="H44" s="97"/>
      <c r="I44" s="946"/>
      <c r="J44" s="97"/>
      <c r="K44" s="946"/>
    </row>
    <row r="45" spans="1:11" s="224" customFormat="1" hidden="1" x14ac:dyDescent="0.25">
      <c r="A45" s="215">
        <v>43079</v>
      </c>
      <c r="B45" s="349" t="s">
        <v>32</v>
      </c>
      <c r="C45" s="350" t="s">
        <v>12</v>
      </c>
      <c r="D45" s="350" t="s">
        <v>1485</v>
      </c>
      <c r="E45" s="480" t="s">
        <v>13</v>
      </c>
      <c r="F45" s="97">
        <v>15.9</v>
      </c>
      <c r="G45" s="946"/>
      <c r="H45" s="97"/>
      <c r="I45" s="1473"/>
      <c r="J45" s="97"/>
      <c r="K45" s="1473"/>
    </row>
    <row r="46" spans="1:11" s="224" customFormat="1" hidden="1" x14ac:dyDescent="0.25">
      <c r="A46" s="215">
        <v>43079</v>
      </c>
      <c r="B46" s="862" t="s">
        <v>81</v>
      </c>
      <c r="C46" s="879" t="s">
        <v>12</v>
      </c>
      <c r="D46" s="879" t="s">
        <v>1493</v>
      </c>
      <c r="E46" s="871" t="s">
        <v>13</v>
      </c>
      <c r="F46" s="523">
        <v>5</v>
      </c>
      <c r="G46" s="946"/>
      <c r="H46" s="97"/>
      <c r="I46" s="1473"/>
      <c r="J46" s="97"/>
      <c r="K46" s="1473"/>
    </row>
    <row r="47" spans="1:11" s="224" customFormat="1" hidden="1" x14ac:dyDescent="0.25">
      <c r="A47" s="215">
        <v>43079</v>
      </c>
      <c r="B47" s="862" t="s">
        <v>178</v>
      </c>
      <c r="C47" s="879" t="s">
        <v>12</v>
      </c>
      <c r="D47" s="879" t="s">
        <v>1489</v>
      </c>
      <c r="E47" s="871" t="s">
        <v>15</v>
      </c>
      <c r="F47" s="523">
        <v>4</v>
      </c>
      <c r="G47" s="946"/>
      <c r="H47" s="97"/>
      <c r="I47" s="1473"/>
      <c r="J47" s="97"/>
      <c r="K47" s="1473"/>
    </row>
    <row r="48" spans="1:11" hidden="1" x14ac:dyDescent="0.25">
      <c r="A48" s="215">
        <v>43080</v>
      </c>
      <c r="B48" s="349" t="s">
        <v>32</v>
      </c>
      <c r="C48" s="350" t="s">
        <v>12</v>
      </c>
      <c r="D48" s="350" t="s">
        <v>1485</v>
      </c>
      <c r="E48" s="480" t="s">
        <v>13</v>
      </c>
      <c r="F48" s="97">
        <v>14</v>
      </c>
      <c r="G48" s="946"/>
      <c r="H48" s="97"/>
      <c r="I48" s="946"/>
      <c r="J48" s="97"/>
      <c r="K48" s="946"/>
    </row>
    <row r="49" spans="1:11" s="224" customFormat="1" hidden="1" x14ac:dyDescent="0.25">
      <c r="A49" s="215">
        <v>43080</v>
      </c>
      <c r="B49" s="862" t="s">
        <v>14</v>
      </c>
      <c r="C49" s="879" t="s">
        <v>12</v>
      </c>
      <c r="D49" s="879" t="s">
        <v>1486</v>
      </c>
      <c r="E49" s="871" t="s">
        <v>13</v>
      </c>
      <c r="F49" s="97">
        <v>9.4700000000000006</v>
      </c>
      <c r="G49" s="946"/>
      <c r="H49" s="97"/>
      <c r="I49" s="946"/>
      <c r="J49" s="97"/>
      <c r="K49" s="946"/>
    </row>
    <row r="50" spans="1:11" s="224" customFormat="1" ht="15" hidden="1" customHeight="1" x14ac:dyDescent="0.25">
      <c r="A50" s="215">
        <v>43080</v>
      </c>
      <c r="B50" s="862" t="s">
        <v>1331</v>
      </c>
      <c r="C50" s="879" t="s">
        <v>19</v>
      </c>
      <c r="D50" s="879" t="s">
        <v>1487</v>
      </c>
      <c r="E50" s="871" t="s">
        <v>13</v>
      </c>
      <c r="F50" s="97">
        <v>20</v>
      </c>
      <c r="G50" s="1064"/>
      <c r="H50" s="97"/>
      <c r="I50" s="946"/>
      <c r="J50" s="97"/>
      <c r="K50" s="946"/>
    </row>
    <row r="51" spans="1:11" ht="15" hidden="1" customHeight="1" x14ac:dyDescent="0.25">
      <c r="A51" s="215">
        <v>43081</v>
      </c>
      <c r="B51" s="349" t="s">
        <v>1396</v>
      </c>
      <c r="C51" s="350" t="s">
        <v>12</v>
      </c>
      <c r="D51" s="350"/>
      <c r="E51" s="757" t="s">
        <v>25</v>
      </c>
      <c r="F51" s="97"/>
      <c r="G51" s="946">
        <v>40</v>
      </c>
      <c r="H51" s="97"/>
      <c r="I51" s="946"/>
      <c r="J51" s="97"/>
      <c r="K51" s="946"/>
    </row>
    <row r="52" spans="1:11" hidden="1" x14ac:dyDescent="0.25">
      <c r="A52" s="215">
        <v>43081</v>
      </c>
      <c r="B52" s="349" t="s">
        <v>32</v>
      </c>
      <c r="C52" s="350" t="s">
        <v>12</v>
      </c>
      <c r="D52" s="350" t="s">
        <v>1485</v>
      </c>
      <c r="E52" s="480" t="s">
        <v>13</v>
      </c>
      <c r="F52" s="97">
        <v>14</v>
      </c>
      <c r="G52" s="946"/>
      <c r="H52" s="97"/>
      <c r="I52" s="946"/>
      <c r="J52" s="97"/>
      <c r="K52" s="946"/>
    </row>
    <row r="53" spans="1:11" s="224" customFormat="1" ht="15" hidden="1" customHeight="1" x14ac:dyDescent="0.25">
      <c r="A53" s="215">
        <v>43081</v>
      </c>
      <c r="B53" s="862" t="s">
        <v>1331</v>
      </c>
      <c r="C53" s="879" t="s">
        <v>19</v>
      </c>
      <c r="D53" s="879" t="s">
        <v>1487</v>
      </c>
      <c r="E53" s="871" t="s">
        <v>13</v>
      </c>
      <c r="F53" s="97">
        <v>78.45</v>
      </c>
      <c r="G53" s="1064"/>
      <c r="H53" s="97"/>
      <c r="I53" s="946"/>
      <c r="J53" s="97"/>
      <c r="K53" s="946"/>
    </row>
    <row r="54" spans="1:11" s="224" customFormat="1" hidden="1" x14ac:dyDescent="0.25">
      <c r="A54" s="215">
        <v>43081</v>
      </c>
      <c r="B54" s="862" t="s">
        <v>1773</v>
      </c>
      <c r="C54" s="879" t="s">
        <v>19</v>
      </c>
      <c r="D54" s="879" t="s">
        <v>1506</v>
      </c>
      <c r="E54" s="871" t="s">
        <v>13</v>
      </c>
      <c r="F54" s="523">
        <v>109.98</v>
      </c>
      <c r="G54" s="946"/>
      <c r="H54" s="97"/>
      <c r="I54" s="1473"/>
      <c r="J54" s="97"/>
      <c r="K54" s="1473"/>
    </row>
    <row r="55" spans="1:11" s="224" customFormat="1" hidden="1" x14ac:dyDescent="0.25">
      <c r="A55" s="215">
        <v>43081</v>
      </c>
      <c r="B55" s="862" t="s">
        <v>1774</v>
      </c>
      <c r="C55" s="879" t="s">
        <v>19</v>
      </c>
      <c r="D55" s="879" t="s">
        <v>1506</v>
      </c>
      <c r="E55" s="871" t="s">
        <v>13</v>
      </c>
      <c r="F55" s="523">
        <v>49.9</v>
      </c>
      <c r="G55" s="946"/>
      <c r="H55" s="97"/>
      <c r="I55" s="1473"/>
      <c r="J55" s="97"/>
      <c r="K55" s="1473"/>
    </row>
    <row r="56" spans="1:11" s="224" customFormat="1" hidden="1" x14ac:dyDescent="0.25">
      <c r="A56" s="215">
        <v>43081</v>
      </c>
      <c r="B56" s="862" t="s">
        <v>1775</v>
      </c>
      <c r="C56" s="879" t="s">
        <v>19</v>
      </c>
      <c r="D56" s="879" t="s">
        <v>1491</v>
      </c>
      <c r="E56" s="871" t="s">
        <v>13</v>
      </c>
      <c r="F56" s="523">
        <v>24.99</v>
      </c>
      <c r="G56" s="946"/>
      <c r="H56" s="97"/>
      <c r="I56" s="1473"/>
      <c r="J56" s="97"/>
      <c r="K56" s="1473"/>
    </row>
    <row r="57" spans="1:11" s="224" customFormat="1" hidden="1" x14ac:dyDescent="0.25">
      <c r="A57" s="215">
        <v>43081</v>
      </c>
      <c r="B57" s="862" t="s">
        <v>14</v>
      </c>
      <c r="C57" s="879" t="s">
        <v>19</v>
      </c>
      <c r="D57" s="879" t="s">
        <v>1486</v>
      </c>
      <c r="E57" s="871" t="s">
        <v>13</v>
      </c>
      <c r="F57" s="523">
        <v>6.9</v>
      </c>
      <c r="G57" s="946"/>
      <c r="H57" s="97"/>
      <c r="I57" s="1473"/>
      <c r="J57" s="97"/>
      <c r="K57" s="1473"/>
    </row>
    <row r="58" spans="1:11" s="224" customFormat="1" hidden="1" x14ac:dyDescent="0.25">
      <c r="A58" s="215">
        <v>43082</v>
      </c>
      <c r="B58" s="349" t="s">
        <v>32</v>
      </c>
      <c r="C58" s="350" t="s">
        <v>12</v>
      </c>
      <c r="D58" s="350" t="s">
        <v>1485</v>
      </c>
      <c r="E58" s="480" t="s">
        <v>13</v>
      </c>
      <c r="F58" s="97">
        <v>14</v>
      </c>
      <c r="G58" s="627"/>
      <c r="H58" s="97"/>
      <c r="I58" s="946"/>
      <c r="J58" s="97"/>
      <c r="K58" s="946"/>
    </row>
    <row r="59" spans="1:11" ht="15" hidden="1" customHeight="1" x14ac:dyDescent="0.25">
      <c r="A59" s="215">
        <v>43083</v>
      </c>
      <c r="B59" s="349" t="s">
        <v>32</v>
      </c>
      <c r="C59" s="350" t="s">
        <v>12</v>
      </c>
      <c r="D59" s="350" t="s">
        <v>1485</v>
      </c>
      <c r="E59" s="480" t="s">
        <v>13</v>
      </c>
      <c r="F59" s="97">
        <v>14</v>
      </c>
      <c r="G59" s="946"/>
      <c r="H59" s="97"/>
      <c r="I59" s="946"/>
      <c r="J59" s="97"/>
      <c r="K59" s="946"/>
    </row>
    <row r="60" spans="1:11" s="224" customFormat="1" ht="15" hidden="1" customHeight="1" x14ac:dyDescent="0.25">
      <c r="A60" s="215">
        <v>43083</v>
      </c>
      <c r="B60" s="862" t="s">
        <v>256</v>
      </c>
      <c r="C60" s="879"/>
      <c r="D60" s="879"/>
      <c r="E60" s="871"/>
      <c r="F60" s="97"/>
      <c r="G60" s="1064">
        <v>200</v>
      </c>
      <c r="H60" s="97">
        <v>200</v>
      </c>
      <c r="I60" s="946"/>
      <c r="J60" s="97"/>
      <c r="K60" s="946"/>
    </row>
    <row r="61" spans="1:11" s="224" customFormat="1" hidden="1" x14ac:dyDescent="0.25">
      <c r="A61" s="215">
        <v>43083</v>
      </c>
      <c r="B61" s="862" t="s">
        <v>1752</v>
      </c>
      <c r="C61" s="879" t="s">
        <v>12</v>
      </c>
      <c r="D61" s="879" t="s">
        <v>1491</v>
      </c>
      <c r="E61" s="871" t="s">
        <v>15</v>
      </c>
      <c r="F61" s="97">
        <v>50</v>
      </c>
      <c r="G61" s="946"/>
      <c r="H61" s="97"/>
      <c r="I61" s="946"/>
      <c r="J61" s="97"/>
      <c r="K61" s="946"/>
    </row>
    <row r="62" spans="1:11" ht="15" hidden="1" customHeight="1" x14ac:dyDescent="0.25">
      <c r="A62" s="215">
        <v>43084</v>
      </c>
      <c r="B62" s="349" t="s">
        <v>32</v>
      </c>
      <c r="C62" s="350" t="s">
        <v>12</v>
      </c>
      <c r="D62" s="350" t="s">
        <v>1485</v>
      </c>
      <c r="E62" s="480" t="s">
        <v>13</v>
      </c>
      <c r="F62" s="97">
        <v>14</v>
      </c>
      <c r="G62" s="946"/>
      <c r="H62" s="97"/>
      <c r="I62" s="946"/>
      <c r="J62" s="97"/>
      <c r="K62" s="946"/>
    </row>
    <row r="63" spans="1:11" s="224" customFormat="1" hidden="1" x14ac:dyDescent="0.25">
      <c r="A63" s="215">
        <v>43084</v>
      </c>
      <c r="B63" s="862" t="s">
        <v>14</v>
      </c>
      <c r="C63" s="350" t="s">
        <v>12</v>
      </c>
      <c r="D63" s="879" t="s">
        <v>1486</v>
      </c>
      <c r="E63" s="871" t="s">
        <v>13</v>
      </c>
      <c r="F63" s="523">
        <v>9.64</v>
      </c>
      <c r="G63" s="946"/>
      <c r="H63" s="97"/>
      <c r="I63" s="946"/>
      <c r="J63" s="97"/>
      <c r="K63" s="946"/>
    </row>
    <row r="64" spans="1:11" s="224" customFormat="1" hidden="1" x14ac:dyDescent="0.25">
      <c r="A64" s="215">
        <v>43085</v>
      </c>
      <c r="B64" s="862" t="s">
        <v>14</v>
      </c>
      <c r="C64" s="350" t="s">
        <v>12</v>
      </c>
      <c r="D64" s="879" t="s">
        <v>1486</v>
      </c>
      <c r="E64" s="871" t="s">
        <v>13</v>
      </c>
      <c r="F64" s="523">
        <v>10.49</v>
      </c>
      <c r="G64" s="946"/>
      <c r="H64" s="97"/>
      <c r="I64" s="946"/>
      <c r="J64" s="97"/>
      <c r="K64" s="946"/>
    </row>
    <row r="65" spans="1:11" s="224" customFormat="1" hidden="1" x14ac:dyDescent="0.25">
      <c r="A65" s="215">
        <v>43085</v>
      </c>
      <c r="B65" s="862" t="s">
        <v>1438</v>
      </c>
      <c r="C65" s="879" t="s">
        <v>12</v>
      </c>
      <c r="D65" s="879" t="s">
        <v>1489</v>
      </c>
      <c r="E65" s="871" t="s">
        <v>13</v>
      </c>
      <c r="F65" s="523">
        <v>59.28</v>
      </c>
      <c r="G65" s="946"/>
      <c r="H65" s="97"/>
      <c r="I65" s="1473"/>
      <c r="J65" s="97"/>
      <c r="K65" s="1473"/>
    </row>
    <row r="66" spans="1:11" ht="15" hidden="1" customHeight="1" x14ac:dyDescent="0.25">
      <c r="A66" s="215">
        <v>43085</v>
      </c>
      <c r="B66" s="349" t="s">
        <v>32</v>
      </c>
      <c r="C66" s="350" t="s">
        <v>12</v>
      </c>
      <c r="D66" s="350" t="s">
        <v>1485</v>
      </c>
      <c r="E66" s="480" t="s">
        <v>13</v>
      </c>
      <c r="F66" s="97">
        <v>16.399999999999999</v>
      </c>
      <c r="G66" s="946"/>
      <c r="H66" s="97"/>
      <c r="I66" s="946"/>
      <c r="J66" s="97"/>
      <c r="K66" s="946"/>
    </row>
    <row r="67" spans="1:11" s="224" customFormat="1" hidden="1" x14ac:dyDescent="0.25">
      <c r="A67" s="215">
        <v>43086</v>
      </c>
      <c r="B67" s="349" t="s">
        <v>1776</v>
      </c>
      <c r="C67" s="350" t="s">
        <v>12</v>
      </c>
      <c r="D67" s="765" t="s">
        <v>1491</v>
      </c>
      <c r="E67" s="778" t="s">
        <v>13</v>
      </c>
      <c r="F67" s="626">
        <v>15</v>
      </c>
      <c r="G67" s="627"/>
      <c r="H67" s="97"/>
      <c r="I67" s="946"/>
      <c r="J67" s="97"/>
      <c r="K67" s="946"/>
    </row>
    <row r="68" spans="1:11" s="224" customFormat="1" hidden="1" x14ac:dyDescent="0.25">
      <c r="A68" s="215">
        <v>43086</v>
      </c>
      <c r="B68" s="349" t="s">
        <v>103</v>
      </c>
      <c r="C68" s="350" t="s">
        <v>12</v>
      </c>
      <c r="D68" s="765" t="s">
        <v>1489</v>
      </c>
      <c r="E68" s="778" t="s">
        <v>13</v>
      </c>
      <c r="F68" s="626">
        <v>9</v>
      </c>
      <c r="G68" s="627"/>
      <c r="H68" s="97"/>
      <c r="I68" s="946"/>
      <c r="J68" s="97"/>
      <c r="K68" s="946"/>
    </row>
    <row r="69" spans="1:11" s="224" customFormat="1" hidden="1" x14ac:dyDescent="0.25">
      <c r="A69" s="215">
        <v>43086</v>
      </c>
      <c r="B69" s="349" t="s">
        <v>17</v>
      </c>
      <c r="C69" s="350" t="s">
        <v>12</v>
      </c>
      <c r="D69" s="765" t="s">
        <v>1493</v>
      </c>
      <c r="E69" s="778" t="s">
        <v>13</v>
      </c>
      <c r="F69" s="626">
        <v>6</v>
      </c>
      <c r="G69" s="627"/>
      <c r="H69" s="97"/>
      <c r="I69" s="946"/>
      <c r="J69" s="97"/>
      <c r="K69" s="946"/>
    </row>
    <row r="70" spans="1:11" s="224" customFormat="1" ht="15" hidden="1" customHeight="1" x14ac:dyDescent="0.25">
      <c r="A70" s="215">
        <v>43086</v>
      </c>
      <c r="B70" s="862" t="s">
        <v>256</v>
      </c>
      <c r="C70" s="879"/>
      <c r="D70" s="879"/>
      <c r="E70" s="871"/>
      <c r="F70" s="97"/>
      <c r="G70" s="1064">
        <v>100</v>
      </c>
      <c r="H70" s="97">
        <v>100</v>
      </c>
      <c r="I70" s="946"/>
      <c r="J70" s="97"/>
      <c r="K70" s="946"/>
    </row>
    <row r="71" spans="1:11" s="224" customFormat="1" hidden="1" x14ac:dyDescent="0.25">
      <c r="A71" s="215">
        <v>43087</v>
      </c>
      <c r="B71" s="349" t="s">
        <v>1777</v>
      </c>
      <c r="C71" s="350" t="s">
        <v>19</v>
      </c>
      <c r="D71" s="350" t="s">
        <v>1491</v>
      </c>
      <c r="E71" s="480" t="s">
        <v>13</v>
      </c>
      <c r="F71" s="97">
        <v>61.49</v>
      </c>
      <c r="G71" s="627"/>
      <c r="H71" s="97"/>
      <c r="I71" s="946"/>
      <c r="J71" s="97"/>
      <c r="K71" s="946"/>
    </row>
    <row r="72" spans="1:11" s="224" customFormat="1" ht="15" hidden="1" customHeight="1" x14ac:dyDescent="0.25">
      <c r="A72" s="215">
        <v>43087</v>
      </c>
      <c r="B72" s="862" t="s">
        <v>256</v>
      </c>
      <c r="C72" s="879"/>
      <c r="D72" s="879"/>
      <c r="E72" s="871"/>
      <c r="F72" s="97"/>
      <c r="G72" s="1064">
        <v>450</v>
      </c>
      <c r="H72" s="97">
        <v>450</v>
      </c>
      <c r="I72" s="946"/>
      <c r="J72" s="97"/>
      <c r="K72" s="946"/>
    </row>
    <row r="73" spans="1:11" s="224" customFormat="1" hidden="1" x14ac:dyDescent="0.25">
      <c r="A73" s="215">
        <v>43088</v>
      </c>
      <c r="B73" s="349" t="s">
        <v>32</v>
      </c>
      <c r="C73" s="350" t="s">
        <v>12</v>
      </c>
      <c r="D73" s="350" t="s">
        <v>1485</v>
      </c>
      <c r="E73" s="480" t="s">
        <v>15</v>
      </c>
      <c r="F73" s="97">
        <v>14</v>
      </c>
      <c r="G73" s="627"/>
      <c r="H73" s="97"/>
      <c r="I73" s="946"/>
      <c r="J73" s="97"/>
      <c r="K73" s="946"/>
    </row>
    <row r="74" spans="1:11" hidden="1" x14ac:dyDescent="0.25">
      <c r="A74" s="215">
        <v>43088</v>
      </c>
      <c r="B74" s="862" t="s">
        <v>1778</v>
      </c>
      <c r="C74" s="879" t="s">
        <v>12</v>
      </c>
      <c r="D74" s="879" t="s">
        <v>1491</v>
      </c>
      <c r="E74" s="871" t="s">
        <v>15</v>
      </c>
      <c r="F74" s="523">
        <v>15</v>
      </c>
      <c r="G74" s="946"/>
      <c r="H74" s="97"/>
      <c r="I74" s="946"/>
      <c r="J74" s="97"/>
      <c r="K74" s="946"/>
    </row>
    <row r="75" spans="1:11" hidden="1" x14ac:dyDescent="0.25">
      <c r="A75" s="215">
        <v>43088</v>
      </c>
      <c r="B75" s="862" t="s">
        <v>1779</v>
      </c>
      <c r="C75" s="879" t="s">
        <v>12</v>
      </c>
      <c r="D75" s="879" t="s">
        <v>1491</v>
      </c>
      <c r="E75" s="871" t="s">
        <v>15</v>
      </c>
      <c r="F75" s="523">
        <v>185</v>
      </c>
      <c r="G75" s="946"/>
      <c r="H75" s="97"/>
      <c r="I75" s="946"/>
      <c r="J75" s="97"/>
      <c r="K75" s="946"/>
    </row>
    <row r="76" spans="1:11" s="224" customFormat="1" ht="15" hidden="1" customHeight="1" x14ac:dyDescent="0.25">
      <c r="A76" s="215">
        <v>43088</v>
      </c>
      <c r="B76" s="862" t="s">
        <v>1780</v>
      </c>
      <c r="C76" s="879" t="s">
        <v>12</v>
      </c>
      <c r="D76" s="879" t="s">
        <v>1493</v>
      </c>
      <c r="E76" s="871" t="s">
        <v>13</v>
      </c>
      <c r="F76" s="97">
        <v>20</v>
      </c>
      <c r="G76" s="1064"/>
      <c r="H76" s="97"/>
      <c r="I76" s="946"/>
      <c r="J76" s="97"/>
      <c r="K76" s="946"/>
    </row>
    <row r="77" spans="1:11" s="224" customFormat="1" ht="15" hidden="1" customHeight="1" x14ac:dyDescent="0.25">
      <c r="A77" s="215">
        <v>43088</v>
      </c>
      <c r="B77" s="862" t="s">
        <v>1331</v>
      </c>
      <c r="C77" s="879" t="s">
        <v>12</v>
      </c>
      <c r="D77" s="879" t="s">
        <v>1487</v>
      </c>
      <c r="E77" s="871" t="s">
        <v>15</v>
      </c>
      <c r="F77" s="97">
        <v>30</v>
      </c>
      <c r="G77" s="1064"/>
      <c r="H77" s="97"/>
      <c r="I77" s="946"/>
      <c r="J77" s="97"/>
      <c r="K77" s="946"/>
    </row>
    <row r="78" spans="1:11" s="224" customFormat="1" hidden="1" x14ac:dyDescent="0.25">
      <c r="A78" s="215">
        <v>43088</v>
      </c>
      <c r="B78" s="873" t="s">
        <v>1564</v>
      </c>
      <c r="C78" s="879" t="s">
        <v>12</v>
      </c>
      <c r="D78" s="350" t="s">
        <v>1491</v>
      </c>
      <c r="E78" s="871" t="s">
        <v>15</v>
      </c>
      <c r="F78" s="97">
        <v>120</v>
      </c>
      <c r="G78" s="946"/>
      <c r="H78" s="97"/>
      <c r="I78" s="946"/>
      <c r="J78" s="97"/>
      <c r="K78" s="946"/>
    </row>
    <row r="79" spans="1:11" hidden="1" x14ac:dyDescent="0.25">
      <c r="A79" s="215">
        <v>43089</v>
      </c>
      <c r="B79" s="349" t="s">
        <v>336</v>
      </c>
      <c r="C79" s="350" t="s">
        <v>12</v>
      </c>
      <c r="D79" s="145"/>
      <c r="E79" s="145" t="s">
        <v>25</v>
      </c>
      <c r="F79" s="1514"/>
      <c r="G79" s="946">
        <v>1351.74</v>
      </c>
      <c r="H79" s="97"/>
      <c r="I79" s="946"/>
      <c r="J79" s="97"/>
      <c r="K79" s="946"/>
    </row>
    <row r="80" spans="1:11" s="224" customFormat="1" ht="15.75" hidden="1" customHeight="1" x14ac:dyDescent="0.25">
      <c r="A80" s="215">
        <v>43089</v>
      </c>
      <c r="B80" s="882" t="s">
        <v>1781</v>
      </c>
      <c r="C80" s="879" t="s">
        <v>12</v>
      </c>
      <c r="D80" s="879" t="s">
        <v>1499</v>
      </c>
      <c r="E80" s="871" t="s">
        <v>13</v>
      </c>
      <c r="F80" s="97">
        <v>48.92</v>
      </c>
      <c r="G80" s="1473"/>
      <c r="H80" s="250"/>
      <c r="I80" s="946"/>
      <c r="J80" s="97"/>
      <c r="K80" s="946"/>
    </row>
    <row r="81" spans="1:11" s="224" customFormat="1" hidden="1" x14ac:dyDescent="0.25">
      <c r="A81" s="215">
        <v>43089</v>
      </c>
      <c r="B81" s="349" t="s">
        <v>32</v>
      </c>
      <c r="C81" s="350" t="s">
        <v>12</v>
      </c>
      <c r="D81" s="350" t="s">
        <v>1485</v>
      </c>
      <c r="E81" s="480" t="s">
        <v>15</v>
      </c>
      <c r="F81" s="97">
        <v>14</v>
      </c>
      <c r="G81" s="627"/>
      <c r="H81" s="97"/>
      <c r="I81" s="946"/>
      <c r="J81" s="97"/>
      <c r="K81" s="946"/>
    </row>
    <row r="82" spans="1:11" s="224" customFormat="1" ht="15" customHeight="1" x14ac:dyDescent="0.25">
      <c r="A82" s="215">
        <v>43089</v>
      </c>
      <c r="B82" s="349" t="s">
        <v>1782</v>
      </c>
      <c r="C82" s="350" t="s">
        <v>19</v>
      </c>
      <c r="D82" s="350" t="s">
        <v>1525</v>
      </c>
      <c r="E82" s="480" t="s">
        <v>13</v>
      </c>
      <c r="F82" s="523">
        <v>500</v>
      </c>
      <c r="G82" s="1064"/>
      <c r="H82" s="97"/>
      <c r="I82" s="946"/>
      <c r="J82" s="97"/>
      <c r="K82" s="946"/>
    </row>
    <row r="83" spans="1:11" s="224" customFormat="1" ht="15" hidden="1" customHeight="1" x14ac:dyDescent="0.25">
      <c r="A83" s="215">
        <v>43090</v>
      </c>
      <c r="B83" s="349" t="s">
        <v>32</v>
      </c>
      <c r="C83" s="350" t="s">
        <v>12</v>
      </c>
      <c r="D83" s="350" t="s">
        <v>1485</v>
      </c>
      <c r="E83" s="480" t="s">
        <v>15</v>
      </c>
      <c r="F83" s="97">
        <v>14</v>
      </c>
      <c r="G83" s="946"/>
      <c r="H83" s="97"/>
      <c r="I83" s="946"/>
      <c r="J83" s="97"/>
      <c r="K83" s="946"/>
    </row>
    <row r="84" spans="1:11" s="224" customFormat="1" ht="15" hidden="1" customHeight="1" x14ac:dyDescent="0.25">
      <c r="A84" s="215">
        <v>43090</v>
      </c>
      <c r="B84" s="349" t="s">
        <v>260</v>
      </c>
      <c r="C84" s="350"/>
      <c r="D84" s="350"/>
      <c r="E84" s="480"/>
      <c r="F84" s="523">
        <v>443.81</v>
      </c>
      <c r="G84" s="1064"/>
      <c r="H84" s="97"/>
      <c r="I84" s="946">
        <v>443.81</v>
      </c>
      <c r="J84" s="97"/>
      <c r="K84" s="946"/>
    </row>
    <row r="85" spans="1:11" s="224" customFormat="1" ht="15" hidden="1" customHeight="1" x14ac:dyDescent="0.25">
      <c r="A85" s="215">
        <v>43090</v>
      </c>
      <c r="B85" s="349" t="s">
        <v>32</v>
      </c>
      <c r="C85" s="350" t="s">
        <v>12</v>
      </c>
      <c r="D85" s="765" t="s">
        <v>1485</v>
      </c>
      <c r="E85" s="778" t="s">
        <v>15</v>
      </c>
      <c r="F85" s="97">
        <v>14</v>
      </c>
      <c r="G85" s="946"/>
      <c r="H85" s="97"/>
      <c r="I85" s="946"/>
      <c r="J85" s="97"/>
      <c r="K85" s="946"/>
    </row>
    <row r="86" spans="1:11" s="224" customFormat="1" ht="15" hidden="1" customHeight="1" x14ac:dyDescent="0.25">
      <c r="A86" s="215">
        <v>43090</v>
      </c>
      <c r="B86" s="349" t="s">
        <v>1056</v>
      </c>
      <c r="C86" s="350" t="s">
        <v>12</v>
      </c>
      <c r="D86" s="765" t="s">
        <v>1523</v>
      </c>
      <c r="E86" s="778" t="s">
        <v>13</v>
      </c>
      <c r="F86" s="97">
        <v>10</v>
      </c>
      <c r="G86" s="946"/>
      <c r="H86" s="97"/>
      <c r="I86" s="946"/>
      <c r="J86" s="97"/>
      <c r="K86" s="946"/>
    </row>
    <row r="87" spans="1:11" s="224" customFormat="1" ht="15" hidden="1" customHeight="1" x14ac:dyDescent="0.25">
      <c r="A87" s="215">
        <v>43090</v>
      </c>
      <c r="B87" s="862" t="s">
        <v>1783</v>
      </c>
      <c r="C87" s="879" t="s">
        <v>12</v>
      </c>
      <c r="D87" s="879" t="s">
        <v>1489</v>
      </c>
      <c r="E87" s="778" t="s">
        <v>15</v>
      </c>
      <c r="F87" s="97">
        <v>7</v>
      </c>
      <c r="G87" s="946"/>
      <c r="H87" s="97"/>
      <c r="I87" s="946"/>
      <c r="J87" s="97"/>
      <c r="K87" s="946"/>
    </row>
    <row r="88" spans="1:11" s="224" customFormat="1" ht="15" hidden="1" customHeight="1" x14ac:dyDescent="0.25">
      <c r="A88" s="215">
        <v>43091</v>
      </c>
      <c r="B88" s="862" t="s">
        <v>1784</v>
      </c>
      <c r="C88" s="879" t="s">
        <v>12</v>
      </c>
      <c r="D88" s="879"/>
      <c r="E88" s="778" t="s">
        <v>25</v>
      </c>
      <c r="F88" s="97"/>
      <c r="G88" s="946">
        <v>4151.6000000000004</v>
      </c>
      <c r="H88" s="97"/>
      <c r="I88" s="946"/>
      <c r="J88" s="97"/>
      <c r="K88" s="946"/>
    </row>
    <row r="89" spans="1:11" s="224" customFormat="1" ht="15" hidden="1" customHeight="1" x14ac:dyDescent="0.25">
      <c r="A89" s="215">
        <v>43091</v>
      </c>
      <c r="B89" s="349" t="s">
        <v>32</v>
      </c>
      <c r="C89" s="350" t="s">
        <v>12</v>
      </c>
      <c r="D89" s="765" t="s">
        <v>1485</v>
      </c>
      <c r="E89" s="778" t="s">
        <v>13</v>
      </c>
      <c r="F89" s="97">
        <v>14</v>
      </c>
      <c r="G89" s="946"/>
      <c r="H89" s="97"/>
      <c r="I89" s="946"/>
      <c r="J89" s="97"/>
      <c r="K89" s="946"/>
    </row>
    <row r="90" spans="1:11" s="224" customFormat="1" ht="15" hidden="1" customHeight="1" x14ac:dyDescent="0.25">
      <c r="A90" s="215">
        <v>43091</v>
      </c>
      <c r="B90" s="349" t="s">
        <v>134</v>
      </c>
      <c r="C90" s="350" t="s">
        <v>12</v>
      </c>
      <c r="D90" s="765" t="s">
        <v>1493</v>
      </c>
      <c r="E90" s="778" t="s">
        <v>13</v>
      </c>
      <c r="F90" s="97">
        <v>7</v>
      </c>
      <c r="G90" s="946"/>
      <c r="H90" s="97"/>
      <c r="I90" s="946"/>
      <c r="J90" s="97"/>
      <c r="K90" s="946"/>
    </row>
    <row r="91" spans="1:11" s="224" customFormat="1" hidden="1" x14ac:dyDescent="0.25">
      <c r="A91" s="215">
        <v>43091</v>
      </c>
      <c r="B91" s="862" t="s">
        <v>14</v>
      </c>
      <c r="C91" s="350" t="s">
        <v>12</v>
      </c>
      <c r="D91" s="879" t="s">
        <v>1486</v>
      </c>
      <c r="E91" s="871" t="s">
        <v>13</v>
      </c>
      <c r="F91" s="523">
        <v>1.84</v>
      </c>
      <c r="G91" s="946"/>
      <c r="H91" s="97"/>
      <c r="I91" s="946"/>
      <c r="J91" s="97"/>
      <c r="K91" s="946"/>
    </row>
    <row r="92" spans="1:11" s="224" customFormat="1" ht="15" hidden="1" customHeight="1" x14ac:dyDescent="0.25">
      <c r="A92" s="215">
        <v>43091</v>
      </c>
      <c r="B92" s="862" t="s">
        <v>1331</v>
      </c>
      <c r="C92" s="879" t="s">
        <v>12</v>
      </c>
      <c r="D92" s="879" t="s">
        <v>1487</v>
      </c>
      <c r="E92" s="871" t="s">
        <v>15</v>
      </c>
      <c r="F92" s="97">
        <v>30</v>
      </c>
      <c r="G92" s="1064"/>
      <c r="H92" s="97"/>
      <c r="I92" s="946"/>
      <c r="J92" s="97"/>
      <c r="K92" s="946"/>
    </row>
    <row r="93" spans="1:11" s="224" customFormat="1" ht="15" hidden="1" customHeight="1" x14ac:dyDescent="0.25">
      <c r="A93" s="215">
        <v>43092</v>
      </c>
      <c r="B93" s="862" t="s">
        <v>1785</v>
      </c>
      <c r="C93" s="879" t="s">
        <v>12</v>
      </c>
      <c r="D93" s="874" t="s">
        <v>1489</v>
      </c>
      <c r="E93" s="875" t="s">
        <v>13</v>
      </c>
      <c r="F93" s="97">
        <v>33.97</v>
      </c>
      <c r="G93" s="1064"/>
      <c r="H93" s="97"/>
      <c r="I93" s="946"/>
      <c r="J93" s="97"/>
      <c r="K93" s="946"/>
    </row>
    <row r="94" spans="1:11" s="224" customFormat="1" ht="15" hidden="1" customHeight="1" x14ac:dyDescent="0.25">
      <c r="A94" s="215">
        <v>43092</v>
      </c>
      <c r="B94" s="349" t="s">
        <v>32</v>
      </c>
      <c r="C94" s="350" t="s">
        <v>12</v>
      </c>
      <c r="D94" s="765" t="s">
        <v>1485</v>
      </c>
      <c r="E94" s="778" t="s">
        <v>13</v>
      </c>
      <c r="F94" s="97">
        <v>14</v>
      </c>
      <c r="G94" s="1064"/>
      <c r="H94" s="97"/>
      <c r="I94" s="946"/>
      <c r="J94" s="97"/>
      <c r="K94" s="946"/>
    </row>
    <row r="95" spans="1:11" s="224" customFormat="1" ht="15" hidden="1" customHeight="1" x14ac:dyDescent="0.25">
      <c r="A95" s="215">
        <v>43092</v>
      </c>
      <c r="B95" s="862" t="s">
        <v>14</v>
      </c>
      <c r="C95" s="350" t="s">
        <v>12</v>
      </c>
      <c r="D95" s="879" t="s">
        <v>1486</v>
      </c>
      <c r="E95" s="871" t="s">
        <v>13</v>
      </c>
      <c r="F95" s="523">
        <v>1.5</v>
      </c>
      <c r="G95" s="1064"/>
      <c r="H95" s="97"/>
      <c r="I95" s="946"/>
      <c r="J95" s="97"/>
      <c r="K95" s="946"/>
    </row>
    <row r="96" spans="1:11" s="224" customFormat="1" ht="15" hidden="1" customHeight="1" x14ac:dyDescent="0.25">
      <c r="A96" s="215">
        <v>43092</v>
      </c>
      <c r="B96" s="862" t="s">
        <v>1414</v>
      </c>
      <c r="C96" s="350" t="s">
        <v>12</v>
      </c>
      <c r="D96" s="879" t="s">
        <v>1522</v>
      </c>
      <c r="E96" s="871" t="s">
        <v>13</v>
      </c>
      <c r="F96" s="523">
        <v>17.5</v>
      </c>
      <c r="G96" s="1064"/>
      <c r="H96" s="97"/>
      <c r="I96" s="946"/>
      <c r="J96" s="97"/>
      <c r="K96" s="946"/>
    </row>
    <row r="97" spans="1:11" s="224" customFormat="1" ht="15" hidden="1" customHeight="1" x14ac:dyDescent="0.25">
      <c r="A97" s="215">
        <v>43092</v>
      </c>
      <c r="B97" s="862" t="s">
        <v>1331</v>
      </c>
      <c r="C97" s="879" t="s">
        <v>12</v>
      </c>
      <c r="D97" s="879" t="s">
        <v>1487</v>
      </c>
      <c r="E97" s="871" t="s">
        <v>15</v>
      </c>
      <c r="F97" s="97">
        <v>50</v>
      </c>
      <c r="G97" s="1064"/>
      <c r="H97" s="97"/>
      <c r="I97" s="946"/>
      <c r="J97" s="97"/>
      <c r="K97" s="946"/>
    </row>
    <row r="98" spans="1:11" s="224" customFormat="1" hidden="1" x14ac:dyDescent="0.25">
      <c r="A98" s="215">
        <v>43093</v>
      </c>
      <c r="B98" s="862" t="s">
        <v>1683</v>
      </c>
      <c r="C98" s="350" t="s">
        <v>12</v>
      </c>
      <c r="D98" s="874" t="s">
        <v>1504</v>
      </c>
      <c r="E98" s="875" t="s">
        <v>13</v>
      </c>
      <c r="F98" s="97">
        <v>60.9</v>
      </c>
      <c r="G98" s="946"/>
      <c r="H98" s="97"/>
      <c r="I98" s="946"/>
      <c r="J98" s="97"/>
      <c r="K98" s="946"/>
    </row>
    <row r="99" spans="1:11" s="224" customFormat="1" ht="15" hidden="1" customHeight="1" x14ac:dyDescent="0.25">
      <c r="A99" s="215">
        <v>43094</v>
      </c>
      <c r="B99" s="862" t="s">
        <v>1689</v>
      </c>
      <c r="C99" s="879" t="s">
        <v>19</v>
      </c>
      <c r="D99" s="879" t="s">
        <v>1491</v>
      </c>
      <c r="E99" s="778" t="s">
        <v>13</v>
      </c>
      <c r="F99" s="97">
        <v>53.8</v>
      </c>
      <c r="G99" s="946"/>
      <c r="H99" s="97"/>
      <c r="I99" s="946"/>
      <c r="J99" s="97"/>
      <c r="K99" s="946"/>
    </row>
    <row r="100" spans="1:11" s="224" customFormat="1" ht="15" hidden="1" customHeight="1" x14ac:dyDescent="0.25">
      <c r="A100" s="215">
        <v>43095</v>
      </c>
      <c r="B100" s="349" t="s">
        <v>147</v>
      </c>
      <c r="C100" s="350" t="s">
        <v>12</v>
      </c>
      <c r="D100" s="765" t="s">
        <v>1506</v>
      </c>
      <c r="E100" s="778" t="s">
        <v>15</v>
      </c>
      <c r="F100" s="97">
        <v>20</v>
      </c>
      <c r="G100" s="946"/>
      <c r="H100" s="97"/>
      <c r="I100" s="946"/>
      <c r="J100" s="97"/>
      <c r="K100" s="946"/>
    </row>
    <row r="101" spans="1:11" s="224" customFormat="1" hidden="1" x14ac:dyDescent="0.25">
      <c r="A101" s="215">
        <v>43095</v>
      </c>
      <c r="B101" s="862" t="s">
        <v>1786</v>
      </c>
      <c r="C101" s="879" t="s">
        <v>12</v>
      </c>
      <c r="D101" s="879" t="s">
        <v>1522</v>
      </c>
      <c r="E101" s="871" t="s">
        <v>15</v>
      </c>
      <c r="F101" s="523">
        <v>350</v>
      </c>
      <c r="G101" s="946"/>
      <c r="H101" s="97"/>
      <c r="I101" s="946"/>
      <c r="J101" s="97"/>
      <c r="K101" s="946"/>
    </row>
    <row r="102" spans="1:11" s="224" customFormat="1" hidden="1" x14ac:dyDescent="0.25">
      <c r="A102" s="215">
        <v>43095</v>
      </c>
      <c r="B102" s="862" t="s">
        <v>1787</v>
      </c>
      <c r="C102" s="879" t="s">
        <v>12</v>
      </c>
      <c r="D102" s="879" t="s">
        <v>1489</v>
      </c>
      <c r="E102" s="871" t="s">
        <v>15</v>
      </c>
      <c r="F102" s="523">
        <v>9.6999999999999993</v>
      </c>
      <c r="G102" s="946"/>
      <c r="H102" s="97"/>
      <c r="I102" s="946"/>
      <c r="J102" s="97"/>
      <c r="K102" s="946"/>
    </row>
    <row r="103" spans="1:11" s="224" customFormat="1" hidden="1" x14ac:dyDescent="0.25">
      <c r="A103" s="215">
        <v>43095</v>
      </c>
      <c r="B103" s="862" t="s">
        <v>1788</v>
      </c>
      <c r="C103" s="879" t="s">
        <v>12</v>
      </c>
      <c r="D103" s="879" t="s">
        <v>1506</v>
      </c>
      <c r="E103" s="871" t="s">
        <v>13</v>
      </c>
      <c r="F103" s="523">
        <v>105.8</v>
      </c>
      <c r="G103" s="946"/>
      <c r="H103" s="97"/>
      <c r="I103" s="946"/>
      <c r="J103" s="97"/>
      <c r="K103" s="946"/>
    </row>
    <row r="104" spans="1:11" s="224" customFormat="1" hidden="1" x14ac:dyDescent="0.25">
      <c r="A104" s="215">
        <v>43095</v>
      </c>
      <c r="B104" s="862" t="s">
        <v>1789</v>
      </c>
      <c r="C104" s="879" t="s">
        <v>12</v>
      </c>
      <c r="D104" s="879" t="s">
        <v>1506</v>
      </c>
      <c r="E104" s="871" t="s">
        <v>13</v>
      </c>
      <c r="F104" s="523">
        <v>70</v>
      </c>
      <c r="G104" s="946"/>
      <c r="H104" s="97"/>
      <c r="I104" s="946"/>
      <c r="J104" s="97"/>
      <c r="K104" s="946"/>
    </row>
    <row r="105" spans="1:11" s="224" customFormat="1" ht="15" hidden="1" customHeight="1" x14ac:dyDescent="0.25">
      <c r="A105" s="215">
        <v>43096</v>
      </c>
      <c r="B105" s="349" t="s">
        <v>32</v>
      </c>
      <c r="C105" s="350" t="s">
        <v>12</v>
      </c>
      <c r="D105" s="802" t="s">
        <v>1485</v>
      </c>
      <c r="E105" s="803" t="s">
        <v>13</v>
      </c>
      <c r="F105" s="804">
        <v>15.9</v>
      </c>
      <c r="G105" s="1523"/>
      <c r="H105" s="804"/>
      <c r="I105" s="946"/>
      <c r="J105" s="97"/>
      <c r="K105" s="946"/>
    </row>
    <row r="106" spans="1:11" s="224" customFormat="1" hidden="1" x14ac:dyDescent="0.25">
      <c r="A106" s="215">
        <v>43096</v>
      </c>
      <c r="B106" s="349" t="s">
        <v>1661</v>
      </c>
      <c r="C106" s="350" t="s">
        <v>12</v>
      </c>
      <c r="D106" s="350"/>
      <c r="E106" s="480" t="s">
        <v>13</v>
      </c>
      <c r="F106" s="97">
        <v>2969.93</v>
      </c>
      <c r="G106" s="1064"/>
      <c r="H106" s="97"/>
      <c r="I106" s="946"/>
      <c r="J106" s="97"/>
      <c r="K106" s="946">
        <v>2969.93</v>
      </c>
    </row>
    <row r="107" spans="1:11" s="224" customFormat="1" ht="15" hidden="1" customHeight="1" x14ac:dyDescent="0.25">
      <c r="A107" s="215">
        <v>43096</v>
      </c>
      <c r="B107" s="862" t="s">
        <v>256</v>
      </c>
      <c r="C107" s="879"/>
      <c r="D107" s="879"/>
      <c r="E107" s="871"/>
      <c r="F107" s="97"/>
      <c r="G107" s="1064">
        <v>400</v>
      </c>
      <c r="H107" s="97">
        <v>400</v>
      </c>
      <c r="I107" s="946"/>
      <c r="J107" s="97"/>
      <c r="K107" s="946"/>
    </row>
    <row r="108" spans="1:11" s="224" customFormat="1" ht="15" hidden="1" customHeight="1" x14ac:dyDescent="0.25">
      <c r="A108" s="215">
        <v>43096</v>
      </c>
      <c r="B108" s="862" t="s">
        <v>1331</v>
      </c>
      <c r="C108" s="879" t="s">
        <v>12</v>
      </c>
      <c r="D108" s="879" t="s">
        <v>1487</v>
      </c>
      <c r="E108" s="871" t="s">
        <v>13</v>
      </c>
      <c r="F108" s="97">
        <v>117.4</v>
      </c>
      <c r="G108" s="1064"/>
      <c r="H108" s="97"/>
      <c r="I108" s="946"/>
      <c r="J108" s="97"/>
      <c r="K108" s="946"/>
    </row>
    <row r="109" spans="1:11" s="224" customFormat="1" ht="15" hidden="1" customHeight="1" x14ac:dyDescent="0.25">
      <c r="A109" s="215">
        <v>43096</v>
      </c>
      <c r="B109" s="862" t="s">
        <v>1790</v>
      </c>
      <c r="C109" s="879" t="s">
        <v>19</v>
      </c>
      <c r="D109" s="879" t="s">
        <v>1489</v>
      </c>
      <c r="E109" s="871" t="s">
        <v>13</v>
      </c>
      <c r="F109" s="97">
        <v>79.48</v>
      </c>
      <c r="G109" s="1064"/>
      <c r="H109" s="97"/>
      <c r="I109" s="946"/>
      <c r="J109" s="97"/>
      <c r="K109" s="946"/>
    </row>
    <row r="110" spans="1:11" s="224" customFormat="1" ht="15" hidden="1" customHeight="1" x14ac:dyDescent="0.25">
      <c r="A110" s="215">
        <v>43096</v>
      </c>
      <c r="B110" s="862" t="s">
        <v>678</v>
      </c>
      <c r="C110" s="879" t="s">
        <v>12</v>
      </c>
      <c r="D110" s="879" t="s">
        <v>1489</v>
      </c>
      <c r="E110" s="871" t="s">
        <v>15</v>
      </c>
      <c r="F110" s="97">
        <v>250</v>
      </c>
      <c r="G110" s="1064"/>
      <c r="H110" s="97"/>
      <c r="I110" s="946"/>
      <c r="J110" s="97"/>
      <c r="K110" s="946"/>
    </row>
    <row r="111" spans="1:11" s="224" customFormat="1" ht="15" hidden="1" customHeight="1" x14ac:dyDescent="0.25">
      <c r="A111" s="215">
        <v>43096</v>
      </c>
      <c r="B111" s="862" t="s">
        <v>14</v>
      </c>
      <c r="C111" s="350" t="s">
        <v>12</v>
      </c>
      <c r="D111" s="879" t="s">
        <v>1486</v>
      </c>
      <c r="E111" s="871" t="s">
        <v>13</v>
      </c>
      <c r="F111" s="523">
        <v>5.74</v>
      </c>
      <c r="G111" s="1064"/>
      <c r="H111" s="97"/>
      <c r="I111" s="946"/>
      <c r="J111" s="97"/>
      <c r="K111" s="946"/>
    </row>
    <row r="112" spans="1:11" s="224" customFormat="1" hidden="1" x14ac:dyDescent="0.25">
      <c r="A112" s="215">
        <v>43097</v>
      </c>
      <c r="B112" s="862" t="s">
        <v>1791</v>
      </c>
      <c r="C112" s="350" t="s">
        <v>12</v>
      </c>
      <c r="D112" s="874" t="s">
        <v>1489</v>
      </c>
      <c r="E112" s="875" t="s">
        <v>13</v>
      </c>
      <c r="F112" s="96">
        <v>9.4</v>
      </c>
      <c r="G112" s="1482"/>
      <c r="H112" s="96"/>
      <c r="I112" s="946"/>
      <c r="J112" s="97"/>
      <c r="K112" s="946"/>
    </row>
    <row r="113" spans="1:12" s="224" customFormat="1" ht="15" hidden="1" customHeight="1" x14ac:dyDescent="0.25">
      <c r="A113" s="215">
        <v>43096</v>
      </c>
      <c r="B113" s="862" t="s">
        <v>1331</v>
      </c>
      <c r="C113" s="879" t="s">
        <v>12</v>
      </c>
      <c r="D113" s="879" t="s">
        <v>1487</v>
      </c>
      <c r="E113" s="871" t="s">
        <v>13</v>
      </c>
      <c r="F113" s="97">
        <v>50</v>
      </c>
      <c r="G113" s="1064"/>
      <c r="H113" s="97"/>
      <c r="I113" s="946"/>
      <c r="J113" s="97"/>
      <c r="K113" s="946"/>
    </row>
    <row r="114" spans="1:12" s="224" customFormat="1" hidden="1" x14ac:dyDescent="0.25">
      <c r="A114" s="215">
        <v>43097</v>
      </c>
      <c r="B114" s="862" t="s">
        <v>1792</v>
      </c>
      <c r="C114" s="350" t="s">
        <v>12</v>
      </c>
      <c r="D114" s="874" t="s">
        <v>1489</v>
      </c>
      <c r="E114" s="875" t="s">
        <v>15</v>
      </c>
      <c r="F114" s="96">
        <v>18.5</v>
      </c>
      <c r="G114" s="1482"/>
      <c r="H114" s="96"/>
      <c r="I114" s="946"/>
      <c r="J114" s="97"/>
      <c r="K114" s="946"/>
    </row>
    <row r="115" spans="1:12" s="224" customFormat="1" hidden="1" x14ac:dyDescent="0.25">
      <c r="A115" s="215">
        <v>43097</v>
      </c>
      <c r="B115" s="862" t="s">
        <v>1793</v>
      </c>
      <c r="C115" s="350" t="s">
        <v>12</v>
      </c>
      <c r="D115" s="874" t="s">
        <v>1525</v>
      </c>
      <c r="E115" s="875" t="s">
        <v>15</v>
      </c>
      <c r="F115" s="96">
        <v>9</v>
      </c>
      <c r="G115" s="1482"/>
      <c r="H115" s="96"/>
      <c r="I115" s="946"/>
      <c r="J115" s="97"/>
      <c r="K115" s="946"/>
    </row>
    <row r="116" spans="1:12" s="224" customFormat="1" ht="15" hidden="1" customHeight="1" x14ac:dyDescent="0.25">
      <c r="A116" s="215">
        <v>43097</v>
      </c>
      <c r="B116" s="349" t="s">
        <v>32</v>
      </c>
      <c r="C116" s="350" t="s">
        <v>12</v>
      </c>
      <c r="D116" s="802" t="s">
        <v>1485</v>
      </c>
      <c r="E116" s="803" t="s">
        <v>13</v>
      </c>
      <c r="F116" s="804">
        <v>25</v>
      </c>
      <c r="G116" s="1523"/>
      <c r="H116" s="804"/>
      <c r="I116" s="946"/>
      <c r="J116" s="97"/>
      <c r="K116" s="946"/>
    </row>
    <row r="117" spans="1:12" s="224" customFormat="1" ht="15" hidden="1" customHeight="1" x14ac:dyDescent="0.25">
      <c r="A117" s="215">
        <v>43097</v>
      </c>
      <c r="B117" s="349" t="s">
        <v>1794</v>
      </c>
      <c r="C117" s="350" t="s">
        <v>12</v>
      </c>
      <c r="D117" s="802" t="s">
        <v>1485</v>
      </c>
      <c r="E117" s="803" t="s">
        <v>13</v>
      </c>
      <c r="F117" s="804">
        <v>18</v>
      </c>
      <c r="G117" s="1523"/>
      <c r="H117" s="804"/>
      <c r="I117" s="946"/>
      <c r="J117" s="97"/>
      <c r="K117" s="946"/>
    </row>
    <row r="118" spans="1:12" s="224" customFormat="1" ht="15" hidden="1" customHeight="1" x14ac:dyDescent="0.25">
      <c r="A118" s="215">
        <v>43097</v>
      </c>
      <c r="B118" s="862" t="s">
        <v>14</v>
      </c>
      <c r="C118" s="350" t="s">
        <v>12</v>
      </c>
      <c r="D118" s="879" t="s">
        <v>1486</v>
      </c>
      <c r="E118" s="871" t="s">
        <v>13</v>
      </c>
      <c r="F118" s="523">
        <v>4.5</v>
      </c>
      <c r="G118" s="1064"/>
      <c r="H118" s="97"/>
      <c r="I118" s="946"/>
      <c r="J118" s="97"/>
      <c r="K118" s="946"/>
    </row>
    <row r="119" spans="1:12" s="224" customFormat="1" ht="15" hidden="1" customHeight="1" x14ac:dyDescent="0.25">
      <c r="A119" s="215">
        <v>43097</v>
      </c>
      <c r="B119" s="349" t="s">
        <v>134</v>
      </c>
      <c r="C119" s="350" t="s">
        <v>12</v>
      </c>
      <c r="D119" s="765" t="s">
        <v>1493</v>
      </c>
      <c r="E119" s="778" t="s">
        <v>13</v>
      </c>
      <c r="F119" s="97">
        <v>20.25</v>
      </c>
      <c r="G119" s="946"/>
      <c r="H119" s="97"/>
      <c r="I119" s="946"/>
      <c r="J119" s="97"/>
      <c r="K119" s="946"/>
    </row>
    <row r="120" spans="1:12" s="224" customFormat="1" hidden="1" x14ac:dyDescent="0.25">
      <c r="A120" s="215">
        <v>43098</v>
      </c>
      <c r="B120" s="862" t="s">
        <v>1710</v>
      </c>
      <c r="C120" s="879" t="s">
        <v>12</v>
      </c>
      <c r="D120" s="879" t="s">
        <v>1504</v>
      </c>
      <c r="E120" s="871" t="s">
        <v>13</v>
      </c>
      <c r="F120" s="97">
        <v>19.899999999999999</v>
      </c>
      <c r="G120" s="946"/>
      <c r="H120" s="97"/>
      <c r="I120" s="1473"/>
      <c r="J120" s="97"/>
      <c r="K120" s="946"/>
    </row>
    <row r="121" spans="1:12" s="224" customFormat="1" ht="15" hidden="1" customHeight="1" x14ac:dyDescent="0.25">
      <c r="A121" s="215">
        <v>43098</v>
      </c>
      <c r="B121" s="349" t="s">
        <v>1795</v>
      </c>
      <c r="C121" s="350" t="s">
        <v>12</v>
      </c>
      <c r="D121" s="350" t="s">
        <v>1493</v>
      </c>
      <c r="E121" s="480" t="s">
        <v>13</v>
      </c>
      <c r="F121" s="97">
        <v>30</v>
      </c>
      <c r="G121" s="946"/>
      <c r="H121" s="97"/>
      <c r="I121" s="946"/>
      <c r="J121" s="97"/>
      <c r="K121" s="946"/>
    </row>
    <row r="122" spans="1:12" s="224" customFormat="1" ht="15" hidden="1" customHeight="1" x14ac:dyDescent="0.25">
      <c r="A122" s="215">
        <v>43099</v>
      </c>
      <c r="B122" s="349" t="s">
        <v>32</v>
      </c>
      <c r="C122" s="350" t="s">
        <v>12</v>
      </c>
      <c r="D122" s="802" t="s">
        <v>1485</v>
      </c>
      <c r="E122" s="803" t="s">
        <v>13</v>
      </c>
      <c r="F122" s="804">
        <v>18</v>
      </c>
      <c r="G122" s="1523"/>
      <c r="H122" s="804"/>
      <c r="I122" s="946"/>
      <c r="J122" s="97"/>
      <c r="K122" s="946"/>
    </row>
    <row r="123" spans="1:12" s="224" customFormat="1" ht="15" hidden="1" customHeight="1" x14ac:dyDescent="0.25">
      <c r="A123" s="215">
        <v>43099</v>
      </c>
      <c r="B123" s="349" t="s">
        <v>17</v>
      </c>
      <c r="C123" s="350" t="s">
        <v>12</v>
      </c>
      <c r="D123" s="765" t="s">
        <v>1493</v>
      </c>
      <c r="E123" s="778" t="s">
        <v>13</v>
      </c>
      <c r="F123" s="97">
        <v>10</v>
      </c>
      <c r="G123" s="946"/>
      <c r="H123" s="97"/>
      <c r="I123" s="946"/>
      <c r="J123" s="97"/>
      <c r="K123" s="946"/>
    </row>
    <row r="124" spans="1:12" s="224" customFormat="1" ht="15" hidden="1" customHeight="1" x14ac:dyDescent="0.25">
      <c r="A124" s="215">
        <v>43100</v>
      </c>
      <c r="B124" s="349" t="s">
        <v>32</v>
      </c>
      <c r="C124" s="350" t="s">
        <v>12</v>
      </c>
      <c r="D124" s="802" t="s">
        <v>1485</v>
      </c>
      <c r="E124" s="803" t="s">
        <v>13</v>
      </c>
      <c r="F124" s="804">
        <v>20.5</v>
      </c>
      <c r="G124" s="946"/>
      <c r="H124" s="97"/>
      <c r="I124" s="946"/>
      <c r="J124" s="97"/>
      <c r="K124" s="946"/>
    </row>
    <row r="125" spans="1:12" s="224" customFormat="1" ht="15" hidden="1" customHeight="1" x14ac:dyDescent="0.25">
      <c r="A125" s="215">
        <v>43100</v>
      </c>
      <c r="B125" s="862" t="s">
        <v>1331</v>
      </c>
      <c r="C125" s="879" t="s">
        <v>12</v>
      </c>
      <c r="D125" s="879" t="s">
        <v>1487</v>
      </c>
      <c r="E125" s="871" t="s">
        <v>13</v>
      </c>
      <c r="F125" s="97">
        <v>90</v>
      </c>
      <c r="G125" s="1064"/>
      <c r="H125" s="97"/>
      <c r="I125" s="946"/>
      <c r="J125" s="97"/>
      <c r="K125" s="946"/>
    </row>
    <row r="126" spans="1:12" s="224" customFormat="1" hidden="1" x14ac:dyDescent="0.25">
      <c r="A126" s="215">
        <v>43100</v>
      </c>
      <c r="B126" s="862" t="s">
        <v>1666</v>
      </c>
      <c r="C126" s="350" t="s">
        <v>12</v>
      </c>
      <c r="D126" s="350"/>
      <c r="E126" s="757" t="s">
        <v>25</v>
      </c>
      <c r="F126" s="97"/>
      <c r="G126" s="946"/>
      <c r="H126" s="97"/>
      <c r="I126" s="946"/>
      <c r="J126" s="97"/>
      <c r="K126" s="946">
        <v>20</v>
      </c>
    </row>
    <row r="127" spans="1:12" s="224" customFormat="1" ht="15" hidden="1" customHeight="1" thickBot="1" x14ac:dyDescent="0.3">
      <c r="A127" s="215">
        <v>43100</v>
      </c>
      <c r="B127" s="349" t="s">
        <v>1796</v>
      </c>
      <c r="C127" s="350" t="s">
        <v>12</v>
      </c>
      <c r="D127" s="350" t="s">
        <v>1523</v>
      </c>
      <c r="E127" s="480" t="s">
        <v>15</v>
      </c>
      <c r="F127" s="97">
        <v>50</v>
      </c>
      <c r="G127" s="946"/>
      <c r="H127" s="97"/>
      <c r="I127" s="946"/>
      <c r="J127" s="97"/>
      <c r="K127" s="946"/>
    </row>
    <row r="128" spans="1:12" ht="25.5" hidden="1" customHeight="1" thickBot="1" x14ac:dyDescent="0.3">
      <c r="A128" s="3060"/>
      <c r="B128" s="3061"/>
      <c r="C128" s="3062"/>
      <c r="D128" s="3062"/>
      <c r="E128" s="3062"/>
      <c r="F128" s="100">
        <f>SUM(F6:F127)</f>
        <v>10058.949999999997</v>
      </c>
      <c r="G128" s="1065">
        <f>SUM(G5:G127)</f>
        <v>10465.290000000008</v>
      </c>
      <c r="H128" s="101">
        <f>SUM(H6:H127)</f>
        <v>1150</v>
      </c>
      <c r="I128" s="93">
        <f>SUM(I5:I127)</f>
        <v>2649.9960000000015</v>
      </c>
      <c r="J128" s="774"/>
      <c r="K128" s="1516"/>
      <c r="L128" s="89"/>
    </row>
    <row r="129" spans="1:11" ht="25.5" hidden="1" customHeight="1" thickBot="1" x14ac:dyDescent="0.3">
      <c r="A129" s="3117" t="s">
        <v>49</v>
      </c>
      <c r="B129" s="3118"/>
      <c r="C129" s="3118"/>
      <c r="D129" s="3118"/>
      <c r="E129" s="3118"/>
      <c r="F129" s="144"/>
      <c r="G129" s="519">
        <f>G128-F128</f>
        <v>406.34000000001106</v>
      </c>
      <c r="H129" s="555"/>
      <c r="I129" s="772">
        <f>I128-H128</f>
        <v>1499.9960000000015</v>
      </c>
      <c r="J129" s="773"/>
      <c r="K129" s="775">
        <f>SUM(K5:K128)</f>
        <v>8440.4499999999989</v>
      </c>
    </row>
    <row r="130" spans="1:11" x14ac:dyDescent="0.25">
      <c r="G130" s="89"/>
      <c r="J130" s="769"/>
      <c r="K130" s="868"/>
    </row>
    <row r="131" spans="1:11" x14ac:dyDescent="0.25">
      <c r="B131" s="79" t="s">
        <v>32</v>
      </c>
      <c r="C131" s="475">
        <v>365.6</v>
      </c>
      <c r="D131" s="85" t="s">
        <v>1485</v>
      </c>
      <c r="J131" s="769"/>
      <c r="K131" s="866"/>
    </row>
    <row r="132" spans="1:11" x14ac:dyDescent="0.25">
      <c r="B132" s="79" t="s">
        <v>1218</v>
      </c>
      <c r="C132" s="475">
        <v>540.85</v>
      </c>
      <c r="D132" s="85" t="s">
        <v>1487</v>
      </c>
      <c r="J132" s="769"/>
      <c r="K132" s="868"/>
    </row>
    <row r="133" spans="1:11" x14ac:dyDescent="0.25">
      <c r="B133" s="79" t="s">
        <v>50</v>
      </c>
      <c r="C133" s="484">
        <v>155.1</v>
      </c>
      <c r="D133" s="85" t="s">
        <v>1493</v>
      </c>
      <c r="J133" s="769"/>
      <c r="K133" s="866"/>
    </row>
    <row r="134" spans="1:11" s="85" customFormat="1" x14ac:dyDescent="0.25">
      <c r="A134" s="79"/>
      <c r="B134" s="79" t="s">
        <v>14</v>
      </c>
      <c r="C134" s="484">
        <v>123.96</v>
      </c>
      <c r="D134" s="85" t="s">
        <v>1486</v>
      </c>
      <c r="J134" s="769"/>
      <c r="K134" s="866"/>
    </row>
    <row r="135" spans="1:11" s="85" customFormat="1" x14ac:dyDescent="0.25">
      <c r="A135" s="79"/>
      <c r="B135" s="79" t="s">
        <v>51</v>
      </c>
      <c r="C135" s="475">
        <v>104.92</v>
      </c>
      <c r="D135" s="864" t="s">
        <v>1499</v>
      </c>
      <c r="E135" s="79"/>
      <c r="F135" s="89"/>
      <c r="G135" s="79"/>
      <c r="H135" s="79"/>
      <c r="I135" s="79"/>
      <c r="J135" s="769"/>
      <c r="K135" s="866"/>
    </row>
    <row r="136" spans="1:11" s="85" customFormat="1" x14ac:dyDescent="0.25">
      <c r="A136" s="79"/>
      <c r="B136" s="79" t="s">
        <v>52</v>
      </c>
      <c r="C136" s="475">
        <v>60</v>
      </c>
      <c r="D136" s="864" t="s">
        <v>1496</v>
      </c>
      <c r="F136" s="89"/>
      <c r="G136" s="79"/>
      <c r="H136" s="79"/>
      <c r="I136" s="79"/>
      <c r="J136" s="769"/>
      <c r="K136" s="866"/>
    </row>
    <row r="137" spans="1:11" s="85" customFormat="1" x14ac:dyDescent="0.25">
      <c r="A137" s="79"/>
      <c r="B137" s="867" t="s">
        <v>53</v>
      </c>
      <c r="C137" s="475">
        <v>412.83</v>
      </c>
      <c r="D137" s="864" t="s">
        <v>1522</v>
      </c>
      <c r="E137" s="89"/>
      <c r="F137" s="89"/>
      <c r="G137" s="79"/>
      <c r="H137" s="79"/>
      <c r="I137" s="79"/>
      <c r="J137" s="769"/>
      <c r="K137" s="866"/>
    </row>
    <row r="138" spans="1:11" s="85" customFormat="1" x14ac:dyDescent="0.25">
      <c r="A138" s="79"/>
      <c r="B138" s="79" t="s">
        <v>1232</v>
      </c>
      <c r="C138" s="475"/>
      <c r="D138" s="864" t="s">
        <v>1515</v>
      </c>
      <c r="F138" s="89"/>
      <c r="G138" s="79"/>
      <c r="H138" s="79"/>
      <c r="I138" s="79"/>
      <c r="J138" s="769"/>
      <c r="K138" s="866"/>
    </row>
    <row r="139" spans="1:11" s="85" customFormat="1" x14ac:dyDescent="0.25">
      <c r="A139" s="79"/>
      <c r="B139" s="79" t="s">
        <v>56</v>
      </c>
      <c r="C139" s="475">
        <v>60</v>
      </c>
      <c r="D139" s="864" t="s">
        <v>1523</v>
      </c>
      <c r="F139" s="89"/>
      <c r="G139" s="79"/>
      <c r="H139" s="79"/>
      <c r="I139" s="79"/>
      <c r="J139" s="769"/>
      <c r="K139" s="868"/>
    </row>
    <row r="140" spans="1:11" s="85" customFormat="1" x14ac:dyDescent="0.25">
      <c r="A140" s="79"/>
      <c r="B140" s="79" t="s">
        <v>1686</v>
      </c>
      <c r="C140" s="475">
        <v>567.59</v>
      </c>
      <c r="D140" s="864" t="s">
        <v>1506</v>
      </c>
      <c r="F140" s="89"/>
      <c r="G140" s="79"/>
      <c r="H140" s="79"/>
      <c r="I140" s="79"/>
      <c r="J140" s="769"/>
      <c r="K140" s="866"/>
    </row>
    <row r="141" spans="1:11" s="85" customFormat="1" x14ac:dyDescent="0.25">
      <c r="A141" s="79"/>
      <c r="B141" s="79" t="s">
        <v>418</v>
      </c>
      <c r="C141" s="475"/>
      <c r="D141" s="85" t="s">
        <v>1524</v>
      </c>
      <c r="E141" s="79"/>
      <c r="F141" s="89"/>
      <c r="J141" s="769"/>
      <c r="K141" s="866"/>
    </row>
    <row r="142" spans="1:11" x14ac:dyDescent="0.25">
      <c r="B142" s="79" t="s">
        <v>419</v>
      </c>
      <c r="C142" s="475">
        <v>668.08</v>
      </c>
      <c r="D142" s="85" t="s">
        <v>1491</v>
      </c>
      <c r="J142" s="769"/>
      <c r="K142" s="868"/>
    </row>
    <row r="143" spans="1:11" x14ac:dyDescent="0.25">
      <c r="B143" s="79" t="s">
        <v>911</v>
      </c>
      <c r="C143" s="475">
        <v>509</v>
      </c>
      <c r="D143" s="85" t="s">
        <v>1525</v>
      </c>
      <c r="J143" s="769"/>
      <c r="K143" s="868"/>
    </row>
    <row r="144" spans="1:11" x14ac:dyDescent="0.25">
      <c r="B144" s="79" t="s">
        <v>1526</v>
      </c>
      <c r="C144" s="475">
        <v>154.80000000000001</v>
      </c>
      <c r="D144" s="85" t="s">
        <v>1504</v>
      </c>
      <c r="E144" s="79"/>
      <c r="J144" s="769"/>
      <c r="K144" s="866"/>
    </row>
    <row r="145" spans="2:12" x14ac:dyDescent="0.25">
      <c r="B145" s="79" t="s">
        <v>1527</v>
      </c>
      <c r="C145" s="475">
        <v>790.66</v>
      </c>
      <c r="D145" s="85" t="s">
        <v>1489</v>
      </c>
      <c r="J145" s="769"/>
      <c r="K145" s="868"/>
    </row>
    <row r="146" spans="2:12" x14ac:dyDescent="0.25">
      <c r="J146" s="769"/>
      <c r="K146" s="866"/>
    </row>
    <row r="147" spans="2:12" x14ac:dyDescent="0.25">
      <c r="H147" s="866"/>
      <c r="J147" s="769"/>
      <c r="K147" s="866"/>
    </row>
    <row r="148" spans="2:12" x14ac:dyDescent="0.25">
      <c r="B148" s="79" t="s">
        <v>486</v>
      </c>
      <c r="C148" s="475">
        <f>H148/J148</f>
        <v>145.14161290322582</v>
      </c>
      <c r="F148" s="224" t="s">
        <v>487</v>
      </c>
      <c r="H148" s="216">
        <v>4499.3900000000003</v>
      </c>
      <c r="I148" s="518" t="s">
        <v>488</v>
      </c>
      <c r="J148" s="1517">
        <v>31</v>
      </c>
      <c r="L148" s="85"/>
    </row>
    <row r="149" spans="2:12" x14ac:dyDescent="0.25">
      <c r="J149" s="769"/>
      <c r="K149" s="866"/>
    </row>
    <row r="150" spans="2:12" x14ac:dyDescent="0.25">
      <c r="J150" s="769"/>
      <c r="K150" s="868"/>
    </row>
    <row r="151" spans="2:12" x14ac:dyDescent="0.25">
      <c r="J151" s="769"/>
      <c r="K151" s="866"/>
    </row>
    <row r="152" spans="2:12" x14ac:dyDescent="0.25">
      <c r="D152" s="79"/>
      <c r="E152" s="79"/>
      <c r="J152" s="769"/>
      <c r="K152" s="866"/>
    </row>
    <row r="153" spans="2:12" x14ac:dyDescent="0.25">
      <c r="J153" s="769"/>
      <c r="K153" s="866"/>
    </row>
    <row r="154" spans="2:12" x14ac:dyDescent="0.25">
      <c r="J154" s="769"/>
      <c r="K154" s="866"/>
    </row>
    <row r="155" spans="2:12" x14ac:dyDescent="0.25">
      <c r="J155" s="769"/>
      <c r="K155" s="866"/>
    </row>
    <row r="156" spans="2:12" x14ac:dyDescent="0.25">
      <c r="C156" s="79"/>
      <c r="D156" s="79"/>
      <c r="E156" s="79"/>
      <c r="F156" s="79"/>
      <c r="I156" s="216"/>
      <c r="J156" s="769"/>
      <c r="K156" s="866"/>
    </row>
    <row r="157" spans="2:12" x14ac:dyDescent="0.25">
      <c r="C157" s="79"/>
      <c r="D157" s="79"/>
      <c r="E157" s="79"/>
      <c r="F157" s="79"/>
      <c r="I157" s="216"/>
      <c r="J157" s="769"/>
      <c r="K157" s="866"/>
    </row>
    <row r="158" spans="2:12" x14ac:dyDescent="0.25">
      <c r="C158" s="79"/>
      <c r="D158" s="79"/>
      <c r="E158" s="79"/>
      <c r="F158" s="79"/>
      <c r="G158" s="216"/>
      <c r="I158" s="216"/>
      <c r="J158" s="769"/>
      <c r="K158" s="868"/>
    </row>
    <row r="159" spans="2:12" x14ac:dyDescent="0.25">
      <c r="C159" s="79"/>
      <c r="D159" s="79"/>
      <c r="E159" s="79"/>
      <c r="F159" s="79"/>
      <c r="G159" s="216"/>
      <c r="I159" s="216"/>
      <c r="J159" s="769"/>
      <c r="K159" s="866"/>
    </row>
    <row r="160" spans="2:12" x14ac:dyDescent="0.25">
      <c r="C160" s="79"/>
      <c r="D160" s="79"/>
      <c r="E160" s="79"/>
      <c r="F160" s="79"/>
      <c r="G160" s="216"/>
      <c r="J160" s="770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J162" s="769"/>
      <c r="K162" s="866"/>
    </row>
    <row r="163" spans="3:11" x14ac:dyDescent="0.25">
      <c r="C163" s="79"/>
      <c r="D163" s="79"/>
      <c r="E163" s="79"/>
      <c r="F163" s="79"/>
      <c r="I163" s="629"/>
      <c r="J163" s="769"/>
      <c r="K163" s="866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C169" s="79"/>
      <c r="D169" s="79"/>
      <c r="E169" s="79"/>
      <c r="F169" s="79"/>
      <c r="I169" s="216"/>
      <c r="J169" s="769"/>
      <c r="K169" s="866"/>
    </row>
    <row r="170" spans="3:11" x14ac:dyDescent="0.25">
      <c r="C170" s="79"/>
      <c r="D170" s="79"/>
      <c r="E170" s="79"/>
      <c r="F170" s="79"/>
      <c r="I170" s="216"/>
      <c r="J170" s="769"/>
      <c r="K170" s="866"/>
    </row>
    <row r="171" spans="3:11" x14ac:dyDescent="0.25">
      <c r="C171" s="79"/>
      <c r="D171" s="79"/>
      <c r="E171" s="79"/>
      <c r="F171" s="79"/>
      <c r="I171" s="216"/>
      <c r="J171" s="769"/>
      <c r="K171" s="866"/>
    </row>
    <row r="172" spans="3:11" x14ac:dyDescent="0.25">
      <c r="C172" s="79"/>
      <c r="D172" s="79"/>
      <c r="E172" s="79"/>
      <c r="F172" s="79"/>
      <c r="I172" s="216"/>
      <c r="J172" s="769"/>
      <c r="K172" s="866"/>
    </row>
    <row r="173" spans="3:11" x14ac:dyDescent="0.25">
      <c r="C173" s="79"/>
      <c r="D173" s="79"/>
      <c r="E173" s="79"/>
      <c r="F173" s="79"/>
      <c r="I173" s="216"/>
      <c r="J173" s="769"/>
      <c r="K173" s="868"/>
    </row>
    <row r="174" spans="3:11" x14ac:dyDescent="0.25">
      <c r="C174" s="79"/>
      <c r="D174" s="79"/>
      <c r="E174" s="79"/>
      <c r="F174" s="79"/>
      <c r="I174" s="216"/>
      <c r="J174" s="769"/>
      <c r="K174" s="868"/>
    </row>
    <row r="175" spans="3:11" x14ac:dyDescent="0.25">
      <c r="C175" s="79"/>
      <c r="D175" s="79"/>
      <c r="E175" s="79"/>
      <c r="F175" s="79"/>
      <c r="I175" s="216"/>
      <c r="J175" s="769"/>
      <c r="K175" s="868"/>
    </row>
    <row r="176" spans="3:11" x14ac:dyDescent="0.25">
      <c r="C176" s="79"/>
      <c r="D176" s="79"/>
      <c r="E176" s="79"/>
      <c r="F176" s="79"/>
      <c r="I176" s="216"/>
      <c r="J176" s="769"/>
      <c r="K176" s="868"/>
    </row>
    <row r="177" spans="3:11" x14ac:dyDescent="0.25">
      <c r="C177" s="79"/>
      <c r="D177" s="79"/>
      <c r="E177" s="79"/>
      <c r="F177" s="79"/>
      <c r="I177" s="216"/>
      <c r="J177" s="769"/>
      <c r="K177" s="868"/>
    </row>
    <row r="178" spans="3:11" x14ac:dyDescent="0.25">
      <c r="J178" s="769"/>
      <c r="K178" s="866"/>
    </row>
    <row r="179" spans="3:11" x14ac:dyDescent="0.25">
      <c r="J179" s="769"/>
      <c r="K179" s="866"/>
    </row>
    <row r="180" spans="3:11" x14ac:dyDescent="0.25">
      <c r="J180" s="769"/>
      <c r="K180" s="868"/>
    </row>
    <row r="181" spans="3:11" x14ac:dyDescent="0.25">
      <c r="J181" s="769"/>
      <c r="K181" s="866"/>
    </row>
    <row r="182" spans="3:11" x14ac:dyDescent="0.25">
      <c r="J182" s="769"/>
      <c r="K182" s="866"/>
    </row>
    <row r="183" spans="3:11" x14ac:dyDescent="0.25">
      <c r="C183" s="79"/>
      <c r="D183" s="79"/>
      <c r="E183" s="79"/>
      <c r="F183" s="79"/>
      <c r="J183" s="769"/>
      <c r="K183" s="868"/>
    </row>
    <row r="184" spans="3:11" x14ac:dyDescent="0.25">
      <c r="C184" s="79"/>
      <c r="D184" s="79"/>
      <c r="E184" s="79"/>
      <c r="F184" s="79"/>
      <c r="J184" s="769"/>
      <c r="K184" s="868"/>
    </row>
    <row r="185" spans="3:11" x14ac:dyDescent="0.25">
      <c r="C185" s="79"/>
      <c r="D185" s="79"/>
      <c r="E185" s="79"/>
      <c r="F185" s="79"/>
      <c r="J185" s="769"/>
      <c r="K185" s="868"/>
    </row>
    <row r="186" spans="3:11" x14ac:dyDescent="0.25">
      <c r="C186" s="79"/>
      <c r="D186" s="79"/>
      <c r="E186" s="79"/>
      <c r="F186" s="79"/>
      <c r="J186" s="769"/>
      <c r="K186" s="868"/>
    </row>
    <row r="187" spans="3:11" x14ac:dyDescent="0.25">
      <c r="C187" s="79"/>
      <c r="D187" s="79"/>
      <c r="E187" s="79"/>
      <c r="F187" s="79"/>
      <c r="J187" s="769"/>
      <c r="K187" s="866"/>
    </row>
    <row r="188" spans="3:11" x14ac:dyDescent="0.25">
      <c r="C188" s="79"/>
      <c r="D188" s="79"/>
      <c r="E188" s="79"/>
      <c r="F188" s="79"/>
      <c r="J188" s="223"/>
      <c r="K188" s="629"/>
    </row>
    <row r="189" spans="3:11" x14ac:dyDescent="0.25">
      <c r="C189" s="79"/>
      <c r="D189" s="79"/>
      <c r="E189" s="79"/>
      <c r="F189" s="79"/>
      <c r="J189" s="756"/>
      <c r="K189" s="756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85"/>
      <c r="K194" s="85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  <c r="J201" s="85"/>
      <c r="K201" s="85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</row>
    <row r="207" spans="3:11" x14ac:dyDescent="0.25">
      <c r="C207" s="79"/>
      <c r="D207" s="79"/>
      <c r="E207" s="79"/>
      <c r="F207" s="79"/>
    </row>
    <row r="208" spans="3:11" x14ac:dyDescent="0.25">
      <c r="C208" s="79"/>
      <c r="D208" s="79"/>
      <c r="E208" s="79"/>
      <c r="F208" s="79"/>
      <c r="J208" s="771"/>
      <c r="K208" s="518"/>
    </row>
    <row r="209" spans="3:11" x14ac:dyDescent="0.25">
      <c r="C209" s="79"/>
      <c r="D209" s="79"/>
      <c r="E209" s="79"/>
      <c r="F209" s="79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1" spans="3:11" x14ac:dyDescent="0.25">
      <c r="C221" s="79"/>
      <c r="D221" s="79"/>
      <c r="E221" s="79"/>
      <c r="F221" s="79"/>
      <c r="K221" s="216"/>
    </row>
    <row r="223" spans="3:11" x14ac:dyDescent="0.25">
      <c r="C223" s="79"/>
      <c r="D223" s="79"/>
      <c r="E223" s="79"/>
      <c r="F223" s="79"/>
      <c r="K223" s="629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  <row r="231" spans="3:11" x14ac:dyDescent="0.25">
      <c r="C231" s="79"/>
      <c r="D231" s="79"/>
      <c r="E231" s="79"/>
      <c r="F231" s="79"/>
      <c r="K231" s="216"/>
    </row>
    <row r="232" spans="3:11" x14ac:dyDescent="0.25">
      <c r="C232" s="79"/>
      <c r="D232" s="79"/>
      <c r="E232" s="79"/>
      <c r="F232" s="79"/>
      <c r="K232" s="216"/>
    </row>
    <row r="233" spans="3:11" x14ac:dyDescent="0.25">
      <c r="C233" s="79"/>
      <c r="D233" s="79"/>
      <c r="E233" s="79"/>
      <c r="F233" s="79"/>
      <c r="K233" s="216"/>
    </row>
    <row r="234" spans="3:11" x14ac:dyDescent="0.25">
      <c r="C234" s="79"/>
      <c r="D234" s="79"/>
      <c r="E234" s="79"/>
      <c r="F234" s="79"/>
      <c r="K234" s="216"/>
    </row>
    <row r="235" spans="3:11" x14ac:dyDescent="0.25">
      <c r="C235" s="79"/>
      <c r="D235" s="79"/>
      <c r="E235" s="79"/>
      <c r="F235" s="79"/>
      <c r="K235" s="216"/>
    </row>
    <row r="236" spans="3:11" x14ac:dyDescent="0.25">
      <c r="C236" s="79"/>
      <c r="D236" s="79"/>
      <c r="E236" s="79"/>
      <c r="F236" s="79"/>
      <c r="K236" s="216"/>
    </row>
    <row r="237" spans="3:11" x14ac:dyDescent="0.25">
      <c r="C237" s="79"/>
      <c r="D237" s="79"/>
      <c r="E237" s="79"/>
      <c r="F237" s="79"/>
      <c r="K237" s="216"/>
    </row>
  </sheetData>
  <autoFilter ref="A2:I129" xr:uid="{00000000-0009-0000-0000-000043000000}">
    <filterColumn colId="1">
      <filters>
        <filter val="Caixa som Lenoxx CA 3600 (900,00 - vendi a minha 400,00 = saiu por 500,00)"/>
      </filters>
    </filterColumn>
  </autoFilter>
  <mergeCells count="12">
    <mergeCell ref="A128:E128"/>
    <mergeCell ref="A129:E12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Plan66"/>
  <dimension ref="A1:Q74"/>
  <sheetViews>
    <sheetView zoomScale="85" zoomScaleNormal="85" workbookViewId="0">
      <selection activeCell="C44" sqref="C44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bestFit="1" customWidth="1"/>
    <col min="9" max="11" width="13.85546875" style="79" bestFit="1" customWidth="1"/>
    <col min="12" max="12" width="14.28515625" style="79" bestFit="1" customWidth="1"/>
    <col min="13" max="13" width="16.42578125" style="79" customWidth="1"/>
    <col min="14" max="14" width="17.7109375" style="79" bestFit="1" customWidth="1"/>
    <col min="15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1797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327.51666666666665</v>
      </c>
      <c r="C3" s="332">
        <f t="shared" ref="C3:C16" si="0">D3+E3+F3+G3+H3+I3+J3+K3+L3+M3+N3+O3</f>
        <v>3930.2</v>
      </c>
      <c r="D3" s="549">
        <f>'Janeiro-17'!C115</f>
        <v>334.35</v>
      </c>
      <c r="E3" s="587">
        <f>'Fevereiro-17'!C111</f>
        <v>300.43</v>
      </c>
      <c r="F3" s="549">
        <f>'Março-17'!C116</f>
        <v>355.5</v>
      </c>
      <c r="G3" s="588">
        <f>'Abril-17'!C108</f>
        <v>276</v>
      </c>
      <c r="H3" s="549">
        <f>'Maio-17'!C117</f>
        <v>316.5</v>
      </c>
      <c r="I3" s="588">
        <f>'Junho-17'!C116</f>
        <v>303.5</v>
      </c>
      <c r="J3" s="588">
        <f>'Julho-17'!C116</f>
        <v>290.5</v>
      </c>
      <c r="K3" s="549">
        <f>'Agosto-17'!C117</f>
        <v>363</v>
      </c>
      <c r="L3" s="588">
        <f>'Setembro-17'!C117</f>
        <v>295</v>
      </c>
      <c r="M3" s="561">
        <f>'Outubro-17'!C130</f>
        <v>337</v>
      </c>
      <c r="N3" s="561">
        <f>'Novembro-17'!C112</f>
        <v>392.82</v>
      </c>
      <c r="O3" s="565">
        <f>'Dezembro-17'!C131</f>
        <v>365.6</v>
      </c>
      <c r="P3" s="329"/>
    </row>
    <row r="4" spans="1:16" x14ac:dyDescent="0.25">
      <c r="A4" s="329" t="s">
        <v>1218</v>
      </c>
      <c r="B4" s="336">
        <f t="shared" ref="B4:B17" si="1">C4/12</f>
        <v>355.01250000000005</v>
      </c>
      <c r="C4" s="332">
        <f t="shared" si="0"/>
        <v>4260.1500000000005</v>
      </c>
      <c r="D4" s="588">
        <f>'Janeiro-17'!C116</f>
        <v>340</v>
      </c>
      <c r="E4" s="587">
        <f>'Fevereiro-17'!C112</f>
        <v>330</v>
      </c>
      <c r="F4" s="549">
        <f>'Março-17'!C117</f>
        <v>360</v>
      </c>
      <c r="G4" s="588">
        <f>'Abril-17'!C109</f>
        <v>330</v>
      </c>
      <c r="H4" s="549">
        <f>'Maio-17'!C118</f>
        <v>380</v>
      </c>
      <c r="I4" s="588">
        <f>'Junho-17'!C117</f>
        <v>340</v>
      </c>
      <c r="J4" s="588">
        <f>'Julho-17'!C117</f>
        <v>240</v>
      </c>
      <c r="K4" s="549">
        <f>'Agosto-17'!C118</f>
        <v>340</v>
      </c>
      <c r="L4" s="588">
        <f>'Setembro-17'!C118</f>
        <v>320</v>
      </c>
      <c r="M4" s="561">
        <f>'Outubro-17'!C131</f>
        <v>423.4</v>
      </c>
      <c r="N4" s="565">
        <f>'Novembro-17'!C113</f>
        <v>315.89999999999998</v>
      </c>
      <c r="O4" s="561">
        <f>'Dezembro-17'!C132</f>
        <v>540.85</v>
      </c>
      <c r="P4" s="329"/>
    </row>
    <row r="5" spans="1:16" x14ac:dyDescent="0.25">
      <c r="A5" s="329" t="s">
        <v>50</v>
      </c>
      <c r="B5" s="336">
        <f t="shared" si="1"/>
        <v>201.79166666666666</v>
      </c>
      <c r="C5" s="332">
        <f t="shared" si="0"/>
        <v>2421.5</v>
      </c>
      <c r="D5" s="549">
        <f>'Janeiro-17'!C117</f>
        <v>278.49</v>
      </c>
      <c r="E5" s="587">
        <f>'Fevereiro-17'!C113</f>
        <v>236.66</v>
      </c>
      <c r="F5" s="588">
        <f>'Março-17'!C118</f>
        <v>177.6</v>
      </c>
      <c r="G5" s="549">
        <f>'Abril-17'!C110</f>
        <v>280.43</v>
      </c>
      <c r="H5" s="588">
        <f>'Maio-17'!C119</f>
        <v>202.08</v>
      </c>
      <c r="I5" s="549">
        <f>'Junho-17'!C118</f>
        <v>230.17</v>
      </c>
      <c r="J5" s="588">
        <f>'Julho-17'!C118</f>
        <v>176.84</v>
      </c>
      <c r="K5" s="588">
        <f>'Agosto-17'!C119</f>
        <v>176.17</v>
      </c>
      <c r="L5" s="549">
        <f>'Setembro-17'!C119</f>
        <v>181.64</v>
      </c>
      <c r="M5" s="561">
        <f>'Outubro-17'!C132</f>
        <v>196.48</v>
      </c>
      <c r="N5" s="565">
        <f>'Novembro-17'!C114</f>
        <v>129.84</v>
      </c>
      <c r="O5" s="561">
        <f>'Dezembro-17'!C133</f>
        <v>155.1</v>
      </c>
      <c r="P5" s="329"/>
    </row>
    <row r="6" spans="1:16" x14ac:dyDescent="0.25">
      <c r="A6" s="329" t="s">
        <v>14</v>
      </c>
      <c r="B6" s="336">
        <f t="shared" si="1"/>
        <v>164.77666666666667</v>
      </c>
      <c r="C6" s="332">
        <f t="shared" si="0"/>
        <v>1977.32</v>
      </c>
      <c r="D6" s="588">
        <f>'Janeiro-17'!C118</f>
        <v>175.08</v>
      </c>
      <c r="E6" s="547">
        <f>'Fevereiro-17'!C114</f>
        <v>179.43</v>
      </c>
      <c r="F6" s="549">
        <f>'Março-17'!C119</f>
        <v>318.19</v>
      </c>
      <c r="G6" s="588">
        <f>'Abril-17'!C111</f>
        <v>171.34</v>
      </c>
      <c r="H6" s="549">
        <f>'Maio-17'!C120</f>
        <v>183.7</v>
      </c>
      <c r="I6" s="588">
        <f>'Junho-17'!C119</f>
        <v>121.83</v>
      </c>
      <c r="J6" s="588">
        <f>'Julho-17'!C119</f>
        <v>110.93</v>
      </c>
      <c r="K6" s="549">
        <f>'Agosto-17'!C120</f>
        <v>158.76</v>
      </c>
      <c r="L6" s="549">
        <f>'Setembro-17'!C120</f>
        <v>191.58</v>
      </c>
      <c r="M6" s="565">
        <f>'Outubro-17'!C133</f>
        <v>138.19</v>
      </c>
      <c r="N6" s="565">
        <f>'Novembro-17'!C115</f>
        <v>104.33</v>
      </c>
      <c r="O6" s="561">
        <f>'Dezembro-17'!C134</f>
        <v>123.96</v>
      </c>
      <c r="P6" s="329"/>
    </row>
    <row r="7" spans="1:16" x14ac:dyDescent="0.25">
      <c r="A7" s="329" t="s">
        <v>358</v>
      </c>
      <c r="B7" s="336">
        <f t="shared" si="1"/>
        <v>101.66833333333335</v>
      </c>
      <c r="C7" s="332">
        <f t="shared" si="0"/>
        <v>1220.0200000000002</v>
      </c>
      <c r="D7" s="549">
        <f>'Janeiro-17'!C119</f>
        <v>143.82</v>
      </c>
      <c r="E7" s="587">
        <f>'Fevereiro-17'!C115</f>
        <v>0</v>
      </c>
      <c r="F7" s="549">
        <f>'Março-17'!C120</f>
        <v>161.15</v>
      </c>
      <c r="G7" s="588">
        <f>'Abril-17'!C112</f>
        <v>44.76</v>
      </c>
      <c r="H7" s="549">
        <f>'Maio-17'!C121</f>
        <v>87.27</v>
      </c>
      <c r="I7" s="549">
        <f>'Junho-17'!C120</f>
        <v>105.96</v>
      </c>
      <c r="J7" s="549">
        <f>'Julho-17'!C120</f>
        <v>145.68</v>
      </c>
      <c r="K7" s="588">
        <f>'Agosto-17'!C121</f>
        <v>109.09</v>
      </c>
      <c r="L7" s="549">
        <f>'Setembro-17'!C121</f>
        <v>113.91</v>
      </c>
      <c r="M7" s="565">
        <f>'Outubro-17'!C134</f>
        <v>101.37</v>
      </c>
      <c r="N7" s="561">
        <f>'Novembro-17'!C116</f>
        <v>102.09</v>
      </c>
      <c r="O7" s="561">
        <f>'Dezembro-17'!C135</f>
        <v>104.92</v>
      </c>
      <c r="P7" s="329"/>
    </row>
    <row r="8" spans="1:16" x14ac:dyDescent="0.25">
      <c r="A8" s="329" t="s">
        <v>52</v>
      </c>
      <c r="B8" s="336">
        <f t="shared" si="1"/>
        <v>75.833333333333329</v>
      </c>
      <c r="C8" s="332">
        <f t="shared" si="0"/>
        <v>910</v>
      </c>
      <c r="D8" s="588">
        <f>'Janeiro-17'!C120</f>
        <v>60</v>
      </c>
      <c r="E8" s="587">
        <f>'Fevereiro-17'!C116</f>
        <v>60</v>
      </c>
      <c r="F8" s="588">
        <f>'Março-17'!C121</f>
        <v>60</v>
      </c>
      <c r="G8" s="588">
        <f>'Abril-17'!C113</f>
        <v>60</v>
      </c>
      <c r="H8" s="549">
        <f>'Maio-17'!C122</f>
        <v>105</v>
      </c>
      <c r="I8" s="588">
        <f>'Junho-17'!C121</f>
        <v>60</v>
      </c>
      <c r="J8" s="549">
        <f>'Julho-17'!C121</f>
        <v>100</v>
      </c>
      <c r="K8" s="549">
        <f>'Agosto-17'!C122</f>
        <v>120</v>
      </c>
      <c r="L8" s="588">
        <f>'Setembro-17'!C122</f>
        <v>60</v>
      </c>
      <c r="M8" s="561">
        <f>'Outubro-17'!C135</f>
        <v>105</v>
      </c>
      <c r="N8" s="565">
        <f>'Novembro-17'!C117</f>
        <v>60</v>
      </c>
      <c r="O8" s="565">
        <f>'Dezembro-17'!C136</f>
        <v>60</v>
      </c>
      <c r="P8" s="329"/>
    </row>
    <row r="9" spans="1:16" x14ac:dyDescent="0.25">
      <c r="A9" s="329" t="s">
        <v>53</v>
      </c>
      <c r="B9" s="336">
        <f t="shared" si="1"/>
        <v>364.7208333333333</v>
      </c>
      <c r="C9" s="332">
        <f t="shared" si="0"/>
        <v>4376.6499999999996</v>
      </c>
      <c r="D9" s="588">
        <f>'Janeiro-17'!C121</f>
        <v>181.67</v>
      </c>
      <c r="E9" s="587">
        <f>'Fevereiro-17'!C117</f>
        <v>181.67</v>
      </c>
      <c r="F9" s="588">
        <f>'Março-17'!C122</f>
        <v>83.17</v>
      </c>
      <c r="G9" s="588">
        <f>'Abril-17'!C114</f>
        <v>40</v>
      </c>
      <c r="H9" s="549">
        <f>'Maio-17'!C123</f>
        <v>519.27</v>
      </c>
      <c r="I9" s="588">
        <f>'Junho-17'!C122</f>
        <v>518</v>
      </c>
      <c r="J9" s="549">
        <f>'Julho-17'!C122</f>
        <v>1345.13</v>
      </c>
      <c r="K9" s="588">
        <f>'Agosto-17'!C123</f>
        <v>0</v>
      </c>
      <c r="L9" s="549">
        <f>'Setembro-17'!C123</f>
        <v>52</v>
      </c>
      <c r="M9" s="561">
        <f>'Outubro-17'!C136</f>
        <v>219</v>
      </c>
      <c r="N9" s="561">
        <f>'Novembro-17'!C118</f>
        <v>823.91</v>
      </c>
      <c r="O9" s="565">
        <f>'Dezembro-17'!C137</f>
        <v>412.83</v>
      </c>
      <c r="P9" s="329"/>
    </row>
    <row r="10" spans="1:16" x14ac:dyDescent="0.25">
      <c r="A10" s="329" t="s">
        <v>1232</v>
      </c>
      <c r="B10" s="336">
        <f t="shared" si="1"/>
        <v>277.7766666666667</v>
      </c>
      <c r="C10" s="332">
        <f t="shared" si="0"/>
        <v>3333.32</v>
      </c>
      <c r="D10" s="588">
        <f>'Janeiro-17'!C122</f>
        <v>568.53</v>
      </c>
      <c r="E10" s="587">
        <f>'Fevereiro-17'!C118</f>
        <v>568.53</v>
      </c>
      <c r="F10" s="549">
        <f>'Março-17'!C123</f>
        <v>2196.2600000000002</v>
      </c>
      <c r="G10" s="588">
        <f>'Abril-17'!C115</f>
        <v>0</v>
      </c>
      <c r="H10" s="588">
        <f>'Maio-17'!C124</f>
        <v>0</v>
      </c>
      <c r="I10" s="588">
        <f>'Junho-17'!C123</f>
        <v>0</v>
      </c>
      <c r="J10" s="588">
        <f>'Julho-17'!C123</f>
        <v>0</v>
      </c>
      <c r="K10" s="588">
        <f>'Agosto-17'!C124</f>
        <v>0</v>
      </c>
      <c r="L10" s="588">
        <f>'Setembro-17'!C124</f>
        <v>0</v>
      </c>
      <c r="M10" s="565">
        <f>'Outubro-17'!C137</f>
        <v>0</v>
      </c>
      <c r="N10" s="565">
        <f>'Novembro-17'!C119</f>
        <v>0</v>
      </c>
      <c r="O10" s="565">
        <f>'Dezembro-17'!C138</f>
        <v>0</v>
      </c>
      <c r="P10" s="329"/>
    </row>
    <row r="11" spans="1:16" x14ac:dyDescent="0.25">
      <c r="A11" s="329" t="s">
        <v>56</v>
      </c>
      <c r="B11" s="336">
        <f t="shared" si="1"/>
        <v>21.149166666666666</v>
      </c>
      <c r="C11" s="332">
        <f t="shared" si="0"/>
        <v>253.79</v>
      </c>
      <c r="D11" s="587">
        <f>'Janeiro-17'!C123</f>
        <v>0</v>
      </c>
      <c r="E11" s="587">
        <f>'Fevereiro-17'!C119</f>
        <v>0</v>
      </c>
      <c r="F11" s="588">
        <f>'Março-17'!C124</f>
        <v>0</v>
      </c>
      <c r="G11" s="561">
        <f>'Abril-17'!C116</f>
        <v>17.5</v>
      </c>
      <c r="H11" s="565">
        <f>'Maio-17'!C125</f>
        <v>0</v>
      </c>
      <c r="I11" s="549">
        <f>'Junho-17'!C124</f>
        <v>18</v>
      </c>
      <c r="J11" s="565">
        <f>'Julho-17'!C124</f>
        <v>0</v>
      </c>
      <c r="K11" s="549">
        <f>'Agosto-17'!C125</f>
        <v>32</v>
      </c>
      <c r="L11" s="549">
        <f>'Setembro-17'!C125</f>
        <v>84</v>
      </c>
      <c r="M11" s="565">
        <f>'Outubro-17'!C138</f>
        <v>42.29</v>
      </c>
      <c r="N11" s="565">
        <f>'Novembro-17'!C120</f>
        <v>0</v>
      </c>
      <c r="O11" s="561">
        <f>'Dezembro-17'!C139</f>
        <v>60</v>
      </c>
      <c r="P11" s="329"/>
    </row>
    <row r="12" spans="1:16" x14ac:dyDescent="0.25">
      <c r="A12" s="329" t="s">
        <v>57</v>
      </c>
      <c r="B12" s="336">
        <f t="shared" si="1"/>
        <v>327.51749999999998</v>
      </c>
      <c r="C12" s="332">
        <f t="shared" si="0"/>
        <v>3930.21</v>
      </c>
      <c r="D12" s="725">
        <f>'Janeiro-17'!C124</f>
        <v>511.93</v>
      </c>
      <c r="E12" s="587">
        <f>'Fevereiro-17'!C120</f>
        <v>199.58</v>
      </c>
      <c r="F12" s="588">
        <f>'Março-17'!C125</f>
        <v>59.78</v>
      </c>
      <c r="G12" s="561">
        <f>'Abril-17'!C117</f>
        <v>921.77</v>
      </c>
      <c r="H12" s="565">
        <f>'Maio-17'!C126</f>
        <v>192.9</v>
      </c>
      <c r="I12" s="549">
        <f>'Junho-17'!C125</f>
        <v>230.79</v>
      </c>
      <c r="J12" s="565">
        <f>'Julho-17'!C125</f>
        <v>90</v>
      </c>
      <c r="K12" s="549">
        <f>'Agosto-17'!C126</f>
        <v>250.28</v>
      </c>
      <c r="L12" s="588">
        <f>'Setembro-17'!C126</f>
        <v>140.72999999999999</v>
      </c>
      <c r="M12" s="561">
        <f>'Outubro-17'!C139</f>
        <v>254.87</v>
      </c>
      <c r="N12" s="561">
        <f>'Novembro-17'!C121</f>
        <v>509.99</v>
      </c>
      <c r="O12" s="561">
        <f>'Dezembro-17'!C140</f>
        <v>567.59</v>
      </c>
    </row>
    <row r="13" spans="1:16" x14ac:dyDescent="0.25">
      <c r="A13" s="329" t="s">
        <v>418</v>
      </c>
      <c r="B13" s="336">
        <f t="shared" si="1"/>
        <v>45</v>
      </c>
      <c r="C13" s="332">
        <f t="shared" si="0"/>
        <v>540</v>
      </c>
      <c r="D13" s="586">
        <f>'Janeiro-17'!C125</f>
        <v>0</v>
      </c>
      <c r="E13" s="587">
        <f>'Fevereiro-17'!C121</f>
        <v>0</v>
      </c>
      <c r="F13" s="549">
        <f>'Março-17'!C126</f>
        <v>67</v>
      </c>
      <c r="G13" s="565">
        <f>'Abril-17'!C118</f>
        <v>46.25</v>
      </c>
      <c r="H13" s="565">
        <f>'Maio-17'!C127</f>
        <v>0</v>
      </c>
      <c r="I13" s="549">
        <f>'Junho-17'!C126</f>
        <v>64.2</v>
      </c>
      <c r="J13" s="561">
        <f>'Julho-17'!C126</f>
        <v>292.64999999999998</v>
      </c>
      <c r="K13" s="588">
        <f>'Agosto-17'!C127</f>
        <v>69.900000000000006</v>
      </c>
      <c r="L13" s="588">
        <f>'Setembro-17'!C127</f>
        <v>0</v>
      </c>
      <c r="M13" s="565">
        <f>'Outubro-17'!C140</f>
        <v>0</v>
      </c>
      <c r="N13" s="565">
        <f>'Novembro-17'!C122</f>
        <v>0</v>
      </c>
      <c r="O13" s="565">
        <f>'Dezembro-17'!C141</f>
        <v>0</v>
      </c>
    </row>
    <row r="14" spans="1:16" x14ac:dyDescent="0.25">
      <c r="A14" s="329" t="s">
        <v>419</v>
      </c>
      <c r="B14" s="336">
        <f t="shared" si="1"/>
        <v>575.77666666666664</v>
      </c>
      <c r="C14" s="332">
        <f t="shared" si="0"/>
        <v>6909.32</v>
      </c>
      <c r="D14" s="586">
        <f>'Janeiro-17'!C126</f>
        <v>711.51</v>
      </c>
      <c r="E14" s="587">
        <f>'Fevereiro-17'!C122</f>
        <v>462.87</v>
      </c>
      <c r="F14" s="549">
        <f>'Março-17'!C127</f>
        <v>697.85</v>
      </c>
      <c r="G14" s="565">
        <f>'Abril-17'!C119</f>
        <v>520.89</v>
      </c>
      <c r="H14" s="565">
        <f>'Maio-17'!C128</f>
        <v>494.19</v>
      </c>
      <c r="I14" s="588">
        <f>'Junho-17'!C127</f>
        <v>486.4</v>
      </c>
      <c r="J14" s="565">
        <f>'Julho-17'!C127</f>
        <v>407.63</v>
      </c>
      <c r="K14" s="588">
        <f>'Agosto-17'!C128</f>
        <v>372.95</v>
      </c>
      <c r="L14" s="549">
        <f>'Setembro-17'!C128</f>
        <v>947.79</v>
      </c>
      <c r="M14" s="565">
        <f>'Outubro-17'!C141</f>
        <v>534.03</v>
      </c>
      <c r="N14" s="561">
        <f>'Novembro-17'!C123</f>
        <v>605.13</v>
      </c>
      <c r="O14" s="561">
        <f>'Dezembro-17'!C142</f>
        <v>668.08</v>
      </c>
    </row>
    <row r="15" spans="1:16" x14ac:dyDescent="0.25">
      <c r="A15" s="329" t="s">
        <v>911</v>
      </c>
      <c r="B15" s="336">
        <f t="shared" si="1"/>
        <v>106.82000000000001</v>
      </c>
      <c r="C15" s="332">
        <f t="shared" si="0"/>
        <v>1281.8400000000001</v>
      </c>
      <c r="D15" s="725">
        <f>'Janeiro-17'!C127</f>
        <v>55.98</v>
      </c>
      <c r="E15" s="587">
        <f>'Fevereiro-17'!C123</f>
        <v>55.98</v>
      </c>
      <c r="F15" s="549">
        <f>'Março-17'!C128</f>
        <v>184.71</v>
      </c>
      <c r="G15" s="565">
        <v>184.71</v>
      </c>
      <c r="H15" s="565">
        <f>'Maio-17'!C129</f>
        <v>128.72999999999999</v>
      </c>
      <c r="I15" s="588">
        <f>'Junho-17'!C128</f>
        <v>128.72999999999999</v>
      </c>
      <c r="J15" s="565">
        <f>'Julho-17'!C128</f>
        <v>0</v>
      </c>
      <c r="K15" s="588">
        <f>'Agosto-17'!C129</f>
        <v>0</v>
      </c>
      <c r="L15" s="588">
        <f>'Setembro-17'!C129</f>
        <v>0</v>
      </c>
      <c r="M15" s="561">
        <f>'Outubro-17'!C142</f>
        <v>34</v>
      </c>
      <c r="N15" s="565">
        <f>'Novembro-17'!C124</f>
        <v>0</v>
      </c>
      <c r="O15" s="561">
        <f>'Dezembro-17'!C143</f>
        <v>509</v>
      </c>
    </row>
    <row r="16" spans="1:16" x14ac:dyDescent="0.25">
      <c r="A16" s="329" t="s">
        <v>1526</v>
      </c>
      <c r="B16" s="336">
        <f t="shared" si="1"/>
        <v>146.59</v>
      </c>
      <c r="C16" s="332">
        <f t="shared" si="0"/>
        <v>1759.08</v>
      </c>
      <c r="D16" s="336">
        <f>'Janeiro-17'!C128</f>
        <v>233.9</v>
      </c>
      <c r="E16" s="338">
        <f>'Fevereiro-17'!C124</f>
        <v>208.9</v>
      </c>
      <c r="F16" s="337">
        <f>'Março-17'!C129</f>
        <v>158.9</v>
      </c>
      <c r="G16" s="388">
        <f>'Abril-17'!C121</f>
        <v>118.9</v>
      </c>
      <c r="H16" s="561">
        <f>'Maio-17'!C130</f>
        <v>125.46</v>
      </c>
      <c r="I16" s="588">
        <f>'Junho-17'!C129</f>
        <v>110.46</v>
      </c>
      <c r="J16" s="388">
        <f>'Julho-17'!C129</f>
        <v>110.46</v>
      </c>
      <c r="K16" s="549">
        <f>'Agosto-17'!C130</f>
        <v>110.9</v>
      </c>
      <c r="L16" s="549">
        <f>'Setembro-17'!C130</f>
        <v>140.80000000000001</v>
      </c>
      <c r="M16" s="561">
        <f>'Outubro-17'!C143</f>
        <v>142.80000000000001</v>
      </c>
      <c r="N16" s="565">
        <f>'Novembro-17'!C125</f>
        <v>142.80000000000001</v>
      </c>
      <c r="O16" s="561">
        <f>'Dezembro-17'!C144</f>
        <v>154.80000000000001</v>
      </c>
    </row>
    <row r="17" spans="1:17" x14ac:dyDescent="0.25">
      <c r="A17" s="329" t="s">
        <v>1527</v>
      </c>
      <c r="B17" s="336">
        <f t="shared" si="1"/>
        <v>395.73250000000002</v>
      </c>
      <c r="C17" s="332">
        <f>D17+E17+F17+G17+H17+I17+J17+K17+L17+M17+N17+O17</f>
        <v>4748.79</v>
      </c>
      <c r="D17" s="336">
        <f>'Janeiro-17'!C129</f>
        <v>236.02</v>
      </c>
      <c r="E17" s="547">
        <f>'Fevereiro-17'!C125</f>
        <v>566.54999999999995</v>
      </c>
      <c r="F17" s="337">
        <f>'Março-17'!C130</f>
        <v>97.38</v>
      </c>
      <c r="G17" s="561">
        <f>'Abril-17'!C122</f>
        <v>281.11</v>
      </c>
      <c r="H17" s="388">
        <f>'Maio-17'!C131</f>
        <v>209.74</v>
      </c>
      <c r="I17" s="549">
        <f>'Junho-17'!C130</f>
        <v>324.75</v>
      </c>
      <c r="J17" s="561">
        <f>'Julho-17'!C130</f>
        <v>428.23</v>
      </c>
      <c r="K17" s="588">
        <f>'Agosto-17'!C131</f>
        <v>343.33</v>
      </c>
      <c r="L17" s="588">
        <f>'Setembro-17'!C131</f>
        <v>190.77</v>
      </c>
      <c r="M17" s="561">
        <f>'Outubro-17'!C144</f>
        <v>1000</v>
      </c>
      <c r="N17" s="565">
        <f>'Novembro-17'!C126</f>
        <v>280.25</v>
      </c>
      <c r="O17" s="561">
        <f>'Dezembro-17'!C145</f>
        <v>790.66</v>
      </c>
    </row>
    <row r="18" spans="1:17" ht="15.75" x14ac:dyDescent="0.25">
      <c r="A18" s="389" t="s">
        <v>361</v>
      </c>
      <c r="B18" s="551">
        <f>SUM(B3:B17)</f>
        <v>3487.6825000000003</v>
      </c>
      <c r="C18" s="552">
        <f>SUM(C3:C17)</f>
        <v>41852.189999999995</v>
      </c>
      <c r="D18" s="391">
        <f>SUM(D3:D17)</f>
        <v>3831.28</v>
      </c>
      <c r="E18" s="391">
        <f t="shared" ref="E18:O18" si="2">SUM(E3:E17)</f>
        <v>3350.6000000000004</v>
      </c>
      <c r="F18" s="391">
        <f t="shared" si="2"/>
        <v>4977.4900000000007</v>
      </c>
      <c r="G18" s="391">
        <f t="shared" si="2"/>
        <v>3293.6600000000003</v>
      </c>
      <c r="H18" s="391">
        <f t="shared" si="2"/>
        <v>2944.84</v>
      </c>
      <c r="I18" s="391">
        <f t="shared" si="2"/>
        <v>3042.79</v>
      </c>
      <c r="J18" s="391">
        <f t="shared" si="2"/>
        <v>3738.05</v>
      </c>
      <c r="K18" s="391">
        <f>SUM(K3:K17)</f>
        <v>2446.3799999999997</v>
      </c>
      <c r="L18" s="391">
        <f t="shared" si="2"/>
        <v>2718.2200000000003</v>
      </c>
      <c r="M18" s="391">
        <f t="shared" si="2"/>
        <v>3528.4300000000003</v>
      </c>
      <c r="N18" s="391">
        <f t="shared" si="2"/>
        <v>3467.0600000000004</v>
      </c>
      <c r="O18" s="391">
        <f t="shared" si="2"/>
        <v>4513.3900000000003</v>
      </c>
    </row>
    <row r="29" spans="1:17" s="200" customFormat="1" ht="17.25" customHeight="1" x14ac:dyDescent="0.3">
      <c r="A29" s="198" t="s">
        <v>362</v>
      </c>
      <c r="B29" s="199">
        <v>3775</v>
      </c>
      <c r="C29" s="196"/>
      <c r="D29" s="196"/>
      <c r="E29" s="196"/>
      <c r="F29" s="196"/>
      <c r="G29" s="196"/>
      <c r="H29" s="196"/>
      <c r="I29" s="196"/>
      <c r="J29" s="196"/>
      <c r="K29" s="196"/>
      <c r="L29" s="196"/>
      <c r="M29" s="196"/>
    </row>
    <row r="30" spans="1:17" s="200" customFormat="1" ht="17.25" customHeight="1" x14ac:dyDescent="0.3">
      <c r="A30" s="198"/>
      <c r="B30" s="199"/>
      <c r="C30" s="196"/>
      <c r="D30" s="196"/>
      <c r="E30" s="196"/>
      <c r="F30" s="196"/>
      <c r="G30" s="196"/>
      <c r="H30" s="196"/>
      <c r="I30" s="196"/>
      <c r="J30" s="196"/>
      <c r="K30" s="196"/>
      <c r="L30" s="196"/>
      <c r="M30" s="196"/>
      <c r="N30" s="196"/>
    </row>
    <row r="31" spans="1:17" ht="15.75" x14ac:dyDescent="0.25">
      <c r="A31" s="197" t="s">
        <v>1798</v>
      </c>
      <c r="B31" s="278" t="s">
        <v>345</v>
      </c>
      <c r="C31" s="193" t="s">
        <v>346</v>
      </c>
      <c r="D31" s="195" t="s">
        <v>347</v>
      </c>
      <c r="E31" s="195" t="s">
        <v>348</v>
      </c>
      <c r="F31" s="195" t="s">
        <v>349</v>
      </c>
      <c r="G31" s="195" t="s">
        <v>364</v>
      </c>
      <c r="H31" s="195" t="s">
        <v>351</v>
      </c>
      <c r="I31" s="195" t="s">
        <v>352</v>
      </c>
      <c r="J31" s="193" t="s">
        <v>353</v>
      </c>
      <c r="K31" s="193" t="s">
        <v>354</v>
      </c>
      <c r="L31" s="193" t="s">
        <v>355</v>
      </c>
      <c r="M31" s="193" t="s">
        <v>365</v>
      </c>
      <c r="N31" s="193" t="s">
        <v>357</v>
      </c>
      <c r="O31" s="193"/>
      <c r="P31" s="193"/>
      <c r="Q31" s="193"/>
    </row>
    <row r="32" spans="1:17" x14ac:dyDescent="0.25">
      <c r="A32" s="79" t="s">
        <v>366</v>
      </c>
      <c r="B32" s="633">
        <f>C32+D32+E32+F32+G32+H32+I32+J32+K32+L32+M32+N32</f>
        <v>16432.789999999997</v>
      </c>
      <c r="C32" s="865">
        <v>1420</v>
      </c>
      <c r="D32" s="865">
        <v>1420</v>
      </c>
      <c r="E32" s="865">
        <v>1510.31</v>
      </c>
      <c r="F32" s="865">
        <v>1510.31</v>
      </c>
      <c r="G32" s="865">
        <v>1510.31</v>
      </c>
      <c r="H32" s="865">
        <v>1510.31</v>
      </c>
      <c r="I32" s="865">
        <v>1510.31</v>
      </c>
      <c r="J32" s="865">
        <v>1510.31</v>
      </c>
      <c r="K32" s="865">
        <v>1510.31</v>
      </c>
      <c r="L32" s="865">
        <v>1510.31</v>
      </c>
      <c r="M32" s="865">
        <v>1510.31</v>
      </c>
      <c r="N32" s="865"/>
      <c r="Q32" s="629"/>
    </row>
    <row r="33" spans="1:17" x14ac:dyDescent="0.25">
      <c r="A33" s="79" t="s">
        <v>367</v>
      </c>
      <c r="B33" s="633">
        <f>C33+D33+E33+J34+F33+G33+H33+I33+J33+K33+L33+M33+N33</f>
        <v>20686.829999999998</v>
      </c>
      <c r="C33" s="865">
        <v>1648.82</v>
      </c>
      <c r="D33" s="865">
        <v>1819.63</v>
      </c>
      <c r="E33" s="177">
        <v>1603.46</v>
      </c>
      <c r="F33" s="865">
        <v>1729.32</v>
      </c>
      <c r="G33" s="865">
        <v>1729.32</v>
      </c>
      <c r="H33" s="865">
        <v>1583.78</v>
      </c>
      <c r="I33" s="865">
        <v>1594.37</v>
      </c>
      <c r="J33" s="865">
        <v>1574.44</v>
      </c>
      <c r="K33" s="865">
        <v>1583.78</v>
      </c>
      <c r="L33" s="865">
        <v>1583.78</v>
      </c>
      <c r="M33" s="865">
        <v>1583.78</v>
      </c>
      <c r="N33" s="865">
        <v>2652.35</v>
      </c>
      <c r="O33" s="216"/>
      <c r="P33" s="216"/>
      <c r="Q33" s="216"/>
    </row>
    <row r="34" spans="1:17" x14ac:dyDescent="0.25">
      <c r="A34" s="79" t="s">
        <v>368</v>
      </c>
      <c r="B34" s="633">
        <f>C34+D34+E34+J35+F34+G34+H34+I34+J34+K34+L34+M34+N34</f>
        <v>4151.6000000000004</v>
      </c>
      <c r="C34" s="865"/>
      <c r="D34" s="865"/>
      <c r="E34" s="865"/>
      <c r="F34" s="865"/>
      <c r="G34" s="865"/>
      <c r="H34" s="865"/>
      <c r="I34" s="865"/>
      <c r="J34" s="865"/>
      <c r="K34" s="865"/>
      <c r="L34" s="800"/>
      <c r="M34" s="800"/>
      <c r="N34" s="800">
        <v>4151.6000000000004</v>
      </c>
      <c r="O34" s="216"/>
      <c r="P34" s="216"/>
      <c r="Q34" s="216"/>
    </row>
    <row r="35" spans="1:17" x14ac:dyDescent="0.25">
      <c r="A35" s="79" t="s">
        <v>369</v>
      </c>
      <c r="B35" s="633">
        <f>C35+D35+E35+J36+F35+G35+H35+I35+J35+K35+L35+M35+N35</f>
        <v>3239.63</v>
      </c>
      <c r="C35" s="865"/>
      <c r="D35" s="865"/>
      <c r="E35" s="865"/>
      <c r="F35" s="865"/>
      <c r="G35" s="865"/>
      <c r="H35" s="865"/>
      <c r="I35" s="865"/>
      <c r="J35" s="865"/>
      <c r="K35" s="865"/>
      <c r="L35" s="800"/>
      <c r="M35" s="866">
        <v>1887.89</v>
      </c>
      <c r="N35" s="800">
        <v>1351.74</v>
      </c>
      <c r="O35" s="216"/>
      <c r="P35" s="216"/>
      <c r="Q35" s="216"/>
    </row>
    <row r="36" spans="1:17" x14ac:dyDescent="0.25">
      <c r="A36" s="79" t="s">
        <v>370</v>
      </c>
      <c r="B36" s="633">
        <f>C36+D36+E36+F36+G36+H36+I36+J36+K36+L36+M36+N36</f>
        <v>0</v>
      </c>
      <c r="C36" s="865"/>
      <c r="D36" s="865"/>
      <c r="E36" s="865"/>
      <c r="F36" s="865"/>
      <c r="G36" s="865"/>
      <c r="H36" s="865"/>
      <c r="I36" s="865"/>
      <c r="J36" s="865"/>
      <c r="K36" s="865"/>
      <c r="L36" s="800"/>
      <c r="M36" s="800"/>
      <c r="N36" s="800"/>
      <c r="O36" s="216"/>
      <c r="P36" s="216"/>
      <c r="Q36" s="216"/>
    </row>
    <row r="37" spans="1:17" ht="15.75" x14ac:dyDescent="0.25">
      <c r="A37" s="280" t="s">
        <v>361</v>
      </c>
      <c r="B37" s="206">
        <f>SUM(B32:B36)</f>
        <v>44510.849999999991</v>
      </c>
      <c r="C37" s="206">
        <f>SUM(C32:C36)</f>
        <v>3068.8199999999997</v>
      </c>
      <c r="D37" s="206">
        <f t="shared" ref="D37:I37" si="3">SUM(D32:D33)</f>
        <v>3239.63</v>
      </c>
      <c r="E37" s="206">
        <f t="shared" si="3"/>
        <v>3113.77</v>
      </c>
      <c r="F37" s="206">
        <f t="shared" si="3"/>
        <v>3239.63</v>
      </c>
      <c r="G37" s="206">
        <f t="shared" si="3"/>
        <v>3239.63</v>
      </c>
      <c r="H37" s="206">
        <f t="shared" si="3"/>
        <v>3094.09</v>
      </c>
      <c r="I37" s="206">
        <f t="shared" si="3"/>
        <v>3104.68</v>
      </c>
      <c r="J37" s="206">
        <f t="shared" ref="J37:L37" si="4">SUM(J32:J33)</f>
        <v>3084.75</v>
      </c>
      <c r="K37" s="206">
        <f t="shared" si="4"/>
        <v>3094.09</v>
      </c>
      <c r="L37" s="206">
        <f t="shared" si="4"/>
        <v>3094.09</v>
      </c>
      <c r="M37" s="206">
        <f>SUM(M32:M36)</f>
        <v>4981.9800000000005</v>
      </c>
      <c r="N37" s="206">
        <f>SUM(N32:N36)</f>
        <v>8155.6900000000005</v>
      </c>
      <c r="O37" s="206"/>
      <c r="P37" s="633"/>
      <c r="Q37" s="633"/>
    </row>
    <row r="38" spans="1:17" ht="15.75" x14ac:dyDescent="0.25">
      <c r="A38" s="280"/>
      <c r="B38" s="206"/>
      <c r="C38" s="206"/>
      <c r="D38" s="206"/>
      <c r="E38" s="206"/>
      <c r="F38" s="206"/>
      <c r="G38" s="206"/>
      <c r="I38" s="206"/>
      <c r="J38" s="206"/>
      <c r="K38" s="206"/>
      <c r="L38" s="206"/>
      <c r="M38" s="206"/>
      <c r="O38" s="216"/>
      <c r="P38" s="216"/>
      <c r="Q38" s="216"/>
    </row>
    <row r="39" spans="1:17" x14ac:dyDescent="0.25">
      <c r="B39" s="206"/>
      <c r="C39" s="865"/>
      <c r="D39" s="865"/>
      <c r="E39" s="865"/>
      <c r="F39" s="865"/>
      <c r="G39" s="865"/>
      <c r="H39" s="865"/>
      <c r="I39" s="865"/>
      <c r="M39" s="216"/>
      <c r="N39" s="206"/>
      <c r="O39" s="216"/>
      <c r="P39" s="216"/>
      <c r="Q39" s="216"/>
    </row>
    <row r="40" spans="1:17" x14ac:dyDescent="0.25">
      <c r="A40" s="81" t="s">
        <v>371</v>
      </c>
      <c r="B40" s="206">
        <f>C40+D40+E40+F40+G40+H40+I40+J40+K40+M40+L40+N40+O40+P40</f>
        <v>3304</v>
      </c>
      <c r="C40" s="177">
        <v>284</v>
      </c>
      <c r="D40" s="177">
        <v>302</v>
      </c>
      <c r="E40" s="177">
        <v>302</v>
      </c>
      <c r="F40" s="177">
        <v>302</v>
      </c>
      <c r="G40" s="177">
        <v>302</v>
      </c>
      <c r="H40" s="177">
        <v>302</v>
      </c>
      <c r="I40" s="177">
        <v>302</v>
      </c>
      <c r="J40" s="177">
        <v>302</v>
      </c>
      <c r="K40" s="177">
        <v>302</v>
      </c>
      <c r="L40" s="177">
        <v>302</v>
      </c>
      <c r="M40" s="177">
        <v>302</v>
      </c>
      <c r="N40" s="216"/>
      <c r="O40" s="216"/>
      <c r="P40" s="216"/>
      <c r="Q40" s="216"/>
    </row>
    <row r="41" spans="1:17" x14ac:dyDescent="0.25">
      <c r="A41" s="81" t="s">
        <v>372</v>
      </c>
      <c r="B41" s="206">
        <f>C41+D41+E41+F41+G41+H41+I41+J41+K41+M41+L41+N41+O41+P41</f>
        <v>402.64</v>
      </c>
      <c r="C41" s="177"/>
      <c r="D41" s="177"/>
      <c r="E41" s="177"/>
      <c r="F41" s="177"/>
      <c r="H41" s="177"/>
      <c r="I41" s="177"/>
      <c r="J41" s="177"/>
      <c r="K41" s="177"/>
      <c r="L41" s="177"/>
      <c r="M41" s="177"/>
      <c r="N41" s="177">
        <v>402.64</v>
      </c>
      <c r="O41" s="216"/>
      <c r="P41" s="216"/>
      <c r="Q41" s="216"/>
    </row>
    <row r="42" spans="1:17" x14ac:dyDescent="0.25">
      <c r="A42" s="81" t="s">
        <v>373</v>
      </c>
      <c r="B42" s="206">
        <f>C42+D42+E42+F42+G42+H42+I42+J42+K42+M42+L42+N42+O42+P42</f>
        <v>302.06119999999999</v>
      </c>
      <c r="C42" s="177"/>
      <c r="D42" s="177"/>
      <c r="E42" s="177"/>
      <c r="F42" s="177"/>
      <c r="G42" s="177"/>
      <c r="H42" s="177"/>
      <c r="I42" s="177"/>
      <c r="J42" s="177"/>
      <c r="K42" s="177"/>
      <c r="L42" s="177"/>
      <c r="M42" s="177">
        <f>M35*8%</f>
        <v>151.03120000000001</v>
      </c>
      <c r="N42" s="177">
        <v>151.03</v>
      </c>
      <c r="O42" s="216"/>
      <c r="P42" s="216"/>
      <c r="Q42" s="216"/>
    </row>
    <row r="43" spans="1:17" ht="15.75" x14ac:dyDescent="0.25">
      <c r="A43" s="280" t="s">
        <v>361</v>
      </c>
      <c r="B43" s="206">
        <f t="shared" ref="B43" si="5">SUM(B40:B42)</f>
        <v>4008.7012</v>
      </c>
      <c r="C43" s="206">
        <f t="shared" ref="C43:N43" si="6">SUM(C40:C42)</f>
        <v>284</v>
      </c>
      <c r="D43" s="206">
        <f t="shared" si="6"/>
        <v>302</v>
      </c>
      <c r="E43" s="206">
        <f t="shared" si="6"/>
        <v>302</v>
      </c>
      <c r="F43" s="206">
        <f t="shared" si="6"/>
        <v>302</v>
      </c>
      <c r="G43" s="206">
        <f t="shared" si="6"/>
        <v>302</v>
      </c>
      <c r="H43" s="206">
        <f t="shared" si="6"/>
        <v>302</v>
      </c>
      <c r="I43" s="206">
        <f t="shared" si="6"/>
        <v>302</v>
      </c>
      <c r="J43" s="206">
        <f t="shared" si="6"/>
        <v>302</v>
      </c>
      <c r="K43" s="206">
        <f t="shared" si="6"/>
        <v>302</v>
      </c>
      <c r="L43" s="206">
        <f t="shared" si="6"/>
        <v>302</v>
      </c>
      <c r="M43" s="206">
        <f t="shared" si="6"/>
        <v>453.03120000000001</v>
      </c>
      <c r="N43" s="633">
        <f t="shared" si="6"/>
        <v>553.66999999999996</v>
      </c>
      <c r="O43" s="633"/>
      <c r="P43" s="633"/>
      <c r="Q43" s="216"/>
    </row>
    <row r="44" spans="1:17" ht="15.75" x14ac:dyDescent="0.25">
      <c r="A44" s="280"/>
      <c r="B44" s="206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6"/>
    </row>
    <row r="45" spans="1:17" x14ac:dyDescent="0.25">
      <c r="A45" s="81"/>
      <c r="B45" s="206"/>
      <c r="C45" s="177"/>
      <c r="D45" s="177"/>
      <c r="E45" s="177"/>
      <c r="F45" s="177"/>
      <c r="G45" s="177"/>
      <c r="H45" s="177"/>
      <c r="I45" s="177"/>
      <c r="J45" s="177"/>
      <c r="K45" s="177"/>
      <c r="L45" s="177"/>
      <c r="M45" s="177"/>
    </row>
    <row r="46" spans="1:17" ht="15.75" x14ac:dyDescent="0.25">
      <c r="A46" s="197" t="s">
        <v>374</v>
      </c>
      <c r="B46" s="278" t="s">
        <v>345</v>
      </c>
      <c r="C46" s="193" t="s">
        <v>346</v>
      </c>
      <c r="D46" s="195" t="s">
        <v>347</v>
      </c>
      <c r="E46" s="195" t="s">
        <v>348</v>
      </c>
      <c r="F46" s="195" t="s">
        <v>349</v>
      </c>
      <c r="G46" s="195" t="s">
        <v>364</v>
      </c>
      <c r="H46" s="195" t="s">
        <v>351</v>
      </c>
      <c r="I46" s="195" t="s">
        <v>352</v>
      </c>
      <c r="J46" s="193" t="s">
        <v>353</v>
      </c>
      <c r="K46" s="193" t="s">
        <v>354</v>
      </c>
      <c r="L46" s="193" t="s">
        <v>355</v>
      </c>
      <c r="M46" s="193" t="s">
        <v>356</v>
      </c>
      <c r="N46" s="193" t="s">
        <v>357</v>
      </c>
      <c r="O46" s="193"/>
    </row>
    <row r="47" spans="1:17" x14ac:dyDescent="0.25">
      <c r="A47" s="79" t="s">
        <v>1214</v>
      </c>
      <c r="B47" s="633">
        <f t="shared" ref="B47:B54" si="7">C47+D47+E47+F47+G47+H47+I47+J47+K47+L47+M47+N47</f>
        <v>4543</v>
      </c>
      <c r="C47" s="865">
        <v>390.5</v>
      </c>
      <c r="D47" s="865">
        <v>415.25</v>
      </c>
      <c r="E47" s="865">
        <v>415.25</v>
      </c>
      <c r="F47" s="865">
        <v>415.25</v>
      </c>
      <c r="G47" s="865">
        <v>415.25</v>
      </c>
      <c r="H47" s="865">
        <v>415.25</v>
      </c>
      <c r="I47" s="865">
        <v>415.25</v>
      </c>
      <c r="J47" s="865">
        <v>415.25</v>
      </c>
      <c r="K47" s="865">
        <v>415.25</v>
      </c>
      <c r="L47" s="865">
        <v>415.25</v>
      </c>
      <c r="M47" s="865">
        <v>415.25</v>
      </c>
      <c r="N47" s="865"/>
    </row>
    <row r="48" spans="1:17" x14ac:dyDescent="0.25">
      <c r="A48" s="79" t="s">
        <v>1215</v>
      </c>
      <c r="B48" s="633">
        <f t="shared" si="7"/>
        <v>553.78</v>
      </c>
      <c r="C48" s="865"/>
      <c r="D48" s="865"/>
      <c r="E48" s="865"/>
      <c r="F48" s="865"/>
      <c r="G48" s="865"/>
      <c r="H48" s="865"/>
      <c r="I48" s="865"/>
      <c r="J48" s="865"/>
      <c r="K48" s="865"/>
      <c r="L48" s="865"/>
      <c r="M48" s="865"/>
      <c r="N48" s="865">
        <v>553.78</v>
      </c>
    </row>
    <row r="49" spans="1:14" x14ac:dyDescent="0.25">
      <c r="A49" s="79" t="s">
        <v>1216</v>
      </c>
      <c r="B49" s="633">
        <f t="shared" si="7"/>
        <v>415.25</v>
      </c>
      <c r="C49" s="865"/>
      <c r="D49" s="865"/>
      <c r="E49" s="865"/>
      <c r="F49" s="865"/>
      <c r="G49" s="865"/>
      <c r="H49" s="865"/>
      <c r="I49" s="865"/>
      <c r="J49" s="865"/>
      <c r="K49" s="865"/>
      <c r="L49" s="865"/>
      <c r="M49" s="865"/>
      <c r="N49" s="865">
        <v>415.25</v>
      </c>
    </row>
    <row r="50" spans="1:14" x14ac:dyDescent="0.25">
      <c r="A50" s="79" t="s">
        <v>1479</v>
      </c>
      <c r="B50" s="633">
        <f t="shared" si="7"/>
        <v>1298.98</v>
      </c>
      <c r="C50" s="865">
        <v>90.68</v>
      </c>
      <c r="D50" s="865">
        <v>120.83</v>
      </c>
      <c r="E50" s="865">
        <v>120.83</v>
      </c>
      <c r="F50" s="865">
        <v>120.83</v>
      </c>
      <c r="G50" s="865">
        <v>120.83</v>
      </c>
      <c r="H50" s="865">
        <v>120.83</v>
      </c>
      <c r="I50" s="865">
        <v>120.83</v>
      </c>
      <c r="J50" s="865">
        <v>120.83</v>
      </c>
      <c r="K50" s="865">
        <v>120.83</v>
      </c>
      <c r="L50" s="865">
        <v>120.83</v>
      </c>
      <c r="M50" s="865">
        <v>120.83</v>
      </c>
      <c r="N50" s="865"/>
    </row>
    <row r="51" spans="1:14" x14ac:dyDescent="0.25">
      <c r="A51" s="79" t="s">
        <v>1480</v>
      </c>
      <c r="B51" s="633">
        <f t="shared" si="7"/>
        <v>329</v>
      </c>
      <c r="C51" s="865"/>
      <c r="D51" s="865"/>
      <c r="E51" s="865"/>
      <c r="F51" s="865"/>
      <c r="G51" s="865"/>
      <c r="H51" s="865"/>
      <c r="I51" s="865"/>
      <c r="J51" s="216"/>
      <c r="K51" s="216"/>
      <c r="L51" s="216"/>
      <c r="M51" s="216"/>
      <c r="N51" s="865">
        <v>329</v>
      </c>
    </row>
    <row r="52" spans="1:14" x14ac:dyDescent="0.25">
      <c r="A52" s="79" t="s">
        <v>1481</v>
      </c>
      <c r="B52" s="633">
        <f t="shared" si="7"/>
        <v>120.83</v>
      </c>
      <c r="C52" s="865"/>
      <c r="D52" s="865"/>
      <c r="E52" s="865"/>
      <c r="F52" s="865"/>
      <c r="G52" s="865"/>
      <c r="H52" s="865"/>
      <c r="I52" s="865"/>
      <c r="J52" s="216"/>
      <c r="K52" s="216"/>
      <c r="L52" s="216"/>
      <c r="M52" s="216"/>
      <c r="N52" s="865">
        <v>120.83</v>
      </c>
    </row>
    <row r="53" spans="1:14" x14ac:dyDescent="0.25">
      <c r="A53" s="79" t="s">
        <v>378</v>
      </c>
      <c r="B53" s="633">
        <f t="shared" si="7"/>
        <v>0</v>
      </c>
      <c r="C53" s="865"/>
      <c r="D53" s="865"/>
      <c r="E53" s="865"/>
      <c r="F53" s="865"/>
      <c r="G53" s="865"/>
      <c r="H53" s="865"/>
      <c r="I53" s="865"/>
      <c r="J53" s="216"/>
      <c r="K53" s="216"/>
      <c r="L53" s="216"/>
      <c r="M53" s="216"/>
      <c r="N53" s="216"/>
    </row>
    <row r="54" spans="1:14" x14ac:dyDescent="0.25">
      <c r="A54" s="79" t="s">
        <v>379</v>
      </c>
      <c r="B54" s="633">
        <f t="shared" si="7"/>
        <v>125.83</v>
      </c>
      <c r="C54" s="865"/>
      <c r="D54" s="865"/>
      <c r="E54" s="865">
        <v>125.83</v>
      </c>
      <c r="F54" s="865"/>
      <c r="G54" s="865"/>
      <c r="H54" s="865"/>
      <c r="I54" s="865"/>
      <c r="J54" s="216"/>
      <c r="K54" s="216"/>
      <c r="L54" s="216"/>
      <c r="M54" s="216"/>
      <c r="N54" s="216"/>
    </row>
    <row r="55" spans="1:14" ht="15.75" x14ac:dyDescent="0.25">
      <c r="A55" s="280" t="s">
        <v>361</v>
      </c>
      <c r="B55" s="206">
        <f>SUM(B47:B54)</f>
        <v>7386.67</v>
      </c>
      <c r="C55" s="865"/>
      <c r="D55" s="865"/>
      <c r="E55" s="865"/>
      <c r="F55" s="865"/>
      <c r="G55" s="865"/>
      <c r="H55" s="865"/>
      <c r="I55" s="865"/>
    </row>
    <row r="56" spans="1:14" x14ac:dyDescent="0.25">
      <c r="B56" s="194"/>
      <c r="C56" s="865"/>
      <c r="D56" s="865"/>
      <c r="E56" s="865"/>
      <c r="F56" s="865"/>
      <c r="G56" s="865"/>
      <c r="H56" s="865"/>
      <c r="I56" s="865"/>
    </row>
    <row r="57" spans="1:14" ht="18.75" x14ac:dyDescent="0.3">
      <c r="A57" s="353" t="s">
        <v>380</v>
      </c>
      <c r="B57" s="200" t="s">
        <v>381</v>
      </c>
      <c r="C57" s="354" t="s">
        <v>382</v>
      </c>
      <c r="D57" s="355" t="s">
        <v>383</v>
      </c>
    </row>
    <row r="58" spans="1:14" ht="18.75" x14ac:dyDescent="0.3">
      <c r="A58" s="353">
        <f>'Programação Pagtos.'!B10</f>
        <v>5422.7419999999993</v>
      </c>
      <c r="B58" s="79" t="s">
        <v>32</v>
      </c>
      <c r="C58" s="177">
        <f t="shared" ref="C58:C63" si="8">B3</f>
        <v>327.51666666666665</v>
      </c>
      <c r="D58" s="222">
        <f>C58/A58</f>
        <v>6.0396874250456076E-2</v>
      </c>
      <c r="F58" s="801"/>
      <c r="G58" s="629"/>
    </row>
    <row r="59" spans="1:14" x14ac:dyDescent="0.25">
      <c r="B59" s="79" t="s">
        <v>16</v>
      </c>
      <c r="C59" s="177">
        <f t="shared" si="8"/>
        <v>355.01250000000005</v>
      </c>
      <c r="D59" s="222">
        <f>C59/A58</f>
        <v>6.5467341061035189E-2</v>
      </c>
      <c r="E59" s="177"/>
      <c r="F59" s="801"/>
      <c r="G59" s="629"/>
    </row>
    <row r="60" spans="1:14" x14ac:dyDescent="0.25">
      <c r="B60" s="79" t="s">
        <v>50</v>
      </c>
      <c r="C60" s="177">
        <f t="shared" si="8"/>
        <v>201.79166666666666</v>
      </c>
      <c r="D60" s="222">
        <f>C60/A58</f>
        <v>3.7212109052333062E-2</v>
      </c>
      <c r="E60" s="177"/>
      <c r="F60" s="801"/>
      <c r="G60" s="629"/>
    </row>
    <row r="61" spans="1:14" x14ac:dyDescent="0.25">
      <c r="B61" s="79" t="s">
        <v>14</v>
      </c>
      <c r="C61" s="177">
        <f t="shared" si="8"/>
        <v>164.77666666666667</v>
      </c>
      <c r="D61" s="222">
        <f>C61/A58</f>
        <v>3.038622650066455E-2</v>
      </c>
      <c r="E61" s="177"/>
      <c r="F61" s="801"/>
      <c r="G61" s="629"/>
    </row>
    <row r="62" spans="1:14" x14ac:dyDescent="0.25">
      <c r="B62" s="79" t="s">
        <v>358</v>
      </c>
      <c r="C62" s="177">
        <f t="shared" si="8"/>
        <v>101.66833333333335</v>
      </c>
      <c r="D62" s="222">
        <f>C62/A58</f>
        <v>1.8748510132573771E-2</v>
      </c>
      <c r="E62" s="177"/>
      <c r="F62" s="801"/>
      <c r="G62" s="629"/>
    </row>
    <row r="63" spans="1:14" x14ac:dyDescent="0.25">
      <c r="B63" s="79" t="s">
        <v>52</v>
      </c>
      <c r="C63" s="863">
        <f t="shared" si="8"/>
        <v>75.833333333333329</v>
      </c>
      <c r="D63" s="222">
        <f>C63/A58</f>
        <v>1.3984315192080564E-2</v>
      </c>
      <c r="E63" s="177"/>
      <c r="F63" s="801"/>
      <c r="G63" s="629"/>
    </row>
    <row r="64" spans="1:14" x14ac:dyDescent="0.25">
      <c r="B64" s="79" t="s">
        <v>53</v>
      </c>
      <c r="C64" s="863">
        <f xml:space="preserve"> B9</f>
        <v>364.7208333333333</v>
      </c>
      <c r="D64" s="222">
        <f>C64/A58</f>
        <v>6.7257640753208128E-2</v>
      </c>
      <c r="E64" s="177"/>
      <c r="F64" s="801"/>
      <c r="G64" s="629"/>
    </row>
    <row r="65" spans="2:7" x14ac:dyDescent="0.25">
      <c r="B65" s="79" t="s">
        <v>1482</v>
      </c>
      <c r="C65" s="1509">
        <f t="shared" ref="C65:C72" si="9">B10</f>
        <v>277.7766666666667</v>
      </c>
      <c r="D65" s="222">
        <f>C65/A58</f>
        <v>5.122439287479779E-2</v>
      </c>
      <c r="E65" s="177"/>
      <c r="F65" s="801"/>
      <c r="G65" s="629"/>
    </row>
    <row r="66" spans="2:7" x14ac:dyDescent="0.25">
      <c r="B66" s="79" t="s">
        <v>56</v>
      </c>
      <c r="C66" s="863">
        <f t="shared" si="9"/>
        <v>21.149166666666666</v>
      </c>
      <c r="D66" s="222">
        <f>C66/A58</f>
        <v>3.9000872006572816E-3</v>
      </c>
      <c r="E66" s="177"/>
      <c r="F66" s="801"/>
      <c r="G66" s="629"/>
    </row>
    <row r="67" spans="2:7" x14ac:dyDescent="0.25">
      <c r="B67" s="79" t="s">
        <v>57</v>
      </c>
      <c r="C67" s="863">
        <f t="shared" si="9"/>
        <v>327.51749999999998</v>
      </c>
      <c r="D67" s="222">
        <f>C67/A58</f>
        <v>6.0397027924249398E-2</v>
      </c>
      <c r="E67" s="177"/>
      <c r="F67" s="801"/>
      <c r="G67" s="629"/>
    </row>
    <row r="68" spans="2:7" ht="14.25" customHeight="1" x14ac:dyDescent="0.25">
      <c r="B68" s="79" t="s">
        <v>418</v>
      </c>
      <c r="C68" s="863">
        <f t="shared" si="9"/>
        <v>45</v>
      </c>
      <c r="D68" s="222">
        <f>C68/A58</f>
        <v>8.2983848392565989E-3</v>
      </c>
      <c r="F68" s="801"/>
      <c r="G68" s="629"/>
    </row>
    <row r="69" spans="2:7" x14ac:dyDescent="0.25">
      <c r="B69" s="79" t="s">
        <v>419</v>
      </c>
      <c r="C69" s="177">
        <f t="shared" si="9"/>
        <v>575.77666666666664</v>
      </c>
      <c r="D69" s="222">
        <f>C69/A58</f>
        <v>0.10617814136587482</v>
      </c>
      <c r="F69" s="801"/>
      <c r="G69" s="629"/>
    </row>
    <row r="70" spans="2:7" x14ac:dyDescent="0.25">
      <c r="B70" s="79" t="s">
        <v>911</v>
      </c>
      <c r="C70" s="1509">
        <f t="shared" si="9"/>
        <v>106.82000000000001</v>
      </c>
      <c r="D70" s="222">
        <f>C70/A58</f>
        <v>1.969852152287533E-2</v>
      </c>
      <c r="F70" s="801"/>
    </row>
    <row r="71" spans="2:7" x14ac:dyDescent="0.25">
      <c r="B71" s="79" t="s">
        <v>1526</v>
      </c>
      <c r="C71" s="1509">
        <f t="shared" si="9"/>
        <v>146.59</v>
      </c>
      <c r="D71" s="222">
        <f>C71/A58</f>
        <v>2.7032449635258329E-2</v>
      </c>
    </row>
    <row r="72" spans="2:7" x14ac:dyDescent="0.25">
      <c r="B72" s="79" t="s">
        <v>1799</v>
      </c>
      <c r="C72" s="1509">
        <f t="shared" si="9"/>
        <v>395.73250000000002</v>
      </c>
      <c r="D72" s="222">
        <f>C72/A58</f>
        <v>7.2976457297802486E-2</v>
      </c>
      <c r="E72" s="85" t="s">
        <v>280</v>
      </c>
    </row>
    <row r="74" spans="2:7" ht="18.75" x14ac:dyDescent="0.3">
      <c r="B74" s="200" t="s">
        <v>388</v>
      </c>
      <c r="C74" s="623">
        <f>SUM(C58:C72)</f>
        <v>3487.6825000000003</v>
      </c>
      <c r="D74" s="624">
        <f>SUM(D58:D72)</f>
        <v>0.64315847960312333</v>
      </c>
    </row>
  </sheetData>
  <sortState xmlns:xlrd2="http://schemas.microsoft.com/office/spreadsheetml/2017/richdata2" ref="F58:G69">
    <sortCondition ref="F58:F69"/>
  </sortState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Plan81" filterMode="1"/>
  <dimension ref="A1:N223"/>
  <sheetViews>
    <sheetView zoomScale="85" zoomScaleNormal="85" workbookViewId="0">
      <pane ySplit="4" topLeftCell="A5" activePane="bottomLeft" state="frozen"/>
      <selection activeCell="C44" sqref="C44"/>
      <selection pane="bottomLeft" activeCell="F51" sqref="A1:O22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1800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43101</v>
      </c>
      <c r="B5" s="369" t="s">
        <v>10</v>
      </c>
      <c r="C5" s="370"/>
      <c r="D5" s="370"/>
      <c r="E5" s="777"/>
      <c r="F5" s="179"/>
      <c r="G5" s="933">
        <f>'Dezembro-17'!G129</f>
        <v>406.34000000001106</v>
      </c>
      <c r="H5" s="179"/>
      <c r="I5" s="933">
        <f>'Dezembro-17'!I129</f>
        <v>1499.9960000000015</v>
      </c>
      <c r="J5" s="179"/>
      <c r="K5" s="933">
        <f>'Dezembro-17'!K129</f>
        <v>8440.4499999999989</v>
      </c>
    </row>
    <row r="6" spans="1:11" s="224" customFormat="1" hidden="1" x14ac:dyDescent="0.25">
      <c r="A6" s="215">
        <v>43101</v>
      </c>
      <c r="B6" s="348" t="s">
        <v>11</v>
      </c>
      <c r="C6" s="351"/>
      <c r="D6" s="351"/>
      <c r="E6" s="673"/>
      <c r="F6" s="250">
        <v>20</v>
      </c>
      <c r="G6" s="1473"/>
      <c r="H6" s="250"/>
      <c r="I6" s="1473"/>
      <c r="J6" s="250"/>
      <c r="K6" s="1473"/>
    </row>
    <row r="7" spans="1:11" s="224" customFormat="1" hidden="1" x14ac:dyDescent="0.25">
      <c r="A7" s="215">
        <v>43101</v>
      </c>
      <c r="B7" s="862" t="s">
        <v>1331</v>
      </c>
      <c r="C7" s="879" t="s">
        <v>12</v>
      </c>
      <c r="D7" s="879" t="s">
        <v>1487</v>
      </c>
      <c r="E7" s="871" t="s">
        <v>13</v>
      </c>
      <c r="F7" s="97">
        <v>40</v>
      </c>
      <c r="G7" s="1064"/>
      <c r="H7" s="97"/>
      <c r="I7" s="946"/>
      <c r="J7" s="97"/>
      <c r="K7" s="946"/>
    </row>
    <row r="8" spans="1:11" s="224" customFormat="1" ht="15" hidden="1" customHeight="1" x14ac:dyDescent="0.25">
      <c r="A8" s="215">
        <v>43101</v>
      </c>
      <c r="B8" s="349" t="s">
        <v>17</v>
      </c>
      <c r="C8" s="350" t="s">
        <v>12</v>
      </c>
      <c r="D8" s="765" t="s">
        <v>1493</v>
      </c>
      <c r="E8" s="778" t="s">
        <v>15</v>
      </c>
      <c r="F8" s="97">
        <v>10</v>
      </c>
      <c r="G8" s="946"/>
      <c r="H8" s="97"/>
      <c r="I8" s="946"/>
      <c r="J8" s="97"/>
      <c r="K8" s="946"/>
    </row>
    <row r="9" spans="1:11" s="224" customFormat="1" hidden="1" x14ac:dyDescent="0.25">
      <c r="A9" s="215">
        <v>43101</v>
      </c>
      <c r="B9" s="349" t="s">
        <v>1801</v>
      </c>
      <c r="C9" s="350" t="s">
        <v>12</v>
      </c>
      <c r="D9" s="350" t="s">
        <v>1489</v>
      </c>
      <c r="E9" s="480" t="s">
        <v>13</v>
      </c>
      <c r="F9" s="97">
        <v>2.4</v>
      </c>
      <c r="G9" s="946"/>
      <c r="H9" s="97"/>
      <c r="I9" s="946"/>
      <c r="J9" s="97"/>
      <c r="K9" s="946"/>
    </row>
    <row r="10" spans="1:11" s="224" customFormat="1" hidden="1" x14ac:dyDescent="0.25">
      <c r="A10" s="215">
        <v>43102</v>
      </c>
      <c r="B10" s="862" t="s">
        <v>14</v>
      </c>
      <c r="C10" s="350" t="s">
        <v>12</v>
      </c>
      <c r="D10" s="879" t="s">
        <v>1486</v>
      </c>
      <c r="E10" s="871" t="s">
        <v>13</v>
      </c>
      <c r="F10" s="523">
        <v>7.83</v>
      </c>
      <c r="G10" s="946"/>
      <c r="H10" s="97"/>
      <c r="I10" s="946"/>
      <c r="J10" s="97"/>
      <c r="K10" s="946"/>
    </row>
    <row r="11" spans="1:11" s="224" customFormat="1" x14ac:dyDescent="0.25">
      <c r="A11" s="215">
        <v>43102</v>
      </c>
      <c r="B11" s="349" t="s">
        <v>32</v>
      </c>
      <c r="C11" s="350" t="s">
        <v>12</v>
      </c>
      <c r="D11" s="802" t="s">
        <v>1485</v>
      </c>
      <c r="E11" s="803" t="s">
        <v>13</v>
      </c>
      <c r="F11" s="804">
        <v>16.899999999999999</v>
      </c>
      <c r="G11" s="946"/>
      <c r="H11" s="97"/>
      <c r="I11" s="946"/>
      <c r="J11" s="97"/>
      <c r="K11" s="946"/>
    </row>
    <row r="12" spans="1:11" s="224" customFormat="1" x14ac:dyDescent="0.25">
      <c r="A12" s="215">
        <v>43103</v>
      </c>
      <c r="B12" s="349" t="s">
        <v>32</v>
      </c>
      <c r="C12" s="350" t="s">
        <v>12</v>
      </c>
      <c r="D12" s="802" t="s">
        <v>1485</v>
      </c>
      <c r="E12" s="803" t="s">
        <v>13</v>
      </c>
      <c r="F12" s="804">
        <v>14</v>
      </c>
      <c r="G12" s="946"/>
      <c r="H12" s="97"/>
      <c r="I12" s="946"/>
      <c r="J12" s="97"/>
      <c r="K12" s="946"/>
    </row>
    <row r="13" spans="1:11" s="224" customFormat="1" hidden="1" x14ac:dyDescent="0.25">
      <c r="A13" s="215">
        <v>43103</v>
      </c>
      <c r="B13" s="862" t="s">
        <v>14</v>
      </c>
      <c r="C13" s="350" t="s">
        <v>12</v>
      </c>
      <c r="D13" s="879" t="s">
        <v>1486</v>
      </c>
      <c r="E13" s="871" t="s">
        <v>13</v>
      </c>
      <c r="F13" s="523">
        <v>8.91</v>
      </c>
      <c r="G13" s="946"/>
      <c r="H13" s="97"/>
      <c r="I13" s="946"/>
      <c r="J13" s="97"/>
      <c r="K13" s="946"/>
    </row>
    <row r="14" spans="1:11" s="224" customFormat="1" ht="15" hidden="1" customHeight="1" x14ac:dyDescent="0.25">
      <c r="A14" s="215">
        <v>43104</v>
      </c>
      <c r="B14" s="862" t="s">
        <v>256</v>
      </c>
      <c r="C14" s="879"/>
      <c r="D14" s="879"/>
      <c r="E14" s="871"/>
      <c r="F14" s="97"/>
      <c r="G14" s="1064">
        <v>500</v>
      </c>
      <c r="H14" s="97">
        <v>500</v>
      </c>
      <c r="I14" s="946"/>
      <c r="J14" s="97"/>
      <c r="K14" s="946"/>
    </row>
    <row r="15" spans="1:11" s="224" customFormat="1" hidden="1" x14ac:dyDescent="0.25">
      <c r="A15" s="215">
        <v>43104</v>
      </c>
      <c r="B15" s="882" t="s">
        <v>1802</v>
      </c>
      <c r="C15" s="879" t="s">
        <v>12</v>
      </c>
      <c r="D15" s="879" t="s">
        <v>1522</v>
      </c>
      <c r="E15" s="871" t="s">
        <v>13</v>
      </c>
      <c r="F15" s="97">
        <v>248.9</v>
      </c>
      <c r="G15" s="946"/>
      <c r="H15" s="97"/>
      <c r="I15" s="946"/>
      <c r="J15" s="97"/>
      <c r="K15" s="946"/>
    </row>
    <row r="16" spans="1:11" s="224" customFormat="1" x14ac:dyDescent="0.25">
      <c r="A16" s="215">
        <v>43104</v>
      </c>
      <c r="B16" s="349" t="s">
        <v>32</v>
      </c>
      <c r="C16" s="350" t="s">
        <v>12</v>
      </c>
      <c r="D16" s="802" t="s">
        <v>1485</v>
      </c>
      <c r="E16" s="803" t="s">
        <v>13</v>
      </c>
      <c r="F16" s="804">
        <v>14</v>
      </c>
      <c r="G16" s="946"/>
      <c r="H16" s="97"/>
      <c r="I16" s="946"/>
      <c r="J16" s="97"/>
      <c r="K16" s="946"/>
    </row>
    <row r="17" spans="1:14" s="224" customFormat="1" hidden="1" x14ac:dyDescent="0.25">
      <c r="A17" s="215">
        <v>43104</v>
      </c>
      <c r="B17" s="862" t="s">
        <v>1331</v>
      </c>
      <c r="C17" s="879" t="s">
        <v>12</v>
      </c>
      <c r="D17" s="879" t="s">
        <v>1487</v>
      </c>
      <c r="E17" s="871" t="s">
        <v>13</v>
      </c>
      <c r="F17" s="97">
        <v>70</v>
      </c>
      <c r="G17" s="1064"/>
      <c r="H17" s="97"/>
      <c r="I17" s="946"/>
      <c r="J17" s="97"/>
      <c r="K17" s="946"/>
    </row>
    <row r="18" spans="1:14" s="224" customFormat="1" x14ac:dyDescent="0.25">
      <c r="A18" s="215">
        <v>43105</v>
      </c>
      <c r="B18" s="349" t="s">
        <v>32</v>
      </c>
      <c r="C18" s="350" t="s">
        <v>12</v>
      </c>
      <c r="D18" s="802" t="s">
        <v>1485</v>
      </c>
      <c r="E18" s="803" t="s">
        <v>13</v>
      </c>
      <c r="F18" s="804">
        <v>14</v>
      </c>
      <c r="G18" s="946"/>
      <c r="H18" s="97"/>
      <c r="I18" s="946"/>
      <c r="J18" s="97"/>
      <c r="K18" s="946"/>
    </row>
    <row r="19" spans="1:14" s="224" customFormat="1" hidden="1" x14ac:dyDescent="0.25">
      <c r="A19" s="215">
        <v>43105</v>
      </c>
      <c r="B19" s="862" t="s">
        <v>249</v>
      </c>
      <c r="C19" s="879" t="s">
        <v>12</v>
      </c>
      <c r="D19" s="879" t="s">
        <v>1493</v>
      </c>
      <c r="E19" s="871" t="s">
        <v>13</v>
      </c>
      <c r="F19" s="97">
        <v>3</v>
      </c>
      <c r="G19" s="946"/>
      <c r="H19" s="97"/>
      <c r="I19" s="946"/>
      <c r="J19" s="97"/>
      <c r="K19" s="946"/>
    </row>
    <row r="20" spans="1:14" s="224" customFormat="1" ht="15.75" hidden="1" customHeight="1" x14ac:dyDescent="0.25">
      <c r="A20" s="215">
        <v>43105</v>
      </c>
      <c r="B20" s="349" t="s">
        <v>1803</v>
      </c>
      <c r="C20" s="879" t="s">
        <v>12</v>
      </c>
      <c r="D20" s="874"/>
      <c r="E20" s="871" t="s">
        <v>25</v>
      </c>
      <c r="F20" s="1514"/>
      <c r="G20" s="1473">
        <v>260.95</v>
      </c>
      <c r="H20" s="250"/>
      <c r="I20" s="946"/>
      <c r="J20" s="97"/>
      <c r="K20" s="946"/>
    </row>
    <row r="21" spans="1:14" s="224" customFormat="1" ht="15.75" hidden="1" customHeight="1" x14ac:dyDescent="0.25">
      <c r="A21" s="215">
        <v>43105</v>
      </c>
      <c r="B21" s="349" t="s">
        <v>1804</v>
      </c>
      <c r="C21" s="879" t="s">
        <v>12</v>
      </c>
      <c r="D21" s="874"/>
      <c r="E21" s="871" t="s">
        <v>25</v>
      </c>
      <c r="F21" s="1514"/>
      <c r="G21" s="1473">
        <v>2391.4</v>
      </c>
      <c r="H21" s="250"/>
      <c r="I21" s="946"/>
      <c r="J21" s="97"/>
      <c r="K21" s="946"/>
    </row>
    <row r="22" spans="1:14" s="224" customFormat="1" hidden="1" x14ac:dyDescent="0.25">
      <c r="A22" s="215">
        <v>43105</v>
      </c>
      <c r="B22" s="862" t="s">
        <v>1805</v>
      </c>
      <c r="C22" s="879" t="s">
        <v>12</v>
      </c>
      <c r="D22" s="879"/>
      <c r="E22" s="871" t="s">
        <v>13</v>
      </c>
      <c r="F22" s="456">
        <v>459.4</v>
      </c>
      <c r="G22" s="946"/>
      <c r="H22" s="97"/>
      <c r="I22" s="946"/>
      <c r="J22" s="523"/>
      <c r="K22" s="457"/>
      <c r="L22" s="178">
        <v>770.39</v>
      </c>
      <c r="M22" s="3096" t="s">
        <v>1806</v>
      </c>
      <c r="N22" s="3096"/>
    </row>
    <row r="23" spans="1:14" hidden="1" x14ac:dyDescent="0.25">
      <c r="A23" s="215">
        <v>43105</v>
      </c>
      <c r="B23" s="862" t="s">
        <v>1532</v>
      </c>
      <c r="C23" s="879" t="s">
        <v>12</v>
      </c>
      <c r="D23" s="879" t="s">
        <v>1504</v>
      </c>
      <c r="E23" s="871" t="s">
        <v>13</v>
      </c>
      <c r="F23" s="523">
        <v>50</v>
      </c>
      <c r="G23" s="946"/>
      <c r="H23" s="97"/>
      <c r="I23" s="946"/>
      <c r="J23" s="97"/>
      <c r="K23" s="1473"/>
    </row>
    <row r="24" spans="1:14" hidden="1" x14ac:dyDescent="0.25">
      <c r="A24" s="215">
        <v>43105</v>
      </c>
      <c r="B24" s="882" t="s">
        <v>1807</v>
      </c>
      <c r="C24" s="879" t="s">
        <v>12</v>
      </c>
      <c r="D24" s="879" t="s">
        <v>1499</v>
      </c>
      <c r="E24" s="871" t="s">
        <v>13</v>
      </c>
      <c r="F24" s="780">
        <v>43.66</v>
      </c>
      <c r="G24" s="982"/>
      <c r="H24" s="622"/>
      <c r="I24" s="982"/>
      <c r="J24" s="780"/>
      <c r="K24" s="614"/>
    </row>
    <row r="25" spans="1:14" hidden="1" x14ac:dyDescent="0.25">
      <c r="A25" s="215">
        <v>43105</v>
      </c>
      <c r="B25" s="862" t="s">
        <v>52</v>
      </c>
      <c r="C25" s="879" t="s">
        <v>12</v>
      </c>
      <c r="D25" s="879" t="s">
        <v>1496</v>
      </c>
      <c r="E25" s="871" t="s">
        <v>13</v>
      </c>
      <c r="F25" s="523">
        <v>60</v>
      </c>
      <c r="G25" s="1064"/>
      <c r="H25" s="97"/>
      <c r="I25" s="946"/>
      <c r="J25" s="97"/>
      <c r="K25" s="946"/>
    </row>
    <row r="26" spans="1:14" s="224" customFormat="1" hidden="1" x14ac:dyDescent="0.25">
      <c r="A26" s="215">
        <v>43105</v>
      </c>
      <c r="B26" s="873" t="s">
        <v>1554</v>
      </c>
      <c r="C26" s="879" t="s">
        <v>19</v>
      </c>
      <c r="D26" s="879" t="s">
        <v>1491</v>
      </c>
      <c r="E26" s="871" t="s">
        <v>13</v>
      </c>
      <c r="F26" s="523">
        <v>66.75</v>
      </c>
      <c r="G26" s="946"/>
      <c r="H26" s="97"/>
      <c r="I26" s="946"/>
      <c r="J26" s="97"/>
      <c r="K26" s="946"/>
    </row>
    <row r="27" spans="1:14" s="224" customFormat="1" hidden="1" x14ac:dyDescent="0.25">
      <c r="A27" s="215">
        <v>43105</v>
      </c>
      <c r="B27" s="873" t="s">
        <v>1597</v>
      </c>
      <c r="C27" s="879" t="s">
        <v>12</v>
      </c>
      <c r="D27" s="879" t="s">
        <v>1491</v>
      </c>
      <c r="E27" s="871" t="s">
        <v>15</v>
      </c>
      <c r="F27" s="523">
        <v>10</v>
      </c>
      <c r="G27" s="946"/>
      <c r="H27" s="97"/>
      <c r="I27" s="946"/>
      <c r="J27" s="97"/>
      <c r="K27" s="946"/>
    </row>
    <row r="28" spans="1:14" s="224" customFormat="1" hidden="1" x14ac:dyDescent="0.25">
      <c r="A28" s="215">
        <v>43105</v>
      </c>
      <c r="B28" s="862" t="s">
        <v>1438</v>
      </c>
      <c r="C28" s="879" t="s">
        <v>12</v>
      </c>
      <c r="D28" s="879" t="s">
        <v>1489</v>
      </c>
      <c r="E28" s="871" t="s">
        <v>13</v>
      </c>
      <c r="F28" s="523">
        <v>65.3</v>
      </c>
      <c r="G28" s="946"/>
      <c r="H28" s="97"/>
      <c r="I28" s="946"/>
      <c r="J28" s="97"/>
      <c r="K28" s="946"/>
    </row>
    <row r="29" spans="1:14" s="224" customFormat="1" hidden="1" x14ac:dyDescent="0.25">
      <c r="A29" s="215">
        <v>43106</v>
      </c>
      <c r="B29" s="862" t="s">
        <v>14</v>
      </c>
      <c r="C29" s="350" t="s">
        <v>12</v>
      </c>
      <c r="D29" s="879" t="s">
        <v>1486</v>
      </c>
      <c r="E29" s="871" t="s">
        <v>13</v>
      </c>
      <c r="F29" s="523">
        <v>4</v>
      </c>
      <c r="G29" s="1521"/>
      <c r="H29" s="96"/>
      <c r="I29" s="1482"/>
      <c r="J29" s="96"/>
      <c r="K29" s="1482"/>
    </row>
    <row r="30" spans="1:14" s="224" customFormat="1" x14ac:dyDescent="0.25">
      <c r="A30" s="215">
        <v>43106</v>
      </c>
      <c r="B30" s="349" t="s">
        <v>32</v>
      </c>
      <c r="C30" s="350" t="s">
        <v>12</v>
      </c>
      <c r="D30" s="802" t="s">
        <v>1485</v>
      </c>
      <c r="E30" s="803" t="s">
        <v>15</v>
      </c>
      <c r="F30" s="804">
        <v>16.899999999999999</v>
      </c>
      <c r="G30" s="946"/>
      <c r="H30" s="97"/>
      <c r="I30" s="946"/>
      <c r="J30" s="97"/>
      <c r="K30" s="946"/>
    </row>
    <row r="31" spans="1:14" s="224" customFormat="1" hidden="1" x14ac:dyDescent="0.25">
      <c r="A31" s="215">
        <v>43106</v>
      </c>
      <c r="B31" s="349" t="s">
        <v>311</v>
      </c>
      <c r="C31" s="350"/>
      <c r="D31" s="765"/>
      <c r="E31" s="778"/>
      <c r="F31" s="709"/>
      <c r="G31" s="248"/>
      <c r="H31" s="97"/>
      <c r="I31" s="946">
        <v>4.28</v>
      </c>
      <c r="J31" s="97"/>
      <c r="K31" s="946"/>
    </row>
    <row r="32" spans="1:14" s="224" customFormat="1" ht="15" hidden="1" customHeight="1" x14ac:dyDescent="0.25">
      <c r="A32" s="215">
        <v>43107</v>
      </c>
      <c r="B32" s="349" t="s">
        <v>134</v>
      </c>
      <c r="C32" s="350" t="s">
        <v>12</v>
      </c>
      <c r="D32" s="765" t="s">
        <v>1493</v>
      </c>
      <c r="E32" s="778" t="s">
        <v>13</v>
      </c>
      <c r="F32" s="97">
        <v>3.96</v>
      </c>
      <c r="G32" s="1064"/>
      <c r="H32" s="97"/>
      <c r="I32" s="946"/>
      <c r="J32" s="97"/>
      <c r="K32" s="946"/>
    </row>
    <row r="33" spans="1:11" s="224" customFormat="1" ht="15" hidden="1" customHeight="1" x14ac:dyDescent="0.25">
      <c r="A33" s="215">
        <v>43108</v>
      </c>
      <c r="B33" s="862" t="s">
        <v>256</v>
      </c>
      <c r="C33" s="879"/>
      <c r="D33" s="879"/>
      <c r="E33" s="871"/>
      <c r="F33" s="97"/>
      <c r="G33" s="1064">
        <v>504.28</v>
      </c>
      <c r="H33" s="97">
        <v>504.28</v>
      </c>
      <c r="I33" s="946"/>
      <c r="J33" s="97"/>
      <c r="K33" s="946"/>
    </row>
    <row r="34" spans="1:11" s="224" customFormat="1" x14ac:dyDescent="0.25">
      <c r="A34" s="215">
        <v>43108</v>
      </c>
      <c r="B34" s="349" t="s">
        <v>32</v>
      </c>
      <c r="C34" s="350" t="s">
        <v>12</v>
      </c>
      <c r="D34" s="802" t="s">
        <v>1485</v>
      </c>
      <c r="E34" s="803" t="s">
        <v>15</v>
      </c>
      <c r="F34" s="804">
        <v>14</v>
      </c>
      <c r="G34" s="946"/>
      <c r="H34" s="97"/>
      <c r="I34" s="946"/>
      <c r="J34" s="97"/>
      <c r="K34" s="946"/>
    </row>
    <row r="35" spans="1:11" s="224" customFormat="1" hidden="1" x14ac:dyDescent="0.25">
      <c r="A35" s="215">
        <v>43108</v>
      </c>
      <c r="B35" s="862" t="s">
        <v>14</v>
      </c>
      <c r="C35" s="350" t="s">
        <v>12</v>
      </c>
      <c r="D35" s="879" t="s">
        <v>1486</v>
      </c>
      <c r="E35" s="871" t="s">
        <v>13</v>
      </c>
      <c r="F35" s="784">
        <v>3.35</v>
      </c>
      <c r="G35" s="248"/>
      <c r="H35" s="97"/>
      <c r="I35" s="946"/>
      <c r="J35" s="97"/>
      <c r="K35" s="946"/>
    </row>
    <row r="36" spans="1:11" s="224" customFormat="1" x14ac:dyDescent="0.25">
      <c r="A36" s="215">
        <v>43109</v>
      </c>
      <c r="B36" s="349" t="s">
        <v>32</v>
      </c>
      <c r="C36" s="350" t="s">
        <v>12</v>
      </c>
      <c r="D36" s="802" t="s">
        <v>1485</v>
      </c>
      <c r="E36" s="803" t="s">
        <v>15</v>
      </c>
      <c r="F36" s="804">
        <v>14</v>
      </c>
      <c r="G36" s="946"/>
      <c r="H36" s="97"/>
      <c r="I36" s="946"/>
      <c r="J36" s="97"/>
      <c r="K36" s="946"/>
    </row>
    <row r="37" spans="1:11" s="224" customFormat="1" hidden="1" x14ac:dyDescent="0.25">
      <c r="A37" s="215">
        <v>43109</v>
      </c>
      <c r="B37" s="862" t="s">
        <v>14</v>
      </c>
      <c r="C37" s="350" t="s">
        <v>12</v>
      </c>
      <c r="D37" s="879" t="s">
        <v>1486</v>
      </c>
      <c r="E37" s="871" t="s">
        <v>13</v>
      </c>
      <c r="F37" s="784">
        <v>12.7</v>
      </c>
      <c r="G37" s="248"/>
      <c r="H37" s="97"/>
      <c r="I37" s="946"/>
      <c r="J37" s="97"/>
      <c r="K37" s="946"/>
    </row>
    <row r="38" spans="1:11" s="224" customFormat="1" ht="15" hidden="1" customHeight="1" x14ac:dyDescent="0.25">
      <c r="A38" s="215">
        <v>43110</v>
      </c>
      <c r="B38" s="862" t="s">
        <v>1779</v>
      </c>
      <c r="C38" s="879" t="s">
        <v>12</v>
      </c>
      <c r="D38" s="879" t="s">
        <v>1491</v>
      </c>
      <c r="E38" s="871" t="s">
        <v>15</v>
      </c>
      <c r="F38" s="523">
        <v>100</v>
      </c>
      <c r="G38" s="1064"/>
      <c r="H38" s="97"/>
      <c r="I38" s="946"/>
      <c r="J38" s="97"/>
      <c r="K38" s="946"/>
    </row>
    <row r="39" spans="1:11" s="224" customFormat="1" hidden="1" x14ac:dyDescent="0.25">
      <c r="A39" s="215">
        <v>43110</v>
      </c>
      <c r="B39" s="862" t="s">
        <v>14</v>
      </c>
      <c r="C39" s="350" t="s">
        <v>12</v>
      </c>
      <c r="D39" s="879" t="s">
        <v>1486</v>
      </c>
      <c r="E39" s="871" t="s">
        <v>13</v>
      </c>
      <c r="F39" s="784">
        <v>5.74</v>
      </c>
      <c r="G39" s="248"/>
      <c r="H39" s="97"/>
      <c r="I39" s="946"/>
      <c r="J39" s="97"/>
      <c r="K39" s="946"/>
    </row>
    <row r="40" spans="1:11" s="224" customFormat="1" hidden="1" x14ac:dyDescent="0.25">
      <c r="A40" s="215">
        <v>43110</v>
      </c>
      <c r="B40" s="862" t="s">
        <v>1731</v>
      </c>
      <c r="C40" s="879" t="s">
        <v>12</v>
      </c>
      <c r="D40" s="879" t="s">
        <v>1487</v>
      </c>
      <c r="E40" s="871" t="s">
        <v>15</v>
      </c>
      <c r="F40" s="97">
        <v>70</v>
      </c>
      <c r="G40" s="946"/>
      <c r="H40" s="97"/>
      <c r="I40" s="946"/>
      <c r="J40" s="97"/>
      <c r="K40" s="946"/>
    </row>
    <row r="41" spans="1:11" s="224" customFormat="1" x14ac:dyDescent="0.25">
      <c r="A41" s="215">
        <v>43111</v>
      </c>
      <c r="B41" s="349" t="s">
        <v>32</v>
      </c>
      <c r="C41" s="350" t="s">
        <v>12</v>
      </c>
      <c r="D41" s="802" t="s">
        <v>1485</v>
      </c>
      <c r="E41" s="803" t="s">
        <v>15</v>
      </c>
      <c r="F41" s="804">
        <v>14</v>
      </c>
      <c r="G41" s="946"/>
      <c r="H41" s="97"/>
      <c r="I41" s="946"/>
      <c r="J41" s="97"/>
      <c r="K41" s="946"/>
    </row>
    <row r="42" spans="1:11" s="224" customFormat="1" ht="15" hidden="1" customHeight="1" x14ac:dyDescent="0.25">
      <c r="A42" s="215">
        <v>43111</v>
      </c>
      <c r="B42" s="349" t="s">
        <v>260</v>
      </c>
      <c r="C42" s="350"/>
      <c r="D42" s="350"/>
      <c r="E42" s="480"/>
      <c r="F42" s="523">
        <v>1780</v>
      </c>
      <c r="G42" s="1064"/>
      <c r="H42" s="97"/>
      <c r="I42" s="946">
        <v>1780</v>
      </c>
      <c r="J42" s="97"/>
      <c r="K42" s="946"/>
    </row>
    <row r="43" spans="1:11" s="224" customFormat="1" ht="15" hidden="1" customHeight="1" x14ac:dyDescent="0.25">
      <c r="A43" s="215">
        <v>43111</v>
      </c>
      <c r="B43" s="349" t="s">
        <v>147</v>
      </c>
      <c r="C43" s="350" t="s">
        <v>12</v>
      </c>
      <c r="D43" s="765" t="s">
        <v>1506</v>
      </c>
      <c r="E43" s="778" t="s">
        <v>15</v>
      </c>
      <c r="F43" s="97">
        <v>10</v>
      </c>
      <c r="G43" s="946"/>
      <c r="H43" s="97"/>
      <c r="I43" s="946"/>
      <c r="J43" s="97"/>
      <c r="K43" s="946"/>
    </row>
    <row r="44" spans="1:11" s="224" customFormat="1" ht="15" hidden="1" customHeight="1" x14ac:dyDescent="0.25">
      <c r="A44" s="215">
        <v>43111</v>
      </c>
      <c r="B44" s="349" t="s">
        <v>1808</v>
      </c>
      <c r="C44" s="350" t="s">
        <v>12</v>
      </c>
      <c r="D44" s="350" t="s">
        <v>1506</v>
      </c>
      <c r="E44" s="480" t="s">
        <v>15</v>
      </c>
      <c r="F44" s="97">
        <v>20</v>
      </c>
      <c r="G44" s="1064"/>
      <c r="H44" s="97"/>
      <c r="I44" s="946"/>
      <c r="J44" s="97"/>
      <c r="K44" s="946"/>
    </row>
    <row r="45" spans="1:11" s="224" customFormat="1" x14ac:dyDescent="0.25">
      <c r="A45" s="215">
        <v>43112</v>
      </c>
      <c r="B45" s="349" t="s">
        <v>32</v>
      </c>
      <c r="C45" s="350" t="s">
        <v>12</v>
      </c>
      <c r="D45" s="802" t="s">
        <v>1485</v>
      </c>
      <c r="E45" s="803" t="s">
        <v>15</v>
      </c>
      <c r="F45" s="804">
        <v>14</v>
      </c>
      <c r="G45" s="946"/>
      <c r="H45" s="97"/>
      <c r="I45" s="946"/>
      <c r="J45" s="97"/>
      <c r="K45" s="946"/>
    </row>
    <row r="46" spans="1:11" s="224" customFormat="1" ht="15" hidden="1" customHeight="1" x14ac:dyDescent="0.25">
      <c r="A46" s="215">
        <v>43112</v>
      </c>
      <c r="B46" s="349" t="s">
        <v>134</v>
      </c>
      <c r="C46" s="350" t="s">
        <v>12</v>
      </c>
      <c r="D46" s="765" t="s">
        <v>1493</v>
      </c>
      <c r="E46" s="778" t="s">
        <v>13</v>
      </c>
      <c r="F46" s="97">
        <v>9.5</v>
      </c>
      <c r="G46" s="1064"/>
      <c r="H46" s="97"/>
      <c r="I46" s="946"/>
      <c r="J46" s="97"/>
      <c r="K46" s="946"/>
    </row>
    <row r="47" spans="1:11" s="224" customFormat="1" x14ac:dyDescent="0.25">
      <c r="A47" s="215">
        <v>43113</v>
      </c>
      <c r="B47" s="349" t="s">
        <v>32</v>
      </c>
      <c r="C47" s="350" t="s">
        <v>12</v>
      </c>
      <c r="D47" s="802" t="s">
        <v>1485</v>
      </c>
      <c r="E47" s="803" t="s">
        <v>13</v>
      </c>
      <c r="F47" s="804">
        <v>15.9</v>
      </c>
      <c r="G47" s="946"/>
      <c r="H47" s="97"/>
      <c r="I47" s="946"/>
      <c r="J47" s="97"/>
      <c r="K47" s="946"/>
    </row>
    <row r="48" spans="1:11" s="224" customFormat="1" hidden="1" x14ac:dyDescent="0.25">
      <c r="A48" s="215">
        <v>43113</v>
      </c>
      <c r="B48" s="862" t="s">
        <v>14</v>
      </c>
      <c r="C48" s="350" t="s">
        <v>12</v>
      </c>
      <c r="D48" s="879" t="s">
        <v>1486</v>
      </c>
      <c r="E48" s="871" t="s">
        <v>13</v>
      </c>
      <c r="F48" s="784">
        <v>5.32</v>
      </c>
      <c r="G48" s="248"/>
      <c r="H48" s="97"/>
      <c r="I48" s="946"/>
      <c r="J48" s="97"/>
      <c r="K48" s="946"/>
    </row>
    <row r="49" spans="1:11" hidden="1" x14ac:dyDescent="0.25">
      <c r="A49" s="215">
        <v>43113</v>
      </c>
      <c r="B49" s="349" t="s">
        <v>82</v>
      </c>
      <c r="C49" s="350" t="s">
        <v>12</v>
      </c>
      <c r="D49" s="350" t="s">
        <v>1493</v>
      </c>
      <c r="E49" s="480" t="s">
        <v>13</v>
      </c>
      <c r="F49" s="97">
        <v>29</v>
      </c>
      <c r="G49" s="1064"/>
      <c r="H49" s="97"/>
      <c r="I49" s="946"/>
      <c r="J49" s="97"/>
      <c r="K49" s="946"/>
    </row>
    <row r="50" spans="1:11" s="224" customFormat="1" hidden="1" x14ac:dyDescent="0.25">
      <c r="A50" s="215">
        <v>43114</v>
      </c>
      <c r="B50" s="862" t="s">
        <v>14</v>
      </c>
      <c r="C50" s="350" t="s">
        <v>12</v>
      </c>
      <c r="D50" s="879" t="s">
        <v>1486</v>
      </c>
      <c r="E50" s="871" t="s">
        <v>13</v>
      </c>
      <c r="F50" s="784">
        <v>5.32</v>
      </c>
      <c r="G50" s="248"/>
      <c r="H50" s="97"/>
      <c r="I50" s="946"/>
      <c r="J50" s="97"/>
      <c r="K50" s="946"/>
    </row>
    <row r="51" spans="1:11" s="224" customFormat="1" x14ac:dyDescent="0.25">
      <c r="A51" s="215">
        <v>43114</v>
      </c>
      <c r="B51" s="862" t="s">
        <v>151</v>
      </c>
      <c r="C51" s="879" t="s">
        <v>12</v>
      </c>
      <c r="D51" s="879" t="s">
        <v>1485</v>
      </c>
      <c r="E51" s="871" t="s">
        <v>13</v>
      </c>
      <c r="F51" s="97">
        <v>30.5</v>
      </c>
      <c r="G51" s="946"/>
      <c r="H51" s="97"/>
      <c r="I51" s="946"/>
      <c r="J51" s="97"/>
      <c r="K51" s="946"/>
    </row>
    <row r="52" spans="1:11" s="224" customFormat="1" x14ac:dyDescent="0.25">
      <c r="A52" s="215">
        <v>43115</v>
      </c>
      <c r="B52" s="349" t="s">
        <v>32</v>
      </c>
      <c r="C52" s="350" t="s">
        <v>12</v>
      </c>
      <c r="D52" s="802" t="s">
        <v>1485</v>
      </c>
      <c r="E52" s="803" t="s">
        <v>15</v>
      </c>
      <c r="F52" s="804">
        <v>14</v>
      </c>
      <c r="G52" s="946"/>
      <c r="H52" s="97"/>
      <c r="I52" s="946"/>
      <c r="J52" s="97"/>
      <c r="K52" s="946"/>
    </row>
    <row r="53" spans="1:11" s="224" customFormat="1" hidden="1" x14ac:dyDescent="0.25">
      <c r="A53" s="215">
        <v>43115</v>
      </c>
      <c r="B53" s="862" t="s">
        <v>14</v>
      </c>
      <c r="C53" s="350" t="s">
        <v>12</v>
      </c>
      <c r="D53" s="879" t="s">
        <v>1486</v>
      </c>
      <c r="E53" s="871" t="s">
        <v>13</v>
      </c>
      <c r="F53" s="784">
        <v>6.29</v>
      </c>
      <c r="G53" s="248"/>
      <c r="H53" s="97"/>
      <c r="I53" s="946"/>
      <c r="J53" s="97"/>
      <c r="K53" s="946"/>
    </row>
    <row r="54" spans="1:11" s="224" customFormat="1" x14ac:dyDescent="0.25">
      <c r="A54" s="215">
        <v>43116</v>
      </c>
      <c r="B54" s="349" t="s">
        <v>32</v>
      </c>
      <c r="C54" s="350" t="s">
        <v>12</v>
      </c>
      <c r="D54" s="802" t="s">
        <v>1485</v>
      </c>
      <c r="E54" s="803" t="s">
        <v>15</v>
      </c>
      <c r="F54" s="804">
        <v>14</v>
      </c>
      <c r="G54" s="946"/>
      <c r="H54" s="97"/>
      <c r="I54" s="946"/>
      <c r="J54" s="97"/>
      <c r="K54" s="946"/>
    </row>
    <row r="55" spans="1:11" s="224" customFormat="1" hidden="1" x14ac:dyDescent="0.25">
      <c r="A55" s="215">
        <v>43116</v>
      </c>
      <c r="B55" s="862" t="s">
        <v>134</v>
      </c>
      <c r="C55" s="350" t="s">
        <v>12</v>
      </c>
      <c r="D55" s="879" t="s">
        <v>1493</v>
      </c>
      <c r="E55" s="871" t="s">
        <v>13</v>
      </c>
      <c r="F55" s="807">
        <v>6.73</v>
      </c>
      <c r="G55" s="248"/>
      <c r="H55" s="97"/>
      <c r="I55" s="946"/>
      <c r="J55" s="97"/>
      <c r="K55" s="946"/>
    </row>
    <row r="56" spans="1:11" s="224" customFormat="1" hidden="1" x14ac:dyDescent="0.25">
      <c r="A56" s="215">
        <v>43116</v>
      </c>
      <c r="B56" s="862" t="s">
        <v>1809</v>
      </c>
      <c r="C56" s="350" t="s">
        <v>12</v>
      </c>
      <c r="D56" s="879" t="s">
        <v>1522</v>
      </c>
      <c r="E56" s="871" t="s">
        <v>13</v>
      </c>
      <c r="F56" s="784">
        <v>120</v>
      </c>
      <c r="G56" s="248"/>
      <c r="H56" s="97"/>
      <c r="I56" s="946"/>
      <c r="J56" s="97"/>
      <c r="K56" s="946"/>
    </row>
    <row r="57" spans="1:11" s="224" customFormat="1" ht="15" customHeight="1" x14ac:dyDescent="0.25">
      <c r="A57" s="215">
        <v>43117</v>
      </c>
      <c r="B57" s="349" t="s">
        <v>32</v>
      </c>
      <c r="C57" s="350" t="s">
        <v>12</v>
      </c>
      <c r="D57" s="802" t="s">
        <v>1485</v>
      </c>
      <c r="E57" s="803" t="s">
        <v>15</v>
      </c>
      <c r="F57" s="804">
        <v>14</v>
      </c>
      <c r="G57" s="1064"/>
      <c r="H57" s="97"/>
      <c r="I57" s="946"/>
      <c r="J57" s="97"/>
      <c r="K57" s="946"/>
    </row>
    <row r="58" spans="1:11" s="224" customFormat="1" ht="15" hidden="1" customHeight="1" x14ac:dyDescent="0.25">
      <c r="A58" s="215">
        <v>43117</v>
      </c>
      <c r="B58" s="349" t="s">
        <v>1331</v>
      </c>
      <c r="C58" s="350" t="s">
        <v>19</v>
      </c>
      <c r="D58" s="802" t="s">
        <v>1487</v>
      </c>
      <c r="E58" s="803" t="s">
        <v>13</v>
      </c>
      <c r="F58" s="804">
        <v>80</v>
      </c>
      <c r="G58" s="1064"/>
      <c r="H58" s="97"/>
      <c r="I58" s="946"/>
      <c r="J58" s="97"/>
      <c r="K58" s="946"/>
    </row>
    <row r="59" spans="1:11" s="224" customFormat="1" ht="15" hidden="1" customHeight="1" x14ac:dyDescent="0.25">
      <c r="A59" s="215">
        <v>43117</v>
      </c>
      <c r="B59" s="349" t="s">
        <v>134</v>
      </c>
      <c r="C59" s="350" t="s">
        <v>19</v>
      </c>
      <c r="D59" s="802" t="s">
        <v>1493</v>
      </c>
      <c r="E59" s="803" t="s">
        <v>13</v>
      </c>
      <c r="F59" s="804">
        <v>11.14</v>
      </c>
      <c r="G59" s="1064"/>
      <c r="H59" s="97"/>
      <c r="I59" s="946"/>
      <c r="J59" s="97"/>
      <c r="K59" s="946"/>
    </row>
    <row r="60" spans="1:11" s="224" customFormat="1" ht="15" hidden="1" customHeight="1" x14ac:dyDescent="0.25">
      <c r="A60" s="215">
        <v>43117</v>
      </c>
      <c r="B60" s="349" t="s">
        <v>1810</v>
      </c>
      <c r="C60" s="350" t="s">
        <v>19</v>
      </c>
      <c r="D60" s="802" t="s">
        <v>1491</v>
      </c>
      <c r="E60" s="803" t="s">
        <v>13</v>
      </c>
      <c r="F60" s="804">
        <v>30</v>
      </c>
      <c r="G60" s="1064"/>
      <c r="H60" s="97"/>
      <c r="I60" s="946"/>
      <c r="J60" s="97"/>
      <c r="K60" s="946"/>
    </row>
    <row r="61" spans="1:11" s="224" customFormat="1" ht="15" hidden="1" customHeight="1" x14ac:dyDescent="0.25">
      <c r="A61" s="215">
        <v>43117</v>
      </c>
      <c r="B61" s="349" t="s">
        <v>1811</v>
      </c>
      <c r="C61" s="350" t="s">
        <v>19</v>
      </c>
      <c r="D61" s="802" t="s">
        <v>1524</v>
      </c>
      <c r="E61" s="803" t="s">
        <v>13</v>
      </c>
      <c r="F61" s="804">
        <v>100</v>
      </c>
      <c r="G61" s="1064"/>
      <c r="H61" s="97"/>
      <c r="I61" s="946"/>
      <c r="J61" s="97"/>
      <c r="K61" s="946"/>
    </row>
    <row r="62" spans="1:11" s="224" customFormat="1" x14ac:dyDescent="0.25">
      <c r="A62" s="215">
        <v>43118</v>
      </c>
      <c r="B62" s="349" t="s">
        <v>32</v>
      </c>
      <c r="C62" s="350" t="s">
        <v>12</v>
      </c>
      <c r="D62" s="802" t="s">
        <v>1485</v>
      </c>
      <c r="E62" s="803" t="s">
        <v>15</v>
      </c>
      <c r="F62" s="804">
        <v>14</v>
      </c>
      <c r="G62" s="946"/>
      <c r="H62" s="97"/>
      <c r="I62" s="1473"/>
      <c r="J62" s="97"/>
      <c r="K62" s="1473"/>
    </row>
    <row r="63" spans="1:11" s="224" customFormat="1" hidden="1" x14ac:dyDescent="0.25">
      <c r="A63" s="215">
        <v>43118</v>
      </c>
      <c r="B63" s="862" t="s">
        <v>14</v>
      </c>
      <c r="C63" s="350" t="s">
        <v>12</v>
      </c>
      <c r="D63" s="879" t="s">
        <v>1486</v>
      </c>
      <c r="E63" s="871" t="s">
        <v>15</v>
      </c>
      <c r="F63" s="784">
        <v>8</v>
      </c>
      <c r="G63" s="248"/>
      <c r="H63" s="97"/>
      <c r="I63" s="946"/>
      <c r="J63" s="97"/>
      <c r="K63" s="946"/>
    </row>
    <row r="64" spans="1:11" s="224" customFormat="1" ht="15" hidden="1" customHeight="1" x14ac:dyDescent="0.25">
      <c r="A64" s="215">
        <v>43119</v>
      </c>
      <c r="B64" s="349" t="s">
        <v>260</v>
      </c>
      <c r="C64" s="350"/>
      <c r="D64" s="350"/>
      <c r="E64" s="480"/>
      <c r="F64" s="523">
        <v>820</v>
      </c>
      <c r="G64" s="1064"/>
      <c r="H64" s="97"/>
      <c r="I64" s="946">
        <v>820</v>
      </c>
      <c r="J64" s="97"/>
      <c r="K64" s="946"/>
    </row>
    <row r="65" spans="1:11" s="224" customFormat="1" x14ac:dyDescent="0.25">
      <c r="A65" s="215">
        <v>43119</v>
      </c>
      <c r="B65" s="349" t="s">
        <v>32</v>
      </c>
      <c r="C65" s="350" t="s">
        <v>12</v>
      </c>
      <c r="D65" s="802" t="s">
        <v>1485</v>
      </c>
      <c r="E65" s="803" t="s">
        <v>13</v>
      </c>
      <c r="F65" s="804">
        <v>14</v>
      </c>
      <c r="G65" s="946"/>
      <c r="H65" s="97"/>
      <c r="I65" s="1473"/>
      <c r="J65" s="97"/>
      <c r="K65" s="1473"/>
    </row>
    <row r="66" spans="1:11" hidden="1" x14ac:dyDescent="0.25">
      <c r="A66" s="215">
        <v>43119</v>
      </c>
      <c r="B66" s="882" t="s">
        <v>1812</v>
      </c>
      <c r="C66" s="350" t="s">
        <v>12</v>
      </c>
      <c r="D66" s="145"/>
      <c r="E66" s="145" t="s">
        <v>25</v>
      </c>
      <c r="F66" s="1514"/>
      <c r="G66" s="946">
        <v>1409.62</v>
      </c>
      <c r="H66" s="97"/>
      <c r="I66" s="946"/>
      <c r="J66" s="97"/>
      <c r="K66" s="946"/>
    </row>
    <row r="67" spans="1:11" s="224" customFormat="1" ht="15.75" hidden="1" customHeight="1" x14ac:dyDescent="0.25">
      <c r="A67" s="215">
        <v>43119</v>
      </c>
      <c r="B67" s="882" t="s">
        <v>1813</v>
      </c>
      <c r="C67" s="879" t="s">
        <v>12</v>
      </c>
      <c r="D67" s="879" t="s">
        <v>1499</v>
      </c>
      <c r="E67" s="871" t="s">
        <v>13</v>
      </c>
      <c r="F67" s="97">
        <v>49.56</v>
      </c>
      <c r="G67" s="1473"/>
      <c r="H67" s="250"/>
      <c r="I67" s="946"/>
      <c r="J67" s="97"/>
      <c r="K67" s="946"/>
    </row>
    <row r="68" spans="1:11" s="224" customFormat="1" hidden="1" x14ac:dyDescent="0.25">
      <c r="A68" s="215">
        <v>43119</v>
      </c>
      <c r="B68" s="873" t="s">
        <v>1564</v>
      </c>
      <c r="C68" s="879" t="s">
        <v>12</v>
      </c>
      <c r="D68" s="350" t="s">
        <v>1491</v>
      </c>
      <c r="E68" s="871" t="s">
        <v>15</v>
      </c>
      <c r="F68" s="97">
        <v>120</v>
      </c>
      <c r="G68" s="946"/>
      <c r="H68" s="97"/>
      <c r="I68" s="946"/>
      <c r="J68" s="97"/>
      <c r="K68" s="946"/>
    </row>
    <row r="69" spans="1:11" s="224" customFormat="1" ht="15" hidden="1" customHeight="1" x14ac:dyDescent="0.25">
      <c r="A69" s="215">
        <v>43119</v>
      </c>
      <c r="B69" s="862" t="s">
        <v>1814</v>
      </c>
      <c r="C69" s="350" t="s">
        <v>12</v>
      </c>
      <c r="D69" s="879" t="s">
        <v>1489</v>
      </c>
      <c r="E69" s="871" t="s">
        <v>13</v>
      </c>
      <c r="F69" s="784">
        <v>4.6900000000000004</v>
      </c>
      <c r="G69" s="1064"/>
      <c r="H69" s="97"/>
      <c r="I69" s="946"/>
      <c r="J69" s="97"/>
      <c r="K69" s="946"/>
    </row>
    <row r="70" spans="1:11" s="224" customFormat="1" x14ac:dyDescent="0.25">
      <c r="A70" s="215">
        <v>43120</v>
      </c>
      <c r="B70" s="349" t="s">
        <v>32</v>
      </c>
      <c r="C70" s="350" t="s">
        <v>12</v>
      </c>
      <c r="D70" s="802" t="s">
        <v>1485</v>
      </c>
      <c r="E70" s="803" t="s">
        <v>13</v>
      </c>
      <c r="F70" s="804">
        <v>15.9</v>
      </c>
      <c r="G70" s="946"/>
      <c r="H70" s="97"/>
      <c r="I70" s="1473"/>
      <c r="J70" s="97"/>
      <c r="K70" s="1473"/>
    </row>
    <row r="71" spans="1:11" s="224" customFormat="1" hidden="1" x14ac:dyDescent="0.25">
      <c r="A71" s="215">
        <v>43120</v>
      </c>
      <c r="B71" s="862" t="s">
        <v>14</v>
      </c>
      <c r="C71" s="350" t="s">
        <v>12</v>
      </c>
      <c r="D71" s="879" t="s">
        <v>1486</v>
      </c>
      <c r="E71" s="871" t="s">
        <v>15</v>
      </c>
      <c r="F71" s="784">
        <v>2.68</v>
      </c>
      <c r="G71" s="248"/>
      <c r="H71" s="97"/>
      <c r="I71" s="946"/>
      <c r="J71" s="97"/>
      <c r="K71" s="946"/>
    </row>
    <row r="72" spans="1:11" s="224" customFormat="1" ht="15" hidden="1" customHeight="1" x14ac:dyDescent="0.25">
      <c r="A72" s="215">
        <v>43120</v>
      </c>
      <c r="B72" s="349" t="s">
        <v>82</v>
      </c>
      <c r="C72" s="350" t="s">
        <v>12</v>
      </c>
      <c r="D72" s="765" t="s">
        <v>1493</v>
      </c>
      <c r="E72" s="778" t="s">
        <v>13</v>
      </c>
      <c r="F72" s="97">
        <v>28</v>
      </c>
      <c r="G72" s="946"/>
      <c r="H72" s="97"/>
      <c r="I72" s="946"/>
      <c r="J72" s="97"/>
      <c r="K72" s="946"/>
    </row>
    <row r="73" spans="1:11" s="224" customFormat="1" hidden="1" x14ac:dyDescent="0.25">
      <c r="A73" s="215">
        <v>43121</v>
      </c>
      <c r="B73" s="862" t="s">
        <v>14</v>
      </c>
      <c r="C73" s="350" t="s">
        <v>12</v>
      </c>
      <c r="D73" s="879" t="s">
        <v>1486</v>
      </c>
      <c r="E73" s="871" t="s">
        <v>15</v>
      </c>
      <c r="F73" s="784">
        <v>2.69</v>
      </c>
      <c r="G73" s="248"/>
      <c r="H73" s="97"/>
      <c r="I73" s="946"/>
      <c r="J73" s="97"/>
      <c r="K73" s="946"/>
    </row>
    <row r="74" spans="1:11" s="224" customFormat="1" ht="15" hidden="1" customHeight="1" x14ac:dyDescent="0.25">
      <c r="A74" s="215">
        <v>43121</v>
      </c>
      <c r="B74" s="349" t="s">
        <v>1331</v>
      </c>
      <c r="C74" s="350" t="s">
        <v>12</v>
      </c>
      <c r="D74" s="802" t="s">
        <v>1487</v>
      </c>
      <c r="E74" s="803" t="s">
        <v>13</v>
      </c>
      <c r="F74" s="804">
        <v>50</v>
      </c>
      <c r="G74" s="946"/>
      <c r="H74" s="97"/>
      <c r="I74" s="946"/>
      <c r="J74" s="97"/>
      <c r="K74" s="946"/>
    </row>
    <row r="75" spans="1:11" s="224" customFormat="1" ht="15" hidden="1" customHeight="1" x14ac:dyDescent="0.25">
      <c r="A75" s="215">
        <v>43121</v>
      </c>
      <c r="B75" s="349" t="s">
        <v>1815</v>
      </c>
      <c r="C75" s="350" t="s">
        <v>12</v>
      </c>
      <c r="D75" s="765" t="s">
        <v>1489</v>
      </c>
      <c r="E75" s="778" t="s">
        <v>13</v>
      </c>
      <c r="F75" s="97">
        <v>36</v>
      </c>
      <c r="G75" s="946"/>
      <c r="H75" s="97"/>
      <c r="I75" s="946"/>
      <c r="J75" s="97"/>
      <c r="K75" s="946"/>
    </row>
    <row r="76" spans="1:11" s="224" customFormat="1" ht="15" hidden="1" customHeight="1" x14ac:dyDescent="0.25">
      <c r="A76" s="215">
        <v>43121</v>
      </c>
      <c r="B76" s="349" t="s">
        <v>1816</v>
      </c>
      <c r="C76" s="350" t="s">
        <v>12</v>
      </c>
      <c r="D76" s="765" t="s">
        <v>1489</v>
      </c>
      <c r="E76" s="778" t="s">
        <v>13</v>
      </c>
      <c r="F76" s="97">
        <v>15</v>
      </c>
      <c r="G76" s="946"/>
      <c r="H76" s="97"/>
      <c r="I76" s="946"/>
      <c r="J76" s="97"/>
      <c r="K76" s="946"/>
    </row>
    <row r="77" spans="1:11" s="224" customFormat="1" hidden="1" x14ac:dyDescent="0.25">
      <c r="A77" s="215">
        <v>43121</v>
      </c>
      <c r="B77" s="862" t="s">
        <v>1372</v>
      </c>
      <c r="C77" s="350" t="s">
        <v>12</v>
      </c>
      <c r="D77" s="879" t="s">
        <v>1491</v>
      </c>
      <c r="E77" s="871" t="s">
        <v>13</v>
      </c>
      <c r="F77" s="626">
        <v>5</v>
      </c>
      <c r="G77" s="248"/>
      <c r="H77" s="97"/>
      <c r="I77" s="946"/>
      <c r="J77" s="97"/>
      <c r="K77" s="946"/>
    </row>
    <row r="78" spans="1:11" s="224" customFormat="1" hidden="1" x14ac:dyDescent="0.25">
      <c r="A78" s="215">
        <v>43121</v>
      </c>
      <c r="B78" s="862" t="s">
        <v>1817</v>
      </c>
      <c r="C78" s="350" t="s">
        <v>12</v>
      </c>
      <c r="D78" s="879" t="s">
        <v>1489</v>
      </c>
      <c r="E78" s="871" t="s">
        <v>15</v>
      </c>
      <c r="F78" s="784">
        <v>20</v>
      </c>
      <c r="G78" s="248"/>
      <c r="H78" s="97"/>
      <c r="I78" s="946"/>
      <c r="J78" s="97"/>
      <c r="K78" s="946"/>
    </row>
    <row r="79" spans="1:11" s="224" customFormat="1" hidden="1" x14ac:dyDescent="0.25">
      <c r="A79" s="215">
        <v>43121</v>
      </c>
      <c r="B79" s="862" t="s">
        <v>1438</v>
      </c>
      <c r="C79" s="879" t="s">
        <v>19</v>
      </c>
      <c r="D79" s="879" t="s">
        <v>1489</v>
      </c>
      <c r="E79" s="871" t="s">
        <v>13</v>
      </c>
      <c r="F79" s="523">
        <v>32.49</v>
      </c>
      <c r="G79" s="946"/>
      <c r="H79" s="97"/>
      <c r="I79" s="946"/>
      <c r="J79" s="97"/>
      <c r="K79" s="946"/>
    </row>
    <row r="80" spans="1:11" s="224" customFormat="1" ht="15.75" customHeight="1" x14ac:dyDescent="0.25">
      <c r="A80" s="215">
        <v>43122</v>
      </c>
      <c r="B80" s="349" t="s">
        <v>32</v>
      </c>
      <c r="C80" s="350" t="s">
        <v>12</v>
      </c>
      <c r="D80" s="802" t="s">
        <v>1485</v>
      </c>
      <c r="E80" s="803" t="s">
        <v>13</v>
      </c>
      <c r="F80" s="804">
        <v>14</v>
      </c>
      <c r="G80" s="946"/>
      <c r="H80" s="97"/>
      <c r="I80" s="1473"/>
      <c r="J80" s="97"/>
      <c r="K80" s="1473"/>
    </row>
    <row r="81" spans="1:11" s="224" customFormat="1" ht="15" customHeight="1" x14ac:dyDescent="0.25">
      <c r="A81" s="215">
        <v>43123</v>
      </c>
      <c r="B81" s="349" t="s">
        <v>32</v>
      </c>
      <c r="C81" s="350" t="s">
        <v>12</v>
      </c>
      <c r="D81" s="802" t="s">
        <v>1485</v>
      </c>
      <c r="E81" s="803" t="s">
        <v>13</v>
      </c>
      <c r="F81" s="804">
        <v>14</v>
      </c>
      <c r="G81" s="946"/>
      <c r="H81" s="97"/>
      <c r="I81" s="946"/>
      <c r="J81" s="97"/>
      <c r="K81" s="946"/>
    </row>
    <row r="82" spans="1:11" s="224" customFormat="1" hidden="1" x14ac:dyDescent="0.25">
      <c r="A82" s="215">
        <v>43124</v>
      </c>
      <c r="B82" s="862" t="s">
        <v>1683</v>
      </c>
      <c r="C82" s="350" t="s">
        <v>12</v>
      </c>
      <c r="D82" s="874" t="s">
        <v>1504</v>
      </c>
      <c r="E82" s="1475" t="s">
        <v>13</v>
      </c>
      <c r="F82" s="97">
        <v>60.9</v>
      </c>
      <c r="G82" s="946"/>
      <c r="H82" s="97"/>
      <c r="I82" s="946"/>
      <c r="J82" s="97"/>
      <c r="K82" s="946"/>
    </row>
    <row r="83" spans="1:11" s="224" customFormat="1" ht="15" customHeight="1" x14ac:dyDescent="0.25">
      <c r="A83" s="215">
        <v>43124</v>
      </c>
      <c r="B83" s="349" t="s">
        <v>32</v>
      </c>
      <c r="C83" s="350" t="s">
        <v>12</v>
      </c>
      <c r="D83" s="802" t="s">
        <v>1485</v>
      </c>
      <c r="E83" s="803" t="s">
        <v>15</v>
      </c>
      <c r="F83" s="804">
        <v>14</v>
      </c>
      <c r="G83" s="946"/>
      <c r="H83" s="97"/>
      <c r="I83" s="946"/>
      <c r="J83" s="97"/>
      <c r="K83" s="946"/>
    </row>
    <row r="84" spans="1:11" s="224" customFormat="1" ht="15" hidden="1" customHeight="1" x14ac:dyDescent="0.25">
      <c r="A84" s="215">
        <v>43124</v>
      </c>
      <c r="B84" s="862" t="s">
        <v>14</v>
      </c>
      <c r="C84" s="350" t="s">
        <v>12</v>
      </c>
      <c r="D84" s="879" t="s">
        <v>1486</v>
      </c>
      <c r="E84" s="871" t="s">
        <v>13</v>
      </c>
      <c r="F84" s="784">
        <v>11.4</v>
      </c>
      <c r="G84" s="946"/>
      <c r="H84" s="97"/>
      <c r="I84" s="946"/>
      <c r="J84" s="97"/>
      <c r="K84" s="946"/>
    </row>
    <row r="85" spans="1:11" s="224" customFormat="1" ht="15.75" customHeight="1" x14ac:dyDescent="0.25">
      <c r="A85" s="215">
        <v>43125</v>
      </c>
      <c r="B85" s="349" t="s">
        <v>32</v>
      </c>
      <c r="C85" s="350" t="s">
        <v>12</v>
      </c>
      <c r="D85" s="802" t="s">
        <v>1485</v>
      </c>
      <c r="E85" s="803" t="s">
        <v>15</v>
      </c>
      <c r="F85" s="804">
        <v>14</v>
      </c>
      <c r="G85" s="946"/>
      <c r="H85" s="97"/>
      <c r="I85" s="1473"/>
      <c r="J85" s="97"/>
      <c r="K85" s="1473"/>
    </row>
    <row r="86" spans="1:11" s="224" customFormat="1" ht="15.75" hidden="1" customHeight="1" x14ac:dyDescent="0.25">
      <c r="A86" s="215">
        <v>43125</v>
      </c>
      <c r="B86" s="349" t="s">
        <v>147</v>
      </c>
      <c r="C86" s="350" t="s">
        <v>12</v>
      </c>
      <c r="D86" s="802" t="s">
        <v>1506</v>
      </c>
      <c r="E86" s="803" t="s">
        <v>15</v>
      </c>
      <c r="F86" s="804">
        <v>10</v>
      </c>
      <c r="G86" s="946"/>
      <c r="H86" s="97"/>
      <c r="I86" s="1473"/>
      <c r="J86" s="97"/>
      <c r="K86" s="1473"/>
    </row>
    <row r="87" spans="1:11" s="224" customFormat="1" ht="15" customHeight="1" x14ac:dyDescent="0.25">
      <c r="A87" s="215">
        <v>43126</v>
      </c>
      <c r="B87" s="349" t="s">
        <v>32</v>
      </c>
      <c r="C87" s="350" t="s">
        <v>12</v>
      </c>
      <c r="D87" s="802" t="s">
        <v>1485</v>
      </c>
      <c r="E87" s="803" t="s">
        <v>15</v>
      </c>
      <c r="F87" s="804">
        <v>14</v>
      </c>
      <c r="G87" s="946"/>
      <c r="H87" s="97"/>
      <c r="I87" s="946"/>
      <c r="J87" s="97"/>
      <c r="K87" s="946"/>
    </row>
    <row r="88" spans="1:11" s="224" customFormat="1" hidden="1" x14ac:dyDescent="0.25">
      <c r="A88" s="215">
        <v>43126</v>
      </c>
      <c r="B88" s="862" t="s">
        <v>1731</v>
      </c>
      <c r="C88" s="879" t="s">
        <v>12</v>
      </c>
      <c r="D88" s="879" t="s">
        <v>1487</v>
      </c>
      <c r="E88" s="871" t="s">
        <v>15</v>
      </c>
      <c r="F88" s="523">
        <v>70</v>
      </c>
      <c r="G88" s="946"/>
      <c r="H88" s="97"/>
      <c r="I88" s="946"/>
      <c r="J88" s="97"/>
      <c r="K88" s="946"/>
    </row>
    <row r="89" spans="1:11" s="224" customFormat="1" ht="15" hidden="1" customHeight="1" x14ac:dyDescent="0.25">
      <c r="A89" s="215">
        <v>43126</v>
      </c>
      <c r="B89" s="349" t="s">
        <v>1818</v>
      </c>
      <c r="C89" s="350" t="s">
        <v>19</v>
      </c>
      <c r="D89" s="802" t="s">
        <v>1524</v>
      </c>
      <c r="E89" s="803" t="s">
        <v>13</v>
      </c>
      <c r="F89" s="804">
        <v>27</v>
      </c>
      <c r="G89" s="946"/>
      <c r="H89" s="97"/>
      <c r="I89" s="946"/>
      <c r="J89" s="97"/>
      <c r="K89" s="946"/>
    </row>
    <row r="90" spans="1:11" s="224" customFormat="1" ht="15" hidden="1" customHeight="1" x14ac:dyDescent="0.25">
      <c r="A90" s="215">
        <v>43126</v>
      </c>
      <c r="B90" s="862" t="s">
        <v>14</v>
      </c>
      <c r="C90" s="350" t="s">
        <v>12</v>
      </c>
      <c r="D90" s="879" t="s">
        <v>1486</v>
      </c>
      <c r="E90" s="871" t="s">
        <v>13</v>
      </c>
      <c r="F90" s="784">
        <v>8.7100000000000009</v>
      </c>
      <c r="G90" s="946"/>
      <c r="H90" s="97"/>
      <c r="I90" s="946"/>
      <c r="J90" s="97"/>
      <c r="K90" s="946"/>
    </row>
    <row r="91" spans="1:11" s="224" customFormat="1" ht="15" hidden="1" customHeight="1" x14ac:dyDescent="0.25">
      <c r="A91" s="215">
        <v>43126</v>
      </c>
      <c r="B91" s="862" t="s">
        <v>1689</v>
      </c>
      <c r="C91" s="879" t="s">
        <v>19</v>
      </c>
      <c r="D91" s="879" t="s">
        <v>1491</v>
      </c>
      <c r="E91" s="778" t="s">
        <v>13</v>
      </c>
      <c r="F91" s="97">
        <v>53.8</v>
      </c>
      <c r="G91" s="946"/>
      <c r="H91" s="97"/>
      <c r="I91" s="946"/>
      <c r="J91" s="97"/>
      <c r="K91" s="946"/>
    </row>
    <row r="92" spans="1:11" s="224" customFormat="1" ht="15" hidden="1" customHeight="1" x14ac:dyDescent="0.25">
      <c r="A92" s="215">
        <v>43126</v>
      </c>
      <c r="B92" s="862" t="s">
        <v>256</v>
      </c>
      <c r="C92" s="879"/>
      <c r="D92" s="879"/>
      <c r="E92" s="871"/>
      <c r="F92" s="97"/>
      <c r="G92" s="1064">
        <v>200</v>
      </c>
      <c r="H92" s="97">
        <v>200</v>
      </c>
      <c r="I92" s="946"/>
      <c r="J92" s="97"/>
      <c r="K92" s="946"/>
    </row>
    <row r="93" spans="1:11" s="224" customFormat="1" ht="15" customHeight="1" x14ac:dyDescent="0.25">
      <c r="A93" s="215">
        <v>43127</v>
      </c>
      <c r="B93" s="349" t="s">
        <v>32</v>
      </c>
      <c r="C93" s="350" t="s">
        <v>12</v>
      </c>
      <c r="D93" s="802" t="s">
        <v>1485</v>
      </c>
      <c r="E93" s="803" t="s">
        <v>13</v>
      </c>
      <c r="F93" s="804">
        <v>15.9</v>
      </c>
      <c r="G93" s="946"/>
      <c r="H93" s="97"/>
      <c r="I93" s="946"/>
      <c r="J93" s="97"/>
      <c r="K93" s="946"/>
    </row>
    <row r="94" spans="1:11" s="224" customFormat="1" ht="15" hidden="1" customHeight="1" x14ac:dyDescent="0.25">
      <c r="A94" s="215">
        <v>43127</v>
      </c>
      <c r="B94" s="349" t="s">
        <v>17</v>
      </c>
      <c r="C94" s="350" t="s">
        <v>12</v>
      </c>
      <c r="D94" s="765" t="s">
        <v>1493</v>
      </c>
      <c r="E94" s="778" t="s">
        <v>13</v>
      </c>
      <c r="F94" s="97">
        <v>17.5</v>
      </c>
      <c r="G94" s="946"/>
      <c r="H94" s="97"/>
      <c r="I94" s="946"/>
      <c r="J94" s="97"/>
      <c r="K94" s="946"/>
    </row>
    <row r="95" spans="1:11" s="224" customFormat="1" ht="15" hidden="1" customHeight="1" x14ac:dyDescent="0.25">
      <c r="A95" s="215">
        <v>43127</v>
      </c>
      <c r="B95" s="862" t="s">
        <v>14</v>
      </c>
      <c r="C95" s="350" t="s">
        <v>12</v>
      </c>
      <c r="D95" s="879" t="s">
        <v>1486</v>
      </c>
      <c r="E95" s="871" t="s">
        <v>13</v>
      </c>
      <c r="F95" s="784">
        <v>10.39</v>
      </c>
      <c r="G95" s="946"/>
      <c r="H95" s="97"/>
      <c r="I95" s="946"/>
      <c r="J95" s="97"/>
      <c r="K95" s="946"/>
    </row>
    <row r="96" spans="1:11" s="224" customFormat="1" ht="15" hidden="1" customHeight="1" x14ac:dyDescent="0.25">
      <c r="A96" s="215">
        <v>43127</v>
      </c>
      <c r="B96" s="349" t="s">
        <v>1819</v>
      </c>
      <c r="C96" s="350" t="s">
        <v>12</v>
      </c>
      <c r="D96" s="765" t="s">
        <v>1493</v>
      </c>
      <c r="E96" s="778" t="s">
        <v>13</v>
      </c>
      <c r="F96" s="97">
        <v>8.5</v>
      </c>
      <c r="G96" s="946"/>
      <c r="H96" s="97"/>
      <c r="I96" s="946"/>
      <c r="J96" s="97"/>
      <c r="K96" s="946"/>
    </row>
    <row r="97" spans="1:11" s="224" customFormat="1" ht="15" hidden="1" customHeight="1" x14ac:dyDescent="0.25">
      <c r="A97" s="215">
        <v>43128</v>
      </c>
      <c r="B97" s="862" t="s">
        <v>1820</v>
      </c>
      <c r="C97" s="350" t="s">
        <v>12</v>
      </c>
      <c r="D97" s="879" t="s">
        <v>1489</v>
      </c>
      <c r="E97" s="871" t="s">
        <v>15</v>
      </c>
      <c r="F97" s="626">
        <v>10</v>
      </c>
      <c r="G97" s="946"/>
      <c r="H97" s="97"/>
      <c r="I97" s="946"/>
      <c r="J97" s="97"/>
      <c r="K97" s="946"/>
    </row>
    <row r="98" spans="1:11" s="224" customFormat="1" ht="15" hidden="1" customHeight="1" x14ac:dyDescent="0.25">
      <c r="A98" s="215">
        <v>43128</v>
      </c>
      <c r="B98" s="862" t="s">
        <v>14</v>
      </c>
      <c r="C98" s="350" t="s">
        <v>12</v>
      </c>
      <c r="D98" s="879" t="s">
        <v>1486</v>
      </c>
      <c r="E98" s="871" t="s">
        <v>13</v>
      </c>
      <c r="F98" s="784">
        <v>6.22</v>
      </c>
      <c r="G98" s="946"/>
      <c r="H98" s="97"/>
      <c r="I98" s="946"/>
      <c r="J98" s="97"/>
      <c r="K98" s="946"/>
    </row>
    <row r="99" spans="1:11" s="224" customFormat="1" ht="15" customHeight="1" x14ac:dyDescent="0.25">
      <c r="A99" s="215">
        <v>43098</v>
      </c>
      <c r="B99" s="349" t="s">
        <v>32</v>
      </c>
      <c r="C99" s="350" t="s">
        <v>12</v>
      </c>
      <c r="D99" s="802" t="s">
        <v>1485</v>
      </c>
      <c r="E99" s="803" t="s">
        <v>13</v>
      </c>
      <c r="F99" s="804">
        <v>14</v>
      </c>
      <c r="G99" s="946"/>
      <c r="H99" s="97"/>
      <c r="I99" s="946"/>
      <c r="J99" s="97"/>
      <c r="K99" s="946"/>
    </row>
    <row r="100" spans="1:11" s="224" customFormat="1" hidden="1" x14ac:dyDescent="0.25">
      <c r="A100" s="215">
        <v>43098</v>
      </c>
      <c r="B100" s="862" t="s">
        <v>1438</v>
      </c>
      <c r="C100" s="879" t="s">
        <v>12</v>
      </c>
      <c r="D100" s="879" t="s">
        <v>1489</v>
      </c>
      <c r="E100" s="871" t="s">
        <v>13</v>
      </c>
      <c r="F100" s="523">
        <v>17.75</v>
      </c>
      <c r="G100" s="946"/>
      <c r="H100" s="97"/>
      <c r="I100" s="946"/>
      <c r="J100" s="97"/>
      <c r="K100" s="946"/>
    </row>
    <row r="101" spans="1:11" s="224" customFormat="1" hidden="1" x14ac:dyDescent="0.25">
      <c r="A101" s="215">
        <v>43098</v>
      </c>
      <c r="B101" s="862" t="s">
        <v>114</v>
      </c>
      <c r="C101" s="879" t="s">
        <v>12</v>
      </c>
      <c r="D101" s="879" t="s">
        <v>1506</v>
      </c>
      <c r="E101" s="871" t="s">
        <v>13</v>
      </c>
      <c r="F101" s="523">
        <v>10</v>
      </c>
      <c r="G101" s="946"/>
      <c r="H101" s="97"/>
      <c r="I101" s="946"/>
      <c r="J101" s="97"/>
      <c r="K101" s="946"/>
    </row>
    <row r="102" spans="1:11" s="224" customFormat="1" ht="15" hidden="1" customHeight="1" x14ac:dyDescent="0.25">
      <c r="A102" s="215">
        <v>43098</v>
      </c>
      <c r="B102" s="862" t="s">
        <v>1014</v>
      </c>
      <c r="C102" s="879" t="s">
        <v>12</v>
      </c>
      <c r="D102" s="879" t="s">
        <v>1491</v>
      </c>
      <c r="E102" s="871" t="s">
        <v>13</v>
      </c>
      <c r="F102" s="523">
        <v>24.43</v>
      </c>
      <c r="G102" s="946"/>
      <c r="H102" s="97"/>
      <c r="I102" s="946"/>
      <c r="J102" s="97"/>
      <c r="K102" s="946"/>
    </row>
    <row r="103" spans="1:11" s="224" customFormat="1" ht="15" hidden="1" customHeight="1" x14ac:dyDescent="0.25">
      <c r="A103" s="215">
        <v>43098</v>
      </c>
      <c r="B103" s="862" t="s">
        <v>14</v>
      </c>
      <c r="C103" s="350" t="s">
        <v>12</v>
      </c>
      <c r="D103" s="879" t="s">
        <v>1486</v>
      </c>
      <c r="E103" s="871" t="s">
        <v>13</v>
      </c>
      <c r="F103" s="784">
        <v>6.3</v>
      </c>
      <c r="G103" s="946"/>
      <c r="H103" s="97"/>
      <c r="I103" s="946"/>
      <c r="J103" s="97"/>
      <c r="K103" s="946"/>
    </row>
    <row r="104" spans="1:11" s="224" customFormat="1" ht="15" customHeight="1" x14ac:dyDescent="0.25">
      <c r="A104" s="215">
        <v>43130</v>
      </c>
      <c r="B104" s="349" t="s">
        <v>32</v>
      </c>
      <c r="C104" s="350" t="s">
        <v>12</v>
      </c>
      <c r="D104" s="802" t="s">
        <v>1485</v>
      </c>
      <c r="E104" s="803" t="s">
        <v>15</v>
      </c>
      <c r="F104" s="804">
        <v>14</v>
      </c>
      <c r="G104" s="946"/>
      <c r="H104" s="97"/>
      <c r="I104" s="946"/>
      <c r="J104" s="97"/>
      <c r="K104" s="946"/>
    </row>
    <row r="105" spans="1:11" s="224" customFormat="1" ht="15" hidden="1" customHeight="1" x14ac:dyDescent="0.25">
      <c r="A105" s="215">
        <v>43130</v>
      </c>
      <c r="B105" s="862" t="s">
        <v>256</v>
      </c>
      <c r="C105" s="879"/>
      <c r="D105" s="879"/>
      <c r="E105" s="871"/>
      <c r="F105" s="97"/>
      <c r="G105" s="1064">
        <v>300</v>
      </c>
      <c r="H105" s="97">
        <v>300</v>
      </c>
      <c r="I105" s="946"/>
      <c r="J105" s="97"/>
      <c r="K105" s="946"/>
    </row>
    <row r="106" spans="1:11" s="224" customFormat="1" ht="15" hidden="1" customHeight="1" x14ac:dyDescent="0.25">
      <c r="A106" s="215">
        <v>43130</v>
      </c>
      <c r="B106" s="349" t="s">
        <v>1331</v>
      </c>
      <c r="C106" s="350" t="s">
        <v>19</v>
      </c>
      <c r="D106" s="802" t="s">
        <v>1487</v>
      </c>
      <c r="E106" s="803" t="s">
        <v>13</v>
      </c>
      <c r="F106" s="804">
        <v>80</v>
      </c>
      <c r="G106" s="946"/>
      <c r="H106" s="97"/>
      <c r="I106" s="946"/>
      <c r="J106" s="97"/>
      <c r="K106" s="946"/>
    </row>
    <row r="107" spans="1:11" s="224" customFormat="1" hidden="1" x14ac:dyDescent="0.25">
      <c r="A107" s="215">
        <v>43130</v>
      </c>
      <c r="B107" s="862" t="s">
        <v>1821</v>
      </c>
      <c r="C107" s="350" t="s">
        <v>19</v>
      </c>
      <c r="D107" s="874" t="s">
        <v>1506</v>
      </c>
      <c r="E107" s="875" t="s">
        <v>13</v>
      </c>
      <c r="F107" s="97">
        <v>50</v>
      </c>
      <c r="G107" s="946"/>
      <c r="H107" s="97"/>
      <c r="I107" s="946"/>
      <c r="J107" s="97"/>
      <c r="K107" s="946"/>
    </row>
    <row r="108" spans="1:11" s="224" customFormat="1" hidden="1" x14ac:dyDescent="0.25">
      <c r="A108" s="215">
        <v>43130</v>
      </c>
      <c r="B108" s="862" t="s">
        <v>1822</v>
      </c>
      <c r="C108" s="350" t="s">
        <v>12</v>
      </c>
      <c r="D108" s="874" t="s">
        <v>1489</v>
      </c>
      <c r="E108" s="875" t="s">
        <v>13</v>
      </c>
      <c r="F108" s="97">
        <v>8.5</v>
      </c>
      <c r="G108" s="946"/>
      <c r="H108" s="97"/>
      <c r="I108" s="946"/>
      <c r="J108" s="97"/>
      <c r="K108" s="946"/>
    </row>
    <row r="109" spans="1:11" s="224" customFormat="1" ht="15" hidden="1" customHeight="1" x14ac:dyDescent="0.25">
      <c r="A109" s="215">
        <v>43130</v>
      </c>
      <c r="B109" s="862" t="s">
        <v>14</v>
      </c>
      <c r="C109" s="350" t="s">
        <v>12</v>
      </c>
      <c r="D109" s="879" t="s">
        <v>1486</v>
      </c>
      <c r="E109" s="871" t="s">
        <v>13</v>
      </c>
      <c r="F109" s="784">
        <v>7.52</v>
      </c>
      <c r="G109" s="946"/>
      <c r="H109" s="97"/>
      <c r="I109" s="946"/>
      <c r="J109" s="97"/>
      <c r="K109" s="946"/>
    </row>
    <row r="110" spans="1:11" s="224" customFormat="1" hidden="1" x14ac:dyDescent="0.25">
      <c r="A110" s="215">
        <v>43131</v>
      </c>
      <c r="B110" s="862" t="s">
        <v>1710</v>
      </c>
      <c r="C110" s="879" t="s">
        <v>12</v>
      </c>
      <c r="D110" s="879" t="s">
        <v>1504</v>
      </c>
      <c r="E110" s="871" t="s">
        <v>13</v>
      </c>
      <c r="F110" s="97">
        <v>29.9</v>
      </c>
      <c r="G110" s="946"/>
      <c r="H110" s="97"/>
      <c r="I110" s="1473"/>
      <c r="J110" s="97"/>
      <c r="K110" s="946"/>
    </row>
    <row r="111" spans="1:11" s="224" customFormat="1" ht="15" customHeight="1" x14ac:dyDescent="0.25">
      <c r="A111" s="215">
        <v>43131</v>
      </c>
      <c r="B111" s="349" t="s">
        <v>32</v>
      </c>
      <c r="C111" s="350" t="s">
        <v>12</v>
      </c>
      <c r="D111" s="802" t="s">
        <v>1485</v>
      </c>
      <c r="E111" s="803" t="s">
        <v>15</v>
      </c>
      <c r="F111" s="804">
        <v>14</v>
      </c>
      <c r="G111" s="946"/>
      <c r="H111" s="97"/>
      <c r="I111" s="946"/>
      <c r="J111" s="97"/>
      <c r="K111" s="946"/>
    </row>
    <row r="112" spans="1:11" s="224" customFormat="1" hidden="1" x14ac:dyDescent="0.25">
      <c r="A112" s="215">
        <v>43131</v>
      </c>
      <c r="B112" s="862" t="s">
        <v>1666</v>
      </c>
      <c r="C112" s="350" t="s">
        <v>12</v>
      </c>
      <c r="D112" s="350"/>
      <c r="E112" s="757" t="s">
        <v>25</v>
      </c>
      <c r="F112" s="97"/>
      <c r="G112" s="946"/>
      <c r="H112" s="97"/>
      <c r="I112" s="946"/>
      <c r="J112" s="97"/>
      <c r="K112" s="946">
        <v>20</v>
      </c>
    </row>
    <row r="113" spans="1:12" s="224" customFormat="1" ht="15" hidden="1" customHeight="1" thickBot="1" x14ac:dyDescent="0.3">
      <c r="A113" s="215">
        <v>43131</v>
      </c>
      <c r="B113" s="862" t="s">
        <v>14</v>
      </c>
      <c r="C113" s="350" t="s">
        <v>12</v>
      </c>
      <c r="D113" s="879" t="s">
        <v>1486</v>
      </c>
      <c r="E113" s="871" t="s">
        <v>13</v>
      </c>
      <c r="F113" s="784">
        <v>5.2</v>
      </c>
      <c r="G113" s="946"/>
      <c r="H113" s="97"/>
      <c r="I113" s="946"/>
      <c r="J113" s="97"/>
      <c r="K113" s="946"/>
    </row>
    <row r="114" spans="1:12" ht="25.5" hidden="1" customHeight="1" thickBot="1" x14ac:dyDescent="0.3">
      <c r="A114" s="3060"/>
      <c r="B114" s="3061"/>
      <c r="C114" s="3062"/>
      <c r="D114" s="3062"/>
      <c r="E114" s="3062"/>
      <c r="F114" s="100">
        <f>SUM(F6:F113)</f>
        <v>5699.329999999999</v>
      </c>
      <c r="G114" s="1065">
        <f>SUM(G5:G113)</f>
        <v>5972.5900000000111</v>
      </c>
      <c r="H114" s="101">
        <f>SUM(H6:H113)</f>
        <v>1504.28</v>
      </c>
      <c r="I114" s="93">
        <f>SUM(I5:I113)</f>
        <v>4104.2760000000017</v>
      </c>
      <c r="J114" s="774"/>
      <c r="K114" s="1516"/>
      <c r="L114" s="89"/>
    </row>
    <row r="115" spans="1:12" ht="25.5" hidden="1" customHeight="1" thickBot="1" x14ac:dyDescent="0.3">
      <c r="A115" s="3117" t="s">
        <v>49</v>
      </c>
      <c r="B115" s="3118"/>
      <c r="C115" s="3118"/>
      <c r="D115" s="3118"/>
      <c r="E115" s="3118"/>
      <c r="F115" s="144"/>
      <c r="G115" s="519">
        <f>G114-F114</f>
        <v>273.26000000001204</v>
      </c>
      <c r="H115" s="555"/>
      <c r="I115" s="772">
        <f>I114-H114</f>
        <v>2599.9960000000019</v>
      </c>
      <c r="J115" s="773"/>
      <c r="K115" s="775">
        <f>SUM(K5:K114)</f>
        <v>8460.4499999999989</v>
      </c>
    </row>
    <row r="116" spans="1:12" x14ac:dyDescent="0.25">
      <c r="G116" s="89"/>
      <c r="J116" s="769"/>
      <c r="K116" s="868"/>
    </row>
    <row r="117" spans="1:12" x14ac:dyDescent="0.25">
      <c r="B117" s="79" t="s">
        <v>32</v>
      </c>
      <c r="C117" s="475">
        <v>392</v>
      </c>
      <c r="D117" s="85" t="s">
        <v>1485</v>
      </c>
      <c r="J117" s="769"/>
      <c r="K117" s="866"/>
    </row>
    <row r="118" spans="1:12" x14ac:dyDescent="0.25">
      <c r="B118" s="79" t="s">
        <v>1218</v>
      </c>
      <c r="C118" s="475">
        <v>460</v>
      </c>
      <c r="D118" s="85" t="s">
        <v>1487</v>
      </c>
      <c r="J118" s="769"/>
      <c r="K118" s="868"/>
    </row>
    <row r="119" spans="1:12" x14ac:dyDescent="0.25">
      <c r="B119" s="79" t="s">
        <v>50</v>
      </c>
      <c r="C119" s="484">
        <v>127.33</v>
      </c>
      <c r="D119" s="85" t="s">
        <v>1493</v>
      </c>
      <c r="J119" s="769"/>
      <c r="K119" s="866"/>
    </row>
    <row r="120" spans="1:12" s="85" customFormat="1" x14ac:dyDescent="0.25">
      <c r="A120" s="79"/>
      <c r="B120" s="79" t="s">
        <v>14</v>
      </c>
      <c r="C120" s="484">
        <v>128.57</v>
      </c>
      <c r="D120" s="85" t="s">
        <v>1486</v>
      </c>
      <c r="J120" s="769"/>
      <c r="K120" s="866"/>
    </row>
    <row r="121" spans="1:12" s="85" customFormat="1" x14ac:dyDescent="0.25">
      <c r="A121" s="79"/>
      <c r="B121" s="79" t="s">
        <v>51</v>
      </c>
      <c r="C121" s="475">
        <v>93.22</v>
      </c>
      <c r="D121" s="864" t="s">
        <v>1499</v>
      </c>
      <c r="E121" s="79"/>
      <c r="F121" s="89"/>
      <c r="G121" s="79"/>
      <c r="H121" s="79"/>
      <c r="I121" s="79"/>
      <c r="J121" s="769"/>
      <c r="K121" s="866"/>
    </row>
    <row r="122" spans="1:12" s="85" customFormat="1" x14ac:dyDescent="0.25">
      <c r="A122" s="79"/>
      <c r="B122" s="79" t="s">
        <v>52</v>
      </c>
      <c r="C122" s="475">
        <v>60</v>
      </c>
      <c r="D122" s="864" t="s">
        <v>1496</v>
      </c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867" t="s">
        <v>53</v>
      </c>
      <c r="C123" s="475">
        <v>414.48</v>
      </c>
      <c r="D123" s="864" t="s">
        <v>1522</v>
      </c>
      <c r="E123" s="8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1823</v>
      </c>
      <c r="C124" s="475"/>
      <c r="D124" s="864" t="s">
        <v>1515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56</v>
      </c>
      <c r="C125" s="475"/>
      <c r="D125" s="864" t="s">
        <v>1523</v>
      </c>
      <c r="F125" s="89"/>
      <c r="G125" s="79"/>
      <c r="H125" s="79"/>
      <c r="I125" s="79"/>
      <c r="J125" s="769"/>
      <c r="K125" s="868"/>
    </row>
    <row r="126" spans="1:12" s="85" customFormat="1" x14ac:dyDescent="0.25">
      <c r="A126" s="79"/>
      <c r="B126" s="79" t="s">
        <v>1686</v>
      </c>
      <c r="C126" s="475">
        <v>227.66</v>
      </c>
      <c r="D126" s="864" t="s">
        <v>1506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418</v>
      </c>
      <c r="C127" s="475">
        <v>127</v>
      </c>
      <c r="D127" s="85" t="s">
        <v>1524</v>
      </c>
      <c r="E127" s="79"/>
      <c r="F127" s="89"/>
      <c r="J127" s="769"/>
      <c r="K127" s="866"/>
    </row>
    <row r="128" spans="1:12" x14ac:dyDescent="0.25">
      <c r="B128" s="79" t="s">
        <v>419</v>
      </c>
      <c r="C128" s="475">
        <v>471.47</v>
      </c>
      <c r="D128" s="85" t="s">
        <v>1491</v>
      </c>
      <c r="J128" s="769"/>
      <c r="K128" s="868"/>
    </row>
    <row r="129" spans="2:12" x14ac:dyDescent="0.25">
      <c r="B129" s="79" t="s">
        <v>911</v>
      </c>
      <c r="C129" s="475"/>
      <c r="D129" s="85" t="s">
        <v>1525</v>
      </c>
      <c r="J129" s="769"/>
      <c r="K129" s="868"/>
    </row>
    <row r="130" spans="2:12" x14ac:dyDescent="0.25">
      <c r="B130" s="79" t="s">
        <v>1526</v>
      </c>
      <c r="C130" s="475">
        <v>140.80000000000001</v>
      </c>
      <c r="D130" s="85" t="s">
        <v>1504</v>
      </c>
      <c r="E130" s="79"/>
      <c r="J130" s="769"/>
      <c r="K130" s="866"/>
    </row>
    <row r="131" spans="2:12" x14ac:dyDescent="0.25">
      <c r="B131" s="79" t="s">
        <v>1527</v>
      </c>
      <c r="C131" s="475">
        <v>437.13</v>
      </c>
      <c r="D131" s="85" t="s">
        <v>1489</v>
      </c>
      <c r="J131" s="769"/>
      <c r="K131" s="868"/>
    </row>
    <row r="132" spans="2:12" x14ac:dyDescent="0.25">
      <c r="J132" s="769"/>
      <c r="K132" s="866"/>
    </row>
    <row r="133" spans="2:12" x14ac:dyDescent="0.25">
      <c r="J133" s="769"/>
      <c r="K133" s="866"/>
    </row>
    <row r="134" spans="2:12" x14ac:dyDescent="0.25">
      <c r="B134" s="79" t="s">
        <v>486</v>
      </c>
      <c r="C134" s="475">
        <f>H134/J134</f>
        <v>99.343870967741964</v>
      </c>
      <c r="F134" s="224" t="s">
        <v>487</v>
      </c>
      <c r="H134" s="216">
        <f>SUM(C117:C131)</f>
        <v>3079.6600000000008</v>
      </c>
      <c r="I134" s="518" t="s">
        <v>488</v>
      </c>
      <c r="J134" s="1517">
        <v>31</v>
      </c>
      <c r="K134" s="866"/>
      <c r="L134" s="85"/>
    </row>
    <row r="135" spans="2:12" x14ac:dyDescent="0.25">
      <c r="J135" s="769"/>
      <c r="K135" s="866"/>
    </row>
    <row r="136" spans="2:12" x14ac:dyDescent="0.25">
      <c r="J136" s="769"/>
      <c r="K136" s="868"/>
    </row>
    <row r="137" spans="2:12" x14ac:dyDescent="0.25">
      <c r="K137" s="866"/>
    </row>
    <row r="138" spans="2:12" x14ac:dyDescent="0.25">
      <c r="D138" s="79"/>
      <c r="E138" s="79"/>
      <c r="J138" s="769"/>
      <c r="K138" s="866"/>
    </row>
    <row r="139" spans="2:12" x14ac:dyDescent="0.25">
      <c r="J139" s="769"/>
      <c r="K139" s="866"/>
    </row>
    <row r="140" spans="2:12" x14ac:dyDescent="0.25">
      <c r="J140" s="769"/>
      <c r="K140" s="866"/>
    </row>
    <row r="141" spans="2:12" x14ac:dyDescent="0.25">
      <c r="J141" s="769"/>
      <c r="K141" s="866"/>
    </row>
    <row r="142" spans="2:12" x14ac:dyDescent="0.25">
      <c r="C142" s="79"/>
      <c r="D142" s="79"/>
      <c r="E142" s="79"/>
      <c r="F142" s="79"/>
      <c r="I142" s="216"/>
      <c r="J142" s="769"/>
      <c r="K142" s="866"/>
    </row>
    <row r="143" spans="2:12" x14ac:dyDescent="0.25">
      <c r="C143" s="79"/>
      <c r="D143" s="79"/>
      <c r="E143" s="79"/>
      <c r="F143" s="79"/>
      <c r="I143" s="216"/>
      <c r="J143" s="769"/>
      <c r="K143" s="866"/>
    </row>
    <row r="144" spans="2:12" x14ac:dyDescent="0.25">
      <c r="C144" s="79"/>
      <c r="D144" s="79"/>
      <c r="E144" s="79"/>
      <c r="F144" s="79"/>
      <c r="G144" s="216"/>
      <c r="I144" s="216"/>
      <c r="J144" s="769"/>
      <c r="K144" s="868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J146" s="770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8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629"/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C169" s="79"/>
      <c r="D169" s="79"/>
      <c r="E169" s="79"/>
      <c r="F169" s="79"/>
      <c r="J169" s="769"/>
      <c r="K169" s="868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6"/>
    </row>
    <row r="174" spans="3:11" x14ac:dyDescent="0.25">
      <c r="C174" s="79"/>
      <c r="D174" s="79"/>
      <c r="E174" s="79"/>
      <c r="F174" s="79"/>
      <c r="J174" s="223"/>
      <c r="K174" s="629"/>
    </row>
    <row r="175" spans="3:11" x14ac:dyDescent="0.25">
      <c r="C175" s="79"/>
      <c r="D175" s="79"/>
      <c r="E175" s="79"/>
      <c r="F175" s="79"/>
      <c r="J175" s="756"/>
      <c r="K175" s="756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  <c r="J180" s="85"/>
      <c r="K180" s="85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  <c r="J187" s="85"/>
      <c r="K187" s="85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771"/>
      <c r="K194" s="518"/>
    </row>
    <row r="195" spans="3:11" x14ac:dyDescent="0.25">
      <c r="C195" s="79"/>
      <c r="D195" s="79"/>
      <c r="E195" s="79"/>
      <c r="F195" s="79"/>
    </row>
    <row r="202" spans="3:11" x14ac:dyDescent="0.25">
      <c r="C202" s="79"/>
      <c r="D202" s="79"/>
      <c r="E202" s="79"/>
      <c r="F202" s="79"/>
      <c r="K202" s="216"/>
    </row>
    <row r="203" spans="3:11" x14ac:dyDescent="0.25">
      <c r="C203" s="79"/>
      <c r="D203" s="79"/>
      <c r="E203" s="79"/>
      <c r="F203" s="79"/>
      <c r="K203" s="216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7" spans="3:11" x14ac:dyDescent="0.25">
      <c r="C207" s="79"/>
      <c r="D207" s="79"/>
      <c r="E207" s="79"/>
      <c r="F207" s="79"/>
      <c r="K207" s="216"/>
    </row>
    <row r="209" spans="3:11" x14ac:dyDescent="0.25">
      <c r="C209" s="79"/>
      <c r="D209" s="79"/>
      <c r="E209" s="79"/>
      <c r="F209" s="79"/>
      <c r="K209" s="629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</sheetData>
  <autoFilter ref="A2:I115" xr:uid="{00000000-0009-0000-0000-000045000000}">
    <filterColumn colId="3">
      <filters>
        <filter val="A"/>
      </filters>
    </filterColumn>
  </autoFilter>
  <mergeCells count="13">
    <mergeCell ref="M22:N22"/>
    <mergeCell ref="A114:E114"/>
    <mergeCell ref="A115:E11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Plan82"/>
  <dimension ref="A1:N197"/>
  <sheetViews>
    <sheetView zoomScale="85" zoomScaleNormal="85" workbookViewId="0">
      <pane ySplit="4" topLeftCell="A6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1824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43132</v>
      </c>
      <c r="B5" s="369" t="s">
        <v>10</v>
      </c>
      <c r="C5" s="370"/>
      <c r="D5" s="370"/>
      <c r="E5" s="777"/>
      <c r="F5" s="179"/>
      <c r="G5" s="933">
        <f>'Janeiro-2018'!G115</f>
        <v>273.26000000001204</v>
      </c>
      <c r="H5" s="179"/>
      <c r="I5" s="933">
        <f>'Janeiro-2018'!I115</f>
        <v>2599.9960000000019</v>
      </c>
      <c r="J5" s="179"/>
      <c r="K5" s="933">
        <f>'Janeiro-2018'!K115</f>
        <v>8460.4499999999989</v>
      </c>
    </row>
    <row r="6" spans="1:11" s="224" customFormat="1" x14ac:dyDescent="0.25">
      <c r="A6" s="215">
        <v>43132</v>
      </c>
      <c r="B6" s="348" t="s">
        <v>11</v>
      </c>
      <c r="C6" s="351"/>
      <c r="D6" s="351"/>
      <c r="E6" s="673"/>
      <c r="F6" s="250">
        <v>15</v>
      </c>
      <c r="G6" s="1473"/>
      <c r="H6" s="250"/>
      <c r="I6" s="1473"/>
      <c r="J6" s="250"/>
      <c r="K6" s="1473"/>
    </row>
    <row r="7" spans="1:11" s="224" customFormat="1" x14ac:dyDescent="0.25">
      <c r="A7" s="215">
        <v>43132</v>
      </c>
      <c r="B7" s="349" t="s">
        <v>32</v>
      </c>
      <c r="C7" s="350" t="s">
        <v>12</v>
      </c>
      <c r="D7" s="802" t="s">
        <v>1485</v>
      </c>
      <c r="E7" s="778" t="s">
        <v>13</v>
      </c>
      <c r="F7" s="804">
        <v>14</v>
      </c>
      <c r="G7" s="1064"/>
      <c r="H7" s="97"/>
      <c r="I7" s="946"/>
      <c r="J7" s="97"/>
      <c r="K7" s="946"/>
    </row>
    <row r="8" spans="1:11" s="224" customFormat="1" ht="15" customHeight="1" x14ac:dyDescent="0.25">
      <c r="A8" s="215">
        <v>43132</v>
      </c>
      <c r="B8" s="349" t="s">
        <v>14</v>
      </c>
      <c r="C8" s="350" t="s">
        <v>12</v>
      </c>
      <c r="D8" s="765" t="s">
        <v>1486</v>
      </c>
      <c r="E8" s="778" t="s">
        <v>13</v>
      </c>
      <c r="F8" s="97">
        <v>3.17</v>
      </c>
      <c r="G8" s="946"/>
      <c r="H8" s="97"/>
      <c r="I8" s="946"/>
      <c r="J8" s="97"/>
      <c r="K8" s="946"/>
    </row>
    <row r="9" spans="1:11" s="224" customFormat="1" x14ac:dyDescent="0.25">
      <c r="A9" s="215">
        <v>43133</v>
      </c>
      <c r="B9" s="349" t="s">
        <v>32</v>
      </c>
      <c r="C9" s="350" t="s">
        <v>12</v>
      </c>
      <c r="D9" s="802" t="s">
        <v>1485</v>
      </c>
      <c r="E9" s="778" t="s">
        <v>13</v>
      </c>
      <c r="F9" s="804">
        <v>14</v>
      </c>
      <c r="G9" s="946"/>
      <c r="H9" s="97"/>
      <c r="I9" s="946"/>
      <c r="J9" s="97"/>
      <c r="K9" s="946"/>
    </row>
    <row r="10" spans="1:11" s="224" customFormat="1" ht="15" customHeight="1" x14ac:dyDescent="0.25">
      <c r="A10" s="215">
        <v>43133</v>
      </c>
      <c r="B10" s="349" t="s">
        <v>14</v>
      </c>
      <c r="C10" s="350" t="s">
        <v>12</v>
      </c>
      <c r="D10" s="765" t="s">
        <v>1486</v>
      </c>
      <c r="E10" s="778" t="s">
        <v>13</v>
      </c>
      <c r="F10" s="97">
        <v>8.92</v>
      </c>
      <c r="G10" s="946"/>
      <c r="H10" s="97"/>
      <c r="I10" s="946"/>
      <c r="J10" s="97"/>
      <c r="K10" s="946"/>
    </row>
    <row r="11" spans="1:11" s="224" customFormat="1" x14ac:dyDescent="0.25">
      <c r="A11" s="215">
        <v>43133</v>
      </c>
      <c r="B11" s="349" t="s">
        <v>1091</v>
      </c>
      <c r="C11" s="350" t="s">
        <v>12</v>
      </c>
      <c r="D11" s="802" t="s">
        <v>1491</v>
      </c>
      <c r="E11" s="778" t="s">
        <v>15</v>
      </c>
      <c r="F11" s="804">
        <v>30</v>
      </c>
      <c r="G11" s="946"/>
      <c r="H11" s="97"/>
      <c r="I11" s="946"/>
      <c r="J11" s="97"/>
      <c r="K11" s="946"/>
    </row>
    <row r="12" spans="1:11" s="224" customFormat="1" x14ac:dyDescent="0.25">
      <c r="A12" s="215">
        <v>43134</v>
      </c>
      <c r="B12" s="349" t="s">
        <v>32</v>
      </c>
      <c r="C12" s="350" t="s">
        <v>12</v>
      </c>
      <c r="D12" s="802" t="s">
        <v>1485</v>
      </c>
      <c r="E12" s="778" t="s">
        <v>13</v>
      </c>
      <c r="F12" s="804">
        <v>15</v>
      </c>
      <c r="G12" s="946"/>
      <c r="H12" s="97"/>
      <c r="I12" s="946"/>
      <c r="J12" s="97"/>
      <c r="K12" s="946"/>
    </row>
    <row r="13" spans="1:11" s="224" customFormat="1" x14ac:dyDescent="0.25">
      <c r="A13" s="215">
        <v>43134</v>
      </c>
      <c r="B13" s="862" t="s">
        <v>1825</v>
      </c>
      <c r="C13" s="350" t="s">
        <v>19</v>
      </c>
      <c r="D13" s="879" t="s">
        <v>1524</v>
      </c>
      <c r="E13" s="871" t="s">
        <v>13</v>
      </c>
      <c r="F13" s="523">
        <v>10</v>
      </c>
      <c r="G13" s="946"/>
      <c r="H13" s="97"/>
      <c r="I13" s="946"/>
      <c r="J13" s="97"/>
      <c r="K13" s="946"/>
    </row>
    <row r="14" spans="1:11" s="224" customFormat="1" x14ac:dyDescent="0.25">
      <c r="A14" s="215">
        <v>43134</v>
      </c>
      <c r="B14" s="862" t="s">
        <v>1438</v>
      </c>
      <c r="C14" s="350" t="s">
        <v>19</v>
      </c>
      <c r="D14" s="879" t="s">
        <v>1489</v>
      </c>
      <c r="E14" s="871" t="s">
        <v>13</v>
      </c>
      <c r="F14" s="523">
        <v>45.03</v>
      </c>
      <c r="G14" s="946"/>
      <c r="H14" s="97"/>
      <c r="I14" s="946"/>
      <c r="J14" s="97"/>
      <c r="K14" s="946"/>
    </row>
    <row r="15" spans="1:11" s="224" customFormat="1" x14ac:dyDescent="0.25">
      <c r="A15" s="215">
        <v>43135</v>
      </c>
      <c r="B15" s="349" t="s">
        <v>1676</v>
      </c>
      <c r="C15" s="350" t="s">
        <v>12</v>
      </c>
      <c r="D15" s="765" t="s">
        <v>1493</v>
      </c>
      <c r="E15" s="778" t="s">
        <v>13</v>
      </c>
      <c r="F15" s="97">
        <v>8</v>
      </c>
      <c r="G15" s="946"/>
      <c r="H15" s="97"/>
      <c r="I15" s="946"/>
      <c r="J15" s="97"/>
      <c r="K15" s="946"/>
    </row>
    <row r="16" spans="1:11" s="224" customFormat="1" x14ac:dyDescent="0.25">
      <c r="A16" s="215">
        <v>43135</v>
      </c>
      <c r="B16" s="349" t="s">
        <v>14</v>
      </c>
      <c r="C16" s="350" t="s">
        <v>12</v>
      </c>
      <c r="D16" s="765" t="s">
        <v>1486</v>
      </c>
      <c r="E16" s="778" t="s">
        <v>13</v>
      </c>
      <c r="F16" s="97">
        <v>6.7</v>
      </c>
      <c r="G16" s="946"/>
      <c r="H16" s="97"/>
      <c r="I16" s="946"/>
      <c r="J16" s="97"/>
      <c r="K16" s="946"/>
    </row>
    <row r="17" spans="1:14" s="224" customFormat="1" x14ac:dyDescent="0.25">
      <c r="A17" s="215">
        <v>43136</v>
      </c>
      <c r="B17" s="349"/>
      <c r="C17" s="350"/>
      <c r="D17" s="802"/>
      <c r="E17" s="803"/>
      <c r="F17" s="804"/>
      <c r="G17" s="946"/>
      <c r="H17" s="97"/>
      <c r="I17" s="946"/>
      <c r="J17" s="97"/>
      <c r="K17" s="946"/>
    </row>
    <row r="18" spans="1:14" s="224" customFormat="1" x14ac:dyDescent="0.25">
      <c r="A18" s="215">
        <v>43137</v>
      </c>
      <c r="B18" s="349" t="s">
        <v>32</v>
      </c>
      <c r="C18" s="350" t="s">
        <v>12</v>
      </c>
      <c r="D18" s="802" t="s">
        <v>1485</v>
      </c>
      <c r="E18" s="778" t="s">
        <v>15</v>
      </c>
      <c r="F18" s="804">
        <v>14</v>
      </c>
      <c r="G18" s="946"/>
      <c r="H18" s="97"/>
      <c r="I18" s="946"/>
      <c r="J18" s="97"/>
      <c r="K18" s="946"/>
    </row>
    <row r="19" spans="1:14" s="224" customFormat="1" ht="15.75" customHeight="1" x14ac:dyDescent="0.25">
      <c r="A19" s="215">
        <v>43137</v>
      </c>
      <c r="B19" s="349" t="s">
        <v>1826</v>
      </c>
      <c r="C19" s="879" t="s">
        <v>12</v>
      </c>
      <c r="D19" s="874"/>
      <c r="E19" s="871" t="s">
        <v>25</v>
      </c>
      <c r="F19" s="1514"/>
      <c r="G19" s="1473">
        <v>1602.66</v>
      </c>
      <c r="H19" s="250"/>
      <c r="I19" s="946"/>
      <c r="J19" s="97"/>
      <c r="K19" s="946"/>
    </row>
    <row r="20" spans="1:14" s="224" customFormat="1" x14ac:dyDescent="0.25">
      <c r="A20" s="215">
        <v>43137</v>
      </c>
      <c r="B20" s="862" t="s">
        <v>1827</v>
      </c>
      <c r="C20" s="879" t="s">
        <v>12</v>
      </c>
      <c r="D20" s="879"/>
      <c r="E20" s="871" t="s">
        <v>13</v>
      </c>
      <c r="F20" s="456">
        <v>492.68</v>
      </c>
      <c r="G20" s="946"/>
      <c r="H20" s="97"/>
      <c r="I20" s="946"/>
      <c r="J20" s="523"/>
      <c r="K20" s="457"/>
      <c r="L20" s="178">
        <v>712.68</v>
      </c>
      <c r="M20" s="3096" t="s">
        <v>1828</v>
      </c>
      <c r="N20" s="3096"/>
    </row>
    <row r="21" spans="1:14" x14ac:dyDescent="0.25">
      <c r="A21" s="215">
        <v>43137</v>
      </c>
      <c r="B21" s="862" t="s">
        <v>1532</v>
      </c>
      <c r="C21" s="879" t="s">
        <v>12</v>
      </c>
      <c r="D21" s="879" t="s">
        <v>1504</v>
      </c>
      <c r="E21" s="871" t="s">
        <v>13</v>
      </c>
      <c r="F21" s="523">
        <v>50</v>
      </c>
      <c r="G21" s="946"/>
      <c r="H21" s="97"/>
      <c r="I21" s="946"/>
      <c r="J21" s="97"/>
      <c r="K21" s="1473"/>
    </row>
    <row r="22" spans="1:14" x14ac:dyDescent="0.25">
      <c r="A22" s="215">
        <v>43137</v>
      </c>
      <c r="B22" s="882" t="s">
        <v>1829</v>
      </c>
      <c r="C22" s="879" t="s">
        <v>12</v>
      </c>
      <c r="D22" s="879" t="s">
        <v>1499</v>
      </c>
      <c r="E22" s="871" t="s">
        <v>13</v>
      </c>
      <c r="F22" s="780">
        <v>53.01</v>
      </c>
      <c r="G22" s="982"/>
      <c r="H22" s="622"/>
      <c r="I22" s="982"/>
      <c r="J22" s="780"/>
      <c r="K22" s="614"/>
    </row>
    <row r="23" spans="1:14" x14ac:dyDescent="0.25">
      <c r="A23" s="215">
        <v>43137</v>
      </c>
      <c r="B23" s="862" t="s">
        <v>52</v>
      </c>
      <c r="C23" s="879" t="s">
        <v>12</v>
      </c>
      <c r="D23" s="879" t="s">
        <v>1496</v>
      </c>
      <c r="E23" s="871" t="s">
        <v>13</v>
      </c>
      <c r="F23" s="523">
        <v>60</v>
      </c>
      <c r="G23" s="1064"/>
      <c r="H23" s="97"/>
      <c r="I23" s="946"/>
      <c r="J23" s="97"/>
      <c r="K23" s="946"/>
    </row>
    <row r="24" spans="1:14" s="224" customFormat="1" x14ac:dyDescent="0.25">
      <c r="A24" s="215">
        <v>43137</v>
      </c>
      <c r="B24" s="882" t="s">
        <v>1830</v>
      </c>
      <c r="C24" s="879" t="s">
        <v>12</v>
      </c>
      <c r="D24" s="879" t="s">
        <v>1522</v>
      </c>
      <c r="E24" s="871" t="s">
        <v>13</v>
      </c>
      <c r="F24" s="97">
        <v>248.9</v>
      </c>
      <c r="G24" s="946"/>
      <c r="H24" s="97"/>
      <c r="I24" s="946"/>
      <c r="J24" s="97"/>
      <c r="K24" s="946"/>
    </row>
    <row r="25" spans="1:14" s="224" customFormat="1" x14ac:dyDescent="0.25">
      <c r="A25" s="215">
        <v>43137</v>
      </c>
      <c r="B25" s="349" t="s">
        <v>311</v>
      </c>
      <c r="C25" s="350"/>
      <c r="D25" s="765"/>
      <c r="E25" s="778"/>
      <c r="F25" s="709"/>
      <c r="G25" s="248"/>
      <c r="H25" s="97"/>
      <c r="I25" s="946">
        <v>10.39</v>
      </c>
      <c r="J25" s="97"/>
      <c r="K25" s="946"/>
    </row>
    <row r="26" spans="1:14" s="224" customFormat="1" x14ac:dyDescent="0.25">
      <c r="A26" s="215">
        <v>43138</v>
      </c>
      <c r="B26" s="349" t="s">
        <v>32</v>
      </c>
      <c r="C26" s="350" t="s">
        <v>12</v>
      </c>
      <c r="D26" s="802" t="s">
        <v>1485</v>
      </c>
      <c r="E26" s="778" t="s">
        <v>13</v>
      </c>
      <c r="F26" s="804">
        <v>14</v>
      </c>
      <c r="G26" s="946"/>
      <c r="H26" s="97"/>
      <c r="I26" s="946"/>
      <c r="J26" s="97"/>
      <c r="K26" s="946"/>
    </row>
    <row r="27" spans="1:14" s="224" customFormat="1" ht="15" customHeight="1" x14ac:dyDescent="0.25">
      <c r="A27" s="215">
        <v>43138</v>
      </c>
      <c r="B27" s="349" t="s">
        <v>1331</v>
      </c>
      <c r="C27" s="350" t="s">
        <v>12</v>
      </c>
      <c r="D27" s="802" t="s">
        <v>1487</v>
      </c>
      <c r="E27" s="803" t="s">
        <v>13</v>
      </c>
      <c r="F27" s="804">
        <v>70</v>
      </c>
      <c r="G27" s="946"/>
      <c r="H27" s="97"/>
      <c r="I27" s="946"/>
      <c r="J27" s="97"/>
      <c r="K27" s="946"/>
    </row>
    <row r="28" spans="1:14" s="224" customFormat="1" x14ac:dyDescent="0.25">
      <c r="A28" s="215">
        <v>43139</v>
      </c>
      <c r="B28" s="349" t="s">
        <v>32</v>
      </c>
      <c r="C28" s="350" t="s">
        <v>12</v>
      </c>
      <c r="D28" s="802" t="s">
        <v>1485</v>
      </c>
      <c r="E28" s="778" t="s">
        <v>13</v>
      </c>
      <c r="F28" s="804">
        <v>14</v>
      </c>
      <c r="G28" s="1521"/>
      <c r="H28" s="96"/>
      <c r="I28" s="1482"/>
      <c r="J28" s="96"/>
      <c r="K28" s="1482"/>
    </row>
    <row r="29" spans="1:14" s="224" customFormat="1" x14ac:dyDescent="0.25">
      <c r="A29" s="215">
        <v>43139</v>
      </c>
      <c r="B29" s="349" t="s">
        <v>14</v>
      </c>
      <c r="C29" s="350" t="s">
        <v>12</v>
      </c>
      <c r="D29" s="765" t="s">
        <v>1486</v>
      </c>
      <c r="E29" s="778" t="s">
        <v>13</v>
      </c>
      <c r="F29" s="97">
        <v>6.7</v>
      </c>
      <c r="G29" s="946"/>
      <c r="H29" s="97"/>
      <c r="I29" s="946"/>
      <c r="J29" s="97"/>
      <c r="K29" s="946"/>
    </row>
    <row r="30" spans="1:14" s="224" customFormat="1" x14ac:dyDescent="0.25">
      <c r="A30" s="215">
        <v>43140</v>
      </c>
      <c r="B30" s="349" t="s">
        <v>32</v>
      </c>
      <c r="C30" s="350" t="s">
        <v>12</v>
      </c>
      <c r="D30" s="802" t="s">
        <v>1485</v>
      </c>
      <c r="E30" s="778" t="s">
        <v>13</v>
      </c>
      <c r="F30" s="804">
        <v>14</v>
      </c>
      <c r="G30" s="946"/>
      <c r="H30" s="97"/>
      <c r="I30" s="946"/>
      <c r="J30" s="97"/>
      <c r="K30" s="946"/>
    </row>
    <row r="31" spans="1:14" s="224" customFormat="1" x14ac:dyDescent="0.25">
      <c r="A31" s="215">
        <v>43140</v>
      </c>
      <c r="B31" s="349" t="s">
        <v>14</v>
      </c>
      <c r="C31" s="350" t="s">
        <v>12</v>
      </c>
      <c r="D31" s="765" t="s">
        <v>1486</v>
      </c>
      <c r="E31" s="778" t="s">
        <v>13</v>
      </c>
      <c r="F31" s="97">
        <v>8.33</v>
      </c>
      <c r="G31" s="946"/>
      <c r="H31" s="97"/>
      <c r="I31" s="946"/>
      <c r="J31" s="97"/>
      <c r="K31" s="946"/>
    </row>
    <row r="32" spans="1:14" s="224" customFormat="1" x14ac:dyDescent="0.25">
      <c r="A32" s="215">
        <v>43140</v>
      </c>
      <c r="B32" s="349" t="s">
        <v>1438</v>
      </c>
      <c r="C32" s="350" t="s">
        <v>12</v>
      </c>
      <c r="D32" s="802" t="s">
        <v>1489</v>
      </c>
      <c r="E32" s="778" t="s">
        <v>15</v>
      </c>
      <c r="F32" s="804">
        <v>12</v>
      </c>
      <c r="G32" s="946"/>
      <c r="H32" s="97"/>
      <c r="I32" s="946"/>
      <c r="J32" s="97"/>
      <c r="K32" s="946"/>
    </row>
    <row r="33" spans="1:11" s="224" customFormat="1" x14ac:dyDescent="0.25">
      <c r="A33" s="215">
        <v>43140</v>
      </c>
      <c r="B33" s="349" t="s">
        <v>1597</v>
      </c>
      <c r="C33" s="350" t="s">
        <v>12</v>
      </c>
      <c r="D33" s="802" t="s">
        <v>1491</v>
      </c>
      <c r="E33" s="778" t="s">
        <v>15</v>
      </c>
      <c r="F33" s="804">
        <v>30</v>
      </c>
      <c r="G33" s="946"/>
      <c r="H33" s="97"/>
      <c r="I33" s="946"/>
      <c r="J33" s="97"/>
      <c r="K33" s="946"/>
    </row>
    <row r="34" spans="1:11" s="224" customFormat="1" x14ac:dyDescent="0.25">
      <c r="A34" s="215">
        <v>43141</v>
      </c>
      <c r="B34" s="349" t="s">
        <v>32</v>
      </c>
      <c r="C34" s="350" t="s">
        <v>12</v>
      </c>
      <c r="D34" s="802" t="s">
        <v>1485</v>
      </c>
      <c r="E34" s="778" t="s">
        <v>13</v>
      </c>
      <c r="F34" s="804">
        <v>15.9</v>
      </c>
      <c r="G34" s="946"/>
      <c r="H34" s="97"/>
      <c r="I34" s="946"/>
      <c r="J34" s="97"/>
      <c r="K34" s="946"/>
    </row>
    <row r="35" spans="1:11" s="224" customFormat="1" x14ac:dyDescent="0.25">
      <c r="A35" s="215">
        <v>43141</v>
      </c>
      <c r="B35" s="873" t="s">
        <v>1554</v>
      </c>
      <c r="C35" s="879" t="s">
        <v>19</v>
      </c>
      <c r="D35" s="879" t="s">
        <v>1491</v>
      </c>
      <c r="E35" s="871" t="s">
        <v>13</v>
      </c>
      <c r="F35" s="523">
        <v>66.75</v>
      </c>
      <c r="G35" s="946"/>
      <c r="H35" s="97"/>
      <c r="I35" s="946"/>
      <c r="J35" s="97"/>
      <c r="K35" s="946"/>
    </row>
    <row r="36" spans="1:11" s="224" customFormat="1" x14ac:dyDescent="0.25">
      <c r="A36" s="215">
        <v>43141</v>
      </c>
      <c r="B36" s="349" t="s">
        <v>17</v>
      </c>
      <c r="C36" s="350" t="s">
        <v>12</v>
      </c>
      <c r="D36" s="765" t="s">
        <v>1493</v>
      </c>
      <c r="E36" s="778" t="s">
        <v>13</v>
      </c>
      <c r="F36" s="97">
        <v>5</v>
      </c>
      <c r="G36" s="946"/>
      <c r="H36" s="97"/>
      <c r="I36" s="946"/>
      <c r="J36" s="97"/>
      <c r="K36" s="946"/>
    </row>
    <row r="37" spans="1:11" s="224" customFormat="1" x14ac:dyDescent="0.25">
      <c r="A37" s="215">
        <v>43141</v>
      </c>
      <c r="B37" s="349" t="s">
        <v>82</v>
      </c>
      <c r="C37" s="350" t="s">
        <v>12</v>
      </c>
      <c r="D37" s="765" t="s">
        <v>1493</v>
      </c>
      <c r="E37" s="778" t="s">
        <v>13</v>
      </c>
      <c r="F37" s="784">
        <v>29</v>
      </c>
      <c r="G37" s="248"/>
      <c r="H37" s="97"/>
      <c r="I37" s="946"/>
      <c r="J37" s="97"/>
      <c r="K37" s="946"/>
    </row>
    <row r="38" spans="1:11" s="224" customFormat="1" x14ac:dyDescent="0.25">
      <c r="A38" s="215">
        <v>43142</v>
      </c>
      <c r="B38" s="349" t="s">
        <v>14</v>
      </c>
      <c r="C38" s="350" t="s">
        <v>12</v>
      </c>
      <c r="D38" s="765" t="s">
        <v>1486</v>
      </c>
      <c r="E38" s="778" t="s">
        <v>13</v>
      </c>
      <c r="F38" s="97">
        <v>2.83</v>
      </c>
      <c r="G38" s="946"/>
      <c r="H38" s="97"/>
      <c r="I38" s="946"/>
      <c r="J38" s="97"/>
      <c r="K38" s="946"/>
    </row>
    <row r="39" spans="1:11" s="224" customFormat="1" x14ac:dyDescent="0.25">
      <c r="A39" s="215">
        <v>43142</v>
      </c>
      <c r="B39" s="349" t="s">
        <v>17</v>
      </c>
      <c r="C39" s="350" t="s">
        <v>12</v>
      </c>
      <c r="D39" s="765" t="s">
        <v>1493</v>
      </c>
      <c r="E39" s="778" t="s">
        <v>15</v>
      </c>
      <c r="F39" s="97">
        <v>5</v>
      </c>
      <c r="G39" s="946"/>
      <c r="H39" s="97"/>
      <c r="I39" s="946"/>
      <c r="J39" s="97"/>
      <c r="K39" s="946"/>
    </row>
    <row r="40" spans="1:11" s="224" customFormat="1" x14ac:dyDescent="0.25">
      <c r="A40" s="215">
        <v>43143</v>
      </c>
      <c r="B40" s="349" t="s">
        <v>32</v>
      </c>
      <c r="C40" s="350" t="s">
        <v>12</v>
      </c>
      <c r="D40" s="802" t="s">
        <v>1485</v>
      </c>
      <c r="E40" s="778" t="s">
        <v>13</v>
      </c>
      <c r="F40" s="804">
        <v>15.9</v>
      </c>
      <c r="G40" s="946"/>
      <c r="H40" s="97"/>
      <c r="I40" s="946"/>
      <c r="J40" s="97"/>
      <c r="K40" s="946"/>
    </row>
    <row r="41" spans="1:11" s="224" customFormat="1" ht="15" customHeight="1" x14ac:dyDescent="0.25">
      <c r="A41" s="215">
        <v>43143</v>
      </c>
      <c r="B41" s="349" t="s">
        <v>134</v>
      </c>
      <c r="C41" s="350" t="s">
        <v>12</v>
      </c>
      <c r="D41" s="765" t="s">
        <v>1493</v>
      </c>
      <c r="E41" s="778" t="s">
        <v>13</v>
      </c>
      <c r="F41" s="784">
        <v>4</v>
      </c>
      <c r="G41" s="1064"/>
      <c r="H41" s="97"/>
      <c r="I41" s="946"/>
      <c r="J41" s="97"/>
      <c r="K41" s="946"/>
    </row>
    <row r="42" spans="1:11" s="224" customFormat="1" ht="15" customHeight="1" x14ac:dyDescent="0.25">
      <c r="A42" s="215">
        <v>43143</v>
      </c>
      <c r="B42" s="349" t="s">
        <v>1331</v>
      </c>
      <c r="C42" s="350" t="s">
        <v>12</v>
      </c>
      <c r="D42" s="802" t="s">
        <v>1487</v>
      </c>
      <c r="E42" s="803" t="s">
        <v>15</v>
      </c>
      <c r="F42" s="804">
        <v>60</v>
      </c>
      <c r="G42" s="1064"/>
      <c r="H42" s="97"/>
      <c r="I42" s="946"/>
      <c r="J42" s="97"/>
      <c r="K42" s="946"/>
    </row>
    <row r="43" spans="1:11" s="224" customFormat="1" x14ac:dyDescent="0.25">
      <c r="A43" s="215">
        <v>43143</v>
      </c>
      <c r="B43" s="862" t="s">
        <v>1438</v>
      </c>
      <c r="C43" s="350" t="s">
        <v>19</v>
      </c>
      <c r="D43" s="879" t="s">
        <v>1489</v>
      </c>
      <c r="E43" s="871" t="s">
        <v>13</v>
      </c>
      <c r="F43" s="523">
        <v>48.67</v>
      </c>
      <c r="G43" s="946"/>
      <c r="H43" s="97"/>
      <c r="I43" s="946"/>
      <c r="J43" s="97"/>
      <c r="K43" s="946"/>
    </row>
    <row r="44" spans="1:11" s="224" customFormat="1" x14ac:dyDescent="0.25">
      <c r="A44" s="215">
        <v>43144</v>
      </c>
      <c r="B44" s="349" t="s">
        <v>32</v>
      </c>
      <c r="C44" s="350" t="s">
        <v>12</v>
      </c>
      <c r="D44" s="802" t="s">
        <v>1485</v>
      </c>
      <c r="E44" s="778" t="s">
        <v>13</v>
      </c>
      <c r="F44" s="804">
        <v>15.9</v>
      </c>
      <c r="G44" s="946"/>
      <c r="H44" s="97"/>
      <c r="I44" s="946"/>
      <c r="J44" s="97"/>
      <c r="K44" s="946"/>
    </row>
    <row r="45" spans="1:11" s="224" customFormat="1" x14ac:dyDescent="0.25">
      <c r="A45" s="215">
        <v>43144</v>
      </c>
      <c r="B45" s="349" t="s">
        <v>14</v>
      </c>
      <c r="C45" s="350" t="s">
        <v>12</v>
      </c>
      <c r="D45" s="765" t="s">
        <v>1486</v>
      </c>
      <c r="E45" s="778" t="s">
        <v>13</v>
      </c>
      <c r="F45" s="97">
        <v>13.35</v>
      </c>
      <c r="G45" s="946"/>
      <c r="H45" s="97"/>
      <c r="I45" s="946"/>
      <c r="J45" s="97"/>
      <c r="K45" s="946"/>
    </row>
    <row r="46" spans="1:11" s="224" customFormat="1" x14ac:dyDescent="0.25">
      <c r="A46" s="215">
        <v>43145</v>
      </c>
      <c r="B46" s="349" t="s">
        <v>32</v>
      </c>
      <c r="C46" s="350" t="s">
        <v>12</v>
      </c>
      <c r="D46" s="802" t="s">
        <v>1485</v>
      </c>
      <c r="E46" s="778" t="s">
        <v>13</v>
      </c>
      <c r="F46" s="804">
        <v>14</v>
      </c>
      <c r="G46" s="248"/>
      <c r="H46" s="97"/>
      <c r="I46" s="946"/>
      <c r="J46" s="97"/>
      <c r="K46" s="946"/>
    </row>
    <row r="47" spans="1:11" s="224" customFormat="1" ht="15" customHeight="1" x14ac:dyDescent="0.25">
      <c r="A47" s="215">
        <v>43145</v>
      </c>
      <c r="B47" s="862" t="s">
        <v>256</v>
      </c>
      <c r="C47" s="879"/>
      <c r="D47" s="879"/>
      <c r="E47" s="871"/>
      <c r="F47" s="97"/>
      <c r="G47" s="1064">
        <v>909.11</v>
      </c>
      <c r="H47" s="97">
        <v>909.11</v>
      </c>
      <c r="I47" s="946"/>
      <c r="J47" s="97"/>
      <c r="K47" s="946"/>
    </row>
    <row r="48" spans="1:11" s="224" customFormat="1" x14ac:dyDescent="0.25">
      <c r="A48" s="215">
        <v>43145</v>
      </c>
      <c r="B48" s="862" t="s">
        <v>1831</v>
      </c>
      <c r="C48" s="350" t="s">
        <v>19</v>
      </c>
      <c r="D48" s="350" t="s">
        <v>1506</v>
      </c>
      <c r="E48" s="757" t="s">
        <v>13</v>
      </c>
      <c r="F48" s="97">
        <v>382.21</v>
      </c>
      <c r="G48" s="946"/>
      <c r="H48" s="97"/>
      <c r="I48" s="946"/>
      <c r="K48" s="627"/>
    </row>
    <row r="49" spans="1:11" s="224" customFormat="1" x14ac:dyDescent="0.25">
      <c r="A49" s="215">
        <v>43146</v>
      </c>
      <c r="B49" s="349" t="s">
        <v>32</v>
      </c>
      <c r="C49" s="350" t="s">
        <v>12</v>
      </c>
      <c r="D49" s="802" t="s">
        <v>1485</v>
      </c>
      <c r="E49" s="778" t="s">
        <v>15</v>
      </c>
      <c r="F49" s="804">
        <v>14</v>
      </c>
      <c r="G49" s="946"/>
      <c r="H49" s="97"/>
      <c r="I49" s="946"/>
      <c r="J49" s="97"/>
      <c r="K49" s="946"/>
    </row>
    <row r="50" spans="1:11" s="224" customFormat="1" x14ac:dyDescent="0.25">
      <c r="A50" s="215">
        <v>43146</v>
      </c>
      <c r="B50" s="349" t="s">
        <v>14</v>
      </c>
      <c r="C50" s="350" t="s">
        <v>12</v>
      </c>
      <c r="D50" s="765" t="s">
        <v>1486</v>
      </c>
      <c r="E50" s="778" t="s">
        <v>13</v>
      </c>
      <c r="F50" s="97">
        <v>1.19</v>
      </c>
      <c r="G50" s="946"/>
      <c r="H50" s="97"/>
      <c r="I50" s="946"/>
      <c r="J50" s="97"/>
      <c r="K50" s="946"/>
    </row>
    <row r="51" spans="1:11" ht="15" customHeight="1" x14ac:dyDescent="0.25">
      <c r="A51" s="215">
        <v>43146</v>
      </c>
      <c r="B51" s="349" t="s">
        <v>1396</v>
      </c>
      <c r="C51" s="350" t="s">
        <v>12</v>
      </c>
      <c r="D51" s="350"/>
      <c r="E51" s="757" t="s">
        <v>25</v>
      </c>
      <c r="F51" s="97"/>
      <c r="G51" s="946">
        <v>40</v>
      </c>
      <c r="H51" s="97"/>
      <c r="I51" s="946"/>
      <c r="J51" s="97"/>
      <c r="K51" s="946"/>
    </row>
    <row r="52" spans="1:11" s="224" customFormat="1" x14ac:dyDescent="0.25">
      <c r="A52" s="215">
        <v>43147</v>
      </c>
      <c r="B52" s="349" t="s">
        <v>32</v>
      </c>
      <c r="C52" s="350" t="s">
        <v>12</v>
      </c>
      <c r="D52" s="802" t="s">
        <v>1485</v>
      </c>
      <c r="E52" s="778" t="s">
        <v>15</v>
      </c>
      <c r="F52" s="804">
        <v>14</v>
      </c>
      <c r="G52" s="946"/>
      <c r="H52" s="97"/>
      <c r="I52" s="946"/>
      <c r="J52" s="97"/>
      <c r="K52" s="946"/>
    </row>
    <row r="53" spans="1:11" s="224" customFormat="1" x14ac:dyDescent="0.25">
      <c r="A53" s="215">
        <v>43147</v>
      </c>
      <c r="B53" s="862" t="s">
        <v>1331</v>
      </c>
      <c r="C53" s="350" t="s">
        <v>19</v>
      </c>
      <c r="D53" s="879" t="s">
        <v>1487</v>
      </c>
      <c r="E53" s="871" t="s">
        <v>15</v>
      </c>
      <c r="F53" s="626">
        <v>82</v>
      </c>
      <c r="G53" s="248"/>
      <c r="H53" s="97"/>
      <c r="I53" s="946"/>
      <c r="J53" s="97"/>
      <c r="K53" s="946"/>
    </row>
    <row r="54" spans="1:11" s="224" customFormat="1" x14ac:dyDescent="0.25">
      <c r="A54" s="215">
        <v>43147</v>
      </c>
      <c r="B54" s="862" t="s">
        <v>1438</v>
      </c>
      <c r="C54" s="350" t="s">
        <v>19</v>
      </c>
      <c r="D54" s="879" t="s">
        <v>1489</v>
      </c>
      <c r="E54" s="871" t="s">
        <v>13</v>
      </c>
      <c r="F54" s="626">
        <v>37.39</v>
      </c>
      <c r="G54" s="248"/>
      <c r="H54" s="97"/>
      <c r="I54" s="946"/>
      <c r="J54" s="97"/>
      <c r="K54" s="946"/>
    </row>
    <row r="55" spans="1:11" s="224" customFormat="1" x14ac:dyDescent="0.25">
      <c r="A55" s="215">
        <v>43147</v>
      </c>
      <c r="B55" s="862" t="s">
        <v>134</v>
      </c>
      <c r="C55" s="350" t="s">
        <v>19</v>
      </c>
      <c r="D55" s="879" t="s">
        <v>1493</v>
      </c>
      <c r="E55" s="871" t="s">
        <v>13</v>
      </c>
      <c r="F55" s="784">
        <v>15</v>
      </c>
      <c r="G55" s="248"/>
      <c r="H55" s="97"/>
      <c r="I55" s="946"/>
      <c r="J55" s="97"/>
      <c r="K55" s="946"/>
    </row>
    <row r="56" spans="1:11" s="224" customFormat="1" ht="15" customHeight="1" x14ac:dyDescent="0.25">
      <c r="A56" s="215">
        <v>43148</v>
      </c>
      <c r="B56" s="349" t="s">
        <v>32</v>
      </c>
      <c r="C56" s="350" t="s">
        <v>12</v>
      </c>
      <c r="D56" s="802" t="s">
        <v>1485</v>
      </c>
      <c r="E56" s="778" t="s">
        <v>13</v>
      </c>
      <c r="F56" s="804">
        <v>15.9</v>
      </c>
      <c r="G56" s="1064"/>
      <c r="H56" s="97"/>
      <c r="I56" s="946"/>
      <c r="J56" s="97"/>
      <c r="K56" s="946"/>
    </row>
    <row r="57" spans="1:11" s="224" customFormat="1" x14ac:dyDescent="0.25">
      <c r="A57" s="215">
        <v>43148</v>
      </c>
      <c r="B57" s="862" t="s">
        <v>1438</v>
      </c>
      <c r="C57" s="350" t="s">
        <v>19</v>
      </c>
      <c r="D57" s="879" t="s">
        <v>1489</v>
      </c>
      <c r="E57" s="871" t="s">
        <v>13</v>
      </c>
      <c r="F57" s="626">
        <v>34</v>
      </c>
      <c r="G57" s="248"/>
      <c r="H57" s="97"/>
      <c r="I57" s="946"/>
      <c r="J57" s="97"/>
      <c r="K57" s="946"/>
    </row>
    <row r="58" spans="1:11" s="224" customFormat="1" x14ac:dyDescent="0.25">
      <c r="A58" s="215">
        <v>43148</v>
      </c>
      <c r="B58" s="862" t="s">
        <v>1832</v>
      </c>
      <c r="C58" s="350" t="s">
        <v>12</v>
      </c>
      <c r="D58" s="879" t="s">
        <v>1489</v>
      </c>
      <c r="E58" s="871" t="s">
        <v>13</v>
      </c>
      <c r="F58" s="626">
        <v>10</v>
      </c>
      <c r="G58" s="248"/>
      <c r="H58" s="97"/>
      <c r="I58" s="946"/>
      <c r="J58" s="97"/>
      <c r="K58" s="946"/>
    </row>
    <row r="59" spans="1:11" s="224" customFormat="1" x14ac:dyDescent="0.25">
      <c r="A59" s="215">
        <v>43149</v>
      </c>
      <c r="B59" s="349" t="s">
        <v>14</v>
      </c>
      <c r="C59" s="350" t="s">
        <v>12</v>
      </c>
      <c r="D59" s="765" t="s">
        <v>1486</v>
      </c>
      <c r="E59" s="778" t="s">
        <v>13</v>
      </c>
      <c r="F59" s="97">
        <v>1.46</v>
      </c>
      <c r="G59" s="248"/>
      <c r="H59" s="97"/>
      <c r="I59" s="946"/>
      <c r="J59" s="97"/>
      <c r="K59" s="946"/>
    </row>
    <row r="60" spans="1:11" s="224" customFormat="1" ht="15" customHeight="1" x14ac:dyDescent="0.25">
      <c r="A60" s="215">
        <v>43150</v>
      </c>
      <c r="B60" s="349" t="s">
        <v>32</v>
      </c>
      <c r="C60" s="350" t="s">
        <v>12</v>
      </c>
      <c r="D60" s="802" t="s">
        <v>1485</v>
      </c>
      <c r="E60" s="778" t="s">
        <v>13</v>
      </c>
      <c r="F60" s="804">
        <v>14</v>
      </c>
      <c r="G60" s="1064"/>
      <c r="H60" s="97"/>
      <c r="I60" s="946"/>
      <c r="J60" s="97"/>
      <c r="K60" s="946"/>
    </row>
    <row r="61" spans="1:11" s="224" customFormat="1" x14ac:dyDescent="0.25">
      <c r="A61" s="215">
        <v>43150</v>
      </c>
      <c r="B61" s="862" t="s">
        <v>1833</v>
      </c>
      <c r="C61" s="350" t="s">
        <v>12</v>
      </c>
      <c r="D61" s="879" t="s">
        <v>1489</v>
      </c>
      <c r="E61" s="871" t="s">
        <v>13</v>
      </c>
      <c r="F61" s="626">
        <v>13</v>
      </c>
      <c r="G61" s="248"/>
      <c r="H61" s="97"/>
      <c r="I61" s="946"/>
      <c r="J61" s="97"/>
      <c r="K61" s="946"/>
    </row>
    <row r="62" spans="1:11" s="224" customFormat="1" x14ac:dyDescent="0.25">
      <c r="A62" s="215">
        <v>43151</v>
      </c>
      <c r="B62" s="349" t="s">
        <v>32</v>
      </c>
      <c r="C62" s="350" t="s">
        <v>12</v>
      </c>
      <c r="D62" s="802" t="s">
        <v>1485</v>
      </c>
      <c r="E62" s="778" t="s">
        <v>15</v>
      </c>
      <c r="F62" s="804">
        <v>14</v>
      </c>
      <c r="G62" s="946"/>
      <c r="H62" s="97"/>
      <c r="I62" s="946"/>
      <c r="J62" s="97"/>
      <c r="K62" s="946"/>
    </row>
    <row r="63" spans="1:11" x14ac:dyDescent="0.25">
      <c r="A63" s="215">
        <v>43151</v>
      </c>
      <c r="B63" s="882" t="s">
        <v>1834</v>
      </c>
      <c r="C63" s="350" t="s">
        <v>12</v>
      </c>
      <c r="D63" s="145"/>
      <c r="E63" s="145" t="s">
        <v>25</v>
      </c>
      <c r="F63" s="1514"/>
      <c r="G63" s="946">
        <v>1510.31</v>
      </c>
      <c r="H63" s="97"/>
      <c r="I63" s="946"/>
      <c r="J63" s="97"/>
      <c r="K63" s="946"/>
    </row>
    <row r="64" spans="1:11" s="224" customFormat="1" ht="15.75" customHeight="1" x14ac:dyDescent="0.25">
      <c r="A64" s="215">
        <v>43151</v>
      </c>
      <c r="B64" s="882" t="s">
        <v>1835</v>
      </c>
      <c r="C64" s="879" t="s">
        <v>12</v>
      </c>
      <c r="D64" s="879" t="s">
        <v>1499</v>
      </c>
      <c r="E64" s="871" t="s">
        <v>13</v>
      </c>
      <c r="F64" s="97">
        <v>48.55</v>
      </c>
      <c r="G64" s="1473"/>
      <c r="H64" s="250"/>
      <c r="I64" s="946"/>
      <c r="J64" s="97"/>
      <c r="K64" s="946"/>
    </row>
    <row r="65" spans="1:11" s="224" customFormat="1" x14ac:dyDescent="0.25">
      <c r="A65" s="215">
        <v>43151</v>
      </c>
      <c r="B65" s="873" t="s">
        <v>1564</v>
      </c>
      <c r="C65" s="879" t="s">
        <v>12</v>
      </c>
      <c r="D65" s="350" t="s">
        <v>1491</v>
      </c>
      <c r="E65" s="871" t="s">
        <v>15</v>
      </c>
      <c r="F65" s="97">
        <v>130</v>
      </c>
      <c r="G65" s="946"/>
      <c r="H65" s="97"/>
      <c r="I65" s="946"/>
      <c r="J65" s="97"/>
      <c r="K65" s="946"/>
    </row>
    <row r="66" spans="1:11" s="224" customFormat="1" ht="15" customHeight="1" x14ac:dyDescent="0.25">
      <c r="A66" s="215">
        <v>43151</v>
      </c>
      <c r="B66" s="349" t="s">
        <v>260</v>
      </c>
      <c r="C66" s="350"/>
      <c r="D66" s="350"/>
      <c r="E66" s="480"/>
      <c r="F66" s="523">
        <v>950</v>
      </c>
      <c r="G66" s="1064"/>
      <c r="H66" s="97"/>
      <c r="I66" s="946">
        <v>950</v>
      </c>
      <c r="J66" s="97"/>
      <c r="K66" s="946"/>
    </row>
    <row r="67" spans="1:11" s="224" customFormat="1" x14ac:dyDescent="0.25">
      <c r="A67" s="215">
        <v>43152</v>
      </c>
      <c r="B67" s="349" t="s">
        <v>32</v>
      </c>
      <c r="C67" s="350" t="s">
        <v>12</v>
      </c>
      <c r="D67" s="802" t="s">
        <v>1485</v>
      </c>
      <c r="E67" s="778" t="s">
        <v>13</v>
      </c>
      <c r="F67" s="804">
        <v>14</v>
      </c>
      <c r="G67" s="946"/>
      <c r="H67" s="97"/>
      <c r="I67" s="1473"/>
      <c r="J67" s="97"/>
      <c r="K67" s="1473"/>
    </row>
    <row r="68" spans="1:11" s="224" customFormat="1" x14ac:dyDescent="0.25">
      <c r="A68" s="215">
        <v>43152</v>
      </c>
      <c r="B68" s="349" t="s">
        <v>14</v>
      </c>
      <c r="C68" s="350" t="s">
        <v>12</v>
      </c>
      <c r="D68" s="765" t="s">
        <v>1486</v>
      </c>
      <c r="E68" s="778" t="s">
        <v>13</v>
      </c>
      <c r="F68" s="97">
        <v>9.0399999999999991</v>
      </c>
      <c r="G68" s="248"/>
      <c r="H68" s="97"/>
      <c r="I68" s="946"/>
      <c r="J68" s="97"/>
      <c r="K68" s="946"/>
    </row>
    <row r="69" spans="1:11" s="224" customFormat="1" x14ac:dyDescent="0.25">
      <c r="A69" s="215">
        <v>43153</v>
      </c>
      <c r="B69" s="349" t="s">
        <v>32</v>
      </c>
      <c r="C69" s="350" t="s">
        <v>12</v>
      </c>
      <c r="D69" s="802" t="s">
        <v>1485</v>
      </c>
      <c r="E69" s="778" t="s">
        <v>13</v>
      </c>
      <c r="F69" s="804">
        <v>14</v>
      </c>
      <c r="G69" s="248"/>
      <c r="H69" s="97"/>
      <c r="I69" s="946"/>
      <c r="J69" s="97"/>
      <c r="K69" s="946"/>
    </row>
    <row r="70" spans="1:11" s="224" customFormat="1" x14ac:dyDescent="0.25">
      <c r="A70" s="215">
        <v>43153</v>
      </c>
      <c r="B70" s="349" t="s">
        <v>14</v>
      </c>
      <c r="C70" s="350" t="s">
        <v>12</v>
      </c>
      <c r="D70" s="765" t="s">
        <v>1486</v>
      </c>
      <c r="E70" s="778" t="s">
        <v>13</v>
      </c>
      <c r="F70" s="97">
        <v>6.73</v>
      </c>
      <c r="G70" s="248"/>
      <c r="H70" s="97"/>
      <c r="I70" s="946"/>
      <c r="J70" s="97"/>
      <c r="K70" s="946"/>
    </row>
    <row r="71" spans="1:11" s="224" customFormat="1" x14ac:dyDescent="0.25">
      <c r="A71" s="215">
        <v>43154</v>
      </c>
      <c r="B71" s="349" t="s">
        <v>32</v>
      </c>
      <c r="C71" s="350" t="s">
        <v>12</v>
      </c>
      <c r="D71" s="802" t="s">
        <v>1485</v>
      </c>
      <c r="E71" s="778" t="s">
        <v>13</v>
      </c>
      <c r="F71" s="804">
        <v>14</v>
      </c>
      <c r="G71" s="248"/>
      <c r="H71" s="97"/>
      <c r="I71" s="946"/>
      <c r="J71" s="97"/>
      <c r="K71" s="946"/>
    </row>
    <row r="72" spans="1:11" s="224" customFormat="1" ht="15" customHeight="1" x14ac:dyDescent="0.25">
      <c r="A72" s="215">
        <v>43154</v>
      </c>
      <c r="B72" s="349" t="s">
        <v>1331</v>
      </c>
      <c r="C72" s="350" t="s">
        <v>12</v>
      </c>
      <c r="D72" s="765" t="s">
        <v>1487</v>
      </c>
      <c r="E72" s="778" t="s">
        <v>13</v>
      </c>
      <c r="F72" s="97">
        <v>70</v>
      </c>
      <c r="G72" s="946"/>
      <c r="H72" s="97"/>
      <c r="I72" s="946"/>
      <c r="J72" s="97"/>
      <c r="K72" s="946"/>
    </row>
    <row r="73" spans="1:11" s="224" customFormat="1" x14ac:dyDescent="0.25">
      <c r="A73" s="215">
        <v>43154</v>
      </c>
      <c r="B73" s="349" t="s">
        <v>147</v>
      </c>
      <c r="C73" s="350" t="s">
        <v>12</v>
      </c>
      <c r="D73" s="765" t="s">
        <v>1506</v>
      </c>
      <c r="E73" s="778" t="s">
        <v>15</v>
      </c>
      <c r="F73" s="97">
        <v>15</v>
      </c>
      <c r="G73" s="248"/>
      <c r="H73" s="97"/>
      <c r="I73" s="946"/>
      <c r="J73" s="97"/>
      <c r="K73" s="946"/>
    </row>
    <row r="74" spans="1:11" s="224" customFormat="1" x14ac:dyDescent="0.25">
      <c r="A74" s="215">
        <v>43154</v>
      </c>
      <c r="B74" s="349" t="s">
        <v>14</v>
      </c>
      <c r="C74" s="350" t="s">
        <v>12</v>
      </c>
      <c r="D74" s="765" t="s">
        <v>1486</v>
      </c>
      <c r="E74" s="778" t="s">
        <v>13</v>
      </c>
      <c r="F74" s="97">
        <v>3.96</v>
      </c>
      <c r="G74" s="248"/>
      <c r="H74" s="97"/>
      <c r="I74" s="946"/>
      <c r="J74" s="97"/>
      <c r="K74" s="946"/>
    </row>
    <row r="75" spans="1:11" s="224" customFormat="1" x14ac:dyDescent="0.25">
      <c r="A75" s="215">
        <v>43155</v>
      </c>
      <c r="B75" s="349" t="s">
        <v>32</v>
      </c>
      <c r="C75" s="350" t="s">
        <v>12</v>
      </c>
      <c r="D75" s="802" t="s">
        <v>1485</v>
      </c>
      <c r="E75" s="778" t="s">
        <v>13</v>
      </c>
      <c r="F75" s="804">
        <v>15.9</v>
      </c>
      <c r="G75" s="248"/>
      <c r="H75" s="97"/>
      <c r="I75" s="946"/>
      <c r="J75" s="97"/>
      <c r="K75" s="946"/>
    </row>
    <row r="76" spans="1:11" s="224" customFormat="1" x14ac:dyDescent="0.25">
      <c r="A76" s="215">
        <v>43155</v>
      </c>
      <c r="B76" s="862" t="s">
        <v>82</v>
      </c>
      <c r="C76" s="350" t="s">
        <v>12</v>
      </c>
      <c r="D76" s="879" t="s">
        <v>1493</v>
      </c>
      <c r="E76" s="871" t="s">
        <v>13</v>
      </c>
      <c r="F76" s="784">
        <v>28</v>
      </c>
      <c r="G76" s="248"/>
      <c r="H76" s="97"/>
      <c r="I76" s="946"/>
      <c r="J76" s="97"/>
      <c r="K76" s="946"/>
    </row>
    <row r="77" spans="1:11" s="224" customFormat="1" x14ac:dyDescent="0.25">
      <c r="A77" s="215">
        <v>43155</v>
      </c>
      <c r="B77" s="862" t="s">
        <v>1683</v>
      </c>
      <c r="C77" s="350" t="s">
        <v>12</v>
      </c>
      <c r="D77" s="874" t="s">
        <v>1504</v>
      </c>
      <c r="E77" s="1475" t="s">
        <v>13</v>
      </c>
      <c r="F77" s="97">
        <v>60.9</v>
      </c>
      <c r="G77" s="946"/>
      <c r="H77" s="97"/>
      <c r="I77" s="946"/>
      <c r="J77" s="97"/>
      <c r="K77" s="946"/>
    </row>
    <row r="78" spans="1:11" s="224" customFormat="1" x14ac:dyDescent="0.25">
      <c r="A78" s="215">
        <v>43156</v>
      </c>
      <c r="B78" s="349" t="s">
        <v>14</v>
      </c>
      <c r="C78" s="350" t="s">
        <v>12</v>
      </c>
      <c r="D78" s="765" t="s">
        <v>1486</v>
      </c>
      <c r="E78" s="778" t="s">
        <v>13</v>
      </c>
      <c r="F78" s="97">
        <v>3.06</v>
      </c>
      <c r="G78" s="248"/>
      <c r="H78" s="97"/>
      <c r="I78" s="946"/>
      <c r="J78" s="97"/>
      <c r="K78" s="946"/>
    </row>
    <row r="79" spans="1:11" s="224" customFormat="1" ht="15" customHeight="1" x14ac:dyDescent="0.25">
      <c r="A79" s="215">
        <v>43156</v>
      </c>
      <c r="B79" s="862" t="s">
        <v>32</v>
      </c>
      <c r="C79" s="350" t="s">
        <v>12</v>
      </c>
      <c r="D79" s="879" t="s">
        <v>1485</v>
      </c>
      <c r="E79" s="871" t="s">
        <v>13</v>
      </c>
      <c r="F79" s="250">
        <v>16.899999999999999</v>
      </c>
      <c r="G79" s="946"/>
      <c r="H79" s="137"/>
      <c r="I79" s="946"/>
      <c r="J79" s="97"/>
      <c r="K79" s="946"/>
    </row>
    <row r="80" spans="1:11" s="224" customFormat="1" ht="15.75" customHeight="1" x14ac:dyDescent="0.25">
      <c r="A80" s="215">
        <v>43157</v>
      </c>
      <c r="B80" s="862" t="s">
        <v>32</v>
      </c>
      <c r="C80" s="350" t="s">
        <v>12</v>
      </c>
      <c r="D80" s="874" t="s">
        <v>1485</v>
      </c>
      <c r="E80" s="875" t="s">
        <v>13</v>
      </c>
      <c r="F80" s="626">
        <v>14</v>
      </c>
      <c r="G80" s="1482"/>
      <c r="H80" s="96"/>
      <c r="I80" s="1473"/>
      <c r="J80" s="97"/>
      <c r="K80" s="1473"/>
    </row>
    <row r="81" spans="1:12" s="224" customFormat="1" ht="15" customHeight="1" x14ac:dyDescent="0.25">
      <c r="A81" s="215">
        <v>43158</v>
      </c>
      <c r="B81" s="862" t="s">
        <v>32</v>
      </c>
      <c r="C81" s="350" t="s">
        <v>12</v>
      </c>
      <c r="D81" s="874" t="s">
        <v>1485</v>
      </c>
      <c r="E81" s="875" t="s">
        <v>13</v>
      </c>
      <c r="F81" s="626">
        <v>14</v>
      </c>
      <c r="G81" s="946"/>
      <c r="H81" s="97"/>
      <c r="I81" s="946"/>
      <c r="J81" s="97"/>
      <c r="K81" s="946"/>
    </row>
    <row r="82" spans="1:12" s="224" customFormat="1" ht="15" customHeight="1" x14ac:dyDescent="0.25">
      <c r="A82" s="215">
        <v>43158</v>
      </c>
      <c r="B82" s="862" t="s">
        <v>1836</v>
      </c>
      <c r="C82" s="350" t="s">
        <v>12</v>
      </c>
      <c r="D82" s="874" t="s">
        <v>1491</v>
      </c>
      <c r="E82" s="875" t="s">
        <v>13</v>
      </c>
      <c r="F82" s="784">
        <v>150</v>
      </c>
      <c r="G82" s="946"/>
      <c r="H82" s="97"/>
      <c r="I82" s="946"/>
      <c r="J82" s="97"/>
      <c r="K82" s="946"/>
    </row>
    <row r="83" spans="1:12" s="224" customFormat="1" ht="15" customHeight="1" x14ac:dyDescent="0.25">
      <c r="A83" s="215">
        <v>43159</v>
      </c>
      <c r="B83" s="862" t="s">
        <v>32</v>
      </c>
      <c r="C83" s="350" t="s">
        <v>12</v>
      </c>
      <c r="D83" s="874" t="s">
        <v>1485</v>
      </c>
      <c r="E83" s="875" t="s">
        <v>13</v>
      </c>
      <c r="F83" s="827">
        <v>14</v>
      </c>
      <c r="G83" s="946"/>
      <c r="H83" s="97"/>
      <c r="I83" s="946"/>
      <c r="J83" s="97"/>
      <c r="K83" s="946"/>
    </row>
    <row r="84" spans="1:12" s="224" customFormat="1" ht="15" customHeight="1" x14ac:dyDescent="0.25">
      <c r="A84" s="215">
        <v>43159</v>
      </c>
      <c r="B84" s="862" t="s">
        <v>1710</v>
      </c>
      <c r="C84" s="879" t="s">
        <v>12</v>
      </c>
      <c r="D84" s="879" t="s">
        <v>1504</v>
      </c>
      <c r="E84" s="871" t="s">
        <v>13</v>
      </c>
      <c r="F84" s="523">
        <v>20</v>
      </c>
      <c r="G84" s="946"/>
      <c r="H84" s="97"/>
      <c r="I84" s="946"/>
      <c r="J84" s="97"/>
      <c r="K84" s="946"/>
    </row>
    <row r="85" spans="1:12" s="224" customFormat="1" ht="15" customHeight="1" x14ac:dyDescent="0.25">
      <c r="A85" s="215">
        <v>43159</v>
      </c>
      <c r="B85" s="349" t="s">
        <v>14</v>
      </c>
      <c r="C85" s="350" t="s">
        <v>12</v>
      </c>
      <c r="D85" s="765" t="s">
        <v>1486</v>
      </c>
      <c r="E85" s="778" t="s">
        <v>13</v>
      </c>
      <c r="F85" s="97">
        <v>8.18</v>
      </c>
      <c r="G85" s="946"/>
      <c r="H85" s="97"/>
      <c r="I85" s="946"/>
      <c r="J85" s="97"/>
      <c r="K85" s="946"/>
    </row>
    <row r="86" spans="1:12" s="224" customFormat="1" x14ac:dyDescent="0.25">
      <c r="A86" s="215">
        <v>43159</v>
      </c>
      <c r="B86" s="862" t="s">
        <v>1666</v>
      </c>
      <c r="C86" s="350" t="s">
        <v>12</v>
      </c>
      <c r="D86" s="350"/>
      <c r="E86" s="757" t="s">
        <v>25</v>
      </c>
      <c r="F86" s="97"/>
      <c r="G86" s="946"/>
      <c r="H86" s="97"/>
      <c r="I86" s="946"/>
      <c r="J86" s="97"/>
      <c r="K86" s="946">
        <v>20</v>
      </c>
    </row>
    <row r="87" spans="1:12" s="224" customFormat="1" ht="15" customHeight="1" thickBot="1" x14ac:dyDescent="0.3">
      <c r="A87" s="215">
        <v>43159</v>
      </c>
      <c r="B87" s="349" t="s">
        <v>1331</v>
      </c>
      <c r="C87" s="350" t="s">
        <v>12</v>
      </c>
      <c r="D87" s="765" t="s">
        <v>1487</v>
      </c>
      <c r="E87" s="778" t="s">
        <v>15</v>
      </c>
      <c r="F87" s="97">
        <v>20</v>
      </c>
      <c r="G87" s="1522"/>
      <c r="H87" s="416"/>
      <c r="I87" s="1522"/>
      <c r="J87" s="416"/>
      <c r="K87" s="1522"/>
    </row>
    <row r="88" spans="1:12" ht="25.5" customHeight="1" thickBot="1" x14ac:dyDescent="0.3">
      <c r="A88" s="3060"/>
      <c r="B88" s="3061"/>
      <c r="C88" s="3062"/>
      <c r="D88" s="3062"/>
      <c r="E88" s="3062"/>
      <c r="F88" s="100">
        <f>SUM(F6:F87)</f>
        <v>3842.1100000000006</v>
      </c>
      <c r="G88" s="1065">
        <f>SUM(G5:G87)</f>
        <v>4335.340000000012</v>
      </c>
      <c r="H88" s="101">
        <f>SUM(H6:H87)</f>
        <v>909.11</v>
      </c>
      <c r="I88" s="93">
        <f>SUM(I5:I87)</f>
        <v>3560.3860000000018</v>
      </c>
      <c r="J88" s="774"/>
      <c r="K88" s="1516"/>
      <c r="L88" s="89"/>
    </row>
    <row r="89" spans="1:12" ht="25.5" customHeight="1" thickBot="1" x14ac:dyDescent="0.3">
      <c r="A89" s="3117" t="s">
        <v>49</v>
      </c>
      <c r="B89" s="3118"/>
      <c r="C89" s="3118"/>
      <c r="D89" s="3118"/>
      <c r="E89" s="3118"/>
      <c r="F89" s="144"/>
      <c r="G89" s="519">
        <f>G88-F88</f>
        <v>493.23000000001139</v>
      </c>
      <c r="H89" s="555"/>
      <c r="I89" s="772">
        <f>I88-H88</f>
        <v>2651.2760000000017</v>
      </c>
      <c r="J89" s="773"/>
      <c r="K89" s="775">
        <f>SUM(K5:K88)</f>
        <v>8480.4499999999989</v>
      </c>
    </row>
    <row r="90" spans="1:12" x14ac:dyDescent="0.25">
      <c r="G90" s="89"/>
      <c r="J90" s="769"/>
      <c r="K90" s="868"/>
    </row>
    <row r="91" spans="1:12" x14ac:dyDescent="0.25">
      <c r="B91" s="79" t="s">
        <v>32</v>
      </c>
      <c r="C91" s="475">
        <v>349.4</v>
      </c>
      <c r="D91" s="85" t="s">
        <v>1485</v>
      </c>
      <c r="J91" s="769"/>
      <c r="K91" s="866"/>
    </row>
    <row r="92" spans="1:12" x14ac:dyDescent="0.25">
      <c r="B92" s="79" t="s">
        <v>1218</v>
      </c>
      <c r="C92" s="475">
        <v>302</v>
      </c>
      <c r="D92" s="85" t="s">
        <v>1487</v>
      </c>
      <c r="J92" s="769"/>
      <c r="K92" s="868"/>
    </row>
    <row r="93" spans="1:12" x14ac:dyDescent="0.25">
      <c r="B93" s="79" t="s">
        <v>50</v>
      </c>
      <c r="C93" s="484">
        <v>94</v>
      </c>
      <c r="D93" s="85" t="s">
        <v>1493</v>
      </c>
      <c r="J93" s="769"/>
      <c r="K93" s="866"/>
    </row>
    <row r="94" spans="1:12" s="85" customFormat="1" x14ac:dyDescent="0.25">
      <c r="A94" s="79"/>
      <c r="B94" s="79" t="s">
        <v>14</v>
      </c>
      <c r="C94" s="484">
        <v>83.62</v>
      </c>
      <c r="D94" s="85" t="s">
        <v>1486</v>
      </c>
      <c r="J94" s="769"/>
      <c r="K94" s="866"/>
    </row>
    <row r="95" spans="1:12" s="85" customFormat="1" x14ac:dyDescent="0.25">
      <c r="A95" s="79"/>
      <c r="B95" s="79" t="s">
        <v>51</v>
      </c>
      <c r="C95" s="475">
        <v>101.56</v>
      </c>
      <c r="D95" s="864" t="s">
        <v>1499</v>
      </c>
      <c r="E95" s="79"/>
      <c r="F95" s="89"/>
      <c r="G95" s="79"/>
      <c r="H95" s="79"/>
      <c r="I95" s="79"/>
      <c r="J95" s="769"/>
      <c r="K95" s="866"/>
    </row>
    <row r="96" spans="1:12" s="85" customFormat="1" x14ac:dyDescent="0.25">
      <c r="A96" s="79"/>
      <c r="B96" s="79" t="s">
        <v>52</v>
      </c>
      <c r="C96" s="475">
        <v>60</v>
      </c>
      <c r="D96" s="864" t="s">
        <v>1496</v>
      </c>
      <c r="F96" s="89"/>
      <c r="G96" s="79"/>
      <c r="H96" s="79"/>
      <c r="I96" s="79"/>
      <c r="J96" s="769"/>
      <c r="K96" s="866"/>
    </row>
    <row r="97" spans="1:12" s="85" customFormat="1" x14ac:dyDescent="0.25">
      <c r="A97" s="79"/>
      <c r="B97" s="867" t="s">
        <v>53</v>
      </c>
      <c r="C97" s="475">
        <v>294.48</v>
      </c>
      <c r="D97" s="864" t="s">
        <v>1522</v>
      </c>
      <c r="E97" s="89"/>
      <c r="F97" s="89"/>
      <c r="G97" s="79"/>
      <c r="H97" s="79"/>
      <c r="I97" s="79"/>
      <c r="J97" s="769"/>
      <c r="K97" s="866"/>
    </row>
    <row r="98" spans="1:12" s="85" customFormat="1" x14ac:dyDescent="0.25">
      <c r="A98" s="79"/>
      <c r="B98" s="79" t="s">
        <v>1823</v>
      </c>
      <c r="C98" s="475"/>
      <c r="D98" s="864" t="s">
        <v>1515</v>
      </c>
      <c r="F98" s="89"/>
      <c r="G98" s="79"/>
      <c r="H98" s="79"/>
      <c r="I98" s="79"/>
      <c r="J98" s="769"/>
      <c r="K98" s="866"/>
    </row>
    <row r="99" spans="1:12" s="85" customFormat="1" x14ac:dyDescent="0.25">
      <c r="A99" s="79"/>
      <c r="B99" s="79" t="s">
        <v>56</v>
      </c>
      <c r="C99" s="475"/>
      <c r="D99" s="864" t="s">
        <v>1523</v>
      </c>
      <c r="F99" s="89"/>
      <c r="G99" s="79"/>
      <c r="H99" s="79"/>
      <c r="I99" s="79"/>
      <c r="J99" s="769"/>
      <c r="K99" s="868"/>
    </row>
    <row r="100" spans="1:12" s="85" customFormat="1" x14ac:dyDescent="0.25">
      <c r="A100" s="79"/>
      <c r="B100" s="79" t="s">
        <v>1686</v>
      </c>
      <c r="C100" s="475">
        <v>481.53</v>
      </c>
      <c r="D100" s="864" t="s">
        <v>1506</v>
      </c>
      <c r="F100" s="89"/>
      <c r="G100" s="79"/>
      <c r="H100" s="79"/>
      <c r="I100" s="79"/>
      <c r="J100" s="769"/>
      <c r="K100" s="866"/>
    </row>
    <row r="101" spans="1:12" s="85" customFormat="1" x14ac:dyDescent="0.25">
      <c r="A101" s="79"/>
      <c r="B101" s="79" t="s">
        <v>418</v>
      </c>
      <c r="C101" s="475">
        <v>119.8</v>
      </c>
      <c r="D101" s="85" t="s">
        <v>1524</v>
      </c>
      <c r="E101" s="79"/>
      <c r="F101" s="89"/>
      <c r="J101" s="769"/>
      <c r="K101" s="866"/>
    </row>
    <row r="102" spans="1:12" x14ac:dyDescent="0.25">
      <c r="B102" s="79" t="s">
        <v>419</v>
      </c>
      <c r="C102" s="475">
        <v>406.75</v>
      </c>
      <c r="D102" s="85" t="s">
        <v>1491</v>
      </c>
      <c r="J102" s="769"/>
      <c r="K102" s="868"/>
    </row>
    <row r="103" spans="1:12" x14ac:dyDescent="0.25">
      <c r="B103" s="79" t="s">
        <v>911</v>
      </c>
      <c r="C103" s="475"/>
      <c r="D103" s="85" t="s">
        <v>1525</v>
      </c>
      <c r="J103" s="769"/>
      <c r="K103" s="868"/>
    </row>
    <row r="104" spans="1:12" x14ac:dyDescent="0.25">
      <c r="B104" s="79" t="s">
        <v>1526</v>
      </c>
      <c r="C104" s="475">
        <v>154.9</v>
      </c>
      <c r="D104" s="85" t="s">
        <v>1504</v>
      </c>
      <c r="E104" s="79"/>
      <c r="J104" s="769"/>
      <c r="K104" s="866"/>
    </row>
    <row r="105" spans="1:12" x14ac:dyDescent="0.25">
      <c r="B105" s="79" t="s">
        <v>1527</v>
      </c>
      <c r="C105" s="475">
        <v>429.09</v>
      </c>
      <c r="D105" s="85" t="s">
        <v>1489</v>
      </c>
      <c r="J105" s="769"/>
      <c r="K105" s="868"/>
    </row>
    <row r="106" spans="1:12" x14ac:dyDescent="0.25">
      <c r="J106" s="769"/>
      <c r="K106" s="866"/>
    </row>
    <row r="107" spans="1:12" x14ac:dyDescent="0.25">
      <c r="J107" s="769"/>
      <c r="K107" s="866"/>
    </row>
    <row r="108" spans="1:12" x14ac:dyDescent="0.25">
      <c r="B108" s="79" t="s">
        <v>486</v>
      </c>
      <c r="C108" s="475">
        <f>H108/J108</f>
        <v>102.75464285714285</v>
      </c>
      <c r="F108" s="224" t="s">
        <v>487</v>
      </c>
      <c r="H108" s="216">
        <f>SUM(C91:C105)</f>
        <v>2877.13</v>
      </c>
      <c r="I108" s="518" t="s">
        <v>488</v>
      </c>
      <c r="J108" s="1517">
        <v>28</v>
      </c>
      <c r="K108" s="866"/>
      <c r="L108" s="85"/>
    </row>
    <row r="109" spans="1:12" x14ac:dyDescent="0.25">
      <c r="J109" s="769"/>
      <c r="K109" s="866"/>
    </row>
    <row r="110" spans="1:12" x14ac:dyDescent="0.25">
      <c r="J110" s="769"/>
      <c r="K110" s="868"/>
    </row>
    <row r="111" spans="1:12" x14ac:dyDescent="0.25">
      <c r="K111" s="866"/>
    </row>
    <row r="112" spans="1:12" x14ac:dyDescent="0.25">
      <c r="D112" s="79"/>
      <c r="E112" s="79"/>
      <c r="J112" s="769"/>
      <c r="K112" s="866"/>
    </row>
    <row r="113" spans="3:11" x14ac:dyDescent="0.25">
      <c r="J113" s="769"/>
      <c r="K113" s="866"/>
    </row>
    <row r="114" spans="3:11" x14ac:dyDescent="0.25">
      <c r="J114" s="769"/>
      <c r="K114" s="866"/>
    </row>
    <row r="115" spans="3:11" x14ac:dyDescent="0.25">
      <c r="J115" s="769"/>
      <c r="K115" s="866"/>
    </row>
    <row r="116" spans="3:11" x14ac:dyDescent="0.25">
      <c r="C116" s="79"/>
      <c r="D116" s="79"/>
      <c r="E116" s="79"/>
      <c r="F116" s="79"/>
      <c r="I116" s="216"/>
      <c r="J116" s="769"/>
      <c r="K116" s="866"/>
    </row>
    <row r="117" spans="3:11" x14ac:dyDescent="0.25">
      <c r="C117" s="79"/>
      <c r="D117" s="79"/>
      <c r="E117" s="79"/>
      <c r="F117" s="79"/>
      <c r="I117" s="216"/>
      <c r="J117" s="769"/>
      <c r="K117" s="866"/>
    </row>
    <row r="118" spans="3:11" x14ac:dyDescent="0.25">
      <c r="C118" s="79"/>
      <c r="D118" s="79"/>
      <c r="E118" s="79"/>
      <c r="F118" s="79"/>
      <c r="G118" s="216"/>
      <c r="I118" s="216"/>
      <c r="J118" s="769"/>
      <c r="K118" s="868"/>
    </row>
    <row r="119" spans="3:11" x14ac:dyDescent="0.25">
      <c r="C119" s="79"/>
      <c r="D119" s="79"/>
      <c r="E119" s="79"/>
      <c r="F119" s="79"/>
      <c r="G119" s="216"/>
      <c r="I119" s="216"/>
      <c r="J119" s="769"/>
      <c r="K119" s="866"/>
    </row>
    <row r="120" spans="3:11" x14ac:dyDescent="0.25">
      <c r="C120" s="79"/>
      <c r="D120" s="79"/>
      <c r="E120" s="79"/>
      <c r="F120" s="79"/>
      <c r="G120" s="216"/>
      <c r="J120" s="770"/>
      <c r="K120" s="866"/>
    </row>
    <row r="121" spans="3:11" x14ac:dyDescent="0.25">
      <c r="C121" s="79"/>
      <c r="D121" s="79"/>
      <c r="E121" s="79"/>
      <c r="F121" s="79"/>
      <c r="I121" s="216"/>
      <c r="J121" s="769"/>
      <c r="K121" s="868"/>
    </row>
    <row r="122" spans="3:11" x14ac:dyDescent="0.25">
      <c r="J122" s="769"/>
      <c r="K122" s="866"/>
    </row>
    <row r="123" spans="3:11" x14ac:dyDescent="0.25">
      <c r="C123" s="79"/>
      <c r="D123" s="79"/>
      <c r="E123" s="79"/>
      <c r="F123" s="79"/>
      <c r="I123" s="629"/>
      <c r="J123" s="769"/>
      <c r="K123" s="866"/>
    </row>
    <row r="124" spans="3:11" x14ac:dyDescent="0.25">
      <c r="J124" s="769"/>
      <c r="K124" s="866"/>
    </row>
    <row r="125" spans="3:11" x14ac:dyDescent="0.25">
      <c r="J125" s="769"/>
      <c r="K125" s="866"/>
    </row>
    <row r="126" spans="3:11" x14ac:dyDescent="0.25">
      <c r="J126" s="769"/>
      <c r="K126" s="866"/>
    </row>
    <row r="127" spans="3:11" x14ac:dyDescent="0.25">
      <c r="J127" s="769"/>
      <c r="K127" s="866"/>
    </row>
    <row r="128" spans="3:11" x14ac:dyDescent="0.25">
      <c r="J128" s="769"/>
      <c r="K128" s="866"/>
    </row>
    <row r="129" spans="3:11" x14ac:dyDescent="0.25">
      <c r="C129" s="79"/>
      <c r="D129" s="79"/>
      <c r="E129" s="79"/>
      <c r="F129" s="79"/>
      <c r="I129" s="216"/>
      <c r="J129" s="769"/>
      <c r="K129" s="866"/>
    </row>
    <row r="130" spans="3:11" x14ac:dyDescent="0.25">
      <c r="C130" s="79"/>
      <c r="D130" s="79"/>
      <c r="E130" s="79"/>
      <c r="F130" s="79"/>
      <c r="I130" s="216"/>
      <c r="J130" s="769"/>
      <c r="K130" s="866"/>
    </row>
    <row r="131" spans="3:11" x14ac:dyDescent="0.25">
      <c r="C131" s="79"/>
      <c r="D131" s="79"/>
      <c r="E131" s="79"/>
      <c r="F131" s="79"/>
      <c r="I131" s="216"/>
      <c r="J131" s="769"/>
      <c r="K131" s="866"/>
    </row>
    <row r="132" spans="3:11" x14ac:dyDescent="0.25">
      <c r="C132" s="79"/>
      <c r="D132" s="79"/>
      <c r="E132" s="79"/>
      <c r="F132" s="79"/>
      <c r="I132" s="216"/>
      <c r="J132" s="769"/>
      <c r="K132" s="866"/>
    </row>
    <row r="133" spans="3:11" x14ac:dyDescent="0.25">
      <c r="C133" s="79"/>
      <c r="D133" s="79"/>
      <c r="E133" s="79"/>
      <c r="F133" s="79"/>
      <c r="I133" s="216"/>
      <c r="J133" s="769"/>
      <c r="K133" s="868"/>
    </row>
    <row r="134" spans="3:11" x14ac:dyDescent="0.25">
      <c r="C134" s="79"/>
      <c r="D134" s="79"/>
      <c r="E134" s="79"/>
      <c r="F134" s="79"/>
      <c r="I134" s="216"/>
      <c r="J134" s="769"/>
      <c r="K134" s="868"/>
    </row>
    <row r="135" spans="3:11" x14ac:dyDescent="0.25">
      <c r="C135" s="79"/>
      <c r="D135" s="79"/>
      <c r="E135" s="79"/>
      <c r="F135" s="79"/>
      <c r="I135" s="216"/>
      <c r="J135" s="769"/>
      <c r="K135" s="868"/>
    </row>
    <row r="136" spans="3:11" x14ac:dyDescent="0.25">
      <c r="C136" s="79"/>
      <c r="D136" s="79"/>
      <c r="E136" s="79"/>
      <c r="F136" s="79"/>
      <c r="I136" s="216"/>
      <c r="J136" s="769"/>
      <c r="K136" s="868"/>
    </row>
    <row r="137" spans="3:11" x14ac:dyDescent="0.25">
      <c r="C137" s="79"/>
      <c r="D137" s="79"/>
      <c r="E137" s="79"/>
      <c r="F137" s="79"/>
      <c r="I137" s="216"/>
      <c r="J137" s="769"/>
      <c r="K137" s="868"/>
    </row>
    <row r="138" spans="3:11" x14ac:dyDescent="0.25">
      <c r="J138" s="769"/>
      <c r="K138" s="866"/>
    </row>
    <row r="139" spans="3:11" x14ac:dyDescent="0.25">
      <c r="J139" s="769"/>
      <c r="K139" s="866"/>
    </row>
    <row r="140" spans="3:11" x14ac:dyDescent="0.25">
      <c r="J140" s="769"/>
      <c r="K140" s="868"/>
    </row>
    <row r="141" spans="3:11" x14ac:dyDescent="0.25">
      <c r="J141" s="769"/>
      <c r="K141" s="866"/>
    </row>
    <row r="142" spans="3:11" x14ac:dyDescent="0.25">
      <c r="J142" s="769"/>
      <c r="K142" s="866"/>
    </row>
    <row r="143" spans="3:11" x14ac:dyDescent="0.25">
      <c r="C143" s="79"/>
      <c r="D143" s="79"/>
      <c r="E143" s="79"/>
      <c r="F143" s="79"/>
      <c r="J143" s="769"/>
      <c r="K143" s="868"/>
    </row>
    <row r="144" spans="3:11" x14ac:dyDescent="0.25">
      <c r="C144" s="79"/>
      <c r="D144" s="79"/>
      <c r="E144" s="79"/>
      <c r="F144" s="79"/>
      <c r="J144" s="769"/>
      <c r="K144" s="868"/>
    </row>
    <row r="145" spans="3:11" x14ac:dyDescent="0.25">
      <c r="C145" s="79"/>
      <c r="D145" s="79"/>
      <c r="E145" s="79"/>
      <c r="F145" s="79"/>
      <c r="J145" s="769"/>
      <c r="K145" s="868"/>
    </row>
    <row r="146" spans="3:11" x14ac:dyDescent="0.25">
      <c r="C146" s="79"/>
      <c r="D146" s="79"/>
      <c r="E146" s="79"/>
      <c r="F146" s="79"/>
      <c r="J146" s="769"/>
      <c r="K146" s="868"/>
    </row>
    <row r="147" spans="3:11" x14ac:dyDescent="0.25">
      <c r="C147" s="79"/>
      <c r="D147" s="79"/>
      <c r="E147" s="79"/>
      <c r="F147" s="79"/>
      <c r="J147" s="769"/>
      <c r="K147" s="866"/>
    </row>
    <row r="148" spans="3:11" x14ac:dyDescent="0.25">
      <c r="C148" s="79"/>
      <c r="D148" s="79"/>
      <c r="E148" s="79"/>
      <c r="F148" s="79"/>
      <c r="J148" s="223"/>
      <c r="K148" s="629"/>
    </row>
    <row r="149" spans="3:11" x14ac:dyDescent="0.25">
      <c r="C149" s="79"/>
      <c r="D149" s="79"/>
      <c r="E149" s="79"/>
      <c r="F149" s="79"/>
      <c r="J149" s="756"/>
      <c r="K149" s="756"/>
    </row>
    <row r="150" spans="3:11" x14ac:dyDescent="0.25">
      <c r="C150" s="79"/>
      <c r="D150" s="79"/>
      <c r="E150" s="79"/>
      <c r="F150" s="79"/>
    </row>
    <row r="151" spans="3:11" x14ac:dyDescent="0.25">
      <c r="C151" s="79"/>
      <c r="D151" s="79"/>
      <c r="E151" s="79"/>
      <c r="F151" s="79"/>
    </row>
    <row r="152" spans="3:11" x14ac:dyDescent="0.25">
      <c r="C152" s="79"/>
      <c r="D152" s="79"/>
      <c r="E152" s="79"/>
      <c r="F152" s="79"/>
    </row>
    <row r="153" spans="3:11" x14ac:dyDescent="0.25">
      <c r="C153" s="79"/>
      <c r="D153" s="79"/>
      <c r="E153" s="79"/>
      <c r="F153" s="79"/>
    </row>
    <row r="154" spans="3:11" x14ac:dyDescent="0.25">
      <c r="C154" s="79"/>
      <c r="D154" s="79"/>
      <c r="E154" s="79"/>
      <c r="F154" s="79"/>
      <c r="J154" s="85"/>
      <c r="K154" s="85"/>
    </row>
    <row r="155" spans="3:11" x14ac:dyDescent="0.25">
      <c r="C155" s="79"/>
      <c r="D155" s="79"/>
      <c r="E155" s="79"/>
      <c r="F155" s="79"/>
    </row>
    <row r="156" spans="3:11" x14ac:dyDescent="0.25">
      <c r="C156" s="79"/>
      <c r="D156" s="79"/>
      <c r="E156" s="79"/>
      <c r="F156" s="79"/>
    </row>
    <row r="157" spans="3:11" x14ac:dyDescent="0.25">
      <c r="C157" s="79"/>
      <c r="D157" s="79"/>
      <c r="E157" s="79"/>
      <c r="F157" s="79"/>
    </row>
    <row r="158" spans="3:11" x14ac:dyDescent="0.25">
      <c r="C158" s="79"/>
      <c r="D158" s="79"/>
      <c r="E158" s="79"/>
      <c r="F158" s="79"/>
    </row>
    <row r="159" spans="3:11" x14ac:dyDescent="0.25">
      <c r="C159" s="79"/>
      <c r="D159" s="79"/>
      <c r="E159" s="79"/>
      <c r="F159" s="79"/>
    </row>
    <row r="160" spans="3:11" x14ac:dyDescent="0.25">
      <c r="C160" s="79"/>
      <c r="D160" s="79"/>
      <c r="E160" s="79"/>
      <c r="F160" s="79"/>
    </row>
    <row r="161" spans="3:11" x14ac:dyDescent="0.25">
      <c r="C161" s="79"/>
      <c r="D161" s="79"/>
      <c r="E161" s="79"/>
      <c r="F161" s="79"/>
      <c r="J161" s="85"/>
      <c r="K161" s="85"/>
    </row>
    <row r="162" spans="3:11" x14ac:dyDescent="0.25">
      <c r="C162" s="79"/>
      <c r="D162" s="79"/>
      <c r="E162" s="79"/>
      <c r="F162" s="79"/>
    </row>
    <row r="163" spans="3:11" x14ac:dyDescent="0.25">
      <c r="C163" s="79"/>
      <c r="D163" s="79"/>
      <c r="E163" s="79"/>
      <c r="F163" s="79"/>
    </row>
    <row r="164" spans="3:11" x14ac:dyDescent="0.25">
      <c r="C164" s="79"/>
      <c r="D164" s="79"/>
      <c r="E164" s="79"/>
      <c r="F164" s="79"/>
    </row>
    <row r="165" spans="3:11" x14ac:dyDescent="0.25">
      <c r="C165" s="79"/>
      <c r="D165" s="79"/>
      <c r="E165" s="79"/>
      <c r="F165" s="79"/>
    </row>
    <row r="166" spans="3:11" x14ac:dyDescent="0.25">
      <c r="C166" s="79"/>
      <c r="D166" s="79"/>
      <c r="E166" s="79"/>
      <c r="F166" s="79"/>
    </row>
    <row r="167" spans="3:11" x14ac:dyDescent="0.25">
      <c r="C167" s="79"/>
      <c r="D167" s="79"/>
      <c r="E167" s="79"/>
      <c r="F167" s="79"/>
    </row>
    <row r="168" spans="3:11" x14ac:dyDescent="0.25">
      <c r="C168" s="79"/>
      <c r="D168" s="79"/>
      <c r="E168" s="79"/>
      <c r="F168" s="79"/>
      <c r="J168" s="771"/>
      <c r="K168" s="518"/>
    </row>
    <row r="169" spans="3:11" x14ac:dyDescent="0.25">
      <c r="C169" s="79"/>
      <c r="D169" s="79"/>
      <c r="E169" s="79"/>
      <c r="F169" s="79"/>
    </row>
    <row r="176" spans="3:11" x14ac:dyDescent="0.25">
      <c r="C176" s="79"/>
      <c r="D176" s="79"/>
      <c r="E176" s="79"/>
      <c r="F176" s="79"/>
      <c r="K176" s="216"/>
    </row>
    <row r="177" spans="3:11" x14ac:dyDescent="0.25">
      <c r="C177" s="79"/>
      <c r="D177" s="79"/>
      <c r="E177" s="79"/>
      <c r="F177" s="79"/>
      <c r="K177" s="216"/>
    </row>
    <row r="178" spans="3:11" x14ac:dyDescent="0.25">
      <c r="C178" s="79"/>
      <c r="D178" s="79"/>
      <c r="E178" s="79"/>
      <c r="F178" s="79"/>
      <c r="K178" s="216"/>
    </row>
    <row r="179" spans="3:11" x14ac:dyDescent="0.25">
      <c r="C179" s="79"/>
      <c r="D179" s="79"/>
      <c r="E179" s="79"/>
      <c r="F179" s="79"/>
      <c r="K179" s="216"/>
    </row>
    <row r="181" spans="3:11" x14ac:dyDescent="0.25">
      <c r="C181" s="79"/>
      <c r="D181" s="79"/>
      <c r="E181" s="79"/>
      <c r="F181" s="79"/>
      <c r="K181" s="216"/>
    </row>
    <row r="183" spans="3:11" x14ac:dyDescent="0.25">
      <c r="C183" s="79"/>
      <c r="D183" s="79"/>
      <c r="E183" s="79"/>
      <c r="F183" s="79"/>
      <c r="K183" s="629"/>
    </row>
    <row r="189" spans="3:11" x14ac:dyDescent="0.25">
      <c r="C189" s="79"/>
      <c r="D189" s="79"/>
      <c r="E189" s="79"/>
      <c r="F189" s="79"/>
      <c r="K189" s="216"/>
    </row>
    <row r="190" spans="3:11" x14ac:dyDescent="0.25">
      <c r="C190" s="79"/>
      <c r="D190" s="79"/>
      <c r="E190" s="79"/>
      <c r="F190" s="79"/>
      <c r="K190" s="216"/>
    </row>
    <row r="191" spans="3:11" x14ac:dyDescent="0.25">
      <c r="C191" s="79"/>
      <c r="D191" s="79"/>
      <c r="E191" s="79"/>
      <c r="F191" s="79"/>
      <c r="K191" s="216"/>
    </row>
    <row r="192" spans="3:11" x14ac:dyDescent="0.25">
      <c r="C192" s="79"/>
      <c r="D192" s="79"/>
      <c r="E192" s="79"/>
      <c r="F192" s="79"/>
      <c r="K192" s="216"/>
    </row>
    <row r="193" spans="3:11" x14ac:dyDescent="0.25">
      <c r="C193" s="79"/>
      <c r="D193" s="79"/>
      <c r="E193" s="79"/>
      <c r="F193" s="79"/>
      <c r="K193" s="216"/>
    </row>
    <row r="194" spans="3:11" x14ac:dyDescent="0.25">
      <c r="C194" s="79"/>
      <c r="D194" s="79"/>
      <c r="E194" s="79"/>
      <c r="F194" s="79"/>
      <c r="K194" s="216"/>
    </row>
    <row r="195" spans="3:11" x14ac:dyDescent="0.25">
      <c r="C195" s="79"/>
      <c r="D195" s="79"/>
      <c r="E195" s="79"/>
      <c r="F195" s="79"/>
      <c r="K195" s="216"/>
    </row>
    <row r="196" spans="3:11" x14ac:dyDescent="0.25">
      <c r="C196" s="79"/>
      <c r="D196" s="79"/>
      <c r="E196" s="79"/>
      <c r="F196" s="79"/>
      <c r="K196" s="216"/>
    </row>
    <row r="197" spans="3:11" x14ac:dyDescent="0.25">
      <c r="C197" s="79"/>
      <c r="D197" s="79"/>
      <c r="E197" s="79"/>
      <c r="F197" s="79"/>
      <c r="K197" s="216"/>
    </row>
  </sheetData>
  <autoFilter ref="A2:I89" xr:uid="{00000000-0009-0000-0000-000046000000}"/>
  <mergeCells count="13">
    <mergeCell ref="M20:N20"/>
    <mergeCell ref="A88:E88"/>
    <mergeCell ref="A89:E8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Plan83" filterMode="1"/>
  <dimension ref="A1:O219"/>
  <sheetViews>
    <sheetView zoomScale="85" zoomScaleNormal="85" workbookViewId="0">
      <pane ySplit="4" topLeftCell="A5" activePane="bottomLeft" state="frozen"/>
      <selection activeCell="C44" sqref="C44"/>
      <selection pane="bottomLeft" activeCell="B13" sqref="A1:O2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1837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43160</v>
      </c>
      <c r="B5" s="369" t="s">
        <v>10</v>
      </c>
      <c r="C5" s="370"/>
      <c r="D5" s="370"/>
      <c r="E5" s="777"/>
      <c r="F5" s="179"/>
      <c r="G5" s="933">
        <f>'Fevereiro-18'!G89</f>
        <v>493.23000000001139</v>
      </c>
      <c r="H5" s="179"/>
      <c r="I5" s="933">
        <f>'Fevereiro-18'!I89</f>
        <v>2651.2760000000017</v>
      </c>
      <c r="J5" s="179"/>
      <c r="K5" s="933">
        <f>'Fevereiro-18'!K89</f>
        <v>8480.4499999999989</v>
      </c>
    </row>
    <row r="6" spans="1:11" s="224" customFormat="1" hidden="1" x14ac:dyDescent="0.25">
      <c r="A6" s="215">
        <v>43160</v>
      </c>
      <c r="B6" s="348" t="s">
        <v>11</v>
      </c>
      <c r="C6" s="351"/>
      <c r="D6" s="351"/>
      <c r="E6" s="673"/>
      <c r="F6" s="250"/>
      <c r="G6" s="1473"/>
      <c r="H6" s="250"/>
      <c r="I6" s="1473"/>
      <c r="J6" s="250"/>
      <c r="K6" s="1473"/>
    </row>
    <row r="7" spans="1:11" s="224" customFormat="1" hidden="1" x14ac:dyDescent="0.25">
      <c r="A7" s="215">
        <v>43160</v>
      </c>
      <c r="B7" s="862" t="s">
        <v>32</v>
      </c>
      <c r="C7" s="350" t="s">
        <v>12</v>
      </c>
      <c r="D7" s="874" t="s">
        <v>1485</v>
      </c>
      <c r="E7" s="875" t="s">
        <v>13</v>
      </c>
      <c r="F7" s="827">
        <v>14</v>
      </c>
      <c r="G7" s="1064"/>
      <c r="H7" s="97"/>
      <c r="I7" s="946"/>
      <c r="J7" s="97"/>
      <c r="K7" s="946"/>
    </row>
    <row r="8" spans="1:11" s="224" customFormat="1" ht="15" hidden="1" customHeight="1" x14ac:dyDescent="0.25">
      <c r="A8" s="215">
        <v>43160</v>
      </c>
      <c r="B8" s="349" t="s">
        <v>134</v>
      </c>
      <c r="C8" s="350" t="s">
        <v>12</v>
      </c>
      <c r="D8" s="765" t="s">
        <v>1493</v>
      </c>
      <c r="E8" s="778" t="s">
        <v>13</v>
      </c>
      <c r="F8" s="97">
        <v>2.97</v>
      </c>
      <c r="G8" s="946"/>
      <c r="H8" s="97"/>
      <c r="I8" s="946"/>
      <c r="J8" s="97"/>
      <c r="K8" s="946"/>
    </row>
    <row r="9" spans="1:11" s="224" customFormat="1" ht="15" hidden="1" customHeight="1" x14ac:dyDescent="0.25">
      <c r="A9" s="215">
        <v>43161</v>
      </c>
      <c r="B9" s="862" t="s">
        <v>256</v>
      </c>
      <c r="C9" s="879"/>
      <c r="D9" s="879"/>
      <c r="E9" s="871"/>
      <c r="F9" s="97"/>
      <c r="G9" s="1064">
        <v>851.28</v>
      </c>
      <c r="H9" s="97">
        <v>851.28</v>
      </c>
      <c r="I9" s="946"/>
      <c r="J9" s="97"/>
      <c r="K9" s="946"/>
    </row>
    <row r="10" spans="1:11" s="224" customFormat="1" ht="15" hidden="1" customHeight="1" x14ac:dyDescent="0.25">
      <c r="A10" s="215">
        <v>43161</v>
      </c>
      <c r="B10" s="349" t="s">
        <v>134</v>
      </c>
      <c r="C10" s="350" t="s">
        <v>12</v>
      </c>
      <c r="D10" s="350" t="s">
        <v>1493</v>
      </c>
      <c r="E10" s="480" t="s">
        <v>13</v>
      </c>
      <c r="F10" s="137">
        <v>10</v>
      </c>
      <c r="G10" s="946"/>
      <c r="H10" s="97"/>
      <c r="I10" s="946"/>
      <c r="J10" s="97"/>
      <c r="K10" s="946"/>
    </row>
    <row r="11" spans="1:11" s="224" customFormat="1" hidden="1" x14ac:dyDescent="0.25">
      <c r="A11" s="215">
        <v>43161</v>
      </c>
      <c r="B11" s="862" t="s">
        <v>32</v>
      </c>
      <c r="C11" s="352" t="s">
        <v>12</v>
      </c>
      <c r="D11" s="874" t="s">
        <v>1485</v>
      </c>
      <c r="E11" s="875" t="s">
        <v>13</v>
      </c>
      <c r="F11" s="828">
        <v>14</v>
      </c>
      <c r="G11" s="946"/>
      <c r="H11" s="97"/>
      <c r="I11" s="946"/>
      <c r="J11" s="97"/>
      <c r="K11" s="946"/>
    </row>
    <row r="12" spans="1:11" s="224" customFormat="1" hidden="1" x14ac:dyDescent="0.25">
      <c r="A12" s="215">
        <v>43161</v>
      </c>
      <c r="B12" s="862" t="s">
        <v>1331</v>
      </c>
      <c r="C12" s="350" t="s">
        <v>12</v>
      </c>
      <c r="D12" s="879" t="s">
        <v>1487</v>
      </c>
      <c r="E12" s="871" t="s">
        <v>15</v>
      </c>
      <c r="F12" s="626">
        <v>20</v>
      </c>
      <c r="G12" s="248"/>
      <c r="H12" s="97"/>
      <c r="I12" s="946"/>
      <c r="J12" s="97"/>
      <c r="K12" s="946"/>
    </row>
    <row r="13" spans="1:11" s="224" customFormat="1" x14ac:dyDescent="0.25">
      <c r="A13" s="215">
        <v>43161</v>
      </c>
      <c r="B13" s="862" t="s">
        <v>1838</v>
      </c>
      <c r="C13" s="350" t="s">
        <v>12</v>
      </c>
      <c r="D13" s="879" t="s">
        <v>1524</v>
      </c>
      <c r="E13" s="871" t="s">
        <v>15</v>
      </c>
      <c r="F13" s="626">
        <v>900</v>
      </c>
      <c r="G13" s="248"/>
      <c r="H13" s="97"/>
      <c r="I13" s="946"/>
      <c r="J13" s="97"/>
      <c r="K13" s="946"/>
    </row>
    <row r="14" spans="1:11" s="224" customFormat="1" ht="15" hidden="1" customHeight="1" x14ac:dyDescent="0.25">
      <c r="A14" s="215">
        <v>43162</v>
      </c>
      <c r="B14" s="862" t="s">
        <v>32</v>
      </c>
      <c r="C14" s="350" t="s">
        <v>12</v>
      </c>
      <c r="D14" s="874" t="s">
        <v>1485</v>
      </c>
      <c r="E14" s="875" t="s">
        <v>13</v>
      </c>
      <c r="F14" s="827">
        <v>15.9</v>
      </c>
      <c r="G14" s="946"/>
      <c r="H14" s="97"/>
      <c r="I14" s="946"/>
      <c r="J14" s="97"/>
      <c r="K14" s="946"/>
    </row>
    <row r="15" spans="1:11" s="224" customFormat="1" hidden="1" x14ac:dyDescent="0.25">
      <c r="A15" s="215">
        <v>43162</v>
      </c>
      <c r="B15" s="862" t="s">
        <v>1438</v>
      </c>
      <c r="C15" s="350" t="s">
        <v>19</v>
      </c>
      <c r="D15" s="879" t="s">
        <v>1489</v>
      </c>
      <c r="E15" s="871" t="s">
        <v>13</v>
      </c>
      <c r="F15" s="626">
        <v>36.270000000000003</v>
      </c>
      <c r="G15" s="248"/>
      <c r="H15" s="97"/>
      <c r="I15" s="946"/>
      <c r="J15" s="97"/>
      <c r="K15" s="946"/>
    </row>
    <row r="16" spans="1:11" s="224" customFormat="1" hidden="1" x14ac:dyDescent="0.25">
      <c r="A16" s="215">
        <v>43162</v>
      </c>
      <c r="B16" s="862" t="s">
        <v>1331</v>
      </c>
      <c r="C16" s="350" t="s">
        <v>12</v>
      </c>
      <c r="D16" s="879" t="s">
        <v>1487</v>
      </c>
      <c r="E16" s="871" t="s">
        <v>15</v>
      </c>
      <c r="F16" s="626">
        <v>60</v>
      </c>
      <c r="G16" s="248"/>
      <c r="H16" s="97"/>
      <c r="I16" s="946"/>
      <c r="J16" s="97"/>
      <c r="K16" s="946"/>
    </row>
    <row r="17" spans="1:14" s="224" customFormat="1" hidden="1" x14ac:dyDescent="0.25">
      <c r="A17" s="215">
        <v>43163</v>
      </c>
      <c r="B17" s="349" t="s">
        <v>134</v>
      </c>
      <c r="C17" s="350" t="s">
        <v>12</v>
      </c>
      <c r="D17" s="765" t="s">
        <v>1493</v>
      </c>
      <c r="E17" s="778" t="s">
        <v>15</v>
      </c>
      <c r="F17" s="97">
        <v>5</v>
      </c>
      <c r="G17" s="946"/>
      <c r="H17" s="97"/>
      <c r="I17" s="946"/>
      <c r="J17" s="97"/>
      <c r="K17" s="946"/>
    </row>
    <row r="18" spans="1:14" s="224" customFormat="1" hidden="1" x14ac:dyDescent="0.25">
      <c r="A18" s="215">
        <v>43163</v>
      </c>
      <c r="B18" s="364" t="s">
        <v>14</v>
      </c>
      <c r="C18" s="350" t="s">
        <v>12</v>
      </c>
      <c r="D18" s="350" t="s">
        <v>1486</v>
      </c>
      <c r="E18" s="480" t="s">
        <v>13</v>
      </c>
      <c r="F18" s="97">
        <v>8.4600000000000009</v>
      </c>
      <c r="G18" s="946"/>
      <c r="H18" s="137"/>
      <c r="I18" s="946"/>
      <c r="J18" s="97"/>
      <c r="K18" s="946"/>
    </row>
    <row r="19" spans="1:14" s="224" customFormat="1" hidden="1" x14ac:dyDescent="0.25">
      <c r="A19" s="215">
        <v>43164</v>
      </c>
      <c r="B19" s="364" t="s">
        <v>14</v>
      </c>
      <c r="C19" s="350" t="s">
        <v>12</v>
      </c>
      <c r="D19" s="350" t="s">
        <v>1486</v>
      </c>
      <c r="E19" s="480" t="s">
        <v>13</v>
      </c>
      <c r="F19" s="97">
        <v>2.4500000000000002</v>
      </c>
      <c r="G19" s="1482"/>
      <c r="H19" s="96"/>
      <c r="I19" s="946"/>
      <c r="J19" s="97"/>
      <c r="K19" s="946"/>
    </row>
    <row r="20" spans="1:14" s="224" customFormat="1" hidden="1" x14ac:dyDescent="0.25">
      <c r="A20" s="215">
        <v>43165</v>
      </c>
      <c r="B20" s="349" t="s">
        <v>311</v>
      </c>
      <c r="C20" s="350"/>
      <c r="D20" s="765"/>
      <c r="E20" s="778"/>
      <c r="F20" s="709"/>
      <c r="G20" s="248"/>
      <c r="H20" s="97"/>
      <c r="I20" s="946">
        <v>7.03</v>
      </c>
      <c r="J20" s="97"/>
      <c r="K20" s="946"/>
    </row>
    <row r="21" spans="1:14" s="224" customFormat="1" ht="15" hidden="1" customHeight="1" x14ac:dyDescent="0.25">
      <c r="A21" s="215">
        <v>43165</v>
      </c>
      <c r="B21" s="349" t="s">
        <v>260</v>
      </c>
      <c r="C21" s="350"/>
      <c r="D21" s="350"/>
      <c r="E21" s="480"/>
      <c r="F21" s="523">
        <v>398</v>
      </c>
      <c r="G21" s="1064"/>
      <c r="H21" s="97"/>
      <c r="I21" s="946">
        <v>398</v>
      </c>
      <c r="J21" s="97"/>
      <c r="K21" s="946"/>
    </row>
    <row r="22" spans="1:14" s="224" customFormat="1" hidden="1" x14ac:dyDescent="0.25">
      <c r="A22" s="215">
        <v>43165</v>
      </c>
      <c r="B22" s="862" t="s">
        <v>32</v>
      </c>
      <c r="C22" s="350" t="s">
        <v>12</v>
      </c>
      <c r="D22" s="874" t="s">
        <v>1485</v>
      </c>
      <c r="E22" s="875" t="s">
        <v>13</v>
      </c>
      <c r="F22" s="804">
        <v>14</v>
      </c>
      <c r="G22" s="946"/>
      <c r="H22" s="97"/>
      <c r="I22" s="946"/>
      <c r="J22" s="97"/>
      <c r="K22" s="946"/>
    </row>
    <row r="23" spans="1:14" s="224" customFormat="1" hidden="1" x14ac:dyDescent="0.25">
      <c r="A23" s="215">
        <v>43165</v>
      </c>
      <c r="B23" s="349" t="s">
        <v>1597</v>
      </c>
      <c r="C23" s="350" t="s">
        <v>12</v>
      </c>
      <c r="D23" s="765" t="s">
        <v>1491</v>
      </c>
      <c r="E23" s="778" t="s">
        <v>15</v>
      </c>
      <c r="F23" s="97">
        <v>25</v>
      </c>
      <c r="G23" s="946"/>
      <c r="H23" s="97"/>
      <c r="I23" s="946"/>
      <c r="J23" s="97"/>
      <c r="K23" s="946"/>
    </row>
    <row r="24" spans="1:14" s="224" customFormat="1" hidden="1" x14ac:dyDescent="0.25">
      <c r="A24" s="215">
        <v>43165</v>
      </c>
      <c r="B24" s="349" t="s">
        <v>134</v>
      </c>
      <c r="C24" s="350" t="s">
        <v>12</v>
      </c>
      <c r="D24" s="350" t="s">
        <v>1493</v>
      </c>
      <c r="E24" s="778" t="s">
        <v>15</v>
      </c>
      <c r="F24" s="97">
        <v>6.93</v>
      </c>
      <c r="G24" s="946"/>
      <c r="H24" s="97"/>
      <c r="I24" s="946"/>
      <c r="J24" s="97"/>
      <c r="K24" s="946"/>
    </row>
    <row r="25" spans="1:14" s="224" customFormat="1" ht="15.75" hidden="1" customHeight="1" x14ac:dyDescent="0.25">
      <c r="A25" s="215">
        <v>43165</v>
      </c>
      <c r="B25" s="349" t="s">
        <v>1839</v>
      </c>
      <c r="C25" s="879" t="s">
        <v>12</v>
      </c>
      <c r="D25" s="874"/>
      <c r="E25" s="871" t="s">
        <v>25</v>
      </c>
      <c r="F25" s="1514"/>
      <c r="G25" s="1473">
        <v>1729.32</v>
      </c>
      <c r="H25" s="250"/>
      <c r="I25" s="946"/>
      <c r="J25" s="97"/>
      <c r="K25" s="946"/>
    </row>
    <row r="26" spans="1:14" s="224" customFormat="1" hidden="1" x14ac:dyDescent="0.25">
      <c r="A26" s="215">
        <v>43165</v>
      </c>
      <c r="B26" s="862" t="s">
        <v>1840</v>
      </c>
      <c r="C26" s="879" t="s">
        <v>12</v>
      </c>
      <c r="D26" s="879"/>
      <c r="E26" s="871" t="s">
        <v>13</v>
      </c>
      <c r="F26" s="456">
        <v>258.16000000000003</v>
      </c>
      <c r="G26" s="946"/>
      <c r="H26" s="97"/>
      <c r="I26" s="946"/>
      <c r="J26" s="523"/>
      <c r="K26" s="457"/>
      <c r="L26" s="178">
        <v>325.98</v>
      </c>
      <c r="M26" s="3096" t="s">
        <v>1841</v>
      </c>
      <c r="N26" s="3096"/>
    </row>
    <row r="27" spans="1:14" hidden="1" x14ac:dyDescent="0.25">
      <c r="A27" s="215">
        <v>43165</v>
      </c>
      <c r="B27" s="862" t="s">
        <v>1532</v>
      </c>
      <c r="C27" s="879" t="s">
        <v>12</v>
      </c>
      <c r="D27" s="879" t="s">
        <v>1504</v>
      </c>
      <c r="E27" s="871" t="s">
        <v>13</v>
      </c>
      <c r="F27" s="523">
        <v>50</v>
      </c>
      <c r="G27" s="946"/>
      <c r="H27" s="97"/>
      <c r="I27" s="946"/>
      <c r="J27" s="97"/>
      <c r="K27" s="1473"/>
    </row>
    <row r="28" spans="1:14" hidden="1" x14ac:dyDescent="0.25">
      <c r="A28" s="215">
        <v>43165</v>
      </c>
      <c r="B28" s="882" t="s">
        <v>1842</v>
      </c>
      <c r="C28" s="879" t="s">
        <v>12</v>
      </c>
      <c r="D28" s="879" t="s">
        <v>1499</v>
      </c>
      <c r="E28" s="871" t="s">
        <v>13</v>
      </c>
      <c r="F28" s="780">
        <v>53.87</v>
      </c>
      <c r="G28" s="982"/>
      <c r="H28" s="622"/>
      <c r="I28" s="982"/>
      <c r="J28" s="780"/>
      <c r="K28" s="614"/>
    </row>
    <row r="29" spans="1:14" hidden="1" x14ac:dyDescent="0.25">
      <c r="A29" s="215">
        <v>43165</v>
      </c>
      <c r="B29" s="862" t="s">
        <v>52</v>
      </c>
      <c r="C29" s="879" t="s">
        <v>12</v>
      </c>
      <c r="D29" s="879" t="s">
        <v>1496</v>
      </c>
      <c r="E29" s="871" t="s">
        <v>13</v>
      </c>
      <c r="F29" s="523">
        <v>60</v>
      </c>
      <c r="G29" s="1064"/>
      <c r="H29" s="97"/>
      <c r="I29" s="946"/>
      <c r="J29" s="97"/>
      <c r="K29" s="946"/>
    </row>
    <row r="30" spans="1:14" s="224" customFormat="1" hidden="1" x14ac:dyDescent="0.25">
      <c r="A30" s="215">
        <v>43165</v>
      </c>
      <c r="B30" s="882" t="s">
        <v>1843</v>
      </c>
      <c r="C30" s="879" t="s">
        <v>12</v>
      </c>
      <c r="D30" s="879" t="s">
        <v>1522</v>
      </c>
      <c r="E30" s="871" t="s">
        <v>13</v>
      </c>
      <c r="F30" s="97">
        <v>248</v>
      </c>
      <c r="G30" s="946"/>
      <c r="H30" s="97"/>
      <c r="I30" s="946"/>
      <c r="J30" s="97"/>
      <c r="K30" s="946"/>
    </row>
    <row r="31" spans="1:14" s="224" customFormat="1" hidden="1" x14ac:dyDescent="0.25">
      <c r="A31" s="215">
        <v>43166</v>
      </c>
      <c r="B31" s="862" t="s">
        <v>32</v>
      </c>
      <c r="C31" s="350" t="s">
        <v>12</v>
      </c>
      <c r="D31" s="874" t="s">
        <v>1485</v>
      </c>
      <c r="E31" s="875" t="s">
        <v>13</v>
      </c>
      <c r="F31" s="804">
        <v>14</v>
      </c>
      <c r="G31" s="946"/>
      <c r="H31" s="97"/>
      <c r="I31" s="946"/>
      <c r="J31" s="97"/>
      <c r="K31" s="946"/>
    </row>
    <row r="32" spans="1:14" s="224" customFormat="1" hidden="1" x14ac:dyDescent="0.25">
      <c r="A32" s="215">
        <v>43166</v>
      </c>
      <c r="B32" s="364" t="s">
        <v>14</v>
      </c>
      <c r="C32" s="350" t="s">
        <v>12</v>
      </c>
      <c r="D32" s="350" t="s">
        <v>1486</v>
      </c>
      <c r="E32" s="480" t="s">
        <v>13</v>
      </c>
      <c r="F32" s="97">
        <v>5.37</v>
      </c>
      <c r="G32" s="946"/>
      <c r="H32" s="137"/>
      <c r="I32" s="946"/>
      <c r="J32" s="97"/>
      <c r="K32" s="946"/>
    </row>
    <row r="33" spans="1:11" s="224" customFormat="1" hidden="1" x14ac:dyDescent="0.25">
      <c r="A33" s="215">
        <v>43167</v>
      </c>
      <c r="B33" s="862" t="s">
        <v>1331</v>
      </c>
      <c r="C33" s="350" t="s">
        <v>12</v>
      </c>
      <c r="D33" s="879" t="s">
        <v>1487</v>
      </c>
      <c r="E33" s="871" t="s">
        <v>13</v>
      </c>
      <c r="F33" s="626">
        <v>60</v>
      </c>
      <c r="G33" s="248"/>
      <c r="H33" s="97"/>
      <c r="I33" s="946"/>
      <c r="J33" s="97"/>
      <c r="K33" s="946"/>
    </row>
    <row r="34" spans="1:11" s="224" customFormat="1" ht="15" hidden="1" customHeight="1" x14ac:dyDescent="0.25">
      <c r="A34" s="215">
        <v>43167</v>
      </c>
      <c r="B34" s="364" t="s">
        <v>14</v>
      </c>
      <c r="C34" s="350" t="s">
        <v>12</v>
      </c>
      <c r="D34" s="350" t="s">
        <v>1486</v>
      </c>
      <c r="E34" s="480" t="s">
        <v>13</v>
      </c>
      <c r="F34" s="97">
        <v>6</v>
      </c>
      <c r="G34" s="946"/>
      <c r="H34" s="97"/>
      <c r="I34" s="946"/>
      <c r="J34" s="97"/>
      <c r="K34" s="946"/>
    </row>
    <row r="35" spans="1:11" ht="15" hidden="1" customHeight="1" x14ac:dyDescent="0.25">
      <c r="A35" s="215">
        <v>43167</v>
      </c>
      <c r="B35" s="349" t="s">
        <v>1396</v>
      </c>
      <c r="C35" s="350" t="s">
        <v>12</v>
      </c>
      <c r="D35" s="350"/>
      <c r="E35" s="757" t="s">
        <v>25</v>
      </c>
      <c r="F35" s="97"/>
      <c r="G35" s="946">
        <v>40</v>
      </c>
      <c r="H35" s="97"/>
      <c r="I35" s="946"/>
      <c r="J35" s="97"/>
      <c r="K35" s="946"/>
    </row>
    <row r="36" spans="1:11" s="224" customFormat="1" hidden="1" x14ac:dyDescent="0.25">
      <c r="A36" s="215">
        <v>43168</v>
      </c>
      <c r="B36" s="862" t="s">
        <v>32</v>
      </c>
      <c r="C36" s="350" t="s">
        <v>12</v>
      </c>
      <c r="D36" s="874" t="s">
        <v>1485</v>
      </c>
      <c r="E36" s="875" t="s">
        <v>13</v>
      </c>
      <c r="F36" s="804">
        <v>14</v>
      </c>
      <c r="G36" s="1521"/>
      <c r="H36" s="96"/>
      <c r="I36" s="1482"/>
      <c r="J36" s="96"/>
      <c r="K36" s="1482"/>
    </row>
    <row r="37" spans="1:11" s="224" customFormat="1" hidden="1" x14ac:dyDescent="0.25">
      <c r="A37" s="215">
        <v>43168</v>
      </c>
      <c r="B37" s="349" t="s">
        <v>1689</v>
      </c>
      <c r="C37" s="350" t="s">
        <v>19</v>
      </c>
      <c r="D37" s="765" t="s">
        <v>1491</v>
      </c>
      <c r="E37" s="778" t="s">
        <v>13</v>
      </c>
      <c r="F37" s="97">
        <v>59.8</v>
      </c>
      <c r="G37" s="946"/>
      <c r="H37" s="97"/>
      <c r="I37" s="946"/>
      <c r="J37" s="97"/>
      <c r="K37" s="946"/>
    </row>
    <row r="38" spans="1:11" s="224" customFormat="1" hidden="1" x14ac:dyDescent="0.25">
      <c r="A38" s="215">
        <v>43168</v>
      </c>
      <c r="B38" s="873" t="s">
        <v>1554</v>
      </c>
      <c r="C38" s="879" t="s">
        <v>19</v>
      </c>
      <c r="D38" s="879" t="s">
        <v>1491</v>
      </c>
      <c r="E38" s="871" t="s">
        <v>13</v>
      </c>
      <c r="F38" s="523">
        <v>66.75</v>
      </c>
      <c r="G38" s="946"/>
      <c r="H38" s="97"/>
      <c r="I38" s="946"/>
      <c r="J38" s="97"/>
      <c r="K38" s="946"/>
    </row>
    <row r="39" spans="1:11" s="224" customFormat="1" ht="15" hidden="1" customHeight="1" x14ac:dyDescent="0.25">
      <c r="A39" s="215">
        <v>43168</v>
      </c>
      <c r="B39" s="364" t="s">
        <v>14</v>
      </c>
      <c r="C39" s="350" t="s">
        <v>12</v>
      </c>
      <c r="D39" s="350" t="s">
        <v>1486</v>
      </c>
      <c r="E39" s="480" t="s">
        <v>13</v>
      </c>
      <c r="F39" s="97">
        <v>5.94</v>
      </c>
      <c r="G39" s="946"/>
      <c r="H39" s="97"/>
      <c r="I39" s="946"/>
      <c r="J39" s="97"/>
      <c r="K39" s="946"/>
    </row>
    <row r="40" spans="1:11" s="224" customFormat="1" hidden="1" x14ac:dyDescent="0.25">
      <c r="A40" s="215">
        <v>43169</v>
      </c>
      <c r="B40" s="862" t="s">
        <v>32</v>
      </c>
      <c r="C40" s="350" t="s">
        <v>12</v>
      </c>
      <c r="D40" s="874" t="s">
        <v>1485</v>
      </c>
      <c r="E40" s="875" t="s">
        <v>13</v>
      </c>
      <c r="F40" s="804">
        <v>15.9</v>
      </c>
      <c r="G40" s="946"/>
      <c r="H40" s="97"/>
      <c r="I40" s="946"/>
      <c r="J40" s="97"/>
      <c r="K40" s="946"/>
    </row>
    <row r="41" spans="1:11" s="224" customFormat="1" ht="15" hidden="1" customHeight="1" x14ac:dyDescent="0.25">
      <c r="A41" s="215">
        <v>43169</v>
      </c>
      <c r="B41" s="364" t="s">
        <v>14</v>
      </c>
      <c r="C41" s="350" t="s">
        <v>12</v>
      </c>
      <c r="D41" s="350" t="s">
        <v>1486</v>
      </c>
      <c r="E41" s="480" t="s">
        <v>13</v>
      </c>
      <c r="F41" s="97">
        <v>5.51</v>
      </c>
      <c r="G41" s="946"/>
      <c r="H41" s="97"/>
      <c r="I41" s="946"/>
      <c r="J41" s="97"/>
      <c r="K41" s="946"/>
    </row>
    <row r="42" spans="1:11" s="224" customFormat="1" ht="15" hidden="1" customHeight="1" x14ac:dyDescent="0.25">
      <c r="A42" s="215">
        <v>43169</v>
      </c>
      <c r="B42" s="364" t="s">
        <v>82</v>
      </c>
      <c r="C42" s="350" t="s">
        <v>12</v>
      </c>
      <c r="D42" s="350" t="s">
        <v>1493</v>
      </c>
      <c r="E42" s="480" t="s">
        <v>13</v>
      </c>
      <c r="F42" s="97">
        <v>28</v>
      </c>
      <c r="G42" s="946"/>
      <c r="H42" s="97"/>
      <c r="I42" s="946"/>
      <c r="J42" s="97"/>
      <c r="K42" s="946"/>
    </row>
    <row r="43" spans="1:11" s="224" customFormat="1" ht="15" hidden="1" customHeight="1" x14ac:dyDescent="0.25">
      <c r="A43" s="215">
        <v>43170</v>
      </c>
      <c r="B43" s="364" t="s">
        <v>14</v>
      </c>
      <c r="C43" s="350" t="s">
        <v>12</v>
      </c>
      <c r="D43" s="350" t="s">
        <v>1486</v>
      </c>
      <c r="E43" s="480" t="s">
        <v>13</v>
      </c>
      <c r="F43" s="97">
        <v>3.15</v>
      </c>
      <c r="G43" s="946"/>
      <c r="H43" s="97"/>
      <c r="I43" s="946"/>
      <c r="J43" s="97"/>
      <c r="K43" s="946"/>
    </row>
    <row r="44" spans="1:11" s="224" customFormat="1" hidden="1" x14ac:dyDescent="0.25">
      <c r="A44" s="215">
        <v>43170</v>
      </c>
      <c r="B44" s="862" t="s">
        <v>1844</v>
      </c>
      <c r="C44" s="350" t="s">
        <v>12</v>
      </c>
      <c r="D44" s="350" t="s">
        <v>1485</v>
      </c>
      <c r="E44" s="480" t="s">
        <v>13</v>
      </c>
      <c r="F44" s="97">
        <v>30.71</v>
      </c>
      <c r="G44" s="946"/>
      <c r="H44" s="97"/>
      <c r="I44" s="946"/>
      <c r="J44" s="97"/>
      <c r="K44" s="946"/>
    </row>
    <row r="45" spans="1:11" s="224" customFormat="1" hidden="1" x14ac:dyDescent="0.25">
      <c r="A45" s="215">
        <v>43171</v>
      </c>
      <c r="B45" s="862" t="s">
        <v>32</v>
      </c>
      <c r="C45" s="350" t="s">
        <v>12</v>
      </c>
      <c r="D45" s="874" t="s">
        <v>1485</v>
      </c>
      <c r="E45" s="875" t="s">
        <v>15</v>
      </c>
      <c r="F45" s="829">
        <v>14</v>
      </c>
      <c r="G45" s="1482"/>
      <c r="H45" s="96"/>
      <c r="I45" s="1482"/>
      <c r="J45" s="97"/>
      <c r="K45" s="946"/>
    </row>
    <row r="46" spans="1:11" s="224" customFormat="1" ht="15" hidden="1" customHeight="1" x14ac:dyDescent="0.25">
      <c r="A46" s="215">
        <v>43171</v>
      </c>
      <c r="B46" s="364" t="s">
        <v>14</v>
      </c>
      <c r="C46" s="350" t="s">
        <v>12</v>
      </c>
      <c r="D46" s="350" t="s">
        <v>1486</v>
      </c>
      <c r="E46" s="480" t="s">
        <v>13</v>
      </c>
      <c r="F46" s="97">
        <v>4</v>
      </c>
      <c r="G46" s="946"/>
      <c r="H46" s="97"/>
      <c r="I46" s="946"/>
      <c r="J46" s="97"/>
      <c r="K46" s="946"/>
    </row>
    <row r="47" spans="1:11" s="224" customFormat="1" ht="15" hidden="1" customHeight="1" x14ac:dyDescent="0.25">
      <c r="A47" s="215">
        <v>43171</v>
      </c>
      <c r="B47" s="862" t="s">
        <v>1836</v>
      </c>
      <c r="C47" s="350" t="s">
        <v>12</v>
      </c>
      <c r="D47" s="874" t="s">
        <v>1491</v>
      </c>
      <c r="E47" s="875" t="s">
        <v>13</v>
      </c>
      <c r="F47" s="626">
        <v>80</v>
      </c>
      <c r="G47" s="946"/>
      <c r="H47" s="97"/>
      <c r="I47" s="946"/>
      <c r="J47" s="97"/>
      <c r="K47" s="946"/>
    </row>
    <row r="48" spans="1:11" s="224" customFormat="1" hidden="1" x14ac:dyDescent="0.25">
      <c r="A48" s="215">
        <v>43172</v>
      </c>
      <c r="B48" s="862" t="s">
        <v>32</v>
      </c>
      <c r="C48" s="350" t="s">
        <v>12</v>
      </c>
      <c r="D48" s="874" t="s">
        <v>1485</v>
      </c>
      <c r="E48" s="875" t="s">
        <v>13</v>
      </c>
      <c r="F48" s="829">
        <v>14</v>
      </c>
      <c r="G48" s="1482"/>
      <c r="H48" s="96"/>
      <c r="I48" s="1482"/>
      <c r="J48" s="97"/>
      <c r="K48" s="946"/>
    </row>
    <row r="49" spans="1:11" s="224" customFormat="1" ht="15" hidden="1" customHeight="1" x14ac:dyDescent="0.25">
      <c r="A49" s="215">
        <v>43172</v>
      </c>
      <c r="B49" s="364" t="s">
        <v>14</v>
      </c>
      <c r="C49" s="350" t="s">
        <v>12</v>
      </c>
      <c r="D49" s="350" t="s">
        <v>1486</v>
      </c>
      <c r="E49" s="480" t="s">
        <v>13</v>
      </c>
      <c r="F49" s="97">
        <v>4.5999999999999996</v>
      </c>
      <c r="G49" s="946"/>
      <c r="H49" s="97"/>
      <c r="I49" s="946"/>
      <c r="J49" s="97"/>
      <c r="K49" s="946"/>
    </row>
    <row r="50" spans="1:11" s="224" customFormat="1" hidden="1" x14ac:dyDescent="0.25">
      <c r="A50" s="215">
        <v>43172</v>
      </c>
      <c r="B50" s="862" t="s">
        <v>1331</v>
      </c>
      <c r="C50" s="350" t="s">
        <v>19</v>
      </c>
      <c r="D50" s="879" t="s">
        <v>1487</v>
      </c>
      <c r="E50" s="871" t="s">
        <v>13</v>
      </c>
      <c r="F50" s="626">
        <v>81.87</v>
      </c>
      <c r="G50" s="248"/>
      <c r="H50" s="97"/>
      <c r="I50" s="946"/>
      <c r="J50" s="97"/>
      <c r="K50" s="946"/>
    </row>
    <row r="51" spans="1:11" s="224" customFormat="1" hidden="1" x14ac:dyDescent="0.25">
      <c r="A51" s="215">
        <v>43172</v>
      </c>
      <c r="B51" s="349" t="s">
        <v>1438</v>
      </c>
      <c r="C51" s="350" t="s">
        <v>19</v>
      </c>
      <c r="D51" s="802" t="s">
        <v>1489</v>
      </c>
      <c r="E51" s="778" t="s">
        <v>13</v>
      </c>
      <c r="F51" s="804">
        <v>13.39</v>
      </c>
      <c r="G51" s="946"/>
      <c r="H51" s="97"/>
      <c r="I51" s="946"/>
      <c r="J51" s="97"/>
      <c r="K51" s="946"/>
    </row>
    <row r="52" spans="1:11" s="224" customFormat="1" hidden="1" x14ac:dyDescent="0.25">
      <c r="A52" s="215">
        <v>43172</v>
      </c>
      <c r="B52" s="349" t="s">
        <v>1845</v>
      </c>
      <c r="C52" s="350" t="s">
        <v>19</v>
      </c>
      <c r="D52" s="802" t="s">
        <v>1506</v>
      </c>
      <c r="E52" s="145" t="s">
        <v>13</v>
      </c>
      <c r="F52" s="137">
        <v>26</v>
      </c>
      <c r="G52" s="946"/>
      <c r="H52" s="97"/>
      <c r="I52" s="946"/>
      <c r="J52" s="97"/>
      <c r="K52" s="946"/>
    </row>
    <row r="53" spans="1:11" s="224" customFormat="1" hidden="1" x14ac:dyDescent="0.25">
      <c r="A53" s="215">
        <v>43173</v>
      </c>
      <c r="B53" s="862" t="s">
        <v>32</v>
      </c>
      <c r="C53" s="350" t="s">
        <v>12</v>
      </c>
      <c r="D53" s="874" t="s">
        <v>1485</v>
      </c>
      <c r="E53" s="875" t="s">
        <v>13</v>
      </c>
      <c r="F53" s="829">
        <v>14</v>
      </c>
      <c r="G53" s="946"/>
      <c r="H53" s="97"/>
      <c r="I53" s="946"/>
      <c r="J53" s="97"/>
      <c r="K53" s="946"/>
    </row>
    <row r="54" spans="1:11" s="224" customFormat="1" ht="15" hidden="1" customHeight="1" x14ac:dyDescent="0.25">
      <c r="A54" s="215">
        <v>43173</v>
      </c>
      <c r="B54" s="364" t="s">
        <v>134</v>
      </c>
      <c r="C54" s="350" t="s">
        <v>12</v>
      </c>
      <c r="D54" s="350" t="s">
        <v>1493</v>
      </c>
      <c r="E54" s="480" t="s">
        <v>13</v>
      </c>
      <c r="F54" s="97">
        <v>6</v>
      </c>
      <c r="G54" s="946"/>
      <c r="H54" s="97"/>
      <c r="I54" s="946"/>
      <c r="J54" s="97"/>
      <c r="K54" s="946"/>
    </row>
    <row r="55" spans="1:11" s="224" customFormat="1" hidden="1" x14ac:dyDescent="0.25">
      <c r="A55" s="215">
        <v>43174</v>
      </c>
      <c r="B55" s="862" t="s">
        <v>32</v>
      </c>
      <c r="C55" s="350" t="s">
        <v>12</v>
      </c>
      <c r="D55" s="879" t="s">
        <v>1485</v>
      </c>
      <c r="E55" s="871" t="s">
        <v>13</v>
      </c>
      <c r="F55" s="804">
        <v>14</v>
      </c>
      <c r="G55" s="946"/>
      <c r="H55" s="97"/>
      <c r="I55" s="946"/>
      <c r="J55" s="97"/>
      <c r="K55" s="946"/>
    </row>
    <row r="56" spans="1:11" s="224" customFormat="1" hidden="1" x14ac:dyDescent="0.25">
      <c r="A56" s="215">
        <v>43174</v>
      </c>
      <c r="B56" s="349" t="s">
        <v>1846</v>
      </c>
      <c r="C56" s="350" t="s">
        <v>12</v>
      </c>
      <c r="D56" s="350" t="s">
        <v>1489</v>
      </c>
      <c r="E56" s="480" t="s">
        <v>13</v>
      </c>
      <c r="F56" s="97">
        <v>6</v>
      </c>
      <c r="G56" s="946"/>
      <c r="H56" s="97"/>
      <c r="I56" s="946"/>
      <c r="J56" s="97"/>
      <c r="K56" s="946"/>
    </row>
    <row r="57" spans="1:11" s="224" customFormat="1" hidden="1" x14ac:dyDescent="0.25">
      <c r="A57" s="215">
        <v>43174</v>
      </c>
      <c r="B57" s="862" t="s">
        <v>32</v>
      </c>
      <c r="C57" s="352" t="s">
        <v>12</v>
      </c>
      <c r="D57" s="874" t="s">
        <v>1485</v>
      </c>
      <c r="E57" s="875" t="s">
        <v>13</v>
      </c>
      <c r="F57" s="829">
        <v>14</v>
      </c>
      <c r="G57" s="1482"/>
      <c r="H57" s="97"/>
      <c r="I57" s="946"/>
      <c r="J57" s="97"/>
      <c r="K57" s="946"/>
    </row>
    <row r="58" spans="1:11" s="224" customFormat="1" ht="15" hidden="1" customHeight="1" x14ac:dyDescent="0.25">
      <c r="A58" s="215">
        <v>43174</v>
      </c>
      <c r="B58" s="364" t="s">
        <v>14</v>
      </c>
      <c r="C58" s="350" t="s">
        <v>12</v>
      </c>
      <c r="D58" s="350" t="s">
        <v>1486</v>
      </c>
      <c r="E58" s="480" t="s">
        <v>13</v>
      </c>
      <c r="F58" s="97">
        <v>3.21</v>
      </c>
      <c r="G58" s="946"/>
      <c r="H58" s="97"/>
      <c r="I58" s="946"/>
      <c r="J58" s="97"/>
      <c r="K58" s="946"/>
    </row>
    <row r="59" spans="1:11" s="224" customFormat="1" hidden="1" x14ac:dyDescent="0.25">
      <c r="A59" s="215">
        <v>43175</v>
      </c>
      <c r="B59" s="862" t="s">
        <v>32</v>
      </c>
      <c r="C59" s="352" t="s">
        <v>12</v>
      </c>
      <c r="D59" s="874" t="s">
        <v>1485</v>
      </c>
      <c r="E59" s="875" t="s">
        <v>13</v>
      </c>
      <c r="F59" s="829">
        <v>14</v>
      </c>
      <c r="G59" s="1482"/>
      <c r="H59" s="97"/>
      <c r="I59" s="946"/>
      <c r="J59" s="97"/>
      <c r="K59" s="946"/>
    </row>
    <row r="60" spans="1:11" s="224" customFormat="1" hidden="1" x14ac:dyDescent="0.25">
      <c r="A60" s="215">
        <v>43175</v>
      </c>
      <c r="B60" s="873" t="s">
        <v>249</v>
      </c>
      <c r="C60" s="879" t="s">
        <v>12</v>
      </c>
      <c r="D60" s="879" t="s">
        <v>1493</v>
      </c>
      <c r="E60" s="871" t="s">
        <v>13</v>
      </c>
      <c r="F60" s="523">
        <v>2.5</v>
      </c>
      <c r="G60" s="946"/>
      <c r="H60" s="97"/>
      <c r="I60" s="946"/>
      <c r="J60" s="97"/>
      <c r="K60" s="946"/>
    </row>
    <row r="61" spans="1:11" s="224" customFormat="1" hidden="1" x14ac:dyDescent="0.25">
      <c r="A61" s="215">
        <v>43175</v>
      </c>
      <c r="B61" s="873" t="s">
        <v>134</v>
      </c>
      <c r="C61" s="879" t="s">
        <v>12</v>
      </c>
      <c r="D61" s="879" t="s">
        <v>1493</v>
      </c>
      <c r="E61" s="871" t="s">
        <v>15</v>
      </c>
      <c r="F61" s="523">
        <v>10</v>
      </c>
      <c r="G61" s="946"/>
      <c r="H61" s="97"/>
      <c r="I61" s="946"/>
      <c r="J61" s="97"/>
      <c r="K61" s="946"/>
    </row>
    <row r="62" spans="1:11" s="224" customFormat="1" hidden="1" x14ac:dyDescent="0.25">
      <c r="A62" s="215">
        <v>43176</v>
      </c>
      <c r="B62" s="862" t="s">
        <v>32</v>
      </c>
      <c r="C62" s="352" t="s">
        <v>12</v>
      </c>
      <c r="D62" s="874" t="s">
        <v>1485</v>
      </c>
      <c r="E62" s="875" t="s">
        <v>13</v>
      </c>
      <c r="F62" s="829">
        <v>15.9</v>
      </c>
      <c r="G62" s="1482"/>
      <c r="H62" s="97"/>
      <c r="I62" s="946"/>
      <c r="J62" s="97"/>
      <c r="K62" s="946"/>
    </row>
    <row r="63" spans="1:11" s="224" customFormat="1" hidden="1" x14ac:dyDescent="0.25">
      <c r="A63" s="215">
        <v>43176</v>
      </c>
      <c r="B63" s="862" t="s">
        <v>1438</v>
      </c>
      <c r="C63" s="350" t="s">
        <v>19</v>
      </c>
      <c r="D63" s="879" t="s">
        <v>1489</v>
      </c>
      <c r="E63" s="871" t="s">
        <v>13</v>
      </c>
      <c r="F63" s="97">
        <v>73.56</v>
      </c>
      <c r="G63" s="946"/>
      <c r="H63" s="97"/>
      <c r="I63" s="946"/>
      <c r="J63" s="97"/>
      <c r="K63" s="946"/>
    </row>
    <row r="64" spans="1:11" s="224" customFormat="1" hidden="1" x14ac:dyDescent="0.25">
      <c r="A64" s="215">
        <v>43176</v>
      </c>
      <c r="B64" s="862" t="s">
        <v>1331</v>
      </c>
      <c r="C64" s="350" t="s">
        <v>12</v>
      </c>
      <c r="D64" s="879" t="s">
        <v>1487</v>
      </c>
      <c r="E64" s="871" t="s">
        <v>13</v>
      </c>
      <c r="F64" s="626">
        <v>40</v>
      </c>
      <c r="G64" s="248"/>
      <c r="H64" s="97"/>
      <c r="I64" s="946"/>
      <c r="J64" s="97"/>
      <c r="K64" s="946"/>
    </row>
    <row r="65" spans="1:15" s="224" customFormat="1" ht="15" hidden="1" customHeight="1" x14ac:dyDescent="0.25">
      <c r="A65" s="215">
        <v>43176</v>
      </c>
      <c r="B65" s="862" t="s">
        <v>256</v>
      </c>
      <c r="C65" s="879"/>
      <c r="D65" s="879"/>
      <c r="E65" s="871"/>
      <c r="F65" s="97"/>
      <c r="G65" s="1064">
        <v>163.86</v>
      </c>
      <c r="H65" s="97">
        <v>163.89</v>
      </c>
      <c r="I65" s="946"/>
      <c r="J65" s="97"/>
      <c r="K65" s="946"/>
    </row>
    <row r="66" spans="1:15" s="224" customFormat="1" ht="15" hidden="1" customHeight="1" x14ac:dyDescent="0.25">
      <c r="A66" s="215">
        <v>43177</v>
      </c>
      <c r="B66" s="364" t="s">
        <v>1847</v>
      </c>
      <c r="C66" s="350" t="s">
        <v>12</v>
      </c>
      <c r="D66" s="350" t="s">
        <v>1493</v>
      </c>
      <c r="E66" s="480" t="s">
        <v>13</v>
      </c>
      <c r="F66" s="97">
        <v>16</v>
      </c>
      <c r="G66" s="946"/>
      <c r="H66" s="97"/>
      <c r="I66" s="946"/>
      <c r="J66" s="97"/>
      <c r="K66" s="946"/>
    </row>
    <row r="67" spans="1:15" s="224" customFormat="1" hidden="1" x14ac:dyDescent="0.25">
      <c r="A67" s="215">
        <v>43177</v>
      </c>
      <c r="B67" s="364" t="s">
        <v>1847</v>
      </c>
      <c r="C67" s="350" t="s">
        <v>12</v>
      </c>
      <c r="D67" s="350" t="s">
        <v>1493</v>
      </c>
      <c r="E67" s="480" t="s">
        <v>13</v>
      </c>
      <c r="F67" s="626">
        <v>7</v>
      </c>
      <c r="G67" s="248"/>
      <c r="H67" s="97"/>
      <c r="I67" s="946"/>
      <c r="J67" s="97"/>
      <c r="K67" s="946"/>
    </row>
    <row r="68" spans="1:15" s="224" customFormat="1" hidden="1" x14ac:dyDescent="0.25">
      <c r="A68" s="215">
        <v>43177</v>
      </c>
      <c r="B68" s="349" t="s">
        <v>1848</v>
      </c>
      <c r="C68" s="350" t="s">
        <v>12</v>
      </c>
      <c r="D68" s="765" t="s">
        <v>1489</v>
      </c>
      <c r="E68" s="778" t="s">
        <v>15</v>
      </c>
      <c r="F68" s="626">
        <v>20</v>
      </c>
      <c r="G68" s="248"/>
      <c r="H68" s="97"/>
      <c r="I68" s="946"/>
      <c r="J68" s="97"/>
      <c r="K68" s="946"/>
    </row>
    <row r="69" spans="1:15" s="224" customFormat="1" hidden="1" x14ac:dyDescent="0.25">
      <c r="A69" s="215">
        <v>43177</v>
      </c>
      <c r="B69" s="364" t="s">
        <v>1849</v>
      </c>
      <c r="C69" s="350" t="s">
        <v>12</v>
      </c>
      <c r="D69" s="350" t="s">
        <v>1489</v>
      </c>
      <c r="E69" s="480" t="s">
        <v>15</v>
      </c>
      <c r="F69" s="250">
        <v>10</v>
      </c>
      <c r="G69" s="248"/>
      <c r="H69" s="97"/>
      <c r="I69" s="946"/>
      <c r="J69" s="97"/>
      <c r="K69" s="946"/>
    </row>
    <row r="70" spans="1:15" s="224" customFormat="1" hidden="1" x14ac:dyDescent="0.25">
      <c r="A70" s="215">
        <v>43178</v>
      </c>
      <c r="B70" s="862" t="s">
        <v>32</v>
      </c>
      <c r="C70" s="352" t="s">
        <v>12</v>
      </c>
      <c r="D70" s="874" t="s">
        <v>1485</v>
      </c>
      <c r="E70" s="875" t="s">
        <v>13</v>
      </c>
      <c r="F70" s="829">
        <v>14</v>
      </c>
      <c r="G70" s="1482"/>
      <c r="H70" s="96"/>
      <c r="I70" s="1482"/>
      <c r="J70" s="97"/>
      <c r="K70" s="946"/>
    </row>
    <row r="71" spans="1:15" s="224" customFormat="1" hidden="1" x14ac:dyDescent="0.25">
      <c r="A71" s="215">
        <v>43179</v>
      </c>
      <c r="B71" s="862" t="s">
        <v>32</v>
      </c>
      <c r="C71" s="352" t="s">
        <v>12</v>
      </c>
      <c r="D71" s="874" t="s">
        <v>1485</v>
      </c>
      <c r="E71" s="875" t="s">
        <v>13</v>
      </c>
      <c r="F71" s="829">
        <v>14</v>
      </c>
      <c r="G71" s="946"/>
      <c r="H71" s="97"/>
      <c r="I71" s="946"/>
      <c r="J71" s="97"/>
      <c r="K71" s="946"/>
    </row>
    <row r="72" spans="1:15" hidden="1" x14ac:dyDescent="0.25">
      <c r="A72" s="215">
        <v>43179</v>
      </c>
      <c r="B72" s="882" t="s">
        <v>1850</v>
      </c>
      <c r="C72" s="350" t="s">
        <v>12</v>
      </c>
      <c r="D72" s="145"/>
      <c r="E72" s="145" t="s">
        <v>25</v>
      </c>
      <c r="F72" s="1514"/>
      <c r="G72" s="946">
        <v>1510.31</v>
      </c>
      <c r="H72" s="97"/>
      <c r="I72" s="946"/>
      <c r="J72" s="97"/>
      <c r="K72" s="946"/>
    </row>
    <row r="73" spans="1:15" s="224" customFormat="1" ht="15.75" hidden="1" customHeight="1" x14ac:dyDescent="0.25">
      <c r="A73" s="215">
        <v>43179</v>
      </c>
      <c r="B73" s="882" t="s">
        <v>1851</v>
      </c>
      <c r="C73" s="879" t="s">
        <v>12</v>
      </c>
      <c r="D73" s="879" t="s">
        <v>1499</v>
      </c>
      <c r="E73" s="871" t="s">
        <v>13</v>
      </c>
      <c r="F73" s="97">
        <v>49.57</v>
      </c>
      <c r="G73" s="1473"/>
      <c r="H73" s="250"/>
      <c r="I73" s="946"/>
      <c r="J73" s="97"/>
      <c r="K73" s="946"/>
    </row>
    <row r="74" spans="1:15" s="224" customFormat="1" hidden="1" x14ac:dyDescent="0.25">
      <c r="A74" s="215">
        <v>43179</v>
      </c>
      <c r="B74" s="873" t="s">
        <v>1564</v>
      </c>
      <c r="C74" s="879" t="s">
        <v>12</v>
      </c>
      <c r="D74" s="350" t="s">
        <v>1491</v>
      </c>
      <c r="E74" s="871" t="s">
        <v>15</v>
      </c>
      <c r="F74" s="97">
        <v>130</v>
      </c>
      <c r="G74" s="946"/>
      <c r="H74" s="97"/>
      <c r="I74" s="946"/>
      <c r="J74" s="97"/>
      <c r="K74" s="946"/>
    </row>
    <row r="75" spans="1:15" s="224" customFormat="1" ht="15" hidden="1" customHeight="1" x14ac:dyDescent="0.25">
      <c r="A75" s="215">
        <v>43179</v>
      </c>
      <c r="B75" s="364" t="s">
        <v>14</v>
      </c>
      <c r="C75" s="350" t="s">
        <v>12</v>
      </c>
      <c r="D75" s="350" t="s">
        <v>1486</v>
      </c>
      <c r="E75" s="480" t="s">
        <v>13</v>
      </c>
      <c r="F75" s="97">
        <v>4</v>
      </c>
      <c r="G75" s="946"/>
      <c r="H75" s="97"/>
      <c r="I75" s="946"/>
      <c r="J75" s="97"/>
      <c r="K75" s="946"/>
    </row>
    <row r="76" spans="1:15" s="224" customFormat="1" ht="15" hidden="1" customHeight="1" x14ac:dyDescent="0.25">
      <c r="A76" s="215">
        <v>43180</v>
      </c>
      <c r="B76" s="862" t="s">
        <v>32</v>
      </c>
      <c r="C76" s="352" t="s">
        <v>12</v>
      </c>
      <c r="D76" s="874" t="s">
        <v>1485</v>
      </c>
      <c r="E76" s="875" t="s">
        <v>13</v>
      </c>
      <c r="F76" s="829">
        <v>14</v>
      </c>
      <c r="G76" s="1064"/>
      <c r="H76" s="97"/>
      <c r="I76" s="946"/>
      <c r="J76" s="97"/>
      <c r="K76" s="946"/>
    </row>
    <row r="77" spans="1:15" s="224" customFormat="1" ht="15" hidden="1" customHeight="1" x14ac:dyDescent="0.25">
      <c r="A77" s="215">
        <v>43180</v>
      </c>
      <c r="B77" s="862" t="s">
        <v>1836</v>
      </c>
      <c r="C77" s="350" t="s">
        <v>12</v>
      </c>
      <c r="D77" s="874" t="s">
        <v>1491</v>
      </c>
      <c r="E77" s="875" t="s">
        <v>13</v>
      </c>
      <c r="F77" s="626">
        <v>50</v>
      </c>
      <c r="G77" s="946"/>
      <c r="H77" s="97"/>
      <c r="I77" s="946"/>
      <c r="J77" s="97"/>
      <c r="K77" s="946"/>
    </row>
    <row r="78" spans="1:15" s="224" customFormat="1" hidden="1" x14ac:dyDescent="0.25">
      <c r="A78" s="215">
        <v>43180</v>
      </c>
      <c r="B78" s="364" t="s">
        <v>14</v>
      </c>
      <c r="C78" s="350" t="s">
        <v>12</v>
      </c>
      <c r="D78" s="350" t="s">
        <v>1486</v>
      </c>
      <c r="E78" s="480" t="s">
        <v>13</v>
      </c>
      <c r="F78" s="97">
        <v>8.17</v>
      </c>
      <c r="G78" s="946"/>
      <c r="H78" s="97"/>
      <c r="I78" s="1473"/>
      <c r="J78" s="97"/>
      <c r="K78" s="1473"/>
      <c r="L78" s="178">
        <v>560</v>
      </c>
      <c r="M78" s="89" t="s">
        <v>1852</v>
      </c>
      <c r="N78" s="89"/>
      <c r="O78" s="89"/>
    </row>
    <row r="79" spans="1:15" s="224" customFormat="1" ht="15" hidden="1" customHeight="1" x14ac:dyDescent="0.25">
      <c r="A79" s="215">
        <v>43181</v>
      </c>
      <c r="B79" s="862" t="s">
        <v>32</v>
      </c>
      <c r="C79" s="352" t="s">
        <v>12</v>
      </c>
      <c r="D79" s="874" t="s">
        <v>1485</v>
      </c>
      <c r="E79" s="875" t="s">
        <v>15</v>
      </c>
      <c r="F79" s="829">
        <v>14</v>
      </c>
      <c r="G79" s="1064"/>
      <c r="H79" s="97"/>
      <c r="I79" s="946"/>
      <c r="J79" s="97"/>
      <c r="K79" s="946"/>
    </row>
    <row r="80" spans="1:15" s="224" customFormat="1" hidden="1" x14ac:dyDescent="0.25">
      <c r="A80" s="215">
        <v>43181</v>
      </c>
      <c r="B80" s="364" t="s">
        <v>14</v>
      </c>
      <c r="C80" s="350" t="s">
        <v>12</v>
      </c>
      <c r="D80" s="350" t="s">
        <v>1486</v>
      </c>
      <c r="E80" s="480" t="s">
        <v>13</v>
      </c>
      <c r="F80" s="97">
        <v>3.56</v>
      </c>
      <c r="G80" s="946"/>
      <c r="H80" s="97"/>
      <c r="I80" s="1473"/>
      <c r="J80" s="97"/>
      <c r="K80" s="1473"/>
      <c r="L80" s="178"/>
      <c r="M80" s="89"/>
      <c r="N80" s="89"/>
      <c r="O80" s="89"/>
    </row>
    <row r="81" spans="1:15" s="224" customFormat="1" hidden="1" x14ac:dyDescent="0.25">
      <c r="A81" s="215">
        <v>43182</v>
      </c>
      <c r="B81" s="862" t="s">
        <v>32</v>
      </c>
      <c r="C81" s="352" t="s">
        <v>12</v>
      </c>
      <c r="D81" s="874" t="s">
        <v>1485</v>
      </c>
      <c r="E81" s="875" t="s">
        <v>15</v>
      </c>
      <c r="F81" s="829">
        <v>14</v>
      </c>
      <c r="G81" s="248"/>
      <c r="H81" s="97"/>
      <c r="I81" s="946"/>
      <c r="J81" s="97"/>
      <c r="K81" s="946"/>
    </row>
    <row r="82" spans="1:15" s="224" customFormat="1" hidden="1" x14ac:dyDescent="0.25">
      <c r="A82" s="215">
        <v>43182</v>
      </c>
      <c r="B82" s="862" t="s">
        <v>1331</v>
      </c>
      <c r="C82" s="352" t="s">
        <v>12</v>
      </c>
      <c r="D82" s="874" t="s">
        <v>1487</v>
      </c>
      <c r="E82" s="875" t="s">
        <v>15</v>
      </c>
      <c r="F82" s="831">
        <v>82</v>
      </c>
      <c r="G82" s="248"/>
      <c r="H82" s="622"/>
      <c r="I82" s="982"/>
      <c r="J82" s="622"/>
      <c r="K82" s="982"/>
    </row>
    <row r="83" spans="1:15" s="224" customFormat="1" hidden="1" x14ac:dyDescent="0.25">
      <c r="A83" s="215">
        <v>43182</v>
      </c>
      <c r="B83" s="862" t="s">
        <v>1853</v>
      </c>
      <c r="C83" s="352" t="s">
        <v>19</v>
      </c>
      <c r="D83" s="874" t="s">
        <v>1489</v>
      </c>
      <c r="E83" s="875" t="s">
        <v>15</v>
      </c>
      <c r="F83" s="829">
        <v>60</v>
      </c>
      <c r="G83" s="248"/>
      <c r="H83" s="97"/>
      <c r="I83" s="946"/>
      <c r="J83" s="97"/>
      <c r="K83" s="946"/>
    </row>
    <row r="84" spans="1:15" s="224" customFormat="1" hidden="1" x14ac:dyDescent="0.25">
      <c r="A84" s="215">
        <v>43182</v>
      </c>
      <c r="B84" s="862" t="s">
        <v>1854</v>
      </c>
      <c r="C84" s="352" t="s">
        <v>12</v>
      </c>
      <c r="D84" s="874" t="s">
        <v>1489</v>
      </c>
      <c r="E84" s="875" t="s">
        <v>13</v>
      </c>
      <c r="F84" s="829">
        <v>21</v>
      </c>
      <c r="G84" s="248"/>
      <c r="H84" s="97"/>
      <c r="I84" s="946"/>
      <c r="J84" s="97"/>
      <c r="K84" s="946"/>
    </row>
    <row r="85" spans="1:15" s="224" customFormat="1" hidden="1" x14ac:dyDescent="0.25">
      <c r="A85" s="215">
        <v>43182</v>
      </c>
      <c r="B85" s="862" t="s">
        <v>1855</v>
      </c>
      <c r="C85" s="352" t="s">
        <v>12</v>
      </c>
      <c r="D85" s="874" t="s">
        <v>1491</v>
      </c>
      <c r="E85" s="875" t="s">
        <v>15</v>
      </c>
      <c r="F85" s="831">
        <v>60</v>
      </c>
      <c r="G85" s="248"/>
      <c r="H85" s="622"/>
      <c r="I85" s="982"/>
      <c r="J85" s="622"/>
      <c r="K85" s="982"/>
    </row>
    <row r="86" spans="1:15" s="224" customFormat="1" hidden="1" x14ac:dyDescent="0.25">
      <c r="A86" s="215">
        <v>43182</v>
      </c>
      <c r="B86" s="364" t="s">
        <v>14</v>
      </c>
      <c r="C86" s="350" t="s">
        <v>12</v>
      </c>
      <c r="D86" s="350" t="s">
        <v>1486</v>
      </c>
      <c r="E86" s="480" t="s">
        <v>13</v>
      </c>
      <c r="F86" s="97">
        <v>6.6</v>
      </c>
      <c r="G86" s="946"/>
      <c r="H86" s="97"/>
      <c r="I86" s="1473"/>
      <c r="J86" s="97"/>
      <c r="K86" s="1473"/>
      <c r="L86" s="178"/>
      <c r="M86" s="89"/>
      <c r="N86" s="89"/>
      <c r="O86" s="89"/>
    </row>
    <row r="87" spans="1:15" s="224" customFormat="1" ht="15" hidden="1" customHeight="1" x14ac:dyDescent="0.25">
      <c r="A87" s="215">
        <v>43183</v>
      </c>
      <c r="B87" s="862" t="s">
        <v>1683</v>
      </c>
      <c r="C87" s="350" t="s">
        <v>12</v>
      </c>
      <c r="D87" s="874" t="s">
        <v>1504</v>
      </c>
      <c r="E87" s="1475" t="s">
        <v>13</v>
      </c>
      <c r="F87" s="97">
        <v>60.9</v>
      </c>
      <c r="G87" s="946"/>
      <c r="H87" s="97"/>
      <c r="I87" s="946"/>
      <c r="J87" s="97"/>
      <c r="K87" s="946"/>
    </row>
    <row r="88" spans="1:15" s="224" customFormat="1" hidden="1" x14ac:dyDescent="0.25">
      <c r="A88" s="215">
        <v>43184</v>
      </c>
      <c r="B88" s="862" t="s">
        <v>134</v>
      </c>
      <c r="C88" s="350" t="s">
        <v>12</v>
      </c>
      <c r="D88" s="879" t="s">
        <v>1493</v>
      </c>
      <c r="E88" s="887" t="s">
        <v>15</v>
      </c>
      <c r="F88" s="525">
        <v>10</v>
      </c>
      <c r="G88" s="627"/>
      <c r="H88" s="97"/>
      <c r="I88" s="946"/>
      <c r="J88" s="97"/>
      <c r="K88" s="946"/>
    </row>
    <row r="89" spans="1:15" s="224" customFormat="1" hidden="1" x14ac:dyDescent="0.25">
      <c r="A89" s="215">
        <v>43184</v>
      </c>
      <c r="B89" s="364" t="s">
        <v>14</v>
      </c>
      <c r="C89" s="350" t="s">
        <v>12</v>
      </c>
      <c r="D89" s="350" t="s">
        <v>1486</v>
      </c>
      <c r="E89" s="480" t="s">
        <v>13</v>
      </c>
      <c r="F89" s="97">
        <v>8</v>
      </c>
      <c r="G89" s="830"/>
      <c r="H89" s="97"/>
      <c r="I89" s="946"/>
      <c r="J89" s="97"/>
      <c r="K89" s="946"/>
    </row>
    <row r="90" spans="1:15" s="224" customFormat="1" hidden="1" x14ac:dyDescent="0.25">
      <c r="A90" s="215">
        <v>43185</v>
      </c>
      <c r="B90" s="862" t="s">
        <v>32</v>
      </c>
      <c r="C90" s="352" t="s">
        <v>12</v>
      </c>
      <c r="D90" s="874" t="s">
        <v>1485</v>
      </c>
      <c r="E90" s="875" t="s">
        <v>15</v>
      </c>
      <c r="F90" s="831">
        <v>14</v>
      </c>
      <c r="G90" s="248"/>
      <c r="H90" s="97"/>
      <c r="I90" s="946"/>
      <c r="J90" s="97"/>
      <c r="K90" s="946"/>
    </row>
    <row r="91" spans="1:15" s="224" customFormat="1" x14ac:dyDescent="0.25">
      <c r="A91" s="215">
        <v>43185</v>
      </c>
      <c r="B91" s="862" t="s">
        <v>1856</v>
      </c>
      <c r="C91" s="350" t="s">
        <v>12</v>
      </c>
      <c r="D91" s="874" t="s">
        <v>1524</v>
      </c>
      <c r="E91" s="1475" t="s">
        <v>15</v>
      </c>
      <c r="F91" s="97">
        <v>17</v>
      </c>
      <c r="G91" s="946"/>
      <c r="H91" s="97"/>
      <c r="I91" s="946"/>
      <c r="J91" s="97"/>
      <c r="K91" s="946"/>
    </row>
    <row r="92" spans="1:15" s="224" customFormat="1" hidden="1" x14ac:dyDescent="0.25">
      <c r="A92" s="215">
        <v>43185</v>
      </c>
      <c r="B92" s="364" t="s">
        <v>14</v>
      </c>
      <c r="C92" s="350" t="s">
        <v>12</v>
      </c>
      <c r="D92" s="350" t="s">
        <v>1486</v>
      </c>
      <c r="E92" s="480" t="s">
        <v>13</v>
      </c>
      <c r="F92" s="97">
        <v>6.14</v>
      </c>
      <c r="G92" s="248"/>
      <c r="H92" s="97"/>
      <c r="I92" s="946"/>
      <c r="J92" s="97"/>
      <c r="K92" s="946"/>
    </row>
    <row r="93" spans="1:15" s="224" customFormat="1" x14ac:dyDescent="0.25">
      <c r="A93" s="215">
        <v>43185</v>
      </c>
      <c r="B93" s="364" t="s">
        <v>1857</v>
      </c>
      <c r="C93" s="350" t="s">
        <v>12</v>
      </c>
      <c r="D93" s="350" t="s">
        <v>1524</v>
      </c>
      <c r="E93" s="480" t="s">
        <v>13</v>
      </c>
      <c r="F93" s="97">
        <v>7</v>
      </c>
      <c r="G93" s="248"/>
      <c r="H93" s="97"/>
      <c r="I93" s="946"/>
      <c r="J93" s="97"/>
      <c r="K93" s="946"/>
    </row>
    <row r="94" spans="1:15" s="224" customFormat="1" x14ac:dyDescent="0.25">
      <c r="A94" s="215">
        <v>43185</v>
      </c>
      <c r="B94" s="364" t="s">
        <v>1858</v>
      </c>
      <c r="C94" s="350" t="s">
        <v>12</v>
      </c>
      <c r="D94" s="350" t="s">
        <v>1524</v>
      </c>
      <c r="E94" s="480" t="s">
        <v>13</v>
      </c>
      <c r="F94" s="622">
        <v>4.5</v>
      </c>
      <c r="G94" s="248"/>
      <c r="H94" s="97"/>
      <c r="I94" s="946"/>
      <c r="J94" s="97"/>
      <c r="K94" s="946"/>
    </row>
    <row r="95" spans="1:15" s="224" customFormat="1" hidden="1" x14ac:dyDescent="0.25">
      <c r="A95" s="215">
        <v>43186</v>
      </c>
      <c r="B95" s="862" t="s">
        <v>32</v>
      </c>
      <c r="C95" s="352" t="s">
        <v>12</v>
      </c>
      <c r="D95" s="874" t="s">
        <v>1485</v>
      </c>
      <c r="E95" s="875" t="s">
        <v>13</v>
      </c>
      <c r="F95" s="829">
        <v>14</v>
      </c>
      <c r="G95" s="248"/>
      <c r="H95" s="97"/>
      <c r="I95" s="946"/>
      <c r="J95" s="97"/>
      <c r="K95" s="946"/>
    </row>
    <row r="96" spans="1:15" s="224" customFormat="1" ht="15" hidden="1" customHeight="1" x14ac:dyDescent="0.25">
      <c r="A96" s="215">
        <v>43186</v>
      </c>
      <c r="B96" s="364" t="s">
        <v>14</v>
      </c>
      <c r="C96" s="350" t="s">
        <v>12</v>
      </c>
      <c r="D96" s="350" t="s">
        <v>1486</v>
      </c>
      <c r="E96" s="480" t="s">
        <v>13</v>
      </c>
      <c r="F96" s="97">
        <v>10.98</v>
      </c>
      <c r="G96" s="946"/>
      <c r="H96" s="97"/>
      <c r="I96" s="946"/>
      <c r="J96" s="97"/>
      <c r="K96" s="946"/>
    </row>
    <row r="97" spans="1:12" s="224" customFormat="1" ht="15" hidden="1" customHeight="1" x14ac:dyDescent="0.25">
      <c r="A97" s="215">
        <v>43187</v>
      </c>
      <c r="B97" s="364" t="s">
        <v>14</v>
      </c>
      <c r="C97" s="350" t="s">
        <v>12</v>
      </c>
      <c r="D97" s="350" t="s">
        <v>1486</v>
      </c>
      <c r="E97" s="480" t="s">
        <v>13</v>
      </c>
      <c r="F97" s="97">
        <v>3.78</v>
      </c>
      <c r="G97" s="946"/>
      <c r="H97" s="97"/>
      <c r="I97" s="946"/>
      <c r="J97" s="97"/>
      <c r="K97" s="946"/>
    </row>
    <row r="98" spans="1:12" s="224" customFormat="1" hidden="1" x14ac:dyDescent="0.25">
      <c r="A98" s="215">
        <v>43187</v>
      </c>
      <c r="B98" s="862" t="s">
        <v>32</v>
      </c>
      <c r="C98" s="352" t="s">
        <v>12</v>
      </c>
      <c r="D98" s="874" t="s">
        <v>1485</v>
      </c>
      <c r="E98" s="875" t="s">
        <v>15</v>
      </c>
      <c r="F98" s="829">
        <v>14</v>
      </c>
      <c r="G98" s="248"/>
      <c r="H98" s="97"/>
      <c r="I98" s="946"/>
      <c r="J98" s="97"/>
      <c r="K98" s="946"/>
    </row>
    <row r="99" spans="1:12" s="224" customFormat="1" hidden="1" x14ac:dyDescent="0.25">
      <c r="A99" s="215">
        <v>43187</v>
      </c>
      <c r="B99" s="862" t="s">
        <v>1331</v>
      </c>
      <c r="C99" s="352" t="s">
        <v>12</v>
      </c>
      <c r="D99" s="874" t="s">
        <v>1487</v>
      </c>
      <c r="E99" s="875" t="s">
        <v>15</v>
      </c>
      <c r="F99" s="831">
        <v>20</v>
      </c>
      <c r="G99" s="248"/>
      <c r="H99" s="622"/>
      <c r="I99" s="982"/>
      <c r="J99" s="622"/>
      <c r="K99" s="982"/>
    </row>
    <row r="100" spans="1:12" s="224" customFormat="1" ht="15" hidden="1" customHeight="1" x14ac:dyDescent="0.25">
      <c r="A100" s="215">
        <v>43187</v>
      </c>
      <c r="B100" s="364" t="s">
        <v>14</v>
      </c>
      <c r="C100" s="350" t="s">
        <v>12</v>
      </c>
      <c r="D100" s="350" t="s">
        <v>1486</v>
      </c>
      <c r="E100" s="480" t="s">
        <v>13</v>
      </c>
      <c r="F100" s="784">
        <v>5.98</v>
      </c>
      <c r="G100" s="946"/>
      <c r="H100" s="97"/>
      <c r="I100" s="946"/>
      <c r="J100" s="97"/>
      <c r="K100" s="946"/>
    </row>
    <row r="101" spans="1:12" s="224" customFormat="1" hidden="1" x14ac:dyDescent="0.25">
      <c r="A101" s="215">
        <v>43188</v>
      </c>
      <c r="B101" s="862" t="s">
        <v>32</v>
      </c>
      <c r="C101" s="352" t="s">
        <v>12</v>
      </c>
      <c r="D101" s="874" t="s">
        <v>1485</v>
      </c>
      <c r="E101" s="875" t="s">
        <v>15</v>
      </c>
      <c r="F101" s="137">
        <v>14</v>
      </c>
      <c r="G101" s="248"/>
      <c r="H101" s="97"/>
      <c r="I101" s="946"/>
      <c r="J101" s="97"/>
      <c r="K101" s="946"/>
    </row>
    <row r="102" spans="1:12" s="224" customFormat="1" hidden="1" x14ac:dyDescent="0.25">
      <c r="A102" s="215">
        <v>43188</v>
      </c>
      <c r="B102" s="862" t="s">
        <v>1331</v>
      </c>
      <c r="C102" s="352" t="s">
        <v>12</v>
      </c>
      <c r="D102" s="874" t="s">
        <v>1487</v>
      </c>
      <c r="E102" s="875" t="s">
        <v>15</v>
      </c>
      <c r="F102" s="831">
        <v>70</v>
      </c>
      <c r="G102" s="248"/>
      <c r="H102" s="622"/>
      <c r="I102" s="982"/>
      <c r="J102" s="622"/>
      <c r="K102" s="982"/>
    </row>
    <row r="103" spans="1:12" s="224" customFormat="1" ht="15.75" hidden="1" customHeight="1" x14ac:dyDescent="0.25">
      <c r="A103" s="215">
        <v>43188</v>
      </c>
      <c r="B103" s="349" t="s">
        <v>1859</v>
      </c>
      <c r="C103" s="350" t="s">
        <v>19</v>
      </c>
      <c r="D103" s="802" t="s">
        <v>1489</v>
      </c>
      <c r="E103" s="803" t="s">
        <v>13</v>
      </c>
      <c r="F103" s="804">
        <v>126</v>
      </c>
      <c r="G103" s="946"/>
      <c r="H103" s="97"/>
      <c r="I103" s="1473"/>
      <c r="J103" s="97"/>
      <c r="K103" s="1473"/>
    </row>
    <row r="104" spans="1:12" s="224" customFormat="1" ht="15.75" hidden="1" customHeight="1" x14ac:dyDescent="0.25">
      <c r="A104" s="215">
        <v>43188</v>
      </c>
      <c r="B104" s="349" t="s">
        <v>147</v>
      </c>
      <c r="C104" s="350" t="s">
        <v>12</v>
      </c>
      <c r="D104" s="765" t="s">
        <v>1506</v>
      </c>
      <c r="E104" s="778" t="s">
        <v>15</v>
      </c>
      <c r="F104" s="97">
        <v>15</v>
      </c>
      <c r="G104" s="946"/>
      <c r="H104" s="97"/>
      <c r="I104" s="1473"/>
      <c r="J104" s="97"/>
      <c r="K104" s="1473"/>
    </row>
    <row r="105" spans="1:12" s="224" customFormat="1" ht="15.75" hidden="1" customHeight="1" x14ac:dyDescent="0.25">
      <c r="A105" s="215">
        <v>43188</v>
      </c>
      <c r="B105" s="349" t="s">
        <v>1761</v>
      </c>
      <c r="C105" s="350" t="s">
        <v>12</v>
      </c>
      <c r="D105" s="765" t="s">
        <v>1493</v>
      </c>
      <c r="E105" s="778" t="s">
        <v>15</v>
      </c>
      <c r="F105" s="97">
        <v>12</v>
      </c>
      <c r="G105" s="946"/>
      <c r="H105" s="97"/>
      <c r="I105" s="1473"/>
      <c r="J105" s="97"/>
      <c r="K105" s="1473"/>
    </row>
    <row r="106" spans="1:12" s="224" customFormat="1" ht="15" hidden="1" customHeight="1" x14ac:dyDescent="0.25">
      <c r="A106" s="215">
        <v>43188</v>
      </c>
      <c r="B106" s="364" t="s">
        <v>14</v>
      </c>
      <c r="C106" s="350" t="s">
        <v>12</v>
      </c>
      <c r="D106" s="350" t="s">
        <v>1486</v>
      </c>
      <c r="E106" s="480" t="s">
        <v>13</v>
      </c>
      <c r="F106" s="784">
        <v>7</v>
      </c>
      <c r="G106" s="946"/>
      <c r="H106" s="97"/>
      <c r="I106" s="946"/>
      <c r="J106" s="97"/>
      <c r="K106" s="946"/>
    </row>
    <row r="107" spans="1:12" s="224" customFormat="1" ht="15" hidden="1" customHeight="1" x14ac:dyDescent="0.25">
      <c r="A107" s="215">
        <v>43189</v>
      </c>
      <c r="B107" s="349"/>
      <c r="C107" s="350"/>
      <c r="D107" s="802"/>
      <c r="E107" s="803"/>
      <c r="F107" s="804"/>
      <c r="G107" s="946"/>
      <c r="H107" s="97"/>
      <c r="I107" s="946"/>
      <c r="J107" s="97"/>
      <c r="K107" s="946"/>
    </row>
    <row r="108" spans="1:12" s="224" customFormat="1" hidden="1" x14ac:dyDescent="0.25">
      <c r="A108" s="215">
        <v>43190</v>
      </c>
      <c r="B108" s="862" t="s">
        <v>1666</v>
      </c>
      <c r="C108" s="350" t="s">
        <v>12</v>
      </c>
      <c r="D108" s="350"/>
      <c r="E108" s="757" t="s">
        <v>25</v>
      </c>
      <c r="F108" s="97"/>
      <c r="G108" s="946"/>
      <c r="H108" s="97"/>
      <c r="I108" s="946"/>
      <c r="J108" s="97"/>
      <c r="K108" s="946">
        <v>20</v>
      </c>
    </row>
    <row r="109" spans="1:12" s="224" customFormat="1" ht="15" hidden="1" customHeight="1" thickBot="1" x14ac:dyDescent="0.3">
      <c r="A109" s="215">
        <v>43190</v>
      </c>
      <c r="B109" s="862" t="s">
        <v>1710</v>
      </c>
      <c r="C109" s="879" t="s">
        <v>12</v>
      </c>
      <c r="D109" s="879" t="s">
        <v>1504</v>
      </c>
      <c r="E109" s="871" t="s">
        <v>13</v>
      </c>
      <c r="F109" s="523"/>
      <c r="G109" s="946"/>
      <c r="H109" s="97"/>
      <c r="I109" s="946"/>
      <c r="J109" s="97"/>
      <c r="K109" s="946"/>
    </row>
    <row r="110" spans="1:12" ht="25.5" hidden="1" customHeight="1" thickBot="1" x14ac:dyDescent="0.3">
      <c r="A110" s="3060"/>
      <c r="B110" s="3061"/>
      <c r="C110" s="3062"/>
      <c r="D110" s="3062"/>
      <c r="E110" s="3062"/>
      <c r="F110" s="100">
        <f>SUM(F6:F109)</f>
        <v>4007.3500000000008</v>
      </c>
      <c r="G110" s="1065">
        <f>SUM(G5:G109)</f>
        <v>4788.0000000000109</v>
      </c>
      <c r="H110" s="101">
        <f>SUM(H6:H109)</f>
        <v>1015.17</v>
      </c>
      <c r="I110" s="93">
        <f>SUM(I5:I109)</f>
        <v>3056.3060000000019</v>
      </c>
      <c r="J110" s="774"/>
      <c r="K110" s="1516"/>
      <c r="L110" s="89"/>
    </row>
    <row r="111" spans="1:12" ht="25.5" hidden="1" customHeight="1" thickBot="1" x14ac:dyDescent="0.3">
      <c r="A111" s="3117" t="s">
        <v>49</v>
      </c>
      <c r="B111" s="3118"/>
      <c r="C111" s="3118"/>
      <c r="D111" s="3118"/>
      <c r="E111" s="3118"/>
      <c r="F111" s="144"/>
      <c r="G111" s="519">
        <f>G110-F110</f>
        <v>780.6500000000101</v>
      </c>
      <c r="H111" s="555"/>
      <c r="I111" s="772">
        <f>I110-H110</f>
        <v>2041.1360000000018</v>
      </c>
      <c r="J111" s="773"/>
      <c r="K111" s="775">
        <f>SUM(K5:K110)</f>
        <v>8500.4499999999989</v>
      </c>
    </row>
    <row r="112" spans="1:12" x14ac:dyDescent="0.25">
      <c r="G112" s="89"/>
      <c r="J112" s="769"/>
    </row>
    <row r="113" spans="1:11" x14ac:dyDescent="0.25">
      <c r="B113" s="79" t="s">
        <v>32</v>
      </c>
      <c r="C113" s="475">
        <v>358.41</v>
      </c>
      <c r="D113" s="85" t="s">
        <v>1485</v>
      </c>
      <c r="J113" s="769"/>
      <c r="K113" s="866"/>
    </row>
    <row r="114" spans="1:11" x14ac:dyDescent="0.25">
      <c r="B114" s="79" t="s">
        <v>1218</v>
      </c>
      <c r="C114" s="475">
        <v>433.87</v>
      </c>
      <c r="D114" s="85" t="s">
        <v>1487</v>
      </c>
      <c r="J114" s="769"/>
      <c r="K114" s="868"/>
    </row>
    <row r="115" spans="1:11" x14ac:dyDescent="0.25">
      <c r="B115" s="79" t="s">
        <v>50</v>
      </c>
      <c r="C115" s="484">
        <v>116.4</v>
      </c>
      <c r="D115" s="85" t="s">
        <v>1493</v>
      </c>
      <c r="J115" s="769"/>
      <c r="K115" s="868"/>
    </row>
    <row r="116" spans="1:11" s="85" customFormat="1" x14ac:dyDescent="0.25">
      <c r="A116" s="79"/>
      <c r="B116" s="79" t="s">
        <v>14</v>
      </c>
      <c r="C116" s="484">
        <v>112.9</v>
      </c>
      <c r="D116" s="85" t="s">
        <v>1486</v>
      </c>
      <c r="J116" s="769"/>
      <c r="K116" s="866"/>
    </row>
    <row r="117" spans="1:11" s="85" customFormat="1" x14ac:dyDescent="0.25">
      <c r="A117" s="79"/>
      <c r="B117" s="79" t="s">
        <v>51</v>
      </c>
      <c r="C117" s="475">
        <v>103.44</v>
      </c>
      <c r="D117" s="864" t="s">
        <v>1499</v>
      </c>
      <c r="E117" s="79"/>
      <c r="F117" s="89"/>
      <c r="G117" s="79"/>
      <c r="H117" s="79"/>
      <c r="I117" s="79"/>
      <c r="J117" s="769"/>
      <c r="K117" s="866"/>
    </row>
    <row r="118" spans="1:11" s="85" customFormat="1" x14ac:dyDescent="0.25">
      <c r="A118" s="79"/>
      <c r="B118" s="79" t="s">
        <v>52</v>
      </c>
      <c r="C118" s="475">
        <v>117.5</v>
      </c>
      <c r="D118" s="864" t="s">
        <v>1496</v>
      </c>
      <c r="F118" s="89"/>
      <c r="G118" s="79"/>
      <c r="H118" s="79"/>
      <c r="I118" s="79"/>
      <c r="J118" s="769"/>
      <c r="K118" s="866"/>
    </row>
    <row r="119" spans="1:11" s="85" customFormat="1" x14ac:dyDescent="0.25">
      <c r="A119" s="79"/>
      <c r="B119" s="867" t="s">
        <v>53</v>
      </c>
      <c r="C119" s="475">
        <v>248</v>
      </c>
      <c r="D119" s="864" t="s">
        <v>1522</v>
      </c>
      <c r="E119" s="89"/>
      <c r="F119" s="89"/>
      <c r="G119" s="79"/>
      <c r="H119" s="79"/>
      <c r="I119" s="79"/>
      <c r="J119" s="769"/>
      <c r="K119" s="866"/>
    </row>
    <row r="120" spans="1:11" s="85" customFormat="1" x14ac:dyDescent="0.25">
      <c r="A120" s="79"/>
      <c r="B120" s="79" t="s">
        <v>1823</v>
      </c>
      <c r="C120" s="475"/>
      <c r="D120" s="864" t="s">
        <v>1515</v>
      </c>
      <c r="F120" s="89"/>
      <c r="G120" s="79"/>
      <c r="H120" s="79"/>
      <c r="I120" s="79"/>
      <c r="J120" s="769"/>
      <c r="K120" s="866"/>
    </row>
    <row r="121" spans="1:11" s="85" customFormat="1" x14ac:dyDescent="0.25">
      <c r="A121" s="79"/>
      <c r="B121" s="79" t="s">
        <v>56</v>
      </c>
      <c r="C121" s="475"/>
      <c r="D121" s="864" t="s">
        <v>1523</v>
      </c>
      <c r="F121" s="89"/>
      <c r="G121" s="79"/>
      <c r="H121" s="79"/>
      <c r="I121" s="79"/>
      <c r="J121" s="769"/>
      <c r="K121" s="868"/>
    </row>
    <row r="122" spans="1:11" s="85" customFormat="1" x14ac:dyDescent="0.25">
      <c r="A122" s="79"/>
      <c r="B122" s="79" t="s">
        <v>1686</v>
      </c>
      <c r="C122" s="475">
        <v>175.32</v>
      </c>
      <c r="D122" s="864" t="s">
        <v>1506</v>
      </c>
      <c r="F122" s="89"/>
      <c r="G122" s="79"/>
      <c r="H122" s="79"/>
      <c r="I122" s="79"/>
      <c r="J122" s="769"/>
      <c r="K122" s="866"/>
    </row>
    <row r="123" spans="1:11" s="85" customFormat="1" x14ac:dyDescent="0.25">
      <c r="A123" s="79"/>
      <c r="B123" s="79" t="s">
        <v>418</v>
      </c>
      <c r="C123" s="475">
        <v>928.5</v>
      </c>
      <c r="D123" s="85" t="s">
        <v>1524</v>
      </c>
      <c r="E123" s="79"/>
      <c r="F123" s="89"/>
      <c r="J123" s="769"/>
      <c r="K123" s="866"/>
    </row>
    <row r="124" spans="1:11" x14ac:dyDescent="0.25">
      <c r="B124" s="79" t="s">
        <v>419</v>
      </c>
      <c r="C124" s="475">
        <v>538</v>
      </c>
      <c r="D124" s="85" t="s">
        <v>1491</v>
      </c>
      <c r="J124" s="769"/>
      <c r="K124" s="868"/>
    </row>
    <row r="125" spans="1:11" x14ac:dyDescent="0.25">
      <c r="B125" s="79" t="s">
        <v>911</v>
      </c>
      <c r="C125" s="475"/>
      <c r="D125" s="85" t="s">
        <v>1525</v>
      </c>
      <c r="J125" s="769"/>
      <c r="K125" s="868"/>
    </row>
    <row r="126" spans="1:11" x14ac:dyDescent="0.25">
      <c r="B126" s="79" t="s">
        <v>1526</v>
      </c>
      <c r="C126" s="475">
        <v>110.9</v>
      </c>
      <c r="D126" s="85" t="s">
        <v>1504</v>
      </c>
      <c r="E126" s="79"/>
      <c r="J126" s="769"/>
      <c r="K126" s="866"/>
    </row>
    <row r="127" spans="1:11" x14ac:dyDescent="0.25">
      <c r="B127" s="79" t="s">
        <v>1527</v>
      </c>
      <c r="C127" s="475">
        <v>366.22</v>
      </c>
      <c r="D127" s="85" t="s">
        <v>1489</v>
      </c>
      <c r="J127" s="769"/>
      <c r="K127" s="868"/>
    </row>
    <row r="128" spans="1:11" x14ac:dyDescent="0.25">
      <c r="J128" s="769"/>
      <c r="K128" s="866"/>
    </row>
    <row r="129" spans="2:12" x14ac:dyDescent="0.25">
      <c r="J129" s="769"/>
      <c r="K129" s="866"/>
    </row>
    <row r="130" spans="2:12" x14ac:dyDescent="0.25">
      <c r="B130" s="79" t="s">
        <v>486</v>
      </c>
      <c r="C130" s="475">
        <f>H130/J130</f>
        <v>116.4341935483871</v>
      </c>
      <c r="F130" s="224" t="s">
        <v>487</v>
      </c>
      <c r="H130" s="216">
        <f>SUM(C113:C127)</f>
        <v>3609.46</v>
      </c>
      <c r="I130" s="518" t="s">
        <v>488</v>
      </c>
      <c r="J130" s="1517">
        <v>31</v>
      </c>
      <c r="K130" s="866"/>
      <c r="L130" s="85"/>
    </row>
    <row r="131" spans="2:12" x14ac:dyDescent="0.25">
      <c r="J131" s="769"/>
      <c r="K131" s="866"/>
    </row>
    <row r="132" spans="2:12" x14ac:dyDescent="0.25">
      <c r="J132" s="769"/>
      <c r="K132" s="868"/>
    </row>
    <row r="133" spans="2:12" x14ac:dyDescent="0.25">
      <c r="K133" s="866"/>
    </row>
    <row r="134" spans="2:12" x14ac:dyDescent="0.25">
      <c r="D134" s="79"/>
      <c r="E134" s="79"/>
      <c r="J134" s="769"/>
      <c r="K134" s="866"/>
    </row>
    <row r="135" spans="2:12" x14ac:dyDescent="0.25">
      <c r="J135" s="769"/>
      <c r="K135" s="866"/>
    </row>
    <row r="136" spans="2:12" x14ac:dyDescent="0.25">
      <c r="J136" s="769"/>
      <c r="K136" s="866"/>
    </row>
    <row r="137" spans="2:12" x14ac:dyDescent="0.25">
      <c r="J137" s="769"/>
      <c r="K137" s="866"/>
    </row>
    <row r="138" spans="2:12" x14ac:dyDescent="0.25">
      <c r="C138" s="79"/>
      <c r="D138" s="79"/>
      <c r="E138" s="79"/>
      <c r="F138" s="79"/>
      <c r="I138" s="216"/>
      <c r="J138" s="769"/>
      <c r="K138" s="866"/>
    </row>
    <row r="139" spans="2:12" x14ac:dyDescent="0.25">
      <c r="C139" s="79"/>
      <c r="D139" s="79"/>
      <c r="E139" s="79"/>
      <c r="F139" s="79"/>
      <c r="I139" s="216"/>
      <c r="J139" s="769"/>
      <c r="K139" s="866"/>
    </row>
    <row r="140" spans="2:12" x14ac:dyDescent="0.25">
      <c r="C140" s="79"/>
      <c r="D140" s="79"/>
      <c r="E140" s="79"/>
      <c r="F140" s="79"/>
      <c r="G140" s="216"/>
      <c r="I140" s="216"/>
      <c r="J140" s="769"/>
      <c r="K140" s="868"/>
    </row>
    <row r="141" spans="2:12" x14ac:dyDescent="0.25">
      <c r="C141" s="79"/>
      <c r="D141" s="79"/>
      <c r="E141" s="79"/>
      <c r="F141" s="79"/>
      <c r="G141" s="216"/>
      <c r="I141" s="216"/>
      <c r="J141" s="769"/>
      <c r="K141" s="866"/>
    </row>
    <row r="142" spans="2:12" x14ac:dyDescent="0.25">
      <c r="C142" s="79"/>
      <c r="D142" s="79"/>
      <c r="E142" s="79"/>
      <c r="F142" s="79"/>
      <c r="G142" s="216"/>
      <c r="J142" s="770"/>
      <c r="K142" s="866"/>
    </row>
    <row r="143" spans="2:12" x14ac:dyDescent="0.25">
      <c r="C143" s="79"/>
      <c r="D143" s="79"/>
      <c r="E143" s="79"/>
      <c r="F143" s="79"/>
      <c r="I143" s="216"/>
      <c r="J143" s="769"/>
      <c r="K143" s="868"/>
    </row>
    <row r="144" spans="2:12" x14ac:dyDescent="0.25">
      <c r="J144" s="769"/>
      <c r="K144" s="866"/>
    </row>
    <row r="145" spans="3:11" x14ac:dyDescent="0.25">
      <c r="C145" s="79"/>
      <c r="D145" s="79"/>
      <c r="E145" s="79"/>
      <c r="F145" s="79"/>
      <c r="I145" s="629"/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J149" s="769"/>
      <c r="K149" s="866"/>
    </row>
    <row r="150" spans="3:11" x14ac:dyDescent="0.25">
      <c r="J150" s="769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6"/>
    </row>
    <row r="152" spans="3:11" x14ac:dyDescent="0.25">
      <c r="C152" s="79"/>
      <c r="D152" s="79"/>
      <c r="E152" s="79"/>
      <c r="F152" s="79"/>
      <c r="I152" s="216"/>
      <c r="J152" s="769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8"/>
    </row>
    <row r="156" spans="3:11" x14ac:dyDescent="0.25">
      <c r="C156" s="79"/>
      <c r="D156" s="79"/>
      <c r="E156" s="79"/>
      <c r="F156" s="79"/>
      <c r="I156" s="216"/>
      <c r="J156" s="769"/>
      <c r="K156" s="868"/>
    </row>
    <row r="157" spans="3:11" x14ac:dyDescent="0.25">
      <c r="C157" s="79"/>
      <c r="D157" s="79"/>
      <c r="E157" s="79"/>
      <c r="F157" s="79"/>
      <c r="I157" s="216"/>
      <c r="J157" s="769"/>
      <c r="K157" s="868"/>
    </row>
    <row r="158" spans="3:11" x14ac:dyDescent="0.25">
      <c r="C158" s="79"/>
      <c r="D158" s="79"/>
      <c r="E158" s="79"/>
      <c r="F158" s="79"/>
      <c r="I158" s="216"/>
      <c r="J158" s="769"/>
      <c r="K158" s="868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J160" s="769"/>
      <c r="K160" s="866"/>
    </row>
    <row r="161" spans="3:11" x14ac:dyDescent="0.25">
      <c r="J161" s="769"/>
      <c r="K161" s="866"/>
    </row>
    <row r="162" spans="3:11" x14ac:dyDescent="0.25">
      <c r="J162" s="769"/>
      <c r="K162" s="868"/>
    </row>
    <row r="163" spans="3:11" x14ac:dyDescent="0.25">
      <c r="J163" s="769"/>
      <c r="K163" s="866"/>
    </row>
    <row r="164" spans="3:11" x14ac:dyDescent="0.25">
      <c r="J164" s="769"/>
      <c r="K164" s="866"/>
    </row>
    <row r="165" spans="3:11" x14ac:dyDescent="0.25">
      <c r="C165" s="79"/>
      <c r="D165" s="79"/>
      <c r="E165" s="79"/>
      <c r="F165" s="79"/>
      <c r="J165" s="769"/>
      <c r="K165" s="868"/>
    </row>
    <row r="166" spans="3:11" x14ac:dyDescent="0.25">
      <c r="C166" s="79"/>
      <c r="D166" s="79"/>
      <c r="E166" s="79"/>
      <c r="F166" s="79"/>
      <c r="J166" s="769"/>
      <c r="K166" s="868"/>
    </row>
    <row r="167" spans="3:11" x14ac:dyDescent="0.25">
      <c r="C167" s="79"/>
      <c r="D167" s="79"/>
      <c r="E167" s="79"/>
      <c r="F167" s="79"/>
      <c r="J167" s="769"/>
      <c r="K167" s="868"/>
    </row>
    <row r="168" spans="3:11" x14ac:dyDescent="0.25">
      <c r="C168" s="79"/>
      <c r="D168" s="79"/>
      <c r="E168" s="79"/>
      <c r="F168" s="79"/>
      <c r="J168" s="769"/>
      <c r="K168" s="868"/>
    </row>
    <row r="169" spans="3:11" x14ac:dyDescent="0.25">
      <c r="C169" s="79"/>
      <c r="D169" s="79"/>
      <c r="E169" s="79"/>
      <c r="F169" s="79"/>
      <c r="J169" s="769"/>
      <c r="K169" s="866"/>
    </row>
    <row r="170" spans="3:11" x14ac:dyDescent="0.25">
      <c r="C170" s="79"/>
      <c r="D170" s="79"/>
      <c r="E170" s="79"/>
      <c r="F170" s="79"/>
      <c r="J170" s="223"/>
      <c r="K170" s="629"/>
    </row>
    <row r="171" spans="3:11" x14ac:dyDescent="0.25">
      <c r="C171" s="79"/>
      <c r="D171" s="79"/>
      <c r="E171" s="79"/>
      <c r="F171" s="79"/>
      <c r="J171" s="756"/>
      <c r="K171" s="756"/>
    </row>
    <row r="172" spans="3:11" x14ac:dyDescent="0.25">
      <c r="C172" s="79"/>
      <c r="D172" s="79"/>
      <c r="E172" s="79"/>
      <c r="F172" s="79"/>
    </row>
    <row r="173" spans="3:11" x14ac:dyDescent="0.25">
      <c r="C173" s="79"/>
      <c r="D173" s="79"/>
      <c r="E173" s="79"/>
      <c r="F173" s="79"/>
    </row>
    <row r="174" spans="3:11" x14ac:dyDescent="0.25">
      <c r="C174" s="79"/>
      <c r="D174" s="79"/>
      <c r="E174" s="79"/>
      <c r="F174" s="79"/>
    </row>
    <row r="175" spans="3:11" x14ac:dyDescent="0.25">
      <c r="C175" s="79"/>
      <c r="D175" s="79"/>
      <c r="E175" s="79"/>
      <c r="F175" s="79"/>
    </row>
    <row r="176" spans="3:11" x14ac:dyDescent="0.25">
      <c r="C176" s="79"/>
      <c r="D176" s="79"/>
      <c r="E176" s="79"/>
      <c r="F176" s="79"/>
      <c r="J176" s="85"/>
      <c r="K176" s="85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  <c r="J183" s="85"/>
      <c r="K183" s="85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  <c r="J190" s="771"/>
      <c r="K190" s="518"/>
    </row>
    <row r="191" spans="3:11" x14ac:dyDescent="0.25">
      <c r="C191" s="79"/>
      <c r="D191" s="79"/>
      <c r="E191" s="79"/>
      <c r="F191" s="79"/>
    </row>
    <row r="198" spans="3:11" x14ac:dyDescent="0.25">
      <c r="C198" s="79"/>
      <c r="D198" s="79"/>
      <c r="E198" s="79"/>
      <c r="F198" s="79"/>
      <c r="K198" s="216"/>
    </row>
    <row r="199" spans="3:11" x14ac:dyDescent="0.25">
      <c r="C199" s="79"/>
      <c r="D199" s="79"/>
      <c r="E199" s="79"/>
      <c r="F199" s="79"/>
      <c r="K199" s="216"/>
    </row>
    <row r="200" spans="3:11" x14ac:dyDescent="0.25">
      <c r="C200" s="79"/>
      <c r="D200" s="79"/>
      <c r="E200" s="79"/>
      <c r="F200" s="79"/>
      <c r="K200" s="216"/>
    </row>
    <row r="201" spans="3:11" x14ac:dyDescent="0.25">
      <c r="C201" s="79"/>
      <c r="D201" s="79"/>
      <c r="E201" s="79"/>
      <c r="F201" s="79"/>
      <c r="K201" s="216"/>
    </row>
    <row r="203" spans="3:11" x14ac:dyDescent="0.25">
      <c r="C203" s="79"/>
      <c r="D203" s="79"/>
      <c r="E203" s="79"/>
      <c r="F203" s="79"/>
      <c r="K203" s="216"/>
    </row>
    <row r="205" spans="3:11" x14ac:dyDescent="0.25">
      <c r="C205" s="79"/>
      <c r="D205" s="79"/>
      <c r="E205" s="79"/>
      <c r="F205" s="79"/>
      <c r="K205" s="629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</sheetData>
  <autoFilter ref="A2:I111" xr:uid="{00000000-0009-0000-0000-000047000000}">
    <filterColumn colId="3">
      <filters>
        <filter val="COM"/>
      </filters>
    </filterColumn>
  </autoFilter>
  <mergeCells count="13">
    <mergeCell ref="M26:N26"/>
    <mergeCell ref="A110:E110"/>
    <mergeCell ref="A111:E111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Plan84" filterMode="1"/>
  <dimension ref="A1:N228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O22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1860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43191</v>
      </c>
      <c r="B5" s="369" t="s">
        <v>10</v>
      </c>
      <c r="C5" s="370"/>
      <c r="D5" s="370"/>
      <c r="E5" s="777"/>
      <c r="F5" s="179"/>
      <c r="G5" s="933">
        <f>'Março-18'!G111</f>
        <v>780.6500000000101</v>
      </c>
      <c r="H5" s="179"/>
      <c r="I5" s="933">
        <f>'Março-18'!I111</f>
        <v>2041.1360000000018</v>
      </c>
      <c r="J5" s="179"/>
      <c r="K5" s="933">
        <f>'Março-18'!K111</f>
        <v>8500.4499999999989</v>
      </c>
    </row>
    <row r="6" spans="1:11" s="224" customFormat="1" hidden="1" x14ac:dyDescent="0.25">
      <c r="A6" s="215">
        <v>43191</v>
      </c>
      <c r="B6" s="348" t="s">
        <v>11</v>
      </c>
      <c r="C6" s="351"/>
      <c r="D6" s="351"/>
      <c r="E6" s="673"/>
      <c r="F6" s="250">
        <v>40</v>
      </c>
      <c r="G6" s="1473"/>
      <c r="H6" s="250"/>
      <c r="I6" s="1473"/>
      <c r="J6" s="250"/>
      <c r="K6" s="1473"/>
    </row>
    <row r="7" spans="1:11" s="224" customFormat="1" hidden="1" x14ac:dyDescent="0.25">
      <c r="A7" s="215">
        <v>43191</v>
      </c>
      <c r="B7" s="862" t="s">
        <v>32</v>
      </c>
      <c r="C7" s="352" t="s">
        <v>12</v>
      </c>
      <c r="D7" s="874" t="s">
        <v>1485</v>
      </c>
      <c r="E7" s="875" t="s">
        <v>13</v>
      </c>
      <c r="F7" s="829">
        <v>29.87</v>
      </c>
      <c r="G7" s="248"/>
      <c r="H7" s="97"/>
      <c r="I7" s="946"/>
      <c r="J7" s="97"/>
      <c r="K7" s="946"/>
    </row>
    <row r="8" spans="1:11" s="224" customFormat="1" ht="15" hidden="1" customHeight="1" x14ac:dyDescent="0.25">
      <c r="A8" s="215">
        <v>43191</v>
      </c>
      <c r="B8" s="364" t="s">
        <v>14</v>
      </c>
      <c r="C8" s="350" t="s">
        <v>12</v>
      </c>
      <c r="D8" s="350" t="s">
        <v>1486</v>
      </c>
      <c r="E8" s="480" t="s">
        <v>13</v>
      </c>
      <c r="F8" s="97">
        <v>5.48</v>
      </c>
      <c r="G8" s="946"/>
      <c r="H8" s="97"/>
      <c r="I8" s="946"/>
      <c r="J8" s="97"/>
      <c r="K8" s="946"/>
    </row>
    <row r="9" spans="1:11" s="224" customFormat="1" ht="15" hidden="1" customHeight="1" x14ac:dyDescent="0.25">
      <c r="A9" s="215">
        <v>43192</v>
      </c>
      <c r="B9" s="862" t="s">
        <v>32</v>
      </c>
      <c r="C9" s="352" t="s">
        <v>12</v>
      </c>
      <c r="D9" s="874" t="s">
        <v>1485</v>
      </c>
      <c r="E9" s="875" t="s">
        <v>13</v>
      </c>
      <c r="F9" s="829">
        <v>14</v>
      </c>
      <c r="G9" s="1064"/>
      <c r="H9" s="97"/>
      <c r="I9" s="946"/>
      <c r="J9" s="97"/>
      <c r="K9" s="946"/>
    </row>
    <row r="10" spans="1:11" s="224" customFormat="1" ht="14.25" hidden="1" customHeight="1" x14ac:dyDescent="0.25">
      <c r="A10" s="215">
        <v>43192</v>
      </c>
      <c r="B10" s="862" t="s">
        <v>1331</v>
      </c>
      <c r="C10" s="350" t="s">
        <v>12</v>
      </c>
      <c r="D10" s="879" t="s">
        <v>1487</v>
      </c>
      <c r="E10" s="871" t="s">
        <v>15</v>
      </c>
      <c r="F10" s="626">
        <v>70</v>
      </c>
      <c r="G10" s="248"/>
      <c r="H10" s="97"/>
      <c r="I10" s="946"/>
      <c r="J10" s="97"/>
      <c r="K10" s="946"/>
    </row>
    <row r="11" spans="1:11" s="224" customFormat="1" ht="15" hidden="1" customHeight="1" x14ac:dyDescent="0.25">
      <c r="A11" s="215">
        <v>43192</v>
      </c>
      <c r="B11" s="364" t="s">
        <v>14</v>
      </c>
      <c r="C11" s="350" t="s">
        <v>12</v>
      </c>
      <c r="D11" s="350" t="s">
        <v>1486</v>
      </c>
      <c r="E11" s="480" t="s">
        <v>13</v>
      </c>
      <c r="F11" s="97">
        <v>8.3800000000000008</v>
      </c>
      <c r="G11" s="946"/>
      <c r="H11" s="97"/>
      <c r="I11" s="946"/>
      <c r="J11" s="97"/>
      <c r="K11" s="946"/>
    </row>
    <row r="12" spans="1:11" s="224" customFormat="1" ht="15" hidden="1" customHeight="1" x14ac:dyDescent="0.25">
      <c r="A12" s="215">
        <v>43193</v>
      </c>
      <c r="B12" s="862" t="s">
        <v>32</v>
      </c>
      <c r="C12" s="352" t="s">
        <v>12</v>
      </c>
      <c r="D12" s="874" t="s">
        <v>1485</v>
      </c>
      <c r="E12" s="875" t="s">
        <v>13</v>
      </c>
      <c r="F12" s="829">
        <v>14</v>
      </c>
      <c r="G12" s="946"/>
      <c r="H12" s="97"/>
      <c r="I12" s="946"/>
      <c r="J12" s="97"/>
      <c r="K12" s="946"/>
    </row>
    <row r="13" spans="1:11" s="224" customFormat="1" ht="15" hidden="1" customHeight="1" x14ac:dyDescent="0.25">
      <c r="A13" s="215">
        <v>43193</v>
      </c>
      <c r="B13" s="364" t="s">
        <v>14</v>
      </c>
      <c r="C13" s="350" t="s">
        <v>12</v>
      </c>
      <c r="D13" s="350" t="s">
        <v>1486</v>
      </c>
      <c r="E13" s="480" t="s">
        <v>13</v>
      </c>
      <c r="F13" s="97">
        <v>7.92</v>
      </c>
      <c r="G13" s="946"/>
      <c r="H13" s="97"/>
      <c r="I13" s="946"/>
      <c r="J13" s="97"/>
      <c r="K13" s="946"/>
    </row>
    <row r="14" spans="1:11" s="224" customFormat="1" ht="15" hidden="1" customHeight="1" x14ac:dyDescent="0.25">
      <c r="A14" s="215">
        <v>43194</v>
      </c>
      <c r="B14" s="862" t="s">
        <v>32</v>
      </c>
      <c r="C14" s="352" t="s">
        <v>12</v>
      </c>
      <c r="D14" s="874" t="s">
        <v>1485</v>
      </c>
      <c r="E14" s="875" t="s">
        <v>13</v>
      </c>
      <c r="F14" s="829">
        <v>14</v>
      </c>
      <c r="G14" s="1064"/>
      <c r="H14" s="97"/>
      <c r="I14" s="946"/>
      <c r="J14" s="97"/>
      <c r="K14" s="946"/>
    </row>
    <row r="15" spans="1:11" s="224" customFormat="1" ht="15" hidden="1" customHeight="1" x14ac:dyDescent="0.25">
      <c r="A15" s="215">
        <v>43194</v>
      </c>
      <c r="B15" s="364" t="s">
        <v>14</v>
      </c>
      <c r="C15" s="350" t="s">
        <v>12</v>
      </c>
      <c r="D15" s="350" t="s">
        <v>1486</v>
      </c>
      <c r="E15" s="480" t="s">
        <v>13</v>
      </c>
      <c r="F15" s="97">
        <v>10.68</v>
      </c>
      <c r="G15" s="946"/>
      <c r="H15" s="97"/>
      <c r="I15" s="946"/>
      <c r="J15" s="97"/>
      <c r="K15" s="946"/>
    </row>
    <row r="16" spans="1:11" s="224" customFormat="1" hidden="1" x14ac:dyDescent="0.25">
      <c r="A16" s="215">
        <v>43195</v>
      </c>
      <c r="B16" s="862" t="s">
        <v>32</v>
      </c>
      <c r="C16" s="352" t="s">
        <v>12</v>
      </c>
      <c r="D16" s="874" t="s">
        <v>1485</v>
      </c>
      <c r="E16" s="875" t="s">
        <v>15</v>
      </c>
      <c r="F16" s="829">
        <v>14</v>
      </c>
      <c r="G16" s="946"/>
      <c r="H16" s="97"/>
      <c r="I16" s="946"/>
      <c r="J16" s="97"/>
      <c r="K16" s="946"/>
    </row>
    <row r="17" spans="1:14" s="224" customFormat="1" ht="15" hidden="1" customHeight="1" x14ac:dyDescent="0.25">
      <c r="A17" s="215">
        <v>43195</v>
      </c>
      <c r="B17" s="364" t="s">
        <v>14</v>
      </c>
      <c r="C17" s="350" t="s">
        <v>12</v>
      </c>
      <c r="D17" s="350" t="s">
        <v>1486</v>
      </c>
      <c r="E17" s="480" t="s">
        <v>13</v>
      </c>
      <c r="F17" s="97">
        <v>3.2</v>
      </c>
      <c r="G17" s="946"/>
      <c r="H17" s="97"/>
      <c r="I17" s="946"/>
      <c r="J17" s="97"/>
      <c r="K17" s="946"/>
    </row>
    <row r="18" spans="1:14" s="224" customFormat="1" x14ac:dyDescent="0.25">
      <c r="A18" s="215">
        <v>43195</v>
      </c>
      <c r="B18" s="862" t="s">
        <v>1861</v>
      </c>
      <c r="C18" s="350" t="s">
        <v>12</v>
      </c>
      <c r="D18" s="879" t="s">
        <v>1524</v>
      </c>
      <c r="E18" s="871" t="s">
        <v>15</v>
      </c>
      <c r="F18" s="626">
        <v>300</v>
      </c>
      <c r="G18" s="248"/>
      <c r="H18" s="97"/>
      <c r="I18" s="946"/>
      <c r="J18" s="97"/>
      <c r="K18" s="946"/>
    </row>
    <row r="19" spans="1:14" s="224" customFormat="1" ht="15.75" hidden="1" customHeight="1" x14ac:dyDescent="0.25">
      <c r="A19" s="215">
        <v>43196</v>
      </c>
      <c r="B19" s="349" t="s">
        <v>1862</v>
      </c>
      <c r="C19" s="879" t="s">
        <v>12</v>
      </c>
      <c r="D19" s="874"/>
      <c r="E19" s="871" t="s">
        <v>25</v>
      </c>
      <c r="F19" s="1514"/>
      <c r="G19" s="1473">
        <v>1729.32</v>
      </c>
      <c r="H19" s="250"/>
      <c r="I19" s="946"/>
      <c r="J19" s="97"/>
      <c r="K19" s="946"/>
    </row>
    <row r="20" spans="1:14" s="224" customFormat="1" hidden="1" x14ac:dyDescent="0.25">
      <c r="A20" s="215">
        <v>43196</v>
      </c>
      <c r="B20" s="862" t="s">
        <v>1863</v>
      </c>
      <c r="C20" s="879" t="s">
        <v>12</v>
      </c>
      <c r="D20" s="879"/>
      <c r="E20" s="871" t="s">
        <v>13</v>
      </c>
      <c r="F20" s="456">
        <v>214.11</v>
      </c>
      <c r="G20" s="946"/>
      <c r="H20" s="97"/>
      <c r="I20" s="946"/>
      <c r="J20" s="523"/>
      <c r="K20" s="457"/>
      <c r="L20" s="178"/>
      <c r="M20" s="3096" t="s">
        <v>1864</v>
      </c>
      <c r="N20" s="3096"/>
    </row>
    <row r="21" spans="1:14" hidden="1" x14ac:dyDescent="0.25">
      <c r="A21" s="215">
        <v>43196</v>
      </c>
      <c r="B21" s="862" t="s">
        <v>1532</v>
      </c>
      <c r="C21" s="879" t="s">
        <v>12</v>
      </c>
      <c r="D21" s="879" t="s">
        <v>1504</v>
      </c>
      <c r="E21" s="871" t="s">
        <v>13</v>
      </c>
      <c r="F21" s="523">
        <v>50</v>
      </c>
      <c r="G21" s="946"/>
      <c r="H21" s="97"/>
      <c r="I21" s="946"/>
      <c r="J21" s="97"/>
      <c r="K21" s="1473"/>
    </row>
    <row r="22" spans="1:14" hidden="1" x14ac:dyDescent="0.25">
      <c r="A22" s="215">
        <v>43196</v>
      </c>
      <c r="B22" s="882" t="s">
        <v>1865</v>
      </c>
      <c r="C22" s="879" t="s">
        <v>12</v>
      </c>
      <c r="D22" s="879" t="s">
        <v>1499</v>
      </c>
      <c r="E22" s="871" t="s">
        <v>13</v>
      </c>
      <c r="F22" s="780">
        <v>52.32</v>
      </c>
      <c r="G22" s="982"/>
      <c r="H22" s="622"/>
      <c r="I22" s="982"/>
      <c r="J22" s="780"/>
      <c r="K22" s="614"/>
    </row>
    <row r="23" spans="1:14" hidden="1" x14ac:dyDescent="0.25">
      <c r="A23" s="1052">
        <v>43196</v>
      </c>
      <c r="B23" s="862" t="s">
        <v>52</v>
      </c>
      <c r="C23" s="879" t="s">
        <v>12</v>
      </c>
      <c r="D23" s="879" t="s">
        <v>1496</v>
      </c>
      <c r="E23" s="871" t="s">
        <v>13</v>
      </c>
      <c r="F23" s="523">
        <v>60</v>
      </c>
      <c r="G23" s="1064"/>
      <c r="H23" s="97"/>
      <c r="I23" s="946"/>
      <c r="J23" s="97"/>
      <c r="K23" s="946"/>
    </row>
    <row r="24" spans="1:14" s="224" customFormat="1" hidden="1" x14ac:dyDescent="0.25">
      <c r="A24" s="215">
        <v>43196</v>
      </c>
      <c r="B24" s="862" t="s">
        <v>32</v>
      </c>
      <c r="C24" s="352" t="s">
        <v>12</v>
      </c>
      <c r="D24" s="874" t="s">
        <v>1485</v>
      </c>
      <c r="E24" s="875" t="s">
        <v>15</v>
      </c>
      <c r="F24" s="829">
        <v>14</v>
      </c>
      <c r="G24" s="946"/>
      <c r="H24" s="97"/>
      <c r="I24" s="946"/>
      <c r="J24" s="97"/>
      <c r="K24" s="946"/>
    </row>
    <row r="25" spans="1:14" s="224" customFormat="1" hidden="1" x14ac:dyDescent="0.25">
      <c r="A25" s="215">
        <v>43196</v>
      </c>
      <c r="B25" s="364" t="s">
        <v>14</v>
      </c>
      <c r="C25" s="350" t="s">
        <v>12</v>
      </c>
      <c r="D25" s="350" t="s">
        <v>1486</v>
      </c>
      <c r="E25" s="480" t="s">
        <v>13</v>
      </c>
      <c r="F25" s="97">
        <v>8</v>
      </c>
      <c r="G25" s="248"/>
      <c r="H25" s="97"/>
      <c r="I25" s="946"/>
      <c r="J25" s="97"/>
      <c r="K25" s="946"/>
    </row>
    <row r="26" spans="1:14" s="224" customFormat="1" hidden="1" x14ac:dyDescent="0.25">
      <c r="A26" s="215">
        <v>43196</v>
      </c>
      <c r="B26" s="862" t="s">
        <v>1597</v>
      </c>
      <c r="C26" s="350" t="s">
        <v>12</v>
      </c>
      <c r="D26" s="879" t="s">
        <v>1491</v>
      </c>
      <c r="E26" s="871" t="s">
        <v>15</v>
      </c>
      <c r="F26" s="626">
        <v>42</v>
      </c>
      <c r="G26" s="248"/>
      <c r="H26" s="97"/>
      <c r="I26" s="946"/>
      <c r="J26" s="97"/>
      <c r="K26" s="946"/>
    </row>
    <row r="27" spans="1:14" s="224" customFormat="1" hidden="1" x14ac:dyDescent="0.25">
      <c r="A27" s="247">
        <v>43196</v>
      </c>
      <c r="B27" s="364" t="s">
        <v>311</v>
      </c>
      <c r="C27" s="350"/>
      <c r="D27" s="350"/>
      <c r="E27" s="480"/>
      <c r="F27" s="832"/>
      <c r="G27" s="627"/>
      <c r="H27" s="97"/>
      <c r="I27" s="946">
        <v>6.87</v>
      </c>
      <c r="J27" s="97"/>
      <c r="K27" s="946"/>
    </row>
    <row r="28" spans="1:14" s="224" customFormat="1" hidden="1" x14ac:dyDescent="0.25">
      <c r="A28" s="215">
        <v>43197</v>
      </c>
      <c r="B28" s="862" t="s">
        <v>32</v>
      </c>
      <c r="C28" s="352" t="s">
        <v>12</v>
      </c>
      <c r="D28" s="874" t="s">
        <v>1485</v>
      </c>
      <c r="E28" s="875" t="s">
        <v>15</v>
      </c>
      <c r="F28" s="829">
        <v>15.9</v>
      </c>
      <c r="G28" s="1482"/>
      <c r="H28" s="97"/>
      <c r="I28" s="946"/>
      <c r="J28" s="97"/>
      <c r="K28" s="946"/>
    </row>
    <row r="29" spans="1:14" s="224" customFormat="1" hidden="1" x14ac:dyDescent="0.25">
      <c r="A29" s="215">
        <v>43197</v>
      </c>
      <c r="B29" s="862" t="s">
        <v>1161</v>
      </c>
      <c r="C29" s="352" t="s">
        <v>12</v>
      </c>
      <c r="D29" s="874" t="s">
        <v>1506</v>
      </c>
      <c r="E29" s="875" t="s">
        <v>15</v>
      </c>
      <c r="F29" s="829">
        <v>15</v>
      </c>
      <c r="G29" s="946"/>
      <c r="H29" s="97"/>
      <c r="I29" s="946"/>
      <c r="J29" s="97"/>
      <c r="K29" s="946"/>
    </row>
    <row r="30" spans="1:14" s="224" customFormat="1" x14ac:dyDescent="0.25">
      <c r="A30" s="215">
        <v>43197</v>
      </c>
      <c r="B30" s="862" t="s">
        <v>1866</v>
      </c>
      <c r="C30" s="352" t="s">
        <v>12</v>
      </c>
      <c r="D30" s="874" t="s">
        <v>1524</v>
      </c>
      <c r="E30" s="875" t="s">
        <v>15</v>
      </c>
      <c r="F30" s="829">
        <v>50</v>
      </c>
      <c r="G30" s="946"/>
      <c r="H30" s="97"/>
      <c r="I30" s="946"/>
      <c r="J30" s="97"/>
      <c r="K30" s="946"/>
    </row>
    <row r="31" spans="1:14" s="224" customFormat="1" hidden="1" x14ac:dyDescent="0.25">
      <c r="A31" s="215">
        <v>43197</v>
      </c>
      <c r="B31" s="862" t="s">
        <v>1438</v>
      </c>
      <c r="C31" s="352" t="s">
        <v>19</v>
      </c>
      <c r="D31" s="874" t="s">
        <v>1489</v>
      </c>
      <c r="E31" s="875" t="s">
        <v>13</v>
      </c>
      <c r="F31" s="829">
        <v>70</v>
      </c>
      <c r="G31" s="946"/>
      <c r="H31" s="97"/>
      <c r="I31" s="946"/>
      <c r="J31" s="97"/>
      <c r="K31" s="946"/>
    </row>
    <row r="32" spans="1:14" s="224" customFormat="1" ht="14.25" hidden="1" customHeight="1" x14ac:dyDescent="0.25">
      <c r="A32" s="215">
        <v>43197</v>
      </c>
      <c r="B32" s="862" t="s">
        <v>1331</v>
      </c>
      <c r="C32" s="350" t="s">
        <v>12</v>
      </c>
      <c r="D32" s="879" t="s">
        <v>1487</v>
      </c>
      <c r="E32" s="871" t="s">
        <v>15</v>
      </c>
      <c r="F32" s="626">
        <v>70</v>
      </c>
      <c r="G32" s="248"/>
      <c r="H32" s="97"/>
      <c r="I32" s="946"/>
      <c r="J32" s="97"/>
      <c r="K32" s="946"/>
    </row>
    <row r="33" spans="1:11" s="224" customFormat="1" ht="15" hidden="1" customHeight="1" x14ac:dyDescent="0.25">
      <c r="A33" s="215">
        <v>43197</v>
      </c>
      <c r="B33" s="364" t="s">
        <v>14</v>
      </c>
      <c r="C33" s="350" t="s">
        <v>12</v>
      </c>
      <c r="D33" s="350" t="s">
        <v>1486</v>
      </c>
      <c r="E33" s="480" t="s">
        <v>13</v>
      </c>
      <c r="F33" s="97">
        <v>2.0099999999999998</v>
      </c>
      <c r="G33" s="946"/>
      <c r="H33" s="97"/>
      <c r="I33" s="946"/>
      <c r="J33" s="97"/>
      <c r="K33" s="946"/>
    </row>
    <row r="34" spans="1:11" s="224" customFormat="1" ht="15" hidden="1" customHeight="1" x14ac:dyDescent="0.25">
      <c r="A34" s="215">
        <v>43197</v>
      </c>
      <c r="B34" s="364" t="s">
        <v>82</v>
      </c>
      <c r="C34" s="350" t="s">
        <v>12</v>
      </c>
      <c r="D34" s="350" t="s">
        <v>1493</v>
      </c>
      <c r="E34" s="480" t="s">
        <v>13</v>
      </c>
      <c r="F34" s="97">
        <v>28</v>
      </c>
      <c r="G34" s="946"/>
      <c r="H34" s="97"/>
      <c r="I34" s="946"/>
      <c r="J34" s="97"/>
      <c r="K34" s="946"/>
    </row>
    <row r="35" spans="1:11" s="224" customFormat="1" hidden="1" x14ac:dyDescent="0.25">
      <c r="A35" s="215">
        <v>43198</v>
      </c>
      <c r="B35" s="364" t="s">
        <v>14</v>
      </c>
      <c r="C35" s="350" t="s">
        <v>12</v>
      </c>
      <c r="D35" s="350" t="s">
        <v>1486</v>
      </c>
      <c r="E35" s="480" t="s">
        <v>13</v>
      </c>
      <c r="F35" s="97">
        <v>3.29</v>
      </c>
      <c r="G35" s="248"/>
      <c r="H35" s="97"/>
      <c r="I35" s="946"/>
      <c r="J35" s="97"/>
      <c r="K35" s="946"/>
    </row>
    <row r="36" spans="1:11" s="224" customFormat="1" hidden="1" x14ac:dyDescent="0.25">
      <c r="A36" s="215">
        <v>43198</v>
      </c>
      <c r="B36" s="862" t="s">
        <v>1438</v>
      </c>
      <c r="C36" s="352" t="s">
        <v>12</v>
      </c>
      <c r="D36" s="874" t="s">
        <v>1489</v>
      </c>
      <c r="E36" s="875" t="s">
        <v>13</v>
      </c>
      <c r="F36" s="829">
        <v>5.62</v>
      </c>
      <c r="G36" s="946"/>
      <c r="H36" s="97"/>
      <c r="I36" s="946"/>
      <c r="J36" s="97"/>
      <c r="K36" s="946"/>
    </row>
    <row r="37" spans="1:11" s="224" customFormat="1" hidden="1" x14ac:dyDescent="0.25">
      <c r="A37" s="215">
        <v>43199</v>
      </c>
      <c r="B37" s="862" t="s">
        <v>32</v>
      </c>
      <c r="C37" s="352" t="s">
        <v>12</v>
      </c>
      <c r="D37" s="874" t="s">
        <v>1485</v>
      </c>
      <c r="E37" s="875" t="s">
        <v>13</v>
      </c>
      <c r="F37" s="829">
        <v>14</v>
      </c>
      <c r="G37" s="946"/>
      <c r="H37" s="97"/>
      <c r="I37" s="946"/>
      <c r="J37" s="97"/>
      <c r="K37" s="946"/>
    </row>
    <row r="38" spans="1:11" ht="15" hidden="1" customHeight="1" x14ac:dyDescent="0.25">
      <c r="A38" s="215">
        <v>43200</v>
      </c>
      <c r="B38" s="349" t="s">
        <v>1396</v>
      </c>
      <c r="C38" s="350" t="s">
        <v>12</v>
      </c>
      <c r="D38" s="350"/>
      <c r="E38" s="757" t="s">
        <v>25</v>
      </c>
      <c r="F38" s="97"/>
      <c r="G38" s="946">
        <v>40</v>
      </c>
      <c r="H38" s="97"/>
      <c r="I38" s="946"/>
      <c r="J38" s="97"/>
      <c r="K38" s="946"/>
    </row>
    <row r="39" spans="1:11" s="224" customFormat="1" hidden="1" x14ac:dyDescent="0.25">
      <c r="A39" s="215">
        <v>43200</v>
      </c>
      <c r="B39" s="862" t="s">
        <v>32</v>
      </c>
      <c r="C39" s="352" t="s">
        <v>12</v>
      </c>
      <c r="D39" s="874" t="s">
        <v>1485</v>
      </c>
      <c r="E39" s="875" t="s">
        <v>15</v>
      </c>
      <c r="F39" s="829">
        <v>14</v>
      </c>
      <c r="G39" s="946"/>
      <c r="H39" s="97"/>
      <c r="I39" s="946"/>
      <c r="J39" s="97"/>
      <c r="K39" s="946"/>
    </row>
    <row r="40" spans="1:11" s="224" customFormat="1" ht="14.25" hidden="1" customHeight="1" x14ac:dyDescent="0.25">
      <c r="A40" s="215">
        <v>43200</v>
      </c>
      <c r="B40" s="862" t="s">
        <v>1331</v>
      </c>
      <c r="C40" s="350" t="s">
        <v>12</v>
      </c>
      <c r="D40" s="879" t="s">
        <v>1487</v>
      </c>
      <c r="E40" s="871" t="s">
        <v>15</v>
      </c>
      <c r="F40" s="626">
        <v>40</v>
      </c>
      <c r="G40" s="248"/>
      <c r="H40" s="97"/>
      <c r="I40" s="946"/>
      <c r="J40" s="97"/>
      <c r="K40" s="946"/>
    </row>
    <row r="41" spans="1:11" s="224" customFormat="1" hidden="1" x14ac:dyDescent="0.25">
      <c r="A41" s="215">
        <v>43200</v>
      </c>
      <c r="B41" s="862" t="s">
        <v>1867</v>
      </c>
      <c r="C41" s="350" t="s">
        <v>19</v>
      </c>
      <c r="D41" s="879" t="s">
        <v>1506</v>
      </c>
      <c r="E41" s="871" t="s">
        <v>13</v>
      </c>
      <c r="F41" s="626">
        <v>18</v>
      </c>
      <c r="G41" s="248"/>
      <c r="H41" s="97"/>
      <c r="I41" s="946"/>
      <c r="J41" s="97"/>
      <c r="K41" s="946"/>
    </row>
    <row r="42" spans="1:11" s="224" customFormat="1" hidden="1" x14ac:dyDescent="0.25">
      <c r="A42" s="215">
        <v>43200</v>
      </c>
      <c r="B42" s="862" t="s">
        <v>134</v>
      </c>
      <c r="C42" s="350" t="s">
        <v>19</v>
      </c>
      <c r="D42" s="879" t="s">
        <v>1493</v>
      </c>
      <c r="E42" s="871" t="s">
        <v>13</v>
      </c>
      <c r="F42" s="626">
        <v>15</v>
      </c>
      <c r="G42" s="248"/>
      <c r="H42" s="97"/>
      <c r="I42" s="946"/>
      <c r="J42" s="97"/>
      <c r="K42" s="946"/>
    </row>
    <row r="43" spans="1:11" s="224" customFormat="1" hidden="1" x14ac:dyDescent="0.25">
      <c r="A43" s="215">
        <v>43200</v>
      </c>
      <c r="B43" s="862" t="s">
        <v>1868</v>
      </c>
      <c r="C43" s="350" t="s">
        <v>12</v>
      </c>
      <c r="D43" s="879" t="s">
        <v>1489</v>
      </c>
      <c r="E43" s="871" t="s">
        <v>13</v>
      </c>
      <c r="F43" s="97">
        <v>324</v>
      </c>
      <c r="G43" s="248"/>
      <c r="H43" s="97"/>
      <c r="I43" s="946"/>
      <c r="J43" s="97"/>
      <c r="K43" s="946"/>
    </row>
    <row r="44" spans="1:11" s="224" customFormat="1" hidden="1" x14ac:dyDescent="0.25">
      <c r="A44" s="215">
        <v>43200</v>
      </c>
      <c r="B44" s="862" t="s">
        <v>1869</v>
      </c>
      <c r="C44" s="350" t="s">
        <v>12</v>
      </c>
      <c r="D44" s="879" t="s">
        <v>1489</v>
      </c>
      <c r="E44" s="871" t="s">
        <v>15</v>
      </c>
      <c r="F44" s="97">
        <v>12</v>
      </c>
      <c r="G44" s="248"/>
      <c r="H44" s="97"/>
      <c r="I44" s="946"/>
      <c r="J44" s="97"/>
      <c r="K44" s="946"/>
    </row>
    <row r="45" spans="1:11" s="224" customFormat="1" ht="15" hidden="1" customHeight="1" x14ac:dyDescent="0.25">
      <c r="A45" s="215">
        <v>43201</v>
      </c>
      <c r="B45" s="862" t="s">
        <v>1710</v>
      </c>
      <c r="C45" s="879" t="s">
        <v>12</v>
      </c>
      <c r="D45" s="879" t="s">
        <v>1504</v>
      </c>
      <c r="E45" s="871" t="s">
        <v>13</v>
      </c>
      <c r="F45" s="97">
        <v>19.899999999999999</v>
      </c>
      <c r="G45" s="946"/>
      <c r="H45" s="97"/>
      <c r="I45" s="946"/>
      <c r="J45" s="97"/>
      <c r="K45" s="946"/>
    </row>
    <row r="46" spans="1:11" s="224" customFormat="1" ht="15" hidden="1" customHeight="1" x14ac:dyDescent="0.25">
      <c r="A46" s="215">
        <v>43201</v>
      </c>
      <c r="B46" s="862" t="s">
        <v>1870</v>
      </c>
      <c r="C46" s="879" t="s">
        <v>12</v>
      </c>
      <c r="D46" s="879" t="s">
        <v>1522</v>
      </c>
      <c r="E46" s="871" t="s">
        <v>13</v>
      </c>
      <c r="F46" s="97">
        <v>45.72</v>
      </c>
      <c r="G46" s="946"/>
      <c r="H46" s="97"/>
      <c r="I46" s="946"/>
      <c r="J46" s="97"/>
      <c r="K46" s="946"/>
    </row>
    <row r="47" spans="1:11" s="224" customFormat="1" ht="15" hidden="1" customHeight="1" x14ac:dyDescent="0.25">
      <c r="A47" s="215">
        <v>43201</v>
      </c>
      <c r="B47" s="862" t="s">
        <v>1871</v>
      </c>
      <c r="C47" s="879" t="s">
        <v>12</v>
      </c>
      <c r="D47" s="879" t="s">
        <v>1522</v>
      </c>
      <c r="E47" s="871" t="s">
        <v>13</v>
      </c>
      <c r="F47" s="97">
        <v>98.38</v>
      </c>
      <c r="G47" s="946"/>
      <c r="H47" s="97"/>
      <c r="I47" s="946"/>
      <c r="J47" s="97"/>
      <c r="K47" s="946"/>
    </row>
    <row r="48" spans="1:11" s="224" customFormat="1" hidden="1" x14ac:dyDescent="0.25">
      <c r="A48" s="215">
        <v>43201</v>
      </c>
      <c r="B48" s="862" t="s">
        <v>32</v>
      </c>
      <c r="C48" s="352" t="s">
        <v>12</v>
      </c>
      <c r="D48" s="874" t="s">
        <v>1485</v>
      </c>
      <c r="E48" s="875" t="s">
        <v>15</v>
      </c>
      <c r="F48" s="829">
        <v>14</v>
      </c>
      <c r="G48" s="946"/>
      <c r="H48" s="97"/>
      <c r="I48" s="946"/>
      <c r="J48" s="97"/>
      <c r="K48" s="946"/>
    </row>
    <row r="49" spans="1:11" s="224" customFormat="1" hidden="1" x14ac:dyDescent="0.25">
      <c r="A49" s="215">
        <v>43201</v>
      </c>
      <c r="B49" s="364" t="s">
        <v>14</v>
      </c>
      <c r="C49" s="350" t="s">
        <v>12</v>
      </c>
      <c r="D49" s="350" t="s">
        <v>1486</v>
      </c>
      <c r="E49" s="480" t="s">
        <v>13</v>
      </c>
      <c r="F49" s="97">
        <v>8.5</v>
      </c>
      <c r="G49" s="248"/>
      <c r="H49" s="97"/>
      <c r="I49" s="946"/>
      <c r="J49" s="97"/>
      <c r="K49" s="946"/>
    </row>
    <row r="50" spans="1:11" s="224" customFormat="1" ht="15" hidden="1" customHeight="1" x14ac:dyDescent="0.25">
      <c r="A50" s="215">
        <v>43201</v>
      </c>
      <c r="B50" s="873" t="s">
        <v>1554</v>
      </c>
      <c r="C50" s="879" t="s">
        <v>19</v>
      </c>
      <c r="D50" s="879" t="s">
        <v>1491</v>
      </c>
      <c r="E50" s="871" t="s">
        <v>13</v>
      </c>
      <c r="F50" s="523">
        <v>66.75</v>
      </c>
      <c r="G50" s="946"/>
      <c r="H50" s="97"/>
      <c r="I50" s="946"/>
      <c r="J50" s="97"/>
      <c r="K50" s="946"/>
    </row>
    <row r="51" spans="1:11" s="224" customFormat="1" hidden="1" x14ac:dyDescent="0.25">
      <c r="A51" s="215">
        <v>43202</v>
      </c>
      <c r="B51" s="862" t="s">
        <v>32</v>
      </c>
      <c r="C51" s="352" t="s">
        <v>12</v>
      </c>
      <c r="D51" s="874" t="s">
        <v>1485</v>
      </c>
      <c r="E51" s="875" t="s">
        <v>15</v>
      </c>
      <c r="F51" s="829">
        <v>14</v>
      </c>
      <c r="G51" s="946"/>
      <c r="H51" s="97"/>
      <c r="I51" s="946"/>
      <c r="J51" s="97"/>
      <c r="K51" s="946"/>
    </row>
    <row r="52" spans="1:11" s="224" customFormat="1" hidden="1" x14ac:dyDescent="0.25">
      <c r="A52" s="215">
        <v>43202</v>
      </c>
      <c r="B52" s="364" t="s">
        <v>14</v>
      </c>
      <c r="C52" s="350" t="s">
        <v>12</v>
      </c>
      <c r="D52" s="350" t="s">
        <v>1486</v>
      </c>
      <c r="E52" s="480" t="s">
        <v>13</v>
      </c>
      <c r="F52" s="97">
        <v>3.69</v>
      </c>
      <c r="G52" s="1521"/>
      <c r="H52" s="96"/>
      <c r="I52" s="1482"/>
      <c r="J52" s="96"/>
      <c r="K52" s="1482"/>
    </row>
    <row r="53" spans="1:11" s="224" customFormat="1" hidden="1" x14ac:dyDescent="0.25">
      <c r="A53" s="215">
        <v>43203</v>
      </c>
      <c r="B53" s="862" t="s">
        <v>32</v>
      </c>
      <c r="C53" s="352" t="s">
        <v>12</v>
      </c>
      <c r="D53" s="874" t="s">
        <v>1485</v>
      </c>
      <c r="E53" s="875" t="s">
        <v>15</v>
      </c>
      <c r="F53" s="829">
        <v>14</v>
      </c>
      <c r="G53" s="946"/>
      <c r="H53" s="97"/>
      <c r="I53" s="946"/>
      <c r="J53" s="97"/>
      <c r="K53" s="946"/>
    </row>
    <row r="54" spans="1:11" s="224" customFormat="1" hidden="1" x14ac:dyDescent="0.25">
      <c r="A54" s="215">
        <v>43203</v>
      </c>
      <c r="B54" s="364" t="s">
        <v>14</v>
      </c>
      <c r="C54" s="350" t="s">
        <v>12</v>
      </c>
      <c r="D54" s="350" t="s">
        <v>1486</v>
      </c>
      <c r="E54" s="480" t="s">
        <v>13</v>
      </c>
      <c r="F54" s="97">
        <v>6.2</v>
      </c>
      <c r="G54" s="1521"/>
      <c r="H54" s="96"/>
      <c r="I54" s="1482"/>
      <c r="J54" s="96"/>
      <c r="K54" s="1482"/>
    </row>
    <row r="55" spans="1:11" s="224" customFormat="1" hidden="1" x14ac:dyDescent="0.25">
      <c r="A55" s="215">
        <v>43204</v>
      </c>
      <c r="B55" s="862" t="s">
        <v>1597</v>
      </c>
      <c r="C55" s="352" t="s">
        <v>12</v>
      </c>
      <c r="D55" s="874" t="s">
        <v>1491</v>
      </c>
      <c r="E55" s="875" t="s">
        <v>15</v>
      </c>
      <c r="F55" s="829">
        <v>30</v>
      </c>
      <c r="G55" s="946"/>
      <c r="H55" s="97"/>
      <c r="I55" s="946"/>
      <c r="J55" s="97"/>
      <c r="K55" s="946"/>
    </row>
    <row r="56" spans="1:11" s="224" customFormat="1" hidden="1" x14ac:dyDescent="0.25">
      <c r="A56" s="215">
        <v>43204</v>
      </c>
      <c r="B56" s="862" t="s">
        <v>1438</v>
      </c>
      <c r="C56" s="352" t="s">
        <v>19</v>
      </c>
      <c r="D56" s="874" t="s">
        <v>1489</v>
      </c>
      <c r="E56" s="875" t="s">
        <v>13</v>
      </c>
      <c r="F56" s="829">
        <v>42.35</v>
      </c>
      <c r="G56" s="946"/>
      <c r="H56" s="97"/>
      <c r="I56" s="946"/>
      <c r="J56" s="97"/>
      <c r="K56" s="946"/>
    </row>
    <row r="57" spans="1:11" s="224" customFormat="1" ht="14.25" hidden="1" customHeight="1" x14ac:dyDescent="0.25">
      <c r="A57" s="247">
        <v>43204</v>
      </c>
      <c r="B57" s="862" t="s">
        <v>1872</v>
      </c>
      <c r="C57" s="350" t="s">
        <v>12</v>
      </c>
      <c r="D57" s="879" t="s">
        <v>1491</v>
      </c>
      <c r="E57" s="871" t="s">
        <v>13</v>
      </c>
      <c r="F57" s="626">
        <v>21.98</v>
      </c>
      <c r="G57" s="248"/>
      <c r="H57" s="97"/>
      <c r="I57" s="946"/>
      <c r="J57" s="97"/>
      <c r="K57" s="946"/>
    </row>
    <row r="58" spans="1:11" s="224" customFormat="1" ht="14.25" hidden="1" customHeight="1" x14ac:dyDescent="0.25">
      <c r="A58" s="247">
        <v>43204</v>
      </c>
      <c r="B58" s="862" t="s">
        <v>1331</v>
      </c>
      <c r="C58" s="350" t="s">
        <v>12</v>
      </c>
      <c r="D58" s="879" t="s">
        <v>1487</v>
      </c>
      <c r="E58" s="871" t="s">
        <v>15</v>
      </c>
      <c r="F58" s="626">
        <v>50</v>
      </c>
      <c r="G58" s="248"/>
      <c r="H58" s="97"/>
      <c r="I58" s="946"/>
      <c r="J58" s="97"/>
      <c r="K58" s="946"/>
    </row>
    <row r="59" spans="1:11" s="224" customFormat="1" x14ac:dyDescent="0.25">
      <c r="A59" s="247">
        <v>43204</v>
      </c>
      <c r="B59" s="364" t="s">
        <v>1873</v>
      </c>
      <c r="C59" s="350" t="s">
        <v>12</v>
      </c>
      <c r="D59" s="350" t="s">
        <v>1524</v>
      </c>
      <c r="E59" s="480" t="s">
        <v>13</v>
      </c>
      <c r="F59" s="137">
        <v>24.38</v>
      </c>
      <c r="G59" s="946"/>
      <c r="H59" s="97"/>
      <c r="I59" s="946"/>
      <c r="J59" s="97"/>
      <c r="K59" s="946"/>
    </row>
    <row r="60" spans="1:11" s="224" customFormat="1" x14ac:dyDescent="0.25">
      <c r="A60" s="833">
        <v>43204</v>
      </c>
      <c r="B60" s="835" t="s">
        <v>1874</v>
      </c>
      <c r="C60" s="834" t="s">
        <v>12</v>
      </c>
      <c r="D60" s="834" t="s">
        <v>1524</v>
      </c>
      <c r="E60" s="85" t="s">
        <v>13</v>
      </c>
      <c r="F60" s="829">
        <v>23.5</v>
      </c>
      <c r="G60" s="946"/>
      <c r="H60" s="97"/>
      <c r="I60" s="946"/>
      <c r="J60" s="97"/>
      <c r="K60" s="946"/>
    </row>
    <row r="61" spans="1:11" s="224" customFormat="1" hidden="1" x14ac:dyDescent="0.25">
      <c r="A61" s="247">
        <v>43204</v>
      </c>
      <c r="B61" s="876" t="s">
        <v>32</v>
      </c>
      <c r="C61" s="350" t="s">
        <v>12</v>
      </c>
      <c r="D61" s="879" t="s">
        <v>1485</v>
      </c>
      <c r="E61" s="1510" t="s">
        <v>15</v>
      </c>
      <c r="F61" s="829">
        <v>15.9</v>
      </c>
      <c r="G61" s="946"/>
      <c r="H61" s="97"/>
      <c r="I61" s="946"/>
      <c r="J61" s="97"/>
      <c r="K61" s="946"/>
    </row>
    <row r="62" spans="1:11" s="224" customFormat="1" x14ac:dyDescent="0.25">
      <c r="A62" s="215">
        <v>43204</v>
      </c>
      <c r="B62" s="349" t="s">
        <v>1875</v>
      </c>
      <c r="C62" s="350" t="s">
        <v>12</v>
      </c>
      <c r="D62" s="802" t="s">
        <v>1524</v>
      </c>
      <c r="E62" s="778" t="s">
        <v>15</v>
      </c>
      <c r="F62" s="804">
        <v>150</v>
      </c>
      <c r="G62" s="946"/>
      <c r="H62" s="97"/>
      <c r="I62" s="946"/>
      <c r="J62" s="97"/>
      <c r="K62" s="946"/>
    </row>
    <row r="63" spans="1:11" s="224" customFormat="1" ht="15" hidden="1" customHeight="1" x14ac:dyDescent="0.25">
      <c r="A63" s="215">
        <v>43205</v>
      </c>
      <c r="B63" s="873" t="s">
        <v>1876</v>
      </c>
      <c r="C63" s="879" t="s">
        <v>12</v>
      </c>
      <c r="D63" s="879" t="s">
        <v>1491</v>
      </c>
      <c r="E63" s="871" t="s">
        <v>13</v>
      </c>
      <c r="F63" s="523">
        <v>61.38</v>
      </c>
      <c r="G63" s="946"/>
      <c r="H63" s="97"/>
      <c r="I63" s="946"/>
      <c r="J63" s="97"/>
      <c r="K63" s="946"/>
    </row>
    <row r="64" spans="1:11" s="224" customFormat="1" hidden="1" x14ac:dyDescent="0.25">
      <c r="A64" s="215">
        <v>43205</v>
      </c>
      <c r="B64" s="364" t="s">
        <v>14</v>
      </c>
      <c r="C64" s="350" t="s">
        <v>12</v>
      </c>
      <c r="D64" s="350" t="s">
        <v>1486</v>
      </c>
      <c r="E64" s="480" t="s">
        <v>13</v>
      </c>
      <c r="F64" s="97">
        <v>3.98</v>
      </c>
      <c r="G64" s="946"/>
      <c r="H64" s="97"/>
      <c r="I64" s="946"/>
      <c r="J64" s="97"/>
      <c r="K64" s="946"/>
    </row>
    <row r="65" spans="1:11" s="224" customFormat="1" hidden="1" x14ac:dyDescent="0.25">
      <c r="A65" s="215">
        <v>43206</v>
      </c>
      <c r="B65" s="876" t="s">
        <v>32</v>
      </c>
      <c r="C65" s="350" t="s">
        <v>12</v>
      </c>
      <c r="D65" s="879" t="s">
        <v>1485</v>
      </c>
      <c r="E65" s="1510" t="s">
        <v>15</v>
      </c>
      <c r="F65" s="829">
        <v>14</v>
      </c>
      <c r="G65" s="946"/>
      <c r="H65" s="97"/>
      <c r="I65" s="946"/>
      <c r="J65" s="97"/>
      <c r="K65" s="946"/>
    </row>
    <row r="66" spans="1:11" s="224" customFormat="1" x14ac:dyDescent="0.25">
      <c r="A66" s="215">
        <v>43206</v>
      </c>
      <c r="B66" s="876" t="s">
        <v>1877</v>
      </c>
      <c r="C66" s="350" t="s">
        <v>12</v>
      </c>
      <c r="D66" s="879" t="s">
        <v>1524</v>
      </c>
      <c r="E66" s="1510" t="s">
        <v>15</v>
      </c>
      <c r="F66" s="829">
        <v>7.5</v>
      </c>
      <c r="G66" s="946"/>
      <c r="H66" s="97"/>
      <c r="I66" s="946"/>
      <c r="J66" s="97"/>
      <c r="K66" s="946"/>
    </row>
    <row r="67" spans="1:11" s="224" customFormat="1" ht="15" hidden="1" customHeight="1" x14ac:dyDescent="0.25">
      <c r="A67" s="215">
        <v>43206</v>
      </c>
      <c r="B67" s="862" t="s">
        <v>256</v>
      </c>
      <c r="C67" s="879"/>
      <c r="D67" s="879"/>
      <c r="E67" s="871"/>
      <c r="F67" s="97"/>
      <c r="G67" s="1064">
        <v>148.01</v>
      </c>
      <c r="H67" s="97">
        <v>148.01</v>
      </c>
      <c r="I67" s="946"/>
      <c r="J67" s="97"/>
      <c r="K67" s="946"/>
    </row>
    <row r="68" spans="1:11" s="224" customFormat="1" hidden="1" x14ac:dyDescent="0.25">
      <c r="A68" s="215">
        <v>43206</v>
      </c>
      <c r="B68" s="364" t="s">
        <v>14</v>
      </c>
      <c r="C68" s="350" t="s">
        <v>12</v>
      </c>
      <c r="D68" s="350" t="s">
        <v>1486</v>
      </c>
      <c r="E68" s="480" t="s">
        <v>13</v>
      </c>
      <c r="F68" s="97">
        <v>6.21</v>
      </c>
      <c r="G68" s="946"/>
      <c r="H68" s="97"/>
      <c r="I68" s="946"/>
      <c r="J68" s="97"/>
      <c r="K68" s="946"/>
    </row>
    <row r="69" spans="1:11" s="224" customFormat="1" hidden="1" x14ac:dyDescent="0.25">
      <c r="A69" s="215">
        <v>43207</v>
      </c>
      <c r="B69" s="364" t="s">
        <v>14</v>
      </c>
      <c r="C69" s="350" t="s">
        <v>12</v>
      </c>
      <c r="D69" s="350" t="s">
        <v>1486</v>
      </c>
      <c r="E69" s="480" t="s">
        <v>13</v>
      </c>
      <c r="F69" s="97">
        <v>6.85</v>
      </c>
      <c r="G69" s="946"/>
      <c r="H69" s="97"/>
      <c r="I69" s="946"/>
      <c r="J69" s="97"/>
      <c r="K69" s="946"/>
    </row>
    <row r="70" spans="1:11" s="224" customFormat="1" hidden="1" x14ac:dyDescent="0.25">
      <c r="A70" s="215">
        <v>43208</v>
      </c>
      <c r="B70" s="364" t="s">
        <v>14</v>
      </c>
      <c r="C70" s="350" t="s">
        <v>12</v>
      </c>
      <c r="D70" s="350" t="s">
        <v>1486</v>
      </c>
      <c r="E70" s="480" t="s">
        <v>13</v>
      </c>
      <c r="F70" s="97">
        <v>11.08</v>
      </c>
      <c r="G70" s="946"/>
      <c r="H70" s="97"/>
      <c r="I70" s="946"/>
      <c r="J70" s="97"/>
      <c r="K70" s="946"/>
    </row>
    <row r="71" spans="1:11" s="224" customFormat="1" ht="15" hidden="1" customHeight="1" x14ac:dyDescent="0.25">
      <c r="A71" s="215">
        <v>43209</v>
      </c>
      <c r="B71" s="862" t="s">
        <v>256</v>
      </c>
      <c r="C71" s="879"/>
      <c r="D71" s="879"/>
      <c r="E71" s="871"/>
      <c r="F71" s="97"/>
      <c r="G71" s="1064">
        <v>300</v>
      </c>
      <c r="H71" s="97">
        <v>300</v>
      </c>
      <c r="I71" s="946"/>
      <c r="J71" s="97"/>
      <c r="K71" s="946"/>
    </row>
    <row r="72" spans="1:11" s="224" customFormat="1" hidden="1" x14ac:dyDescent="0.25">
      <c r="A72" s="215">
        <v>43209</v>
      </c>
      <c r="B72" s="876" t="s">
        <v>32</v>
      </c>
      <c r="C72" s="350" t="s">
        <v>12</v>
      </c>
      <c r="D72" s="879" t="s">
        <v>1485</v>
      </c>
      <c r="E72" s="1510" t="s">
        <v>13</v>
      </c>
      <c r="F72" s="829">
        <v>14</v>
      </c>
      <c r="G72" s="946"/>
      <c r="H72" s="97"/>
      <c r="I72" s="946"/>
      <c r="J72" s="97"/>
      <c r="K72" s="946"/>
    </row>
    <row r="73" spans="1:11" s="224" customFormat="1" hidden="1" x14ac:dyDescent="0.25">
      <c r="A73" s="215">
        <v>43209</v>
      </c>
      <c r="B73" s="862" t="s">
        <v>1438</v>
      </c>
      <c r="C73" s="352" t="s">
        <v>19</v>
      </c>
      <c r="D73" s="874" t="s">
        <v>1489</v>
      </c>
      <c r="E73" s="875" t="s">
        <v>13</v>
      </c>
      <c r="F73" s="829">
        <v>31.4</v>
      </c>
      <c r="G73" s="946"/>
      <c r="H73" s="97"/>
      <c r="I73" s="946"/>
      <c r="J73" s="97"/>
      <c r="K73" s="946"/>
    </row>
    <row r="74" spans="1:11" s="224" customFormat="1" ht="14.25" hidden="1" customHeight="1" x14ac:dyDescent="0.25">
      <c r="A74" s="215">
        <v>43209</v>
      </c>
      <c r="B74" s="862" t="s">
        <v>1331</v>
      </c>
      <c r="C74" s="350" t="s">
        <v>12</v>
      </c>
      <c r="D74" s="879" t="s">
        <v>1487</v>
      </c>
      <c r="E74" s="871" t="s">
        <v>15</v>
      </c>
      <c r="F74" s="626">
        <v>40</v>
      </c>
      <c r="G74" s="248"/>
      <c r="H74" s="97"/>
      <c r="I74" s="946"/>
      <c r="J74" s="97"/>
      <c r="K74" s="946"/>
    </row>
    <row r="75" spans="1:11" s="224" customFormat="1" ht="14.25" hidden="1" customHeight="1" x14ac:dyDescent="0.25">
      <c r="A75" s="215">
        <v>43209</v>
      </c>
      <c r="B75" s="862" t="s">
        <v>1161</v>
      </c>
      <c r="C75" s="350" t="s">
        <v>12</v>
      </c>
      <c r="D75" s="879" t="s">
        <v>1506</v>
      </c>
      <c r="E75" s="871" t="s">
        <v>15</v>
      </c>
      <c r="F75" s="626">
        <v>10</v>
      </c>
      <c r="G75" s="248"/>
      <c r="H75" s="97"/>
      <c r="I75" s="946"/>
      <c r="J75" s="97"/>
      <c r="K75" s="946"/>
    </row>
    <row r="76" spans="1:11" s="224" customFormat="1" x14ac:dyDescent="0.25">
      <c r="A76" s="215">
        <v>43209</v>
      </c>
      <c r="B76" s="349" t="s">
        <v>1878</v>
      </c>
      <c r="C76" s="350" t="s">
        <v>12</v>
      </c>
      <c r="D76" s="802" t="s">
        <v>1524</v>
      </c>
      <c r="E76" s="778" t="s">
        <v>15</v>
      </c>
      <c r="F76" s="804">
        <v>100</v>
      </c>
      <c r="G76" s="946"/>
      <c r="H76" s="97"/>
      <c r="I76" s="946"/>
      <c r="J76" s="97"/>
      <c r="K76" s="946"/>
    </row>
    <row r="77" spans="1:11" s="224" customFormat="1" hidden="1" x14ac:dyDescent="0.25">
      <c r="A77" s="215">
        <v>43210</v>
      </c>
      <c r="B77" s="876" t="s">
        <v>32</v>
      </c>
      <c r="C77" s="350" t="s">
        <v>12</v>
      </c>
      <c r="D77" s="879" t="s">
        <v>1485</v>
      </c>
      <c r="E77" s="1510" t="s">
        <v>15</v>
      </c>
      <c r="F77" s="829">
        <v>14</v>
      </c>
      <c r="G77" s="946"/>
      <c r="H77" s="97"/>
      <c r="I77" s="946"/>
      <c r="J77" s="97"/>
      <c r="K77" s="946"/>
    </row>
    <row r="78" spans="1:11" s="224" customFormat="1" ht="15" hidden="1" customHeight="1" x14ac:dyDescent="0.25">
      <c r="A78" s="215">
        <v>43210</v>
      </c>
      <c r="B78" s="349" t="s">
        <v>260</v>
      </c>
      <c r="C78" s="350"/>
      <c r="D78" s="350"/>
      <c r="E78" s="480"/>
      <c r="F78" s="523">
        <v>600</v>
      </c>
      <c r="G78" s="1064"/>
      <c r="H78" s="97"/>
      <c r="I78" s="946">
        <v>600</v>
      </c>
      <c r="J78" s="97"/>
      <c r="K78" s="946"/>
    </row>
    <row r="79" spans="1:11" hidden="1" x14ac:dyDescent="0.25">
      <c r="A79" s="215">
        <v>43210</v>
      </c>
      <c r="B79" s="882" t="s">
        <v>1879</v>
      </c>
      <c r="C79" s="350" t="s">
        <v>12</v>
      </c>
      <c r="D79" s="145"/>
      <c r="E79" s="145" t="s">
        <v>25</v>
      </c>
      <c r="F79" s="1514"/>
      <c r="G79" s="946">
        <v>1510.31</v>
      </c>
      <c r="H79" s="97"/>
      <c r="I79" s="946"/>
      <c r="J79" s="97"/>
      <c r="K79" s="946"/>
    </row>
    <row r="80" spans="1:11" s="224" customFormat="1" ht="15.75" hidden="1" customHeight="1" x14ac:dyDescent="0.25">
      <c r="A80" s="215">
        <v>43210</v>
      </c>
      <c r="B80" s="882" t="s">
        <v>1880</v>
      </c>
      <c r="C80" s="879" t="s">
        <v>12</v>
      </c>
      <c r="D80" s="879" t="s">
        <v>1499</v>
      </c>
      <c r="E80" s="871" t="s">
        <v>13</v>
      </c>
      <c r="F80" s="97">
        <v>49.52</v>
      </c>
      <c r="G80" s="1473"/>
      <c r="H80" s="250"/>
      <c r="I80" s="946"/>
      <c r="J80" s="97"/>
      <c r="K80" s="946"/>
    </row>
    <row r="81" spans="1:11" s="224" customFormat="1" hidden="1" x14ac:dyDescent="0.25">
      <c r="A81" s="215">
        <v>43210</v>
      </c>
      <c r="B81" s="873" t="s">
        <v>1564</v>
      </c>
      <c r="C81" s="879" t="s">
        <v>12</v>
      </c>
      <c r="D81" s="350" t="s">
        <v>1491</v>
      </c>
      <c r="E81" s="871" t="s">
        <v>15</v>
      </c>
      <c r="F81" s="97">
        <v>130</v>
      </c>
      <c r="G81" s="946"/>
      <c r="H81" s="97"/>
      <c r="I81" s="946"/>
      <c r="J81" s="97"/>
      <c r="K81" s="946"/>
    </row>
    <row r="82" spans="1:11" s="224" customFormat="1" ht="15" hidden="1" customHeight="1" x14ac:dyDescent="0.25">
      <c r="A82" s="215">
        <v>43210</v>
      </c>
      <c r="B82" s="862" t="s">
        <v>1881</v>
      </c>
      <c r="C82" s="350" t="s">
        <v>12</v>
      </c>
      <c r="D82" s="874" t="s">
        <v>1491</v>
      </c>
      <c r="E82" s="875" t="s">
        <v>15</v>
      </c>
      <c r="F82" s="626">
        <v>70</v>
      </c>
      <c r="G82" s="946"/>
      <c r="H82" s="97"/>
      <c r="I82" s="946"/>
      <c r="J82" s="97"/>
      <c r="K82" s="946"/>
    </row>
    <row r="83" spans="1:11" s="224" customFormat="1" hidden="1" x14ac:dyDescent="0.25">
      <c r="A83" s="215">
        <v>43210</v>
      </c>
      <c r="B83" s="364" t="s">
        <v>14</v>
      </c>
      <c r="C83" s="350" t="s">
        <v>12</v>
      </c>
      <c r="D83" s="350" t="s">
        <v>1486</v>
      </c>
      <c r="E83" s="480" t="s">
        <v>13</v>
      </c>
      <c r="F83" s="97">
        <v>6.93</v>
      </c>
      <c r="G83" s="946"/>
      <c r="H83" s="97"/>
      <c r="I83" s="946"/>
      <c r="J83" s="97"/>
      <c r="K83" s="946"/>
    </row>
    <row r="84" spans="1:11" s="224" customFormat="1" hidden="1" x14ac:dyDescent="0.25">
      <c r="A84" s="215">
        <v>43211</v>
      </c>
      <c r="B84" s="876" t="s">
        <v>32</v>
      </c>
      <c r="C84" s="350" t="s">
        <v>12</v>
      </c>
      <c r="D84" s="879" t="s">
        <v>1485</v>
      </c>
      <c r="E84" s="1510" t="s">
        <v>13</v>
      </c>
      <c r="F84" s="829">
        <v>15.9</v>
      </c>
      <c r="G84" s="946"/>
      <c r="H84" s="97"/>
      <c r="I84" s="1473"/>
      <c r="J84" s="97"/>
      <c r="K84" s="1473"/>
    </row>
    <row r="85" spans="1:11" s="224" customFormat="1" ht="14.25" hidden="1" customHeight="1" x14ac:dyDescent="0.25">
      <c r="A85" s="215">
        <v>43211</v>
      </c>
      <c r="B85" s="862" t="s">
        <v>1331</v>
      </c>
      <c r="C85" s="350" t="s">
        <v>12</v>
      </c>
      <c r="D85" s="879" t="s">
        <v>1487</v>
      </c>
      <c r="E85" s="871" t="s">
        <v>13</v>
      </c>
      <c r="F85" s="626">
        <v>80</v>
      </c>
      <c r="G85" s="248"/>
      <c r="H85" s="97"/>
      <c r="I85" s="946"/>
      <c r="J85" s="97"/>
      <c r="K85" s="946"/>
    </row>
    <row r="86" spans="1:11" s="224" customFormat="1" ht="14.25" hidden="1" customHeight="1" x14ac:dyDescent="0.25">
      <c r="A86" s="215">
        <v>43211</v>
      </c>
      <c r="B86" s="862" t="s">
        <v>17</v>
      </c>
      <c r="C86" s="350" t="s">
        <v>12</v>
      </c>
      <c r="D86" s="879" t="s">
        <v>1493</v>
      </c>
      <c r="E86" s="871" t="s">
        <v>13</v>
      </c>
      <c r="F86" s="827">
        <v>17</v>
      </c>
      <c r="G86" s="248"/>
      <c r="H86" s="97"/>
      <c r="I86" s="946"/>
      <c r="J86" s="97"/>
      <c r="K86" s="946"/>
    </row>
    <row r="87" spans="1:11" s="224" customFormat="1" ht="15" hidden="1" customHeight="1" x14ac:dyDescent="0.25">
      <c r="A87" s="215">
        <v>43211</v>
      </c>
      <c r="B87" s="364" t="s">
        <v>82</v>
      </c>
      <c r="C87" s="350" t="s">
        <v>12</v>
      </c>
      <c r="D87" s="350" t="s">
        <v>1493</v>
      </c>
      <c r="E87" s="480" t="s">
        <v>13</v>
      </c>
      <c r="F87" s="622">
        <v>28</v>
      </c>
      <c r="G87" s="946"/>
      <c r="H87" s="97"/>
      <c r="I87" s="946"/>
      <c r="J87" s="97"/>
      <c r="K87" s="946"/>
    </row>
    <row r="88" spans="1:11" s="224" customFormat="1" hidden="1" x14ac:dyDescent="0.25">
      <c r="A88" s="215">
        <v>43212</v>
      </c>
      <c r="B88" s="349" t="s">
        <v>1882</v>
      </c>
      <c r="C88" s="350" t="s">
        <v>12</v>
      </c>
      <c r="D88" s="765" t="s">
        <v>1489</v>
      </c>
      <c r="E88" s="778" t="s">
        <v>13</v>
      </c>
      <c r="F88" s="622">
        <v>15</v>
      </c>
      <c r="G88" s="248"/>
      <c r="H88" s="97"/>
      <c r="I88" s="946"/>
      <c r="J88" s="97"/>
      <c r="K88" s="946"/>
    </row>
    <row r="89" spans="1:11" s="224" customFormat="1" hidden="1" x14ac:dyDescent="0.25">
      <c r="A89" s="215">
        <v>43212</v>
      </c>
      <c r="B89" s="349" t="s">
        <v>243</v>
      </c>
      <c r="C89" s="350" t="s">
        <v>12</v>
      </c>
      <c r="D89" s="765" t="s">
        <v>1489</v>
      </c>
      <c r="E89" s="778" t="s">
        <v>15</v>
      </c>
      <c r="F89" s="622">
        <v>75</v>
      </c>
      <c r="G89" s="248"/>
      <c r="H89" s="97"/>
      <c r="I89" s="946"/>
      <c r="J89" s="97"/>
      <c r="K89" s="946"/>
    </row>
    <row r="90" spans="1:11" s="224" customFormat="1" hidden="1" x14ac:dyDescent="0.25">
      <c r="A90" s="215">
        <v>43212</v>
      </c>
      <c r="B90" s="349" t="s">
        <v>1883</v>
      </c>
      <c r="C90" s="350" t="s">
        <v>12</v>
      </c>
      <c r="D90" s="765" t="s">
        <v>1489</v>
      </c>
      <c r="E90" s="778" t="s">
        <v>15</v>
      </c>
      <c r="F90" s="622">
        <v>6</v>
      </c>
      <c r="G90" s="248"/>
      <c r="H90" s="97"/>
      <c r="I90" s="946"/>
      <c r="J90" s="97"/>
      <c r="K90" s="946"/>
    </row>
    <row r="91" spans="1:11" s="224" customFormat="1" hidden="1" x14ac:dyDescent="0.25">
      <c r="A91" s="215">
        <v>43212</v>
      </c>
      <c r="B91" s="364" t="s">
        <v>14</v>
      </c>
      <c r="C91" s="350" t="s">
        <v>12</v>
      </c>
      <c r="D91" s="350" t="s">
        <v>1486</v>
      </c>
      <c r="E91" s="480" t="s">
        <v>13</v>
      </c>
      <c r="F91" s="622">
        <v>3.31</v>
      </c>
      <c r="G91" s="248"/>
      <c r="H91" s="97"/>
      <c r="I91" s="946"/>
      <c r="J91" s="97"/>
      <c r="K91" s="946"/>
    </row>
    <row r="92" spans="1:11" s="224" customFormat="1" hidden="1" x14ac:dyDescent="0.25">
      <c r="A92" s="215">
        <v>43213</v>
      </c>
      <c r="B92" s="876" t="s">
        <v>32</v>
      </c>
      <c r="C92" s="350" t="s">
        <v>12</v>
      </c>
      <c r="D92" s="879" t="s">
        <v>1485</v>
      </c>
      <c r="E92" s="1510" t="s">
        <v>13</v>
      </c>
      <c r="F92" s="831">
        <v>14</v>
      </c>
      <c r="G92" s="946"/>
      <c r="H92" s="97"/>
      <c r="I92" s="1473"/>
      <c r="J92" s="97"/>
      <c r="K92" s="1473"/>
    </row>
    <row r="93" spans="1:11" s="224" customFormat="1" hidden="1" x14ac:dyDescent="0.25">
      <c r="A93" s="215">
        <v>43213</v>
      </c>
      <c r="B93" s="364" t="s">
        <v>14</v>
      </c>
      <c r="C93" s="350" t="s">
        <v>12</v>
      </c>
      <c r="D93" s="350" t="s">
        <v>1486</v>
      </c>
      <c r="E93" s="480" t="s">
        <v>13</v>
      </c>
      <c r="F93" s="622">
        <v>7.86</v>
      </c>
      <c r="G93" s="248"/>
      <c r="H93" s="97"/>
      <c r="I93" s="946"/>
      <c r="J93" s="97"/>
      <c r="K93" s="946"/>
    </row>
    <row r="94" spans="1:11" s="224" customFormat="1" hidden="1" x14ac:dyDescent="0.25">
      <c r="A94" s="215">
        <v>43213</v>
      </c>
      <c r="B94" s="349" t="s">
        <v>1884</v>
      </c>
      <c r="C94" s="350" t="s">
        <v>12</v>
      </c>
      <c r="D94" s="802" t="s">
        <v>1491</v>
      </c>
      <c r="E94" s="778" t="s">
        <v>13</v>
      </c>
      <c r="F94" s="844">
        <v>15</v>
      </c>
      <c r="G94" s="248"/>
      <c r="H94" s="97"/>
      <c r="I94" s="946"/>
      <c r="J94" s="97"/>
      <c r="K94" s="946"/>
    </row>
    <row r="95" spans="1:11" s="224" customFormat="1" ht="15" hidden="1" customHeight="1" x14ac:dyDescent="0.25">
      <c r="A95" s="215">
        <v>43214</v>
      </c>
      <c r="B95" s="862" t="s">
        <v>1683</v>
      </c>
      <c r="C95" s="350" t="s">
        <v>12</v>
      </c>
      <c r="D95" s="874" t="s">
        <v>1504</v>
      </c>
      <c r="E95" s="1475" t="s">
        <v>13</v>
      </c>
      <c r="F95" s="622">
        <v>55.9</v>
      </c>
      <c r="G95" s="946"/>
      <c r="H95" s="97"/>
      <c r="I95" s="946"/>
      <c r="J95" s="97"/>
      <c r="K95" s="946"/>
    </row>
    <row r="96" spans="1:11" s="224" customFormat="1" hidden="1" x14ac:dyDescent="0.25">
      <c r="A96" s="215">
        <v>43214</v>
      </c>
      <c r="B96" s="876" t="s">
        <v>32</v>
      </c>
      <c r="C96" s="350" t="s">
        <v>12</v>
      </c>
      <c r="D96" s="879" t="s">
        <v>1485</v>
      </c>
      <c r="E96" s="1510" t="s">
        <v>13</v>
      </c>
      <c r="F96" s="829">
        <v>14</v>
      </c>
      <c r="G96" s="946"/>
      <c r="H96" s="97"/>
      <c r="I96" s="1473"/>
      <c r="J96" s="97"/>
      <c r="K96" s="1473"/>
    </row>
    <row r="97" spans="1:11" s="224" customFormat="1" x14ac:dyDescent="0.25">
      <c r="A97" s="215">
        <v>43214</v>
      </c>
      <c r="B97" s="349" t="s">
        <v>1885</v>
      </c>
      <c r="C97" s="350" t="s">
        <v>12</v>
      </c>
      <c r="D97" s="802" t="s">
        <v>1524</v>
      </c>
      <c r="E97" s="778" t="s">
        <v>15</v>
      </c>
      <c r="F97" s="804">
        <v>50</v>
      </c>
      <c r="G97" s="946"/>
      <c r="H97" s="97"/>
      <c r="I97" s="946"/>
      <c r="J97" s="97"/>
      <c r="K97" s="946"/>
    </row>
    <row r="98" spans="1:11" s="224" customFormat="1" hidden="1" x14ac:dyDescent="0.25">
      <c r="A98" s="215">
        <v>43213</v>
      </c>
      <c r="B98" s="364" t="s">
        <v>542</v>
      </c>
      <c r="C98" s="350" t="s">
        <v>12</v>
      </c>
      <c r="D98" s="350" t="s">
        <v>1522</v>
      </c>
      <c r="E98" s="480" t="s">
        <v>13</v>
      </c>
      <c r="F98" s="97">
        <v>6</v>
      </c>
      <c r="G98" s="248"/>
      <c r="H98" s="97"/>
      <c r="I98" s="946"/>
      <c r="J98" s="97"/>
      <c r="K98" s="946"/>
    </row>
    <row r="99" spans="1:11" s="224" customFormat="1" hidden="1" x14ac:dyDescent="0.25">
      <c r="A99" s="215">
        <v>43213</v>
      </c>
      <c r="B99" s="364" t="s">
        <v>14</v>
      </c>
      <c r="C99" s="350" t="s">
        <v>12</v>
      </c>
      <c r="D99" s="350" t="s">
        <v>1486</v>
      </c>
      <c r="E99" s="480" t="s">
        <v>13</v>
      </c>
      <c r="F99" s="97">
        <v>7.8</v>
      </c>
      <c r="G99" s="248"/>
      <c r="H99" s="97"/>
      <c r="I99" s="946"/>
      <c r="J99" s="97"/>
      <c r="K99" s="946"/>
    </row>
    <row r="100" spans="1:11" s="224" customFormat="1" hidden="1" x14ac:dyDescent="0.25">
      <c r="A100" s="215">
        <v>43215</v>
      </c>
      <c r="B100" s="876" t="s">
        <v>32</v>
      </c>
      <c r="C100" s="350" t="s">
        <v>12</v>
      </c>
      <c r="D100" s="879" t="s">
        <v>1485</v>
      </c>
      <c r="E100" s="1510" t="s">
        <v>13</v>
      </c>
      <c r="F100" s="829">
        <v>15</v>
      </c>
      <c r="G100" s="946"/>
      <c r="H100" s="97"/>
      <c r="I100" s="1473"/>
      <c r="J100" s="97"/>
      <c r="K100" s="1473"/>
    </row>
    <row r="101" spans="1:11" s="224" customFormat="1" hidden="1" x14ac:dyDescent="0.25">
      <c r="A101" s="215">
        <v>43215</v>
      </c>
      <c r="B101" s="862" t="s">
        <v>17</v>
      </c>
      <c r="C101" s="350" t="s">
        <v>12</v>
      </c>
      <c r="D101" s="879" t="s">
        <v>1493</v>
      </c>
      <c r="E101" s="871" t="s">
        <v>13</v>
      </c>
      <c r="F101" s="525">
        <v>4</v>
      </c>
      <c r="G101" s="248"/>
      <c r="H101" s="137"/>
      <c r="I101" s="946"/>
      <c r="J101" s="97"/>
      <c r="K101" s="946"/>
    </row>
    <row r="102" spans="1:11" s="224" customFormat="1" hidden="1" x14ac:dyDescent="0.25">
      <c r="A102" s="215">
        <v>43216</v>
      </c>
      <c r="B102" s="876" t="s">
        <v>32</v>
      </c>
      <c r="C102" s="350" t="s">
        <v>12</v>
      </c>
      <c r="D102" s="874" t="s">
        <v>1485</v>
      </c>
      <c r="E102" s="870" t="s">
        <v>15</v>
      </c>
      <c r="F102" s="829">
        <v>14</v>
      </c>
      <c r="G102" s="1482"/>
      <c r="H102" s="96"/>
      <c r="I102" s="1473"/>
      <c r="J102" s="97"/>
      <c r="K102" s="1473"/>
    </row>
    <row r="103" spans="1:11" s="224" customFormat="1" hidden="1" x14ac:dyDescent="0.25">
      <c r="A103" s="215">
        <v>43216</v>
      </c>
      <c r="B103" s="364" t="s">
        <v>14</v>
      </c>
      <c r="C103" s="350" t="s">
        <v>12</v>
      </c>
      <c r="D103" s="350" t="s">
        <v>1486</v>
      </c>
      <c r="E103" s="480" t="s">
        <v>13</v>
      </c>
      <c r="F103" s="97">
        <v>3.67</v>
      </c>
      <c r="G103" s="946"/>
      <c r="H103" s="97"/>
      <c r="I103" s="946"/>
      <c r="J103" s="97"/>
      <c r="K103" s="946"/>
    </row>
    <row r="104" spans="1:11" s="224" customFormat="1" hidden="1" x14ac:dyDescent="0.25">
      <c r="A104" s="215">
        <v>43217</v>
      </c>
      <c r="B104" s="876" t="s">
        <v>32</v>
      </c>
      <c r="C104" s="350" t="s">
        <v>12</v>
      </c>
      <c r="D104" s="874" t="s">
        <v>1485</v>
      </c>
      <c r="E104" s="870" t="s">
        <v>15</v>
      </c>
      <c r="F104" s="829">
        <v>14</v>
      </c>
      <c r="G104" s="1482"/>
      <c r="H104" s="96"/>
      <c r="I104" s="1473"/>
      <c r="J104" s="97"/>
      <c r="K104" s="1473"/>
    </row>
    <row r="105" spans="1:11" s="224" customFormat="1" ht="14.25" hidden="1" customHeight="1" x14ac:dyDescent="0.25">
      <c r="A105" s="215">
        <v>43217</v>
      </c>
      <c r="B105" s="862" t="s">
        <v>1331</v>
      </c>
      <c r="C105" s="350" t="s">
        <v>12</v>
      </c>
      <c r="D105" s="879" t="s">
        <v>1487</v>
      </c>
      <c r="E105" s="871" t="s">
        <v>13</v>
      </c>
      <c r="F105" s="626">
        <v>65.3</v>
      </c>
      <c r="G105" s="248"/>
      <c r="H105" s="97"/>
      <c r="I105" s="946"/>
      <c r="J105" s="97"/>
      <c r="K105" s="946"/>
    </row>
    <row r="106" spans="1:11" s="224" customFormat="1" ht="15" hidden="1" customHeight="1" x14ac:dyDescent="0.25">
      <c r="A106" s="215">
        <v>43217</v>
      </c>
      <c r="B106" s="349" t="s">
        <v>1886</v>
      </c>
      <c r="C106" s="350" t="s">
        <v>19</v>
      </c>
      <c r="D106" s="802" t="s">
        <v>1506</v>
      </c>
      <c r="E106" s="803" t="s">
        <v>13</v>
      </c>
      <c r="F106" s="804">
        <v>30</v>
      </c>
      <c r="G106" s="946"/>
      <c r="H106" s="97"/>
      <c r="I106" s="946"/>
      <c r="J106" s="97"/>
      <c r="K106" s="946"/>
    </row>
    <row r="107" spans="1:11" s="224" customFormat="1" ht="15" hidden="1" customHeight="1" x14ac:dyDescent="0.25">
      <c r="A107" s="215">
        <v>43217</v>
      </c>
      <c r="B107" s="349" t="s">
        <v>1887</v>
      </c>
      <c r="C107" s="350" t="s">
        <v>19</v>
      </c>
      <c r="D107" s="802" t="s">
        <v>1506</v>
      </c>
      <c r="E107" s="803" t="s">
        <v>13</v>
      </c>
      <c r="F107" s="804">
        <v>50</v>
      </c>
      <c r="G107" s="946"/>
      <c r="H107" s="97"/>
      <c r="I107" s="946"/>
      <c r="J107" s="97"/>
      <c r="K107" s="946"/>
    </row>
    <row r="108" spans="1:11" s="224" customFormat="1" ht="15" hidden="1" customHeight="1" x14ac:dyDescent="0.25">
      <c r="A108" s="215">
        <v>43217</v>
      </c>
      <c r="B108" s="349" t="s">
        <v>1888</v>
      </c>
      <c r="C108" s="350" t="s">
        <v>19</v>
      </c>
      <c r="D108" s="802" t="s">
        <v>1506</v>
      </c>
      <c r="E108" s="803" t="s">
        <v>13</v>
      </c>
      <c r="F108" s="804">
        <v>14</v>
      </c>
      <c r="G108" s="946"/>
      <c r="H108" s="97"/>
      <c r="I108" s="946"/>
      <c r="J108" s="97"/>
      <c r="K108" s="946"/>
    </row>
    <row r="109" spans="1:11" s="224" customFormat="1" ht="15" hidden="1" customHeight="1" x14ac:dyDescent="0.25">
      <c r="A109" s="215">
        <v>43217</v>
      </c>
      <c r="B109" s="349" t="s">
        <v>1438</v>
      </c>
      <c r="C109" s="350" t="s">
        <v>19</v>
      </c>
      <c r="D109" s="802" t="s">
        <v>1489</v>
      </c>
      <c r="E109" s="803" t="s">
        <v>13</v>
      </c>
      <c r="F109" s="804">
        <v>47.27</v>
      </c>
      <c r="G109" s="946"/>
      <c r="H109" s="97"/>
      <c r="I109" s="946"/>
      <c r="J109" s="97"/>
      <c r="K109" s="946"/>
    </row>
    <row r="110" spans="1:11" s="224" customFormat="1" hidden="1" x14ac:dyDescent="0.25">
      <c r="A110" s="215">
        <v>43217</v>
      </c>
      <c r="B110" s="364" t="s">
        <v>14</v>
      </c>
      <c r="C110" s="350" t="s">
        <v>12</v>
      </c>
      <c r="D110" s="350" t="s">
        <v>1486</v>
      </c>
      <c r="E110" s="480" t="s">
        <v>13</v>
      </c>
      <c r="F110" s="97">
        <v>3.69</v>
      </c>
      <c r="G110" s="946"/>
      <c r="H110" s="97"/>
      <c r="I110" s="946"/>
      <c r="J110" s="97"/>
      <c r="K110" s="946"/>
    </row>
    <row r="111" spans="1:11" s="224" customFormat="1" ht="15" hidden="1" customHeight="1" x14ac:dyDescent="0.25">
      <c r="A111" s="215">
        <v>43218</v>
      </c>
      <c r="B111" s="862" t="s">
        <v>1597</v>
      </c>
      <c r="C111" s="350" t="s">
        <v>12</v>
      </c>
      <c r="D111" s="879" t="s">
        <v>1491</v>
      </c>
      <c r="E111" s="871" t="s">
        <v>15</v>
      </c>
      <c r="F111" s="250">
        <v>50</v>
      </c>
      <c r="G111" s="946"/>
      <c r="H111" s="97"/>
      <c r="I111" s="946"/>
      <c r="J111" s="97"/>
      <c r="K111" s="946"/>
    </row>
    <row r="112" spans="1:11" s="224" customFormat="1" ht="15" hidden="1" customHeight="1" x14ac:dyDescent="0.25">
      <c r="A112" s="215">
        <v>43218</v>
      </c>
      <c r="B112" s="862" t="s">
        <v>1161</v>
      </c>
      <c r="C112" s="350" t="s">
        <v>12</v>
      </c>
      <c r="D112" s="879" t="s">
        <v>1506</v>
      </c>
      <c r="E112" s="871" t="s">
        <v>15</v>
      </c>
      <c r="F112" s="250">
        <v>15</v>
      </c>
      <c r="G112" s="946"/>
      <c r="H112" s="97"/>
      <c r="I112" s="946"/>
      <c r="J112" s="97"/>
      <c r="K112" s="946"/>
    </row>
    <row r="113" spans="1:12" s="224" customFormat="1" ht="15.75" hidden="1" customHeight="1" x14ac:dyDescent="0.25">
      <c r="A113" s="215">
        <v>43219</v>
      </c>
      <c r="B113" s="876" t="s">
        <v>1614</v>
      </c>
      <c r="C113" s="350" t="s">
        <v>12</v>
      </c>
      <c r="D113" s="874" t="s">
        <v>1485</v>
      </c>
      <c r="E113" s="870" t="s">
        <v>13</v>
      </c>
      <c r="F113" s="829">
        <v>34.97</v>
      </c>
      <c r="G113" s="1482"/>
      <c r="H113" s="97"/>
      <c r="I113" s="1473"/>
      <c r="J113" s="97"/>
      <c r="K113" s="1473"/>
    </row>
    <row r="114" spans="1:12" s="224" customFormat="1" ht="15.75" hidden="1" customHeight="1" x14ac:dyDescent="0.25">
      <c r="A114" s="215">
        <v>43219</v>
      </c>
      <c r="B114" s="876" t="s">
        <v>1676</v>
      </c>
      <c r="C114" s="350" t="s">
        <v>12</v>
      </c>
      <c r="D114" s="874" t="s">
        <v>1493</v>
      </c>
      <c r="E114" s="870" t="s">
        <v>13</v>
      </c>
      <c r="F114" s="829">
        <v>10.5</v>
      </c>
      <c r="G114" s="1482"/>
      <c r="H114" s="97"/>
      <c r="I114" s="1473"/>
      <c r="J114" s="97"/>
      <c r="K114" s="1473"/>
    </row>
    <row r="115" spans="1:12" s="224" customFormat="1" ht="15.75" hidden="1" customHeight="1" x14ac:dyDescent="0.25">
      <c r="A115" s="215">
        <v>43219</v>
      </c>
      <c r="B115" s="876" t="s">
        <v>82</v>
      </c>
      <c r="C115" s="350" t="s">
        <v>12</v>
      </c>
      <c r="D115" s="874" t="s">
        <v>1493</v>
      </c>
      <c r="E115" s="870" t="s">
        <v>13</v>
      </c>
      <c r="F115" s="829">
        <v>19.95</v>
      </c>
      <c r="G115" s="1482"/>
      <c r="H115" s="97"/>
      <c r="I115" s="1473"/>
      <c r="J115" s="97"/>
      <c r="K115" s="1473"/>
    </row>
    <row r="116" spans="1:12" s="224" customFormat="1" ht="15" hidden="1" customHeight="1" x14ac:dyDescent="0.25">
      <c r="A116" s="215">
        <v>43220</v>
      </c>
      <c r="B116" s="862" t="s">
        <v>134</v>
      </c>
      <c r="C116" s="879" t="s">
        <v>12</v>
      </c>
      <c r="D116" s="879" t="s">
        <v>1493</v>
      </c>
      <c r="E116" s="871" t="s">
        <v>15</v>
      </c>
      <c r="F116" s="804">
        <v>6</v>
      </c>
      <c r="G116" s="946"/>
      <c r="H116" s="97"/>
      <c r="I116" s="946"/>
      <c r="J116" s="97"/>
      <c r="K116" s="946"/>
    </row>
    <row r="117" spans="1:12" s="224" customFormat="1" hidden="1" x14ac:dyDescent="0.25">
      <c r="A117" s="215">
        <v>43220</v>
      </c>
      <c r="B117" s="862" t="s">
        <v>1666</v>
      </c>
      <c r="C117" s="350" t="s">
        <v>12</v>
      </c>
      <c r="D117" s="350"/>
      <c r="E117" s="757" t="s">
        <v>25</v>
      </c>
      <c r="F117" s="97"/>
      <c r="G117" s="946"/>
      <c r="H117" s="97"/>
      <c r="I117" s="946"/>
      <c r="J117" s="97"/>
      <c r="K117" s="946">
        <v>42.79</v>
      </c>
    </row>
    <row r="118" spans="1:12" s="224" customFormat="1" ht="15" hidden="1" customHeight="1" thickBot="1" x14ac:dyDescent="0.3">
      <c r="A118" s="215">
        <v>43220</v>
      </c>
      <c r="B118" s="862" t="s">
        <v>1710</v>
      </c>
      <c r="C118" s="879" t="s">
        <v>12</v>
      </c>
      <c r="D118" s="879" t="s">
        <v>1504</v>
      </c>
      <c r="E118" s="871" t="s">
        <v>13</v>
      </c>
      <c r="F118" s="804">
        <v>19.899999999999999</v>
      </c>
      <c r="G118" s="946"/>
      <c r="H118" s="97"/>
      <c r="I118" s="946"/>
      <c r="J118" s="97"/>
      <c r="K118" s="946"/>
    </row>
    <row r="119" spans="1:12" ht="25.5" hidden="1" customHeight="1" thickBot="1" x14ac:dyDescent="0.3">
      <c r="A119" s="3060"/>
      <c r="B119" s="3061"/>
      <c r="C119" s="3062"/>
      <c r="D119" s="3062"/>
      <c r="E119" s="3062"/>
      <c r="F119" s="100">
        <f>SUM(F6:F118)</f>
        <v>4322.9000000000005</v>
      </c>
      <c r="G119" s="1065">
        <f>SUM(G5:G118)</f>
        <v>4508.29000000001</v>
      </c>
      <c r="H119" s="101">
        <f>SUM(H6:H118)</f>
        <v>448.01</v>
      </c>
      <c r="I119" s="93">
        <f>SUM(I5:I118)</f>
        <v>2648.0060000000017</v>
      </c>
      <c r="J119" s="774"/>
      <c r="K119" s="1516"/>
      <c r="L119" s="89"/>
    </row>
    <row r="120" spans="1:12" ht="25.5" hidden="1" customHeight="1" thickBot="1" x14ac:dyDescent="0.3">
      <c r="A120" s="3117" t="s">
        <v>49</v>
      </c>
      <c r="B120" s="3118"/>
      <c r="C120" s="3118"/>
      <c r="D120" s="3118"/>
      <c r="E120" s="3118"/>
      <c r="F120" s="144"/>
      <c r="G120" s="519">
        <f>G119-F119</f>
        <v>185.39000000000942</v>
      </c>
      <c r="H120" s="555"/>
      <c r="I120" s="772">
        <f>I119-H119</f>
        <v>2199.9960000000019</v>
      </c>
      <c r="J120" s="773"/>
      <c r="K120" s="775">
        <f>SUM(K5:K119)</f>
        <v>8543.24</v>
      </c>
    </row>
    <row r="121" spans="1:12" x14ac:dyDescent="0.25">
      <c r="G121" s="89"/>
      <c r="J121" s="769"/>
      <c r="K121" s="868"/>
    </row>
    <row r="122" spans="1:12" x14ac:dyDescent="0.25">
      <c r="B122" s="79" t="s">
        <v>32</v>
      </c>
      <c r="C122" s="475">
        <v>365.54</v>
      </c>
      <c r="D122" s="85" t="s">
        <v>1485</v>
      </c>
      <c r="J122" s="769"/>
      <c r="K122" s="866"/>
    </row>
    <row r="123" spans="1:12" x14ac:dyDescent="0.25">
      <c r="B123" s="79" t="s">
        <v>1218</v>
      </c>
      <c r="C123" s="475">
        <v>415.3</v>
      </c>
      <c r="D123" s="85" t="s">
        <v>1487</v>
      </c>
      <c r="J123" s="769"/>
      <c r="K123" s="868"/>
    </row>
    <row r="124" spans="1:12" x14ac:dyDescent="0.25">
      <c r="B124" s="79" t="s">
        <v>50</v>
      </c>
      <c r="C124" s="484">
        <v>128.44999999999999</v>
      </c>
      <c r="D124" s="85" t="s">
        <v>1493</v>
      </c>
      <c r="J124" s="769"/>
      <c r="K124" s="866"/>
    </row>
    <row r="125" spans="1:12" s="85" customFormat="1" x14ac:dyDescent="0.25">
      <c r="A125" s="79"/>
      <c r="B125" s="79" t="s">
        <v>14</v>
      </c>
      <c r="C125" s="484">
        <v>120.49</v>
      </c>
      <c r="D125" s="85" t="s">
        <v>1486</v>
      </c>
      <c r="J125" s="769"/>
      <c r="K125" s="866"/>
    </row>
    <row r="126" spans="1:12" s="85" customFormat="1" x14ac:dyDescent="0.25">
      <c r="A126" s="79"/>
      <c r="B126" s="79" t="s">
        <v>51</v>
      </c>
      <c r="C126" s="475">
        <v>101.84</v>
      </c>
      <c r="D126" s="864" t="s">
        <v>1499</v>
      </c>
      <c r="E126" s="79"/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52</v>
      </c>
      <c r="C127" s="475">
        <v>117.5</v>
      </c>
      <c r="D127" s="864" t="s">
        <v>1496</v>
      </c>
      <c r="F127" s="89"/>
      <c r="G127" s="79"/>
      <c r="H127" s="79"/>
      <c r="I127" s="79"/>
      <c r="J127" s="769"/>
      <c r="K127" s="866"/>
    </row>
    <row r="128" spans="1:12" s="85" customFormat="1" x14ac:dyDescent="0.25">
      <c r="A128" s="79"/>
      <c r="B128" s="867" t="s">
        <v>53</v>
      </c>
      <c r="C128" s="475">
        <v>150.1</v>
      </c>
      <c r="D128" s="864" t="s">
        <v>1522</v>
      </c>
      <c r="E128" s="89"/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1823</v>
      </c>
      <c r="C129" s="475"/>
      <c r="D129" s="864" t="s">
        <v>1515</v>
      </c>
      <c r="F129" s="89"/>
      <c r="G129" s="79"/>
      <c r="H129" s="79"/>
      <c r="I129" s="79"/>
      <c r="J129" s="769"/>
      <c r="K129" s="866"/>
    </row>
    <row r="130" spans="1:11" s="85" customFormat="1" x14ac:dyDescent="0.25">
      <c r="A130" s="79"/>
      <c r="B130" s="79" t="s">
        <v>56</v>
      </c>
      <c r="D130" s="864" t="s">
        <v>1523</v>
      </c>
      <c r="F130" s="89"/>
      <c r="G130" s="79"/>
      <c r="H130" s="79"/>
      <c r="I130" s="79"/>
      <c r="J130" s="769"/>
      <c r="K130" s="868"/>
    </row>
    <row r="131" spans="1:11" s="85" customFormat="1" x14ac:dyDescent="0.25">
      <c r="A131" s="79"/>
      <c r="B131" s="79" t="s">
        <v>1686</v>
      </c>
      <c r="C131" s="475">
        <v>173.35</v>
      </c>
      <c r="D131" s="864" t="s">
        <v>1506</v>
      </c>
      <c r="F131" s="89"/>
      <c r="G131" s="79"/>
      <c r="H131" s="79"/>
      <c r="I131" s="79"/>
      <c r="J131" s="769"/>
      <c r="K131" s="866"/>
    </row>
    <row r="132" spans="1:11" s="85" customFormat="1" x14ac:dyDescent="0.25">
      <c r="A132" s="79"/>
      <c r="B132" s="79" t="s">
        <v>418</v>
      </c>
      <c r="C132" s="475">
        <v>705.38</v>
      </c>
      <c r="D132" s="85" t="s">
        <v>1524</v>
      </c>
      <c r="E132" s="79"/>
      <c r="F132" s="89"/>
      <c r="J132" s="769"/>
      <c r="K132" s="866"/>
    </row>
    <row r="133" spans="1:11" x14ac:dyDescent="0.25">
      <c r="B133" s="79" t="s">
        <v>419</v>
      </c>
      <c r="C133" s="475">
        <v>553.55999999999995</v>
      </c>
      <c r="D133" s="85" t="s">
        <v>1491</v>
      </c>
      <c r="J133" s="769"/>
      <c r="K133" s="868"/>
    </row>
    <row r="134" spans="1:11" x14ac:dyDescent="0.25">
      <c r="B134" s="79" t="s">
        <v>911</v>
      </c>
      <c r="C134" s="475">
        <v>44.38</v>
      </c>
      <c r="D134" s="85" t="s">
        <v>1525</v>
      </c>
      <c r="J134" s="769"/>
      <c r="K134" s="868"/>
    </row>
    <row r="135" spans="1:11" x14ac:dyDescent="0.25">
      <c r="B135" s="79" t="s">
        <v>1526</v>
      </c>
      <c r="C135" s="475">
        <v>145.69999999999999</v>
      </c>
      <c r="D135" s="85" t="s">
        <v>1504</v>
      </c>
      <c r="E135" s="79"/>
      <c r="J135" s="769"/>
      <c r="K135" s="866"/>
    </row>
    <row r="136" spans="1:11" x14ac:dyDescent="0.25">
      <c r="B136" s="79" t="s">
        <v>1527</v>
      </c>
      <c r="C136" s="475">
        <v>658.64</v>
      </c>
      <c r="D136" s="85" t="s">
        <v>1489</v>
      </c>
      <c r="J136" s="769"/>
      <c r="K136" s="868"/>
    </row>
    <row r="137" spans="1:11" x14ac:dyDescent="0.25">
      <c r="J137" s="769"/>
      <c r="K137" s="866"/>
    </row>
    <row r="138" spans="1:11" x14ac:dyDescent="0.25">
      <c r="F138" s="85"/>
      <c r="J138" s="769"/>
      <c r="K138" s="866"/>
    </row>
    <row r="139" spans="1:11" x14ac:dyDescent="0.25">
      <c r="B139" s="79" t="s">
        <v>486</v>
      </c>
      <c r="C139" s="475">
        <f>H139/J139</f>
        <v>122.67433333333332</v>
      </c>
      <c r="F139" s="224" t="s">
        <v>487</v>
      </c>
      <c r="H139" s="216">
        <f>SUM(C122:C136)</f>
        <v>3680.2299999999996</v>
      </c>
      <c r="I139" s="518" t="s">
        <v>488</v>
      </c>
      <c r="J139" s="1517">
        <v>30</v>
      </c>
      <c r="K139" s="866"/>
    </row>
    <row r="140" spans="1:11" x14ac:dyDescent="0.25">
      <c r="J140" s="769"/>
      <c r="K140" s="866"/>
    </row>
    <row r="141" spans="1:11" x14ac:dyDescent="0.25">
      <c r="J141" s="769"/>
      <c r="K141" s="868"/>
    </row>
    <row r="142" spans="1:11" x14ac:dyDescent="0.25">
      <c r="K142" s="866"/>
    </row>
    <row r="143" spans="1:11" x14ac:dyDescent="0.25">
      <c r="D143" s="79"/>
      <c r="E143" s="79"/>
      <c r="J143" s="769"/>
      <c r="K143" s="866"/>
    </row>
    <row r="144" spans="1:11" x14ac:dyDescent="0.25"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6"/>
    </row>
    <row r="149" spans="3:11" x14ac:dyDescent="0.25">
      <c r="C149" s="79"/>
      <c r="D149" s="79"/>
      <c r="E149" s="79"/>
      <c r="F149" s="79"/>
      <c r="G149" s="216"/>
      <c r="I149" s="216"/>
      <c r="J149" s="769"/>
      <c r="K149" s="868"/>
    </row>
    <row r="150" spans="3:11" x14ac:dyDescent="0.25">
      <c r="C150" s="79"/>
      <c r="D150" s="79"/>
      <c r="E150" s="79"/>
      <c r="F150" s="79"/>
      <c r="G150" s="216"/>
      <c r="I150" s="216"/>
      <c r="J150" s="769"/>
      <c r="K150" s="866"/>
    </row>
    <row r="151" spans="3:11" x14ac:dyDescent="0.25">
      <c r="C151" s="79"/>
      <c r="D151" s="79"/>
      <c r="E151" s="79"/>
      <c r="F151" s="79"/>
      <c r="G151" s="216"/>
      <c r="J151" s="770"/>
      <c r="K151" s="866"/>
    </row>
    <row r="152" spans="3:11" x14ac:dyDescent="0.25">
      <c r="C152" s="79"/>
      <c r="D152" s="79"/>
      <c r="E152" s="79"/>
      <c r="F152" s="79"/>
      <c r="I152" s="216"/>
      <c r="J152" s="769"/>
      <c r="K152" s="868"/>
    </row>
    <row r="153" spans="3:11" x14ac:dyDescent="0.25">
      <c r="J153" s="769"/>
      <c r="K153" s="866"/>
    </row>
    <row r="154" spans="3:11" x14ac:dyDescent="0.25">
      <c r="C154" s="79"/>
      <c r="D154" s="79"/>
      <c r="E154" s="79"/>
      <c r="F154" s="79"/>
      <c r="I154" s="629"/>
      <c r="J154" s="769"/>
      <c r="K154" s="866"/>
    </row>
    <row r="155" spans="3:11" x14ac:dyDescent="0.25">
      <c r="J155" s="769"/>
      <c r="K155" s="866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J169" s="769"/>
      <c r="K169" s="866"/>
    </row>
    <row r="170" spans="3:11" x14ac:dyDescent="0.25">
      <c r="J170" s="769"/>
      <c r="K170" s="866"/>
    </row>
    <row r="171" spans="3:11" x14ac:dyDescent="0.25">
      <c r="J171" s="769"/>
      <c r="K171" s="868"/>
    </row>
    <row r="172" spans="3:11" x14ac:dyDescent="0.25">
      <c r="J172" s="769"/>
      <c r="K172" s="866"/>
    </row>
    <row r="173" spans="3:11" x14ac:dyDescent="0.25">
      <c r="J173" s="769"/>
      <c r="K173" s="866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6"/>
    </row>
    <row r="179" spans="3:11" x14ac:dyDescent="0.25">
      <c r="C179" s="79"/>
      <c r="D179" s="79"/>
      <c r="E179" s="79"/>
      <c r="F179" s="79"/>
      <c r="J179" s="223"/>
      <c r="K179" s="629"/>
    </row>
    <row r="180" spans="3:11" x14ac:dyDescent="0.25">
      <c r="C180" s="79"/>
      <c r="D180" s="79"/>
      <c r="E180" s="79"/>
      <c r="F180" s="79"/>
      <c r="J180" s="756"/>
      <c r="K180" s="756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  <c r="J185" s="85"/>
      <c r="K185" s="85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85"/>
      <c r="K192" s="85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  <c r="J199" s="771"/>
      <c r="K199" s="518"/>
    </row>
    <row r="200" spans="3:11" x14ac:dyDescent="0.25">
      <c r="C200" s="79"/>
      <c r="D200" s="79"/>
      <c r="E200" s="79"/>
      <c r="F200" s="79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2" spans="3:11" x14ac:dyDescent="0.25">
      <c r="C212" s="79"/>
      <c r="D212" s="79"/>
      <c r="E212" s="79"/>
      <c r="F212" s="79"/>
      <c r="K212" s="216"/>
    </row>
    <row r="214" spans="3:11" x14ac:dyDescent="0.25">
      <c r="C214" s="79"/>
      <c r="D214" s="79"/>
      <c r="E214" s="79"/>
      <c r="F214" s="79"/>
      <c r="K214" s="629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</sheetData>
  <autoFilter ref="A2:I120" xr:uid="{00000000-0009-0000-0000-000048000000}">
    <filterColumn colId="3">
      <filters>
        <filter val="COM"/>
      </filters>
    </filterColumn>
  </autoFilter>
  <mergeCells count="13">
    <mergeCell ref="M20:N20"/>
    <mergeCell ref="A119:E119"/>
    <mergeCell ref="A120:E12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Plan85" filterMode="1"/>
  <dimension ref="A1:N224"/>
  <sheetViews>
    <sheetView zoomScale="85" zoomScaleNormal="85" workbookViewId="0">
      <pane ySplit="4" topLeftCell="A5" activePane="bottomLeft" state="frozen"/>
      <selection activeCell="C44" sqref="C44"/>
      <selection pane="bottomLeft" activeCell="F9" sqref="A1:O22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1889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hidden="1" x14ac:dyDescent="0.25">
      <c r="A5" s="281">
        <v>43221</v>
      </c>
      <c r="B5" s="369" t="s">
        <v>10</v>
      </c>
      <c r="C5" s="370"/>
      <c r="D5" s="370"/>
      <c r="E5" s="777"/>
      <c r="F5" s="179"/>
      <c r="G5" s="933">
        <f>'Abril-18'!G120</f>
        <v>185.39000000000942</v>
      </c>
      <c r="H5" s="179"/>
      <c r="I5" s="933">
        <f>'Abril-18'!I120</f>
        <v>2199.9960000000019</v>
      </c>
      <c r="J5" s="179"/>
      <c r="K5" s="933">
        <f>'Abril-18'!K120</f>
        <v>8543.24</v>
      </c>
    </row>
    <row r="6" spans="1:11" s="224" customFormat="1" hidden="1" x14ac:dyDescent="0.25">
      <c r="A6" s="215">
        <v>43221</v>
      </c>
      <c r="B6" s="348" t="s">
        <v>11</v>
      </c>
      <c r="C6" s="351"/>
      <c r="D6" s="351"/>
      <c r="E6" s="673"/>
      <c r="F6" s="250">
        <v>8</v>
      </c>
      <c r="G6" s="1473"/>
      <c r="H6" s="250"/>
      <c r="I6" s="1473"/>
      <c r="J6" s="250"/>
      <c r="K6" s="1473"/>
    </row>
    <row r="7" spans="1:11" s="224" customFormat="1" hidden="1" x14ac:dyDescent="0.25">
      <c r="A7" s="215">
        <v>43221</v>
      </c>
      <c r="B7" s="364" t="s">
        <v>14</v>
      </c>
      <c r="C7" s="350" t="s">
        <v>12</v>
      </c>
      <c r="D7" s="350" t="s">
        <v>1486</v>
      </c>
      <c r="E7" s="480" t="s">
        <v>13</v>
      </c>
      <c r="F7" s="97">
        <v>5.0999999999999996</v>
      </c>
      <c r="G7" s="248"/>
      <c r="H7" s="97"/>
      <c r="I7" s="946"/>
      <c r="J7" s="97"/>
      <c r="K7" s="946"/>
    </row>
    <row r="8" spans="1:11" s="224" customFormat="1" hidden="1" x14ac:dyDescent="0.25">
      <c r="A8" s="215">
        <v>43221</v>
      </c>
      <c r="B8" s="364" t="s">
        <v>134</v>
      </c>
      <c r="C8" s="350" t="s">
        <v>12</v>
      </c>
      <c r="D8" s="350" t="s">
        <v>1493</v>
      </c>
      <c r="E8" s="480" t="s">
        <v>15</v>
      </c>
      <c r="F8" s="97">
        <v>8</v>
      </c>
      <c r="G8" s="248"/>
      <c r="H8" s="97"/>
      <c r="I8" s="946"/>
      <c r="J8" s="97"/>
      <c r="K8" s="946"/>
    </row>
    <row r="9" spans="1:11" s="224" customFormat="1" x14ac:dyDescent="0.25">
      <c r="A9" s="215">
        <v>43222</v>
      </c>
      <c r="B9" s="876" t="s">
        <v>32</v>
      </c>
      <c r="C9" s="350" t="s">
        <v>12</v>
      </c>
      <c r="D9" s="874" t="s">
        <v>1485</v>
      </c>
      <c r="E9" s="870" t="s">
        <v>15</v>
      </c>
      <c r="F9" s="829">
        <v>14</v>
      </c>
      <c r="G9" s="1482"/>
      <c r="H9" s="96"/>
      <c r="I9" s="1473"/>
      <c r="J9" s="97"/>
      <c r="K9" s="1473"/>
    </row>
    <row r="10" spans="1:11" s="224" customFormat="1" ht="15" hidden="1" customHeight="1" x14ac:dyDescent="0.25">
      <c r="A10" s="215">
        <v>43222</v>
      </c>
      <c r="B10" s="862" t="s">
        <v>256</v>
      </c>
      <c r="C10" s="879"/>
      <c r="D10" s="879"/>
      <c r="E10" s="871"/>
      <c r="F10" s="97"/>
      <c r="G10" s="1064">
        <v>500</v>
      </c>
      <c r="H10" s="97">
        <v>500</v>
      </c>
      <c r="I10" s="946"/>
      <c r="J10" s="97"/>
      <c r="K10" s="946"/>
    </row>
    <row r="11" spans="1:11" s="224" customFormat="1" hidden="1" x14ac:dyDescent="0.25">
      <c r="A11" s="215">
        <v>43222</v>
      </c>
      <c r="B11" s="862" t="s">
        <v>1890</v>
      </c>
      <c r="C11" s="350" t="s">
        <v>12</v>
      </c>
      <c r="D11" s="879" t="s">
        <v>1524</v>
      </c>
      <c r="E11" s="871" t="s">
        <v>15</v>
      </c>
      <c r="F11" s="626">
        <v>300</v>
      </c>
      <c r="G11" s="248"/>
      <c r="H11" s="97"/>
      <c r="I11" s="946"/>
      <c r="J11" s="97"/>
      <c r="K11" s="946"/>
    </row>
    <row r="12" spans="1:11" s="224" customFormat="1" ht="14.25" hidden="1" customHeight="1" x14ac:dyDescent="0.25">
      <c r="A12" s="215">
        <v>43222</v>
      </c>
      <c r="B12" s="862" t="s">
        <v>1331</v>
      </c>
      <c r="C12" s="350" t="s">
        <v>12</v>
      </c>
      <c r="D12" s="879" t="s">
        <v>1487</v>
      </c>
      <c r="E12" s="871" t="s">
        <v>15</v>
      </c>
      <c r="F12" s="626">
        <v>20</v>
      </c>
      <c r="G12" s="248"/>
      <c r="H12" s="97"/>
      <c r="I12" s="946"/>
      <c r="J12" s="97"/>
      <c r="K12" s="946"/>
    </row>
    <row r="13" spans="1:11" s="224" customFormat="1" ht="15" hidden="1" customHeight="1" x14ac:dyDescent="0.25">
      <c r="A13" s="215">
        <v>43222</v>
      </c>
      <c r="B13" s="364" t="s">
        <v>14</v>
      </c>
      <c r="C13" s="350" t="s">
        <v>12</v>
      </c>
      <c r="D13" s="350" t="s">
        <v>1486</v>
      </c>
      <c r="E13" s="480" t="s">
        <v>13</v>
      </c>
      <c r="F13" s="97">
        <v>6</v>
      </c>
      <c r="G13" s="946"/>
      <c r="H13" s="97"/>
      <c r="I13" s="946"/>
      <c r="J13" s="97"/>
      <c r="K13" s="946"/>
    </row>
    <row r="14" spans="1:11" s="224" customFormat="1" ht="15" hidden="1" customHeight="1" x14ac:dyDescent="0.25">
      <c r="A14" s="215">
        <v>43222</v>
      </c>
      <c r="B14" s="364" t="s">
        <v>1891</v>
      </c>
      <c r="C14" s="350" t="s">
        <v>12</v>
      </c>
      <c r="D14" s="350" t="s">
        <v>1489</v>
      </c>
      <c r="E14" s="480" t="s">
        <v>13</v>
      </c>
      <c r="F14" s="97">
        <v>25</v>
      </c>
      <c r="G14" s="946"/>
      <c r="H14" s="97"/>
      <c r="I14" s="946"/>
      <c r="J14" s="97"/>
      <c r="K14" s="946"/>
    </row>
    <row r="15" spans="1:11" s="224" customFormat="1" x14ac:dyDescent="0.25">
      <c r="A15" s="215">
        <v>43223</v>
      </c>
      <c r="B15" s="876" t="s">
        <v>32</v>
      </c>
      <c r="C15" s="350" t="s">
        <v>12</v>
      </c>
      <c r="D15" s="874" t="s">
        <v>1485</v>
      </c>
      <c r="E15" s="870" t="s">
        <v>15</v>
      </c>
      <c r="F15" s="829">
        <v>14</v>
      </c>
      <c r="G15" s="1482"/>
      <c r="H15" s="96"/>
      <c r="I15" s="1473"/>
      <c r="J15" s="97"/>
      <c r="K15" s="1473"/>
    </row>
    <row r="16" spans="1:11" s="224" customFormat="1" hidden="1" x14ac:dyDescent="0.25">
      <c r="A16" s="215">
        <v>43223</v>
      </c>
      <c r="B16" s="349" t="s">
        <v>1892</v>
      </c>
      <c r="C16" s="350" t="s">
        <v>12</v>
      </c>
      <c r="D16" s="802" t="s">
        <v>1491</v>
      </c>
      <c r="E16" s="778" t="s">
        <v>13</v>
      </c>
      <c r="F16" s="844">
        <v>29</v>
      </c>
      <c r="G16" s="248"/>
      <c r="H16" s="97"/>
      <c r="I16" s="946"/>
      <c r="J16" s="97"/>
      <c r="K16" s="946"/>
    </row>
    <row r="17" spans="1:14" s="224" customFormat="1" ht="14.25" hidden="1" customHeight="1" x14ac:dyDescent="0.25">
      <c r="A17" s="215">
        <v>43223</v>
      </c>
      <c r="B17" s="862" t="s">
        <v>114</v>
      </c>
      <c r="C17" s="350" t="s">
        <v>12</v>
      </c>
      <c r="D17" s="879" t="s">
        <v>1506</v>
      </c>
      <c r="E17" s="871" t="s">
        <v>13</v>
      </c>
      <c r="F17" s="626">
        <v>10.9</v>
      </c>
      <c r="G17" s="248"/>
      <c r="H17" s="97"/>
      <c r="I17" s="946"/>
      <c r="J17" s="97"/>
      <c r="K17" s="946"/>
    </row>
    <row r="18" spans="1:14" s="224" customFormat="1" ht="14.25" hidden="1" customHeight="1" x14ac:dyDescent="0.25">
      <c r="A18" s="215">
        <v>43223</v>
      </c>
      <c r="B18" s="862" t="s">
        <v>249</v>
      </c>
      <c r="C18" s="350" t="s">
        <v>12</v>
      </c>
      <c r="D18" s="879" t="s">
        <v>1493</v>
      </c>
      <c r="E18" s="871" t="s">
        <v>13</v>
      </c>
      <c r="F18" s="626">
        <v>2.5</v>
      </c>
      <c r="G18" s="248"/>
      <c r="H18" s="97"/>
      <c r="I18" s="946"/>
      <c r="J18" s="97"/>
      <c r="K18" s="946"/>
    </row>
    <row r="19" spans="1:14" s="224" customFormat="1" ht="14.25" hidden="1" customHeight="1" x14ac:dyDescent="0.25">
      <c r="A19" s="215">
        <v>43223</v>
      </c>
      <c r="B19" s="862" t="s">
        <v>1331</v>
      </c>
      <c r="C19" s="350" t="s">
        <v>12</v>
      </c>
      <c r="D19" s="879" t="s">
        <v>1487</v>
      </c>
      <c r="E19" s="871" t="s">
        <v>15</v>
      </c>
      <c r="F19" s="626">
        <v>60</v>
      </c>
      <c r="G19" s="248"/>
      <c r="H19" s="97"/>
      <c r="I19" s="946"/>
      <c r="J19" s="97"/>
      <c r="K19" s="946"/>
    </row>
    <row r="20" spans="1:14" s="224" customFormat="1" ht="15" hidden="1" customHeight="1" x14ac:dyDescent="0.25">
      <c r="A20" s="215">
        <v>43224</v>
      </c>
      <c r="B20" s="862" t="s">
        <v>256</v>
      </c>
      <c r="C20" s="879"/>
      <c r="D20" s="879"/>
      <c r="E20" s="871"/>
      <c r="F20" s="97"/>
      <c r="G20" s="1064">
        <v>200</v>
      </c>
      <c r="H20" s="97">
        <v>200</v>
      </c>
      <c r="I20" s="946"/>
      <c r="J20" s="97"/>
      <c r="K20" s="946"/>
    </row>
    <row r="21" spans="1:14" s="224" customFormat="1" ht="15" customHeight="1" x14ac:dyDescent="0.25">
      <c r="A21" s="215">
        <v>43224</v>
      </c>
      <c r="B21" s="876" t="s">
        <v>32</v>
      </c>
      <c r="C21" s="350" t="s">
        <v>12</v>
      </c>
      <c r="D21" s="874" t="s">
        <v>1485</v>
      </c>
      <c r="E21" s="870" t="s">
        <v>13</v>
      </c>
      <c r="F21" s="829">
        <v>14</v>
      </c>
      <c r="G21" s="946"/>
      <c r="H21" s="97"/>
      <c r="I21" s="946"/>
      <c r="J21" s="97"/>
      <c r="K21" s="946"/>
    </row>
    <row r="22" spans="1:14" s="224" customFormat="1" ht="15" hidden="1" customHeight="1" x14ac:dyDescent="0.25">
      <c r="A22" s="215">
        <v>43224</v>
      </c>
      <c r="B22" s="364" t="s">
        <v>14</v>
      </c>
      <c r="C22" s="350" t="s">
        <v>12</v>
      </c>
      <c r="D22" s="350" t="s">
        <v>1486</v>
      </c>
      <c r="E22" s="480" t="s">
        <v>13</v>
      </c>
      <c r="F22" s="97">
        <v>6</v>
      </c>
      <c r="G22" s="946"/>
      <c r="H22" s="97"/>
      <c r="I22" s="946"/>
      <c r="J22" s="97"/>
      <c r="K22" s="946"/>
    </row>
    <row r="23" spans="1:14" s="224" customFormat="1" ht="15" hidden="1" customHeight="1" x14ac:dyDescent="0.25">
      <c r="A23" s="215">
        <v>43225</v>
      </c>
      <c r="B23" s="862" t="s">
        <v>1893</v>
      </c>
      <c r="C23" s="352" t="s">
        <v>12</v>
      </c>
      <c r="D23" s="874" t="s">
        <v>1523</v>
      </c>
      <c r="E23" s="875" t="s">
        <v>13</v>
      </c>
      <c r="F23" s="829">
        <v>23</v>
      </c>
      <c r="G23" s="946"/>
      <c r="H23" s="97"/>
      <c r="I23" s="946"/>
      <c r="J23" s="97"/>
      <c r="K23" s="946"/>
    </row>
    <row r="24" spans="1:14" s="224" customFormat="1" ht="15" hidden="1" customHeight="1" x14ac:dyDescent="0.25">
      <c r="A24" s="215">
        <v>43225</v>
      </c>
      <c r="B24" s="862" t="s">
        <v>1438</v>
      </c>
      <c r="C24" s="352" t="s">
        <v>12</v>
      </c>
      <c r="D24" s="874" t="s">
        <v>1489</v>
      </c>
      <c r="E24" s="875" t="s">
        <v>13</v>
      </c>
      <c r="F24" s="829">
        <v>26.46</v>
      </c>
      <c r="G24" s="946"/>
      <c r="H24" s="97"/>
      <c r="I24" s="946"/>
      <c r="J24" s="97"/>
      <c r="K24" s="946"/>
    </row>
    <row r="25" spans="1:14" s="224" customFormat="1" ht="15" hidden="1" customHeight="1" x14ac:dyDescent="0.25">
      <c r="A25" s="215">
        <v>43226</v>
      </c>
      <c r="B25" s="364" t="s">
        <v>14</v>
      </c>
      <c r="C25" s="350" t="s">
        <v>12</v>
      </c>
      <c r="D25" s="350" t="s">
        <v>1486</v>
      </c>
      <c r="E25" s="480" t="s">
        <v>13</v>
      </c>
      <c r="F25" s="97">
        <v>5.24</v>
      </c>
      <c r="G25" s="946"/>
      <c r="H25" s="97"/>
      <c r="I25" s="946"/>
      <c r="J25" s="97"/>
      <c r="K25" s="946"/>
    </row>
    <row r="26" spans="1:14" s="224" customFormat="1" ht="15" hidden="1" customHeight="1" x14ac:dyDescent="0.25">
      <c r="A26" s="215">
        <v>43226</v>
      </c>
      <c r="B26" s="364" t="s">
        <v>1438</v>
      </c>
      <c r="C26" s="350" t="s">
        <v>12</v>
      </c>
      <c r="D26" s="350" t="s">
        <v>1489</v>
      </c>
      <c r="E26" s="480" t="s">
        <v>13</v>
      </c>
      <c r="F26" s="97">
        <v>11.57</v>
      </c>
      <c r="G26" s="946"/>
      <c r="H26" s="97"/>
      <c r="I26" s="946"/>
      <c r="J26" s="97"/>
      <c r="K26" s="946"/>
    </row>
    <row r="27" spans="1:14" s="224" customFormat="1" hidden="1" x14ac:dyDescent="0.25">
      <c r="A27" s="215">
        <v>43226</v>
      </c>
      <c r="B27" s="364" t="s">
        <v>311</v>
      </c>
      <c r="C27" s="350"/>
      <c r="D27" s="350"/>
      <c r="E27" s="480"/>
      <c r="F27" s="832"/>
      <c r="G27" s="627"/>
      <c r="H27" s="97"/>
      <c r="I27" s="946">
        <v>5.57</v>
      </c>
      <c r="J27" s="97"/>
      <c r="K27" s="946"/>
    </row>
    <row r="28" spans="1:14" s="224" customFormat="1" ht="15.75" hidden="1" customHeight="1" x14ac:dyDescent="0.25">
      <c r="A28" s="215">
        <v>43227</v>
      </c>
      <c r="B28" s="349" t="s">
        <v>1894</v>
      </c>
      <c r="C28" s="879" t="s">
        <v>12</v>
      </c>
      <c r="D28" s="874"/>
      <c r="E28" s="871" t="s">
        <v>25</v>
      </c>
      <c r="F28" s="1514"/>
      <c r="G28" s="1473">
        <v>1744.75</v>
      </c>
      <c r="H28" s="250"/>
      <c r="I28" s="946"/>
      <c r="J28" s="97"/>
      <c r="K28" s="946"/>
    </row>
    <row r="29" spans="1:14" s="224" customFormat="1" hidden="1" x14ac:dyDescent="0.25">
      <c r="A29" s="215">
        <v>43227</v>
      </c>
      <c r="B29" s="862" t="s">
        <v>1895</v>
      </c>
      <c r="C29" s="879" t="s">
        <v>12</v>
      </c>
      <c r="D29" s="879"/>
      <c r="E29" s="871" t="s">
        <v>13</v>
      </c>
      <c r="F29" s="456">
        <v>287</v>
      </c>
      <c r="G29" s="946"/>
      <c r="H29" s="97"/>
      <c r="I29" s="946"/>
      <c r="J29" s="523"/>
      <c r="K29" s="457"/>
      <c r="L29" s="178"/>
      <c r="M29" s="3096"/>
      <c r="N29" s="3096"/>
    </row>
    <row r="30" spans="1:14" hidden="1" x14ac:dyDescent="0.25">
      <c r="A30" s="215">
        <v>43227</v>
      </c>
      <c r="B30" s="862" t="s">
        <v>1532</v>
      </c>
      <c r="C30" s="879" t="s">
        <v>12</v>
      </c>
      <c r="D30" s="879" t="s">
        <v>1504</v>
      </c>
      <c r="E30" s="871" t="s">
        <v>13</v>
      </c>
      <c r="F30" s="523">
        <v>50</v>
      </c>
      <c r="G30" s="946"/>
      <c r="H30" s="97"/>
      <c r="I30" s="946"/>
      <c r="J30" s="97"/>
      <c r="K30" s="1473"/>
    </row>
    <row r="31" spans="1:14" hidden="1" x14ac:dyDescent="0.25">
      <c r="A31" s="215">
        <v>43227</v>
      </c>
      <c r="B31" s="882" t="s">
        <v>1896</v>
      </c>
      <c r="C31" s="879" t="s">
        <v>12</v>
      </c>
      <c r="D31" s="879" t="s">
        <v>1499</v>
      </c>
      <c r="E31" s="871" t="s">
        <v>13</v>
      </c>
      <c r="F31" s="780">
        <v>54.13</v>
      </c>
      <c r="G31" s="982"/>
      <c r="H31" s="622"/>
      <c r="I31" s="982"/>
      <c r="J31" s="780"/>
      <c r="K31" s="614"/>
    </row>
    <row r="32" spans="1:14" hidden="1" x14ac:dyDescent="0.25">
      <c r="A32" s="215">
        <v>43227</v>
      </c>
      <c r="B32" s="862" t="s">
        <v>52</v>
      </c>
      <c r="C32" s="879" t="s">
        <v>12</v>
      </c>
      <c r="D32" s="879" t="s">
        <v>1496</v>
      </c>
      <c r="E32" s="871" t="s">
        <v>13</v>
      </c>
      <c r="F32" s="523">
        <v>60</v>
      </c>
      <c r="G32" s="1064"/>
      <c r="H32" s="97"/>
      <c r="I32" s="946"/>
      <c r="J32" s="97"/>
      <c r="K32" s="946"/>
    </row>
    <row r="33" spans="1:11" s="224" customFormat="1" hidden="1" x14ac:dyDescent="0.25">
      <c r="A33" s="215">
        <v>43227</v>
      </c>
      <c r="B33" s="862" t="s">
        <v>1897</v>
      </c>
      <c r="C33" s="352" t="s">
        <v>12</v>
      </c>
      <c r="D33" s="874" t="s">
        <v>1489</v>
      </c>
      <c r="E33" s="875" t="s">
        <v>15</v>
      </c>
      <c r="F33" s="829">
        <v>65</v>
      </c>
      <c r="G33" s="946"/>
      <c r="H33" s="97"/>
      <c r="I33" s="946"/>
      <c r="J33" s="97"/>
      <c r="K33" s="946"/>
    </row>
    <row r="34" spans="1:11" s="224" customFormat="1" ht="15" hidden="1" customHeight="1" x14ac:dyDescent="0.25">
      <c r="A34" s="215">
        <v>43227</v>
      </c>
      <c r="B34" s="349" t="s">
        <v>260</v>
      </c>
      <c r="C34" s="350"/>
      <c r="D34" s="350"/>
      <c r="E34" s="480"/>
      <c r="F34" s="523">
        <v>700</v>
      </c>
      <c r="G34" s="1064"/>
      <c r="H34" s="97"/>
      <c r="I34" s="946">
        <v>700</v>
      </c>
      <c r="J34" s="97"/>
      <c r="K34" s="946"/>
    </row>
    <row r="35" spans="1:11" s="224" customFormat="1" ht="15" customHeight="1" x14ac:dyDescent="0.25">
      <c r="A35" s="215">
        <v>43227</v>
      </c>
      <c r="B35" s="876" t="s">
        <v>32</v>
      </c>
      <c r="C35" s="350" t="s">
        <v>12</v>
      </c>
      <c r="D35" s="874" t="s">
        <v>1485</v>
      </c>
      <c r="E35" s="870" t="s">
        <v>13</v>
      </c>
      <c r="F35" s="829">
        <v>14</v>
      </c>
      <c r="G35" s="946"/>
      <c r="H35" s="97"/>
      <c r="I35" s="946"/>
      <c r="J35" s="97"/>
      <c r="K35" s="946"/>
    </row>
    <row r="36" spans="1:11" s="224" customFormat="1" ht="15" hidden="1" customHeight="1" x14ac:dyDescent="0.25">
      <c r="A36" s="215">
        <v>43227</v>
      </c>
      <c r="B36" s="364" t="s">
        <v>14</v>
      </c>
      <c r="C36" s="350" t="s">
        <v>12</v>
      </c>
      <c r="D36" s="350" t="s">
        <v>1486</v>
      </c>
      <c r="E36" s="480" t="s">
        <v>13</v>
      </c>
      <c r="F36" s="97">
        <v>5.24</v>
      </c>
      <c r="G36" s="946"/>
      <c r="H36" s="97"/>
      <c r="I36" s="946"/>
      <c r="J36" s="97"/>
      <c r="K36" s="946"/>
    </row>
    <row r="37" spans="1:11" s="224" customFormat="1" hidden="1" x14ac:dyDescent="0.25">
      <c r="A37" s="215">
        <v>43227</v>
      </c>
      <c r="B37" s="862" t="s">
        <v>1881</v>
      </c>
      <c r="C37" s="350" t="s">
        <v>12</v>
      </c>
      <c r="D37" s="874" t="s">
        <v>1491</v>
      </c>
      <c r="E37" s="875" t="s">
        <v>15</v>
      </c>
      <c r="F37" s="626">
        <v>70</v>
      </c>
      <c r="G37" s="946"/>
      <c r="H37" s="97"/>
      <c r="I37" s="946"/>
      <c r="J37" s="97"/>
      <c r="K37" s="946"/>
    </row>
    <row r="38" spans="1:11" s="224" customFormat="1" x14ac:dyDescent="0.25">
      <c r="A38" s="215">
        <v>43228</v>
      </c>
      <c r="B38" s="876" t="s">
        <v>32</v>
      </c>
      <c r="C38" s="350" t="s">
        <v>12</v>
      </c>
      <c r="D38" s="874" t="s">
        <v>1485</v>
      </c>
      <c r="E38" s="870" t="s">
        <v>15</v>
      </c>
      <c r="F38" s="829">
        <v>14</v>
      </c>
      <c r="G38" s="248"/>
      <c r="H38" s="97"/>
      <c r="I38" s="946"/>
      <c r="J38" s="97"/>
      <c r="K38" s="946"/>
    </row>
    <row r="39" spans="1:11" s="224" customFormat="1" ht="14.25" hidden="1" customHeight="1" x14ac:dyDescent="0.25">
      <c r="A39" s="215">
        <v>43228</v>
      </c>
      <c r="B39" s="862" t="s">
        <v>138</v>
      </c>
      <c r="C39" s="350" t="s">
        <v>12</v>
      </c>
      <c r="D39" s="879" t="s">
        <v>1487</v>
      </c>
      <c r="E39" s="871" t="s">
        <v>15</v>
      </c>
      <c r="F39" s="626">
        <v>70</v>
      </c>
      <c r="G39" s="248"/>
      <c r="H39" s="97"/>
      <c r="I39" s="946"/>
      <c r="J39" s="97"/>
      <c r="K39" s="946"/>
    </row>
    <row r="40" spans="1:11" s="224" customFormat="1" ht="15" hidden="1" customHeight="1" x14ac:dyDescent="0.25">
      <c r="A40" s="215">
        <v>43228</v>
      </c>
      <c r="B40" s="364" t="s">
        <v>14</v>
      </c>
      <c r="C40" s="350" t="s">
        <v>12</v>
      </c>
      <c r="D40" s="350" t="s">
        <v>1486</v>
      </c>
      <c r="E40" s="480" t="s">
        <v>13</v>
      </c>
      <c r="F40" s="97">
        <v>4</v>
      </c>
      <c r="G40" s="946"/>
      <c r="H40" s="97"/>
      <c r="I40" s="946"/>
      <c r="J40" s="97"/>
      <c r="K40" s="946"/>
    </row>
    <row r="41" spans="1:11" s="224" customFormat="1" ht="15" hidden="1" customHeight="1" x14ac:dyDescent="0.25">
      <c r="A41" s="215">
        <v>43229</v>
      </c>
      <c r="B41" s="364" t="s">
        <v>14</v>
      </c>
      <c r="C41" s="350" t="s">
        <v>12</v>
      </c>
      <c r="D41" s="350" t="s">
        <v>1486</v>
      </c>
      <c r="E41" s="480" t="s">
        <v>15</v>
      </c>
      <c r="F41" s="97">
        <v>10</v>
      </c>
      <c r="G41" s="946"/>
      <c r="H41" s="97"/>
      <c r="I41" s="946"/>
      <c r="J41" s="97"/>
      <c r="K41" s="946"/>
    </row>
    <row r="42" spans="1:11" s="224" customFormat="1" x14ac:dyDescent="0.25">
      <c r="A42" s="215">
        <v>43230</v>
      </c>
      <c r="B42" s="876" t="s">
        <v>32</v>
      </c>
      <c r="C42" s="350" t="s">
        <v>12</v>
      </c>
      <c r="D42" s="874" t="s">
        <v>1485</v>
      </c>
      <c r="E42" s="870" t="s">
        <v>13</v>
      </c>
      <c r="F42" s="829">
        <v>14</v>
      </c>
      <c r="G42" s="248"/>
      <c r="H42" s="97"/>
      <c r="I42" s="946"/>
      <c r="J42" s="97"/>
      <c r="K42" s="946"/>
    </row>
    <row r="43" spans="1:11" ht="15" hidden="1" customHeight="1" x14ac:dyDescent="0.25">
      <c r="A43" s="215">
        <v>43230</v>
      </c>
      <c r="B43" s="364" t="s">
        <v>14</v>
      </c>
      <c r="C43" s="350" t="s">
        <v>12</v>
      </c>
      <c r="D43" s="350" t="s">
        <v>1486</v>
      </c>
      <c r="E43" s="480" t="s">
        <v>13</v>
      </c>
      <c r="F43" s="97">
        <v>7.12</v>
      </c>
      <c r="G43" s="946"/>
      <c r="H43" s="97"/>
      <c r="I43" s="946"/>
      <c r="J43" s="97"/>
      <c r="K43" s="946"/>
    </row>
    <row r="44" spans="1:11" ht="15" hidden="1" customHeight="1" x14ac:dyDescent="0.25">
      <c r="A44" s="215">
        <v>43200</v>
      </c>
      <c r="B44" s="349" t="s">
        <v>1396</v>
      </c>
      <c r="C44" s="350" t="s">
        <v>12</v>
      </c>
      <c r="D44" s="350"/>
      <c r="E44" s="757" t="s">
        <v>25</v>
      </c>
      <c r="F44" s="97"/>
      <c r="G44" s="946">
        <v>40</v>
      </c>
      <c r="H44" s="97"/>
      <c r="I44" s="946"/>
      <c r="J44" s="97"/>
      <c r="K44" s="946"/>
    </row>
    <row r="45" spans="1:11" s="224" customFormat="1" ht="14.25" hidden="1" customHeight="1" x14ac:dyDescent="0.25">
      <c r="A45" s="215">
        <v>43231</v>
      </c>
      <c r="B45" s="862" t="s">
        <v>1331</v>
      </c>
      <c r="C45" s="350" t="s">
        <v>12</v>
      </c>
      <c r="D45" s="879" t="s">
        <v>1487</v>
      </c>
      <c r="E45" s="871" t="s">
        <v>15</v>
      </c>
      <c r="F45" s="626">
        <v>20</v>
      </c>
      <c r="G45" s="248"/>
      <c r="H45" s="97"/>
      <c r="I45" s="946"/>
      <c r="J45" s="97"/>
      <c r="K45" s="946"/>
    </row>
    <row r="46" spans="1:11" s="224" customFormat="1" hidden="1" x14ac:dyDescent="0.25">
      <c r="A46" s="215">
        <v>43231</v>
      </c>
      <c r="B46" s="862" t="s">
        <v>17</v>
      </c>
      <c r="C46" s="352" t="s">
        <v>12</v>
      </c>
      <c r="D46" s="874" t="s">
        <v>1493</v>
      </c>
      <c r="E46" s="875" t="s">
        <v>13</v>
      </c>
      <c r="F46" s="829">
        <v>4.5</v>
      </c>
      <c r="G46" s="946"/>
      <c r="H46" s="97"/>
      <c r="I46" s="946"/>
      <c r="J46" s="97"/>
      <c r="K46" s="946"/>
    </row>
    <row r="47" spans="1:11" s="224" customFormat="1" ht="15" hidden="1" customHeight="1" x14ac:dyDescent="0.25">
      <c r="A47" s="215">
        <v>43231</v>
      </c>
      <c r="B47" s="364" t="s">
        <v>14</v>
      </c>
      <c r="C47" s="350" t="s">
        <v>12</v>
      </c>
      <c r="D47" s="350" t="s">
        <v>1486</v>
      </c>
      <c r="E47" s="480" t="s">
        <v>13</v>
      </c>
      <c r="F47" s="97">
        <v>12</v>
      </c>
      <c r="G47" s="946"/>
      <c r="H47" s="97"/>
      <c r="I47" s="946"/>
      <c r="J47" s="97"/>
      <c r="K47" s="946"/>
    </row>
    <row r="48" spans="1:11" s="224" customFormat="1" x14ac:dyDescent="0.25">
      <c r="A48" s="215">
        <v>43232</v>
      </c>
      <c r="B48" s="876" t="s">
        <v>32</v>
      </c>
      <c r="C48" s="350" t="s">
        <v>12</v>
      </c>
      <c r="D48" s="874" t="s">
        <v>1485</v>
      </c>
      <c r="E48" s="870" t="s">
        <v>13</v>
      </c>
      <c r="F48" s="829">
        <v>20</v>
      </c>
      <c r="G48" s="248"/>
      <c r="H48" s="97"/>
      <c r="I48" s="946"/>
      <c r="J48" s="97"/>
      <c r="K48" s="946"/>
    </row>
    <row r="49" spans="1:11" s="224" customFormat="1" ht="14.25" hidden="1" customHeight="1" x14ac:dyDescent="0.25">
      <c r="A49" s="215">
        <v>43232</v>
      </c>
      <c r="B49" s="862" t="s">
        <v>134</v>
      </c>
      <c r="C49" s="350" t="s">
        <v>12</v>
      </c>
      <c r="D49" s="879" t="s">
        <v>1493</v>
      </c>
      <c r="E49" s="871" t="s">
        <v>13</v>
      </c>
      <c r="F49" s="626">
        <v>10.69</v>
      </c>
      <c r="G49" s="248"/>
      <c r="H49" s="97"/>
      <c r="I49" s="946"/>
      <c r="J49" s="97"/>
      <c r="K49" s="946"/>
    </row>
    <row r="50" spans="1:11" s="224" customFormat="1" hidden="1" x14ac:dyDescent="0.25">
      <c r="A50" s="215">
        <v>43232</v>
      </c>
      <c r="B50" s="862" t="s">
        <v>81</v>
      </c>
      <c r="C50" s="352" t="s">
        <v>12</v>
      </c>
      <c r="D50" s="874" t="s">
        <v>1493</v>
      </c>
      <c r="E50" s="875" t="s">
        <v>13</v>
      </c>
      <c r="F50" s="829">
        <v>15.23</v>
      </c>
      <c r="G50" s="946"/>
      <c r="H50" s="97"/>
      <c r="I50" s="946"/>
      <c r="J50" s="97"/>
      <c r="K50" s="946"/>
    </row>
    <row r="51" spans="1:11" s="224" customFormat="1" hidden="1" x14ac:dyDescent="0.25">
      <c r="A51" s="215">
        <v>43233</v>
      </c>
      <c r="B51" s="862" t="s">
        <v>1898</v>
      </c>
      <c r="C51" s="350" t="s">
        <v>12</v>
      </c>
      <c r="D51" s="879" t="s">
        <v>1489</v>
      </c>
      <c r="E51" s="871" t="s">
        <v>13</v>
      </c>
      <c r="F51" s="626">
        <v>30</v>
      </c>
      <c r="G51" s="248"/>
      <c r="H51" s="97"/>
      <c r="I51" s="946"/>
      <c r="J51" s="97"/>
      <c r="K51" s="946"/>
    </row>
    <row r="52" spans="1:11" s="224" customFormat="1" hidden="1" x14ac:dyDescent="0.25">
      <c r="A52" s="215">
        <v>43233</v>
      </c>
      <c r="B52" s="862" t="s">
        <v>1438</v>
      </c>
      <c r="C52" s="350" t="s">
        <v>19</v>
      </c>
      <c r="D52" s="879" t="s">
        <v>1489</v>
      </c>
      <c r="E52" s="871" t="s">
        <v>13</v>
      </c>
      <c r="F52" s="626">
        <v>44</v>
      </c>
      <c r="G52" s="248"/>
      <c r="H52" s="97"/>
      <c r="I52" s="946"/>
      <c r="J52" s="97"/>
      <c r="K52" s="946"/>
    </row>
    <row r="53" spans="1:11" s="224" customFormat="1" ht="14.25" hidden="1" customHeight="1" x14ac:dyDescent="0.25">
      <c r="A53" s="215">
        <v>43233</v>
      </c>
      <c r="B53" s="862" t="s">
        <v>1331</v>
      </c>
      <c r="C53" s="350" t="s">
        <v>12</v>
      </c>
      <c r="D53" s="879" t="s">
        <v>1487</v>
      </c>
      <c r="E53" s="871" t="s">
        <v>13</v>
      </c>
      <c r="F53" s="626">
        <v>80</v>
      </c>
      <c r="G53" s="248"/>
      <c r="H53" s="97"/>
      <c r="I53" s="946"/>
      <c r="J53" s="97"/>
      <c r="K53" s="946"/>
    </row>
    <row r="54" spans="1:11" s="224" customFormat="1" ht="15" hidden="1" customHeight="1" x14ac:dyDescent="0.25">
      <c r="A54" s="215">
        <v>43233</v>
      </c>
      <c r="B54" s="364" t="s">
        <v>14</v>
      </c>
      <c r="C54" s="350" t="s">
        <v>12</v>
      </c>
      <c r="D54" s="350" t="s">
        <v>1486</v>
      </c>
      <c r="E54" s="480" t="s">
        <v>13</v>
      </c>
      <c r="F54" s="97">
        <v>2</v>
      </c>
      <c r="G54" s="946"/>
      <c r="H54" s="97"/>
      <c r="I54" s="946"/>
      <c r="J54" s="97"/>
      <c r="K54" s="946"/>
    </row>
    <row r="55" spans="1:11" s="224" customFormat="1" x14ac:dyDescent="0.25">
      <c r="A55" s="215">
        <v>43234</v>
      </c>
      <c r="B55" s="876" t="s">
        <v>32</v>
      </c>
      <c r="C55" s="350" t="s">
        <v>12</v>
      </c>
      <c r="D55" s="874" t="s">
        <v>1485</v>
      </c>
      <c r="E55" s="870" t="s">
        <v>13</v>
      </c>
      <c r="F55" s="831">
        <v>14</v>
      </c>
      <c r="G55" s="248"/>
      <c r="H55" s="97"/>
      <c r="I55" s="946"/>
      <c r="J55" s="97"/>
      <c r="K55" s="946"/>
    </row>
    <row r="56" spans="1:11" s="224" customFormat="1" hidden="1" x14ac:dyDescent="0.25">
      <c r="A56" s="215">
        <v>43234</v>
      </c>
      <c r="B56" s="862" t="s">
        <v>1899</v>
      </c>
      <c r="C56" s="350" t="s">
        <v>12</v>
      </c>
      <c r="D56" s="879" t="s">
        <v>1522</v>
      </c>
      <c r="E56" s="871" t="s">
        <v>13</v>
      </c>
      <c r="F56" s="827">
        <v>85</v>
      </c>
      <c r="G56" s="248"/>
      <c r="H56" s="97"/>
      <c r="I56" s="946"/>
      <c r="J56" s="97"/>
      <c r="K56" s="946"/>
    </row>
    <row r="57" spans="1:11" s="224" customFormat="1" hidden="1" x14ac:dyDescent="0.25">
      <c r="A57" s="215">
        <v>43234</v>
      </c>
      <c r="B57" s="862" t="s">
        <v>147</v>
      </c>
      <c r="C57" s="350" t="s">
        <v>12</v>
      </c>
      <c r="D57" s="879" t="s">
        <v>1506</v>
      </c>
      <c r="E57" s="871" t="s">
        <v>15</v>
      </c>
      <c r="F57" s="827">
        <v>10</v>
      </c>
      <c r="G57" s="248"/>
      <c r="H57" s="97"/>
      <c r="I57" s="946"/>
      <c r="J57" s="97"/>
      <c r="K57" s="946"/>
    </row>
    <row r="58" spans="1:11" s="224" customFormat="1" x14ac:dyDescent="0.25">
      <c r="A58" s="215">
        <v>43235</v>
      </c>
      <c r="B58" s="876" t="s">
        <v>32</v>
      </c>
      <c r="C58" s="350" t="s">
        <v>12</v>
      </c>
      <c r="D58" s="874" t="s">
        <v>1485</v>
      </c>
      <c r="E58" s="870" t="s">
        <v>13</v>
      </c>
      <c r="F58" s="831">
        <v>14</v>
      </c>
      <c r="G58" s="248"/>
      <c r="H58" s="97"/>
      <c r="I58" s="946"/>
      <c r="J58" s="97"/>
      <c r="K58" s="946"/>
    </row>
    <row r="59" spans="1:11" s="224" customFormat="1" ht="15" hidden="1" customHeight="1" x14ac:dyDescent="0.25">
      <c r="A59" s="215">
        <v>43235</v>
      </c>
      <c r="B59" s="873" t="s">
        <v>1554</v>
      </c>
      <c r="C59" s="879" t="s">
        <v>19</v>
      </c>
      <c r="D59" s="879" t="s">
        <v>1491</v>
      </c>
      <c r="E59" s="871" t="s">
        <v>13</v>
      </c>
      <c r="F59" s="780">
        <v>68.150000000000006</v>
      </c>
      <c r="G59" s="982"/>
      <c r="H59" s="97"/>
      <c r="I59" s="946"/>
      <c r="J59" s="97"/>
      <c r="K59" s="946"/>
    </row>
    <row r="60" spans="1:11" s="224" customFormat="1" hidden="1" x14ac:dyDescent="0.25">
      <c r="A60" s="215">
        <v>43235</v>
      </c>
      <c r="B60" s="862" t="s">
        <v>1597</v>
      </c>
      <c r="C60" s="350" t="s">
        <v>12</v>
      </c>
      <c r="D60" s="879" t="s">
        <v>1491</v>
      </c>
      <c r="E60" s="871" t="s">
        <v>15</v>
      </c>
      <c r="F60" s="622">
        <v>50</v>
      </c>
      <c r="G60" s="248"/>
      <c r="H60" s="97"/>
      <c r="I60" s="946"/>
      <c r="J60" s="97"/>
      <c r="K60" s="946"/>
    </row>
    <row r="61" spans="1:11" s="224" customFormat="1" x14ac:dyDescent="0.25">
      <c r="A61" s="215">
        <v>43236</v>
      </c>
      <c r="B61" s="876" t="s">
        <v>32</v>
      </c>
      <c r="C61" s="350" t="s">
        <v>12</v>
      </c>
      <c r="D61" s="874" t="s">
        <v>1485</v>
      </c>
      <c r="E61" s="870" t="s">
        <v>13</v>
      </c>
      <c r="F61" s="831">
        <v>14</v>
      </c>
      <c r="G61" s="248"/>
      <c r="H61" s="97"/>
      <c r="I61" s="946"/>
      <c r="J61" s="97"/>
      <c r="K61" s="946"/>
    </row>
    <row r="62" spans="1:11" s="224" customFormat="1" hidden="1" x14ac:dyDescent="0.25">
      <c r="A62" s="215">
        <v>43236</v>
      </c>
      <c r="B62" s="364" t="s">
        <v>14</v>
      </c>
      <c r="C62" s="350" t="s">
        <v>12</v>
      </c>
      <c r="D62" s="350" t="s">
        <v>1486</v>
      </c>
      <c r="E62" s="480" t="s">
        <v>13</v>
      </c>
      <c r="F62" s="622">
        <v>7.4</v>
      </c>
      <c r="G62" s="248"/>
      <c r="H62" s="97"/>
      <c r="I62" s="946"/>
      <c r="J62" s="97"/>
      <c r="K62" s="946"/>
    </row>
    <row r="63" spans="1:11" s="224" customFormat="1" x14ac:dyDescent="0.25">
      <c r="A63" s="215">
        <v>43237</v>
      </c>
      <c r="B63" s="876" t="s">
        <v>32</v>
      </c>
      <c r="C63" s="350" t="s">
        <v>12</v>
      </c>
      <c r="D63" s="874" t="s">
        <v>1485</v>
      </c>
      <c r="E63" s="870" t="s">
        <v>13</v>
      </c>
      <c r="F63" s="831">
        <v>14</v>
      </c>
      <c r="G63" s="248"/>
      <c r="H63" s="97"/>
      <c r="I63" s="946"/>
      <c r="J63" s="97"/>
      <c r="K63" s="946"/>
    </row>
    <row r="64" spans="1:11" s="224" customFormat="1" hidden="1" x14ac:dyDescent="0.25">
      <c r="A64" s="215">
        <v>43237</v>
      </c>
      <c r="B64" s="876" t="s">
        <v>521</v>
      </c>
      <c r="C64" s="350" t="s">
        <v>12</v>
      </c>
      <c r="D64" s="874" t="s">
        <v>1489</v>
      </c>
      <c r="E64" s="870" t="s">
        <v>13</v>
      </c>
      <c r="F64" s="831">
        <v>8.89</v>
      </c>
      <c r="G64" s="248"/>
      <c r="H64" s="97"/>
      <c r="I64" s="946"/>
      <c r="J64" s="97"/>
      <c r="K64" s="946"/>
    </row>
    <row r="65" spans="1:11" s="224" customFormat="1" ht="15" hidden="1" customHeight="1" x14ac:dyDescent="0.25">
      <c r="A65" s="215">
        <v>43238</v>
      </c>
      <c r="B65" s="364" t="s">
        <v>14</v>
      </c>
      <c r="C65" s="350" t="s">
        <v>12</v>
      </c>
      <c r="D65" s="350" t="s">
        <v>1486</v>
      </c>
      <c r="E65" s="480" t="s">
        <v>13</v>
      </c>
      <c r="F65" s="622">
        <v>4.54</v>
      </c>
      <c r="G65" s="982"/>
      <c r="H65" s="97"/>
      <c r="I65" s="946"/>
      <c r="J65" s="97"/>
      <c r="K65" s="946"/>
    </row>
    <row r="66" spans="1:11" s="224" customFormat="1" x14ac:dyDescent="0.25">
      <c r="A66" s="215">
        <v>43238</v>
      </c>
      <c r="B66" s="876" t="s">
        <v>32</v>
      </c>
      <c r="C66" s="350" t="s">
        <v>12</v>
      </c>
      <c r="D66" s="874" t="s">
        <v>1485</v>
      </c>
      <c r="E66" s="870" t="s">
        <v>13</v>
      </c>
      <c r="F66" s="831">
        <v>14</v>
      </c>
      <c r="G66" s="982"/>
      <c r="H66" s="97"/>
      <c r="I66" s="946"/>
      <c r="J66" s="97"/>
      <c r="K66" s="946"/>
    </row>
    <row r="67" spans="1:11" s="224" customFormat="1" hidden="1" x14ac:dyDescent="0.25">
      <c r="A67" s="215">
        <v>43238</v>
      </c>
      <c r="B67" s="876" t="s">
        <v>249</v>
      </c>
      <c r="C67" s="350" t="s">
        <v>12</v>
      </c>
      <c r="D67" s="874" t="s">
        <v>1493</v>
      </c>
      <c r="E67" s="870" t="s">
        <v>13</v>
      </c>
      <c r="F67" s="831">
        <v>3.5</v>
      </c>
      <c r="G67" s="982"/>
      <c r="H67" s="97"/>
      <c r="I67" s="946"/>
      <c r="J67" s="97"/>
      <c r="K67" s="946"/>
    </row>
    <row r="68" spans="1:11" hidden="1" x14ac:dyDescent="0.25">
      <c r="A68" s="215">
        <v>43238</v>
      </c>
      <c r="B68" s="882" t="s">
        <v>1900</v>
      </c>
      <c r="C68" s="350" t="s">
        <v>12</v>
      </c>
      <c r="D68" s="145"/>
      <c r="E68" s="145" t="s">
        <v>25</v>
      </c>
      <c r="F68" s="1514"/>
      <c r="G68" s="946">
        <v>1600</v>
      </c>
      <c r="H68" s="97"/>
      <c r="I68" s="946"/>
      <c r="J68" s="97"/>
      <c r="K68" s="946"/>
    </row>
    <row r="69" spans="1:11" s="224" customFormat="1" ht="15.75" hidden="1" customHeight="1" x14ac:dyDescent="0.25">
      <c r="A69" s="215">
        <v>43238</v>
      </c>
      <c r="B69" s="882" t="s">
        <v>1901</v>
      </c>
      <c r="C69" s="879" t="s">
        <v>12</v>
      </c>
      <c r="D69" s="879" t="s">
        <v>1499</v>
      </c>
      <c r="E69" s="871" t="s">
        <v>13</v>
      </c>
      <c r="F69" s="97">
        <v>49.51</v>
      </c>
      <c r="G69" s="1473"/>
      <c r="H69" s="250"/>
      <c r="I69" s="946"/>
      <c r="J69" s="97"/>
      <c r="K69" s="946"/>
    </row>
    <row r="70" spans="1:11" s="224" customFormat="1" hidden="1" x14ac:dyDescent="0.25">
      <c r="A70" s="215">
        <v>43238</v>
      </c>
      <c r="B70" s="873" t="s">
        <v>1564</v>
      </c>
      <c r="C70" s="879" t="s">
        <v>12</v>
      </c>
      <c r="D70" s="350" t="s">
        <v>1491</v>
      </c>
      <c r="E70" s="871" t="s">
        <v>15</v>
      </c>
      <c r="F70" s="97">
        <v>140</v>
      </c>
      <c r="G70" s="946"/>
      <c r="H70" s="97"/>
      <c r="I70" s="946"/>
      <c r="J70" s="97"/>
      <c r="K70" s="946"/>
    </row>
    <row r="71" spans="1:11" s="224" customFormat="1" ht="15" hidden="1" customHeight="1" x14ac:dyDescent="0.25">
      <c r="A71" s="215">
        <v>43238</v>
      </c>
      <c r="B71" s="349" t="s">
        <v>1902</v>
      </c>
      <c r="C71" s="350" t="s">
        <v>12</v>
      </c>
      <c r="D71" s="350" t="s">
        <v>1496</v>
      </c>
      <c r="E71" s="480" t="s">
        <v>15</v>
      </c>
      <c r="F71" s="523">
        <v>39</v>
      </c>
      <c r="G71" s="1064"/>
      <c r="H71" s="97"/>
      <c r="I71" s="946"/>
      <c r="J71" s="97"/>
      <c r="K71" s="946"/>
    </row>
    <row r="72" spans="1:11" s="224" customFormat="1" ht="15" hidden="1" customHeight="1" x14ac:dyDescent="0.25">
      <c r="A72" s="215">
        <v>43238</v>
      </c>
      <c r="B72" s="862" t="s">
        <v>256</v>
      </c>
      <c r="C72" s="879"/>
      <c r="D72" s="879"/>
      <c r="E72" s="871"/>
      <c r="F72" s="97"/>
      <c r="G72" s="1064">
        <v>85.57</v>
      </c>
      <c r="H72" s="97">
        <v>85.57</v>
      </c>
      <c r="I72" s="946"/>
      <c r="J72" s="97"/>
      <c r="K72" s="946"/>
    </row>
    <row r="73" spans="1:11" s="224" customFormat="1" ht="15" hidden="1" customHeight="1" x14ac:dyDescent="0.25">
      <c r="A73" s="215">
        <v>43238</v>
      </c>
      <c r="B73" s="349" t="s">
        <v>260</v>
      </c>
      <c r="C73" s="350"/>
      <c r="D73" s="350"/>
      <c r="E73" s="480"/>
      <c r="F73" s="523">
        <v>700</v>
      </c>
      <c r="G73" s="1064"/>
      <c r="H73" s="97"/>
      <c r="I73" s="946">
        <v>700</v>
      </c>
      <c r="J73" s="97"/>
      <c r="K73" s="946"/>
    </row>
    <row r="74" spans="1:11" s="224" customFormat="1" ht="15" hidden="1" customHeight="1" x14ac:dyDescent="0.25">
      <c r="A74" s="215">
        <v>43238</v>
      </c>
      <c r="B74" s="364" t="s">
        <v>14</v>
      </c>
      <c r="C74" s="350" t="s">
        <v>12</v>
      </c>
      <c r="D74" s="350" t="s">
        <v>1486</v>
      </c>
      <c r="E74" s="480" t="s">
        <v>13</v>
      </c>
      <c r="F74" s="622">
        <v>2.97</v>
      </c>
      <c r="G74" s="982"/>
      <c r="H74" s="97"/>
      <c r="I74" s="946"/>
      <c r="J74" s="97"/>
      <c r="K74" s="946"/>
    </row>
    <row r="75" spans="1:11" s="224" customFormat="1" hidden="1" x14ac:dyDescent="0.25">
      <c r="A75" s="215">
        <v>43239</v>
      </c>
      <c r="B75" s="876" t="s">
        <v>1903</v>
      </c>
      <c r="C75" s="350" t="s">
        <v>12</v>
      </c>
      <c r="D75" s="874" t="s">
        <v>1522</v>
      </c>
      <c r="E75" s="870" t="s">
        <v>15</v>
      </c>
      <c r="F75" s="831">
        <v>20</v>
      </c>
      <c r="G75" s="982"/>
      <c r="H75" s="97"/>
      <c r="I75" s="946"/>
      <c r="J75" s="97"/>
      <c r="K75" s="946"/>
    </row>
    <row r="76" spans="1:11" s="224" customFormat="1" x14ac:dyDescent="0.25">
      <c r="A76" s="215">
        <v>43239</v>
      </c>
      <c r="B76" s="876" t="s">
        <v>32</v>
      </c>
      <c r="C76" s="350" t="s">
        <v>12</v>
      </c>
      <c r="D76" s="874" t="s">
        <v>1485</v>
      </c>
      <c r="E76" s="870" t="s">
        <v>13</v>
      </c>
      <c r="F76" s="831">
        <v>15.9</v>
      </c>
      <c r="G76" s="982"/>
      <c r="H76" s="97"/>
      <c r="I76" s="946"/>
      <c r="J76" s="97"/>
      <c r="K76" s="946"/>
    </row>
    <row r="77" spans="1:11" s="224" customFormat="1" hidden="1" x14ac:dyDescent="0.25">
      <c r="A77" s="215">
        <v>43239</v>
      </c>
      <c r="B77" s="349" t="s">
        <v>1438</v>
      </c>
      <c r="C77" s="350" t="s">
        <v>19</v>
      </c>
      <c r="D77" s="802" t="s">
        <v>1489</v>
      </c>
      <c r="E77" s="778" t="s">
        <v>13</v>
      </c>
      <c r="F77" s="804">
        <v>44.49</v>
      </c>
      <c r="G77" s="946"/>
      <c r="H77" s="97"/>
      <c r="I77" s="1473"/>
      <c r="J77" s="97"/>
      <c r="K77" s="1473"/>
    </row>
    <row r="78" spans="1:11" s="224" customFormat="1" ht="14.25" hidden="1" customHeight="1" x14ac:dyDescent="0.25">
      <c r="A78" s="215">
        <v>43239</v>
      </c>
      <c r="B78" s="862" t="s">
        <v>1331</v>
      </c>
      <c r="C78" s="350" t="s">
        <v>12</v>
      </c>
      <c r="D78" s="879" t="s">
        <v>1487</v>
      </c>
      <c r="E78" s="871" t="s">
        <v>13</v>
      </c>
      <c r="F78" s="626">
        <v>60</v>
      </c>
      <c r="G78" s="248"/>
      <c r="H78" s="97"/>
      <c r="I78" s="946"/>
      <c r="J78" s="97"/>
      <c r="K78" s="946"/>
    </row>
    <row r="79" spans="1:11" s="224" customFormat="1" ht="15" hidden="1" customHeight="1" x14ac:dyDescent="0.25">
      <c r="A79" s="215">
        <v>43239</v>
      </c>
      <c r="B79" s="364" t="s">
        <v>14</v>
      </c>
      <c r="C79" s="350" t="s">
        <v>12</v>
      </c>
      <c r="D79" s="350" t="s">
        <v>1486</v>
      </c>
      <c r="E79" s="480" t="s">
        <v>13</v>
      </c>
      <c r="F79" s="622">
        <v>7</v>
      </c>
      <c r="G79" s="982"/>
      <c r="H79" s="97"/>
      <c r="I79" s="946"/>
      <c r="J79" s="97"/>
      <c r="K79" s="946"/>
    </row>
    <row r="80" spans="1:11" s="224" customFormat="1" ht="15" hidden="1" customHeight="1" x14ac:dyDescent="0.25">
      <c r="A80" s="215">
        <v>43239</v>
      </c>
      <c r="B80" s="364" t="s">
        <v>82</v>
      </c>
      <c r="C80" s="350" t="s">
        <v>12</v>
      </c>
      <c r="D80" s="350" t="s">
        <v>1493</v>
      </c>
      <c r="E80" s="480" t="s">
        <v>13</v>
      </c>
      <c r="F80" s="622">
        <v>28</v>
      </c>
      <c r="G80" s="982"/>
      <c r="H80" s="97"/>
      <c r="I80" s="946"/>
      <c r="J80" s="97"/>
      <c r="K80" s="946"/>
    </row>
    <row r="81" spans="1:11" s="224" customFormat="1" hidden="1" x14ac:dyDescent="0.25">
      <c r="A81" s="215">
        <v>43240</v>
      </c>
      <c r="B81" s="349" t="s">
        <v>1438</v>
      </c>
      <c r="C81" s="350" t="s">
        <v>12</v>
      </c>
      <c r="D81" s="765" t="s">
        <v>1489</v>
      </c>
      <c r="E81" s="778" t="s">
        <v>13</v>
      </c>
      <c r="F81" s="97">
        <v>6</v>
      </c>
      <c r="G81" s="248"/>
      <c r="H81" s="97"/>
      <c r="I81" s="946"/>
      <c r="J81" s="97"/>
      <c r="K81" s="946"/>
    </row>
    <row r="82" spans="1:11" s="224" customFormat="1" ht="15" hidden="1" customHeight="1" x14ac:dyDescent="0.25">
      <c r="A82" s="215">
        <v>43240</v>
      </c>
      <c r="B82" s="364" t="s">
        <v>14</v>
      </c>
      <c r="C82" s="350" t="s">
        <v>12</v>
      </c>
      <c r="D82" s="350" t="s">
        <v>1486</v>
      </c>
      <c r="E82" s="480" t="s">
        <v>13</v>
      </c>
      <c r="F82" s="622">
        <v>2.34</v>
      </c>
      <c r="G82" s="982"/>
      <c r="H82" s="97"/>
      <c r="I82" s="946"/>
      <c r="J82" s="97"/>
      <c r="K82" s="946"/>
    </row>
    <row r="83" spans="1:11" s="224" customFormat="1" x14ac:dyDescent="0.25">
      <c r="A83" s="215">
        <v>43241</v>
      </c>
      <c r="B83" s="876" t="s">
        <v>32</v>
      </c>
      <c r="C83" s="350" t="s">
        <v>12</v>
      </c>
      <c r="D83" s="874" t="s">
        <v>1485</v>
      </c>
      <c r="E83" s="870" t="s">
        <v>13</v>
      </c>
      <c r="F83" s="831">
        <v>14</v>
      </c>
      <c r="G83" s="982"/>
      <c r="H83" s="97"/>
      <c r="I83" s="946"/>
      <c r="J83" s="97"/>
      <c r="K83" s="946"/>
    </row>
    <row r="84" spans="1:11" s="224" customFormat="1" hidden="1" x14ac:dyDescent="0.25">
      <c r="A84" s="215">
        <v>43241</v>
      </c>
      <c r="B84" s="364" t="s">
        <v>134</v>
      </c>
      <c r="C84" s="350" t="s">
        <v>12</v>
      </c>
      <c r="D84" s="350" t="s">
        <v>1493</v>
      </c>
      <c r="E84" s="480" t="s">
        <v>13</v>
      </c>
      <c r="F84" s="137">
        <v>6.93</v>
      </c>
      <c r="G84" s="248"/>
      <c r="H84" s="97"/>
      <c r="I84" s="946"/>
      <c r="J84" s="97"/>
      <c r="K84" s="946"/>
    </row>
    <row r="85" spans="1:11" s="224" customFormat="1" x14ac:dyDescent="0.25">
      <c r="A85" s="215">
        <v>43242</v>
      </c>
      <c r="B85" s="862" t="s">
        <v>32</v>
      </c>
      <c r="C85" s="352" t="s">
        <v>12</v>
      </c>
      <c r="D85" s="874" t="s">
        <v>1485</v>
      </c>
      <c r="E85" s="870" t="s">
        <v>13</v>
      </c>
      <c r="F85" s="831">
        <v>14</v>
      </c>
      <c r="G85" s="982"/>
      <c r="H85" s="97"/>
      <c r="I85" s="946"/>
      <c r="J85" s="97"/>
      <c r="K85" s="946"/>
    </row>
    <row r="86" spans="1:11" s="224" customFormat="1" ht="15" hidden="1" customHeight="1" x14ac:dyDescent="0.25">
      <c r="A86" s="215">
        <v>43242</v>
      </c>
      <c r="B86" s="862" t="s">
        <v>1904</v>
      </c>
      <c r="C86" s="350" t="s">
        <v>19</v>
      </c>
      <c r="D86" s="874" t="s">
        <v>1491</v>
      </c>
      <c r="E86" s="1475" t="s">
        <v>13</v>
      </c>
      <c r="F86" s="97">
        <v>38</v>
      </c>
      <c r="G86" s="946"/>
      <c r="H86" s="97"/>
      <c r="I86" s="946"/>
      <c r="J86" s="97"/>
      <c r="K86" s="946"/>
    </row>
    <row r="87" spans="1:11" s="224" customFormat="1" ht="15" hidden="1" customHeight="1" x14ac:dyDescent="0.25">
      <c r="A87" s="215">
        <v>43242</v>
      </c>
      <c r="B87" s="862" t="s">
        <v>1892</v>
      </c>
      <c r="C87" s="350" t="s">
        <v>19</v>
      </c>
      <c r="D87" s="874" t="s">
        <v>1491</v>
      </c>
      <c r="E87" s="1475" t="s">
        <v>13</v>
      </c>
      <c r="F87" s="97">
        <v>29</v>
      </c>
      <c r="G87" s="946"/>
      <c r="H87" s="97"/>
      <c r="I87" s="946"/>
      <c r="J87" s="97"/>
      <c r="K87" s="946"/>
    </row>
    <row r="88" spans="1:11" s="224" customFormat="1" ht="15" hidden="1" customHeight="1" x14ac:dyDescent="0.25">
      <c r="A88" s="215">
        <v>43242</v>
      </c>
      <c r="B88" s="862" t="s">
        <v>249</v>
      </c>
      <c r="C88" s="350" t="s">
        <v>12</v>
      </c>
      <c r="D88" s="874" t="s">
        <v>1493</v>
      </c>
      <c r="E88" s="1475" t="s">
        <v>13</v>
      </c>
      <c r="F88" s="97">
        <v>7</v>
      </c>
      <c r="G88" s="946"/>
      <c r="H88" s="97"/>
      <c r="I88" s="946"/>
      <c r="J88" s="97"/>
      <c r="K88" s="946"/>
    </row>
    <row r="89" spans="1:11" s="224" customFormat="1" x14ac:dyDescent="0.25">
      <c r="A89" s="215">
        <v>43243</v>
      </c>
      <c r="B89" s="862" t="s">
        <v>32</v>
      </c>
      <c r="C89" s="352" t="s">
        <v>12</v>
      </c>
      <c r="D89" s="874" t="s">
        <v>1485</v>
      </c>
      <c r="E89" s="870" t="s">
        <v>13</v>
      </c>
      <c r="F89" s="831">
        <v>14</v>
      </c>
      <c r="G89" s="982"/>
      <c r="H89" s="97"/>
      <c r="I89" s="946"/>
      <c r="J89" s="97"/>
      <c r="K89" s="946"/>
    </row>
    <row r="90" spans="1:11" s="224" customFormat="1" ht="14.25" hidden="1" customHeight="1" x14ac:dyDescent="0.25">
      <c r="A90" s="215">
        <v>43243</v>
      </c>
      <c r="B90" s="862" t="s">
        <v>1331</v>
      </c>
      <c r="C90" s="350" t="s">
        <v>12</v>
      </c>
      <c r="D90" s="879" t="s">
        <v>1487</v>
      </c>
      <c r="E90" s="871" t="s">
        <v>15</v>
      </c>
      <c r="F90" s="827">
        <v>40</v>
      </c>
      <c r="G90" s="248"/>
      <c r="H90" s="97"/>
      <c r="I90" s="946"/>
      <c r="J90" s="97"/>
      <c r="K90" s="946"/>
    </row>
    <row r="91" spans="1:11" s="224" customFormat="1" hidden="1" x14ac:dyDescent="0.25">
      <c r="A91" s="215">
        <v>43243</v>
      </c>
      <c r="B91" s="364" t="s">
        <v>14</v>
      </c>
      <c r="C91" s="350" t="s">
        <v>12</v>
      </c>
      <c r="D91" s="350" t="s">
        <v>1486</v>
      </c>
      <c r="E91" s="480" t="s">
        <v>13</v>
      </c>
      <c r="F91" s="622">
        <v>2.34</v>
      </c>
      <c r="G91" s="248"/>
      <c r="H91" s="97"/>
      <c r="I91" s="946"/>
      <c r="J91" s="97"/>
      <c r="K91" s="946"/>
    </row>
    <row r="92" spans="1:11" s="224" customFormat="1" hidden="1" x14ac:dyDescent="0.25">
      <c r="A92" s="215">
        <v>43244</v>
      </c>
      <c r="B92" s="862" t="s">
        <v>1683</v>
      </c>
      <c r="C92" s="350" t="s">
        <v>12</v>
      </c>
      <c r="D92" s="874" t="s">
        <v>1504</v>
      </c>
      <c r="E92" s="1475" t="s">
        <v>13</v>
      </c>
      <c r="F92" s="622">
        <v>75.900000000000006</v>
      </c>
      <c r="G92" s="946"/>
      <c r="H92" s="97"/>
      <c r="I92" s="946"/>
      <c r="J92" s="97"/>
      <c r="K92" s="946"/>
    </row>
    <row r="93" spans="1:11" s="224" customFormat="1" x14ac:dyDescent="0.25">
      <c r="A93" s="215">
        <v>43244</v>
      </c>
      <c r="B93" s="862" t="s">
        <v>32</v>
      </c>
      <c r="C93" s="352" t="s">
        <v>12</v>
      </c>
      <c r="D93" s="874" t="s">
        <v>1485</v>
      </c>
      <c r="E93" s="870" t="s">
        <v>13</v>
      </c>
      <c r="F93" s="831">
        <v>14</v>
      </c>
      <c r="G93" s="982"/>
      <c r="H93" s="97"/>
      <c r="I93" s="946"/>
      <c r="J93" s="97"/>
      <c r="K93" s="946"/>
    </row>
    <row r="94" spans="1:11" s="224" customFormat="1" hidden="1" x14ac:dyDescent="0.25">
      <c r="A94" s="215">
        <v>43244</v>
      </c>
      <c r="B94" s="364" t="s">
        <v>14</v>
      </c>
      <c r="C94" s="350" t="s">
        <v>12</v>
      </c>
      <c r="D94" s="350" t="s">
        <v>1486</v>
      </c>
      <c r="E94" s="480" t="s">
        <v>13</v>
      </c>
      <c r="F94" s="622">
        <v>4.45</v>
      </c>
      <c r="G94" s="248"/>
      <c r="H94" s="97"/>
      <c r="I94" s="946"/>
      <c r="J94" s="97"/>
      <c r="K94" s="946"/>
    </row>
    <row r="95" spans="1:11" s="224" customFormat="1" x14ac:dyDescent="0.25">
      <c r="A95" s="215">
        <v>43245</v>
      </c>
      <c r="B95" s="862" t="s">
        <v>32</v>
      </c>
      <c r="C95" s="352" t="s">
        <v>12</v>
      </c>
      <c r="D95" s="874" t="s">
        <v>1485</v>
      </c>
      <c r="E95" s="870" t="s">
        <v>13</v>
      </c>
      <c r="F95" s="831">
        <v>14</v>
      </c>
      <c r="G95" s="982"/>
      <c r="H95" s="97"/>
      <c r="I95" s="946"/>
      <c r="J95" s="97"/>
      <c r="K95" s="946"/>
    </row>
    <row r="96" spans="1:11" s="224" customFormat="1" hidden="1" x14ac:dyDescent="0.25">
      <c r="A96" s="215">
        <v>43245</v>
      </c>
      <c r="B96" s="862" t="s">
        <v>1905</v>
      </c>
      <c r="C96" s="352" t="s">
        <v>12</v>
      </c>
      <c r="D96" s="874" t="s">
        <v>1493</v>
      </c>
      <c r="E96" s="870" t="s">
        <v>15</v>
      </c>
      <c r="F96" s="831">
        <v>5</v>
      </c>
      <c r="G96" s="982"/>
      <c r="H96" s="97"/>
      <c r="I96" s="946"/>
      <c r="J96" s="97"/>
      <c r="K96" s="946"/>
    </row>
    <row r="97" spans="1:11" s="224" customFormat="1" ht="15" customHeight="1" x14ac:dyDescent="0.25">
      <c r="A97" s="215">
        <v>43246</v>
      </c>
      <c r="B97" s="862" t="s">
        <v>32</v>
      </c>
      <c r="C97" s="352" t="s">
        <v>12</v>
      </c>
      <c r="D97" s="874" t="s">
        <v>1485</v>
      </c>
      <c r="E97" s="870" t="s">
        <v>13</v>
      </c>
      <c r="F97" s="831">
        <v>16</v>
      </c>
      <c r="G97" s="946"/>
      <c r="H97" s="97"/>
      <c r="I97" s="946"/>
      <c r="J97" s="97"/>
      <c r="K97" s="946"/>
    </row>
    <row r="98" spans="1:11" s="224" customFormat="1" ht="15" hidden="1" customHeight="1" x14ac:dyDescent="0.25">
      <c r="A98" s="215">
        <v>43246</v>
      </c>
      <c r="B98" s="862" t="s">
        <v>1597</v>
      </c>
      <c r="C98" s="352" t="s">
        <v>12</v>
      </c>
      <c r="D98" s="874" t="s">
        <v>1491</v>
      </c>
      <c r="E98" s="870" t="s">
        <v>15</v>
      </c>
      <c r="F98" s="831">
        <v>50</v>
      </c>
      <c r="G98" s="946"/>
      <c r="H98" s="97"/>
      <c r="I98" s="946"/>
      <c r="J98" s="97"/>
      <c r="K98" s="946"/>
    </row>
    <row r="99" spans="1:11" s="224" customFormat="1" ht="15" hidden="1" customHeight="1" x14ac:dyDescent="0.25">
      <c r="A99" s="215">
        <v>43246</v>
      </c>
      <c r="B99" s="862" t="s">
        <v>1438</v>
      </c>
      <c r="C99" s="350" t="s">
        <v>19</v>
      </c>
      <c r="D99" s="879" t="s">
        <v>1489</v>
      </c>
      <c r="E99" s="871" t="s">
        <v>13</v>
      </c>
      <c r="F99" s="807">
        <v>37.82</v>
      </c>
      <c r="G99" s="946"/>
      <c r="H99" s="97"/>
      <c r="I99" s="946"/>
      <c r="J99" s="97"/>
      <c r="K99" s="946"/>
    </row>
    <row r="100" spans="1:11" s="224" customFormat="1" ht="15" hidden="1" customHeight="1" x14ac:dyDescent="0.25">
      <c r="A100" s="215">
        <v>43247</v>
      </c>
      <c r="B100" s="862" t="s">
        <v>1906</v>
      </c>
      <c r="C100" s="350" t="s">
        <v>12</v>
      </c>
      <c r="D100" s="879" t="s">
        <v>1493</v>
      </c>
      <c r="E100" s="871" t="s">
        <v>15</v>
      </c>
      <c r="F100" s="784">
        <v>10</v>
      </c>
      <c r="G100" s="946"/>
      <c r="H100" s="97"/>
      <c r="I100" s="946"/>
      <c r="J100" s="97"/>
      <c r="K100" s="946"/>
    </row>
    <row r="101" spans="1:11" s="224" customFormat="1" hidden="1" x14ac:dyDescent="0.25">
      <c r="A101" s="215">
        <v>43247</v>
      </c>
      <c r="B101" s="364" t="s">
        <v>14</v>
      </c>
      <c r="C101" s="350" t="s">
        <v>12</v>
      </c>
      <c r="D101" s="350" t="s">
        <v>1486</v>
      </c>
      <c r="E101" s="480" t="s">
        <v>13</v>
      </c>
      <c r="F101" s="622">
        <v>4.45</v>
      </c>
      <c r="G101" s="248"/>
      <c r="H101" s="97"/>
      <c r="I101" s="946"/>
      <c r="J101" s="97"/>
      <c r="K101" s="946"/>
    </row>
    <row r="102" spans="1:11" s="224" customFormat="1" ht="15" customHeight="1" x14ac:dyDescent="0.25">
      <c r="A102" s="215">
        <v>43248</v>
      </c>
      <c r="B102" s="862" t="s">
        <v>32</v>
      </c>
      <c r="C102" s="352" t="s">
        <v>12</v>
      </c>
      <c r="D102" s="874" t="s">
        <v>1485</v>
      </c>
      <c r="E102" s="870" t="s">
        <v>13</v>
      </c>
      <c r="F102" s="831">
        <v>14</v>
      </c>
      <c r="G102" s="946"/>
      <c r="H102" s="97"/>
      <c r="I102" s="946"/>
      <c r="J102" s="97"/>
      <c r="K102" s="946"/>
    </row>
    <row r="103" spans="1:11" s="224" customFormat="1" ht="15" hidden="1" customHeight="1" x14ac:dyDescent="0.25">
      <c r="A103" s="215">
        <v>43248</v>
      </c>
      <c r="B103" s="349" t="s">
        <v>147</v>
      </c>
      <c r="C103" s="350" t="s">
        <v>12</v>
      </c>
      <c r="D103" s="802" t="s">
        <v>1506</v>
      </c>
      <c r="E103" s="803" t="s">
        <v>15</v>
      </c>
      <c r="F103" s="804">
        <v>10</v>
      </c>
      <c r="G103" s="946"/>
      <c r="H103" s="97"/>
      <c r="I103" s="946"/>
      <c r="J103" s="97"/>
      <c r="K103" s="946"/>
    </row>
    <row r="104" spans="1:11" s="224" customFormat="1" ht="15" customHeight="1" x14ac:dyDescent="0.25">
      <c r="A104" s="215">
        <v>43249</v>
      </c>
      <c r="B104" s="862" t="s">
        <v>32</v>
      </c>
      <c r="C104" s="352" t="s">
        <v>12</v>
      </c>
      <c r="D104" s="874" t="s">
        <v>1485</v>
      </c>
      <c r="E104" s="870" t="s">
        <v>13</v>
      </c>
      <c r="F104" s="831">
        <v>14</v>
      </c>
      <c r="G104" s="946"/>
      <c r="H104" s="97"/>
      <c r="I104" s="946"/>
      <c r="J104" s="97"/>
      <c r="K104" s="946"/>
    </row>
    <row r="105" spans="1:11" s="224" customFormat="1" ht="14.25" hidden="1" customHeight="1" x14ac:dyDescent="0.25">
      <c r="A105" s="215">
        <v>43249</v>
      </c>
      <c r="B105" s="862" t="s">
        <v>1331</v>
      </c>
      <c r="C105" s="350" t="s">
        <v>19</v>
      </c>
      <c r="D105" s="879" t="s">
        <v>1487</v>
      </c>
      <c r="E105" s="871" t="s">
        <v>13</v>
      </c>
      <c r="F105" s="626">
        <v>83.17</v>
      </c>
      <c r="G105" s="248"/>
      <c r="H105" s="97"/>
      <c r="I105" s="946"/>
      <c r="J105" s="97"/>
      <c r="K105" s="946"/>
    </row>
    <row r="106" spans="1:11" s="224" customFormat="1" ht="15" hidden="1" customHeight="1" x14ac:dyDescent="0.25">
      <c r="A106" s="215">
        <v>43249</v>
      </c>
      <c r="B106" s="364" t="s">
        <v>14</v>
      </c>
      <c r="C106" s="350" t="s">
        <v>12</v>
      </c>
      <c r="D106" s="350" t="s">
        <v>1486</v>
      </c>
      <c r="E106" s="480" t="s">
        <v>13</v>
      </c>
      <c r="F106" s="622">
        <v>4</v>
      </c>
      <c r="G106" s="946"/>
      <c r="H106" s="97"/>
      <c r="I106" s="946"/>
      <c r="J106" s="97"/>
      <c r="K106" s="946"/>
    </row>
    <row r="107" spans="1:11" s="224" customFormat="1" ht="15" hidden="1" customHeight="1" x14ac:dyDescent="0.25">
      <c r="A107" s="215">
        <v>43250</v>
      </c>
      <c r="B107" s="862" t="s">
        <v>1710</v>
      </c>
      <c r="C107" s="879" t="s">
        <v>12</v>
      </c>
      <c r="D107" s="879" t="s">
        <v>1504</v>
      </c>
      <c r="E107" s="871" t="s">
        <v>13</v>
      </c>
      <c r="F107" s="804">
        <v>19.899999999999999</v>
      </c>
      <c r="G107" s="946"/>
      <c r="H107" s="97"/>
      <c r="I107" s="946"/>
      <c r="J107" s="97"/>
      <c r="K107" s="946"/>
    </row>
    <row r="108" spans="1:11" s="224" customFormat="1" ht="15" customHeight="1" x14ac:dyDescent="0.25">
      <c r="A108" s="215">
        <v>43250</v>
      </c>
      <c r="B108" s="862" t="s">
        <v>32</v>
      </c>
      <c r="C108" s="352" t="s">
        <v>12</v>
      </c>
      <c r="D108" s="874" t="s">
        <v>1485</v>
      </c>
      <c r="E108" s="870" t="s">
        <v>13</v>
      </c>
      <c r="F108" s="831">
        <v>14</v>
      </c>
      <c r="G108" s="946"/>
      <c r="H108" s="97"/>
      <c r="I108" s="946"/>
      <c r="J108" s="97"/>
      <c r="K108" s="946"/>
    </row>
    <row r="109" spans="1:11" s="224" customFormat="1" hidden="1" x14ac:dyDescent="0.25">
      <c r="A109" s="215">
        <v>43250</v>
      </c>
      <c r="B109" s="349" t="s">
        <v>1438</v>
      </c>
      <c r="C109" s="350" t="s">
        <v>19</v>
      </c>
      <c r="D109" s="765" t="s">
        <v>1489</v>
      </c>
      <c r="E109" s="778" t="s">
        <v>13</v>
      </c>
      <c r="F109" s="97">
        <v>80.55</v>
      </c>
      <c r="G109" s="248"/>
      <c r="H109" s="97"/>
      <c r="I109" s="946"/>
      <c r="J109" s="97"/>
      <c r="K109" s="946"/>
    </row>
    <row r="110" spans="1:11" s="224" customFormat="1" hidden="1" x14ac:dyDescent="0.25">
      <c r="A110" s="215">
        <v>43250</v>
      </c>
      <c r="B110" s="364" t="s">
        <v>14</v>
      </c>
      <c r="C110" s="350" t="s">
        <v>12</v>
      </c>
      <c r="D110" s="350" t="s">
        <v>1486</v>
      </c>
      <c r="E110" s="480" t="s">
        <v>13</v>
      </c>
      <c r="F110" s="622">
        <v>2.66</v>
      </c>
      <c r="G110" s="248"/>
      <c r="H110" s="97"/>
      <c r="I110" s="946"/>
      <c r="J110" s="97"/>
      <c r="K110" s="946"/>
    </row>
    <row r="111" spans="1:11" s="224" customFormat="1" ht="15.75" hidden="1" customHeight="1" x14ac:dyDescent="0.25">
      <c r="A111" s="215">
        <v>43251</v>
      </c>
      <c r="B111" s="349" t="s">
        <v>1907</v>
      </c>
      <c r="C111" s="350" t="s">
        <v>12</v>
      </c>
      <c r="D111" s="802"/>
      <c r="E111" s="803" t="s">
        <v>25</v>
      </c>
      <c r="F111" s="804"/>
      <c r="G111" s="946">
        <v>40</v>
      </c>
      <c r="H111" s="97"/>
      <c r="I111" s="1473"/>
      <c r="J111" s="97"/>
      <c r="K111" s="1473"/>
    </row>
    <row r="112" spans="1:11" s="224" customFormat="1" ht="15" customHeight="1" x14ac:dyDescent="0.25">
      <c r="A112" s="215">
        <v>43251</v>
      </c>
      <c r="B112" s="862" t="s">
        <v>32</v>
      </c>
      <c r="C112" s="352" t="s">
        <v>12</v>
      </c>
      <c r="D112" s="874" t="s">
        <v>1485</v>
      </c>
      <c r="E112" s="870" t="s">
        <v>15</v>
      </c>
      <c r="F112" s="831">
        <v>21</v>
      </c>
      <c r="G112" s="946"/>
      <c r="H112" s="97"/>
      <c r="I112" s="946"/>
      <c r="J112" s="97"/>
      <c r="K112" s="946"/>
    </row>
    <row r="113" spans="1:12" s="224" customFormat="1" ht="15.75" hidden="1" customHeight="1" x14ac:dyDescent="0.25">
      <c r="A113" s="215">
        <v>43251</v>
      </c>
      <c r="B113" s="349" t="s">
        <v>1056</v>
      </c>
      <c r="C113" s="350" t="s">
        <v>12</v>
      </c>
      <c r="D113" s="802" t="s">
        <v>1523</v>
      </c>
      <c r="E113" s="803" t="s">
        <v>15</v>
      </c>
      <c r="F113" s="804">
        <v>10</v>
      </c>
      <c r="G113" s="946"/>
      <c r="H113" s="97"/>
      <c r="I113" s="1473"/>
      <c r="J113" s="97"/>
      <c r="K113" s="1473"/>
    </row>
    <row r="114" spans="1:12" s="224" customFormat="1" hidden="1" x14ac:dyDescent="0.25">
      <c r="A114" s="215">
        <v>43251</v>
      </c>
      <c r="B114" s="862" t="s">
        <v>1666</v>
      </c>
      <c r="C114" s="350" t="s">
        <v>12</v>
      </c>
      <c r="D114" s="350"/>
      <c r="E114" s="757" t="s">
        <v>25</v>
      </c>
      <c r="F114" s="97"/>
      <c r="G114" s="946"/>
      <c r="H114" s="97"/>
      <c r="I114" s="946"/>
      <c r="J114" s="97"/>
      <c r="K114" s="982">
        <v>32.479999999999997</v>
      </c>
    </row>
    <row r="115" spans="1:12" ht="25.5" hidden="1" customHeight="1" thickBot="1" x14ac:dyDescent="0.3">
      <c r="A115" s="3060"/>
      <c r="B115" s="3061"/>
      <c r="C115" s="3062"/>
      <c r="D115" s="3062"/>
      <c r="E115" s="3062"/>
      <c r="F115" s="100">
        <f>SUM(F6:F113)</f>
        <v>4344.54</v>
      </c>
      <c r="G115" s="1065">
        <f>SUM(G5:G113)</f>
        <v>4395.7100000000091</v>
      </c>
      <c r="H115" s="101">
        <f>SUM(H6:H113)</f>
        <v>785.56999999999994</v>
      </c>
      <c r="I115" s="93">
        <f>SUM(I5:I113)</f>
        <v>3605.5660000000021</v>
      </c>
      <c r="J115" s="774"/>
      <c r="K115" s="1516"/>
      <c r="L115" s="89"/>
    </row>
    <row r="116" spans="1:12" ht="25.5" hidden="1" customHeight="1" thickBot="1" x14ac:dyDescent="0.3">
      <c r="A116" s="3117" t="s">
        <v>49</v>
      </c>
      <c r="B116" s="3118"/>
      <c r="C116" s="3118"/>
      <c r="D116" s="3118"/>
      <c r="E116" s="3118"/>
      <c r="F116" s="144"/>
      <c r="G116" s="519">
        <f>G115-F115</f>
        <v>51.170000000009168</v>
      </c>
      <c r="H116" s="555"/>
      <c r="I116" s="772">
        <f>I115-H115</f>
        <v>2819.9960000000019</v>
      </c>
      <c r="J116" s="773"/>
      <c r="K116" s="775">
        <f>SUM(K5:K115)</f>
        <v>8575.7199999999993</v>
      </c>
    </row>
    <row r="117" spans="1:12" x14ac:dyDescent="0.25">
      <c r="G117" s="89"/>
      <c r="J117" s="769"/>
      <c r="K117" s="868"/>
    </row>
    <row r="118" spans="1:12" x14ac:dyDescent="0.25">
      <c r="B118" s="79" t="s">
        <v>32</v>
      </c>
      <c r="C118" s="475">
        <v>338.9</v>
      </c>
      <c r="D118" s="85" t="s">
        <v>1485</v>
      </c>
      <c r="J118" s="769"/>
      <c r="K118" s="866"/>
    </row>
    <row r="119" spans="1:12" x14ac:dyDescent="0.25">
      <c r="B119" s="79" t="s">
        <v>1218</v>
      </c>
      <c r="C119" s="475">
        <v>433.17</v>
      </c>
      <c r="D119" s="85" t="s">
        <v>1487</v>
      </c>
      <c r="J119" s="769"/>
      <c r="K119" s="868"/>
    </row>
    <row r="120" spans="1:12" x14ac:dyDescent="0.25">
      <c r="B120" s="79" t="s">
        <v>50</v>
      </c>
      <c r="C120" s="484">
        <v>101.35</v>
      </c>
      <c r="D120" s="85" t="s">
        <v>1493</v>
      </c>
      <c r="J120" s="769"/>
      <c r="K120" s="866"/>
    </row>
    <row r="121" spans="1:12" s="85" customFormat="1" x14ac:dyDescent="0.25">
      <c r="A121" s="79"/>
      <c r="B121" s="79" t="s">
        <v>14</v>
      </c>
      <c r="C121" s="484">
        <v>104.85</v>
      </c>
      <c r="D121" s="85" t="s">
        <v>1486</v>
      </c>
      <c r="J121" s="769"/>
      <c r="K121" s="866"/>
    </row>
    <row r="122" spans="1:12" s="85" customFormat="1" x14ac:dyDescent="0.25">
      <c r="A122" s="79"/>
      <c r="B122" s="79" t="s">
        <v>51</v>
      </c>
      <c r="C122" s="475">
        <v>103.64</v>
      </c>
      <c r="D122" s="864" t="s">
        <v>1499</v>
      </c>
      <c r="E122" s="79"/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79" t="s">
        <v>52</v>
      </c>
      <c r="C123" s="475">
        <v>99</v>
      </c>
      <c r="D123" s="864" t="s">
        <v>1496</v>
      </c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867" t="s">
        <v>53</v>
      </c>
      <c r="C124" s="475">
        <v>185</v>
      </c>
      <c r="D124" s="864" t="s">
        <v>1522</v>
      </c>
      <c r="E124" s="89"/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1823</v>
      </c>
      <c r="C125" s="475"/>
      <c r="D125" s="864" t="s">
        <v>1515</v>
      </c>
      <c r="F125" s="89"/>
      <c r="G125" s="79"/>
      <c r="H125" s="79"/>
      <c r="I125" s="79"/>
      <c r="J125" s="769"/>
      <c r="K125" s="866"/>
    </row>
    <row r="126" spans="1:12" s="85" customFormat="1" x14ac:dyDescent="0.25">
      <c r="A126" s="79"/>
      <c r="B126" s="79" t="s">
        <v>56</v>
      </c>
      <c r="C126" s="475">
        <v>33</v>
      </c>
      <c r="D126" s="864" t="s">
        <v>1523</v>
      </c>
      <c r="F126" s="89"/>
      <c r="G126" s="79"/>
      <c r="H126" s="79"/>
      <c r="I126" s="79"/>
      <c r="J126" s="769"/>
      <c r="K126" s="868"/>
    </row>
    <row r="127" spans="1:12" s="85" customFormat="1" x14ac:dyDescent="0.25">
      <c r="A127" s="79"/>
      <c r="B127" s="79" t="s">
        <v>1686</v>
      </c>
      <c r="C127" s="475">
        <v>52.25</v>
      </c>
      <c r="D127" s="864" t="s">
        <v>1506</v>
      </c>
      <c r="F127" s="89"/>
      <c r="G127" s="79"/>
      <c r="H127" s="79"/>
      <c r="I127" s="79"/>
      <c r="J127" s="769"/>
      <c r="K127" s="866"/>
    </row>
    <row r="128" spans="1:12" s="85" customFormat="1" x14ac:dyDescent="0.25">
      <c r="A128" s="79"/>
      <c r="B128" s="79" t="s">
        <v>418</v>
      </c>
      <c r="C128" s="475">
        <v>406.25</v>
      </c>
      <c r="D128" s="85" t="s">
        <v>1524</v>
      </c>
      <c r="E128" s="79"/>
      <c r="F128" s="89"/>
      <c r="J128" s="769"/>
      <c r="K128" s="866"/>
    </row>
    <row r="129" spans="2:11" x14ac:dyDescent="0.25">
      <c r="B129" s="79" t="s">
        <v>419</v>
      </c>
      <c r="C129" s="475">
        <v>474.15</v>
      </c>
      <c r="D129" s="85" t="s">
        <v>1491</v>
      </c>
      <c r="J129" s="769"/>
      <c r="K129" s="868"/>
    </row>
    <row r="130" spans="2:11" x14ac:dyDescent="0.25">
      <c r="B130" s="79" t="s">
        <v>911</v>
      </c>
      <c r="C130" s="475"/>
      <c r="D130" s="85" t="s">
        <v>1525</v>
      </c>
      <c r="J130" s="769"/>
      <c r="K130" s="868"/>
    </row>
    <row r="131" spans="2:11" x14ac:dyDescent="0.25">
      <c r="B131" s="79" t="s">
        <v>1526</v>
      </c>
      <c r="C131" s="475">
        <v>145.80000000000001</v>
      </c>
      <c r="D131" s="85" t="s">
        <v>1504</v>
      </c>
      <c r="E131" s="79"/>
      <c r="J131" s="769"/>
      <c r="K131" s="866"/>
    </row>
    <row r="132" spans="2:11" x14ac:dyDescent="0.25">
      <c r="B132" s="79" t="s">
        <v>1527</v>
      </c>
      <c r="C132" s="475">
        <v>459.58</v>
      </c>
      <c r="D132" s="85" t="s">
        <v>1489</v>
      </c>
      <c r="J132" s="769"/>
      <c r="K132" s="868"/>
    </row>
    <row r="133" spans="2:11" x14ac:dyDescent="0.25">
      <c r="J133" s="769"/>
      <c r="K133" s="866"/>
    </row>
    <row r="134" spans="2:11" x14ac:dyDescent="0.25">
      <c r="F134" s="85"/>
      <c r="J134" s="769"/>
      <c r="K134" s="866"/>
    </row>
    <row r="135" spans="2:11" x14ac:dyDescent="0.25">
      <c r="B135" s="79" t="s">
        <v>486</v>
      </c>
      <c r="C135" s="475">
        <f>H135/J135</f>
        <v>94.74</v>
      </c>
      <c r="F135" s="224" t="s">
        <v>487</v>
      </c>
      <c r="H135" s="216">
        <f>SUM(C118:C132)</f>
        <v>2936.94</v>
      </c>
      <c r="I135" s="518" t="s">
        <v>488</v>
      </c>
      <c r="J135" s="1517">
        <v>31</v>
      </c>
      <c r="K135" s="866"/>
    </row>
    <row r="136" spans="2:11" x14ac:dyDescent="0.25">
      <c r="J136" s="769"/>
      <c r="K136" s="866"/>
    </row>
    <row r="137" spans="2:11" x14ac:dyDescent="0.25">
      <c r="J137" s="769"/>
      <c r="K137" s="868"/>
    </row>
    <row r="138" spans="2:11" x14ac:dyDescent="0.25">
      <c r="K138" s="866"/>
    </row>
    <row r="139" spans="2:11" x14ac:dyDescent="0.25">
      <c r="D139" s="79"/>
      <c r="E139" s="79"/>
      <c r="J139" s="769"/>
      <c r="K139" s="866"/>
    </row>
    <row r="140" spans="2:11" x14ac:dyDescent="0.25">
      <c r="J140" s="769"/>
      <c r="K140" s="866"/>
    </row>
    <row r="141" spans="2:11" x14ac:dyDescent="0.25">
      <c r="J141" s="769"/>
      <c r="K141" s="866"/>
    </row>
    <row r="142" spans="2:11" x14ac:dyDescent="0.25">
      <c r="J142" s="769"/>
      <c r="K142" s="866"/>
    </row>
    <row r="143" spans="2:11" x14ac:dyDescent="0.25">
      <c r="C143" s="79"/>
      <c r="D143" s="79"/>
      <c r="E143" s="79"/>
      <c r="F143" s="79"/>
      <c r="I143" s="216"/>
      <c r="J143" s="769"/>
      <c r="K143" s="866"/>
    </row>
    <row r="144" spans="2:11" x14ac:dyDescent="0.25">
      <c r="C144" s="79"/>
      <c r="D144" s="79"/>
      <c r="E144" s="79"/>
      <c r="F144" s="79"/>
      <c r="I144" s="216"/>
      <c r="J144" s="769"/>
      <c r="K144" s="866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8"/>
    </row>
    <row r="146" spans="3:11" x14ac:dyDescent="0.25">
      <c r="C146" s="79"/>
      <c r="D146" s="79"/>
      <c r="E146" s="79"/>
      <c r="F146" s="79"/>
      <c r="G146" s="216"/>
      <c r="I146" s="216"/>
      <c r="J146" s="769"/>
      <c r="K146" s="866"/>
    </row>
    <row r="147" spans="3:11" x14ac:dyDescent="0.25">
      <c r="C147" s="79"/>
      <c r="D147" s="79"/>
      <c r="E147" s="79"/>
      <c r="F147" s="79"/>
      <c r="G147" s="216"/>
      <c r="J147" s="770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8"/>
    </row>
    <row r="149" spans="3:11" x14ac:dyDescent="0.25">
      <c r="J149" s="769"/>
      <c r="K149" s="866"/>
    </row>
    <row r="150" spans="3:11" x14ac:dyDescent="0.25">
      <c r="C150" s="79"/>
      <c r="D150" s="79"/>
      <c r="E150" s="79"/>
      <c r="F150" s="79"/>
      <c r="I150" s="629"/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J167" s="769"/>
      <c r="K167" s="868"/>
    </row>
    <row r="168" spans="3:11" x14ac:dyDescent="0.25">
      <c r="J168" s="769"/>
      <c r="K168" s="866"/>
    </row>
    <row r="169" spans="3:11" x14ac:dyDescent="0.25">
      <c r="J169" s="769"/>
      <c r="K169" s="866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6"/>
    </row>
    <row r="175" spans="3:11" x14ac:dyDescent="0.25">
      <c r="C175" s="79"/>
      <c r="D175" s="79"/>
      <c r="E175" s="79"/>
      <c r="F175" s="79"/>
      <c r="J175" s="223"/>
      <c r="K175" s="629"/>
    </row>
    <row r="176" spans="3:11" x14ac:dyDescent="0.25">
      <c r="C176" s="79"/>
      <c r="D176" s="79"/>
      <c r="E176" s="79"/>
      <c r="F176" s="79"/>
      <c r="J176" s="756"/>
      <c r="K176" s="756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  <c r="J181" s="85"/>
      <c r="K181" s="85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  <c r="J188" s="85"/>
      <c r="K188" s="85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  <c r="J195" s="771"/>
      <c r="K195" s="518"/>
    </row>
    <row r="196" spans="3:11" x14ac:dyDescent="0.25">
      <c r="C196" s="79"/>
      <c r="D196" s="79"/>
      <c r="E196" s="79"/>
      <c r="F196" s="79"/>
    </row>
    <row r="203" spans="3:11" x14ac:dyDescent="0.25">
      <c r="C203" s="79"/>
      <c r="D203" s="79"/>
      <c r="E203" s="79"/>
      <c r="F203" s="79"/>
      <c r="K203" s="216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6" spans="3:11" x14ac:dyDescent="0.25">
      <c r="C206" s="79"/>
      <c r="D206" s="79"/>
      <c r="E206" s="79"/>
      <c r="F206" s="79"/>
      <c r="K206" s="216"/>
    </row>
    <row r="208" spans="3:11" x14ac:dyDescent="0.25">
      <c r="C208" s="79"/>
      <c r="D208" s="79"/>
      <c r="E208" s="79"/>
      <c r="F208" s="79"/>
      <c r="K208" s="216"/>
    </row>
    <row r="210" spans="3:11" x14ac:dyDescent="0.25">
      <c r="C210" s="79"/>
      <c r="D210" s="79"/>
      <c r="E210" s="79"/>
      <c r="F210" s="79"/>
      <c r="K210" s="629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</sheetData>
  <autoFilter ref="A2:I116" xr:uid="{00000000-0009-0000-0000-000049000000}">
    <filterColumn colId="3">
      <filters>
        <filter val="A"/>
      </filters>
    </filterColumn>
  </autoFilter>
  <mergeCells count="13">
    <mergeCell ref="M29:N29"/>
    <mergeCell ref="A115:E115"/>
    <mergeCell ref="A116:E11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Plan86"/>
  <dimension ref="A1:N223"/>
  <sheetViews>
    <sheetView zoomScale="85" zoomScaleNormal="85" workbookViewId="0">
      <pane ySplit="4" topLeftCell="A16" activePane="bottomLeft" state="frozen"/>
      <selection activeCell="C44" sqref="C44"/>
      <selection pane="bottomLeft" activeCell="B34" sqref="B3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1908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43252</v>
      </c>
      <c r="B5" s="369" t="s">
        <v>10</v>
      </c>
      <c r="C5" s="370"/>
      <c r="D5" s="370"/>
      <c r="E5" s="777"/>
      <c r="F5" s="179"/>
      <c r="G5" s="933">
        <f>'Maio-18'!G116</f>
        <v>51.170000000009168</v>
      </c>
      <c r="H5" s="179"/>
      <c r="I5" s="933">
        <f>'Maio-18'!I116</f>
        <v>2819.9960000000019</v>
      </c>
      <c r="J5" s="179"/>
      <c r="K5" s="933">
        <f>'Maio-18'!K116</f>
        <v>8575.7199999999993</v>
      </c>
    </row>
    <row r="6" spans="1:11" s="224" customFormat="1" x14ac:dyDescent="0.25">
      <c r="A6" s="215">
        <v>43252</v>
      </c>
      <c r="B6" s="348" t="s">
        <v>11</v>
      </c>
      <c r="C6" s="351"/>
      <c r="D6" s="351"/>
      <c r="E6" s="673"/>
      <c r="F6" s="250">
        <v>22</v>
      </c>
      <c r="G6" s="1473"/>
      <c r="H6" s="250"/>
      <c r="I6" s="1473"/>
      <c r="J6" s="250"/>
      <c r="K6" s="1473"/>
    </row>
    <row r="7" spans="1:11" s="224" customFormat="1" ht="15" customHeight="1" x14ac:dyDescent="0.25">
      <c r="A7" s="215">
        <v>43252</v>
      </c>
      <c r="B7" s="862" t="s">
        <v>32</v>
      </c>
      <c r="C7" s="352" t="s">
        <v>12</v>
      </c>
      <c r="D7" s="874" t="s">
        <v>1485</v>
      </c>
      <c r="E7" s="870" t="s">
        <v>13</v>
      </c>
      <c r="F7" s="831">
        <v>16</v>
      </c>
      <c r="G7" s="946"/>
      <c r="H7" s="97"/>
      <c r="I7" s="946"/>
      <c r="J7" s="97"/>
      <c r="K7" s="946"/>
    </row>
    <row r="8" spans="1:11" s="224" customFormat="1" ht="15" customHeight="1" x14ac:dyDescent="0.25">
      <c r="A8" s="215">
        <v>43252</v>
      </c>
      <c r="B8" s="862" t="s">
        <v>256</v>
      </c>
      <c r="C8" s="879"/>
      <c r="D8" s="879"/>
      <c r="E8" s="871"/>
      <c r="F8" s="97"/>
      <c r="G8" s="1064">
        <v>220</v>
      </c>
      <c r="H8" s="97">
        <v>220</v>
      </c>
      <c r="I8" s="946"/>
      <c r="J8" s="97"/>
      <c r="K8" s="946"/>
    </row>
    <row r="9" spans="1:11" s="224" customFormat="1" x14ac:dyDescent="0.25">
      <c r="A9" s="215">
        <v>43252</v>
      </c>
      <c r="B9" s="364" t="s">
        <v>14</v>
      </c>
      <c r="C9" s="350" t="s">
        <v>12</v>
      </c>
      <c r="D9" s="350" t="s">
        <v>1486</v>
      </c>
      <c r="E9" s="480" t="s">
        <v>13</v>
      </c>
      <c r="F9" s="622">
        <v>8.4600000000000009</v>
      </c>
      <c r="G9" s="248"/>
      <c r="H9" s="97"/>
      <c r="I9" s="946"/>
      <c r="J9" s="97"/>
      <c r="K9" s="946"/>
    </row>
    <row r="10" spans="1:11" s="224" customFormat="1" ht="15" customHeight="1" x14ac:dyDescent="0.25">
      <c r="A10" s="215">
        <v>43253</v>
      </c>
      <c r="B10" s="862" t="s">
        <v>32</v>
      </c>
      <c r="C10" s="352" t="s">
        <v>12</v>
      </c>
      <c r="D10" s="874" t="s">
        <v>1485</v>
      </c>
      <c r="E10" s="870" t="s">
        <v>13</v>
      </c>
      <c r="F10" s="831">
        <v>14</v>
      </c>
      <c r="G10" s="946"/>
      <c r="H10" s="97"/>
      <c r="I10" s="946"/>
      <c r="J10" s="97"/>
      <c r="K10" s="946"/>
    </row>
    <row r="11" spans="1:11" s="224" customFormat="1" x14ac:dyDescent="0.25">
      <c r="A11" s="215">
        <v>43253</v>
      </c>
      <c r="B11" s="364" t="s">
        <v>1438</v>
      </c>
      <c r="C11" s="350" t="s">
        <v>12</v>
      </c>
      <c r="D11" s="350" t="s">
        <v>1489</v>
      </c>
      <c r="E11" s="480" t="s">
        <v>13</v>
      </c>
      <c r="F11" s="622">
        <v>7.15</v>
      </c>
      <c r="G11" s="248"/>
      <c r="H11" s="97"/>
      <c r="I11" s="946"/>
      <c r="J11" s="97"/>
      <c r="K11" s="946"/>
    </row>
    <row r="12" spans="1:11" s="224" customFormat="1" x14ac:dyDescent="0.25">
      <c r="A12" s="215">
        <v>43253</v>
      </c>
      <c r="B12" s="364" t="s">
        <v>14</v>
      </c>
      <c r="C12" s="350" t="s">
        <v>12</v>
      </c>
      <c r="D12" s="350" t="s">
        <v>1486</v>
      </c>
      <c r="E12" s="480" t="s">
        <v>13</v>
      </c>
      <c r="F12" s="622">
        <v>2.04</v>
      </c>
      <c r="G12" s="248"/>
      <c r="H12" s="97"/>
      <c r="I12" s="946"/>
      <c r="J12" s="97"/>
      <c r="K12" s="946"/>
    </row>
    <row r="13" spans="1:11" s="224" customFormat="1" ht="15" customHeight="1" x14ac:dyDescent="0.25">
      <c r="A13" s="215">
        <v>43253</v>
      </c>
      <c r="B13" s="862" t="s">
        <v>82</v>
      </c>
      <c r="C13" s="879" t="s">
        <v>12</v>
      </c>
      <c r="D13" s="879" t="s">
        <v>1493</v>
      </c>
      <c r="E13" s="871" t="s">
        <v>13</v>
      </c>
      <c r="F13" s="97">
        <v>29</v>
      </c>
      <c r="G13" s="1064"/>
      <c r="H13" s="97"/>
      <c r="I13" s="946"/>
      <c r="J13" s="97"/>
      <c r="K13" s="946"/>
    </row>
    <row r="14" spans="1:11" s="224" customFormat="1" x14ac:dyDescent="0.25">
      <c r="A14" s="215">
        <v>43254</v>
      </c>
      <c r="B14" s="364" t="s">
        <v>14</v>
      </c>
      <c r="C14" s="350" t="s">
        <v>12</v>
      </c>
      <c r="D14" s="350" t="s">
        <v>1486</v>
      </c>
      <c r="E14" s="480" t="s">
        <v>13</v>
      </c>
      <c r="F14" s="622">
        <v>4.24</v>
      </c>
      <c r="G14" s="248"/>
      <c r="H14" s="97"/>
      <c r="I14" s="946"/>
      <c r="J14" s="97"/>
      <c r="K14" s="946"/>
    </row>
    <row r="15" spans="1:11" s="224" customFormat="1" x14ac:dyDescent="0.25">
      <c r="A15" s="215">
        <v>43254</v>
      </c>
      <c r="B15" s="364" t="s">
        <v>1438</v>
      </c>
      <c r="C15" s="350" t="s">
        <v>12</v>
      </c>
      <c r="D15" s="350" t="s">
        <v>1489</v>
      </c>
      <c r="E15" s="480" t="s">
        <v>13</v>
      </c>
      <c r="F15" s="827">
        <v>5</v>
      </c>
      <c r="G15" s="248"/>
      <c r="H15" s="97"/>
      <c r="I15" s="946"/>
      <c r="J15" s="97"/>
      <c r="K15" s="946"/>
    </row>
    <row r="16" spans="1:11" s="224" customFormat="1" ht="15" customHeight="1" x14ac:dyDescent="0.25">
      <c r="A16" s="215">
        <v>43255</v>
      </c>
      <c r="B16" s="862" t="s">
        <v>32</v>
      </c>
      <c r="C16" s="352" t="s">
        <v>12</v>
      </c>
      <c r="D16" s="874" t="s">
        <v>1485</v>
      </c>
      <c r="E16" s="870" t="s">
        <v>13</v>
      </c>
      <c r="F16" s="831">
        <v>14</v>
      </c>
      <c r="G16" s="946"/>
      <c r="H16" s="97"/>
      <c r="I16" s="946"/>
      <c r="J16" s="97"/>
      <c r="K16" s="946"/>
    </row>
    <row r="17" spans="1:14" s="224" customFormat="1" ht="14.25" customHeight="1" x14ac:dyDescent="0.25">
      <c r="A17" s="215">
        <v>43255</v>
      </c>
      <c r="B17" s="364" t="s">
        <v>14</v>
      </c>
      <c r="C17" s="350" t="s">
        <v>12</v>
      </c>
      <c r="D17" s="350" t="s">
        <v>1486</v>
      </c>
      <c r="E17" s="480" t="s">
        <v>13</v>
      </c>
      <c r="F17" s="626">
        <v>7.62</v>
      </c>
      <c r="G17" s="248"/>
      <c r="H17" s="97"/>
      <c r="I17" s="946"/>
      <c r="J17" s="97"/>
      <c r="K17" s="946"/>
    </row>
    <row r="18" spans="1:14" s="224" customFormat="1" ht="15" customHeight="1" x14ac:dyDescent="0.25">
      <c r="A18" s="215">
        <v>43256</v>
      </c>
      <c r="B18" s="862" t="s">
        <v>32</v>
      </c>
      <c r="C18" s="352" t="s">
        <v>12</v>
      </c>
      <c r="D18" s="874" t="s">
        <v>1485</v>
      </c>
      <c r="E18" s="870" t="s">
        <v>13</v>
      </c>
      <c r="F18" s="831">
        <v>14</v>
      </c>
      <c r="G18" s="946"/>
      <c r="H18" s="97"/>
      <c r="I18" s="946"/>
      <c r="J18" s="97"/>
      <c r="K18" s="946"/>
    </row>
    <row r="19" spans="1:14" s="224" customFormat="1" ht="15" customHeight="1" x14ac:dyDescent="0.25">
      <c r="A19" s="215">
        <v>43256</v>
      </c>
      <c r="B19" s="862" t="s">
        <v>81</v>
      </c>
      <c r="C19" s="352" t="s">
        <v>12</v>
      </c>
      <c r="D19" s="874" t="s">
        <v>1493</v>
      </c>
      <c r="E19" s="870" t="s">
        <v>13</v>
      </c>
      <c r="F19" s="831">
        <v>5</v>
      </c>
      <c r="G19" s="946"/>
      <c r="H19" s="97"/>
      <c r="I19" s="946"/>
      <c r="J19" s="97"/>
      <c r="K19" s="946"/>
    </row>
    <row r="20" spans="1:14" s="224" customFormat="1" ht="15" customHeight="1" x14ac:dyDescent="0.25">
      <c r="A20" s="215">
        <v>43256</v>
      </c>
      <c r="B20" s="364" t="s">
        <v>14</v>
      </c>
      <c r="C20" s="350" t="s">
        <v>12</v>
      </c>
      <c r="D20" s="350" t="s">
        <v>1486</v>
      </c>
      <c r="E20" s="480" t="s">
        <v>13</v>
      </c>
      <c r="F20" s="626">
        <v>6.72</v>
      </c>
      <c r="G20" s="946"/>
      <c r="H20" s="97"/>
      <c r="I20" s="946"/>
      <c r="J20" s="97"/>
      <c r="K20" s="946"/>
    </row>
    <row r="21" spans="1:14" s="224" customFormat="1" ht="15.75" customHeight="1" x14ac:dyDescent="0.25">
      <c r="A21" s="215">
        <v>43257</v>
      </c>
      <c r="B21" s="349" t="s">
        <v>1909</v>
      </c>
      <c r="C21" s="879" t="s">
        <v>12</v>
      </c>
      <c r="D21" s="874"/>
      <c r="E21" s="871" t="s">
        <v>25</v>
      </c>
      <c r="F21" s="1524"/>
      <c r="G21" s="1002">
        <v>1809.24</v>
      </c>
      <c r="H21" s="538"/>
      <c r="I21" s="982"/>
      <c r="J21" s="622"/>
      <c r="K21" s="982"/>
    </row>
    <row r="22" spans="1:14" s="224" customFormat="1" x14ac:dyDescent="0.25">
      <c r="A22" s="215">
        <v>43257</v>
      </c>
      <c r="B22" s="862" t="s">
        <v>1910</v>
      </c>
      <c r="C22" s="879" t="s">
        <v>12</v>
      </c>
      <c r="D22" s="879"/>
      <c r="E22" s="871" t="s">
        <v>13</v>
      </c>
      <c r="F22" s="613">
        <v>353.19</v>
      </c>
      <c r="G22" s="982"/>
      <c r="H22" s="622"/>
      <c r="I22" s="982"/>
      <c r="J22" s="780"/>
      <c r="K22" s="614"/>
      <c r="L22" s="178"/>
      <c r="M22" s="3096"/>
      <c r="N22" s="3096"/>
    </row>
    <row r="23" spans="1:14" x14ac:dyDescent="0.25">
      <c r="A23" s="215">
        <v>43257</v>
      </c>
      <c r="B23" s="862" t="s">
        <v>1532</v>
      </c>
      <c r="C23" s="879" t="s">
        <v>12</v>
      </c>
      <c r="D23" s="879" t="s">
        <v>1504</v>
      </c>
      <c r="E23" s="871" t="s">
        <v>13</v>
      </c>
      <c r="F23" s="780">
        <v>50</v>
      </c>
      <c r="G23" s="982"/>
      <c r="H23" s="622"/>
      <c r="I23" s="982"/>
      <c r="J23" s="622"/>
      <c r="K23" s="1002"/>
    </row>
    <row r="24" spans="1:14" x14ac:dyDescent="0.25">
      <c r="A24" s="215">
        <v>43257</v>
      </c>
      <c r="B24" s="882" t="s">
        <v>1911</v>
      </c>
      <c r="C24" s="879" t="s">
        <v>12</v>
      </c>
      <c r="D24" s="879" t="s">
        <v>1499</v>
      </c>
      <c r="E24" s="871" t="s">
        <v>13</v>
      </c>
      <c r="F24" s="780">
        <v>54.3</v>
      </c>
      <c r="G24" s="982"/>
      <c r="H24" s="622"/>
      <c r="I24" s="982"/>
      <c r="J24" s="780"/>
      <c r="K24" s="614"/>
    </row>
    <row r="25" spans="1:14" x14ac:dyDescent="0.25">
      <c r="A25" s="215">
        <v>43257</v>
      </c>
      <c r="B25" s="862" t="s">
        <v>52</v>
      </c>
      <c r="C25" s="879" t="s">
        <v>12</v>
      </c>
      <c r="D25" s="879" t="s">
        <v>1496</v>
      </c>
      <c r="E25" s="871" t="s">
        <v>13</v>
      </c>
      <c r="F25" s="780">
        <v>60</v>
      </c>
      <c r="G25" s="1063"/>
      <c r="H25" s="622"/>
      <c r="I25" s="982"/>
      <c r="J25" s="622"/>
      <c r="K25" s="982"/>
    </row>
    <row r="26" spans="1:14" s="224" customFormat="1" x14ac:dyDescent="0.25">
      <c r="A26" s="215">
        <v>43257</v>
      </c>
      <c r="B26" s="862" t="s">
        <v>1912</v>
      </c>
      <c r="C26" s="350" t="s">
        <v>12</v>
      </c>
      <c r="D26" s="879" t="s">
        <v>1524</v>
      </c>
      <c r="E26" s="871" t="s">
        <v>15</v>
      </c>
      <c r="F26" s="626">
        <v>300</v>
      </c>
      <c r="G26" s="248"/>
      <c r="H26" s="97"/>
      <c r="I26" s="946"/>
      <c r="J26" s="97"/>
      <c r="K26" s="946"/>
    </row>
    <row r="27" spans="1:14" s="224" customFormat="1" ht="15" customHeight="1" x14ac:dyDescent="0.25">
      <c r="A27" s="215">
        <v>43257</v>
      </c>
      <c r="B27" s="862" t="s">
        <v>32</v>
      </c>
      <c r="C27" s="352" t="s">
        <v>12</v>
      </c>
      <c r="D27" s="874" t="s">
        <v>1485</v>
      </c>
      <c r="E27" s="870" t="s">
        <v>13</v>
      </c>
      <c r="F27" s="831">
        <v>14</v>
      </c>
      <c r="G27" s="946"/>
      <c r="H27" s="97"/>
      <c r="I27" s="946"/>
      <c r="J27" s="97"/>
      <c r="K27" s="946"/>
    </row>
    <row r="28" spans="1:14" s="224" customFormat="1" x14ac:dyDescent="0.25">
      <c r="A28" s="215">
        <v>43257</v>
      </c>
      <c r="B28" s="364" t="s">
        <v>311</v>
      </c>
      <c r="C28" s="350"/>
      <c r="D28" s="350"/>
      <c r="E28" s="480"/>
      <c r="F28" s="832"/>
      <c r="G28" s="627"/>
      <c r="H28" s="97"/>
      <c r="I28" s="946">
        <v>7.88</v>
      </c>
      <c r="J28" s="97"/>
      <c r="K28" s="946"/>
    </row>
    <row r="29" spans="1:14" s="224" customFormat="1" ht="15" customHeight="1" x14ac:dyDescent="0.25">
      <c r="A29" s="215">
        <v>43257</v>
      </c>
      <c r="B29" s="349" t="s">
        <v>260</v>
      </c>
      <c r="C29" s="350"/>
      <c r="D29" s="350"/>
      <c r="E29" s="480"/>
      <c r="F29" s="523">
        <v>400</v>
      </c>
      <c r="G29" s="1064"/>
      <c r="H29" s="97"/>
      <c r="I29" s="946">
        <v>400</v>
      </c>
      <c r="J29" s="97"/>
      <c r="K29" s="946"/>
    </row>
    <row r="30" spans="1:14" s="224" customFormat="1" ht="15" customHeight="1" x14ac:dyDescent="0.25">
      <c r="A30" s="215">
        <v>43257</v>
      </c>
      <c r="B30" s="364" t="s">
        <v>14</v>
      </c>
      <c r="C30" s="350" t="s">
        <v>12</v>
      </c>
      <c r="D30" s="350" t="s">
        <v>1486</v>
      </c>
      <c r="E30" s="480" t="s">
        <v>13</v>
      </c>
      <c r="F30" s="626">
        <v>6.09</v>
      </c>
      <c r="G30" s="946"/>
      <c r="H30" s="97"/>
      <c r="I30" s="946"/>
      <c r="J30" s="97"/>
      <c r="K30" s="946"/>
    </row>
    <row r="31" spans="1:14" s="224" customFormat="1" ht="15" customHeight="1" x14ac:dyDescent="0.25">
      <c r="A31" s="215">
        <v>43258</v>
      </c>
      <c r="B31" s="862" t="s">
        <v>32</v>
      </c>
      <c r="C31" s="352" t="s">
        <v>12</v>
      </c>
      <c r="D31" s="874" t="s">
        <v>1485</v>
      </c>
      <c r="E31" s="870" t="s">
        <v>13</v>
      </c>
      <c r="F31" s="831">
        <v>14</v>
      </c>
      <c r="G31" s="946"/>
      <c r="H31" s="97"/>
      <c r="I31" s="946"/>
      <c r="J31" s="97"/>
      <c r="K31" s="946"/>
    </row>
    <row r="32" spans="1:14" s="224" customFormat="1" ht="14.25" customHeight="1" x14ac:dyDescent="0.25">
      <c r="A32" s="215">
        <v>43258</v>
      </c>
      <c r="B32" s="862" t="s">
        <v>1331</v>
      </c>
      <c r="C32" s="350" t="s">
        <v>19</v>
      </c>
      <c r="D32" s="879" t="s">
        <v>1487</v>
      </c>
      <c r="E32" s="871" t="s">
        <v>13</v>
      </c>
      <c r="F32" s="626">
        <v>102.82</v>
      </c>
      <c r="G32" s="248"/>
      <c r="H32" s="97"/>
      <c r="I32" s="946"/>
      <c r="J32" s="97"/>
      <c r="K32" s="946"/>
    </row>
    <row r="33" spans="1:11" s="224" customFormat="1" ht="15" customHeight="1" x14ac:dyDescent="0.25">
      <c r="A33" s="215">
        <v>43258</v>
      </c>
      <c r="B33" s="349" t="s">
        <v>1913</v>
      </c>
      <c r="C33" s="350" t="s">
        <v>12</v>
      </c>
      <c r="D33" s="350" t="s">
        <v>1525</v>
      </c>
      <c r="E33" s="480" t="s">
        <v>13</v>
      </c>
      <c r="F33" s="780">
        <v>20</v>
      </c>
      <c r="G33" s="1063"/>
      <c r="H33" s="622"/>
      <c r="I33" s="982"/>
      <c r="J33" s="622"/>
      <c r="K33" s="982"/>
    </row>
    <row r="34" spans="1:11" s="224" customFormat="1" ht="15" customHeight="1" x14ac:dyDescent="0.25">
      <c r="A34" s="215">
        <v>43258</v>
      </c>
      <c r="B34" s="349" t="s">
        <v>1914</v>
      </c>
      <c r="C34" s="350" t="s">
        <v>12</v>
      </c>
      <c r="D34" s="350" t="s">
        <v>1506</v>
      </c>
      <c r="E34" s="480" t="s">
        <v>13</v>
      </c>
      <c r="F34" s="780">
        <v>50</v>
      </c>
      <c r="G34" s="1063"/>
      <c r="H34" s="622"/>
      <c r="I34" s="982"/>
      <c r="J34" s="622"/>
      <c r="K34" s="982"/>
    </row>
    <row r="35" spans="1:11" s="224" customFormat="1" ht="15" customHeight="1" x14ac:dyDescent="0.25">
      <c r="A35" s="215">
        <v>43258</v>
      </c>
      <c r="B35" s="364" t="s">
        <v>14</v>
      </c>
      <c r="C35" s="350" t="s">
        <v>12</v>
      </c>
      <c r="D35" s="350" t="s">
        <v>1486</v>
      </c>
      <c r="E35" s="480" t="s">
        <v>13</v>
      </c>
      <c r="F35" s="626">
        <v>7.4</v>
      </c>
      <c r="G35" s="946"/>
      <c r="H35" s="97"/>
      <c r="I35" s="946"/>
      <c r="J35" s="97"/>
      <c r="K35" s="946"/>
    </row>
    <row r="36" spans="1:11" s="224" customFormat="1" ht="15" customHeight="1" x14ac:dyDescent="0.25">
      <c r="A36" s="215">
        <v>43259</v>
      </c>
      <c r="B36" s="862" t="s">
        <v>32</v>
      </c>
      <c r="C36" s="352" t="s">
        <v>12</v>
      </c>
      <c r="D36" s="874" t="s">
        <v>1485</v>
      </c>
      <c r="E36" s="870" t="s">
        <v>13</v>
      </c>
      <c r="F36" s="831">
        <v>14</v>
      </c>
      <c r="G36" s="946"/>
      <c r="H36" s="97"/>
      <c r="I36" s="946"/>
      <c r="J36" s="97"/>
      <c r="K36" s="946"/>
    </row>
    <row r="37" spans="1:11" s="224" customFormat="1" ht="15" customHeight="1" x14ac:dyDescent="0.25">
      <c r="A37" s="215">
        <v>43259</v>
      </c>
      <c r="B37" s="364" t="s">
        <v>14</v>
      </c>
      <c r="C37" s="350" t="s">
        <v>12</v>
      </c>
      <c r="D37" s="350" t="s">
        <v>1486</v>
      </c>
      <c r="E37" s="480" t="s">
        <v>13</v>
      </c>
      <c r="F37" s="626">
        <v>4.58</v>
      </c>
      <c r="G37" s="1063"/>
      <c r="H37" s="622"/>
      <c r="I37" s="982"/>
      <c r="J37" s="622"/>
      <c r="K37" s="982"/>
    </row>
    <row r="38" spans="1:11" s="224" customFormat="1" ht="15" customHeight="1" x14ac:dyDescent="0.25">
      <c r="A38" s="215">
        <v>43259</v>
      </c>
      <c r="B38" s="364" t="s">
        <v>1915</v>
      </c>
      <c r="C38" s="350" t="s">
        <v>12</v>
      </c>
      <c r="D38" s="350" t="s">
        <v>1524</v>
      </c>
      <c r="E38" s="480" t="s">
        <v>15</v>
      </c>
      <c r="F38" s="626">
        <v>15</v>
      </c>
      <c r="G38" s="1063"/>
      <c r="H38" s="622"/>
      <c r="I38" s="982"/>
      <c r="J38" s="622"/>
      <c r="K38" s="982"/>
    </row>
    <row r="39" spans="1:11" s="224" customFormat="1" ht="15" customHeight="1" x14ac:dyDescent="0.25">
      <c r="A39" s="215">
        <v>43259</v>
      </c>
      <c r="B39" s="876" t="s">
        <v>134</v>
      </c>
      <c r="C39" s="350" t="s">
        <v>12</v>
      </c>
      <c r="D39" s="874" t="s">
        <v>1493</v>
      </c>
      <c r="E39" s="870" t="s">
        <v>13</v>
      </c>
      <c r="F39" s="831">
        <v>20</v>
      </c>
      <c r="G39" s="982"/>
      <c r="H39" s="622"/>
      <c r="I39" s="982"/>
      <c r="J39" s="622"/>
      <c r="K39" s="982"/>
    </row>
    <row r="40" spans="1:11" s="224" customFormat="1" ht="15" customHeight="1" x14ac:dyDescent="0.25">
      <c r="A40" s="215">
        <v>43260</v>
      </c>
      <c r="B40" s="364" t="s">
        <v>14</v>
      </c>
      <c r="C40" s="350" t="s">
        <v>12</v>
      </c>
      <c r="D40" s="350" t="s">
        <v>1486</v>
      </c>
      <c r="E40" s="480" t="s">
        <v>13</v>
      </c>
      <c r="F40" s="626">
        <v>2.37</v>
      </c>
      <c r="G40" s="982"/>
      <c r="H40" s="622"/>
      <c r="I40" s="982"/>
      <c r="J40" s="622"/>
      <c r="K40" s="982"/>
    </row>
    <row r="41" spans="1:11" s="224" customFormat="1" x14ac:dyDescent="0.25">
      <c r="A41" s="215">
        <v>43260</v>
      </c>
      <c r="B41" s="364" t="s">
        <v>1438</v>
      </c>
      <c r="C41" s="350" t="s">
        <v>19</v>
      </c>
      <c r="D41" s="350" t="s">
        <v>1489</v>
      </c>
      <c r="E41" s="480" t="s">
        <v>13</v>
      </c>
      <c r="F41" s="622">
        <v>46.4</v>
      </c>
      <c r="G41" s="248"/>
      <c r="H41" s="97"/>
      <c r="I41" s="946"/>
      <c r="J41" s="97"/>
      <c r="K41" s="946"/>
    </row>
    <row r="42" spans="1:11" s="224" customFormat="1" ht="15" customHeight="1" x14ac:dyDescent="0.25">
      <c r="A42" s="215">
        <v>43260</v>
      </c>
      <c r="B42" s="862" t="s">
        <v>32</v>
      </c>
      <c r="C42" s="352" t="s">
        <v>12</v>
      </c>
      <c r="D42" s="874" t="s">
        <v>1485</v>
      </c>
      <c r="E42" s="870" t="s">
        <v>13</v>
      </c>
      <c r="F42" s="831">
        <v>16</v>
      </c>
      <c r="G42" s="946"/>
      <c r="H42" s="97"/>
      <c r="I42" s="946"/>
      <c r="J42" s="97"/>
      <c r="K42" s="946"/>
    </row>
    <row r="43" spans="1:11" s="224" customFormat="1" ht="15" customHeight="1" x14ac:dyDescent="0.25">
      <c r="A43" s="215">
        <v>43260</v>
      </c>
      <c r="B43" s="862" t="s">
        <v>1438</v>
      </c>
      <c r="C43" s="352" t="s">
        <v>12</v>
      </c>
      <c r="D43" s="874" t="s">
        <v>1489</v>
      </c>
      <c r="E43" s="870" t="s">
        <v>13</v>
      </c>
      <c r="F43" s="831">
        <v>17.29</v>
      </c>
      <c r="G43" s="946"/>
      <c r="H43" s="97"/>
      <c r="I43" s="946"/>
      <c r="J43" s="97"/>
      <c r="K43" s="946"/>
    </row>
    <row r="44" spans="1:11" s="224" customFormat="1" ht="15" customHeight="1" x14ac:dyDescent="0.25">
      <c r="A44" s="215">
        <v>43260</v>
      </c>
      <c r="B44" s="862" t="s">
        <v>190</v>
      </c>
      <c r="C44" s="352" t="s">
        <v>12</v>
      </c>
      <c r="D44" s="874" t="s">
        <v>1489</v>
      </c>
      <c r="E44" s="870" t="s">
        <v>15</v>
      </c>
      <c r="F44" s="831">
        <v>50</v>
      </c>
      <c r="G44" s="946"/>
      <c r="H44" s="97"/>
      <c r="I44" s="946"/>
      <c r="J44" s="97"/>
      <c r="K44" s="946"/>
    </row>
    <row r="45" spans="1:11" s="224" customFormat="1" ht="15" customHeight="1" x14ac:dyDescent="0.25">
      <c r="A45" s="215">
        <v>43261</v>
      </c>
      <c r="B45" s="862" t="s">
        <v>256</v>
      </c>
      <c r="C45" s="879"/>
      <c r="D45" s="879"/>
      <c r="E45" s="871"/>
      <c r="F45" s="97"/>
      <c r="G45" s="1064">
        <v>100</v>
      </c>
      <c r="H45" s="97">
        <v>100</v>
      </c>
      <c r="I45" s="946"/>
      <c r="J45" s="97"/>
      <c r="K45" s="946"/>
    </row>
    <row r="46" spans="1:11" s="224" customFormat="1" x14ac:dyDescent="0.25">
      <c r="A46" s="215">
        <v>43261</v>
      </c>
      <c r="B46" s="349" t="s">
        <v>1892</v>
      </c>
      <c r="C46" s="350" t="s">
        <v>12</v>
      </c>
      <c r="D46" s="802" t="s">
        <v>1491</v>
      </c>
      <c r="E46" s="141" t="s">
        <v>13</v>
      </c>
      <c r="F46" s="844">
        <v>29.9</v>
      </c>
      <c r="G46" s="982"/>
      <c r="H46" s="622"/>
      <c r="I46" s="982"/>
      <c r="J46" s="622"/>
      <c r="K46" s="982"/>
    </row>
    <row r="47" spans="1:11" s="224" customFormat="1" x14ac:dyDescent="0.25">
      <c r="A47" s="215">
        <v>43261</v>
      </c>
      <c r="B47" s="876" t="s">
        <v>1597</v>
      </c>
      <c r="C47" s="350" t="s">
        <v>12</v>
      </c>
      <c r="D47" s="874" t="s">
        <v>1491</v>
      </c>
      <c r="E47" s="870" t="s">
        <v>15</v>
      </c>
      <c r="F47" s="831">
        <v>40</v>
      </c>
      <c r="G47" s="982"/>
      <c r="H47" s="622"/>
      <c r="I47" s="982"/>
      <c r="J47" s="622"/>
      <c r="K47" s="982"/>
    </row>
    <row r="48" spans="1:11" s="224" customFormat="1" x14ac:dyDescent="0.25">
      <c r="A48" s="215">
        <v>43261</v>
      </c>
      <c r="B48" s="876" t="s">
        <v>134</v>
      </c>
      <c r="C48" s="350" t="s">
        <v>12</v>
      </c>
      <c r="D48" s="874" t="s">
        <v>1493</v>
      </c>
      <c r="E48" s="870" t="s">
        <v>13</v>
      </c>
      <c r="F48" s="831">
        <v>9.08</v>
      </c>
      <c r="G48" s="982"/>
      <c r="H48" s="622"/>
      <c r="I48" s="982"/>
      <c r="J48" s="622"/>
      <c r="K48" s="982"/>
    </row>
    <row r="49" spans="1:11" s="224" customFormat="1" ht="15" customHeight="1" x14ac:dyDescent="0.25">
      <c r="A49" s="215">
        <v>43262</v>
      </c>
      <c r="B49" s="349" t="s">
        <v>147</v>
      </c>
      <c r="C49" s="350" t="s">
        <v>12</v>
      </c>
      <c r="D49" s="802" t="s">
        <v>1506</v>
      </c>
      <c r="E49" s="803" t="s">
        <v>15</v>
      </c>
      <c r="F49" s="804">
        <v>10</v>
      </c>
      <c r="G49" s="946"/>
      <c r="H49" s="97"/>
      <c r="I49" s="946"/>
      <c r="J49" s="97"/>
      <c r="K49" s="946"/>
    </row>
    <row r="50" spans="1:11" s="224" customFormat="1" x14ac:dyDescent="0.25">
      <c r="A50" s="215">
        <v>43262</v>
      </c>
      <c r="B50" s="862" t="s">
        <v>1916</v>
      </c>
      <c r="C50" s="352" t="s">
        <v>12</v>
      </c>
      <c r="D50" s="874" t="s">
        <v>1522</v>
      </c>
      <c r="E50" s="870" t="s">
        <v>13</v>
      </c>
      <c r="F50" s="831">
        <v>40</v>
      </c>
      <c r="G50" s="248"/>
      <c r="H50" s="622"/>
      <c r="I50" s="982"/>
      <c r="J50" s="622"/>
      <c r="K50" s="982"/>
    </row>
    <row r="51" spans="1:11" ht="15" customHeight="1" x14ac:dyDescent="0.25">
      <c r="A51" s="215">
        <v>43262</v>
      </c>
      <c r="B51" s="349" t="s">
        <v>1396</v>
      </c>
      <c r="C51" s="350" t="s">
        <v>12</v>
      </c>
      <c r="D51" s="350"/>
      <c r="E51" s="757" t="s">
        <v>25</v>
      </c>
      <c r="F51" s="97"/>
      <c r="G51" s="946">
        <v>40</v>
      </c>
      <c r="H51" s="97"/>
      <c r="I51" s="946"/>
      <c r="J51" s="97"/>
      <c r="K51" s="946"/>
    </row>
    <row r="52" spans="1:11" s="224" customFormat="1" ht="15" customHeight="1" x14ac:dyDescent="0.25">
      <c r="A52" s="215">
        <v>43263</v>
      </c>
      <c r="B52" s="862" t="s">
        <v>32</v>
      </c>
      <c r="C52" s="352" t="s">
        <v>12</v>
      </c>
      <c r="D52" s="874" t="s">
        <v>1485</v>
      </c>
      <c r="E52" s="870" t="s">
        <v>15</v>
      </c>
      <c r="F52" s="831">
        <v>14</v>
      </c>
      <c r="G52" s="946"/>
      <c r="H52" s="97"/>
      <c r="I52" s="946"/>
      <c r="J52" s="97"/>
      <c r="K52" s="946"/>
    </row>
    <row r="53" spans="1:11" s="224" customFormat="1" ht="15" customHeight="1" x14ac:dyDescent="0.25">
      <c r="A53" s="215">
        <v>43263</v>
      </c>
      <c r="B53" s="862" t="s">
        <v>1917</v>
      </c>
      <c r="C53" s="352" t="s">
        <v>12</v>
      </c>
      <c r="D53" s="874" t="s">
        <v>1489</v>
      </c>
      <c r="E53" s="870" t="s">
        <v>13</v>
      </c>
      <c r="F53" s="831">
        <v>20.5</v>
      </c>
      <c r="G53" s="946"/>
      <c r="H53" s="97"/>
      <c r="I53" s="946"/>
      <c r="J53" s="97"/>
      <c r="K53" s="946"/>
    </row>
    <row r="54" spans="1:11" s="224" customFormat="1" ht="14.25" customHeight="1" x14ac:dyDescent="0.25">
      <c r="A54" s="215">
        <v>43264</v>
      </c>
      <c r="B54" s="364" t="s">
        <v>14</v>
      </c>
      <c r="C54" s="350" t="s">
        <v>12</v>
      </c>
      <c r="D54" s="350" t="s">
        <v>1486</v>
      </c>
      <c r="E54" s="480" t="s">
        <v>15</v>
      </c>
      <c r="F54" s="626">
        <v>3</v>
      </c>
      <c r="G54" s="248"/>
      <c r="H54" s="622"/>
      <c r="I54" s="982"/>
      <c r="J54" s="622"/>
      <c r="K54" s="982"/>
    </row>
    <row r="55" spans="1:11" s="224" customFormat="1" ht="15" customHeight="1" x14ac:dyDescent="0.25">
      <c r="A55" s="215">
        <v>43265</v>
      </c>
      <c r="B55" s="862" t="s">
        <v>256</v>
      </c>
      <c r="C55" s="879"/>
      <c r="D55" s="879"/>
      <c r="E55" s="871"/>
      <c r="F55" s="97"/>
      <c r="G55" s="1064">
        <v>207.88</v>
      </c>
      <c r="H55" s="97">
        <v>207.88</v>
      </c>
      <c r="I55" s="946"/>
      <c r="J55" s="97"/>
      <c r="K55" s="946"/>
    </row>
    <row r="56" spans="1:11" s="224" customFormat="1" ht="15" customHeight="1" x14ac:dyDescent="0.25">
      <c r="A56" s="215">
        <v>43265</v>
      </c>
      <c r="B56" s="862" t="s">
        <v>32</v>
      </c>
      <c r="C56" s="352" t="s">
        <v>12</v>
      </c>
      <c r="D56" s="874" t="s">
        <v>1485</v>
      </c>
      <c r="E56" s="870" t="s">
        <v>13</v>
      </c>
      <c r="F56" s="831">
        <v>14</v>
      </c>
      <c r="G56" s="946"/>
      <c r="H56" s="97"/>
      <c r="I56" s="946"/>
      <c r="J56" s="97"/>
      <c r="K56" s="946"/>
    </row>
    <row r="57" spans="1:11" s="224" customFormat="1" ht="15" customHeight="1" x14ac:dyDescent="0.25">
      <c r="A57" s="215">
        <v>43265</v>
      </c>
      <c r="B57" s="364" t="s">
        <v>1918</v>
      </c>
      <c r="C57" s="350" t="s">
        <v>12</v>
      </c>
      <c r="D57" s="350" t="s">
        <v>1491</v>
      </c>
      <c r="E57" s="480" t="s">
        <v>15</v>
      </c>
      <c r="F57" s="622">
        <v>40</v>
      </c>
      <c r="G57" s="982"/>
      <c r="H57" s="622"/>
      <c r="I57" s="982"/>
      <c r="J57" s="622"/>
      <c r="K57" s="982"/>
    </row>
    <row r="58" spans="1:11" s="224" customFormat="1" x14ac:dyDescent="0.25">
      <c r="A58" s="215">
        <v>43265</v>
      </c>
      <c r="B58" s="862" t="s">
        <v>1919</v>
      </c>
      <c r="C58" s="352" t="s">
        <v>12</v>
      </c>
      <c r="D58" s="874" t="s">
        <v>1489</v>
      </c>
      <c r="E58" s="875" t="s">
        <v>15</v>
      </c>
      <c r="F58" s="829">
        <v>10</v>
      </c>
      <c r="G58" s="946"/>
      <c r="H58" s="97"/>
      <c r="I58" s="946"/>
      <c r="J58" s="97"/>
      <c r="K58" s="946"/>
    </row>
    <row r="59" spans="1:11" s="224" customFormat="1" ht="14.25" customHeight="1" x14ac:dyDescent="0.25">
      <c r="A59" s="215">
        <v>43265</v>
      </c>
      <c r="B59" s="862" t="s">
        <v>1331</v>
      </c>
      <c r="C59" s="350" t="s">
        <v>19</v>
      </c>
      <c r="D59" s="879" t="s">
        <v>1487</v>
      </c>
      <c r="E59" s="871" t="s">
        <v>15</v>
      </c>
      <c r="F59" s="626">
        <v>75</v>
      </c>
      <c r="G59" s="248"/>
      <c r="H59" s="97"/>
      <c r="I59" s="946"/>
      <c r="J59" s="97"/>
      <c r="K59" s="946"/>
    </row>
    <row r="60" spans="1:11" s="224" customFormat="1" ht="15" customHeight="1" x14ac:dyDescent="0.25">
      <c r="A60" s="215">
        <v>43265</v>
      </c>
      <c r="B60" s="364" t="s">
        <v>1920</v>
      </c>
      <c r="C60" s="350" t="s">
        <v>19</v>
      </c>
      <c r="D60" s="350" t="s">
        <v>1506</v>
      </c>
      <c r="E60" s="480" t="s">
        <v>13</v>
      </c>
      <c r="F60" s="622">
        <v>80</v>
      </c>
      <c r="G60" s="982"/>
      <c r="H60" s="622"/>
      <c r="I60" s="982"/>
      <c r="J60" s="622"/>
      <c r="K60" s="982"/>
    </row>
    <row r="61" spans="1:11" s="224" customFormat="1" ht="15" customHeight="1" x14ac:dyDescent="0.25">
      <c r="A61" s="215">
        <v>43265</v>
      </c>
      <c r="B61" s="364" t="s">
        <v>14</v>
      </c>
      <c r="C61" s="350" t="s">
        <v>12</v>
      </c>
      <c r="D61" s="350" t="s">
        <v>1486</v>
      </c>
      <c r="E61" s="480" t="s">
        <v>15</v>
      </c>
      <c r="F61" s="626">
        <v>7.2</v>
      </c>
      <c r="G61" s="982"/>
      <c r="H61" s="622"/>
      <c r="I61" s="982"/>
      <c r="J61" s="622"/>
      <c r="K61" s="982"/>
    </row>
    <row r="62" spans="1:11" s="224" customFormat="1" x14ac:dyDescent="0.25">
      <c r="A62" s="215">
        <v>43266</v>
      </c>
      <c r="B62" s="876" t="s">
        <v>1921</v>
      </c>
      <c r="C62" s="350" t="s">
        <v>12</v>
      </c>
      <c r="D62" s="874" t="s">
        <v>1489</v>
      </c>
      <c r="E62" s="870" t="s">
        <v>15</v>
      </c>
      <c r="F62" s="831">
        <v>10</v>
      </c>
      <c r="G62" s="248"/>
      <c r="H62" s="622"/>
      <c r="I62" s="982"/>
      <c r="J62" s="622"/>
      <c r="K62" s="982"/>
    </row>
    <row r="63" spans="1:11" s="224" customFormat="1" x14ac:dyDescent="0.25">
      <c r="A63" s="215">
        <v>43266</v>
      </c>
      <c r="B63" s="876" t="s">
        <v>1628</v>
      </c>
      <c r="C63" s="350" t="s">
        <v>12</v>
      </c>
      <c r="D63" s="874" t="s">
        <v>1489</v>
      </c>
      <c r="E63" s="870" t="s">
        <v>15</v>
      </c>
      <c r="F63" s="831">
        <v>20</v>
      </c>
      <c r="G63" s="248"/>
      <c r="H63" s="622"/>
      <c r="I63" s="982"/>
      <c r="J63" s="622"/>
      <c r="K63" s="982"/>
    </row>
    <row r="64" spans="1:11" s="224" customFormat="1" ht="15" customHeight="1" x14ac:dyDescent="0.25">
      <c r="A64" s="215">
        <v>43267</v>
      </c>
      <c r="B64" s="862" t="s">
        <v>32</v>
      </c>
      <c r="C64" s="352" t="s">
        <v>12</v>
      </c>
      <c r="D64" s="874" t="s">
        <v>1485</v>
      </c>
      <c r="E64" s="870" t="s">
        <v>13</v>
      </c>
      <c r="F64" s="831">
        <v>15.9</v>
      </c>
      <c r="G64" s="946"/>
      <c r="H64" s="97"/>
      <c r="I64" s="946"/>
      <c r="J64" s="97"/>
      <c r="K64" s="946"/>
    </row>
    <row r="65" spans="1:11" s="224" customFormat="1" x14ac:dyDescent="0.25">
      <c r="A65" s="215">
        <v>43267</v>
      </c>
      <c r="B65" s="364" t="s">
        <v>134</v>
      </c>
      <c r="C65" s="350" t="s">
        <v>12</v>
      </c>
      <c r="D65" s="350" t="s">
        <v>1493</v>
      </c>
      <c r="E65" s="480" t="s">
        <v>13</v>
      </c>
      <c r="F65" s="626">
        <v>4.4800000000000004</v>
      </c>
      <c r="G65" s="248"/>
      <c r="H65" s="622"/>
      <c r="I65" s="982"/>
      <c r="J65" s="622"/>
      <c r="K65" s="982"/>
    </row>
    <row r="66" spans="1:11" s="224" customFormat="1" ht="15" customHeight="1" x14ac:dyDescent="0.25">
      <c r="A66" s="215">
        <v>43267</v>
      </c>
      <c r="B66" s="862" t="s">
        <v>256</v>
      </c>
      <c r="C66" s="879"/>
      <c r="D66" s="879"/>
      <c r="E66" s="871"/>
      <c r="F66" s="97"/>
      <c r="G66" s="1064">
        <v>100</v>
      </c>
      <c r="H66" s="97">
        <v>100</v>
      </c>
      <c r="I66" s="946"/>
      <c r="J66" s="97"/>
      <c r="K66" s="946"/>
    </row>
    <row r="67" spans="1:11" ht="15" customHeight="1" x14ac:dyDescent="0.25">
      <c r="A67" s="215">
        <v>43267</v>
      </c>
      <c r="B67" s="364" t="s">
        <v>1922</v>
      </c>
      <c r="C67" s="350" t="s">
        <v>12</v>
      </c>
      <c r="D67" s="350" t="s">
        <v>1489</v>
      </c>
      <c r="E67" s="480" t="s">
        <v>13</v>
      </c>
      <c r="F67" s="622">
        <v>107.83</v>
      </c>
      <c r="G67" s="982"/>
      <c r="H67" s="622"/>
      <c r="I67" s="982"/>
      <c r="J67" s="622"/>
      <c r="K67" s="982"/>
    </row>
    <row r="68" spans="1:11" s="224" customFormat="1" ht="15" customHeight="1" x14ac:dyDescent="0.25">
      <c r="A68" s="215">
        <v>43268</v>
      </c>
      <c r="B68" s="364" t="s">
        <v>14</v>
      </c>
      <c r="C68" s="350" t="s">
        <v>12</v>
      </c>
      <c r="D68" s="350" t="s">
        <v>1486</v>
      </c>
      <c r="E68" s="480" t="s">
        <v>13</v>
      </c>
      <c r="F68" s="626">
        <v>1.8</v>
      </c>
      <c r="G68" s="982"/>
      <c r="H68" s="622"/>
      <c r="I68" s="982"/>
      <c r="J68" s="622"/>
      <c r="K68" s="982"/>
    </row>
    <row r="69" spans="1:11" ht="15" customHeight="1" x14ac:dyDescent="0.25">
      <c r="A69" s="215">
        <v>43268</v>
      </c>
      <c r="B69" s="349" t="s">
        <v>1438</v>
      </c>
      <c r="C69" s="350" t="s">
        <v>12</v>
      </c>
      <c r="D69" s="350" t="s">
        <v>1489</v>
      </c>
      <c r="E69" s="757" t="s">
        <v>13</v>
      </c>
      <c r="F69" s="622">
        <v>13</v>
      </c>
      <c r="G69" s="982"/>
      <c r="H69" s="622"/>
      <c r="I69" s="982"/>
      <c r="J69" s="622"/>
      <c r="K69" s="982"/>
    </row>
    <row r="70" spans="1:11" s="224" customFormat="1" ht="15" customHeight="1" x14ac:dyDescent="0.25">
      <c r="A70" s="215">
        <v>43269</v>
      </c>
      <c r="B70" s="862" t="s">
        <v>32</v>
      </c>
      <c r="C70" s="352" t="s">
        <v>12</v>
      </c>
      <c r="D70" s="874" t="s">
        <v>1485</v>
      </c>
      <c r="E70" s="870" t="s">
        <v>13</v>
      </c>
      <c r="F70" s="831">
        <v>14</v>
      </c>
      <c r="G70" s="946"/>
      <c r="H70" s="97"/>
      <c r="I70" s="946"/>
      <c r="J70" s="97"/>
      <c r="K70" s="946"/>
    </row>
    <row r="71" spans="1:11" s="224" customFormat="1" ht="15" customHeight="1" x14ac:dyDescent="0.25">
      <c r="A71" s="215">
        <v>43269</v>
      </c>
      <c r="B71" s="364" t="s">
        <v>14</v>
      </c>
      <c r="C71" s="350" t="s">
        <v>12</v>
      </c>
      <c r="D71" s="350" t="s">
        <v>1486</v>
      </c>
      <c r="E71" s="480" t="s">
        <v>15</v>
      </c>
      <c r="F71" s="626">
        <v>4.6100000000000003</v>
      </c>
      <c r="G71" s="982"/>
      <c r="H71" s="622"/>
      <c r="I71" s="982"/>
      <c r="J71" s="622"/>
      <c r="K71" s="982"/>
    </row>
    <row r="72" spans="1:11" s="224" customFormat="1" ht="15" customHeight="1" x14ac:dyDescent="0.25">
      <c r="A72" s="215">
        <v>43269</v>
      </c>
      <c r="B72" s="364" t="s">
        <v>1331</v>
      </c>
      <c r="C72" s="350" t="s">
        <v>12</v>
      </c>
      <c r="D72" s="350" t="s">
        <v>1487</v>
      </c>
      <c r="E72" s="480" t="s">
        <v>15</v>
      </c>
      <c r="F72" s="626">
        <v>30</v>
      </c>
      <c r="G72" s="982"/>
      <c r="H72" s="622"/>
      <c r="I72" s="982"/>
      <c r="J72" s="622"/>
      <c r="K72" s="982"/>
    </row>
    <row r="73" spans="1:11" s="224" customFormat="1" x14ac:dyDescent="0.25">
      <c r="A73" s="215">
        <v>43270</v>
      </c>
      <c r="B73" s="862" t="s">
        <v>32</v>
      </c>
      <c r="C73" s="352" t="s">
        <v>12</v>
      </c>
      <c r="D73" s="874" t="s">
        <v>1485</v>
      </c>
      <c r="E73" s="870" t="s">
        <v>13</v>
      </c>
      <c r="F73" s="831">
        <v>14</v>
      </c>
      <c r="G73" s="982"/>
      <c r="H73" s="622"/>
      <c r="I73" s="982"/>
      <c r="J73" s="622"/>
      <c r="K73" s="982"/>
    </row>
    <row r="74" spans="1:11" s="224" customFormat="1" x14ac:dyDescent="0.25">
      <c r="A74" s="215">
        <v>43270</v>
      </c>
      <c r="B74" s="862" t="s">
        <v>1597</v>
      </c>
      <c r="C74" s="352" t="s">
        <v>12</v>
      </c>
      <c r="D74" s="874" t="s">
        <v>1491</v>
      </c>
      <c r="E74" s="870" t="s">
        <v>15</v>
      </c>
      <c r="F74" s="831">
        <v>50</v>
      </c>
      <c r="G74" s="982"/>
      <c r="H74" s="622"/>
      <c r="I74" s="982"/>
      <c r="J74" s="622"/>
      <c r="K74" s="982"/>
    </row>
    <row r="75" spans="1:11" s="224" customFormat="1" ht="15" customHeight="1" x14ac:dyDescent="0.25">
      <c r="A75" s="215">
        <v>43270</v>
      </c>
      <c r="B75" s="364" t="s">
        <v>14</v>
      </c>
      <c r="C75" s="350" t="s">
        <v>12</v>
      </c>
      <c r="D75" s="350" t="s">
        <v>1486</v>
      </c>
      <c r="E75" s="480" t="s">
        <v>15</v>
      </c>
      <c r="F75" s="626">
        <v>10</v>
      </c>
      <c r="G75" s="982"/>
      <c r="H75" s="622"/>
      <c r="I75" s="982"/>
      <c r="J75" s="622"/>
      <c r="K75" s="982"/>
    </row>
    <row r="76" spans="1:11" x14ac:dyDescent="0.25">
      <c r="A76" s="215">
        <v>43271</v>
      </c>
      <c r="B76" s="882" t="s">
        <v>1923</v>
      </c>
      <c r="C76" s="350" t="s">
        <v>12</v>
      </c>
      <c r="D76" s="145"/>
      <c r="E76" s="145" t="s">
        <v>25</v>
      </c>
      <c r="F76" s="1524"/>
      <c r="G76" s="982">
        <v>1600</v>
      </c>
      <c r="H76" s="622"/>
      <c r="I76" s="982"/>
      <c r="J76" s="622"/>
      <c r="K76" s="982"/>
    </row>
    <row r="77" spans="1:11" s="224" customFormat="1" ht="15.75" customHeight="1" x14ac:dyDescent="0.25">
      <c r="A77" s="215">
        <v>43271</v>
      </c>
      <c r="B77" s="882" t="s">
        <v>1924</v>
      </c>
      <c r="C77" s="879" t="s">
        <v>12</v>
      </c>
      <c r="D77" s="879" t="s">
        <v>1499</v>
      </c>
      <c r="E77" s="871" t="s">
        <v>13</v>
      </c>
      <c r="F77" s="622">
        <v>48.55</v>
      </c>
      <c r="G77" s="1002"/>
      <c r="H77" s="538"/>
      <c r="I77" s="982"/>
      <c r="J77" s="622"/>
      <c r="K77" s="982"/>
    </row>
    <row r="78" spans="1:11" s="224" customFormat="1" x14ac:dyDescent="0.25">
      <c r="A78" s="215">
        <v>43271</v>
      </c>
      <c r="B78" s="873" t="s">
        <v>1564</v>
      </c>
      <c r="C78" s="879" t="s">
        <v>12</v>
      </c>
      <c r="D78" s="350" t="s">
        <v>1491</v>
      </c>
      <c r="E78" s="871" t="s">
        <v>15</v>
      </c>
      <c r="F78" s="622">
        <v>130</v>
      </c>
      <c r="G78" s="982"/>
      <c r="H78" s="622"/>
      <c r="I78" s="982"/>
      <c r="J78" s="622"/>
      <c r="K78" s="982"/>
    </row>
    <row r="79" spans="1:11" s="224" customFormat="1" x14ac:dyDescent="0.25">
      <c r="A79" s="215">
        <v>43271</v>
      </c>
      <c r="B79" s="862" t="s">
        <v>1925</v>
      </c>
      <c r="C79" s="352" t="s">
        <v>12</v>
      </c>
      <c r="D79" s="874" t="s">
        <v>1489</v>
      </c>
      <c r="E79" s="875" t="s">
        <v>15</v>
      </c>
      <c r="F79" s="829">
        <v>32</v>
      </c>
      <c r="G79" s="946"/>
      <c r="H79" s="97"/>
      <c r="I79" s="946"/>
      <c r="J79" s="97"/>
      <c r="K79" s="946"/>
    </row>
    <row r="80" spans="1:11" s="224" customFormat="1" x14ac:dyDescent="0.25">
      <c r="A80" s="215">
        <v>43271</v>
      </c>
      <c r="B80" s="862" t="s">
        <v>32</v>
      </c>
      <c r="C80" s="352" t="s">
        <v>12</v>
      </c>
      <c r="D80" s="874" t="s">
        <v>1485</v>
      </c>
      <c r="E80" s="870" t="s">
        <v>15</v>
      </c>
      <c r="F80" s="831">
        <v>14</v>
      </c>
      <c r="G80" s="982"/>
      <c r="H80" s="622"/>
      <c r="I80" s="982"/>
      <c r="J80" s="622"/>
      <c r="K80" s="982"/>
    </row>
    <row r="81" spans="1:11" s="224" customFormat="1" ht="15" customHeight="1" x14ac:dyDescent="0.25">
      <c r="A81" s="215">
        <v>43271</v>
      </c>
      <c r="B81" s="364" t="s">
        <v>14</v>
      </c>
      <c r="C81" s="350" t="s">
        <v>12</v>
      </c>
      <c r="D81" s="350" t="s">
        <v>1486</v>
      </c>
      <c r="E81" s="480" t="s">
        <v>13</v>
      </c>
      <c r="F81" s="626">
        <v>10.69</v>
      </c>
      <c r="G81" s="982"/>
      <c r="H81" s="622"/>
      <c r="I81" s="982"/>
      <c r="J81" s="622"/>
      <c r="K81" s="982"/>
    </row>
    <row r="82" spans="1:11" s="224" customFormat="1" ht="15" customHeight="1" x14ac:dyDescent="0.25">
      <c r="A82" s="215">
        <v>43271</v>
      </c>
      <c r="B82" s="349" t="s">
        <v>1331</v>
      </c>
      <c r="C82" s="350" t="s">
        <v>12</v>
      </c>
      <c r="D82" s="350" t="s">
        <v>1487</v>
      </c>
      <c r="E82" s="480" t="s">
        <v>13</v>
      </c>
      <c r="F82" s="780">
        <v>70</v>
      </c>
      <c r="G82" s="1063"/>
      <c r="H82" s="622"/>
      <c r="I82" s="982"/>
      <c r="J82" s="622"/>
      <c r="K82" s="982"/>
    </row>
    <row r="83" spans="1:11" s="224" customFormat="1" x14ac:dyDescent="0.25">
      <c r="A83" s="215">
        <v>43272</v>
      </c>
      <c r="B83" s="862" t="s">
        <v>32</v>
      </c>
      <c r="C83" s="352" t="s">
        <v>12</v>
      </c>
      <c r="D83" s="874" t="s">
        <v>1485</v>
      </c>
      <c r="E83" s="870" t="s">
        <v>15</v>
      </c>
      <c r="F83" s="831">
        <v>14</v>
      </c>
      <c r="G83" s="982"/>
      <c r="H83" s="622"/>
      <c r="I83" s="982"/>
      <c r="J83" s="622"/>
      <c r="K83" s="982"/>
    </row>
    <row r="84" spans="1:11" s="224" customFormat="1" ht="15" customHeight="1" x14ac:dyDescent="0.25">
      <c r="A84" s="215">
        <v>43272</v>
      </c>
      <c r="B84" s="349" t="s">
        <v>260</v>
      </c>
      <c r="C84" s="350"/>
      <c r="D84" s="350"/>
      <c r="E84" s="480"/>
      <c r="F84" s="523">
        <v>400</v>
      </c>
      <c r="G84" s="1064"/>
      <c r="H84" s="97"/>
      <c r="I84" s="946">
        <v>400</v>
      </c>
      <c r="J84" s="97"/>
      <c r="K84" s="946"/>
    </row>
    <row r="85" spans="1:11" s="224" customFormat="1" ht="15" customHeight="1" x14ac:dyDescent="0.25">
      <c r="A85" s="215">
        <v>43272</v>
      </c>
      <c r="B85" s="364" t="s">
        <v>14</v>
      </c>
      <c r="C85" s="350" t="s">
        <v>12</v>
      </c>
      <c r="D85" s="350" t="s">
        <v>1486</v>
      </c>
      <c r="E85" s="480" t="s">
        <v>13</v>
      </c>
      <c r="F85" s="626">
        <v>7.13</v>
      </c>
      <c r="G85" s="1063"/>
      <c r="H85" s="622"/>
      <c r="I85" s="982"/>
      <c r="J85" s="622"/>
      <c r="K85" s="982"/>
    </row>
    <row r="86" spans="1:11" s="224" customFormat="1" x14ac:dyDescent="0.25">
      <c r="A86" s="215">
        <v>43273</v>
      </c>
      <c r="B86" s="862" t="s">
        <v>32</v>
      </c>
      <c r="C86" s="352" t="s">
        <v>12</v>
      </c>
      <c r="D86" s="874" t="s">
        <v>1485</v>
      </c>
      <c r="E86" s="870" t="s">
        <v>13</v>
      </c>
      <c r="F86" s="831">
        <v>14</v>
      </c>
      <c r="G86" s="982"/>
      <c r="H86" s="622"/>
      <c r="I86" s="982"/>
      <c r="J86" s="622"/>
      <c r="K86" s="982"/>
    </row>
    <row r="87" spans="1:11" s="224" customFormat="1" ht="15" customHeight="1" x14ac:dyDescent="0.25">
      <c r="A87" s="215">
        <v>43273</v>
      </c>
      <c r="B87" s="364" t="s">
        <v>1926</v>
      </c>
      <c r="C87" s="350" t="s">
        <v>12</v>
      </c>
      <c r="D87" s="350" t="s">
        <v>1506</v>
      </c>
      <c r="E87" s="480" t="s">
        <v>13</v>
      </c>
      <c r="F87" s="622">
        <v>250</v>
      </c>
      <c r="G87" s="982"/>
      <c r="H87" s="622"/>
      <c r="I87" s="982"/>
      <c r="J87" s="622"/>
      <c r="K87" s="982"/>
    </row>
    <row r="88" spans="1:11" s="224" customFormat="1" ht="15" customHeight="1" x14ac:dyDescent="0.25">
      <c r="A88" s="215">
        <v>43273</v>
      </c>
      <c r="B88" s="364" t="s">
        <v>14</v>
      </c>
      <c r="C88" s="350" t="s">
        <v>12</v>
      </c>
      <c r="D88" s="350" t="s">
        <v>1486</v>
      </c>
      <c r="E88" s="480" t="s">
        <v>13</v>
      </c>
      <c r="F88" s="626">
        <v>11.15</v>
      </c>
      <c r="G88" s="1063"/>
      <c r="H88" s="622"/>
      <c r="I88" s="982"/>
      <c r="J88" s="622"/>
      <c r="K88" s="982"/>
    </row>
    <row r="89" spans="1:11" s="224" customFormat="1" x14ac:dyDescent="0.25">
      <c r="A89" s="215">
        <v>43274</v>
      </c>
      <c r="B89" s="862" t="s">
        <v>32</v>
      </c>
      <c r="C89" s="352" t="s">
        <v>12</v>
      </c>
      <c r="D89" s="874" t="s">
        <v>1485</v>
      </c>
      <c r="E89" s="870" t="s">
        <v>13</v>
      </c>
      <c r="F89" s="831">
        <v>16</v>
      </c>
      <c r="G89" s="982"/>
      <c r="H89" s="622"/>
      <c r="I89" s="982"/>
      <c r="J89" s="622"/>
      <c r="K89" s="982"/>
    </row>
    <row r="90" spans="1:11" s="224" customFormat="1" x14ac:dyDescent="0.25">
      <c r="A90" s="215">
        <v>43274</v>
      </c>
      <c r="B90" s="876" t="s">
        <v>1438</v>
      </c>
      <c r="C90" s="350" t="s">
        <v>19</v>
      </c>
      <c r="D90" s="874" t="s">
        <v>1489</v>
      </c>
      <c r="E90" s="870" t="s">
        <v>13</v>
      </c>
      <c r="F90" s="831">
        <v>52</v>
      </c>
      <c r="G90" s="982"/>
      <c r="H90" s="622"/>
      <c r="I90" s="982"/>
      <c r="J90" s="622"/>
      <c r="K90" s="982"/>
    </row>
    <row r="91" spans="1:11" s="224" customFormat="1" x14ac:dyDescent="0.25">
      <c r="A91" s="215">
        <v>43274</v>
      </c>
      <c r="B91" s="876" t="s">
        <v>1331</v>
      </c>
      <c r="C91" s="350" t="s">
        <v>12</v>
      </c>
      <c r="D91" s="874" t="s">
        <v>1487</v>
      </c>
      <c r="E91" s="870" t="s">
        <v>15</v>
      </c>
      <c r="F91" s="831">
        <v>40</v>
      </c>
      <c r="G91" s="982"/>
      <c r="H91" s="622"/>
      <c r="I91" s="982"/>
      <c r="J91" s="622"/>
      <c r="K91" s="982"/>
    </row>
    <row r="92" spans="1:11" s="224" customFormat="1" x14ac:dyDescent="0.25">
      <c r="A92" s="215">
        <v>43274</v>
      </c>
      <c r="B92" s="876" t="s">
        <v>1927</v>
      </c>
      <c r="C92" s="350" t="s">
        <v>12</v>
      </c>
      <c r="D92" s="874" t="s">
        <v>1489</v>
      </c>
      <c r="E92" s="870" t="s">
        <v>15</v>
      </c>
      <c r="F92" s="831">
        <v>24</v>
      </c>
      <c r="G92" s="982"/>
      <c r="H92" s="622"/>
      <c r="I92" s="982"/>
      <c r="J92" s="622"/>
      <c r="K92" s="982"/>
    </row>
    <row r="93" spans="1:11" s="224" customFormat="1" x14ac:dyDescent="0.25">
      <c r="A93" s="215">
        <v>43275</v>
      </c>
      <c r="B93" s="862" t="s">
        <v>1928</v>
      </c>
      <c r="C93" s="350" t="s">
        <v>12</v>
      </c>
      <c r="D93" s="874" t="s">
        <v>1504</v>
      </c>
      <c r="E93" s="1475" t="s">
        <v>13</v>
      </c>
      <c r="F93" s="622">
        <v>65.900000000000006</v>
      </c>
      <c r="G93" s="946"/>
      <c r="H93" s="97"/>
      <c r="I93" s="946"/>
      <c r="J93" s="97"/>
      <c r="K93" s="946"/>
    </row>
    <row r="94" spans="1:11" s="224" customFormat="1" ht="15" customHeight="1" x14ac:dyDescent="0.25">
      <c r="A94" s="215">
        <v>43276</v>
      </c>
      <c r="B94" s="862" t="s">
        <v>256</v>
      </c>
      <c r="C94" s="879"/>
      <c r="D94" s="879"/>
      <c r="E94" s="871"/>
      <c r="F94" s="97"/>
      <c r="G94" s="1064">
        <v>1300</v>
      </c>
      <c r="H94" s="97">
        <v>1300</v>
      </c>
      <c r="I94" s="946"/>
      <c r="J94" s="97"/>
      <c r="K94" s="946"/>
    </row>
    <row r="95" spans="1:11" s="224" customFormat="1" x14ac:dyDescent="0.25">
      <c r="A95" s="215">
        <v>43276</v>
      </c>
      <c r="B95" s="349" t="s">
        <v>1661</v>
      </c>
      <c r="C95" s="350" t="s">
        <v>12</v>
      </c>
      <c r="D95" s="350"/>
      <c r="E95" s="480" t="s">
        <v>13</v>
      </c>
      <c r="F95" s="97">
        <v>956.27</v>
      </c>
      <c r="G95" s="1064"/>
      <c r="H95" s="97"/>
      <c r="I95" s="946"/>
      <c r="J95" s="97"/>
      <c r="K95" s="946">
        <v>956.27</v>
      </c>
    </row>
    <row r="96" spans="1:11" s="224" customFormat="1" x14ac:dyDescent="0.25">
      <c r="A96" s="215">
        <v>43276</v>
      </c>
      <c r="B96" s="862" t="s">
        <v>32</v>
      </c>
      <c r="C96" s="352" t="s">
        <v>12</v>
      </c>
      <c r="D96" s="874" t="s">
        <v>1485</v>
      </c>
      <c r="E96" s="870" t="s">
        <v>13</v>
      </c>
      <c r="F96" s="831">
        <v>14</v>
      </c>
      <c r="G96" s="982"/>
      <c r="H96" s="622"/>
      <c r="I96" s="982"/>
      <c r="J96" s="622"/>
      <c r="K96" s="982"/>
    </row>
    <row r="97" spans="1:11" s="224" customFormat="1" x14ac:dyDescent="0.25">
      <c r="A97" s="215">
        <v>43276</v>
      </c>
      <c r="B97" s="349" t="s">
        <v>521</v>
      </c>
      <c r="C97" s="350" t="s">
        <v>12</v>
      </c>
      <c r="D97" s="802" t="s">
        <v>1489</v>
      </c>
      <c r="E97" s="778" t="s">
        <v>13</v>
      </c>
      <c r="F97" s="844">
        <v>16.899999999999999</v>
      </c>
      <c r="G97" s="982"/>
      <c r="H97" s="622"/>
      <c r="I97" s="1002"/>
      <c r="J97" s="622"/>
      <c r="K97" s="1002"/>
    </row>
    <row r="98" spans="1:11" s="224" customFormat="1" ht="15" customHeight="1" x14ac:dyDescent="0.25">
      <c r="A98" s="215">
        <v>43276</v>
      </c>
      <c r="B98" s="364" t="s">
        <v>14</v>
      </c>
      <c r="C98" s="350" t="s">
        <v>12</v>
      </c>
      <c r="D98" s="350" t="s">
        <v>1486</v>
      </c>
      <c r="E98" s="480" t="s">
        <v>13</v>
      </c>
      <c r="F98" s="626">
        <v>2.41</v>
      </c>
      <c r="G98" s="1063"/>
      <c r="H98" s="622"/>
      <c r="I98" s="982"/>
      <c r="J98" s="622"/>
      <c r="K98" s="982"/>
    </row>
    <row r="99" spans="1:11" s="224" customFormat="1" ht="15" customHeight="1" x14ac:dyDescent="0.25">
      <c r="A99" s="215">
        <v>43276</v>
      </c>
      <c r="B99" s="364" t="s">
        <v>147</v>
      </c>
      <c r="C99" s="350" t="s">
        <v>12</v>
      </c>
      <c r="D99" s="350" t="s">
        <v>1506</v>
      </c>
      <c r="E99" s="480" t="s">
        <v>15</v>
      </c>
      <c r="F99" s="626">
        <v>10</v>
      </c>
      <c r="G99" s="1063"/>
      <c r="H99" s="622"/>
      <c r="I99" s="982"/>
      <c r="J99" s="622"/>
      <c r="K99" s="982"/>
    </row>
    <row r="100" spans="1:11" s="224" customFormat="1" ht="15" customHeight="1" x14ac:dyDescent="0.25">
      <c r="A100" s="215">
        <v>43276</v>
      </c>
      <c r="B100" s="364" t="s">
        <v>1929</v>
      </c>
      <c r="C100" s="350" t="s">
        <v>12</v>
      </c>
      <c r="D100" s="350" t="s">
        <v>1489</v>
      </c>
      <c r="E100" s="480" t="s">
        <v>13</v>
      </c>
      <c r="F100" s="626">
        <v>9.9</v>
      </c>
      <c r="G100" s="1063"/>
      <c r="H100" s="622"/>
      <c r="I100" s="982"/>
      <c r="J100" s="622"/>
      <c r="K100" s="982"/>
    </row>
    <row r="101" spans="1:11" s="224" customFormat="1" ht="15" customHeight="1" x14ac:dyDescent="0.25">
      <c r="A101" s="215">
        <v>43277</v>
      </c>
      <c r="B101" s="364" t="s">
        <v>14</v>
      </c>
      <c r="C101" s="350" t="s">
        <v>12</v>
      </c>
      <c r="D101" s="350" t="s">
        <v>1486</v>
      </c>
      <c r="E101" s="480" t="s">
        <v>13</v>
      </c>
      <c r="F101" s="626">
        <v>2</v>
      </c>
      <c r="G101" s="1063"/>
      <c r="H101" s="622"/>
      <c r="I101" s="982"/>
      <c r="J101" s="622"/>
      <c r="K101" s="982"/>
    </row>
    <row r="102" spans="1:11" s="224" customFormat="1" x14ac:dyDescent="0.25">
      <c r="A102" s="215">
        <v>43277</v>
      </c>
      <c r="B102" s="876" t="s">
        <v>1331</v>
      </c>
      <c r="C102" s="350" t="s">
        <v>12</v>
      </c>
      <c r="D102" s="874" t="s">
        <v>1487</v>
      </c>
      <c r="E102" s="870" t="s">
        <v>15</v>
      </c>
      <c r="F102" s="831">
        <v>50</v>
      </c>
      <c r="G102" s="982"/>
      <c r="H102" s="622"/>
      <c r="I102" s="982"/>
      <c r="J102" s="622"/>
      <c r="K102" s="982"/>
    </row>
    <row r="103" spans="1:11" s="224" customFormat="1" x14ac:dyDescent="0.25">
      <c r="A103" s="215">
        <v>43278</v>
      </c>
      <c r="B103" s="862" t="s">
        <v>32</v>
      </c>
      <c r="C103" s="352" t="s">
        <v>12</v>
      </c>
      <c r="D103" s="874" t="s">
        <v>1485</v>
      </c>
      <c r="E103" s="870" t="s">
        <v>13</v>
      </c>
      <c r="F103" s="831">
        <v>14</v>
      </c>
      <c r="G103" s="982"/>
      <c r="H103" s="622"/>
      <c r="I103" s="982"/>
      <c r="J103" s="622"/>
      <c r="K103" s="982"/>
    </row>
    <row r="104" spans="1:11" s="224" customFormat="1" ht="15" customHeight="1" x14ac:dyDescent="0.25">
      <c r="A104" s="215">
        <v>43279</v>
      </c>
      <c r="B104" s="862" t="s">
        <v>32</v>
      </c>
      <c r="C104" s="352" t="s">
        <v>12</v>
      </c>
      <c r="D104" s="874" t="s">
        <v>1485</v>
      </c>
      <c r="E104" s="870" t="s">
        <v>15</v>
      </c>
      <c r="F104" s="831">
        <v>14</v>
      </c>
      <c r="G104" s="982"/>
      <c r="H104" s="622"/>
      <c r="I104" s="982"/>
      <c r="J104" s="622"/>
      <c r="K104" s="982"/>
    </row>
    <row r="105" spans="1:11" s="224" customFormat="1" ht="15" customHeight="1" x14ac:dyDescent="0.25">
      <c r="A105" s="215">
        <v>43279</v>
      </c>
      <c r="B105" s="364" t="s">
        <v>14</v>
      </c>
      <c r="C105" s="350" t="s">
        <v>12</v>
      </c>
      <c r="D105" s="350" t="s">
        <v>1486</v>
      </c>
      <c r="E105" s="480" t="s">
        <v>13</v>
      </c>
      <c r="F105" s="626">
        <v>8.48</v>
      </c>
      <c r="G105" s="1063"/>
      <c r="H105" s="622"/>
      <c r="I105" s="982"/>
      <c r="J105" s="622"/>
      <c r="K105" s="982"/>
    </row>
    <row r="106" spans="1:11" s="224" customFormat="1" ht="15" customHeight="1" x14ac:dyDescent="0.25">
      <c r="A106" s="215">
        <v>43279</v>
      </c>
      <c r="B106" s="862" t="s">
        <v>1710</v>
      </c>
      <c r="C106" s="879" t="s">
        <v>12</v>
      </c>
      <c r="D106" s="879" t="s">
        <v>1504</v>
      </c>
      <c r="E106" s="871" t="s">
        <v>13</v>
      </c>
      <c r="F106" s="804">
        <v>19.899999999999999</v>
      </c>
      <c r="G106" s="946"/>
      <c r="H106" s="97"/>
      <c r="I106" s="946"/>
      <c r="J106" s="97"/>
      <c r="K106" s="946"/>
    </row>
    <row r="107" spans="1:11" s="224" customFormat="1" ht="15" customHeight="1" x14ac:dyDescent="0.25">
      <c r="A107" s="215">
        <v>43280</v>
      </c>
      <c r="B107" s="364" t="s">
        <v>14</v>
      </c>
      <c r="C107" s="350" t="s">
        <v>12</v>
      </c>
      <c r="D107" s="350" t="s">
        <v>1486</v>
      </c>
      <c r="E107" s="480" t="s">
        <v>13</v>
      </c>
      <c r="F107" s="626">
        <v>11.2</v>
      </c>
      <c r="G107" s="1063"/>
      <c r="H107" s="622"/>
      <c r="I107" s="982"/>
      <c r="J107" s="622"/>
      <c r="K107" s="982"/>
    </row>
    <row r="108" spans="1:11" s="224" customFormat="1" x14ac:dyDescent="0.25">
      <c r="A108" s="215">
        <v>43280</v>
      </c>
      <c r="B108" s="349" t="s">
        <v>1597</v>
      </c>
      <c r="C108" s="350" t="s">
        <v>12</v>
      </c>
      <c r="D108" s="765" t="s">
        <v>1491</v>
      </c>
      <c r="E108" s="778" t="s">
        <v>15</v>
      </c>
      <c r="F108" s="622">
        <v>50</v>
      </c>
      <c r="G108" s="248"/>
      <c r="H108" s="622"/>
      <c r="I108" s="982"/>
      <c r="J108" s="622"/>
      <c r="K108" s="982"/>
    </row>
    <row r="109" spans="1:11" s="224" customFormat="1" ht="15" customHeight="1" x14ac:dyDescent="0.25">
      <c r="A109" s="215">
        <v>43280</v>
      </c>
      <c r="B109" s="364" t="s">
        <v>1892</v>
      </c>
      <c r="C109" s="350" t="s">
        <v>19</v>
      </c>
      <c r="D109" s="350" t="s">
        <v>1491</v>
      </c>
      <c r="E109" s="480" t="s">
        <v>13</v>
      </c>
      <c r="F109" s="622">
        <v>30</v>
      </c>
      <c r="G109" s="982"/>
      <c r="H109" s="622"/>
      <c r="I109" s="982"/>
      <c r="J109" s="622"/>
      <c r="K109" s="982"/>
    </row>
    <row r="110" spans="1:11" s="224" customFormat="1" ht="15" customHeight="1" x14ac:dyDescent="0.25">
      <c r="A110" s="215">
        <v>43281</v>
      </c>
      <c r="B110" s="364" t="s">
        <v>32</v>
      </c>
      <c r="C110" s="350" t="s">
        <v>12</v>
      </c>
      <c r="D110" s="350" t="s">
        <v>1485</v>
      </c>
      <c r="E110" s="480" t="s">
        <v>13</v>
      </c>
      <c r="F110" s="622">
        <v>15.9</v>
      </c>
      <c r="G110" s="982"/>
      <c r="H110" s="622"/>
      <c r="I110" s="982"/>
      <c r="J110" s="622"/>
      <c r="K110" s="982"/>
    </row>
    <row r="111" spans="1:11" s="224" customFormat="1" ht="15" customHeight="1" x14ac:dyDescent="0.25">
      <c r="A111" s="215">
        <v>43281</v>
      </c>
      <c r="B111" s="364" t="s">
        <v>1438</v>
      </c>
      <c r="C111" s="350" t="s">
        <v>19</v>
      </c>
      <c r="D111" s="350" t="s">
        <v>1489</v>
      </c>
      <c r="E111" s="480" t="s">
        <v>13</v>
      </c>
      <c r="F111" s="622">
        <v>52.98</v>
      </c>
      <c r="G111" s="982"/>
      <c r="H111" s="622"/>
      <c r="I111" s="982"/>
      <c r="J111" s="622"/>
      <c r="K111" s="982"/>
    </row>
    <row r="112" spans="1:11" s="224" customFormat="1" ht="15" customHeight="1" x14ac:dyDescent="0.25">
      <c r="A112" s="215">
        <v>43281</v>
      </c>
      <c r="B112" s="364" t="s">
        <v>82</v>
      </c>
      <c r="C112" s="350" t="s">
        <v>12</v>
      </c>
      <c r="D112" s="350" t="s">
        <v>1493</v>
      </c>
      <c r="E112" s="480" t="s">
        <v>13</v>
      </c>
      <c r="F112" s="622">
        <v>29</v>
      </c>
      <c r="G112" s="982"/>
      <c r="H112" s="622"/>
      <c r="I112" s="982"/>
      <c r="J112" s="622"/>
      <c r="K112" s="982"/>
    </row>
    <row r="113" spans="1:12" s="224" customFormat="1" ht="15.75" thickBot="1" x14ac:dyDescent="0.3">
      <c r="A113" s="215">
        <v>43281</v>
      </c>
      <c r="B113" s="862" t="s">
        <v>1666</v>
      </c>
      <c r="C113" s="350" t="s">
        <v>12</v>
      </c>
      <c r="D113" s="350"/>
      <c r="E113" s="757" t="s">
        <v>25</v>
      </c>
      <c r="F113" s="622"/>
      <c r="G113" s="982"/>
      <c r="H113" s="622"/>
      <c r="I113" s="982"/>
      <c r="J113" s="622"/>
      <c r="K113" s="982">
        <v>49.08</v>
      </c>
    </row>
    <row r="114" spans="1:12" ht="25.5" customHeight="1" thickBot="1" x14ac:dyDescent="0.3">
      <c r="A114" s="3060"/>
      <c r="B114" s="3061"/>
      <c r="C114" s="3062"/>
      <c r="D114" s="3062"/>
      <c r="E114" s="3062"/>
      <c r="F114" s="100">
        <f>SUM(F6:F113)</f>
        <v>4967.3299999999972</v>
      </c>
      <c r="G114" s="1065">
        <f>SUM(G5:G113)</f>
        <v>5428.2900000000091</v>
      </c>
      <c r="H114" s="101">
        <f>SUM(H6:H113)</f>
        <v>1927.88</v>
      </c>
      <c r="I114" s="93">
        <f>SUM(I5:I113)</f>
        <v>3627.876000000002</v>
      </c>
      <c r="J114" s="774"/>
      <c r="K114" s="1516"/>
      <c r="L114" s="89"/>
    </row>
    <row r="115" spans="1:12" ht="25.5" customHeight="1" thickBot="1" x14ac:dyDescent="0.3">
      <c r="A115" s="3117" t="s">
        <v>49</v>
      </c>
      <c r="B115" s="3118"/>
      <c r="C115" s="3118"/>
      <c r="D115" s="3118"/>
      <c r="E115" s="3118"/>
      <c r="F115" s="144"/>
      <c r="G115" s="519">
        <f>G114-F114</f>
        <v>460.96000000001186</v>
      </c>
      <c r="H115" s="555"/>
      <c r="I115" s="772">
        <f>I114-H114</f>
        <v>1699.9960000000019</v>
      </c>
      <c r="J115" s="773"/>
      <c r="K115" s="775">
        <f>SUM(K5:K114)</f>
        <v>9581.07</v>
      </c>
    </row>
    <row r="116" spans="1:12" x14ac:dyDescent="0.25">
      <c r="G116" s="89"/>
      <c r="J116" s="769"/>
      <c r="K116" s="868"/>
    </row>
    <row r="117" spans="1:12" x14ac:dyDescent="0.25">
      <c r="B117" s="79" t="s">
        <v>32</v>
      </c>
      <c r="C117" s="475">
        <v>303.8</v>
      </c>
      <c r="D117" s="85" t="s">
        <v>1485</v>
      </c>
      <c r="J117" s="769"/>
      <c r="K117" s="866"/>
    </row>
    <row r="118" spans="1:12" x14ac:dyDescent="0.25">
      <c r="B118" s="79" t="s">
        <v>1218</v>
      </c>
      <c r="C118" s="475">
        <v>367.82</v>
      </c>
      <c r="D118" s="85" t="s">
        <v>1487</v>
      </c>
      <c r="J118" s="769"/>
      <c r="K118" s="868"/>
    </row>
    <row r="119" spans="1:12" x14ac:dyDescent="0.25">
      <c r="B119" s="79" t="s">
        <v>50</v>
      </c>
      <c r="C119" s="484">
        <v>96.56</v>
      </c>
      <c r="D119" s="85" t="s">
        <v>1493</v>
      </c>
      <c r="J119" s="769"/>
      <c r="K119" s="866"/>
    </row>
    <row r="120" spans="1:12" s="85" customFormat="1" x14ac:dyDescent="0.25">
      <c r="A120" s="79"/>
      <c r="B120" s="79" t="s">
        <v>14</v>
      </c>
      <c r="C120" s="484">
        <v>129.19</v>
      </c>
      <c r="D120" s="85" t="s">
        <v>1486</v>
      </c>
      <c r="J120" s="769"/>
      <c r="K120" s="866"/>
    </row>
    <row r="121" spans="1:12" s="85" customFormat="1" x14ac:dyDescent="0.25">
      <c r="A121" s="79"/>
      <c r="B121" s="79" t="s">
        <v>51</v>
      </c>
      <c r="C121" s="475">
        <v>102.85</v>
      </c>
      <c r="D121" s="864" t="s">
        <v>1499</v>
      </c>
      <c r="E121" s="79"/>
      <c r="F121" s="89"/>
      <c r="G121" s="79"/>
      <c r="H121" s="79"/>
      <c r="I121" s="79"/>
      <c r="J121" s="769"/>
      <c r="K121" s="866"/>
    </row>
    <row r="122" spans="1:12" s="85" customFormat="1" x14ac:dyDescent="0.25">
      <c r="A122" s="79"/>
      <c r="B122" s="79" t="s">
        <v>52</v>
      </c>
      <c r="C122" s="475">
        <v>60</v>
      </c>
      <c r="D122" s="864" t="s">
        <v>1496</v>
      </c>
      <c r="F122" s="89"/>
      <c r="G122" s="79"/>
      <c r="H122" s="79"/>
      <c r="I122" s="79"/>
      <c r="J122" s="769"/>
      <c r="K122" s="866"/>
    </row>
    <row r="123" spans="1:12" s="85" customFormat="1" x14ac:dyDescent="0.25">
      <c r="A123" s="79"/>
      <c r="B123" s="867" t="s">
        <v>53</v>
      </c>
      <c r="C123" s="475">
        <v>120</v>
      </c>
      <c r="D123" s="864" t="s">
        <v>1522</v>
      </c>
      <c r="E123" s="8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1823</v>
      </c>
      <c r="C124" s="475"/>
      <c r="D124" s="864" t="s">
        <v>1515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79" t="s">
        <v>56</v>
      </c>
      <c r="C125" s="475"/>
      <c r="D125" s="864" t="s">
        <v>1523</v>
      </c>
      <c r="F125" s="89"/>
      <c r="G125" s="79"/>
      <c r="H125" s="79"/>
      <c r="I125" s="79"/>
      <c r="J125" s="769"/>
      <c r="K125" s="868"/>
    </row>
    <row r="126" spans="1:12" s="85" customFormat="1" x14ac:dyDescent="0.25">
      <c r="A126" s="79"/>
      <c r="B126" s="79" t="s">
        <v>1686</v>
      </c>
      <c r="C126" s="475">
        <v>488.58</v>
      </c>
      <c r="D126" s="864" t="s">
        <v>1506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418</v>
      </c>
      <c r="C127" s="475">
        <v>421.25</v>
      </c>
      <c r="D127" s="85" t="s">
        <v>1524</v>
      </c>
      <c r="E127" s="79"/>
      <c r="F127" s="89"/>
      <c r="J127" s="769"/>
      <c r="K127" s="866"/>
    </row>
    <row r="128" spans="1:12" x14ac:dyDescent="0.25">
      <c r="B128" s="79" t="s">
        <v>419</v>
      </c>
      <c r="C128" s="475">
        <v>369.9</v>
      </c>
      <c r="D128" s="85" t="s">
        <v>1491</v>
      </c>
      <c r="J128" s="769"/>
      <c r="K128" s="868"/>
    </row>
    <row r="129" spans="2:11" x14ac:dyDescent="0.25">
      <c r="B129" s="79" t="s">
        <v>911</v>
      </c>
      <c r="C129" s="475">
        <v>20</v>
      </c>
      <c r="D129" s="85" t="s">
        <v>1525</v>
      </c>
      <c r="J129" s="769"/>
      <c r="K129" s="868"/>
    </row>
    <row r="130" spans="2:11" x14ac:dyDescent="0.25">
      <c r="B130" s="79" t="s">
        <v>1526</v>
      </c>
      <c r="C130" s="475">
        <v>147.80000000000001</v>
      </c>
      <c r="D130" s="85" t="s">
        <v>1504</v>
      </c>
      <c r="E130" s="79"/>
      <c r="J130" s="769"/>
      <c r="K130" s="866"/>
    </row>
    <row r="131" spans="2:11" x14ac:dyDescent="0.25">
      <c r="B131" s="79" t="s">
        <v>1527</v>
      </c>
      <c r="C131" s="475">
        <v>561.62</v>
      </c>
      <c r="D131" s="85" t="s">
        <v>1489</v>
      </c>
      <c r="J131" s="769"/>
      <c r="K131" s="868"/>
    </row>
    <row r="132" spans="2:11" x14ac:dyDescent="0.25">
      <c r="J132" s="769"/>
      <c r="K132" s="866"/>
    </row>
    <row r="133" spans="2:11" x14ac:dyDescent="0.25">
      <c r="F133" s="85"/>
      <c r="J133" s="769"/>
      <c r="K133" s="866"/>
    </row>
    <row r="134" spans="2:11" x14ac:dyDescent="0.25">
      <c r="B134" s="79" t="s">
        <v>486</v>
      </c>
      <c r="C134" s="475">
        <f>H134/J134</f>
        <v>106.31233333333334</v>
      </c>
      <c r="F134" s="224" t="s">
        <v>487</v>
      </c>
      <c r="H134" s="216">
        <f>SUM(C117:C131)</f>
        <v>3189.3700000000003</v>
      </c>
      <c r="I134" s="518" t="s">
        <v>488</v>
      </c>
      <c r="J134" s="1517">
        <v>30</v>
      </c>
      <c r="K134" s="866"/>
    </row>
    <row r="135" spans="2:11" x14ac:dyDescent="0.25">
      <c r="J135" s="769"/>
      <c r="K135" s="866"/>
    </row>
    <row r="136" spans="2:11" x14ac:dyDescent="0.25">
      <c r="J136" s="769"/>
      <c r="K136" s="868"/>
    </row>
    <row r="137" spans="2:11" x14ac:dyDescent="0.25">
      <c r="K137" s="866"/>
    </row>
    <row r="138" spans="2:11" x14ac:dyDescent="0.25">
      <c r="D138" s="79"/>
      <c r="E138" s="79"/>
      <c r="J138" s="769"/>
      <c r="K138" s="866"/>
    </row>
    <row r="139" spans="2:11" x14ac:dyDescent="0.25">
      <c r="J139" s="769"/>
      <c r="K139" s="866"/>
    </row>
    <row r="140" spans="2:11" x14ac:dyDescent="0.25">
      <c r="J140" s="769"/>
      <c r="K140" s="866"/>
    </row>
    <row r="141" spans="2:11" x14ac:dyDescent="0.25">
      <c r="J141" s="769"/>
      <c r="K141" s="866"/>
    </row>
    <row r="142" spans="2:11" x14ac:dyDescent="0.25">
      <c r="C142" s="79"/>
      <c r="D142" s="79"/>
      <c r="E142" s="79"/>
      <c r="F142" s="79"/>
      <c r="I142" s="216"/>
      <c r="J142" s="769"/>
      <c r="K142" s="866"/>
    </row>
    <row r="143" spans="2:11" x14ac:dyDescent="0.25">
      <c r="C143" s="79"/>
      <c r="D143" s="79"/>
      <c r="E143" s="79"/>
      <c r="F143" s="79"/>
      <c r="I143" s="216"/>
      <c r="J143" s="769"/>
      <c r="K143" s="866"/>
    </row>
    <row r="144" spans="2:11" x14ac:dyDescent="0.25">
      <c r="C144" s="79"/>
      <c r="D144" s="79"/>
      <c r="E144" s="79"/>
      <c r="F144" s="79"/>
      <c r="G144" s="216"/>
      <c r="I144" s="216"/>
      <c r="J144" s="769"/>
      <c r="K144" s="868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J146" s="770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8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629"/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C169" s="79"/>
      <c r="D169" s="79"/>
      <c r="E169" s="79"/>
      <c r="F169" s="79"/>
      <c r="J169" s="769"/>
      <c r="K169" s="868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6"/>
    </row>
    <row r="174" spans="3:11" x14ac:dyDescent="0.25">
      <c r="C174" s="79"/>
      <c r="D174" s="79"/>
      <c r="E174" s="79"/>
      <c r="F174" s="79"/>
      <c r="J174" s="223"/>
      <c r="K174" s="629"/>
    </row>
    <row r="175" spans="3:11" x14ac:dyDescent="0.25">
      <c r="C175" s="79"/>
      <c r="D175" s="79"/>
      <c r="E175" s="79"/>
      <c r="F175" s="79"/>
      <c r="J175" s="756"/>
      <c r="K175" s="756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  <c r="J180" s="85"/>
      <c r="K180" s="85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  <c r="J187" s="85"/>
      <c r="K187" s="85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771"/>
      <c r="K194" s="518"/>
    </row>
    <row r="195" spans="3:11" x14ac:dyDescent="0.25">
      <c r="C195" s="79"/>
      <c r="D195" s="79"/>
      <c r="E195" s="79"/>
      <c r="F195" s="79"/>
    </row>
    <row r="202" spans="3:11" x14ac:dyDescent="0.25">
      <c r="C202" s="79"/>
      <c r="D202" s="79"/>
      <c r="E202" s="79"/>
      <c r="F202" s="79"/>
      <c r="K202" s="216"/>
    </row>
    <row r="203" spans="3:11" x14ac:dyDescent="0.25">
      <c r="C203" s="79"/>
      <c r="D203" s="79"/>
      <c r="E203" s="79"/>
      <c r="F203" s="79"/>
      <c r="K203" s="216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7" spans="3:11" x14ac:dyDescent="0.25">
      <c r="C207" s="79"/>
      <c r="D207" s="79"/>
      <c r="E207" s="79"/>
      <c r="F207" s="79"/>
      <c r="K207" s="216"/>
    </row>
    <row r="209" spans="3:11" x14ac:dyDescent="0.25">
      <c r="C209" s="79"/>
      <c r="D209" s="79"/>
      <c r="E209" s="79"/>
      <c r="F209" s="79"/>
      <c r="K209" s="629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</sheetData>
  <autoFilter ref="A2:I115" xr:uid="{00000000-0009-0000-0000-00004A000000}"/>
  <mergeCells count="13">
    <mergeCell ref="M22:N22"/>
    <mergeCell ref="A114:E114"/>
    <mergeCell ref="A115:E11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Plan87"/>
  <dimension ref="A1:N227"/>
  <sheetViews>
    <sheetView zoomScale="85" zoomScaleNormal="85" workbookViewId="0">
      <pane ySplit="4" topLeftCell="A4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1" ht="27" customHeight="1" thickBot="1" x14ac:dyDescent="0.3">
      <c r="A1" s="3053" t="s">
        <v>0</v>
      </c>
      <c r="B1" s="3054"/>
      <c r="C1" s="3055"/>
      <c r="D1" s="3055"/>
      <c r="E1" s="3056"/>
      <c r="F1" s="3057" t="s">
        <v>1930</v>
      </c>
      <c r="G1" s="3058"/>
      <c r="H1" s="3058"/>
      <c r="I1" s="3058"/>
      <c r="J1" s="3058"/>
      <c r="K1" s="3059"/>
    </row>
    <row r="2" spans="1:1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1" x14ac:dyDescent="0.25">
      <c r="A5" s="281">
        <v>43282</v>
      </c>
      <c r="B5" s="369" t="s">
        <v>10</v>
      </c>
      <c r="C5" s="370"/>
      <c r="D5" s="370"/>
      <c r="E5" s="777"/>
      <c r="F5" s="179"/>
      <c r="G5" s="933">
        <f>'Junho-18'!G115</f>
        <v>460.96000000001186</v>
      </c>
      <c r="H5" s="179"/>
      <c r="I5" s="933">
        <f>'Junho-18'!I115</f>
        <v>1699.9960000000019</v>
      </c>
      <c r="J5" s="179"/>
      <c r="K5" s="933">
        <f>'Junho-18'!K115</f>
        <v>9581.07</v>
      </c>
    </row>
    <row r="6" spans="1:11" s="224" customFormat="1" x14ac:dyDescent="0.25">
      <c r="A6" s="215">
        <v>43282</v>
      </c>
      <c r="B6" s="348" t="s">
        <v>11</v>
      </c>
      <c r="C6" s="351"/>
      <c r="D6" s="351"/>
      <c r="E6" s="673"/>
      <c r="F6" s="250"/>
      <c r="G6" s="1473"/>
      <c r="H6" s="250"/>
      <c r="I6" s="1473"/>
      <c r="J6" s="250"/>
      <c r="K6" s="1473"/>
    </row>
    <row r="7" spans="1:11" s="224" customFormat="1" ht="15" customHeight="1" x14ac:dyDescent="0.25">
      <c r="A7" s="215">
        <v>43282</v>
      </c>
      <c r="B7" s="364" t="s">
        <v>14</v>
      </c>
      <c r="C7" s="350" t="s">
        <v>12</v>
      </c>
      <c r="D7" s="350" t="s">
        <v>1486</v>
      </c>
      <c r="E7" s="480" t="s">
        <v>13</v>
      </c>
      <c r="F7" s="626">
        <v>2.8</v>
      </c>
      <c r="G7" s="946"/>
      <c r="H7" s="97"/>
      <c r="I7" s="946"/>
      <c r="J7" s="97"/>
      <c r="K7" s="946"/>
    </row>
    <row r="8" spans="1:11" s="224" customFormat="1" x14ac:dyDescent="0.25">
      <c r="A8" s="215">
        <v>43282</v>
      </c>
      <c r="B8" s="862" t="s">
        <v>1931</v>
      </c>
      <c r="C8" s="350" t="s">
        <v>12</v>
      </c>
      <c r="D8" s="879" t="s">
        <v>1524</v>
      </c>
      <c r="E8" s="871" t="s">
        <v>15</v>
      </c>
      <c r="F8" s="827">
        <v>300</v>
      </c>
      <c r="G8" s="1480"/>
      <c r="H8" s="97"/>
      <c r="I8" s="946"/>
      <c r="J8" s="97"/>
      <c r="K8" s="946"/>
    </row>
    <row r="9" spans="1:11" s="224" customFormat="1" x14ac:dyDescent="0.25">
      <c r="A9" s="215">
        <v>43282</v>
      </c>
      <c r="B9" s="862" t="s">
        <v>1932</v>
      </c>
      <c r="C9" s="350" t="s">
        <v>12</v>
      </c>
      <c r="D9" s="879"/>
      <c r="E9" s="871" t="s">
        <v>25</v>
      </c>
      <c r="F9" s="827"/>
      <c r="G9" s="1480">
        <v>300</v>
      </c>
      <c r="H9" s="97"/>
      <c r="I9" s="946"/>
      <c r="J9" s="97"/>
      <c r="K9" s="946"/>
    </row>
    <row r="10" spans="1:11" s="224" customFormat="1" x14ac:dyDescent="0.25">
      <c r="A10" s="215">
        <v>43283</v>
      </c>
      <c r="B10" s="862" t="s">
        <v>32</v>
      </c>
      <c r="C10" s="352" t="s">
        <v>12</v>
      </c>
      <c r="D10" s="874" t="s">
        <v>1485</v>
      </c>
      <c r="E10" s="870" t="s">
        <v>13</v>
      </c>
      <c r="F10" s="831">
        <v>20</v>
      </c>
      <c r="G10" s="982"/>
      <c r="H10" s="622"/>
      <c r="I10" s="982"/>
      <c r="J10" s="622"/>
      <c r="K10" s="982"/>
    </row>
    <row r="11" spans="1:11" s="224" customFormat="1" x14ac:dyDescent="0.25">
      <c r="A11" s="215">
        <v>43283</v>
      </c>
      <c r="B11" s="364" t="s">
        <v>14</v>
      </c>
      <c r="C11" s="350" t="s">
        <v>12</v>
      </c>
      <c r="D11" s="350" t="s">
        <v>1486</v>
      </c>
      <c r="E11" s="480" t="s">
        <v>13</v>
      </c>
      <c r="F11" s="626">
        <v>4.83</v>
      </c>
      <c r="G11" s="248"/>
      <c r="H11" s="97"/>
      <c r="I11" s="946"/>
      <c r="J11" s="97"/>
      <c r="K11" s="946"/>
    </row>
    <row r="12" spans="1:11" s="224" customFormat="1" x14ac:dyDescent="0.25">
      <c r="A12" s="215">
        <v>43284</v>
      </c>
      <c r="B12" s="862" t="s">
        <v>32</v>
      </c>
      <c r="C12" s="352" t="s">
        <v>12</v>
      </c>
      <c r="D12" s="874" t="s">
        <v>1485</v>
      </c>
      <c r="E12" s="870" t="s">
        <v>15</v>
      </c>
      <c r="F12" s="831">
        <v>14</v>
      </c>
      <c r="G12" s="982"/>
      <c r="H12" s="622"/>
      <c r="I12" s="982"/>
      <c r="J12" s="622"/>
      <c r="K12" s="982"/>
    </row>
    <row r="13" spans="1:11" s="224" customFormat="1" ht="15" customHeight="1" x14ac:dyDescent="0.25">
      <c r="A13" s="215">
        <v>43284</v>
      </c>
      <c r="B13" s="862" t="s">
        <v>1933</v>
      </c>
      <c r="C13" s="352" t="s">
        <v>12</v>
      </c>
      <c r="D13" s="874" t="s">
        <v>1489</v>
      </c>
      <c r="E13" s="870" t="s">
        <v>13</v>
      </c>
      <c r="F13" s="831">
        <v>8.57</v>
      </c>
      <c r="G13" s="946"/>
      <c r="H13" s="97"/>
      <c r="I13" s="946"/>
      <c r="J13" s="97"/>
      <c r="K13" s="946"/>
    </row>
    <row r="14" spans="1:11" s="224" customFormat="1" ht="15" customHeight="1" x14ac:dyDescent="0.25">
      <c r="A14" s="215">
        <v>43284</v>
      </c>
      <c r="B14" s="862" t="s">
        <v>1331</v>
      </c>
      <c r="C14" s="352" t="s">
        <v>12</v>
      </c>
      <c r="D14" s="874" t="s">
        <v>1487</v>
      </c>
      <c r="E14" s="870" t="s">
        <v>13</v>
      </c>
      <c r="F14" s="831">
        <v>60</v>
      </c>
      <c r="G14" s="946"/>
      <c r="H14" s="97"/>
      <c r="I14" s="946"/>
      <c r="J14" s="97"/>
      <c r="K14" s="946"/>
    </row>
    <row r="15" spans="1:11" s="224" customFormat="1" x14ac:dyDescent="0.25">
      <c r="A15" s="215">
        <v>43285</v>
      </c>
      <c r="B15" s="862" t="s">
        <v>32</v>
      </c>
      <c r="C15" s="352" t="s">
        <v>12</v>
      </c>
      <c r="D15" s="874" t="s">
        <v>1485</v>
      </c>
      <c r="E15" s="870" t="s">
        <v>13</v>
      </c>
      <c r="F15" s="831">
        <v>14</v>
      </c>
      <c r="G15" s="248"/>
      <c r="H15" s="97"/>
      <c r="I15" s="946"/>
      <c r="J15" s="97"/>
      <c r="K15" s="946"/>
    </row>
    <row r="16" spans="1:11" s="224" customFormat="1" x14ac:dyDescent="0.25">
      <c r="A16" s="215">
        <v>43286</v>
      </c>
      <c r="B16" s="364" t="s">
        <v>1934</v>
      </c>
      <c r="C16" s="350" t="s">
        <v>19</v>
      </c>
      <c r="D16" s="350" t="s">
        <v>1491</v>
      </c>
      <c r="E16" s="480" t="s">
        <v>13</v>
      </c>
      <c r="F16" s="622">
        <v>25</v>
      </c>
      <c r="G16" s="248"/>
      <c r="H16" s="97"/>
      <c r="I16" s="946"/>
      <c r="J16" s="97"/>
      <c r="K16" s="946"/>
    </row>
    <row r="17" spans="1:14" s="224" customFormat="1" x14ac:dyDescent="0.25">
      <c r="A17" s="215">
        <v>43286</v>
      </c>
      <c r="B17" s="862" t="s">
        <v>32</v>
      </c>
      <c r="C17" s="352" t="s">
        <v>12</v>
      </c>
      <c r="D17" s="874" t="s">
        <v>1485</v>
      </c>
      <c r="E17" s="870" t="s">
        <v>13</v>
      </c>
      <c r="F17" s="831">
        <v>14</v>
      </c>
      <c r="G17" s="248"/>
      <c r="H17" s="97"/>
      <c r="I17" s="946"/>
      <c r="J17" s="97"/>
      <c r="K17" s="946"/>
    </row>
    <row r="18" spans="1:14" s="224" customFormat="1" x14ac:dyDescent="0.25">
      <c r="A18" s="215">
        <v>43286</v>
      </c>
      <c r="B18" s="364" t="s">
        <v>14</v>
      </c>
      <c r="C18" s="350" t="s">
        <v>12</v>
      </c>
      <c r="D18" s="350" t="s">
        <v>1486</v>
      </c>
      <c r="E18" s="480" t="s">
        <v>13</v>
      </c>
      <c r="F18" s="626">
        <v>4.82</v>
      </c>
      <c r="G18" s="248"/>
      <c r="H18" s="97"/>
      <c r="I18" s="946"/>
      <c r="J18" s="97"/>
      <c r="K18" s="946"/>
    </row>
    <row r="19" spans="1:14" s="224" customFormat="1" ht="15.75" customHeight="1" x14ac:dyDescent="0.25">
      <c r="A19" s="215">
        <v>43287</v>
      </c>
      <c r="B19" s="349" t="s">
        <v>1935</v>
      </c>
      <c r="C19" s="879" t="s">
        <v>12</v>
      </c>
      <c r="D19" s="874"/>
      <c r="E19" s="871" t="s">
        <v>25</v>
      </c>
      <c r="F19" s="1524"/>
      <c r="G19" s="1002">
        <v>1655.06</v>
      </c>
      <c r="H19" s="538"/>
      <c r="I19" s="982"/>
      <c r="J19" s="622"/>
      <c r="K19" s="982"/>
    </row>
    <row r="20" spans="1:14" s="224" customFormat="1" x14ac:dyDescent="0.25">
      <c r="A20" s="215">
        <v>43287</v>
      </c>
      <c r="B20" s="862" t="s">
        <v>1936</v>
      </c>
      <c r="C20" s="879" t="s">
        <v>12</v>
      </c>
      <c r="D20" s="879"/>
      <c r="E20" s="871" t="s">
        <v>13</v>
      </c>
      <c r="F20" s="613">
        <v>760.71</v>
      </c>
      <c r="G20" s="982"/>
      <c r="H20" s="622"/>
      <c r="I20" s="982"/>
      <c r="J20" s="780"/>
      <c r="K20" s="614"/>
      <c r="L20" s="178">
        <v>460.71</v>
      </c>
      <c r="M20" s="3096"/>
      <c r="N20" s="3096"/>
    </row>
    <row r="21" spans="1:14" x14ac:dyDescent="0.25">
      <c r="A21" s="215">
        <v>43287</v>
      </c>
      <c r="B21" s="862" t="s">
        <v>1532</v>
      </c>
      <c r="C21" s="879" t="s">
        <v>12</v>
      </c>
      <c r="D21" s="879" t="s">
        <v>1504</v>
      </c>
      <c r="E21" s="871" t="s">
        <v>13</v>
      </c>
      <c r="F21" s="780">
        <v>50</v>
      </c>
      <c r="G21" s="982"/>
      <c r="H21" s="622"/>
      <c r="I21" s="982"/>
      <c r="J21" s="622"/>
      <c r="K21" s="1002"/>
    </row>
    <row r="22" spans="1:14" x14ac:dyDescent="0.25">
      <c r="A22" s="215">
        <v>43287</v>
      </c>
      <c r="B22" s="882" t="s">
        <v>1937</v>
      </c>
      <c r="C22" s="879" t="s">
        <v>12</v>
      </c>
      <c r="D22" s="879" t="s">
        <v>1499</v>
      </c>
      <c r="E22" s="871" t="s">
        <v>13</v>
      </c>
      <c r="F22" s="780">
        <v>46.24</v>
      </c>
      <c r="G22" s="982"/>
      <c r="H22" s="622"/>
      <c r="I22" s="982"/>
      <c r="J22" s="780"/>
      <c r="K22" s="614"/>
    </row>
    <row r="23" spans="1:14" x14ac:dyDescent="0.25">
      <c r="A23" s="215">
        <v>43287</v>
      </c>
      <c r="B23" s="862" t="s">
        <v>52</v>
      </c>
      <c r="C23" s="879" t="s">
        <v>12</v>
      </c>
      <c r="D23" s="879" t="s">
        <v>1496</v>
      </c>
      <c r="E23" s="871" t="s">
        <v>13</v>
      </c>
      <c r="F23" s="780">
        <v>60</v>
      </c>
      <c r="G23" s="1063"/>
      <c r="H23" s="622"/>
      <c r="I23" s="982"/>
      <c r="J23" s="622"/>
      <c r="K23" s="982"/>
    </row>
    <row r="24" spans="1:14" s="224" customFormat="1" ht="15" customHeight="1" x14ac:dyDescent="0.25">
      <c r="A24" s="215">
        <v>43287</v>
      </c>
      <c r="B24" s="862" t="s">
        <v>56</v>
      </c>
      <c r="C24" s="352" t="s">
        <v>12</v>
      </c>
      <c r="D24" s="874" t="s">
        <v>1523</v>
      </c>
      <c r="E24" s="870" t="s">
        <v>13</v>
      </c>
      <c r="F24" s="831">
        <v>5.37</v>
      </c>
      <c r="G24" s="946"/>
      <c r="H24" s="97"/>
      <c r="I24" s="946"/>
      <c r="J24" s="97"/>
      <c r="K24" s="946"/>
    </row>
    <row r="25" spans="1:14" s="224" customFormat="1" ht="15" customHeight="1" x14ac:dyDescent="0.25">
      <c r="A25" s="215">
        <v>43287</v>
      </c>
      <c r="B25" s="862" t="s">
        <v>81</v>
      </c>
      <c r="C25" s="352" t="s">
        <v>12</v>
      </c>
      <c r="D25" s="874" t="s">
        <v>1493</v>
      </c>
      <c r="E25" s="870" t="s">
        <v>13</v>
      </c>
      <c r="F25" s="831">
        <v>3.98</v>
      </c>
      <c r="G25" s="946"/>
      <c r="H25" s="97"/>
      <c r="I25" s="946"/>
      <c r="J25" s="97"/>
      <c r="K25" s="946"/>
    </row>
    <row r="26" spans="1:14" s="224" customFormat="1" ht="15" customHeight="1" x14ac:dyDescent="0.25">
      <c r="A26" s="215">
        <v>43287</v>
      </c>
      <c r="B26" s="862" t="s">
        <v>1938</v>
      </c>
      <c r="C26" s="352" t="s">
        <v>12</v>
      </c>
      <c r="D26" s="874" t="s">
        <v>1485</v>
      </c>
      <c r="E26" s="870" t="s">
        <v>13</v>
      </c>
      <c r="F26" s="831">
        <v>16.8</v>
      </c>
      <c r="G26" s="946"/>
      <c r="H26" s="97"/>
      <c r="I26" s="946"/>
      <c r="J26" s="97"/>
      <c r="K26" s="946"/>
    </row>
    <row r="27" spans="1:14" s="224" customFormat="1" x14ac:dyDescent="0.25">
      <c r="A27" s="215">
        <v>43287</v>
      </c>
      <c r="B27" s="364" t="s">
        <v>311</v>
      </c>
      <c r="C27" s="350"/>
      <c r="D27" s="350"/>
      <c r="E27" s="480"/>
      <c r="F27" s="832"/>
      <c r="G27" s="627"/>
      <c r="H27" s="97"/>
      <c r="I27" s="946">
        <v>6.31</v>
      </c>
      <c r="J27" s="97"/>
      <c r="K27" s="946"/>
    </row>
    <row r="28" spans="1:14" s="224" customFormat="1" x14ac:dyDescent="0.25">
      <c r="A28" s="215">
        <v>43288</v>
      </c>
      <c r="B28" s="876" t="s">
        <v>32</v>
      </c>
      <c r="C28" s="350" t="s">
        <v>12</v>
      </c>
      <c r="D28" s="874" t="s">
        <v>1485</v>
      </c>
      <c r="E28" s="870" t="s">
        <v>13</v>
      </c>
      <c r="F28" s="831">
        <v>16</v>
      </c>
      <c r="G28" s="982"/>
      <c r="H28" s="622"/>
      <c r="I28" s="982"/>
      <c r="J28" s="622"/>
      <c r="K28" s="982"/>
    </row>
    <row r="29" spans="1:14" s="224" customFormat="1" x14ac:dyDescent="0.25">
      <c r="A29" s="215">
        <v>43288</v>
      </c>
      <c r="B29" s="876" t="s">
        <v>134</v>
      </c>
      <c r="C29" s="350" t="s">
        <v>12</v>
      </c>
      <c r="D29" s="874" t="s">
        <v>1493</v>
      </c>
      <c r="E29" s="870" t="s">
        <v>13</v>
      </c>
      <c r="F29" s="831">
        <v>11</v>
      </c>
      <c r="G29" s="982"/>
      <c r="H29" s="622"/>
      <c r="I29" s="982"/>
      <c r="J29" s="622"/>
      <c r="K29" s="982"/>
    </row>
    <row r="30" spans="1:14" s="224" customFormat="1" x14ac:dyDescent="0.25">
      <c r="A30" s="215">
        <v>43288</v>
      </c>
      <c r="B30" s="876" t="s">
        <v>1939</v>
      </c>
      <c r="C30" s="350" t="s">
        <v>12</v>
      </c>
      <c r="D30" s="874" t="s">
        <v>1491</v>
      </c>
      <c r="E30" s="870" t="s">
        <v>15</v>
      </c>
      <c r="F30" s="831">
        <v>100</v>
      </c>
      <c r="G30" s="982"/>
      <c r="H30" s="622"/>
      <c r="I30" s="982"/>
      <c r="J30" s="622"/>
      <c r="K30" s="982"/>
    </row>
    <row r="31" spans="1:14" s="224" customFormat="1" x14ac:dyDescent="0.25">
      <c r="A31" s="215">
        <v>43288</v>
      </c>
      <c r="B31" s="876" t="s">
        <v>1940</v>
      </c>
      <c r="C31" s="350" t="s">
        <v>12</v>
      </c>
      <c r="D31" s="874" t="s">
        <v>1489</v>
      </c>
      <c r="E31" s="870" t="s">
        <v>15</v>
      </c>
      <c r="F31" s="831">
        <v>12.8</v>
      </c>
      <c r="G31" s="982"/>
      <c r="H31" s="622"/>
      <c r="I31" s="982"/>
      <c r="J31" s="622"/>
      <c r="K31" s="982"/>
    </row>
    <row r="32" spans="1:14" s="224" customFormat="1" x14ac:dyDescent="0.25">
      <c r="A32" s="215">
        <v>43289</v>
      </c>
      <c r="B32" s="876" t="s">
        <v>1438</v>
      </c>
      <c r="C32" s="350" t="s">
        <v>19</v>
      </c>
      <c r="D32" s="874" t="s">
        <v>1489</v>
      </c>
      <c r="E32" s="870" t="s">
        <v>13</v>
      </c>
      <c r="F32" s="831">
        <v>37.979999999999997</v>
      </c>
      <c r="G32" s="982"/>
      <c r="H32" s="622"/>
      <c r="I32" s="982"/>
      <c r="J32" s="622"/>
      <c r="K32" s="982"/>
    </row>
    <row r="33" spans="1:11" s="224" customFormat="1" x14ac:dyDescent="0.25">
      <c r="A33" s="215">
        <v>43289</v>
      </c>
      <c r="B33" s="876" t="s">
        <v>1331</v>
      </c>
      <c r="C33" s="350" t="s">
        <v>12</v>
      </c>
      <c r="D33" s="874" t="s">
        <v>1487</v>
      </c>
      <c r="E33" s="870" t="s">
        <v>13</v>
      </c>
      <c r="F33" s="831">
        <v>60</v>
      </c>
      <c r="G33" s="982"/>
      <c r="H33" s="622"/>
      <c r="I33" s="982"/>
      <c r="J33" s="622"/>
      <c r="K33" s="982"/>
    </row>
    <row r="34" spans="1:11" s="224" customFormat="1" x14ac:dyDescent="0.25">
      <c r="A34" s="215">
        <v>43289</v>
      </c>
      <c r="B34" s="364" t="s">
        <v>14</v>
      </c>
      <c r="C34" s="350" t="s">
        <v>12</v>
      </c>
      <c r="D34" s="350" t="s">
        <v>1486</v>
      </c>
      <c r="E34" s="480" t="s">
        <v>13</v>
      </c>
      <c r="F34" s="626">
        <v>4.49</v>
      </c>
      <c r="G34" s="248"/>
      <c r="H34" s="97"/>
      <c r="I34" s="946"/>
      <c r="J34" s="97"/>
      <c r="K34" s="946"/>
    </row>
    <row r="35" spans="1:11" s="224" customFormat="1" ht="15" customHeight="1" x14ac:dyDescent="0.25">
      <c r="A35" s="215">
        <v>43290</v>
      </c>
      <c r="B35" s="364" t="s">
        <v>14</v>
      </c>
      <c r="C35" s="350" t="s">
        <v>12</v>
      </c>
      <c r="D35" s="350" t="s">
        <v>1486</v>
      </c>
      <c r="E35" s="480" t="s">
        <v>13</v>
      </c>
      <c r="F35" s="626">
        <v>2.2400000000000002</v>
      </c>
      <c r="G35" s="946"/>
      <c r="H35" s="97"/>
      <c r="I35" s="946"/>
      <c r="J35" s="97"/>
      <c r="K35" s="946"/>
    </row>
    <row r="36" spans="1:11" s="224" customFormat="1" ht="15" customHeight="1" x14ac:dyDescent="0.25">
      <c r="A36" s="215">
        <v>43290</v>
      </c>
      <c r="B36" s="364" t="s">
        <v>1438</v>
      </c>
      <c r="C36" s="350" t="s">
        <v>12</v>
      </c>
      <c r="D36" s="350" t="s">
        <v>1489</v>
      </c>
      <c r="E36" s="480" t="s">
        <v>13</v>
      </c>
      <c r="F36" s="626">
        <v>7.33</v>
      </c>
      <c r="G36" s="946"/>
      <c r="H36" s="97"/>
      <c r="I36" s="946"/>
      <c r="J36" s="97"/>
      <c r="K36" s="946"/>
    </row>
    <row r="37" spans="1:11" s="224" customFormat="1" ht="15" customHeight="1" x14ac:dyDescent="0.25">
      <c r="A37" s="215">
        <v>43290</v>
      </c>
      <c r="B37" s="364" t="s">
        <v>81</v>
      </c>
      <c r="C37" s="350" t="s">
        <v>12</v>
      </c>
      <c r="D37" s="350" t="s">
        <v>1493</v>
      </c>
      <c r="E37" s="480" t="s">
        <v>13</v>
      </c>
      <c r="F37" s="626">
        <v>12.59</v>
      </c>
      <c r="G37" s="946"/>
      <c r="H37" s="97"/>
      <c r="I37" s="946"/>
      <c r="J37" s="97"/>
      <c r="K37" s="946"/>
    </row>
    <row r="38" spans="1:11" s="224" customFormat="1" x14ac:dyDescent="0.25">
      <c r="A38" s="215">
        <v>43291</v>
      </c>
      <c r="B38" s="876" t="s">
        <v>32</v>
      </c>
      <c r="C38" s="350" t="s">
        <v>12</v>
      </c>
      <c r="D38" s="874" t="s">
        <v>1485</v>
      </c>
      <c r="E38" s="870" t="s">
        <v>15</v>
      </c>
      <c r="F38" s="831">
        <v>14</v>
      </c>
      <c r="G38" s="248"/>
      <c r="H38" s="622"/>
      <c r="I38" s="982"/>
      <c r="J38" s="622"/>
      <c r="K38" s="982"/>
    </row>
    <row r="39" spans="1:11" s="224" customFormat="1" x14ac:dyDescent="0.25">
      <c r="A39" s="215">
        <v>43291</v>
      </c>
      <c r="B39" s="876" t="s">
        <v>147</v>
      </c>
      <c r="C39" s="350" t="s">
        <v>12</v>
      </c>
      <c r="D39" s="874" t="s">
        <v>1506</v>
      </c>
      <c r="E39" s="870" t="s">
        <v>15</v>
      </c>
      <c r="F39" s="831">
        <v>10</v>
      </c>
      <c r="G39" s="982"/>
      <c r="H39" s="622"/>
      <c r="I39" s="982"/>
      <c r="J39" s="622"/>
      <c r="K39" s="982"/>
    </row>
    <row r="40" spans="1:11" s="224" customFormat="1" x14ac:dyDescent="0.25">
      <c r="A40" s="215">
        <v>43291</v>
      </c>
      <c r="B40" s="876" t="s">
        <v>134</v>
      </c>
      <c r="C40" s="350" t="s">
        <v>12</v>
      </c>
      <c r="D40" s="874" t="s">
        <v>1493</v>
      </c>
      <c r="E40" s="870" t="s">
        <v>15</v>
      </c>
      <c r="F40" s="831">
        <v>10</v>
      </c>
      <c r="G40" s="982"/>
      <c r="H40" s="622"/>
      <c r="I40" s="982"/>
      <c r="J40" s="622"/>
      <c r="K40" s="982"/>
    </row>
    <row r="41" spans="1:11" s="224" customFormat="1" ht="15" customHeight="1" x14ac:dyDescent="0.25">
      <c r="A41" s="215">
        <v>43292</v>
      </c>
      <c r="B41" s="364" t="s">
        <v>14</v>
      </c>
      <c r="C41" s="350" t="s">
        <v>12</v>
      </c>
      <c r="D41" s="350" t="s">
        <v>1486</v>
      </c>
      <c r="E41" s="480" t="s">
        <v>13</v>
      </c>
      <c r="F41" s="626">
        <v>2.4500000000000002</v>
      </c>
      <c r="G41" s="946"/>
      <c r="H41" s="97"/>
      <c r="I41" s="946"/>
      <c r="J41" s="97"/>
      <c r="K41" s="946"/>
    </row>
    <row r="42" spans="1:11" s="224" customFormat="1" ht="14.25" customHeight="1" x14ac:dyDescent="0.25">
      <c r="A42" s="215">
        <v>43292</v>
      </c>
      <c r="B42" s="876" t="s">
        <v>32</v>
      </c>
      <c r="C42" s="350" t="s">
        <v>12</v>
      </c>
      <c r="D42" s="874" t="s">
        <v>1485</v>
      </c>
      <c r="E42" s="870" t="s">
        <v>15</v>
      </c>
      <c r="F42" s="831">
        <v>14</v>
      </c>
      <c r="G42" s="946"/>
      <c r="H42" s="97"/>
      <c r="I42" s="946"/>
      <c r="J42" s="97"/>
      <c r="K42" s="946"/>
    </row>
    <row r="43" spans="1:11" s="224" customFormat="1" ht="15" customHeight="1" x14ac:dyDescent="0.25">
      <c r="A43" s="215">
        <v>43292</v>
      </c>
      <c r="B43" s="876" t="s">
        <v>138</v>
      </c>
      <c r="C43" s="350" t="s">
        <v>19</v>
      </c>
      <c r="D43" s="874" t="s">
        <v>1487</v>
      </c>
      <c r="E43" s="870" t="s">
        <v>13</v>
      </c>
      <c r="F43" s="831">
        <v>75</v>
      </c>
      <c r="G43" s="946"/>
      <c r="H43" s="97"/>
      <c r="I43" s="946"/>
      <c r="J43" s="97"/>
      <c r="K43" s="946"/>
    </row>
    <row r="44" spans="1:11" s="224" customFormat="1" ht="14.25" customHeight="1" x14ac:dyDescent="0.25">
      <c r="A44" s="215">
        <v>43292</v>
      </c>
      <c r="B44" s="364" t="s">
        <v>1941</v>
      </c>
      <c r="C44" s="350" t="s">
        <v>19</v>
      </c>
      <c r="D44" s="350" t="s">
        <v>1506</v>
      </c>
      <c r="E44" s="480" t="s">
        <v>13</v>
      </c>
      <c r="F44" s="626">
        <v>67.42</v>
      </c>
      <c r="G44" s="248"/>
      <c r="H44" s="622"/>
      <c r="I44" s="982"/>
      <c r="J44" s="622"/>
      <c r="K44" s="982"/>
    </row>
    <row r="45" spans="1:11" s="224" customFormat="1" ht="14.25" customHeight="1" x14ac:dyDescent="0.25">
      <c r="A45" s="215">
        <v>43292</v>
      </c>
      <c r="B45" s="364" t="s">
        <v>1942</v>
      </c>
      <c r="C45" s="350" t="s">
        <v>19</v>
      </c>
      <c r="D45" s="350" t="s">
        <v>1489</v>
      </c>
      <c r="E45" s="480" t="s">
        <v>13</v>
      </c>
      <c r="F45" s="626">
        <v>67.42</v>
      </c>
      <c r="G45" s="248"/>
      <c r="H45" s="622"/>
      <c r="I45" s="982"/>
      <c r="J45" s="622"/>
      <c r="K45" s="982"/>
    </row>
    <row r="46" spans="1:11" s="224" customFormat="1" ht="15" customHeight="1" x14ac:dyDescent="0.25">
      <c r="A46" s="215">
        <v>43292</v>
      </c>
      <c r="B46" s="364" t="s">
        <v>14</v>
      </c>
      <c r="C46" s="350" t="s">
        <v>12</v>
      </c>
      <c r="D46" s="350" t="s">
        <v>1486</v>
      </c>
      <c r="E46" s="480" t="s">
        <v>13</v>
      </c>
      <c r="F46" s="626">
        <v>6.34</v>
      </c>
      <c r="G46" s="946"/>
      <c r="H46" s="97"/>
      <c r="I46" s="946"/>
      <c r="J46" s="97"/>
      <c r="K46" s="946"/>
    </row>
    <row r="47" spans="1:11" s="224" customFormat="1" ht="14.25" customHeight="1" x14ac:dyDescent="0.25">
      <c r="A47" s="215">
        <v>43293</v>
      </c>
      <c r="B47" s="876" t="s">
        <v>32</v>
      </c>
      <c r="C47" s="350" t="s">
        <v>12</v>
      </c>
      <c r="D47" s="874" t="s">
        <v>1485</v>
      </c>
      <c r="E47" s="870" t="s">
        <v>15</v>
      </c>
      <c r="F47" s="831">
        <v>14</v>
      </c>
      <c r="G47" s="946"/>
      <c r="H47" s="97"/>
      <c r="I47" s="946"/>
      <c r="J47" s="97"/>
      <c r="K47" s="946"/>
    </row>
    <row r="48" spans="1:11" s="224" customFormat="1" ht="14.25" customHeight="1" x14ac:dyDescent="0.25">
      <c r="A48" s="215">
        <v>43293</v>
      </c>
      <c r="B48" s="876" t="s">
        <v>994</v>
      </c>
      <c r="C48" s="350" t="s">
        <v>12</v>
      </c>
      <c r="D48" s="874"/>
      <c r="E48" s="870" t="s">
        <v>25</v>
      </c>
      <c r="F48" s="831"/>
      <c r="G48" s="946">
        <v>24.28</v>
      </c>
      <c r="H48" s="97"/>
      <c r="I48" s="946"/>
      <c r="J48" s="97"/>
      <c r="K48" s="946"/>
    </row>
    <row r="49" spans="1:11" s="224" customFormat="1" ht="14.25" customHeight="1" x14ac:dyDescent="0.25">
      <c r="A49" s="215">
        <v>43294</v>
      </c>
      <c r="B49" s="876" t="s">
        <v>1822</v>
      </c>
      <c r="C49" s="350" t="s">
        <v>12</v>
      </c>
      <c r="D49" s="874" t="s">
        <v>1489</v>
      </c>
      <c r="E49" s="870" t="s">
        <v>13</v>
      </c>
      <c r="F49" s="831">
        <v>3.99</v>
      </c>
      <c r="G49" s="946"/>
      <c r="H49" s="97"/>
      <c r="I49" s="946"/>
      <c r="J49" s="97"/>
      <c r="K49" s="946"/>
    </row>
    <row r="50" spans="1:11" s="224" customFormat="1" ht="14.25" customHeight="1" x14ac:dyDescent="0.25">
      <c r="A50" s="215">
        <v>43294</v>
      </c>
      <c r="B50" s="364" t="s">
        <v>14</v>
      </c>
      <c r="C50" s="350" t="s">
        <v>12</v>
      </c>
      <c r="D50" s="350" t="s">
        <v>1486</v>
      </c>
      <c r="E50" s="480" t="s">
        <v>13</v>
      </c>
      <c r="F50" s="831">
        <v>7.7</v>
      </c>
      <c r="G50" s="946"/>
      <c r="H50" s="97"/>
      <c r="I50" s="946"/>
      <c r="J50" s="97"/>
      <c r="K50" s="946"/>
    </row>
    <row r="51" spans="1:11" s="224" customFormat="1" x14ac:dyDescent="0.25">
      <c r="A51" s="215">
        <v>43294</v>
      </c>
      <c r="B51" s="862" t="s">
        <v>1943</v>
      </c>
      <c r="C51" s="350" t="s">
        <v>12</v>
      </c>
      <c r="D51" s="145"/>
      <c r="E51" s="1480" t="s">
        <v>25</v>
      </c>
      <c r="F51" s="1514"/>
      <c r="G51" s="1064">
        <v>349.47</v>
      </c>
      <c r="H51" s="1481"/>
      <c r="I51" s="627"/>
      <c r="J51" s="709"/>
      <c r="K51" s="627"/>
    </row>
    <row r="52" spans="1:11" s="224" customFormat="1" ht="14.25" customHeight="1" x14ac:dyDescent="0.25">
      <c r="A52" s="215">
        <v>43295</v>
      </c>
      <c r="B52" s="876" t="s">
        <v>32</v>
      </c>
      <c r="C52" s="350" t="s">
        <v>12</v>
      </c>
      <c r="D52" s="874" t="s">
        <v>1485</v>
      </c>
      <c r="E52" s="870" t="s">
        <v>15</v>
      </c>
      <c r="F52" s="831">
        <v>16</v>
      </c>
      <c r="G52" s="946"/>
      <c r="H52" s="97"/>
      <c r="I52" s="946"/>
      <c r="J52" s="97"/>
      <c r="K52" s="946"/>
    </row>
    <row r="53" spans="1:11" s="224" customFormat="1" x14ac:dyDescent="0.25">
      <c r="A53" s="215">
        <v>43295</v>
      </c>
      <c r="B53" s="876" t="s">
        <v>1331</v>
      </c>
      <c r="C53" s="350" t="s">
        <v>19</v>
      </c>
      <c r="D53" s="874" t="s">
        <v>1487</v>
      </c>
      <c r="E53" s="870" t="s">
        <v>13</v>
      </c>
      <c r="F53" s="831">
        <v>75</v>
      </c>
      <c r="G53" s="982"/>
      <c r="H53" s="622"/>
      <c r="I53" s="982"/>
      <c r="J53" s="622"/>
      <c r="K53" s="982"/>
    </row>
    <row r="54" spans="1:11" s="224" customFormat="1" ht="15" customHeight="1" x14ac:dyDescent="0.25">
      <c r="A54" s="215">
        <v>43295</v>
      </c>
      <c r="B54" s="862" t="s">
        <v>1944</v>
      </c>
      <c r="C54" s="879" t="s">
        <v>19</v>
      </c>
      <c r="D54" s="879" t="s">
        <v>1489</v>
      </c>
      <c r="E54" s="871" t="s">
        <v>13</v>
      </c>
      <c r="F54" s="97">
        <v>100</v>
      </c>
      <c r="G54" s="1064"/>
      <c r="H54" s="97"/>
      <c r="I54" s="946"/>
      <c r="J54" s="97"/>
      <c r="K54" s="946"/>
    </row>
    <row r="55" spans="1:11" s="224" customFormat="1" ht="15" customHeight="1" x14ac:dyDescent="0.25">
      <c r="A55" s="215">
        <v>43295</v>
      </c>
      <c r="B55" s="862" t="s">
        <v>1945</v>
      </c>
      <c r="C55" s="879" t="s">
        <v>12</v>
      </c>
      <c r="D55" s="879" t="s">
        <v>1489</v>
      </c>
      <c r="E55" s="871" t="s">
        <v>13</v>
      </c>
      <c r="F55" s="97">
        <v>1.5</v>
      </c>
      <c r="G55" s="1064"/>
      <c r="H55" s="97"/>
      <c r="I55" s="946"/>
      <c r="J55" s="97"/>
      <c r="K55" s="946"/>
    </row>
    <row r="56" spans="1:11" s="224" customFormat="1" ht="15" customHeight="1" x14ac:dyDescent="0.25">
      <c r="A56" s="215">
        <v>43295</v>
      </c>
      <c r="B56" s="862" t="s">
        <v>1946</v>
      </c>
      <c r="C56" s="879" t="s">
        <v>12</v>
      </c>
      <c r="D56" s="879" t="s">
        <v>1525</v>
      </c>
      <c r="E56" s="871" t="s">
        <v>13</v>
      </c>
      <c r="F56" s="97">
        <v>32</v>
      </c>
      <c r="G56" s="1064"/>
      <c r="H56" s="97"/>
      <c r="I56" s="946"/>
      <c r="J56" s="97"/>
      <c r="K56" s="946"/>
    </row>
    <row r="57" spans="1:11" s="224" customFormat="1" ht="14.25" customHeight="1" x14ac:dyDescent="0.25">
      <c r="A57" s="215">
        <v>43295</v>
      </c>
      <c r="B57" s="364" t="s">
        <v>14</v>
      </c>
      <c r="C57" s="350" t="s">
        <v>12</v>
      </c>
      <c r="D57" s="350" t="s">
        <v>1486</v>
      </c>
      <c r="E57" s="480" t="s">
        <v>13</v>
      </c>
      <c r="F57" s="831">
        <v>1.32</v>
      </c>
      <c r="G57" s="946"/>
      <c r="H57" s="97"/>
      <c r="I57" s="946"/>
      <c r="J57" s="97"/>
      <c r="K57" s="946"/>
    </row>
    <row r="58" spans="1:11" s="224" customFormat="1" ht="14.25" customHeight="1" x14ac:dyDescent="0.25">
      <c r="A58" s="215">
        <v>43295</v>
      </c>
      <c r="B58" s="364" t="s">
        <v>82</v>
      </c>
      <c r="C58" s="350" t="s">
        <v>12</v>
      </c>
      <c r="D58" s="350" t="s">
        <v>1493</v>
      </c>
      <c r="E58" s="480" t="s">
        <v>13</v>
      </c>
      <c r="F58" s="831">
        <v>29</v>
      </c>
      <c r="G58" s="946"/>
      <c r="H58" s="97"/>
      <c r="I58" s="946"/>
      <c r="J58" s="97"/>
      <c r="K58" s="946"/>
    </row>
    <row r="59" spans="1:11" s="224" customFormat="1" ht="14.25" customHeight="1" x14ac:dyDescent="0.25">
      <c r="A59" s="215">
        <v>43296</v>
      </c>
      <c r="B59" s="364" t="s">
        <v>14</v>
      </c>
      <c r="C59" s="350" t="s">
        <v>12</v>
      </c>
      <c r="D59" s="350" t="s">
        <v>1486</v>
      </c>
      <c r="E59" s="480" t="s">
        <v>13</v>
      </c>
      <c r="F59" s="831">
        <v>3.93</v>
      </c>
      <c r="G59" s="946"/>
      <c r="H59" s="97"/>
      <c r="I59" s="946"/>
      <c r="J59" s="97"/>
      <c r="K59" s="946"/>
    </row>
    <row r="60" spans="1:11" s="224" customFormat="1" ht="14.25" customHeight="1" x14ac:dyDescent="0.25">
      <c r="A60" s="215">
        <v>43296</v>
      </c>
      <c r="B60" s="876" t="s">
        <v>32</v>
      </c>
      <c r="C60" s="350" t="s">
        <v>12</v>
      </c>
      <c r="D60" s="874" t="s">
        <v>1485</v>
      </c>
      <c r="E60" s="870" t="s">
        <v>13</v>
      </c>
      <c r="F60" s="831">
        <v>28.18</v>
      </c>
      <c r="G60" s="946"/>
      <c r="H60" s="97"/>
      <c r="I60" s="946"/>
      <c r="J60" s="97"/>
      <c r="K60" s="946"/>
    </row>
    <row r="61" spans="1:11" s="224" customFormat="1" ht="15" customHeight="1" x14ac:dyDescent="0.25">
      <c r="A61" s="215">
        <v>43296</v>
      </c>
      <c r="B61" s="862" t="s">
        <v>1947</v>
      </c>
      <c r="C61" s="352" t="s">
        <v>12</v>
      </c>
      <c r="D61" s="874" t="s">
        <v>1493</v>
      </c>
      <c r="E61" s="870" t="s">
        <v>13</v>
      </c>
      <c r="F61" s="831">
        <v>18</v>
      </c>
      <c r="G61" s="946"/>
      <c r="H61" s="97"/>
      <c r="I61" s="946"/>
      <c r="J61" s="97"/>
      <c r="K61" s="946"/>
    </row>
    <row r="62" spans="1:11" s="224" customFormat="1" ht="14.25" customHeight="1" x14ac:dyDescent="0.25">
      <c r="A62" s="215">
        <v>43297</v>
      </c>
      <c r="B62" s="876" t="s">
        <v>32</v>
      </c>
      <c r="C62" s="350" t="s">
        <v>12</v>
      </c>
      <c r="D62" s="874" t="s">
        <v>1485</v>
      </c>
      <c r="E62" s="870" t="s">
        <v>13</v>
      </c>
      <c r="F62" s="831">
        <v>14</v>
      </c>
      <c r="G62" s="946"/>
      <c r="H62" s="97"/>
      <c r="I62" s="946"/>
      <c r="J62" s="97"/>
      <c r="K62" s="946"/>
    </row>
    <row r="63" spans="1:11" s="224" customFormat="1" ht="14.25" customHeight="1" x14ac:dyDescent="0.25">
      <c r="A63" s="215">
        <v>43297</v>
      </c>
      <c r="B63" s="364" t="s">
        <v>14</v>
      </c>
      <c r="C63" s="350" t="s">
        <v>12</v>
      </c>
      <c r="D63" s="350" t="s">
        <v>1486</v>
      </c>
      <c r="E63" s="480" t="s">
        <v>13</v>
      </c>
      <c r="F63" s="831">
        <v>5.15</v>
      </c>
      <c r="G63" s="946"/>
      <c r="H63" s="97"/>
      <c r="I63" s="946"/>
      <c r="J63" s="97"/>
      <c r="K63" s="946"/>
    </row>
    <row r="64" spans="1:11" s="224" customFormat="1" ht="15.75" customHeight="1" x14ac:dyDescent="0.25">
      <c r="A64" s="215">
        <v>43297</v>
      </c>
      <c r="B64" s="862" t="s">
        <v>1948</v>
      </c>
      <c r="C64" s="350" t="s">
        <v>12</v>
      </c>
      <c r="D64" s="874" t="s">
        <v>1491</v>
      </c>
      <c r="E64" s="875" t="s">
        <v>15</v>
      </c>
      <c r="F64" s="626">
        <v>80</v>
      </c>
      <c r="G64" s="982"/>
      <c r="H64" s="622"/>
      <c r="I64" s="982"/>
      <c r="J64" s="622"/>
      <c r="K64" s="982"/>
    </row>
    <row r="65" spans="1:14" s="224" customFormat="1" ht="14.25" customHeight="1" x14ac:dyDescent="0.25">
      <c r="A65" s="215">
        <v>43298</v>
      </c>
      <c r="B65" s="876" t="s">
        <v>32</v>
      </c>
      <c r="C65" s="350" t="s">
        <v>12</v>
      </c>
      <c r="D65" s="874" t="s">
        <v>1485</v>
      </c>
      <c r="E65" s="870" t="s">
        <v>13</v>
      </c>
      <c r="F65" s="831">
        <v>14</v>
      </c>
      <c r="G65" s="946"/>
      <c r="H65" s="97"/>
      <c r="I65" s="946"/>
      <c r="J65" s="97"/>
      <c r="K65" s="946"/>
    </row>
    <row r="66" spans="1:14" s="224" customFormat="1" x14ac:dyDescent="0.25">
      <c r="A66" s="215">
        <v>43298</v>
      </c>
      <c r="B66" s="364" t="s">
        <v>14</v>
      </c>
      <c r="C66" s="350" t="s">
        <v>12</v>
      </c>
      <c r="D66" s="350" t="s">
        <v>1486</v>
      </c>
      <c r="E66" s="480" t="s">
        <v>13</v>
      </c>
      <c r="F66" s="831">
        <v>4.78</v>
      </c>
      <c r="G66" s="946"/>
      <c r="H66" s="97"/>
      <c r="I66" s="946"/>
      <c r="J66" s="97"/>
      <c r="K66" s="946"/>
    </row>
    <row r="67" spans="1:14" s="224" customFormat="1" ht="14.25" customHeight="1" x14ac:dyDescent="0.25">
      <c r="A67" s="215">
        <v>43299</v>
      </c>
      <c r="B67" s="876" t="s">
        <v>32</v>
      </c>
      <c r="C67" s="350" t="s">
        <v>12</v>
      </c>
      <c r="D67" s="874" t="s">
        <v>1485</v>
      </c>
      <c r="E67" s="870" t="s">
        <v>13</v>
      </c>
      <c r="F67" s="831">
        <v>14</v>
      </c>
      <c r="G67" s="946"/>
      <c r="H67" s="97"/>
      <c r="I67" s="946"/>
      <c r="J67" s="97"/>
      <c r="K67" s="946"/>
    </row>
    <row r="68" spans="1:14" s="224" customFormat="1" ht="14.25" customHeight="1" x14ac:dyDescent="0.25">
      <c r="A68" s="215">
        <v>43299</v>
      </c>
      <c r="B68" s="364" t="s">
        <v>14</v>
      </c>
      <c r="C68" s="350" t="s">
        <v>12</v>
      </c>
      <c r="D68" s="350" t="s">
        <v>1486</v>
      </c>
      <c r="E68" s="480" t="s">
        <v>13</v>
      </c>
      <c r="F68" s="831">
        <v>7.89</v>
      </c>
      <c r="G68" s="946"/>
      <c r="H68" s="97"/>
      <c r="I68" s="946"/>
      <c r="J68" s="97"/>
      <c r="K68" s="946"/>
    </row>
    <row r="69" spans="1:14" s="224" customFormat="1" ht="14.25" customHeight="1" x14ac:dyDescent="0.25">
      <c r="A69" s="215">
        <v>43299</v>
      </c>
      <c r="B69" s="364" t="s">
        <v>1892</v>
      </c>
      <c r="C69" s="350" t="s">
        <v>19</v>
      </c>
      <c r="D69" s="350" t="s">
        <v>1491</v>
      </c>
      <c r="E69" s="480" t="s">
        <v>13</v>
      </c>
      <c r="F69" s="626">
        <v>36.700000000000003</v>
      </c>
      <c r="G69" s="248"/>
      <c r="H69" s="97"/>
      <c r="I69" s="946"/>
      <c r="J69" s="97"/>
      <c r="K69" s="946"/>
    </row>
    <row r="70" spans="1:14" s="224" customFormat="1" x14ac:dyDescent="0.25">
      <c r="A70" s="215">
        <v>43299</v>
      </c>
      <c r="B70" s="876" t="s">
        <v>1331</v>
      </c>
      <c r="C70" s="350" t="s">
        <v>12</v>
      </c>
      <c r="D70" s="874" t="s">
        <v>1487</v>
      </c>
      <c r="E70" s="870" t="s">
        <v>13</v>
      </c>
      <c r="F70" s="831">
        <v>40</v>
      </c>
      <c r="G70" s="982"/>
      <c r="H70" s="622"/>
      <c r="I70" s="982"/>
      <c r="J70" s="622"/>
      <c r="K70" s="982"/>
    </row>
    <row r="71" spans="1:14" s="224" customFormat="1" ht="15" customHeight="1" x14ac:dyDescent="0.25">
      <c r="A71" s="215">
        <v>43300</v>
      </c>
      <c r="B71" s="364" t="s">
        <v>1947</v>
      </c>
      <c r="C71" s="350" t="s">
        <v>12</v>
      </c>
      <c r="D71" s="350" t="s">
        <v>1493</v>
      </c>
      <c r="E71" s="480" t="s">
        <v>13</v>
      </c>
      <c r="F71" s="622">
        <v>4.5</v>
      </c>
      <c r="G71" s="982"/>
      <c r="H71" s="622"/>
      <c r="I71" s="982"/>
      <c r="J71" s="622"/>
      <c r="K71" s="982"/>
    </row>
    <row r="72" spans="1:14" s="224" customFormat="1" ht="15" customHeight="1" x14ac:dyDescent="0.25">
      <c r="A72" s="215">
        <v>43300</v>
      </c>
      <c r="B72" s="364" t="s">
        <v>14</v>
      </c>
      <c r="C72" s="350" t="s">
        <v>12</v>
      </c>
      <c r="D72" s="350" t="s">
        <v>1486</v>
      </c>
      <c r="E72" s="480" t="s">
        <v>13</v>
      </c>
      <c r="F72" s="831">
        <v>8.0399999999999991</v>
      </c>
      <c r="G72" s="982"/>
      <c r="H72" s="622"/>
      <c r="I72" s="982"/>
      <c r="J72" s="622"/>
      <c r="K72" s="982"/>
    </row>
    <row r="73" spans="1:14" s="224" customFormat="1" ht="15" customHeight="1" x14ac:dyDescent="0.25">
      <c r="A73" s="215">
        <v>43301</v>
      </c>
      <c r="B73" s="876" t="s">
        <v>32</v>
      </c>
      <c r="C73" s="350" t="s">
        <v>12</v>
      </c>
      <c r="D73" s="874" t="s">
        <v>1485</v>
      </c>
      <c r="E73" s="870" t="s">
        <v>13</v>
      </c>
      <c r="F73" s="831">
        <v>14</v>
      </c>
      <c r="G73" s="982"/>
      <c r="H73" s="622"/>
      <c r="I73" s="982"/>
      <c r="J73" s="622"/>
      <c r="K73" s="982"/>
    </row>
    <row r="74" spans="1:14" x14ac:dyDescent="0.25">
      <c r="A74" s="215">
        <v>43301</v>
      </c>
      <c r="B74" s="882" t="s">
        <v>1949</v>
      </c>
      <c r="C74" s="350" t="s">
        <v>12</v>
      </c>
      <c r="D74" s="145"/>
      <c r="E74" s="145" t="s">
        <v>25</v>
      </c>
      <c r="F74" s="1524"/>
      <c r="G74" s="982">
        <v>1600</v>
      </c>
      <c r="H74" s="622"/>
      <c r="I74" s="982"/>
      <c r="J74" s="622"/>
      <c r="K74" s="982"/>
    </row>
    <row r="75" spans="1:14" s="224" customFormat="1" ht="15.75" customHeight="1" x14ac:dyDescent="0.25">
      <c r="A75" s="215">
        <v>43301</v>
      </c>
      <c r="B75" s="882" t="s">
        <v>1950</v>
      </c>
      <c r="C75" s="879" t="s">
        <v>12</v>
      </c>
      <c r="D75" s="879" t="s">
        <v>1499</v>
      </c>
      <c r="E75" s="871" t="s">
        <v>13</v>
      </c>
      <c r="F75" s="622">
        <v>51.11</v>
      </c>
      <c r="G75" s="1002"/>
      <c r="H75" s="538"/>
      <c r="I75" s="982"/>
      <c r="J75" s="622"/>
      <c r="K75" s="982"/>
    </row>
    <row r="76" spans="1:14" s="224" customFormat="1" x14ac:dyDescent="0.25">
      <c r="A76" s="215">
        <v>43301</v>
      </c>
      <c r="B76" s="873" t="s">
        <v>1564</v>
      </c>
      <c r="C76" s="879" t="s">
        <v>12</v>
      </c>
      <c r="D76" s="350" t="s">
        <v>1491</v>
      </c>
      <c r="E76" s="871" t="s">
        <v>15</v>
      </c>
      <c r="F76" s="622">
        <v>130</v>
      </c>
      <c r="G76" s="982"/>
      <c r="H76" s="622"/>
      <c r="I76" s="982"/>
      <c r="J76" s="622"/>
      <c r="K76" s="982"/>
    </row>
    <row r="77" spans="1:14" s="224" customFormat="1" x14ac:dyDescent="0.25">
      <c r="A77" s="215">
        <v>43301</v>
      </c>
      <c r="B77" s="862" t="s">
        <v>1951</v>
      </c>
      <c r="C77" s="352" t="s">
        <v>12</v>
      </c>
      <c r="D77" s="874" t="s">
        <v>1496</v>
      </c>
      <c r="E77" s="875" t="s">
        <v>13</v>
      </c>
      <c r="F77" s="829">
        <v>60</v>
      </c>
      <c r="G77" s="946"/>
      <c r="H77" s="97"/>
      <c r="I77" s="946"/>
      <c r="J77" s="97"/>
      <c r="K77" s="946"/>
    </row>
    <row r="78" spans="1:14" s="224" customFormat="1" x14ac:dyDescent="0.25">
      <c r="A78" s="215">
        <v>43301</v>
      </c>
      <c r="B78" s="862" t="s">
        <v>1952</v>
      </c>
      <c r="C78" s="350" t="s">
        <v>12</v>
      </c>
      <c r="D78" s="879"/>
      <c r="E78" s="871" t="s">
        <v>25</v>
      </c>
      <c r="F78" s="827"/>
      <c r="G78" s="1480">
        <v>250</v>
      </c>
      <c r="H78" s="97"/>
      <c r="I78" s="946"/>
      <c r="J78" s="97"/>
      <c r="K78" s="946"/>
    </row>
    <row r="79" spans="1:14" s="224" customFormat="1" ht="15" customHeight="1" x14ac:dyDescent="0.25">
      <c r="A79" s="215">
        <v>43301</v>
      </c>
      <c r="B79" s="862" t="s">
        <v>1936</v>
      </c>
      <c r="C79" s="350" t="s">
        <v>12</v>
      </c>
      <c r="D79" s="350"/>
      <c r="E79" s="480" t="s">
        <v>13</v>
      </c>
      <c r="F79" s="780">
        <v>300</v>
      </c>
      <c r="G79" s="1063"/>
      <c r="H79" s="622"/>
      <c r="I79" s="982"/>
      <c r="J79" s="622"/>
      <c r="K79" s="982"/>
      <c r="L79" s="3130"/>
      <c r="M79" s="3131"/>
      <c r="N79" s="3131"/>
    </row>
    <row r="80" spans="1:14" s="224" customFormat="1" ht="15" customHeight="1" x14ac:dyDescent="0.25">
      <c r="A80" s="215">
        <v>43301</v>
      </c>
      <c r="B80" s="349" t="s">
        <v>1953</v>
      </c>
      <c r="C80" s="350" t="s">
        <v>19</v>
      </c>
      <c r="D80" s="350" t="s">
        <v>1506</v>
      </c>
      <c r="E80" s="480" t="s">
        <v>13</v>
      </c>
      <c r="F80" s="780">
        <v>300</v>
      </c>
      <c r="G80" s="1063"/>
      <c r="H80" s="622"/>
      <c r="I80" s="982"/>
      <c r="J80" s="622"/>
      <c r="K80" s="982"/>
      <c r="L80" s="3130"/>
      <c r="M80" s="3131"/>
      <c r="N80" s="3131"/>
    </row>
    <row r="81" spans="1:11" s="224" customFormat="1" ht="15" customHeight="1" x14ac:dyDescent="0.25">
      <c r="A81" s="215">
        <v>43301</v>
      </c>
      <c r="B81" s="349" t="s">
        <v>260</v>
      </c>
      <c r="C81" s="350"/>
      <c r="D81" s="350"/>
      <c r="E81" s="480"/>
      <c r="F81" s="851">
        <v>293.69</v>
      </c>
      <c r="G81" s="1064"/>
      <c r="H81" s="97"/>
      <c r="I81" s="946">
        <v>293.69</v>
      </c>
      <c r="J81" s="97"/>
      <c r="K81" s="946"/>
    </row>
    <row r="82" spans="1:11" s="224" customFormat="1" ht="15" customHeight="1" x14ac:dyDescent="0.25">
      <c r="A82" s="215">
        <v>43301</v>
      </c>
      <c r="B82" s="349" t="s">
        <v>1744</v>
      </c>
      <c r="C82" s="350" t="s">
        <v>12</v>
      </c>
      <c r="D82" s="350" t="s">
        <v>1493</v>
      </c>
      <c r="E82" s="875" t="s">
        <v>13</v>
      </c>
      <c r="F82" s="852">
        <v>37</v>
      </c>
      <c r="G82" s="1063"/>
      <c r="H82" s="622"/>
      <c r="I82" s="982"/>
      <c r="J82" s="622"/>
      <c r="K82" s="982"/>
    </row>
    <row r="83" spans="1:11" s="224" customFormat="1" ht="15" customHeight="1" x14ac:dyDescent="0.25">
      <c r="A83" s="215">
        <v>43301</v>
      </c>
      <c r="B83" s="349" t="s">
        <v>1067</v>
      </c>
      <c r="C83" s="352" t="s">
        <v>12</v>
      </c>
      <c r="D83" s="352" t="s">
        <v>1493</v>
      </c>
      <c r="E83" s="1475" t="s">
        <v>13</v>
      </c>
      <c r="F83" s="850">
        <v>5</v>
      </c>
      <c r="G83" s="1063"/>
      <c r="H83" s="622"/>
      <c r="I83" s="982"/>
      <c r="J83" s="622"/>
      <c r="K83" s="982"/>
    </row>
    <row r="84" spans="1:11" s="224" customFormat="1" ht="15" customHeight="1" x14ac:dyDescent="0.25">
      <c r="A84" s="215">
        <v>43301</v>
      </c>
      <c r="B84" s="349" t="s">
        <v>14</v>
      </c>
      <c r="C84" s="352" t="s">
        <v>12</v>
      </c>
      <c r="D84" s="352" t="s">
        <v>1486</v>
      </c>
      <c r="E84" s="864" t="s">
        <v>13</v>
      </c>
      <c r="F84" s="850">
        <v>6</v>
      </c>
      <c r="G84" s="1063"/>
      <c r="H84" s="622"/>
      <c r="I84" s="982"/>
      <c r="J84" s="622"/>
      <c r="K84" s="982"/>
    </row>
    <row r="85" spans="1:11" s="224" customFormat="1" ht="15" customHeight="1" x14ac:dyDescent="0.25">
      <c r="A85" s="215">
        <v>43302</v>
      </c>
      <c r="B85" s="364" t="s">
        <v>1438</v>
      </c>
      <c r="C85" s="350" t="s">
        <v>12</v>
      </c>
      <c r="D85" s="350" t="s">
        <v>1489</v>
      </c>
      <c r="E85" s="480" t="s">
        <v>13</v>
      </c>
      <c r="F85" s="780">
        <v>23.09</v>
      </c>
      <c r="G85" s="1063"/>
      <c r="H85" s="622"/>
      <c r="I85" s="982"/>
      <c r="J85" s="622"/>
      <c r="K85" s="982"/>
    </row>
    <row r="86" spans="1:11" s="224" customFormat="1" ht="15" customHeight="1" x14ac:dyDescent="0.25">
      <c r="A86" s="215">
        <v>43302</v>
      </c>
      <c r="B86" s="349" t="s">
        <v>1331</v>
      </c>
      <c r="C86" s="350" t="s">
        <v>12</v>
      </c>
      <c r="D86" s="350" t="s">
        <v>1487</v>
      </c>
      <c r="E86" s="480" t="s">
        <v>13</v>
      </c>
      <c r="F86" s="780">
        <v>40</v>
      </c>
      <c r="G86" s="1063"/>
      <c r="H86" s="622"/>
      <c r="I86" s="982"/>
      <c r="J86" s="622"/>
      <c r="K86" s="982"/>
    </row>
    <row r="87" spans="1:11" s="224" customFormat="1" ht="15" customHeight="1" x14ac:dyDescent="0.25">
      <c r="A87" s="215">
        <v>43302</v>
      </c>
      <c r="B87" s="876" t="s">
        <v>32</v>
      </c>
      <c r="C87" s="350" t="s">
        <v>12</v>
      </c>
      <c r="D87" s="874" t="s">
        <v>1485</v>
      </c>
      <c r="E87" s="870" t="s">
        <v>13</v>
      </c>
      <c r="F87" s="780">
        <v>16</v>
      </c>
      <c r="G87" s="1063"/>
      <c r="H87" s="622"/>
      <c r="I87" s="982"/>
      <c r="J87" s="622"/>
      <c r="K87" s="982"/>
    </row>
    <row r="88" spans="1:11" s="224" customFormat="1" ht="15" customHeight="1" x14ac:dyDescent="0.25">
      <c r="A88" s="215">
        <v>43303</v>
      </c>
      <c r="B88" s="349" t="s">
        <v>1614</v>
      </c>
      <c r="C88" s="350" t="s">
        <v>12</v>
      </c>
      <c r="D88" s="350" t="s">
        <v>1485</v>
      </c>
      <c r="E88" s="480" t="s">
        <v>13</v>
      </c>
      <c r="F88" s="780">
        <v>35.04</v>
      </c>
      <c r="G88" s="1063"/>
      <c r="H88" s="622"/>
      <c r="I88" s="982"/>
      <c r="J88" s="622"/>
      <c r="K88" s="982"/>
    </row>
    <row r="89" spans="1:11" s="224" customFormat="1" ht="15" customHeight="1" x14ac:dyDescent="0.25">
      <c r="A89" s="215">
        <v>43303</v>
      </c>
      <c r="B89" s="349" t="s">
        <v>14</v>
      </c>
      <c r="C89" s="350" t="s">
        <v>12</v>
      </c>
      <c r="D89" s="350" t="s">
        <v>1486</v>
      </c>
      <c r="E89" s="871" t="s">
        <v>13</v>
      </c>
      <c r="F89" s="853">
        <v>6.5</v>
      </c>
      <c r="G89" s="982"/>
      <c r="H89" s="622"/>
      <c r="I89" s="982"/>
      <c r="J89" s="622"/>
      <c r="K89" s="982"/>
    </row>
    <row r="90" spans="1:11" s="224" customFormat="1" x14ac:dyDescent="0.25">
      <c r="A90" s="215">
        <v>43304</v>
      </c>
      <c r="B90" s="876" t="s">
        <v>147</v>
      </c>
      <c r="C90" s="350" t="s">
        <v>12</v>
      </c>
      <c r="D90" s="874" t="s">
        <v>1506</v>
      </c>
      <c r="E90" s="870" t="s">
        <v>15</v>
      </c>
      <c r="F90" s="831">
        <v>10</v>
      </c>
      <c r="G90" s="982"/>
      <c r="H90" s="622"/>
      <c r="I90" s="982"/>
      <c r="J90" s="622"/>
      <c r="K90" s="982"/>
    </row>
    <row r="91" spans="1:11" s="224" customFormat="1" ht="15" customHeight="1" x14ac:dyDescent="0.25">
      <c r="A91" s="215">
        <v>43304</v>
      </c>
      <c r="B91" s="349" t="s">
        <v>14</v>
      </c>
      <c r="C91" s="350" t="s">
        <v>12</v>
      </c>
      <c r="D91" s="350" t="s">
        <v>1486</v>
      </c>
      <c r="E91" s="871" t="s">
        <v>13</v>
      </c>
      <c r="F91" s="853">
        <v>13.06</v>
      </c>
      <c r="G91" s="982"/>
      <c r="H91" s="622"/>
      <c r="I91" s="982"/>
      <c r="J91" s="622"/>
      <c r="K91" s="982"/>
    </row>
    <row r="92" spans="1:11" s="224" customFormat="1" x14ac:dyDescent="0.25">
      <c r="A92" s="215">
        <v>43305</v>
      </c>
      <c r="B92" s="862" t="s">
        <v>1928</v>
      </c>
      <c r="C92" s="350" t="s">
        <v>12</v>
      </c>
      <c r="D92" s="874" t="s">
        <v>1504</v>
      </c>
      <c r="E92" s="1475" t="s">
        <v>13</v>
      </c>
      <c r="F92" s="622">
        <v>68.92</v>
      </c>
      <c r="G92" s="946"/>
      <c r="H92" s="97"/>
      <c r="I92" s="946"/>
      <c r="J92" s="97"/>
      <c r="K92" s="946"/>
    </row>
    <row r="93" spans="1:11" s="224" customFormat="1" ht="15" customHeight="1" x14ac:dyDescent="0.25">
      <c r="A93" s="215">
        <v>43305</v>
      </c>
      <c r="B93" s="349" t="s">
        <v>14</v>
      </c>
      <c r="C93" s="350" t="s">
        <v>12</v>
      </c>
      <c r="D93" s="350" t="s">
        <v>1486</v>
      </c>
      <c r="E93" s="871" t="s">
        <v>13</v>
      </c>
      <c r="F93" s="853">
        <v>7.54</v>
      </c>
      <c r="G93" s="982"/>
      <c r="H93" s="622"/>
      <c r="I93" s="982"/>
      <c r="J93" s="622"/>
      <c r="K93" s="982"/>
    </row>
    <row r="94" spans="1:11" s="224" customFormat="1" ht="15" customHeight="1" x14ac:dyDescent="0.25">
      <c r="A94" s="215">
        <v>43306</v>
      </c>
      <c r="B94" s="876" t="s">
        <v>32</v>
      </c>
      <c r="C94" s="350" t="s">
        <v>12</v>
      </c>
      <c r="D94" s="874" t="s">
        <v>1485</v>
      </c>
      <c r="E94" s="870" t="s">
        <v>13</v>
      </c>
      <c r="F94" s="780">
        <v>14</v>
      </c>
      <c r="G94" s="1063"/>
      <c r="H94" s="622"/>
      <c r="I94" s="982"/>
      <c r="J94" s="622"/>
      <c r="K94" s="982"/>
    </row>
    <row r="95" spans="1:11" s="224" customFormat="1" x14ac:dyDescent="0.25">
      <c r="A95" s="215">
        <v>43306</v>
      </c>
      <c r="B95" s="349" t="s">
        <v>14</v>
      </c>
      <c r="C95" s="350" t="s">
        <v>12</v>
      </c>
      <c r="D95" s="350" t="s">
        <v>1486</v>
      </c>
      <c r="E95" s="871" t="s">
        <v>13</v>
      </c>
      <c r="F95" s="853">
        <v>1.65</v>
      </c>
      <c r="G95" s="982"/>
      <c r="H95" s="622"/>
      <c r="I95" s="982"/>
      <c r="J95" s="622"/>
      <c r="K95" s="982"/>
    </row>
    <row r="96" spans="1:11" s="224" customFormat="1" ht="15" customHeight="1" x14ac:dyDescent="0.25">
      <c r="A96" s="215">
        <v>43307</v>
      </c>
      <c r="B96" s="876" t="s">
        <v>32</v>
      </c>
      <c r="C96" s="350" t="s">
        <v>12</v>
      </c>
      <c r="D96" s="874" t="s">
        <v>1485</v>
      </c>
      <c r="E96" s="870" t="s">
        <v>13</v>
      </c>
      <c r="F96" s="780">
        <v>14</v>
      </c>
      <c r="G96" s="1063"/>
      <c r="H96" s="622"/>
      <c r="I96" s="982"/>
      <c r="J96" s="622"/>
      <c r="K96" s="982"/>
    </row>
    <row r="97" spans="1:11" s="224" customFormat="1" x14ac:dyDescent="0.25">
      <c r="A97" s="215">
        <v>43307</v>
      </c>
      <c r="B97" s="349" t="s">
        <v>14</v>
      </c>
      <c r="C97" s="350" t="s">
        <v>12</v>
      </c>
      <c r="D97" s="350" t="s">
        <v>1486</v>
      </c>
      <c r="E97" s="871" t="s">
        <v>13</v>
      </c>
      <c r="F97" s="853">
        <v>6.28</v>
      </c>
      <c r="G97" s="982"/>
      <c r="H97" s="622"/>
      <c r="I97" s="1002"/>
      <c r="J97" s="622"/>
      <c r="K97" s="1002"/>
    </row>
    <row r="98" spans="1:11" s="224" customFormat="1" ht="14.25" customHeight="1" x14ac:dyDescent="0.25">
      <c r="A98" s="215">
        <v>43308</v>
      </c>
      <c r="B98" s="862" t="s">
        <v>1438</v>
      </c>
      <c r="C98" s="350" t="s">
        <v>12</v>
      </c>
      <c r="D98" s="879" t="s">
        <v>1489</v>
      </c>
      <c r="E98" s="871" t="s">
        <v>13</v>
      </c>
      <c r="F98" s="827">
        <v>17.399999999999999</v>
      </c>
      <c r="G98" s="248"/>
      <c r="H98" s="622"/>
      <c r="I98" s="982"/>
      <c r="J98" s="622"/>
      <c r="K98" s="982"/>
    </row>
    <row r="99" spans="1:11" s="224" customFormat="1" ht="14.25" customHeight="1" x14ac:dyDescent="0.25">
      <c r="A99" s="215">
        <v>43308</v>
      </c>
      <c r="B99" s="862" t="s">
        <v>1597</v>
      </c>
      <c r="C99" s="350" t="s">
        <v>12</v>
      </c>
      <c r="D99" s="879" t="s">
        <v>1491</v>
      </c>
      <c r="E99" s="871" t="s">
        <v>15</v>
      </c>
      <c r="F99" s="827">
        <v>50</v>
      </c>
      <c r="G99" s="248"/>
      <c r="H99" s="622"/>
      <c r="I99" s="982"/>
      <c r="J99" s="622"/>
      <c r="K99" s="982"/>
    </row>
    <row r="100" spans="1:11" s="224" customFormat="1" ht="14.25" customHeight="1" x14ac:dyDescent="0.25">
      <c r="A100" s="215">
        <v>43308</v>
      </c>
      <c r="B100" s="862" t="s">
        <v>134</v>
      </c>
      <c r="C100" s="350" t="s">
        <v>12</v>
      </c>
      <c r="D100" s="879" t="s">
        <v>1493</v>
      </c>
      <c r="E100" s="871" t="s">
        <v>13</v>
      </c>
      <c r="F100" s="827">
        <v>9.9</v>
      </c>
      <c r="G100" s="248"/>
      <c r="H100" s="622"/>
      <c r="I100" s="982"/>
      <c r="J100" s="622"/>
      <c r="K100" s="982"/>
    </row>
    <row r="101" spans="1:11" s="224" customFormat="1" ht="15" customHeight="1" x14ac:dyDescent="0.25">
      <c r="A101" s="215">
        <v>43309</v>
      </c>
      <c r="B101" s="876" t="s">
        <v>32</v>
      </c>
      <c r="C101" s="350" t="s">
        <v>12</v>
      </c>
      <c r="D101" s="874" t="s">
        <v>1485</v>
      </c>
      <c r="E101" s="870" t="s">
        <v>13</v>
      </c>
      <c r="F101" s="780">
        <v>15.9</v>
      </c>
      <c r="G101" s="1063"/>
      <c r="H101" s="622"/>
      <c r="I101" s="982"/>
      <c r="J101" s="622"/>
      <c r="K101" s="982"/>
    </row>
    <row r="102" spans="1:11" s="224" customFormat="1" ht="15" customHeight="1" x14ac:dyDescent="0.25">
      <c r="A102" s="215">
        <v>43309</v>
      </c>
      <c r="B102" s="862" t="s">
        <v>256</v>
      </c>
      <c r="C102" s="879"/>
      <c r="D102" s="879"/>
      <c r="E102" s="871"/>
      <c r="F102" s="97"/>
      <c r="G102" s="1064">
        <v>400</v>
      </c>
      <c r="H102" s="97">
        <v>400</v>
      </c>
      <c r="I102" s="946"/>
      <c r="J102" s="97"/>
      <c r="K102" s="946"/>
    </row>
    <row r="103" spans="1:11" s="224" customFormat="1" ht="15" customHeight="1" x14ac:dyDescent="0.25">
      <c r="A103" s="215">
        <v>43309</v>
      </c>
      <c r="B103" s="364" t="s">
        <v>1954</v>
      </c>
      <c r="C103" s="350" t="s">
        <v>19</v>
      </c>
      <c r="D103" s="350" t="s">
        <v>1489</v>
      </c>
      <c r="E103" s="480" t="s">
        <v>13</v>
      </c>
      <c r="F103" s="622">
        <v>329</v>
      </c>
      <c r="G103" s="982"/>
      <c r="H103" s="622"/>
      <c r="I103" s="982"/>
      <c r="J103" s="622"/>
      <c r="K103" s="982"/>
    </row>
    <row r="104" spans="1:11" s="224" customFormat="1" x14ac:dyDescent="0.25">
      <c r="A104" s="215">
        <v>43309</v>
      </c>
      <c r="B104" s="349" t="s">
        <v>14</v>
      </c>
      <c r="C104" s="350" t="s">
        <v>12</v>
      </c>
      <c r="D104" s="350" t="s">
        <v>1486</v>
      </c>
      <c r="E104" s="871" t="s">
        <v>13</v>
      </c>
      <c r="F104" s="853">
        <v>3.48</v>
      </c>
      <c r="G104" s="982"/>
      <c r="H104" s="622"/>
      <c r="I104" s="1002"/>
      <c r="J104" s="622"/>
      <c r="K104" s="1002"/>
    </row>
    <row r="105" spans="1:11" s="224" customFormat="1" ht="15" customHeight="1" x14ac:dyDescent="0.25">
      <c r="A105" s="215">
        <v>43309</v>
      </c>
      <c r="B105" s="364" t="s">
        <v>82</v>
      </c>
      <c r="C105" s="350" t="s">
        <v>12</v>
      </c>
      <c r="D105" s="350" t="s">
        <v>1493</v>
      </c>
      <c r="E105" s="480" t="s">
        <v>13</v>
      </c>
      <c r="F105" s="622">
        <v>29</v>
      </c>
      <c r="G105" s="982"/>
      <c r="H105" s="622"/>
      <c r="I105" s="982"/>
      <c r="J105" s="622"/>
      <c r="K105" s="982"/>
    </row>
    <row r="106" spans="1:11" s="224" customFormat="1" x14ac:dyDescent="0.25">
      <c r="A106" s="215">
        <v>43310</v>
      </c>
      <c r="B106" s="349" t="s">
        <v>14</v>
      </c>
      <c r="C106" s="350" t="s">
        <v>12</v>
      </c>
      <c r="D106" s="350" t="s">
        <v>1486</v>
      </c>
      <c r="E106" s="871" t="s">
        <v>13</v>
      </c>
      <c r="F106" s="853">
        <v>5.79</v>
      </c>
      <c r="G106" s="982"/>
      <c r="H106" s="622"/>
      <c r="I106" s="1002"/>
      <c r="J106" s="622"/>
      <c r="K106" s="1002"/>
    </row>
    <row r="107" spans="1:11" s="224" customFormat="1" ht="15" customHeight="1" x14ac:dyDescent="0.25">
      <c r="A107" s="215">
        <v>43310</v>
      </c>
      <c r="B107" s="862" t="s">
        <v>1710</v>
      </c>
      <c r="C107" s="879" t="s">
        <v>12</v>
      </c>
      <c r="D107" s="879" t="s">
        <v>1504</v>
      </c>
      <c r="E107" s="871" t="s">
        <v>13</v>
      </c>
      <c r="F107" s="804">
        <v>19.899999999999999</v>
      </c>
      <c r="G107" s="946"/>
      <c r="H107" s="97"/>
      <c r="I107" s="946"/>
      <c r="J107" s="97"/>
      <c r="K107" s="946"/>
    </row>
    <row r="108" spans="1:11" s="224" customFormat="1" ht="15" customHeight="1" x14ac:dyDescent="0.25">
      <c r="A108" s="215">
        <v>43310</v>
      </c>
      <c r="B108" s="364" t="s">
        <v>1947</v>
      </c>
      <c r="C108" s="350" t="s">
        <v>12</v>
      </c>
      <c r="D108" s="350" t="s">
        <v>1493</v>
      </c>
      <c r="E108" s="480" t="s">
        <v>15</v>
      </c>
      <c r="F108" s="622">
        <v>10</v>
      </c>
      <c r="G108" s="982"/>
      <c r="H108" s="622"/>
      <c r="I108" s="982"/>
      <c r="J108" s="622"/>
      <c r="K108" s="982"/>
    </row>
    <row r="109" spans="1:11" s="224" customFormat="1" ht="15" customHeight="1" x14ac:dyDescent="0.25">
      <c r="A109" s="215">
        <v>43311</v>
      </c>
      <c r="B109" s="876" t="s">
        <v>32</v>
      </c>
      <c r="C109" s="350" t="s">
        <v>12</v>
      </c>
      <c r="D109" s="874" t="s">
        <v>1485</v>
      </c>
      <c r="E109" s="870" t="s">
        <v>13</v>
      </c>
      <c r="F109" s="780">
        <v>14</v>
      </c>
      <c r="G109" s="1063"/>
      <c r="H109" s="622"/>
      <c r="I109" s="982"/>
      <c r="J109" s="622"/>
      <c r="K109" s="982"/>
    </row>
    <row r="110" spans="1:11" s="224" customFormat="1" ht="15" customHeight="1" x14ac:dyDescent="0.25">
      <c r="A110" s="215">
        <v>43311</v>
      </c>
      <c r="B110" s="349" t="s">
        <v>1331</v>
      </c>
      <c r="C110" s="350" t="s">
        <v>12</v>
      </c>
      <c r="D110" s="350" t="s">
        <v>1487</v>
      </c>
      <c r="E110" s="480" t="s">
        <v>13</v>
      </c>
      <c r="F110" s="780">
        <v>20</v>
      </c>
      <c r="G110" s="1063"/>
      <c r="H110" s="622"/>
      <c r="I110" s="982"/>
      <c r="J110" s="622"/>
      <c r="K110" s="982"/>
    </row>
    <row r="111" spans="1:11" s="224" customFormat="1" x14ac:dyDescent="0.25">
      <c r="A111" s="247">
        <v>43311</v>
      </c>
      <c r="B111" s="364" t="s">
        <v>14</v>
      </c>
      <c r="C111" s="350" t="s">
        <v>12</v>
      </c>
      <c r="D111" s="350" t="s">
        <v>1486</v>
      </c>
      <c r="E111" s="871" t="s">
        <v>13</v>
      </c>
      <c r="F111" s="853">
        <v>13.47</v>
      </c>
      <c r="G111" s="982"/>
      <c r="H111" s="622"/>
      <c r="I111" s="1002"/>
      <c r="J111" s="622"/>
      <c r="K111" s="1002"/>
    </row>
    <row r="112" spans="1:11" s="224" customFormat="1" ht="15" customHeight="1" x14ac:dyDescent="0.25">
      <c r="A112" s="215">
        <v>43312</v>
      </c>
      <c r="B112" s="862" t="s">
        <v>32</v>
      </c>
      <c r="C112" s="352" t="s">
        <v>12</v>
      </c>
      <c r="D112" s="874" t="s">
        <v>1485</v>
      </c>
      <c r="E112" s="870" t="s">
        <v>13</v>
      </c>
      <c r="F112" s="850">
        <v>14</v>
      </c>
      <c r="G112" s="982"/>
      <c r="H112" s="622"/>
      <c r="I112" s="982"/>
      <c r="J112" s="622"/>
      <c r="K112" s="982"/>
    </row>
    <row r="113" spans="1:12" s="224" customFormat="1" ht="15" customHeight="1" x14ac:dyDescent="0.25">
      <c r="A113" s="215">
        <v>43312</v>
      </c>
      <c r="B113" s="862" t="s">
        <v>1955</v>
      </c>
      <c r="C113" s="352" t="s">
        <v>12</v>
      </c>
      <c r="D113" s="874" t="s">
        <v>1524</v>
      </c>
      <c r="E113" s="870" t="s">
        <v>13</v>
      </c>
      <c r="F113" s="850">
        <v>7.5</v>
      </c>
      <c r="G113" s="982"/>
      <c r="H113" s="622"/>
      <c r="I113" s="982"/>
      <c r="J113" s="622"/>
      <c r="K113" s="982"/>
    </row>
    <row r="114" spans="1:12" s="224" customFormat="1" ht="15" customHeight="1" x14ac:dyDescent="0.25">
      <c r="A114" s="215">
        <v>43312</v>
      </c>
      <c r="B114" s="349" t="s">
        <v>1956</v>
      </c>
      <c r="C114" s="350" t="s">
        <v>12</v>
      </c>
      <c r="D114" s="350"/>
      <c r="E114" s="480" t="s">
        <v>25</v>
      </c>
      <c r="F114" s="622"/>
      <c r="G114" s="1064">
        <v>200</v>
      </c>
      <c r="H114" s="97"/>
      <c r="I114" s="946"/>
      <c r="J114" s="97"/>
      <c r="K114" s="946"/>
    </row>
    <row r="115" spans="1:12" s="224" customFormat="1" x14ac:dyDescent="0.25">
      <c r="A115" s="215">
        <v>43312</v>
      </c>
      <c r="B115" s="364" t="s">
        <v>14</v>
      </c>
      <c r="C115" s="350" t="s">
        <v>12</v>
      </c>
      <c r="D115" s="350" t="s">
        <v>1486</v>
      </c>
      <c r="E115" s="871" t="s">
        <v>13</v>
      </c>
      <c r="F115" s="853">
        <v>4.6399999999999997</v>
      </c>
      <c r="G115" s="982"/>
      <c r="H115" s="622"/>
      <c r="I115" s="1002"/>
      <c r="J115" s="622"/>
      <c r="K115" s="1002"/>
    </row>
    <row r="116" spans="1:12" s="224" customFormat="1" x14ac:dyDescent="0.25">
      <c r="A116" s="215">
        <v>43312</v>
      </c>
      <c r="B116" s="364" t="s">
        <v>1957</v>
      </c>
      <c r="C116" s="350" t="s">
        <v>12</v>
      </c>
      <c r="D116" s="350" t="s">
        <v>1504</v>
      </c>
      <c r="E116" s="871" t="s">
        <v>13</v>
      </c>
      <c r="F116" s="853">
        <v>15</v>
      </c>
      <c r="G116" s="982"/>
      <c r="H116" s="622"/>
      <c r="I116" s="1002"/>
      <c r="J116" s="622"/>
      <c r="K116" s="1002"/>
    </row>
    <row r="117" spans="1:12" s="224" customFormat="1" ht="15.75" thickBot="1" x14ac:dyDescent="0.3">
      <c r="A117" s="215">
        <v>43312</v>
      </c>
      <c r="B117" s="862" t="s">
        <v>1666</v>
      </c>
      <c r="C117" s="350" t="s">
        <v>12</v>
      </c>
      <c r="D117" s="350"/>
      <c r="E117" s="757" t="s">
        <v>25</v>
      </c>
      <c r="F117" s="622"/>
      <c r="G117" s="982"/>
      <c r="H117" s="622"/>
      <c r="I117" s="982"/>
      <c r="J117" s="622"/>
      <c r="K117" s="982">
        <v>39.71</v>
      </c>
    </row>
    <row r="118" spans="1:12" ht="25.5" customHeight="1" thickBot="1" x14ac:dyDescent="0.3">
      <c r="A118" s="3060"/>
      <c r="B118" s="3061"/>
      <c r="C118" s="3062"/>
      <c r="D118" s="3062"/>
      <c r="E118" s="3062"/>
      <c r="F118" s="100">
        <f>SUM(F6:F117)</f>
        <v>4533.72</v>
      </c>
      <c r="G118" s="1065">
        <f>SUM(G5:G117)</f>
        <v>5239.7700000000123</v>
      </c>
      <c r="H118" s="101">
        <f>SUM(H6:H117)</f>
        <v>400</v>
      </c>
      <c r="I118" s="93">
        <f>SUM(I5:I117)</f>
        <v>1999.9960000000019</v>
      </c>
      <c r="J118" s="774"/>
      <c r="K118" s="1516"/>
      <c r="L118" s="89"/>
    </row>
    <row r="119" spans="1:12" ht="25.5" customHeight="1" thickBot="1" x14ac:dyDescent="0.3">
      <c r="A119" s="3117" t="s">
        <v>49</v>
      </c>
      <c r="B119" s="3118"/>
      <c r="C119" s="3118"/>
      <c r="D119" s="3118"/>
      <c r="E119" s="3118"/>
      <c r="F119" s="144"/>
      <c r="G119" s="519">
        <f>G118-F118</f>
        <v>706.05000000001201</v>
      </c>
      <c r="H119" s="555"/>
      <c r="I119" s="772">
        <f>I118-H118</f>
        <v>1599.9960000000019</v>
      </c>
      <c r="J119" s="773"/>
      <c r="K119" s="775">
        <f>SUM(K5:K118)</f>
        <v>9620.7799999999988</v>
      </c>
    </row>
    <row r="120" spans="1:12" x14ac:dyDescent="0.25">
      <c r="G120" s="89"/>
      <c r="J120" s="769"/>
      <c r="K120" s="868"/>
    </row>
    <row r="121" spans="1:12" x14ac:dyDescent="0.25">
      <c r="B121" s="79" t="s">
        <v>32</v>
      </c>
      <c r="C121" s="475">
        <v>359.92</v>
      </c>
      <c r="D121" s="85" t="s">
        <v>1485</v>
      </c>
      <c r="J121" s="769"/>
      <c r="K121" s="866"/>
    </row>
    <row r="122" spans="1:12" x14ac:dyDescent="0.25">
      <c r="B122" s="79" t="s">
        <v>1218</v>
      </c>
      <c r="C122" s="475">
        <v>370</v>
      </c>
      <c r="D122" s="85" t="s">
        <v>1487</v>
      </c>
      <c r="J122" s="769"/>
      <c r="K122" s="868"/>
    </row>
    <row r="123" spans="1:12" x14ac:dyDescent="0.25">
      <c r="B123" s="79" t="s">
        <v>50</v>
      </c>
      <c r="C123" s="484">
        <v>179.97</v>
      </c>
      <c r="D123" s="85" t="s">
        <v>1493</v>
      </c>
      <c r="J123" s="769"/>
      <c r="K123" s="866"/>
    </row>
    <row r="124" spans="1:12" s="85" customFormat="1" x14ac:dyDescent="0.25">
      <c r="A124" s="79"/>
      <c r="B124" s="79" t="s">
        <v>14</v>
      </c>
      <c r="C124" s="484">
        <v>135.19</v>
      </c>
      <c r="D124" s="85" t="s">
        <v>1486</v>
      </c>
      <c r="J124" s="769"/>
      <c r="K124" s="866"/>
    </row>
    <row r="125" spans="1:12" s="85" customFormat="1" x14ac:dyDescent="0.25">
      <c r="A125" s="79"/>
      <c r="B125" s="79" t="s">
        <v>51</v>
      </c>
      <c r="C125" s="475">
        <v>97.35</v>
      </c>
      <c r="D125" s="864" t="s">
        <v>1499</v>
      </c>
      <c r="E125" s="79"/>
      <c r="F125" s="89"/>
      <c r="G125" s="79"/>
      <c r="H125" s="79"/>
      <c r="I125" s="79"/>
      <c r="J125" s="769"/>
      <c r="K125" s="866"/>
    </row>
    <row r="126" spans="1:12" s="85" customFormat="1" x14ac:dyDescent="0.25">
      <c r="A126" s="79"/>
      <c r="B126" s="79" t="s">
        <v>52</v>
      </c>
      <c r="C126" s="475">
        <v>120</v>
      </c>
      <c r="D126" s="864" t="s">
        <v>1496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867" t="s">
        <v>53</v>
      </c>
      <c r="C127" s="475">
        <v>80</v>
      </c>
      <c r="D127" s="864" t="s">
        <v>1522</v>
      </c>
      <c r="E127" s="89"/>
      <c r="F127" s="89"/>
      <c r="G127" s="79"/>
      <c r="H127" s="79"/>
      <c r="I127" s="79"/>
      <c r="J127" s="769"/>
      <c r="K127" s="866"/>
    </row>
    <row r="128" spans="1:12" s="85" customFormat="1" x14ac:dyDescent="0.25">
      <c r="A128" s="79"/>
      <c r="B128" s="79" t="s">
        <v>1823</v>
      </c>
      <c r="C128" s="475"/>
      <c r="D128" s="864" t="s">
        <v>1515</v>
      </c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56</v>
      </c>
      <c r="C129" s="475">
        <v>5.37</v>
      </c>
      <c r="D129" s="864" t="s">
        <v>1523</v>
      </c>
      <c r="F129" s="89"/>
      <c r="G129" s="79"/>
      <c r="H129" s="79"/>
      <c r="I129" s="79"/>
      <c r="J129" s="769"/>
      <c r="K129" s="868"/>
    </row>
    <row r="130" spans="1:11" s="85" customFormat="1" x14ac:dyDescent="0.25">
      <c r="A130" s="79"/>
      <c r="B130" s="79" t="s">
        <v>1686</v>
      </c>
      <c r="C130" s="475">
        <v>594.33000000000004</v>
      </c>
      <c r="D130" s="864" t="s">
        <v>1506</v>
      </c>
      <c r="F130" s="89"/>
      <c r="G130" s="79"/>
      <c r="H130" s="79"/>
      <c r="I130" s="79"/>
      <c r="J130" s="769"/>
      <c r="K130" s="866"/>
    </row>
    <row r="131" spans="1:11" s="85" customFormat="1" x14ac:dyDescent="0.25">
      <c r="A131" s="79"/>
      <c r="B131" s="79" t="s">
        <v>418</v>
      </c>
      <c r="C131" s="861">
        <v>307.5</v>
      </c>
      <c r="D131" s="85" t="s">
        <v>1524</v>
      </c>
      <c r="E131" s="79"/>
      <c r="F131" s="89"/>
      <c r="J131" s="769"/>
      <c r="K131" s="866"/>
    </row>
    <row r="132" spans="1:11" x14ac:dyDescent="0.25">
      <c r="B132" s="79" t="s">
        <v>419</v>
      </c>
      <c r="C132" s="861">
        <v>471.7</v>
      </c>
      <c r="D132" s="85" t="s">
        <v>1491</v>
      </c>
      <c r="J132" s="769"/>
      <c r="K132" s="868"/>
    </row>
    <row r="133" spans="1:11" x14ac:dyDescent="0.25">
      <c r="B133" s="79" t="s">
        <v>911</v>
      </c>
      <c r="C133" s="861">
        <v>89.3</v>
      </c>
      <c r="D133" s="85" t="s">
        <v>1525</v>
      </c>
      <c r="J133" s="769"/>
      <c r="K133" s="868"/>
    </row>
    <row r="134" spans="1:11" x14ac:dyDescent="0.25">
      <c r="B134" s="79" t="s">
        <v>1526</v>
      </c>
      <c r="C134" s="861">
        <v>153.82</v>
      </c>
      <c r="D134" s="85" t="s">
        <v>1504</v>
      </c>
      <c r="E134" s="79"/>
      <c r="J134" s="769"/>
      <c r="K134" s="866"/>
    </row>
    <row r="135" spans="1:11" x14ac:dyDescent="0.25">
      <c r="B135" s="79" t="s">
        <v>1527</v>
      </c>
      <c r="C135" s="861">
        <v>675.65</v>
      </c>
      <c r="D135" s="85" t="s">
        <v>1489</v>
      </c>
      <c r="J135" s="769"/>
      <c r="K135" s="868"/>
    </row>
    <row r="136" spans="1:11" x14ac:dyDescent="0.25">
      <c r="J136" s="769"/>
      <c r="K136" s="866"/>
    </row>
    <row r="137" spans="1:11" x14ac:dyDescent="0.25">
      <c r="F137" s="85"/>
      <c r="J137" s="769"/>
      <c r="K137" s="866"/>
    </row>
    <row r="138" spans="1:11" x14ac:dyDescent="0.25">
      <c r="B138" s="79" t="s">
        <v>486</v>
      </c>
      <c r="C138" s="475">
        <f>H138/J138</f>
        <v>117.4225806451613</v>
      </c>
      <c r="F138" s="224" t="s">
        <v>487</v>
      </c>
      <c r="H138" s="216">
        <f>SUM(C121:C135)</f>
        <v>3640.1000000000004</v>
      </c>
      <c r="I138" s="518" t="s">
        <v>488</v>
      </c>
      <c r="J138" s="1517">
        <v>31</v>
      </c>
      <c r="K138" s="866"/>
    </row>
    <row r="139" spans="1:11" x14ac:dyDescent="0.25">
      <c r="J139" s="769"/>
      <c r="K139" s="866"/>
    </row>
    <row r="140" spans="1:11" x14ac:dyDescent="0.25">
      <c r="J140" s="769"/>
      <c r="K140" s="868"/>
    </row>
    <row r="141" spans="1:11" x14ac:dyDescent="0.25">
      <c r="K141" s="866"/>
    </row>
    <row r="142" spans="1:11" x14ac:dyDescent="0.25">
      <c r="D142" s="79"/>
      <c r="E142" s="79"/>
      <c r="J142" s="769"/>
      <c r="K142" s="866"/>
    </row>
    <row r="143" spans="1:11" x14ac:dyDescent="0.25">
      <c r="J143" s="769"/>
      <c r="K143" s="866"/>
    </row>
    <row r="144" spans="1:11" x14ac:dyDescent="0.25">
      <c r="J144" s="769"/>
      <c r="K144" s="866"/>
    </row>
    <row r="145" spans="3:11" x14ac:dyDescent="0.25">
      <c r="J145" s="769"/>
      <c r="K145" s="866"/>
    </row>
    <row r="146" spans="3:11" x14ac:dyDescent="0.25">
      <c r="C146" s="79"/>
      <c r="D146" s="79"/>
      <c r="E146" s="79"/>
      <c r="F146" s="79"/>
      <c r="I146" s="216"/>
      <c r="J146" s="769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6"/>
    </row>
    <row r="148" spans="3:11" x14ac:dyDescent="0.25">
      <c r="C148" s="79"/>
      <c r="D148" s="79"/>
      <c r="E148" s="79"/>
      <c r="F148" s="79"/>
      <c r="G148" s="216"/>
      <c r="I148" s="216"/>
      <c r="J148" s="769"/>
      <c r="K148" s="868"/>
    </row>
    <row r="149" spans="3:11" x14ac:dyDescent="0.25">
      <c r="C149" s="79"/>
      <c r="D149" s="79"/>
      <c r="E149" s="79"/>
      <c r="F149" s="79"/>
      <c r="G149" s="216"/>
      <c r="I149" s="216"/>
      <c r="J149" s="769"/>
      <c r="K149" s="866"/>
    </row>
    <row r="150" spans="3:11" x14ac:dyDescent="0.25">
      <c r="C150" s="79"/>
      <c r="D150" s="79"/>
      <c r="E150" s="79"/>
      <c r="F150" s="79"/>
      <c r="G150" s="216"/>
      <c r="J150" s="770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8"/>
    </row>
    <row r="152" spans="3:11" x14ac:dyDescent="0.25">
      <c r="J152" s="769"/>
      <c r="K152" s="866"/>
    </row>
    <row r="153" spans="3:11" x14ac:dyDescent="0.25">
      <c r="C153" s="79"/>
      <c r="D153" s="79"/>
      <c r="E153" s="79"/>
      <c r="F153" s="79"/>
      <c r="I153" s="629"/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J168" s="769"/>
      <c r="K168" s="866"/>
    </row>
    <row r="169" spans="3:11" x14ac:dyDescent="0.25">
      <c r="J169" s="769"/>
      <c r="K169" s="866"/>
    </row>
    <row r="170" spans="3:11" x14ac:dyDescent="0.25">
      <c r="J170" s="769"/>
      <c r="K170" s="868"/>
    </row>
    <row r="171" spans="3:11" x14ac:dyDescent="0.25">
      <c r="J171" s="769"/>
      <c r="K171" s="866"/>
    </row>
    <row r="172" spans="3:11" x14ac:dyDescent="0.25">
      <c r="J172" s="769"/>
      <c r="K172" s="866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6"/>
    </row>
    <row r="178" spans="3:11" x14ac:dyDescent="0.25">
      <c r="C178" s="79"/>
      <c r="D178" s="79"/>
      <c r="E178" s="79"/>
      <c r="F178" s="79"/>
      <c r="J178" s="223"/>
      <c r="K178" s="629"/>
    </row>
    <row r="179" spans="3:11" x14ac:dyDescent="0.25">
      <c r="C179" s="79"/>
      <c r="D179" s="79"/>
      <c r="E179" s="79"/>
      <c r="F179" s="79"/>
      <c r="J179" s="756"/>
      <c r="K179" s="756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  <c r="J184" s="85"/>
      <c r="K184" s="85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  <c r="J191" s="85"/>
      <c r="K191" s="85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  <c r="J198" s="771"/>
      <c r="K198" s="518"/>
    </row>
    <row r="199" spans="3:11" x14ac:dyDescent="0.25">
      <c r="C199" s="79"/>
      <c r="D199" s="79"/>
      <c r="E199" s="79"/>
      <c r="F199" s="79"/>
    </row>
    <row r="206" spans="3:11" x14ac:dyDescent="0.25">
      <c r="C206" s="79"/>
      <c r="D206" s="79"/>
      <c r="E206" s="79"/>
      <c r="F206" s="79"/>
      <c r="K206" s="216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1" spans="3:11" x14ac:dyDescent="0.25">
      <c r="C211" s="79"/>
      <c r="D211" s="79"/>
      <c r="E211" s="79"/>
      <c r="F211" s="79"/>
      <c r="K211" s="216"/>
    </row>
    <row r="213" spans="3:11" x14ac:dyDescent="0.25">
      <c r="C213" s="79"/>
      <c r="D213" s="79"/>
      <c r="E213" s="79"/>
      <c r="F213" s="79"/>
      <c r="K213" s="629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</sheetData>
  <autoFilter ref="A2:I119" xr:uid="{00000000-0009-0000-0000-00004B000000}"/>
  <mergeCells count="15">
    <mergeCell ref="M20:N20"/>
    <mergeCell ref="A118:E118"/>
    <mergeCell ref="A119:E11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80:N80"/>
    <mergeCell ref="L79:N79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Plan88"/>
  <dimension ref="A1:N228"/>
  <sheetViews>
    <sheetView zoomScale="85" zoomScaleNormal="85" workbookViewId="0">
      <pane ySplit="4" topLeftCell="A100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1958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L4" s="877"/>
      <c r="M4" s="877"/>
      <c r="N4" s="877"/>
    </row>
    <row r="5" spans="1:14" x14ac:dyDescent="0.25">
      <c r="A5" s="281">
        <v>43313</v>
      </c>
      <c r="B5" s="369" t="s">
        <v>10</v>
      </c>
      <c r="C5" s="370"/>
      <c r="D5" s="370"/>
      <c r="E5" s="777"/>
      <c r="F5" s="179"/>
      <c r="G5" s="933">
        <f>'Julho-18'!G119</f>
        <v>706.05000000001201</v>
      </c>
      <c r="H5" s="179"/>
      <c r="I5" s="933">
        <f>'Julho-18'!I119</f>
        <v>1599.9960000000019</v>
      </c>
      <c r="J5" s="179"/>
      <c r="K5" s="933">
        <f>'Julho-18'!K119</f>
        <v>9620.7799999999988</v>
      </c>
      <c r="L5" s="877"/>
      <c r="M5" s="877"/>
      <c r="N5" s="877"/>
    </row>
    <row r="6" spans="1:14" s="224" customFormat="1" x14ac:dyDescent="0.25">
      <c r="A6" s="215">
        <v>43313</v>
      </c>
      <c r="B6" s="348" t="s">
        <v>11</v>
      </c>
      <c r="C6" s="351"/>
      <c r="D6" s="351"/>
      <c r="E6" s="673"/>
      <c r="F6" s="250">
        <v>6</v>
      </c>
      <c r="G6" s="1473"/>
      <c r="H6" s="250"/>
      <c r="I6" s="1473"/>
      <c r="J6" s="250"/>
      <c r="K6" s="1473"/>
      <c r="L6" s="3133"/>
      <c r="M6" s="3134"/>
      <c r="N6" s="3134"/>
    </row>
    <row r="7" spans="1:14" s="224" customFormat="1" ht="15" customHeight="1" x14ac:dyDescent="0.25">
      <c r="A7" s="215">
        <v>43313</v>
      </c>
      <c r="B7" s="349" t="s">
        <v>1331</v>
      </c>
      <c r="C7" s="350" t="s">
        <v>12</v>
      </c>
      <c r="D7" s="350" t="s">
        <v>1487</v>
      </c>
      <c r="E7" s="480" t="s">
        <v>13</v>
      </c>
      <c r="F7" s="780">
        <v>70</v>
      </c>
      <c r="G7" s="1063"/>
      <c r="H7" s="622"/>
      <c r="I7" s="982"/>
      <c r="J7" s="622"/>
      <c r="K7" s="982"/>
      <c r="L7" s="878"/>
      <c r="M7" s="878"/>
      <c r="N7" s="878"/>
    </row>
    <row r="8" spans="1:14" s="224" customFormat="1" ht="15" customHeight="1" x14ac:dyDescent="0.25">
      <c r="A8" s="215">
        <v>43313</v>
      </c>
      <c r="B8" s="876" t="s">
        <v>32</v>
      </c>
      <c r="C8" s="350" t="s">
        <v>12</v>
      </c>
      <c r="D8" s="874" t="s">
        <v>1485</v>
      </c>
      <c r="E8" s="870" t="s">
        <v>15</v>
      </c>
      <c r="F8" s="780">
        <v>14</v>
      </c>
      <c r="G8" s="1063"/>
      <c r="H8" s="622"/>
      <c r="I8" s="982"/>
      <c r="J8" s="622"/>
      <c r="K8" s="982"/>
    </row>
    <row r="9" spans="1:14" s="224" customFormat="1" x14ac:dyDescent="0.25">
      <c r="A9" s="215">
        <v>43313</v>
      </c>
      <c r="B9" s="349" t="s">
        <v>14</v>
      </c>
      <c r="C9" s="350" t="s">
        <v>12</v>
      </c>
      <c r="D9" s="350" t="s">
        <v>1486</v>
      </c>
      <c r="E9" s="871" t="s">
        <v>13</v>
      </c>
      <c r="F9" s="853">
        <v>8.25</v>
      </c>
      <c r="G9" s="982"/>
      <c r="H9" s="622"/>
      <c r="I9" s="1002"/>
      <c r="J9" s="622"/>
      <c r="K9" s="1002"/>
    </row>
    <row r="10" spans="1:14" s="224" customFormat="1" ht="15" customHeight="1" x14ac:dyDescent="0.25">
      <c r="A10" s="215">
        <v>43314</v>
      </c>
      <c r="B10" s="876" t="s">
        <v>32</v>
      </c>
      <c r="C10" s="350" t="s">
        <v>12</v>
      </c>
      <c r="D10" s="874" t="s">
        <v>1485</v>
      </c>
      <c r="E10" s="870" t="s">
        <v>15</v>
      </c>
      <c r="F10" s="780">
        <v>14</v>
      </c>
      <c r="G10" s="1063"/>
      <c r="H10" s="622"/>
      <c r="I10" s="982"/>
      <c r="J10" s="622"/>
      <c r="K10" s="982"/>
    </row>
    <row r="11" spans="1:14" s="224" customFormat="1" x14ac:dyDescent="0.25">
      <c r="A11" s="215">
        <v>43314</v>
      </c>
      <c r="B11" s="349" t="s">
        <v>14</v>
      </c>
      <c r="C11" s="350" t="s">
        <v>12</v>
      </c>
      <c r="D11" s="350" t="s">
        <v>1486</v>
      </c>
      <c r="E11" s="871" t="s">
        <v>13</v>
      </c>
      <c r="F11" s="853">
        <v>9.1</v>
      </c>
      <c r="G11" s="982"/>
      <c r="H11" s="622"/>
      <c r="I11" s="1002"/>
      <c r="J11" s="622"/>
      <c r="K11" s="1002"/>
    </row>
    <row r="12" spans="1:14" s="224" customFormat="1" x14ac:dyDescent="0.25">
      <c r="A12" s="215">
        <v>43314</v>
      </c>
      <c r="B12" s="862" t="s">
        <v>1331</v>
      </c>
      <c r="C12" s="350" t="s">
        <v>12</v>
      </c>
      <c r="D12" s="879" t="s">
        <v>1487</v>
      </c>
      <c r="E12" s="871" t="s">
        <v>15</v>
      </c>
      <c r="F12" s="827">
        <v>30</v>
      </c>
      <c r="G12" s="1480"/>
      <c r="H12" s="97"/>
      <c r="I12" s="946"/>
      <c r="J12" s="97"/>
      <c r="K12" s="946"/>
    </row>
    <row r="13" spans="1:14" s="224" customFormat="1" ht="15" customHeight="1" x14ac:dyDescent="0.25">
      <c r="A13" s="215">
        <v>43315</v>
      </c>
      <c r="B13" s="862" t="s">
        <v>256</v>
      </c>
      <c r="C13" s="879"/>
      <c r="D13" s="879"/>
      <c r="E13" s="871"/>
      <c r="F13" s="97"/>
      <c r="G13" s="1064">
        <v>100</v>
      </c>
      <c r="H13" s="97">
        <v>100</v>
      </c>
      <c r="I13" s="946"/>
      <c r="J13" s="97"/>
      <c r="K13" s="946"/>
    </row>
    <row r="14" spans="1:14" s="224" customFormat="1" ht="15" customHeight="1" x14ac:dyDescent="0.25">
      <c r="A14" s="215">
        <v>43315</v>
      </c>
      <c r="B14" s="876" t="s">
        <v>32</v>
      </c>
      <c r="C14" s="350" t="s">
        <v>12</v>
      </c>
      <c r="D14" s="874" t="s">
        <v>1485</v>
      </c>
      <c r="E14" s="870" t="s">
        <v>15</v>
      </c>
      <c r="F14" s="780">
        <v>14</v>
      </c>
      <c r="G14" s="1063"/>
      <c r="H14" s="622"/>
      <c r="I14" s="982"/>
      <c r="J14" s="622"/>
      <c r="K14" s="982"/>
    </row>
    <row r="15" spans="1:14" s="224" customFormat="1" x14ac:dyDescent="0.25">
      <c r="A15" s="215">
        <v>43315</v>
      </c>
      <c r="B15" s="349" t="s">
        <v>249</v>
      </c>
      <c r="C15" s="350" t="s">
        <v>12</v>
      </c>
      <c r="D15" s="350" t="s">
        <v>1493</v>
      </c>
      <c r="E15" s="871" t="s">
        <v>13</v>
      </c>
      <c r="F15" s="853">
        <v>6</v>
      </c>
      <c r="G15" s="982"/>
      <c r="H15" s="622"/>
      <c r="I15" s="1002"/>
      <c r="J15" s="622"/>
      <c r="K15" s="1002"/>
    </row>
    <row r="16" spans="1:14" s="224" customFormat="1" x14ac:dyDescent="0.25">
      <c r="A16" s="215">
        <v>43315</v>
      </c>
      <c r="B16" s="349" t="s">
        <v>14</v>
      </c>
      <c r="C16" s="350" t="s">
        <v>12</v>
      </c>
      <c r="D16" s="350" t="s">
        <v>1486</v>
      </c>
      <c r="E16" s="871" t="s">
        <v>13</v>
      </c>
      <c r="F16" s="853">
        <v>14.34</v>
      </c>
      <c r="G16" s="982"/>
      <c r="H16" s="622"/>
      <c r="I16" s="982"/>
      <c r="J16" s="622"/>
      <c r="K16" s="982"/>
    </row>
    <row r="17" spans="1:14" s="224" customFormat="1" x14ac:dyDescent="0.25">
      <c r="A17" s="215">
        <v>43316</v>
      </c>
      <c r="B17" s="349" t="s">
        <v>14</v>
      </c>
      <c r="C17" s="350" t="s">
        <v>12</v>
      </c>
      <c r="D17" s="350" t="s">
        <v>1486</v>
      </c>
      <c r="E17" s="871" t="s">
        <v>13</v>
      </c>
      <c r="F17" s="853">
        <v>2.4700000000000002</v>
      </c>
      <c r="G17" s="982"/>
      <c r="H17" s="622"/>
      <c r="I17" s="982"/>
      <c r="J17" s="622"/>
      <c r="K17" s="982"/>
    </row>
    <row r="18" spans="1:14" s="224" customFormat="1" x14ac:dyDescent="0.25">
      <c r="A18" s="215">
        <v>43316</v>
      </c>
      <c r="B18" s="364" t="s">
        <v>1438</v>
      </c>
      <c r="C18" s="350" t="s">
        <v>19</v>
      </c>
      <c r="D18" s="350" t="s">
        <v>1489</v>
      </c>
      <c r="E18" s="480" t="s">
        <v>13</v>
      </c>
      <c r="F18" s="827">
        <v>63.96</v>
      </c>
      <c r="G18" s="248"/>
      <c r="H18" s="97"/>
      <c r="I18" s="946"/>
      <c r="J18" s="97"/>
      <c r="K18" s="946"/>
    </row>
    <row r="19" spans="1:14" s="224" customFormat="1" ht="15" customHeight="1" x14ac:dyDescent="0.25">
      <c r="A19" s="215">
        <v>43316</v>
      </c>
      <c r="B19" s="876" t="s">
        <v>32</v>
      </c>
      <c r="C19" s="350" t="s">
        <v>12</v>
      </c>
      <c r="D19" s="874" t="s">
        <v>1485</v>
      </c>
      <c r="E19" s="870" t="s">
        <v>13</v>
      </c>
      <c r="F19" s="780">
        <v>15.9</v>
      </c>
      <c r="G19" s="1063"/>
      <c r="H19" s="622"/>
      <c r="I19" s="982"/>
      <c r="J19" s="622"/>
      <c r="K19" s="982"/>
    </row>
    <row r="20" spans="1:14" s="224" customFormat="1" x14ac:dyDescent="0.25">
      <c r="A20" s="215">
        <v>43317</v>
      </c>
      <c r="B20" s="862" t="s">
        <v>134</v>
      </c>
      <c r="C20" s="352" t="s">
        <v>12</v>
      </c>
      <c r="D20" s="874" t="s">
        <v>1493</v>
      </c>
      <c r="E20" s="870" t="s">
        <v>13</v>
      </c>
      <c r="F20" s="831">
        <v>12.88</v>
      </c>
      <c r="G20" s="982"/>
      <c r="H20" s="622"/>
      <c r="I20" s="982"/>
      <c r="J20" s="622"/>
      <c r="K20" s="982"/>
    </row>
    <row r="21" spans="1:14" s="224" customFormat="1" x14ac:dyDescent="0.25">
      <c r="A21" s="215">
        <v>43317</v>
      </c>
      <c r="B21" s="364" t="s">
        <v>311</v>
      </c>
      <c r="C21" s="350"/>
      <c r="D21" s="350"/>
      <c r="E21" s="480"/>
      <c r="F21" s="832"/>
      <c r="G21" s="627"/>
      <c r="H21" s="97"/>
      <c r="I21" s="946">
        <v>4.8899999999999997</v>
      </c>
      <c r="J21" s="97"/>
      <c r="K21" s="946"/>
    </row>
    <row r="22" spans="1:14" s="224" customFormat="1" ht="15.75" customHeight="1" x14ac:dyDescent="0.25">
      <c r="A22" s="215">
        <v>43318</v>
      </c>
      <c r="B22" s="349" t="s">
        <v>1959</v>
      </c>
      <c r="C22" s="879" t="s">
        <v>12</v>
      </c>
      <c r="D22" s="874"/>
      <c r="E22" s="871" t="s">
        <v>25</v>
      </c>
      <c r="F22" s="1524"/>
      <c r="G22" s="1002">
        <v>1733.24</v>
      </c>
      <c r="H22" s="538"/>
      <c r="I22" s="982"/>
      <c r="J22" s="622"/>
      <c r="K22" s="982"/>
    </row>
    <row r="23" spans="1:14" s="224" customFormat="1" x14ac:dyDescent="0.25">
      <c r="A23" s="215">
        <v>43318</v>
      </c>
      <c r="B23" s="862" t="s">
        <v>1960</v>
      </c>
      <c r="C23" s="879" t="s">
        <v>12</v>
      </c>
      <c r="D23" s="879"/>
      <c r="E23" s="871" t="s">
        <v>13</v>
      </c>
      <c r="F23" s="613">
        <v>607.82000000000005</v>
      </c>
      <c r="G23" s="982"/>
      <c r="H23" s="622"/>
      <c r="I23" s="982"/>
      <c r="J23" s="780"/>
      <c r="K23" s="614"/>
      <c r="L23" s="178"/>
      <c r="M23" s="3096"/>
      <c r="N23" s="3096"/>
    </row>
    <row r="24" spans="1:14" x14ac:dyDescent="0.25">
      <c r="A24" s="215">
        <v>43318</v>
      </c>
      <c r="B24" s="862" t="s">
        <v>1961</v>
      </c>
      <c r="C24" s="879" t="s">
        <v>12</v>
      </c>
      <c r="D24" s="879" t="s">
        <v>1504</v>
      </c>
      <c r="E24" s="871" t="s">
        <v>13</v>
      </c>
      <c r="F24" s="780">
        <v>66.099999999999994</v>
      </c>
      <c r="G24" s="982"/>
      <c r="H24" s="622"/>
      <c r="I24" s="982"/>
      <c r="J24" s="622"/>
      <c r="K24" s="1002"/>
    </row>
    <row r="25" spans="1:14" x14ac:dyDescent="0.25">
      <c r="A25" s="215">
        <v>43318</v>
      </c>
      <c r="B25" s="882" t="s">
        <v>1962</v>
      </c>
      <c r="C25" s="879" t="s">
        <v>12</v>
      </c>
      <c r="D25" s="879" t="s">
        <v>1499</v>
      </c>
      <c r="E25" s="871" t="s">
        <v>13</v>
      </c>
      <c r="F25" s="780">
        <v>68.33</v>
      </c>
      <c r="G25" s="982"/>
      <c r="H25" s="622"/>
      <c r="I25" s="982"/>
      <c r="J25" s="780"/>
      <c r="K25" s="614"/>
    </row>
    <row r="26" spans="1:14" x14ac:dyDescent="0.25">
      <c r="A26" s="215">
        <v>43318</v>
      </c>
      <c r="B26" s="862" t="s">
        <v>52</v>
      </c>
      <c r="C26" s="879" t="s">
        <v>12</v>
      </c>
      <c r="D26" s="879" t="s">
        <v>1496</v>
      </c>
      <c r="E26" s="871" t="s">
        <v>13</v>
      </c>
      <c r="F26" s="780">
        <v>60</v>
      </c>
      <c r="G26" s="1063"/>
      <c r="H26" s="622"/>
      <c r="I26" s="982"/>
      <c r="J26" s="622"/>
      <c r="K26" s="982"/>
    </row>
    <row r="27" spans="1:14" s="224" customFormat="1" ht="15" customHeight="1" x14ac:dyDescent="0.25">
      <c r="A27" s="215">
        <v>43318</v>
      </c>
      <c r="B27" s="349" t="s">
        <v>260</v>
      </c>
      <c r="C27" s="350"/>
      <c r="D27" s="350"/>
      <c r="E27" s="480"/>
      <c r="F27" s="852">
        <v>295.11</v>
      </c>
      <c r="G27" s="1064"/>
      <c r="H27" s="97"/>
      <c r="I27" s="946">
        <v>295.11</v>
      </c>
      <c r="J27" s="97"/>
      <c r="K27" s="946"/>
    </row>
    <row r="28" spans="1:14" s="224" customFormat="1" ht="15" customHeight="1" x14ac:dyDescent="0.25">
      <c r="A28" s="215">
        <v>43318</v>
      </c>
      <c r="B28" s="876" t="s">
        <v>32</v>
      </c>
      <c r="C28" s="350" t="s">
        <v>12</v>
      </c>
      <c r="D28" s="874" t="s">
        <v>1485</v>
      </c>
      <c r="E28" s="870" t="s">
        <v>13</v>
      </c>
      <c r="F28" s="780">
        <v>14</v>
      </c>
      <c r="G28" s="1063"/>
      <c r="H28" s="622"/>
      <c r="I28" s="982"/>
      <c r="J28" s="622"/>
      <c r="K28" s="982"/>
    </row>
    <row r="29" spans="1:14" s="224" customFormat="1" ht="15" customHeight="1" x14ac:dyDescent="0.25">
      <c r="A29" s="215">
        <v>43318</v>
      </c>
      <c r="B29" s="349" t="s">
        <v>14</v>
      </c>
      <c r="C29" s="350" t="s">
        <v>12</v>
      </c>
      <c r="D29" s="350" t="s">
        <v>1486</v>
      </c>
      <c r="E29" s="871" t="s">
        <v>13</v>
      </c>
      <c r="F29" s="853">
        <v>2.37</v>
      </c>
      <c r="G29" s="946"/>
      <c r="H29" s="97"/>
      <c r="I29" s="946"/>
      <c r="J29" s="97"/>
      <c r="K29" s="946"/>
    </row>
    <row r="30" spans="1:14" s="224" customFormat="1" ht="15" customHeight="1" x14ac:dyDescent="0.25">
      <c r="A30" s="215">
        <v>43318</v>
      </c>
      <c r="B30" s="349" t="s">
        <v>147</v>
      </c>
      <c r="C30" s="350" t="s">
        <v>12</v>
      </c>
      <c r="D30" s="350" t="s">
        <v>1506</v>
      </c>
      <c r="E30" s="871" t="s">
        <v>15</v>
      </c>
      <c r="F30" s="853">
        <v>15</v>
      </c>
      <c r="G30" s="946"/>
      <c r="H30" s="97"/>
      <c r="I30" s="946"/>
      <c r="J30" s="97"/>
      <c r="K30" s="946"/>
    </row>
    <row r="31" spans="1:14" s="224" customFormat="1" ht="15" customHeight="1" x14ac:dyDescent="0.25">
      <c r="A31" s="215">
        <v>43319</v>
      </c>
      <c r="B31" s="876" t="s">
        <v>32</v>
      </c>
      <c r="C31" s="350" t="s">
        <v>12</v>
      </c>
      <c r="D31" s="874" t="s">
        <v>1485</v>
      </c>
      <c r="E31" s="870" t="s">
        <v>13</v>
      </c>
      <c r="F31" s="780">
        <v>14</v>
      </c>
      <c r="G31" s="1063"/>
      <c r="H31" s="622"/>
      <c r="I31" s="982"/>
      <c r="J31" s="622"/>
      <c r="K31" s="982"/>
    </row>
    <row r="32" spans="1:14" s="224" customFormat="1" ht="15" customHeight="1" x14ac:dyDescent="0.25">
      <c r="A32" s="215">
        <v>43319</v>
      </c>
      <c r="B32" s="349" t="s">
        <v>14</v>
      </c>
      <c r="C32" s="350" t="s">
        <v>12</v>
      </c>
      <c r="D32" s="350" t="s">
        <v>1486</v>
      </c>
      <c r="E32" s="871" t="s">
        <v>13</v>
      </c>
      <c r="F32" s="853">
        <v>5.34</v>
      </c>
      <c r="G32" s="946"/>
      <c r="H32" s="97"/>
      <c r="I32" s="946"/>
      <c r="J32" s="97"/>
      <c r="K32" s="946"/>
    </row>
    <row r="33" spans="1:11" s="224" customFormat="1" ht="14.25" customHeight="1" x14ac:dyDescent="0.25">
      <c r="A33" s="215">
        <v>43319</v>
      </c>
      <c r="B33" s="364" t="s">
        <v>249</v>
      </c>
      <c r="C33" s="350" t="s">
        <v>12</v>
      </c>
      <c r="D33" s="350" t="s">
        <v>1493</v>
      </c>
      <c r="E33" s="480" t="s">
        <v>13</v>
      </c>
      <c r="F33" s="626">
        <v>5.68</v>
      </c>
      <c r="G33" s="248"/>
      <c r="H33" s="97"/>
      <c r="I33" s="946"/>
      <c r="J33" s="97"/>
      <c r="K33" s="946"/>
    </row>
    <row r="34" spans="1:11" s="224" customFormat="1" ht="14.25" customHeight="1" x14ac:dyDescent="0.25">
      <c r="A34" s="215">
        <v>43319</v>
      </c>
      <c r="B34" s="364" t="s">
        <v>1892</v>
      </c>
      <c r="C34" s="350" t="s">
        <v>19</v>
      </c>
      <c r="D34" s="350" t="s">
        <v>1491</v>
      </c>
      <c r="E34" s="480" t="s">
        <v>13</v>
      </c>
      <c r="F34" s="626">
        <v>36.700000000000003</v>
      </c>
      <c r="G34" s="248"/>
      <c r="H34" s="97"/>
      <c r="I34" s="946"/>
      <c r="J34" s="97"/>
      <c r="K34" s="946"/>
    </row>
    <row r="35" spans="1:11" s="224" customFormat="1" ht="14.25" customHeight="1" x14ac:dyDescent="0.25">
      <c r="A35" s="215">
        <v>43319</v>
      </c>
      <c r="B35" s="364" t="s">
        <v>1963</v>
      </c>
      <c r="C35" s="350" t="s">
        <v>12</v>
      </c>
      <c r="D35" s="350" t="s">
        <v>1491</v>
      </c>
      <c r="E35" s="480" t="s">
        <v>15</v>
      </c>
      <c r="F35" s="626">
        <v>50</v>
      </c>
      <c r="G35" s="248"/>
      <c r="H35" s="97"/>
      <c r="I35" s="946"/>
      <c r="J35" s="97"/>
      <c r="K35" s="946"/>
    </row>
    <row r="36" spans="1:11" s="224" customFormat="1" ht="15" customHeight="1" x14ac:dyDescent="0.25">
      <c r="A36" s="215">
        <v>43320</v>
      </c>
      <c r="B36" s="876" t="s">
        <v>32</v>
      </c>
      <c r="C36" s="350" t="s">
        <v>12</v>
      </c>
      <c r="D36" s="874" t="s">
        <v>1485</v>
      </c>
      <c r="E36" s="870" t="s">
        <v>13</v>
      </c>
      <c r="F36" s="780">
        <v>14</v>
      </c>
      <c r="G36" s="946"/>
      <c r="H36" s="97"/>
      <c r="I36" s="946"/>
      <c r="J36" s="97"/>
      <c r="K36" s="946"/>
    </row>
    <row r="37" spans="1:11" s="224" customFormat="1" ht="15" customHeight="1" x14ac:dyDescent="0.25">
      <c r="A37" s="215">
        <v>43320</v>
      </c>
      <c r="B37" s="349" t="s">
        <v>14</v>
      </c>
      <c r="C37" s="350" t="s">
        <v>12</v>
      </c>
      <c r="D37" s="350" t="s">
        <v>1486</v>
      </c>
      <c r="E37" s="871" t="s">
        <v>13</v>
      </c>
      <c r="F37" s="853">
        <v>4.05</v>
      </c>
      <c r="G37" s="946"/>
      <c r="H37" s="97"/>
      <c r="I37" s="946"/>
      <c r="J37" s="97"/>
      <c r="K37" s="946"/>
    </row>
    <row r="38" spans="1:11" s="224" customFormat="1" x14ac:dyDescent="0.25">
      <c r="A38" s="215">
        <v>43321</v>
      </c>
      <c r="B38" s="876" t="s">
        <v>32</v>
      </c>
      <c r="C38" s="350" t="s">
        <v>12</v>
      </c>
      <c r="D38" s="874" t="s">
        <v>1485</v>
      </c>
      <c r="E38" s="870" t="s">
        <v>13</v>
      </c>
      <c r="F38" s="780">
        <v>14</v>
      </c>
      <c r="G38" s="627"/>
      <c r="H38" s="97"/>
      <c r="I38" s="946"/>
      <c r="J38" s="97"/>
      <c r="K38" s="946"/>
    </row>
    <row r="39" spans="1:11" s="224" customFormat="1" x14ac:dyDescent="0.25">
      <c r="A39" s="215">
        <v>43321</v>
      </c>
      <c r="B39" s="862" t="s">
        <v>1331</v>
      </c>
      <c r="C39" s="350" t="s">
        <v>19</v>
      </c>
      <c r="D39" s="879" t="s">
        <v>1487</v>
      </c>
      <c r="E39" s="871" t="s">
        <v>15</v>
      </c>
      <c r="F39" s="827">
        <v>75</v>
      </c>
      <c r="G39" s="627"/>
      <c r="H39" s="97"/>
      <c r="I39" s="946"/>
      <c r="J39" s="97"/>
      <c r="K39" s="946"/>
    </row>
    <row r="40" spans="1:11" s="224" customFormat="1" ht="15" customHeight="1" x14ac:dyDescent="0.25">
      <c r="A40" s="215">
        <v>43321</v>
      </c>
      <c r="B40" s="349" t="s">
        <v>1964</v>
      </c>
      <c r="C40" s="350" t="s">
        <v>19</v>
      </c>
      <c r="D40" s="350" t="s">
        <v>1506</v>
      </c>
      <c r="E40" s="871" t="s">
        <v>13</v>
      </c>
      <c r="F40" s="853">
        <v>80</v>
      </c>
      <c r="G40" s="946"/>
      <c r="H40" s="97"/>
      <c r="I40" s="946"/>
      <c r="J40" s="97"/>
      <c r="K40" s="946"/>
    </row>
    <row r="41" spans="1:11" s="224" customFormat="1" ht="15" customHeight="1" x14ac:dyDescent="0.25">
      <c r="A41" s="215">
        <v>43321</v>
      </c>
      <c r="B41" s="349" t="s">
        <v>14</v>
      </c>
      <c r="C41" s="350" t="s">
        <v>12</v>
      </c>
      <c r="D41" s="350" t="s">
        <v>1486</v>
      </c>
      <c r="E41" s="871" t="s">
        <v>13</v>
      </c>
      <c r="F41" s="853">
        <v>2.41</v>
      </c>
      <c r="G41" s="946"/>
      <c r="H41" s="97"/>
      <c r="I41" s="946"/>
      <c r="J41" s="97"/>
      <c r="K41" s="946"/>
    </row>
    <row r="42" spans="1:11" s="224" customFormat="1" x14ac:dyDescent="0.25">
      <c r="A42" s="215">
        <v>43322</v>
      </c>
      <c r="B42" s="876" t="s">
        <v>32</v>
      </c>
      <c r="C42" s="350" t="s">
        <v>12</v>
      </c>
      <c r="D42" s="874" t="s">
        <v>1485</v>
      </c>
      <c r="E42" s="870" t="s">
        <v>13</v>
      </c>
      <c r="F42" s="780">
        <v>14</v>
      </c>
      <c r="G42" s="982"/>
      <c r="H42" s="622"/>
      <c r="I42" s="982"/>
      <c r="J42" s="622"/>
      <c r="K42" s="982"/>
    </row>
    <row r="43" spans="1:11" s="224" customFormat="1" x14ac:dyDescent="0.25">
      <c r="A43" s="215">
        <v>43322</v>
      </c>
      <c r="B43" s="876" t="s">
        <v>134</v>
      </c>
      <c r="C43" s="350" t="s">
        <v>12</v>
      </c>
      <c r="D43" s="874" t="s">
        <v>1493</v>
      </c>
      <c r="E43" s="870" t="s">
        <v>13</v>
      </c>
      <c r="F43" s="780">
        <v>9.9</v>
      </c>
      <c r="G43" s="982"/>
      <c r="H43" s="622"/>
      <c r="I43" s="982"/>
      <c r="J43" s="622"/>
      <c r="K43" s="982"/>
    </row>
    <row r="44" spans="1:11" ht="15" customHeight="1" x14ac:dyDescent="0.25">
      <c r="A44" s="215">
        <v>43322</v>
      </c>
      <c r="B44" s="349" t="s">
        <v>1396</v>
      </c>
      <c r="C44" s="350" t="s">
        <v>12</v>
      </c>
      <c r="D44" s="350"/>
      <c r="E44" s="757" t="s">
        <v>25</v>
      </c>
      <c r="F44" s="97"/>
      <c r="G44" s="946">
        <v>40</v>
      </c>
      <c r="H44" s="97"/>
      <c r="I44" s="946"/>
      <c r="J44" s="97"/>
      <c r="K44" s="946"/>
    </row>
    <row r="45" spans="1:11" s="224" customFormat="1" x14ac:dyDescent="0.25">
      <c r="A45" s="215">
        <v>43323</v>
      </c>
      <c r="B45" s="876" t="s">
        <v>82</v>
      </c>
      <c r="C45" s="350" t="s">
        <v>12</v>
      </c>
      <c r="D45" s="874" t="s">
        <v>1493</v>
      </c>
      <c r="E45" s="870" t="s">
        <v>13</v>
      </c>
      <c r="F45" s="831">
        <v>29</v>
      </c>
      <c r="G45" s="982"/>
      <c r="H45" s="622"/>
      <c r="I45" s="982"/>
      <c r="J45" s="622"/>
      <c r="K45" s="982"/>
    </row>
    <row r="46" spans="1:11" s="224" customFormat="1" x14ac:dyDescent="0.25">
      <c r="A46" s="215">
        <v>43323</v>
      </c>
      <c r="B46" s="876" t="s">
        <v>1438</v>
      </c>
      <c r="C46" s="350" t="s">
        <v>12</v>
      </c>
      <c r="D46" s="874" t="s">
        <v>1489</v>
      </c>
      <c r="E46" s="870" t="s">
        <v>13</v>
      </c>
      <c r="F46" s="831">
        <v>20.91</v>
      </c>
      <c r="G46" s="982"/>
      <c r="H46" s="622"/>
      <c r="I46" s="982"/>
      <c r="J46" s="622"/>
      <c r="K46" s="982"/>
    </row>
    <row r="47" spans="1:11" s="224" customFormat="1" x14ac:dyDescent="0.25">
      <c r="A47" s="215">
        <v>43323</v>
      </c>
      <c r="B47" s="876" t="s">
        <v>32</v>
      </c>
      <c r="C47" s="350" t="s">
        <v>12</v>
      </c>
      <c r="D47" s="874" t="s">
        <v>1485</v>
      </c>
      <c r="E47" s="870" t="s">
        <v>13</v>
      </c>
      <c r="F47" s="780">
        <v>15.9</v>
      </c>
      <c r="G47" s="627"/>
      <c r="H47" s="97"/>
      <c r="I47" s="946"/>
      <c r="J47" s="97"/>
      <c r="K47" s="946"/>
    </row>
    <row r="48" spans="1:11" s="224" customFormat="1" ht="15" customHeight="1" x14ac:dyDescent="0.25">
      <c r="A48" s="215">
        <v>43324</v>
      </c>
      <c r="B48" s="349" t="s">
        <v>14</v>
      </c>
      <c r="C48" s="350" t="s">
        <v>12</v>
      </c>
      <c r="D48" s="350" t="s">
        <v>1486</v>
      </c>
      <c r="E48" s="871" t="s">
        <v>13</v>
      </c>
      <c r="F48" s="853">
        <v>6.32</v>
      </c>
      <c r="G48" s="946"/>
      <c r="H48" s="97"/>
      <c r="I48" s="946"/>
      <c r="J48" s="97"/>
      <c r="K48" s="946"/>
    </row>
    <row r="49" spans="1:13" s="224" customFormat="1" x14ac:dyDescent="0.25">
      <c r="A49" s="215">
        <v>43324</v>
      </c>
      <c r="B49" s="876" t="s">
        <v>1965</v>
      </c>
      <c r="C49" s="350" t="s">
        <v>12</v>
      </c>
      <c r="D49" s="874" t="s">
        <v>1491</v>
      </c>
      <c r="E49" s="870" t="s">
        <v>13</v>
      </c>
      <c r="F49" s="831">
        <v>15</v>
      </c>
      <c r="G49" s="982"/>
      <c r="H49" s="622"/>
      <c r="I49" s="982"/>
      <c r="J49" s="622"/>
      <c r="K49" s="982"/>
    </row>
    <row r="50" spans="1:13" s="224" customFormat="1" x14ac:dyDescent="0.25">
      <c r="A50" s="215">
        <v>43324</v>
      </c>
      <c r="B50" s="876" t="s">
        <v>1966</v>
      </c>
      <c r="C50" s="350" t="s">
        <v>12</v>
      </c>
      <c r="D50" s="874" t="s">
        <v>1491</v>
      </c>
      <c r="E50" s="870" t="s">
        <v>13</v>
      </c>
      <c r="F50" s="831">
        <v>20</v>
      </c>
      <c r="G50" s="982"/>
      <c r="H50" s="622"/>
      <c r="I50" s="982"/>
      <c r="J50" s="622"/>
      <c r="K50" s="982"/>
    </row>
    <row r="51" spans="1:13" s="224" customFormat="1" x14ac:dyDescent="0.25">
      <c r="A51" s="215">
        <v>43324</v>
      </c>
      <c r="B51" s="876" t="s">
        <v>1967</v>
      </c>
      <c r="C51" s="350" t="s">
        <v>12</v>
      </c>
      <c r="D51" s="874" t="s">
        <v>1493</v>
      </c>
      <c r="E51" s="870" t="s">
        <v>13</v>
      </c>
      <c r="F51" s="831">
        <v>48</v>
      </c>
      <c r="G51" s="982"/>
      <c r="H51" s="622"/>
      <c r="I51" s="982"/>
      <c r="J51" s="622"/>
      <c r="K51" s="982"/>
    </row>
    <row r="52" spans="1:13" s="224" customFormat="1" x14ac:dyDescent="0.25">
      <c r="A52" s="215">
        <v>43324</v>
      </c>
      <c r="B52" s="876" t="s">
        <v>103</v>
      </c>
      <c r="C52" s="350" t="s">
        <v>12</v>
      </c>
      <c r="D52" s="874" t="s">
        <v>1489</v>
      </c>
      <c r="E52" s="870" t="s">
        <v>13</v>
      </c>
      <c r="F52" s="831">
        <v>10</v>
      </c>
      <c r="G52" s="982"/>
      <c r="H52" s="622"/>
      <c r="I52" s="982"/>
      <c r="J52" s="622"/>
      <c r="K52" s="982"/>
    </row>
    <row r="53" spans="1:13" s="224" customFormat="1" x14ac:dyDescent="0.25">
      <c r="A53" s="215">
        <v>43325</v>
      </c>
      <c r="B53" s="876" t="s">
        <v>32</v>
      </c>
      <c r="C53" s="350" t="s">
        <v>12</v>
      </c>
      <c r="D53" s="874" t="s">
        <v>1485</v>
      </c>
      <c r="E53" s="870" t="s">
        <v>15</v>
      </c>
      <c r="F53" s="780">
        <v>14</v>
      </c>
      <c r="G53" s="627"/>
      <c r="H53" s="97"/>
      <c r="I53" s="946"/>
      <c r="J53" s="97"/>
      <c r="K53" s="946"/>
    </row>
    <row r="54" spans="1:13" s="224" customFormat="1" ht="15" customHeight="1" x14ac:dyDescent="0.25">
      <c r="A54" s="215">
        <v>43325</v>
      </c>
      <c r="B54" s="349" t="s">
        <v>14</v>
      </c>
      <c r="C54" s="350" t="s">
        <v>12</v>
      </c>
      <c r="D54" s="350" t="s">
        <v>1486</v>
      </c>
      <c r="E54" s="871" t="s">
        <v>13</v>
      </c>
      <c r="F54" s="853">
        <v>6.89</v>
      </c>
      <c r="G54" s="946"/>
      <c r="H54" s="97"/>
      <c r="I54" s="946"/>
      <c r="J54" s="97"/>
      <c r="K54" s="946"/>
    </row>
    <row r="55" spans="1:13" s="224" customFormat="1" x14ac:dyDescent="0.25">
      <c r="A55" s="215">
        <v>43325</v>
      </c>
      <c r="B55" s="876" t="s">
        <v>428</v>
      </c>
      <c r="C55" s="350" t="s">
        <v>12</v>
      </c>
      <c r="D55" s="874" t="s">
        <v>1506</v>
      </c>
      <c r="E55" s="870" t="s">
        <v>15</v>
      </c>
      <c r="F55" s="831">
        <v>10</v>
      </c>
      <c r="G55" s="982"/>
      <c r="H55" s="622"/>
      <c r="I55" s="982"/>
      <c r="J55" s="622"/>
      <c r="K55" s="982"/>
    </row>
    <row r="56" spans="1:13" s="224" customFormat="1" x14ac:dyDescent="0.25">
      <c r="A56" s="215">
        <v>43326</v>
      </c>
      <c r="B56" s="876" t="s">
        <v>32</v>
      </c>
      <c r="C56" s="350" t="s">
        <v>12</v>
      </c>
      <c r="D56" s="874" t="s">
        <v>1485</v>
      </c>
      <c r="E56" s="870" t="s">
        <v>13</v>
      </c>
      <c r="F56" s="780">
        <v>14</v>
      </c>
      <c r="G56" s="627"/>
      <c r="H56" s="97"/>
      <c r="I56" s="946"/>
      <c r="J56" s="97"/>
      <c r="K56" s="946"/>
    </row>
    <row r="57" spans="1:13" s="224" customFormat="1" ht="15" customHeight="1" x14ac:dyDescent="0.25">
      <c r="A57" s="215">
        <v>43326</v>
      </c>
      <c r="B57" s="349" t="s">
        <v>14</v>
      </c>
      <c r="C57" s="350" t="s">
        <v>12</v>
      </c>
      <c r="D57" s="350" t="s">
        <v>1486</v>
      </c>
      <c r="E57" s="871" t="s">
        <v>13</v>
      </c>
      <c r="F57" s="853">
        <v>4.9800000000000004</v>
      </c>
      <c r="G57" s="946"/>
      <c r="H57" s="97"/>
      <c r="I57" s="946"/>
      <c r="J57" s="97"/>
      <c r="K57" s="946"/>
    </row>
    <row r="58" spans="1:13" s="224" customFormat="1" x14ac:dyDescent="0.25">
      <c r="A58" s="215">
        <v>43326</v>
      </c>
      <c r="B58" s="876" t="s">
        <v>249</v>
      </c>
      <c r="C58" s="350" t="s">
        <v>12</v>
      </c>
      <c r="D58" s="874" t="s">
        <v>1493</v>
      </c>
      <c r="E58" s="870" t="s">
        <v>13</v>
      </c>
      <c r="F58" s="831">
        <v>7.7</v>
      </c>
      <c r="G58" s="982"/>
      <c r="H58" s="622"/>
      <c r="I58" s="982"/>
      <c r="J58" s="622"/>
      <c r="K58" s="982"/>
    </row>
    <row r="59" spans="1:13" s="224" customFormat="1" x14ac:dyDescent="0.25">
      <c r="A59" s="215">
        <v>43327</v>
      </c>
      <c r="B59" s="876" t="s">
        <v>32</v>
      </c>
      <c r="C59" s="350" t="s">
        <v>12</v>
      </c>
      <c r="D59" s="874" t="s">
        <v>1485</v>
      </c>
      <c r="E59" s="870" t="s">
        <v>13</v>
      </c>
      <c r="F59" s="780">
        <v>14</v>
      </c>
      <c r="G59" s="627"/>
      <c r="H59" s="97"/>
      <c r="I59" s="946"/>
      <c r="J59" s="97"/>
      <c r="K59" s="946"/>
    </row>
    <row r="60" spans="1:13" s="224" customFormat="1" ht="15" customHeight="1" x14ac:dyDescent="0.25">
      <c r="A60" s="215">
        <v>43327</v>
      </c>
      <c r="B60" s="349" t="s">
        <v>14</v>
      </c>
      <c r="C60" s="350" t="s">
        <v>12</v>
      </c>
      <c r="D60" s="350" t="s">
        <v>1486</v>
      </c>
      <c r="E60" s="871" t="s">
        <v>13</v>
      </c>
      <c r="F60" s="853">
        <v>11</v>
      </c>
      <c r="G60" s="946"/>
      <c r="H60" s="97"/>
      <c r="I60" s="946"/>
      <c r="J60" s="97"/>
      <c r="K60" s="946"/>
    </row>
    <row r="61" spans="1:13" s="224" customFormat="1" x14ac:dyDescent="0.25">
      <c r="A61" s="215">
        <v>43328</v>
      </c>
      <c r="B61" s="876" t="s">
        <v>32</v>
      </c>
      <c r="C61" s="350" t="s">
        <v>12</v>
      </c>
      <c r="D61" s="874" t="s">
        <v>1485</v>
      </c>
      <c r="E61" s="870" t="s">
        <v>13</v>
      </c>
      <c r="F61" s="780">
        <v>14</v>
      </c>
      <c r="G61" s="627"/>
      <c r="H61" s="97"/>
      <c r="I61" s="946"/>
      <c r="J61" s="97"/>
      <c r="K61" s="946"/>
    </row>
    <row r="62" spans="1:13" s="224" customFormat="1" ht="15" customHeight="1" x14ac:dyDescent="0.25">
      <c r="A62" s="215">
        <v>43328</v>
      </c>
      <c r="B62" s="349" t="s">
        <v>14</v>
      </c>
      <c r="C62" s="350" t="s">
        <v>12</v>
      </c>
      <c r="D62" s="350" t="s">
        <v>1486</v>
      </c>
      <c r="E62" s="871" t="s">
        <v>13</v>
      </c>
      <c r="F62" s="853">
        <v>9.43</v>
      </c>
      <c r="G62" s="946"/>
      <c r="H62" s="97"/>
      <c r="I62" s="946"/>
      <c r="J62" s="97"/>
      <c r="K62" s="946"/>
    </row>
    <row r="63" spans="1:13" s="224" customFormat="1" x14ac:dyDescent="0.25">
      <c r="A63" s="215">
        <v>43328</v>
      </c>
      <c r="B63" s="364" t="s">
        <v>1968</v>
      </c>
      <c r="C63" s="350" t="s">
        <v>19</v>
      </c>
      <c r="D63" s="350" t="s">
        <v>1491</v>
      </c>
      <c r="E63" s="480" t="s">
        <v>13</v>
      </c>
      <c r="F63" s="626">
        <v>100</v>
      </c>
      <c r="G63" s="248"/>
      <c r="H63" s="97"/>
      <c r="I63" s="946"/>
      <c r="J63" s="97"/>
      <c r="K63" s="946"/>
      <c r="L63" s="3133" t="s">
        <v>1969</v>
      </c>
      <c r="M63" s="3134"/>
    </row>
    <row r="64" spans="1:13" s="224" customFormat="1" x14ac:dyDescent="0.25">
      <c r="A64" s="215">
        <v>43329</v>
      </c>
      <c r="B64" s="876" t="s">
        <v>32</v>
      </c>
      <c r="C64" s="350" t="s">
        <v>12</v>
      </c>
      <c r="D64" s="874" t="s">
        <v>1485</v>
      </c>
      <c r="E64" s="870" t="s">
        <v>15</v>
      </c>
      <c r="F64" s="780">
        <v>14</v>
      </c>
      <c r="G64" s="627"/>
      <c r="H64" s="97"/>
      <c r="I64" s="946"/>
      <c r="J64" s="97"/>
      <c r="K64" s="946"/>
    </row>
    <row r="65" spans="1:11" s="224" customFormat="1" ht="15" customHeight="1" x14ac:dyDescent="0.25">
      <c r="A65" s="215">
        <v>43329</v>
      </c>
      <c r="B65" s="862" t="s">
        <v>256</v>
      </c>
      <c r="C65" s="879"/>
      <c r="D65" s="879"/>
      <c r="E65" s="871"/>
      <c r="F65" s="97"/>
      <c r="G65" s="1064">
        <v>100</v>
      </c>
      <c r="H65" s="97">
        <v>100</v>
      </c>
      <c r="I65" s="946"/>
      <c r="J65" s="97"/>
      <c r="K65" s="946"/>
    </row>
    <row r="66" spans="1:11" s="224" customFormat="1" x14ac:dyDescent="0.25">
      <c r="A66" s="215">
        <v>43329</v>
      </c>
      <c r="B66" s="862" t="s">
        <v>1331</v>
      </c>
      <c r="C66" s="350" t="s">
        <v>19</v>
      </c>
      <c r="D66" s="879" t="s">
        <v>1487</v>
      </c>
      <c r="E66" s="871" t="s">
        <v>15</v>
      </c>
      <c r="F66" s="872">
        <v>80</v>
      </c>
      <c r="G66" s="627"/>
      <c r="H66" s="97"/>
      <c r="I66" s="946"/>
      <c r="J66" s="97"/>
      <c r="K66" s="946"/>
    </row>
    <row r="67" spans="1:11" s="224" customFormat="1" ht="15" customHeight="1" x14ac:dyDescent="0.25">
      <c r="A67" s="215">
        <v>43329</v>
      </c>
      <c r="B67" s="364" t="s">
        <v>1970</v>
      </c>
      <c r="C67" s="350" t="s">
        <v>19</v>
      </c>
      <c r="D67" s="350" t="s">
        <v>1524</v>
      </c>
      <c r="E67" s="480" t="s">
        <v>13</v>
      </c>
      <c r="F67" s="626">
        <v>129.9</v>
      </c>
      <c r="G67" s="946"/>
      <c r="H67" s="97"/>
      <c r="I67" s="946"/>
      <c r="J67" s="97"/>
      <c r="K67" s="946"/>
    </row>
    <row r="68" spans="1:11" s="224" customFormat="1" ht="15" customHeight="1" x14ac:dyDescent="0.25">
      <c r="A68" s="215">
        <v>43329</v>
      </c>
      <c r="B68" s="349" t="s">
        <v>1438</v>
      </c>
      <c r="C68" s="350" t="s">
        <v>19</v>
      </c>
      <c r="D68" s="350" t="s">
        <v>1489</v>
      </c>
      <c r="E68" s="871" t="s">
        <v>15</v>
      </c>
      <c r="F68" s="626">
        <v>67.87</v>
      </c>
      <c r="G68" s="946"/>
      <c r="H68" s="97"/>
      <c r="I68" s="946"/>
      <c r="J68" s="97"/>
      <c r="K68" s="946"/>
    </row>
    <row r="69" spans="1:11" s="224" customFormat="1" ht="15" customHeight="1" x14ac:dyDescent="0.25">
      <c r="A69" s="215">
        <v>43329</v>
      </c>
      <c r="B69" s="862" t="s">
        <v>256</v>
      </c>
      <c r="C69" s="879"/>
      <c r="D69" s="879"/>
      <c r="E69" s="871"/>
      <c r="F69" s="97"/>
      <c r="G69" s="1064">
        <v>100</v>
      </c>
      <c r="H69" s="97">
        <v>100</v>
      </c>
      <c r="I69" s="946"/>
      <c r="J69" s="97"/>
      <c r="K69" s="946"/>
    </row>
    <row r="70" spans="1:11" s="224" customFormat="1" ht="15" customHeight="1" x14ac:dyDescent="0.25">
      <c r="A70" s="215">
        <v>43330</v>
      </c>
      <c r="B70" s="876" t="s">
        <v>32</v>
      </c>
      <c r="C70" s="350" t="s">
        <v>12</v>
      </c>
      <c r="D70" s="874" t="s">
        <v>1485</v>
      </c>
      <c r="E70" s="870" t="s">
        <v>13</v>
      </c>
      <c r="F70" s="780">
        <v>16</v>
      </c>
      <c r="G70" s="946"/>
      <c r="H70" s="97"/>
      <c r="I70" s="946"/>
      <c r="J70" s="97"/>
      <c r="K70" s="946"/>
    </row>
    <row r="71" spans="1:11" s="224" customFormat="1" ht="15" customHeight="1" x14ac:dyDescent="0.25">
      <c r="A71" s="215">
        <v>43330</v>
      </c>
      <c r="B71" s="349" t="s">
        <v>14</v>
      </c>
      <c r="C71" s="350" t="s">
        <v>12</v>
      </c>
      <c r="D71" s="350" t="s">
        <v>1486</v>
      </c>
      <c r="E71" s="871" t="s">
        <v>13</v>
      </c>
      <c r="F71" s="853">
        <v>6.25</v>
      </c>
      <c r="G71" s="946"/>
      <c r="H71" s="97"/>
      <c r="I71" s="946"/>
      <c r="J71" s="97"/>
      <c r="K71" s="946"/>
    </row>
    <row r="72" spans="1:11" s="224" customFormat="1" ht="15" customHeight="1" x14ac:dyDescent="0.25">
      <c r="A72" s="215">
        <v>43331</v>
      </c>
      <c r="B72" s="349" t="s">
        <v>14</v>
      </c>
      <c r="C72" s="350" t="s">
        <v>12</v>
      </c>
      <c r="D72" s="350" t="s">
        <v>1486</v>
      </c>
      <c r="E72" s="871" t="s">
        <v>13</v>
      </c>
      <c r="F72" s="853">
        <v>5.24</v>
      </c>
      <c r="G72" s="946"/>
      <c r="H72" s="97"/>
      <c r="I72" s="946"/>
      <c r="J72" s="97"/>
      <c r="K72" s="946"/>
    </row>
    <row r="73" spans="1:11" s="224" customFormat="1" ht="15" customHeight="1" x14ac:dyDescent="0.25">
      <c r="A73" s="215">
        <v>43331</v>
      </c>
      <c r="B73" s="349" t="s">
        <v>14</v>
      </c>
      <c r="C73" s="350" t="s">
        <v>12</v>
      </c>
      <c r="D73" s="350" t="s">
        <v>1486</v>
      </c>
      <c r="E73" s="871" t="s">
        <v>13</v>
      </c>
      <c r="F73" s="853">
        <v>3.06</v>
      </c>
      <c r="G73" s="946"/>
      <c r="H73" s="97"/>
      <c r="I73" s="946"/>
      <c r="J73" s="97"/>
      <c r="K73" s="946"/>
    </row>
    <row r="74" spans="1:11" s="224" customFormat="1" ht="15" customHeight="1" x14ac:dyDescent="0.25">
      <c r="A74" s="215">
        <v>43331</v>
      </c>
      <c r="B74" s="349" t="s">
        <v>1438</v>
      </c>
      <c r="C74" s="350" t="s">
        <v>12</v>
      </c>
      <c r="D74" s="350" t="s">
        <v>1489</v>
      </c>
      <c r="E74" s="871" t="s">
        <v>15</v>
      </c>
      <c r="F74" s="853">
        <v>15</v>
      </c>
      <c r="G74" s="946"/>
      <c r="H74" s="97"/>
      <c r="I74" s="946"/>
      <c r="J74" s="97"/>
      <c r="K74" s="946"/>
    </row>
    <row r="75" spans="1:11" x14ac:dyDescent="0.25">
      <c r="A75" s="215">
        <v>43332</v>
      </c>
      <c r="B75" s="882" t="s">
        <v>1971</v>
      </c>
      <c r="C75" s="350" t="s">
        <v>12</v>
      </c>
      <c r="D75" s="145"/>
      <c r="E75" s="145" t="s">
        <v>25</v>
      </c>
      <c r="F75" s="1524"/>
      <c r="G75" s="982">
        <v>1600</v>
      </c>
      <c r="H75" s="622"/>
      <c r="I75" s="982"/>
      <c r="J75" s="622"/>
      <c r="K75" s="982"/>
    </row>
    <row r="76" spans="1:11" s="224" customFormat="1" ht="15.75" customHeight="1" x14ac:dyDescent="0.25">
      <c r="A76" s="215">
        <v>43332</v>
      </c>
      <c r="B76" s="882" t="s">
        <v>1972</v>
      </c>
      <c r="C76" s="879" t="s">
        <v>12</v>
      </c>
      <c r="D76" s="879" t="s">
        <v>1499</v>
      </c>
      <c r="E76" s="871" t="s">
        <v>13</v>
      </c>
      <c r="F76" s="622">
        <v>50.25</v>
      </c>
      <c r="G76" s="1002"/>
      <c r="H76" s="538"/>
      <c r="I76" s="982"/>
      <c r="J76" s="622"/>
      <c r="K76" s="982"/>
    </row>
    <row r="77" spans="1:11" s="224" customFormat="1" x14ac:dyDescent="0.25">
      <c r="A77" s="215">
        <v>43332</v>
      </c>
      <c r="B77" s="873" t="s">
        <v>1973</v>
      </c>
      <c r="C77" s="879" t="s">
        <v>12</v>
      </c>
      <c r="D77" s="350" t="s">
        <v>1491</v>
      </c>
      <c r="E77" s="871" t="s">
        <v>15</v>
      </c>
      <c r="F77" s="622"/>
      <c r="G77" s="982"/>
      <c r="H77" s="622"/>
      <c r="I77" s="982"/>
      <c r="J77" s="622"/>
      <c r="K77" s="982"/>
    </row>
    <row r="78" spans="1:11" s="224" customFormat="1" ht="15" customHeight="1" x14ac:dyDescent="0.25">
      <c r="A78" s="215">
        <v>43332</v>
      </c>
      <c r="B78" s="349" t="s">
        <v>260</v>
      </c>
      <c r="C78" s="350"/>
      <c r="D78" s="350"/>
      <c r="E78" s="480"/>
      <c r="F78" s="852">
        <v>400</v>
      </c>
      <c r="G78" s="1064"/>
      <c r="H78" s="97"/>
      <c r="I78" s="946">
        <v>400</v>
      </c>
      <c r="J78" s="97"/>
      <c r="K78" s="946"/>
    </row>
    <row r="79" spans="1:11" s="224" customFormat="1" ht="15" customHeight="1" x14ac:dyDescent="0.25">
      <c r="A79" s="215">
        <v>43332</v>
      </c>
      <c r="B79" s="876" t="s">
        <v>32</v>
      </c>
      <c r="C79" s="350" t="s">
        <v>12</v>
      </c>
      <c r="D79" s="874" t="s">
        <v>1485</v>
      </c>
      <c r="E79" s="870" t="s">
        <v>13</v>
      </c>
      <c r="F79" s="780">
        <v>14</v>
      </c>
      <c r="G79" s="946"/>
      <c r="H79" s="97"/>
      <c r="I79" s="946"/>
      <c r="J79" s="97"/>
      <c r="K79" s="946"/>
    </row>
    <row r="80" spans="1:11" s="224" customFormat="1" x14ac:dyDescent="0.25">
      <c r="A80" s="215">
        <v>43332</v>
      </c>
      <c r="B80" s="862" t="s">
        <v>17</v>
      </c>
      <c r="C80" s="352" t="s">
        <v>12</v>
      </c>
      <c r="D80" s="874" t="s">
        <v>1493</v>
      </c>
      <c r="E80" s="875" t="s">
        <v>13</v>
      </c>
      <c r="F80" s="829">
        <v>4.5</v>
      </c>
      <c r="G80" s="946"/>
      <c r="H80" s="97"/>
      <c r="I80" s="946"/>
      <c r="J80" s="97"/>
      <c r="K80" s="946"/>
    </row>
    <row r="81" spans="1:11" s="224" customFormat="1" ht="15" customHeight="1" x14ac:dyDescent="0.25">
      <c r="A81" s="215">
        <v>43332</v>
      </c>
      <c r="B81" s="876" t="s">
        <v>1974</v>
      </c>
      <c r="C81" s="350" t="s">
        <v>12</v>
      </c>
      <c r="D81" s="874" t="s">
        <v>1522</v>
      </c>
      <c r="E81" s="870" t="s">
        <v>13</v>
      </c>
      <c r="F81" s="780">
        <v>16</v>
      </c>
      <c r="G81" s="946"/>
      <c r="H81" s="97"/>
      <c r="I81" s="946"/>
      <c r="J81" s="97"/>
      <c r="K81" s="946"/>
    </row>
    <row r="82" spans="1:11" s="224" customFormat="1" x14ac:dyDescent="0.25">
      <c r="A82" s="215">
        <v>43332</v>
      </c>
      <c r="B82" s="862" t="s">
        <v>147</v>
      </c>
      <c r="C82" s="352" t="s">
        <v>12</v>
      </c>
      <c r="D82" s="874" t="s">
        <v>1506</v>
      </c>
      <c r="E82" s="875" t="s">
        <v>15</v>
      </c>
      <c r="F82" s="829">
        <v>15</v>
      </c>
      <c r="G82" s="946"/>
      <c r="H82" s="97"/>
      <c r="I82" s="946"/>
      <c r="J82" s="97"/>
      <c r="K82" s="946"/>
    </row>
    <row r="83" spans="1:11" s="224" customFormat="1" ht="15" customHeight="1" x14ac:dyDescent="0.25">
      <c r="A83" s="215">
        <v>43333</v>
      </c>
      <c r="B83" s="876" t="s">
        <v>32</v>
      </c>
      <c r="C83" s="350" t="s">
        <v>12</v>
      </c>
      <c r="D83" s="874" t="s">
        <v>1485</v>
      </c>
      <c r="E83" s="870" t="s">
        <v>15</v>
      </c>
      <c r="F83" s="780">
        <v>14</v>
      </c>
      <c r="G83" s="946"/>
      <c r="H83" s="97"/>
      <c r="I83" s="946"/>
      <c r="J83" s="97"/>
      <c r="K83" s="946"/>
    </row>
    <row r="84" spans="1:11" s="224" customFormat="1" ht="15" customHeight="1" x14ac:dyDescent="0.25">
      <c r="A84" s="215">
        <v>43333</v>
      </c>
      <c r="B84" s="364" t="s">
        <v>1975</v>
      </c>
      <c r="C84" s="350" t="s">
        <v>19</v>
      </c>
      <c r="D84" s="350" t="s">
        <v>1491</v>
      </c>
      <c r="E84" s="480" t="s">
        <v>15</v>
      </c>
      <c r="F84" s="626">
        <v>290</v>
      </c>
      <c r="G84" s="982"/>
      <c r="H84" s="622"/>
      <c r="I84" s="982"/>
      <c r="J84" s="622"/>
      <c r="K84" s="982"/>
    </row>
    <row r="85" spans="1:11" s="224" customFormat="1" ht="15" customHeight="1" x14ac:dyDescent="0.25">
      <c r="A85" s="215">
        <v>43333</v>
      </c>
      <c r="B85" s="349" t="s">
        <v>14</v>
      </c>
      <c r="C85" s="350" t="s">
        <v>12</v>
      </c>
      <c r="D85" s="350" t="s">
        <v>1486</v>
      </c>
      <c r="E85" s="871" t="s">
        <v>13</v>
      </c>
      <c r="F85" s="853">
        <v>3.35</v>
      </c>
      <c r="G85" s="1063"/>
      <c r="H85" s="622"/>
      <c r="I85" s="982"/>
      <c r="J85" s="622"/>
      <c r="K85" s="982"/>
    </row>
    <row r="86" spans="1:11" s="224" customFormat="1" ht="15" customHeight="1" x14ac:dyDescent="0.25">
      <c r="A86" s="215">
        <v>43334</v>
      </c>
      <c r="B86" s="876" t="s">
        <v>32</v>
      </c>
      <c r="C86" s="350" t="s">
        <v>12</v>
      </c>
      <c r="D86" s="874" t="s">
        <v>1485</v>
      </c>
      <c r="E86" s="870" t="s">
        <v>13</v>
      </c>
      <c r="F86" s="780">
        <v>14</v>
      </c>
      <c r="G86" s="946"/>
      <c r="H86" s="97"/>
      <c r="I86" s="946"/>
      <c r="J86" s="97"/>
      <c r="K86" s="946"/>
    </row>
    <row r="87" spans="1:11" s="224" customFormat="1" ht="15" customHeight="1" x14ac:dyDescent="0.25">
      <c r="A87" s="215">
        <v>43334</v>
      </c>
      <c r="B87" s="349" t="s">
        <v>14</v>
      </c>
      <c r="C87" s="350" t="s">
        <v>12</v>
      </c>
      <c r="D87" s="350" t="s">
        <v>1486</v>
      </c>
      <c r="E87" s="871" t="s">
        <v>15</v>
      </c>
      <c r="F87" s="853">
        <v>5.5</v>
      </c>
      <c r="G87" s="1063"/>
      <c r="H87" s="622"/>
      <c r="I87" s="982"/>
      <c r="J87" s="622"/>
      <c r="K87" s="982"/>
    </row>
    <row r="88" spans="1:11" s="224" customFormat="1" ht="15" customHeight="1" x14ac:dyDescent="0.25">
      <c r="A88" s="215">
        <v>43335</v>
      </c>
      <c r="B88" s="876" t="s">
        <v>32</v>
      </c>
      <c r="C88" s="350" t="s">
        <v>12</v>
      </c>
      <c r="D88" s="874" t="s">
        <v>1485</v>
      </c>
      <c r="E88" s="870" t="s">
        <v>15</v>
      </c>
      <c r="F88" s="780">
        <v>14</v>
      </c>
      <c r="G88" s="946"/>
      <c r="H88" s="97"/>
      <c r="I88" s="946"/>
      <c r="J88" s="97"/>
      <c r="K88" s="946"/>
    </row>
    <row r="89" spans="1:11" s="224" customFormat="1" x14ac:dyDescent="0.25">
      <c r="A89" s="215">
        <v>43335</v>
      </c>
      <c r="B89" s="862" t="s">
        <v>138</v>
      </c>
      <c r="C89" s="350" t="s">
        <v>19</v>
      </c>
      <c r="D89" s="879" t="s">
        <v>1487</v>
      </c>
      <c r="E89" s="871" t="s">
        <v>13</v>
      </c>
      <c r="F89" s="872">
        <v>75</v>
      </c>
      <c r="G89" s="627"/>
      <c r="H89" s="97"/>
      <c r="I89" s="946"/>
      <c r="J89" s="97"/>
      <c r="K89" s="946"/>
    </row>
    <row r="90" spans="1:11" s="224" customFormat="1" ht="15" customHeight="1" x14ac:dyDescent="0.25">
      <c r="A90" s="215">
        <v>43335</v>
      </c>
      <c r="B90" s="349" t="s">
        <v>1976</v>
      </c>
      <c r="C90" s="350" t="s">
        <v>12</v>
      </c>
      <c r="D90" s="350" t="s">
        <v>1506</v>
      </c>
      <c r="E90" s="871" t="s">
        <v>13</v>
      </c>
      <c r="F90" s="853">
        <v>25</v>
      </c>
      <c r="G90" s="1063"/>
      <c r="H90" s="622"/>
      <c r="I90" s="982"/>
      <c r="J90" s="622"/>
      <c r="K90" s="982"/>
    </row>
    <row r="91" spans="1:11" s="224" customFormat="1" ht="15" customHeight="1" x14ac:dyDescent="0.25">
      <c r="A91" s="215">
        <v>43335</v>
      </c>
      <c r="B91" s="349" t="s">
        <v>14</v>
      </c>
      <c r="C91" s="350" t="s">
        <v>12</v>
      </c>
      <c r="D91" s="350" t="s">
        <v>1486</v>
      </c>
      <c r="E91" s="871" t="s">
        <v>13</v>
      </c>
      <c r="F91" s="853">
        <v>3.41</v>
      </c>
      <c r="G91" s="1063"/>
      <c r="H91" s="622"/>
      <c r="I91" s="982"/>
      <c r="J91" s="622"/>
      <c r="K91" s="982"/>
    </row>
    <row r="92" spans="1:11" s="224" customFormat="1" x14ac:dyDescent="0.25">
      <c r="A92" s="215">
        <v>43336</v>
      </c>
      <c r="B92" s="862" t="s">
        <v>1977</v>
      </c>
      <c r="C92" s="350" t="s">
        <v>12</v>
      </c>
      <c r="D92" s="874" t="s">
        <v>1504</v>
      </c>
      <c r="E92" s="1475" t="s">
        <v>13</v>
      </c>
      <c r="F92" s="622">
        <v>68.92</v>
      </c>
      <c r="G92" s="946"/>
      <c r="H92" s="97"/>
      <c r="I92" s="946"/>
      <c r="J92" s="97"/>
      <c r="K92" s="946"/>
    </row>
    <row r="93" spans="1:11" s="224" customFormat="1" ht="15" customHeight="1" x14ac:dyDescent="0.25">
      <c r="A93" s="215">
        <v>43336</v>
      </c>
      <c r="B93" s="876" t="s">
        <v>32</v>
      </c>
      <c r="C93" s="350" t="s">
        <v>12</v>
      </c>
      <c r="D93" s="874" t="s">
        <v>1485</v>
      </c>
      <c r="E93" s="870" t="s">
        <v>13</v>
      </c>
      <c r="F93" s="780">
        <v>14</v>
      </c>
      <c r="G93" s="946"/>
      <c r="H93" s="97"/>
      <c r="I93" s="946"/>
      <c r="J93" s="97"/>
      <c r="K93" s="946"/>
    </row>
    <row r="94" spans="1:11" s="224" customFormat="1" x14ac:dyDescent="0.25">
      <c r="A94" s="215">
        <v>43336</v>
      </c>
      <c r="B94" s="876" t="s">
        <v>249</v>
      </c>
      <c r="C94" s="350" t="s">
        <v>12</v>
      </c>
      <c r="D94" s="874" t="s">
        <v>1493</v>
      </c>
      <c r="E94" s="870" t="s">
        <v>13</v>
      </c>
      <c r="F94" s="831">
        <v>4.5</v>
      </c>
      <c r="G94" s="982"/>
      <c r="H94" s="622"/>
      <c r="I94" s="982"/>
      <c r="J94" s="622"/>
      <c r="K94" s="982"/>
    </row>
    <row r="95" spans="1:11" s="224" customFormat="1" ht="15" customHeight="1" x14ac:dyDescent="0.25">
      <c r="A95" s="215">
        <v>43336</v>
      </c>
      <c r="B95" s="349" t="s">
        <v>134</v>
      </c>
      <c r="C95" s="350" t="s">
        <v>12</v>
      </c>
      <c r="D95" s="350" t="s">
        <v>1493</v>
      </c>
      <c r="E95" s="871" t="s">
        <v>13</v>
      </c>
      <c r="F95" s="853">
        <v>14.86</v>
      </c>
      <c r="G95" s="1063"/>
      <c r="H95" s="622"/>
      <c r="I95" s="982"/>
      <c r="J95" s="622"/>
      <c r="K95" s="982"/>
    </row>
    <row r="96" spans="1:11" s="224" customFormat="1" ht="15" customHeight="1" x14ac:dyDescent="0.25">
      <c r="A96" s="215">
        <v>43337</v>
      </c>
      <c r="B96" s="876" t="s">
        <v>32</v>
      </c>
      <c r="C96" s="350" t="s">
        <v>12</v>
      </c>
      <c r="D96" s="874" t="s">
        <v>1485</v>
      </c>
      <c r="E96" s="870" t="s">
        <v>13</v>
      </c>
      <c r="F96" s="780">
        <v>15.9</v>
      </c>
      <c r="G96" s="946"/>
      <c r="H96" s="97"/>
      <c r="I96" s="946"/>
      <c r="J96" s="97"/>
      <c r="K96" s="946"/>
    </row>
    <row r="97" spans="1:11" s="224" customFormat="1" ht="15" customHeight="1" x14ac:dyDescent="0.25">
      <c r="A97" s="215">
        <v>43337</v>
      </c>
      <c r="B97" s="349" t="s">
        <v>14</v>
      </c>
      <c r="C97" s="350" t="s">
        <v>12</v>
      </c>
      <c r="D97" s="350" t="s">
        <v>1486</v>
      </c>
      <c r="E97" s="871" t="s">
        <v>13</v>
      </c>
      <c r="F97" s="853">
        <v>9.83</v>
      </c>
      <c r="G97" s="1063"/>
      <c r="H97" s="622"/>
      <c r="I97" s="982"/>
      <c r="J97" s="622"/>
      <c r="K97" s="982"/>
    </row>
    <row r="98" spans="1:11" s="224" customFormat="1" x14ac:dyDescent="0.25">
      <c r="A98" s="215">
        <v>43337</v>
      </c>
      <c r="B98" s="876" t="s">
        <v>82</v>
      </c>
      <c r="C98" s="350" t="s">
        <v>12</v>
      </c>
      <c r="D98" s="874" t="s">
        <v>1493</v>
      </c>
      <c r="E98" s="870" t="s">
        <v>13</v>
      </c>
      <c r="F98" s="831">
        <v>32</v>
      </c>
      <c r="G98" s="982"/>
      <c r="H98" s="622"/>
      <c r="I98" s="982"/>
      <c r="J98" s="622"/>
      <c r="K98" s="982"/>
    </row>
    <row r="99" spans="1:11" s="224" customFormat="1" ht="15" customHeight="1" x14ac:dyDescent="0.25">
      <c r="A99" s="215">
        <v>43338</v>
      </c>
      <c r="B99" s="349" t="s">
        <v>14</v>
      </c>
      <c r="C99" s="350" t="s">
        <v>12</v>
      </c>
      <c r="D99" s="350" t="s">
        <v>1486</v>
      </c>
      <c r="E99" s="871" t="s">
        <v>13</v>
      </c>
      <c r="F99" s="853">
        <v>2.3199999999999998</v>
      </c>
      <c r="G99" s="1063"/>
      <c r="H99" s="622"/>
      <c r="I99" s="982"/>
      <c r="J99" s="622"/>
      <c r="K99" s="982"/>
    </row>
    <row r="100" spans="1:11" s="224" customFormat="1" x14ac:dyDescent="0.25">
      <c r="A100" s="215">
        <v>43338</v>
      </c>
      <c r="B100" s="876" t="s">
        <v>1438</v>
      </c>
      <c r="C100" s="350" t="s">
        <v>12</v>
      </c>
      <c r="D100" s="874" t="s">
        <v>1489</v>
      </c>
      <c r="E100" s="871" t="s">
        <v>13</v>
      </c>
      <c r="F100" s="831">
        <v>9.31</v>
      </c>
      <c r="G100" s="982"/>
      <c r="H100" s="622"/>
      <c r="I100" s="982"/>
      <c r="J100" s="622"/>
      <c r="K100" s="982"/>
    </row>
    <row r="101" spans="1:11" s="224" customFormat="1" ht="15" customHeight="1" x14ac:dyDescent="0.25">
      <c r="A101" s="215">
        <v>43339</v>
      </c>
      <c r="B101" s="876" t="s">
        <v>32</v>
      </c>
      <c r="C101" s="350" t="s">
        <v>12</v>
      </c>
      <c r="D101" s="874" t="s">
        <v>1485</v>
      </c>
      <c r="E101" s="870" t="s">
        <v>13</v>
      </c>
      <c r="F101" s="780">
        <v>14</v>
      </c>
      <c r="G101" s="946"/>
      <c r="H101" s="97"/>
      <c r="I101" s="946"/>
      <c r="J101" s="97"/>
      <c r="K101" s="946"/>
    </row>
    <row r="102" spans="1:11" s="224" customFormat="1" x14ac:dyDescent="0.25">
      <c r="A102" s="215">
        <v>43339</v>
      </c>
      <c r="B102" s="349" t="s">
        <v>1689</v>
      </c>
      <c r="C102" s="350" t="s">
        <v>19</v>
      </c>
      <c r="D102" s="802" t="s">
        <v>1491</v>
      </c>
      <c r="E102" s="778" t="s">
        <v>13</v>
      </c>
      <c r="F102" s="844">
        <v>59</v>
      </c>
      <c r="G102" s="982"/>
      <c r="H102" s="622"/>
      <c r="I102" s="1002"/>
      <c r="J102" s="622"/>
      <c r="K102" s="1002"/>
    </row>
    <row r="103" spans="1:11" s="224" customFormat="1" x14ac:dyDescent="0.25">
      <c r="A103" s="215">
        <v>43339</v>
      </c>
      <c r="B103" s="349" t="s">
        <v>1597</v>
      </c>
      <c r="C103" s="350" t="s">
        <v>12</v>
      </c>
      <c r="D103" s="802" t="s">
        <v>1491</v>
      </c>
      <c r="E103" s="778" t="s">
        <v>15</v>
      </c>
      <c r="F103" s="844">
        <v>30</v>
      </c>
      <c r="G103" s="982"/>
      <c r="H103" s="622"/>
      <c r="I103" s="1002"/>
      <c r="J103" s="622"/>
      <c r="K103" s="1002"/>
    </row>
    <row r="104" spans="1:11" s="224" customFormat="1" x14ac:dyDescent="0.25">
      <c r="A104" s="215">
        <v>43339</v>
      </c>
      <c r="B104" s="349" t="s">
        <v>14</v>
      </c>
      <c r="C104" s="350" t="s">
        <v>12</v>
      </c>
      <c r="D104" s="350" t="s">
        <v>1486</v>
      </c>
      <c r="E104" s="871" t="s">
        <v>15</v>
      </c>
      <c r="F104" s="844">
        <v>12</v>
      </c>
      <c r="G104" s="982"/>
      <c r="H104" s="622"/>
      <c r="I104" s="1002"/>
      <c r="J104" s="622"/>
      <c r="K104" s="1002"/>
    </row>
    <row r="105" spans="1:11" s="224" customFormat="1" ht="15" customHeight="1" x14ac:dyDescent="0.25">
      <c r="A105" s="215">
        <v>43340</v>
      </c>
      <c r="B105" s="876" t="s">
        <v>32</v>
      </c>
      <c r="C105" s="350" t="s">
        <v>12</v>
      </c>
      <c r="D105" s="874" t="s">
        <v>1485</v>
      </c>
      <c r="E105" s="870" t="s">
        <v>13</v>
      </c>
      <c r="F105" s="780">
        <v>14</v>
      </c>
      <c r="G105" s="946"/>
      <c r="H105" s="97"/>
      <c r="I105" s="946"/>
      <c r="J105" s="97"/>
      <c r="K105" s="946"/>
    </row>
    <row r="106" spans="1:11" s="224" customFormat="1" ht="15" customHeight="1" x14ac:dyDescent="0.25">
      <c r="A106" s="215">
        <v>43341</v>
      </c>
      <c r="B106" s="876" t="s">
        <v>32</v>
      </c>
      <c r="C106" s="350" t="s">
        <v>12</v>
      </c>
      <c r="D106" s="874" t="s">
        <v>1485</v>
      </c>
      <c r="E106" s="870" t="s">
        <v>13</v>
      </c>
      <c r="F106" s="780">
        <v>14</v>
      </c>
      <c r="G106" s="946"/>
      <c r="H106" s="97"/>
      <c r="I106" s="946"/>
      <c r="J106" s="97"/>
      <c r="K106" s="946"/>
    </row>
    <row r="107" spans="1:11" s="224" customFormat="1" x14ac:dyDescent="0.25">
      <c r="A107" s="215">
        <v>43341</v>
      </c>
      <c r="B107" s="349" t="s">
        <v>14</v>
      </c>
      <c r="C107" s="350" t="s">
        <v>12</v>
      </c>
      <c r="D107" s="350" t="s">
        <v>1486</v>
      </c>
      <c r="E107" s="871" t="s">
        <v>13</v>
      </c>
      <c r="F107" s="844">
        <v>7.27</v>
      </c>
      <c r="G107" s="982"/>
      <c r="H107" s="622"/>
      <c r="I107" s="1002"/>
      <c r="J107" s="622"/>
      <c r="K107" s="1002"/>
    </row>
    <row r="108" spans="1:11" s="224" customFormat="1" ht="15" customHeight="1" x14ac:dyDescent="0.25">
      <c r="A108" s="215">
        <v>43341</v>
      </c>
      <c r="B108" s="364" t="s">
        <v>1331</v>
      </c>
      <c r="C108" s="350" t="s">
        <v>12</v>
      </c>
      <c r="D108" s="350" t="s">
        <v>1487</v>
      </c>
      <c r="E108" s="480" t="s">
        <v>15</v>
      </c>
      <c r="F108" s="622">
        <v>20</v>
      </c>
      <c r="G108" s="982"/>
      <c r="H108" s="622"/>
      <c r="I108" s="982"/>
      <c r="J108" s="622"/>
      <c r="K108" s="982"/>
    </row>
    <row r="109" spans="1:11" s="224" customFormat="1" ht="15" customHeight="1" x14ac:dyDescent="0.25">
      <c r="A109" s="215">
        <v>43342</v>
      </c>
      <c r="B109" s="862" t="s">
        <v>1710</v>
      </c>
      <c r="C109" s="879" t="s">
        <v>12</v>
      </c>
      <c r="D109" s="879" t="s">
        <v>1504</v>
      </c>
      <c r="E109" s="871" t="s">
        <v>13</v>
      </c>
      <c r="F109" s="804">
        <v>19.899999999999999</v>
      </c>
      <c r="G109" s="946"/>
      <c r="H109" s="97"/>
      <c r="I109" s="946"/>
      <c r="J109" s="97"/>
      <c r="K109" s="946"/>
    </row>
    <row r="110" spans="1:11" s="224" customFormat="1" ht="15" customHeight="1" x14ac:dyDescent="0.25">
      <c r="A110" s="215">
        <v>43342</v>
      </c>
      <c r="B110" s="876" t="s">
        <v>32</v>
      </c>
      <c r="C110" s="350" t="s">
        <v>12</v>
      </c>
      <c r="D110" s="874" t="s">
        <v>1485</v>
      </c>
      <c r="E110" s="870" t="s">
        <v>13</v>
      </c>
      <c r="F110" s="780">
        <v>14</v>
      </c>
      <c r="G110" s="946"/>
      <c r="H110" s="97"/>
      <c r="I110" s="946"/>
      <c r="J110" s="97"/>
      <c r="K110" s="946"/>
    </row>
    <row r="111" spans="1:11" s="224" customFormat="1" ht="15" customHeight="1" x14ac:dyDescent="0.25">
      <c r="A111" s="215">
        <v>43342</v>
      </c>
      <c r="B111" s="364" t="s">
        <v>1978</v>
      </c>
      <c r="C111" s="350" t="s">
        <v>12</v>
      </c>
      <c r="D111" s="350" t="s">
        <v>1489</v>
      </c>
      <c r="E111" s="480" t="s">
        <v>13</v>
      </c>
      <c r="F111" s="622">
        <v>250</v>
      </c>
      <c r="G111" s="982"/>
      <c r="H111" s="622"/>
      <c r="I111" s="982"/>
      <c r="J111" s="622"/>
      <c r="K111" s="982"/>
    </row>
    <row r="112" spans="1:11" s="224" customFormat="1" ht="15" customHeight="1" x14ac:dyDescent="0.25">
      <c r="A112" s="215">
        <v>43342</v>
      </c>
      <c r="B112" s="364" t="s">
        <v>1628</v>
      </c>
      <c r="C112" s="350" t="s">
        <v>12</v>
      </c>
      <c r="D112" s="350" t="s">
        <v>1489</v>
      </c>
      <c r="E112" s="480" t="s">
        <v>13</v>
      </c>
      <c r="F112" s="622">
        <v>11</v>
      </c>
      <c r="G112" s="982"/>
      <c r="H112" s="622"/>
      <c r="I112" s="982"/>
      <c r="J112" s="622"/>
      <c r="K112" s="982"/>
    </row>
    <row r="113" spans="1:12" s="224" customFormat="1" x14ac:dyDescent="0.25">
      <c r="A113" s="215">
        <v>43343</v>
      </c>
      <c r="B113" s="876" t="s">
        <v>32</v>
      </c>
      <c r="C113" s="350" t="s">
        <v>12</v>
      </c>
      <c r="D113" s="874" t="s">
        <v>1485</v>
      </c>
      <c r="E113" s="870" t="s">
        <v>13</v>
      </c>
      <c r="F113" s="780">
        <v>14</v>
      </c>
      <c r="G113" s="248"/>
      <c r="H113" s="622"/>
      <c r="I113" s="982"/>
      <c r="J113" s="622"/>
      <c r="K113" s="982"/>
    </row>
    <row r="114" spans="1:12" s="224" customFormat="1" ht="15" customHeight="1" x14ac:dyDescent="0.25">
      <c r="A114" s="215">
        <v>43343</v>
      </c>
      <c r="B114" s="364" t="s">
        <v>1979</v>
      </c>
      <c r="C114" s="350" t="s">
        <v>12</v>
      </c>
      <c r="D114" s="350" t="s">
        <v>1489</v>
      </c>
      <c r="E114" s="480" t="s">
        <v>13</v>
      </c>
      <c r="F114" s="622">
        <v>1.9</v>
      </c>
      <c r="G114" s="982"/>
      <c r="H114" s="622"/>
      <c r="I114" s="982"/>
      <c r="J114" s="622"/>
      <c r="K114" s="982"/>
    </row>
    <row r="115" spans="1:12" s="224" customFormat="1" ht="15" customHeight="1" x14ac:dyDescent="0.25">
      <c r="A115" s="215">
        <v>43343</v>
      </c>
      <c r="B115" s="364" t="s">
        <v>1744</v>
      </c>
      <c r="C115" s="350" t="s">
        <v>19</v>
      </c>
      <c r="D115" s="350" t="s">
        <v>1493</v>
      </c>
      <c r="E115" s="480" t="s">
        <v>13</v>
      </c>
      <c r="F115" s="622">
        <v>37</v>
      </c>
      <c r="G115" s="982"/>
      <c r="H115" s="622"/>
      <c r="I115" s="982"/>
      <c r="J115" s="622"/>
      <c r="K115" s="982"/>
    </row>
    <row r="116" spans="1:12" s="224" customFormat="1" ht="15" customHeight="1" x14ac:dyDescent="0.25">
      <c r="A116" s="215">
        <v>43343</v>
      </c>
      <c r="B116" s="364" t="s">
        <v>1067</v>
      </c>
      <c r="C116" s="350" t="s">
        <v>12</v>
      </c>
      <c r="D116" s="350" t="s">
        <v>1489</v>
      </c>
      <c r="E116" s="480" t="s">
        <v>13</v>
      </c>
      <c r="F116" s="622">
        <v>5</v>
      </c>
      <c r="G116" s="982"/>
      <c r="H116" s="622"/>
      <c r="I116" s="982"/>
      <c r="J116" s="622"/>
      <c r="K116" s="982"/>
    </row>
    <row r="117" spans="1:12" s="224" customFormat="1" ht="15" customHeight="1" x14ac:dyDescent="0.25">
      <c r="A117" s="215">
        <v>43343</v>
      </c>
      <c r="B117" s="364" t="s">
        <v>249</v>
      </c>
      <c r="C117" s="350" t="s">
        <v>12</v>
      </c>
      <c r="D117" s="350" t="s">
        <v>1493</v>
      </c>
      <c r="E117" s="480" t="s">
        <v>13</v>
      </c>
      <c r="F117" s="622">
        <v>10.3</v>
      </c>
      <c r="G117" s="982"/>
      <c r="H117" s="622"/>
      <c r="I117" s="982"/>
      <c r="J117" s="622"/>
      <c r="K117" s="982"/>
    </row>
    <row r="118" spans="1:12" s="224" customFormat="1" ht="15.75" thickBot="1" x14ac:dyDescent="0.3">
      <c r="A118" s="215">
        <v>43343</v>
      </c>
      <c r="B118" s="862" t="s">
        <v>1666</v>
      </c>
      <c r="C118" s="350" t="s">
        <v>12</v>
      </c>
      <c r="D118" s="350"/>
      <c r="E118" s="757" t="s">
        <v>25</v>
      </c>
      <c r="F118" s="622"/>
      <c r="G118" s="982"/>
      <c r="H118" s="622"/>
      <c r="I118" s="982"/>
      <c r="J118" s="622"/>
      <c r="K118" s="982">
        <v>45.44</v>
      </c>
    </row>
    <row r="119" spans="1:12" ht="25.5" customHeight="1" thickBot="1" x14ac:dyDescent="0.3">
      <c r="A119" s="3060"/>
      <c r="B119" s="3061"/>
      <c r="C119" s="3062"/>
      <c r="D119" s="3062"/>
      <c r="E119" s="3062"/>
      <c r="F119" s="100">
        <f>SUM(F6:F118)</f>
        <v>4092.1800000000007</v>
      </c>
      <c r="G119" s="1065">
        <f>SUM(G5:G118)</f>
        <v>4379.2900000000118</v>
      </c>
      <c r="H119" s="101">
        <f>SUM(H6:H118)</f>
        <v>300</v>
      </c>
      <c r="I119" s="93">
        <f>SUM(I5:I118)</f>
        <v>2299.9960000000019</v>
      </c>
      <c r="J119" s="774"/>
      <c r="K119" s="1516"/>
      <c r="L119" s="89"/>
    </row>
    <row r="120" spans="1:12" ht="25.5" customHeight="1" thickBot="1" x14ac:dyDescent="0.3">
      <c r="A120" s="3117" t="s">
        <v>49</v>
      </c>
      <c r="B120" s="3118"/>
      <c r="C120" s="3118"/>
      <c r="D120" s="3118"/>
      <c r="E120" s="3118"/>
      <c r="F120" s="144"/>
      <c r="G120" s="519">
        <f>G119-F119</f>
        <v>287.11000000001104</v>
      </c>
      <c r="H120" s="555"/>
      <c r="I120" s="772">
        <f>I119-H119</f>
        <v>1999.9960000000019</v>
      </c>
      <c r="J120" s="773"/>
      <c r="K120" s="775">
        <f>SUM(K5:K119)</f>
        <v>9666.2199999999993</v>
      </c>
    </row>
    <row r="121" spans="1:12" x14ac:dyDescent="0.25">
      <c r="G121" s="89"/>
      <c r="K121" s="769"/>
      <c r="L121" s="868"/>
    </row>
    <row r="122" spans="1:12" x14ac:dyDescent="0.25">
      <c r="B122" s="79" t="s">
        <v>32</v>
      </c>
      <c r="C122" s="475">
        <v>385.7</v>
      </c>
      <c r="D122" s="85" t="s">
        <v>1485</v>
      </c>
      <c r="J122" s="769"/>
      <c r="K122" s="866"/>
    </row>
    <row r="123" spans="1:12" x14ac:dyDescent="0.25">
      <c r="B123" s="79" t="s">
        <v>1218</v>
      </c>
      <c r="C123" s="475">
        <v>350</v>
      </c>
      <c r="D123" s="85" t="s">
        <v>1487</v>
      </c>
      <c r="J123" s="769"/>
      <c r="K123" s="868"/>
    </row>
    <row r="124" spans="1:12" x14ac:dyDescent="0.25">
      <c r="B124" s="79" t="s">
        <v>50</v>
      </c>
      <c r="C124" s="854">
        <v>222.32</v>
      </c>
      <c r="D124" s="85" t="s">
        <v>1493</v>
      </c>
      <c r="J124" s="769"/>
      <c r="K124" s="866"/>
    </row>
    <row r="125" spans="1:12" s="85" customFormat="1" x14ac:dyDescent="0.25">
      <c r="A125" s="79"/>
      <c r="B125" s="79" t="s">
        <v>14</v>
      </c>
      <c r="C125" s="484">
        <v>145.18</v>
      </c>
      <c r="D125" s="85" t="s">
        <v>1486</v>
      </c>
      <c r="J125" s="769"/>
      <c r="K125" s="866"/>
    </row>
    <row r="126" spans="1:12" s="85" customFormat="1" x14ac:dyDescent="0.25">
      <c r="A126" s="79"/>
      <c r="B126" s="79" t="s">
        <v>51</v>
      </c>
      <c r="C126" s="475">
        <v>118.58</v>
      </c>
      <c r="D126" s="864" t="s">
        <v>1499</v>
      </c>
      <c r="E126" s="79"/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52</v>
      </c>
      <c r="C127" s="475">
        <v>60</v>
      </c>
      <c r="D127" s="864" t="s">
        <v>1496</v>
      </c>
      <c r="F127" s="89"/>
      <c r="G127" s="79"/>
      <c r="H127" s="79"/>
      <c r="I127" s="79"/>
      <c r="J127" s="769"/>
      <c r="K127" s="866"/>
    </row>
    <row r="128" spans="1:12" s="85" customFormat="1" x14ac:dyDescent="0.25">
      <c r="A128" s="79"/>
      <c r="B128" s="867" t="s">
        <v>53</v>
      </c>
      <c r="C128" s="475">
        <v>16</v>
      </c>
      <c r="D128" s="864" t="s">
        <v>1522</v>
      </c>
      <c r="E128" s="89"/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1823</v>
      </c>
      <c r="C129" s="475"/>
      <c r="D129" s="864" t="s">
        <v>1515</v>
      </c>
      <c r="F129" s="89"/>
      <c r="G129" s="79"/>
      <c r="H129" s="79"/>
      <c r="I129" s="79"/>
      <c r="J129" s="769"/>
      <c r="K129" s="866"/>
    </row>
    <row r="130" spans="1:11" s="85" customFormat="1" x14ac:dyDescent="0.25">
      <c r="A130" s="79"/>
      <c r="B130" s="79" t="s">
        <v>56</v>
      </c>
      <c r="C130" s="475"/>
      <c r="D130" s="864" t="s">
        <v>1523</v>
      </c>
      <c r="F130" s="89"/>
      <c r="G130" s="79"/>
      <c r="H130" s="79"/>
      <c r="I130" s="79"/>
      <c r="J130" s="769"/>
      <c r="K130" s="868"/>
    </row>
    <row r="131" spans="1:11" s="85" customFormat="1" x14ac:dyDescent="0.25">
      <c r="A131" s="79"/>
      <c r="B131" s="79" t="s">
        <v>1686</v>
      </c>
      <c r="C131" s="475">
        <v>480.71</v>
      </c>
      <c r="D131" s="864" t="s">
        <v>1506</v>
      </c>
      <c r="F131" s="89"/>
      <c r="G131" s="79"/>
      <c r="H131" s="79"/>
      <c r="I131" s="79"/>
      <c r="J131" s="769"/>
      <c r="K131" s="866"/>
    </row>
    <row r="132" spans="1:11" s="85" customFormat="1" x14ac:dyDescent="0.25">
      <c r="A132" s="79"/>
      <c r="B132" s="79" t="s">
        <v>418</v>
      </c>
      <c r="C132" s="475">
        <v>129.9</v>
      </c>
      <c r="D132" s="85" t="s">
        <v>1524</v>
      </c>
      <c r="E132" s="79"/>
      <c r="F132" s="89"/>
      <c r="J132" s="769"/>
      <c r="K132" s="866"/>
    </row>
    <row r="133" spans="1:11" x14ac:dyDescent="0.25">
      <c r="B133" s="79" t="s">
        <v>419</v>
      </c>
      <c r="C133" s="475">
        <v>600.70000000000005</v>
      </c>
      <c r="D133" s="85" t="s">
        <v>1491</v>
      </c>
      <c r="J133" s="769"/>
      <c r="K133" s="868"/>
    </row>
    <row r="134" spans="1:11" x14ac:dyDescent="0.25">
      <c r="B134" s="79" t="s">
        <v>911</v>
      </c>
      <c r="C134" s="861">
        <v>190.63</v>
      </c>
      <c r="D134" s="85" t="s">
        <v>1525</v>
      </c>
      <c r="J134" s="769"/>
      <c r="K134" s="868"/>
    </row>
    <row r="135" spans="1:11" x14ac:dyDescent="0.25">
      <c r="B135" s="79" t="s">
        <v>1526</v>
      </c>
      <c r="C135" s="861">
        <v>169.92</v>
      </c>
      <c r="D135" s="85" t="s">
        <v>1504</v>
      </c>
      <c r="E135" s="79"/>
      <c r="J135" s="769"/>
      <c r="K135" s="866"/>
    </row>
    <row r="136" spans="1:11" x14ac:dyDescent="0.25">
      <c r="B136" s="79" t="s">
        <v>1527</v>
      </c>
      <c r="C136" s="475">
        <v>521.62</v>
      </c>
      <c r="D136" s="85" t="s">
        <v>1489</v>
      </c>
      <c r="J136" s="769"/>
      <c r="K136" s="868"/>
    </row>
    <row r="137" spans="1:11" x14ac:dyDescent="0.25">
      <c r="J137" s="769"/>
      <c r="K137" s="866"/>
    </row>
    <row r="138" spans="1:11" x14ac:dyDescent="0.25">
      <c r="F138" s="85"/>
      <c r="J138" s="769"/>
      <c r="K138" s="866"/>
    </row>
    <row r="139" spans="1:11" x14ac:dyDescent="0.25">
      <c r="B139" s="79" t="s">
        <v>486</v>
      </c>
      <c r="C139" s="475">
        <f>H139/J139</f>
        <v>109.39548387096775</v>
      </c>
      <c r="F139" s="224" t="s">
        <v>487</v>
      </c>
      <c r="H139" s="216">
        <f>SUM(C122:C136)</f>
        <v>3391.26</v>
      </c>
      <c r="I139" s="518" t="s">
        <v>488</v>
      </c>
      <c r="J139" s="1517">
        <v>31</v>
      </c>
      <c r="K139" s="866"/>
    </row>
    <row r="140" spans="1:11" x14ac:dyDescent="0.25">
      <c r="J140" s="769"/>
      <c r="K140" s="866"/>
    </row>
    <row r="141" spans="1:11" x14ac:dyDescent="0.25">
      <c r="J141" s="769"/>
      <c r="K141" s="868"/>
    </row>
    <row r="142" spans="1:11" x14ac:dyDescent="0.25">
      <c r="K142" s="866"/>
    </row>
    <row r="143" spans="1:11" x14ac:dyDescent="0.25">
      <c r="D143" s="79"/>
      <c r="E143" s="79"/>
      <c r="J143" s="769"/>
      <c r="K143" s="866"/>
    </row>
    <row r="144" spans="1:11" x14ac:dyDescent="0.25">
      <c r="J144" s="769"/>
      <c r="K144" s="866"/>
    </row>
    <row r="145" spans="3:13" x14ac:dyDescent="0.25">
      <c r="J145" s="769"/>
      <c r="K145" s="866"/>
    </row>
    <row r="146" spans="3:13" x14ac:dyDescent="0.25">
      <c r="J146" s="769"/>
      <c r="K146" s="866"/>
    </row>
    <row r="147" spans="3:13" x14ac:dyDescent="0.25">
      <c r="C147" s="79"/>
      <c r="D147" s="79"/>
      <c r="E147" s="79"/>
      <c r="F147" s="79"/>
      <c r="I147" s="216"/>
      <c r="J147" s="769"/>
      <c r="K147" s="866"/>
    </row>
    <row r="148" spans="3:13" x14ac:dyDescent="0.25">
      <c r="C148" s="79"/>
      <c r="D148" s="79"/>
      <c r="E148" s="79"/>
      <c r="F148" s="79"/>
      <c r="I148" s="216"/>
      <c r="J148" s="769"/>
      <c r="K148" s="866"/>
    </row>
    <row r="149" spans="3:13" x14ac:dyDescent="0.25">
      <c r="C149" s="79"/>
      <c r="D149" s="79"/>
      <c r="E149" s="79"/>
      <c r="F149" s="79"/>
      <c r="G149" s="216"/>
      <c r="I149" s="216"/>
      <c r="J149" s="769"/>
      <c r="K149" s="868"/>
    </row>
    <row r="150" spans="3:13" x14ac:dyDescent="0.25">
      <c r="C150" s="79"/>
      <c r="D150" s="79"/>
      <c r="E150" s="79"/>
      <c r="F150" s="79"/>
      <c r="G150" s="863"/>
      <c r="H150" s="864"/>
      <c r="I150" s="865"/>
      <c r="J150" s="866"/>
      <c r="K150" s="866"/>
    </row>
    <row r="151" spans="3:13" x14ac:dyDescent="0.25">
      <c r="C151" s="79"/>
      <c r="D151" s="3132"/>
      <c r="E151" s="3132"/>
      <c r="F151" s="3132"/>
      <c r="G151" s="865"/>
      <c r="H151" s="865"/>
      <c r="I151" s="863"/>
      <c r="J151" s="868"/>
      <c r="K151" s="866"/>
    </row>
    <row r="152" spans="3:13" x14ac:dyDescent="0.25">
      <c r="C152" s="79"/>
      <c r="D152" s="79"/>
      <c r="E152" s="79"/>
      <c r="F152" s="79"/>
      <c r="G152" s="865"/>
      <c r="H152" s="865"/>
      <c r="I152" s="865"/>
      <c r="J152" s="866"/>
      <c r="K152" s="868"/>
    </row>
    <row r="153" spans="3:13" x14ac:dyDescent="0.25">
      <c r="D153" s="3132"/>
      <c r="E153" s="3132"/>
      <c r="F153" s="3132"/>
      <c r="G153" s="865"/>
      <c r="H153" s="865"/>
      <c r="I153" s="865"/>
      <c r="J153" s="866"/>
      <c r="K153" s="866"/>
    </row>
    <row r="154" spans="3:13" x14ac:dyDescent="0.25">
      <c r="C154" s="79"/>
      <c r="D154" s="79"/>
      <c r="E154" s="79"/>
      <c r="F154" s="79"/>
      <c r="G154" s="865"/>
      <c r="H154" s="867"/>
      <c r="I154" s="865"/>
      <c r="J154" s="866"/>
      <c r="K154" s="866"/>
    </row>
    <row r="155" spans="3:13" x14ac:dyDescent="0.25">
      <c r="G155" s="279"/>
      <c r="H155" s="869"/>
      <c r="I155" s="279"/>
      <c r="J155" s="755"/>
      <c r="K155" s="866"/>
    </row>
    <row r="156" spans="3:13" x14ac:dyDescent="0.25">
      <c r="J156" s="769"/>
      <c r="K156" s="866"/>
      <c r="M156" s="89"/>
    </row>
    <row r="157" spans="3:13" x14ac:dyDescent="0.25">
      <c r="J157" s="769"/>
      <c r="K157" s="866"/>
    </row>
    <row r="158" spans="3:13" x14ac:dyDescent="0.25">
      <c r="J158" s="769"/>
      <c r="K158" s="866"/>
    </row>
    <row r="159" spans="3:13" x14ac:dyDescent="0.25">
      <c r="J159" s="769"/>
      <c r="K159" s="866"/>
    </row>
    <row r="160" spans="3:13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J169" s="769"/>
      <c r="K169" s="866"/>
    </row>
    <row r="170" spans="3:11" x14ac:dyDescent="0.25">
      <c r="J170" s="769"/>
      <c r="K170" s="866"/>
    </row>
    <row r="171" spans="3:11" x14ac:dyDescent="0.25">
      <c r="J171" s="769"/>
      <c r="K171" s="868"/>
    </row>
    <row r="172" spans="3:11" x14ac:dyDescent="0.25">
      <c r="J172" s="769"/>
      <c r="K172" s="866"/>
    </row>
    <row r="173" spans="3:11" x14ac:dyDescent="0.25">
      <c r="J173" s="769"/>
      <c r="K173" s="866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6"/>
    </row>
    <row r="179" spans="3:11" x14ac:dyDescent="0.25">
      <c r="C179" s="79"/>
      <c r="D179" s="79"/>
      <c r="E179" s="79"/>
      <c r="F179" s="79"/>
      <c r="J179" s="223"/>
      <c r="K179" s="629"/>
    </row>
    <row r="180" spans="3:11" x14ac:dyDescent="0.25">
      <c r="C180" s="79"/>
      <c r="D180" s="79"/>
      <c r="E180" s="79"/>
      <c r="F180" s="79"/>
      <c r="J180" s="756"/>
      <c r="K180" s="756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  <c r="J185" s="85"/>
      <c r="K185" s="85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85"/>
      <c r="K192" s="85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  <c r="J199" s="771"/>
      <c r="K199" s="518"/>
    </row>
    <row r="200" spans="3:11" x14ac:dyDescent="0.25">
      <c r="C200" s="79"/>
      <c r="D200" s="79"/>
      <c r="E200" s="79"/>
      <c r="F200" s="79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2" spans="3:11" x14ac:dyDescent="0.25">
      <c r="C212" s="79"/>
      <c r="D212" s="79"/>
      <c r="E212" s="79"/>
      <c r="F212" s="79"/>
      <c r="K212" s="216"/>
    </row>
    <row r="214" spans="3:11" x14ac:dyDescent="0.25">
      <c r="C214" s="79"/>
      <c r="D214" s="79"/>
      <c r="E214" s="79"/>
      <c r="F214" s="79"/>
      <c r="K214" s="629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</sheetData>
  <autoFilter ref="A2:I120" xr:uid="{00000000-0009-0000-0000-00004C000000}"/>
  <mergeCells count="17">
    <mergeCell ref="L6:N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D153:F153"/>
    <mergeCell ref="D151:F151"/>
    <mergeCell ref="M23:N23"/>
    <mergeCell ref="A119:E119"/>
    <mergeCell ref="A120:E120"/>
    <mergeCell ref="L63:M6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Plan89"/>
  <dimension ref="A1:N225"/>
  <sheetViews>
    <sheetView zoomScale="85" zoomScaleNormal="85" workbookViewId="0">
      <pane ySplit="4" topLeftCell="A6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9.28515625" style="79" bestFit="1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1980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4" x14ac:dyDescent="0.25">
      <c r="A5" s="281">
        <v>43344</v>
      </c>
      <c r="B5" s="369" t="s">
        <v>10</v>
      </c>
      <c r="C5" s="370"/>
      <c r="D5" s="370"/>
      <c r="E5" s="777"/>
      <c r="F5" s="179"/>
      <c r="G5" s="933">
        <f>'Agosto-18'!G120</f>
        <v>287.11000000001104</v>
      </c>
      <c r="H5" s="179"/>
      <c r="I5" s="933">
        <f>'Agosto-18'!I120</f>
        <v>1999.9960000000019</v>
      </c>
      <c r="J5" s="179"/>
      <c r="K5" s="933">
        <f>'Agosto-18'!K120</f>
        <v>9666.2199999999993</v>
      </c>
    </row>
    <row r="6" spans="1:14" s="224" customFormat="1" x14ac:dyDescent="0.25">
      <c r="A6" s="215">
        <v>43344</v>
      </c>
      <c r="B6" s="348" t="s">
        <v>11</v>
      </c>
      <c r="C6" s="351"/>
      <c r="D6" s="351"/>
      <c r="E6" s="673"/>
      <c r="F6" s="250">
        <v>30</v>
      </c>
      <c r="G6" s="1473"/>
      <c r="H6" s="250"/>
      <c r="I6" s="1473"/>
      <c r="J6" s="250"/>
      <c r="K6" s="1473"/>
      <c r="L6" s="3133"/>
      <c r="M6" s="3134"/>
      <c r="N6" s="3134"/>
    </row>
    <row r="7" spans="1:14" s="224" customFormat="1" ht="15" customHeight="1" x14ac:dyDescent="0.25">
      <c r="A7" s="215">
        <v>43344</v>
      </c>
      <c r="B7" s="349" t="s">
        <v>14</v>
      </c>
      <c r="C7" s="350" t="s">
        <v>12</v>
      </c>
      <c r="D7" s="350" t="s">
        <v>1486</v>
      </c>
      <c r="E7" s="480" t="s">
        <v>13</v>
      </c>
      <c r="F7" s="780">
        <v>2.97</v>
      </c>
      <c r="G7" s="1063"/>
      <c r="H7" s="622"/>
      <c r="I7" s="982"/>
      <c r="J7" s="622"/>
      <c r="K7" s="982"/>
    </row>
    <row r="8" spans="1:14" s="224" customFormat="1" ht="15" customHeight="1" x14ac:dyDescent="0.25">
      <c r="A8" s="215">
        <v>43344</v>
      </c>
      <c r="B8" s="349" t="s">
        <v>1438</v>
      </c>
      <c r="C8" s="350" t="s">
        <v>19</v>
      </c>
      <c r="D8" s="350" t="s">
        <v>1489</v>
      </c>
      <c r="E8" s="480" t="s">
        <v>13</v>
      </c>
      <c r="F8" s="780">
        <v>64.63</v>
      </c>
      <c r="G8" s="1063"/>
      <c r="H8" s="622"/>
      <c r="I8" s="982"/>
      <c r="J8" s="622"/>
      <c r="K8" s="982"/>
    </row>
    <row r="9" spans="1:14" s="224" customFormat="1" ht="15" customHeight="1" x14ac:dyDescent="0.25">
      <c r="A9" s="215">
        <v>43344</v>
      </c>
      <c r="B9" s="862" t="s">
        <v>1331</v>
      </c>
      <c r="C9" s="879" t="s">
        <v>12</v>
      </c>
      <c r="D9" s="879" t="s">
        <v>1487</v>
      </c>
      <c r="E9" s="871" t="s">
        <v>13</v>
      </c>
      <c r="F9" s="97">
        <v>70</v>
      </c>
      <c r="G9" s="1064"/>
      <c r="H9" s="97"/>
      <c r="I9" s="982"/>
      <c r="J9" s="622"/>
      <c r="K9" s="982"/>
    </row>
    <row r="10" spans="1:14" s="224" customFormat="1" ht="15" customHeight="1" x14ac:dyDescent="0.25">
      <c r="A10" s="215">
        <v>43344</v>
      </c>
      <c r="B10" s="876" t="s">
        <v>32</v>
      </c>
      <c r="C10" s="350" t="s">
        <v>12</v>
      </c>
      <c r="D10" s="874" t="s">
        <v>1485</v>
      </c>
      <c r="E10" s="870" t="s">
        <v>13</v>
      </c>
      <c r="F10" s="780">
        <v>16.899999999999999</v>
      </c>
      <c r="G10" s="946"/>
      <c r="H10" s="97"/>
      <c r="I10" s="946"/>
      <c r="J10" s="97"/>
      <c r="K10" s="946"/>
    </row>
    <row r="11" spans="1:14" s="224" customFormat="1" ht="15" customHeight="1" x14ac:dyDescent="0.25">
      <c r="A11" s="215">
        <v>43344</v>
      </c>
      <c r="B11" s="862" t="s">
        <v>256</v>
      </c>
      <c r="C11" s="879"/>
      <c r="D11" s="879"/>
      <c r="E11" s="871"/>
      <c r="F11" s="97"/>
      <c r="G11" s="1064">
        <v>200</v>
      </c>
      <c r="H11" s="97">
        <v>200</v>
      </c>
      <c r="I11" s="982"/>
      <c r="J11" s="622"/>
      <c r="K11" s="982"/>
    </row>
    <row r="12" spans="1:14" s="224" customFormat="1" x14ac:dyDescent="0.25">
      <c r="A12" s="215">
        <v>43345</v>
      </c>
      <c r="B12" s="349" t="s">
        <v>1981</v>
      </c>
      <c r="C12" s="350" t="s">
        <v>12</v>
      </c>
      <c r="D12" s="350" t="s">
        <v>1489</v>
      </c>
      <c r="E12" s="871" t="s">
        <v>15</v>
      </c>
      <c r="F12" s="853">
        <v>3.4</v>
      </c>
      <c r="G12" s="982"/>
      <c r="H12" s="622"/>
      <c r="I12" s="1002"/>
      <c r="J12" s="622"/>
      <c r="K12" s="1002"/>
    </row>
    <row r="13" spans="1:14" s="224" customFormat="1" ht="15" customHeight="1" x14ac:dyDescent="0.25">
      <c r="A13" s="215">
        <v>43345</v>
      </c>
      <c r="B13" s="349" t="s">
        <v>14</v>
      </c>
      <c r="C13" s="350" t="s">
        <v>12</v>
      </c>
      <c r="D13" s="350" t="s">
        <v>1486</v>
      </c>
      <c r="E13" s="480" t="s">
        <v>13</v>
      </c>
      <c r="F13" s="780">
        <v>3.5</v>
      </c>
      <c r="G13" s="1063"/>
      <c r="H13" s="622"/>
      <c r="I13" s="982"/>
      <c r="J13" s="622"/>
      <c r="K13" s="982"/>
    </row>
    <row r="14" spans="1:14" s="224" customFormat="1" ht="15" customHeight="1" x14ac:dyDescent="0.25">
      <c r="A14" s="215">
        <v>43346</v>
      </c>
      <c r="B14" s="876" t="s">
        <v>32</v>
      </c>
      <c r="C14" s="350" t="s">
        <v>12</v>
      </c>
      <c r="D14" s="874" t="s">
        <v>1485</v>
      </c>
      <c r="E14" s="870" t="s">
        <v>13</v>
      </c>
      <c r="F14" s="780">
        <v>14</v>
      </c>
      <c r="G14" s="946"/>
      <c r="H14" s="97"/>
      <c r="I14" s="946"/>
      <c r="J14" s="97"/>
      <c r="K14" s="946"/>
    </row>
    <row r="15" spans="1:14" s="224" customFormat="1" ht="15" customHeight="1" x14ac:dyDescent="0.25">
      <c r="A15" s="215">
        <v>43346</v>
      </c>
      <c r="B15" s="876" t="s">
        <v>1982</v>
      </c>
      <c r="C15" s="350" t="s">
        <v>12</v>
      </c>
      <c r="D15" s="874" t="s">
        <v>1506</v>
      </c>
      <c r="E15" s="870" t="s">
        <v>15</v>
      </c>
      <c r="F15" s="780">
        <v>10</v>
      </c>
      <c r="G15" s="1063"/>
      <c r="H15" s="622"/>
      <c r="I15" s="982"/>
      <c r="J15" s="622"/>
      <c r="K15" s="982"/>
    </row>
    <row r="16" spans="1:14" s="224" customFormat="1" ht="15" customHeight="1" x14ac:dyDescent="0.25">
      <c r="A16" s="215">
        <v>43346</v>
      </c>
      <c r="B16" s="876" t="s">
        <v>147</v>
      </c>
      <c r="C16" s="350" t="s">
        <v>12</v>
      </c>
      <c r="D16" s="874" t="s">
        <v>1506</v>
      </c>
      <c r="E16" s="870" t="s">
        <v>15</v>
      </c>
      <c r="F16" s="780">
        <v>15</v>
      </c>
      <c r="G16" s="1063"/>
      <c r="H16" s="622"/>
      <c r="I16" s="982"/>
      <c r="J16" s="622"/>
      <c r="K16" s="982"/>
    </row>
    <row r="17" spans="1:14" s="224" customFormat="1" x14ac:dyDescent="0.25">
      <c r="A17" s="215">
        <v>43347</v>
      </c>
      <c r="B17" s="876" t="s">
        <v>249</v>
      </c>
      <c r="C17" s="350" t="s">
        <v>12</v>
      </c>
      <c r="D17" s="874" t="s">
        <v>1493</v>
      </c>
      <c r="E17" s="870" t="s">
        <v>13</v>
      </c>
      <c r="F17" s="780">
        <v>4.5</v>
      </c>
      <c r="G17" s="982"/>
      <c r="H17" s="622"/>
      <c r="I17" s="1002"/>
      <c r="J17" s="622"/>
      <c r="K17" s="1002"/>
    </row>
    <row r="18" spans="1:14" s="224" customFormat="1" ht="15" customHeight="1" x14ac:dyDescent="0.25">
      <c r="A18" s="215">
        <v>43347</v>
      </c>
      <c r="B18" s="349" t="s">
        <v>14</v>
      </c>
      <c r="C18" s="350" t="s">
        <v>12</v>
      </c>
      <c r="D18" s="350" t="s">
        <v>1486</v>
      </c>
      <c r="E18" s="480" t="s">
        <v>13</v>
      </c>
      <c r="F18" s="780">
        <v>3.5</v>
      </c>
      <c r="G18" s="1063"/>
      <c r="H18" s="622"/>
      <c r="I18" s="982"/>
      <c r="J18" s="622"/>
      <c r="K18" s="982"/>
    </row>
    <row r="19" spans="1:14" s="224" customFormat="1" ht="15" customHeight="1" x14ac:dyDescent="0.25">
      <c r="A19" s="215">
        <v>43348</v>
      </c>
      <c r="B19" s="876" t="s">
        <v>32</v>
      </c>
      <c r="C19" s="350" t="s">
        <v>12</v>
      </c>
      <c r="D19" s="874" t="s">
        <v>1485</v>
      </c>
      <c r="E19" s="870" t="s">
        <v>13</v>
      </c>
      <c r="F19" s="780">
        <v>14</v>
      </c>
      <c r="G19" s="946"/>
      <c r="H19" s="97"/>
      <c r="I19" s="946"/>
      <c r="J19" s="97"/>
      <c r="K19" s="946"/>
    </row>
    <row r="20" spans="1:14" s="224" customFormat="1" ht="15" customHeight="1" x14ac:dyDescent="0.25">
      <c r="A20" s="215">
        <v>43348</v>
      </c>
      <c r="B20" s="349" t="s">
        <v>14</v>
      </c>
      <c r="C20" s="350" t="s">
        <v>12</v>
      </c>
      <c r="D20" s="350" t="s">
        <v>1486</v>
      </c>
      <c r="E20" s="480" t="s">
        <v>13</v>
      </c>
      <c r="F20" s="780">
        <v>6</v>
      </c>
      <c r="G20" s="1063"/>
      <c r="H20" s="622"/>
      <c r="I20" s="982"/>
      <c r="J20" s="622"/>
      <c r="K20" s="982"/>
    </row>
    <row r="21" spans="1:14" s="224" customFormat="1" x14ac:dyDescent="0.25">
      <c r="A21" s="215">
        <v>43348</v>
      </c>
      <c r="B21" s="364" t="s">
        <v>311</v>
      </c>
      <c r="C21" s="350"/>
      <c r="D21" s="350"/>
      <c r="E21" s="480"/>
      <c r="F21" s="832"/>
      <c r="G21" s="627"/>
      <c r="H21" s="97"/>
      <c r="I21" s="946">
        <v>4.46</v>
      </c>
      <c r="J21" s="97"/>
      <c r="K21" s="946"/>
    </row>
    <row r="22" spans="1:14" s="224" customFormat="1" ht="15" customHeight="1" x14ac:dyDescent="0.25">
      <c r="A22" s="215">
        <v>43349</v>
      </c>
      <c r="B22" s="349" t="s">
        <v>260</v>
      </c>
      <c r="C22" s="350"/>
      <c r="D22" s="350"/>
      <c r="E22" s="480"/>
      <c r="F22" s="852">
        <v>395.54</v>
      </c>
      <c r="G22" s="1064"/>
      <c r="H22" s="97"/>
      <c r="I22" s="946">
        <v>395.54</v>
      </c>
      <c r="J22" s="97"/>
      <c r="K22" s="946"/>
    </row>
    <row r="23" spans="1:14" s="224" customFormat="1" ht="15" customHeight="1" x14ac:dyDescent="0.25">
      <c r="A23" s="215">
        <v>43349</v>
      </c>
      <c r="B23" s="862" t="s">
        <v>32</v>
      </c>
      <c r="C23" s="352" t="s">
        <v>12</v>
      </c>
      <c r="D23" s="874" t="s">
        <v>1485</v>
      </c>
      <c r="E23" s="870" t="s">
        <v>13</v>
      </c>
      <c r="F23" s="850">
        <v>14</v>
      </c>
      <c r="G23" s="1525"/>
      <c r="H23" s="880"/>
      <c r="I23" s="982"/>
      <c r="J23" s="622"/>
      <c r="K23" s="946"/>
    </row>
    <row r="24" spans="1:14" s="224" customFormat="1" ht="15.75" customHeight="1" x14ac:dyDescent="0.25">
      <c r="A24" s="215">
        <v>43349</v>
      </c>
      <c r="B24" s="349" t="s">
        <v>1983</v>
      </c>
      <c r="C24" s="879" t="s">
        <v>12</v>
      </c>
      <c r="D24" s="874"/>
      <c r="E24" s="871" t="s">
        <v>25</v>
      </c>
      <c r="F24" s="1524"/>
      <c r="G24" s="1002">
        <v>1837.68</v>
      </c>
      <c r="H24" s="538"/>
      <c r="I24" s="982"/>
      <c r="J24" s="622"/>
      <c r="K24" s="982"/>
      <c r="L24" s="178"/>
    </row>
    <row r="25" spans="1:14" s="224" customFormat="1" x14ac:dyDescent="0.25">
      <c r="A25" s="215">
        <v>43349</v>
      </c>
      <c r="B25" s="862" t="s">
        <v>1984</v>
      </c>
      <c r="C25" s="879" t="s">
        <v>12</v>
      </c>
      <c r="D25" s="879"/>
      <c r="E25" s="871" t="s">
        <v>13</v>
      </c>
      <c r="F25" s="613">
        <v>549</v>
      </c>
      <c r="G25" s="982"/>
      <c r="H25" s="622"/>
      <c r="I25" s="982"/>
      <c r="J25" s="780"/>
      <c r="K25" s="614"/>
      <c r="L25" s="178"/>
      <c r="M25" s="3096"/>
      <c r="N25" s="3096"/>
    </row>
    <row r="26" spans="1:14" x14ac:dyDescent="0.25">
      <c r="A26" s="215">
        <v>43349</v>
      </c>
      <c r="B26" s="862" t="s">
        <v>1961</v>
      </c>
      <c r="C26" s="879" t="s">
        <v>12</v>
      </c>
      <c r="D26" s="879" t="s">
        <v>1504</v>
      </c>
      <c r="E26" s="871" t="s">
        <v>13</v>
      </c>
      <c r="F26" s="780">
        <v>50</v>
      </c>
      <c r="G26" s="982"/>
      <c r="H26" s="622"/>
      <c r="I26" s="982"/>
      <c r="J26" s="622"/>
      <c r="K26" s="1002"/>
      <c r="L26" s="216">
        <v>90</v>
      </c>
    </row>
    <row r="27" spans="1:14" x14ac:dyDescent="0.25">
      <c r="A27" s="215">
        <v>43349</v>
      </c>
      <c r="B27" s="882" t="s">
        <v>1985</v>
      </c>
      <c r="C27" s="879" t="s">
        <v>12</v>
      </c>
      <c r="D27" s="879" t="s">
        <v>1499</v>
      </c>
      <c r="E27" s="871" t="s">
        <v>13</v>
      </c>
      <c r="F27" s="780">
        <v>60</v>
      </c>
      <c r="G27" s="982"/>
      <c r="H27" s="622"/>
      <c r="I27" s="982"/>
      <c r="J27" s="780"/>
      <c r="K27" s="614"/>
      <c r="L27" s="881">
        <v>205.16</v>
      </c>
    </row>
    <row r="28" spans="1:14" x14ac:dyDescent="0.25">
      <c r="A28" s="247">
        <v>43349</v>
      </c>
      <c r="B28" s="876" t="s">
        <v>52</v>
      </c>
      <c r="C28" s="879" t="s">
        <v>12</v>
      </c>
      <c r="D28" s="879" t="s">
        <v>1496</v>
      </c>
      <c r="E28" s="871" t="s">
        <v>15</v>
      </c>
      <c r="F28" s="780">
        <v>60</v>
      </c>
      <c r="G28" s="1063"/>
      <c r="H28" s="853"/>
      <c r="I28" s="982"/>
      <c r="J28" s="622"/>
      <c r="K28" s="982"/>
      <c r="L28" s="216"/>
    </row>
    <row r="29" spans="1:14" s="224" customFormat="1" x14ac:dyDescent="0.25">
      <c r="A29" s="215">
        <v>43349</v>
      </c>
      <c r="B29" s="349" t="s">
        <v>1597</v>
      </c>
      <c r="C29" s="350" t="s">
        <v>12</v>
      </c>
      <c r="D29" s="350" t="s">
        <v>1491</v>
      </c>
      <c r="E29" s="480" t="s">
        <v>15</v>
      </c>
      <c r="F29" s="622">
        <v>20</v>
      </c>
      <c r="G29" s="982"/>
      <c r="H29" s="853"/>
      <c r="I29" s="1002"/>
      <c r="J29" s="622"/>
      <c r="K29" s="1002"/>
      <c r="L29" s="178"/>
    </row>
    <row r="30" spans="1:14" s="224" customFormat="1" ht="15" customHeight="1" x14ac:dyDescent="0.25">
      <c r="A30" s="215">
        <v>43349</v>
      </c>
      <c r="B30" s="876" t="s">
        <v>134</v>
      </c>
      <c r="C30" s="350" t="s">
        <v>12</v>
      </c>
      <c r="D30" s="874" t="s">
        <v>1493</v>
      </c>
      <c r="E30" s="870" t="s">
        <v>13</v>
      </c>
      <c r="F30" s="780">
        <v>18.28</v>
      </c>
      <c r="G30" s="1063"/>
      <c r="H30" s="622"/>
      <c r="I30" s="982"/>
      <c r="J30" s="622"/>
      <c r="K30" s="982"/>
    </row>
    <row r="31" spans="1:14" s="224" customFormat="1" ht="15" customHeight="1" x14ac:dyDescent="0.25">
      <c r="A31" s="215">
        <v>43349</v>
      </c>
      <c r="B31" s="876" t="s">
        <v>1438</v>
      </c>
      <c r="C31" s="350" t="s">
        <v>12</v>
      </c>
      <c r="D31" s="874" t="s">
        <v>1489</v>
      </c>
      <c r="E31" s="870" t="s">
        <v>13</v>
      </c>
      <c r="F31" s="780">
        <v>21.97</v>
      </c>
      <c r="G31" s="1063"/>
      <c r="H31" s="622"/>
      <c r="I31" s="982"/>
      <c r="J31" s="622"/>
      <c r="K31" s="982"/>
    </row>
    <row r="32" spans="1:14" s="224" customFormat="1" ht="15" customHeight="1" x14ac:dyDescent="0.25">
      <c r="A32" s="215">
        <v>43350</v>
      </c>
      <c r="B32" s="862" t="s">
        <v>32</v>
      </c>
      <c r="C32" s="352" t="s">
        <v>12</v>
      </c>
      <c r="D32" s="874" t="s">
        <v>1485</v>
      </c>
      <c r="E32" s="870" t="s">
        <v>13</v>
      </c>
      <c r="F32" s="850">
        <v>15.9</v>
      </c>
      <c r="G32" s="1525"/>
      <c r="H32" s="880"/>
      <c r="I32" s="982"/>
      <c r="J32" s="622"/>
      <c r="K32" s="946"/>
    </row>
    <row r="33" spans="1:11" s="224" customFormat="1" ht="15" customHeight="1" x14ac:dyDescent="0.25">
      <c r="A33" s="215">
        <v>43350</v>
      </c>
      <c r="B33" s="876" t="s">
        <v>1986</v>
      </c>
      <c r="C33" s="350" t="s">
        <v>12</v>
      </c>
      <c r="D33" s="874" t="s">
        <v>1523</v>
      </c>
      <c r="E33" s="870" t="s">
        <v>13</v>
      </c>
      <c r="F33" s="780">
        <v>25</v>
      </c>
      <c r="G33" s="1063"/>
      <c r="H33" s="622"/>
      <c r="I33" s="982"/>
      <c r="J33" s="622"/>
      <c r="K33" s="982"/>
    </row>
    <row r="34" spans="1:11" s="224" customFormat="1" ht="15" customHeight="1" x14ac:dyDescent="0.25">
      <c r="A34" s="215">
        <v>43350</v>
      </c>
      <c r="B34" s="876" t="s">
        <v>1987</v>
      </c>
      <c r="C34" s="350" t="s">
        <v>12</v>
      </c>
      <c r="D34" s="874" t="s">
        <v>1493</v>
      </c>
      <c r="E34" s="870" t="s">
        <v>15</v>
      </c>
      <c r="F34" s="780">
        <v>39</v>
      </c>
      <c r="G34" s="1063"/>
      <c r="H34" s="622"/>
      <c r="I34" s="982"/>
      <c r="J34" s="622"/>
      <c r="K34" s="982"/>
    </row>
    <row r="35" spans="1:11" s="224" customFormat="1" ht="15" customHeight="1" x14ac:dyDescent="0.25">
      <c r="A35" s="215">
        <v>43350</v>
      </c>
      <c r="B35" s="349" t="s">
        <v>14</v>
      </c>
      <c r="C35" s="350" t="s">
        <v>12</v>
      </c>
      <c r="D35" s="350" t="s">
        <v>1486</v>
      </c>
      <c r="E35" s="480" t="s">
        <v>13</v>
      </c>
      <c r="F35" s="780">
        <v>3</v>
      </c>
      <c r="G35" s="1063"/>
      <c r="H35" s="622"/>
      <c r="I35" s="982"/>
      <c r="J35" s="622"/>
      <c r="K35" s="982"/>
    </row>
    <row r="36" spans="1:11" s="224" customFormat="1" ht="15" customHeight="1" x14ac:dyDescent="0.25">
      <c r="A36" s="215">
        <v>43351</v>
      </c>
      <c r="B36" s="862" t="s">
        <v>1331</v>
      </c>
      <c r="C36" s="879" t="s">
        <v>12</v>
      </c>
      <c r="D36" s="879" t="s">
        <v>1487</v>
      </c>
      <c r="E36" s="871" t="s">
        <v>13</v>
      </c>
      <c r="F36" s="97">
        <v>70</v>
      </c>
      <c r="G36" s="1064"/>
      <c r="H36" s="97"/>
      <c r="I36" s="982"/>
      <c r="J36" s="622"/>
      <c r="K36" s="982"/>
    </row>
    <row r="37" spans="1:11" s="224" customFormat="1" ht="15" customHeight="1" x14ac:dyDescent="0.25">
      <c r="A37" s="215">
        <v>43351</v>
      </c>
      <c r="B37" s="862" t="s">
        <v>32</v>
      </c>
      <c r="C37" s="352" t="s">
        <v>12</v>
      </c>
      <c r="D37" s="874" t="s">
        <v>1485</v>
      </c>
      <c r="E37" s="870" t="s">
        <v>15</v>
      </c>
      <c r="F37" s="850">
        <v>16</v>
      </c>
      <c r="G37" s="1525"/>
      <c r="H37" s="880"/>
      <c r="I37" s="982"/>
      <c r="J37" s="622"/>
      <c r="K37" s="946"/>
    </row>
    <row r="38" spans="1:11" s="224" customFormat="1" ht="15" customHeight="1" x14ac:dyDescent="0.25">
      <c r="A38" s="215">
        <v>43351</v>
      </c>
      <c r="B38" s="876" t="s">
        <v>1438</v>
      </c>
      <c r="C38" s="350" t="s">
        <v>12</v>
      </c>
      <c r="D38" s="874" t="s">
        <v>1489</v>
      </c>
      <c r="E38" s="870" t="s">
        <v>15</v>
      </c>
      <c r="F38" s="780">
        <v>29</v>
      </c>
      <c r="G38" s="1063"/>
      <c r="H38" s="622"/>
      <c r="I38" s="982"/>
      <c r="J38" s="622"/>
      <c r="K38" s="982"/>
    </row>
    <row r="39" spans="1:11" s="224" customFormat="1" ht="15" customHeight="1" x14ac:dyDescent="0.25">
      <c r="A39" s="215">
        <v>43351</v>
      </c>
      <c r="B39" s="349" t="s">
        <v>82</v>
      </c>
      <c r="C39" s="350" t="s">
        <v>12</v>
      </c>
      <c r="D39" s="350" t="s">
        <v>1493</v>
      </c>
      <c r="E39" s="871" t="s">
        <v>15</v>
      </c>
      <c r="F39" s="853">
        <v>29</v>
      </c>
      <c r="G39" s="982"/>
      <c r="H39" s="622"/>
      <c r="I39" s="982"/>
      <c r="J39" s="622"/>
      <c r="K39" s="946"/>
    </row>
    <row r="40" spans="1:11" s="224" customFormat="1" ht="15" customHeight="1" x14ac:dyDescent="0.25">
      <c r="A40" s="215">
        <v>43352</v>
      </c>
      <c r="B40" s="349" t="s">
        <v>1844</v>
      </c>
      <c r="C40" s="350" t="s">
        <v>12</v>
      </c>
      <c r="D40" s="350" t="s">
        <v>1485</v>
      </c>
      <c r="E40" s="480" t="s">
        <v>15</v>
      </c>
      <c r="F40" s="780">
        <v>29</v>
      </c>
      <c r="G40" s="1063"/>
      <c r="H40" s="622"/>
      <c r="I40" s="982"/>
      <c r="J40" s="622"/>
      <c r="K40" s="982"/>
    </row>
    <row r="41" spans="1:11" s="224" customFormat="1" ht="15" customHeight="1" x14ac:dyDescent="0.25">
      <c r="A41" s="215">
        <v>43352</v>
      </c>
      <c r="B41" s="349" t="s">
        <v>1986</v>
      </c>
      <c r="C41" s="350" t="s">
        <v>12</v>
      </c>
      <c r="D41" s="350" t="s">
        <v>1523</v>
      </c>
      <c r="E41" s="871" t="s">
        <v>15</v>
      </c>
      <c r="F41" s="853">
        <v>10</v>
      </c>
      <c r="G41" s="982"/>
      <c r="H41" s="622"/>
      <c r="I41" s="982"/>
      <c r="J41" s="622"/>
      <c r="K41" s="946"/>
    </row>
    <row r="42" spans="1:11" s="224" customFormat="1" ht="15" customHeight="1" x14ac:dyDescent="0.25">
      <c r="A42" s="215">
        <v>43353</v>
      </c>
      <c r="B42" s="862" t="s">
        <v>32</v>
      </c>
      <c r="C42" s="352" t="s">
        <v>12</v>
      </c>
      <c r="D42" s="874" t="s">
        <v>1485</v>
      </c>
      <c r="E42" s="870" t="s">
        <v>15</v>
      </c>
      <c r="F42" s="850">
        <v>14</v>
      </c>
      <c r="G42" s="1525"/>
      <c r="H42" s="880"/>
      <c r="I42" s="982"/>
      <c r="J42" s="622"/>
      <c r="K42" s="946"/>
    </row>
    <row r="43" spans="1:11" s="224" customFormat="1" ht="15" customHeight="1" x14ac:dyDescent="0.25">
      <c r="A43" s="215">
        <v>43353</v>
      </c>
      <c r="B43" s="349" t="s">
        <v>14</v>
      </c>
      <c r="C43" s="350" t="s">
        <v>12</v>
      </c>
      <c r="D43" s="350" t="s">
        <v>1486</v>
      </c>
      <c r="E43" s="480" t="s">
        <v>15</v>
      </c>
      <c r="F43" s="780">
        <v>4</v>
      </c>
      <c r="G43" s="1063"/>
      <c r="H43" s="622"/>
      <c r="I43" s="982"/>
      <c r="J43" s="622"/>
      <c r="K43" s="982"/>
    </row>
    <row r="44" spans="1:11" s="224" customFormat="1" ht="15" customHeight="1" x14ac:dyDescent="0.25">
      <c r="A44" s="215">
        <v>43354</v>
      </c>
      <c r="B44" s="862" t="s">
        <v>32</v>
      </c>
      <c r="C44" s="352" t="s">
        <v>12</v>
      </c>
      <c r="D44" s="874" t="s">
        <v>1485</v>
      </c>
      <c r="E44" s="870" t="s">
        <v>15</v>
      </c>
      <c r="F44" s="850">
        <v>14</v>
      </c>
      <c r="G44" s="1525"/>
      <c r="H44" s="880"/>
      <c r="I44" s="982"/>
      <c r="J44" s="622"/>
      <c r="K44" s="946"/>
    </row>
    <row r="45" spans="1:11" s="224" customFormat="1" ht="15" customHeight="1" x14ac:dyDescent="0.25">
      <c r="A45" s="215">
        <v>43354</v>
      </c>
      <c r="B45" s="349" t="s">
        <v>1988</v>
      </c>
      <c r="C45" s="350" t="s">
        <v>19</v>
      </c>
      <c r="D45" s="350" t="s">
        <v>1489</v>
      </c>
      <c r="E45" s="871" t="s">
        <v>15</v>
      </c>
      <c r="F45" s="853">
        <v>60</v>
      </c>
      <c r="G45" s="982"/>
      <c r="H45" s="622"/>
      <c r="I45" s="982"/>
      <c r="J45" s="622"/>
      <c r="K45" s="946"/>
    </row>
    <row r="46" spans="1:11" s="224" customFormat="1" ht="15" customHeight="1" x14ac:dyDescent="0.25">
      <c r="A46" s="215">
        <v>43354</v>
      </c>
      <c r="B46" s="349" t="s">
        <v>1989</v>
      </c>
      <c r="C46" s="350" t="s">
        <v>19</v>
      </c>
      <c r="D46" s="350" t="s">
        <v>1491</v>
      </c>
      <c r="E46" s="871" t="s">
        <v>15</v>
      </c>
      <c r="F46" s="853">
        <v>150</v>
      </c>
      <c r="G46" s="982"/>
      <c r="H46" s="622"/>
      <c r="I46" s="982"/>
      <c r="J46" s="622"/>
      <c r="K46" s="946"/>
    </row>
    <row r="47" spans="1:11" s="224" customFormat="1" ht="15" customHeight="1" x14ac:dyDescent="0.25">
      <c r="A47" s="215">
        <v>43355</v>
      </c>
      <c r="B47" s="862" t="s">
        <v>32</v>
      </c>
      <c r="C47" s="352" t="s">
        <v>12</v>
      </c>
      <c r="D47" s="874" t="s">
        <v>1485</v>
      </c>
      <c r="E47" s="870" t="s">
        <v>15</v>
      </c>
      <c r="F47" s="850">
        <v>14</v>
      </c>
      <c r="G47" s="982"/>
      <c r="H47" s="622"/>
      <c r="I47" s="982"/>
      <c r="J47" s="622"/>
      <c r="K47" s="946"/>
    </row>
    <row r="48" spans="1:11" s="224" customFormat="1" ht="14.25" customHeight="1" x14ac:dyDescent="0.25">
      <c r="A48" s="215">
        <v>43355</v>
      </c>
      <c r="B48" s="349" t="s">
        <v>14</v>
      </c>
      <c r="C48" s="350" t="s">
        <v>12</v>
      </c>
      <c r="D48" s="350" t="s">
        <v>1486</v>
      </c>
      <c r="E48" s="480" t="s">
        <v>15</v>
      </c>
      <c r="F48" s="780">
        <v>4</v>
      </c>
      <c r="G48" s="248"/>
      <c r="H48" s="622"/>
      <c r="I48" s="982"/>
      <c r="J48" s="622"/>
      <c r="K48" s="946"/>
    </row>
    <row r="49" spans="1:11" s="224" customFormat="1" ht="14.25" customHeight="1" x14ac:dyDescent="0.25">
      <c r="A49" s="215">
        <v>43356</v>
      </c>
      <c r="B49" s="349" t="s">
        <v>134</v>
      </c>
      <c r="C49" s="350" t="s">
        <v>12</v>
      </c>
      <c r="D49" s="350" t="s">
        <v>1493</v>
      </c>
      <c r="E49" s="480" t="s">
        <v>15</v>
      </c>
      <c r="F49" s="780">
        <v>4.5</v>
      </c>
      <c r="G49" s="248"/>
      <c r="H49" s="622"/>
      <c r="I49" s="982"/>
      <c r="J49" s="622"/>
      <c r="K49" s="946"/>
    </row>
    <row r="50" spans="1:11" s="224" customFormat="1" ht="15" customHeight="1" x14ac:dyDescent="0.25">
      <c r="A50" s="215">
        <v>43356</v>
      </c>
      <c r="B50" s="862" t="s">
        <v>256</v>
      </c>
      <c r="C50" s="879"/>
      <c r="D50" s="879"/>
      <c r="E50" s="871"/>
      <c r="F50" s="97"/>
      <c r="G50" s="1064">
        <v>200</v>
      </c>
      <c r="H50" s="97">
        <v>200</v>
      </c>
      <c r="I50" s="982"/>
      <c r="J50" s="622"/>
      <c r="K50" s="982"/>
    </row>
    <row r="51" spans="1:11" s="224" customFormat="1" ht="15" customHeight="1" x14ac:dyDescent="0.25">
      <c r="A51" s="215">
        <v>43356</v>
      </c>
      <c r="B51" s="862" t="s">
        <v>1331</v>
      </c>
      <c r="C51" s="879" t="s">
        <v>12</v>
      </c>
      <c r="D51" s="879" t="s">
        <v>1487</v>
      </c>
      <c r="E51" s="871" t="s">
        <v>15</v>
      </c>
      <c r="F51" s="97">
        <v>70</v>
      </c>
      <c r="G51" s="1064"/>
      <c r="H51" s="97"/>
      <c r="I51" s="982"/>
      <c r="J51" s="622"/>
      <c r="K51" s="982"/>
    </row>
    <row r="52" spans="1:11" ht="15" customHeight="1" x14ac:dyDescent="0.25">
      <c r="A52" s="215">
        <v>43356</v>
      </c>
      <c r="B52" s="349" t="s">
        <v>1396</v>
      </c>
      <c r="C52" s="350" t="s">
        <v>12</v>
      </c>
      <c r="D52" s="350"/>
      <c r="E52" s="757" t="s">
        <v>25</v>
      </c>
      <c r="F52" s="97"/>
      <c r="G52" s="946">
        <v>40</v>
      </c>
      <c r="H52" s="97"/>
      <c r="I52" s="946"/>
      <c r="J52" s="97"/>
      <c r="K52" s="946"/>
    </row>
    <row r="53" spans="1:11" s="224" customFormat="1" ht="14.25" customHeight="1" x14ac:dyDescent="0.25">
      <c r="A53" s="215">
        <v>43356</v>
      </c>
      <c r="B53" s="364" t="s">
        <v>1990</v>
      </c>
      <c r="C53" s="350" t="s">
        <v>12</v>
      </c>
      <c r="D53" s="350" t="s">
        <v>1491</v>
      </c>
      <c r="E53" s="480" t="s">
        <v>15</v>
      </c>
      <c r="F53" s="827">
        <v>65</v>
      </c>
      <c r="G53" s="248"/>
      <c r="H53" s="622"/>
      <c r="I53" s="982"/>
      <c r="J53" s="622"/>
      <c r="K53" s="946"/>
    </row>
    <row r="54" spans="1:11" s="224" customFormat="1" ht="14.25" customHeight="1" x14ac:dyDescent="0.25">
      <c r="A54" s="215">
        <v>43356</v>
      </c>
      <c r="B54" s="364" t="s">
        <v>147</v>
      </c>
      <c r="C54" s="350" t="s">
        <v>12</v>
      </c>
      <c r="D54" s="350" t="s">
        <v>1506</v>
      </c>
      <c r="E54" s="480" t="s">
        <v>15</v>
      </c>
      <c r="F54" s="827">
        <v>15</v>
      </c>
      <c r="G54" s="248"/>
      <c r="H54" s="622"/>
      <c r="I54" s="982"/>
      <c r="J54" s="622"/>
      <c r="K54" s="946"/>
    </row>
    <row r="55" spans="1:11" s="224" customFormat="1" ht="14.25" customHeight="1" x14ac:dyDescent="0.25">
      <c r="A55" s="215">
        <v>43357</v>
      </c>
      <c r="B55" s="862" t="s">
        <v>32</v>
      </c>
      <c r="C55" s="352" t="s">
        <v>12</v>
      </c>
      <c r="D55" s="874" t="s">
        <v>1485</v>
      </c>
      <c r="E55" s="870" t="s">
        <v>15</v>
      </c>
      <c r="F55" s="850">
        <v>14</v>
      </c>
      <c r="G55" s="248"/>
      <c r="H55" s="622"/>
      <c r="I55" s="982"/>
      <c r="J55" s="622"/>
      <c r="K55" s="946"/>
    </row>
    <row r="56" spans="1:11" s="224" customFormat="1" ht="14.25" customHeight="1" x14ac:dyDescent="0.25">
      <c r="A56" s="215">
        <v>43357</v>
      </c>
      <c r="B56" s="862" t="s">
        <v>1991</v>
      </c>
      <c r="C56" s="352" t="s">
        <v>19</v>
      </c>
      <c r="D56" s="874" t="s">
        <v>1491</v>
      </c>
      <c r="E56" s="870" t="s">
        <v>15</v>
      </c>
      <c r="F56" s="850">
        <v>120</v>
      </c>
      <c r="G56" s="248"/>
      <c r="H56" s="622"/>
      <c r="I56" s="982"/>
      <c r="J56" s="622"/>
      <c r="K56" s="946"/>
    </row>
    <row r="57" spans="1:11" s="224" customFormat="1" ht="14.25" customHeight="1" x14ac:dyDescent="0.25">
      <c r="A57" s="215">
        <v>43358</v>
      </c>
      <c r="B57" s="862" t="s">
        <v>1992</v>
      </c>
      <c r="C57" s="352" t="s">
        <v>12</v>
      </c>
      <c r="D57" s="874" t="s">
        <v>1491</v>
      </c>
      <c r="E57" s="870" t="s">
        <v>15</v>
      </c>
      <c r="F57" s="850">
        <v>10</v>
      </c>
      <c r="G57" s="248"/>
      <c r="H57" s="622"/>
      <c r="I57" s="982"/>
      <c r="J57" s="622"/>
      <c r="K57" s="946"/>
    </row>
    <row r="58" spans="1:11" s="224" customFormat="1" ht="15" customHeight="1" x14ac:dyDescent="0.25">
      <c r="A58" s="215">
        <v>43358</v>
      </c>
      <c r="B58" s="876" t="s">
        <v>1993</v>
      </c>
      <c r="C58" s="350" t="s">
        <v>12</v>
      </c>
      <c r="D58" s="874" t="s">
        <v>1491</v>
      </c>
      <c r="E58" s="870" t="s">
        <v>15</v>
      </c>
      <c r="F58" s="780">
        <v>3</v>
      </c>
      <c r="G58" s="982"/>
      <c r="H58" s="622"/>
      <c r="I58" s="982"/>
      <c r="J58" s="622"/>
      <c r="K58" s="946"/>
    </row>
    <row r="59" spans="1:11" s="224" customFormat="1" ht="15" customHeight="1" x14ac:dyDescent="0.25">
      <c r="A59" s="215">
        <v>43358</v>
      </c>
      <c r="B59" s="876" t="s">
        <v>1994</v>
      </c>
      <c r="C59" s="350" t="s">
        <v>12</v>
      </c>
      <c r="D59" s="874" t="s">
        <v>1491</v>
      </c>
      <c r="E59" s="870" t="s">
        <v>15</v>
      </c>
      <c r="F59" s="780">
        <v>105</v>
      </c>
      <c r="G59" s="982"/>
      <c r="H59" s="622"/>
      <c r="I59" s="982"/>
      <c r="J59" s="622"/>
      <c r="K59" s="946"/>
    </row>
    <row r="60" spans="1:11" s="224" customFormat="1" ht="14.25" customHeight="1" x14ac:dyDescent="0.25">
      <c r="A60" s="215">
        <v>43359</v>
      </c>
      <c r="B60" s="349" t="s">
        <v>14</v>
      </c>
      <c r="C60" s="350" t="s">
        <v>12</v>
      </c>
      <c r="D60" s="350" t="s">
        <v>1486</v>
      </c>
      <c r="E60" s="480" t="s">
        <v>15</v>
      </c>
      <c r="F60" s="780">
        <v>4</v>
      </c>
      <c r="G60" s="248"/>
      <c r="H60" s="622"/>
      <c r="I60" s="982"/>
      <c r="J60" s="622"/>
      <c r="K60" s="946"/>
    </row>
    <row r="61" spans="1:11" s="224" customFormat="1" ht="15" customHeight="1" x14ac:dyDescent="0.25">
      <c r="A61" s="215">
        <v>43359</v>
      </c>
      <c r="B61" s="349" t="s">
        <v>14</v>
      </c>
      <c r="C61" s="350" t="s">
        <v>12</v>
      </c>
      <c r="D61" s="350" t="s">
        <v>1486</v>
      </c>
      <c r="E61" s="480" t="s">
        <v>15</v>
      </c>
      <c r="F61" s="780">
        <v>7</v>
      </c>
      <c r="G61" s="982"/>
      <c r="H61" s="622"/>
      <c r="I61" s="982"/>
      <c r="J61" s="622"/>
      <c r="K61" s="946"/>
    </row>
    <row r="62" spans="1:11" s="224" customFormat="1" x14ac:dyDescent="0.25">
      <c r="A62" s="215">
        <v>43360</v>
      </c>
      <c r="B62" s="862" t="s">
        <v>32</v>
      </c>
      <c r="C62" s="352" t="s">
        <v>12</v>
      </c>
      <c r="D62" s="874" t="s">
        <v>1485</v>
      </c>
      <c r="E62" s="870" t="s">
        <v>15</v>
      </c>
      <c r="F62" s="850">
        <v>14</v>
      </c>
      <c r="G62" s="627"/>
      <c r="H62" s="622"/>
      <c r="I62" s="982"/>
      <c r="J62" s="622"/>
      <c r="K62" s="946"/>
    </row>
    <row r="63" spans="1:11" s="224" customFormat="1" ht="15" customHeight="1" x14ac:dyDescent="0.25">
      <c r="A63" s="215">
        <v>43360</v>
      </c>
      <c r="B63" s="862" t="s">
        <v>256</v>
      </c>
      <c r="C63" s="879"/>
      <c r="D63" s="879"/>
      <c r="E63" s="871"/>
      <c r="F63" s="97"/>
      <c r="G63" s="1064">
        <v>100</v>
      </c>
      <c r="H63" s="97">
        <v>100</v>
      </c>
      <c r="I63" s="982"/>
      <c r="J63" s="622"/>
      <c r="K63" s="982"/>
    </row>
    <row r="64" spans="1:11" s="224" customFormat="1" x14ac:dyDescent="0.25">
      <c r="A64" s="215">
        <v>43360</v>
      </c>
      <c r="B64" s="862" t="s">
        <v>1995</v>
      </c>
      <c r="C64" s="352" t="s">
        <v>12</v>
      </c>
      <c r="D64" s="874" t="s">
        <v>1506</v>
      </c>
      <c r="E64" s="870" t="s">
        <v>15</v>
      </c>
      <c r="F64" s="850">
        <v>40</v>
      </c>
      <c r="G64" s="627"/>
      <c r="H64" s="622"/>
      <c r="I64" s="982"/>
      <c r="J64" s="622"/>
      <c r="K64" s="946"/>
    </row>
    <row r="65" spans="1:12" s="224" customFormat="1" x14ac:dyDescent="0.25">
      <c r="A65" s="215">
        <v>43360</v>
      </c>
      <c r="B65" s="862" t="s">
        <v>521</v>
      </c>
      <c r="C65" s="352" t="s">
        <v>12</v>
      </c>
      <c r="D65" s="874" t="s">
        <v>1489</v>
      </c>
      <c r="E65" s="870" t="s">
        <v>15</v>
      </c>
      <c r="F65" s="850">
        <v>11</v>
      </c>
      <c r="G65" s="627"/>
      <c r="H65" s="622"/>
      <c r="I65" s="982"/>
      <c r="J65" s="622"/>
      <c r="K65" s="946"/>
    </row>
    <row r="66" spans="1:12" s="224" customFormat="1" x14ac:dyDescent="0.25">
      <c r="A66" s="215">
        <v>43361</v>
      </c>
      <c r="B66" s="862" t="s">
        <v>32</v>
      </c>
      <c r="C66" s="352" t="s">
        <v>12</v>
      </c>
      <c r="D66" s="874" t="s">
        <v>1485</v>
      </c>
      <c r="E66" s="870" t="s">
        <v>15</v>
      </c>
      <c r="F66" s="850">
        <v>14</v>
      </c>
      <c r="G66" s="627"/>
      <c r="H66" s="622"/>
      <c r="I66" s="982"/>
      <c r="J66" s="622"/>
      <c r="K66" s="946"/>
    </row>
    <row r="67" spans="1:12" s="224" customFormat="1" x14ac:dyDescent="0.25">
      <c r="A67" s="215">
        <v>43361</v>
      </c>
      <c r="B67" s="349" t="s">
        <v>14</v>
      </c>
      <c r="C67" s="350" t="s">
        <v>12</v>
      </c>
      <c r="D67" s="350" t="s">
        <v>1486</v>
      </c>
      <c r="E67" s="480" t="s">
        <v>15</v>
      </c>
      <c r="F67" s="780">
        <v>8</v>
      </c>
      <c r="G67" s="627"/>
      <c r="H67" s="622"/>
      <c r="I67" s="982"/>
      <c r="J67" s="622"/>
      <c r="K67" s="946"/>
    </row>
    <row r="68" spans="1:12" s="224" customFormat="1" x14ac:dyDescent="0.25">
      <c r="A68" s="215">
        <v>43362</v>
      </c>
      <c r="B68" s="862" t="s">
        <v>32</v>
      </c>
      <c r="C68" s="352" t="s">
        <v>12</v>
      </c>
      <c r="D68" s="874" t="s">
        <v>1485</v>
      </c>
      <c r="E68" s="870" t="s">
        <v>13</v>
      </c>
      <c r="F68" s="850">
        <v>14</v>
      </c>
      <c r="G68" s="627"/>
      <c r="H68" s="622"/>
      <c r="I68" s="982"/>
      <c r="J68" s="622"/>
      <c r="K68" s="946"/>
    </row>
    <row r="69" spans="1:12" s="224" customFormat="1" x14ac:dyDescent="0.25">
      <c r="A69" s="215">
        <v>43362</v>
      </c>
      <c r="B69" s="349" t="s">
        <v>14</v>
      </c>
      <c r="C69" s="350" t="s">
        <v>12</v>
      </c>
      <c r="D69" s="350" t="s">
        <v>1486</v>
      </c>
      <c r="E69" s="480" t="s">
        <v>13</v>
      </c>
      <c r="F69" s="780">
        <v>16.28</v>
      </c>
      <c r="G69" s="627"/>
      <c r="H69" s="622"/>
      <c r="I69" s="982"/>
      <c r="J69" s="622"/>
      <c r="K69" s="946"/>
    </row>
    <row r="70" spans="1:12" s="224" customFormat="1" ht="15" customHeight="1" x14ac:dyDescent="0.25">
      <c r="A70" s="215">
        <v>43362</v>
      </c>
      <c r="B70" s="349" t="s">
        <v>1996</v>
      </c>
      <c r="C70" s="350" t="s">
        <v>12</v>
      </c>
      <c r="D70" s="350" t="s">
        <v>1506</v>
      </c>
      <c r="E70" s="871" t="s">
        <v>13</v>
      </c>
      <c r="F70" s="853">
        <v>33.299999999999997</v>
      </c>
      <c r="G70" s="982"/>
      <c r="H70" s="622"/>
      <c r="I70" s="982"/>
      <c r="J70" s="622"/>
      <c r="K70" s="946"/>
      <c r="L70" s="178"/>
    </row>
    <row r="71" spans="1:12" s="224" customFormat="1" ht="15" customHeight="1" x14ac:dyDescent="0.25">
      <c r="A71" s="215">
        <v>43362</v>
      </c>
      <c r="B71" s="862" t="s">
        <v>256</v>
      </c>
      <c r="C71" s="879"/>
      <c r="D71" s="879"/>
      <c r="E71" s="871"/>
      <c r="F71" s="97"/>
      <c r="G71" s="1064">
        <v>50</v>
      </c>
      <c r="H71" s="97">
        <v>50</v>
      </c>
      <c r="I71" s="982"/>
      <c r="J71" s="622"/>
      <c r="K71" s="982"/>
      <c r="L71" s="178"/>
    </row>
    <row r="72" spans="1:12" x14ac:dyDescent="0.25">
      <c r="A72" s="215">
        <v>43363</v>
      </c>
      <c r="B72" s="882" t="s">
        <v>1997</v>
      </c>
      <c r="C72" s="350" t="s">
        <v>12</v>
      </c>
      <c r="D72" s="145"/>
      <c r="E72" s="145" t="s">
        <v>25</v>
      </c>
      <c r="F72" s="1524"/>
      <c r="G72" s="982">
        <v>1600</v>
      </c>
      <c r="H72" s="622"/>
      <c r="I72" s="982"/>
      <c r="J72" s="622"/>
      <c r="K72" s="982"/>
      <c r="L72" s="216"/>
    </row>
    <row r="73" spans="1:12" s="224" customFormat="1" ht="15.75" customHeight="1" x14ac:dyDescent="0.25">
      <c r="A73" s="215">
        <v>43363</v>
      </c>
      <c r="B73" s="882" t="s">
        <v>1998</v>
      </c>
      <c r="C73" s="879" t="s">
        <v>12</v>
      </c>
      <c r="D73" s="879" t="s">
        <v>1499</v>
      </c>
      <c r="E73" s="871" t="s">
        <v>13</v>
      </c>
      <c r="F73" s="622">
        <v>50</v>
      </c>
      <c r="G73" s="1002"/>
      <c r="H73" s="538"/>
      <c r="I73" s="982"/>
      <c r="J73" s="622"/>
      <c r="K73" s="982"/>
      <c r="L73" s="178">
        <v>106.33</v>
      </c>
    </row>
    <row r="74" spans="1:12" s="224" customFormat="1" x14ac:dyDescent="0.25">
      <c r="A74" s="215">
        <v>43363</v>
      </c>
      <c r="B74" s="873" t="s">
        <v>1564</v>
      </c>
      <c r="C74" s="879" t="s">
        <v>12</v>
      </c>
      <c r="D74" s="350" t="s">
        <v>1491</v>
      </c>
      <c r="E74" s="871" t="s">
        <v>15</v>
      </c>
      <c r="F74" s="622">
        <v>130</v>
      </c>
      <c r="G74" s="982"/>
      <c r="H74" s="622"/>
      <c r="I74" s="982"/>
      <c r="J74" s="622"/>
      <c r="K74" s="982"/>
      <c r="L74" s="178"/>
    </row>
    <row r="75" spans="1:12" s="224" customFormat="1" ht="15" customHeight="1" x14ac:dyDescent="0.25">
      <c r="A75" s="215">
        <v>43363</v>
      </c>
      <c r="B75" s="349" t="s">
        <v>260</v>
      </c>
      <c r="C75" s="350"/>
      <c r="D75" s="350"/>
      <c r="E75" s="480"/>
      <c r="F75" s="852">
        <v>450</v>
      </c>
      <c r="G75" s="1064"/>
      <c r="H75" s="97"/>
      <c r="I75" s="946">
        <v>450</v>
      </c>
      <c r="J75" s="97"/>
      <c r="K75" s="946"/>
    </row>
    <row r="76" spans="1:12" s="224" customFormat="1" x14ac:dyDescent="0.25">
      <c r="A76" s="215">
        <v>43363</v>
      </c>
      <c r="B76" s="364" t="s">
        <v>311</v>
      </c>
      <c r="C76" s="350"/>
      <c r="D76" s="350"/>
      <c r="E76" s="480"/>
      <c r="F76" s="832"/>
      <c r="G76" s="627"/>
      <c r="H76" s="97"/>
      <c r="I76" s="946">
        <v>2.23</v>
      </c>
      <c r="J76" s="97"/>
      <c r="K76" s="946"/>
    </row>
    <row r="77" spans="1:12" s="224" customFormat="1" x14ac:dyDescent="0.25">
      <c r="A77" s="215">
        <v>43363</v>
      </c>
      <c r="B77" s="862" t="s">
        <v>32</v>
      </c>
      <c r="C77" s="352" t="s">
        <v>12</v>
      </c>
      <c r="D77" s="874" t="s">
        <v>1485</v>
      </c>
      <c r="E77" s="870" t="s">
        <v>13</v>
      </c>
      <c r="F77" s="850">
        <v>14</v>
      </c>
      <c r="G77" s="627"/>
      <c r="H77" s="622"/>
      <c r="I77" s="982"/>
      <c r="J77" s="622"/>
      <c r="K77" s="946"/>
    </row>
    <row r="78" spans="1:12" s="224" customFormat="1" x14ac:dyDescent="0.25">
      <c r="A78" s="215">
        <v>43363</v>
      </c>
      <c r="B78" s="862" t="s">
        <v>1331</v>
      </c>
      <c r="C78" s="879" t="s">
        <v>12</v>
      </c>
      <c r="D78" s="879" t="s">
        <v>1487</v>
      </c>
      <c r="E78" s="871" t="s">
        <v>13</v>
      </c>
      <c r="F78" s="97">
        <v>80</v>
      </c>
      <c r="G78" s="946"/>
      <c r="H78" s="97"/>
      <c r="I78" s="946"/>
      <c r="J78" s="97"/>
      <c r="K78" s="946"/>
      <c r="L78" s="178"/>
    </row>
    <row r="79" spans="1:12" s="224" customFormat="1" x14ac:dyDescent="0.25">
      <c r="A79" s="215">
        <v>43364</v>
      </c>
      <c r="B79" s="862" t="s">
        <v>32</v>
      </c>
      <c r="C79" s="352" t="s">
        <v>12</v>
      </c>
      <c r="D79" s="874" t="s">
        <v>1485</v>
      </c>
      <c r="E79" s="870" t="s">
        <v>13</v>
      </c>
      <c r="F79" s="850">
        <v>14</v>
      </c>
      <c r="G79" s="627"/>
      <c r="H79" s="622"/>
      <c r="I79" s="982"/>
      <c r="J79" s="622"/>
      <c r="K79" s="946"/>
    </row>
    <row r="80" spans="1:12" s="224" customFormat="1" x14ac:dyDescent="0.25">
      <c r="A80" s="215">
        <v>43364</v>
      </c>
      <c r="B80" s="862" t="s">
        <v>1999</v>
      </c>
      <c r="C80" s="352" t="s">
        <v>19</v>
      </c>
      <c r="D80" s="874" t="s">
        <v>1496</v>
      </c>
      <c r="E80" s="870" t="s">
        <v>13</v>
      </c>
      <c r="F80" s="850">
        <v>105.6</v>
      </c>
      <c r="G80" s="627"/>
      <c r="H80" s="622"/>
      <c r="I80" s="982"/>
      <c r="J80" s="622"/>
      <c r="K80" s="946"/>
    </row>
    <row r="81" spans="1:12" s="224" customFormat="1" ht="15" customHeight="1" x14ac:dyDescent="0.25">
      <c r="A81" s="215">
        <v>43364</v>
      </c>
      <c r="B81" s="349" t="s">
        <v>14</v>
      </c>
      <c r="C81" s="350" t="s">
        <v>12</v>
      </c>
      <c r="D81" s="350" t="s">
        <v>1486</v>
      </c>
      <c r="E81" s="480" t="s">
        <v>13</v>
      </c>
      <c r="F81" s="780">
        <v>8.1999999999999993</v>
      </c>
      <c r="G81" s="1063"/>
      <c r="H81" s="622"/>
      <c r="I81" s="982"/>
      <c r="J81" s="622"/>
      <c r="K81" s="982"/>
      <c r="L81" s="178"/>
    </row>
    <row r="82" spans="1:12" s="224" customFormat="1" ht="15" customHeight="1" x14ac:dyDescent="0.25">
      <c r="A82" s="215">
        <v>43365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780">
        <v>3.12</v>
      </c>
      <c r="G82" s="1063"/>
      <c r="H82" s="622"/>
      <c r="I82" s="982"/>
      <c r="J82" s="622"/>
      <c r="K82" s="982"/>
    </row>
    <row r="83" spans="1:12" s="224" customFormat="1" ht="15" customHeight="1" x14ac:dyDescent="0.25">
      <c r="A83" s="215">
        <v>43365</v>
      </c>
      <c r="B83" s="349" t="s">
        <v>14</v>
      </c>
      <c r="C83" s="350" t="s">
        <v>12</v>
      </c>
      <c r="D83" s="350" t="s">
        <v>1486</v>
      </c>
      <c r="E83" s="480" t="s">
        <v>13</v>
      </c>
      <c r="F83" s="780">
        <v>2.16</v>
      </c>
      <c r="G83" s="1063"/>
      <c r="H83" s="622"/>
      <c r="I83" s="982"/>
      <c r="J83" s="622"/>
      <c r="K83" s="982"/>
    </row>
    <row r="84" spans="1:12" s="224" customFormat="1" ht="15" customHeight="1" x14ac:dyDescent="0.25">
      <c r="A84" s="215">
        <v>43365</v>
      </c>
      <c r="B84" s="349" t="s">
        <v>1056</v>
      </c>
      <c r="C84" s="350" t="s">
        <v>12</v>
      </c>
      <c r="D84" s="350" t="s">
        <v>1523</v>
      </c>
      <c r="E84" s="480" t="s">
        <v>15</v>
      </c>
      <c r="F84" s="780">
        <v>11</v>
      </c>
      <c r="G84" s="1063"/>
      <c r="H84" s="622"/>
      <c r="I84" s="982"/>
      <c r="J84" s="622"/>
      <c r="K84" s="982"/>
    </row>
    <row r="85" spans="1:12" s="224" customFormat="1" x14ac:dyDescent="0.25">
      <c r="A85" s="215">
        <v>43365</v>
      </c>
      <c r="B85" s="862" t="s">
        <v>32</v>
      </c>
      <c r="C85" s="352" t="s">
        <v>12</v>
      </c>
      <c r="D85" s="874" t="s">
        <v>1485</v>
      </c>
      <c r="E85" s="870" t="s">
        <v>15</v>
      </c>
      <c r="F85" s="850">
        <v>10</v>
      </c>
      <c r="G85" s="627"/>
      <c r="H85" s="622"/>
      <c r="I85" s="982"/>
      <c r="J85" s="622"/>
      <c r="K85" s="946"/>
    </row>
    <row r="86" spans="1:12" s="224" customFormat="1" ht="15" customHeight="1" x14ac:dyDescent="0.25">
      <c r="A86" s="215">
        <v>43365</v>
      </c>
      <c r="B86" s="349" t="s">
        <v>82</v>
      </c>
      <c r="C86" s="350" t="s">
        <v>12</v>
      </c>
      <c r="D86" s="350" t="s">
        <v>1493</v>
      </c>
      <c r="E86" s="480" t="s">
        <v>13</v>
      </c>
      <c r="F86" s="780">
        <v>30</v>
      </c>
      <c r="G86" s="1063"/>
      <c r="H86" s="622"/>
      <c r="I86" s="982"/>
      <c r="J86" s="622"/>
      <c r="K86" s="982"/>
    </row>
    <row r="87" spans="1:12" s="224" customFormat="1" ht="15" customHeight="1" x14ac:dyDescent="0.25">
      <c r="A87" s="215">
        <v>43366</v>
      </c>
      <c r="B87" s="364" t="s">
        <v>80</v>
      </c>
      <c r="C87" s="350" t="s">
        <v>12</v>
      </c>
      <c r="D87" s="350" t="s">
        <v>1523</v>
      </c>
      <c r="E87" s="480" t="s">
        <v>15</v>
      </c>
      <c r="F87" s="622">
        <v>33</v>
      </c>
      <c r="G87" s="982"/>
      <c r="H87" s="622"/>
      <c r="I87" s="982"/>
      <c r="J87" s="622"/>
      <c r="K87" s="982"/>
    </row>
    <row r="88" spans="1:12" s="224" customFormat="1" ht="15" customHeight="1" x14ac:dyDescent="0.25">
      <c r="A88" s="215">
        <v>43366</v>
      </c>
      <c r="B88" s="364" t="s">
        <v>2000</v>
      </c>
      <c r="C88" s="350" t="s">
        <v>12</v>
      </c>
      <c r="D88" s="350" t="s">
        <v>1522</v>
      </c>
      <c r="E88" s="480" t="s">
        <v>15</v>
      </c>
      <c r="F88" s="622">
        <v>5</v>
      </c>
      <c r="G88" s="982"/>
      <c r="H88" s="622"/>
      <c r="I88" s="982"/>
      <c r="J88" s="622"/>
      <c r="K88" s="982"/>
    </row>
    <row r="89" spans="1:12" s="224" customFormat="1" ht="15" customHeight="1" x14ac:dyDescent="0.25">
      <c r="A89" s="215">
        <v>43366</v>
      </c>
      <c r="B89" s="364" t="s">
        <v>134</v>
      </c>
      <c r="C89" s="350" t="s">
        <v>12</v>
      </c>
      <c r="D89" s="350" t="s">
        <v>1493</v>
      </c>
      <c r="E89" s="480" t="s">
        <v>13</v>
      </c>
      <c r="F89" s="622">
        <v>15.55</v>
      </c>
      <c r="G89" s="982"/>
      <c r="H89" s="622"/>
      <c r="I89" s="982"/>
      <c r="J89" s="622"/>
      <c r="K89" s="982"/>
    </row>
    <row r="90" spans="1:12" s="224" customFormat="1" x14ac:dyDescent="0.25">
      <c r="A90" s="215">
        <v>43367</v>
      </c>
      <c r="B90" s="862" t="s">
        <v>2001</v>
      </c>
      <c r="C90" s="350" t="s">
        <v>12</v>
      </c>
      <c r="D90" s="874" t="s">
        <v>1504</v>
      </c>
      <c r="E90" s="1475" t="s">
        <v>13</v>
      </c>
      <c r="F90" s="622">
        <v>68.92</v>
      </c>
      <c r="G90" s="946"/>
      <c r="H90" s="97"/>
      <c r="I90" s="946"/>
      <c r="J90" s="97"/>
      <c r="K90" s="946"/>
    </row>
    <row r="91" spans="1:12" s="224" customFormat="1" x14ac:dyDescent="0.25">
      <c r="A91" s="215">
        <v>43367</v>
      </c>
      <c r="B91" s="862" t="s">
        <v>32</v>
      </c>
      <c r="C91" s="352" t="s">
        <v>12</v>
      </c>
      <c r="D91" s="874" t="s">
        <v>1485</v>
      </c>
      <c r="E91" s="870" t="s">
        <v>13</v>
      </c>
      <c r="F91" s="850">
        <v>14</v>
      </c>
      <c r="G91" s="627"/>
      <c r="H91" s="622"/>
      <c r="I91" s="982"/>
      <c r="J91" s="622"/>
      <c r="K91" s="946"/>
    </row>
    <row r="92" spans="1:12" s="224" customFormat="1" x14ac:dyDescent="0.25">
      <c r="A92" s="215">
        <v>43367</v>
      </c>
      <c r="B92" s="349" t="s">
        <v>1597</v>
      </c>
      <c r="C92" s="350" t="s">
        <v>12</v>
      </c>
      <c r="D92" s="350" t="s">
        <v>1491</v>
      </c>
      <c r="E92" s="480" t="s">
        <v>15</v>
      </c>
      <c r="F92" s="622">
        <v>60</v>
      </c>
      <c r="G92" s="982"/>
      <c r="H92" s="853"/>
      <c r="I92" s="1002"/>
      <c r="J92" s="622"/>
      <c r="K92" s="1002"/>
      <c r="L92" s="178"/>
    </row>
    <row r="93" spans="1:12" s="224" customFormat="1" x14ac:dyDescent="0.25">
      <c r="A93" s="215">
        <v>43367</v>
      </c>
      <c r="B93" s="349" t="s">
        <v>14</v>
      </c>
      <c r="C93" s="350" t="s">
        <v>12</v>
      </c>
      <c r="D93" s="350" t="s">
        <v>1486</v>
      </c>
      <c r="E93" s="480" t="s">
        <v>13</v>
      </c>
      <c r="F93" s="780">
        <v>9.36</v>
      </c>
      <c r="G93" s="982"/>
      <c r="H93" s="622"/>
      <c r="I93" s="982"/>
      <c r="J93" s="622"/>
      <c r="K93" s="982"/>
    </row>
    <row r="94" spans="1:12" s="224" customFormat="1" x14ac:dyDescent="0.25">
      <c r="A94" s="215">
        <v>43368</v>
      </c>
      <c r="B94" s="862" t="s">
        <v>32</v>
      </c>
      <c r="C94" s="352" t="s">
        <v>12</v>
      </c>
      <c r="D94" s="874" t="s">
        <v>1485</v>
      </c>
      <c r="E94" s="870" t="s">
        <v>15</v>
      </c>
      <c r="F94" s="850">
        <v>14</v>
      </c>
      <c r="G94" s="946"/>
      <c r="H94" s="97"/>
      <c r="I94" s="946"/>
      <c r="J94" s="97"/>
      <c r="K94" s="946"/>
    </row>
    <row r="95" spans="1:12" s="224" customFormat="1" x14ac:dyDescent="0.25">
      <c r="A95" s="215">
        <v>43368</v>
      </c>
      <c r="B95" s="862" t="s">
        <v>1438</v>
      </c>
      <c r="C95" s="352" t="s">
        <v>19</v>
      </c>
      <c r="D95" s="874" t="s">
        <v>1489</v>
      </c>
      <c r="E95" s="870" t="s">
        <v>13</v>
      </c>
      <c r="F95" s="850">
        <v>68.06</v>
      </c>
      <c r="G95" s="946"/>
      <c r="H95" s="97"/>
      <c r="I95" s="946"/>
      <c r="J95" s="97"/>
      <c r="K95" s="946"/>
    </row>
    <row r="96" spans="1:12" s="224" customFormat="1" x14ac:dyDescent="0.25">
      <c r="A96" s="215">
        <v>43368</v>
      </c>
      <c r="B96" s="862" t="s">
        <v>1331</v>
      </c>
      <c r="C96" s="352" t="s">
        <v>12</v>
      </c>
      <c r="D96" s="874" t="s">
        <v>1487</v>
      </c>
      <c r="E96" s="870" t="s">
        <v>13</v>
      </c>
      <c r="F96" s="850">
        <v>72.209999999999994</v>
      </c>
      <c r="G96" s="946"/>
      <c r="H96" s="97"/>
      <c r="I96" s="946"/>
      <c r="J96" s="97"/>
      <c r="K96" s="946"/>
    </row>
    <row r="97" spans="1:11" s="224" customFormat="1" x14ac:dyDescent="0.25">
      <c r="A97" s="215">
        <v>43368</v>
      </c>
      <c r="B97" s="862" t="s">
        <v>2002</v>
      </c>
      <c r="C97" s="352" t="s">
        <v>12</v>
      </c>
      <c r="D97" s="874" t="s">
        <v>1489</v>
      </c>
      <c r="E97" s="870" t="s">
        <v>13</v>
      </c>
      <c r="F97" s="850">
        <v>2.5</v>
      </c>
      <c r="G97" s="946"/>
      <c r="H97" s="97"/>
      <c r="I97" s="946"/>
      <c r="J97" s="97"/>
      <c r="K97" s="946"/>
    </row>
    <row r="98" spans="1:11" s="224" customFormat="1" x14ac:dyDescent="0.25">
      <c r="A98" s="215">
        <v>43369</v>
      </c>
      <c r="B98" s="862" t="s">
        <v>32</v>
      </c>
      <c r="C98" s="352" t="s">
        <v>12</v>
      </c>
      <c r="D98" s="874" t="s">
        <v>1485</v>
      </c>
      <c r="E98" s="870" t="s">
        <v>13</v>
      </c>
      <c r="F98" s="850">
        <v>14</v>
      </c>
      <c r="G98" s="982"/>
      <c r="H98" s="622"/>
      <c r="I98" s="982"/>
      <c r="J98" s="622"/>
      <c r="K98" s="982"/>
    </row>
    <row r="99" spans="1:11" s="224" customFormat="1" x14ac:dyDescent="0.25">
      <c r="A99" s="215">
        <v>43369</v>
      </c>
      <c r="B99" s="349" t="s">
        <v>14</v>
      </c>
      <c r="C99" s="350" t="s">
        <v>12</v>
      </c>
      <c r="D99" s="350" t="s">
        <v>1486</v>
      </c>
      <c r="E99" s="480" t="s">
        <v>13</v>
      </c>
      <c r="F99" s="780">
        <v>6.64</v>
      </c>
      <c r="G99" s="982"/>
      <c r="H99" s="622"/>
      <c r="I99" s="982"/>
      <c r="J99" s="622"/>
      <c r="K99" s="982"/>
    </row>
    <row r="100" spans="1:11" s="224" customFormat="1" x14ac:dyDescent="0.25">
      <c r="A100" s="215">
        <v>43370</v>
      </c>
      <c r="B100" s="862" t="s">
        <v>32</v>
      </c>
      <c r="C100" s="352" t="s">
        <v>12</v>
      </c>
      <c r="D100" s="874" t="s">
        <v>1485</v>
      </c>
      <c r="E100" s="870" t="s">
        <v>15</v>
      </c>
      <c r="F100" s="850">
        <v>14</v>
      </c>
      <c r="G100" s="946"/>
      <c r="H100" s="97"/>
      <c r="I100" s="946"/>
      <c r="J100" s="97"/>
      <c r="K100" s="946"/>
    </row>
    <row r="101" spans="1:11" s="224" customFormat="1" x14ac:dyDescent="0.25">
      <c r="A101" s="215">
        <v>43370</v>
      </c>
      <c r="B101" s="349" t="s">
        <v>14</v>
      </c>
      <c r="C101" s="350" t="s">
        <v>12</v>
      </c>
      <c r="D101" s="350" t="s">
        <v>1486</v>
      </c>
      <c r="E101" s="480" t="s">
        <v>13</v>
      </c>
      <c r="F101" s="780">
        <v>18.649999999999999</v>
      </c>
      <c r="G101" s="982"/>
      <c r="H101" s="622"/>
      <c r="I101" s="1002"/>
      <c r="J101" s="622"/>
      <c r="K101" s="1002"/>
    </row>
    <row r="102" spans="1:11" s="224" customFormat="1" x14ac:dyDescent="0.25">
      <c r="A102" s="215">
        <v>43371</v>
      </c>
      <c r="B102" s="862" t="s">
        <v>32</v>
      </c>
      <c r="C102" s="352" t="s">
        <v>12</v>
      </c>
      <c r="D102" s="874" t="s">
        <v>1485</v>
      </c>
      <c r="E102" s="870" t="s">
        <v>13</v>
      </c>
      <c r="F102" s="850">
        <v>14</v>
      </c>
      <c r="G102" s="946"/>
      <c r="H102" s="97"/>
      <c r="I102" s="946"/>
      <c r="J102" s="97"/>
      <c r="K102" s="946"/>
    </row>
    <row r="103" spans="1:11" s="224" customFormat="1" x14ac:dyDescent="0.25">
      <c r="A103" s="215">
        <v>43371</v>
      </c>
      <c r="B103" s="862" t="s">
        <v>249</v>
      </c>
      <c r="C103" s="352" t="s">
        <v>12</v>
      </c>
      <c r="D103" s="874" t="s">
        <v>1493</v>
      </c>
      <c r="E103" s="870" t="s">
        <v>13</v>
      </c>
      <c r="F103" s="850">
        <v>3.5</v>
      </c>
      <c r="G103" s="946"/>
      <c r="H103" s="97"/>
      <c r="I103" s="946"/>
      <c r="J103" s="97"/>
      <c r="K103" s="946"/>
    </row>
    <row r="104" spans="1:11" s="224" customFormat="1" ht="14.25" customHeight="1" x14ac:dyDescent="0.25">
      <c r="A104" s="215">
        <v>43371</v>
      </c>
      <c r="B104" s="349" t="s">
        <v>14</v>
      </c>
      <c r="C104" s="350" t="s">
        <v>12</v>
      </c>
      <c r="D104" s="350" t="s">
        <v>1486</v>
      </c>
      <c r="E104" s="480" t="s">
        <v>13</v>
      </c>
      <c r="F104" s="780">
        <v>3.62</v>
      </c>
      <c r="G104" s="248"/>
      <c r="H104" s="622"/>
      <c r="I104" s="982"/>
      <c r="J104" s="622"/>
      <c r="K104" s="982"/>
    </row>
    <row r="105" spans="1:11" s="224" customFormat="1" ht="14.25" customHeight="1" x14ac:dyDescent="0.25">
      <c r="A105" s="215">
        <v>43371</v>
      </c>
      <c r="B105" s="349" t="s">
        <v>147</v>
      </c>
      <c r="C105" s="350" t="s">
        <v>12</v>
      </c>
      <c r="D105" s="350" t="s">
        <v>1506</v>
      </c>
      <c r="E105" s="480" t="s">
        <v>15</v>
      </c>
      <c r="F105" s="780">
        <v>15</v>
      </c>
      <c r="G105" s="248"/>
      <c r="H105" s="622"/>
      <c r="I105" s="982"/>
      <c r="J105" s="622"/>
      <c r="K105" s="982"/>
    </row>
    <row r="106" spans="1:11" s="224" customFormat="1" x14ac:dyDescent="0.25">
      <c r="A106" s="215">
        <v>43372</v>
      </c>
      <c r="B106" s="862" t="s">
        <v>1438</v>
      </c>
      <c r="C106" s="352" t="s">
        <v>19</v>
      </c>
      <c r="D106" s="874" t="s">
        <v>1489</v>
      </c>
      <c r="E106" s="870" t="s">
        <v>13</v>
      </c>
      <c r="F106" s="850">
        <v>41.94</v>
      </c>
      <c r="G106" s="946"/>
      <c r="H106" s="97"/>
      <c r="I106" s="946"/>
      <c r="J106" s="97"/>
      <c r="K106" s="946"/>
    </row>
    <row r="107" spans="1:11" s="224" customFormat="1" x14ac:dyDescent="0.25">
      <c r="A107" s="215">
        <v>43372</v>
      </c>
      <c r="B107" s="862" t="s">
        <v>1331</v>
      </c>
      <c r="C107" s="352" t="s">
        <v>12</v>
      </c>
      <c r="D107" s="874" t="s">
        <v>1487</v>
      </c>
      <c r="E107" s="870" t="s">
        <v>15</v>
      </c>
      <c r="F107" s="850">
        <v>40</v>
      </c>
      <c r="G107" s="946"/>
      <c r="H107" s="97"/>
      <c r="I107" s="946"/>
      <c r="J107" s="97"/>
      <c r="K107" s="946"/>
    </row>
    <row r="108" spans="1:11" s="224" customFormat="1" ht="15" customHeight="1" x14ac:dyDescent="0.25">
      <c r="A108" s="215">
        <v>43372</v>
      </c>
      <c r="B108" s="364" t="s">
        <v>2003</v>
      </c>
      <c r="C108" s="350" t="s">
        <v>12</v>
      </c>
      <c r="D108" s="350" t="s">
        <v>1523</v>
      </c>
      <c r="E108" s="480" t="s">
        <v>13</v>
      </c>
      <c r="F108" s="622">
        <v>50</v>
      </c>
      <c r="G108" s="982"/>
      <c r="H108" s="622"/>
      <c r="I108" s="982"/>
      <c r="J108" s="622"/>
      <c r="K108" s="982"/>
    </row>
    <row r="109" spans="1:11" s="224" customFormat="1" x14ac:dyDescent="0.25">
      <c r="A109" s="215">
        <v>43372</v>
      </c>
      <c r="B109" s="862" t="s">
        <v>521</v>
      </c>
      <c r="C109" s="352" t="s">
        <v>12</v>
      </c>
      <c r="D109" s="874" t="s">
        <v>1523</v>
      </c>
      <c r="E109" s="870" t="s">
        <v>13</v>
      </c>
      <c r="F109" s="850">
        <v>11.81</v>
      </c>
      <c r="G109" s="946"/>
      <c r="H109" s="97"/>
      <c r="I109" s="946"/>
      <c r="J109" s="97"/>
      <c r="K109" s="946"/>
    </row>
    <row r="110" spans="1:11" s="224" customFormat="1" ht="15" customHeight="1" x14ac:dyDescent="0.25">
      <c r="A110" s="215">
        <v>43372</v>
      </c>
      <c r="B110" s="364" t="s">
        <v>2004</v>
      </c>
      <c r="C110" s="350" t="s">
        <v>12</v>
      </c>
      <c r="D110" s="350" t="s">
        <v>1523</v>
      </c>
      <c r="E110" s="480" t="s">
        <v>15</v>
      </c>
      <c r="F110" s="622">
        <v>20</v>
      </c>
      <c r="G110" s="982"/>
      <c r="H110" s="622"/>
      <c r="I110" s="982"/>
      <c r="J110" s="622"/>
      <c r="K110" s="982"/>
    </row>
    <row r="111" spans="1:11" s="224" customFormat="1" ht="15" customHeight="1" x14ac:dyDescent="0.25">
      <c r="A111" s="215">
        <v>43372</v>
      </c>
      <c r="B111" s="364" t="s">
        <v>2005</v>
      </c>
      <c r="C111" s="350" t="s">
        <v>12</v>
      </c>
      <c r="D111" s="350" t="s">
        <v>1523</v>
      </c>
      <c r="E111" s="480" t="s">
        <v>13</v>
      </c>
      <c r="F111" s="622">
        <v>20</v>
      </c>
      <c r="G111" s="982"/>
      <c r="H111" s="622"/>
      <c r="I111" s="982"/>
      <c r="J111" s="622"/>
      <c r="K111" s="982"/>
    </row>
    <row r="112" spans="1:11" s="224" customFormat="1" x14ac:dyDescent="0.25">
      <c r="A112" s="215">
        <v>43372</v>
      </c>
      <c r="B112" s="862" t="s">
        <v>2006</v>
      </c>
      <c r="C112" s="352" t="s">
        <v>12</v>
      </c>
      <c r="D112" s="874" t="s">
        <v>1523</v>
      </c>
      <c r="E112" s="870" t="s">
        <v>13</v>
      </c>
      <c r="F112" s="850">
        <v>75</v>
      </c>
      <c r="G112" s="946"/>
      <c r="H112" s="97"/>
      <c r="I112" s="946"/>
      <c r="J112" s="97"/>
      <c r="K112" s="946"/>
    </row>
    <row r="113" spans="1:12" s="224" customFormat="1" ht="15" customHeight="1" x14ac:dyDescent="0.25">
      <c r="A113" s="215">
        <v>43372</v>
      </c>
      <c r="B113" s="364" t="s">
        <v>2007</v>
      </c>
      <c r="C113" s="350" t="s">
        <v>12</v>
      </c>
      <c r="D113" s="350" t="s">
        <v>1493</v>
      </c>
      <c r="E113" s="480" t="s">
        <v>13</v>
      </c>
      <c r="F113" s="622">
        <v>20</v>
      </c>
      <c r="G113" s="982"/>
      <c r="H113" s="622"/>
      <c r="I113" s="982"/>
      <c r="J113" s="622"/>
      <c r="K113" s="982"/>
    </row>
    <row r="114" spans="1:12" s="224" customFormat="1" x14ac:dyDescent="0.25">
      <c r="A114" s="215">
        <v>43373</v>
      </c>
      <c r="B114" s="862" t="s">
        <v>1666</v>
      </c>
      <c r="C114" s="350" t="s">
        <v>12</v>
      </c>
      <c r="D114" s="350"/>
      <c r="E114" s="757" t="s">
        <v>25</v>
      </c>
      <c r="F114" s="622"/>
      <c r="G114" s="982"/>
      <c r="H114" s="622"/>
      <c r="I114" s="982"/>
      <c r="J114" s="622"/>
      <c r="K114" s="982">
        <v>39.03</v>
      </c>
    </row>
    <row r="115" spans="1:12" s="224" customFormat="1" ht="15" customHeight="1" thickBot="1" x14ac:dyDescent="0.3">
      <c r="A115" s="215">
        <v>43373</v>
      </c>
      <c r="B115" s="862" t="s">
        <v>1710</v>
      </c>
      <c r="C115" s="879" t="s">
        <v>12</v>
      </c>
      <c r="D115" s="879" t="s">
        <v>1504</v>
      </c>
      <c r="E115" s="871" t="s">
        <v>13</v>
      </c>
      <c r="F115" s="804">
        <v>27.9</v>
      </c>
      <c r="G115" s="946"/>
      <c r="H115" s="97"/>
      <c r="I115" s="946"/>
      <c r="J115" s="97"/>
      <c r="K115" s="946"/>
    </row>
    <row r="116" spans="1:12" ht="25.5" customHeight="1" thickBot="1" x14ac:dyDescent="0.3">
      <c r="A116" s="3060"/>
      <c r="B116" s="3061"/>
      <c r="C116" s="3062"/>
      <c r="D116" s="3062"/>
      <c r="E116" s="3062"/>
      <c r="F116" s="100">
        <f>SUM(F6:F115)</f>
        <v>4207.91</v>
      </c>
      <c r="G116" s="1065">
        <f>SUM(G5:G115)</f>
        <v>4314.7900000000109</v>
      </c>
      <c r="H116" s="101">
        <f>SUM(H6:H115)</f>
        <v>550</v>
      </c>
      <c r="I116" s="93">
        <f>SUM(I5:I115)</f>
        <v>2852.2260000000019</v>
      </c>
      <c r="J116" s="774"/>
      <c r="K116" s="1516"/>
      <c r="L116" s="89"/>
    </row>
    <row r="117" spans="1:12" ht="25.5" customHeight="1" thickBot="1" x14ac:dyDescent="0.3">
      <c r="A117" s="3117" t="s">
        <v>49</v>
      </c>
      <c r="B117" s="3118"/>
      <c r="C117" s="3118"/>
      <c r="D117" s="3118"/>
      <c r="E117" s="3118"/>
      <c r="F117" s="144"/>
      <c r="G117" s="519">
        <f>G116-F116</f>
        <v>106.88000000001102</v>
      </c>
      <c r="H117" s="555"/>
      <c r="I117" s="772">
        <f>I116-H116</f>
        <v>2302.2260000000019</v>
      </c>
      <c r="J117" s="773"/>
      <c r="K117" s="775">
        <f>SUM(K5:K116)</f>
        <v>9705.25</v>
      </c>
    </row>
    <row r="118" spans="1:12" x14ac:dyDescent="0.25">
      <c r="G118" s="89"/>
      <c r="J118" s="769"/>
      <c r="K118" s="868"/>
    </row>
    <row r="119" spans="1:12" x14ac:dyDescent="0.25">
      <c r="B119" s="79" t="s">
        <v>32</v>
      </c>
      <c r="C119" s="475">
        <v>325.8</v>
      </c>
      <c r="D119" s="85" t="s">
        <v>1485</v>
      </c>
      <c r="J119" s="769"/>
      <c r="K119" s="866"/>
    </row>
    <row r="120" spans="1:12" x14ac:dyDescent="0.25">
      <c r="B120" s="79" t="s">
        <v>1218</v>
      </c>
      <c r="C120" s="475">
        <v>402.21</v>
      </c>
      <c r="D120" s="85" t="s">
        <v>1487</v>
      </c>
      <c r="J120" s="769"/>
      <c r="K120" s="868"/>
    </row>
    <row r="121" spans="1:12" x14ac:dyDescent="0.25">
      <c r="B121" s="79" t="s">
        <v>50</v>
      </c>
      <c r="C121" s="854">
        <v>164.33</v>
      </c>
      <c r="D121" s="85" t="s">
        <v>1493</v>
      </c>
      <c r="J121" s="769"/>
      <c r="K121" s="866"/>
    </row>
    <row r="122" spans="1:12" s="85" customFormat="1" x14ac:dyDescent="0.25">
      <c r="A122" s="79"/>
      <c r="B122" s="79" t="s">
        <v>14</v>
      </c>
      <c r="C122" s="484">
        <v>114</v>
      </c>
      <c r="D122" s="85" t="s">
        <v>1486</v>
      </c>
      <c r="J122" s="769"/>
      <c r="K122" s="866"/>
    </row>
    <row r="123" spans="1:12" s="85" customFormat="1" x14ac:dyDescent="0.25">
      <c r="A123" s="79"/>
      <c r="B123" s="79" t="s">
        <v>51</v>
      </c>
      <c r="C123" s="475">
        <v>110</v>
      </c>
      <c r="D123" s="864" t="s">
        <v>1499</v>
      </c>
      <c r="E123" s="79"/>
      <c r="F123" s="89"/>
      <c r="G123" s="79"/>
      <c r="H123" s="79"/>
      <c r="I123" s="79"/>
      <c r="J123" s="769"/>
      <c r="K123" s="866"/>
    </row>
    <row r="124" spans="1:12" s="85" customFormat="1" x14ac:dyDescent="0.25">
      <c r="A124" s="79"/>
      <c r="B124" s="79" t="s">
        <v>52</v>
      </c>
      <c r="C124" s="475">
        <v>165.6</v>
      </c>
      <c r="D124" s="864" t="s">
        <v>1496</v>
      </c>
      <c r="F124" s="89"/>
      <c r="G124" s="79"/>
      <c r="H124" s="79"/>
      <c r="I124" s="79"/>
      <c r="J124" s="769"/>
      <c r="K124" s="866"/>
    </row>
    <row r="125" spans="1:12" s="85" customFormat="1" x14ac:dyDescent="0.25">
      <c r="A125" s="79"/>
      <c r="B125" s="867" t="s">
        <v>53</v>
      </c>
      <c r="C125" s="475">
        <v>5</v>
      </c>
      <c r="D125" s="864" t="s">
        <v>1522</v>
      </c>
      <c r="E125" s="89"/>
      <c r="F125" s="89"/>
      <c r="G125" s="79"/>
      <c r="H125" s="79"/>
      <c r="I125" s="79"/>
      <c r="J125" s="769"/>
      <c r="K125" s="866"/>
    </row>
    <row r="126" spans="1:12" s="85" customFormat="1" x14ac:dyDescent="0.25">
      <c r="A126" s="79"/>
      <c r="B126" s="79" t="s">
        <v>1823</v>
      </c>
      <c r="C126" s="475"/>
      <c r="D126" s="864" t="s">
        <v>1515</v>
      </c>
      <c r="F126" s="89"/>
      <c r="G126" s="79"/>
      <c r="H126" s="79"/>
      <c r="I126" s="79"/>
      <c r="J126" s="769"/>
      <c r="K126" s="866"/>
    </row>
    <row r="127" spans="1:12" s="85" customFormat="1" x14ac:dyDescent="0.25">
      <c r="A127" s="79"/>
      <c r="B127" s="79" t="s">
        <v>2008</v>
      </c>
      <c r="C127" s="475">
        <v>255.81</v>
      </c>
      <c r="D127" s="864" t="s">
        <v>1523</v>
      </c>
      <c r="F127" s="89"/>
      <c r="G127" s="79"/>
      <c r="H127" s="79"/>
      <c r="I127" s="79"/>
      <c r="J127" s="769"/>
      <c r="K127" s="868"/>
    </row>
    <row r="128" spans="1:12" s="85" customFormat="1" x14ac:dyDescent="0.25">
      <c r="A128" s="79"/>
      <c r="B128" s="79" t="s">
        <v>1686</v>
      </c>
      <c r="C128" s="475">
        <v>268.93</v>
      </c>
      <c r="D128" s="864" t="s">
        <v>1506</v>
      </c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418</v>
      </c>
      <c r="C129" s="475">
        <v>100</v>
      </c>
      <c r="D129" s="85" t="s">
        <v>1524</v>
      </c>
      <c r="E129" s="79"/>
      <c r="F129" s="89"/>
      <c r="J129" s="769"/>
      <c r="K129" s="866"/>
    </row>
    <row r="130" spans="1:11" x14ac:dyDescent="0.25">
      <c r="B130" s="79" t="s">
        <v>419</v>
      </c>
      <c r="C130" s="861">
        <v>774</v>
      </c>
      <c r="D130" s="85" t="s">
        <v>1491</v>
      </c>
      <c r="J130" s="769"/>
      <c r="K130" s="868"/>
    </row>
    <row r="131" spans="1:11" x14ac:dyDescent="0.25">
      <c r="B131" s="79" t="s">
        <v>911</v>
      </c>
      <c r="C131" s="861">
        <v>133.33000000000001</v>
      </c>
      <c r="D131" s="85" t="s">
        <v>1525</v>
      </c>
      <c r="J131" s="769"/>
      <c r="K131" s="868"/>
    </row>
    <row r="132" spans="1:11" x14ac:dyDescent="0.25">
      <c r="B132" s="79" t="s">
        <v>1526</v>
      </c>
      <c r="C132" s="861">
        <v>146.82</v>
      </c>
      <c r="D132" s="85" t="s">
        <v>1504</v>
      </c>
      <c r="E132" s="79"/>
      <c r="J132" s="769"/>
      <c r="K132" s="866"/>
    </row>
    <row r="133" spans="1:11" x14ac:dyDescent="0.25">
      <c r="B133" s="79" t="s">
        <v>1527</v>
      </c>
      <c r="C133" s="861">
        <v>369.17</v>
      </c>
      <c r="D133" s="85" t="s">
        <v>1489</v>
      </c>
      <c r="J133" s="769"/>
      <c r="K133" s="868"/>
    </row>
    <row r="134" spans="1:11" x14ac:dyDescent="0.25">
      <c r="J134" s="769"/>
      <c r="K134" s="866"/>
    </row>
    <row r="135" spans="1:11" x14ac:dyDescent="0.25">
      <c r="F135" s="85"/>
      <c r="J135" s="769"/>
      <c r="K135" s="866"/>
    </row>
    <row r="136" spans="1:11" x14ac:dyDescent="0.25">
      <c r="B136" s="79" t="s">
        <v>486</v>
      </c>
      <c r="C136" s="475">
        <f>H136/J136</f>
        <v>111.16666666666669</v>
      </c>
      <c r="F136" s="224" t="s">
        <v>487</v>
      </c>
      <c r="H136" s="216">
        <f>SUM(C119:C133)</f>
        <v>3335.0000000000005</v>
      </c>
      <c r="I136" s="518" t="s">
        <v>488</v>
      </c>
      <c r="J136" s="1517">
        <v>30</v>
      </c>
      <c r="K136" s="866"/>
    </row>
    <row r="137" spans="1:11" x14ac:dyDescent="0.25">
      <c r="J137" s="769"/>
      <c r="K137" s="866"/>
    </row>
    <row r="138" spans="1:11" x14ac:dyDescent="0.25">
      <c r="J138" s="769"/>
      <c r="K138" s="868"/>
    </row>
    <row r="139" spans="1:11" x14ac:dyDescent="0.25">
      <c r="K139" s="866"/>
    </row>
    <row r="140" spans="1:11" x14ac:dyDescent="0.25">
      <c r="D140" s="79"/>
      <c r="E140" s="79"/>
      <c r="J140" s="769"/>
      <c r="K140" s="866"/>
    </row>
    <row r="141" spans="1:11" x14ac:dyDescent="0.25">
      <c r="J141" s="769"/>
      <c r="K141" s="866"/>
    </row>
    <row r="142" spans="1:11" x14ac:dyDescent="0.25">
      <c r="F142" s="89" t="s">
        <v>2009</v>
      </c>
      <c r="J142" s="769"/>
      <c r="K142" s="866"/>
    </row>
    <row r="143" spans="1:11" x14ac:dyDescent="0.25">
      <c r="J143" s="769"/>
      <c r="K143" s="866"/>
    </row>
    <row r="144" spans="1:11" x14ac:dyDescent="0.25">
      <c r="C144" s="79"/>
      <c r="D144" s="79"/>
      <c r="E144" s="79"/>
      <c r="F144" s="79"/>
      <c r="I144" s="216"/>
      <c r="J144" s="769"/>
      <c r="K144" s="866"/>
    </row>
    <row r="145" spans="3:11" x14ac:dyDescent="0.25">
      <c r="C145" s="79"/>
      <c r="D145" s="79"/>
      <c r="E145" s="79"/>
      <c r="F145" s="79"/>
      <c r="I145" s="216"/>
      <c r="J145" s="769"/>
      <c r="K145" s="866"/>
    </row>
    <row r="146" spans="3:11" x14ac:dyDescent="0.25">
      <c r="C146" s="79"/>
      <c r="D146" s="79"/>
      <c r="E146" s="79"/>
      <c r="F146" s="79"/>
      <c r="G146" s="216"/>
      <c r="I146" s="216"/>
      <c r="J146" s="769"/>
      <c r="K146" s="868"/>
    </row>
    <row r="147" spans="3:11" x14ac:dyDescent="0.25">
      <c r="C147" s="79"/>
      <c r="D147" s="79"/>
      <c r="E147" s="79"/>
      <c r="F147" s="79"/>
      <c r="G147" s="216"/>
      <c r="I147" s="216"/>
      <c r="J147" s="769"/>
      <c r="K147" s="866"/>
    </row>
    <row r="148" spans="3:11" x14ac:dyDescent="0.25">
      <c r="C148" s="79"/>
      <c r="D148" s="79"/>
      <c r="E148" s="79"/>
      <c r="F148" s="79"/>
      <c r="G148" s="216"/>
      <c r="J148" s="770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8"/>
    </row>
    <row r="150" spans="3:11" x14ac:dyDescent="0.25">
      <c r="J150" s="769"/>
      <c r="K150" s="866"/>
    </row>
    <row r="151" spans="3:11" x14ac:dyDescent="0.25">
      <c r="C151" s="79"/>
      <c r="D151" s="79"/>
      <c r="E151" s="79"/>
      <c r="F151" s="79"/>
      <c r="I151" s="629"/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J166" s="769"/>
      <c r="K166" s="866"/>
    </row>
    <row r="167" spans="3:11" x14ac:dyDescent="0.25">
      <c r="J167" s="769"/>
      <c r="K167" s="866"/>
    </row>
    <row r="168" spans="3:11" x14ac:dyDescent="0.25">
      <c r="J168" s="769"/>
      <c r="K168" s="868"/>
    </row>
    <row r="169" spans="3:11" x14ac:dyDescent="0.25">
      <c r="J169" s="769"/>
      <c r="K169" s="866"/>
    </row>
    <row r="170" spans="3:11" x14ac:dyDescent="0.25">
      <c r="J170" s="769"/>
      <c r="K170" s="866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6"/>
    </row>
    <row r="176" spans="3:11" x14ac:dyDescent="0.25">
      <c r="C176" s="79"/>
      <c r="D176" s="79"/>
      <c r="E176" s="79"/>
      <c r="F176" s="79"/>
      <c r="J176" s="223"/>
      <c r="K176" s="629"/>
    </row>
    <row r="177" spans="3:11" x14ac:dyDescent="0.25">
      <c r="C177" s="79"/>
      <c r="D177" s="79"/>
      <c r="E177" s="79"/>
      <c r="F177" s="79"/>
      <c r="J177" s="756"/>
      <c r="K177" s="756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  <c r="J182" s="85"/>
      <c r="K182" s="85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  <c r="J189" s="85"/>
      <c r="K189" s="85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  <c r="J196" s="771"/>
      <c r="K196" s="518"/>
    </row>
    <row r="197" spans="3:11" x14ac:dyDescent="0.25">
      <c r="C197" s="79"/>
      <c r="D197" s="79"/>
      <c r="E197" s="79"/>
      <c r="F197" s="79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6" spans="3:11" x14ac:dyDescent="0.25">
      <c r="C206" s="79"/>
      <c r="D206" s="79"/>
      <c r="E206" s="79"/>
      <c r="F206" s="79"/>
      <c r="K206" s="216"/>
    </row>
    <row r="207" spans="3:11" x14ac:dyDescent="0.25">
      <c r="C207" s="79"/>
      <c r="D207" s="79"/>
      <c r="E207" s="79"/>
      <c r="F207" s="79"/>
      <c r="K207" s="216"/>
    </row>
    <row r="209" spans="3:11" x14ac:dyDescent="0.25">
      <c r="C209" s="79"/>
      <c r="D209" s="79"/>
      <c r="E209" s="79"/>
      <c r="F209" s="79"/>
      <c r="K209" s="216"/>
    </row>
    <row r="211" spans="3:11" x14ac:dyDescent="0.25">
      <c r="C211" s="79"/>
      <c r="D211" s="79"/>
      <c r="E211" s="79"/>
      <c r="F211" s="79"/>
      <c r="K211" s="629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</sheetData>
  <autoFilter ref="A2:I117" xr:uid="{00000000-0009-0000-0000-00004D000000}"/>
  <mergeCells count="14">
    <mergeCell ref="M25:N25"/>
    <mergeCell ref="A116:E116"/>
    <mergeCell ref="A117:E11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6:N6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Plan90"/>
  <dimension ref="A1:N218"/>
  <sheetViews>
    <sheetView zoomScale="85" zoomScaleNormal="85" workbookViewId="0">
      <pane ySplit="4" topLeftCell="A80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14" style="79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2010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4" x14ac:dyDescent="0.25">
      <c r="A5" s="281">
        <v>43374</v>
      </c>
      <c r="B5" s="369" t="s">
        <v>10</v>
      </c>
      <c r="C5" s="370"/>
      <c r="D5" s="370"/>
      <c r="E5" s="777"/>
      <c r="F5" s="179"/>
      <c r="G5" s="933">
        <f>'Setembro-18'!G117</f>
        <v>106.88000000001102</v>
      </c>
      <c r="H5" s="179"/>
      <c r="I5" s="933">
        <f>'Setembro-18'!I117</f>
        <v>2302.2260000000019</v>
      </c>
      <c r="J5" s="179"/>
      <c r="K5" s="933">
        <f>'Setembro-18'!K117</f>
        <v>9705.25</v>
      </c>
    </row>
    <row r="6" spans="1:14" s="224" customFormat="1" x14ac:dyDescent="0.25">
      <c r="A6" s="215">
        <v>43374</v>
      </c>
      <c r="B6" s="348" t="s">
        <v>11</v>
      </c>
      <c r="C6" s="351"/>
      <c r="D6" s="351"/>
      <c r="E6" s="673"/>
      <c r="F6" s="250">
        <v>25</v>
      </c>
      <c r="G6" s="1473"/>
      <c r="H6" s="250"/>
      <c r="I6" s="1473"/>
      <c r="J6" s="250"/>
      <c r="K6" s="1473"/>
      <c r="L6" s="883"/>
      <c r="M6" s="89"/>
      <c r="N6" s="89"/>
    </row>
    <row r="7" spans="1:14" s="224" customFormat="1" ht="15" customHeight="1" x14ac:dyDescent="0.25">
      <c r="A7" s="215">
        <v>43374</v>
      </c>
      <c r="B7" s="862" t="s">
        <v>256</v>
      </c>
      <c r="C7" s="879"/>
      <c r="D7" s="879"/>
      <c r="E7" s="871"/>
      <c r="F7" s="97"/>
      <c r="G7" s="1064">
        <v>152.22999999999999</v>
      </c>
      <c r="H7" s="97">
        <v>152.22999999999999</v>
      </c>
      <c r="I7" s="982"/>
      <c r="J7" s="622"/>
      <c r="K7" s="982"/>
    </row>
    <row r="8" spans="1:14" s="224" customFormat="1" ht="15" customHeight="1" x14ac:dyDescent="0.25">
      <c r="A8" s="215">
        <v>43374</v>
      </c>
      <c r="B8" s="862" t="s">
        <v>32</v>
      </c>
      <c r="C8" s="352" t="s">
        <v>12</v>
      </c>
      <c r="D8" s="874" t="s">
        <v>1485</v>
      </c>
      <c r="E8" s="870" t="s">
        <v>15</v>
      </c>
      <c r="F8" s="850">
        <v>14</v>
      </c>
      <c r="G8" s="1063"/>
      <c r="H8" s="622"/>
      <c r="I8" s="982"/>
      <c r="J8" s="622"/>
      <c r="K8" s="982"/>
    </row>
    <row r="9" spans="1:14" s="224" customFormat="1" ht="15" customHeight="1" x14ac:dyDescent="0.25">
      <c r="A9" s="215">
        <v>43374</v>
      </c>
      <c r="B9" s="349" t="s">
        <v>1689</v>
      </c>
      <c r="C9" s="350" t="s">
        <v>19</v>
      </c>
      <c r="D9" s="802" t="s">
        <v>1491</v>
      </c>
      <c r="E9" s="778" t="s">
        <v>13</v>
      </c>
      <c r="F9" s="844">
        <v>59</v>
      </c>
      <c r="G9" s="1063"/>
      <c r="H9" s="622"/>
      <c r="I9" s="982"/>
      <c r="J9" s="622"/>
      <c r="K9" s="982"/>
    </row>
    <row r="10" spans="1:14" s="224" customFormat="1" ht="15" customHeight="1" x14ac:dyDescent="0.25">
      <c r="A10" s="215">
        <v>43374</v>
      </c>
      <c r="B10" s="349" t="s">
        <v>14</v>
      </c>
      <c r="C10" s="350" t="s">
        <v>12</v>
      </c>
      <c r="D10" s="350" t="s">
        <v>1486</v>
      </c>
      <c r="E10" s="480" t="s">
        <v>15</v>
      </c>
      <c r="F10" s="780">
        <v>3.63</v>
      </c>
      <c r="G10" s="1063"/>
      <c r="H10" s="622"/>
      <c r="I10" s="982"/>
      <c r="J10" s="622"/>
      <c r="K10" s="982"/>
    </row>
    <row r="11" spans="1:14" s="224" customFormat="1" ht="15" customHeight="1" x14ac:dyDescent="0.25">
      <c r="A11" s="215">
        <v>43375</v>
      </c>
      <c r="B11" s="862" t="s">
        <v>32</v>
      </c>
      <c r="C11" s="352" t="s">
        <v>12</v>
      </c>
      <c r="D11" s="874" t="s">
        <v>1485</v>
      </c>
      <c r="E11" s="870" t="s">
        <v>13</v>
      </c>
      <c r="F11" s="850">
        <v>14</v>
      </c>
      <c r="G11" s="1063"/>
      <c r="H11" s="622"/>
      <c r="I11" s="982"/>
      <c r="J11" s="622"/>
      <c r="K11" s="982"/>
    </row>
    <row r="12" spans="1:14" s="224" customFormat="1" ht="15" customHeight="1" x14ac:dyDescent="0.25">
      <c r="A12" s="215">
        <v>43375</v>
      </c>
      <c r="B12" s="349" t="s">
        <v>14</v>
      </c>
      <c r="C12" s="350" t="s">
        <v>12</v>
      </c>
      <c r="D12" s="350" t="s">
        <v>1486</v>
      </c>
      <c r="E12" s="480" t="s">
        <v>13</v>
      </c>
      <c r="F12" s="780">
        <v>7.67</v>
      </c>
      <c r="G12" s="1064"/>
      <c r="H12" s="97"/>
      <c r="I12" s="982"/>
      <c r="J12" s="622"/>
      <c r="K12" s="982"/>
    </row>
    <row r="13" spans="1:14" s="224" customFormat="1" ht="15" customHeight="1" x14ac:dyDescent="0.25">
      <c r="A13" s="215">
        <v>43376</v>
      </c>
      <c r="B13" s="862" t="s">
        <v>32</v>
      </c>
      <c r="C13" s="352" t="s">
        <v>12</v>
      </c>
      <c r="D13" s="874" t="s">
        <v>1485</v>
      </c>
      <c r="E13" s="870" t="s">
        <v>13</v>
      </c>
      <c r="F13" s="850">
        <v>14</v>
      </c>
      <c r="G13" s="1063"/>
      <c r="H13" s="622"/>
      <c r="I13" s="982"/>
      <c r="J13" s="622"/>
      <c r="K13" s="982"/>
    </row>
    <row r="14" spans="1:14" s="224" customFormat="1" x14ac:dyDescent="0.25">
      <c r="A14" s="215">
        <v>43376</v>
      </c>
      <c r="B14" s="349" t="s">
        <v>2011</v>
      </c>
      <c r="C14" s="350" t="s">
        <v>12</v>
      </c>
      <c r="D14" s="350" t="s">
        <v>1493</v>
      </c>
      <c r="E14" s="871" t="s">
        <v>13</v>
      </c>
      <c r="F14" s="853">
        <v>14</v>
      </c>
      <c r="G14" s="982"/>
      <c r="H14" s="622"/>
      <c r="I14" s="1002"/>
      <c r="J14" s="622"/>
      <c r="K14" s="1002"/>
    </row>
    <row r="15" spans="1:14" s="224" customFormat="1" ht="15" customHeight="1" x14ac:dyDescent="0.25">
      <c r="A15" s="215">
        <v>43377</v>
      </c>
      <c r="B15" s="862" t="s">
        <v>32</v>
      </c>
      <c r="C15" s="352" t="s">
        <v>12</v>
      </c>
      <c r="D15" s="874" t="s">
        <v>1485</v>
      </c>
      <c r="E15" s="870" t="s">
        <v>15</v>
      </c>
      <c r="F15" s="850">
        <v>14</v>
      </c>
      <c r="G15" s="1063"/>
      <c r="H15" s="622"/>
      <c r="I15" s="982"/>
      <c r="J15" s="622"/>
      <c r="K15" s="982"/>
    </row>
    <row r="16" spans="1:14" s="224" customFormat="1" ht="15" customHeight="1" x14ac:dyDescent="0.25">
      <c r="A16" s="215">
        <v>43377</v>
      </c>
      <c r="B16" s="862" t="s">
        <v>1331</v>
      </c>
      <c r="C16" s="352" t="s">
        <v>12</v>
      </c>
      <c r="D16" s="874" t="s">
        <v>1487</v>
      </c>
      <c r="E16" s="870" t="s">
        <v>15</v>
      </c>
      <c r="F16" s="850">
        <v>70</v>
      </c>
      <c r="G16" s="1063"/>
      <c r="H16" s="622"/>
      <c r="I16" s="982"/>
      <c r="J16" s="622"/>
      <c r="K16" s="982"/>
    </row>
    <row r="17" spans="1:14" s="224" customFormat="1" ht="15" customHeight="1" x14ac:dyDescent="0.25">
      <c r="A17" s="215">
        <v>43377</v>
      </c>
      <c r="B17" s="349" t="s">
        <v>14</v>
      </c>
      <c r="C17" s="350" t="s">
        <v>12</v>
      </c>
      <c r="D17" s="350" t="s">
        <v>1486</v>
      </c>
      <c r="E17" s="480" t="s">
        <v>13</v>
      </c>
      <c r="F17" s="780">
        <v>3.36</v>
      </c>
      <c r="G17" s="1063"/>
      <c r="H17" s="622"/>
      <c r="I17" s="982"/>
      <c r="J17" s="622"/>
      <c r="K17" s="982"/>
    </row>
    <row r="18" spans="1:14" s="224" customFormat="1" ht="15.75" customHeight="1" x14ac:dyDescent="0.25">
      <c r="A18" s="215">
        <v>43378</v>
      </c>
      <c r="B18" s="349" t="s">
        <v>2012</v>
      </c>
      <c r="C18" s="879" t="s">
        <v>12</v>
      </c>
      <c r="D18" s="874"/>
      <c r="E18" s="871" t="s">
        <v>25</v>
      </c>
      <c r="F18" s="1524"/>
      <c r="G18" s="1002">
        <v>1837.68</v>
      </c>
      <c r="H18" s="538"/>
      <c r="I18" s="982"/>
      <c r="J18" s="622"/>
      <c r="K18" s="982"/>
      <c r="L18" s="475"/>
    </row>
    <row r="19" spans="1:14" s="224" customFormat="1" x14ac:dyDescent="0.25">
      <c r="A19" s="215">
        <v>43378</v>
      </c>
      <c r="B19" s="862" t="s">
        <v>2013</v>
      </c>
      <c r="C19" s="879" t="s">
        <v>12</v>
      </c>
      <c r="D19" s="879"/>
      <c r="E19" s="871" t="s">
        <v>13</v>
      </c>
      <c r="F19" s="613">
        <v>586.65</v>
      </c>
      <c r="G19" s="982"/>
      <c r="H19" s="622"/>
      <c r="I19" s="982"/>
      <c r="J19" s="780"/>
      <c r="K19" s="614"/>
      <c r="L19" s="861">
        <v>681.65</v>
      </c>
      <c r="M19" s="89"/>
      <c r="N19" s="89"/>
    </row>
    <row r="20" spans="1:14" x14ac:dyDescent="0.25">
      <c r="A20" s="215">
        <v>43378</v>
      </c>
      <c r="B20" s="862" t="s">
        <v>1961</v>
      </c>
      <c r="C20" s="879" t="s">
        <v>12</v>
      </c>
      <c r="D20" s="879" t="s">
        <v>1504</v>
      </c>
      <c r="E20" s="871" t="s">
        <v>13</v>
      </c>
      <c r="F20" s="780">
        <v>50</v>
      </c>
      <c r="G20" s="982"/>
      <c r="H20" s="622"/>
      <c r="I20" s="982"/>
      <c r="J20" s="622"/>
      <c r="K20" s="1002"/>
      <c r="L20" s="854">
        <v>90</v>
      </c>
    </row>
    <row r="21" spans="1:14" x14ac:dyDescent="0.25">
      <c r="A21" s="215">
        <v>43378</v>
      </c>
      <c r="B21" s="882" t="s">
        <v>2014</v>
      </c>
      <c r="C21" s="879" t="s">
        <v>12</v>
      </c>
      <c r="D21" s="879" t="s">
        <v>1499</v>
      </c>
      <c r="E21" s="871" t="s">
        <v>13</v>
      </c>
      <c r="F21" s="780">
        <v>65</v>
      </c>
      <c r="G21" s="982"/>
      <c r="H21" s="622"/>
      <c r="I21" s="982"/>
      <c r="J21" s="780"/>
      <c r="K21" s="614"/>
      <c r="L21" s="854">
        <v>285.25</v>
      </c>
    </row>
    <row r="22" spans="1:14" x14ac:dyDescent="0.25">
      <c r="A22" s="215">
        <v>43378</v>
      </c>
      <c r="B22" s="876" t="s">
        <v>52</v>
      </c>
      <c r="C22" s="879" t="s">
        <v>12</v>
      </c>
      <c r="D22" s="879" t="s">
        <v>1496</v>
      </c>
      <c r="E22" s="871" t="s">
        <v>13</v>
      </c>
      <c r="F22" s="780">
        <v>60</v>
      </c>
      <c r="G22" s="1063"/>
      <c r="H22" s="853"/>
      <c r="I22" s="982"/>
      <c r="J22" s="622"/>
      <c r="K22" s="982"/>
      <c r="L22" s="484"/>
    </row>
    <row r="23" spans="1:14" s="224" customFormat="1" x14ac:dyDescent="0.25">
      <c r="A23" s="215">
        <v>43378</v>
      </c>
      <c r="B23" s="364" t="s">
        <v>311</v>
      </c>
      <c r="C23" s="350"/>
      <c r="D23" s="350"/>
      <c r="E23" s="480"/>
      <c r="F23" s="832"/>
      <c r="G23" s="627"/>
      <c r="H23" s="97"/>
      <c r="I23" s="946">
        <v>1.91</v>
      </c>
      <c r="J23" s="97"/>
      <c r="K23" s="946"/>
    </row>
    <row r="24" spans="1:14" s="224" customFormat="1" ht="15" customHeight="1" x14ac:dyDescent="0.25">
      <c r="A24" s="215">
        <v>43378</v>
      </c>
      <c r="B24" s="349" t="s">
        <v>260</v>
      </c>
      <c r="C24" s="350"/>
      <c r="D24" s="350"/>
      <c r="E24" s="480"/>
      <c r="F24" s="852">
        <v>198.09</v>
      </c>
      <c r="G24" s="1064"/>
      <c r="H24" s="97"/>
      <c r="I24" s="946">
        <v>198.09</v>
      </c>
      <c r="J24" s="97"/>
      <c r="K24" s="946"/>
    </row>
    <row r="25" spans="1:14" s="224" customFormat="1" ht="15" customHeight="1" x14ac:dyDescent="0.25">
      <c r="A25" s="215">
        <v>43378</v>
      </c>
      <c r="B25" s="862" t="s">
        <v>32</v>
      </c>
      <c r="C25" s="352" t="s">
        <v>12</v>
      </c>
      <c r="D25" s="874" t="s">
        <v>1485</v>
      </c>
      <c r="E25" s="870" t="s">
        <v>15</v>
      </c>
      <c r="F25" s="850">
        <v>14</v>
      </c>
      <c r="G25" s="1063"/>
      <c r="H25" s="622"/>
      <c r="I25" s="982"/>
      <c r="J25" s="622"/>
      <c r="K25" s="982"/>
    </row>
    <row r="26" spans="1:14" s="224" customFormat="1" ht="15" customHeight="1" x14ac:dyDescent="0.25">
      <c r="A26" s="215">
        <v>43378</v>
      </c>
      <c r="B26" s="349" t="s">
        <v>14</v>
      </c>
      <c r="C26" s="350" t="s">
        <v>12</v>
      </c>
      <c r="D26" s="350" t="s">
        <v>1486</v>
      </c>
      <c r="E26" s="480" t="s">
        <v>13</v>
      </c>
      <c r="F26" s="780">
        <v>7</v>
      </c>
      <c r="G26" s="946"/>
      <c r="H26" s="97"/>
      <c r="I26" s="946"/>
      <c r="J26" s="97"/>
      <c r="K26" s="946"/>
    </row>
    <row r="27" spans="1:14" s="224" customFormat="1" x14ac:dyDescent="0.25">
      <c r="A27" s="215">
        <v>43378</v>
      </c>
      <c r="B27" s="349" t="s">
        <v>1597</v>
      </c>
      <c r="C27" s="350" t="s">
        <v>12</v>
      </c>
      <c r="D27" s="350" t="s">
        <v>1491</v>
      </c>
      <c r="E27" s="480" t="s">
        <v>15</v>
      </c>
      <c r="F27" s="622">
        <v>50</v>
      </c>
      <c r="G27" s="982"/>
      <c r="H27" s="853"/>
      <c r="I27" s="1002"/>
      <c r="J27" s="622"/>
      <c r="K27" s="1002"/>
      <c r="L27" s="475"/>
    </row>
    <row r="28" spans="1:14" s="224" customFormat="1" x14ac:dyDescent="0.25">
      <c r="A28" s="215">
        <v>43378</v>
      </c>
      <c r="B28" s="349" t="s">
        <v>1963</v>
      </c>
      <c r="C28" s="350" t="s">
        <v>12</v>
      </c>
      <c r="D28" s="350" t="s">
        <v>1491</v>
      </c>
      <c r="E28" s="480" t="s">
        <v>15</v>
      </c>
      <c r="F28" s="622">
        <v>50</v>
      </c>
      <c r="G28" s="982"/>
      <c r="H28" s="853"/>
      <c r="I28" s="1002"/>
      <c r="J28" s="622"/>
      <c r="K28" s="1002"/>
      <c r="L28" s="475"/>
    </row>
    <row r="29" spans="1:14" s="224" customFormat="1" ht="15" customHeight="1" x14ac:dyDescent="0.25">
      <c r="A29" s="215">
        <v>43379</v>
      </c>
      <c r="B29" s="862" t="s">
        <v>32</v>
      </c>
      <c r="C29" s="352" t="s">
        <v>12</v>
      </c>
      <c r="D29" s="874" t="s">
        <v>1485</v>
      </c>
      <c r="E29" s="870" t="s">
        <v>15</v>
      </c>
      <c r="F29" s="850">
        <v>10</v>
      </c>
      <c r="G29" s="1063"/>
      <c r="H29" s="622"/>
      <c r="I29" s="982"/>
      <c r="J29" s="622"/>
      <c r="K29" s="982"/>
    </row>
    <row r="30" spans="1:14" s="224" customFormat="1" ht="15" customHeight="1" x14ac:dyDescent="0.25">
      <c r="A30" s="215">
        <v>43379</v>
      </c>
      <c r="B30" s="349" t="s">
        <v>14</v>
      </c>
      <c r="C30" s="350" t="s">
        <v>12</v>
      </c>
      <c r="D30" s="350" t="s">
        <v>1486</v>
      </c>
      <c r="E30" s="480" t="s">
        <v>13</v>
      </c>
      <c r="F30" s="780">
        <v>2.33</v>
      </c>
      <c r="G30" s="946"/>
      <c r="H30" s="97"/>
      <c r="I30" s="946"/>
      <c r="J30" s="97"/>
      <c r="K30" s="946"/>
    </row>
    <row r="31" spans="1:14" s="224" customFormat="1" ht="15" customHeight="1" x14ac:dyDescent="0.25">
      <c r="A31" s="215">
        <v>43379</v>
      </c>
      <c r="B31" s="876" t="s">
        <v>82</v>
      </c>
      <c r="C31" s="350" t="s">
        <v>12</v>
      </c>
      <c r="D31" s="874" t="s">
        <v>1493</v>
      </c>
      <c r="E31" s="870" t="s">
        <v>13</v>
      </c>
      <c r="F31" s="780">
        <v>30</v>
      </c>
      <c r="G31" s="1063"/>
      <c r="H31" s="622"/>
      <c r="I31" s="982"/>
      <c r="J31" s="622"/>
      <c r="K31" s="982"/>
      <c r="L31" s="459"/>
    </row>
    <row r="32" spans="1:14" s="224" customFormat="1" ht="15" customHeight="1" x14ac:dyDescent="0.25">
      <c r="A32" s="215">
        <v>43380</v>
      </c>
      <c r="B32" s="876" t="s">
        <v>1438</v>
      </c>
      <c r="C32" s="350" t="s">
        <v>12</v>
      </c>
      <c r="D32" s="874" t="s">
        <v>1489</v>
      </c>
      <c r="E32" s="870" t="s">
        <v>13</v>
      </c>
      <c r="F32" s="780">
        <v>15.44</v>
      </c>
      <c r="G32" s="1063"/>
      <c r="H32" s="622"/>
      <c r="I32" s="982"/>
      <c r="J32" s="622"/>
      <c r="K32" s="982"/>
      <c r="L32" s="459"/>
    </row>
    <row r="33" spans="1:12" s="224" customFormat="1" ht="15" customHeight="1" x14ac:dyDescent="0.25">
      <c r="A33" s="215">
        <v>43380</v>
      </c>
      <c r="B33" s="349" t="s">
        <v>14</v>
      </c>
      <c r="C33" s="350" t="s">
        <v>12</v>
      </c>
      <c r="D33" s="350" t="s">
        <v>1486</v>
      </c>
      <c r="E33" s="480" t="s">
        <v>13</v>
      </c>
      <c r="F33" s="780">
        <v>1.8</v>
      </c>
      <c r="G33" s="946"/>
      <c r="H33" s="97"/>
      <c r="I33" s="946"/>
      <c r="J33" s="97"/>
      <c r="K33" s="946"/>
    </row>
    <row r="34" spans="1:12" s="224" customFormat="1" ht="15" customHeight="1" x14ac:dyDescent="0.25">
      <c r="A34" s="215">
        <v>43380</v>
      </c>
      <c r="B34" s="876" t="s">
        <v>134</v>
      </c>
      <c r="C34" s="350" t="s">
        <v>12</v>
      </c>
      <c r="D34" s="874" t="s">
        <v>1493</v>
      </c>
      <c r="E34" s="870" t="s">
        <v>13</v>
      </c>
      <c r="F34" s="780">
        <v>6</v>
      </c>
      <c r="G34" s="1063"/>
      <c r="H34" s="622"/>
      <c r="I34" s="982"/>
      <c r="J34" s="622"/>
      <c r="K34" s="982"/>
      <c r="L34" s="459"/>
    </row>
    <row r="35" spans="1:12" s="224" customFormat="1" x14ac:dyDescent="0.25">
      <c r="A35" s="215">
        <v>43380</v>
      </c>
      <c r="B35" s="364" t="s">
        <v>311</v>
      </c>
      <c r="C35" s="350"/>
      <c r="D35" s="350"/>
      <c r="E35" s="480"/>
      <c r="F35" s="832"/>
      <c r="G35" s="627"/>
      <c r="H35" s="97"/>
      <c r="I35" s="946">
        <v>2.73</v>
      </c>
      <c r="J35" s="97"/>
      <c r="K35" s="946"/>
    </row>
    <row r="36" spans="1:12" s="224" customFormat="1" ht="15" customHeight="1" x14ac:dyDescent="0.25">
      <c r="A36" s="215">
        <v>43381</v>
      </c>
      <c r="B36" s="862" t="s">
        <v>32</v>
      </c>
      <c r="C36" s="352" t="s">
        <v>12</v>
      </c>
      <c r="D36" s="874" t="s">
        <v>1485</v>
      </c>
      <c r="E36" s="870" t="s">
        <v>13</v>
      </c>
      <c r="F36" s="850">
        <v>14</v>
      </c>
      <c r="G36" s="1063"/>
      <c r="H36" s="622"/>
      <c r="I36" s="982"/>
      <c r="J36" s="622"/>
      <c r="K36" s="982"/>
    </row>
    <row r="37" spans="1:12" s="224" customFormat="1" ht="15" customHeight="1" x14ac:dyDescent="0.25">
      <c r="A37" s="215">
        <v>43381</v>
      </c>
      <c r="B37" s="862" t="s">
        <v>2015</v>
      </c>
      <c r="C37" s="352" t="s">
        <v>12</v>
      </c>
      <c r="D37" s="874" t="s">
        <v>1506</v>
      </c>
      <c r="E37" s="870" t="s">
        <v>15</v>
      </c>
      <c r="F37" s="850">
        <v>30</v>
      </c>
      <c r="G37" s="1525"/>
      <c r="H37" s="880"/>
      <c r="I37" s="982"/>
      <c r="J37" s="622"/>
      <c r="K37" s="946"/>
    </row>
    <row r="38" spans="1:12" s="224" customFormat="1" ht="15" customHeight="1" x14ac:dyDescent="0.25">
      <c r="A38" s="215">
        <v>43381</v>
      </c>
      <c r="B38" s="862" t="s">
        <v>2016</v>
      </c>
      <c r="C38" s="352" t="s">
        <v>12</v>
      </c>
      <c r="D38" s="874" t="s">
        <v>1506</v>
      </c>
      <c r="E38" s="870" t="s">
        <v>13</v>
      </c>
      <c r="F38" s="850">
        <v>21</v>
      </c>
      <c r="G38" s="1525"/>
      <c r="H38" s="880"/>
      <c r="I38" s="982"/>
      <c r="J38" s="622"/>
      <c r="K38" s="946"/>
    </row>
    <row r="39" spans="1:12" s="224" customFormat="1" ht="15" customHeight="1" x14ac:dyDescent="0.25">
      <c r="A39" s="215">
        <v>43381</v>
      </c>
      <c r="B39" s="349" t="s">
        <v>14</v>
      </c>
      <c r="C39" s="350" t="s">
        <v>12</v>
      </c>
      <c r="D39" s="350" t="s">
        <v>1486</v>
      </c>
      <c r="E39" s="480" t="s">
        <v>13</v>
      </c>
      <c r="F39" s="780">
        <v>3.21</v>
      </c>
      <c r="G39" s="946"/>
      <c r="H39" s="97"/>
      <c r="I39" s="946"/>
      <c r="J39" s="97"/>
      <c r="K39" s="946"/>
    </row>
    <row r="40" spans="1:12" s="224" customFormat="1" ht="15" customHeight="1" x14ac:dyDescent="0.25">
      <c r="A40" s="215">
        <v>43382</v>
      </c>
      <c r="B40" s="862" t="s">
        <v>32</v>
      </c>
      <c r="C40" s="352" t="s">
        <v>12</v>
      </c>
      <c r="D40" s="874" t="s">
        <v>1485</v>
      </c>
      <c r="E40" s="870" t="s">
        <v>13</v>
      </c>
      <c r="F40" s="850">
        <v>14</v>
      </c>
      <c r="G40" s="1063"/>
      <c r="H40" s="622"/>
      <c r="I40" s="982"/>
      <c r="J40" s="622"/>
      <c r="K40" s="982"/>
    </row>
    <row r="41" spans="1:12" s="224" customFormat="1" ht="15" customHeight="1" x14ac:dyDescent="0.25">
      <c r="A41" s="215">
        <v>43382</v>
      </c>
      <c r="B41" s="349" t="s">
        <v>14</v>
      </c>
      <c r="C41" s="350" t="s">
        <v>12</v>
      </c>
      <c r="D41" s="350" t="s">
        <v>1486</v>
      </c>
      <c r="E41" s="480" t="s">
        <v>13</v>
      </c>
      <c r="F41" s="780">
        <v>6.95</v>
      </c>
      <c r="G41" s="1063"/>
      <c r="H41" s="622"/>
      <c r="I41" s="982"/>
      <c r="J41" s="622"/>
      <c r="K41" s="982"/>
    </row>
    <row r="42" spans="1:12" s="224" customFormat="1" ht="15" customHeight="1" x14ac:dyDescent="0.25">
      <c r="A42" s="215">
        <v>43383</v>
      </c>
      <c r="B42" s="862" t="s">
        <v>32</v>
      </c>
      <c r="C42" s="352" t="s">
        <v>12</v>
      </c>
      <c r="D42" s="874" t="s">
        <v>1485</v>
      </c>
      <c r="E42" s="870" t="s">
        <v>15</v>
      </c>
      <c r="F42" s="850">
        <v>14</v>
      </c>
      <c r="G42" s="1063"/>
      <c r="H42" s="622"/>
      <c r="I42" s="982"/>
      <c r="J42" s="622"/>
      <c r="K42" s="982"/>
    </row>
    <row r="43" spans="1:12" s="224" customFormat="1" ht="15" customHeight="1" x14ac:dyDescent="0.25">
      <c r="A43" s="215">
        <v>43383</v>
      </c>
      <c r="B43" s="349" t="s">
        <v>14</v>
      </c>
      <c r="C43" s="350" t="s">
        <v>12</v>
      </c>
      <c r="D43" s="350" t="s">
        <v>1486</v>
      </c>
      <c r="E43" s="480" t="s">
        <v>13</v>
      </c>
      <c r="F43" s="780">
        <v>3.48</v>
      </c>
      <c r="G43" s="1063"/>
      <c r="H43" s="622"/>
      <c r="I43" s="982"/>
      <c r="J43" s="622"/>
      <c r="K43" s="982"/>
    </row>
    <row r="44" spans="1:12" ht="15" customHeight="1" x14ac:dyDescent="0.25">
      <c r="A44" s="215">
        <v>43384</v>
      </c>
      <c r="B44" s="349" t="s">
        <v>1396</v>
      </c>
      <c r="C44" s="350" t="s">
        <v>12</v>
      </c>
      <c r="D44" s="350"/>
      <c r="E44" s="757" t="s">
        <v>25</v>
      </c>
      <c r="F44" s="97"/>
      <c r="G44" s="946">
        <v>40</v>
      </c>
      <c r="H44" s="97"/>
      <c r="I44" s="946"/>
      <c r="J44" s="97"/>
      <c r="K44" s="946"/>
    </row>
    <row r="45" spans="1:12" s="224" customFormat="1" ht="15" customHeight="1" x14ac:dyDescent="0.25">
      <c r="A45" s="215">
        <v>43384</v>
      </c>
      <c r="B45" s="862" t="s">
        <v>32</v>
      </c>
      <c r="C45" s="352" t="s">
        <v>12</v>
      </c>
      <c r="D45" s="874" t="s">
        <v>1485</v>
      </c>
      <c r="E45" s="870" t="s">
        <v>15</v>
      </c>
      <c r="F45" s="850">
        <v>14</v>
      </c>
      <c r="G45" s="1063"/>
      <c r="H45" s="622"/>
      <c r="I45" s="982"/>
      <c r="J45" s="622"/>
      <c r="K45" s="982"/>
    </row>
    <row r="46" spans="1:12" s="224" customFormat="1" ht="15" customHeight="1" x14ac:dyDescent="0.25">
      <c r="A46" s="215">
        <v>43384</v>
      </c>
      <c r="B46" s="862" t="s">
        <v>1331</v>
      </c>
      <c r="C46" s="352" t="s">
        <v>12</v>
      </c>
      <c r="D46" s="874" t="s">
        <v>1487</v>
      </c>
      <c r="E46" s="870" t="s">
        <v>15</v>
      </c>
      <c r="F46" s="850">
        <v>10</v>
      </c>
      <c r="G46" s="1063"/>
      <c r="H46" s="622"/>
      <c r="I46" s="982"/>
      <c r="J46" s="622"/>
      <c r="K46" s="982"/>
    </row>
    <row r="47" spans="1:12" s="224" customFormat="1" ht="15" customHeight="1" x14ac:dyDescent="0.25">
      <c r="A47" s="215">
        <v>43384</v>
      </c>
      <c r="B47" s="349" t="s">
        <v>14</v>
      </c>
      <c r="C47" s="350" t="s">
        <v>12</v>
      </c>
      <c r="D47" s="350" t="s">
        <v>1486</v>
      </c>
      <c r="E47" s="480" t="s">
        <v>13</v>
      </c>
      <c r="F47" s="780">
        <v>5.8</v>
      </c>
      <c r="G47" s="1063"/>
      <c r="H47" s="622"/>
      <c r="I47" s="982"/>
      <c r="J47" s="622"/>
      <c r="K47" s="982"/>
    </row>
    <row r="48" spans="1:12" s="224" customFormat="1" ht="15" customHeight="1" x14ac:dyDescent="0.25">
      <c r="A48" s="215">
        <v>43385</v>
      </c>
      <c r="B48" s="862" t="s">
        <v>32</v>
      </c>
      <c r="C48" s="352" t="s">
        <v>12</v>
      </c>
      <c r="D48" s="874" t="s">
        <v>1485</v>
      </c>
      <c r="E48" s="870" t="s">
        <v>15</v>
      </c>
      <c r="F48" s="850">
        <v>10</v>
      </c>
      <c r="G48" s="1064"/>
      <c r="H48" s="97"/>
      <c r="I48" s="982"/>
      <c r="J48" s="622"/>
      <c r="K48" s="982"/>
    </row>
    <row r="49" spans="1:12" s="224" customFormat="1" ht="15" customHeight="1" x14ac:dyDescent="0.25">
      <c r="A49" s="215">
        <v>43385</v>
      </c>
      <c r="B49" s="862" t="s">
        <v>1331</v>
      </c>
      <c r="C49" s="352" t="s">
        <v>12</v>
      </c>
      <c r="D49" s="874" t="s">
        <v>1487</v>
      </c>
      <c r="E49" s="870" t="s">
        <v>15</v>
      </c>
      <c r="F49" s="850">
        <v>70</v>
      </c>
      <c r="G49" s="1063"/>
      <c r="H49" s="622"/>
      <c r="I49" s="982"/>
      <c r="J49" s="622"/>
      <c r="K49" s="982"/>
    </row>
    <row r="50" spans="1:12" s="224" customFormat="1" ht="15" customHeight="1" x14ac:dyDescent="0.25">
      <c r="A50" s="215">
        <v>43385</v>
      </c>
      <c r="B50" s="862" t="s">
        <v>1438</v>
      </c>
      <c r="C50" s="352" t="s">
        <v>19</v>
      </c>
      <c r="D50" s="874" t="s">
        <v>1489</v>
      </c>
      <c r="E50" s="870" t="s">
        <v>13</v>
      </c>
      <c r="F50" s="850">
        <v>88.31</v>
      </c>
      <c r="G50" s="1063"/>
      <c r="H50" s="622"/>
      <c r="I50" s="982"/>
      <c r="J50" s="622"/>
      <c r="K50" s="982"/>
    </row>
    <row r="51" spans="1:12" s="224" customFormat="1" ht="15" customHeight="1" x14ac:dyDescent="0.25">
      <c r="A51" s="215">
        <v>43386</v>
      </c>
      <c r="B51" s="862" t="s">
        <v>32</v>
      </c>
      <c r="C51" s="352" t="s">
        <v>12</v>
      </c>
      <c r="D51" s="874" t="s">
        <v>1485</v>
      </c>
      <c r="E51" s="870" t="s">
        <v>15</v>
      </c>
      <c r="F51" s="850">
        <v>10</v>
      </c>
      <c r="G51" s="1064"/>
      <c r="H51" s="97"/>
      <c r="I51" s="982"/>
      <c r="J51" s="622"/>
      <c r="K51" s="982"/>
    </row>
    <row r="52" spans="1:12" s="224" customFormat="1" ht="15" customHeight="1" x14ac:dyDescent="0.25">
      <c r="A52" s="215">
        <v>43386</v>
      </c>
      <c r="B52" s="349" t="s">
        <v>14</v>
      </c>
      <c r="C52" s="350" t="s">
        <v>12</v>
      </c>
      <c r="D52" s="350" t="s">
        <v>1486</v>
      </c>
      <c r="E52" s="480" t="s">
        <v>13</v>
      </c>
      <c r="F52" s="780">
        <v>7.68</v>
      </c>
      <c r="G52" s="1063"/>
      <c r="H52" s="622"/>
      <c r="I52" s="982"/>
      <c r="J52" s="622"/>
      <c r="K52" s="982"/>
    </row>
    <row r="53" spans="1:12" s="224" customFormat="1" ht="15" customHeight="1" x14ac:dyDescent="0.25">
      <c r="A53" s="215">
        <v>43386</v>
      </c>
      <c r="B53" s="862" t="s">
        <v>2017</v>
      </c>
      <c r="C53" s="352" t="s">
        <v>12</v>
      </c>
      <c r="D53" s="874" t="s">
        <v>1491</v>
      </c>
      <c r="E53" s="870" t="s">
        <v>13</v>
      </c>
      <c r="F53" s="850">
        <v>21</v>
      </c>
      <c r="G53" s="1525"/>
      <c r="H53" s="880"/>
      <c r="I53" s="982"/>
      <c r="J53" s="622"/>
      <c r="K53" s="946"/>
    </row>
    <row r="54" spans="1:12" s="224" customFormat="1" ht="15" customHeight="1" x14ac:dyDescent="0.25">
      <c r="A54" s="215">
        <v>43386</v>
      </c>
      <c r="B54" s="862" t="s">
        <v>2018</v>
      </c>
      <c r="C54" s="352" t="s">
        <v>19</v>
      </c>
      <c r="D54" s="874" t="s">
        <v>1491</v>
      </c>
      <c r="E54" s="870" t="s">
        <v>13</v>
      </c>
      <c r="F54" s="850">
        <v>61.47</v>
      </c>
      <c r="G54" s="1525"/>
      <c r="H54" s="880"/>
      <c r="I54" s="982"/>
      <c r="J54" s="622"/>
      <c r="K54" s="946"/>
    </row>
    <row r="55" spans="1:12" s="224" customFormat="1" ht="15" customHeight="1" x14ac:dyDescent="0.25">
      <c r="A55" s="215">
        <v>43386</v>
      </c>
      <c r="B55" s="862" t="s">
        <v>70</v>
      </c>
      <c r="C55" s="352" t="s">
        <v>12</v>
      </c>
      <c r="D55" s="874" t="s">
        <v>1489</v>
      </c>
      <c r="E55" s="870" t="s">
        <v>13</v>
      </c>
      <c r="F55" s="850">
        <v>10</v>
      </c>
      <c r="G55" s="1525"/>
      <c r="H55" s="880"/>
      <c r="I55" s="982"/>
      <c r="J55" s="622"/>
      <c r="K55" s="946"/>
    </row>
    <row r="56" spans="1:12" s="224" customFormat="1" ht="15" customHeight="1" x14ac:dyDescent="0.25">
      <c r="A56" s="215">
        <v>43387</v>
      </c>
      <c r="B56" s="862" t="s">
        <v>2019</v>
      </c>
      <c r="C56" s="352" t="s">
        <v>12</v>
      </c>
      <c r="D56" s="874" t="s">
        <v>1491</v>
      </c>
      <c r="E56" s="870" t="s">
        <v>13</v>
      </c>
      <c r="F56" s="850">
        <v>9</v>
      </c>
      <c r="G56" s="1525"/>
      <c r="H56" s="880"/>
      <c r="I56" s="982"/>
      <c r="J56" s="622"/>
      <c r="K56" s="946"/>
    </row>
    <row r="57" spans="1:12" s="224" customFormat="1" ht="15" customHeight="1" x14ac:dyDescent="0.25">
      <c r="A57" s="215">
        <v>43387</v>
      </c>
      <c r="B57" s="862" t="s">
        <v>1438</v>
      </c>
      <c r="C57" s="352" t="s">
        <v>19</v>
      </c>
      <c r="D57" s="874" t="s">
        <v>1489</v>
      </c>
      <c r="E57" s="870" t="s">
        <v>13</v>
      </c>
      <c r="F57" s="780">
        <v>4.63</v>
      </c>
      <c r="G57" s="1063"/>
      <c r="H57" s="622"/>
      <c r="I57" s="982"/>
      <c r="J57" s="622"/>
      <c r="K57" s="982"/>
    </row>
    <row r="58" spans="1:12" s="224" customFormat="1" ht="15" customHeight="1" x14ac:dyDescent="0.25">
      <c r="A58" s="215">
        <v>43387</v>
      </c>
      <c r="B58" s="349" t="s">
        <v>14</v>
      </c>
      <c r="C58" s="350" t="s">
        <v>12</v>
      </c>
      <c r="D58" s="350" t="s">
        <v>1486</v>
      </c>
      <c r="E58" s="480" t="s">
        <v>13</v>
      </c>
      <c r="F58" s="780">
        <v>4.32</v>
      </c>
      <c r="G58" s="1063"/>
      <c r="H58" s="622"/>
      <c r="I58" s="982"/>
      <c r="J58" s="622"/>
      <c r="K58" s="982"/>
    </row>
    <row r="59" spans="1:12" s="224" customFormat="1" ht="15" customHeight="1" x14ac:dyDescent="0.25">
      <c r="A59" s="215">
        <v>43388</v>
      </c>
      <c r="B59" s="862" t="s">
        <v>32</v>
      </c>
      <c r="C59" s="352" t="s">
        <v>12</v>
      </c>
      <c r="D59" s="874" t="s">
        <v>1485</v>
      </c>
      <c r="E59" s="870" t="s">
        <v>15</v>
      </c>
      <c r="F59" s="850">
        <v>14</v>
      </c>
      <c r="G59" s="1064"/>
      <c r="H59" s="97"/>
      <c r="I59" s="982"/>
      <c r="J59" s="622"/>
      <c r="K59" s="982"/>
      <c r="L59" s="764"/>
    </row>
    <row r="60" spans="1:12" s="224" customFormat="1" ht="15" customHeight="1" x14ac:dyDescent="0.25">
      <c r="A60" s="215">
        <v>43388</v>
      </c>
      <c r="B60" s="349" t="s">
        <v>14</v>
      </c>
      <c r="C60" s="350" t="s">
        <v>12</v>
      </c>
      <c r="D60" s="350" t="s">
        <v>1486</v>
      </c>
      <c r="E60" s="480" t="s">
        <v>13</v>
      </c>
      <c r="F60" s="780">
        <v>3.46</v>
      </c>
      <c r="G60" s="982"/>
      <c r="H60" s="622"/>
      <c r="I60" s="982"/>
      <c r="J60" s="622"/>
      <c r="K60" s="946"/>
    </row>
    <row r="61" spans="1:12" s="224" customFormat="1" ht="15" customHeight="1" x14ac:dyDescent="0.25">
      <c r="A61" s="215">
        <v>43389</v>
      </c>
      <c r="B61" s="862" t="s">
        <v>256</v>
      </c>
      <c r="C61" s="879"/>
      <c r="D61" s="879"/>
      <c r="E61" s="871"/>
      <c r="F61" s="97"/>
      <c r="G61" s="1064">
        <v>152.72999999999999</v>
      </c>
      <c r="H61" s="97">
        <v>152.72999999999999</v>
      </c>
      <c r="I61" s="982"/>
      <c r="J61" s="622"/>
      <c r="K61" s="982"/>
    </row>
    <row r="62" spans="1:12" s="224" customFormat="1" ht="15" customHeight="1" x14ac:dyDescent="0.25">
      <c r="A62" s="215">
        <v>43389</v>
      </c>
      <c r="B62" s="862" t="s">
        <v>32</v>
      </c>
      <c r="C62" s="352" t="s">
        <v>12</v>
      </c>
      <c r="D62" s="874" t="s">
        <v>1485</v>
      </c>
      <c r="E62" s="870" t="s">
        <v>15</v>
      </c>
      <c r="F62" s="850">
        <v>33.21</v>
      </c>
      <c r="G62" s="982"/>
      <c r="H62" s="622"/>
      <c r="I62" s="982"/>
      <c r="J62" s="622"/>
      <c r="K62" s="946"/>
    </row>
    <row r="63" spans="1:12" s="224" customFormat="1" ht="15" customHeight="1" x14ac:dyDescent="0.25">
      <c r="A63" s="215">
        <v>43390</v>
      </c>
      <c r="B63" s="862" t="s">
        <v>32</v>
      </c>
      <c r="C63" s="352" t="s">
        <v>12</v>
      </c>
      <c r="D63" s="874" t="s">
        <v>1485</v>
      </c>
      <c r="E63" s="870" t="s">
        <v>15</v>
      </c>
      <c r="F63" s="850">
        <v>14</v>
      </c>
      <c r="G63" s="982"/>
      <c r="H63" s="622"/>
      <c r="I63" s="982"/>
      <c r="J63" s="622"/>
      <c r="K63" s="946"/>
    </row>
    <row r="64" spans="1:12" s="224" customFormat="1" ht="15" customHeight="1" x14ac:dyDescent="0.25">
      <c r="A64" s="215">
        <v>43390</v>
      </c>
      <c r="B64" s="862" t="s">
        <v>2020</v>
      </c>
      <c r="C64" s="352" t="s">
        <v>12</v>
      </c>
      <c r="D64" s="874" t="s">
        <v>1491</v>
      </c>
      <c r="E64" s="870" t="s">
        <v>15</v>
      </c>
      <c r="F64" s="850">
        <v>50</v>
      </c>
      <c r="G64" s="982"/>
      <c r="H64" s="622"/>
      <c r="I64" s="982"/>
      <c r="J64" s="622"/>
      <c r="K64" s="946"/>
    </row>
    <row r="65" spans="1:12" s="224" customFormat="1" ht="15" customHeight="1" x14ac:dyDescent="0.25">
      <c r="A65" s="215">
        <v>43391</v>
      </c>
      <c r="B65" s="862" t="s">
        <v>32</v>
      </c>
      <c r="C65" s="352" t="s">
        <v>12</v>
      </c>
      <c r="D65" s="874" t="s">
        <v>1485</v>
      </c>
      <c r="E65" s="870" t="s">
        <v>15</v>
      </c>
      <c r="F65" s="850">
        <v>14</v>
      </c>
      <c r="G65" s="1525"/>
      <c r="H65" s="880"/>
      <c r="I65" s="982"/>
      <c r="J65" s="622"/>
      <c r="K65" s="946"/>
    </row>
    <row r="66" spans="1:12" s="224" customFormat="1" ht="15" customHeight="1" x14ac:dyDescent="0.25">
      <c r="A66" s="215">
        <v>43391</v>
      </c>
      <c r="B66" s="349" t="s">
        <v>14</v>
      </c>
      <c r="C66" s="350" t="s">
        <v>12</v>
      </c>
      <c r="D66" s="350" t="s">
        <v>1486</v>
      </c>
      <c r="E66" s="480" t="s">
        <v>13</v>
      </c>
      <c r="F66" s="780">
        <v>3.31</v>
      </c>
      <c r="G66" s="982"/>
      <c r="H66" s="622"/>
      <c r="I66" s="982"/>
      <c r="J66" s="622"/>
      <c r="K66" s="946"/>
    </row>
    <row r="67" spans="1:12" x14ac:dyDescent="0.25">
      <c r="A67" s="215">
        <v>43392</v>
      </c>
      <c r="B67" s="882" t="s">
        <v>2021</v>
      </c>
      <c r="C67" s="350" t="s">
        <v>12</v>
      </c>
      <c r="D67" s="145"/>
      <c r="E67" s="145" t="s">
        <v>25</v>
      </c>
      <c r="F67" s="1524"/>
      <c r="G67" s="982">
        <v>1600</v>
      </c>
      <c r="H67" s="622"/>
      <c r="I67" s="982"/>
      <c r="J67" s="622"/>
      <c r="K67" s="982"/>
    </row>
    <row r="68" spans="1:12" s="224" customFormat="1" ht="15.75" customHeight="1" x14ac:dyDescent="0.25">
      <c r="A68" s="215">
        <v>43392</v>
      </c>
      <c r="B68" s="882" t="s">
        <v>2022</v>
      </c>
      <c r="C68" s="879" t="s">
        <v>12</v>
      </c>
      <c r="D68" s="879" t="s">
        <v>1499</v>
      </c>
      <c r="E68" s="871" t="s">
        <v>13</v>
      </c>
      <c r="F68" s="622">
        <v>32.35</v>
      </c>
      <c r="G68" s="1002"/>
      <c r="H68" s="538"/>
      <c r="I68" s="982"/>
      <c r="J68" s="622"/>
      <c r="K68" s="982"/>
      <c r="L68" s="224">
        <v>52.35</v>
      </c>
    </row>
    <row r="69" spans="1:12" s="224" customFormat="1" x14ac:dyDescent="0.25">
      <c r="A69" s="215">
        <v>43392</v>
      </c>
      <c r="B69" s="873" t="s">
        <v>1564</v>
      </c>
      <c r="C69" s="879" t="s">
        <v>12</v>
      </c>
      <c r="D69" s="350" t="s">
        <v>1491</v>
      </c>
      <c r="E69" s="871" t="s">
        <v>15</v>
      </c>
      <c r="F69" s="622">
        <v>130</v>
      </c>
      <c r="G69" s="982"/>
      <c r="H69" s="622"/>
      <c r="I69" s="982"/>
      <c r="J69" s="622"/>
      <c r="K69" s="982"/>
    </row>
    <row r="70" spans="1:12" s="224" customFormat="1" ht="15" customHeight="1" x14ac:dyDescent="0.25">
      <c r="A70" s="215">
        <v>43392</v>
      </c>
      <c r="B70" s="349" t="s">
        <v>260</v>
      </c>
      <c r="C70" s="350"/>
      <c r="D70" s="350"/>
      <c r="E70" s="480"/>
      <c r="F70" s="852">
        <v>700</v>
      </c>
      <c r="G70" s="1064"/>
      <c r="H70" s="97"/>
      <c r="I70" s="946">
        <v>700</v>
      </c>
      <c r="J70" s="97"/>
      <c r="K70" s="946"/>
    </row>
    <row r="71" spans="1:12" s="224" customFormat="1" ht="15" customHeight="1" x14ac:dyDescent="0.25">
      <c r="A71" s="215">
        <v>43392</v>
      </c>
      <c r="B71" s="862" t="s">
        <v>32</v>
      </c>
      <c r="C71" s="352" t="s">
        <v>12</v>
      </c>
      <c r="D71" s="874" t="s">
        <v>1485</v>
      </c>
      <c r="E71" s="870" t="s">
        <v>15</v>
      </c>
      <c r="F71" s="850">
        <v>14</v>
      </c>
      <c r="G71" s="1063"/>
      <c r="H71" s="622"/>
      <c r="I71" s="982"/>
      <c r="J71" s="622"/>
      <c r="K71" s="982"/>
    </row>
    <row r="72" spans="1:12" s="224" customFormat="1" ht="15" customHeight="1" x14ac:dyDescent="0.25">
      <c r="A72" s="215">
        <v>43392</v>
      </c>
      <c r="B72" s="862" t="s">
        <v>1331</v>
      </c>
      <c r="C72" s="352" t="s">
        <v>12</v>
      </c>
      <c r="D72" s="874" t="s">
        <v>1487</v>
      </c>
      <c r="E72" s="870" t="s">
        <v>15</v>
      </c>
      <c r="F72" s="850">
        <v>10</v>
      </c>
      <c r="G72" s="1063"/>
      <c r="H72" s="622"/>
      <c r="I72" s="982"/>
      <c r="J72" s="622"/>
      <c r="K72" s="982"/>
    </row>
    <row r="73" spans="1:12" s="224" customFormat="1" x14ac:dyDescent="0.25">
      <c r="A73" s="215">
        <v>43392</v>
      </c>
      <c r="B73" s="349" t="s">
        <v>14</v>
      </c>
      <c r="C73" s="350" t="s">
        <v>12</v>
      </c>
      <c r="D73" s="350" t="s">
        <v>1486</v>
      </c>
      <c r="E73" s="480" t="s">
        <v>13</v>
      </c>
      <c r="F73" s="780">
        <v>7.94</v>
      </c>
      <c r="G73" s="982"/>
      <c r="H73" s="97"/>
      <c r="I73" s="946"/>
      <c r="J73" s="97"/>
      <c r="K73" s="946"/>
    </row>
    <row r="74" spans="1:12" s="224" customFormat="1" ht="15" customHeight="1" x14ac:dyDescent="0.25">
      <c r="A74" s="215">
        <v>43393</v>
      </c>
      <c r="B74" s="862" t="s">
        <v>32</v>
      </c>
      <c r="C74" s="352" t="s">
        <v>12</v>
      </c>
      <c r="D74" s="874" t="s">
        <v>1485</v>
      </c>
      <c r="E74" s="870" t="s">
        <v>15</v>
      </c>
      <c r="F74" s="850">
        <v>12</v>
      </c>
      <c r="G74" s="1063"/>
      <c r="H74" s="622"/>
      <c r="I74" s="982"/>
      <c r="J74" s="622"/>
      <c r="K74" s="982"/>
    </row>
    <row r="75" spans="1:12" s="224" customFormat="1" ht="15" customHeight="1" x14ac:dyDescent="0.25">
      <c r="A75" s="215">
        <v>43393</v>
      </c>
      <c r="B75" s="862" t="s">
        <v>1331</v>
      </c>
      <c r="C75" s="352" t="s">
        <v>19</v>
      </c>
      <c r="D75" s="874" t="s">
        <v>1487</v>
      </c>
      <c r="E75" s="870" t="s">
        <v>15</v>
      </c>
      <c r="F75" s="850">
        <v>80</v>
      </c>
      <c r="G75" s="1063"/>
      <c r="H75" s="622"/>
      <c r="I75" s="982"/>
      <c r="J75" s="622"/>
      <c r="K75" s="982"/>
    </row>
    <row r="76" spans="1:12" s="224" customFormat="1" x14ac:dyDescent="0.25">
      <c r="A76" s="215">
        <v>43393</v>
      </c>
      <c r="B76" s="349" t="s">
        <v>17</v>
      </c>
      <c r="C76" s="350" t="s">
        <v>12</v>
      </c>
      <c r="D76" s="350" t="s">
        <v>1493</v>
      </c>
      <c r="E76" s="480" t="s">
        <v>13</v>
      </c>
      <c r="F76" s="780">
        <v>18</v>
      </c>
      <c r="G76" s="982"/>
      <c r="H76" s="97"/>
      <c r="I76" s="946"/>
      <c r="J76" s="97"/>
      <c r="K76" s="946"/>
    </row>
    <row r="77" spans="1:12" s="224" customFormat="1" x14ac:dyDescent="0.25">
      <c r="A77" s="215">
        <v>43393</v>
      </c>
      <c r="B77" s="349" t="s">
        <v>14</v>
      </c>
      <c r="C77" s="350" t="s">
        <v>12</v>
      </c>
      <c r="D77" s="350" t="s">
        <v>1486</v>
      </c>
      <c r="E77" s="480" t="s">
        <v>13</v>
      </c>
      <c r="F77" s="780">
        <v>3.5</v>
      </c>
      <c r="G77" s="982"/>
      <c r="H77" s="97"/>
      <c r="I77" s="946"/>
      <c r="J77" s="97"/>
      <c r="K77" s="946"/>
    </row>
    <row r="78" spans="1:12" s="224" customFormat="1" x14ac:dyDescent="0.25">
      <c r="A78" s="215">
        <v>43393</v>
      </c>
      <c r="B78" s="349" t="s">
        <v>82</v>
      </c>
      <c r="C78" s="350" t="s">
        <v>12</v>
      </c>
      <c r="D78" s="350" t="s">
        <v>1493</v>
      </c>
      <c r="E78" s="480" t="s">
        <v>13</v>
      </c>
      <c r="F78" s="780">
        <v>32</v>
      </c>
      <c r="G78" s="982"/>
      <c r="H78" s="97"/>
      <c r="I78" s="946"/>
      <c r="J78" s="97"/>
      <c r="K78" s="946"/>
    </row>
    <row r="79" spans="1:12" s="224" customFormat="1" x14ac:dyDescent="0.25">
      <c r="A79" s="215">
        <v>43393</v>
      </c>
      <c r="B79" s="364" t="s">
        <v>311</v>
      </c>
      <c r="C79" s="350"/>
      <c r="D79" s="350"/>
      <c r="E79" s="480"/>
      <c r="F79" s="832"/>
      <c r="G79" s="627"/>
      <c r="H79" s="97"/>
      <c r="I79" s="946">
        <v>3.34</v>
      </c>
      <c r="J79" s="97"/>
      <c r="K79" s="946"/>
    </row>
    <row r="80" spans="1:12" s="224" customFormat="1" ht="15" customHeight="1" x14ac:dyDescent="0.25">
      <c r="A80" s="215">
        <v>43394</v>
      </c>
      <c r="B80" s="349"/>
      <c r="C80" s="350"/>
      <c r="D80" s="350"/>
      <c r="E80" s="480"/>
      <c r="F80" s="780"/>
      <c r="G80" s="1063"/>
      <c r="H80" s="622"/>
      <c r="I80" s="982"/>
      <c r="J80" s="622"/>
      <c r="K80" s="982"/>
    </row>
    <row r="81" spans="1:11" s="224" customFormat="1" ht="15" customHeight="1" x14ac:dyDescent="0.25">
      <c r="A81" s="215">
        <v>43395</v>
      </c>
      <c r="B81" s="862" t="s">
        <v>32</v>
      </c>
      <c r="C81" s="352" t="s">
        <v>12</v>
      </c>
      <c r="D81" s="874" t="s">
        <v>1485</v>
      </c>
      <c r="E81" s="870" t="s">
        <v>15</v>
      </c>
      <c r="F81" s="850">
        <v>14</v>
      </c>
      <c r="G81" s="1063"/>
      <c r="H81" s="622"/>
      <c r="I81" s="982"/>
      <c r="J81" s="622"/>
      <c r="K81" s="982"/>
    </row>
    <row r="82" spans="1:11" s="224" customFormat="1" ht="15" customHeight="1" x14ac:dyDescent="0.25">
      <c r="A82" s="215">
        <v>43396</v>
      </c>
      <c r="B82" s="862" t="s">
        <v>32</v>
      </c>
      <c r="C82" s="352" t="s">
        <v>12</v>
      </c>
      <c r="D82" s="874" t="s">
        <v>1485</v>
      </c>
      <c r="E82" s="870" t="s">
        <v>15</v>
      </c>
      <c r="F82" s="850">
        <v>14</v>
      </c>
      <c r="G82" s="982"/>
      <c r="H82" s="622"/>
      <c r="I82" s="982"/>
      <c r="J82" s="622"/>
      <c r="K82" s="982"/>
    </row>
    <row r="83" spans="1:11" s="224" customFormat="1" x14ac:dyDescent="0.25">
      <c r="A83" s="215">
        <v>43396</v>
      </c>
      <c r="B83" s="349" t="s">
        <v>14</v>
      </c>
      <c r="C83" s="350" t="s">
        <v>12</v>
      </c>
      <c r="D83" s="350" t="s">
        <v>1486</v>
      </c>
      <c r="E83" s="480" t="s">
        <v>13</v>
      </c>
      <c r="F83" s="780">
        <v>3.19</v>
      </c>
      <c r="G83" s="982"/>
      <c r="H83" s="622"/>
      <c r="I83" s="982"/>
      <c r="J83" s="622"/>
      <c r="K83" s="982"/>
    </row>
    <row r="84" spans="1:11" s="224" customFormat="1" x14ac:dyDescent="0.25">
      <c r="A84" s="215">
        <v>43397</v>
      </c>
      <c r="B84" s="862" t="s">
        <v>2001</v>
      </c>
      <c r="C84" s="350" t="s">
        <v>12</v>
      </c>
      <c r="D84" s="874" t="s">
        <v>1504</v>
      </c>
      <c r="E84" s="1475" t="s">
        <v>13</v>
      </c>
      <c r="F84" s="622">
        <v>68.92</v>
      </c>
      <c r="G84" s="946"/>
      <c r="H84" s="97"/>
      <c r="I84" s="946"/>
      <c r="J84" s="97"/>
      <c r="K84" s="946"/>
    </row>
    <row r="85" spans="1:11" s="224" customFormat="1" ht="15" customHeight="1" x14ac:dyDescent="0.25">
      <c r="A85" s="215">
        <v>43397</v>
      </c>
      <c r="B85" s="862" t="s">
        <v>32</v>
      </c>
      <c r="C85" s="352" t="s">
        <v>12</v>
      </c>
      <c r="D85" s="874" t="s">
        <v>1485</v>
      </c>
      <c r="E85" s="870" t="s">
        <v>15</v>
      </c>
      <c r="F85" s="850">
        <v>14</v>
      </c>
      <c r="G85" s="982"/>
      <c r="H85" s="622"/>
      <c r="I85" s="982"/>
      <c r="J85" s="622"/>
      <c r="K85" s="982"/>
    </row>
    <row r="86" spans="1:11" s="224" customFormat="1" ht="15" customHeight="1" x14ac:dyDescent="0.25">
      <c r="A86" s="215">
        <v>43397</v>
      </c>
      <c r="B86" s="349" t="s">
        <v>14</v>
      </c>
      <c r="C86" s="350" t="s">
        <v>12</v>
      </c>
      <c r="D86" s="350" t="s">
        <v>1486</v>
      </c>
      <c r="E86" s="480" t="s">
        <v>13</v>
      </c>
      <c r="F86" s="780">
        <v>6.66</v>
      </c>
      <c r="G86" s="982"/>
      <c r="H86" s="622"/>
      <c r="I86" s="982"/>
      <c r="J86" s="622"/>
      <c r="K86" s="982"/>
    </row>
    <row r="87" spans="1:11" s="224" customFormat="1" ht="15" customHeight="1" x14ac:dyDescent="0.25">
      <c r="A87" s="215">
        <v>43398</v>
      </c>
      <c r="B87" s="862" t="s">
        <v>32</v>
      </c>
      <c r="C87" s="352" t="s">
        <v>12</v>
      </c>
      <c r="D87" s="874" t="s">
        <v>1485</v>
      </c>
      <c r="E87" s="870" t="s">
        <v>15</v>
      </c>
      <c r="F87" s="850">
        <v>14</v>
      </c>
      <c r="G87" s="982"/>
      <c r="H87" s="622"/>
      <c r="I87" s="982"/>
      <c r="J87" s="622"/>
      <c r="K87" s="982"/>
    </row>
    <row r="88" spans="1:11" s="224" customFormat="1" x14ac:dyDescent="0.25">
      <c r="A88" s="215">
        <v>43398</v>
      </c>
      <c r="B88" s="876" t="s">
        <v>134</v>
      </c>
      <c r="C88" s="350" t="s">
        <v>12</v>
      </c>
      <c r="D88" s="874" t="s">
        <v>1493</v>
      </c>
      <c r="E88" s="870" t="s">
        <v>13</v>
      </c>
      <c r="F88" s="831">
        <v>14</v>
      </c>
      <c r="G88" s="982"/>
      <c r="H88" s="622"/>
      <c r="I88" s="982"/>
      <c r="J88" s="622"/>
      <c r="K88" s="982"/>
    </row>
    <row r="89" spans="1:11" s="224" customFormat="1" ht="15" customHeight="1" x14ac:dyDescent="0.25">
      <c r="A89" s="215">
        <v>43399</v>
      </c>
      <c r="B89" s="349" t="s">
        <v>14</v>
      </c>
      <c r="C89" s="350" t="s">
        <v>12</v>
      </c>
      <c r="D89" s="350" t="s">
        <v>1486</v>
      </c>
      <c r="E89" s="480" t="s">
        <v>13</v>
      </c>
      <c r="F89" s="780">
        <v>6.24</v>
      </c>
      <c r="G89" s="982"/>
      <c r="H89" s="622"/>
      <c r="I89" s="982"/>
      <c r="J89" s="622"/>
      <c r="K89" s="982"/>
    </row>
    <row r="90" spans="1:11" s="224" customFormat="1" x14ac:dyDescent="0.25">
      <c r="A90" s="215">
        <v>43399</v>
      </c>
      <c r="B90" s="862" t="s">
        <v>32</v>
      </c>
      <c r="C90" s="352" t="s">
        <v>12</v>
      </c>
      <c r="D90" s="874" t="s">
        <v>1485</v>
      </c>
      <c r="E90" s="870" t="s">
        <v>15</v>
      </c>
      <c r="F90" s="850">
        <v>14</v>
      </c>
      <c r="G90" s="982"/>
      <c r="H90" s="622"/>
      <c r="I90" s="1002"/>
      <c r="J90" s="622"/>
      <c r="K90" s="1002"/>
    </row>
    <row r="91" spans="1:11" s="224" customFormat="1" x14ac:dyDescent="0.25">
      <c r="A91" s="215">
        <v>43399</v>
      </c>
      <c r="B91" s="876" t="s">
        <v>134</v>
      </c>
      <c r="C91" s="350" t="s">
        <v>12</v>
      </c>
      <c r="D91" s="874" t="s">
        <v>1493</v>
      </c>
      <c r="E91" s="870" t="s">
        <v>15</v>
      </c>
      <c r="F91" s="831">
        <v>4.5</v>
      </c>
      <c r="G91" s="982"/>
      <c r="H91" s="622"/>
      <c r="I91" s="982"/>
      <c r="J91" s="622"/>
      <c r="K91" s="982"/>
    </row>
    <row r="92" spans="1:11" s="224" customFormat="1" ht="15" customHeight="1" x14ac:dyDescent="0.25">
      <c r="A92" s="215">
        <v>43399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780">
        <v>4.05</v>
      </c>
      <c r="G92" s="982"/>
      <c r="H92" s="622"/>
      <c r="I92" s="982"/>
      <c r="J92" s="622"/>
      <c r="K92" s="982"/>
    </row>
    <row r="93" spans="1:11" s="224" customFormat="1" ht="14.25" customHeight="1" x14ac:dyDescent="0.25">
      <c r="A93" s="215">
        <v>43400</v>
      </c>
      <c r="B93" s="862" t="s">
        <v>32</v>
      </c>
      <c r="C93" s="352" t="s">
        <v>12</v>
      </c>
      <c r="D93" s="874" t="s">
        <v>1485</v>
      </c>
      <c r="E93" s="870" t="s">
        <v>15</v>
      </c>
      <c r="F93" s="850">
        <v>12</v>
      </c>
      <c r="G93" s="248"/>
      <c r="H93" s="622"/>
      <c r="I93" s="982"/>
      <c r="J93" s="622"/>
      <c r="K93" s="982"/>
    </row>
    <row r="94" spans="1:11" s="224" customFormat="1" ht="14.25" customHeight="1" x14ac:dyDescent="0.25">
      <c r="A94" s="215">
        <v>43400</v>
      </c>
      <c r="B94" s="862" t="s">
        <v>1438</v>
      </c>
      <c r="C94" s="352" t="s">
        <v>19</v>
      </c>
      <c r="D94" s="874" t="s">
        <v>1489</v>
      </c>
      <c r="E94" s="870" t="s">
        <v>13</v>
      </c>
      <c r="F94" s="850">
        <v>48.53</v>
      </c>
      <c r="G94" s="248"/>
      <c r="H94" s="622"/>
      <c r="I94" s="982"/>
      <c r="J94" s="622"/>
      <c r="K94" s="982"/>
    </row>
    <row r="95" spans="1:11" s="224" customFormat="1" ht="14.25" customHeight="1" x14ac:dyDescent="0.25">
      <c r="A95" s="215">
        <v>43400</v>
      </c>
      <c r="B95" s="862" t="s">
        <v>1597</v>
      </c>
      <c r="C95" s="350" t="s">
        <v>12</v>
      </c>
      <c r="D95" s="879" t="s">
        <v>1491</v>
      </c>
      <c r="E95" s="871" t="s">
        <v>15</v>
      </c>
      <c r="F95" s="827">
        <v>50</v>
      </c>
      <c r="G95" s="248"/>
      <c r="H95" s="622"/>
      <c r="I95" s="982"/>
      <c r="J95" s="622"/>
      <c r="K95" s="982"/>
    </row>
    <row r="96" spans="1:11" s="224" customFormat="1" ht="15" customHeight="1" x14ac:dyDescent="0.25">
      <c r="A96" s="215">
        <v>43400</v>
      </c>
      <c r="B96" s="862" t="s">
        <v>1331</v>
      </c>
      <c r="C96" s="352" t="s">
        <v>12</v>
      </c>
      <c r="D96" s="874" t="s">
        <v>1487</v>
      </c>
      <c r="E96" s="870" t="s">
        <v>13</v>
      </c>
      <c r="F96" s="850">
        <v>30</v>
      </c>
      <c r="G96" s="1063"/>
      <c r="H96" s="622"/>
      <c r="I96" s="982"/>
      <c r="J96" s="622"/>
      <c r="K96" s="982"/>
    </row>
    <row r="97" spans="1:12" s="224" customFormat="1" ht="14.25" customHeight="1" x14ac:dyDescent="0.25">
      <c r="A97" s="215">
        <v>43400</v>
      </c>
      <c r="B97" s="862" t="s">
        <v>82</v>
      </c>
      <c r="C97" s="350" t="s">
        <v>12</v>
      </c>
      <c r="D97" s="879" t="s">
        <v>1493</v>
      </c>
      <c r="E97" s="871" t="s">
        <v>13</v>
      </c>
      <c r="F97" s="827">
        <v>32</v>
      </c>
      <c r="G97" s="248"/>
      <c r="H97" s="622"/>
      <c r="I97" s="982"/>
      <c r="J97" s="622"/>
      <c r="K97" s="982"/>
    </row>
    <row r="98" spans="1:12" s="224" customFormat="1" ht="15" customHeight="1" x14ac:dyDescent="0.25">
      <c r="A98" s="215">
        <v>43401</v>
      </c>
      <c r="B98" s="364"/>
      <c r="C98" s="350"/>
      <c r="D98" s="350"/>
      <c r="E98" s="480"/>
      <c r="F98" s="622"/>
      <c r="G98" s="982"/>
      <c r="H98" s="622"/>
      <c r="I98" s="982"/>
      <c r="J98" s="622"/>
      <c r="K98" s="982"/>
    </row>
    <row r="99" spans="1:12" s="224" customFormat="1" ht="14.25" customHeight="1" x14ac:dyDescent="0.25">
      <c r="A99" s="215">
        <v>43402</v>
      </c>
      <c r="B99" s="862" t="s">
        <v>32</v>
      </c>
      <c r="C99" s="352" t="s">
        <v>12</v>
      </c>
      <c r="D99" s="874" t="s">
        <v>1485</v>
      </c>
      <c r="E99" s="870" t="s">
        <v>15</v>
      </c>
      <c r="F99" s="850">
        <v>14</v>
      </c>
      <c r="G99" s="248"/>
      <c r="H99" s="622"/>
      <c r="I99" s="982"/>
      <c r="J99" s="622"/>
      <c r="K99" s="982"/>
    </row>
    <row r="100" spans="1:12" s="224" customFormat="1" ht="15" customHeight="1" x14ac:dyDescent="0.25">
      <c r="A100" s="215">
        <v>43402</v>
      </c>
      <c r="B100" s="862" t="s">
        <v>1331</v>
      </c>
      <c r="C100" s="352" t="s">
        <v>12</v>
      </c>
      <c r="D100" s="874" t="s">
        <v>1487</v>
      </c>
      <c r="E100" s="870" t="s">
        <v>13</v>
      </c>
      <c r="F100" s="850">
        <v>75</v>
      </c>
      <c r="G100" s="1063"/>
      <c r="H100" s="622"/>
      <c r="I100" s="982"/>
      <c r="J100" s="622"/>
      <c r="K100" s="982"/>
    </row>
    <row r="101" spans="1:12" s="224" customFormat="1" ht="14.25" customHeight="1" x14ac:dyDescent="0.25">
      <c r="A101" s="215">
        <v>43402</v>
      </c>
      <c r="B101" s="862" t="s">
        <v>2023</v>
      </c>
      <c r="C101" s="352" t="s">
        <v>19</v>
      </c>
      <c r="D101" s="874" t="s">
        <v>1523</v>
      </c>
      <c r="E101" s="870" t="s">
        <v>13</v>
      </c>
      <c r="F101" s="850">
        <v>15.96</v>
      </c>
      <c r="G101" s="248"/>
      <c r="H101" s="622"/>
      <c r="I101" s="982"/>
      <c r="J101" s="622"/>
      <c r="K101" s="982"/>
    </row>
    <row r="102" spans="1:12" s="224" customFormat="1" ht="15" customHeight="1" x14ac:dyDescent="0.25">
      <c r="A102" s="215">
        <v>43402</v>
      </c>
      <c r="B102" s="349" t="s">
        <v>14</v>
      </c>
      <c r="C102" s="350" t="s">
        <v>12</v>
      </c>
      <c r="D102" s="350" t="s">
        <v>1486</v>
      </c>
      <c r="E102" s="480" t="s">
        <v>13</v>
      </c>
      <c r="F102" s="780">
        <v>3.02</v>
      </c>
      <c r="G102" s="982"/>
      <c r="H102" s="622"/>
      <c r="I102" s="982"/>
      <c r="J102" s="622"/>
      <c r="K102" s="982"/>
    </row>
    <row r="103" spans="1:12" s="224" customFormat="1" ht="15" customHeight="1" x14ac:dyDescent="0.25">
      <c r="A103" s="215">
        <v>43403</v>
      </c>
      <c r="B103" s="862" t="s">
        <v>256</v>
      </c>
      <c r="C103" s="879"/>
      <c r="D103" s="879"/>
      <c r="E103" s="871"/>
      <c r="F103" s="97"/>
      <c r="G103" s="1064">
        <v>103.34</v>
      </c>
      <c r="H103" s="97">
        <v>103.34</v>
      </c>
      <c r="I103" s="982"/>
      <c r="J103" s="622"/>
      <c r="K103" s="982"/>
    </row>
    <row r="104" spans="1:12" s="224" customFormat="1" x14ac:dyDescent="0.25">
      <c r="A104" s="215">
        <v>43404</v>
      </c>
      <c r="B104" s="862" t="s">
        <v>2024</v>
      </c>
      <c r="C104" s="350" t="s">
        <v>12</v>
      </c>
      <c r="D104" s="350" t="s">
        <v>1489</v>
      </c>
      <c r="E104" s="757" t="s">
        <v>13</v>
      </c>
      <c r="F104" s="622">
        <v>142.6</v>
      </c>
      <c r="G104" s="982"/>
      <c r="H104" s="622"/>
      <c r="I104" s="982"/>
      <c r="J104" s="622"/>
      <c r="K104" s="982"/>
    </row>
    <row r="105" spans="1:12" s="224" customFormat="1" x14ac:dyDescent="0.25">
      <c r="A105" s="215">
        <v>43404</v>
      </c>
      <c r="B105" s="349" t="s">
        <v>14</v>
      </c>
      <c r="C105" s="350" t="s">
        <v>12</v>
      </c>
      <c r="D105" s="350" t="s">
        <v>1486</v>
      </c>
      <c r="E105" s="480" t="s">
        <v>13</v>
      </c>
      <c r="F105" s="780">
        <v>5.15</v>
      </c>
      <c r="G105" s="982"/>
      <c r="H105" s="622"/>
      <c r="I105" s="982"/>
      <c r="J105" s="622"/>
      <c r="K105" s="982"/>
    </row>
    <row r="106" spans="1:12" s="224" customFormat="1" ht="14.25" customHeight="1" x14ac:dyDescent="0.25">
      <c r="A106" s="215">
        <v>43404</v>
      </c>
      <c r="B106" s="862" t="s">
        <v>32</v>
      </c>
      <c r="C106" s="352" t="s">
        <v>12</v>
      </c>
      <c r="D106" s="874" t="s">
        <v>1485</v>
      </c>
      <c r="E106" s="870" t="s">
        <v>15</v>
      </c>
      <c r="F106" s="850">
        <v>14</v>
      </c>
      <c r="G106" s="248"/>
      <c r="H106" s="622"/>
      <c r="I106" s="982"/>
      <c r="J106" s="622"/>
      <c r="K106" s="982"/>
    </row>
    <row r="107" spans="1:12" s="224" customFormat="1" x14ac:dyDescent="0.25">
      <c r="A107" s="215">
        <v>43404</v>
      </c>
      <c r="B107" s="862" t="s">
        <v>1666</v>
      </c>
      <c r="C107" s="350" t="s">
        <v>12</v>
      </c>
      <c r="D107" s="350"/>
      <c r="E107" s="757" t="s">
        <v>25</v>
      </c>
      <c r="F107" s="622"/>
      <c r="G107" s="982"/>
      <c r="H107" s="622"/>
      <c r="I107" s="982"/>
      <c r="J107" s="622"/>
      <c r="K107" s="982">
        <v>39.79</v>
      </c>
    </row>
    <row r="108" spans="1:12" s="224" customFormat="1" ht="15" customHeight="1" thickBot="1" x14ac:dyDescent="0.3">
      <c r="A108" s="215">
        <v>43404</v>
      </c>
      <c r="B108" s="862" t="s">
        <v>1710</v>
      </c>
      <c r="C108" s="879" t="s">
        <v>12</v>
      </c>
      <c r="D108" s="879" t="s">
        <v>1504</v>
      </c>
      <c r="E108" s="871" t="s">
        <v>13</v>
      </c>
      <c r="F108" s="804">
        <v>27.9</v>
      </c>
      <c r="G108" s="946"/>
      <c r="H108" s="97"/>
      <c r="I108" s="946"/>
      <c r="J108" s="97"/>
      <c r="K108" s="946"/>
    </row>
    <row r="109" spans="1:12" ht="25.5" customHeight="1" thickBot="1" x14ac:dyDescent="0.3">
      <c r="A109" s="3060"/>
      <c r="B109" s="3061"/>
      <c r="C109" s="3062"/>
      <c r="D109" s="3062"/>
      <c r="E109" s="3062"/>
      <c r="F109" s="100">
        <f>SUM(F6:F108)</f>
        <v>3637.31</v>
      </c>
      <c r="G109" s="1065">
        <f>SUM(G5:G108)</f>
        <v>3992.860000000011</v>
      </c>
      <c r="H109" s="101">
        <f>SUM(H6:H108)</f>
        <v>408.29999999999995</v>
      </c>
      <c r="I109" s="93">
        <f>SUM(I5:I108)</f>
        <v>3208.2960000000021</v>
      </c>
      <c r="J109" s="774"/>
      <c r="K109" s="1516"/>
      <c r="L109" s="89"/>
    </row>
    <row r="110" spans="1:12" ht="25.5" customHeight="1" thickBot="1" x14ac:dyDescent="0.3">
      <c r="A110" s="3117" t="s">
        <v>49</v>
      </c>
      <c r="B110" s="3118"/>
      <c r="C110" s="3118"/>
      <c r="D110" s="3118"/>
      <c r="E110" s="3118"/>
      <c r="F110" s="144"/>
      <c r="G110" s="519">
        <f>G109-F109</f>
        <v>355.5500000000111</v>
      </c>
      <c r="H110" s="555"/>
      <c r="I110" s="556">
        <f>I109-H109</f>
        <v>2799.9960000000019</v>
      </c>
      <c r="J110" s="884"/>
      <c r="K110" s="885">
        <f>SUM(K5:K109)</f>
        <v>9745.0400000000009</v>
      </c>
    </row>
    <row r="111" spans="1:12" x14ac:dyDescent="0.25">
      <c r="G111" s="89"/>
      <c r="J111" s="769"/>
      <c r="K111" s="868"/>
    </row>
    <row r="112" spans="1:12" x14ac:dyDescent="0.25">
      <c r="B112" s="79" t="s">
        <v>32</v>
      </c>
      <c r="C112" s="475">
        <v>367.21</v>
      </c>
      <c r="D112" s="85" t="s">
        <v>1485</v>
      </c>
      <c r="J112" s="769"/>
      <c r="K112" s="866"/>
    </row>
    <row r="113" spans="1:11" x14ac:dyDescent="0.25">
      <c r="B113" s="79" t="s">
        <v>1218</v>
      </c>
      <c r="C113" s="475">
        <v>345</v>
      </c>
      <c r="D113" s="85" t="s">
        <v>1487</v>
      </c>
      <c r="J113" s="769"/>
      <c r="K113" s="868"/>
    </row>
    <row r="114" spans="1:11" x14ac:dyDescent="0.25">
      <c r="B114" s="79" t="s">
        <v>50</v>
      </c>
      <c r="C114" s="854">
        <v>150.5</v>
      </c>
      <c r="D114" s="85" t="s">
        <v>1493</v>
      </c>
      <c r="J114" s="769"/>
      <c r="K114" s="866"/>
    </row>
    <row r="115" spans="1:11" s="85" customFormat="1" x14ac:dyDescent="0.25">
      <c r="A115" s="79"/>
      <c r="B115" s="79" t="s">
        <v>14</v>
      </c>
      <c r="C115" s="484">
        <v>103.78</v>
      </c>
      <c r="D115" s="85" t="s">
        <v>1486</v>
      </c>
      <c r="J115" s="769"/>
      <c r="K115" s="866"/>
    </row>
    <row r="116" spans="1:11" s="85" customFormat="1" x14ac:dyDescent="0.25">
      <c r="A116" s="79"/>
      <c r="B116" s="79" t="s">
        <v>51</v>
      </c>
      <c r="C116" s="475">
        <v>97.35</v>
      </c>
      <c r="D116" s="864" t="s">
        <v>1499</v>
      </c>
      <c r="E116" s="79"/>
      <c r="F116" s="89"/>
      <c r="G116" s="79"/>
      <c r="H116" s="79"/>
      <c r="I116" s="79"/>
      <c r="J116" s="769"/>
      <c r="K116" s="866"/>
    </row>
    <row r="117" spans="1:11" s="85" customFormat="1" x14ac:dyDescent="0.25">
      <c r="A117" s="79"/>
      <c r="B117" s="79" t="s">
        <v>52</v>
      </c>
      <c r="C117" s="475">
        <v>91.23</v>
      </c>
      <c r="D117" s="864" t="s">
        <v>1496</v>
      </c>
      <c r="F117" s="89"/>
      <c r="G117" s="79"/>
      <c r="H117" s="79"/>
      <c r="I117" s="79"/>
      <c r="J117" s="769"/>
      <c r="K117" s="866"/>
    </row>
    <row r="118" spans="1:11" s="85" customFormat="1" x14ac:dyDescent="0.25">
      <c r="A118" s="79"/>
      <c r="B118" s="867" t="s">
        <v>53</v>
      </c>
      <c r="C118" s="475"/>
      <c r="D118" s="864" t="s">
        <v>1522</v>
      </c>
      <c r="E118" s="79"/>
      <c r="F118" s="89"/>
      <c r="G118" s="79"/>
      <c r="H118" s="79"/>
      <c r="I118" s="79"/>
      <c r="J118" s="769"/>
      <c r="K118" s="866"/>
    </row>
    <row r="119" spans="1:11" s="85" customFormat="1" x14ac:dyDescent="0.25">
      <c r="A119" s="79"/>
      <c r="B119" s="79" t="s">
        <v>1823</v>
      </c>
      <c r="C119" s="475"/>
      <c r="D119" s="864" t="s">
        <v>1515</v>
      </c>
      <c r="F119" s="89"/>
      <c r="G119" s="79"/>
      <c r="H119" s="79"/>
      <c r="I119" s="79"/>
      <c r="J119" s="769"/>
      <c r="K119" s="866"/>
    </row>
    <row r="120" spans="1:11" s="85" customFormat="1" x14ac:dyDescent="0.25">
      <c r="A120" s="79"/>
      <c r="B120" s="79" t="s">
        <v>56</v>
      </c>
      <c r="C120" s="475">
        <v>15.96</v>
      </c>
      <c r="D120" s="864" t="s">
        <v>1523</v>
      </c>
      <c r="F120" s="89"/>
      <c r="G120" s="79"/>
      <c r="H120" s="79"/>
      <c r="I120" s="79"/>
      <c r="J120" s="769"/>
      <c r="K120" s="868"/>
    </row>
    <row r="121" spans="1:11" s="85" customFormat="1" x14ac:dyDescent="0.25">
      <c r="A121" s="79"/>
      <c r="B121" s="79" t="s">
        <v>1686</v>
      </c>
      <c r="C121" s="475">
        <v>155</v>
      </c>
      <c r="D121" s="864" t="s">
        <v>1506</v>
      </c>
      <c r="F121" s="89"/>
      <c r="G121" s="79"/>
      <c r="H121" s="79"/>
      <c r="I121" s="79"/>
      <c r="J121" s="769"/>
      <c r="K121" s="866"/>
    </row>
    <row r="122" spans="1:11" s="85" customFormat="1" x14ac:dyDescent="0.25">
      <c r="A122" s="79"/>
      <c r="B122" s="79" t="s">
        <v>418</v>
      </c>
      <c r="C122" s="475"/>
      <c r="D122" s="85" t="s">
        <v>1524</v>
      </c>
      <c r="E122" s="79"/>
      <c r="F122" s="89"/>
      <c r="J122" s="769"/>
      <c r="K122" s="866"/>
    </row>
    <row r="123" spans="1:11" x14ac:dyDescent="0.25">
      <c r="B123" s="79" t="s">
        <v>419</v>
      </c>
      <c r="C123" s="861">
        <v>730.99</v>
      </c>
      <c r="D123" s="85" t="s">
        <v>1491</v>
      </c>
      <c r="J123" s="769"/>
      <c r="K123" s="868"/>
    </row>
    <row r="124" spans="1:11" x14ac:dyDescent="0.25">
      <c r="B124" s="79" t="s">
        <v>911</v>
      </c>
      <c r="C124" s="861">
        <v>133.33000000000001</v>
      </c>
      <c r="D124" s="85" t="s">
        <v>1525</v>
      </c>
      <c r="J124" s="769"/>
      <c r="K124" s="868"/>
    </row>
    <row r="125" spans="1:11" x14ac:dyDescent="0.25">
      <c r="B125" s="79" t="s">
        <v>1526</v>
      </c>
      <c r="C125" s="861">
        <v>146.82</v>
      </c>
      <c r="D125" s="85" t="s">
        <v>1504</v>
      </c>
      <c r="E125" s="79"/>
      <c r="J125" s="769"/>
      <c r="K125" s="866"/>
    </row>
    <row r="126" spans="1:11" x14ac:dyDescent="0.25">
      <c r="B126" s="79" t="s">
        <v>1527</v>
      </c>
      <c r="C126" s="861">
        <v>376.18</v>
      </c>
      <c r="D126" s="85" t="s">
        <v>1489</v>
      </c>
      <c r="J126" s="769"/>
      <c r="K126" s="868"/>
    </row>
    <row r="127" spans="1:11" x14ac:dyDescent="0.25">
      <c r="J127" s="769"/>
      <c r="K127" s="866"/>
    </row>
    <row r="128" spans="1:11" x14ac:dyDescent="0.25">
      <c r="F128" s="85"/>
      <c r="J128" s="769"/>
      <c r="K128" s="866"/>
    </row>
    <row r="129" spans="2:11" x14ac:dyDescent="0.25">
      <c r="B129" s="79" t="s">
        <v>486</v>
      </c>
      <c r="C129" s="475">
        <f>H129/J129</f>
        <v>87.527419354838713</v>
      </c>
      <c r="F129" s="224" t="s">
        <v>487</v>
      </c>
      <c r="H129" s="216">
        <f>SUM(C112:C126)</f>
        <v>2713.35</v>
      </c>
      <c r="I129" s="518" t="s">
        <v>488</v>
      </c>
      <c r="J129" s="1517">
        <v>31</v>
      </c>
      <c r="K129" s="866"/>
    </row>
    <row r="130" spans="2:11" x14ac:dyDescent="0.25">
      <c r="G130" s="85"/>
      <c r="J130" s="769"/>
      <c r="K130" s="866"/>
    </row>
    <row r="131" spans="2:11" x14ac:dyDescent="0.25">
      <c r="J131" s="769"/>
      <c r="K131" s="868"/>
    </row>
    <row r="132" spans="2:11" x14ac:dyDescent="0.25">
      <c r="K132" s="866"/>
    </row>
    <row r="133" spans="2:11" x14ac:dyDescent="0.25">
      <c r="D133" s="79"/>
      <c r="E133" s="79"/>
      <c r="J133" s="769"/>
      <c r="K133" s="866"/>
    </row>
    <row r="134" spans="2:11" x14ac:dyDescent="0.25">
      <c r="J134" s="769"/>
      <c r="K134" s="866"/>
    </row>
    <row r="135" spans="2:11" x14ac:dyDescent="0.25">
      <c r="J135" s="769"/>
      <c r="K135" s="866"/>
    </row>
    <row r="136" spans="2:11" x14ac:dyDescent="0.25">
      <c r="J136" s="769"/>
      <c r="K136" s="866"/>
    </row>
    <row r="137" spans="2:11" x14ac:dyDescent="0.25">
      <c r="C137" s="79"/>
      <c r="D137" s="79"/>
      <c r="E137" s="79"/>
      <c r="F137" s="79"/>
      <c r="I137" s="216"/>
      <c r="J137" s="769"/>
      <c r="K137" s="866"/>
    </row>
    <row r="138" spans="2:11" x14ac:dyDescent="0.25">
      <c r="C138" s="79"/>
      <c r="D138" s="79"/>
      <c r="E138" s="79"/>
      <c r="F138" s="79"/>
      <c r="I138" s="216"/>
      <c r="J138" s="769"/>
      <c r="K138" s="866"/>
    </row>
    <row r="139" spans="2:11" x14ac:dyDescent="0.25">
      <c r="C139" s="79"/>
      <c r="D139" s="79"/>
      <c r="E139" s="79"/>
      <c r="F139" s="79"/>
      <c r="G139" s="216"/>
      <c r="I139" s="216"/>
      <c r="J139" s="769"/>
      <c r="K139" s="868"/>
    </row>
    <row r="140" spans="2:11" x14ac:dyDescent="0.25">
      <c r="C140" s="79"/>
      <c r="D140" s="79"/>
      <c r="E140" s="79"/>
      <c r="F140" s="79"/>
      <c r="G140" s="216"/>
      <c r="I140" s="216"/>
      <c r="J140" s="769"/>
      <c r="K140" s="866"/>
    </row>
    <row r="141" spans="2:11" x14ac:dyDescent="0.25">
      <c r="C141" s="79"/>
      <c r="D141" s="79"/>
      <c r="E141" s="79"/>
      <c r="F141" s="79"/>
      <c r="G141" s="216"/>
      <c r="J141" s="770"/>
      <c r="K141" s="866"/>
    </row>
    <row r="142" spans="2:11" x14ac:dyDescent="0.25">
      <c r="C142" s="79"/>
      <c r="D142" s="79"/>
      <c r="E142" s="79"/>
      <c r="F142" s="79"/>
      <c r="I142" s="216"/>
      <c r="J142" s="769"/>
      <c r="K142" s="868"/>
    </row>
    <row r="143" spans="2:11" x14ac:dyDescent="0.25">
      <c r="J143" s="769"/>
      <c r="K143" s="866"/>
    </row>
    <row r="144" spans="2:11" x14ac:dyDescent="0.25">
      <c r="C144" s="79"/>
      <c r="D144" s="79"/>
      <c r="E144" s="79"/>
      <c r="F144" s="79"/>
      <c r="I144" s="629"/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6"/>
    </row>
    <row r="152" spans="3:11" x14ac:dyDescent="0.25">
      <c r="C152" s="79"/>
      <c r="D152" s="79"/>
      <c r="E152" s="79"/>
      <c r="F152" s="79"/>
      <c r="I152" s="216"/>
      <c r="J152" s="769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C155" s="79"/>
      <c r="D155" s="79"/>
      <c r="E155" s="79"/>
      <c r="F155" s="79"/>
      <c r="I155" s="216"/>
      <c r="J155" s="769"/>
      <c r="K155" s="868"/>
    </row>
    <row r="156" spans="3:11" x14ac:dyDescent="0.25">
      <c r="C156" s="79"/>
      <c r="D156" s="79"/>
      <c r="E156" s="79"/>
      <c r="F156" s="79"/>
      <c r="I156" s="216"/>
      <c r="J156" s="769"/>
      <c r="K156" s="868"/>
    </row>
    <row r="157" spans="3:11" x14ac:dyDescent="0.25">
      <c r="C157" s="79"/>
      <c r="D157" s="79"/>
      <c r="E157" s="79"/>
      <c r="F157" s="79"/>
      <c r="I157" s="216"/>
      <c r="J157" s="769"/>
      <c r="K157" s="868"/>
    </row>
    <row r="158" spans="3:11" x14ac:dyDescent="0.25">
      <c r="C158" s="79"/>
      <c r="D158" s="79"/>
      <c r="E158" s="79"/>
      <c r="F158" s="79"/>
      <c r="I158" s="216"/>
      <c r="J158" s="769"/>
      <c r="K158" s="868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J161" s="769"/>
      <c r="K161" s="868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C164" s="79"/>
      <c r="D164" s="79"/>
      <c r="E164" s="79"/>
      <c r="F164" s="79"/>
      <c r="J164" s="769"/>
      <c r="K164" s="868"/>
    </row>
    <row r="165" spans="3:11" x14ac:dyDescent="0.25">
      <c r="C165" s="79"/>
      <c r="D165" s="79"/>
      <c r="E165" s="79"/>
      <c r="F165" s="79"/>
      <c r="J165" s="769"/>
      <c r="K165" s="868"/>
    </row>
    <row r="166" spans="3:11" x14ac:dyDescent="0.25">
      <c r="C166" s="79"/>
      <c r="D166" s="79"/>
      <c r="E166" s="79"/>
      <c r="F166" s="79"/>
      <c r="J166" s="769"/>
      <c r="K166" s="868"/>
    </row>
    <row r="167" spans="3:11" x14ac:dyDescent="0.25">
      <c r="C167" s="79"/>
      <c r="D167" s="79"/>
      <c r="E167" s="79"/>
      <c r="F167" s="79"/>
      <c r="J167" s="769"/>
      <c r="K167" s="868"/>
    </row>
    <row r="168" spans="3:11" x14ac:dyDescent="0.25">
      <c r="C168" s="79"/>
      <c r="D168" s="79"/>
      <c r="E168" s="79"/>
      <c r="F168" s="79"/>
      <c r="J168" s="769"/>
      <c r="K168" s="866"/>
    </row>
    <row r="169" spans="3:11" x14ac:dyDescent="0.25">
      <c r="C169" s="79"/>
      <c r="D169" s="79"/>
      <c r="E169" s="79"/>
      <c r="F169" s="79"/>
      <c r="J169" s="223"/>
      <c r="K169" s="629"/>
    </row>
    <row r="170" spans="3:11" x14ac:dyDescent="0.25">
      <c r="C170" s="79"/>
      <c r="D170" s="79"/>
      <c r="E170" s="79"/>
      <c r="F170" s="79"/>
      <c r="J170" s="756"/>
      <c r="K170" s="756"/>
    </row>
    <row r="171" spans="3:11" x14ac:dyDescent="0.25">
      <c r="C171" s="79"/>
      <c r="D171" s="79"/>
      <c r="E171" s="79"/>
      <c r="F171" s="79"/>
    </row>
    <row r="172" spans="3:11" x14ac:dyDescent="0.25">
      <c r="C172" s="79"/>
      <c r="D172" s="79"/>
      <c r="E172" s="79"/>
      <c r="F172" s="79"/>
    </row>
    <row r="173" spans="3:11" x14ac:dyDescent="0.25">
      <c r="C173" s="79"/>
      <c r="D173" s="79"/>
      <c r="E173" s="79"/>
      <c r="F173" s="79"/>
    </row>
    <row r="174" spans="3:11" x14ac:dyDescent="0.25">
      <c r="C174" s="79"/>
      <c r="D174" s="79"/>
      <c r="E174" s="79"/>
      <c r="F174" s="79"/>
    </row>
    <row r="175" spans="3:11" x14ac:dyDescent="0.25">
      <c r="C175" s="79"/>
      <c r="D175" s="79"/>
      <c r="E175" s="79"/>
      <c r="F175" s="79"/>
      <c r="J175" s="85"/>
      <c r="K175" s="85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  <c r="J182" s="85"/>
      <c r="K182" s="85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  <c r="J189" s="771"/>
      <c r="K189" s="518"/>
    </row>
    <row r="190" spans="3:11" x14ac:dyDescent="0.25">
      <c r="C190" s="79"/>
      <c r="D190" s="79"/>
      <c r="E190" s="79"/>
      <c r="F190" s="79"/>
    </row>
    <row r="197" spans="3:11" x14ac:dyDescent="0.25">
      <c r="C197" s="79"/>
      <c r="D197" s="79"/>
      <c r="E197" s="79"/>
      <c r="F197" s="79"/>
      <c r="K197" s="216"/>
    </row>
    <row r="198" spans="3:11" x14ac:dyDescent="0.25">
      <c r="C198" s="79"/>
      <c r="D198" s="79"/>
      <c r="E198" s="79"/>
      <c r="F198" s="79"/>
      <c r="K198" s="216"/>
    </row>
    <row r="199" spans="3:11" x14ac:dyDescent="0.25">
      <c r="C199" s="79"/>
      <c r="D199" s="79"/>
      <c r="E199" s="79"/>
      <c r="F199" s="79"/>
      <c r="K199" s="216"/>
    </row>
    <row r="200" spans="3:11" x14ac:dyDescent="0.25">
      <c r="C200" s="79"/>
      <c r="D200" s="79"/>
      <c r="E200" s="79"/>
      <c r="F200" s="79"/>
      <c r="K200" s="216"/>
    </row>
    <row r="202" spans="3:11" x14ac:dyDescent="0.25">
      <c r="C202" s="79"/>
      <c r="D202" s="79"/>
      <c r="E202" s="79"/>
      <c r="F202" s="79"/>
      <c r="K202" s="216"/>
    </row>
    <row r="204" spans="3:11" x14ac:dyDescent="0.25">
      <c r="C204" s="79"/>
      <c r="D204" s="79"/>
      <c r="E204" s="79"/>
      <c r="F204" s="79"/>
      <c r="K204" s="629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</sheetData>
  <autoFilter ref="A2:I110" xr:uid="{00000000-0009-0000-0000-00004E000000}"/>
  <mergeCells count="12">
    <mergeCell ref="A109:E109"/>
    <mergeCell ref="A110:E11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Plan91"/>
  <dimension ref="A1:N215"/>
  <sheetViews>
    <sheetView zoomScale="85" zoomScaleNormal="85" workbookViewId="0">
      <pane ySplit="4" topLeftCell="A11" activePane="bottomLeft" state="frozen"/>
      <selection activeCell="C44" sqref="C44"/>
      <selection pane="bottomLeft" activeCell="A166" sqref="A16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3.5703125" style="79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14" style="79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2025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4" x14ac:dyDescent="0.25">
      <c r="A5" s="281">
        <v>43405</v>
      </c>
      <c r="B5" s="369" t="s">
        <v>10</v>
      </c>
      <c r="C5" s="370"/>
      <c r="D5" s="370"/>
      <c r="E5" s="777"/>
      <c r="F5" s="179"/>
      <c r="G5" s="933">
        <f>'Outubro-18'!G110</f>
        <v>355.5500000000111</v>
      </c>
      <c r="H5" s="179"/>
      <c r="I5" s="933">
        <f>'Outubro-18'!I110</f>
        <v>2799.9960000000019</v>
      </c>
      <c r="J5" s="179"/>
      <c r="K5" s="933">
        <f>'Outubro-18'!K110</f>
        <v>9745.0400000000009</v>
      </c>
    </row>
    <row r="6" spans="1:14" s="224" customFormat="1" x14ac:dyDescent="0.25">
      <c r="A6" s="215">
        <v>43405</v>
      </c>
      <c r="B6" s="348" t="s">
        <v>11</v>
      </c>
      <c r="C6" s="351"/>
      <c r="D6" s="351"/>
      <c r="E6" s="673"/>
      <c r="F6" s="250">
        <v>15</v>
      </c>
      <c r="G6" s="1473"/>
      <c r="H6" s="250"/>
      <c r="I6" s="1473"/>
      <c r="J6" s="250"/>
      <c r="K6" s="1473"/>
      <c r="L6" s="883"/>
      <c r="M6" s="89"/>
      <c r="N6" s="89"/>
    </row>
    <row r="7" spans="1:14" s="224" customFormat="1" ht="15" customHeight="1" x14ac:dyDescent="0.25">
      <c r="A7" s="215">
        <v>43405</v>
      </c>
      <c r="B7" s="862" t="s">
        <v>256</v>
      </c>
      <c r="C7" s="879"/>
      <c r="D7" s="879"/>
      <c r="E7" s="871"/>
      <c r="F7" s="97"/>
      <c r="G7" s="1064"/>
      <c r="H7" s="97"/>
      <c r="I7" s="982"/>
      <c r="J7" s="622"/>
      <c r="K7" s="982"/>
    </row>
    <row r="8" spans="1:14" s="224" customFormat="1" ht="15" customHeight="1" x14ac:dyDescent="0.25">
      <c r="A8" s="215">
        <v>43405</v>
      </c>
      <c r="B8" s="862" t="s">
        <v>32</v>
      </c>
      <c r="C8" s="352" t="s">
        <v>12</v>
      </c>
      <c r="D8" s="874" t="s">
        <v>1485</v>
      </c>
      <c r="E8" s="870" t="s">
        <v>13</v>
      </c>
      <c r="F8" s="850">
        <v>14</v>
      </c>
      <c r="G8" s="1064"/>
      <c r="H8" s="97"/>
      <c r="I8" s="982"/>
      <c r="J8" s="622"/>
      <c r="K8" s="982"/>
      <c r="L8" s="764"/>
    </row>
    <row r="9" spans="1:14" s="224" customFormat="1" ht="15" customHeight="1" x14ac:dyDescent="0.25">
      <c r="A9" s="215">
        <v>43405</v>
      </c>
      <c r="B9" s="862" t="s">
        <v>2026</v>
      </c>
      <c r="C9" s="352" t="s">
        <v>12</v>
      </c>
      <c r="D9" s="874" t="s">
        <v>1489</v>
      </c>
      <c r="E9" s="870" t="s">
        <v>13</v>
      </c>
      <c r="F9" s="850">
        <v>12</v>
      </c>
      <c r="G9" s="1063"/>
      <c r="H9" s="622"/>
      <c r="I9" s="982"/>
      <c r="J9" s="622"/>
      <c r="K9" s="982"/>
    </row>
    <row r="10" spans="1:14" s="224" customFormat="1" ht="15" customHeight="1" x14ac:dyDescent="0.25">
      <c r="A10" s="215">
        <v>43406</v>
      </c>
      <c r="B10" s="349" t="s">
        <v>2027</v>
      </c>
      <c r="C10" s="350" t="s">
        <v>12</v>
      </c>
      <c r="D10" s="802" t="s">
        <v>1523</v>
      </c>
      <c r="E10" s="778" t="s">
        <v>13</v>
      </c>
      <c r="F10" s="844">
        <v>50</v>
      </c>
      <c r="G10" s="1063"/>
      <c r="H10" s="622"/>
      <c r="I10" s="982"/>
      <c r="J10" s="622"/>
      <c r="K10" s="982"/>
    </row>
    <row r="11" spans="1:14" s="224" customFormat="1" ht="15" customHeight="1" x14ac:dyDescent="0.25">
      <c r="A11" s="215">
        <v>43407</v>
      </c>
      <c r="B11" s="349" t="s">
        <v>2028</v>
      </c>
      <c r="C11" s="350" t="s">
        <v>12</v>
      </c>
      <c r="D11" s="350" t="s">
        <v>1493</v>
      </c>
      <c r="E11" s="480" t="s">
        <v>13</v>
      </c>
      <c r="F11" s="780">
        <v>73</v>
      </c>
      <c r="G11" s="1063"/>
      <c r="H11" s="622"/>
      <c r="I11" s="982"/>
      <c r="J11" s="622"/>
      <c r="K11" s="982"/>
    </row>
    <row r="12" spans="1:14" s="224" customFormat="1" x14ac:dyDescent="0.25">
      <c r="A12" s="215">
        <v>43407</v>
      </c>
      <c r="B12" s="364" t="s">
        <v>311</v>
      </c>
      <c r="C12" s="350"/>
      <c r="D12" s="350"/>
      <c r="E12" s="480"/>
      <c r="F12" s="832"/>
      <c r="G12" s="627"/>
      <c r="H12" s="97"/>
      <c r="I12" s="946">
        <v>2.66</v>
      </c>
      <c r="J12" s="97"/>
      <c r="K12" s="946"/>
    </row>
    <row r="13" spans="1:14" s="224" customFormat="1" ht="15" customHeight="1" x14ac:dyDescent="0.25">
      <c r="A13" s="215">
        <v>43408</v>
      </c>
      <c r="B13" s="349" t="s">
        <v>81</v>
      </c>
      <c r="C13" s="350" t="s">
        <v>12</v>
      </c>
      <c r="D13" s="350" t="s">
        <v>1493</v>
      </c>
      <c r="E13" s="480" t="s">
        <v>15</v>
      </c>
      <c r="F13" s="780">
        <v>5</v>
      </c>
      <c r="G13" s="1063"/>
      <c r="H13" s="622"/>
      <c r="I13" s="982"/>
      <c r="J13" s="622"/>
      <c r="K13" s="982"/>
    </row>
    <row r="14" spans="1:14" s="224" customFormat="1" ht="15" customHeight="1" x14ac:dyDescent="0.25">
      <c r="A14" s="215">
        <v>43408</v>
      </c>
      <c r="B14" s="862" t="s">
        <v>1331</v>
      </c>
      <c r="C14" s="352" t="s">
        <v>12</v>
      </c>
      <c r="D14" s="874" t="s">
        <v>1487</v>
      </c>
      <c r="E14" s="870" t="s">
        <v>15</v>
      </c>
      <c r="F14" s="850">
        <v>30</v>
      </c>
      <c r="G14" s="1063"/>
      <c r="H14" s="622"/>
      <c r="I14" s="982"/>
      <c r="J14" s="622"/>
      <c r="K14" s="982"/>
    </row>
    <row r="15" spans="1:14" s="224" customFormat="1" ht="15" customHeight="1" x14ac:dyDescent="0.25">
      <c r="A15" s="215">
        <v>43409</v>
      </c>
      <c r="B15" s="862" t="s">
        <v>256</v>
      </c>
      <c r="C15" s="879"/>
      <c r="D15" s="879"/>
      <c r="E15" s="871"/>
      <c r="F15" s="97"/>
      <c r="G15" s="1064">
        <v>102.66</v>
      </c>
      <c r="H15" s="97">
        <v>102.66</v>
      </c>
      <c r="I15" s="982"/>
      <c r="J15" s="622"/>
      <c r="K15" s="982"/>
    </row>
    <row r="16" spans="1:14" s="224" customFormat="1" ht="15" customHeight="1" x14ac:dyDescent="0.25">
      <c r="A16" s="215">
        <v>43409</v>
      </c>
      <c r="B16" s="862" t="s">
        <v>32</v>
      </c>
      <c r="C16" s="352" t="s">
        <v>12</v>
      </c>
      <c r="D16" s="874" t="s">
        <v>1485</v>
      </c>
      <c r="E16" s="870" t="s">
        <v>13</v>
      </c>
      <c r="F16" s="850">
        <v>14</v>
      </c>
      <c r="G16" s="1064"/>
      <c r="H16" s="97"/>
      <c r="I16" s="982"/>
      <c r="J16" s="622"/>
      <c r="K16" s="982"/>
      <c r="L16" s="764"/>
    </row>
    <row r="17" spans="1:14" s="224" customFormat="1" ht="15" customHeight="1" x14ac:dyDescent="0.25">
      <c r="A17" s="215">
        <v>43409</v>
      </c>
      <c r="B17" s="349" t="s">
        <v>1689</v>
      </c>
      <c r="C17" s="350" t="s">
        <v>19</v>
      </c>
      <c r="D17" s="802" t="s">
        <v>1491</v>
      </c>
      <c r="E17" s="778" t="s">
        <v>13</v>
      </c>
      <c r="F17" s="844">
        <v>58</v>
      </c>
      <c r="G17" s="1063"/>
      <c r="H17" s="622"/>
      <c r="I17" s="982"/>
      <c r="J17" s="622"/>
      <c r="K17" s="982"/>
    </row>
    <row r="18" spans="1:14" s="224" customFormat="1" ht="15" customHeight="1" x14ac:dyDescent="0.25">
      <c r="A18" s="215">
        <v>43409</v>
      </c>
      <c r="B18" s="364" t="s">
        <v>1597</v>
      </c>
      <c r="C18" s="350" t="s">
        <v>12</v>
      </c>
      <c r="D18" s="350" t="s">
        <v>1491</v>
      </c>
      <c r="E18" s="480" t="s">
        <v>15</v>
      </c>
      <c r="F18" s="622">
        <v>40</v>
      </c>
      <c r="G18" s="1063"/>
      <c r="H18" s="853"/>
      <c r="I18" s="982"/>
      <c r="J18" s="622"/>
      <c r="K18" s="982"/>
    </row>
    <row r="19" spans="1:14" s="224" customFormat="1" ht="15" customHeight="1" x14ac:dyDescent="0.25">
      <c r="A19" s="215">
        <v>43409</v>
      </c>
      <c r="B19" s="349" t="s">
        <v>14</v>
      </c>
      <c r="C19" s="350" t="s">
        <v>12</v>
      </c>
      <c r="D19" s="350" t="s">
        <v>1486</v>
      </c>
      <c r="E19" s="480" t="s">
        <v>13</v>
      </c>
      <c r="F19" s="780">
        <v>3.36</v>
      </c>
      <c r="G19" s="1063"/>
      <c r="H19" s="622"/>
      <c r="I19" s="982"/>
      <c r="J19" s="622"/>
      <c r="K19" s="982"/>
    </row>
    <row r="20" spans="1:14" s="224" customFormat="1" ht="15" customHeight="1" x14ac:dyDescent="0.25">
      <c r="A20" s="215">
        <v>43409</v>
      </c>
      <c r="B20" s="862" t="s">
        <v>138</v>
      </c>
      <c r="C20" s="352" t="s">
        <v>12</v>
      </c>
      <c r="D20" s="874" t="s">
        <v>1487</v>
      </c>
      <c r="E20" s="870" t="s">
        <v>15</v>
      </c>
      <c r="F20" s="850">
        <v>10</v>
      </c>
      <c r="G20" s="1525"/>
      <c r="H20" s="880"/>
      <c r="I20" s="982"/>
      <c r="J20" s="622"/>
      <c r="K20" s="982"/>
    </row>
    <row r="21" spans="1:14" s="224" customFormat="1" ht="15" customHeight="1" x14ac:dyDescent="0.25">
      <c r="A21" s="215">
        <v>43410</v>
      </c>
      <c r="B21" s="862" t="s">
        <v>32</v>
      </c>
      <c r="C21" s="352" t="s">
        <v>12</v>
      </c>
      <c r="D21" s="874" t="s">
        <v>1485</v>
      </c>
      <c r="E21" s="870" t="s">
        <v>13</v>
      </c>
      <c r="F21" s="850">
        <v>14</v>
      </c>
      <c r="G21" s="1064"/>
      <c r="H21" s="97"/>
      <c r="I21" s="982"/>
      <c r="J21" s="622"/>
      <c r="K21" s="982"/>
      <c r="L21" s="764"/>
    </row>
    <row r="22" spans="1:14" s="224" customFormat="1" ht="15" customHeight="1" x14ac:dyDescent="0.25">
      <c r="A22" s="215">
        <v>43410</v>
      </c>
      <c r="B22" s="349" t="s">
        <v>1670</v>
      </c>
      <c r="C22" s="350" t="s">
        <v>12</v>
      </c>
      <c r="D22" s="350"/>
      <c r="E22" s="480" t="s">
        <v>25</v>
      </c>
      <c r="F22" s="622"/>
      <c r="G22" s="1064">
        <v>150</v>
      </c>
      <c r="H22" s="97"/>
      <c r="I22" s="946"/>
      <c r="J22" s="97"/>
      <c r="K22" s="946"/>
    </row>
    <row r="23" spans="1:14" s="224" customFormat="1" ht="15" customHeight="1" x14ac:dyDescent="0.25">
      <c r="A23" s="215">
        <v>43410</v>
      </c>
      <c r="B23" s="862" t="s">
        <v>2015</v>
      </c>
      <c r="C23" s="352" t="s">
        <v>12</v>
      </c>
      <c r="D23" s="874" t="s">
        <v>1506</v>
      </c>
      <c r="E23" s="870" t="s">
        <v>15</v>
      </c>
      <c r="F23" s="850">
        <v>30</v>
      </c>
      <c r="G23" s="1064"/>
      <c r="H23" s="97"/>
      <c r="I23" s="982"/>
      <c r="J23" s="622"/>
      <c r="K23" s="982"/>
    </row>
    <row r="24" spans="1:14" s="224" customFormat="1" ht="15" customHeight="1" x14ac:dyDescent="0.25">
      <c r="A24" s="215">
        <v>43410</v>
      </c>
      <c r="B24" s="349" t="s">
        <v>14</v>
      </c>
      <c r="C24" s="350" t="s">
        <v>12</v>
      </c>
      <c r="D24" s="350" t="s">
        <v>1486</v>
      </c>
      <c r="E24" s="480" t="s">
        <v>13</v>
      </c>
      <c r="F24" s="850">
        <v>11.06</v>
      </c>
      <c r="G24" s="1063"/>
      <c r="H24" s="622"/>
      <c r="I24" s="982"/>
      <c r="J24" s="622"/>
      <c r="K24" s="982"/>
    </row>
    <row r="25" spans="1:14" s="224" customFormat="1" ht="15.75" customHeight="1" x14ac:dyDescent="0.25">
      <c r="A25" s="215">
        <v>43411</v>
      </c>
      <c r="B25" s="349" t="s">
        <v>2029</v>
      </c>
      <c r="C25" s="879" t="s">
        <v>12</v>
      </c>
      <c r="D25" s="874"/>
      <c r="E25" s="871" t="s">
        <v>25</v>
      </c>
      <c r="F25" s="1524"/>
      <c r="G25" s="1002">
        <v>1837.68</v>
      </c>
      <c r="H25" s="538"/>
      <c r="I25" s="982"/>
      <c r="J25" s="622"/>
      <c r="K25" s="982"/>
      <c r="L25" s="475"/>
    </row>
    <row r="26" spans="1:14" s="224" customFormat="1" x14ac:dyDescent="0.25">
      <c r="A26" s="215">
        <v>43411</v>
      </c>
      <c r="B26" s="862" t="s">
        <v>2030</v>
      </c>
      <c r="C26" s="879" t="s">
        <v>12</v>
      </c>
      <c r="D26" s="879"/>
      <c r="E26" s="871" t="s">
        <v>13</v>
      </c>
      <c r="F26" s="613">
        <v>822.07</v>
      </c>
      <c r="G26" s="982"/>
      <c r="H26" s="622"/>
      <c r="I26" s="982"/>
      <c r="J26" s="780"/>
      <c r="K26" s="614"/>
      <c r="L26" s="861">
        <v>886.33</v>
      </c>
      <c r="M26" s="89"/>
      <c r="N26" s="89"/>
    </row>
    <row r="27" spans="1:14" x14ac:dyDescent="0.25">
      <c r="A27" s="215">
        <v>43411</v>
      </c>
      <c r="B27" s="862" t="s">
        <v>1961</v>
      </c>
      <c r="C27" s="879" t="s">
        <v>12</v>
      </c>
      <c r="D27" s="879" t="s">
        <v>1504</v>
      </c>
      <c r="E27" s="871" t="s">
        <v>13</v>
      </c>
      <c r="F27" s="780">
        <v>50</v>
      </c>
      <c r="G27" s="982"/>
      <c r="H27" s="622"/>
      <c r="I27" s="982"/>
      <c r="J27" s="622"/>
      <c r="K27" s="1002"/>
      <c r="L27" s="854">
        <v>90</v>
      </c>
    </row>
    <row r="28" spans="1:14" x14ac:dyDescent="0.25">
      <c r="A28" s="215">
        <v>43411</v>
      </c>
      <c r="B28" s="882" t="s">
        <v>2031</v>
      </c>
      <c r="C28" s="879" t="s">
        <v>12</v>
      </c>
      <c r="D28" s="879" t="s">
        <v>1499</v>
      </c>
      <c r="E28" s="871" t="s">
        <v>13</v>
      </c>
      <c r="F28" s="780">
        <v>60</v>
      </c>
      <c r="G28" s="982"/>
      <c r="H28" s="622"/>
      <c r="I28" s="982"/>
      <c r="J28" s="780"/>
      <c r="K28" s="614"/>
      <c r="L28" s="854">
        <v>250.84</v>
      </c>
    </row>
    <row r="29" spans="1:14" x14ac:dyDescent="0.25">
      <c r="A29" s="215">
        <v>43411</v>
      </c>
      <c r="B29" s="876" t="s">
        <v>52</v>
      </c>
      <c r="C29" s="879" t="s">
        <v>12</v>
      </c>
      <c r="D29" s="879" t="s">
        <v>1496</v>
      </c>
      <c r="E29" s="871" t="s">
        <v>15</v>
      </c>
      <c r="F29" s="780">
        <v>60</v>
      </c>
      <c r="G29" s="1063"/>
      <c r="H29" s="853"/>
      <c r="I29" s="982"/>
      <c r="J29" s="622"/>
      <c r="K29" s="982"/>
      <c r="L29" s="484"/>
    </row>
    <row r="30" spans="1:14" s="224" customFormat="1" x14ac:dyDescent="0.25">
      <c r="A30" s="215">
        <v>43411</v>
      </c>
      <c r="B30" s="364" t="s">
        <v>311</v>
      </c>
      <c r="C30" s="350"/>
      <c r="D30" s="350"/>
      <c r="E30" s="480"/>
      <c r="F30" s="538"/>
      <c r="G30" s="627"/>
      <c r="H30" s="97"/>
      <c r="I30" s="946">
        <v>2.17</v>
      </c>
      <c r="J30" s="97"/>
      <c r="K30" s="946"/>
    </row>
    <row r="31" spans="1:14" s="224" customFormat="1" x14ac:dyDescent="0.25">
      <c r="A31" s="215">
        <v>43411</v>
      </c>
      <c r="B31" s="862" t="s">
        <v>1331</v>
      </c>
      <c r="C31" s="352" t="s">
        <v>12</v>
      </c>
      <c r="D31" s="874" t="s">
        <v>1487</v>
      </c>
      <c r="E31" s="870" t="s">
        <v>15</v>
      </c>
      <c r="F31" s="538">
        <v>70</v>
      </c>
      <c r="G31" s="627"/>
      <c r="H31" s="97"/>
      <c r="I31" s="946"/>
      <c r="J31" s="97"/>
      <c r="K31" s="946"/>
    </row>
    <row r="32" spans="1:14" s="224" customFormat="1" ht="15" customHeight="1" x14ac:dyDescent="0.25">
      <c r="A32" s="215">
        <v>43411</v>
      </c>
      <c r="B32" s="862" t="s">
        <v>1438</v>
      </c>
      <c r="C32" s="352" t="s">
        <v>19</v>
      </c>
      <c r="D32" s="874" t="s">
        <v>1489</v>
      </c>
      <c r="E32" s="870" t="s">
        <v>13</v>
      </c>
      <c r="F32" s="780">
        <v>20.58</v>
      </c>
      <c r="G32" s="1064"/>
      <c r="H32" s="97"/>
      <c r="I32" s="946"/>
      <c r="J32" s="97"/>
      <c r="K32" s="946"/>
    </row>
    <row r="33" spans="1:12" s="224" customFormat="1" ht="15" customHeight="1" x14ac:dyDescent="0.25">
      <c r="A33" s="215">
        <v>43412</v>
      </c>
      <c r="B33" s="862" t="s">
        <v>32</v>
      </c>
      <c r="C33" s="352" t="s">
        <v>12</v>
      </c>
      <c r="D33" s="874" t="s">
        <v>1485</v>
      </c>
      <c r="E33" s="870" t="s">
        <v>13</v>
      </c>
      <c r="F33" s="850">
        <v>14</v>
      </c>
      <c r="G33" s="1063"/>
      <c r="H33" s="622"/>
      <c r="I33" s="982"/>
      <c r="J33" s="622"/>
      <c r="K33" s="982"/>
    </row>
    <row r="34" spans="1:12" s="224" customFormat="1" ht="15" customHeight="1" x14ac:dyDescent="0.25">
      <c r="A34" s="215">
        <v>43412</v>
      </c>
      <c r="B34" s="349" t="s">
        <v>14</v>
      </c>
      <c r="C34" s="350" t="s">
        <v>12</v>
      </c>
      <c r="D34" s="350" t="s">
        <v>1486</v>
      </c>
      <c r="E34" s="480" t="s">
        <v>13</v>
      </c>
      <c r="F34" s="850">
        <v>17.34</v>
      </c>
      <c r="G34" s="1063"/>
      <c r="H34" s="622"/>
      <c r="I34" s="982"/>
      <c r="J34" s="622"/>
      <c r="K34" s="982"/>
    </row>
    <row r="35" spans="1:12" s="224" customFormat="1" ht="15" customHeight="1" x14ac:dyDescent="0.25">
      <c r="A35" s="215">
        <v>43413</v>
      </c>
      <c r="B35" s="862" t="s">
        <v>32</v>
      </c>
      <c r="C35" s="352" t="s">
        <v>12</v>
      </c>
      <c r="D35" s="874" t="s">
        <v>1485</v>
      </c>
      <c r="E35" s="870" t="s">
        <v>13</v>
      </c>
      <c r="F35" s="850">
        <v>14</v>
      </c>
      <c r="G35" s="1063"/>
      <c r="H35" s="622"/>
      <c r="I35" s="982"/>
      <c r="J35" s="622"/>
      <c r="K35" s="982"/>
    </row>
    <row r="36" spans="1:12" s="224" customFormat="1" ht="15" customHeight="1" x14ac:dyDescent="0.25">
      <c r="A36" s="215">
        <v>43413</v>
      </c>
      <c r="B36" s="349" t="s">
        <v>2011</v>
      </c>
      <c r="C36" s="350" t="s">
        <v>12</v>
      </c>
      <c r="D36" s="350" t="s">
        <v>1493</v>
      </c>
      <c r="E36" s="480" t="s">
        <v>13</v>
      </c>
      <c r="F36" s="780">
        <v>30.5</v>
      </c>
      <c r="G36" s="946"/>
      <c r="H36" s="97"/>
      <c r="I36" s="946"/>
      <c r="J36" s="97"/>
      <c r="K36" s="946"/>
    </row>
    <row r="37" spans="1:12" s="224" customFormat="1" ht="15" customHeight="1" x14ac:dyDescent="0.25">
      <c r="A37" s="215">
        <v>43414</v>
      </c>
      <c r="B37" s="862" t="s">
        <v>32</v>
      </c>
      <c r="C37" s="352" t="s">
        <v>12</v>
      </c>
      <c r="D37" s="874" t="s">
        <v>1485</v>
      </c>
      <c r="E37" s="870" t="s">
        <v>15</v>
      </c>
      <c r="F37" s="850">
        <v>10</v>
      </c>
      <c r="G37" s="1063"/>
      <c r="H37" s="622"/>
      <c r="I37" s="982"/>
      <c r="J37" s="622"/>
      <c r="K37" s="982"/>
    </row>
    <row r="38" spans="1:12" s="224" customFormat="1" x14ac:dyDescent="0.25">
      <c r="A38" s="215">
        <v>43414</v>
      </c>
      <c r="B38" s="349" t="s">
        <v>2032</v>
      </c>
      <c r="C38" s="350" t="s">
        <v>12</v>
      </c>
      <c r="D38" s="350" t="s">
        <v>1524</v>
      </c>
      <c r="E38" s="480" t="s">
        <v>15</v>
      </c>
      <c r="F38" s="622">
        <v>250</v>
      </c>
      <c r="G38" s="982"/>
      <c r="H38" s="853"/>
      <c r="I38" s="1002"/>
      <c r="J38" s="622"/>
      <c r="K38" s="1002"/>
      <c r="L38" s="475"/>
    </row>
    <row r="39" spans="1:12" s="224" customFormat="1" x14ac:dyDescent="0.25">
      <c r="A39" s="215">
        <v>43414</v>
      </c>
      <c r="B39" s="349" t="s">
        <v>2033</v>
      </c>
      <c r="C39" s="350" t="s">
        <v>12</v>
      </c>
      <c r="D39" s="350" t="s">
        <v>1524</v>
      </c>
      <c r="E39" s="480" t="s">
        <v>15</v>
      </c>
      <c r="F39" s="622">
        <v>20</v>
      </c>
      <c r="G39" s="982"/>
      <c r="H39" s="853"/>
      <c r="I39" s="1002"/>
      <c r="J39" s="622"/>
      <c r="K39" s="1002"/>
      <c r="L39" s="475"/>
    </row>
    <row r="40" spans="1:12" s="224" customFormat="1" x14ac:dyDescent="0.25">
      <c r="A40" s="215">
        <v>43414</v>
      </c>
      <c r="B40" s="349" t="s">
        <v>1438</v>
      </c>
      <c r="C40" s="350" t="s">
        <v>19</v>
      </c>
      <c r="D40" s="350" t="s">
        <v>1489</v>
      </c>
      <c r="E40" s="480" t="s">
        <v>13</v>
      </c>
      <c r="F40" s="622">
        <v>57.62</v>
      </c>
      <c r="G40" s="982"/>
      <c r="H40" s="853"/>
      <c r="I40" s="1002"/>
      <c r="J40" s="622"/>
      <c r="K40" s="1002"/>
      <c r="L40" s="475"/>
    </row>
    <row r="41" spans="1:12" s="224" customFormat="1" x14ac:dyDescent="0.25">
      <c r="A41" s="215">
        <v>43414</v>
      </c>
      <c r="B41" s="862" t="s">
        <v>1331</v>
      </c>
      <c r="C41" s="352" t="s">
        <v>12</v>
      </c>
      <c r="D41" s="874" t="s">
        <v>1487</v>
      </c>
      <c r="E41" s="870" t="s">
        <v>15</v>
      </c>
      <c r="F41" s="538">
        <v>40</v>
      </c>
      <c r="G41" s="627"/>
      <c r="H41" s="97"/>
      <c r="I41" s="946"/>
      <c r="J41" s="97"/>
      <c r="K41" s="946"/>
    </row>
    <row r="42" spans="1:12" s="224" customFormat="1" ht="15" customHeight="1" x14ac:dyDescent="0.25">
      <c r="A42" s="215">
        <v>43415</v>
      </c>
      <c r="B42" s="349" t="s">
        <v>14</v>
      </c>
      <c r="C42" s="350" t="s">
        <v>12</v>
      </c>
      <c r="D42" s="350" t="s">
        <v>1486</v>
      </c>
      <c r="E42" s="480" t="s">
        <v>13</v>
      </c>
      <c r="F42" s="850">
        <v>3.4</v>
      </c>
      <c r="G42" s="1063"/>
      <c r="H42" s="622"/>
      <c r="I42" s="982"/>
      <c r="J42" s="622"/>
      <c r="K42" s="982"/>
    </row>
    <row r="43" spans="1:12" s="224" customFormat="1" x14ac:dyDescent="0.25">
      <c r="A43" s="215">
        <v>43415</v>
      </c>
      <c r="B43" s="349" t="s">
        <v>80</v>
      </c>
      <c r="C43" s="350" t="s">
        <v>12</v>
      </c>
      <c r="D43" s="350" t="s">
        <v>1523</v>
      </c>
      <c r="E43" s="480" t="s">
        <v>15</v>
      </c>
      <c r="F43" s="622">
        <v>10</v>
      </c>
      <c r="G43" s="982"/>
      <c r="H43" s="853"/>
      <c r="I43" s="1002"/>
      <c r="J43" s="622"/>
      <c r="K43" s="1002"/>
      <c r="L43" s="475"/>
    </row>
    <row r="44" spans="1:12" s="224" customFormat="1" x14ac:dyDescent="0.25">
      <c r="A44" s="215">
        <v>43415</v>
      </c>
      <c r="B44" s="349" t="s">
        <v>2034</v>
      </c>
      <c r="C44" s="350" t="s">
        <v>12</v>
      </c>
      <c r="D44" s="350" t="s">
        <v>1491</v>
      </c>
      <c r="E44" s="480" t="s">
        <v>15</v>
      </c>
      <c r="F44" s="622">
        <v>10</v>
      </c>
      <c r="G44" s="982"/>
      <c r="H44" s="853"/>
      <c r="I44" s="1002"/>
      <c r="J44" s="622"/>
      <c r="K44" s="1002"/>
      <c r="L44" s="475"/>
    </row>
    <row r="45" spans="1:12" s="224" customFormat="1" ht="15" customHeight="1" x14ac:dyDescent="0.25">
      <c r="A45" s="215">
        <v>43416</v>
      </c>
      <c r="B45" s="862" t="s">
        <v>32</v>
      </c>
      <c r="C45" s="352" t="s">
        <v>12</v>
      </c>
      <c r="D45" s="874" t="s">
        <v>1485</v>
      </c>
      <c r="E45" s="870" t="s">
        <v>13</v>
      </c>
      <c r="F45" s="850">
        <v>14</v>
      </c>
      <c r="G45" s="1063"/>
      <c r="H45" s="622"/>
      <c r="I45" s="982"/>
      <c r="J45" s="622"/>
      <c r="K45" s="982"/>
    </row>
    <row r="46" spans="1:12" s="224" customFormat="1" ht="15" customHeight="1" x14ac:dyDescent="0.25">
      <c r="A46" s="215">
        <v>43416</v>
      </c>
      <c r="B46" s="862" t="s">
        <v>2035</v>
      </c>
      <c r="C46" s="352" t="s">
        <v>12</v>
      </c>
      <c r="D46" s="874" t="s">
        <v>1524</v>
      </c>
      <c r="E46" s="870" t="s">
        <v>15</v>
      </c>
      <c r="F46" s="850">
        <v>5</v>
      </c>
      <c r="G46" s="1063"/>
      <c r="H46" s="622"/>
      <c r="I46" s="982"/>
      <c r="J46" s="622"/>
      <c r="K46" s="982"/>
    </row>
    <row r="47" spans="1:12" s="224" customFormat="1" ht="15" customHeight="1" x14ac:dyDescent="0.25">
      <c r="A47" s="215">
        <v>43417</v>
      </c>
      <c r="B47" s="349" t="s">
        <v>2036</v>
      </c>
      <c r="C47" s="350" t="s">
        <v>19</v>
      </c>
      <c r="D47" s="350" t="s">
        <v>1506</v>
      </c>
      <c r="E47" s="480" t="s">
        <v>13</v>
      </c>
      <c r="F47" s="780">
        <v>38</v>
      </c>
      <c r="G47" s="946"/>
      <c r="H47" s="97"/>
      <c r="I47" s="946"/>
      <c r="J47" s="97"/>
      <c r="K47" s="946"/>
    </row>
    <row r="48" spans="1:12" s="224" customFormat="1" ht="15" customHeight="1" x14ac:dyDescent="0.25">
      <c r="A48" s="215">
        <v>43417</v>
      </c>
      <c r="B48" s="349" t="s">
        <v>521</v>
      </c>
      <c r="C48" s="350" t="s">
        <v>12</v>
      </c>
      <c r="D48" s="350" t="s">
        <v>1489</v>
      </c>
      <c r="E48" s="480" t="s">
        <v>13</v>
      </c>
      <c r="F48" s="780">
        <v>12.85</v>
      </c>
      <c r="G48" s="946"/>
      <c r="H48" s="97"/>
      <c r="I48" s="946"/>
      <c r="J48" s="97"/>
      <c r="K48" s="946"/>
    </row>
    <row r="49" spans="1:12" ht="15" customHeight="1" x14ac:dyDescent="0.25">
      <c r="A49" s="215">
        <v>43417</v>
      </c>
      <c r="B49" s="349" t="s">
        <v>1396</v>
      </c>
      <c r="C49" s="350" t="s">
        <v>12</v>
      </c>
      <c r="D49" s="350"/>
      <c r="E49" s="757" t="s">
        <v>25</v>
      </c>
      <c r="F49" s="97"/>
      <c r="G49" s="946">
        <v>40</v>
      </c>
      <c r="H49" s="97"/>
      <c r="I49" s="946"/>
      <c r="J49" s="97"/>
      <c r="K49" s="946"/>
    </row>
    <row r="50" spans="1:12" s="224" customFormat="1" ht="15" customHeight="1" x14ac:dyDescent="0.25">
      <c r="A50" s="215">
        <v>43418</v>
      </c>
      <c r="B50" s="862" t="s">
        <v>32</v>
      </c>
      <c r="C50" s="352" t="s">
        <v>12</v>
      </c>
      <c r="D50" s="874" t="s">
        <v>1485</v>
      </c>
      <c r="E50" s="870" t="s">
        <v>13</v>
      </c>
      <c r="F50" s="850">
        <v>14</v>
      </c>
      <c r="G50" s="1063"/>
      <c r="H50" s="622"/>
      <c r="I50" s="982"/>
      <c r="J50" s="622"/>
      <c r="K50" s="982"/>
    </row>
    <row r="51" spans="1:12" s="224" customFormat="1" ht="15" customHeight="1" x14ac:dyDescent="0.25">
      <c r="A51" s="215">
        <v>43418</v>
      </c>
      <c r="B51" s="876" t="s">
        <v>134</v>
      </c>
      <c r="C51" s="350" t="s">
        <v>12</v>
      </c>
      <c r="D51" s="874" t="s">
        <v>1493</v>
      </c>
      <c r="E51" s="870" t="s">
        <v>13</v>
      </c>
      <c r="F51" s="780">
        <v>12</v>
      </c>
      <c r="G51" s="1063"/>
      <c r="H51" s="622"/>
      <c r="I51" s="982"/>
      <c r="J51" s="622"/>
      <c r="K51" s="982"/>
      <c r="L51" s="459"/>
    </row>
    <row r="52" spans="1:12" s="224" customFormat="1" ht="15" customHeight="1" x14ac:dyDescent="0.25">
      <c r="A52" s="215">
        <v>43419</v>
      </c>
      <c r="B52" s="349" t="s">
        <v>14</v>
      </c>
      <c r="C52" s="350" t="s">
        <v>12</v>
      </c>
      <c r="D52" s="350" t="s">
        <v>1486</v>
      </c>
      <c r="E52" s="480" t="s">
        <v>13</v>
      </c>
      <c r="F52" s="850">
        <v>3.69</v>
      </c>
      <c r="G52" s="1063"/>
      <c r="H52" s="622"/>
      <c r="I52" s="982"/>
      <c r="J52" s="622"/>
      <c r="K52" s="982"/>
    </row>
    <row r="53" spans="1:12" s="224" customFormat="1" ht="15" customHeight="1" x14ac:dyDescent="0.25">
      <c r="A53" s="215">
        <v>43419</v>
      </c>
      <c r="B53" s="876" t="s">
        <v>1438</v>
      </c>
      <c r="C53" s="350" t="s">
        <v>19</v>
      </c>
      <c r="D53" s="874" t="s">
        <v>1489</v>
      </c>
      <c r="E53" s="870" t="s">
        <v>13</v>
      </c>
      <c r="F53" s="780">
        <v>40.950000000000003</v>
      </c>
      <c r="G53" s="1063"/>
      <c r="H53" s="622"/>
      <c r="I53" s="982"/>
      <c r="J53" s="622"/>
      <c r="K53" s="982"/>
      <c r="L53" s="459"/>
    </row>
    <row r="54" spans="1:12" s="224" customFormat="1" ht="15" customHeight="1" x14ac:dyDescent="0.25">
      <c r="A54" s="215">
        <v>43419</v>
      </c>
      <c r="B54" s="862" t="s">
        <v>32</v>
      </c>
      <c r="C54" s="352" t="s">
        <v>12</v>
      </c>
      <c r="D54" s="874" t="s">
        <v>1485</v>
      </c>
      <c r="E54" s="870" t="s">
        <v>13</v>
      </c>
      <c r="F54" s="850">
        <v>16</v>
      </c>
      <c r="G54" s="1063"/>
      <c r="H54" s="622"/>
      <c r="I54" s="982"/>
      <c r="J54" s="622"/>
      <c r="K54" s="982"/>
    </row>
    <row r="55" spans="1:12" s="224" customFormat="1" ht="15" customHeight="1" x14ac:dyDescent="0.25">
      <c r="A55" s="215">
        <v>43419</v>
      </c>
      <c r="B55" s="862" t="s">
        <v>134</v>
      </c>
      <c r="C55" s="352" t="s">
        <v>12</v>
      </c>
      <c r="D55" s="874" t="s">
        <v>1493</v>
      </c>
      <c r="E55" s="870" t="s">
        <v>13</v>
      </c>
      <c r="F55" s="850">
        <v>19.8</v>
      </c>
      <c r="G55" s="1063"/>
      <c r="H55" s="622"/>
      <c r="I55" s="982"/>
      <c r="J55" s="622"/>
      <c r="K55" s="982"/>
    </row>
    <row r="56" spans="1:12" s="224" customFormat="1" ht="15" customHeight="1" x14ac:dyDescent="0.25">
      <c r="A56" s="215">
        <v>43419</v>
      </c>
      <c r="B56" s="862" t="s">
        <v>1331</v>
      </c>
      <c r="C56" s="352" t="s">
        <v>12</v>
      </c>
      <c r="D56" s="874" t="s">
        <v>1487</v>
      </c>
      <c r="E56" s="870" t="s">
        <v>15</v>
      </c>
      <c r="F56" s="850">
        <v>60</v>
      </c>
      <c r="G56" s="1063"/>
      <c r="H56" s="622"/>
      <c r="I56" s="982"/>
      <c r="J56" s="622"/>
      <c r="K56" s="982"/>
    </row>
    <row r="57" spans="1:12" s="224" customFormat="1" ht="15" customHeight="1" x14ac:dyDescent="0.25">
      <c r="A57" s="215">
        <v>43420</v>
      </c>
      <c r="B57" s="349" t="s">
        <v>14</v>
      </c>
      <c r="C57" s="350" t="s">
        <v>12</v>
      </c>
      <c r="D57" s="350" t="s">
        <v>1486</v>
      </c>
      <c r="E57" s="480" t="s">
        <v>13</v>
      </c>
      <c r="F57" s="850">
        <v>3.31</v>
      </c>
      <c r="G57" s="1063"/>
      <c r="H57" s="622"/>
      <c r="I57" s="982"/>
      <c r="J57" s="622"/>
      <c r="K57" s="982"/>
    </row>
    <row r="58" spans="1:12" s="224" customFormat="1" ht="15" customHeight="1" x14ac:dyDescent="0.25">
      <c r="A58" s="215">
        <v>43420</v>
      </c>
      <c r="B58" s="862" t="s">
        <v>32</v>
      </c>
      <c r="C58" s="352" t="s">
        <v>12</v>
      </c>
      <c r="D58" s="874" t="s">
        <v>1485</v>
      </c>
      <c r="E58" s="870" t="s">
        <v>15</v>
      </c>
      <c r="F58" s="850">
        <v>10</v>
      </c>
      <c r="G58" s="1063"/>
      <c r="H58" s="622"/>
      <c r="I58" s="982"/>
      <c r="J58" s="622"/>
      <c r="K58" s="982"/>
    </row>
    <row r="59" spans="1:12" s="224" customFormat="1" ht="15" customHeight="1" x14ac:dyDescent="0.25">
      <c r="A59" s="215">
        <v>43420</v>
      </c>
      <c r="B59" s="862" t="s">
        <v>1597</v>
      </c>
      <c r="C59" s="352" t="s">
        <v>12</v>
      </c>
      <c r="D59" s="874" t="s">
        <v>1491</v>
      </c>
      <c r="E59" s="870" t="s">
        <v>15</v>
      </c>
      <c r="F59" s="850">
        <v>40</v>
      </c>
      <c r="G59" s="946"/>
      <c r="H59" s="97"/>
      <c r="I59" s="946"/>
      <c r="J59" s="97"/>
      <c r="K59" s="946"/>
    </row>
    <row r="60" spans="1:12" s="224" customFormat="1" ht="15" customHeight="1" x14ac:dyDescent="0.25">
      <c r="A60" s="215">
        <v>43420</v>
      </c>
      <c r="B60" s="862" t="s">
        <v>134</v>
      </c>
      <c r="C60" s="352" t="s">
        <v>12</v>
      </c>
      <c r="D60" s="874" t="s">
        <v>1493</v>
      </c>
      <c r="E60" s="870" t="s">
        <v>13</v>
      </c>
      <c r="F60" s="850">
        <v>5.8</v>
      </c>
      <c r="G60" s="946"/>
      <c r="H60" s="97"/>
      <c r="I60" s="946"/>
      <c r="J60" s="97"/>
      <c r="K60" s="946"/>
    </row>
    <row r="61" spans="1:12" s="224" customFormat="1" ht="15" customHeight="1" x14ac:dyDescent="0.25">
      <c r="A61" s="215">
        <v>43421</v>
      </c>
      <c r="B61" s="876" t="s">
        <v>2037</v>
      </c>
      <c r="C61" s="350" t="s">
        <v>12</v>
      </c>
      <c r="D61" s="874" t="s">
        <v>1522</v>
      </c>
      <c r="E61" s="870" t="s">
        <v>13</v>
      </c>
      <c r="F61" s="780">
        <v>4</v>
      </c>
      <c r="G61" s="1063"/>
      <c r="H61" s="622"/>
      <c r="I61" s="982"/>
      <c r="J61" s="622"/>
      <c r="K61" s="982"/>
      <c r="L61" s="459"/>
    </row>
    <row r="62" spans="1:12" s="224" customFormat="1" ht="15" customHeight="1" x14ac:dyDescent="0.25">
      <c r="A62" s="215">
        <v>43421</v>
      </c>
      <c r="B62" s="876" t="s">
        <v>2038</v>
      </c>
      <c r="C62" s="350" t="s">
        <v>12</v>
      </c>
      <c r="D62" s="874" t="s">
        <v>1493</v>
      </c>
      <c r="E62" s="870" t="s">
        <v>13</v>
      </c>
      <c r="F62" s="780">
        <v>25</v>
      </c>
      <c r="G62" s="1063"/>
      <c r="H62" s="622"/>
      <c r="I62" s="982"/>
      <c r="J62" s="622"/>
      <c r="K62" s="982"/>
      <c r="L62" s="459"/>
    </row>
    <row r="63" spans="1:12" s="224" customFormat="1" ht="15" customHeight="1" x14ac:dyDescent="0.25">
      <c r="A63" s="215">
        <v>43421</v>
      </c>
      <c r="B63" s="876" t="s">
        <v>82</v>
      </c>
      <c r="C63" s="350" t="s">
        <v>12</v>
      </c>
      <c r="D63" s="874" t="s">
        <v>1493</v>
      </c>
      <c r="E63" s="870" t="s">
        <v>13</v>
      </c>
      <c r="F63" s="780">
        <v>32</v>
      </c>
      <c r="G63" s="1063"/>
      <c r="H63" s="622"/>
      <c r="I63" s="982"/>
      <c r="J63" s="622"/>
      <c r="K63" s="982"/>
      <c r="L63" s="459"/>
    </row>
    <row r="64" spans="1:12" s="224" customFormat="1" ht="15" customHeight="1" x14ac:dyDescent="0.25">
      <c r="A64" s="215">
        <v>43421</v>
      </c>
      <c r="B64" s="862" t="s">
        <v>32</v>
      </c>
      <c r="C64" s="352" t="s">
        <v>12</v>
      </c>
      <c r="D64" s="874" t="s">
        <v>1485</v>
      </c>
      <c r="E64" s="870" t="s">
        <v>15</v>
      </c>
      <c r="F64" s="850">
        <v>14</v>
      </c>
      <c r="G64" s="1063"/>
      <c r="H64" s="622"/>
      <c r="I64" s="982"/>
      <c r="J64" s="622"/>
      <c r="K64" s="982"/>
    </row>
    <row r="65" spans="1:12" s="224" customFormat="1" x14ac:dyDescent="0.25">
      <c r="A65" s="215">
        <v>43422</v>
      </c>
      <c r="B65" s="349" t="s">
        <v>14</v>
      </c>
      <c r="C65" s="350" t="s">
        <v>12</v>
      </c>
      <c r="D65" s="350" t="s">
        <v>1486</v>
      </c>
      <c r="E65" s="480" t="s">
        <v>13</v>
      </c>
      <c r="F65" s="850">
        <v>4.6500000000000004</v>
      </c>
      <c r="G65" s="627"/>
      <c r="H65" s="97"/>
      <c r="I65" s="946"/>
      <c r="J65" s="97"/>
      <c r="K65" s="946"/>
    </row>
    <row r="66" spans="1:12" s="224" customFormat="1" ht="15" customHeight="1" x14ac:dyDescent="0.25">
      <c r="A66" s="215">
        <v>43423</v>
      </c>
      <c r="B66" s="862" t="s">
        <v>32</v>
      </c>
      <c r="C66" s="352" t="s">
        <v>12</v>
      </c>
      <c r="D66" s="874" t="s">
        <v>1485</v>
      </c>
      <c r="E66" s="870" t="s">
        <v>13</v>
      </c>
      <c r="F66" s="850">
        <v>14</v>
      </c>
      <c r="G66" s="1063"/>
      <c r="H66" s="622"/>
      <c r="I66" s="982"/>
      <c r="J66" s="622"/>
      <c r="K66" s="982"/>
    </row>
    <row r="67" spans="1:12" s="224" customFormat="1" ht="15" customHeight="1" x14ac:dyDescent="0.25">
      <c r="A67" s="215">
        <v>43423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850">
        <v>5.59</v>
      </c>
      <c r="G67" s="1063"/>
      <c r="H67" s="622"/>
      <c r="I67" s="982"/>
      <c r="J67" s="622"/>
      <c r="K67" s="982"/>
    </row>
    <row r="68" spans="1:12" x14ac:dyDescent="0.25">
      <c r="A68" s="215">
        <v>43424</v>
      </c>
      <c r="B68" s="882" t="s">
        <v>2039</v>
      </c>
      <c r="C68" s="350" t="s">
        <v>12</v>
      </c>
      <c r="D68" s="145"/>
      <c r="E68" s="145" t="s">
        <v>25</v>
      </c>
      <c r="F68" s="1524"/>
      <c r="G68" s="982">
        <v>1600</v>
      </c>
      <c r="H68" s="622"/>
      <c r="I68" s="982"/>
      <c r="J68" s="622"/>
      <c r="K68" s="982"/>
    </row>
    <row r="69" spans="1:12" s="224" customFormat="1" ht="15.75" customHeight="1" x14ac:dyDescent="0.25">
      <c r="A69" s="215">
        <v>43424</v>
      </c>
      <c r="B69" s="882" t="s">
        <v>2040</v>
      </c>
      <c r="C69" s="879" t="s">
        <v>12</v>
      </c>
      <c r="D69" s="879" t="s">
        <v>1499</v>
      </c>
      <c r="E69" s="871" t="s">
        <v>13</v>
      </c>
      <c r="F69" s="622">
        <v>85</v>
      </c>
      <c r="G69" s="1002"/>
      <c r="H69" s="538"/>
      <c r="I69" s="982"/>
      <c r="J69" s="622"/>
      <c r="K69" s="982"/>
      <c r="L69" s="224">
        <v>305.58</v>
      </c>
    </row>
    <row r="70" spans="1:12" s="224" customFormat="1" x14ac:dyDescent="0.25">
      <c r="A70" s="215">
        <v>43424</v>
      </c>
      <c r="B70" s="873" t="s">
        <v>1564</v>
      </c>
      <c r="C70" s="879" t="s">
        <v>12</v>
      </c>
      <c r="D70" s="350" t="s">
        <v>1491</v>
      </c>
      <c r="E70" s="871" t="s">
        <v>15</v>
      </c>
      <c r="F70" s="622">
        <v>130</v>
      </c>
      <c r="G70" s="982"/>
      <c r="H70" s="622"/>
      <c r="I70" s="982"/>
      <c r="J70" s="622"/>
      <c r="K70" s="982"/>
    </row>
    <row r="71" spans="1:12" s="224" customFormat="1" x14ac:dyDescent="0.25">
      <c r="A71" s="215">
        <v>43424</v>
      </c>
      <c r="B71" s="364" t="s">
        <v>311</v>
      </c>
      <c r="C71" s="350"/>
      <c r="D71" s="350"/>
      <c r="E71" s="480"/>
      <c r="F71" s="538"/>
      <c r="G71" s="627"/>
      <c r="H71" s="97"/>
      <c r="I71" s="946">
        <v>5.57</v>
      </c>
      <c r="J71" s="97"/>
      <c r="K71" s="946"/>
    </row>
    <row r="72" spans="1:12" s="224" customFormat="1" ht="15" customHeight="1" x14ac:dyDescent="0.25">
      <c r="A72" s="215">
        <v>43424</v>
      </c>
      <c r="B72" s="349" t="s">
        <v>260</v>
      </c>
      <c r="C72" s="350"/>
      <c r="D72" s="350"/>
      <c r="E72" s="480"/>
      <c r="F72" s="852">
        <v>597.83000000000004</v>
      </c>
      <c r="G72" s="1064"/>
      <c r="H72" s="97"/>
      <c r="I72" s="946">
        <v>597.83000000000004</v>
      </c>
      <c r="J72" s="97"/>
      <c r="K72" s="946"/>
    </row>
    <row r="73" spans="1:12" s="224" customFormat="1" x14ac:dyDescent="0.25">
      <c r="A73" s="215">
        <v>43424</v>
      </c>
      <c r="B73" s="349" t="s">
        <v>14</v>
      </c>
      <c r="C73" s="350" t="s">
        <v>12</v>
      </c>
      <c r="D73" s="350" t="s">
        <v>1486</v>
      </c>
      <c r="E73" s="480" t="s">
        <v>13</v>
      </c>
      <c r="F73" s="850">
        <v>8.85</v>
      </c>
      <c r="G73" s="946"/>
      <c r="H73" s="97"/>
      <c r="I73" s="946"/>
      <c r="J73" s="97"/>
      <c r="K73" s="946"/>
    </row>
    <row r="74" spans="1:12" s="224" customFormat="1" ht="15" customHeight="1" x14ac:dyDescent="0.25">
      <c r="A74" s="215">
        <v>43425</v>
      </c>
      <c r="B74" s="862" t="s">
        <v>32</v>
      </c>
      <c r="C74" s="352" t="s">
        <v>12</v>
      </c>
      <c r="D74" s="874" t="s">
        <v>1485</v>
      </c>
      <c r="E74" s="870" t="s">
        <v>15</v>
      </c>
      <c r="F74" s="850">
        <v>14</v>
      </c>
      <c r="G74" s="1063"/>
      <c r="H74" s="622"/>
      <c r="I74" s="982"/>
      <c r="J74" s="622"/>
      <c r="K74" s="982"/>
    </row>
    <row r="75" spans="1:12" s="224" customFormat="1" ht="15" customHeight="1" x14ac:dyDescent="0.25">
      <c r="A75" s="215">
        <v>43425</v>
      </c>
      <c r="B75" s="349" t="s">
        <v>14</v>
      </c>
      <c r="C75" s="350" t="s">
        <v>12</v>
      </c>
      <c r="D75" s="350" t="s">
        <v>1486</v>
      </c>
      <c r="E75" s="480" t="s">
        <v>13</v>
      </c>
      <c r="F75" s="850">
        <v>4.8899999999999997</v>
      </c>
      <c r="G75" s="1063"/>
      <c r="H75" s="622"/>
      <c r="I75" s="982"/>
      <c r="J75" s="622"/>
      <c r="K75" s="982"/>
    </row>
    <row r="76" spans="1:12" s="224" customFormat="1" ht="15" customHeight="1" x14ac:dyDescent="0.25">
      <c r="A76" s="215">
        <v>43426</v>
      </c>
      <c r="B76" s="862" t="s">
        <v>32</v>
      </c>
      <c r="C76" s="352" t="s">
        <v>12</v>
      </c>
      <c r="D76" s="874" t="s">
        <v>1485</v>
      </c>
      <c r="E76" s="870" t="s">
        <v>13</v>
      </c>
      <c r="F76" s="850">
        <v>14</v>
      </c>
      <c r="G76" s="1063"/>
      <c r="H76" s="622"/>
      <c r="I76" s="982"/>
      <c r="J76" s="622"/>
      <c r="K76" s="982"/>
    </row>
    <row r="77" spans="1:12" s="224" customFormat="1" ht="15" customHeight="1" x14ac:dyDescent="0.25">
      <c r="A77" s="215">
        <v>43426</v>
      </c>
      <c r="B77" s="862" t="s">
        <v>1331</v>
      </c>
      <c r="C77" s="352" t="s">
        <v>12</v>
      </c>
      <c r="D77" s="874" t="s">
        <v>1487</v>
      </c>
      <c r="E77" s="870" t="s">
        <v>15</v>
      </c>
      <c r="F77" s="850">
        <v>20</v>
      </c>
      <c r="G77" s="1063"/>
      <c r="H77" s="622"/>
      <c r="I77" s="982"/>
      <c r="J77" s="622"/>
      <c r="K77" s="982"/>
    </row>
    <row r="78" spans="1:12" s="224" customFormat="1" ht="15" customHeight="1" x14ac:dyDescent="0.25">
      <c r="A78" s="215">
        <v>43426</v>
      </c>
      <c r="B78" s="349" t="s">
        <v>14</v>
      </c>
      <c r="C78" s="350" t="s">
        <v>12</v>
      </c>
      <c r="D78" s="350" t="s">
        <v>1486</v>
      </c>
      <c r="E78" s="480" t="s">
        <v>13</v>
      </c>
      <c r="F78" s="850">
        <v>3.3</v>
      </c>
      <c r="G78" s="1063"/>
      <c r="H78" s="622"/>
      <c r="I78" s="982"/>
      <c r="J78" s="622"/>
      <c r="K78" s="982"/>
    </row>
    <row r="79" spans="1:12" s="224" customFormat="1" ht="15" customHeight="1" x14ac:dyDescent="0.25">
      <c r="A79" s="215">
        <v>43426</v>
      </c>
      <c r="B79" s="349" t="s">
        <v>2041</v>
      </c>
      <c r="C79" s="350" t="s">
        <v>12</v>
      </c>
      <c r="D79" s="350" t="s">
        <v>1491</v>
      </c>
      <c r="E79" s="480" t="s">
        <v>15</v>
      </c>
      <c r="F79" s="850">
        <v>30</v>
      </c>
      <c r="G79" s="1063"/>
      <c r="H79" s="622"/>
      <c r="I79" s="982"/>
      <c r="J79" s="622"/>
      <c r="K79" s="982"/>
    </row>
    <row r="80" spans="1:12" s="224" customFormat="1" ht="15" customHeight="1" x14ac:dyDescent="0.25">
      <c r="A80" s="215">
        <v>43427</v>
      </c>
      <c r="B80" s="862" t="s">
        <v>32</v>
      </c>
      <c r="C80" s="352" t="s">
        <v>12</v>
      </c>
      <c r="D80" s="874" t="s">
        <v>1485</v>
      </c>
      <c r="E80" s="870" t="s">
        <v>13</v>
      </c>
      <c r="F80" s="850">
        <v>14</v>
      </c>
      <c r="G80" s="1063"/>
      <c r="H80" s="622"/>
      <c r="I80" s="982"/>
      <c r="J80" s="622"/>
      <c r="K80" s="982"/>
    </row>
    <row r="81" spans="1:11" s="224" customFormat="1" ht="15" customHeight="1" x14ac:dyDescent="0.25">
      <c r="A81" s="215">
        <v>43427</v>
      </c>
      <c r="B81" s="862" t="s">
        <v>256</v>
      </c>
      <c r="C81" s="879"/>
      <c r="D81" s="879"/>
      <c r="E81" s="871"/>
      <c r="F81" s="97"/>
      <c r="G81" s="1064">
        <v>1005.57</v>
      </c>
      <c r="H81" s="97">
        <v>1005.57</v>
      </c>
      <c r="I81" s="982"/>
      <c r="J81" s="622"/>
      <c r="K81" s="982"/>
    </row>
    <row r="82" spans="1:11" s="224" customFormat="1" ht="15" customHeight="1" x14ac:dyDescent="0.25">
      <c r="A82" s="215">
        <v>43427</v>
      </c>
      <c r="B82" s="364" t="s">
        <v>2042</v>
      </c>
      <c r="C82" s="350" t="s">
        <v>19</v>
      </c>
      <c r="D82" s="350" t="s">
        <v>1506</v>
      </c>
      <c r="E82" s="480" t="s">
        <v>13</v>
      </c>
      <c r="F82" s="622">
        <v>46.68</v>
      </c>
      <c r="G82" s="982"/>
      <c r="H82" s="622"/>
      <c r="I82" s="982"/>
      <c r="J82" s="622"/>
      <c r="K82" s="982"/>
    </row>
    <row r="83" spans="1:11" s="224" customFormat="1" ht="15" customHeight="1" x14ac:dyDescent="0.25">
      <c r="A83" s="215">
        <v>43427</v>
      </c>
      <c r="B83" s="862" t="s">
        <v>1331</v>
      </c>
      <c r="C83" s="352" t="s">
        <v>19</v>
      </c>
      <c r="D83" s="874" t="s">
        <v>1487</v>
      </c>
      <c r="E83" s="870" t="s">
        <v>13</v>
      </c>
      <c r="F83" s="850">
        <v>78.459999999999994</v>
      </c>
      <c r="G83" s="1063"/>
      <c r="H83" s="622"/>
      <c r="I83" s="982"/>
      <c r="J83" s="622"/>
      <c r="K83" s="982"/>
    </row>
    <row r="84" spans="1:11" s="224" customFormat="1" ht="15" customHeight="1" x14ac:dyDescent="0.25">
      <c r="A84" s="215">
        <v>43427</v>
      </c>
      <c r="B84" s="349" t="s">
        <v>14</v>
      </c>
      <c r="C84" s="350" t="s">
        <v>12</v>
      </c>
      <c r="D84" s="350" t="s">
        <v>1486</v>
      </c>
      <c r="E84" s="480" t="s">
        <v>13</v>
      </c>
      <c r="F84" s="850">
        <v>10.31</v>
      </c>
      <c r="G84" s="982"/>
      <c r="H84" s="622"/>
      <c r="I84" s="982"/>
      <c r="J84" s="622"/>
      <c r="K84" s="982"/>
    </row>
    <row r="85" spans="1:11" s="224" customFormat="1" ht="15" customHeight="1" x14ac:dyDescent="0.25">
      <c r="A85" s="215">
        <v>43428</v>
      </c>
      <c r="B85" s="862" t="s">
        <v>32</v>
      </c>
      <c r="C85" s="352" t="s">
        <v>12</v>
      </c>
      <c r="D85" s="874" t="s">
        <v>1485</v>
      </c>
      <c r="E85" s="870" t="s">
        <v>15</v>
      </c>
      <c r="F85" s="850">
        <v>13</v>
      </c>
      <c r="G85" s="1063"/>
      <c r="H85" s="622"/>
      <c r="I85" s="982"/>
      <c r="J85" s="622"/>
      <c r="K85" s="982"/>
    </row>
    <row r="86" spans="1:11" s="224" customFormat="1" x14ac:dyDescent="0.25">
      <c r="A86" s="215">
        <v>43428</v>
      </c>
      <c r="B86" s="876" t="s">
        <v>1438</v>
      </c>
      <c r="C86" s="350" t="s">
        <v>19</v>
      </c>
      <c r="D86" s="874" t="s">
        <v>1489</v>
      </c>
      <c r="E86" s="870" t="s">
        <v>13</v>
      </c>
      <c r="F86" s="831">
        <v>50.28</v>
      </c>
      <c r="G86" s="982"/>
      <c r="H86" s="622"/>
      <c r="I86" s="982"/>
      <c r="J86" s="622"/>
      <c r="K86" s="982"/>
    </row>
    <row r="87" spans="1:11" s="224" customFormat="1" x14ac:dyDescent="0.25">
      <c r="A87" s="215">
        <v>43428</v>
      </c>
      <c r="B87" s="876" t="s">
        <v>2043</v>
      </c>
      <c r="C87" s="350" t="s">
        <v>12</v>
      </c>
      <c r="D87" s="874" t="s">
        <v>1489</v>
      </c>
      <c r="E87" s="870" t="s">
        <v>13</v>
      </c>
      <c r="F87" s="831">
        <v>24</v>
      </c>
      <c r="G87" s="982"/>
      <c r="H87" s="622"/>
      <c r="I87" s="982"/>
      <c r="J87" s="622"/>
      <c r="K87" s="982"/>
    </row>
    <row r="88" spans="1:11" s="224" customFormat="1" ht="15" customHeight="1" x14ac:dyDescent="0.25">
      <c r="A88" s="215">
        <v>43428</v>
      </c>
      <c r="B88" s="349" t="s">
        <v>14</v>
      </c>
      <c r="C88" s="350" t="s">
        <v>12</v>
      </c>
      <c r="D88" s="350" t="s">
        <v>1486</v>
      </c>
      <c r="E88" s="480" t="s">
        <v>13</v>
      </c>
      <c r="F88" s="850">
        <v>5.37</v>
      </c>
      <c r="G88" s="982"/>
      <c r="H88" s="622"/>
      <c r="I88" s="982"/>
      <c r="J88" s="622"/>
      <c r="K88" s="982"/>
    </row>
    <row r="89" spans="1:11" s="224" customFormat="1" ht="15" customHeight="1" x14ac:dyDescent="0.25">
      <c r="A89" s="215">
        <v>43429</v>
      </c>
      <c r="B89" s="349" t="s">
        <v>14</v>
      </c>
      <c r="C89" s="350" t="s">
        <v>12</v>
      </c>
      <c r="D89" s="350" t="s">
        <v>1486</v>
      </c>
      <c r="E89" s="480" t="s">
        <v>13</v>
      </c>
      <c r="F89" s="850">
        <v>19.86</v>
      </c>
      <c r="G89" s="982"/>
      <c r="H89" s="622"/>
      <c r="I89" s="982"/>
      <c r="J89" s="622"/>
      <c r="K89" s="982"/>
    </row>
    <row r="90" spans="1:11" s="224" customFormat="1" x14ac:dyDescent="0.25">
      <c r="A90" s="215">
        <v>43429</v>
      </c>
      <c r="B90" s="862" t="s">
        <v>2001</v>
      </c>
      <c r="C90" s="350" t="s">
        <v>12</v>
      </c>
      <c r="D90" s="874" t="s">
        <v>1504</v>
      </c>
      <c r="E90" s="1475" t="s">
        <v>13</v>
      </c>
      <c r="F90" s="622">
        <v>68.92</v>
      </c>
      <c r="G90" s="946"/>
      <c r="H90" s="97"/>
      <c r="I90" s="946"/>
      <c r="J90" s="97"/>
      <c r="K90" s="946"/>
    </row>
    <row r="91" spans="1:11" s="224" customFormat="1" x14ac:dyDescent="0.25">
      <c r="A91" s="215">
        <v>43430</v>
      </c>
      <c r="B91" s="862" t="s">
        <v>32</v>
      </c>
      <c r="C91" s="352" t="s">
        <v>12</v>
      </c>
      <c r="D91" s="874" t="s">
        <v>1485</v>
      </c>
      <c r="E91" s="870" t="s">
        <v>15</v>
      </c>
      <c r="F91" s="850">
        <v>14</v>
      </c>
      <c r="G91" s="982"/>
      <c r="H91" s="622"/>
      <c r="I91" s="982"/>
      <c r="J91" s="622"/>
      <c r="K91" s="982"/>
    </row>
    <row r="92" spans="1:11" s="224" customFormat="1" x14ac:dyDescent="0.25">
      <c r="A92" s="215">
        <v>43431</v>
      </c>
      <c r="B92" s="862" t="s">
        <v>2044</v>
      </c>
      <c r="C92" s="352" t="s">
        <v>12</v>
      </c>
      <c r="D92" s="874" t="s">
        <v>1506</v>
      </c>
      <c r="E92" s="870" t="s">
        <v>15</v>
      </c>
      <c r="F92" s="850">
        <v>40</v>
      </c>
      <c r="G92" s="982"/>
      <c r="H92" s="622"/>
      <c r="I92" s="982"/>
      <c r="J92" s="622"/>
      <c r="K92" s="982"/>
    </row>
    <row r="93" spans="1:11" s="224" customFormat="1" x14ac:dyDescent="0.25">
      <c r="A93" s="215">
        <v>43431</v>
      </c>
      <c r="B93" s="862" t="s">
        <v>32</v>
      </c>
      <c r="C93" s="352" t="s">
        <v>12</v>
      </c>
      <c r="D93" s="874" t="s">
        <v>1485</v>
      </c>
      <c r="E93" s="870" t="s">
        <v>15</v>
      </c>
      <c r="F93" s="850">
        <v>14</v>
      </c>
      <c r="G93" s="982"/>
      <c r="H93" s="622"/>
      <c r="I93" s="982"/>
      <c r="J93" s="622"/>
      <c r="K93" s="982"/>
    </row>
    <row r="94" spans="1:11" s="224" customFormat="1" x14ac:dyDescent="0.25">
      <c r="A94" s="215">
        <v>43432</v>
      </c>
      <c r="B94" s="862" t="s">
        <v>32</v>
      </c>
      <c r="C94" s="352" t="s">
        <v>12</v>
      </c>
      <c r="D94" s="874" t="s">
        <v>1485</v>
      </c>
      <c r="E94" s="870" t="s">
        <v>13</v>
      </c>
      <c r="F94" s="850">
        <v>14</v>
      </c>
      <c r="G94" s="982"/>
      <c r="H94" s="622"/>
      <c r="I94" s="982"/>
      <c r="J94" s="622"/>
      <c r="K94" s="982"/>
    </row>
    <row r="95" spans="1:11" s="224" customFormat="1" ht="14.25" customHeight="1" x14ac:dyDescent="0.25">
      <c r="A95" s="215">
        <v>43432</v>
      </c>
      <c r="B95" s="349" t="s">
        <v>521</v>
      </c>
      <c r="C95" s="350" t="s">
        <v>12</v>
      </c>
      <c r="D95" s="350" t="s">
        <v>1489</v>
      </c>
      <c r="E95" s="480" t="s">
        <v>13</v>
      </c>
      <c r="F95" s="780">
        <v>9.9600000000000009</v>
      </c>
      <c r="G95" s="248"/>
      <c r="H95" s="622"/>
      <c r="I95" s="982"/>
      <c r="J95" s="622"/>
      <c r="K95" s="982"/>
    </row>
    <row r="96" spans="1:11" s="224" customFormat="1" ht="15" customHeight="1" x14ac:dyDescent="0.25">
      <c r="A96" s="215">
        <v>43433</v>
      </c>
      <c r="B96" s="862" t="s">
        <v>1710</v>
      </c>
      <c r="C96" s="879" t="s">
        <v>12</v>
      </c>
      <c r="D96" s="879" t="s">
        <v>1504</v>
      </c>
      <c r="E96" s="871" t="s">
        <v>13</v>
      </c>
      <c r="F96" s="622">
        <v>27.9</v>
      </c>
      <c r="G96" s="982"/>
      <c r="H96" s="622"/>
      <c r="I96" s="982"/>
      <c r="J96" s="622"/>
      <c r="K96" s="982"/>
    </row>
    <row r="97" spans="1:12" s="224" customFormat="1" x14ac:dyDescent="0.25">
      <c r="A97" s="215">
        <v>43433</v>
      </c>
      <c r="B97" s="862" t="s">
        <v>32</v>
      </c>
      <c r="C97" s="352" t="s">
        <v>12</v>
      </c>
      <c r="D97" s="874" t="s">
        <v>1485</v>
      </c>
      <c r="E97" s="870" t="s">
        <v>13</v>
      </c>
      <c r="F97" s="850">
        <v>14</v>
      </c>
      <c r="G97" s="982"/>
      <c r="H97" s="622"/>
      <c r="I97" s="982"/>
      <c r="J97" s="622"/>
      <c r="K97" s="982"/>
    </row>
    <row r="98" spans="1:12" s="224" customFormat="1" ht="15" customHeight="1" x14ac:dyDescent="0.25">
      <c r="A98" s="215">
        <v>43433</v>
      </c>
      <c r="B98" s="349" t="s">
        <v>14</v>
      </c>
      <c r="C98" s="350" t="s">
        <v>12</v>
      </c>
      <c r="D98" s="350" t="s">
        <v>1486</v>
      </c>
      <c r="E98" s="480" t="s">
        <v>13</v>
      </c>
      <c r="F98" s="850">
        <v>8.1300000000000008</v>
      </c>
      <c r="G98" s="982"/>
      <c r="H98" s="622"/>
      <c r="I98" s="982"/>
      <c r="J98" s="622"/>
      <c r="K98" s="982"/>
    </row>
    <row r="99" spans="1:12" s="224" customFormat="1" x14ac:dyDescent="0.25">
      <c r="A99" s="215">
        <v>43434</v>
      </c>
      <c r="B99" s="862" t="s">
        <v>32</v>
      </c>
      <c r="C99" s="352" t="s">
        <v>12</v>
      </c>
      <c r="D99" s="874" t="s">
        <v>1485</v>
      </c>
      <c r="E99" s="870" t="s">
        <v>13</v>
      </c>
      <c r="F99" s="850">
        <v>14</v>
      </c>
      <c r="G99" s="982"/>
      <c r="H99" s="622"/>
      <c r="I99" s="982"/>
      <c r="J99" s="622"/>
      <c r="K99" s="982"/>
    </row>
    <row r="100" spans="1:12" s="224" customFormat="1" ht="15" customHeight="1" x14ac:dyDescent="0.25">
      <c r="A100" s="215">
        <v>43434</v>
      </c>
      <c r="B100" s="364" t="s">
        <v>2045</v>
      </c>
      <c r="C100" s="350" t="s">
        <v>12</v>
      </c>
      <c r="D100" s="350"/>
      <c r="E100" s="480" t="s">
        <v>25</v>
      </c>
      <c r="F100" s="622"/>
      <c r="G100" s="982">
        <v>2000</v>
      </c>
      <c r="H100" s="622"/>
      <c r="I100" s="982"/>
      <c r="J100" s="622"/>
      <c r="K100" s="982"/>
    </row>
    <row r="101" spans="1:12" s="224" customFormat="1" ht="15" customHeight="1" x14ac:dyDescent="0.25">
      <c r="A101" s="215">
        <v>43434</v>
      </c>
      <c r="B101" s="364" t="s">
        <v>1597</v>
      </c>
      <c r="C101" s="350" t="s">
        <v>12</v>
      </c>
      <c r="D101" s="350" t="s">
        <v>1491</v>
      </c>
      <c r="E101" s="480" t="s">
        <v>15</v>
      </c>
      <c r="F101" s="622">
        <v>70</v>
      </c>
      <c r="G101" s="1063"/>
      <c r="H101" s="853"/>
      <c r="I101" s="982"/>
      <c r="J101" s="622"/>
      <c r="K101" s="982"/>
    </row>
    <row r="102" spans="1:12" s="224" customFormat="1" ht="15" customHeight="1" x14ac:dyDescent="0.25">
      <c r="A102" s="215">
        <v>43434</v>
      </c>
      <c r="B102" s="349" t="s">
        <v>260</v>
      </c>
      <c r="C102" s="350"/>
      <c r="D102" s="350"/>
      <c r="E102" s="480"/>
      <c r="F102" s="852">
        <v>1700</v>
      </c>
      <c r="G102" s="1064"/>
      <c r="H102" s="97"/>
      <c r="I102" s="946">
        <v>1700</v>
      </c>
      <c r="J102" s="97"/>
      <c r="K102" s="946"/>
    </row>
    <row r="103" spans="1:12" s="224" customFormat="1" ht="15" customHeight="1" x14ac:dyDescent="0.25">
      <c r="A103" s="215">
        <v>43434</v>
      </c>
      <c r="B103" s="349" t="s">
        <v>14</v>
      </c>
      <c r="C103" s="350" t="s">
        <v>12</v>
      </c>
      <c r="D103" s="350" t="s">
        <v>1486</v>
      </c>
      <c r="E103" s="480" t="s">
        <v>13</v>
      </c>
      <c r="F103" s="850">
        <v>8.32</v>
      </c>
      <c r="G103" s="982"/>
      <c r="H103" s="622"/>
      <c r="I103" s="982"/>
      <c r="J103" s="622"/>
      <c r="K103" s="982"/>
    </row>
    <row r="104" spans="1:12" s="224" customFormat="1" ht="15" customHeight="1" x14ac:dyDescent="0.25">
      <c r="A104" s="215">
        <v>43434</v>
      </c>
      <c r="B104" s="862" t="s">
        <v>1331</v>
      </c>
      <c r="C104" s="352" t="s">
        <v>19</v>
      </c>
      <c r="D104" s="874" t="s">
        <v>1487</v>
      </c>
      <c r="E104" s="870" t="s">
        <v>13</v>
      </c>
      <c r="F104" s="850">
        <v>70</v>
      </c>
      <c r="G104" s="982"/>
      <c r="H104" s="622"/>
      <c r="I104" s="982"/>
      <c r="J104" s="622"/>
      <c r="K104" s="982"/>
    </row>
    <row r="105" spans="1:12" s="224" customFormat="1" ht="15.75" thickBot="1" x14ac:dyDescent="0.3">
      <c r="A105" s="215">
        <v>43434</v>
      </c>
      <c r="B105" s="862" t="s">
        <v>1666</v>
      </c>
      <c r="C105" s="350" t="s">
        <v>12</v>
      </c>
      <c r="D105" s="350"/>
      <c r="E105" s="757" t="s">
        <v>25</v>
      </c>
      <c r="F105" s="622"/>
      <c r="G105" s="982"/>
      <c r="H105" s="622"/>
      <c r="I105" s="982"/>
      <c r="J105" s="622"/>
      <c r="K105" s="982">
        <v>36.96</v>
      </c>
    </row>
    <row r="106" spans="1:12" ht="25.5" customHeight="1" thickBot="1" x14ac:dyDescent="0.3">
      <c r="A106" s="3060"/>
      <c r="B106" s="3061"/>
      <c r="C106" s="3062"/>
      <c r="D106" s="3062"/>
      <c r="E106" s="3062"/>
      <c r="F106" s="100">
        <f>SUM(F6:F105)</f>
        <v>5576.63</v>
      </c>
      <c r="G106" s="1065">
        <f>SUM(G5:G105)</f>
        <v>7091.460000000011</v>
      </c>
      <c r="H106" s="101">
        <f>SUM(H6:H105)</f>
        <v>1108.23</v>
      </c>
      <c r="I106" s="93">
        <f>SUM(I5:I105)</f>
        <v>5108.2260000000024</v>
      </c>
      <c r="J106" s="774"/>
      <c r="K106" s="1516"/>
      <c r="L106" s="89"/>
    </row>
    <row r="107" spans="1:12" ht="25.5" customHeight="1" thickBot="1" x14ac:dyDescent="0.3">
      <c r="A107" s="3117" t="s">
        <v>49</v>
      </c>
      <c r="B107" s="3118"/>
      <c r="C107" s="3118"/>
      <c r="D107" s="3118"/>
      <c r="E107" s="3118"/>
      <c r="F107" s="144"/>
      <c r="G107" s="519">
        <f>G106-F106</f>
        <v>1514.8300000000108</v>
      </c>
      <c r="H107" s="555"/>
      <c r="I107" s="772">
        <f>I106-H106</f>
        <v>3999.9960000000024</v>
      </c>
      <c r="J107" s="773"/>
      <c r="K107" s="775">
        <f>SUM(K5:K106)</f>
        <v>9782</v>
      </c>
    </row>
    <row r="108" spans="1:12" x14ac:dyDescent="0.25">
      <c r="G108" s="89"/>
      <c r="J108" s="769"/>
      <c r="K108" s="868"/>
    </row>
    <row r="109" spans="1:12" x14ac:dyDescent="0.25">
      <c r="B109" s="79" t="s">
        <v>32</v>
      </c>
      <c r="C109" s="475">
        <v>287</v>
      </c>
      <c r="D109" s="85" t="s">
        <v>1485</v>
      </c>
      <c r="J109" s="769"/>
      <c r="K109" s="866"/>
    </row>
    <row r="110" spans="1:12" x14ac:dyDescent="0.25">
      <c r="B110" s="79" t="s">
        <v>1218</v>
      </c>
      <c r="C110" s="475">
        <v>378.46</v>
      </c>
      <c r="D110" s="85" t="s">
        <v>1487</v>
      </c>
      <c r="J110" s="769"/>
      <c r="K110" s="868"/>
    </row>
    <row r="111" spans="1:12" x14ac:dyDescent="0.25">
      <c r="B111" s="79" t="s">
        <v>50</v>
      </c>
      <c r="C111" s="854">
        <v>203.1</v>
      </c>
      <c r="D111" s="85" t="s">
        <v>1493</v>
      </c>
      <c r="J111" s="769"/>
      <c r="K111" s="866"/>
    </row>
    <row r="112" spans="1:12" s="85" customFormat="1" x14ac:dyDescent="0.25">
      <c r="A112" s="79"/>
      <c r="B112" s="79" t="s">
        <v>14</v>
      </c>
      <c r="C112" s="484">
        <v>121.43</v>
      </c>
      <c r="D112" s="85" t="s">
        <v>1486</v>
      </c>
      <c r="J112" s="769"/>
      <c r="K112" s="866"/>
    </row>
    <row r="113" spans="1:11" s="85" customFormat="1" x14ac:dyDescent="0.25">
      <c r="A113" s="79"/>
      <c r="B113" s="79" t="s">
        <v>51</v>
      </c>
      <c r="C113" s="475">
        <v>145</v>
      </c>
      <c r="D113" s="864" t="s">
        <v>1499</v>
      </c>
      <c r="E113" s="79"/>
      <c r="F113" s="89"/>
      <c r="G113" s="79"/>
      <c r="H113" s="79"/>
      <c r="I113" s="79"/>
      <c r="J113" s="769"/>
      <c r="K113" s="866"/>
    </row>
    <row r="114" spans="1:11" s="85" customFormat="1" x14ac:dyDescent="0.25">
      <c r="A114" s="79"/>
      <c r="B114" s="79" t="s">
        <v>52</v>
      </c>
      <c r="C114" s="475">
        <v>196.22</v>
      </c>
      <c r="D114" s="864" t="s">
        <v>1496</v>
      </c>
      <c r="F114" s="89"/>
      <c r="G114" s="79"/>
      <c r="H114" s="79"/>
      <c r="I114" s="79"/>
      <c r="J114" s="769"/>
      <c r="K114" s="866"/>
    </row>
    <row r="115" spans="1:11" s="85" customFormat="1" x14ac:dyDescent="0.25">
      <c r="A115" s="79"/>
      <c r="B115" s="867" t="s">
        <v>53</v>
      </c>
      <c r="C115" s="475">
        <v>284.85000000000002</v>
      </c>
      <c r="D115" s="864" t="s">
        <v>1522</v>
      </c>
      <c r="E115" s="89"/>
      <c r="F115" s="89"/>
      <c r="G115" s="79"/>
      <c r="H115" s="79"/>
      <c r="I115" s="79"/>
      <c r="J115" s="769"/>
      <c r="K115" s="866"/>
    </row>
    <row r="116" spans="1:11" s="85" customFormat="1" x14ac:dyDescent="0.25">
      <c r="A116" s="79"/>
      <c r="B116" s="79" t="s">
        <v>1823</v>
      </c>
      <c r="C116" s="475"/>
      <c r="D116" s="864" t="s">
        <v>1515</v>
      </c>
      <c r="F116" s="89"/>
      <c r="G116" s="79"/>
      <c r="H116" s="79"/>
      <c r="I116" s="79"/>
      <c r="J116" s="769"/>
      <c r="K116" s="866"/>
    </row>
    <row r="117" spans="1:11" s="85" customFormat="1" x14ac:dyDescent="0.25">
      <c r="A117" s="79"/>
      <c r="B117" s="79" t="s">
        <v>56</v>
      </c>
      <c r="C117" s="475">
        <v>60</v>
      </c>
      <c r="D117" s="864" t="s">
        <v>1523</v>
      </c>
      <c r="F117" s="89"/>
      <c r="G117" s="79"/>
      <c r="H117" s="79"/>
      <c r="I117" s="79"/>
      <c r="J117" s="769"/>
      <c r="K117" s="868"/>
    </row>
    <row r="118" spans="1:11" s="85" customFormat="1" x14ac:dyDescent="0.25">
      <c r="A118" s="79"/>
      <c r="B118" s="79" t="s">
        <v>1686</v>
      </c>
      <c r="C118" s="475">
        <v>254.68</v>
      </c>
      <c r="D118" s="864" t="s">
        <v>1506</v>
      </c>
      <c r="F118" s="89"/>
      <c r="G118" s="79"/>
      <c r="H118" s="79"/>
      <c r="I118" s="79"/>
      <c r="J118" s="769"/>
      <c r="K118" s="866"/>
    </row>
    <row r="119" spans="1:11" s="85" customFormat="1" x14ac:dyDescent="0.25">
      <c r="A119" s="79"/>
      <c r="B119" s="79" t="s">
        <v>418</v>
      </c>
      <c r="C119" s="475">
        <v>275</v>
      </c>
      <c r="D119" s="85" t="s">
        <v>1524</v>
      </c>
      <c r="E119" s="79"/>
      <c r="F119" s="89"/>
      <c r="J119" s="769"/>
      <c r="K119" s="866"/>
    </row>
    <row r="120" spans="1:11" x14ac:dyDescent="0.25">
      <c r="B120" s="79" t="s">
        <v>419</v>
      </c>
      <c r="C120" s="861">
        <v>433</v>
      </c>
      <c r="D120" s="85" t="s">
        <v>1491</v>
      </c>
      <c r="J120" s="769"/>
      <c r="K120" s="868"/>
    </row>
    <row r="121" spans="1:11" x14ac:dyDescent="0.25">
      <c r="B121" s="79" t="s">
        <v>911</v>
      </c>
      <c r="C121" s="861">
        <v>133.33000000000001</v>
      </c>
      <c r="D121" s="85" t="s">
        <v>1525</v>
      </c>
      <c r="J121" s="769"/>
      <c r="K121" s="868"/>
    </row>
    <row r="122" spans="1:11" x14ac:dyDescent="0.25">
      <c r="B122" s="79" t="s">
        <v>1526</v>
      </c>
      <c r="C122" s="861">
        <v>146.82</v>
      </c>
      <c r="D122" s="85" t="s">
        <v>1504</v>
      </c>
      <c r="E122" s="79"/>
      <c r="J122" s="769"/>
      <c r="K122" s="866"/>
    </row>
    <row r="123" spans="1:11" x14ac:dyDescent="0.25">
      <c r="B123" s="79" t="s">
        <v>1527</v>
      </c>
      <c r="C123" s="861">
        <v>344.91</v>
      </c>
      <c r="D123" s="85" t="s">
        <v>1489</v>
      </c>
      <c r="J123" s="769"/>
      <c r="K123" s="868"/>
    </row>
    <row r="124" spans="1:11" x14ac:dyDescent="0.25">
      <c r="J124" s="769"/>
      <c r="K124" s="866"/>
    </row>
    <row r="125" spans="1:11" x14ac:dyDescent="0.25">
      <c r="F125" s="85"/>
      <c r="J125" s="769"/>
      <c r="K125" s="866"/>
    </row>
    <row r="126" spans="1:11" x14ac:dyDescent="0.25">
      <c r="B126" s="79" t="s">
        <v>486</v>
      </c>
      <c r="C126" s="475">
        <f>H126/J126</f>
        <v>108.79333333333332</v>
      </c>
      <c r="F126" s="224" t="s">
        <v>487</v>
      </c>
      <c r="H126" s="216">
        <f>SUM(C109:C123)</f>
        <v>3263.7999999999997</v>
      </c>
      <c r="I126" s="518" t="s">
        <v>488</v>
      </c>
      <c r="J126" s="1517">
        <v>30</v>
      </c>
      <c r="K126" s="866"/>
    </row>
    <row r="127" spans="1:11" x14ac:dyDescent="0.25">
      <c r="G127" s="85"/>
      <c r="J127" s="769"/>
      <c r="K127" s="866"/>
    </row>
    <row r="128" spans="1:11" x14ac:dyDescent="0.25">
      <c r="J128" s="769"/>
      <c r="K128" s="868"/>
    </row>
    <row r="129" spans="3:11" x14ac:dyDescent="0.25">
      <c r="K129" s="866"/>
    </row>
    <row r="130" spans="3:11" x14ac:dyDescent="0.25">
      <c r="D130" s="79"/>
      <c r="E130" s="79"/>
      <c r="J130" s="769"/>
      <c r="K130" s="866"/>
    </row>
    <row r="131" spans="3:11" x14ac:dyDescent="0.25">
      <c r="J131" s="769"/>
      <c r="K131" s="866"/>
    </row>
    <row r="132" spans="3:11" x14ac:dyDescent="0.25">
      <c r="J132" s="769"/>
      <c r="K132" s="866"/>
    </row>
    <row r="133" spans="3:11" x14ac:dyDescent="0.25">
      <c r="J133" s="769"/>
      <c r="K133" s="866"/>
    </row>
    <row r="134" spans="3:11" x14ac:dyDescent="0.25">
      <c r="C134" s="79"/>
      <c r="D134" s="79"/>
      <c r="E134" s="79"/>
      <c r="F134" s="79"/>
      <c r="I134" s="216"/>
      <c r="J134" s="769"/>
      <c r="K134" s="866"/>
    </row>
    <row r="135" spans="3:11" x14ac:dyDescent="0.25">
      <c r="C135" s="79"/>
      <c r="D135" s="79"/>
      <c r="E135" s="79"/>
      <c r="F135" s="79"/>
      <c r="I135" s="216"/>
      <c r="J135" s="769"/>
      <c r="K135" s="866"/>
    </row>
    <row r="136" spans="3:11" x14ac:dyDescent="0.25">
      <c r="C136" s="79"/>
      <c r="D136" s="79"/>
      <c r="E136" s="79"/>
      <c r="F136" s="79"/>
      <c r="G136" s="216"/>
      <c r="I136" s="216"/>
      <c r="J136" s="769"/>
      <c r="K136" s="868"/>
    </row>
    <row r="137" spans="3:11" x14ac:dyDescent="0.25">
      <c r="C137" s="79"/>
      <c r="D137" s="79"/>
      <c r="E137" s="79"/>
      <c r="F137" s="79"/>
      <c r="G137" s="216"/>
      <c r="I137" s="216"/>
      <c r="J137" s="769"/>
      <c r="K137" s="866"/>
    </row>
    <row r="138" spans="3:11" x14ac:dyDescent="0.25">
      <c r="C138" s="79"/>
      <c r="D138" s="79"/>
      <c r="E138" s="79"/>
      <c r="F138" s="79"/>
      <c r="G138" s="216"/>
      <c r="J138" s="770"/>
      <c r="K138" s="866"/>
    </row>
    <row r="139" spans="3:11" x14ac:dyDescent="0.25">
      <c r="C139" s="79"/>
      <c r="D139" s="79"/>
      <c r="E139" s="79"/>
      <c r="F139" s="79"/>
      <c r="I139" s="216"/>
      <c r="J139" s="769"/>
      <c r="K139" s="868"/>
    </row>
    <row r="140" spans="3:11" x14ac:dyDescent="0.25">
      <c r="J140" s="769"/>
      <c r="K140" s="866"/>
    </row>
    <row r="141" spans="3:11" x14ac:dyDescent="0.25">
      <c r="C141" s="79"/>
      <c r="D141" s="79"/>
      <c r="E141" s="79"/>
      <c r="F141" s="79"/>
      <c r="I141" s="629"/>
      <c r="J141" s="769"/>
      <c r="K141" s="866"/>
    </row>
    <row r="142" spans="3:11" x14ac:dyDescent="0.25">
      <c r="J142" s="769"/>
      <c r="K142" s="866"/>
    </row>
    <row r="143" spans="3:11" x14ac:dyDescent="0.25">
      <c r="J143" s="769"/>
      <c r="K143" s="866"/>
    </row>
    <row r="144" spans="3:11" x14ac:dyDescent="0.25"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C147" s="79"/>
      <c r="D147" s="79"/>
      <c r="E147" s="79"/>
      <c r="F147" s="79"/>
      <c r="I147" s="216"/>
      <c r="J147" s="769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I151" s="216"/>
      <c r="J151" s="769"/>
      <c r="K151" s="868"/>
    </row>
    <row r="152" spans="3:11" x14ac:dyDescent="0.25">
      <c r="C152" s="79"/>
      <c r="D152" s="79"/>
      <c r="E152" s="79"/>
      <c r="F152" s="79"/>
      <c r="I152" s="216"/>
      <c r="J152" s="769"/>
      <c r="K152" s="868"/>
    </row>
    <row r="153" spans="3:11" x14ac:dyDescent="0.25">
      <c r="C153" s="79"/>
      <c r="D153" s="79"/>
      <c r="E153" s="79"/>
      <c r="F153" s="79"/>
      <c r="I153" s="216"/>
      <c r="J153" s="769"/>
      <c r="K153" s="868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C155" s="79"/>
      <c r="D155" s="79"/>
      <c r="E155" s="79"/>
      <c r="F155" s="79"/>
      <c r="I155" s="216"/>
      <c r="J155" s="769"/>
      <c r="K155" s="868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8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1:11" x14ac:dyDescent="0.25">
      <c r="C161" s="79"/>
      <c r="D161" s="79"/>
      <c r="E161" s="79"/>
      <c r="F161" s="79"/>
      <c r="J161" s="769"/>
      <c r="K161" s="868"/>
    </row>
    <row r="162" spans="1:11" x14ac:dyDescent="0.25">
      <c r="C162" s="79"/>
      <c r="D162" s="79"/>
      <c r="E162" s="79"/>
      <c r="F162" s="79"/>
      <c r="J162" s="769"/>
      <c r="K162" s="868"/>
    </row>
    <row r="163" spans="1:11" x14ac:dyDescent="0.25">
      <c r="C163" s="79"/>
      <c r="D163" s="79"/>
      <c r="E163" s="79"/>
      <c r="F163" s="79"/>
      <c r="J163" s="769"/>
      <c r="K163" s="868"/>
    </row>
    <row r="164" spans="1:11" x14ac:dyDescent="0.25">
      <c r="C164" s="79"/>
      <c r="D164" s="79"/>
      <c r="E164" s="79"/>
      <c r="F164" s="79"/>
      <c r="J164" s="769"/>
      <c r="K164" s="868"/>
    </row>
    <row r="165" spans="1:11" x14ac:dyDescent="0.25">
      <c r="C165" s="79"/>
      <c r="D165" s="79"/>
      <c r="E165" s="79"/>
      <c r="F165" s="79"/>
      <c r="J165" s="769"/>
      <c r="K165" s="866"/>
    </row>
    <row r="166" spans="1:11" x14ac:dyDescent="0.25">
      <c r="A166" s="79" t="s">
        <v>2046</v>
      </c>
      <c r="C166" s="79"/>
      <c r="D166" s="79"/>
      <c r="E166" s="79"/>
      <c r="F166" s="79"/>
      <c r="J166" s="223"/>
      <c r="K166" s="629"/>
    </row>
    <row r="167" spans="1:11" x14ac:dyDescent="0.25">
      <c r="C167" s="79"/>
      <c r="D167" s="79"/>
      <c r="E167" s="79"/>
      <c r="F167" s="79"/>
      <c r="J167" s="756"/>
      <c r="K167" s="756"/>
    </row>
    <row r="168" spans="1:11" x14ac:dyDescent="0.25">
      <c r="A168" s="79" t="s">
        <v>2047</v>
      </c>
      <c r="C168" s="79"/>
      <c r="D168" s="79"/>
      <c r="E168" s="79"/>
      <c r="F168" s="79"/>
    </row>
    <row r="169" spans="1:11" x14ac:dyDescent="0.25">
      <c r="C169" s="79"/>
      <c r="D169" s="79"/>
      <c r="E169" s="79"/>
      <c r="F169" s="79"/>
    </row>
    <row r="170" spans="1:11" x14ac:dyDescent="0.25">
      <c r="C170" s="79"/>
      <c r="D170" s="79"/>
      <c r="E170" s="79"/>
      <c r="F170" s="79"/>
    </row>
    <row r="171" spans="1:11" x14ac:dyDescent="0.25">
      <c r="C171" s="79"/>
      <c r="D171" s="79"/>
      <c r="E171" s="79"/>
      <c r="F171" s="79"/>
    </row>
    <row r="172" spans="1:11" x14ac:dyDescent="0.25">
      <c r="C172" s="79"/>
      <c r="D172" s="79"/>
      <c r="E172" s="79"/>
      <c r="F172" s="79"/>
      <c r="J172" s="85"/>
      <c r="K172" s="85"/>
    </row>
    <row r="173" spans="1:11" x14ac:dyDescent="0.25">
      <c r="C173" s="79"/>
      <c r="D173" s="79"/>
      <c r="E173" s="79"/>
      <c r="F173" s="79"/>
    </row>
    <row r="174" spans="1:11" x14ac:dyDescent="0.25">
      <c r="C174" s="79"/>
      <c r="D174" s="79"/>
      <c r="E174" s="79"/>
      <c r="F174" s="79"/>
    </row>
    <row r="175" spans="1:11" x14ac:dyDescent="0.25">
      <c r="C175" s="79"/>
      <c r="D175" s="79"/>
      <c r="E175" s="79"/>
      <c r="F175" s="79"/>
    </row>
    <row r="176" spans="1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  <c r="J179" s="85"/>
      <c r="K179" s="85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  <c r="J186" s="771"/>
      <c r="K186" s="518"/>
    </row>
    <row r="187" spans="3:11" x14ac:dyDescent="0.25">
      <c r="C187" s="79"/>
      <c r="D187" s="79"/>
      <c r="E187" s="79"/>
      <c r="F187" s="79"/>
    </row>
    <row r="194" spans="3:11" x14ac:dyDescent="0.25">
      <c r="C194" s="79"/>
      <c r="D194" s="79"/>
      <c r="E194" s="79"/>
      <c r="F194" s="79"/>
      <c r="K194" s="216"/>
    </row>
    <row r="195" spans="3:11" x14ac:dyDescent="0.25">
      <c r="C195" s="79"/>
      <c r="D195" s="79"/>
      <c r="E195" s="79"/>
      <c r="F195" s="79"/>
      <c r="K195" s="216"/>
    </row>
    <row r="196" spans="3:11" x14ac:dyDescent="0.25">
      <c r="C196" s="79"/>
      <c r="D196" s="79"/>
      <c r="E196" s="79"/>
      <c r="F196" s="79"/>
      <c r="K196" s="216"/>
    </row>
    <row r="197" spans="3:11" x14ac:dyDescent="0.25">
      <c r="C197" s="79"/>
      <c r="D197" s="79"/>
      <c r="E197" s="79"/>
      <c r="F197" s="79"/>
      <c r="K197" s="216"/>
    </row>
    <row r="199" spans="3:11" x14ac:dyDescent="0.25">
      <c r="C199" s="79"/>
      <c r="D199" s="79"/>
      <c r="E199" s="79"/>
      <c r="F199" s="79"/>
      <c r="K199" s="216"/>
    </row>
    <row r="201" spans="3:11" x14ac:dyDescent="0.25">
      <c r="C201" s="79"/>
      <c r="D201" s="79"/>
      <c r="E201" s="79"/>
      <c r="F201" s="79"/>
      <c r="K201" s="629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</sheetData>
  <autoFilter ref="A2:I107" xr:uid="{00000000-0009-0000-0000-00004F000000}"/>
  <mergeCells count="12">
    <mergeCell ref="A106:E106"/>
    <mergeCell ref="A107:E10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Plan92"/>
  <dimension ref="A1:N243"/>
  <sheetViews>
    <sheetView zoomScale="85" zoomScaleNormal="85" workbookViewId="0">
      <pane ySplit="4" topLeftCell="A101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.28515625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1.42578125" style="79" customWidth="1"/>
    <col min="13" max="13" width="10" style="79" customWidth="1"/>
    <col min="14" max="14" width="14" style="79" customWidth="1"/>
    <col min="15" max="15" width="11.5703125" style="79" bestFit="1" customWidth="1"/>
    <col min="16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2048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4" x14ac:dyDescent="0.25">
      <c r="A5" s="281">
        <v>43435</v>
      </c>
      <c r="B5" s="369" t="s">
        <v>10</v>
      </c>
      <c r="C5" s="370"/>
      <c r="D5" s="370"/>
      <c r="E5" s="777"/>
      <c r="F5" s="889"/>
      <c r="G5" s="925">
        <f>'Novembro-18'!G107</f>
        <v>1514.8300000000108</v>
      </c>
      <c r="H5" s="179"/>
      <c r="I5" s="933">
        <f>'Novembro-18'!I107</f>
        <v>3999.9960000000024</v>
      </c>
      <c r="J5" s="179"/>
      <c r="K5" s="933">
        <f>'Novembro-18'!K107</f>
        <v>9782</v>
      </c>
    </row>
    <row r="6" spans="1:14" s="224" customFormat="1" x14ac:dyDescent="0.25">
      <c r="A6" s="215">
        <v>43435</v>
      </c>
      <c r="B6" s="348" t="s">
        <v>11</v>
      </c>
      <c r="C6" s="351"/>
      <c r="D6" s="351"/>
      <c r="E6" s="673"/>
      <c r="F6" s="626">
        <v>130</v>
      </c>
      <c r="G6" s="1526"/>
      <c r="H6" s="250"/>
      <c r="I6" s="1473"/>
      <c r="J6" s="250"/>
      <c r="K6" s="1473"/>
      <c r="L6" s="883" t="s">
        <v>2049</v>
      </c>
      <c r="M6" s="89"/>
      <c r="N6" s="89"/>
    </row>
    <row r="7" spans="1:14" s="224" customFormat="1" ht="15" customHeight="1" x14ac:dyDescent="0.25">
      <c r="A7" s="215">
        <v>43435</v>
      </c>
      <c r="B7" s="862" t="s">
        <v>1725</v>
      </c>
      <c r="C7" s="879" t="s">
        <v>12</v>
      </c>
      <c r="D7" s="879" t="s">
        <v>1522</v>
      </c>
      <c r="E7" s="871" t="s">
        <v>13</v>
      </c>
      <c r="F7" s="137">
        <v>30</v>
      </c>
      <c r="G7" s="1527"/>
      <c r="H7" s="97"/>
      <c r="I7" s="982"/>
      <c r="J7" s="622"/>
      <c r="K7" s="982"/>
    </row>
    <row r="8" spans="1:14" s="224" customFormat="1" ht="15" customHeight="1" x14ac:dyDescent="0.25">
      <c r="A8" s="215">
        <v>43435</v>
      </c>
      <c r="B8" s="349" t="s">
        <v>14</v>
      </c>
      <c r="C8" s="350" t="s">
        <v>12</v>
      </c>
      <c r="D8" s="350" t="s">
        <v>1486</v>
      </c>
      <c r="E8" s="480" t="s">
        <v>13</v>
      </c>
      <c r="F8" s="890">
        <v>9.8800000000000008</v>
      </c>
      <c r="G8" s="1527"/>
      <c r="H8" s="97"/>
      <c r="I8" s="982"/>
      <c r="J8" s="622"/>
      <c r="K8" s="982"/>
      <c r="L8" s="764"/>
    </row>
    <row r="9" spans="1:14" s="224" customFormat="1" ht="15" customHeight="1" x14ac:dyDescent="0.25">
      <c r="A9" s="215">
        <v>43435</v>
      </c>
      <c r="B9" s="862" t="s">
        <v>82</v>
      </c>
      <c r="C9" s="352" t="s">
        <v>12</v>
      </c>
      <c r="D9" s="874" t="s">
        <v>1493</v>
      </c>
      <c r="E9" s="875" t="s">
        <v>13</v>
      </c>
      <c r="F9" s="890">
        <v>32</v>
      </c>
      <c r="G9" s="1528"/>
      <c r="H9" s="622"/>
      <c r="I9" s="982"/>
      <c r="J9" s="622"/>
      <c r="K9" s="982"/>
    </row>
    <row r="10" spans="1:14" s="224" customFormat="1" x14ac:dyDescent="0.25">
      <c r="A10" s="215">
        <v>43435</v>
      </c>
      <c r="B10" s="862" t="s">
        <v>32</v>
      </c>
      <c r="C10" s="352" t="s">
        <v>12</v>
      </c>
      <c r="D10" s="874" t="s">
        <v>1485</v>
      </c>
      <c r="E10" s="875" t="s">
        <v>15</v>
      </c>
      <c r="F10" s="890">
        <v>11</v>
      </c>
      <c r="G10" s="964"/>
      <c r="H10" s="622"/>
      <c r="I10" s="982"/>
      <c r="J10" s="622"/>
      <c r="K10" s="982"/>
    </row>
    <row r="11" spans="1:14" s="224" customFormat="1" ht="15" customHeight="1" x14ac:dyDescent="0.25">
      <c r="A11" s="215">
        <v>43436</v>
      </c>
      <c r="B11" s="349" t="s">
        <v>14</v>
      </c>
      <c r="C11" s="350" t="s">
        <v>12</v>
      </c>
      <c r="D11" s="350" t="s">
        <v>1486</v>
      </c>
      <c r="E11" s="480" t="s">
        <v>13</v>
      </c>
      <c r="F11" s="890">
        <v>4.55</v>
      </c>
      <c r="G11" s="1527"/>
      <c r="H11" s="97"/>
      <c r="I11" s="982"/>
      <c r="J11" s="622"/>
      <c r="K11" s="982"/>
      <c r="L11" s="764"/>
    </row>
    <row r="12" spans="1:14" s="224" customFormat="1" x14ac:dyDescent="0.25">
      <c r="A12" s="215">
        <v>43436</v>
      </c>
      <c r="B12" s="862" t="s">
        <v>32</v>
      </c>
      <c r="C12" s="352" t="s">
        <v>12</v>
      </c>
      <c r="D12" s="874" t="s">
        <v>1485</v>
      </c>
      <c r="E12" s="875" t="s">
        <v>13</v>
      </c>
      <c r="F12" s="890">
        <v>24.41</v>
      </c>
      <c r="G12" s="964"/>
      <c r="H12" s="622"/>
      <c r="I12" s="982"/>
      <c r="J12" s="622"/>
      <c r="K12" s="982"/>
    </row>
    <row r="13" spans="1:14" s="224" customFormat="1" ht="15" customHeight="1" x14ac:dyDescent="0.25">
      <c r="A13" s="215">
        <v>43436</v>
      </c>
      <c r="B13" s="862" t="s">
        <v>2050</v>
      </c>
      <c r="C13" s="352" t="s">
        <v>19</v>
      </c>
      <c r="D13" s="874" t="s">
        <v>1506</v>
      </c>
      <c r="E13" s="875" t="s">
        <v>13</v>
      </c>
      <c r="F13" s="890">
        <v>80</v>
      </c>
      <c r="G13" s="1528"/>
      <c r="H13" s="622"/>
      <c r="I13" s="982"/>
      <c r="J13" s="622"/>
      <c r="K13" s="982"/>
    </row>
    <row r="14" spans="1:14" s="224" customFormat="1" x14ac:dyDescent="0.25">
      <c r="A14" s="215">
        <v>43437</v>
      </c>
      <c r="B14" s="862" t="s">
        <v>32</v>
      </c>
      <c r="C14" s="352" t="s">
        <v>12</v>
      </c>
      <c r="D14" s="874" t="s">
        <v>1485</v>
      </c>
      <c r="E14" s="875" t="s">
        <v>13</v>
      </c>
      <c r="F14" s="890">
        <v>14</v>
      </c>
      <c r="G14" s="964"/>
      <c r="H14" s="622"/>
      <c r="I14" s="982"/>
      <c r="J14" s="622"/>
      <c r="K14" s="982"/>
    </row>
    <row r="15" spans="1:14" s="224" customFormat="1" x14ac:dyDescent="0.25">
      <c r="A15" s="215">
        <v>43438</v>
      </c>
      <c r="B15" s="862" t="s">
        <v>32</v>
      </c>
      <c r="C15" s="352" t="s">
        <v>12</v>
      </c>
      <c r="D15" s="874" t="s">
        <v>1485</v>
      </c>
      <c r="E15" s="875" t="s">
        <v>13</v>
      </c>
      <c r="F15" s="890">
        <v>14</v>
      </c>
      <c r="G15" s="964"/>
      <c r="H15" s="622"/>
      <c r="I15" s="982"/>
      <c r="J15" s="622"/>
      <c r="K15" s="982"/>
    </row>
    <row r="16" spans="1:14" s="224" customFormat="1" ht="15" customHeight="1" x14ac:dyDescent="0.25">
      <c r="A16" s="215">
        <v>43438</v>
      </c>
      <c r="B16" s="349" t="s">
        <v>17</v>
      </c>
      <c r="C16" s="350" t="s">
        <v>12</v>
      </c>
      <c r="D16" s="350" t="s">
        <v>1493</v>
      </c>
      <c r="E16" s="480" t="s">
        <v>13</v>
      </c>
      <c r="F16" s="890">
        <v>5</v>
      </c>
      <c r="G16" s="1528"/>
      <c r="H16" s="622"/>
      <c r="I16" s="982"/>
      <c r="J16" s="622"/>
      <c r="K16" s="982"/>
    </row>
    <row r="17" spans="1:14" s="224" customFormat="1" ht="15" customHeight="1" x14ac:dyDescent="0.25">
      <c r="A17" s="215">
        <v>43438</v>
      </c>
      <c r="B17" s="349" t="s">
        <v>14</v>
      </c>
      <c r="C17" s="350" t="s">
        <v>12</v>
      </c>
      <c r="D17" s="350" t="s">
        <v>1486</v>
      </c>
      <c r="E17" s="480" t="s">
        <v>13</v>
      </c>
      <c r="F17" s="890">
        <v>9.0399999999999991</v>
      </c>
      <c r="G17" s="1528"/>
      <c r="H17" s="622"/>
      <c r="I17" s="982"/>
      <c r="J17" s="622"/>
      <c r="K17" s="982"/>
    </row>
    <row r="18" spans="1:14" s="224" customFormat="1" x14ac:dyDescent="0.25">
      <c r="A18" s="215">
        <v>43439</v>
      </c>
      <c r="B18" s="862" t="s">
        <v>32</v>
      </c>
      <c r="C18" s="352" t="s">
        <v>12</v>
      </c>
      <c r="D18" s="874" t="s">
        <v>1485</v>
      </c>
      <c r="E18" s="875" t="s">
        <v>13</v>
      </c>
      <c r="F18" s="890">
        <v>14</v>
      </c>
      <c r="G18" s="964"/>
      <c r="H18" s="622"/>
      <c r="I18" s="982"/>
      <c r="J18" s="622"/>
      <c r="K18" s="982"/>
    </row>
    <row r="19" spans="1:14" s="224" customFormat="1" x14ac:dyDescent="0.25">
      <c r="A19" s="215">
        <v>43439</v>
      </c>
      <c r="B19" s="364" t="s">
        <v>134</v>
      </c>
      <c r="C19" s="350" t="s">
        <v>12</v>
      </c>
      <c r="D19" s="350" t="s">
        <v>1493</v>
      </c>
      <c r="E19" s="480" t="s">
        <v>13</v>
      </c>
      <c r="F19" s="827">
        <v>47.4</v>
      </c>
      <c r="G19" s="888"/>
      <c r="H19" s="97"/>
      <c r="I19" s="946"/>
      <c r="J19" s="97"/>
      <c r="K19" s="946"/>
    </row>
    <row r="20" spans="1:14" s="224" customFormat="1" ht="15" customHeight="1" x14ac:dyDescent="0.25">
      <c r="A20" s="215">
        <v>43440</v>
      </c>
      <c r="B20" s="862" t="s">
        <v>1331</v>
      </c>
      <c r="C20" s="352" t="s">
        <v>12</v>
      </c>
      <c r="D20" s="874" t="s">
        <v>1487</v>
      </c>
      <c r="E20" s="875" t="s">
        <v>15</v>
      </c>
      <c r="F20" s="890">
        <v>20</v>
      </c>
      <c r="G20" s="1528"/>
      <c r="H20" s="622"/>
      <c r="I20" s="982"/>
      <c r="J20" s="622"/>
      <c r="K20" s="982"/>
    </row>
    <row r="21" spans="1:14" s="224" customFormat="1" ht="15.75" customHeight="1" x14ac:dyDescent="0.25">
      <c r="A21" s="215">
        <v>43440</v>
      </c>
      <c r="B21" s="349" t="s">
        <v>2051</v>
      </c>
      <c r="C21" s="879" t="s">
        <v>12</v>
      </c>
      <c r="D21" s="874"/>
      <c r="E21" s="871" t="s">
        <v>25</v>
      </c>
      <c r="F21" s="1529"/>
      <c r="G21" s="968">
        <v>1837.68</v>
      </c>
      <c r="H21" s="538"/>
      <c r="I21" s="982"/>
      <c r="J21" s="622"/>
      <c r="K21" s="982"/>
      <c r="L21" s="475"/>
    </row>
    <row r="22" spans="1:14" s="224" customFormat="1" x14ac:dyDescent="0.25">
      <c r="A22" s="215">
        <v>43440</v>
      </c>
      <c r="B22" s="862" t="s">
        <v>2052</v>
      </c>
      <c r="C22" s="879" t="s">
        <v>12</v>
      </c>
      <c r="D22" s="879"/>
      <c r="E22" s="871" t="s">
        <v>13</v>
      </c>
      <c r="F22" s="872">
        <v>640.20000000000005</v>
      </c>
      <c r="G22" s="964"/>
      <c r="H22" s="622"/>
      <c r="I22" s="982"/>
      <c r="J22" s="780"/>
      <c r="K22" s="614"/>
      <c r="L22" s="861">
        <v>760.65</v>
      </c>
      <c r="M22" s="89"/>
      <c r="N22" s="89"/>
    </row>
    <row r="23" spans="1:14" x14ac:dyDescent="0.25">
      <c r="A23" s="215">
        <v>43440</v>
      </c>
      <c r="B23" s="862" t="s">
        <v>1961</v>
      </c>
      <c r="C23" s="879" t="s">
        <v>12</v>
      </c>
      <c r="D23" s="879" t="s">
        <v>1504</v>
      </c>
      <c r="E23" s="871" t="s">
        <v>13</v>
      </c>
      <c r="F23" s="852">
        <v>50</v>
      </c>
      <c r="G23" s="964"/>
      <c r="H23" s="622"/>
      <c r="I23" s="982"/>
      <c r="J23" s="622"/>
      <c r="K23" s="1002"/>
      <c r="L23" s="854">
        <v>90</v>
      </c>
    </row>
    <row r="24" spans="1:14" x14ac:dyDescent="0.25">
      <c r="A24" s="215">
        <v>43440</v>
      </c>
      <c r="B24" s="882" t="s">
        <v>2053</v>
      </c>
      <c r="C24" s="879" t="s">
        <v>12</v>
      </c>
      <c r="D24" s="879" t="s">
        <v>1499</v>
      </c>
      <c r="E24" s="871" t="s">
        <v>13</v>
      </c>
      <c r="F24" s="852">
        <v>64.84</v>
      </c>
      <c r="G24" s="964"/>
      <c r="H24" s="622"/>
      <c r="I24" s="982"/>
      <c r="J24" s="780"/>
      <c r="K24" s="614"/>
      <c r="L24" s="854">
        <v>274.83999999999997</v>
      </c>
    </row>
    <row r="25" spans="1:14" x14ac:dyDescent="0.25">
      <c r="A25" s="215">
        <v>43440</v>
      </c>
      <c r="B25" s="876" t="s">
        <v>52</v>
      </c>
      <c r="C25" s="879" t="s">
        <v>12</v>
      </c>
      <c r="D25" s="879" t="s">
        <v>1496</v>
      </c>
      <c r="E25" s="871" t="s">
        <v>13</v>
      </c>
      <c r="F25" s="852">
        <v>60</v>
      </c>
      <c r="G25" s="1528"/>
      <c r="H25" s="853"/>
      <c r="I25" s="982"/>
      <c r="J25" s="622"/>
      <c r="K25" s="982"/>
      <c r="L25" s="484"/>
    </row>
    <row r="26" spans="1:14" s="224" customFormat="1" ht="15" customHeight="1" x14ac:dyDescent="0.25">
      <c r="A26" s="215">
        <v>43440</v>
      </c>
      <c r="B26" s="349" t="s">
        <v>260</v>
      </c>
      <c r="C26" s="350"/>
      <c r="D26" s="350"/>
      <c r="E26" s="480"/>
      <c r="F26" s="852">
        <v>995.53</v>
      </c>
      <c r="G26" s="1527"/>
      <c r="H26" s="97"/>
      <c r="I26" s="946">
        <v>995.53</v>
      </c>
      <c r="J26" s="97"/>
      <c r="K26" s="946"/>
    </row>
    <row r="27" spans="1:14" s="224" customFormat="1" x14ac:dyDescent="0.25">
      <c r="A27" s="215">
        <v>43440</v>
      </c>
      <c r="B27" s="364" t="s">
        <v>311</v>
      </c>
      <c r="C27" s="350"/>
      <c r="D27" s="350"/>
      <c r="E27" s="480"/>
      <c r="F27" s="827"/>
      <c r="G27" s="888"/>
      <c r="H27" s="97"/>
      <c r="I27" s="946">
        <v>4.47</v>
      </c>
      <c r="J27" s="97"/>
      <c r="K27" s="946"/>
    </row>
    <row r="28" spans="1:14" s="224" customFormat="1" x14ac:dyDescent="0.25">
      <c r="A28" s="215">
        <v>43440</v>
      </c>
      <c r="B28" s="862" t="s">
        <v>32</v>
      </c>
      <c r="C28" s="352" t="s">
        <v>12</v>
      </c>
      <c r="D28" s="874" t="s">
        <v>1485</v>
      </c>
      <c r="E28" s="875" t="s">
        <v>13</v>
      </c>
      <c r="F28" s="890">
        <v>14</v>
      </c>
      <c r="G28" s="964"/>
      <c r="H28" s="622"/>
      <c r="I28" s="982"/>
      <c r="J28" s="622"/>
      <c r="K28" s="982"/>
    </row>
    <row r="29" spans="1:14" s="224" customFormat="1" x14ac:dyDescent="0.25">
      <c r="A29" s="215">
        <v>43440</v>
      </c>
      <c r="B29" s="349" t="s">
        <v>14</v>
      </c>
      <c r="C29" s="350" t="s">
        <v>12</v>
      </c>
      <c r="D29" s="350" t="s">
        <v>1486</v>
      </c>
      <c r="E29" s="480" t="s">
        <v>13</v>
      </c>
      <c r="F29" s="890">
        <v>9.6999999999999993</v>
      </c>
      <c r="G29" s="888"/>
      <c r="H29" s="97"/>
      <c r="I29" s="946"/>
      <c r="J29" s="97"/>
      <c r="K29" s="946"/>
    </row>
    <row r="30" spans="1:14" s="224" customFormat="1" x14ac:dyDescent="0.25">
      <c r="A30" s="215">
        <v>43441</v>
      </c>
      <c r="B30" s="862" t="s">
        <v>32</v>
      </c>
      <c r="C30" s="352" t="s">
        <v>12</v>
      </c>
      <c r="D30" s="874" t="s">
        <v>1485</v>
      </c>
      <c r="E30" s="875" t="s">
        <v>13</v>
      </c>
      <c r="F30" s="890">
        <v>14</v>
      </c>
      <c r="G30" s="964"/>
      <c r="H30" s="622"/>
      <c r="I30" s="982"/>
      <c r="J30" s="622"/>
      <c r="K30" s="982"/>
    </row>
    <row r="31" spans="1:14" s="224" customFormat="1" ht="15" customHeight="1" x14ac:dyDescent="0.25">
      <c r="A31" s="215">
        <v>43441</v>
      </c>
      <c r="B31" s="349" t="s">
        <v>2054</v>
      </c>
      <c r="C31" s="350" t="s">
        <v>12</v>
      </c>
      <c r="D31" s="350" t="s">
        <v>1522</v>
      </c>
      <c r="E31" s="480" t="s">
        <v>13</v>
      </c>
      <c r="F31" s="852">
        <v>303</v>
      </c>
      <c r="G31" s="1527"/>
      <c r="H31" s="97"/>
      <c r="I31" s="946"/>
      <c r="J31" s="97"/>
      <c r="K31" s="946"/>
    </row>
    <row r="32" spans="1:14" s="224" customFormat="1" ht="15" customHeight="1" x14ac:dyDescent="0.25">
      <c r="A32" s="215">
        <v>43441</v>
      </c>
      <c r="B32" s="862" t="s">
        <v>1331</v>
      </c>
      <c r="C32" s="352" t="s">
        <v>12</v>
      </c>
      <c r="D32" s="874" t="s">
        <v>1487</v>
      </c>
      <c r="E32" s="875" t="s">
        <v>15</v>
      </c>
      <c r="F32" s="890">
        <v>20</v>
      </c>
      <c r="G32" s="1527"/>
      <c r="H32" s="97"/>
      <c r="I32" s="946"/>
      <c r="J32" s="97"/>
      <c r="K32" s="946"/>
    </row>
    <row r="33" spans="1:12" s="224" customFormat="1" ht="15" customHeight="1" x14ac:dyDescent="0.25">
      <c r="A33" s="215">
        <v>43441</v>
      </c>
      <c r="B33" s="862" t="s">
        <v>2055</v>
      </c>
      <c r="C33" s="352" t="s">
        <v>12</v>
      </c>
      <c r="D33" s="874" t="s">
        <v>1506</v>
      </c>
      <c r="E33" s="875" t="s">
        <v>15</v>
      </c>
      <c r="F33" s="890">
        <v>60</v>
      </c>
      <c r="G33" s="1527"/>
      <c r="H33" s="97"/>
      <c r="I33" s="982"/>
      <c r="J33" s="622"/>
      <c r="K33" s="982"/>
    </row>
    <row r="34" spans="1:12" s="224" customFormat="1" x14ac:dyDescent="0.25">
      <c r="A34" s="215">
        <v>43441</v>
      </c>
      <c r="B34" s="349" t="s">
        <v>14</v>
      </c>
      <c r="C34" s="350" t="s">
        <v>12</v>
      </c>
      <c r="D34" s="350" t="s">
        <v>1486</v>
      </c>
      <c r="E34" s="480" t="s">
        <v>13</v>
      </c>
      <c r="F34" s="890">
        <v>9.06</v>
      </c>
      <c r="G34" s="888"/>
      <c r="H34" s="97"/>
      <c r="I34" s="946"/>
      <c r="J34" s="97"/>
      <c r="K34" s="946"/>
    </row>
    <row r="35" spans="1:12" s="224" customFormat="1" ht="15" customHeight="1" x14ac:dyDescent="0.25">
      <c r="A35" s="215">
        <v>43442</v>
      </c>
      <c r="B35" s="862" t="s">
        <v>2056</v>
      </c>
      <c r="C35" s="352" t="s">
        <v>12</v>
      </c>
      <c r="D35" s="874" t="s">
        <v>1491</v>
      </c>
      <c r="E35" s="875" t="s">
        <v>13</v>
      </c>
      <c r="F35" s="890">
        <v>32.869999999999997</v>
      </c>
      <c r="G35" s="1528"/>
      <c r="H35" s="622"/>
      <c r="I35" s="982"/>
      <c r="J35" s="622"/>
      <c r="K35" s="982"/>
    </row>
    <row r="36" spans="1:12" s="224" customFormat="1" x14ac:dyDescent="0.25">
      <c r="A36" s="215">
        <v>43442</v>
      </c>
      <c r="B36" s="862" t="s">
        <v>32</v>
      </c>
      <c r="C36" s="352" t="s">
        <v>12</v>
      </c>
      <c r="D36" s="874" t="s">
        <v>1485</v>
      </c>
      <c r="E36" s="875" t="s">
        <v>15</v>
      </c>
      <c r="F36" s="890">
        <v>10</v>
      </c>
      <c r="G36" s="964"/>
      <c r="H36" s="622"/>
      <c r="I36" s="982"/>
      <c r="J36" s="622"/>
      <c r="K36" s="982"/>
    </row>
    <row r="37" spans="1:12" s="224" customFormat="1" x14ac:dyDescent="0.25">
      <c r="A37" s="215">
        <v>43442</v>
      </c>
      <c r="B37" s="349" t="s">
        <v>14</v>
      </c>
      <c r="C37" s="350" t="s">
        <v>12</v>
      </c>
      <c r="D37" s="350" t="s">
        <v>1486</v>
      </c>
      <c r="E37" s="480" t="s">
        <v>13</v>
      </c>
      <c r="F37" s="890">
        <v>4.66</v>
      </c>
      <c r="G37" s="888"/>
      <c r="H37" s="97"/>
      <c r="I37" s="946"/>
      <c r="J37" s="97"/>
      <c r="K37" s="946"/>
    </row>
    <row r="38" spans="1:12" s="224" customFormat="1" ht="15" customHeight="1" x14ac:dyDescent="0.25">
      <c r="A38" s="215">
        <v>43442</v>
      </c>
      <c r="B38" s="862" t="s">
        <v>1438</v>
      </c>
      <c r="C38" s="352" t="s">
        <v>19</v>
      </c>
      <c r="D38" s="874" t="s">
        <v>1489</v>
      </c>
      <c r="E38" s="875" t="s">
        <v>13</v>
      </c>
      <c r="F38" s="890">
        <v>54.35</v>
      </c>
      <c r="G38" s="1528"/>
      <c r="H38" s="622"/>
      <c r="I38" s="982"/>
      <c r="J38" s="622"/>
      <c r="K38" s="982"/>
    </row>
    <row r="39" spans="1:12" s="224" customFormat="1" ht="15" customHeight="1" x14ac:dyDescent="0.25">
      <c r="A39" s="215">
        <v>43442</v>
      </c>
      <c r="B39" s="862" t="s">
        <v>1331</v>
      </c>
      <c r="C39" s="352" t="s">
        <v>12</v>
      </c>
      <c r="D39" s="874" t="s">
        <v>1487</v>
      </c>
      <c r="E39" s="875" t="s">
        <v>13</v>
      </c>
      <c r="F39" s="890">
        <v>40</v>
      </c>
      <c r="G39" s="1527"/>
      <c r="H39" s="97"/>
      <c r="I39" s="946"/>
      <c r="J39" s="97"/>
      <c r="K39" s="946"/>
    </row>
    <row r="40" spans="1:12" s="224" customFormat="1" ht="15" customHeight="1" x14ac:dyDescent="0.25">
      <c r="A40" s="215">
        <v>43442</v>
      </c>
      <c r="B40" s="862" t="s">
        <v>2057</v>
      </c>
      <c r="C40" s="352" t="s">
        <v>12</v>
      </c>
      <c r="D40" s="874" t="s">
        <v>1491</v>
      </c>
      <c r="E40" s="875" t="s">
        <v>15</v>
      </c>
      <c r="F40" s="890">
        <v>10</v>
      </c>
      <c r="G40" s="1528"/>
      <c r="H40" s="622"/>
      <c r="I40" s="982"/>
      <c r="J40" s="622"/>
      <c r="K40" s="982"/>
    </row>
    <row r="41" spans="1:12" s="224" customFormat="1" ht="15" customHeight="1" x14ac:dyDescent="0.25">
      <c r="A41" s="215">
        <v>43442</v>
      </c>
      <c r="B41" s="862" t="s">
        <v>2058</v>
      </c>
      <c r="C41" s="352" t="s">
        <v>12</v>
      </c>
      <c r="D41" s="874" t="s">
        <v>1491</v>
      </c>
      <c r="E41" s="875" t="s">
        <v>15</v>
      </c>
      <c r="F41" s="890">
        <v>10</v>
      </c>
      <c r="G41" s="1527"/>
      <c r="H41" s="97"/>
      <c r="I41" s="946"/>
      <c r="J41" s="97"/>
      <c r="K41" s="946"/>
    </row>
    <row r="42" spans="1:12" s="224" customFormat="1" ht="15" customHeight="1" x14ac:dyDescent="0.25">
      <c r="A42" s="215">
        <v>43442</v>
      </c>
      <c r="B42" s="862" t="s">
        <v>2059</v>
      </c>
      <c r="C42" s="352" t="s">
        <v>12</v>
      </c>
      <c r="D42" s="874" t="s">
        <v>1493</v>
      </c>
      <c r="E42" s="875" t="s">
        <v>13</v>
      </c>
      <c r="F42" s="890">
        <v>25</v>
      </c>
      <c r="G42" s="1527"/>
      <c r="H42" s="97"/>
      <c r="I42" s="946"/>
      <c r="J42" s="97"/>
      <c r="K42" s="946"/>
    </row>
    <row r="43" spans="1:12" s="224" customFormat="1" x14ac:dyDescent="0.25">
      <c r="A43" s="215">
        <v>43443</v>
      </c>
      <c r="B43" s="349" t="s">
        <v>14</v>
      </c>
      <c r="C43" s="350" t="s">
        <v>12</v>
      </c>
      <c r="D43" s="350" t="s">
        <v>1486</v>
      </c>
      <c r="E43" s="480" t="s">
        <v>13</v>
      </c>
      <c r="F43" s="890">
        <v>3.34</v>
      </c>
      <c r="G43" s="888"/>
      <c r="H43" s="97"/>
      <c r="I43" s="946"/>
      <c r="J43" s="97"/>
      <c r="K43" s="946"/>
    </row>
    <row r="44" spans="1:12" s="224" customFormat="1" ht="15" customHeight="1" x14ac:dyDescent="0.25">
      <c r="A44" s="215">
        <v>43443</v>
      </c>
      <c r="B44" s="349" t="s">
        <v>14</v>
      </c>
      <c r="C44" s="350" t="s">
        <v>12</v>
      </c>
      <c r="D44" s="350" t="s">
        <v>1486</v>
      </c>
      <c r="E44" s="480" t="s">
        <v>13</v>
      </c>
      <c r="F44" s="890">
        <v>6.44</v>
      </c>
      <c r="G44" s="965"/>
      <c r="H44" s="97"/>
      <c r="I44" s="946"/>
      <c r="J44" s="97"/>
      <c r="K44" s="946"/>
    </row>
    <row r="45" spans="1:12" s="224" customFormat="1" x14ac:dyDescent="0.25">
      <c r="A45" s="215">
        <v>43444</v>
      </c>
      <c r="B45" s="862" t="s">
        <v>32</v>
      </c>
      <c r="C45" s="352" t="s">
        <v>12</v>
      </c>
      <c r="D45" s="874" t="s">
        <v>1485</v>
      </c>
      <c r="E45" s="875" t="s">
        <v>13</v>
      </c>
      <c r="F45" s="890">
        <v>14</v>
      </c>
      <c r="G45" s="964"/>
      <c r="H45" s="622"/>
      <c r="I45" s="982"/>
      <c r="J45" s="622"/>
      <c r="K45" s="982"/>
    </row>
    <row r="46" spans="1:12" s="224" customFormat="1" x14ac:dyDescent="0.25">
      <c r="A46" s="215">
        <v>43445</v>
      </c>
      <c r="B46" s="349" t="s">
        <v>2060</v>
      </c>
      <c r="C46" s="350" t="s">
        <v>12</v>
      </c>
      <c r="D46" s="350" t="s">
        <v>1506</v>
      </c>
      <c r="E46" s="480" t="s">
        <v>15</v>
      </c>
      <c r="F46" s="853">
        <v>32</v>
      </c>
      <c r="G46" s="964"/>
      <c r="H46" s="853"/>
      <c r="I46" s="1002"/>
      <c r="J46" s="622"/>
      <c r="K46" s="1002"/>
      <c r="L46" s="475"/>
    </row>
    <row r="47" spans="1:12" s="224" customFormat="1" x14ac:dyDescent="0.25">
      <c r="A47" s="215">
        <v>43445</v>
      </c>
      <c r="B47" s="349" t="s">
        <v>2061</v>
      </c>
      <c r="C47" s="350" t="s">
        <v>12</v>
      </c>
      <c r="D47" s="350" t="s">
        <v>1489</v>
      </c>
      <c r="E47" s="480" t="s">
        <v>15</v>
      </c>
      <c r="F47" s="853">
        <v>25</v>
      </c>
      <c r="G47" s="964"/>
      <c r="H47" s="853"/>
      <c r="I47" s="1002"/>
      <c r="J47" s="622"/>
      <c r="K47" s="1002"/>
      <c r="L47" s="475"/>
    </row>
    <row r="48" spans="1:12" s="224" customFormat="1" x14ac:dyDescent="0.25">
      <c r="A48" s="215">
        <v>43445</v>
      </c>
      <c r="B48" s="862" t="s">
        <v>32</v>
      </c>
      <c r="C48" s="352" t="s">
        <v>12</v>
      </c>
      <c r="D48" s="874" t="s">
        <v>1485</v>
      </c>
      <c r="E48" s="875" t="s">
        <v>15</v>
      </c>
      <c r="F48" s="890">
        <v>14</v>
      </c>
      <c r="G48" s="964"/>
      <c r="H48" s="622"/>
      <c r="I48" s="982"/>
      <c r="J48" s="622"/>
      <c r="K48" s="982"/>
    </row>
    <row r="49" spans="1:12" s="224" customFormat="1" x14ac:dyDescent="0.25">
      <c r="A49" s="215">
        <v>43445</v>
      </c>
      <c r="B49" s="349" t="s">
        <v>2062</v>
      </c>
      <c r="C49" s="350" t="s">
        <v>12</v>
      </c>
      <c r="D49" s="350" t="s">
        <v>1523</v>
      </c>
      <c r="E49" s="480" t="s">
        <v>13</v>
      </c>
      <c r="F49" s="853">
        <v>44</v>
      </c>
      <c r="G49" s="964"/>
      <c r="H49" s="853"/>
      <c r="I49" s="1002"/>
      <c r="J49" s="622"/>
      <c r="K49" s="1002"/>
      <c r="L49" s="475"/>
    </row>
    <row r="50" spans="1:12" s="224" customFormat="1" x14ac:dyDescent="0.25">
      <c r="A50" s="215">
        <v>43445</v>
      </c>
      <c r="B50" s="349" t="s">
        <v>1464</v>
      </c>
      <c r="C50" s="350" t="s">
        <v>12</v>
      </c>
      <c r="D50" s="350" t="s">
        <v>1489</v>
      </c>
      <c r="E50" s="480" t="s">
        <v>13</v>
      </c>
      <c r="F50" s="853">
        <v>6</v>
      </c>
      <c r="G50" s="964"/>
      <c r="H50" s="853"/>
      <c r="I50" s="1002"/>
      <c r="J50" s="622"/>
      <c r="K50" s="1002"/>
      <c r="L50" s="475"/>
    </row>
    <row r="51" spans="1:12" s="224" customFormat="1" x14ac:dyDescent="0.25">
      <c r="A51" s="215">
        <v>43446</v>
      </c>
      <c r="B51" s="862" t="s">
        <v>32</v>
      </c>
      <c r="C51" s="352" t="s">
        <v>12</v>
      </c>
      <c r="D51" s="874" t="s">
        <v>1485</v>
      </c>
      <c r="E51" s="887" t="s">
        <v>15</v>
      </c>
      <c r="F51" s="890">
        <v>14</v>
      </c>
      <c r="G51" s="964"/>
      <c r="H51" s="622"/>
      <c r="I51" s="982"/>
      <c r="J51" s="622"/>
      <c r="K51" s="982"/>
    </row>
    <row r="52" spans="1:12" s="224" customFormat="1" ht="15" customHeight="1" x14ac:dyDescent="0.25">
      <c r="A52" s="215">
        <v>43446</v>
      </c>
      <c r="B52" s="349" t="s">
        <v>1689</v>
      </c>
      <c r="C52" s="350" t="s">
        <v>19</v>
      </c>
      <c r="D52" s="802" t="s">
        <v>1491</v>
      </c>
      <c r="E52" s="145" t="s">
        <v>15</v>
      </c>
      <c r="F52" s="891">
        <v>58</v>
      </c>
      <c r="G52" s="1528"/>
      <c r="H52" s="622"/>
      <c r="I52" s="982"/>
      <c r="J52" s="622"/>
      <c r="K52" s="982"/>
    </row>
    <row r="53" spans="1:12" s="224" customFormat="1" x14ac:dyDescent="0.25">
      <c r="A53" s="215">
        <v>43446</v>
      </c>
      <c r="B53" s="862" t="s">
        <v>2063</v>
      </c>
      <c r="C53" s="352" t="s">
        <v>19</v>
      </c>
      <c r="D53" s="874" t="s">
        <v>1491</v>
      </c>
      <c r="E53" s="887" t="s">
        <v>13</v>
      </c>
      <c r="F53" s="890">
        <v>23.4</v>
      </c>
      <c r="G53" s="964"/>
      <c r="H53" s="622"/>
      <c r="I53" s="982"/>
      <c r="J53" s="622"/>
      <c r="K53" s="982"/>
    </row>
    <row r="54" spans="1:12" s="224" customFormat="1" ht="15" customHeight="1" x14ac:dyDescent="0.25">
      <c r="A54" s="215">
        <v>43446</v>
      </c>
      <c r="B54" s="862" t="s">
        <v>1331</v>
      </c>
      <c r="C54" s="352" t="s">
        <v>12</v>
      </c>
      <c r="D54" s="874" t="s">
        <v>1487</v>
      </c>
      <c r="E54" s="875" t="s">
        <v>15</v>
      </c>
      <c r="F54" s="890">
        <v>20</v>
      </c>
      <c r="G54" s="1527"/>
      <c r="H54" s="97"/>
      <c r="I54" s="946"/>
      <c r="J54" s="97"/>
      <c r="K54" s="946"/>
    </row>
    <row r="55" spans="1:12" s="224" customFormat="1" ht="15" customHeight="1" x14ac:dyDescent="0.25">
      <c r="A55" s="215">
        <v>43446</v>
      </c>
      <c r="B55" s="349" t="s">
        <v>14</v>
      </c>
      <c r="C55" s="350" t="s">
        <v>12</v>
      </c>
      <c r="D55" s="350" t="s">
        <v>1486</v>
      </c>
      <c r="E55" s="480" t="s">
        <v>13</v>
      </c>
      <c r="F55" s="890">
        <v>5</v>
      </c>
      <c r="G55" s="1528"/>
      <c r="H55" s="622"/>
      <c r="I55" s="982"/>
      <c r="J55" s="622"/>
      <c r="K55" s="982"/>
    </row>
    <row r="56" spans="1:12" s="224" customFormat="1" ht="15" customHeight="1" x14ac:dyDescent="0.25">
      <c r="A56" s="215">
        <v>43447</v>
      </c>
      <c r="B56" s="862" t="s">
        <v>256</v>
      </c>
      <c r="C56" s="879"/>
      <c r="D56" s="879"/>
      <c r="E56" s="871"/>
      <c r="F56" s="97"/>
      <c r="G56" s="1064">
        <v>400</v>
      </c>
      <c r="H56" s="97">
        <v>400</v>
      </c>
      <c r="I56" s="982"/>
      <c r="J56" s="622"/>
      <c r="K56" s="982"/>
    </row>
    <row r="57" spans="1:12" s="224" customFormat="1" x14ac:dyDescent="0.25">
      <c r="A57" s="215">
        <v>43447</v>
      </c>
      <c r="B57" s="862" t="s">
        <v>32</v>
      </c>
      <c r="C57" s="352" t="s">
        <v>12</v>
      </c>
      <c r="D57" s="874" t="s">
        <v>1485</v>
      </c>
      <c r="E57" s="887" t="s">
        <v>15</v>
      </c>
      <c r="F57" s="890">
        <v>14</v>
      </c>
      <c r="G57" s="964"/>
      <c r="H57" s="622"/>
      <c r="I57" s="982"/>
      <c r="J57" s="622"/>
      <c r="K57" s="982"/>
    </row>
    <row r="58" spans="1:12" s="224" customFormat="1" ht="15" customHeight="1" x14ac:dyDescent="0.25">
      <c r="A58" s="215">
        <v>43447</v>
      </c>
      <c r="B58" s="349" t="s">
        <v>1438</v>
      </c>
      <c r="C58" s="350" t="s">
        <v>12</v>
      </c>
      <c r="D58" s="350" t="s">
        <v>1489</v>
      </c>
      <c r="E58" s="480" t="s">
        <v>15</v>
      </c>
      <c r="F58" s="852">
        <v>15</v>
      </c>
      <c r="G58" s="965"/>
      <c r="H58" s="97"/>
      <c r="I58" s="946"/>
      <c r="J58" s="97"/>
      <c r="K58" s="946"/>
    </row>
    <row r="59" spans="1:12" s="224" customFormat="1" ht="15" customHeight="1" x14ac:dyDescent="0.25">
      <c r="A59" s="215">
        <v>43447</v>
      </c>
      <c r="B59" s="349" t="s">
        <v>14</v>
      </c>
      <c r="C59" s="350" t="s">
        <v>12</v>
      </c>
      <c r="D59" s="350" t="s">
        <v>1486</v>
      </c>
      <c r="E59" s="480" t="s">
        <v>13</v>
      </c>
      <c r="F59" s="890">
        <v>4</v>
      </c>
      <c r="G59" s="1528"/>
      <c r="H59" s="622"/>
      <c r="I59" s="982"/>
      <c r="J59" s="622"/>
      <c r="K59" s="982"/>
    </row>
    <row r="60" spans="1:12" s="224" customFormat="1" ht="15" customHeight="1" x14ac:dyDescent="0.25">
      <c r="A60" s="215">
        <v>43447</v>
      </c>
      <c r="B60" s="862" t="s">
        <v>1331</v>
      </c>
      <c r="C60" s="352" t="s">
        <v>12</v>
      </c>
      <c r="D60" s="874" t="s">
        <v>1487</v>
      </c>
      <c r="E60" s="875" t="s">
        <v>15</v>
      </c>
      <c r="F60" s="890">
        <v>20</v>
      </c>
      <c r="G60" s="1527"/>
      <c r="H60" s="97"/>
      <c r="I60" s="946"/>
      <c r="J60" s="97"/>
      <c r="K60" s="946"/>
    </row>
    <row r="61" spans="1:12" s="224" customFormat="1" x14ac:dyDescent="0.25">
      <c r="A61" s="215">
        <v>43448</v>
      </c>
      <c r="B61" s="862" t="s">
        <v>32</v>
      </c>
      <c r="C61" s="352" t="s">
        <v>12</v>
      </c>
      <c r="D61" s="874" t="s">
        <v>1485</v>
      </c>
      <c r="E61" s="887" t="s">
        <v>13</v>
      </c>
      <c r="F61" s="890">
        <v>14</v>
      </c>
      <c r="G61" s="964"/>
      <c r="H61" s="622"/>
      <c r="I61" s="982"/>
      <c r="J61" s="622"/>
      <c r="K61" s="982"/>
    </row>
    <row r="62" spans="1:12" s="224" customFormat="1" ht="15" customHeight="1" x14ac:dyDescent="0.25">
      <c r="A62" s="215">
        <v>43448</v>
      </c>
      <c r="B62" s="364" t="s">
        <v>1597</v>
      </c>
      <c r="C62" s="350" t="s">
        <v>12</v>
      </c>
      <c r="D62" s="350" t="s">
        <v>1491</v>
      </c>
      <c r="E62" s="480" t="s">
        <v>15</v>
      </c>
      <c r="F62" s="622">
        <v>100</v>
      </c>
      <c r="G62" s="1063"/>
      <c r="H62" s="853"/>
      <c r="I62" s="982"/>
      <c r="J62" s="622"/>
      <c r="K62" s="982"/>
    </row>
    <row r="63" spans="1:12" s="224" customFormat="1" ht="15" customHeight="1" x14ac:dyDescent="0.25">
      <c r="A63" s="215">
        <v>43448</v>
      </c>
      <c r="B63" s="349" t="s">
        <v>14</v>
      </c>
      <c r="C63" s="350" t="s">
        <v>12</v>
      </c>
      <c r="D63" s="350" t="s">
        <v>1486</v>
      </c>
      <c r="E63" s="480" t="s">
        <v>13</v>
      </c>
      <c r="F63" s="890">
        <v>13.64</v>
      </c>
      <c r="G63" s="1528"/>
      <c r="H63" s="622"/>
      <c r="I63" s="982"/>
      <c r="J63" s="622"/>
      <c r="K63" s="982"/>
      <c r="L63" s="459"/>
    </row>
    <row r="64" spans="1:12" s="224" customFormat="1" ht="15" customHeight="1" x14ac:dyDescent="0.25">
      <c r="A64" s="215">
        <v>43448</v>
      </c>
      <c r="B64" s="862" t="s">
        <v>1331</v>
      </c>
      <c r="C64" s="352" t="s">
        <v>12</v>
      </c>
      <c r="D64" s="874" t="s">
        <v>1487</v>
      </c>
      <c r="E64" s="875" t="s">
        <v>13</v>
      </c>
      <c r="F64" s="890">
        <v>60</v>
      </c>
      <c r="G64" s="1527"/>
      <c r="H64" s="97"/>
      <c r="I64" s="946"/>
      <c r="J64" s="97"/>
      <c r="K64" s="946"/>
    </row>
    <row r="65" spans="1:12" ht="15" customHeight="1" x14ac:dyDescent="0.25">
      <c r="A65" s="215">
        <v>43448</v>
      </c>
      <c r="B65" s="349" t="s">
        <v>1396</v>
      </c>
      <c r="C65" s="350" t="s">
        <v>12</v>
      </c>
      <c r="D65" s="350"/>
      <c r="E65" s="757" t="s">
        <v>25</v>
      </c>
      <c r="F65" s="97"/>
      <c r="G65" s="946">
        <v>40</v>
      </c>
      <c r="H65" s="97"/>
      <c r="I65" s="946"/>
      <c r="J65" s="97"/>
      <c r="K65" s="946"/>
    </row>
    <row r="66" spans="1:12" s="224" customFormat="1" ht="15" customHeight="1" x14ac:dyDescent="0.25">
      <c r="A66" s="215">
        <v>43449</v>
      </c>
      <c r="B66" s="349" t="s">
        <v>14</v>
      </c>
      <c r="C66" s="350" t="s">
        <v>12</v>
      </c>
      <c r="D66" s="350" t="s">
        <v>1486</v>
      </c>
      <c r="E66" s="480" t="s">
        <v>13</v>
      </c>
      <c r="F66" s="890">
        <v>5.45</v>
      </c>
      <c r="G66" s="1528"/>
      <c r="H66" s="622"/>
      <c r="I66" s="982"/>
      <c r="J66" s="622"/>
      <c r="K66" s="982"/>
    </row>
    <row r="67" spans="1:12" s="224" customFormat="1" ht="15" customHeight="1" x14ac:dyDescent="0.25">
      <c r="A67" s="215">
        <v>43449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890">
        <v>4.9800000000000004</v>
      </c>
      <c r="G67" s="1528"/>
      <c r="H67" s="622"/>
      <c r="I67" s="982"/>
      <c r="J67" s="622"/>
      <c r="K67" s="982"/>
    </row>
    <row r="68" spans="1:12" s="224" customFormat="1" x14ac:dyDescent="0.25">
      <c r="A68" s="215">
        <v>43449</v>
      </c>
      <c r="B68" s="862" t="s">
        <v>32</v>
      </c>
      <c r="C68" s="352" t="s">
        <v>12</v>
      </c>
      <c r="D68" s="874" t="s">
        <v>1485</v>
      </c>
      <c r="E68" s="887" t="s">
        <v>15</v>
      </c>
      <c r="F68" s="890">
        <v>10</v>
      </c>
      <c r="G68" s="964"/>
      <c r="H68" s="622"/>
      <c r="I68" s="982"/>
      <c r="J68" s="622"/>
      <c r="K68" s="982"/>
    </row>
    <row r="69" spans="1:12" s="224" customFormat="1" ht="15" customHeight="1" x14ac:dyDescent="0.25">
      <c r="A69" s="215">
        <v>43449</v>
      </c>
      <c r="B69" s="349" t="s">
        <v>14</v>
      </c>
      <c r="C69" s="350" t="s">
        <v>12</v>
      </c>
      <c r="D69" s="350" t="s">
        <v>1486</v>
      </c>
      <c r="E69" s="480" t="s">
        <v>13</v>
      </c>
      <c r="F69" s="890">
        <v>3.8</v>
      </c>
      <c r="G69" s="1528"/>
      <c r="H69" s="622"/>
      <c r="I69" s="982"/>
      <c r="J69" s="622"/>
      <c r="K69" s="982"/>
      <c r="L69" s="459"/>
    </row>
    <row r="70" spans="1:12" s="224" customFormat="1" ht="15" customHeight="1" x14ac:dyDescent="0.25">
      <c r="A70" s="215">
        <v>43449</v>
      </c>
      <c r="B70" s="349" t="s">
        <v>82</v>
      </c>
      <c r="C70" s="350" t="s">
        <v>12</v>
      </c>
      <c r="D70" s="350" t="s">
        <v>1489</v>
      </c>
      <c r="E70" s="480" t="s">
        <v>13</v>
      </c>
      <c r="F70" s="890">
        <v>64</v>
      </c>
      <c r="G70" s="1528"/>
      <c r="H70" s="622"/>
      <c r="I70" s="982"/>
      <c r="J70" s="622"/>
      <c r="K70" s="982"/>
      <c r="L70" s="459"/>
    </row>
    <row r="71" spans="1:12" s="224" customFormat="1" ht="15" customHeight="1" x14ac:dyDescent="0.25">
      <c r="A71" s="215">
        <v>43450</v>
      </c>
      <c r="B71" s="349"/>
      <c r="C71" s="350"/>
      <c r="D71" s="350"/>
      <c r="E71" s="480"/>
      <c r="F71" s="852"/>
      <c r="G71" s="965"/>
      <c r="H71" s="97"/>
      <c r="I71" s="946"/>
      <c r="J71" s="97"/>
      <c r="K71" s="946"/>
    </row>
    <row r="72" spans="1:12" s="224" customFormat="1" x14ac:dyDescent="0.25">
      <c r="A72" s="215">
        <v>43451</v>
      </c>
      <c r="B72" s="862" t="s">
        <v>32</v>
      </c>
      <c r="C72" s="352" t="s">
        <v>12</v>
      </c>
      <c r="D72" s="874" t="s">
        <v>1485</v>
      </c>
      <c r="E72" s="887" t="s">
        <v>13</v>
      </c>
      <c r="F72" s="890">
        <v>14</v>
      </c>
      <c r="G72" s="964"/>
      <c r="H72" s="622"/>
      <c r="I72" s="982"/>
      <c r="J72" s="622"/>
      <c r="K72" s="982"/>
    </row>
    <row r="73" spans="1:12" s="224" customFormat="1" ht="15" customHeight="1" x14ac:dyDescent="0.25">
      <c r="A73" s="215">
        <v>43451</v>
      </c>
      <c r="B73" s="862" t="s">
        <v>256</v>
      </c>
      <c r="C73" s="879"/>
      <c r="D73" s="879"/>
      <c r="E73" s="871"/>
      <c r="F73" s="97"/>
      <c r="G73" s="1064">
        <v>200</v>
      </c>
      <c r="H73" s="97">
        <v>200</v>
      </c>
      <c r="I73" s="982"/>
      <c r="J73" s="622"/>
      <c r="K73" s="982"/>
    </row>
    <row r="74" spans="1:12" s="224" customFormat="1" ht="15" customHeight="1" x14ac:dyDescent="0.25">
      <c r="A74" s="215">
        <v>43451</v>
      </c>
      <c r="B74" s="876" t="s">
        <v>2064</v>
      </c>
      <c r="C74" s="350" t="s">
        <v>19</v>
      </c>
      <c r="D74" s="874" t="s">
        <v>1506</v>
      </c>
      <c r="E74" s="875" t="s">
        <v>13</v>
      </c>
      <c r="F74" s="852">
        <v>35</v>
      </c>
      <c r="G74" s="1528"/>
      <c r="H74" s="622"/>
      <c r="I74" s="982"/>
      <c r="J74" s="622"/>
      <c r="K74" s="982"/>
      <c r="L74" s="459"/>
    </row>
    <row r="75" spans="1:12" s="224" customFormat="1" ht="15" customHeight="1" x14ac:dyDescent="0.25">
      <c r="A75" s="215">
        <v>43451</v>
      </c>
      <c r="B75" s="876" t="s">
        <v>2065</v>
      </c>
      <c r="C75" s="350" t="s">
        <v>19</v>
      </c>
      <c r="D75" s="874" t="s">
        <v>1506</v>
      </c>
      <c r="E75" s="875" t="s">
        <v>13</v>
      </c>
      <c r="F75" s="852">
        <v>60</v>
      </c>
      <c r="G75" s="1528"/>
      <c r="H75" s="622"/>
      <c r="I75" s="982"/>
      <c r="J75" s="622"/>
      <c r="K75" s="982"/>
      <c r="L75" s="459"/>
    </row>
    <row r="76" spans="1:12" s="224" customFormat="1" ht="15" customHeight="1" x14ac:dyDescent="0.25">
      <c r="A76" s="215">
        <v>43451</v>
      </c>
      <c r="B76" s="876" t="s">
        <v>2066</v>
      </c>
      <c r="C76" s="350" t="s">
        <v>19</v>
      </c>
      <c r="D76" s="874" t="s">
        <v>1489</v>
      </c>
      <c r="E76" s="875" t="s">
        <v>13</v>
      </c>
      <c r="F76" s="852">
        <v>50</v>
      </c>
      <c r="G76" s="1528"/>
      <c r="H76" s="622"/>
      <c r="I76" s="982"/>
      <c r="J76" s="622"/>
      <c r="K76" s="982"/>
      <c r="L76" s="459"/>
    </row>
    <row r="77" spans="1:12" s="224" customFormat="1" ht="15" customHeight="1" x14ac:dyDescent="0.25">
      <c r="A77" s="215">
        <v>43451</v>
      </c>
      <c r="B77" s="876" t="s">
        <v>103</v>
      </c>
      <c r="C77" s="350" t="s">
        <v>12</v>
      </c>
      <c r="D77" s="874" t="s">
        <v>1489</v>
      </c>
      <c r="E77" s="875" t="s">
        <v>13</v>
      </c>
      <c r="F77" s="852">
        <v>10</v>
      </c>
      <c r="G77" s="1528"/>
      <c r="H77" s="622"/>
      <c r="I77" s="982"/>
      <c r="J77" s="622"/>
      <c r="K77" s="982"/>
      <c r="L77" s="459"/>
    </row>
    <row r="78" spans="1:12" s="224" customFormat="1" ht="15" customHeight="1" x14ac:dyDescent="0.25">
      <c r="A78" s="215">
        <v>43452</v>
      </c>
      <c r="B78" s="876" t="s">
        <v>1331</v>
      </c>
      <c r="C78" s="350" t="s">
        <v>12</v>
      </c>
      <c r="D78" s="874" t="s">
        <v>1487</v>
      </c>
      <c r="E78" s="875" t="s">
        <v>15</v>
      </c>
      <c r="F78" s="852">
        <v>30</v>
      </c>
      <c r="G78" s="1528"/>
      <c r="H78" s="622"/>
      <c r="I78" s="982"/>
      <c r="J78" s="622"/>
      <c r="K78" s="982"/>
      <c r="L78" s="459"/>
    </row>
    <row r="79" spans="1:12" s="224" customFormat="1" x14ac:dyDescent="0.25">
      <c r="A79" s="215">
        <v>43452</v>
      </c>
      <c r="B79" s="349" t="s">
        <v>14</v>
      </c>
      <c r="C79" s="350" t="s">
        <v>12</v>
      </c>
      <c r="D79" s="350" t="s">
        <v>1486</v>
      </c>
      <c r="E79" s="480" t="s">
        <v>13</v>
      </c>
      <c r="F79" s="890">
        <v>9.67</v>
      </c>
      <c r="G79" s="888"/>
      <c r="H79" s="97"/>
      <c r="I79" s="946"/>
      <c r="J79" s="97"/>
      <c r="K79" s="946"/>
    </row>
    <row r="80" spans="1:12" s="224" customFormat="1" x14ac:dyDescent="0.25">
      <c r="A80" s="215">
        <v>43453</v>
      </c>
      <c r="B80" s="862" t="s">
        <v>32</v>
      </c>
      <c r="C80" s="352" t="s">
        <v>12</v>
      </c>
      <c r="D80" s="874" t="s">
        <v>1485</v>
      </c>
      <c r="E80" s="887" t="s">
        <v>13</v>
      </c>
      <c r="F80" s="890">
        <v>14</v>
      </c>
      <c r="G80" s="964"/>
      <c r="H80" s="622"/>
      <c r="I80" s="982"/>
      <c r="J80" s="622"/>
      <c r="K80" s="982"/>
    </row>
    <row r="81" spans="1:13" s="224" customFormat="1" ht="15" customHeight="1" x14ac:dyDescent="0.25">
      <c r="A81" s="215">
        <v>43453</v>
      </c>
      <c r="B81" s="349" t="s">
        <v>17</v>
      </c>
      <c r="C81" s="350" t="s">
        <v>12</v>
      </c>
      <c r="D81" s="350" t="s">
        <v>1493</v>
      </c>
      <c r="E81" s="480" t="s">
        <v>13</v>
      </c>
      <c r="F81" s="890">
        <v>4</v>
      </c>
      <c r="G81" s="1528"/>
      <c r="H81" s="622"/>
      <c r="I81" s="982"/>
      <c r="J81" s="622"/>
      <c r="K81" s="982"/>
    </row>
    <row r="82" spans="1:13" s="224" customFormat="1" ht="15" customHeight="1" x14ac:dyDescent="0.25">
      <c r="A82" s="215">
        <v>43453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890">
        <v>26.45</v>
      </c>
      <c r="G82" s="1528"/>
      <c r="H82" s="622"/>
      <c r="I82" s="982"/>
      <c r="J82" s="622"/>
      <c r="K82" s="982"/>
    </row>
    <row r="83" spans="1:13" x14ac:dyDescent="0.25">
      <c r="A83" s="215">
        <v>43454</v>
      </c>
      <c r="B83" s="349" t="s">
        <v>336</v>
      </c>
      <c r="C83" s="350" t="s">
        <v>12</v>
      </c>
      <c r="D83" s="145"/>
      <c r="E83" s="145" t="s">
        <v>25</v>
      </c>
      <c r="F83" s="1530"/>
      <c r="G83" s="965">
        <v>1437.68</v>
      </c>
      <c r="H83" s="97"/>
      <c r="I83" s="946"/>
      <c r="J83" s="97"/>
      <c r="K83" s="946"/>
    </row>
    <row r="84" spans="1:13" s="224" customFormat="1" ht="15.75" customHeight="1" x14ac:dyDescent="0.25">
      <c r="A84" s="215">
        <v>43454</v>
      </c>
      <c r="B84" s="882" t="s">
        <v>2067</v>
      </c>
      <c r="C84" s="879" t="s">
        <v>12</v>
      </c>
      <c r="D84" s="879" t="s">
        <v>1499</v>
      </c>
      <c r="E84" s="871" t="s">
        <v>13</v>
      </c>
      <c r="F84" s="853">
        <v>81.38</v>
      </c>
      <c r="G84" s="968"/>
      <c r="H84" s="538"/>
      <c r="I84" s="982"/>
      <c r="J84" s="622"/>
      <c r="K84" s="982"/>
      <c r="L84" s="3133" t="s">
        <v>2068</v>
      </c>
      <c r="M84" s="3134"/>
    </row>
    <row r="85" spans="1:13" s="224" customFormat="1" x14ac:dyDescent="0.25">
      <c r="A85" s="215">
        <v>43454</v>
      </c>
      <c r="B85" s="873" t="s">
        <v>1564</v>
      </c>
      <c r="C85" s="879" t="s">
        <v>12</v>
      </c>
      <c r="D85" s="350" t="s">
        <v>1491</v>
      </c>
      <c r="E85" s="871" t="s">
        <v>15</v>
      </c>
      <c r="F85" s="853">
        <v>130</v>
      </c>
      <c r="G85" s="964"/>
      <c r="H85" s="622"/>
      <c r="I85" s="982"/>
      <c r="J85" s="622"/>
      <c r="K85" s="982"/>
    </row>
    <row r="86" spans="1:13" s="224" customFormat="1" x14ac:dyDescent="0.25">
      <c r="A86" s="215">
        <v>43454</v>
      </c>
      <c r="B86" s="862" t="s">
        <v>32</v>
      </c>
      <c r="C86" s="352" t="s">
        <v>12</v>
      </c>
      <c r="D86" s="874" t="s">
        <v>1485</v>
      </c>
      <c r="E86" s="887" t="s">
        <v>13</v>
      </c>
      <c r="F86" s="890">
        <v>14</v>
      </c>
      <c r="G86" s="964"/>
      <c r="H86" s="622"/>
      <c r="I86" s="982"/>
      <c r="J86" s="622"/>
      <c r="K86" s="982"/>
    </row>
    <row r="87" spans="1:13" s="224" customFormat="1" ht="15" customHeight="1" x14ac:dyDescent="0.25">
      <c r="A87" s="215">
        <v>43454</v>
      </c>
      <c r="B87" s="349" t="s">
        <v>260</v>
      </c>
      <c r="C87" s="350"/>
      <c r="D87" s="350"/>
      <c r="E87" s="480"/>
      <c r="F87" s="852">
        <v>1000</v>
      </c>
      <c r="G87" s="1527"/>
      <c r="H87" s="97"/>
      <c r="I87" s="946">
        <v>1000</v>
      </c>
      <c r="J87" s="97"/>
      <c r="K87" s="946"/>
    </row>
    <row r="88" spans="1:13" s="224" customFormat="1" x14ac:dyDescent="0.25">
      <c r="A88" s="215">
        <v>43454</v>
      </c>
      <c r="B88" s="364" t="s">
        <v>311</v>
      </c>
      <c r="C88" s="350"/>
      <c r="D88" s="350"/>
      <c r="E88" s="480"/>
      <c r="F88" s="827"/>
      <c r="G88" s="888"/>
      <c r="H88" s="97"/>
      <c r="I88" s="946">
        <v>4.08</v>
      </c>
      <c r="J88" s="97"/>
      <c r="K88" s="946"/>
    </row>
    <row r="89" spans="1:13" s="224" customFormat="1" ht="15" customHeight="1" x14ac:dyDescent="0.25">
      <c r="A89" s="215">
        <v>43454</v>
      </c>
      <c r="B89" s="364" t="s">
        <v>1597</v>
      </c>
      <c r="C89" s="350" t="s">
        <v>12</v>
      </c>
      <c r="D89" s="350" t="s">
        <v>1491</v>
      </c>
      <c r="E89" s="480" t="s">
        <v>15</v>
      </c>
      <c r="F89" s="622">
        <v>80</v>
      </c>
      <c r="G89" s="1063"/>
      <c r="H89" s="853"/>
      <c r="I89" s="982"/>
      <c r="J89" s="622"/>
      <c r="K89" s="982"/>
    </row>
    <row r="90" spans="1:13" s="224" customFormat="1" x14ac:dyDescent="0.25">
      <c r="A90" s="215">
        <v>43454</v>
      </c>
      <c r="B90" s="876" t="s">
        <v>2069</v>
      </c>
      <c r="C90" s="350" t="s">
        <v>12</v>
      </c>
      <c r="D90" s="874" t="s">
        <v>1489</v>
      </c>
      <c r="E90" s="875" t="s">
        <v>15</v>
      </c>
      <c r="F90" s="893">
        <v>117</v>
      </c>
      <c r="G90" s="964"/>
      <c r="H90" s="622"/>
      <c r="I90" s="982"/>
      <c r="J90" s="622"/>
      <c r="K90" s="982"/>
      <c r="L90" s="178"/>
    </row>
    <row r="91" spans="1:13" s="224" customFormat="1" ht="15" customHeight="1" x14ac:dyDescent="0.25">
      <c r="A91" s="215">
        <v>43455</v>
      </c>
      <c r="B91" s="862" t="s">
        <v>2070</v>
      </c>
      <c r="C91" s="879" t="s">
        <v>12</v>
      </c>
      <c r="D91" s="879"/>
      <c r="E91" s="778" t="s">
        <v>25</v>
      </c>
      <c r="F91" s="137"/>
      <c r="G91" s="965">
        <v>4408</v>
      </c>
      <c r="H91" s="97"/>
      <c r="I91" s="946"/>
      <c r="J91" s="97"/>
      <c r="K91" s="946"/>
    </row>
    <row r="92" spans="1:13" s="224" customFormat="1" x14ac:dyDescent="0.25">
      <c r="A92" s="215">
        <v>43456</v>
      </c>
      <c r="B92" s="862" t="s">
        <v>32</v>
      </c>
      <c r="C92" s="352" t="s">
        <v>12</v>
      </c>
      <c r="D92" s="874" t="s">
        <v>1485</v>
      </c>
      <c r="E92" s="887" t="s">
        <v>15</v>
      </c>
      <c r="F92" s="890">
        <v>11</v>
      </c>
      <c r="G92" s="964"/>
      <c r="H92" s="622"/>
      <c r="I92" s="982"/>
      <c r="J92" s="622"/>
      <c r="K92" s="982"/>
    </row>
    <row r="93" spans="1:13" s="224" customFormat="1" ht="15" customHeight="1" x14ac:dyDescent="0.25">
      <c r="A93" s="215">
        <v>43456</v>
      </c>
      <c r="B93" s="876" t="s">
        <v>1331</v>
      </c>
      <c r="C93" s="350" t="s">
        <v>12</v>
      </c>
      <c r="D93" s="874" t="s">
        <v>1487</v>
      </c>
      <c r="E93" s="875" t="s">
        <v>15</v>
      </c>
      <c r="F93" s="852">
        <v>50</v>
      </c>
      <c r="G93" s="1528"/>
      <c r="H93" s="622"/>
      <c r="I93" s="982"/>
      <c r="J93" s="622"/>
      <c r="K93" s="982"/>
      <c r="L93" s="459"/>
    </row>
    <row r="94" spans="1:13" s="224" customFormat="1" ht="15" customHeight="1" x14ac:dyDescent="0.25">
      <c r="A94" s="215">
        <v>43456</v>
      </c>
      <c r="B94" s="349" t="s">
        <v>1438</v>
      </c>
      <c r="C94" s="350" t="s">
        <v>12</v>
      </c>
      <c r="D94" s="350" t="s">
        <v>1489</v>
      </c>
      <c r="E94" s="480" t="s">
        <v>13</v>
      </c>
      <c r="F94" s="852">
        <v>65</v>
      </c>
      <c r="G94" s="1528"/>
      <c r="H94" s="622"/>
      <c r="I94" s="982"/>
      <c r="J94" s="622"/>
      <c r="K94" s="982"/>
    </row>
    <row r="95" spans="1:13" s="224" customFormat="1" ht="15" customHeight="1" x14ac:dyDescent="0.25">
      <c r="A95" s="215">
        <v>43456</v>
      </c>
      <c r="B95" s="349" t="s">
        <v>2071</v>
      </c>
      <c r="C95" s="350" t="s">
        <v>12</v>
      </c>
      <c r="D95" s="350" t="s">
        <v>1489</v>
      </c>
      <c r="E95" s="480" t="s">
        <v>15</v>
      </c>
      <c r="F95" s="852">
        <v>7</v>
      </c>
      <c r="G95" s="1528"/>
      <c r="H95" s="622"/>
      <c r="I95" s="982"/>
      <c r="J95" s="622"/>
      <c r="K95" s="982"/>
    </row>
    <row r="96" spans="1:13" s="224" customFormat="1" ht="15" customHeight="1" x14ac:dyDescent="0.25">
      <c r="A96" s="215">
        <v>43457</v>
      </c>
      <c r="B96" s="349" t="s">
        <v>14</v>
      </c>
      <c r="C96" s="350" t="s">
        <v>12</v>
      </c>
      <c r="D96" s="350" t="s">
        <v>1486</v>
      </c>
      <c r="E96" s="480" t="s">
        <v>13</v>
      </c>
      <c r="F96" s="890">
        <v>3.31</v>
      </c>
      <c r="G96" s="1528"/>
      <c r="H96" s="622"/>
      <c r="I96" s="982"/>
      <c r="J96" s="622"/>
      <c r="K96" s="982"/>
    </row>
    <row r="97" spans="1:12" s="224" customFormat="1" ht="15" customHeight="1" x14ac:dyDescent="0.25">
      <c r="A97" s="215">
        <v>43457</v>
      </c>
      <c r="B97" s="349" t="s">
        <v>14</v>
      </c>
      <c r="C97" s="350" t="s">
        <v>12</v>
      </c>
      <c r="D97" s="350" t="s">
        <v>1486</v>
      </c>
      <c r="E97" s="480" t="s">
        <v>13</v>
      </c>
      <c r="F97" s="890">
        <v>3.65</v>
      </c>
      <c r="G97" s="1528"/>
      <c r="H97" s="622"/>
      <c r="I97" s="982"/>
      <c r="J97" s="622"/>
      <c r="K97" s="982"/>
    </row>
    <row r="98" spans="1:12" s="224" customFormat="1" x14ac:dyDescent="0.25">
      <c r="A98" s="215">
        <v>43458</v>
      </c>
      <c r="B98" s="862" t="s">
        <v>2001</v>
      </c>
      <c r="C98" s="350" t="s">
        <v>12</v>
      </c>
      <c r="D98" s="874" t="s">
        <v>1504</v>
      </c>
      <c r="E98" s="887" t="s">
        <v>13</v>
      </c>
      <c r="F98" s="853">
        <v>68.92</v>
      </c>
      <c r="G98" s="965"/>
      <c r="H98" s="97"/>
      <c r="I98" s="946"/>
      <c r="J98" s="97"/>
      <c r="K98" s="946"/>
    </row>
    <row r="99" spans="1:12" s="224" customFormat="1" x14ac:dyDescent="0.25">
      <c r="A99" s="215">
        <v>43458</v>
      </c>
      <c r="B99" s="876" t="s">
        <v>2072</v>
      </c>
      <c r="C99" s="350" t="s">
        <v>12</v>
      </c>
      <c r="D99" s="874" t="s">
        <v>1522</v>
      </c>
      <c r="E99" s="875" t="s">
        <v>13</v>
      </c>
      <c r="F99" s="893">
        <v>25</v>
      </c>
      <c r="G99" s="964"/>
      <c r="H99" s="622"/>
      <c r="I99" s="982"/>
      <c r="J99" s="622"/>
      <c r="K99" s="982"/>
    </row>
    <row r="100" spans="1:12" s="224" customFormat="1" x14ac:dyDescent="0.25">
      <c r="A100" s="215">
        <v>43458</v>
      </c>
      <c r="B100" s="876" t="s">
        <v>2073</v>
      </c>
      <c r="C100" s="350" t="s">
        <v>19</v>
      </c>
      <c r="D100" s="874" t="s">
        <v>1523</v>
      </c>
      <c r="E100" s="875" t="s">
        <v>13</v>
      </c>
      <c r="F100" s="893">
        <v>120.63</v>
      </c>
      <c r="G100" s="964"/>
      <c r="H100" s="622"/>
      <c r="I100" s="982"/>
      <c r="J100" s="622"/>
      <c r="K100" s="982"/>
    </row>
    <row r="101" spans="1:12" s="224" customFormat="1" ht="15" customHeight="1" x14ac:dyDescent="0.25">
      <c r="A101" s="215">
        <v>43458</v>
      </c>
      <c r="B101" s="876" t="s">
        <v>1331</v>
      </c>
      <c r="C101" s="350" t="s">
        <v>12</v>
      </c>
      <c r="D101" s="874" t="s">
        <v>1487</v>
      </c>
      <c r="E101" s="875" t="s">
        <v>13</v>
      </c>
      <c r="F101" s="852">
        <v>50</v>
      </c>
      <c r="G101" s="1528"/>
      <c r="H101" s="622"/>
      <c r="I101" s="982"/>
      <c r="J101" s="622"/>
      <c r="K101" s="982"/>
      <c r="L101" s="459"/>
    </row>
    <row r="102" spans="1:12" s="224" customFormat="1" x14ac:dyDescent="0.25">
      <c r="A102" s="215">
        <v>43458</v>
      </c>
      <c r="B102" s="876" t="s">
        <v>32</v>
      </c>
      <c r="C102" s="350" t="s">
        <v>12</v>
      </c>
      <c r="D102" s="874" t="s">
        <v>1485</v>
      </c>
      <c r="E102" s="875" t="s">
        <v>15</v>
      </c>
      <c r="F102" s="893">
        <v>21</v>
      </c>
      <c r="G102" s="964"/>
      <c r="H102" s="622"/>
      <c r="I102" s="982"/>
      <c r="J102" s="622"/>
      <c r="K102" s="982"/>
    </row>
    <row r="103" spans="1:12" s="224" customFormat="1" ht="15" customHeight="1" x14ac:dyDescent="0.25">
      <c r="A103" s="215">
        <v>43459</v>
      </c>
      <c r="B103" s="349" t="s">
        <v>14</v>
      </c>
      <c r="C103" s="350" t="s">
        <v>12</v>
      </c>
      <c r="D103" s="350" t="s">
        <v>1486</v>
      </c>
      <c r="E103" s="480" t="s">
        <v>13</v>
      </c>
      <c r="F103" s="890">
        <v>6</v>
      </c>
      <c r="G103" s="1528"/>
      <c r="H103" s="622"/>
      <c r="I103" s="982"/>
      <c r="J103" s="622"/>
      <c r="K103" s="982"/>
    </row>
    <row r="104" spans="1:12" s="224" customFormat="1" x14ac:dyDescent="0.25">
      <c r="A104" s="215">
        <v>43460</v>
      </c>
      <c r="B104" s="876" t="s">
        <v>1331</v>
      </c>
      <c r="C104" s="350" t="s">
        <v>12</v>
      </c>
      <c r="D104" s="874" t="s">
        <v>1487</v>
      </c>
      <c r="E104" s="875" t="s">
        <v>13</v>
      </c>
      <c r="F104" s="852">
        <v>40</v>
      </c>
      <c r="G104" s="964"/>
      <c r="H104" s="622"/>
      <c r="I104" s="982"/>
      <c r="J104" s="622"/>
      <c r="K104" s="982"/>
    </row>
    <row r="105" spans="1:12" s="224" customFormat="1" x14ac:dyDescent="0.25">
      <c r="A105" s="215">
        <v>43461</v>
      </c>
      <c r="B105" s="349" t="s">
        <v>14</v>
      </c>
      <c r="C105" s="350" t="s">
        <v>12</v>
      </c>
      <c r="D105" s="350" t="s">
        <v>1486</v>
      </c>
      <c r="E105" s="480" t="s">
        <v>13</v>
      </c>
      <c r="F105" s="890">
        <v>8.2200000000000006</v>
      </c>
      <c r="G105" s="964"/>
      <c r="H105" s="622"/>
      <c r="I105" s="982"/>
      <c r="J105" s="622"/>
      <c r="K105" s="982"/>
    </row>
    <row r="106" spans="1:12" s="224" customFormat="1" x14ac:dyDescent="0.25">
      <c r="A106" s="215">
        <v>43461</v>
      </c>
      <c r="B106" s="876" t="s">
        <v>2074</v>
      </c>
      <c r="C106" s="350" t="s">
        <v>12</v>
      </c>
      <c r="D106" s="874" t="s">
        <v>1489</v>
      </c>
      <c r="E106" s="875" t="s">
        <v>13</v>
      </c>
      <c r="F106" s="893">
        <v>6</v>
      </c>
      <c r="G106" s="964"/>
      <c r="H106" s="622"/>
      <c r="I106" s="982"/>
      <c r="J106" s="622"/>
      <c r="K106" s="982"/>
    </row>
    <row r="107" spans="1:12" s="224" customFormat="1" x14ac:dyDescent="0.25">
      <c r="A107" s="215">
        <v>43462</v>
      </c>
      <c r="B107" s="876" t="s">
        <v>103</v>
      </c>
      <c r="C107" s="350" t="s">
        <v>12</v>
      </c>
      <c r="D107" s="874" t="s">
        <v>1489</v>
      </c>
      <c r="E107" s="875" t="s">
        <v>13</v>
      </c>
      <c r="F107" s="893">
        <v>11</v>
      </c>
      <c r="G107" s="964"/>
      <c r="H107" s="622"/>
      <c r="I107" s="982"/>
      <c r="J107" s="622"/>
      <c r="K107" s="982"/>
    </row>
    <row r="108" spans="1:12" s="224" customFormat="1" x14ac:dyDescent="0.25">
      <c r="A108" s="215">
        <v>43462</v>
      </c>
      <c r="B108" s="349" t="s">
        <v>2075</v>
      </c>
      <c r="C108" s="350" t="s">
        <v>12</v>
      </c>
      <c r="D108" s="802" t="s">
        <v>1489</v>
      </c>
      <c r="E108" s="778" t="s">
        <v>13</v>
      </c>
      <c r="F108" s="891">
        <v>15</v>
      </c>
      <c r="G108" s="964"/>
      <c r="H108" s="622"/>
      <c r="I108" s="1002"/>
      <c r="J108" s="622"/>
      <c r="K108" s="1002"/>
    </row>
    <row r="109" spans="1:12" s="224" customFormat="1" ht="15" customHeight="1" x14ac:dyDescent="0.25">
      <c r="A109" s="215">
        <v>43462</v>
      </c>
      <c r="B109" s="862" t="s">
        <v>256</v>
      </c>
      <c r="C109" s="879"/>
      <c r="D109" s="879"/>
      <c r="E109" s="871"/>
      <c r="F109" s="97"/>
      <c r="G109" s="1064">
        <v>404.08</v>
      </c>
      <c r="H109" s="97">
        <v>404.08</v>
      </c>
      <c r="I109" s="982"/>
      <c r="J109" s="622"/>
      <c r="K109" s="982"/>
    </row>
    <row r="110" spans="1:12" s="224" customFormat="1" ht="14.25" customHeight="1" x14ac:dyDescent="0.25">
      <c r="A110" s="215">
        <v>43462</v>
      </c>
      <c r="B110" s="862" t="s">
        <v>2076</v>
      </c>
      <c r="C110" s="350" t="s">
        <v>19</v>
      </c>
      <c r="D110" s="879" t="s">
        <v>1506</v>
      </c>
      <c r="E110" s="871" t="s">
        <v>13</v>
      </c>
      <c r="F110" s="827">
        <v>351.2</v>
      </c>
      <c r="G110" s="673"/>
      <c r="H110" s="622"/>
      <c r="I110" s="982"/>
      <c r="J110" s="622"/>
      <c r="K110" s="982"/>
    </row>
    <row r="111" spans="1:12" s="224" customFormat="1" x14ac:dyDescent="0.25">
      <c r="A111" s="215">
        <v>43462</v>
      </c>
      <c r="B111" s="876" t="s">
        <v>103</v>
      </c>
      <c r="C111" s="350" t="s">
        <v>12</v>
      </c>
      <c r="D111" s="874" t="s">
        <v>1489</v>
      </c>
      <c r="E111" s="875" t="s">
        <v>13</v>
      </c>
      <c r="F111" s="893">
        <v>11</v>
      </c>
      <c r="G111" s="964"/>
      <c r="H111" s="622"/>
      <c r="I111" s="982"/>
      <c r="J111" s="622"/>
      <c r="K111" s="982"/>
    </row>
    <row r="112" spans="1:12" s="224" customFormat="1" ht="14.25" customHeight="1" x14ac:dyDescent="0.25">
      <c r="A112" s="215">
        <v>43462</v>
      </c>
      <c r="B112" s="876" t="s">
        <v>2077</v>
      </c>
      <c r="C112" s="350" t="s">
        <v>12</v>
      </c>
      <c r="D112" s="874" t="s">
        <v>1487</v>
      </c>
      <c r="E112" s="875" t="s">
        <v>13</v>
      </c>
      <c r="F112" s="852">
        <v>120</v>
      </c>
      <c r="G112" s="673"/>
      <c r="H112" s="622"/>
      <c r="I112" s="982"/>
      <c r="J112" s="622"/>
      <c r="K112" s="982"/>
    </row>
    <row r="113" spans="1:11" s="224" customFormat="1" ht="14.25" customHeight="1" x14ac:dyDescent="0.25">
      <c r="A113" s="215">
        <v>43463</v>
      </c>
      <c r="B113" s="876" t="s">
        <v>2077</v>
      </c>
      <c r="C113" s="350" t="s">
        <v>12</v>
      </c>
      <c r="D113" s="874" t="s">
        <v>1487</v>
      </c>
      <c r="E113" s="875" t="s">
        <v>13</v>
      </c>
      <c r="F113" s="852">
        <v>104.97</v>
      </c>
      <c r="G113" s="673"/>
      <c r="H113" s="622"/>
      <c r="I113" s="982"/>
      <c r="J113" s="622"/>
      <c r="K113" s="982"/>
    </row>
    <row r="114" spans="1:11" s="224" customFormat="1" ht="14.25" customHeight="1" x14ac:dyDescent="0.25">
      <c r="A114" s="215">
        <v>43463</v>
      </c>
      <c r="B114" s="876" t="s">
        <v>2077</v>
      </c>
      <c r="C114" s="350" t="s">
        <v>12</v>
      </c>
      <c r="D114" s="874" t="s">
        <v>1487</v>
      </c>
      <c r="E114" s="875" t="s">
        <v>13</v>
      </c>
      <c r="F114" s="852">
        <v>39.590000000000003</v>
      </c>
      <c r="G114" s="673"/>
      <c r="H114" s="622"/>
      <c r="I114" s="982"/>
      <c r="J114" s="622"/>
      <c r="K114" s="982"/>
    </row>
    <row r="115" spans="1:11" s="224" customFormat="1" ht="15" customHeight="1" x14ac:dyDescent="0.25">
      <c r="A115" s="215">
        <v>43463</v>
      </c>
      <c r="B115" s="364" t="s">
        <v>2078</v>
      </c>
      <c r="C115" s="350" t="s">
        <v>12</v>
      </c>
      <c r="D115" s="350" t="s">
        <v>1485</v>
      </c>
      <c r="E115" s="480" t="s">
        <v>13</v>
      </c>
      <c r="F115" s="853">
        <v>19</v>
      </c>
      <c r="G115" s="964"/>
      <c r="H115" s="622"/>
      <c r="I115" s="982"/>
      <c r="J115" s="622"/>
      <c r="K115" s="982"/>
    </row>
    <row r="116" spans="1:11" s="224" customFormat="1" ht="15" customHeight="1" x14ac:dyDescent="0.25">
      <c r="A116" s="215">
        <v>43463</v>
      </c>
      <c r="B116" s="364" t="s">
        <v>2079</v>
      </c>
      <c r="C116" s="350" t="s">
        <v>12</v>
      </c>
      <c r="D116" s="350" t="s">
        <v>1493</v>
      </c>
      <c r="E116" s="480" t="s">
        <v>15</v>
      </c>
      <c r="F116" s="853">
        <v>10</v>
      </c>
      <c r="G116" s="964"/>
      <c r="H116" s="622"/>
      <c r="I116" s="982"/>
      <c r="J116" s="622"/>
      <c r="K116" s="982"/>
    </row>
    <row r="117" spans="1:11" s="224" customFormat="1" ht="15" customHeight="1" x14ac:dyDescent="0.25">
      <c r="A117" s="215">
        <v>43464</v>
      </c>
      <c r="B117" s="364" t="s">
        <v>2080</v>
      </c>
      <c r="C117" s="350" t="s">
        <v>12</v>
      </c>
      <c r="D117" s="350" t="s">
        <v>1523</v>
      </c>
      <c r="E117" s="480" t="s">
        <v>13</v>
      </c>
      <c r="F117" s="853">
        <v>8</v>
      </c>
      <c r="G117" s="964"/>
      <c r="H117" s="622"/>
      <c r="I117" s="982"/>
      <c r="J117" s="622"/>
      <c r="K117" s="982"/>
    </row>
    <row r="118" spans="1:11" s="224" customFormat="1" ht="14.25" customHeight="1" x14ac:dyDescent="0.25">
      <c r="A118" s="215">
        <v>43464</v>
      </c>
      <c r="B118" s="876" t="s">
        <v>2077</v>
      </c>
      <c r="C118" s="350" t="s">
        <v>12</v>
      </c>
      <c r="D118" s="874" t="s">
        <v>1487</v>
      </c>
      <c r="E118" s="875" t="s">
        <v>13</v>
      </c>
      <c r="F118" s="852">
        <v>76.02</v>
      </c>
      <c r="G118" s="673"/>
      <c r="H118" s="622"/>
      <c r="I118" s="982"/>
      <c r="J118" s="622"/>
      <c r="K118" s="982"/>
    </row>
    <row r="119" spans="1:11" s="224" customFormat="1" x14ac:dyDescent="0.25">
      <c r="A119" s="215">
        <v>43464</v>
      </c>
      <c r="B119" s="364" t="s">
        <v>2078</v>
      </c>
      <c r="C119" s="350" t="s">
        <v>12</v>
      </c>
      <c r="D119" s="874" t="s">
        <v>1485</v>
      </c>
      <c r="E119" s="875" t="s">
        <v>13</v>
      </c>
      <c r="F119" s="893">
        <v>20.9</v>
      </c>
      <c r="G119" s="964"/>
      <c r="H119" s="622"/>
      <c r="I119" s="982"/>
      <c r="J119" s="622"/>
      <c r="K119" s="982"/>
    </row>
    <row r="120" spans="1:11" s="224" customFormat="1" ht="15" customHeight="1" x14ac:dyDescent="0.25">
      <c r="A120" s="215">
        <v>43464</v>
      </c>
      <c r="B120" s="364" t="s">
        <v>2081</v>
      </c>
      <c r="C120" s="350" t="s">
        <v>12</v>
      </c>
      <c r="D120" s="350" t="s">
        <v>1506</v>
      </c>
      <c r="E120" s="480" t="s">
        <v>13</v>
      </c>
      <c r="F120" s="853">
        <v>20</v>
      </c>
      <c r="G120" s="964"/>
      <c r="H120" s="622"/>
      <c r="I120" s="982"/>
      <c r="J120" s="622"/>
      <c r="K120" s="982"/>
    </row>
    <row r="121" spans="1:11" s="224" customFormat="1" ht="15" customHeight="1" x14ac:dyDescent="0.25">
      <c r="A121" s="215">
        <v>43464</v>
      </c>
      <c r="B121" s="364" t="s">
        <v>2082</v>
      </c>
      <c r="C121" s="350" t="s">
        <v>12</v>
      </c>
      <c r="D121" s="350" t="s">
        <v>1506</v>
      </c>
      <c r="E121" s="480" t="s">
        <v>13</v>
      </c>
      <c r="F121" s="853">
        <v>25</v>
      </c>
      <c r="G121" s="964"/>
      <c r="H121" s="622"/>
      <c r="I121" s="982"/>
      <c r="J121" s="622"/>
      <c r="K121" s="982"/>
    </row>
    <row r="122" spans="1:11" s="224" customFormat="1" ht="15" customHeight="1" x14ac:dyDescent="0.25">
      <c r="A122" s="215">
        <v>43464</v>
      </c>
      <c r="B122" s="364" t="s">
        <v>2083</v>
      </c>
      <c r="C122" s="350" t="s">
        <v>12</v>
      </c>
      <c r="D122" s="350" t="s">
        <v>1493</v>
      </c>
      <c r="E122" s="480" t="s">
        <v>15</v>
      </c>
      <c r="F122" s="853">
        <v>10</v>
      </c>
      <c r="G122" s="964"/>
      <c r="H122" s="622"/>
      <c r="I122" s="982"/>
      <c r="J122" s="622"/>
      <c r="K122" s="982"/>
    </row>
    <row r="123" spans="1:11" s="224" customFormat="1" ht="15" customHeight="1" x14ac:dyDescent="0.25">
      <c r="A123" s="215">
        <v>43464</v>
      </c>
      <c r="B123" s="364" t="s">
        <v>14</v>
      </c>
      <c r="C123" s="350" t="s">
        <v>12</v>
      </c>
      <c r="D123" s="350" t="s">
        <v>1486</v>
      </c>
      <c r="E123" s="480" t="s">
        <v>13</v>
      </c>
      <c r="F123" s="853">
        <v>12.84</v>
      </c>
      <c r="G123" s="964"/>
      <c r="H123" s="622"/>
      <c r="I123" s="982"/>
      <c r="J123" s="622"/>
      <c r="K123" s="982"/>
    </row>
    <row r="124" spans="1:11" s="224" customFormat="1" ht="15" customHeight="1" x14ac:dyDescent="0.25">
      <c r="A124" s="215">
        <v>43464</v>
      </c>
      <c r="B124" s="364" t="s">
        <v>14</v>
      </c>
      <c r="C124" s="350" t="s">
        <v>12</v>
      </c>
      <c r="D124" s="350" t="s">
        <v>1486</v>
      </c>
      <c r="E124" s="480" t="s">
        <v>13</v>
      </c>
      <c r="F124" s="853">
        <v>8.5</v>
      </c>
      <c r="G124" s="964"/>
      <c r="H124" s="622"/>
      <c r="I124" s="982"/>
      <c r="J124" s="622"/>
      <c r="K124" s="982"/>
    </row>
    <row r="125" spans="1:11" s="224" customFormat="1" ht="15" customHeight="1" x14ac:dyDescent="0.25">
      <c r="A125" s="215">
        <v>43464</v>
      </c>
      <c r="B125" s="364" t="s">
        <v>2084</v>
      </c>
      <c r="C125" s="350" t="s">
        <v>12</v>
      </c>
      <c r="D125" s="350" t="s">
        <v>1493</v>
      </c>
      <c r="E125" s="480" t="s">
        <v>13</v>
      </c>
      <c r="F125" s="853">
        <v>18.95</v>
      </c>
      <c r="G125" s="964"/>
      <c r="H125" s="622"/>
      <c r="I125" s="982"/>
      <c r="J125" s="622"/>
      <c r="K125" s="982"/>
    </row>
    <row r="126" spans="1:11" s="224" customFormat="1" ht="15" customHeight="1" x14ac:dyDescent="0.25">
      <c r="A126" s="215">
        <v>43464</v>
      </c>
      <c r="B126" s="862" t="s">
        <v>256</v>
      </c>
      <c r="C126" s="879"/>
      <c r="D126" s="879"/>
      <c r="E126" s="871"/>
      <c r="F126" s="97"/>
      <c r="G126" s="1064">
        <v>200</v>
      </c>
      <c r="H126" s="97">
        <v>200</v>
      </c>
      <c r="I126" s="982"/>
      <c r="J126" s="622"/>
      <c r="K126" s="982"/>
    </row>
    <row r="127" spans="1:11" s="224" customFormat="1" ht="15" customHeight="1" x14ac:dyDescent="0.25">
      <c r="A127" s="215">
        <v>43465</v>
      </c>
      <c r="B127" s="364" t="s">
        <v>2085</v>
      </c>
      <c r="C127" s="350" t="s">
        <v>12</v>
      </c>
      <c r="D127" s="350" t="s">
        <v>1523</v>
      </c>
      <c r="E127" s="480" t="s">
        <v>13</v>
      </c>
      <c r="F127" s="853">
        <v>36</v>
      </c>
      <c r="G127" s="964"/>
      <c r="H127" s="622"/>
      <c r="I127" s="982"/>
      <c r="J127" s="622"/>
      <c r="K127" s="982"/>
    </row>
    <row r="128" spans="1:11" s="224" customFormat="1" ht="15" customHeight="1" x14ac:dyDescent="0.25">
      <c r="A128" s="215">
        <v>43465</v>
      </c>
      <c r="B128" s="364" t="s">
        <v>2086</v>
      </c>
      <c r="C128" s="350" t="s">
        <v>12</v>
      </c>
      <c r="D128" s="874" t="s">
        <v>1489</v>
      </c>
      <c r="E128" s="875" t="s">
        <v>15</v>
      </c>
      <c r="F128" s="893">
        <v>8</v>
      </c>
      <c r="G128" s="964"/>
      <c r="H128" s="622"/>
      <c r="I128" s="982"/>
      <c r="J128" s="622"/>
      <c r="K128" s="982"/>
    </row>
    <row r="129" spans="1:12" s="224" customFormat="1" ht="15" customHeight="1" x14ac:dyDescent="0.25">
      <c r="A129" s="215">
        <v>43465</v>
      </c>
      <c r="B129" s="364" t="s">
        <v>2078</v>
      </c>
      <c r="C129" s="350" t="s">
        <v>12</v>
      </c>
      <c r="D129" s="874" t="s">
        <v>1485</v>
      </c>
      <c r="E129" s="875" t="s">
        <v>13</v>
      </c>
      <c r="F129" s="893">
        <v>30</v>
      </c>
      <c r="G129" s="964"/>
      <c r="H129" s="622"/>
      <c r="I129" s="982"/>
      <c r="J129" s="622"/>
      <c r="K129" s="982"/>
    </row>
    <row r="130" spans="1:12" s="224" customFormat="1" ht="15" customHeight="1" x14ac:dyDescent="0.25">
      <c r="A130" s="215">
        <v>43465</v>
      </c>
      <c r="B130" s="364" t="s">
        <v>2087</v>
      </c>
      <c r="C130" s="350" t="s">
        <v>12</v>
      </c>
      <c r="D130" s="350" t="s">
        <v>1489</v>
      </c>
      <c r="E130" s="480" t="s">
        <v>13</v>
      </c>
      <c r="F130" s="853">
        <v>50</v>
      </c>
      <c r="G130" s="964"/>
      <c r="H130" s="622"/>
      <c r="I130" s="982"/>
      <c r="J130" s="622"/>
      <c r="K130" s="982"/>
    </row>
    <row r="131" spans="1:12" s="224" customFormat="1" ht="15" customHeight="1" x14ac:dyDescent="0.25">
      <c r="A131" s="215">
        <v>43465</v>
      </c>
      <c r="B131" s="364" t="s">
        <v>2088</v>
      </c>
      <c r="C131" s="350" t="s">
        <v>12</v>
      </c>
      <c r="D131" s="350" t="s">
        <v>1523</v>
      </c>
      <c r="E131" s="480" t="s">
        <v>15</v>
      </c>
      <c r="F131" s="853">
        <v>15</v>
      </c>
      <c r="G131" s="964"/>
      <c r="H131" s="622"/>
      <c r="I131" s="982"/>
      <c r="J131" s="622"/>
      <c r="K131" s="982"/>
    </row>
    <row r="132" spans="1:12" s="224" customFormat="1" x14ac:dyDescent="0.25">
      <c r="A132" s="215">
        <v>43465</v>
      </c>
      <c r="B132" s="862" t="s">
        <v>1666</v>
      </c>
      <c r="C132" s="350" t="s">
        <v>12</v>
      </c>
      <c r="D132" s="350"/>
      <c r="E132" s="480" t="s">
        <v>25</v>
      </c>
      <c r="F132" s="853"/>
      <c r="G132" s="964"/>
      <c r="H132" s="622"/>
      <c r="I132" s="982"/>
      <c r="J132" s="622"/>
      <c r="K132" s="982">
        <v>66</v>
      </c>
    </row>
    <row r="133" spans="1:12" s="224" customFormat="1" ht="15" customHeight="1" thickBot="1" x14ac:dyDescent="0.3">
      <c r="A133" s="215">
        <v>43465</v>
      </c>
      <c r="B133" s="862" t="s">
        <v>1710</v>
      </c>
      <c r="C133" s="879" t="s">
        <v>12</v>
      </c>
      <c r="D133" s="879" t="s">
        <v>1504</v>
      </c>
      <c r="E133" s="871" t="s">
        <v>13</v>
      </c>
      <c r="F133" s="894">
        <v>27.9</v>
      </c>
      <c r="G133" s="965"/>
      <c r="H133" s="97"/>
      <c r="I133" s="946"/>
      <c r="J133" s="97"/>
      <c r="K133" s="946"/>
    </row>
    <row r="134" spans="1:12" ht="25.5" customHeight="1" thickBot="1" x14ac:dyDescent="0.3">
      <c r="A134" s="3060"/>
      <c r="B134" s="3061"/>
      <c r="C134" s="3062"/>
      <c r="D134" s="3062"/>
      <c r="E134" s="3062"/>
      <c r="F134" s="100">
        <f>SUM(F6:F133)</f>
        <v>6676.6399999999994</v>
      </c>
      <c r="G134" s="1065">
        <f>SUM(G5:G133)</f>
        <v>10442.270000000011</v>
      </c>
      <c r="H134" s="101">
        <f>SUM(H6:H133)</f>
        <v>1204.08</v>
      </c>
      <c r="I134" s="93">
        <f>SUM(I5:I133)</f>
        <v>6004.0760000000028</v>
      </c>
      <c r="J134" s="774"/>
      <c r="K134" s="1516"/>
      <c r="L134" s="89"/>
    </row>
    <row r="135" spans="1:12" ht="25.5" customHeight="1" thickBot="1" x14ac:dyDescent="0.3">
      <c r="A135" s="3117" t="s">
        <v>49</v>
      </c>
      <c r="B135" s="3118"/>
      <c r="C135" s="3118"/>
      <c r="D135" s="3118"/>
      <c r="E135" s="3118"/>
      <c r="F135" s="144"/>
      <c r="G135" s="519">
        <f>G134-F134</f>
        <v>3765.6300000000119</v>
      </c>
      <c r="H135" s="555"/>
      <c r="I135" s="772">
        <f>I134-H134</f>
        <v>4799.9960000000028</v>
      </c>
      <c r="J135" s="773"/>
      <c r="K135" s="775">
        <f>SUM(K5:K134)</f>
        <v>9848</v>
      </c>
    </row>
    <row r="136" spans="1:12" x14ac:dyDescent="0.25">
      <c r="G136" s="89"/>
      <c r="J136" s="769"/>
      <c r="K136" s="868"/>
    </row>
    <row r="137" spans="1:12" x14ac:dyDescent="0.25">
      <c r="B137" s="79" t="s">
        <v>32</v>
      </c>
      <c r="C137" s="475">
        <v>339.31</v>
      </c>
      <c r="D137" s="85" t="s">
        <v>1485</v>
      </c>
      <c r="J137" s="769"/>
      <c r="K137" s="866"/>
    </row>
    <row r="138" spans="1:12" x14ac:dyDescent="0.25">
      <c r="B138" s="79" t="s">
        <v>1218</v>
      </c>
      <c r="C138" s="475">
        <v>690.58</v>
      </c>
      <c r="D138" s="85" t="s">
        <v>1487</v>
      </c>
      <c r="J138" s="769"/>
      <c r="K138" s="868"/>
    </row>
    <row r="139" spans="1:12" x14ac:dyDescent="0.25">
      <c r="B139" s="79" t="s">
        <v>50</v>
      </c>
      <c r="C139" s="854">
        <v>152.35</v>
      </c>
      <c r="D139" s="85" t="s">
        <v>1493</v>
      </c>
      <c r="J139" s="769"/>
      <c r="K139" s="866"/>
    </row>
    <row r="140" spans="1:12" s="85" customFormat="1" x14ac:dyDescent="0.25">
      <c r="A140" s="79"/>
      <c r="B140" s="79" t="s">
        <v>14</v>
      </c>
      <c r="C140" s="484">
        <v>172.18</v>
      </c>
      <c r="D140" s="85" t="s">
        <v>1486</v>
      </c>
      <c r="J140" s="769"/>
      <c r="K140" s="866"/>
    </row>
    <row r="141" spans="1:12" s="85" customFormat="1" x14ac:dyDescent="0.25">
      <c r="A141" s="79"/>
      <c r="B141" s="79" t="s">
        <v>51</v>
      </c>
      <c r="C141" s="475">
        <v>146.22</v>
      </c>
      <c r="D141" s="864" t="s">
        <v>1499</v>
      </c>
      <c r="E141" s="79"/>
      <c r="F141" s="89"/>
      <c r="G141" s="79"/>
      <c r="H141" s="79"/>
      <c r="I141" s="79"/>
      <c r="J141" s="769"/>
      <c r="K141" s="866"/>
    </row>
    <row r="142" spans="1:12" s="85" customFormat="1" x14ac:dyDescent="0.25">
      <c r="A142" s="79"/>
      <c r="B142" s="79" t="s">
        <v>52</v>
      </c>
      <c r="C142" s="475">
        <v>284.60000000000002</v>
      </c>
      <c r="D142" s="864" t="s">
        <v>1496</v>
      </c>
      <c r="F142" s="89"/>
      <c r="G142" s="79"/>
      <c r="H142" s="79"/>
      <c r="I142" s="79"/>
      <c r="J142" s="769"/>
      <c r="K142" s="866"/>
    </row>
    <row r="143" spans="1:12" s="85" customFormat="1" x14ac:dyDescent="0.25">
      <c r="A143" s="79"/>
      <c r="B143" s="867" t="s">
        <v>53</v>
      </c>
      <c r="C143" s="475">
        <v>395.25</v>
      </c>
      <c r="D143" s="864" t="s">
        <v>1522</v>
      </c>
      <c r="E143" s="89"/>
      <c r="F143" s="89"/>
      <c r="G143" s="79"/>
      <c r="H143" s="79"/>
      <c r="I143" s="79"/>
      <c r="J143" s="769"/>
      <c r="K143" s="866"/>
    </row>
    <row r="144" spans="1:12" s="85" customFormat="1" x14ac:dyDescent="0.25">
      <c r="A144" s="79"/>
      <c r="B144" s="79" t="s">
        <v>1823</v>
      </c>
      <c r="C144" s="475"/>
      <c r="D144" s="864" t="s">
        <v>1515</v>
      </c>
      <c r="F144" s="89"/>
      <c r="G144" s="79"/>
      <c r="H144" s="79"/>
      <c r="I144" s="79"/>
      <c r="J144" s="769"/>
      <c r="K144" s="866"/>
    </row>
    <row r="145" spans="1:11" s="85" customFormat="1" x14ac:dyDescent="0.25">
      <c r="A145" s="79"/>
      <c r="B145" s="79" t="s">
        <v>56</v>
      </c>
      <c r="C145" s="475">
        <v>223.63</v>
      </c>
      <c r="D145" s="864" t="s">
        <v>1523</v>
      </c>
      <c r="F145" s="89"/>
      <c r="G145" s="79"/>
      <c r="H145" s="79"/>
      <c r="I145" s="79"/>
      <c r="J145" s="769"/>
      <c r="K145" s="868"/>
    </row>
    <row r="146" spans="1:11" s="85" customFormat="1" x14ac:dyDescent="0.25">
      <c r="A146" s="79"/>
      <c r="B146" s="79" t="s">
        <v>1686</v>
      </c>
      <c r="C146" s="475">
        <v>663.2</v>
      </c>
      <c r="D146" s="864" t="s">
        <v>1506</v>
      </c>
      <c r="F146" s="89"/>
      <c r="G146" s="79"/>
      <c r="H146" s="79"/>
      <c r="I146" s="79"/>
      <c r="J146" s="769"/>
      <c r="K146" s="866"/>
    </row>
    <row r="147" spans="1:11" s="85" customFormat="1" x14ac:dyDescent="0.25">
      <c r="A147" s="79"/>
      <c r="B147" s="79" t="s">
        <v>418</v>
      </c>
      <c r="C147" s="475">
        <v>120.45</v>
      </c>
      <c r="D147" s="85" t="s">
        <v>1524</v>
      </c>
      <c r="E147" s="79"/>
      <c r="F147" s="89"/>
      <c r="J147" s="769"/>
      <c r="K147" s="866"/>
    </row>
    <row r="148" spans="1:11" x14ac:dyDescent="0.25">
      <c r="B148" s="79" t="s">
        <v>419</v>
      </c>
      <c r="C148" s="861">
        <v>521.16999999999996</v>
      </c>
      <c r="D148" s="85" t="s">
        <v>1491</v>
      </c>
      <c r="J148" s="769"/>
      <c r="K148" s="868"/>
    </row>
    <row r="149" spans="1:11" x14ac:dyDescent="0.25">
      <c r="B149" s="79" t="s">
        <v>911</v>
      </c>
      <c r="C149" s="861">
        <v>133.33000000000001</v>
      </c>
      <c r="D149" s="85" t="s">
        <v>1525</v>
      </c>
      <c r="J149" s="769"/>
      <c r="K149" s="868"/>
    </row>
    <row r="150" spans="1:11" x14ac:dyDescent="0.25">
      <c r="B150" s="79" t="s">
        <v>1526</v>
      </c>
      <c r="C150" s="861">
        <v>146.82</v>
      </c>
      <c r="D150" s="85" t="s">
        <v>1504</v>
      </c>
      <c r="E150" s="79"/>
      <c r="J150" s="769"/>
      <c r="K150" s="866"/>
    </row>
    <row r="151" spans="1:11" x14ac:dyDescent="0.25">
      <c r="B151" s="79" t="s">
        <v>1527</v>
      </c>
      <c r="C151" s="861">
        <v>562.02</v>
      </c>
      <c r="D151" s="85" t="s">
        <v>1489</v>
      </c>
      <c r="J151" s="769"/>
      <c r="K151" s="868"/>
    </row>
    <row r="152" spans="1:11" x14ac:dyDescent="0.25">
      <c r="J152" s="769"/>
      <c r="K152" s="866"/>
    </row>
    <row r="153" spans="1:11" x14ac:dyDescent="0.25">
      <c r="F153" s="85"/>
      <c r="J153" s="769"/>
      <c r="K153" s="866"/>
    </row>
    <row r="154" spans="1:11" x14ac:dyDescent="0.25">
      <c r="B154" s="79" t="s">
        <v>486</v>
      </c>
      <c r="C154" s="475">
        <f>H154/J154</f>
        <v>146.81000000000003</v>
      </c>
      <c r="F154" s="224" t="s">
        <v>487</v>
      </c>
      <c r="H154" s="216">
        <f>SUM(C137:C151)</f>
        <v>4551.1100000000006</v>
      </c>
      <c r="I154" s="518" t="s">
        <v>488</v>
      </c>
      <c r="J154" s="1517">
        <v>31</v>
      </c>
      <c r="K154" s="866"/>
    </row>
    <row r="155" spans="1:11" x14ac:dyDescent="0.25">
      <c r="G155" s="85"/>
      <c r="J155" s="769"/>
      <c r="K155" s="866"/>
    </row>
    <row r="156" spans="1:11" x14ac:dyDescent="0.25">
      <c r="J156" s="769"/>
      <c r="K156" s="868"/>
    </row>
    <row r="157" spans="1:11" x14ac:dyDescent="0.25">
      <c r="K157" s="866"/>
    </row>
    <row r="158" spans="1:11" x14ac:dyDescent="0.25">
      <c r="D158" s="79"/>
      <c r="E158" s="79"/>
      <c r="J158" s="769"/>
      <c r="K158" s="866"/>
    </row>
    <row r="159" spans="1:11" x14ac:dyDescent="0.25">
      <c r="J159" s="769"/>
      <c r="K159" s="866"/>
    </row>
    <row r="160" spans="1:11" x14ac:dyDescent="0.25">
      <c r="J160" s="769"/>
      <c r="K160" s="866"/>
    </row>
    <row r="161" spans="3:11" x14ac:dyDescent="0.25"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G164" s="216"/>
      <c r="I164" s="216"/>
      <c r="J164" s="769"/>
      <c r="K164" s="868"/>
    </row>
    <row r="165" spans="3:11" x14ac:dyDescent="0.25">
      <c r="C165" s="79"/>
      <c r="D165" s="79"/>
      <c r="E165" s="79"/>
      <c r="F165" s="79"/>
      <c r="G165" s="216"/>
      <c r="I165" s="216"/>
      <c r="J165" s="769"/>
      <c r="K165" s="866"/>
    </row>
    <row r="166" spans="3:11" x14ac:dyDescent="0.25">
      <c r="C166" s="79"/>
      <c r="D166" s="79"/>
      <c r="E166" s="79"/>
      <c r="F166" s="79"/>
      <c r="G166" s="216"/>
      <c r="J166" s="770"/>
      <c r="K166" s="866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J168" s="769"/>
      <c r="K168" s="866"/>
    </row>
    <row r="169" spans="3:11" x14ac:dyDescent="0.25">
      <c r="C169" s="79"/>
      <c r="D169" s="79"/>
      <c r="E169" s="79"/>
      <c r="F169" s="79"/>
      <c r="I169" s="629"/>
      <c r="J169" s="769"/>
      <c r="K169" s="866"/>
    </row>
    <row r="170" spans="3:11" x14ac:dyDescent="0.25">
      <c r="J170" s="769"/>
      <c r="K170" s="866"/>
    </row>
    <row r="171" spans="3:11" x14ac:dyDescent="0.25">
      <c r="J171" s="769"/>
      <c r="K171" s="866"/>
    </row>
    <row r="172" spans="3:11" x14ac:dyDescent="0.25">
      <c r="J172" s="769"/>
      <c r="K172" s="866"/>
    </row>
    <row r="173" spans="3:11" x14ac:dyDescent="0.25">
      <c r="J173" s="769"/>
      <c r="K173" s="866"/>
    </row>
    <row r="174" spans="3:11" x14ac:dyDescent="0.25">
      <c r="J174" s="769"/>
      <c r="K174" s="866"/>
    </row>
    <row r="175" spans="3:11" x14ac:dyDescent="0.25">
      <c r="C175" s="79"/>
      <c r="D175" s="79"/>
      <c r="E175" s="79"/>
      <c r="F175" s="79"/>
      <c r="I175" s="216"/>
      <c r="J175" s="769"/>
      <c r="K175" s="866"/>
    </row>
    <row r="176" spans="3:11" x14ac:dyDescent="0.25">
      <c r="C176" s="79"/>
      <c r="D176" s="79"/>
      <c r="E176" s="79"/>
      <c r="F176" s="79"/>
      <c r="I176" s="216"/>
      <c r="J176" s="769"/>
      <c r="K176" s="866"/>
    </row>
    <row r="177" spans="3:11" x14ac:dyDescent="0.25">
      <c r="C177" s="79"/>
      <c r="D177" s="79"/>
      <c r="E177" s="79"/>
      <c r="F177" s="79"/>
      <c r="I177" s="216"/>
      <c r="J177" s="769"/>
      <c r="K177" s="866"/>
    </row>
    <row r="178" spans="3:11" x14ac:dyDescent="0.25">
      <c r="C178" s="79"/>
      <c r="D178" s="79"/>
      <c r="E178" s="79"/>
      <c r="F178" s="79"/>
      <c r="I178" s="216"/>
      <c r="J178" s="769"/>
      <c r="K178" s="866"/>
    </row>
    <row r="179" spans="3:11" x14ac:dyDescent="0.25">
      <c r="C179" s="79"/>
      <c r="D179" s="79"/>
      <c r="E179" s="79"/>
      <c r="F179" s="79"/>
      <c r="I179" s="216"/>
      <c r="J179" s="769"/>
      <c r="K179" s="868"/>
    </row>
    <row r="180" spans="3:11" x14ac:dyDescent="0.25">
      <c r="C180" s="79"/>
      <c r="D180" s="79"/>
      <c r="E180" s="79"/>
      <c r="F180" s="79"/>
      <c r="I180" s="216"/>
      <c r="J180" s="769"/>
      <c r="K180" s="868"/>
    </row>
    <row r="181" spans="3:11" x14ac:dyDescent="0.25">
      <c r="C181" s="79"/>
      <c r="D181" s="79"/>
      <c r="E181" s="79"/>
      <c r="F181" s="79"/>
      <c r="I181" s="216"/>
      <c r="J181" s="769"/>
      <c r="K181" s="868"/>
    </row>
    <row r="182" spans="3:11" x14ac:dyDescent="0.25">
      <c r="C182" s="79"/>
      <c r="D182" s="79"/>
      <c r="E182" s="79"/>
      <c r="F182" s="79"/>
      <c r="I182" s="216"/>
      <c r="J182" s="769"/>
      <c r="K182" s="868"/>
    </row>
    <row r="183" spans="3:11" x14ac:dyDescent="0.25">
      <c r="C183" s="79"/>
      <c r="D183" s="79"/>
      <c r="E183" s="79"/>
      <c r="F183" s="79"/>
      <c r="I183" s="216"/>
      <c r="J183" s="769"/>
      <c r="K183" s="868"/>
    </row>
    <row r="184" spans="3:11" x14ac:dyDescent="0.25">
      <c r="J184" s="769"/>
      <c r="K184" s="866"/>
    </row>
    <row r="185" spans="3:11" x14ac:dyDescent="0.25">
      <c r="J185" s="769"/>
      <c r="K185" s="866"/>
    </row>
    <row r="186" spans="3:11" x14ac:dyDescent="0.25">
      <c r="J186" s="769"/>
      <c r="K186" s="868"/>
    </row>
    <row r="187" spans="3:11" x14ac:dyDescent="0.25">
      <c r="J187" s="769"/>
      <c r="K187" s="866"/>
    </row>
    <row r="188" spans="3:11" x14ac:dyDescent="0.25">
      <c r="J188" s="769"/>
      <c r="K188" s="866"/>
    </row>
    <row r="189" spans="3:11" x14ac:dyDescent="0.25">
      <c r="C189" s="79"/>
      <c r="D189" s="79"/>
      <c r="E189" s="79"/>
      <c r="F189" s="79"/>
      <c r="J189" s="769"/>
      <c r="K189" s="868"/>
    </row>
    <row r="190" spans="3:11" x14ac:dyDescent="0.25">
      <c r="C190" s="79"/>
      <c r="D190" s="79"/>
      <c r="E190" s="79"/>
      <c r="F190" s="79"/>
      <c r="J190" s="769"/>
      <c r="K190" s="868"/>
    </row>
    <row r="191" spans="3:11" x14ac:dyDescent="0.25">
      <c r="C191" s="79"/>
      <c r="D191" s="79"/>
      <c r="E191" s="79"/>
      <c r="F191" s="79"/>
      <c r="J191" s="769"/>
      <c r="K191" s="868"/>
    </row>
    <row r="192" spans="3:11" x14ac:dyDescent="0.25">
      <c r="C192" s="79"/>
      <c r="D192" s="79"/>
      <c r="E192" s="79"/>
      <c r="F192" s="79"/>
      <c r="J192" s="769"/>
      <c r="K192" s="868"/>
    </row>
    <row r="193" spans="3:11" x14ac:dyDescent="0.25">
      <c r="C193" s="79"/>
      <c r="D193" s="79"/>
      <c r="E193" s="79"/>
      <c r="F193" s="79"/>
      <c r="J193" s="769"/>
      <c r="K193" s="866"/>
    </row>
    <row r="194" spans="3:11" x14ac:dyDescent="0.25">
      <c r="C194" s="79"/>
      <c r="D194" s="79"/>
      <c r="E194" s="79"/>
      <c r="F194" s="79"/>
      <c r="J194" s="223"/>
      <c r="K194" s="629"/>
    </row>
    <row r="195" spans="3:11" x14ac:dyDescent="0.25">
      <c r="C195" s="79"/>
      <c r="D195" s="79"/>
      <c r="E195" s="79"/>
      <c r="F195" s="79"/>
      <c r="J195" s="756"/>
      <c r="K195" s="756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  <c r="J200" s="85"/>
      <c r="K200" s="85"/>
    </row>
    <row r="201" spans="3:11" x14ac:dyDescent="0.25">
      <c r="C201" s="79"/>
      <c r="D201" s="79"/>
      <c r="E201" s="79"/>
      <c r="F201" s="79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</row>
    <row r="207" spans="3:11" x14ac:dyDescent="0.25">
      <c r="C207" s="79"/>
      <c r="D207" s="79"/>
      <c r="E207" s="79"/>
      <c r="F207" s="79"/>
      <c r="J207" s="85"/>
      <c r="K207" s="85"/>
    </row>
    <row r="208" spans="3:11" x14ac:dyDescent="0.25">
      <c r="C208" s="79"/>
      <c r="D208" s="79"/>
      <c r="E208" s="79"/>
      <c r="F208" s="79"/>
    </row>
    <row r="209" spans="3:11" x14ac:dyDescent="0.25">
      <c r="C209" s="79"/>
      <c r="D209" s="79"/>
      <c r="E209" s="79"/>
      <c r="F209" s="79"/>
    </row>
    <row r="210" spans="3:11" x14ac:dyDescent="0.25">
      <c r="C210" s="79"/>
      <c r="D210" s="79"/>
      <c r="E210" s="79"/>
      <c r="F210" s="79"/>
    </row>
    <row r="211" spans="3:11" x14ac:dyDescent="0.25">
      <c r="C211" s="79"/>
      <c r="D211" s="79"/>
      <c r="E211" s="79"/>
      <c r="F211" s="79"/>
    </row>
    <row r="212" spans="3:11" x14ac:dyDescent="0.25">
      <c r="C212" s="79"/>
      <c r="D212" s="79"/>
      <c r="E212" s="79"/>
      <c r="F212" s="79"/>
    </row>
    <row r="213" spans="3:11" x14ac:dyDescent="0.25">
      <c r="C213" s="79"/>
      <c r="D213" s="79"/>
      <c r="E213" s="79"/>
      <c r="F213" s="79"/>
    </row>
    <row r="214" spans="3:11" x14ac:dyDescent="0.25">
      <c r="C214" s="79"/>
      <c r="D214" s="79"/>
      <c r="E214" s="79"/>
      <c r="F214" s="79"/>
      <c r="J214" s="771"/>
      <c r="K214" s="518"/>
    </row>
    <row r="215" spans="3:11" x14ac:dyDescent="0.25">
      <c r="C215" s="79"/>
      <c r="D215" s="79"/>
      <c r="E215" s="79"/>
      <c r="F215" s="79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7" spans="3:11" x14ac:dyDescent="0.25">
      <c r="C227" s="79"/>
      <c r="D227" s="79"/>
      <c r="E227" s="79"/>
      <c r="F227" s="79"/>
      <c r="K227" s="216"/>
    </row>
    <row r="229" spans="3:11" x14ac:dyDescent="0.25">
      <c r="C229" s="79"/>
      <c r="D229" s="79"/>
      <c r="E229" s="79"/>
      <c r="F229" s="79"/>
      <c r="K229" s="629"/>
    </row>
    <row r="235" spans="3:11" x14ac:dyDescent="0.25">
      <c r="C235" s="79"/>
      <c r="D235" s="79"/>
      <c r="E235" s="79"/>
      <c r="F235" s="79"/>
      <c r="K235" s="216"/>
    </row>
    <row r="236" spans="3:11" x14ac:dyDescent="0.25">
      <c r="C236" s="79"/>
      <c r="D236" s="79"/>
      <c r="E236" s="79"/>
      <c r="F236" s="79"/>
      <c r="K236" s="216"/>
    </row>
    <row r="237" spans="3:11" x14ac:dyDescent="0.25">
      <c r="C237" s="79"/>
      <c r="D237" s="79"/>
      <c r="E237" s="79"/>
      <c r="F237" s="79"/>
      <c r="K237" s="216"/>
    </row>
    <row r="238" spans="3:11" x14ac:dyDescent="0.25">
      <c r="C238" s="79"/>
      <c r="D238" s="79"/>
      <c r="E238" s="79"/>
      <c r="F238" s="79"/>
      <c r="K238" s="216"/>
    </row>
    <row r="239" spans="3:11" x14ac:dyDescent="0.25">
      <c r="C239" s="79"/>
      <c r="D239" s="79"/>
      <c r="E239" s="79"/>
      <c r="F239" s="79"/>
      <c r="K239" s="216"/>
    </row>
    <row r="240" spans="3:11" x14ac:dyDescent="0.25">
      <c r="C240" s="79"/>
      <c r="D240" s="79"/>
      <c r="E240" s="79"/>
      <c r="F240" s="79"/>
      <c r="K240" s="216"/>
    </row>
    <row r="241" spans="3:11" x14ac:dyDescent="0.25">
      <c r="C241" s="79"/>
      <c r="D241" s="79"/>
      <c r="E241" s="79"/>
      <c r="F241" s="79"/>
      <c r="K241" s="216"/>
    </row>
    <row r="242" spans="3:11" x14ac:dyDescent="0.25">
      <c r="C242" s="79"/>
      <c r="D242" s="79"/>
      <c r="E242" s="79"/>
      <c r="F242" s="79"/>
      <c r="K242" s="216"/>
    </row>
    <row r="243" spans="3:11" x14ac:dyDescent="0.25">
      <c r="C243" s="79"/>
      <c r="D243" s="79"/>
      <c r="E243" s="79"/>
      <c r="F243" s="79"/>
      <c r="K243" s="216"/>
    </row>
  </sheetData>
  <autoFilter ref="A2:I135" xr:uid="{00000000-0009-0000-0000-000050000000}"/>
  <mergeCells count="13">
    <mergeCell ref="L84:M84"/>
    <mergeCell ref="A134:E134"/>
    <mergeCell ref="A135:E13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Plan93"/>
  <dimension ref="A1:S76"/>
  <sheetViews>
    <sheetView zoomScale="85" zoomScaleNormal="85" workbookViewId="0">
      <selection activeCell="D13" sqref="D13:O13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28515625" style="79" bestFit="1" customWidth="1"/>
    <col min="8" max="8" width="16.7109375" style="79" bestFit="1" customWidth="1"/>
    <col min="9" max="9" width="15.5703125" style="79" customWidth="1"/>
    <col min="10" max="10" width="19" style="79" bestFit="1" customWidth="1"/>
    <col min="11" max="12" width="14.28515625" style="79" bestFit="1" customWidth="1"/>
    <col min="13" max="13" width="15" style="79" customWidth="1"/>
    <col min="14" max="14" width="15.5703125" style="79" customWidth="1"/>
    <col min="15" max="15" width="19.28515625" style="79" customWidth="1"/>
    <col min="16" max="16" width="16.5703125" style="79" customWidth="1"/>
    <col min="17" max="17" width="17.5703125" style="79" bestFit="1" customWidth="1"/>
    <col min="18" max="19" width="19.5703125" style="79" bestFit="1" customWidth="1"/>
    <col min="20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2089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347.74916666666672</v>
      </c>
      <c r="C3" s="332">
        <f t="shared" ref="C3:C15" si="0">D3+E3+F3+G3+H3+I3+J3+K3+L3+M3+N3+O3</f>
        <v>4172.9900000000007</v>
      </c>
      <c r="D3" s="588">
        <f>'Janeiro-2018'!C117</f>
        <v>392</v>
      </c>
      <c r="E3" s="587">
        <f>'Fevereiro-18'!C91</f>
        <v>349.4</v>
      </c>
      <c r="F3" s="549">
        <f>'Março-18'!C113</f>
        <v>358.41</v>
      </c>
      <c r="G3" s="549">
        <f>'Abril-18'!C122</f>
        <v>365.54</v>
      </c>
      <c r="H3" s="588">
        <f>'Maio-18'!C118</f>
        <v>338.9</v>
      </c>
      <c r="I3" s="588">
        <f>'Junho-18'!C117</f>
        <v>303.8</v>
      </c>
      <c r="J3" s="549">
        <f>'Julho-18'!C121</f>
        <v>359.92</v>
      </c>
      <c r="K3" s="549">
        <f>'Agosto-18'!C122</f>
        <v>385.7</v>
      </c>
      <c r="L3" s="588">
        <f>'Setembro-18'!C119</f>
        <v>325.8</v>
      </c>
      <c r="M3" s="561">
        <f>'Outubro-18'!C112</f>
        <v>367.21</v>
      </c>
      <c r="N3" s="565">
        <f>'Novembro-18'!C109</f>
        <v>287</v>
      </c>
      <c r="O3" s="561">
        <f>'Dezembro-18'!C137</f>
        <v>339.31</v>
      </c>
      <c r="P3" s="329"/>
    </row>
    <row r="4" spans="1:16" x14ac:dyDescent="0.25">
      <c r="A4" s="329" t="s">
        <v>1218</v>
      </c>
      <c r="B4" s="336">
        <f t="shared" ref="B4:B17" si="1">C4/12</f>
        <v>412.36750000000001</v>
      </c>
      <c r="C4" s="332">
        <f t="shared" si="0"/>
        <v>4948.41</v>
      </c>
      <c r="D4" s="588">
        <f>'Janeiro-2018'!C118</f>
        <v>460</v>
      </c>
      <c r="E4" s="587">
        <f>'Fevereiro-18'!C92</f>
        <v>302</v>
      </c>
      <c r="F4" s="549">
        <f>'Março-18'!C114</f>
        <v>433.87</v>
      </c>
      <c r="G4" s="588">
        <f>'Abril-18'!C123</f>
        <v>415.3</v>
      </c>
      <c r="H4" s="549">
        <f>'Maio-18'!C119</f>
        <v>433.17</v>
      </c>
      <c r="I4" s="588">
        <f>'Junho-18'!C118</f>
        <v>367.82</v>
      </c>
      <c r="J4" s="549">
        <f>'Julho-18'!C122</f>
        <v>370</v>
      </c>
      <c r="K4" s="588">
        <f>'Agosto-18'!C123</f>
        <v>350</v>
      </c>
      <c r="L4" s="549">
        <f>'Setembro-18'!C120</f>
        <v>402.21</v>
      </c>
      <c r="M4" s="565">
        <f>'Outubro-18'!C113</f>
        <v>345</v>
      </c>
      <c r="N4" s="561">
        <f>'Novembro-18'!C110</f>
        <v>378.46</v>
      </c>
      <c r="O4" s="561">
        <f>'Dezembro-18'!C138</f>
        <v>690.58</v>
      </c>
      <c r="P4" s="329"/>
    </row>
    <row r="5" spans="1:16" x14ac:dyDescent="0.25">
      <c r="A5" s="329" t="s">
        <v>50</v>
      </c>
      <c r="B5" s="336">
        <f t="shared" si="1"/>
        <v>144.72166666666664</v>
      </c>
      <c r="C5" s="332">
        <f>D5+E5+F5+G5+H5+I5+J5+K5+L5+M5+N5+O5</f>
        <v>1736.6599999999996</v>
      </c>
      <c r="D5" s="588">
        <f>'Janeiro-2018'!C119</f>
        <v>127.33</v>
      </c>
      <c r="E5" s="587">
        <f>'Fevereiro-18'!C93</f>
        <v>94</v>
      </c>
      <c r="F5" s="549">
        <f>'Março-18'!C115</f>
        <v>116.4</v>
      </c>
      <c r="G5" s="588">
        <f>'Abril-18'!C124</f>
        <v>128.44999999999999</v>
      </c>
      <c r="H5" s="588">
        <f>'Maio-18'!C120</f>
        <v>101.35</v>
      </c>
      <c r="I5" s="588">
        <f>'Junho-18'!C119</f>
        <v>96.56</v>
      </c>
      <c r="J5" s="549">
        <f>'Julho-18'!C123</f>
        <v>179.97</v>
      </c>
      <c r="K5" s="549">
        <f>'Agosto-18'!C124</f>
        <v>222.32</v>
      </c>
      <c r="L5" s="588">
        <f>'Setembro-18'!C121</f>
        <v>164.33</v>
      </c>
      <c r="M5" s="565">
        <f>'Outubro-18'!C114</f>
        <v>150.5</v>
      </c>
      <c r="N5" s="561">
        <f>'Novembro-18'!C111</f>
        <v>203.1</v>
      </c>
      <c r="O5" s="565">
        <f>'Dezembro-18'!C139</f>
        <v>152.35</v>
      </c>
      <c r="P5" s="329"/>
    </row>
    <row r="6" spans="1:16" x14ac:dyDescent="0.25">
      <c r="A6" s="329" t="s">
        <v>14</v>
      </c>
      <c r="B6" s="336">
        <f t="shared" si="1"/>
        <v>122.61500000000002</v>
      </c>
      <c r="C6" s="332">
        <f>D6+E6+F6+G6+H6+I6+J6+K6+L6+M6+N6+O6</f>
        <v>1471.3800000000003</v>
      </c>
      <c r="D6" s="588">
        <f>'Janeiro-2018'!C120</f>
        <v>128.57</v>
      </c>
      <c r="E6" s="587">
        <f>'Fevereiro-18'!C94</f>
        <v>83.62</v>
      </c>
      <c r="F6" s="549">
        <f>'Março-18'!C116</f>
        <v>112.9</v>
      </c>
      <c r="G6" s="549">
        <f>'Abril-18'!C125</f>
        <v>120.49</v>
      </c>
      <c r="H6" s="588">
        <f>'Maio-18'!C121</f>
        <v>104.85</v>
      </c>
      <c r="I6" s="549">
        <f>'Junho-18'!C120</f>
        <v>129.19</v>
      </c>
      <c r="J6" s="549">
        <f>'Julho-18'!C124</f>
        <v>135.19</v>
      </c>
      <c r="K6" s="549">
        <f>'Agosto-18'!C125</f>
        <v>145.18</v>
      </c>
      <c r="L6" s="588">
        <f>'Setembro-18'!C122</f>
        <v>114</v>
      </c>
      <c r="M6" s="565">
        <f>'Outubro-18'!C115</f>
        <v>103.78</v>
      </c>
      <c r="N6" s="561">
        <f>'Novembro-18'!C112</f>
        <v>121.43</v>
      </c>
      <c r="O6" s="561">
        <f>'Dezembro-18'!C140</f>
        <v>172.18</v>
      </c>
      <c r="P6" s="329"/>
    </row>
    <row r="7" spans="1:16" x14ac:dyDescent="0.25">
      <c r="A7" s="329" t="s">
        <v>358</v>
      </c>
      <c r="B7" s="336">
        <f t="shared" si="1"/>
        <v>110.08750000000002</v>
      </c>
      <c r="C7" s="332">
        <f t="shared" si="0"/>
        <v>1321.0500000000002</v>
      </c>
      <c r="D7" s="588">
        <f>'Janeiro-2018'!C121</f>
        <v>93.22</v>
      </c>
      <c r="E7" s="547">
        <f>'Fevereiro-18'!C95</f>
        <v>101.56</v>
      </c>
      <c r="F7" s="549">
        <f>'Março-18'!C117</f>
        <v>103.44</v>
      </c>
      <c r="G7" s="588">
        <f>'Abril-18'!C126</f>
        <v>101.84</v>
      </c>
      <c r="H7" s="549">
        <f>'Maio-18'!C122</f>
        <v>103.64</v>
      </c>
      <c r="I7" s="588">
        <f>'Junho-18'!C121</f>
        <v>102.85</v>
      </c>
      <c r="J7" s="588">
        <f>'Julho-18'!C125</f>
        <v>97.35</v>
      </c>
      <c r="K7" s="549">
        <f>'Agosto-18'!C126</f>
        <v>118.58</v>
      </c>
      <c r="L7" s="588">
        <f>'Setembro-18'!C123</f>
        <v>110</v>
      </c>
      <c r="M7" s="565">
        <f>'Outubro-18'!C116</f>
        <v>97.35</v>
      </c>
      <c r="N7" s="561">
        <f>'Novembro-18'!C113</f>
        <v>145</v>
      </c>
      <c r="O7" s="561">
        <f>'Dezembro-18'!C141</f>
        <v>146.22</v>
      </c>
      <c r="P7" s="329"/>
    </row>
    <row r="8" spans="1:16" x14ac:dyDescent="0.25">
      <c r="A8" s="329" t="s">
        <v>52</v>
      </c>
      <c r="B8" s="336">
        <f t="shared" si="1"/>
        <v>119.30416666666667</v>
      </c>
      <c r="C8" s="332">
        <f t="shared" si="0"/>
        <v>1431.65</v>
      </c>
      <c r="D8" s="588">
        <f>'Janeiro-2018'!C122</f>
        <v>60</v>
      </c>
      <c r="E8" s="587">
        <f>'Fevereiro-18'!C96</f>
        <v>60</v>
      </c>
      <c r="F8" s="549">
        <f>'Março-18'!C118</f>
        <v>117.5</v>
      </c>
      <c r="G8" s="588">
        <f>'Abril-18'!C127</f>
        <v>117.5</v>
      </c>
      <c r="H8" s="588">
        <f>'Maio-18'!C123</f>
        <v>99</v>
      </c>
      <c r="I8" s="588">
        <f>'Junho-18'!C122</f>
        <v>60</v>
      </c>
      <c r="J8" s="549">
        <f>'Julho-18'!C126</f>
        <v>120</v>
      </c>
      <c r="K8" s="588">
        <f>'Agosto-18'!C127</f>
        <v>60</v>
      </c>
      <c r="L8" s="549">
        <f>'Setembro-18'!C124</f>
        <v>165.6</v>
      </c>
      <c r="M8" s="565">
        <f>'Outubro-18'!C117</f>
        <v>91.23</v>
      </c>
      <c r="N8" s="561">
        <f>'Novembro-18'!C114</f>
        <v>196.22</v>
      </c>
      <c r="O8" s="561">
        <f>'Dezembro-18'!C142</f>
        <v>284.60000000000002</v>
      </c>
      <c r="P8" s="329"/>
    </row>
    <row r="9" spans="1:16" x14ac:dyDescent="0.25">
      <c r="A9" s="329" t="s">
        <v>53</v>
      </c>
      <c r="B9" s="336">
        <f t="shared" si="1"/>
        <v>182.76333333333332</v>
      </c>
      <c r="C9" s="332">
        <f t="shared" si="0"/>
        <v>2193.16</v>
      </c>
      <c r="D9" s="588">
        <f>'Janeiro-2018'!C123</f>
        <v>414.48</v>
      </c>
      <c r="E9" s="587">
        <f>'Fevereiro-18'!C97</f>
        <v>294.48</v>
      </c>
      <c r="F9" s="588">
        <f>'Março-18'!C119</f>
        <v>248</v>
      </c>
      <c r="G9" s="588">
        <f>'Abril-18'!C128</f>
        <v>150.1</v>
      </c>
      <c r="H9" s="549">
        <f>'Maio-18'!C124</f>
        <v>185</v>
      </c>
      <c r="I9" s="588">
        <f>'Junho-18'!C123</f>
        <v>120</v>
      </c>
      <c r="J9" s="588">
        <f>'Julho-18'!C127</f>
        <v>80</v>
      </c>
      <c r="K9" s="588">
        <f>'Agosto-18'!C128</f>
        <v>16</v>
      </c>
      <c r="L9" s="588">
        <f>'Setembro-18'!C125</f>
        <v>5</v>
      </c>
      <c r="M9" s="565">
        <f>'Outubro-18'!C118</f>
        <v>0</v>
      </c>
      <c r="N9" s="561">
        <f>'Novembro-18'!C115</f>
        <v>284.85000000000002</v>
      </c>
      <c r="O9" s="561">
        <f>'Dezembro-18'!C143</f>
        <v>395.25</v>
      </c>
      <c r="P9" s="329"/>
    </row>
    <row r="10" spans="1:16" x14ac:dyDescent="0.25">
      <c r="A10" s="329" t="s">
        <v>1823</v>
      </c>
      <c r="B10" s="336">
        <f t="shared" si="1"/>
        <v>0</v>
      </c>
      <c r="C10" s="332">
        <f t="shared" si="0"/>
        <v>0</v>
      </c>
      <c r="D10" s="588">
        <f>'Janeiro-2018'!C124</f>
        <v>0</v>
      </c>
      <c r="E10" s="587">
        <f>'Fevereiro-18'!C98</f>
        <v>0</v>
      </c>
      <c r="F10" s="588">
        <f>'Março-18'!C120</f>
        <v>0</v>
      </c>
      <c r="G10" s="588">
        <f>'Abril-18'!C129</f>
        <v>0</v>
      </c>
      <c r="H10" s="588">
        <f>'Maio-18'!C125</f>
        <v>0</v>
      </c>
      <c r="I10" s="588">
        <f>'Junho-18'!C124</f>
        <v>0</v>
      </c>
      <c r="J10" s="588">
        <f>'Julho-18'!C128</f>
        <v>0</v>
      </c>
      <c r="K10" s="588">
        <f>'Agosto-18'!C129</f>
        <v>0</v>
      </c>
      <c r="L10" s="588">
        <f>'Setembro-18'!C126</f>
        <v>0</v>
      </c>
      <c r="M10" s="565">
        <f>'Outubro-18'!C119</f>
        <v>0</v>
      </c>
      <c r="N10" s="565">
        <f>'Novembro-18'!C116</f>
        <v>0</v>
      </c>
      <c r="O10" s="565">
        <f>'Dezembro-18'!C144</f>
        <v>0</v>
      </c>
      <c r="P10" s="329"/>
    </row>
    <row r="11" spans="1:16" x14ac:dyDescent="0.25">
      <c r="A11" s="329" t="s">
        <v>56</v>
      </c>
      <c r="B11" s="336">
        <f t="shared" si="1"/>
        <v>49.480833333333329</v>
      </c>
      <c r="C11" s="332">
        <f t="shared" si="0"/>
        <v>593.77</v>
      </c>
      <c r="D11" s="588">
        <f>'Janeiro-2018'!C125</f>
        <v>0</v>
      </c>
      <c r="E11" s="587">
        <f>'Fevereiro-18'!C99</f>
        <v>0</v>
      </c>
      <c r="F11" s="588">
        <f>'Março-18'!C121</f>
        <v>0</v>
      </c>
      <c r="G11" s="588">
        <f>'Abril-18'!C130</f>
        <v>0</v>
      </c>
      <c r="H11" s="549">
        <f>'Maio-18'!C126</f>
        <v>33</v>
      </c>
      <c r="I11" s="588">
        <f>'Junho-18'!C125</f>
        <v>0</v>
      </c>
      <c r="J11" s="549">
        <f>'Julho-18'!C129</f>
        <v>5.37</v>
      </c>
      <c r="K11" s="588">
        <f>'Agosto-18'!C130</f>
        <v>0</v>
      </c>
      <c r="L11" s="549">
        <f>'Setembro-18'!C127</f>
        <v>255.81</v>
      </c>
      <c r="M11" s="565">
        <f>'Outubro-18'!C120</f>
        <v>15.96</v>
      </c>
      <c r="N11" s="561">
        <f>'Novembro-18'!C117</f>
        <v>60</v>
      </c>
      <c r="O11" s="561">
        <f>'Dezembro-18'!C145</f>
        <v>223.63</v>
      </c>
      <c r="P11" s="329"/>
    </row>
    <row r="12" spans="1:16" x14ac:dyDescent="0.25">
      <c r="A12" s="329" t="s">
        <v>1686</v>
      </c>
      <c r="B12" s="336">
        <f t="shared" si="1"/>
        <v>334.62833333333333</v>
      </c>
      <c r="C12" s="332">
        <f t="shared" si="0"/>
        <v>4015.54</v>
      </c>
      <c r="D12" s="588">
        <f>'Janeiro-2018'!C126</f>
        <v>227.66</v>
      </c>
      <c r="E12" s="547">
        <f>'Fevereiro-18'!C100</f>
        <v>481.53</v>
      </c>
      <c r="F12" s="588">
        <f>'Março-18'!C122</f>
        <v>175.32</v>
      </c>
      <c r="G12" s="588">
        <f>'Abril-18'!C131</f>
        <v>173.35</v>
      </c>
      <c r="H12" s="588">
        <f>'Maio-18'!C127</f>
        <v>52.25</v>
      </c>
      <c r="I12" s="549">
        <f>'Junho-18'!C126</f>
        <v>488.58</v>
      </c>
      <c r="J12" s="549">
        <f>'Julho-18'!C130</f>
        <v>594.33000000000004</v>
      </c>
      <c r="K12" s="588">
        <f>'Agosto-18'!C131</f>
        <v>480.71</v>
      </c>
      <c r="L12" s="588">
        <f>'Setembro-18'!C128</f>
        <v>268.93</v>
      </c>
      <c r="M12" s="565">
        <f>'Outubro-18'!C121</f>
        <v>155</v>
      </c>
      <c r="N12" s="561">
        <f>'Novembro-18'!C118</f>
        <v>254.68</v>
      </c>
      <c r="O12" s="561">
        <f>'Dezembro-18'!C146</f>
        <v>663.2</v>
      </c>
    </row>
    <row r="13" spans="1:16" x14ac:dyDescent="0.25">
      <c r="A13" s="329" t="s">
        <v>418</v>
      </c>
      <c r="B13" s="336">
        <f t="shared" si="1"/>
        <v>303.41916666666663</v>
      </c>
      <c r="C13" s="332">
        <f t="shared" si="0"/>
        <v>3641.0299999999997</v>
      </c>
      <c r="D13" s="549">
        <f>'Janeiro-2018'!C127</f>
        <v>127</v>
      </c>
      <c r="E13" s="587">
        <f>'Fevereiro-18'!C101</f>
        <v>119.8</v>
      </c>
      <c r="F13" s="549">
        <f>'Março-18'!C123</f>
        <v>928.5</v>
      </c>
      <c r="G13" s="588">
        <f>'Abril-18'!C132</f>
        <v>705.38</v>
      </c>
      <c r="H13" s="588">
        <f>'Maio-18'!C128</f>
        <v>406.25</v>
      </c>
      <c r="I13" s="549">
        <f>'Junho-18'!C127</f>
        <v>421.25</v>
      </c>
      <c r="J13" s="588">
        <f>'Julho-18'!C131</f>
        <v>307.5</v>
      </c>
      <c r="K13" s="588">
        <f>'Agosto-18'!C132</f>
        <v>129.9</v>
      </c>
      <c r="L13" s="588">
        <f>'Setembro-18'!C129</f>
        <v>100</v>
      </c>
      <c r="M13" s="565">
        <f>'Outubro-18'!C122</f>
        <v>0</v>
      </c>
      <c r="N13" s="561">
        <f>'Novembro-18'!C119</f>
        <v>275</v>
      </c>
      <c r="O13" s="565">
        <f>'Dezembro-18'!C147</f>
        <v>120.45</v>
      </c>
    </row>
    <row r="14" spans="1:16" x14ac:dyDescent="0.25">
      <c r="A14" s="329" t="s">
        <v>419</v>
      </c>
      <c r="B14" s="336">
        <f t="shared" si="1"/>
        <v>528.78249999999991</v>
      </c>
      <c r="C14" s="332">
        <f t="shared" si="0"/>
        <v>6345.3899999999994</v>
      </c>
      <c r="D14" s="588">
        <f>'Janeiro-2018'!C128</f>
        <v>471.47</v>
      </c>
      <c r="E14" s="587">
        <f>'Fevereiro-18'!C102</f>
        <v>406.75</v>
      </c>
      <c r="F14" s="549">
        <f>'Março-18'!C124</f>
        <v>538</v>
      </c>
      <c r="G14" s="549">
        <f>'Abril-18'!C133</f>
        <v>553.55999999999995</v>
      </c>
      <c r="H14" s="588">
        <f>'Maio-18'!C129</f>
        <v>474.15</v>
      </c>
      <c r="I14" s="588">
        <f>'Junho-18'!C128</f>
        <v>369.9</v>
      </c>
      <c r="J14" s="549">
        <f>'Julho-18'!C132</f>
        <v>471.7</v>
      </c>
      <c r="K14" s="549">
        <f>'Agosto-18'!C133</f>
        <v>600.70000000000005</v>
      </c>
      <c r="L14" s="549">
        <f>'Setembro-18'!C130</f>
        <v>774</v>
      </c>
      <c r="M14" s="565">
        <f>'Outubro-18'!C123</f>
        <v>730.99</v>
      </c>
      <c r="N14" s="565">
        <f>'Novembro-18'!C120</f>
        <v>433</v>
      </c>
      <c r="O14" s="561">
        <f>'Dezembro-18'!C148</f>
        <v>521.16999999999996</v>
      </c>
    </row>
    <row r="15" spans="1:16" x14ac:dyDescent="0.25">
      <c r="A15" s="329" t="s">
        <v>911</v>
      </c>
      <c r="B15" s="336">
        <f t="shared" si="1"/>
        <v>73.135833333333338</v>
      </c>
      <c r="C15" s="332">
        <f t="shared" si="0"/>
        <v>877.63000000000011</v>
      </c>
      <c r="D15" s="588">
        <f>'Janeiro-2018'!C129</f>
        <v>0</v>
      </c>
      <c r="E15" s="587">
        <f>'Fevereiro-18'!C103</f>
        <v>0</v>
      </c>
      <c r="F15" s="588">
        <f>'Março-18'!C125</f>
        <v>0</v>
      </c>
      <c r="G15" s="549">
        <f>'Abril-18'!C134</f>
        <v>44.38</v>
      </c>
      <c r="H15" s="588">
        <f>'Maio-18'!C130</f>
        <v>0</v>
      </c>
      <c r="I15" s="549">
        <f>'Junho-18'!C129</f>
        <v>20</v>
      </c>
      <c r="J15" s="549">
        <f>'Julho-18'!C133</f>
        <v>89.3</v>
      </c>
      <c r="K15" s="549">
        <f>'Agosto-18'!C134</f>
        <v>190.63</v>
      </c>
      <c r="L15" s="588">
        <f>'Setembro-18'!C131</f>
        <v>133.33000000000001</v>
      </c>
      <c r="M15" s="565">
        <f>'Outubro-18'!C124</f>
        <v>133.33000000000001</v>
      </c>
      <c r="N15" s="565">
        <f>'Novembro-18'!C121</f>
        <v>133.33000000000001</v>
      </c>
      <c r="O15" s="565">
        <f>'Dezembro-18'!C149</f>
        <v>133.33000000000001</v>
      </c>
    </row>
    <row r="16" spans="1:16" x14ac:dyDescent="0.25">
      <c r="A16" s="329" t="s">
        <v>1526</v>
      </c>
      <c r="B16" s="336">
        <f t="shared" si="1"/>
        <v>146.40999999999997</v>
      </c>
      <c r="C16" s="332">
        <f>D16+E16+F16+G16+H16+I16+J16+K16+L16+M16+N16+O16</f>
        <v>1756.9199999999996</v>
      </c>
      <c r="D16" s="588">
        <f>'Janeiro-2018'!C130</f>
        <v>140.80000000000001</v>
      </c>
      <c r="E16" s="547">
        <f>'Fevereiro-18'!C104</f>
        <v>154.9</v>
      </c>
      <c r="F16" s="588">
        <f>'Março-18'!C126</f>
        <v>110.9</v>
      </c>
      <c r="G16" s="549">
        <f>'Abril-18'!C135</f>
        <v>145.69999999999999</v>
      </c>
      <c r="H16" s="549">
        <f>'Maio-18'!C131</f>
        <v>145.80000000000001</v>
      </c>
      <c r="I16" s="549">
        <f>'Junho-18'!C130</f>
        <v>147.80000000000001</v>
      </c>
      <c r="J16" s="549">
        <f>'Julho-18'!C134</f>
        <v>153.82</v>
      </c>
      <c r="K16" s="549">
        <f>'Agosto-18'!C135</f>
        <v>169.92</v>
      </c>
      <c r="L16" s="588">
        <f>'Setembro-18'!C132</f>
        <v>146.82</v>
      </c>
      <c r="M16" s="565">
        <f>'Outubro-18'!C125</f>
        <v>146.82</v>
      </c>
      <c r="N16" s="565">
        <f>'Novembro-18'!C122</f>
        <v>146.82</v>
      </c>
      <c r="O16" s="565">
        <f>'Dezembro-18'!C150</f>
        <v>146.82</v>
      </c>
    </row>
    <row r="17" spans="1:17" x14ac:dyDescent="0.25">
      <c r="A17" s="329" t="s">
        <v>1527</v>
      </c>
      <c r="B17" s="336">
        <f t="shared" si="1"/>
        <v>480.15249999999997</v>
      </c>
      <c r="C17" s="332">
        <f>D17+E17+F17+G17+H17+I17+J17+K17+L17+M17+N17+O17</f>
        <v>5761.83</v>
      </c>
      <c r="D17" s="588">
        <f>'Janeiro-2018'!C131</f>
        <v>437.13</v>
      </c>
      <c r="E17" s="587">
        <f>'Fevereiro-18'!C105</f>
        <v>429.09</v>
      </c>
      <c r="F17" s="588">
        <f>'Março-18'!C127</f>
        <v>366.22</v>
      </c>
      <c r="G17" s="549">
        <f>'Abril-18'!C136</f>
        <v>658.64</v>
      </c>
      <c r="H17" s="588">
        <f>'Maio-18'!C132</f>
        <v>459.58</v>
      </c>
      <c r="I17" s="549">
        <f>'Junho-18'!C131</f>
        <v>561.62</v>
      </c>
      <c r="J17" s="549">
        <f>'Julho-18'!C135</f>
        <v>675.65</v>
      </c>
      <c r="K17" s="588">
        <f>'Agosto-18'!C136</f>
        <v>521.62</v>
      </c>
      <c r="L17" s="588">
        <f>'Setembro-18'!C133</f>
        <v>369.17</v>
      </c>
      <c r="M17" s="561">
        <f>'Outubro-18'!C126</f>
        <v>376.18</v>
      </c>
      <c r="N17" s="565">
        <f>'Novembro-18'!C123</f>
        <v>344.91</v>
      </c>
      <c r="O17" s="561">
        <f>'Dezembro-18'!C151</f>
        <v>562.02</v>
      </c>
    </row>
    <row r="18" spans="1:17" ht="15.75" x14ac:dyDescent="0.25">
      <c r="A18" s="389" t="s">
        <v>361</v>
      </c>
      <c r="B18" s="551">
        <f t="shared" ref="B18:O18" si="2">SUM(B3:B17)</f>
        <v>3355.6174999999998</v>
      </c>
      <c r="C18" s="552">
        <f t="shared" si="2"/>
        <v>40267.410000000003</v>
      </c>
      <c r="D18" s="391">
        <f t="shared" si="2"/>
        <v>3079.6600000000008</v>
      </c>
      <c r="E18" s="391">
        <f>SUM(E3:E17)</f>
        <v>2877.13</v>
      </c>
      <c r="F18" s="391">
        <f t="shared" si="2"/>
        <v>3609.46</v>
      </c>
      <c r="G18" s="391">
        <f t="shared" si="2"/>
        <v>3680.2299999999996</v>
      </c>
      <c r="H18" s="391">
        <f t="shared" si="2"/>
        <v>2936.94</v>
      </c>
      <c r="I18" s="391">
        <f t="shared" si="2"/>
        <v>3189.3700000000003</v>
      </c>
      <c r="J18" s="391">
        <f t="shared" si="2"/>
        <v>3640.1000000000004</v>
      </c>
      <c r="K18" s="391">
        <f t="shared" si="2"/>
        <v>3391.26</v>
      </c>
      <c r="L18" s="391">
        <f t="shared" si="2"/>
        <v>3335.0000000000005</v>
      </c>
      <c r="M18" s="391">
        <f t="shared" si="2"/>
        <v>2713.35</v>
      </c>
      <c r="N18" s="391">
        <f t="shared" si="2"/>
        <v>3263.7999999999997</v>
      </c>
      <c r="O18" s="391">
        <f t="shared" si="2"/>
        <v>4551.1100000000006</v>
      </c>
    </row>
    <row r="21" spans="1:17" x14ac:dyDescent="0.25">
      <c r="F21" s="223"/>
    </row>
    <row r="23" spans="1:17" x14ac:dyDescent="0.25">
      <c r="B23" s="867" t="s">
        <v>2090</v>
      </c>
      <c r="C23" s="867" t="s">
        <v>2091</v>
      </c>
    </row>
    <row r="24" spans="1:17" s="200" customFormat="1" ht="18" customHeight="1" x14ac:dyDescent="0.3">
      <c r="A24" s="198" t="s">
        <v>362</v>
      </c>
      <c r="B24" s="199">
        <v>3775</v>
      </c>
      <c r="C24" s="846">
        <v>4000</v>
      </c>
      <c r="D24" s="196"/>
      <c r="E24" s="196"/>
      <c r="F24" s="196"/>
      <c r="G24" s="196"/>
      <c r="H24" s="196"/>
      <c r="I24" s="196"/>
      <c r="J24" s="196"/>
      <c r="K24" s="196"/>
      <c r="L24" s="196"/>
      <c r="M24" s="196"/>
    </row>
    <row r="25" spans="1:17" s="200" customFormat="1" ht="17.25" customHeight="1" x14ac:dyDescent="0.3">
      <c r="A25" s="198"/>
      <c r="B25" s="199"/>
      <c r="C25" s="196"/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N25" s="196"/>
    </row>
    <row r="26" spans="1:17" ht="15.75" x14ac:dyDescent="0.25">
      <c r="A26" s="197" t="s">
        <v>2092</v>
      </c>
      <c r="B26" s="278" t="s">
        <v>345</v>
      </c>
      <c r="C26" s="193" t="s">
        <v>346</v>
      </c>
      <c r="D26" s="195" t="s">
        <v>347</v>
      </c>
      <c r="E26" s="195" t="s">
        <v>348</v>
      </c>
      <c r="F26" s="195" t="s">
        <v>349</v>
      </c>
      <c r="G26" s="195" t="s">
        <v>364</v>
      </c>
      <c r="H26" s="195" t="s">
        <v>351</v>
      </c>
      <c r="I26" s="195" t="s">
        <v>352</v>
      </c>
      <c r="J26" s="193" t="s">
        <v>353</v>
      </c>
      <c r="K26" s="193" t="s">
        <v>354</v>
      </c>
      <c r="L26" s="193" t="s">
        <v>355</v>
      </c>
      <c r="M26" s="193" t="s">
        <v>365</v>
      </c>
      <c r="N26" s="193" t="s">
        <v>357</v>
      </c>
      <c r="O26" s="193"/>
      <c r="P26" s="193"/>
      <c r="Q26" s="193"/>
    </row>
    <row r="27" spans="1:17" x14ac:dyDescent="0.25">
      <c r="A27" s="79" t="s">
        <v>366</v>
      </c>
      <c r="B27" s="633">
        <f>C27+D27+E27+F27+G27+H27+I27+J27+K27+L27+M27+N27</f>
        <v>17140.55</v>
      </c>
      <c r="C27" s="865">
        <v>1409.62</v>
      </c>
      <c r="D27" s="865">
        <v>1510.31</v>
      </c>
      <c r="E27" s="865">
        <v>1510.31</v>
      </c>
      <c r="F27" s="865">
        <v>1510.31</v>
      </c>
      <c r="G27" s="865">
        <f>C24*40%</f>
        <v>1600</v>
      </c>
      <c r="H27" s="865">
        <v>1600</v>
      </c>
      <c r="I27" s="865">
        <v>1600</v>
      </c>
      <c r="J27" s="865">
        <v>1600</v>
      </c>
      <c r="K27" s="865">
        <v>1600</v>
      </c>
      <c r="L27" s="865">
        <v>1600</v>
      </c>
      <c r="M27" s="865">
        <v>1600</v>
      </c>
      <c r="N27" s="865"/>
      <c r="Q27" s="629"/>
    </row>
    <row r="28" spans="1:17" x14ac:dyDescent="0.25">
      <c r="A28" s="79" t="s">
        <v>367</v>
      </c>
      <c r="B28" s="633">
        <f>C28+D28+E28+J29+F28+G28+H28+I28+J28+K28+L28+M28+N28</f>
        <v>22124.980000000003</v>
      </c>
      <c r="C28" s="865">
        <v>1602.66</v>
      </c>
      <c r="D28" s="865">
        <v>1729.32</v>
      </c>
      <c r="E28" s="177">
        <v>1729.32</v>
      </c>
      <c r="F28" s="865">
        <v>1744.75</v>
      </c>
      <c r="G28" s="865">
        <v>1809.24</v>
      </c>
      <c r="H28" s="865">
        <v>1655.06</v>
      </c>
      <c r="I28" s="865">
        <v>1733.24</v>
      </c>
      <c r="J28" s="865">
        <v>1837.68</v>
      </c>
      <c r="K28" s="865">
        <v>1837.68</v>
      </c>
      <c r="L28" s="865">
        <v>1837.68</v>
      </c>
      <c r="M28" s="865">
        <v>1837.68</v>
      </c>
      <c r="N28" s="865">
        <v>2770.67</v>
      </c>
      <c r="O28" s="216"/>
      <c r="P28" s="216"/>
      <c r="Q28" s="216"/>
    </row>
    <row r="29" spans="1:17" x14ac:dyDescent="0.25">
      <c r="A29" s="79" t="s">
        <v>368</v>
      </c>
      <c r="B29" s="633">
        <f>C29+D29+E29+J30+F29+G29+H29+I29+J29+K29+L29+M29+N29</f>
        <v>4408</v>
      </c>
      <c r="C29" s="865"/>
      <c r="D29" s="865"/>
      <c r="E29" s="865"/>
      <c r="F29" s="865"/>
      <c r="G29" s="865"/>
      <c r="H29" s="865"/>
      <c r="I29" s="865"/>
      <c r="J29" s="865"/>
      <c r="K29" s="865"/>
      <c r="L29" s="800"/>
      <c r="M29" s="800"/>
      <c r="N29" s="800">
        <v>4408</v>
      </c>
      <c r="O29" s="216"/>
      <c r="P29" s="216"/>
      <c r="Q29" s="216"/>
    </row>
    <row r="30" spans="1:17" x14ac:dyDescent="0.25">
      <c r="A30" s="79" t="s">
        <v>369</v>
      </c>
      <c r="B30" s="633">
        <f>C30+D30+E30+F30+G30+H30+I30+J30+K30+L30+M30+N30</f>
        <v>3437.6800000000003</v>
      </c>
      <c r="C30" s="865"/>
      <c r="D30" s="865"/>
      <c r="E30" s="865"/>
      <c r="F30" s="865"/>
      <c r="G30" s="865"/>
      <c r="H30" s="865"/>
      <c r="I30" s="865"/>
      <c r="J30" s="865"/>
      <c r="K30" s="865"/>
      <c r="L30" s="800"/>
      <c r="M30" s="866">
        <v>2000</v>
      </c>
      <c r="N30" s="800">
        <v>1437.68</v>
      </c>
      <c r="O30" s="216"/>
      <c r="P30" s="216"/>
      <c r="Q30" s="216"/>
    </row>
    <row r="31" spans="1:17" ht="15.75" x14ac:dyDescent="0.25">
      <c r="A31" s="280" t="s">
        <v>361</v>
      </c>
      <c r="B31" s="206">
        <f>SUM(B27:B30)</f>
        <v>47111.21</v>
      </c>
      <c r="C31" s="206">
        <f>SUM(C27:C30)</f>
        <v>3012.2799999999997</v>
      </c>
      <c r="D31" s="206">
        <f t="shared" ref="D31:L31" si="3">SUM(D27:D28)</f>
        <v>3239.63</v>
      </c>
      <c r="E31" s="206">
        <f t="shared" si="3"/>
        <v>3239.63</v>
      </c>
      <c r="F31" s="206">
        <f t="shared" si="3"/>
        <v>3255.06</v>
      </c>
      <c r="G31" s="206">
        <f t="shared" si="3"/>
        <v>3409.24</v>
      </c>
      <c r="H31" s="206">
        <f t="shared" si="3"/>
        <v>3255.06</v>
      </c>
      <c r="I31" s="206">
        <f t="shared" si="3"/>
        <v>3333.24</v>
      </c>
      <c r="J31" s="206">
        <f t="shared" si="3"/>
        <v>3437.6800000000003</v>
      </c>
      <c r="K31" s="206">
        <f t="shared" si="3"/>
        <v>3437.6800000000003</v>
      </c>
      <c r="L31" s="206">
        <f t="shared" si="3"/>
        <v>3437.6800000000003</v>
      </c>
      <c r="M31" s="206">
        <f>SUM(M27:M30)</f>
        <v>5437.68</v>
      </c>
      <c r="N31" s="206">
        <f>SUM(N27:N30)</f>
        <v>8616.35</v>
      </c>
      <c r="O31" s="206"/>
      <c r="P31" s="633"/>
      <c r="Q31" s="633"/>
    </row>
    <row r="32" spans="1:17" ht="15.75" x14ac:dyDescent="0.25">
      <c r="A32" s="280"/>
      <c r="B32" s="206"/>
      <c r="C32" s="206"/>
      <c r="D32" s="206"/>
      <c r="E32" s="206"/>
      <c r="F32" s="206"/>
      <c r="G32" s="206"/>
      <c r="I32" s="206"/>
      <c r="J32" s="206"/>
      <c r="K32" s="206"/>
      <c r="L32" s="206"/>
      <c r="M32" s="206"/>
      <c r="O32" s="216"/>
      <c r="P32" s="216"/>
      <c r="Q32" s="216"/>
    </row>
    <row r="33" spans="1:17" x14ac:dyDescent="0.25">
      <c r="B33" s="206"/>
      <c r="C33" s="865"/>
      <c r="D33" s="865"/>
      <c r="E33" s="865"/>
      <c r="F33" s="865"/>
      <c r="G33" s="865"/>
      <c r="H33" s="865"/>
      <c r="I33" s="865"/>
      <c r="M33" s="216"/>
      <c r="N33" s="206"/>
      <c r="O33" s="216"/>
      <c r="P33" s="216"/>
      <c r="Q33" s="216"/>
    </row>
    <row r="34" spans="1:17" x14ac:dyDescent="0.25">
      <c r="A34" s="81" t="s">
        <v>371</v>
      </c>
      <c r="B34" s="206">
        <f>C34+D34+E34+F34+G34+H34+I34+J34+K34+M34+L34+N34+O34+P34</f>
        <v>3885.56</v>
      </c>
      <c r="C34" s="177">
        <f>B24*8%</f>
        <v>302</v>
      </c>
      <c r="D34" s="177">
        <v>302</v>
      </c>
      <c r="E34" s="177">
        <v>302</v>
      </c>
      <c r="F34" s="177">
        <f>C24*8%</f>
        <v>320</v>
      </c>
      <c r="G34" s="177">
        <v>320</v>
      </c>
      <c r="H34" s="177">
        <v>320</v>
      </c>
      <c r="I34" s="177">
        <v>320</v>
      </c>
      <c r="J34" s="177">
        <v>320</v>
      </c>
      <c r="K34" s="177">
        <v>320</v>
      </c>
      <c r="L34" s="177">
        <v>320</v>
      </c>
      <c r="M34" s="177">
        <v>320</v>
      </c>
      <c r="N34" s="216">
        <v>419.56</v>
      </c>
      <c r="O34" s="216"/>
      <c r="P34" s="216"/>
      <c r="Q34" s="216"/>
    </row>
    <row r="35" spans="1:17" x14ac:dyDescent="0.25">
      <c r="A35" s="81" t="s">
        <v>373</v>
      </c>
      <c r="B35" s="206">
        <f>C35+D35+E35+F35+G35+H35+I35+J35+K35+M35+L35+N35+O35+P35</f>
        <v>320</v>
      </c>
      <c r="C35" s="177"/>
      <c r="D35" s="177"/>
      <c r="E35" s="177"/>
      <c r="F35" s="177"/>
      <c r="G35" s="177"/>
      <c r="H35" s="177"/>
      <c r="I35" s="177"/>
      <c r="J35" s="177"/>
      <c r="K35" s="177"/>
      <c r="L35" s="177"/>
      <c r="M35" s="177">
        <v>160</v>
      </c>
      <c r="N35" s="177">
        <v>160</v>
      </c>
      <c r="O35" s="216"/>
      <c r="P35" s="216"/>
      <c r="Q35" s="216"/>
    </row>
    <row r="36" spans="1:17" ht="15.75" x14ac:dyDescent="0.25">
      <c r="A36" s="280" t="s">
        <v>361</v>
      </c>
      <c r="B36" s="206">
        <f t="shared" ref="B36:N36" si="4">SUM(B34:B35)</f>
        <v>4205.5599999999995</v>
      </c>
      <c r="C36" s="206">
        <f t="shared" si="4"/>
        <v>302</v>
      </c>
      <c r="D36" s="206">
        <f t="shared" si="4"/>
        <v>302</v>
      </c>
      <c r="E36" s="206">
        <f t="shared" si="4"/>
        <v>302</v>
      </c>
      <c r="F36" s="206">
        <f t="shared" si="4"/>
        <v>320</v>
      </c>
      <c r="G36" s="206">
        <f t="shared" si="4"/>
        <v>320</v>
      </c>
      <c r="H36" s="206">
        <f t="shared" si="4"/>
        <v>320</v>
      </c>
      <c r="I36" s="206">
        <f t="shared" si="4"/>
        <v>320</v>
      </c>
      <c r="J36" s="206">
        <f t="shared" si="4"/>
        <v>320</v>
      </c>
      <c r="K36" s="206">
        <f t="shared" si="4"/>
        <v>320</v>
      </c>
      <c r="L36" s="206">
        <f t="shared" si="4"/>
        <v>320</v>
      </c>
      <c r="M36" s="206">
        <f t="shared" si="4"/>
        <v>480</v>
      </c>
      <c r="N36" s="633">
        <f t="shared" si="4"/>
        <v>579.55999999999995</v>
      </c>
      <c r="O36" s="633"/>
      <c r="P36" s="633"/>
      <c r="Q36" s="216"/>
    </row>
    <row r="37" spans="1:17" ht="15.75" x14ac:dyDescent="0.25">
      <c r="A37" s="280"/>
      <c r="B37" s="206"/>
      <c r="C37" s="206"/>
      <c r="D37" s="206"/>
      <c r="E37" s="206"/>
      <c r="F37" s="206"/>
      <c r="G37" s="206"/>
      <c r="H37" s="206"/>
      <c r="I37" s="206"/>
      <c r="J37" s="206"/>
      <c r="K37" s="206"/>
      <c r="L37" s="206"/>
      <c r="M37" s="206"/>
      <c r="N37" s="206"/>
    </row>
    <row r="38" spans="1:17" x14ac:dyDescent="0.25">
      <c r="A38" s="81"/>
      <c r="B38" s="206"/>
      <c r="C38" s="177"/>
      <c r="D38" s="177"/>
      <c r="E38" s="177"/>
      <c r="F38" s="177"/>
      <c r="G38" s="177"/>
      <c r="H38" s="177"/>
      <c r="I38" s="177"/>
      <c r="J38" s="177"/>
      <c r="K38" s="177"/>
      <c r="L38" s="177"/>
      <c r="M38" s="177"/>
    </row>
    <row r="39" spans="1:17" ht="15.75" x14ac:dyDescent="0.25">
      <c r="A39" s="197" t="s">
        <v>374</v>
      </c>
      <c r="B39" s="278" t="s">
        <v>345</v>
      </c>
      <c r="C39" s="193" t="s">
        <v>346</v>
      </c>
      <c r="D39" s="195" t="s">
        <v>347</v>
      </c>
      <c r="E39" s="195" t="s">
        <v>348</v>
      </c>
      <c r="F39" s="195" t="s">
        <v>349</v>
      </c>
      <c r="G39" s="195" t="s">
        <v>364</v>
      </c>
      <c r="H39" s="195" t="s">
        <v>351</v>
      </c>
      <c r="I39" s="195" t="s">
        <v>352</v>
      </c>
      <c r="J39" s="193" t="s">
        <v>353</v>
      </c>
      <c r="K39" s="193" t="s">
        <v>354</v>
      </c>
      <c r="L39" s="193" t="s">
        <v>355</v>
      </c>
      <c r="M39" s="193" t="s">
        <v>356</v>
      </c>
      <c r="N39" s="193" t="s">
        <v>357</v>
      </c>
      <c r="O39" s="193"/>
    </row>
    <row r="40" spans="1:17" x14ac:dyDescent="0.25">
      <c r="A40" s="79" t="s">
        <v>1214</v>
      </c>
      <c r="B40" s="633">
        <f t="shared" ref="B40:B47" si="5">C40+D40+E40+F40+G40+H40+I40+J40+K40+L40+M40+N40</f>
        <v>3836.25</v>
      </c>
      <c r="C40" s="865">
        <f>B24*11%</f>
        <v>415.25</v>
      </c>
      <c r="D40" s="865">
        <v>415.25</v>
      </c>
      <c r="E40" s="865">
        <v>415.25</v>
      </c>
      <c r="F40" s="865">
        <f>C24*11%</f>
        <v>440</v>
      </c>
      <c r="G40" s="865">
        <v>440</v>
      </c>
      <c r="H40" s="865">
        <f>G24*11%</f>
        <v>0</v>
      </c>
      <c r="I40" s="865">
        <v>415.25</v>
      </c>
      <c r="J40" s="865">
        <v>415.25</v>
      </c>
      <c r="K40" s="865">
        <f>H24*11%</f>
        <v>0</v>
      </c>
      <c r="L40" s="865">
        <v>440</v>
      </c>
      <c r="M40" s="865">
        <v>440</v>
      </c>
      <c r="N40" s="865"/>
    </row>
    <row r="41" spans="1:17" x14ac:dyDescent="0.25">
      <c r="A41" s="79" t="s">
        <v>1215</v>
      </c>
      <c r="B41" s="633">
        <f t="shared" si="5"/>
        <v>575.99</v>
      </c>
      <c r="C41" s="865"/>
      <c r="D41" s="865"/>
      <c r="E41" s="865"/>
      <c r="F41" s="865"/>
      <c r="G41" s="865"/>
      <c r="H41" s="865"/>
      <c r="I41" s="865"/>
      <c r="J41" s="865"/>
      <c r="K41" s="865"/>
      <c r="L41" s="865"/>
      <c r="M41" s="865"/>
      <c r="N41" s="865">
        <v>575.99</v>
      </c>
    </row>
    <row r="42" spans="1:17" x14ac:dyDescent="0.25">
      <c r="A42" s="79" t="s">
        <v>1216</v>
      </c>
      <c r="B42" s="633">
        <f t="shared" si="5"/>
        <v>0</v>
      </c>
      <c r="C42" s="865"/>
      <c r="D42" s="865"/>
      <c r="E42" s="865"/>
      <c r="F42" s="865"/>
      <c r="G42" s="865"/>
      <c r="H42" s="865"/>
      <c r="I42" s="865"/>
      <c r="J42" s="865"/>
      <c r="K42" s="865"/>
      <c r="L42" s="865"/>
      <c r="M42" s="865"/>
      <c r="N42" s="865"/>
    </row>
    <row r="43" spans="1:17" x14ac:dyDescent="0.25">
      <c r="A43" s="79" t="s">
        <v>1479</v>
      </c>
      <c r="B43" s="633">
        <f>C43+D43+E43+F43+G43+H43+I43+J43+K43+L43+M43+N43</f>
        <v>1601.4799999999998</v>
      </c>
      <c r="C43" s="865">
        <v>120.83</v>
      </c>
      <c r="D43" s="865">
        <v>120.83</v>
      </c>
      <c r="E43" s="865">
        <v>120.83</v>
      </c>
      <c r="F43" s="865">
        <v>150.76</v>
      </c>
      <c r="G43" s="865">
        <v>150.76</v>
      </c>
      <c r="H43" s="865">
        <v>159.739</v>
      </c>
      <c r="I43" s="865">
        <v>168.71799999999999</v>
      </c>
      <c r="J43" s="865">
        <v>177.697</v>
      </c>
      <c r="K43" s="865">
        <v>186.67599999999999</v>
      </c>
      <c r="L43" s="865">
        <v>122.32</v>
      </c>
      <c r="M43" s="865">
        <v>122.32</v>
      </c>
      <c r="N43" s="865"/>
    </row>
    <row r="44" spans="1:17" x14ac:dyDescent="0.25">
      <c r="A44" s="79" t="s">
        <v>1480</v>
      </c>
      <c r="B44" s="633">
        <f t="shared" si="5"/>
        <v>348.95</v>
      </c>
      <c r="C44" s="865"/>
      <c r="D44" s="865"/>
      <c r="E44" s="865"/>
      <c r="F44" s="865"/>
      <c r="G44" s="865"/>
      <c r="H44" s="865"/>
      <c r="I44" s="865"/>
      <c r="J44" s="216"/>
      <c r="K44" s="216"/>
      <c r="L44" s="216"/>
      <c r="M44" s="216"/>
      <c r="N44" s="865">
        <v>348.95</v>
      </c>
    </row>
    <row r="45" spans="1:17" x14ac:dyDescent="0.25">
      <c r="A45" s="79" t="s">
        <v>1481</v>
      </c>
      <c r="B45" s="633">
        <f t="shared" si="5"/>
        <v>122.32</v>
      </c>
      <c r="C45" s="865"/>
      <c r="D45" s="865"/>
      <c r="E45" s="865"/>
      <c r="F45" s="865"/>
      <c r="G45" s="865"/>
      <c r="H45" s="865"/>
      <c r="I45" s="865"/>
      <c r="J45" s="216"/>
      <c r="K45" s="216"/>
      <c r="L45" s="216"/>
      <c r="M45" s="216"/>
      <c r="N45" s="865">
        <v>122.32</v>
      </c>
    </row>
    <row r="46" spans="1:17" x14ac:dyDescent="0.25">
      <c r="A46" s="79" t="s">
        <v>378</v>
      </c>
      <c r="B46" s="633">
        <f t="shared" si="5"/>
        <v>0</v>
      </c>
      <c r="C46" s="865"/>
      <c r="D46" s="865"/>
      <c r="E46" s="865"/>
      <c r="F46" s="865"/>
      <c r="G46" s="865"/>
      <c r="H46" s="865"/>
      <c r="I46" s="865"/>
      <c r="J46" s="216"/>
      <c r="K46" s="216"/>
      <c r="L46" s="216"/>
      <c r="M46" s="216"/>
      <c r="N46" s="216"/>
    </row>
    <row r="47" spans="1:17" x14ac:dyDescent="0.25">
      <c r="A47" s="79" t="s">
        <v>379</v>
      </c>
      <c r="B47" s="633">
        <f t="shared" si="5"/>
        <v>0</v>
      </c>
      <c r="C47" s="865"/>
      <c r="D47" s="865"/>
      <c r="E47" s="865"/>
      <c r="F47" s="865"/>
      <c r="G47" s="865"/>
      <c r="H47" s="865"/>
      <c r="I47" s="865"/>
      <c r="J47" s="216"/>
      <c r="K47" s="216"/>
      <c r="L47" s="216"/>
      <c r="M47" s="216"/>
      <c r="N47" s="216"/>
    </row>
    <row r="48" spans="1:17" ht="15.75" x14ac:dyDescent="0.25">
      <c r="A48" s="280" t="s">
        <v>361</v>
      </c>
      <c r="B48" s="206">
        <f t="shared" ref="B48:N48" si="6">SUM(B40:B47)</f>
        <v>6484.9899999999989</v>
      </c>
      <c r="C48" s="865">
        <f t="shared" si="6"/>
        <v>536.08000000000004</v>
      </c>
      <c r="D48" s="865">
        <f t="shared" si="6"/>
        <v>536.08000000000004</v>
      </c>
      <c r="E48" s="865">
        <f t="shared" si="6"/>
        <v>536.08000000000004</v>
      </c>
      <c r="F48" s="865">
        <f t="shared" si="6"/>
        <v>590.76</v>
      </c>
      <c r="G48" s="865">
        <f t="shared" si="6"/>
        <v>590.76</v>
      </c>
      <c r="H48" s="865">
        <f t="shared" si="6"/>
        <v>159.739</v>
      </c>
      <c r="I48" s="865">
        <f t="shared" si="6"/>
        <v>583.96799999999996</v>
      </c>
      <c r="J48" s="865">
        <f t="shared" si="6"/>
        <v>592.947</v>
      </c>
      <c r="K48" s="865">
        <f t="shared" si="6"/>
        <v>186.67599999999999</v>
      </c>
      <c r="L48" s="865">
        <f t="shared" si="6"/>
        <v>562.31999999999994</v>
      </c>
      <c r="M48" s="865">
        <f t="shared" si="6"/>
        <v>562.31999999999994</v>
      </c>
      <c r="N48" s="865">
        <f t="shared" si="6"/>
        <v>1047.26</v>
      </c>
    </row>
    <row r="49" spans="1:19" x14ac:dyDescent="0.25">
      <c r="B49" s="194"/>
      <c r="C49" s="865"/>
      <c r="D49" s="865"/>
      <c r="E49" s="865"/>
      <c r="F49" s="865"/>
      <c r="G49" s="865"/>
      <c r="H49" s="865"/>
      <c r="I49" s="865"/>
    </row>
    <row r="50" spans="1:19" ht="18.75" x14ac:dyDescent="0.3">
      <c r="A50" s="353" t="s">
        <v>380</v>
      </c>
      <c r="B50" s="200" t="s">
        <v>381</v>
      </c>
      <c r="C50" s="354" t="s">
        <v>382</v>
      </c>
      <c r="D50" s="355" t="s">
        <v>383</v>
      </c>
    </row>
    <row r="51" spans="1:19" ht="18.75" x14ac:dyDescent="0.3">
      <c r="A51" s="353">
        <f>'Programação Pagtos.'!B10</f>
        <v>5422.7419999999993</v>
      </c>
      <c r="B51" s="79" t="s">
        <v>32</v>
      </c>
      <c r="C51" s="177">
        <f t="shared" ref="C51:C56" si="7">B3</f>
        <v>347.74916666666672</v>
      </c>
      <c r="D51" s="222">
        <f>C51/A51</f>
        <v>6.4127920278461856E-2</v>
      </c>
      <c r="F51" s="801"/>
      <c r="G51" s="629"/>
      <c r="I51" s="629"/>
    </row>
    <row r="52" spans="1:19" x14ac:dyDescent="0.25">
      <c r="B52" s="79" t="s">
        <v>16</v>
      </c>
      <c r="C52" s="177">
        <f t="shared" si="7"/>
        <v>412.36750000000001</v>
      </c>
      <c r="D52" s="222">
        <f>C52/A51</f>
        <v>7.6044093560047682E-2</v>
      </c>
      <c r="E52" s="177"/>
      <c r="F52" s="801"/>
      <c r="G52" s="629"/>
      <c r="I52" s="629"/>
    </row>
    <row r="53" spans="1:19" x14ac:dyDescent="0.25">
      <c r="B53" s="79" t="s">
        <v>50</v>
      </c>
      <c r="C53" s="177">
        <f t="shared" si="7"/>
        <v>144.72166666666664</v>
      </c>
      <c r="D53" s="222">
        <f>C53/A51</f>
        <v>2.6687912990635856E-2</v>
      </c>
      <c r="E53" s="177"/>
      <c r="F53" s="801"/>
      <c r="G53" s="629"/>
      <c r="I53" s="629"/>
    </row>
    <row r="54" spans="1:19" x14ac:dyDescent="0.25">
      <c r="B54" s="79" t="s">
        <v>14</v>
      </c>
      <c r="C54" s="177">
        <f t="shared" si="7"/>
        <v>122.61500000000002</v>
      </c>
      <c r="D54" s="222">
        <f>C54/A51</f>
        <v>2.2611254601454401E-2</v>
      </c>
      <c r="E54" s="177"/>
      <c r="F54" s="801"/>
      <c r="G54" s="629"/>
      <c r="I54" s="629"/>
    </row>
    <row r="55" spans="1:19" x14ac:dyDescent="0.25">
      <c r="B55" s="79" t="s">
        <v>358</v>
      </c>
      <c r="C55" s="177">
        <f t="shared" si="7"/>
        <v>110.08750000000002</v>
      </c>
      <c r="D55" s="222">
        <f>C55/A51</f>
        <v>2.0301076466481355E-2</v>
      </c>
      <c r="E55" s="177"/>
      <c r="F55" s="801"/>
      <c r="G55" s="629"/>
      <c r="I55" s="629"/>
    </row>
    <row r="56" spans="1:19" x14ac:dyDescent="0.25">
      <c r="B56" s="79" t="s">
        <v>52</v>
      </c>
      <c r="C56" s="863">
        <f t="shared" si="7"/>
        <v>119.30416666666667</v>
      </c>
      <c r="D56" s="222">
        <f>C56/A51</f>
        <v>2.200070862059576E-2</v>
      </c>
      <c r="E56" s="177"/>
      <c r="F56" s="801"/>
      <c r="G56" s="629"/>
      <c r="I56" s="629"/>
    </row>
    <row r="57" spans="1:19" x14ac:dyDescent="0.25">
      <c r="B57" s="79" t="s">
        <v>53</v>
      </c>
      <c r="C57" s="863">
        <f xml:space="preserve"> B9</f>
        <v>182.76333333333332</v>
      </c>
      <c r="D57" s="222">
        <f>C57/A51</f>
        <v>3.3703121655674073E-2</v>
      </c>
      <c r="E57" s="177"/>
      <c r="F57" s="801"/>
      <c r="G57" s="629"/>
      <c r="I57" s="629"/>
    </row>
    <row r="58" spans="1:19" x14ac:dyDescent="0.25">
      <c r="B58" s="79" t="s">
        <v>2093</v>
      </c>
      <c r="C58" s="1509">
        <f t="shared" ref="C58:C65" si="8">B10</f>
        <v>0</v>
      </c>
      <c r="D58" s="222">
        <f>C58/A51</f>
        <v>0</v>
      </c>
      <c r="E58" s="177"/>
      <c r="F58" s="801"/>
      <c r="G58" s="629"/>
      <c r="I58" s="629"/>
    </row>
    <row r="59" spans="1:19" x14ac:dyDescent="0.25">
      <c r="B59" s="79" t="s">
        <v>56</v>
      </c>
      <c r="C59" s="863">
        <f>B11</f>
        <v>49.480833333333329</v>
      </c>
      <c r="D59" s="222">
        <f>C59/A51</f>
        <v>9.1246888259359071E-3</v>
      </c>
      <c r="E59" s="177"/>
      <c r="F59" s="801"/>
      <c r="G59"/>
      <c r="H59"/>
      <c r="I59"/>
      <c r="J59"/>
      <c r="K59"/>
      <c r="L59"/>
      <c r="M59"/>
      <c r="N59"/>
      <c r="O59"/>
      <c r="P59"/>
      <c r="Q59"/>
      <c r="R59"/>
      <c r="S59"/>
    </row>
    <row r="60" spans="1:19" x14ac:dyDescent="0.25">
      <c r="B60" s="79" t="s">
        <v>57</v>
      </c>
      <c r="C60" s="863">
        <f t="shared" si="8"/>
        <v>334.62833333333333</v>
      </c>
      <c r="D60" s="222">
        <f>C60/A51</f>
        <v>6.1708326402645265E-2</v>
      </c>
      <c r="E60" s="177"/>
      <c r="F60" s="801"/>
      <c r="G60" s="202"/>
      <c r="H60"/>
      <c r="I60"/>
      <c r="J60"/>
      <c r="K60"/>
      <c r="L60"/>
      <c r="M60"/>
      <c r="N60"/>
      <c r="O60"/>
      <c r="P60"/>
      <c r="Q60"/>
      <c r="R60"/>
      <c r="S60"/>
    </row>
    <row r="61" spans="1:19" ht="14.25" customHeight="1" x14ac:dyDescent="0.25">
      <c r="B61" s="79" t="s">
        <v>418</v>
      </c>
      <c r="C61" s="863">
        <f t="shared" si="8"/>
        <v>303.41916666666663</v>
      </c>
      <c r="D61" s="222">
        <f>C61/A51</f>
        <v>5.5953089169034166E-2</v>
      </c>
      <c r="F61" s="801"/>
      <c r="G61" s="202"/>
      <c r="H61"/>
      <c r="I61"/>
      <c r="J61"/>
      <c r="K61"/>
      <c r="L61"/>
      <c r="M61"/>
      <c r="N61"/>
      <c r="O61"/>
      <c r="P61"/>
      <c r="Q61"/>
      <c r="R61"/>
      <c r="S61"/>
    </row>
    <row r="62" spans="1:19" x14ac:dyDescent="0.25">
      <c r="B62" s="79" t="s">
        <v>419</v>
      </c>
      <c r="C62" s="177">
        <f t="shared" si="8"/>
        <v>528.78249999999991</v>
      </c>
      <c r="D62" s="222">
        <f>C62/A51</f>
        <v>9.7512015139204475E-2</v>
      </c>
      <c r="F62" s="801"/>
      <c r="G62" s="202"/>
      <c r="H62"/>
      <c r="I62"/>
      <c r="J62"/>
      <c r="K62"/>
      <c r="L62"/>
      <c r="M62"/>
      <c r="N62"/>
      <c r="O62"/>
      <c r="P62"/>
      <c r="Q62"/>
      <c r="R62"/>
      <c r="S62"/>
    </row>
    <row r="63" spans="1:19" x14ac:dyDescent="0.25">
      <c r="B63" s="79" t="s">
        <v>911</v>
      </c>
      <c r="C63" s="1509">
        <f t="shared" si="8"/>
        <v>73.135833333333338</v>
      </c>
      <c r="D63" s="222">
        <f>C63/A51</f>
        <v>1.3486873123105128E-2</v>
      </c>
      <c r="F63" s="801"/>
      <c r="G63" s="202"/>
      <c r="H63"/>
      <c r="I63"/>
      <c r="J63"/>
      <c r="K63"/>
      <c r="L63"/>
      <c r="M63"/>
      <c r="N63"/>
      <c r="O63"/>
      <c r="P63"/>
      <c r="Q63"/>
      <c r="R63"/>
      <c r="S63"/>
    </row>
    <row r="64" spans="1:19" x14ac:dyDescent="0.25">
      <c r="B64" s="79" t="s">
        <v>1526</v>
      </c>
      <c r="C64" s="1509">
        <f t="shared" si="8"/>
        <v>146.40999999999997</v>
      </c>
      <c r="D64" s="222">
        <f>C64/A51</f>
        <v>2.6999256095901297E-2</v>
      </c>
      <c r="G64" s="202"/>
      <c r="H64"/>
      <c r="I64"/>
      <c r="J64"/>
      <c r="K64"/>
      <c r="L64"/>
      <c r="M64"/>
      <c r="N64"/>
      <c r="O64"/>
      <c r="P64"/>
      <c r="Q64"/>
      <c r="R64"/>
      <c r="S64"/>
    </row>
    <row r="65" spans="2:19" x14ac:dyDescent="0.25">
      <c r="B65" s="79" t="s">
        <v>1799</v>
      </c>
      <c r="C65" s="1509">
        <f t="shared" si="8"/>
        <v>480.15249999999997</v>
      </c>
      <c r="D65" s="222">
        <f>C65/A51</f>
        <v>8.8544227256247859E-2</v>
      </c>
      <c r="E65" s="85" t="s">
        <v>280</v>
      </c>
      <c r="G65" s="202"/>
      <c r="H65"/>
      <c r="I65"/>
      <c r="J65"/>
      <c r="K65"/>
      <c r="L65"/>
      <c r="M65"/>
      <c r="N65"/>
      <c r="O65"/>
      <c r="P65"/>
      <c r="Q65"/>
      <c r="R65"/>
      <c r="S65"/>
    </row>
    <row r="66" spans="2:19" x14ac:dyDescent="0.25">
      <c r="B66" s="89"/>
      <c r="C66" s="85"/>
      <c r="G66" s="202"/>
      <c r="H66"/>
      <c r="I66"/>
      <c r="J66"/>
      <c r="K66"/>
      <c r="L66"/>
      <c r="M66"/>
      <c r="N66"/>
      <c r="O66"/>
      <c r="P66"/>
      <c r="Q66"/>
      <c r="R66"/>
      <c r="S66"/>
    </row>
    <row r="67" spans="2:19" ht="18.75" x14ac:dyDescent="0.3">
      <c r="B67" s="200" t="s">
        <v>388</v>
      </c>
      <c r="C67" s="623">
        <f>SUM(C51:C65)</f>
        <v>3355.6174999999998</v>
      </c>
      <c r="D67" s="624">
        <f>SUM(D51:D65)</f>
        <v>0.61880456418542518</v>
      </c>
      <c r="G67" s="202"/>
      <c r="H67"/>
      <c r="I67"/>
      <c r="J67"/>
      <c r="K67"/>
      <c r="L67"/>
      <c r="M67"/>
      <c r="N67"/>
      <c r="O67"/>
      <c r="P67"/>
      <c r="Q67"/>
      <c r="R67"/>
      <c r="S67"/>
    </row>
    <row r="68" spans="2:19" x14ac:dyDescent="0.25">
      <c r="G68" s="202"/>
      <c r="H68"/>
      <c r="I68"/>
      <c r="J68"/>
      <c r="K68"/>
      <c r="L68"/>
      <c r="M68"/>
      <c r="N68"/>
      <c r="O68"/>
      <c r="P68"/>
      <c r="Q68"/>
      <c r="R68"/>
      <c r="S68"/>
    </row>
    <row r="69" spans="2:19" x14ac:dyDescent="0.25">
      <c r="G69" s="202"/>
      <c r="H69"/>
      <c r="I69"/>
      <c r="J69"/>
      <c r="K69"/>
      <c r="L69"/>
      <c r="M69"/>
      <c r="N69"/>
      <c r="O69"/>
      <c r="P69"/>
      <c r="Q69"/>
      <c r="R69"/>
      <c r="S69"/>
    </row>
    <row r="70" spans="2:19" x14ac:dyDescent="0.25">
      <c r="G70" s="202"/>
      <c r="H70"/>
      <c r="I70"/>
      <c r="J70"/>
      <c r="K70"/>
      <c r="L70"/>
      <c r="M70"/>
      <c r="N70"/>
      <c r="O70"/>
      <c r="P70"/>
      <c r="Q70"/>
      <c r="R70"/>
      <c r="S70"/>
    </row>
    <row r="71" spans="2:19" x14ac:dyDescent="0.25">
      <c r="G71" s="202"/>
      <c r="H71"/>
      <c r="I71"/>
      <c r="J71"/>
      <c r="K71"/>
      <c r="L71"/>
      <c r="M71"/>
      <c r="N71"/>
      <c r="O71"/>
      <c r="P71"/>
      <c r="Q71"/>
      <c r="R71"/>
      <c r="S71"/>
    </row>
    <row r="72" spans="2:19" x14ac:dyDescent="0.25">
      <c r="G72" s="202"/>
      <c r="H72"/>
      <c r="I72"/>
      <c r="J72"/>
      <c r="K72"/>
      <c r="L72"/>
      <c r="M72"/>
      <c r="N72"/>
      <c r="O72"/>
      <c r="P72"/>
      <c r="Q72"/>
      <c r="R72"/>
      <c r="S72"/>
    </row>
    <row r="73" spans="2:19" x14ac:dyDescent="0.25">
      <c r="G73" s="202"/>
      <c r="H73"/>
      <c r="I73"/>
      <c r="J73"/>
      <c r="K73"/>
      <c r="L73"/>
      <c r="M73"/>
      <c r="N73"/>
      <c r="O73"/>
      <c r="P73"/>
      <c r="Q73"/>
      <c r="R73"/>
      <c r="S73"/>
    </row>
    <row r="74" spans="2:19" x14ac:dyDescent="0.25">
      <c r="G74" s="202"/>
      <c r="H74"/>
      <c r="I74"/>
      <c r="J74"/>
      <c r="K74"/>
      <c r="L74"/>
      <c r="M74"/>
      <c r="N74"/>
      <c r="O74"/>
      <c r="P74"/>
      <c r="Q74"/>
      <c r="R74"/>
      <c r="S74"/>
    </row>
    <row r="75" spans="2:19" x14ac:dyDescent="0.25">
      <c r="G75" s="202"/>
      <c r="H75"/>
      <c r="I75"/>
      <c r="J75"/>
      <c r="K75"/>
      <c r="L75"/>
      <c r="M75"/>
      <c r="N75"/>
      <c r="O75"/>
      <c r="P75"/>
      <c r="Q75"/>
      <c r="R75"/>
      <c r="S75"/>
    </row>
    <row r="76" spans="2:19" x14ac:dyDescent="0.25">
      <c r="G76"/>
      <c r="H76"/>
      <c r="I76"/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Plan95"/>
  <dimension ref="A1:P230"/>
  <sheetViews>
    <sheetView zoomScale="85" zoomScaleNormal="85" workbookViewId="0">
      <pane ySplit="4" topLeftCell="A89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4257812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2094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x14ac:dyDescent="0.25">
      <c r="A5" s="281">
        <v>43466</v>
      </c>
      <c r="B5" s="369" t="s">
        <v>10</v>
      </c>
      <c r="C5" s="370"/>
      <c r="D5" s="370"/>
      <c r="E5" s="777"/>
      <c r="F5" s="889"/>
      <c r="G5" s="925">
        <f>'Dezembro-18'!G135</f>
        <v>3765.6300000000119</v>
      </c>
      <c r="H5" s="179"/>
      <c r="I5" s="933">
        <f>'Dezembro-18'!I135</f>
        <v>4799.9960000000028</v>
      </c>
      <c r="J5" s="179"/>
      <c r="K5" s="933">
        <f>'Dezembro-18'!K135</f>
        <v>9848</v>
      </c>
    </row>
    <row r="6" spans="1:13" s="224" customFormat="1" x14ac:dyDescent="0.25">
      <c r="A6" s="215">
        <v>43466</v>
      </c>
      <c r="B6" s="348" t="s">
        <v>11</v>
      </c>
      <c r="C6" s="351"/>
      <c r="D6" s="351"/>
      <c r="E6" s="673"/>
      <c r="F6" s="626">
        <v>162</v>
      </c>
      <c r="G6" s="1526"/>
      <c r="H6" s="250"/>
      <c r="I6" s="1473"/>
      <c r="J6" s="250"/>
      <c r="K6" s="1473"/>
      <c r="L6" s="89"/>
      <c r="M6" s="89"/>
    </row>
    <row r="7" spans="1:13" s="224" customFormat="1" ht="14.25" customHeight="1" x14ac:dyDescent="0.25">
      <c r="A7" s="215">
        <v>43466</v>
      </c>
      <c r="B7" s="876" t="s">
        <v>2095</v>
      </c>
      <c r="C7" s="350" t="s">
        <v>12</v>
      </c>
      <c r="D7" s="874" t="s">
        <v>1493</v>
      </c>
      <c r="E7" s="875" t="s">
        <v>15</v>
      </c>
      <c r="F7" s="852">
        <v>40</v>
      </c>
      <c r="G7" s="673"/>
      <c r="H7" s="622"/>
      <c r="I7" s="982"/>
      <c r="J7" s="622"/>
      <c r="K7" s="982"/>
    </row>
    <row r="8" spans="1:13" s="224" customFormat="1" ht="14.25" customHeight="1" x14ac:dyDescent="0.25">
      <c r="A8" s="215">
        <v>43466</v>
      </c>
      <c r="B8" s="876" t="s">
        <v>2077</v>
      </c>
      <c r="C8" s="350" t="s">
        <v>12</v>
      </c>
      <c r="D8" s="874" t="s">
        <v>1487</v>
      </c>
      <c r="E8" s="875" t="s">
        <v>13</v>
      </c>
      <c r="F8" s="852">
        <v>36.19</v>
      </c>
      <c r="G8" s="673"/>
      <c r="H8" s="622"/>
      <c r="I8" s="982"/>
      <c r="J8" s="622"/>
      <c r="K8" s="982"/>
    </row>
    <row r="9" spans="1:13" s="224" customFormat="1" ht="15" customHeight="1" x14ac:dyDescent="0.25">
      <c r="A9" s="215">
        <v>43466</v>
      </c>
      <c r="B9" s="364" t="s">
        <v>2078</v>
      </c>
      <c r="C9" s="350" t="s">
        <v>12</v>
      </c>
      <c r="D9" s="874" t="s">
        <v>1485</v>
      </c>
      <c r="E9" s="875" t="s">
        <v>13</v>
      </c>
      <c r="F9" s="893">
        <v>38.14</v>
      </c>
      <c r="G9" s="1527"/>
      <c r="H9" s="97"/>
      <c r="I9" s="982"/>
      <c r="J9" s="622"/>
      <c r="K9" s="982"/>
    </row>
    <row r="10" spans="1:13" s="224" customFormat="1" ht="15" customHeight="1" x14ac:dyDescent="0.25">
      <c r="A10" s="215">
        <v>43466</v>
      </c>
      <c r="B10" s="876" t="s">
        <v>2077</v>
      </c>
      <c r="C10" s="350" t="s">
        <v>12</v>
      </c>
      <c r="D10" s="874" t="s">
        <v>1487</v>
      </c>
      <c r="E10" s="875" t="s">
        <v>13</v>
      </c>
      <c r="F10" s="852">
        <v>85.65</v>
      </c>
      <c r="G10" s="1527"/>
      <c r="H10" s="97"/>
      <c r="I10" s="982"/>
      <c r="J10" s="622"/>
      <c r="K10" s="982"/>
    </row>
    <row r="11" spans="1:13" s="224" customFormat="1" x14ac:dyDescent="0.25">
      <c r="A11" s="215">
        <v>43466</v>
      </c>
      <c r="B11" s="876" t="s">
        <v>2077</v>
      </c>
      <c r="C11" s="350" t="s">
        <v>12</v>
      </c>
      <c r="D11" s="874" t="s">
        <v>1487</v>
      </c>
      <c r="E11" s="875" t="s">
        <v>13</v>
      </c>
      <c r="F11" s="852">
        <v>66.48</v>
      </c>
      <c r="G11" s="964"/>
      <c r="H11" s="622"/>
      <c r="I11" s="982"/>
      <c r="J11" s="622"/>
      <c r="K11" s="982"/>
    </row>
    <row r="12" spans="1:13" s="224" customFormat="1" ht="15" customHeight="1" x14ac:dyDescent="0.25">
      <c r="A12" s="215">
        <v>43466</v>
      </c>
      <c r="B12" s="862" t="s">
        <v>256</v>
      </c>
      <c r="C12" s="879"/>
      <c r="D12" s="879"/>
      <c r="E12" s="871"/>
      <c r="F12" s="97"/>
      <c r="G12" s="1064">
        <v>100</v>
      </c>
      <c r="H12" s="97">
        <v>100</v>
      </c>
      <c r="I12" s="982"/>
      <c r="J12" s="622"/>
      <c r="K12" s="982"/>
    </row>
    <row r="13" spans="1:13" s="224" customFormat="1" ht="15" customHeight="1" x14ac:dyDescent="0.25">
      <c r="A13" s="215">
        <v>43466</v>
      </c>
      <c r="B13" s="862" t="s">
        <v>82</v>
      </c>
      <c r="C13" s="352" t="s">
        <v>12</v>
      </c>
      <c r="D13" s="874" t="s">
        <v>1493</v>
      </c>
      <c r="E13" s="875" t="s">
        <v>13</v>
      </c>
      <c r="F13" s="890">
        <v>26.11</v>
      </c>
      <c r="G13" s="1528"/>
      <c r="H13" s="622"/>
      <c r="I13" s="982"/>
      <c r="J13" s="622"/>
      <c r="K13" s="982"/>
    </row>
    <row r="14" spans="1:13" s="224" customFormat="1" ht="15" customHeight="1" x14ac:dyDescent="0.25">
      <c r="A14" s="215">
        <v>43467</v>
      </c>
      <c r="B14" s="349" t="s">
        <v>1597</v>
      </c>
      <c r="C14" s="350" t="s">
        <v>12</v>
      </c>
      <c r="D14" s="350" t="s">
        <v>1491</v>
      </c>
      <c r="E14" s="480" t="s">
        <v>15</v>
      </c>
      <c r="F14" s="890">
        <v>170</v>
      </c>
      <c r="G14" s="1527"/>
      <c r="H14" s="97"/>
      <c r="I14" s="982"/>
      <c r="J14" s="622"/>
      <c r="K14" s="982"/>
    </row>
    <row r="15" spans="1:13" s="224" customFormat="1" x14ac:dyDescent="0.25">
      <c r="A15" s="215">
        <v>43467</v>
      </c>
      <c r="B15" s="364" t="s">
        <v>311</v>
      </c>
      <c r="C15" s="350"/>
      <c r="D15" s="350"/>
      <c r="E15" s="480"/>
      <c r="F15" s="827"/>
      <c r="G15" s="888"/>
      <c r="H15" s="97"/>
      <c r="I15" s="946">
        <v>6.32</v>
      </c>
      <c r="J15" s="97"/>
      <c r="K15" s="946"/>
    </row>
    <row r="16" spans="1:13" s="224" customFormat="1" ht="15" customHeight="1" x14ac:dyDescent="0.25">
      <c r="A16" s="215">
        <v>43468</v>
      </c>
      <c r="B16" s="364" t="s">
        <v>32</v>
      </c>
      <c r="C16" s="350" t="s">
        <v>12</v>
      </c>
      <c r="D16" s="874" t="s">
        <v>1485</v>
      </c>
      <c r="E16" s="875" t="s">
        <v>13</v>
      </c>
      <c r="F16" s="893">
        <v>23.72</v>
      </c>
      <c r="G16" s="1527"/>
      <c r="H16" s="97"/>
      <c r="I16" s="982"/>
      <c r="J16" s="622"/>
      <c r="K16" s="982"/>
    </row>
    <row r="17" spans="1:13" s="224" customFormat="1" x14ac:dyDescent="0.25">
      <c r="A17" s="215">
        <v>43468</v>
      </c>
      <c r="B17" s="862" t="s">
        <v>444</v>
      </c>
      <c r="C17" s="352" t="s">
        <v>12</v>
      </c>
      <c r="D17" s="874" t="s">
        <v>1522</v>
      </c>
      <c r="E17" s="875" t="s">
        <v>15</v>
      </c>
      <c r="F17" s="890">
        <v>30</v>
      </c>
      <c r="G17" s="964"/>
      <c r="H17" s="622"/>
      <c r="I17" s="982"/>
      <c r="J17" s="622"/>
      <c r="K17" s="982"/>
    </row>
    <row r="18" spans="1:13" s="224" customFormat="1" ht="15" customHeight="1" x14ac:dyDescent="0.25">
      <c r="A18" s="215">
        <v>43103</v>
      </c>
      <c r="B18" s="862" t="s">
        <v>2096</v>
      </c>
      <c r="C18" s="352" t="s">
        <v>12</v>
      </c>
      <c r="D18" s="874" t="s">
        <v>1506</v>
      </c>
      <c r="E18" s="875" t="s">
        <v>15</v>
      </c>
      <c r="F18" s="890">
        <v>30</v>
      </c>
      <c r="G18" s="1528"/>
      <c r="H18" s="622"/>
      <c r="I18" s="982"/>
      <c r="J18" s="622"/>
      <c r="K18" s="982"/>
    </row>
    <row r="19" spans="1:13" s="224" customFormat="1" ht="15" customHeight="1" x14ac:dyDescent="0.25">
      <c r="A19" s="215">
        <v>43468</v>
      </c>
      <c r="B19" s="364" t="s">
        <v>14</v>
      </c>
      <c r="C19" s="350" t="s">
        <v>12</v>
      </c>
      <c r="D19" s="350" t="s">
        <v>1486</v>
      </c>
      <c r="E19" s="480" t="s">
        <v>13</v>
      </c>
      <c r="F19" s="853">
        <v>3.71</v>
      </c>
      <c r="G19" s="964"/>
      <c r="H19" s="622"/>
      <c r="I19" s="982"/>
      <c r="J19" s="622"/>
      <c r="K19" s="982"/>
    </row>
    <row r="20" spans="1:13" s="224" customFormat="1" ht="15" customHeight="1" x14ac:dyDescent="0.25">
      <c r="A20" s="215">
        <v>43469</v>
      </c>
      <c r="B20" s="862" t="s">
        <v>256</v>
      </c>
      <c r="C20" s="879"/>
      <c r="D20" s="879"/>
      <c r="E20" s="871"/>
      <c r="F20" s="97"/>
      <c r="G20" s="1064">
        <v>206.32</v>
      </c>
      <c r="H20" s="97">
        <v>206.32</v>
      </c>
      <c r="I20" s="982"/>
      <c r="J20" s="622"/>
      <c r="K20" s="982"/>
    </row>
    <row r="21" spans="1:13" s="224" customFormat="1" x14ac:dyDescent="0.25">
      <c r="A21" s="215">
        <v>43469</v>
      </c>
      <c r="B21" s="876" t="s">
        <v>2097</v>
      </c>
      <c r="C21" s="350" t="s">
        <v>12</v>
      </c>
      <c r="D21" s="874" t="s">
        <v>1487</v>
      </c>
      <c r="E21" s="875" t="s">
        <v>15</v>
      </c>
      <c r="F21" s="852">
        <v>20</v>
      </c>
      <c r="G21" s="964"/>
      <c r="H21" s="622"/>
      <c r="I21" s="982"/>
      <c r="J21" s="622"/>
      <c r="K21" s="982"/>
    </row>
    <row r="22" spans="1:13" s="224" customFormat="1" ht="15" customHeight="1" x14ac:dyDescent="0.25">
      <c r="A22" s="215">
        <v>43469</v>
      </c>
      <c r="B22" s="862" t="s">
        <v>134</v>
      </c>
      <c r="C22" s="352" t="s">
        <v>12</v>
      </c>
      <c r="D22" s="874" t="s">
        <v>1493</v>
      </c>
      <c r="E22" s="875" t="s">
        <v>13</v>
      </c>
      <c r="F22" s="890">
        <v>14.5</v>
      </c>
      <c r="G22" s="1528"/>
      <c r="H22" s="622"/>
      <c r="I22" s="982"/>
      <c r="J22" s="622"/>
      <c r="K22" s="982"/>
    </row>
    <row r="23" spans="1:13" s="224" customFormat="1" ht="15" customHeight="1" x14ac:dyDescent="0.25">
      <c r="A23" s="215">
        <v>43469</v>
      </c>
      <c r="B23" s="862" t="s">
        <v>43</v>
      </c>
      <c r="C23" s="352" t="s">
        <v>12</v>
      </c>
      <c r="D23" s="874" t="s">
        <v>1493</v>
      </c>
      <c r="E23" s="875" t="s">
        <v>13</v>
      </c>
      <c r="F23" s="890">
        <v>18.5</v>
      </c>
      <c r="G23" s="1528"/>
      <c r="H23" s="622"/>
      <c r="I23" s="982"/>
      <c r="J23" s="622"/>
      <c r="K23" s="982"/>
    </row>
    <row r="24" spans="1:13" s="224" customFormat="1" ht="15" customHeight="1" x14ac:dyDescent="0.25">
      <c r="A24" s="215">
        <v>43804</v>
      </c>
      <c r="B24" s="364" t="s">
        <v>14</v>
      </c>
      <c r="C24" s="350" t="s">
        <v>12</v>
      </c>
      <c r="D24" s="350" t="s">
        <v>1486</v>
      </c>
      <c r="E24" s="480" t="s">
        <v>13</v>
      </c>
      <c r="F24" s="853">
        <v>4.07</v>
      </c>
      <c r="G24" s="964"/>
      <c r="H24" s="622"/>
      <c r="I24" s="982"/>
      <c r="J24" s="622"/>
      <c r="K24" s="982"/>
    </row>
    <row r="25" spans="1:13" s="224" customFormat="1" x14ac:dyDescent="0.25">
      <c r="A25" s="215">
        <v>43470</v>
      </c>
      <c r="B25" s="862" t="s">
        <v>1438</v>
      </c>
      <c r="C25" s="352" t="s">
        <v>19</v>
      </c>
      <c r="D25" s="874" t="s">
        <v>1489</v>
      </c>
      <c r="E25" s="875" t="s">
        <v>13</v>
      </c>
      <c r="F25" s="890">
        <v>31.28</v>
      </c>
      <c r="G25" s="964"/>
      <c r="H25" s="622"/>
      <c r="I25" s="982"/>
      <c r="J25" s="622"/>
      <c r="K25" s="982"/>
    </row>
    <row r="26" spans="1:13" s="224" customFormat="1" x14ac:dyDescent="0.25">
      <c r="A26" s="215">
        <v>43471</v>
      </c>
      <c r="B26" s="862" t="s">
        <v>2098</v>
      </c>
      <c r="C26" s="352" t="s">
        <v>12</v>
      </c>
      <c r="D26" s="874" t="s">
        <v>1485</v>
      </c>
      <c r="E26" s="875" t="s">
        <v>13</v>
      </c>
      <c r="F26" s="890">
        <v>20.9</v>
      </c>
      <c r="G26" s="964"/>
      <c r="H26" s="622"/>
      <c r="I26" s="982"/>
      <c r="J26" s="622"/>
      <c r="K26" s="982"/>
    </row>
    <row r="27" spans="1:13" s="224" customFormat="1" ht="15" customHeight="1" x14ac:dyDescent="0.25">
      <c r="A27" s="215">
        <v>43472</v>
      </c>
      <c r="B27" s="364" t="s">
        <v>311</v>
      </c>
      <c r="C27" s="350"/>
      <c r="D27" s="350"/>
      <c r="E27" s="480"/>
      <c r="F27" s="827"/>
      <c r="G27" s="888"/>
      <c r="H27" s="97"/>
      <c r="I27" s="946">
        <v>5.95</v>
      </c>
      <c r="J27" s="622"/>
      <c r="K27" s="982"/>
    </row>
    <row r="28" spans="1:13" s="224" customFormat="1" ht="15" customHeight="1" x14ac:dyDescent="0.25">
      <c r="A28" s="215">
        <v>43472</v>
      </c>
      <c r="B28" s="364" t="s">
        <v>151</v>
      </c>
      <c r="C28" s="350" t="s">
        <v>12</v>
      </c>
      <c r="D28" s="874" t="s">
        <v>1485</v>
      </c>
      <c r="E28" s="875" t="s">
        <v>15</v>
      </c>
      <c r="F28" s="893">
        <v>14</v>
      </c>
      <c r="G28" s="1527"/>
      <c r="H28" s="97"/>
      <c r="I28" s="982"/>
      <c r="J28" s="622"/>
      <c r="K28" s="982"/>
    </row>
    <row r="29" spans="1:13" s="224" customFormat="1" ht="15.75" customHeight="1" x14ac:dyDescent="0.25">
      <c r="A29" s="215">
        <v>43472</v>
      </c>
      <c r="B29" s="349" t="s">
        <v>2099</v>
      </c>
      <c r="C29" s="879" t="s">
        <v>12</v>
      </c>
      <c r="D29" s="874"/>
      <c r="E29" s="871" t="s">
        <v>25</v>
      </c>
      <c r="F29" s="1514"/>
      <c r="G29" s="1473">
        <v>237.34</v>
      </c>
      <c r="H29" s="250"/>
      <c r="I29" s="946"/>
      <c r="J29" s="97"/>
      <c r="K29" s="946"/>
    </row>
    <row r="30" spans="1:13" s="224" customFormat="1" ht="15.75" customHeight="1" x14ac:dyDescent="0.25">
      <c r="A30" s="215">
        <v>43472</v>
      </c>
      <c r="B30" s="349" t="s">
        <v>2100</v>
      </c>
      <c r="C30" s="879" t="s">
        <v>12</v>
      </c>
      <c r="D30" s="874"/>
      <c r="E30" s="871" t="s">
        <v>25</v>
      </c>
      <c r="F30" s="1514"/>
      <c r="G30" s="1473">
        <v>2533.33</v>
      </c>
      <c r="H30" s="250"/>
      <c r="I30" s="946"/>
      <c r="J30" s="97"/>
      <c r="K30" s="946"/>
      <c r="L30" s="864"/>
    </row>
    <row r="31" spans="1:13" s="224" customFormat="1" x14ac:dyDescent="0.25">
      <c r="A31" s="215">
        <v>43472</v>
      </c>
      <c r="B31" s="862" t="s">
        <v>2101</v>
      </c>
      <c r="C31" s="879" t="s">
        <v>12</v>
      </c>
      <c r="D31" s="879"/>
      <c r="E31" s="871" t="s">
        <v>13</v>
      </c>
      <c r="F31" s="872">
        <v>220.34</v>
      </c>
      <c r="G31" s="964"/>
      <c r="H31" s="622"/>
      <c r="I31" s="982"/>
      <c r="J31" s="780"/>
      <c r="K31" s="614"/>
      <c r="L31" s="867">
        <v>497.92</v>
      </c>
      <c r="M31" s="89"/>
    </row>
    <row r="32" spans="1:13" x14ac:dyDescent="0.25">
      <c r="A32" s="215">
        <v>43472</v>
      </c>
      <c r="B32" s="862" t="s">
        <v>1961</v>
      </c>
      <c r="C32" s="879" t="s">
        <v>12</v>
      </c>
      <c r="D32" s="879" t="s">
        <v>1504</v>
      </c>
      <c r="E32" s="871" t="s">
        <v>13</v>
      </c>
      <c r="F32" s="852">
        <v>50</v>
      </c>
      <c r="G32" s="964"/>
      <c r="H32" s="622"/>
      <c r="I32" s="982"/>
      <c r="J32" s="622"/>
      <c r="K32" s="1002"/>
      <c r="L32" s="895">
        <v>90</v>
      </c>
    </row>
    <row r="33" spans="1:12" x14ac:dyDescent="0.25">
      <c r="A33" s="215">
        <v>43472</v>
      </c>
      <c r="B33" s="882" t="s">
        <v>2102</v>
      </c>
      <c r="C33" s="879" t="s">
        <v>12</v>
      </c>
      <c r="D33" s="879" t="s">
        <v>1499</v>
      </c>
      <c r="E33" s="871" t="s">
        <v>13</v>
      </c>
      <c r="F33" s="852">
        <v>87</v>
      </c>
      <c r="G33" s="964"/>
      <c r="H33" s="622"/>
      <c r="I33" s="982"/>
      <c r="J33" s="780"/>
      <c r="K33" s="614"/>
      <c r="L33" s="867">
        <v>227.88</v>
      </c>
    </row>
    <row r="34" spans="1:12" x14ac:dyDescent="0.25">
      <c r="A34" s="215">
        <v>43472</v>
      </c>
      <c r="B34" s="876" t="s">
        <v>52</v>
      </c>
      <c r="C34" s="879" t="s">
        <v>12</v>
      </c>
      <c r="D34" s="879" t="s">
        <v>1496</v>
      </c>
      <c r="E34" s="871" t="s">
        <v>13</v>
      </c>
      <c r="F34" s="852">
        <v>60</v>
      </c>
      <c r="G34" s="1528"/>
      <c r="H34" s="853"/>
      <c r="I34" s="982"/>
      <c r="J34" s="622"/>
      <c r="K34" s="982"/>
      <c r="L34" s="867"/>
    </row>
    <row r="35" spans="1:12" s="224" customFormat="1" ht="15" customHeight="1" x14ac:dyDescent="0.25">
      <c r="A35" s="215">
        <v>43472</v>
      </c>
      <c r="B35" s="862" t="s">
        <v>256</v>
      </c>
      <c r="C35" s="879"/>
      <c r="D35" s="879"/>
      <c r="E35" s="871"/>
      <c r="F35" s="97"/>
      <c r="G35" s="1064">
        <v>1205.95</v>
      </c>
      <c r="H35" s="97">
        <v>1205.95</v>
      </c>
      <c r="I35" s="982"/>
      <c r="J35" s="622"/>
      <c r="K35" s="982"/>
    </row>
    <row r="36" spans="1:12" s="224" customFormat="1" ht="15" customHeight="1" x14ac:dyDescent="0.25">
      <c r="A36" s="215">
        <v>43472</v>
      </c>
      <c r="B36" s="349" t="s">
        <v>2103</v>
      </c>
      <c r="C36" s="350" t="s">
        <v>12</v>
      </c>
      <c r="D36" s="350" t="s">
        <v>1522</v>
      </c>
      <c r="E36" s="480" t="s">
        <v>13</v>
      </c>
      <c r="F36" s="852">
        <v>135.56</v>
      </c>
      <c r="G36" s="1527"/>
      <c r="H36" s="97"/>
      <c r="I36" s="946"/>
      <c r="J36" s="97"/>
      <c r="K36" s="946"/>
    </row>
    <row r="37" spans="1:12" s="224" customFormat="1" ht="15" customHeight="1" x14ac:dyDescent="0.25">
      <c r="A37" s="215">
        <v>43472</v>
      </c>
      <c r="B37" s="349" t="s">
        <v>2104</v>
      </c>
      <c r="C37" s="350" t="s">
        <v>12</v>
      </c>
      <c r="D37" s="350" t="s">
        <v>1522</v>
      </c>
      <c r="E37" s="480" t="s">
        <v>13</v>
      </c>
      <c r="F37" s="852">
        <v>692.73</v>
      </c>
      <c r="G37" s="1527"/>
      <c r="H37" s="97"/>
      <c r="I37" s="946"/>
      <c r="J37" s="97"/>
      <c r="K37" s="946"/>
    </row>
    <row r="38" spans="1:12" s="224" customFormat="1" ht="15" customHeight="1" x14ac:dyDescent="0.25">
      <c r="A38" s="215">
        <v>43472</v>
      </c>
      <c r="B38" s="349" t="s">
        <v>2105</v>
      </c>
      <c r="C38" s="350" t="s">
        <v>12</v>
      </c>
      <c r="D38" s="350" t="s">
        <v>1522</v>
      </c>
      <c r="E38" s="480" t="s">
        <v>13</v>
      </c>
      <c r="F38" s="852">
        <v>16.21</v>
      </c>
      <c r="G38" s="1527"/>
      <c r="H38" s="97"/>
      <c r="I38" s="946"/>
      <c r="J38" s="97"/>
      <c r="K38" s="946"/>
    </row>
    <row r="39" spans="1:12" s="224" customFormat="1" ht="15" customHeight="1" x14ac:dyDescent="0.25">
      <c r="A39" s="215">
        <v>43472</v>
      </c>
      <c r="B39" s="349" t="s">
        <v>2106</v>
      </c>
      <c r="C39" s="350" t="s">
        <v>12</v>
      </c>
      <c r="D39" s="350" t="s">
        <v>1522</v>
      </c>
      <c r="E39" s="480" t="s">
        <v>13</v>
      </c>
      <c r="F39" s="852">
        <v>101.2</v>
      </c>
      <c r="G39" s="1527"/>
      <c r="H39" s="97"/>
      <c r="I39" s="946"/>
      <c r="J39" s="97"/>
      <c r="K39" s="946"/>
    </row>
    <row r="40" spans="1:12" s="224" customFormat="1" x14ac:dyDescent="0.25">
      <c r="A40" s="215">
        <v>43472</v>
      </c>
      <c r="B40" s="876" t="s">
        <v>2097</v>
      </c>
      <c r="C40" s="350" t="s">
        <v>19</v>
      </c>
      <c r="D40" s="874" t="s">
        <v>1487</v>
      </c>
      <c r="E40" s="875" t="s">
        <v>15</v>
      </c>
      <c r="F40" s="852">
        <v>80</v>
      </c>
      <c r="G40" s="964"/>
      <c r="H40" s="622"/>
      <c r="I40" s="982"/>
      <c r="J40" s="622"/>
      <c r="K40" s="982"/>
    </row>
    <row r="41" spans="1:12" s="224" customFormat="1" ht="15" customHeight="1" x14ac:dyDescent="0.25">
      <c r="A41" s="215">
        <v>43472</v>
      </c>
      <c r="B41" s="349" t="s">
        <v>2107</v>
      </c>
      <c r="C41" s="350" t="s">
        <v>19</v>
      </c>
      <c r="D41" s="350" t="s">
        <v>1491</v>
      </c>
      <c r="E41" s="480" t="s">
        <v>13</v>
      </c>
      <c r="F41" s="852">
        <v>70</v>
      </c>
      <c r="G41" s="1527"/>
      <c r="H41" s="97"/>
      <c r="I41" s="946"/>
      <c r="J41" s="97"/>
      <c r="K41" s="946"/>
    </row>
    <row r="42" spans="1:12" s="224" customFormat="1" ht="15" customHeight="1" x14ac:dyDescent="0.25">
      <c r="A42" s="215">
        <v>43472</v>
      </c>
      <c r="B42" s="349" t="s">
        <v>2108</v>
      </c>
      <c r="C42" s="350" t="s">
        <v>19</v>
      </c>
      <c r="D42" s="350" t="s">
        <v>1489</v>
      </c>
      <c r="E42" s="480" t="s">
        <v>13</v>
      </c>
      <c r="F42" s="852">
        <v>25</v>
      </c>
      <c r="G42" s="1527"/>
      <c r="H42" s="97"/>
      <c r="I42" s="946"/>
      <c r="J42" s="97"/>
      <c r="K42" s="946"/>
    </row>
    <row r="43" spans="1:12" s="224" customFormat="1" ht="15" customHeight="1" x14ac:dyDescent="0.25">
      <c r="A43" s="215">
        <v>43472</v>
      </c>
      <c r="B43" s="349" t="s">
        <v>2109</v>
      </c>
      <c r="C43" s="350" t="s">
        <v>12</v>
      </c>
      <c r="D43" s="350" t="s">
        <v>1491</v>
      </c>
      <c r="E43" s="480" t="s">
        <v>13</v>
      </c>
      <c r="F43" s="852">
        <v>20</v>
      </c>
      <c r="G43" s="1527"/>
      <c r="H43" s="97"/>
      <c r="I43" s="946"/>
      <c r="J43" s="97"/>
      <c r="K43" s="946"/>
    </row>
    <row r="44" spans="1:12" s="224" customFormat="1" ht="15" customHeight="1" x14ac:dyDescent="0.25">
      <c r="A44" s="215">
        <v>43472</v>
      </c>
      <c r="B44" s="349" t="s">
        <v>14</v>
      </c>
      <c r="C44" s="350" t="s">
        <v>12</v>
      </c>
      <c r="D44" s="350" t="s">
        <v>1486</v>
      </c>
      <c r="E44" s="480" t="s">
        <v>13</v>
      </c>
      <c r="F44" s="852">
        <v>3.08</v>
      </c>
      <c r="G44" s="1527"/>
      <c r="H44" s="97"/>
      <c r="I44" s="946"/>
      <c r="J44" s="97"/>
      <c r="K44" s="946"/>
    </row>
    <row r="45" spans="1:12" s="224" customFormat="1" ht="15" customHeight="1" x14ac:dyDescent="0.25">
      <c r="A45" s="215">
        <v>43473</v>
      </c>
      <c r="B45" s="364" t="s">
        <v>151</v>
      </c>
      <c r="C45" s="350" t="s">
        <v>12</v>
      </c>
      <c r="D45" s="874" t="s">
        <v>1485</v>
      </c>
      <c r="E45" s="875" t="s">
        <v>15</v>
      </c>
      <c r="F45" s="893">
        <v>14</v>
      </c>
      <c r="G45" s="1527"/>
      <c r="H45" s="97"/>
      <c r="I45" s="982"/>
      <c r="J45" s="622"/>
      <c r="K45" s="982"/>
    </row>
    <row r="46" spans="1:12" s="224" customFormat="1" x14ac:dyDescent="0.25">
      <c r="A46" s="215">
        <v>43473</v>
      </c>
      <c r="B46" s="349" t="s">
        <v>14</v>
      </c>
      <c r="C46" s="350" t="s">
        <v>12</v>
      </c>
      <c r="D46" s="350" t="s">
        <v>1486</v>
      </c>
      <c r="E46" s="480" t="s">
        <v>13</v>
      </c>
      <c r="F46" s="852">
        <v>7.57</v>
      </c>
      <c r="G46" s="964"/>
      <c r="H46" s="622"/>
      <c r="I46" s="982"/>
      <c r="J46" s="622"/>
      <c r="K46" s="982"/>
    </row>
    <row r="47" spans="1:12" s="224" customFormat="1" ht="15" customHeight="1" x14ac:dyDescent="0.25">
      <c r="A47" s="215">
        <v>43474</v>
      </c>
      <c r="B47" s="364" t="s">
        <v>151</v>
      </c>
      <c r="C47" s="350" t="s">
        <v>12</v>
      </c>
      <c r="D47" s="874" t="s">
        <v>1485</v>
      </c>
      <c r="E47" s="875" t="s">
        <v>15</v>
      </c>
      <c r="F47" s="893">
        <v>14</v>
      </c>
      <c r="G47" s="1527"/>
      <c r="H47" s="97"/>
      <c r="I47" s="982"/>
      <c r="J47" s="622"/>
      <c r="K47" s="982"/>
    </row>
    <row r="48" spans="1:12" s="224" customFormat="1" x14ac:dyDescent="0.25">
      <c r="A48" s="215">
        <v>43474</v>
      </c>
      <c r="B48" s="349" t="s">
        <v>14</v>
      </c>
      <c r="C48" s="350" t="s">
        <v>12</v>
      </c>
      <c r="D48" s="350" t="s">
        <v>1486</v>
      </c>
      <c r="E48" s="480" t="s">
        <v>13</v>
      </c>
      <c r="F48" s="852">
        <v>28</v>
      </c>
      <c r="G48" s="888"/>
      <c r="H48" s="97"/>
      <c r="I48" s="946"/>
      <c r="J48" s="97"/>
      <c r="K48" s="946"/>
    </row>
    <row r="49" spans="1:12" s="224" customFormat="1" ht="15" customHeight="1" x14ac:dyDescent="0.25">
      <c r="A49" s="215">
        <v>43475</v>
      </c>
      <c r="B49" s="364" t="s">
        <v>151</v>
      </c>
      <c r="C49" s="350" t="s">
        <v>12</v>
      </c>
      <c r="D49" s="874" t="s">
        <v>1485</v>
      </c>
      <c r="E49" s="875" t="s">
        <v>15</v>
      </c>
      <c r="F49" s="893">
        <v>14</v>
      </c>
      <c r="G49" s="1527"/>
      <c r="H49" s="97"/>
      <c r="I49" s="982"/>
      <c r="J49" s="622"/>
      <c r="K49" s="982"/>
    </row>
    <row r="50" spans="1:12" s="224" customFormat="1" x14ac:dyDescent="0.25">
      <c r="A50" s="215">
        <v>43475</v>
      </c>
      <c r="B50" s="349" t="s">
        <v>14</v>
      </c>
      <c r="C50" s="350" t="s">
        <v>12</v>
      </c>
      <c r="D50" s="350" t="s">
        <v>1486</v>
      </c>
      <c r="E50" s="480" t="s">
        <v>13</v>
      </c>
      <c r="F50" s="852">
        <v>6</v>
      </c>
      <c r="G50" s="964"/>
      <c r="H50" s="622"/>
      <c r="I50" s="982"/>
      <c r="J50" s="622"/>
      <c r="K50" s="982"/>
    </row>
    <row r="51" spans="1:12" s="224" customFormat="1" ht="15" customHeight="1" x14ac:dyDescent="0.25">
      <c r="A51" s="215">
        <v>43476</v>
      </c>
      <c r="B51" s="364" t="s">
        <v>151</v>
      </c>
      <c r="C51" s="350" t="s">
        <v>12</v>
      </c>
      <c r="D51" s="874" t="s">
        <v>1485</v>
      </c>
      <c r="E51" s="875" t="s">
        <v>15</v>
      </c>
      <c r="F51" s="893">
        <v>28</v>
      </c>
      <c r="G51" s="1527"/>
      <c r="H51" s="97"/>
      <c r="I51" s="982"/>
      <c r="J51" s="622"/>
      <c r="K51" s="982"/>
      <c r="L51" s="764"/>
    </row>
    <row r="52" spans="1:12" s="224" customFormat="1" ht="15" customHeight="1" x14ac:dyDescent="0.25">
      <c r="A52" s="215">
        <v>43476</v>
      </c>
      <c r="B52" s="349" t="s">
        <v>14</v>
      </c>
      <c r="C52" s="350" t="s">
        <v>12</v>
      </c>
      <c r="D52" s="350" t="s">
        <v>1486</v>
      </c>
      <c r="E52" s="480" t="s">
        <v>15</v>
      </c>
      <c r="F52" s="852">
        <v>6</v>
      </c>
      <c r="G52" s="1527"/>
      <c r="H52" s="97"/>
      <c r="I52" s="946"/>
      <c r="J52" s="97"/>
      <c r="K52" s="946"/>
    </row>
    <row r="53" spans="1:12" s="224" customFormat="1" ht="15" customHeight="1" x14ac:dyDescent="0.25">
      <c r="A53" s="215">
        <v>43476</v>
      </c>
      <c r="B53" s="862" t="s">
        <v>256</v>
      </c>
      <c r="C53" s="879"/>
      <c r="D53" s="879"/>
      <c r="E53" s="871"/>
      <c r="F53" s="97"/>
      <c r="G53" s="1064">
        <v>100</v>
      </c>
      <c r="H53" s="97">
        <v>100</v>
      </c>
      <c r="I53" s="982"/>
      <c r="J53" s="622"/>
      <c r="K53" s="982"/>
    </row>
    <row r="54" spans="1:12" s="224" customFormat="1" ht="15" customHeight="1" x14ac:dyDescent="0.25">
      <c r="A54" s="215">
        <v>43477</v>
      </c>
      <c r="B54" s="364" t="s">
        <v>151</v>
      </c>
      <c r="C54" s="350" t="s">
        <v>12</v>
      </c>
      <c r="D54" s="874" t="s">
        <v>1485</v>
      </c>
      <c r="E54" s="875" t="s">
        <v>15</v>
      </c>
      <c r="F54" s="893">
        <v>10</v>
      </c>
      <c r="G54" s="1527"/>
      <c r="H54" s="97"/>
      <c r="I54" s="946"/>
      <c r="J54" s="97"/>
      <c r="K54" s="946"/>
    </row>
    <row r="55" spans="1:12" s="224" customFormat="1" ht="15" customHeight="1" x14ac:dyDescent="0.25">
      <c r="A55" s="215">
        <v>43477</v>
      </c>
      <c r="B55" s="364" t="s">
        <v>1438</v>
      </c>
      <c r="C55" s="350" t="s">
        <v>19</v>
      </c>
      <c r="D55" s="874" t="s">
        <v>1489</v>
      </c>
      <c r="E55" s="875" t="s">
        <v>13</v>
      </c>
      <c r="F55" s="893">
        <v>43.63</v>
      </c>
      <c r="G55" s="1527"/>
      <c r="H55" s="97"/>
      <c r="I55" s="946"/>
      <c r="J55" s="97"/>
      <c r="K55" s="946"/>
    </row>
    <row r="56" spans="1:12" s="224" customFormat="1" ht="15" customHeight="1" x14ac:dyDescent="0.25">
      <c r="A56" s="215">
        <v>43478</v>
      </c>
      <c r="B56" s="364" t="s">
        <v>151</v>
      </c>
      <c r="C56" s="350" t="s">
        <v>12</v>
      </c>
      <c r="D56" s="874" t="s">
        <v>1485</v>
      </c>
      <c r="E56" s="875" t="s">
        <v>15</v>
      </c>
      <c r="F56" s="893">
        <v>25</v>
      </c>
      <c r="G56" s="1527"/>
      <c r="H56" s="97"/>
      <c r="I56" s="982"/>
      <c r="J56" s="622"/>
      <c r="K56" s="982"/>
    </row>
    <row r="57" spans="1:12" s="224" customFormat="1" ht="15" customHeight="1" x14ac:dyDescent="0.25">
      <c r="A57" s="215">
        <v>43479</v>
      </c>
      <c r="B57" s="364" t="s">
        <v>151</v>
      </c>
      <c r="C57" s="350" t="s">
        <v>12</v>
      </c>
      <c r="D57" s="874" t="s">
        <v>1485</v>
      </c>
      <c r="E57" s="875" t="s">
        <v>15</v>
      </c>
      <c r="F57" s="893">
        <v>14</v>
      </c>
      <c r="G57" s="1527"/>
      <c r="H57" s="97"/>
      <c r="I57" s="946"/>
      <c r="J57" s="97"/>
      <c r="K57" s="946"/>
    </row>
    <row r="58" spans="1:12" s="224" customFormat="1" x14ac:dyDescent="0.25">
      <c r="A58" s="215">
        <v>43479</v>
      </c>
      <c r="B58" s="349" t="s">
        <v>14</v>
      </c>
      <c r="C58" s="350" t="s">
        <v>12</v>
      </c>
      <c r="D58" s="350" t="s">
        <v>1486</v>
      </c>
      <c r="E58" s="480" t="s">
        <v>13</v>
      </c>
      <c r="F58" s="852">
        <v>17.95</v>
      </c>
      <c r="G58" s="888"/>
      <c r="H58" s="97"/>
      <c r="I58" s="946"/>
      <c r="J58" s="97"/>
      <c r="K58" s="946"/>
    </row>
    <row r="59" spans="1:12" s="224" customFormat="1" ht="15" customHeight="1" x14ac:dyDescent="0.25">
      <c r="A59" s="215">
        <v>43480</v>
      </c>
      <c r="B59" s="364" t="s">
        <v>151</v>
      </c>
      <c r="C59" s="350" t="s">
        <v>12</v>
      </c>
      <c r="D59" s="874" t="s">
        <v>1485</v>
      </c>
      <c r="E59" s="875" t="s">
        <v>15</v>
      </c>
      <c r="F59" s="893">
        <v>14</v>
      </c>
      <c r="G59" s="1527"/>
      <c r="H59" s="97"/>
      <c r="I59" s="946"/>
      <c r="J59" s="97"/>
      <c r="K59" s="946"/>
    </row>
    <row r="60" spans="1:12" s="224" customFormat="1" ht="15" customHeight="1" x14ac:dyDescent="0.25">
      <c r="A60" s="215">
        <v>43480</v>
      </c>
      <c r="B60" s="862" t="s">
        <v>70</v>
      </c>
      <c r="C60" s="352" t="s">
        <v>12</v>
      </c>
      <c r="D60" s="874" t="s">
        <v>1489</v>
      </c>
      <c r="E60" s="875" t="s">
        <v>13</v>
      </c>
      <c r="F60" s="890">
        <v>5</v>
      </c>
      <c r="G60" s="1528"/>
      <c r="H60" s="622"/>
      <c r="I60" s="982"/>
      <c r="J60" s="622"/>
      <c r="K60" s="982"/>
    </row>
    <row r="61" spans="1:12" s="224" customFormat="1" ht="15" customHeight="1" x14ac:dyDescent="0.25">
      <c r="A61" s="215">
        <v>43480</v>
      </c>
      <c r="B61" s="862" t="s">
        <v>256</v>
      </c>
      <c r="C61" s="879"/>
      <c r="D61" s="879"/>
      <c r="E61" s="871"/>
      <c r="F61" s="97"/>
      <c r="G61" s="1064">
        <v>1600</v>
      </c>
      <c r="H61" s="97">
        <v>1600</v>
      </c>
      <c r="I61" s="982"/>
      <c r="J61" s="622"/>
      <c r="K61" s="982"/>
    </row>
    <row r="62" spans="1:12" s="224" customFormat="1" ht="15" customHeight="1" x14ac:dyDescent="0.25">
      <c r="A62" s="215">
        <v>43480</v>
      </c>
      <c r="B62" s="364" t="s">
        <v>1929</v>
      </c>
      <c r="C62" s="350" t="s">
        <v>12</v>
      </c>
      <c r="D62" s="350" t="s">
        <v>1489</v>
      </c>
      <c r="E62" s="480" t="s">
        <v>13</v>
      </c>
      <c r="F62" s="827">
        <v>9.9</v>
      </c>
      <c r="G62" s="1063"/>
      <c r="H62" s="622"/>
      <c r="I62" s="982"/>
      <c r="J62" s="622"/>
      <c r="K62" s="982"/>
    </row>
    <row r="63" spans="1:12" s="224" customFormat="1" x14ac:dyDescent="0.25">
      <c r="A63" s="215">
        <v>43480</v>
      </c>
      <c r="B63" s="349" t="s">
        <v>1661</v>
      </c>
      <c r="C63" s="350" t="s">
        <v>12</v>
      </c>
      <c r="D63" s="350"/>
      <c r="E63" s="480" t="s">
        <v>13</v>
      </c>
      <c r="F63" s="97">
        <v>5446.75</v>
      </c>
      <c r="G63" s="1064"/>
      <c r="H63" s="97"/>
      <c r="I63" s="946"/>
      <c r="J63" s="97"/>
      <c r="K63" s="946">
        <v>5446.75</v>
      </c>
    </row>
    <row r="64" spans="1:12" s="224" customFormat="1" ht="15" customHeight="1" x14ac:dyDescent="0.25">
      <c r="A64" s="215">
        <v>43480</v>
      </c>
      <c r="B64" s="862" t="s">
        <v>2110</v>
      </c>
      <c r="C64" s="352" t="s">
        <v>12</v>
      </c>
      <c r="D64" s="874" t="s">
        <v>1489</v>
      </c>
      <c r="E64" s="875" t="s">
        <v>13</v>
      </c>
      <c r="F64" s="890">
        <v>31.67</v>
      </c>
      <c r="G64" s="1528"/>
      <c r="H64" s="622"/>
      <c r="I64" s="982"/>
      <c r="J64" s="622"/>
      <c r="K64" s="982"/>
    </row>
    <row r="65" spans="1:16" s="224" customFormat="1" x14ac:dyDescent="0.25">
      <c r="A65" s="215">
        <v>43480</v>
      </c>
      <c r="B65" s="876" t="s">
        <v>2097</v>
      </c>
      <c r="C65" s="350" t="s">
        <v>19</v>
      </c>
      <c r="D65" s="874" t="s">
        <v>1487</v>
      </c>
      <c r="E65" s="875" t="s">
        <v>13</v>
      </c>
      <c r="F65" s="852">
        <v>80</v>
      </c>
      <c r="G65" s="964"/>
      <c r="H65" s="622"/>
      <c r="I65" s="982"/>
      <c r="J65" s="622"/>
      <c r="K65" s="982"/>
    </row>
    <row r="66" spans="1:16" s="224" customFormat="1" ht="15" customHeight="1" x14ac:dyDescent="0.25">
      <c r="A66" s="215">
        <v>43480</v>
      </c>
      <c r="B66" s="862" t="s">
        <v>2111</v>
      </c>
      <c r="C66" s="352" t="s">
        <v>19</v>
      </c>
      <c r="D66" s="874" t="s">
        <v>1506</v>
      </c>
      <c r="E66" s="875" t="s">
        <v>13</v>
      </c>
      <c r="F66" s="890">
        <v>169.6</v>
      </c>
      <c r="G66" s="1528"/>
      <c r="H66" s="622"/>
      <c r="I66" s="982"/>
      <c r="J66" s="622"/>
      <c r="K66" s="982"/>
    </row>
    <row r="67" spans="1:16" s="224" customFormat="1" ht="15" customHeight="1" x14ac:dyDescent="0.25">
      <c r="A67" s="215">
        <v>43480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852">
        <v>3.76</v>
      </c>
      <c r="G67" s="1528"/>
      <c r="H67" s="622"/>
      <c r="I67" s="982"/>
      <c r="J67" s="622"/>
      <c r="K67" s="982"/>
    </row>
    <row r="68" spans="1:16" s="224" customFormat="1" ht="15" customHeight="1" x14ac:dyDescent="0.25">
      <c r="A68" s="215">
        <v>43481</v>
      </c>
      <c r="B68" s="364" t="s">
        <v>151</v>
      </c>
      <c r="C68" s="350" t="s">
        <v>12</v>
      </c>
      <c r="D68" s="874" t="s">
        <v>1485</v>
      </c>
      <c r="E68" s="875" t="s">
        <v>13</v>
      </c>
      <c r="F68" s="893">
        <v>14</v>
      </c>
      <c r="G68" s="1527"/>
      <c r="H68" s="97"/>
      <c r="I68" s="946"/>
      <c r="J68" s="97"/>
      <c r="K68" s="946"/>
    </row>
    <row r="69" spans="1:16" s="224" customFormat="1" ht="15" customHeight="1" x14ac:dyDescent="0.25">
      <c r="A69" s="215">
        <v>43481</v>
      </c>
      <c r="B69" s="349" t="s">
        <v>14</v>
      </c>
      <c r="C69" s="350" t="s">
        <v>12</v>
      </c>
      <c r="D69" s="350" t="s">
        <v>1486</v>
      </c>
      <c r="E69" s="480" t="s">
        <v>13</v>
      </c>
      <c r="F69" s="852">
        <v>10.32</v>
      </c>
      <c r="G69" s="1528"/>
      <c r="H69" s="622"/>
      <c r="I69" s="982"/>
      <c r="J69" s="622"/>
      <c r="K69" s="982"/>
    </row>
    <row r="70" spans="1:16" s="224" customFormat="1" x14ac:dyDescent="0.25">
      <c r="A70" s="215">
        <v>43481</v>
      </c>
      <c r="B70" s="862" t="s">
        <v>1963</v>
      </c>
      <c r="C70" s="352" t="s">
        <v>12</v>
      </c>
      <c r="D70" s="874" t="s">
        <v>1491</v>
      </c>
      <c r="E70" s="875" t="s">
        <v>15</v>
      </c>
      <c r="F70" s="890">
        <v>50</v>
      </c>
      <c r="G70" s="964"/>
      <c r="H70" s="622"/>
      <c r="I70" s="982"/>
      <c r="J70" s="622"/>
      <c r="K70" s="982"/>
    </row>
    <row r="71" spans="1:16" s="224" customFormat="1" ht="15" customHeight="1" x14ac:dyDescent="0.25">
      <c r="A71" s="215">
        <v>43482</v>
      </c>
      <c r="B71" s="364" t="s">
        <v>151</v>
      </c>
      <c r="C71" s="350" t="s">
        <v>12</v>
      </c>
      <c r="D71" s="874" t="s">
        <v>1485</v>
      </c>
      <c r="E71" s="875" t="s">
        <v>13</v>
      </c>
      <c r="F71" s="893">
        <v>14</v>
      </c>
      <c r="G71" s="1527"/>
      <c r="H71" s="97"/>
      <c r="I71" s="946"/>
      <c r="J71" s="97"/>
      <c r="K71" s="946"/>
    </row>
    <row r="72" spans="1:16" s="224" customFormat="1" x14ac:dyDescent="0.25">
      <c r="A72" s="215">
        <v>43482</v>
      </c>
      <c r="B72" s="349" t="s">
        <v>14</v>
      </c>
      <c r="C72" s="350" t="s">
        <v>12</v>
      </c>
      <c r="D72" s="350" t="s">
        <v>1486</v>
      </c>
      <c r="E72" s="480" t="s">
        <v>13</v>
      </c>
      <c r="F72" s="852">
        <v>4.5999999999999996</v>
      </c>
      <c r="G72" s="888"/>
      <c r="H72" s="97"/>
      <c r="I72" s="946"/>
      <c r="J72" s="898"/>
      <c r="K72" s="946"/>
    </row>
    <row r="73" spans="1:16" x14ac:dyDescent="0.25">
      <c r="A73" s="215">
        <v>43483</v>
      </c>
      <c r="B73" s="882" t="s">
        <v>2112</v>
      </c>
      <c r="C73" s="350" t="s">
        <v>12</v>
      </c>
      <c r="D73" s="145"/>
      <c r="E73" s="145" t="s">
        <v>25</v>
      </c>
      <c r="F73" s="1530"/>
      <c r="G73" s="965">
        <v>1493.33</v>
      </c>
      <c r="H73" s="97"/>
      <c r="I73" s="946"/>
      <c r="J73" s="97"/>
      <c r="K73" s="946"/>
    </row>
    <row r="74" spans="1:16" s="224" customFormat="1" ht="15.75" customHeight="1" x14ac:dyDescent="0.25">
      <c r="A74" s="215">
        <v>43483</v>
      </c>
      <c r="B74" s="882" t="s">
        <v>2113</v>
      </c>
      <c r="C74" s="879" t="s">
        <v>12</v>
      </c>
      <c r="D74" s="879" t="s">
        <v>1499</v>
      </c>
      <c r="E74" s="871" t="s">
        <v>13</v>
      </c>
      <c r="F74" s="897"/>
      <c r="G74" s="968"/>
      <c r="H74" s="538"/>
      <c r="I74" s="982"/>
      <c r="J74" s="622"/>
      <c r="K74" s="982"/>
      <c r="L74" s="3095" t="s">
        <v>2114</v>
      </c>
      <c r="M74" s="3096"/>
      <c r="N74" s="3096"/>
      <c r="O74" s="3096"/>
      <c r="P74" s="3096"/>
    </row>
    <row r="75" spans="1:16" s="224" customFormat="1" x14ac:dyDescent="0.25">
      <c r="A75" s="215">
        <v>43483</v>
      </c>
      <c r="B75" s="873" t="s">
        <v>1564</v>
      </c>
      <c r="C75" s="879" t="s">
        <v>12</v>
      </c>
      <c r="D75" s="350" t="s">
        <v>1491</v>
      </c>
      <c r="E75" s="871" t="s">
        <v>15</v>
      </c>
      <c r="F75" s="852">
        <v>130</v>
      </c>
      <c r="G75" s="964"/>
      <c r="H75" s="622"/>
      <c r="I75" s="982"/>
      <c r="J75" s="622"/>
      <c r="K75" s="982"/>
    </row>
    <row r="76" spans="1:16" s="224" customFormat="1" x14ac:dyDescent="0.25">
      <c r="A76" s="215">
        <v>43483</v>
      </c>
      <c r="B76" s="876" t="s">
        <v>2115</v>
      </c>
      <c r="C76" s="350" t="s">
        <v>12</v>
      </c>
      <c r="D76" s="874" t="s">
        <v>1489</v>
      </c>
      <c r="E76" s="875" t="s">
        <v>15</v>
      </c>
      <c r="F76" s="890">
        <v>117</v>
      </c>
      <c r="G76" s="964"/>
      <c r="H76" s="622"/>
      <c r="I76" s="982"/>
      <c r="J76" s="622"/>
      <c r="K76" s="982"/>
      <c r="L76" s="764"/>
    </row>
    <row r="77" spans="1:16" s="224" customFormat="1" ht="15" customHeight="1" x14ac:dyDescent="0.25">
      <c r="A77" s="215">
        <v>43483</v>
      </c>
      <c r="B77" s="364" t="s">
        <v>151</v>
      </c>
      <c r="C77" s="350" t="s">
        <v>12</v>
      </c>
      <c r="D77" s="874" t="s">
        <v>1485</v>
      </c>
      <c r="E77" s="875" t="s">
        <v>15</v>
      </c>
      <c r="F77" s="893">
        <v>14</v>
      </c>
      <c r="G77" s="1527"/>
      <c r="H77" s="97"/>
      <c r="I77" s="946"/>
      <c r="J77" s="97"/>
      <c r="K77" s="946"/>
    </row>
    <row r="78" spans="1:16" s="224" customFormat="1" ht="15" customHeight="1" x14ac:dyDescent="0.25">
      <c r="A78" s="215">
        <v>43483</v>
      </c>
      <c r="B78" s="862" t="s">
        <v>17</v>
      </c>
      <c r="C78" s="352" t="s">
        <v>12</v>
      </c>
      <c r="D78" s="874" t="s">
        <v>1493</v>
      </c>
      <c r="E78" s="875" t="s">
        <v>15</v>
      </c>
      <c r="F78" s="890">
        <v>5</v>
      </c>
      <c r="G78" s="1528"/>
      <c r="H78" s="622"/>
      <c r="I78" s="982"/>
      <c r="J78" s="622"/>
      <c r="K78" s="982"/>
    </row>
    <row r="79" spans="1:16" s="224" customFormat="1" ht="15" customHeight="1" x14ac:dyDescent="0.25">
      <c r="A79" s="215">
        <v>43483</v>
      </c>
      <c r="B79" s="349" t="s">
        <v>260</v>
      </c>
      <c r="C79" s="350"/>
      <c r="D79" s="350"/>
      <c r="E79" s="480"/>
      <c r="F79" s="852">
        <v>1300</v>
      </c>
      <c r="G79" s="1527"/>
      <c r="H79" s="97"/>
      <c r="I79" s="946">
        <v>1300</v>
      </c>
      <c r="J79" s="97"/>
      <c r="K79" s="946"/>
    </row>
    <row r="80" spans="1:16" s="224" customFormat="1" ht="15" customHeight="1" x14ac:dyDescent="0.25">
      <c r="A80" s="215">
        <v>43483</v>
      </c>
      <c r="B80" s="349" t="s">
        <v>14</v>
      </c>
      <c r="C80" s="350" t="s">
        <v>12</v>
      </c>
      <c r="D80" s="350" t="s">
        <v>1486</v>
      </c>
      <c r="E80" s="480" t="s">
        <v>13</v>
      </c>
      <c r="F80" s="852">
        <v>3.65</v>
      </c>
      <c r="G80" s="1528"/>
      <c r="H80" s="622"/>
      <c r="I80" s="982"/>
      <c r="J80" s="622"/>
      <c r="K80" s="982"/>
    </row>
    <row r="81" spans="1:11" s="224" customFormat="1" ht="15" customHeight="1" x14ac:dyDescent="0.25">
      <c r="A81" s="215">
        <v>43484</v>
      </c>
      <c r="B81" s="349" t="s">
        <v>2116</v>
      </c>
      <c r="C81" s="350" t="s">
        <v>12</v>
      </c>
      <c r="D81" s="350" t="s">
        <v>1489</v>
      </c>
      <c r="E81" s="480" t="s">
        <v>13</v>
      </c>
      <c r="F81" s="852">
        <v>300</v>
      </c>
      <c r="G81" s="1527"/>
      <c r="H81" s="97"/>
      <c r="I81" s="946"/>
      <c r="J81" s="97"/>
      <c r="K81" s="946"/>
    </row>
    <row r="82" spans="1:11" s="224" customFormat="1" ht="15" customHeight="1" x14ac:dyDescent="0.25">
      <c r="A82" s="215">
        <v>43484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852">
        <v>7.17</v>
      </c>
      <c r="G82" s="1527"/>
      <c r="H82" s="97"/>
      <c r="I82" s="946"/>
      <c r="J82" s="97"/>
      <c r="K82" s="946"/>
    </row>
    <row r="83" spans="1:11" s="224" customFormat="1" x14ac:dyDescent="0.25">
      <c r="A83" s="215">
        <v>43484</v>
      </c>
      <c r="B83" s="349" t="s">
        <v>56</v>
      </c>
      <c r="C83" s="350" t="s">
        <v>19</v>
      </c>
      <c r="D83" s="350" t="s">
        <v>1523</v>
      </c>
      <c r="E83" s="480" t="s">
        <v>15</v>
      </c>
      <c r="F83" s="852">
        <v>30</v>
      </c>
      <c r="G83" s="1527"/>
      <c r="H83" s="97"/>
      <c r="I83" s="946"/>
      <c r="J83" s="97"/>
      <c r="K83" s="946"/>
    </row>
    <row r="84" spans="1:11" s="224" customFormat="1" x14ac:dyDescent="0.25">
      <c r="A84" s="215">
        <v>43484</v>
      </c>
      <c r="B84" s="349" t="s">
        <v>1438</v>
      </c>
      <c r="C84" s="350" t="s">
        <v>19</v>
      </c>
      <c r="D84" s="350" t="s">
        <v>1489</v>
      </c>
      <c r="E84" s="480" t="s">
        <v>15</v>
      </c>
      <c r="F84" s="852">
        <v>45</v>
      </c>
      <c r="G84" s="1527"/>
      <c r="H84" s="97"/>
      <c r="I84" s="946"/>
      <c r="J84" s="97"/>
      <c r="K84" s="946"/>
    </row>
    <row r="85" spans="1:11" s="224" customFormat="1" x14ac:dyDescent="0.25">
      <c r="A85" s="215">
        <v>43484</v>
      </c>
      <c r="B85" s="349" t="s">
        <v>1438</v>
      </c>
      <c r="C85" s="350" t="s">
        <v>12</v>
      </c>
      <c r="D85" s="350" t="s">
        <v>1489</v>
      </c>
      <c r="E85" s="480" t="s">
        <v>13</v>
      </c>
      <c r="F85" s="852">
        <v>19.71</v>
      </c>
      <c r="G85" s="1527"/>
      <c r="H85" s="97"/>
      <c r="I85" s="946"/>
      <c r="J85" s="97"/>
      <c r="K85" s="946"/>
    </row>
    <row r="86" spans="1:11" s="224" customFormat="1" x14ac:dyDescent="0.25">
      <c r="A86" s="215">
        <v>43485</v>
      </c>
      <c r="B86" s="349" t="s">
        <v>14</v>
      </c>
      <c r="C86" s="350" t="s">
        <v>12</v>
      </c>
      <c r="D86" s="350" t="s">
        <v>1486</v>
      </c>
      <c r="E86" s="480" t="s">
        <v>13</v>
      </c>
      <c r="F86" s="827">
        <v>4.95</v>
      </c>
      <c r="G86" s="888"/>
      <c r="H86" s="97"/>
      <c r="I86" s="946"/>
      <c r="J86" s="97"/>
      <c r="K86" s="946"/>
    </row>
    <row r="87" spans="1:11" s="224" customFormat="1" x14ac:dyDescent="0.25">
      <c r="A87" s="215">
        <v>43485</v>
      </c>
      <c r="B87" s="364" t="s">
        <v>311</v>
      </c>
      <c r="C87" s="350"/>
      <c r="D87" s="350"/>
      <c r="E87" s="480"/>
      <c r="F87" s="827"/>
      <c r="G87" s="888"/>
      <c r="H87" s="97"/>
      <c r="I87" s="946">
        <v>5.94</v>
      </c>
      <c r="J87" s="97"/>
      <c r="K87" s="946"/>
    </row>
    <row r="88" spans="1:11" s="224" customFormat="1" ht="15" customHeight="1" x14ac:dyDescent="0.25">
      <c r="A88" s="215">
        <v>43486</v>
      </c>
      <c r="B88" s="364" t="s">
        <v>151</v>
      </c>
      <c r="C88" s="350" t="s">
        <v>12</v>
      </c>
      <c r="D88" s="874" t="s">
        <v>1485</v>
      </c>
      <c r="E88" s="875" t="s">
        <v>13</v>
      </c>
      <c r="F88" s="893">
        <v>14</v>
      </c>
      <c r="G88" s="1527"/>
      <c r="H88" s="97"/>
      <c r="I88" s="946"/>
      <c r="J88" s="97"/>
      <c r="K88" s="946"/>
    </row>
    <row r="89" spans="1:11" s="224" customFormat="1" ht="15" customHeight="1" x14ac:dyDescent="0.25">
      <c r="A89" s="215">
        <v>43486</v>
      </c>
      <c r="B89" s="364" t="s">
        <v>1331</v>
      </c>
      <c r="C89" s="350" t="s">
        <v>12</v>
      </c>
      <c r="D89" s="874" t="s">
        <v>1487</v>
      </c>
      <c r="E89" s="875" t="s">
        <v>15</v>
      </c>
      <c r="F89" s="893">
        <v>40</v>
      </c>
      <c r="G89" s="1527"/>
      <c r="H89" s="97"/>
      <c r="I89" s="946"/>
      <c r="J89" s="97"/>
      <c r="K89" s="946"/>
    </row>
    <row r="90" spans="1:11" s="224" customFormat="1" ht="15" customHeight="1" x14ac:dyDescent="0.25">
      <c r="A90" s="215">
        <v>43486</v>
      </c>
      <c r="B90" s="364" t="s">
        <v>2117</v>
      </c>
      <c r="C90" s="350" t="s">
        <v>12</v>
      </c>
      <c r="D90" s="350" t="s">
        <v>1491</v>
      </c>
      <c r="E90" s="480" t="s">
        <v>15</v>
      </c>
      <c r="F90" s="622">
        <v>50</v>
      </c>
      <c r="G90" s="1063"/>
      <c r="H90" s="853"/>
      <c r="I90" s="982"/>
      <c r="J90" s="622"/>
      <c r="K90" s="982"/>
    </row>
    <row r="91" spans="1:11" s="224" customFormat="1" ht="15" customHeight="1" x14ac:dyDescent="0.25">
      <c r="A91" s="215">
        <v>43487</v>
      </c>
      <c r="B91" s="364" t="s">
        <v>151</v>
      </c>
      <c r="C91" s="350" t="s">
        <v>12</v>
      </c>
      <c r="D91" s="874" t="s">
        <v>1485</v>
      </c>
      <c r="E91" s="875" t="s">
        <v>13</v>
      </c>
      <c r="F91" s="893">
        <v>14</v>
      </c>
      <c r="G91" s="1527"/>
      <c r="H91" s="97"/>
      <c r="I91" s="946"/>
      <c r="J91" s="97"/>
      <c r="K91" s="946"/>
    </row>
    <row r="92" spans="1:11" s="224" customFormat="1" x14ac:dyDescent="0.25">
      <c r="A92" s="215">
        <v>43487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827">
        <v>13.19</v>
      </c>
      <c r="G92" s="964"/>
      <c r="H92" s="622"/>
      <c r="I92" s="982"/>
      <c r="J92" s="622"/>
      <c r="K92" s="982"/>
    </row>
    <row r="93" spans="1:11" s="224" customFormat="1" ht="15" customHeight="1" x14ac:dyDescent="0.25">
      <c r="A93" s="247">
        <v>43488</v>
      </c>
      <c r="B93" s="364" t="s">
        <v>151</v>
      </c>
      <c r="C93" s="350" t="s">
        <v>12</v>
      </c>
      <c r="D93" s="879" t="s">
        <v>1485</v>
      </c>
      <c r="E93" s="871" t="s">
        <v>13</v>
      </c>
      <c r="F93" s="891">
        <v>14</v>
      </c>
      <c r="G93" s="1527"/>
      <c r="H93" s="97"/>
      <c r="I93" s="946"/>
      <c r="J93" s="97"/>
      <c r="K93" s="946"/>
    </row>
    <row r="94" spans="1:11" s="224" customFormat="1" x14ac:dyDescent="0.25">
      <c r="A94" s="215">
        <v>43488</v>
      </c>
      <c r="B94" s="349" t="s">
        <v>14</v>
      </c>
      <c r="C94" s="350" t="s">
        <v>12</v>
      </c>
      <c r="D94" s="350" t="s">
        <v>1486</v>
      </c>
      <c r="E94" s="480" t="s">
        <v>13</v>
      </c>
      <c r="F94" s="892">
        <v>3.82</v>
      </c>
      <c r="G94" s="965"/>
      <c r="H94" s="97"/>
      <c r="I94" s="946"/>
      <c r="J94" s="97"/>
      <c r="K94" s="946"/>
    </row>
    <row r="95" spans="1:11" s="224" customFormat="1" ht="15" customHeight="1" x14ac:dyDescent="0.25">
      <c r="A95" s="215">
        <v>43489</v>
      </c>
      <c r="B95" s="862" t="s">
        <v>2001</v>
      </c>
      <c r="C95" s="350" t="s">
        <v>12</v>
      </c>
      <c r="D95" s="874" t="s">
        <v>1504</v>
      </c>
      <c r="E95" s="887" t="s">
        <v>13</v>
      </c>
      <c r="F95" s="852">
        <v>68.92</v>
      </c>
      <c r="G95" s="1528"/>
      <c r="H95" s="622"/>
      <c r="I95" s="982"/>
      <c r="J95" s="622"/>
      <c r="K95" s="982"/>
    </row>
    <row r="96" spans="1:11" s="224" customFormat="1" ht="15" customHeight="1" x14ac:dyDescent="0.25">
      <c r="A96" s="215">
        <v>43489</v>
      </c>
      <c r="B96" s="862" t="s">
        <v>2118</v>
      </c>
      <c r="C96" s="879" t="s">
        <v>12</v>
      </c>
      <c r="D96" s="879" t="s">
        <v>1489</v>
      </c>
      <c r="E96" s="480" t="s">
        <v>13</v>
      </c>
      <c r="F96" s="137">
        <v>87.55</v>
      </c>
      <c r="G96" s="965"/>
      <c r="H96" s="97"/>
      <c r="I96" s="946"/>
      <c r="J96" s="97"/>
      <c r="K96" s="946"/>
    </row>
    <row r="97" spans="1:11" s="224" customFormat="1" ht="15" customHeight="1" x14ac:dyDescent="0.25">
      <c r="A97" s="215">
        <v>43489</v>
      </c>
      <c r="B97" s="349" t="s">
        <v>151</v>
      </c>
      <c r="C97" s="352" t="s">
        <v>12</v>
      </c>
      <c r="D97" s="874" t="s">
        <v>1485</v>
      </c>
      <c r="E97" s="875" t="s">
        <v>13</v>
      </c>
      <c r="F97" s="893">
        <v>14</v>
      </c>
      <c r="G97" s="1531"/>
      <c r="H97" s="96"/>
      <c r="I97" s="1482"/>
      <c r="J97" s="97"/>
      <c r="K97" s="946"/>
    </row>
    <row r="98" spans="1:11" s="224" customFormat="1" ht="15" customHeight="1" x14ac:dyDescent="0.25">
      <c r="A98" s="215">
        <v>43489</v>
      </c>
      <c r="B98" s="349" t="s">
        <v>14</v>
      </c>
      <c r="C98" s="350" t="s">
        <v>12</v>
      </c>
      <c r="D98" s="350" t="s">
        <v>1486</v>
      </c>
      <c r="E98" s="480" t="s">
        <v>13</v>
      </c>
      <c r="F98" s="892">
        <v>4.0999999999999996</v>
      </c>
      <c r="G98" s="965"/>
      <c r="H98" s="97"/>
      <c r="I98" s="946"/>
      <c r="J98" s="97"/>
      <c r="K98" s="946"/>
    </row>
    <row r="99" spans="1:11" s="224" customFormat="1" ht="15" customHeight="1" x14ac:dyDescent="0.25">
      <c r="A99" s="215">
        <v>43490</v>
      </c>
      <c r="B99" s="349" t="s">
        <v>151</v>
      </c>
      <c r="C99" s="352" t="s">
        <v>12</v>
      </c>
      <c r="D99" s="874" t="s">
        <v>1485</v>
      </c>
      <c r="E99" s="875" t="s">
        <v>13</v>
      </c>
      <c r="F99" s="893">
        <v>14</v>
      </c>
      <c r="G99" s="1531"/>
      <c r="H99" s="96"/>
      <c r="I99" s="1482"/>
      <c r="J99" s="97"/>
      <c r="K99" s="946"/>
    </row>
    <row r="100" spans="1:11" s="224" customFormat="1" ht="15" customHeight="1" x14ac:dyDescent="0.25">
      <c r="A100" s="215">
        <v>43490</v>
      </c>
      <c r="B100" s="862" t="s">
        <v>1331</v>
      </c>
      <c r="C100" s="879" t="s">
        <v>12</v>
      </c>
      <c r="D100" s="879" t="s">
        <v>1487</v>
      </c>
      <c r="E100" s="480" t="s">
        <v>13</v>
      </c>
      <c r="F100" s="137">
        <v>50</v>
      </c>
      <c r="G100" s="965"/>
      <c r="H100" s="97"/>
      <c r="I100" s="946"/>
      <c r="J100" s="97"/>
      <c r="K100" s="946"/>
    </row>
    <row r="101" spans="1:11" s="224" customFormat="1" ht="15" customHeight="1" x14ac:dyDescent="0.25">
      <c r="A101" s="215">
        <v>43491</v>
      </c>
      <c r="B101" s="349" t="s">
        <v>151</v>
      </c>
      <c r="C101" s="352" t="s">
        <v>12</v>
      </c>
      <c r="D101" s="874" t="s">
        <v>1485</v>
      </c>
      <c r="E101" s="875" t="s">
        <v>15</v>
      </c>
      <c r="F101" s="893">
        <v>10</v>
      </c>
      <c r="G101" s="965"/>
      <c r="H101" s="97"/>
      <c r="I101" s="946"/>
      <c r="J101" s="97"/>
      <c r="K101" s="946"/>
    </row>
    <row r="102" spans="1:11" s="224" customFormat="1" ht="15" customHeight="1" x14ac:dyDescent="0.25">
      <c r="A102" s="215">
        <v>43491</v>
      </c>
      <c r="B102" s="349" t="s">
        <v>1893</v>
      </c>
      <c r="C102" s="350" t="s">
        <v>12</v>
      </c>
      <c r="D102" s="350" t="s">
        <v>1523</v>
      </c>
      <c r="E102" s="480" t="s">
        <v>13</v>
      </c>
      <c r="F102" s="852">
        <v>24</v>
      </c>
      <c r="G102" s="1528"/>
      <c r="H102" s="622"/>
      <c r="I102" s="982"/>
      <c r="J102" s="622"/>
      <c r="K102" s="982"/>
    </row>
    <row r="103" spans="1:11" s="224" customFormat="1" ht="15" customHeight="1" x14ac:dyDescent="0.25">
      <c r="A103" s="215">
        <v>43491</v>
      </c>
      <c r="B103" s="349" t="s">
        <v>56</v>
      </c>
      <c r="C103" s="350" t="s">
        <v>12</v>
      </c>
      <c r="D103" s="350" t="s">
        <v>1523</v>
      </c>
      <c r="E103" s="480" t="s">
        <v>13</v>
      </c>
      <c r="F103" s="852">
        <v>15</v>
      </c>
      <c r="G103" s="1528"/>
      <c r="H103" s="622"/>
      <c r="I103" s="982"/>
      <c r="J103" s="622"/>
      <c r="K103" s="982"/>
    </row>
    <row r="104" spans="1:11" s="224" customFormat="1" ht="15" customHeight="1" x14ac:dyDescent="0.25">
      <c r="A104" s="215">
        <v>43491</v>
      </c>
      <c r="B104" s="349" t="s">
        <v>2119</v>
      </c>
      <c r="C104" s="350" t="s">
        <v>12</v>
      </c>
      <c r="D104" s="350" t="s">
        <v>1523</v>
      </c>
      <c r="E104" s="480" t="s">
        <v>13</v>
      </c>
      <c r="F104" s="852">
        <v>50</v>
      </c>
      <c r="G104" s="1528"/>
      <c r="H104" s="622"/>
      <c r="I104" s="982"/>
      <c r="J104" s="622"/>
      <c r="K104" s="982"/>
    </row>
    <row r="105" spans="1:11" s="224" customFormat="1" ht="15" customHeight="1" x14ac:dyDescent="0.25">
      <c r="A105" s="215">
        <v>43491</v>
      </c>
      <c r="B105" s="349" t="s">
        <v>2119</v>
      </c>
      <c r="C105" s="350" t="s">
        <v>12</v>
      </c>
      <c r="D105" s="350" t="s">
        <v>1523</v>
      </c>
      <c r="E105" s="480" t="s">
        <v>13</v>
      </c>
      <c r="F105" s="852">
        <v>50</v>
      </c>
      <c r="G105" s="1528"/>
      <c r="H105" s="622"/>
      <c r="I105" s="982"/>
      <c r="J105" s="622"/>
      <c r="K105" s="982"/>
    </row>
    <row r="106" spans="1:11" s="224" customFormat="1" ht="15" customHeight="1" x14ac:dyDescent="0.25">
      <c r="A106" s="215">
        <v>43491</v>
      </c>
      <c r="B106" s="349" t="s">
        <v>2119</v>
      </c>
      <c r="C106" s="350" t="s">
        <v>12</v>
      </c>
      <c r="D106" s="350" t="s">
        <v>1523</v>
      </c>
      <c r="E106" s="480" t="s">
        <v>15</v>
      </c>
      <c r="F106" s="852">
        <v>40</v>
      </c>
      <c r="G106" s="1528"/>
      <c r="H106" s="622"/>
      <c r="I106" s="982"/>
      <c r="J106" s="622"/>
      <c r="K106" s="982"/>
    </row>
    <row r="107" spans="1:11" s="224" customFormat="1" ht="15" customHeight="1" x14ac:dyDescent="0.25">
      <c r="A107" s="215">
        <v>43492</v>
      </c>
      <c r="B107" s="349" t="s">
        <v>14</v>
      </c>
      <c r="C107" s="350" t="s">
        <v>12</v>
      </c>
      <c r="D107" s="350" t="s">
        <v>1486</v>
      </c>
      <c r="E107" s="480" t="s">
        <v>13</v>
      </c>
      <c r="F107" s="852">
        <v>12.91</v>
      </c>
      <c r="G107" s="1528"/>
      <c r="H107" s="622"/>
      <c r="I107" s="982"/>
      <c r="J107" s="622"/>
      <c r="K107" s="982"/>
    </row>
    <row r="108" spans="1:11" s="224" customFormat="1" ht="15" customHeight="1" x14ac:dyDescent="0.25">
      <c r="A108" s="215">
        <v>43493</v>
      </c>
      <c r="B108" s="349" t="s">
        <v>151</v>
      </c>
      <c r="C108" s="352" t="s">
        <v>12</v>
      </c>
      <c r="D108" s="874" t="s">
        <v>1485</v>
      </c>
      <c r="E108" s="875" t="s">
        <v>13</v>
      </c>
      <c r="F108" s="893">
        <v>14</v>
      </c>
      <c r="G108" s="1528"/>
      <c r="H108" s="622"/>
      <c r="I108" s="982"/>
      <c r="J108" s="622"/>
      <c r="K108" s="982"/>
    </row>
    <row r="109" spans="1:11" s="224" customFormat="1" ht="15" customHeight="1" x14ac:dyDescent="0.25">
      <c r="A109" s="215">
        <v>43493</v>
      </c>
      <c r="B109" s="862" t="s">
        <v>1331</v>
      </c>
      <c r="C109" s="879" t="s">
        <v>12</v>
      </c>
      <c r="D109" s="879" t="s">
        <v>1487</v>
      </c>
      <c r="E109" s="480" t="s">
        <v>13</v>
      </c>
      <c r="F109" s="137">
        <v>50</v>
      </c>
      <c r="G109" s="965"/>
      <c r="H109" s="97"/>
      <c r="I109" s="946"/>
      <c r="J109" s="97"/>
      <c r="K109" s="946"/>
    </row>
    <row r="110" spans="1:11" s="224" customFormat="1" ht="15" customHeight="1" x14ac:dyDescent="0.25">
      <c r="A110" s="215">
        <v>43493</v>
      </c>
      <c r="B110" s="349" t="s">
        <v>14</v>
      </c>
      <c r="C110" s="350" t="s">
        <v>12</v>
      </c>
      <c r="D110" s="350" t="s">
        <v>1486</v>
      </c>
      <c r="E110" s="480" t="s">
        <v>13</v>
      </c>
      <c r="F110" s="852">
        <v>4.5999999999999996</v>
      </c>
      <c r="G110" s="1528"/>
      <c r="H110" s="622"/>
      <c r="I110" s="982"/>
      <c r="J110" s="622"/>
      <c r="K110" s="982"/>
    </row>
    <row r="111" spans="1:11" s="224" customFormat="1" ht="15" customHeight="1" x14ac:dyDescent="0.25">
      <c r="A111" s="215">
        <v>43493</v>
      </c>
      <c r="B111" s="862" t="s">
        <v>256</v>
      </c>
      <c r="C111" s="879"/>
      <c r="D111" s="879"/>
      <c r="E111" s="871"/>
      <c r="F111" s="97"/>
      <c r="G111" s="1064">
        <v>305.56</v>
      </c>
      <c r="H111" s="97">
        <v>305.56</v>
      </c>
      <c r="I111" s="982"/>
      <c r="J111" s="622"/>
      <c r="K111" s="982"/>
    </row>
    <row r="112" spans="1:11" s="224" customFormat="1" ht="15" customHeight="1" x14ac:dyDescent="0.25">
      <c r="A112" s="215">
        <v>43494</v>
      </c>
      <c r="B112" s="349" t="s">
        <v>151</v>
      </c>
      <c r="C112" s="352" t="s">
        <v>12</v>
      </c>
      <c r="D112" s="874" t="s">
        <v>1485</v>
      </c>
      <c r="E112" s="875" t="s">
        <v>13</v>
      </c>
      <c r="F112" s="893">
        <v>14</v>
      </c>
      <c r="G112" s="1528"/>
      <c r="H112" s="622"/>
      <c r="I112" s="982"/>
      <c r="J112" s="622"/>
      <c r="K112" s="982"/>
    </row>
    <row r="113" spans="1:14" s="224" customFormat="1" ht="15" customHeight="1" x14ac:dyDescent="0.25">
      <c r="A113" s="215">
        <v>43494</v>
      </c>
      <c r="B113" s="349" t="s">
        <v>14</v>
      </c>
      <c r="C113" s="350" t="s">
        <v>12</v>
      </c>
      <c r="D113" s="350" t="s">
        <v>1486</v>
      </c>
      <c r="E113" s="480" t="s">
        <v>13</v>
      </c>
      <c r="F113" s="853">
        <v>3.75</v>
      </c>
      <c r="G113" s="964"/>
      <c r="H113" s="622"/>
      <c r="I113" s="982"/>
      <c r="J113" s="622"/>
      <c r="K113" s="982"/>
    </row>
    <row r="114" spans="1:14" s="224" customFormat="1" x14ac:dyDescent="0.25">
      <c r="A114" s="215">
        <v>43495</v>
      </c>
      <c r="B114" s="862" t="s">
        <v>1710</v>
      </c>
      <c r="C114" s="879" t="s">
        <v>12</v>
      </c>
      <c r="D114" s="879" t="s">
        <v>1504</v>
      </c>
      <c r="E114" s="871" t="s">
        <v>13</v>
      </c>
      <c r="F114" s="893">
        <v>27.9</v>
      </c>
      <c r="G114" s="964"/>
      <c r="H114" s="622"/>
      <c r="I114" s="982"/>
      <c r="J114" s="622"/>
      <c r="K114" s="982"/>
    </row>
    <row r="115" spans="1:14" s="224" customFormat="1" x14ac:dyDescent="0.25">
      <c r="A115" s="215">
        <v>43495</v>
      </c>
      <c r="B115" s="349" t="s">
        <v>151</v>
      </c>
      <c r="C115" s="352" t="s">
        <v>12</v>
      </c>
      <c r="D115" s="874" t="s">
        <v>1485</v>
      </c>
      <c r="E115" s="875" t="s">
        <v>13</v>
      </c>
      <c r="F115" s="893">
        <v>14</v>
      </c>
      <c r="G115" s="964"/>
      <c r="H115" s="622"/>
      <c r="I115" s="982"/>
      <c r="J115" s="622"/>
      <c r="K115" s="982"/>
    </row>
    <row r="116" spans="1:14" s="224" customFormat="1" x14ac:dyDescent="0.25">
      <c r="A116" s="215">
        <v>43495</v>
      </c>
      <c r="B116" s="349" t="s">
        <v>1689</v>
      </c>
      <c r="C116" s="350" t="s">
        <v>12</v>
      </c>
      <c r="D116" s="802" t="s">
        <v>1491</v>
      </c>
      <c r="E116" s="145" t="s">
        <v>13</v>
      </c>
      <c r="F116" s="891">
        <v>59</v>
      </c>
      <c r="G116" s="964"/>
      <c r="H116" s="622"/>
      <c r="I116" s="982"/>
      <c r="J116" s="622"/>
      <c r="K116" s="982"/>
    </row>
    <row r="117" spans="1:14" s="224" customFormat="1" x14ac:dyDescent="0.25">
      <c r="A117" s="215">
        <v>43495</v>
      </c>
      <c r="B117" s="349" t="s">
        <v>14</v>
      </c>
      <c r="C117" s="350" t="s">
        <v>12</v>
      </c>
      <c r="D117" s="350" t="s">
        <v>1486</v>
      </c>
      <c r="E117" s="480" t="s">
        <v>13</v>
      </c>
      <c r="F117" s="853">
        <v>3.08</v>
      </c>
      <c r="G117" s="964"/>
      <c r="H117" s="622"/>
      <c r="I117" s="982"/>
      <c r="J117" s="622"/>
      <c r="K117" s="982"/>
    </row>
    <row r="118" spans="1:14" s="224" customFormat="1" ht="15" customHeight="1" x14ac:dyDescent="0.25">
      <c r="A118" s="215">
        <v>43496</v>
      </c>
      <c r="B118" s="349" t="s">
        <v>151</v>
      </c>
      <c r="C118" s="352" t="s">
        <v>12</v>
      </c>
      <c r="D118" s="874" t="s">
        <v>1485</v>
      </c>
      <c r="E118" s="875" t="s">
        <v>15</v>
      </c>
      <c r="F118" s="893">
        <v>14</v>
      </c>
      <c r="G118" s="1528"/>
      <c r="H118" s="622"/>
      <c r="I118" s="982"/>
      <c r="J118" s="622"/>
      <c r="K118" s="982"/>
    </row>
    <row r="119" spans="1:14" s="224" customFormat="1" ht="15" customHeight="1" x14ac:dyDescent="0.25">
      <c r="A119" s="215">
        <v>43496</v>
      </c>
      <c r="B119" s="349" t="s">
        <v>14</v>
      </c>
      <c r="C119" s="350" t="s">
        <v>12</v>
      </c>
      <c r="D119" s="350" t="s">
        <v>1486</v>
      </c>
      <c r="E119" s="480" t="s">
        <v>13</v>
      </c>
      <c r="F119" s="853">
        <v>23.08</v>
      </c>
      <c r="G119" s="964"/>
      <c r="H119" s="622"/>
      <c r="I119" s="982"/>
      <c r="J119" s="622"/>
      <c r="K119" s="982"/>
    </row>
    <row r="120" spans="1:14" s="224" customFormat="1" ht="15.75" thickBot="1" x14ac:dyDescent="0.3">
      <c r="A120" s="215">
        <v>43496</v>
      </c>
      <c r="B120" s="862" t="s">
        <v>1666</v>
      </c>
      <c r="C120" s="350" t="s">
        <v>12</v>
      </c>
      <c r="D120" s="350"/>
      <c r="E120" s="480" t="s">
        <v>25</v>
      </c>
      <c r="F120" s="853"/>
      <c r="G120" s="964"/>
      <c r="H120" s="622"/>
      <c r="I120" s="982"/>
      <c r="J120" s="622"/>
      <c r="K120" s="982">
        <v>37.57</v>
      </c>
    </row>
    <row r="121" spans="1:14" ht="25.5" customHeight="1" thickBot="1" x14ac:dyDescent="0.3">
      <c r="A121" s="3060"/>
      <c r="B121" s="3061"/>
      <c r="C121" s="3062"/>
      <c r="D121" s="3062"/>
      <c r="E121" s="3062"/>
      <c r="F121" s="100">
        <f>SUM(F6:F120)</f>
        <v>11271.5</v>
      </c>
      <c r="G121" s="1065">
        <f>SUM(G5:G120)</f>
        <v>11547.46000000001</v>
      </c>
      <c r="H121" s="101">
        <f>SUM(H6:H120)</f>
        <v>3517.83</v>
      </c>
      <c r="I121" s="93">
        <f>SUM(I5:I120)</f>
        <v>6118.2060000000019</v>
      </c>
      <c r="J121" s="774"/>
      <c r="K121" s="1516"/>
    </row>
    <row r="122" spans="1:14" ht="25.5" customHeight="1" thickBot="1" x14ac:dyDescent="0.3">
      <c r="A122" s="3117" t="s">
        <v>49</v>
      </c>
      <c r="B122" s="3118"/>
      <c r="C122" s="3118"/>
      <c r="D122" s="3118"/>
      <c r="E122" s="3118"/>
      <c r="F122" s="144"/>
      <c r="G122" s="519">
        <f>G121-F121</f>
        <v>275.96000000001004</v>
      </c>
      <c r="H122" s="555"/>
      <c r="I122" s="772">
        <f>I121-H121</f>
        <v>2600.376000000002</v>
      </c>
      <c r="J122" s="773"/>
      <c r="K122" s="775">
        <f>SUM(K5:K121)</f>
        <v>15332.32</v>
      </c>
    </row>
    <row r="123" spans="1:14" x14ac:dyDescent="0.25">
      <c r="G123" s="89"/>
      <c r="J123" s="769"/>
      <c r="K123" s="868"/>
    </row>
    <row r="124" spans="1:14" x14ac:dyDescent="0.25">
      <c r="B124" s="79" t="s">
        <v>32</v>
      </c>
      <c r="C124" s="475">
        <v>407.76</v>
      </c>
      <c r="D124" s="85" t="s">
        <v>1485</v>
      </c>
      <c r="J124" s="769"/>
      <c r="K124" s="866"/>
    </row>
    <row r="125" spans="1:14" x14ac:dyDescent="0.25">
      <c r="B125" s="79" t="s">
        <v>1218</v>
      </c>
      <c r="C125" s="475">
        <v>508.32</v>
      </c>
      <c r="D125" s="85" t="s">
        <v>1487</v>
      </c>
      <c r="F125" s="484"/>
      <c r="G125" s="518"/>
      <c r="J125" s="769"/>
      <c r="K125" s="868"/>
      <c r="N125" s="518"/>
    </row>
    <row r="126" spans="1:14" x14ac:dyDescent="0.25">
      <c r="B126" s="79" t="s">
        <v>50</v>
      </c>
      <c r="C126" s="854">
        <v>104.11</v>
      </c>
      <c r="D126" s="85" t="s">
        <v>1493</v>
      </c>
      <c r="J126" s="769"/>
      <c r="K126" s="866"/>
    </row>
    <row r="127" spans="1:14" s="85" customFormat="1" x14ac:dyDescent="0.25">
      <c r="A127" s="79"/>
      <c r="B127" s="79" t="s">
        <v>14</v>
      </c>
      <c r="C127" s="484">
        <v>179.36</v>
      </c>
      <c r="D127" s="85" t="s">
        <v>1486</v>
      </c>
      <c r="J127" s="769"/>
      <c r="K127" s="866"/>
    </row>
    <row r="128" spans="1:14" s="85" customFormat="1" x14ac:dyDescent="0.25">
      <c r="A128" s="79"/>
      <c r="B128" s="79" t="s">
        <v>51</v>
      </c>
      <c r="C128" s="475">
        <v>87</v>
      </c>
      <c r="D128" s="864" t="s">
        <v>1499</v>
      </c>
      <c r="E128" s="79"/>
      <c r="F128" s="89"/>
      <c r="G128" s="79"/>
      <c r="H128" s="79"/>
      <c r="I128" s="79"/>
      <c r="J128" s="769"/>
      <c r="K128" s="866"/>
    </row>
    <row r="129" spans="1:11" s="85" customFormat="1" x14ac:dyDescent="0.25">
      <c r="A129" s="79"/>
      <c r="B129" s="79" t="s">
        <v>52</v>
      </c>
      <c r="C129" s="475">
        <v>165.6</v>
      </c>
      <c r="D129" s="864" t="s">
        <v>1496</v>
      </c>
      <c r="F129" s="89"/>
      <c r="G129" s="79"/>
      <c r="H129" s="79"/>
      <c r="I129" s="79"/>
      <c r="J129" s="769"/>
      <c r="K129" s="866"/>
    </row>
    <row r="130" spans="1:11" s="85" customFormat="1" x14ac:dyDescent="0.25">
      <c r="A130" s="79"/>
      <c r="B130" s="867" t="s">
        <v>53</v>
      </c>
      <c r="C130" s="475">
        <v>1113.1199999999999</v>
      </c>
      <c r="D130" s="864" t="s">
        <v>1522</v>
      </c>
      <c r="E130" s="89"/>
      <c r="F130" s="89"/>
      <c r="G130" s="79"/>
      <c r="H130" s="79"/>
      <c r="I130" s="79"/>
      <c r="J130" s="769"/>
      <c r="K130" s="866"/>
    </row>
    <row r="131" spans="1:11" s="85" customFormat="1" x14ac:dyDescent="0.25">
      <c r="A131" s="79"/>
      <c r="B131" s="79" t="s">
        <v>1823</v>
      </c>
      <c r="C131" s="475"/>
      <c r="D131" s="864" t="s">
        <v>1515</v>
      </c>
      <c r="F131" s="89"/>
      <c r="G131" s="79"/>
      <c r="H131" s="79"/>
      <c r="I131" s="79"/>
      <c r="J131" s="769"/>
      <c r="K131" s="866"/>
    </row>
    <row r="132" spans="1:11" s="85" customFormat="1" x14ac:dyDescent="0.25">
      <c r="A132" s="79"/>
      <c r="B132" s="79" t="s">
        <v>56</v>
      </c>
      <c r="C132" s="475">
        <v>209</v>
      </c>
      <c r="D132" s="864" t="s">
        <v>1523</v>
      </c>
      <c r="F132" s="89"/>
      <c r="G132" s="79"/>
      <c r="H132" s="79"/>
      <c r="I132" s="79"/>
      <c r="J132" s="769"/>
      <c r="K132" s="868"/>
    </row>
    <row r="133" spans="1:11" s="85" customFormat="1" x14ac:dyDescent="0.25">
      <c r="A133" s="79"/>
      <c r="B133" s="79" t="s">
        <v>1686</v>
      </c>
      <c r="C133" s="475">
        <v>337.14</v>
      </c>
      <c r="D133" s="864" t="s">
        <v>1506</v>
      </c>
      <c r="F133" s="89"/>
      <c r="G133" s="79"/>
      <c r="H133" s="79"/>
      <c r="I133" s="79"/>
      <c r="J133" s="769"/>
      <c r="K133" s="866"/>
    </row>
    <row r="134" spans="1:11" s="85" customFormat="1" x14ac:dyDescent="0.25">
      <c r="A134" s="79"/>
      <c r="B134" s="79" t="s">
        <v>418</v>
      </c>
      <c r="C134" s="475">
        <v>120.45</v>
      </c>
      <c r="D134" s="85" t="s">
        <v>1524</v>
      </c>
      <c r="E134" s="79"/>
      <c r="F134" s="89"/>
      <c r="J134" s="769"/>
      <c r="K134" s="866"/>
    </row>
    <row r="135" spans="1:11" x14ac:dyDescent="0.25">
      <c r="B135" s="79" t="s">
        <v>419</v>
      </c>
      <c r="C135" s="861">
        <v>549</v>
      </c>
      <c r="D135" s="85" t="s">
        <v>1491</v>
      </c>
      <c r="J135" s="769"/>
      <c r="K135" s="868"/>
    </row>
    <row r="136" spans="1:11" x14ac:dyDescent="0.25">
      <c r="B136" s="79" t="s">
        <v>911</v>
      </c>
      <c r="C136" s="861">
        <v>193.33</v>
      </c>
      <c r="D136" s="85" t="s">
        <v>1525</v>
      </c>
      <c r="J136" s="769"/>
      <c r="K136" s="868"/>
    </row>
    <row r="137" spans="1:11" x14ac:dyDescent="0.25">
      <c r="B137" s="79" t="s">
        <v>1526</v>
      </c>
      <c r="C137" s="861">
        <v>146.82</v>
      </c>
      <c r="D137" s="85" t="s">
        <v>1504</v>
      </c>
      <c r="E137" s="79"/>
      <c r="J137" s="769"/>
      <c r="K137" s="866"/>
    </row>
    <row r="138" spans="1:11" x14ac:dyDescent="0.25">
      <c r="B138" s="79" t="s">
        <v>1527</v>
      </c>
      <c r="C138" s="861">
        <v>876.92</v>
      </c>
      <c r="D138" s="85" t="s">
        <v>1489</v>
      </c>
      <c r="J138" s="769"/>
      <c r="K138" s="868"/>
    </row>
    <row r="139" spans="1:11" x14ac:dyDescent="0.25">
      <c r="J139" s="769"/>
      <c r="K139" s="866"/>
    </row>
    <row r="140" spans="1:11" x14ac:dyDescent="0.25">
      <c r="F140" s="85"/>
      <c r="J140" s="769"/>
      <c r="K140" s="866"/>
    </row>
    <row r="141" spans="1:11" x14ac:dyDescent="0.25">
      <c r="B141" s="79" t="s">
        <v>486</v>
      </c>
      <c r="C141" s="475">
        <f>H141/J141</f>
        <v>161.22354838709674</v>
      </c>
      <c r="F141" s="224" t="s">
        <v>487</v>
      </c>
      <c r="H141" s="216">
        <f>SUM(C124:C138)</f>
        <v>4997.9299999999994</v>
      </c>
      <c r="I141" s="518" t="s">
        <v>488</v>
      </c>
      <c r="J141" s="1517">
        <v>31</v>
      </c>
      <c r="K141" s="866"/>
    </row>
    <row r="142" spans="1:11" x14ac:dyDescent="0.25">
      <c r="J142" s="769"/>
      <c r="K142" s="866"/>
    </row>
    <row r="143" spans="1:11" x14ac:dyDescent="0.25">
      <c r="J143" s="769"/>
      <c r="K143" s="868"/>
    </row>
    <row r="144" spans="1:11" x14ac:dyDescent="0.25">
      <c r="K144" s="866"/>
    </row>
    <row r="145" spans="3:11" x14ac:dyDescent="0.25">
      <c r="D145" s="79"/>
      <c r="E145" s="79"/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G151" s="216"/>
      <c r="I151" s="216"/>
      <c r="J151" s="769"/>
      <c r="K151" s="868"/>
    </row>
    <row r="152" spans="3:11" x14ac:dyDescent="0.25">
      <c r="C152" s="79"/>
      <c r="D152" s="79"/>
      <c r="E152" s="79"/>
      <c r="F152" s="79"/>
      <c r="G152" s="216"/>
      <c r="I152" s="216"/>
      <c r="J152" s="769"/>
      <c r="K152" s="866"/>
    </row>
    <row r="153" spans="3:11" x14ac:dyDescent="0.25">
      <c r="C153" s="79"/>
      <c r="D153" s="79"/>
      <c r="E153" s="79"/>
      <c r="F153" s="79"/>
      <c r="G153" s="216"/>
      <c r="J153" s="770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J155" s="769"/>
      <c r="K155" s="866"/>
    </row>
    <row r="156" spans="3:11" x14ac:dyDescent="0.25">
      <c r="C156" s="79"/>
      <c r="D156" s="79"/>
      <c r="E156" s="79"/>
      <c r="F156" s="79"/>
      <c r="I156" s="629"/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6"/>
    </row>
    <row r="165" spans="3:11" x14ac:dyDescent="0.25">
      <c r="C165" s="79"/>
      <c r="D165" s="79"/>
      <c r="E165" s="79"/>
      <c r="F165" s="79"/>
      <c r="I165" s="216"/>
      <c r="J165" s="769"/>
      <c r="K165" s="866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C169" s="79"/>
      <c r="D169" s="79"/>
      <c r="E169" s="79"/>
      <c r="F169" s="79"/>
      <c r="I169" s="216"/>
      <c r="J169" s="769"/>
      <c r="K169" s="868"/>
    </row>
    <row r="170" spans="3:11" x14ac:dyDescent="0.25">
      <c r="C170" s="79"/>
      <c r="D170" s="79"/>
      <c r="E170" s="79"/>
      <c r="F170" s="79"/>
      <c r="I170" s="216"/>
      <c r="J170" s="769"/>
      <c r="K170" s="868"/>
    </row>
    <row r="171" spans="3:11" x14ac:dyDescent="0.25">
      <c r="J171" s="769"/>
      <c r="K171" s="866"/>
    </row>
    <row r="172" spans="3:11" x14ac:dyDescent="0.25">
      <c r="J172" s="769"/>
      <c r="K172" s="866"/>
    </row>
    <row r="173" spans="3:11" x14ac:dyDescent="0.25">
      <c r="J173" s="769"/>
      <c r="K173" s="868"/>
    </row>
    <row r="174" spans="3:11" x14ac:dyDescent="0.25">
      <c r="J174" s="769"/>
      <c r="K174" s="866"/>
    </row>
    <row r="175" spans="3:11" x14ac:dyDescent="0.25">
      <c r="J175" s="769"/>
      <c r="K175" s="866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8"/>
    </row>
    <row r="179" spans="3:11" x14ac:dyDescent="0.25">
      <c r="C179" s="79"/>
      <c r="D179" s="79"/>
      <c r="E179" s="79"/>
      <c r="F179" s="79"/>
      <c r="J179" s="769"/>
      <c r="K179" s="868"/>
    </row>
    <row r="180" spans="3:11" x14ac:dyDescent="0.25">
      <c r="C180" s="79"/>
      <c r="D180" s="79"/>
      <c r="E180" s="79"/>
      <c r="F180" s="79"/>
      <c r="J180" s="769"/>
      <c r="K180" s="866"/>
    </row>
    <row r="181" spans="3:11" x14ac:dyDescent="0.25">
      <c r="C181" s="79"/>
      <c r="D181" s="79"/>
      <c r="E181" s="79"/>
      <c r="F181" s="79"/>
      <c r="J181" s="223"/>
      <c r="K181" s="629"/>
    </row>
    <row r="182" spans="3:11" x14ac:dyDescent="0.25">
      <c r="C182" s="79"/>
      <c r="D182" s="79"/>
      <c r="E182" s="79"/>
      <c r="F182" s="79"/>
      <c r="J182" s="756"/>
      <c r="K182" s="756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  <c r="J187" s="85"/>
      <c r="K187" s="85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85"/>
      <c r="K194" s="85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  <c r="J201" s="771"/>
      <c r="K201" s="518"/>
    </row>
    <row r="202" spans="3:11" x14ac:dyDescent="0.25">
      <c r="C202" s="79"/>
      <c r="D202" s="79"/>
      <c r="E202" s="79"/>
      <c r="F202" s="79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4" spans="3:11" x14ac:dyDescent="0.25">
      <c r="C214" s="79"/>
      <c r="D214" s="79"/>
      <c r="E214" s="79"/>
      <c r="F214" s="79"/>
      <c r="K214" s="216"/>
    </row>
    <row r="216" spans="3:11" x14ac:dyDescent="0.25">
      <c r="C216" s="79"/>
      <c r="D216" s="79"/>
      <c r="E216" s="79"/>
      <c r="F216" s="79"/>
      <c r="K216" s="629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</sheetData>
  <autoFilter ref="A2:I122" xr:uid="{00000000-0009-0000-0000-000052000000}"/>
  <mergeCells count="13">
    <mergeCell ref="L74:P74"/>
    <mergeCell ref="A121:E121"/>
    <mergeCell ref="A122:E12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Plan96"/>
  <dimension ref="A1:N224"/>
  <sheetViews>
    <sheetView zoomScale="85" zoomScaleNormal="85" workbookViewId="0">
      <pane ySplit="4" topLeftCell="A68" activePane="bottomLeft" state="frozen"/>
      <selection activeCell="C44" sqref="C44"/>
      <selection pane="bottomLeft" activeCell="B76" sqref="B76:F7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2120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x14ac:dyDescent="0.25">
      <c r="A5" s="281">
        <v>43497</v>
      </c>
      <c r="B5" s="369" t="s">
        <v>10</v>
      </c>
      <c r="C5" s="370"/>
      <c r="D5" s="370"/>
      <c r="E5" s="777"/>
      <c r="F5" s="889"/>
      <c r="G5" s="925">
        <f>'Janeiro-19'!G122</f>
        <v>275.96000000001004</v>
      </c>
      <c r="H5" s="179"/>
      <c r="I5" s="933">
        <f>'Janeiro-19'!I122</f>
        <v>2600.376000000002</v>
      </c>
      <c r="J5" s="179"/>
      <c r="K5" s="933">
        <f>'Janeiro-19'!K122</f>
        <v>15332.32</v>
      </c>
    </row>
    <row r="6" spans="1:13" s="224" customFormat="1" x14ac:dyDescent="0.25">
      <c r="A6" s="215">
        <v>43497</v>
      </c>
      <c r="B6" s="348" t="s">
        <v>11</v>
      </c>
      <c r="C6" s="351"/>
      <c r="D6" s="351"/>
      <c r="E6" s="673"/>
      <c r="F6" s="626">
        <v>15</v>
      </c>
      <c r="G6" s="1526"/>
      <c r="H6" s="250"/>
      <c r="I6" s="1473"/>
      <c r="J6" s="250"/>
      <c r="K6" s="1473"/>
      <c r="L6" s="89"/>
      <c r="M6" s="89"/>
    </row>
    <row r="7" spans="1:13" s="224" customFormat="1" x14ac:dyDescent="0.25">
      <c r="A7" s="215">
        <v>43497</v>
      </c>
      <c r="B7" s="349" t="s">
        <v>151</v>
      </c>
      <c r="C7" s="352" t="s">
        <v>12</v>
      </c>
      <c r="D7" s="874" t="s">
        <v>1485</v>
      </c>
      <c r="E7" s="875" t="s">
        <v>13</v>
      </c>
      <c r="F7" s="893">
        <v>14</v>
      </c>
      <c r="G7" s="964"/>
      <c r="H7" s="622"/>
      <c r="I7" s="982"/>
      <c r="J7" s="622"/>
      <c r="K7" s="982"/>
    </row>
    <row r="8" spans="1:13" s="224" customFormat="1" ht="14.25" customHeight="1" x14ac:dyDescent="0.25">
      <c r="A8" s="215">
        <v>43497</v>
      </c>
      <c r="B8" s="876" t="s">
        <v>17</v>
      </c>
      <c r="C8" s="350" t="s">
        <v>12</v>
      </c>
      <c r="D8" s="874" t="s">
        <v>1493</v>
      </c>
      <c r="E8" s="875" t="s">
        <v>13</v>
      </c>
      <c r="F8" s="852">
        <v>5</v>
      </c>
      <c r="G8" s="673"/>
      <c r="H8" s="622"/>
      <c r="I8" s="982"/>
      <c r="J8" s="622"/>
      <c r="K8" s="982"/>
    </row>
    <row r="9" spans="1:13" s="224" customFormat="1" ht="15" customHeight="1" x14ac:dyDescent="0.25">
      <c r="A9" s="215">
        <v>43497</v>
      </c>
      <c r="B9" s="862" t="s">
        <v>2096</v>
      </c>
      <c r="C9" s="352" t="s">
        <v>12</v>
      </c>
      <c r="D9" s="874" t="s">
        <v>1506</v>
      </c>
      <c r="E9" s="875" t="s">
        <v>15</v>
      </c>
      <c r="F9" s="890">
        <v>30</v>
      </c>
      <c r="G9" s="1528"/>
      <c r="H9" s="622"/>
      <c r="I9" s="982"/>
      <c r="J9" s="622"/>
      <c r="K9" s="982"/>
    </row>
    <row r="10" spans="1:13" s="224" customFormat="1" ht="15" customHeight="1" x14ac:dyDescent="0.25">
      <c r="A10" s="215">
        <v>43497</v>
      </c>
      <c r="B10" s="349" t="s">
        <v>14</v>
      </c>
      <c r="C10" s="350" t="s">
        <v>12</v>
      </c>
      <c r="D10" s="350" t="s">
        <v>1486</v>
      </c>
      <c r="E10" s="480" t="s">
        <v>13</v>
      </c>
      <c r="F10" s="853">
        <v>3.38</v>
      </c>
      <c r="G10" s="964"/>
      <c r="H10" s="622"/>
      <c r="I10" s="982"/>
      <c r="J10" s="622"/>
      <c r="K10" s="982"/>
    </row>
    <row r="11" spans="1:13" s="224" customFormat="1" ht="14.25" customHeight="1" x14ac:dyDescent="0.25">
      <c r="A11" s="215">
        <v>43498</v>
      </c>
      <c r="B11" s="349" t="s">
        <v>151</v>
      </c>
      <c r="C11" s="352" t="s">
        <v>12</v>
      </c>
      <c r="D11" s="874" t="s">
        <v>1485</v>
      </c>
      <c r="E11" s="875" t="s">
        <v>13</v>
      </c>
      <c r="F11" s="852">
        <v>10</v>
      </c>
      <c r="G11" s="673"/>
      <c r="H11" s="622"/>
      <c r="I11" s="982"/>
      <c r="J11" s="622"/>
      <c r="K11" s="982"/>
      <c r="L11" s="883"/>
      <c r="M11" s="89"/>
    </row>
    <row r="12" spans="1:13" s="224" customFormat="1" ht="15" customHeight="1" x14ac:dyDescent="0.25">
      <c r="A12" s="215">
        <v>43498</v>
      </c>
      <c r="B12" s="862" t="s">
        <v>256</v>
      </c>
      <c r="C12" s="879"/>
      <c r="D12" s="879"/>
      <c r="E12" s="871"/>
      <c r="F12" s="97"/>
      <c r="G12" s="1064">
        <v>200.38</v>
      </c>
      <c r="H12" s="97">
        <v>200.38</v>
      </c>
      <c r="I12" s="982"/>
      <c r="J12" s="622"/>
      <c r="K12" s="982"/>
    </row>
    <row r="13" spans="1:13" s="224" customFormat="1" ht="15" customHeight="1" x14ac:dyDescent="0.25">
      <c r="A13" s="215">
        <v>43498</v>
      </c>
      <c r="B13" s="364" t="s">
        <v>1438</v>
      </c>
      <c r="C13" s="350" t="s">
        <v>19</v>
      </c>
      <c r="D13" s="874" t="s">
        <v>1489</v>
      </c>
      <c r="E13" s="875" t="s">
        <v>13</v>
      </c>
      <c r="F13" s="893">
        <v>60.21</v>
      </c>
      <c r="G13" s="1527"/>
      <c r="H13" s="97"/>
      <c r="I13" s="982"/>
      <c r="J13" s="622"/>
      <c r="K13" s="982"/>
    </row>
    <row r="14" spans="1:13" s="224" customFormat="1" ht="15" customHeight="1" x14ac:dyDescent="0.25">
      <c r="A14" s="215">
        <v>43498</v>
      </c>
      <c r="B14" s="862" t="s">
        <v>1331</v>
      </c>
      <c r="C14" s="879" t="s">
        <v>12</v>
      </c>
      <c r="D14" s="879" t="s">
        <v>1487</v>
      </c>
      <c r="E14" s="480" t="s">
        <v>13</v>
      </c>
      <c r="F14" s="893">
        <v>70</v>
      </c>
      <c r="G14" s="1527"/>
      <c r="H14" s="97"/>
      <c r="I14" s="982"/>
      <c r="J14" s="622"/>
      <c r="K14" s="982"/>
    </row>
    <row r="15" spans="1:13" s="224" customFormat="1" ht="15" customHeight="1" x14ac:dyDescent="0.25">
      <c r="A15" s="215">
        <v>43134</v>
      </c>
      <c r="B15" s="349" t="s">
        <v>14</v>
      </c>
      <c r="C15" s="350" t="s">
        <v>12</v>
      </c>
      <c r="D15" s="350" t="s">
        <v>1486</v>
      </c>
      <c r="E15" s="480" t="s">
        <v>13</v>
      </c>
      <c r="F15" s="853">
        <v>4.34</v>
      </c>
      <c r="G15" s="964"/>
      <c r="H15" s="622"/>
      <c r="I15" s="982"/>
      <c r="J15" s="622"/>
      <c r="K15" s="982"/>
    </row>
    <row r="16" spans="1:13" s="224" customFormat="1" ht="14.25" customHeight="1" x14ac:dyDescent="0.25">
      <c r="A16" s="215">
        <v>43499</v>
      </c>
      <c r="B16" s="349" t="s">
        <v>151</v>
      </c>
      <c r="C16" s="352" t="s">
        <v>12</v>
      </c>
      <c r="D16" s="874" t="s">
        <v>1485</v>
      </c>
      <c r="E16" s="875" t="s">
        <v>15</v>
      </c>
      <c r="F16" s="852">
        <v>30</v>
      </c>
      <c r="G16" s="673"/>
      <c r="H16" s="622"/>
      <c r="I16" s="982"/>
      <c r="J16" s="622"/>
      <c r="K16" s="982"/>
      <c r="L16" s="883"/>
      <c r="M16" s="89"/>
    </row>
    <row r="17" spans="1:13" s="224" customFormat="1" ht="15" customHeight="1" x14ac:dyDescent="0.25">
      <c r="A17" s="215">
        <v>43499</v>
      </c>
      <c r="B17" s="349" t="s">
        <v>14</v>
      </c>
      <c r="C17" s="350" t="s">
        <v>12</v>
      </c>
      <c r="D17" s="350" t="s">
        <v>1486</v>
      </c>
      <c r="E17" s="480" t="s">
        <v>13</v>
      </c>
      <c r="F17" s="853">
        <v>10</v>
      </c>
      <c r="G17" s="1527"/>
      <c r="H17" s="97"/>
      <c r="I17" s="982"/>
      <c r="J17" s="622"/>
      <c r="K17" s="982"/>
    </row>
    <row r="18" spans="1:13" s="224" customFormat="1" ht="14.25" customHeight="1" x14ac:dyDescent="0.25">
      <c r="A18" s="215">
        <v>43500</v>
      </c>
      <c r="B18" s="349" t="s">
        <v>151</v>
      </c>
      <c r="C18" s="352" t="s">
        <v>12</v>
      </c>
      <c r="D18" s="874" t="s">
        <v>1485</v>
      </c>
      <c r="E18" s="875" t="s">
        <v>13</v>
      </c>
      <c r="F18" s="852">
        <v>14</v>
      </c>
      <c r="G18" s="673"/>
      <c r="H18" s="622"/>
      <c r="I18" s="982"/>
      <c r="J18" s="622"/>
      <c r="K18" s="982"/>
      <c r="L18" s="883"/>
      <c r="M18" s="89"/>
    </row>
    <row r="19" spans="1:13" s="224" customFormat="1" x14ac:dyDescent="0.25">
      <c r="A19" s="215">
        <v>43500</v>
      </c>
      <c r="B19" s="349" t="s">
        <v>14</v>
      </c>
      <c r="C19" s="350" t="s">
        <v>12</v>
      </c>
      <c r="D19" s="350" t="s">
        <v>1486</v>
      </c>
      <c r="E19" s="480" t="s">
        <v>13</v>
      </c>
      <c r="F19" s="852">
        <v>3.48</v>
      </c>
      <c r="G19" s="964"/>
      <c r="H19" s="622"/>
      <c r="I19" s="982"/>
      <c r="J19" s="622"/>
      <c r="K19" s="982"/>
    </row>
    <row r="20" spans="1:13" s="224" customFormat="1" ht="14.25" customHeight="1" x14ac:dyDescent="0.25">
      <c r="A20" s="215">
        <v>43501</v>
      </c>
      <c r="B20" s="349" t="s">
        <v>151</v>
      </c>
      <c r="C20" s="352" t="s">
        <v>12</v>
      </c>
      <c r="D20" s="874" t="s">
        <v>1485</v>
      </c>
      <c r="E20" s="875" t="s">
        <v>15</v>
      </c>
      <c r="F20" s="852">
        <v>14</v>
      </c>
      <c r="G20" s="673"/>
      <c r="H20" s="622"/>
      <c r="I20" s="982"/>
      <c r="J20" s="622"/>
      <c r="K20" s="982"/>
      <c r="L20" s="883"/>
      <c r="M20" s="89"/>
    </row>
    <row r="21" spans="1:13" s="224" customFormat="1" ht="15" customHeight="1" x14ac:dyDescent="0.25">
      <c r="A21" s="215">
        <v>43501</v>
      </c>
      <c r="B21" s="862" t="s">
        <v>2121</v>
      </c>
      <c r="C21" s="879" t="s">
        <v>12</v>
      </c>
      <c r="D21" s="879" t="s">
        <v>1491</v>
      </c>
      <c r="E21" s="871" t="s">
        <v>13</v>
      </c>
      <c r="F21" s="97">
        <v>14</v>
      </c>
      <c r="G21" s="1064"/>
      <c r="H21" s="97"/>
      <c r="I21" s="982"/>
      <c r="J21" s="622"/>
      <c r="K21" s="982"/>
    </row>
    <row r="22" spans="1:13" s="224" customFormat="1" x14ac:dyDescent="0.25">
      <c r="A22" s="215">
        <v>43501</v>
      </c>
      <c r="B22" s="349" t="s">
        <v>14</v>
      </c>
      <c r="C22" s="350" t="s">
        <v>12</v>
      </c>
      <c r="D22" s="350" t="s">
        <v>1486</v>
      </c>
      <c r="E22" s="480" t="s">
        <v>13</v>
      </c>
      <c r="F22" s="852">
        <v>16.260000000000002</v>
      </c>
      <c r="G22" s="964"/>
      <c r="H22" s="622"/>
      <c r="I22" s="982"/>
      <c r="J22" s="622"/>
      <c r="K22" s="982"/>
    </row>
    <row r="23" spans="1:13" s="224" customFormat="1" ht="15.75" customHeight="1" x14ac:dyDescent="0.25">
      <c r="A23" s="215">
        <v>43502</v>
      </c>
      <c r="B23" s="349" t="s">
        <v>2122</v>
      </c>
      <c r="C23" s="879" t="s">
        <v>12</v>
      </c>
      <c r="D23" s="874"/>
      <c r="E23" s="871" t="s">
        <v>25</v>
      </c>
      <c r="F23" s="1514"/>
      <c r="G23" s="1473">
        <v>1733.55</v>
      </c>
      <c r="H23" s="250"/>
      <c r="I23" s="946"/>
      <c r="J23" s="97"/>
      <c r="K23" s="946"/>
      <c r="L23" s="864"/>
    </row>
    <row r="24" spans="1:13" s="224" customFormat="1" x14ac:dyDescent="0.25">
      <c r="A24" s="215">
        <v>43502</v>
      </c>
      <c r="B24" s="862" t="s">
        <v>2123</v>
      </c>
      <c r="C24" s="879" t="s">
        <v>12</v>
      </c>
      <c r="D24" s="879"/>
      <c r="E24" s="871" t="s">
        <v>13</v>
      </c>
      <c r="F24" s="872">
        <v>894.73</v>
      </c>
      <c r="G24" s="964"/>
      <c r="H24" s="622"/>
      <c r="I24" s="982"/>
      <c r="J24" s="780"/>
      <c r="K24" s="614"/>
      <c r="L24" s="867"/>
      <c r="M24" s="89"/>
    </row>
    <row r="25" spans="1:13" x14ac:dyDescent="0.25">
      <c r="A25" s="215">
        <v>43502</v>
      </c>
      <c r="B25" s="862" t="s">
        <v>1961</v>
      </c>
      <c r="C25" s="879" t="s">
        <v>12</v>
      </c>
      <c r="D25" s="879" t="s">
        <v>1504</v>
      </c>
      <c r="E25" s="871" t="s">
        <v>13</v>
      </c>
      <c r="F25" s="852">
        <v>50</v>
      </c>
      <c r="G25" s="964"/>
      <c r="H25" s="622"/>
      <c r="I25" s="982"/>
      <c r="J25" s="622"/>
      <c r="K25" s="1002"/>
      <c r="L25" s="895">
        <v>90</v>
      </c>
    </row>
    <row r="26" spans="1:13" x14ac:dyDescent="0.25">
      <c r="A26" s="215">
        <v>43502</v>
      </c>
      <c r="B26" s="882" t="s">
        <v>2124</v>
      </c>
      <c r="C26" s="879" t="s">
        <v>12</v>
      </c>
      <c r="D26" s="879" t="s">
        <v>1499</v>
      </c>
      <c r="E26" s="871" t="s">
        <v>13</v>
      </c>
      <c r="F26" s="852">
        <v>64.16</v>
      </c>
      <c r="G26" s="964"/>
      <c r="H26" s="622"/>
      <c r="I26" s="982"/>
      <c r="J26" s="780"/>
      <c r="K26" s="614"/>
      <c r="L26" s="867">
        <v>244.16</v>
      </c>
    </row>
    <row r="27" spans="1:13" x14ac:dyDescent="0.25">
      <c r="A27" s="215">
        <v>43502</v>
      </c>
      <c r="B27" s="876" t="s">
        <v>52</v>
      </c>
      <c r="C27" s="879" t="s">
        <v>12</v>
      </c>
      <c r="D27" s="879" t="s">
        <v>1496</v>
      </c>
      <c r="E27" s="871" t="s">
        <v>13</v>
      </c>
      <c r="F27" s="852">
        <v>60</v>
      </c>
      <c r="G27" s="1528"/>
      <c r="H27" s="853"/>
      <c r="I27" s="982"/>
      <c r="J27" s="622"/>
      <c r="K27" s="982"/>
      <c r="L27" s="867"/>
    </row>
    <row r="28" spans="1:13" s="224" customFormat="1" ht="14.25" customHeight="1" x14ac:dyDescent="0.25">
      <c r="A28" s="215">
        <v>43502</v>
      </c>
      <c r="B28" s="349" t="s">
        <v>151</v>
      </c>
      <c r="C28" s="352" t="s">
        <v>12</v>
      </c>
      <c r="D28" s="874" t="s">
        <v>1485</v>
      </c>
      <c r="E28" s="875" t="s">
        <v>13</v>
      </c>
      <c r="F28" s="852">
        <v>14</v>
      </c>
      <c r="G28" s="673"/>
      <c r="H28" s="622"/>
      <c r="I28" s="982"/>
      <c r="J28" s="622"/>
      <c r="K28" s="982"/>
      <c r="L28" s="883"/>
      <c r="M28" s="89"/>
    </row>
    <row r="29" spans="1:13" s="224" customFormat="1" ht="15" customHeight="1" x14ac:dyDescent="0.25">
      <c r="A29" s="215">
        <v>43502</v>
      </c>
      <c r="B29" s="349" t="s">
        <v>14</v>
      </c>
      <c r="C29" s="350" t="s">
        <v>12</v>
      </c>
      <c r="D29" s="350" t="s">
        <v>1486</v>
      </c>
      <c r="E29" s="480" t="s">
        <v>13</v>
      </c>
      <c r="F29" s="890">
        <v>3.36</v>
      </c>
      <c r="G29" s="1528"/>
      <c r="H29" s="622"/>
      <c r="I29" s="982"/>
      <c r="J29" s="622"/>
      <c r="K29" s="982"/>
    </row>
    <row r="30" spans="1:13" s="224" customFormat="1" ht="15" customHeight="1" x14ac:dyDescent="0.25">
      <c r="A30" s="215">
        <v>43503</v>
      </c>
      <c r="B30" s="364" t="s">
        <v>311</v>
      </c>
      <c r="C30" s="350"/>
      <c r="D30" s="350"/>
      <c r="E30" s="480"/>
      <c r="F30" s="827"/>
      <c r="G30" s="888"/>
      <c r="H30" s="97"/>
      <c r="I30" s="946">
        <v>8.92</v>
      </c>
      <c r="J30" s="622"/>
      <c r="K30" s="982"/>
    </row>
    <row r="31" spans="1:13" s="224" customFormat="1" ht="15" customHeight="1" x14ac:dyDescent="0.25">
      <c r="A31" s="215">
        <v>43503</v>
      </c>
      <c r="B31" s="349" t="s">
        <v>151</v>
      </c>
      <c r="C31" s="352" t="s">
        <v>12</v>
      </c>
      <c r="D31" s="874" t="s">
        <v>1485</v>
      </c>
      <c r="E31" s="875" t="s">
        <v>15</v>
      </c>
      <c r="F31" s="852">
        <v>14</v>
      </c>
      <c r="G31" s="1064"/>
      <c r="H31" s="97"/>
      <c r="I31" s="982"/>
      <c r="J31" s="622"/>
      <c r="K31" s="982"/>
    </row>
    <row r="32" spans="1:13" s="224" customFormat="1" ht="15" customHeight="1" x14ac:dyDescent="0.25">
      <c r="A32" s="215">
        <v>43503</v>
      </c>
      <c r="B32" s="349" t="s">
        <v>14</v>
      </c>
      <c r="C32" s="350" t="s">
        <v>12</v>
      </c>
      <c r="D32" s="350" t="s">
        <v>1486</v>
      </c>
      <c r="E32" s="480" t="s">
        <v>13</v>
      </c>
      <c r="F32" s="852">
        <v>7.64</v>
      </c>
      <c r="G32" s="1527"/>
      <c r="H32" s="97"/>
      <c r="I32" s="946"/>
      <c r="J32" s="97"/>
      <c r="K32" s="946"/>
    </row>
    <row r="33" spans="1:11" s="224" customFormat="1" ht="15" customHeight="1" x14ac:dyDescent="0.25">
      <c r="A33" s="215">
        <v>43504</v>
      </c>
      <c r="B33" s="349" t="s">
        <v>151</v>
      </c>
      <c r="C33" s="352" t="s">
        <v>12</v>
      </c>
      <c r="D33" s="874" t="s">
        <v>1485</v>
      </c>
      <c r="E33" s="875" t="s">
        <v>13</v>
      </c>
      <c r="F33" s="852">
        <v>14</v>
      </c>
      <c r="G33" s="1064"/>
      <c r="H33" s="97"/>
      <c r="I33" s="982"/>
      <c r="J33" s="622"/>
      <c r="K33" s="982"/>
    </row>
    <row r="34" spans="1:11" s="224" customFormat="1" ht="15" customHeight="1" x14ac:dyDescent="0.25">
      <c r="A34" s="215">
        <v>43504</v>
      </c>
      <c r="B34" s="349" t="s">
        <v>14</v>
      </c>
      <c r="C34" s="350" t="s">
        <v>12</v>
      </c>
      <c r="D34" s="350" t="s">
        <v>1486</v>
      </c>
      <c r="E34" s="480" t="s">
        <v>13</v>
      </c>
      <c r="F34" s="852">
        <v>21</v>
      </c>
      <c r="G34" s="1527"/>
      <c r="H34" s="97"/>
      <c r="I34" s="946"/>
      <c r="J34" s="97"/>
      <c r="K34" s="946"/>
    </row>
    <row r="35" spans="1:11" s="224" customFormat="1" ht="15" customHeight="1" x14ac:dyDescent="0.25">
      <c r="A35" s="215">
        <v>43504</v>
      </c>
      <c r="B35" s="349" t="s">
        <v>1597</v>
      </c>
      <c r="C35" s="350" t="s">
        <v>12</v>
      </c>
      <c r="D35" s="350" t="s">
        <v>1491</v>
      </c>
      <c r="E35" s="480" t="s">
        <v>15</v>
      </c>
      <c r="F35" s="852">
        <v>60</v>
      </c>
      <c r="G35" s="1527"/>
      <c r="H35" s="97"/>
      <c r="I35" s="946"/>
      <c r="J35" s="97"/>
      <c r="K35" s="946"/>
    </row>
    <row r="36" spans="1:11" s="224" customFormat="1" ht="15" customHeight="1" x14ac:dyDescent="0.25">
      <c r="A36" s="215">
        <v>43505</v>
      </c>
      <c r="B36" s="349" t="s">
        <v>151</v>
      </c>
      <c r="C36" s="352" t="s">
        <v>12</v>
      </c>
      <c r="D36" s="874" t="s">
        <v>1485</v>
      </c>
      <c r="E36" s="875" t="s">
        <v>15</v>
      </c>
      <c r="F36" s="852">
        <v>10</v>
      </c>
      <c r="G36" s="1064"/>
      <c r="H36" s="97"/>
      <c r="I36" s="982"/>
      <c r="J36" s="622"/>
      <c r="K36" s="982"/>
    </row>
    <row r="37" spans="1:11" s="224" customFormat="1" ht="15" customHeight="1" x14ac:dyDescent="0.25">
      <c r="A37" s="215">
        <v>43505</v>
      </c>
      <c r="B37" s="349" t="s">
        <v>1744</v>
      </c>
      <c r="C37" s="350" t="s">
        <v>12</v>
      </c>
      <c r="D37" s="350" t="s">
        <v>1493</v>
      </c>
      <c r="E37" s="480" t="s">
        <v>13</v>
      </c>
      <c r="F37" s="852">
        <v>18</v>
      </c>
      <c r="G37" s="1527"/>
      <c r="H37" s="97"/>
      <c r="I37" s="946"/>
      <c r="J37" s="97"/>
      <c r="K37" s="946"/>
    </row>
    <row r="38" spans="1:11" s="224" customFormat="1" ht="15" customHeight="1" x14ac:dyDescent="0.25">
      <c r="A38" s="215">
        <v>43505</v>
      </c>
      <c r="B38" s="862" t="s">
        <v>1331</v>
      </c>
      <c r="C38" s="879" t="s">
        <v>12</v>
      </c>
      <c r="D38" s="879" t="s">
        <v>1487</v>
      </c>
      <c r="E38" s="480" t="s">
        <v>15</v>
      </c>
      <c r="F38" s="893">
        <v>20</v>
      </c>
      <c r="G38" s="1527"/>
      <c r="H38" s="97"/>
      <c r="I38" s="946"/>
      <c r="J38" s="97"/>
      <c r="K38" s="946"/>
    </row>
    <row r="39" spans="1:11" s="224" customFormat="1" ht="15" customHeight="1" x14ac:dyDescent="0.25">
      <c r="A39" s="215">
        <v>43505</v>
      </c>
      <c r="B39" s="862" t="s">
        <v>82</v>
      </c>
      <c r="C39" s="879" t="s">
        <v>12</v>
      </c>
      <c r="D39" s="879" t="s">
        <v>1493</v>
      </c>
      <c r="E39" s="480" t="s">
        <v>13</v>
      </c>
      <c r="F39" s="893">
        <v>32.9</v>
      </c>
      <c r="G39" s="1527"/>
      <c r="H39" s="97"/>
      <c r="I39" s="946"/>
      <c r="J39" s="97"/>
      <c r="K39" s="946"/>
    </row>
    <row r="40" spans="1:11" s="224" customFormat="1" ht="15" customHeight="1" x14ac:dyDescent="0.25">
      <c r="A40" s="215">
        <v>43506</v>
      </c>
      <c r="B40" s="349" t="s">
        <v>14</v>
      </c>
      <c r="C40" s="350" t="s">
        <v>12</v>
      </c>
      <c r="D40" s="350" t="s">
        <v>1486</v>
      </c>
      <c r="E40" s="480" t="s">
        <v>13</v>
      </c>
      <c r="F40" s="852">
        <v>3.2</v>
      </c>
      <c r="G40" s="1527"/>
      <c r="H40" s="97"/>
      <c r="I40" s="946"/>
      <c r="J40" s="97"/>
      <c r="K40" s="946"/>
    </row>
    <row r="41" spans="1:11" s="224" customFormat="1" ht="15" customHeight="1" x14ac:dyDescent="0.25">
      <c r="A41" s="215">
        <v>43507</v>
      </c>
      <c r="B41" s="862" t="s">
        <v>1331</v>
      </c>
      <c r="C41" s="879" t="s">
        <v>12</v>
      </c>
      <c r="D41" s="879" t="s">
        <v>1487</v>
      </c>
      <c r="E41" s="480" t="s">
        <v>15</v>
      </c>
      <c r="F41" s="893">
        <v>20</v>
      </c>
      <c r="G41" s="1527"/>
      <c r="H41" s="97"/>
      <c r="I41" s="946"/>
      <c r="J41" s="97"/>
      <c r="K41" s="946"/>
    </row>
    <row r="42" spans="1:11" s="224" customFormat="1" ht="15" customHeight="1" x14ac:dyDescent="0.25">
      <c r="A42" s="215">
        <v>43507</v>
      </c>
      <c r="B42" s="349" t="s">
        <v>151</v>
      </c>
      <c r="C42" s="352" t="s">
        <v>12</v>
      </c>
      <c r="D42" s="874" t="s">
        <v>1485</v>
      </c>
      <c r="E42" s="875" t="s">
        <v>13</v>
      </c>
      <c r="F42" s="852">
        <v>14</v>
      </c>
      <c r="G42" s="1064"/>
      <c r="H42" s="97"/>
      <c r="I42" s="982"/>
      <c r="J42" s="622"/>
      <c r="K42" s="982"/>
    </row>
    <row r="43" spans="1:11" s="224" customFormat="1" ht="15" customHeight="1" x14ac:dyDescent="0.25">
      <c r="A43" s="215">
        <v>43507</v>
      </c>
      <c r="B43" s="349" t="s">
        <v>14</v>
      </c>
      <c r="C43" s="350" t="s">
        <v>12</v>
      </c>
      <c r="D43" s="350" t="s">
        <v>1486</v>
      </c>
      <c r="E43" s="480" t="s">
        <v>13</v>
      </c>
      <c r="F43" s="852">
        <v>6.77</v>
      </c>
      <c r="G43" s="1527"/>
      <c r="H43" s="97"/>
      <c r="I43" s="946"/>
      <c r="J43" s="97"/>
      <c r="K43" s="946"/>
    </row>
    <row r="44" spans="1:11" s="224" customFormat="1" x14ac:dyDescent="0.25">
      <c r="A44" s="215">
        <v>43507</v>
      </c>
      <c r="B44" s="862" t="s">
        <v>1331</v>
      </c>
      <c r="C44" s="879" t="s">
        <v>12</v>
      </c>
      <c r="D44" s="879" t="s">
        <v>1487</v>
      </c>
      <c r="E44" s="480" t="s">
        <v>15</v>
      </c>
      <c r="F44" s="893">
        <v>30</v>
      </c>
      <c r="G44" s="964"/>
      <c r="H44" s="622"/>
      <c r="I44" s="982"/>
      <c r="J44" s="622"/>
      <c r="K44" s="982"/>
    </row>
    <row r="45" spans="1:11" s="224" customFormat="1" ht="15" customHeight="1" x14ac:dyDescent="0.25">
      <c r="A45" s="215">
        <v>43508</v>
      </c>
      <c r="B45" s="349" t="s">
        <v>151</v>
      </c>
      <c r="C45" s="352" t="s">
        <v>12</v>
      </c>
      <c r="D45" s="874" t="s">
        <v>1485</v>
      </c>
      <c r="E45" s="875" t="s">
        <v>13</v>
      </c>
      <c r="F45" s="852">
        <v>14</v>
      </c>
      <c r="G45" s="1064"/>
      <c r="H45" s="97"/>
      <c r="I45" s="982"/>
      <c r="J45" s="622"/>
      <c r="K45" s="982"/>
    </row>
    <row r="46" spans="1:11" s="224" customFormat="1" ht="15" customHeight="1" x14ac:dyDescent="0.25">
      <c r="A46" s="215">
        <v>43508</v>
      </c>
      <c r="B46" s="349" t="s">
        <v>14</v>
      </c>
      <c r="C46" s="350" t="s">
        <v>12</v>
      </c>
      <c r="D46" s="350" t="s">
        <v>1486</v>
      </c>
      <c r="E46" s="480" t="s">
        <v>13</v>
      </c>
      <c r="F46" s="852">
        <v>2.37</v>
      </c>
      <c r="G46" s="1527"/>
      <c r="H46" s="97"/>
      <c r="I46" s="946"/>
      <c r="J46" s="97"/>
      <c r="K46" s="946"/>
    </row>
    <row r="47" spans="1:11" s="224" customFormat="1" ht="15" customHeight="1" x14ac:dyDescent="0.25">
      <c r="A47" s="215">
        <v>43509</v>
      </c>
      <c r="B47" s="349" t="s">
        <v>151</v>
      </c>
      <c r="C47" s="352" t="s">
        <v>12</v>
      </c>
      <c r="D47" s="874" t="s">
        <v>1485</v>
      </c>
      <c r="E47" s="875" t="s">
        <v>13</v>
      </c>
      <c r="F47" s="852">
        <v>15</v>
      </c>
      <c r="G47" s="1064"/>
      <c r="H47" s="97"/>
      <c r="I47" s="982"/>
      <c r="J47" s="622"/>
      <c r="K47" s="982"/>
    </row>
    <row r="48" spans="1:11" s="224" customFormat="1" ht="15" customHeight="1" x14ac:dyDescent="0.25">
      <c r="A48" s="215">
        <v>43509</v>
      </c>
      <c r="B48" s="349" t="s">
        <v>14</v>
      </c>
      <c r="C48" s="350" t="s">
        <v>12</v>
      </c>
      <c r="D48" s="350" t="s">
        <v>1486</v>
      </c>
      <c r="E48" s="480" t="s">
        <v>13</v>
      </c>
      <c r="F48" s="852">
        <v>4.68</v>
      </c>
      <c r="G48" s="1527"/>
      <c r="H48" s="97"/>
      <c r="I48" s="946"/>
      <c r="J48" s="97"/>
      <c r="K48" s="946"/>
    </row>
    <row r="49" spans="1:11" ht="15" customHeight="1" x14ac:dyDescent="0.25">
      <c r="A49" s="215">
        <v>43510</v>
      </c>
      <c r="B49" s="349" t="s">
        <v>1396</v>
      </c>
      <c r="C49" s="350" t="s">
        <v>12</v>
      </c>
      <c r="D49" s="350"/>
      <c r="E49" s="757" t="s">
        <v>25</v>
      </c>
      <c r="F49" s="97"/>
      <c r="G49" s="946">
        <v>40</v>
      </c>
      <c r="H49" s="97"/>
      <c r="I49" s="946"/>
      <c r="J49" s="97"/>
      <c r="K49" s="946"/>
    </row>
    <row r="50" spans="1:11" s="224" customFormat="1" ht="15" customHeight="1" x14ac:dyDescent="0.25">
      <c r="A50" s="215">
        <v>43510</v>
      </c>
      <c r="B50" s="349" t="s">
        <v>151</v>
      </c>
      <c r="C50" s="352" t="s">
        <v>12</v>
      </c>
      <c r="D50" s="874" t="s">
        <v>1485</v>
      </c>
      <c r="E50" s="875" t="s">
        <v>13</v>
      </c>
      <c r="F50" s="852">
        <v>14</v>
      </c>
      <c r="G50" s="1064"/>
      <c r="H50" s="97"/>
      <c r="I50" s="982"/>
      <c r="J50" s="622"/>
      <c r="K50" s="982"/>
    </row>
    <row r="51" spans="1:11" s="224" customFormat="1" ht="15" customHeight="1" x14ac:dyDescent="0.25">
      <c r="A51" s="215">
        <v>43510</v>
      </c>
      <c r="B51" s="349" t="s">
        <v>2125</v>
      </c>
      <c r="C51" s="350" t="s">
        <v>12</v>
      </c>
      <c r="D51" s="350" t="s">
        <v>1506</v>
      </c>
      <c r="E51" s="480" t="s">
        <v>13</v>
      </c>
      <c r="F51" s="852">
        <v>6.4</v>
      </c>
      <c r="G51" s="1527"/>
      <c r="H51" s="97"/>
      <c r="I51" s="946"/>
      <c r="J51" s="97"/>
      <c r="K51" s="946"/>
    </row>
    <row r="52" spans="1:11" s="224" customFormat="1" x14ac:dyDescent="0.25">
      <c r="A52" s="215">
        <v>43510</v>
      </c>
      <c r="B52" s="862" t="s">
        <v>1331</v>
      </c>
      <c r="C52" s="879" t="s">
        <v>12</v>
      </c>
      <c r="D52" s="879" t="s">
        <v>1487</v>
      </c>
      <c r="E52" s="480" t="s">
        <v>13</v>
      </c>
      <c r="F52" s="893">
        <v>40</v>
      </c>
      <c r="G52" s="964"/>
      <c r="H52" s="622"/>
      <c r="I52" s="982"/>
      <c r="J52" s="622"/>
      <c r="K52" s="982"/>
    </row>
    <row r="53" spans="1:11" s="224" customFormat="1" ht="15" customHeight="1" x14ac:dyDescent="0.25">
      <c r="A53" s="215">
        <v>43510</v>
      </c>
      <c r="B53" s="349" t="s">
        <v>2126</v>
      </c>
      <c r="C53" s="350" t="s">
        <v>12</v>
      </c>
      <c r="D53" s="350" t="s">
        <v>1506</v>
      </c>
      <c r="E53" s="480" t="s">
        <v>13</v>
      </c>
      <c r="F53" s="852">
        <v>9.75</v>
      </c>
      <c r="G53" s="1527"/>
      <c r="H53" s="97"/>
      <c r="I53" s="946"/>
      <c r="J53" s="97"/>
      <c r="K53" s="946"/>
    </row>
    <row r="54" spans="1:11" s="224" customFormat="1" ht="15" customHeight="1" x14ac:dyDescent="0.25">
      <c r="A54" s="215">
        <v>43510</v>
      </c>
      <c r="B54" s="349" t="s">
        <v>14</v>
      </c>
      <c r="C54" s="350" t="s">
        <v>12</v>
      </c>
      <c r="D54" s="350" t="s">
        <v>1486</v>
      </c>
      <c r="E54" s="480" t="s">
        <v>13</v>
      </c>
      <c r="F54" s="852">
        <v>3.19</v>
      </c>
      <c r="G54" s="1527"/>
      <c r="H54" s="97"/>
      <c r="I54" s="946"/>
      <c r="J54" s="97"/>
      <c r="K54" s="946"/>
    </row>
    <row r="55" spans="1:11" s="224" customFormat="1" ht="15" customHeight="1" x14ac:dyDescent="0.25">
      <c r="A55" s="215">
        <v>43511</v>
      </c>
      <c r="B55" s="349" t="s">
        <v>151</v>
      </c>
      <c r="C55" s="352" t="s">
        <v>12</v>
      </c>
      <c r="D55" s="874" t="s">
        <v>1485</v>
      </c>
      <c r="E55" s="875" t="s">
        <v>13</v>
      </c>
      <c r="F55" s="852">
        <v>14</v>
      </c>
      <c r="G55" s="1064"/>
      <c r="H55" s="97"/>
      <c r="I55" s="982"/>
      <c r="J55" s="622"/>
      <c r="K55" s="982"/>
    </row>
    <row r="56" spans="1:11" s="224" customFormat="1" ht="15" customHeight="1" x14ac:dyDescent="0.25">
      <c r="A56" s="215">
        <v>43511</v>
      </c>
      <c r="B56" s="349" t="s">
        <v>14</v>
      </c>
      <c r="C56" s="350" t="s">
        <v>12</v>
      </c>
      <c r="D56" s="350" t="s">
        <v>1486</v>
      </c>
      <c r="E56" s="480" t="s">
        <v>13</v>
      </c>
      <c r="F56" s="852">
        <v>18.95</v>
      </c>
      <c r="G56" s="1527"/>
      <c r="H56" s="97"/>
      <c r="I56" s="946"/>
      <c r="J56" s="97"/>
      <c r="K56" s="946"/>
    </row>
    <row r="57" spans="1:11" s="224" customFormat="1" ht="15" customHeight="1" x14ac:dyDescent="0.25">
      <c r="A57" s="215">
        <v>43512</v>
      </c>
      <c r="B57" s="349" t="s">
        <v>14</v>
      </c>
      <c r="C57" s="350" t="s">
        <v>12</v>
      </c>
      <c r="D57" s="350" t="s">
        <v>1486</v>
      </c>
      <c r="E57" s="480" t="s">
        <v>13</v>
      </c>
      <c r="F57" s="852">
        <v>3.8</v>
      </c>
      <c r="G57" s="1527"/>
      <c r="H57" s="97"/>
      <c r="I57" s="946"/>
      <c r="J57" s="97"/>
      <c r="K57" s="946"/>
    </row>
    <row r="58" spans="1:11" s="224" customFormat="1" x14ac:dyDescent="0.25">
      <c r="A58" s="215">
        <v>43512</v>
      </c>
      <c r="B58" s="862" t="s">
        <v>1438</v>
      </c>
      <c r="C58" s="879" t="s">
        <v>19</v>
      </c>
      <c r="D58" s="879" t="s">
        <v>1489</v>
      </c>
      <c r="E58" s="480" t="s">
        <v>13</v>
      </c>
      <c r="F58" s="893">
        <v>81.41</v>
      </c>
      <c r="G58" s="964"/>
      <c r="H58" s="622"/>
      <c r="I58" s="982"/>
      <c r="J58" s="622"/>
      <c r="K58" s="982"/>
    </row>
    <row r="59" spans="1:11" s="224" customFormat="1" x14ac:dyDescent="0.25">
      <c r="A59" s="215">
        <v>43512</v>
      </c>
      <c r="B59" s="862" t="s">
        <v>1331</v>
      </c>
      <c r="C59" s="879" t="s">
        <v>12</v>
      </c>
      <c r="D59" s="879" t="s">
        <v>1487</v>
      </c>
      <c r="E59" s="480" t="s">
        <v>13</v>
      </c>
      <c r="F59" s="893">
        <v>50</v>
      </c>
      <c r="G59" s="964"/>
      <c r="H59" s="622"/>
      <c r="I59" s="982"/>
      <c r="J59" s="622"/>
      <c r="K59" s="982"/>
    </row>
    <row r="60" spans="1:11" s="224" customFormat="1" ht="15" customHeight="1" x14ac:dyDescent="0.25">
      <c r="A60" s="215">
        <v>43512</v>
      </c>
      <c r="B60" s="349" t="s">
        <v>151</v>
      </c>
      <c r="C60" s="352" t="s">
        <v>12</v>
      </c>
      <c r="D60" s="874" t="s">
        <v>1485</v>
      </c>
      <c r="E60" s="875" t="s">
        <v>15</v>
      </c>
      <c r="F60" s="852">
        <v>12</v>
      </c>
      <c r="G60" s="1064"/>
      <c r="H60" s="97"/>
      <c r="I60" s="982"/>
      <c r="J60" s="622"/>
      <c r="K60" s="982"/>
    </row>
    <row r="61" spans="1:11" s="224" customFormat="1" x14ac:dyDescent="0.25">
      <c r="A61" s="215">
        <v>43513</v>
      </c>
      <c r="B61" s="349" t="s">
        <v>14</v>
      </c>
      <c r="C61" s="350" t="s">
        <v>12</v>
      </c>
      <c r="D61" s="350" t="s">
        <v>1486</v>
      </c>
      <c r="E61" s="480" t="s">
        <v>13</v>
      </c>
      <c r="F61" s="852">
        <v>7.74</v>
      </c>
      <c r="G61" s="964"/>
      <c r="H61" s="622"/>
      <c r="I61" s="982"/>
      <c r="J61" s="622"/>
      <c r="K61" s="982"/>
    </row>
    <row r="62" spans="1:11" s="224" customFormat="1" ht="15" customHeight="1" x14ac:dyDescent="0.25">
      <c r="A62" s="215">
        <v>43514</v>
      </c>
      <c r="B62" s="349" t="s">
        <v>151</v>
      </c>
      <c r="C62" s="352" t="s">
        <v>12</v>
      </c>
      <c r="D62" s="874" t="s">
        <v>1485</v>
      </c>
      <c r="E62" s="875" t="s">
        <v>13</v>
      </c>
      <c r="F62" s="852">
        <v>14</v>
      </c>
      <c r="G62" s="1064"/>
      <c r="H62" s="97"/>
      <c r="I62" s="982"/>
      <c r="J62" s="622"/>
      <c r="K62" s="982"/>
    </row>
    <row r="63" spans="1:11" s="224" customFormat="1" ht="15" customHeight="1" x14ac:dyDescent="0.25">
      <c r="A63" s="215">
        <v>43515</v>
      </c>
      <c r="B63" s="349" t="s">
        <v>151</v>
      </c>
      <c r="C63" s="352" t="s">
        <v>12</v>
      </c>
      <c r="D63" s="874" t="s">
        <v>1485</v>
      </c>
      <c r="E63" s="875" t="s">
        <v>13</v>
      </c>
      <c r="F63" s="852">
        <v>14</v>
      </c>
      <c r="G63" s="1064"/>
      <c r="H63" s="97"/>
      <c r="I63" s="982"/>
      <c r="J63" s="622"/>
      <c r="K63" s="982"/>
    </row>
    <row r="64" spans="1:11" s="224" customFormat="1" x14ac:dyDescent="0.25">
      <c r="A64" s="215">
        <v>43515</v>
      </c>
      <c r="B64" s="349" t="s">
        <v>17</v>
      </c>
      <c r="C64" s="350" t="s">
        <v>12</v>
      </c>
      <c r="D64" s="350" t="s">
        <v>1493</v>
      </c>
      <c r="E64" s="480" t="s">
        <v>13</v>
      </c>
      <c r="F64" s="852">
        <v>5</v>
      </c>
      <c r="G64" s="964"/>
      <c r="H64" s="622"/>
      <c r="I64" s="982"/>
      <c r="J64" s="622"/>
      <c r="K64" s="982"/>
    </row>
    <row r="65" spans="1:11" s="224" customFormat="1" x14ac:dyDescent="0.25">
      <c r="A65" s="215">
        <v>43515</v>
      </c>
      <c r="B65" s="349" t="s">
        <v>14</v>
      </c>
      <c r="C65" s="350" t="s">
        <v>12</v>
      </c>
      <c r="D65" s="350" t="s">
        <v>1486</v>
      </c>
      <c r="E65" s="480" t="s">
        <v>13</v>
      </c>
      <c r="F65" s="852">
        <v>2.92</v>
      </c>
      <c r="G65" s="964"/>
      <c r="H65" s="622"/>
      <c r="I65" s="982"/>
      <c r="J65" s="622"/>
      <c r="K65" s="982"/>
    </row>
    <row r="66" spans="1:11" s="224" customFormat="1" x14ac:dyDescent="0.25">
      <c r="A66" s="215">
        <v>43515</v>
      </c>
      <c r="B66" s="349" t="s">
        <v>1836</v>
      </c>
      <c r="C66" s="350" t="s">
        <v>12</v>
      </c>
      <c r="D66" s="350" t="s">
        <v>1491</v>
      </c>
      <c r="E66" s="480" t="s">
        <v>15</v>
      </c>
      <c r="F66" s="852">
        <v>100</v>
      </c>
      <c r="G66" s="888"/>
      <c r="H66" s="97"/>
      <c r="I66" s="946"/>
      <c r="J66" s="97"/>
      <c r="K66" s="946"/>
    </row>
    <row r="67" spans="1:11" x14ac:dyDescent="0.25">
      <c r="A67" s="215">
        <v>43516</v>
      </c>
      <c r="B67" s="882" t="s">
        <v>2127</v>
      </c>
      <c r="C67" s="350" t="s">
        <v>12</v>
      </c>
      <c r="D67" s="145"/>
      <c r="E67" s="145" t="s">
        <v>25</v>
      </c>
      <c r="F67" s="1530"/>
      <c r="G67" s="965">
        <v>1600</v>
      </c>
      <c r="H67" s="97"/>
      <c r="I67" s="946"/>
      <c r="J67" s="97"/>
      <c r="K67" s="946"/>
    </row>
    <row r="68" spans="1:11" s="224" customFormat="1" ht="15.75" customHeight="1" x14ac:dyDescent="0.25">
      <c r="A68" s="215">
        <v>43516</v>
      </c>
      <c r="B68" s="882" t="s">
        <v>2128</v>
      </c>
      <c r="C68" s="879" t="s">
        <v>12</v>
      </c>
      <c r="D68" s="879" t="s">
        <v>1499</v>
      </c>
      <c r="E68" s="871" t="s">
        <v>13</v>
      </c>
      <c r="F68" s="853">
        <v>100</v>
      </c>
      <c r="G68" s="968"/>
      <c r="H68" s="538"/>
      <c r="I68" s="982"/>
      <c r="J68" s="622"/>
      <c r="K68" s="982"/>
    </row>
    <row r="69" spans="1:11" s="224" customFormat="1" x14ac:dyDescent="0.25">
      <c r="A69" s="215">
        <v>43516</v>
      </c>
      <c r="B69" s="876" t="s">
        <v>2129</v>
      </c>
      <c r="C69" s="350" t="s">
        <v>12</v>
      </c>
      <c r="D69" s="874" t="s">
        <v>1489</v>
      </c>
      <c r="E69" s="875" t="s">
        <v>15</v>
      </c>
      <c r="F69" s="890">
        <v>117</v>
      </c>
      <c r="G69" s="964"/>
      <c r="H69" s="622"/>
      <c r="I69" s="982"/>
      <c r="J69" s="622"/>
      <c r="K69" s="982"/>
    </row>
    <row r="70" spans="1:11" s="224" customFormat="1" x14ac:dyDescent="0.25">
      <c r="A70" s="215">
        <v>43516</v>
      </c>
      <c r="B70" s="873" t="s">
        <v>1564</v>
      </c>
      <c r="C70" s="879" t="s">
        <v>12</v>
      </c>
      <c r="D70" s="350" t="s">
        <v>1491</v>
      </c>
      <c r="E70" s="871" t="s">
        <v>15</v>
      </c>
      <c r="F70" s="853">
        <v>140</v>
      </c>
      <c r="G70" s="964"/>
      <c r="H70" s="622"/>
      <c r="I70" s="982"/>
      <c r="J70" s="622"/>
      <c r="K70" s="982"/>
    </row>
    <row r="71" spans="1:11" s="224" customFormat="1" ht="15" customHeight="1" x14ac:dyDescent="0.25">
      <c r="A71" s="215">
        <v>43516</v>
      </c>
      <c r="B71" s="862" t="s">
        <v>256</v>
      </c>
      <c r="C71" s="879"/>
      <c r="D71" s="879"/>
      <c r="E71" s="871"/>
      <c r="F71" s="97"/>
      <c r="G71" s="1064">
        <v>908.92</v>
      </c>
      <c r="H71" s="97">
        <v>908.92</v>
      </c>
      <c r="I71" s="982"/>
      <c r="J71" s="622"/>
      <c r="K71" s="982"/>
    </row>
    <row r="72" spans="1:11" s="224" customFormat="1" ht="15" customHeight="1" x14ac:dyDescent="0.25">
      <c r="A72" s="215">
        <v>43516</v>
      </c>
      <c r="B72" s="862" t="s">
        <v>1685</v>
      </c>
      <c r="C72" s="879"/>
      <c r="D72" s="879"/>
      <c r="E72" s="871"/>
      <c r="F72" s="97"/>
      <c r="G72" s="1064">
        <v>8827.1200000000008</v>
      </c>
      <c r="H72" s="97"/>
      <c r="I72" s="982"/>
      <c r="J72" s="622">
        <v>8827.1200000000008</v>
      </c>
      <c r="K72" s="982"/>
    </row>
    <row r="73" spans="1:11" s="224" customFormat="1" ht="15" customHeight="1" x14ac:dyDescent="0.25">
      <c r="A73" s="215">
        <v>43516</v>
      </c>
      <c r="B73" s="349" t="s">
        <v>151</v>
      </c>
      <c r="C73" s="352" t="s">
        <v>12</v>
      </c>
      <c r="D73" s="874" t="s">
        <v>1485</v>
      </c>
      <c r="E73" s="875" t="s">
        <v>13</v>
      </c>
      <c r="F73" s="852">
        <v>14</v>
      </c>
      <c r="G73" s="1064"/>
      <c r="H73" s="97"/>
      <c r="I73" s="982"/>
      <c r="J73" s="622"/>
      <c r="K73" s="982"/>
    </row>
    <row r="74" spans="1:11" s="224" customFormat="1" ht="15" customHeight="1" x14ac:dyDescent="0.25">
      <c r="A74" s="215">
        <v>43516</v>
      </c>
      <c r="B74" s="862" t="s">
        <v>1331</v>
      </c>
      <c r="C74" s="879" t="s">
        <v>12</v>
      </c>
      <c r="D74" s="879" t="s">
        <v>1487</v>
      </c>
      <c r="E74" s="480" t="s">
        <v>15</v>
      </c>
      <c r="F74" s="893">
        <v>50</v>
      </c>
      <c r="G74" s="1527"/>
      <c r="H74" s="97"/>
      <c r="I74" s="982"/>
      <c r="J74" s="622"/>
      <c r="K74" s="982"/>
    </row>
    <row r="75" spans="1:11" s="224" customFormat="1" ht="15" customHeight="1" x14ac:dyDescent="0.25">
      <c r="A75" s="215">
        <v>43516</v>
      </c>
      <c r="B75" s="349" t="s">
        <v>2130</v>
      </c>
      <c r="C75" s="350" t="s">
        <v>12</v>
      </c>
      <c r="D75" s="350" t="s">
        <v>2131</v>
      </c>
      <c r="E75" s="480" t="s">
        <v>13</v>
      </c>
      <c r="F75" s="852">
        <v>15.89</v>
      </c>
      <c r="G75" s="1527"/>
      <c r="H75" s="97"/>
      <c r="I75" s="946"/>
      <c r="J75" s="97"/>
      <c r="K75" s="946"/>
    </row>
    <row r="76" spans="1:11" s="224" customFormat="1" ht="15" customHeight="1" x14ac:dyDescent="0.25">
      <c r="A76" s="215">
        <v>43516</v>
      </c>
      <c r="B76" s="349" t="s">
        <v>2132</v>
      </c>
      <c r="C76" s="350" t="s">
        <v>12</v>
      </c>
      <c r="D76" s="350" t="s">
        <v>2131</v>
      </c>
      <c r="E76" s="480" t="s">
        <v>13</v>
      </c>
      <c r="F76" s="852">
        <v>9800</v>
      </c>
      <c r="G76" s="1527"/>
      <c r="H76" s="97"/>
      <c r="I76" s="946"/>
      <c r="J76" s="97"/>
      <c r="K76" s="946"/>
    </row>
    <row r="77" spans="1:11" s="224" customFormat="1" ht="15" customHeight="1" x14ac:dyDescent="0.25">
      <c r="A77" s="215">
        <v>43516</v>
      </c>
      <c r="B77" s="349" t="s">
        <v>2133</v>
      </c>
      <c r="C77" s="350" t="s">
        <v>12</v>
      </c>
      <c r="D77" s="350" t="s">
        <v>2131</v>
      </c>
      <c r="E77" s="480" t="s">
        <v>13</v>
      </c>
      <c r="F77" s="852">
        <v>18.5</v>
      </c>
      <c r="G77" s="1527"/>
      <c r="H77" s="97"/>
      <c r="I77" s="946"/>
      <c r="J77" s="97"/>
      <c r="K77" s="946"/>
    </row>
    <row r="78" spans="1:11" s="224" customFormat="1" x14ac:dyDescent="0.25">
      <c r="A78" s="215">
        <v>43516</v>
      </c>
      <c r="B78" s="364" t="s">
        <v>2134</v>
      </c>
      <c r="C78" s="350" t="s">
        <v>12</v>
      </c>
      <c r="D78" s="350" t="s">
        <v>2131</v>
      </c>
      <c r="E78" s="480" t="s">
        <v>13</v>
      </c>
      <c r="F78" s="827">
        <v>248</v>
      </c>
      <c r="G78" s="888"/>
      <c r="H78" s="97"/>
      <c r="I78" s="946"/>
      <c r="J78" s="97"/>
      <c r="K78" s="946"/>
    </row>
    <row r="79" spans="1:11" s="224" customFormat="1" x14ac:dyDescent="0.25">
      <c r="A79" s="215">
        <v>43516</v>
      </c>
      <c r="B79" s="364" t="s">
        <v>2135</v>
      </c>
      <c r="C79" s="350" t="s">
        <v>12</v>
      </c>
      <c r="D79" s="350" t="s">
        <v>2131</v>
      </c>
      <c r="E79" s="480" t="s">
        <v>13</v>
      </c>
      <c r="F79" s="827">
        <v>84.58</v>
      </c>
      <c r="G79" s="888"/>
      <c r="H79" s="97"/>
      <c r="I79" s="946"/>
      <c r="J79" s="97"/>
      <c r="K79" s="946"/>
    </row>
    <row r="80" spans="1:11" s="224" customFormat="1" ht="15" customHeight="1" x14ac:dyDescent="0.25">
      <c r="A80" s="215">
        <v>43516</v>
      </c>
      <c r="B80" s="349" t="s">
        <v>14</v>
      </c>
      <c r="C80" s="350" t="s">
        <v>12</v>
      </c>
      <c r="D80" s="350" t="s">
        <v>1486</v>
      </c>
      <c r="E80" s="480" t="s">
        <v>13</v>
      </c>
      <c r="F80" s="852">
        <v>3.71</v>
      </c>
      <c r="G80" s="1527"/>
      <c r="H80" s="97"/>
      <c r="I80" s="946"/>
      <c r="J80" s="97"/>
      <c r="K80" s="946"/>
    </row>
    <row r="81" spans="1:11" s="224" customFormat="1" ht="15" customHeight="1" x14ac:dyDescent="0.25">
      <c r="A81" s="215">
        <v>43517</v>
      </c>
      <c r="B81" s="349" t="s">
        <v>151</v>
      </c>
      <c r="C81" s="352" t="s">
        <v>12</v>
      </c>
      <c r="D81" s="874" t="s">
        <v>1485</v>
      </c>
      <c r="E81" s="875" t="s">
        <v>15</v>
      </c>
      <c r="F81" s="852">
        <v>14</v>
      </c>
      <c r="G81" s="1064"/>
      <c r="H81" s="97"/>
      <c r="I81" s="982"/>
      <c r="J81" s="622"/>
      <c r="K81" s="982"/>
    </row>
    <row r="82" spans="1:11" s="224" customFormat="1" x14ac:dyDescent="0.25">
      <c r="A82" s="215">
        <v>43517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827">
        <v>3.27</v>
      </c>
      <c r="G82" s="888"/>
      <c r="H82" s="97"/>
      <c r="I82" s="946"/>
      <c r="J82" s="97"/>
      <c r="K82" s="946"/>
    </row>
    <row r="83" spans="1:11" s="224" customFormat="1" ht="15" customHeight="1" x14ac:dyDescent="0.25">
      <c r="A83" s="215">
        <v>43518</v>
      </c>
      <c r="B83" s="349" t="s">
        <v>151</v>
      </c>
      <c r="C83" s="352" t="s">
        <v>12</v>
      </c>
      <c r="D83" s="874" t="s">
        <v>1485</v>
      </c>
      <c r="E83" s="875" t="s">
        <v>15</v>
      </c>
      <c r="F83" s="852">
        <v>14</v>
      </c>
      <c r="G83" s="1063"/>
      <c r="H83" s="853"/>
      <c r="I83" s="982"/>
      <c r="J83" s="622"/>
      <c r="K83" s="982"/>
    </row>
    <row r="84" spans="1:11" s="224" customFormat="1" ht="15" customHeight="1" x14ac:dyDescent="0.25">
      <c r="A84" s="215">
        <v>43518</v>
      </c>
      <c r="B84" s="349" t="s">
        <v>14</v>
      </c>
      <c r="C84" s="350" t="s">
        <v>12</v>
      </c>
      <c r="D84" s="350" t="s">
        <v>1486</v>
      </c>
      <c r="E84" s="480" t="s">
        <v>13</v>
      </c>
      <c r="F84" s="827">
        <v>4.6399999999999997</v>
      </c>
      <c r="G84" s="1063"/>
      <c r="H84" s="853"/>
      <c r="I84" s="982"/>
      <c r="J84" s="622"/>
      <c r="K84" s="982"/>
    </row>
    <row r="85" spans="1:11" s="224" customFormat="1" x14ac:dyDescent="0.25">
      <c r="A85" s="215">
        <v>43519</v>
      </c>
      <c r="B85" s="876" t="s">
        <v>2136</v>
      </c>
      <c r="C85" s="350" t="s">
        <v>12</v>
      </c>
      <c r="D85" s="874" t="s">
        <v>1485</v>
      </c>
      <c r="E85" s="875" t="s">
        <v>15</v>
      </c>
      <c r="F85" s="893">
        <v>36</v>
      </c>
      <c r="G85" s="964"/>
      <c r="H85" s="622"/>
      <c r="I85" s="982"/>
      <c r="J85" s="622"/>
      <c r="K85" s="982"/>
    </row>
    <row r="86" spans="1:11" s="224" customFormat="1" x14ac:dyDescent="0.25">
      <c r="A86" s="215">
        <v>43519</v>
      </c>
      <c r="B86" s="876" t="s">
        <v>2137</v>
      </c>
      <c r="C86" s="350" t="s">
        <v>12</v>
      </c>
      <c r="D86" s="350" t="s">
        <v>2131</v>
      </c>
      <c r="E86" s="875" t="s">
        <v>13</v>
      </c>
      <c r="F86" s="893">
        <v>69</v>
      </c>
      <c r="G86" s="964"/>
      <c r="H86" s="622"/>
      <c r="I86" s="982"/>
      <c r="J86" s="622"/>
      <c r="K86" s="982"/>
    </row>
    <row r="87" spans="1:11" s="224" customFormat="1" x14ac:dyDescent="0.25">
      <c r="A87" s="215">
        <v>43519</v>
      </c>
      <c r="B87" s="876" t="s">
        <v>2138</v>
      </c>
      <c r="C87" s="350" t="s">
        <v>12</v>
      </c>
      <c r="D87" s="350" t="s">
        <v>2131</v>
      </c>
      <c r="E87" s="875" t="s">
        <v>13</v>
      </c>
      <c r="F87" s="893">
        <v>79.900000000000006</v>
      </c>
      <c r="G87" s="964"/>
      <c r="H87" s="622"/>
      <c r="I87" s="982"/>
      <c r="J87" s="622"/>
      <c r="K87" s="982"/>
    </row>
    <row r="88" spans="1:11" s="224" customFormat="1" x14ac:dyDescent="0.25">
      <c r="A88" s="215">
        <v>43519</v>
      </c>
      <c r="B88" s="876" t="s">
        <v>2139</v>
      </c>
      <c r="C88" s="350" t="s">
        <v>12</v>
      </c>
      <c r="D88" s="874" t="s">
        <v>1489</v>
      </c>
      <c r="E88" s="875" t="s">
        <v>13</v>
      </c>
      <c r="F88" s="893">
        <v>29.88</v>
      </c>
      <c r="G88" s="964"/>
      <c r="H88" s="622"/>
      <c r="I88" s="982"/>
      <c r="J88" s="622"/>
      <c r="K88" s="982"/>
    </row>
    <row r="89" spans="1:11" s="224" customFormat="1" x14ac:dyDescent="0.25">
      <c r="A89" s="215">
        <v>43519</v>
      </c>
      <c r="B89" s="876" t="s">
        <v>2140</v>
      </c>
      <c r="C89" s="350" t="s">
        <v>12</v>
      </c>
      <c r="D89" s="874" t="s">
        <v>1489</v>
      </c>
      <c r="E89" s="875" t="s">
        <v>13</v>
      </c>
      <c r="F89" s="893">
        <v>7</v>
      </c>
      <c r="G89" s="964"/>
      <c r="H89" s="622"/>
      <c r="I89" s="982"/>
      <c r="J89" s="622"/>
      <c r="K89" s="982"/>
    </row>
    <row r="90" spans="1:11" s="224" customFormat="1" x14ac:dyDescent="0.25">
      <c r="A90" s="215">
        <v>43519</v>
      </c>
      <c r="B90" s="876" t="s">
        <v>82</v>
      </c>
      <c r="C90" s="350" t="s">
        <v>12</v>
      </c>
      <c r="D90" s="874" t="s">
        <v>1493</v>
      </c>
      <c r="E90" s="875" t="s">
        <v>13</v>
      </c>
      <c r="F90" s="893">
        <v>32</v>
      </c>
      <c r="G90" s="964"/>
      <c r="H90" s="622"/>
      <c r="I90" s="982"/>
      <c r="J90" s="622"/>
      <c r="K90" s="982"/>
    </row>
    <row r="91" spans="1:11" s="224" customFormat="1" x14ac:dyDescent="0.25">
      <c r="A91" s="215">
        <v>43520</v>
      </c>
      <c r="B91" s="862" t="s">
        <v>2141</v>
      </c>
      <c r="C91" s="352" t="s">
        <v>12</v>
      </c>
      <c r="D91" s="874" t="s">
        <v>1485</v>
      </c>
      <c r="E91" s="875" t="s">
        <v>15</v>
      </c>
      <c r="F91" s="892">
        <v>20</v>
      </c>
      <c r="G91" s="965"/>
      <c r="H91" s="97"/>
      <c r="I91" s="946"/>
      <c r="J91" s="97"/>
      <c r="K91" s="946"/>
    </row>
    <row r="92" spans="1:11" s="224" customFormat="1" x14ac:dyDescent="0.25">
      <c r="A92" s="215">
        <v>43520</v>
      </c>
      <c r="B92" s="862" t="s">
        <v>81</v>
      </c>
      <c r="C92" s="352" t="s">
        <v>12</v>
      </c>
      <c r="D92" s="874" t="s">
        <v>1493</v>
      </c>
      <c r="E92" s="875" t="s">
        <v>15</v>
      </c>
      <c r="F92" s="892">
        <v>3</v>
      </c>
      <c r="G92" s="965"/>
      <c r="H92" s="97"/>
      <c r="I92" s="946"/>
      <c r="J92" s="97"/>
      <c r="K92" s="946"/>
    </row>
    <row r="93" spans="1:11" s="224" customFormat="1" ht="15" customHeight="1" x14ac:dyDescent="0.25">
      <c r="A93" s="215">
        <v>43521</v>
      </c>
      <c r="B93" s="862" t="s">
        <v>2001</v>
      </c>
      <c r="C93" s="350" t="s">
        <v>12</v>
      </c>
      <c r="D93" s="874" t="s">
        <v>1504</v>
      </c>
      <c r="E93" s="887" t="s">
        <v>13</v>
      </c>
      <c r="F93" s="852">
        <v>68.92</v>
      </c>
      <c r="G93" s="1528"/>
      <c r="H93" s="622"/>
      <c r="I93" s="982"/>
      <c r="J93" s="622"/>
      <c r="K93" s="982"/>
    </row>
    <row r="94" spans="1:11" s="224" customFormat="1" ht="15" customHeight="1" x14ac:dyDescent="0.25">
      <c r="A94" s="215">
        <v>43521</v>
      </c>
      <c r="B94" s="349" t="s">
        <v>151</v>
      </c>
      <c r="C94" s="352" t="s">
        <v>12</v>
      </c>
      <c r="D94" s="874" t="s">
        <v>1485</v>
      </c>
      <c r="E94" s="875" t="s">
        <v>13</v>
      </c>
      <c r="F94" s="852">
        <v>14</v>
      </c>
      <c r="G94" s="1063"/>
      <c r="H94" s="853"/>
      <c r="I94" s="982"/>
      <c r="J94" s="622"/>
      <c r="K94" s="982"/>
    </row>
    <row r="95" spans="1:11" s="224" customFormat="1" ht="15" customHeight="1" x14ac:dyDescent="0.25">
      <c r="A95" s="215">
        <v>43521</v>
      </c>
      <c r="B95" s="862" t="s">
        <v>2142</v>
      </c>
      <c r="C95" s="879" t="s">
        <v>12</v>
      </c>
      <c r="D95" s="879" t="s">
        <v>1491</v>
      </c>
      <c r="E95" s="480" t="s">
        <v>13</v>
      </c>
      <c r="F95" s="893">
        <v>15.7</v>
      </c>
      <c r="G95" s="1527"/>
      <c r="H95" s="97"/>
      <c r="I95" s="982"/>
      <c r="J95" s="622"/>
      <c r="K95" s="982"/>
    </row>
    <row r="96" spans="1:11" s="224" customFormat="1" ht="15" customHeight="1" x14ac:dyDescent="0.25">
      <c r="A96" s="215">
        <v>43521</v>
      </c>
      <c r="B96" s="862" t="s">
        <v>2143</v>
      </c>
      <c r="C96" s="879" t="s">
        <v>12</v>
      </c>
      <c r="D96" s="879" t="s">
        <v>1491</v>
      </c>
      <c r="E96" s="480" t="s">
        <v>13</v>
      </c>
      <c r="F96" s="893">
        <v>47.9</v>
      </c>
      <c r="G96" s="1527"/>
      <c r="H96" s="97"/>
      <c r="I96" s="982"/>
      <c r="J96" s="622"/>
      <c r="K96" s="982"/>
    </row>
    <row r="97" spans="1:14" s="224" customFormat="1" ht="15" customHeight="1" x14ac:dyDescent="0.25">
      <c r="A97" s="215">
        <v>43521</v>
      </c>
      <c r="B97" s="862" t="s">
        <v>1331</v>
      </c>
      <c r="C97" s="879" t="s">
        <v>12</v>
      </c>
      <c r="D97" s="879" t="s">
        <v>1487</v>
      </c>
      <c r="E97" s="480" t="s">
        <v>13</v>
      </c>
      <c r="F97" s="893">
        <v>50</v>
      </c>
      <c r="G97" s="1527"/>
      <c r="H97" s="97"/>
      <c r="I97" s="982"/>
      <c r="J97" s="622"/>
      <c r="K97" s="982"/>
    </row>
    <row r="98" spans="1:14" s="224" customFormat="1" ht="15" customHeight="1" x14ac:dyDescent="0.25">
      <c r="A98" s="215">
        <v>43521</v>
      </c>
      <c r="B98" s="349" t="s">
        <v>14</v>
      </c>
      <c r="C98" s="350" t="s">
        <v>12</v>
      </c>
      <c r="D98" s="350" t="s">
        <v>1486</v>
      </c>
      <c r="E98" s="480" t="s">
        <v>13</v>
      </c>
      <c r="F98" s="137">
        <v>12.4</v>
      </c>
      <c r="G98" s="965"/>
      <c r="H98" s="97"/>
      <c r="I98" s="946"/>
      <c r="J98" s="97"/>
      <c r="K98" s="946"/>
    </row>
    <row r="99" spans="1:14" s="224" customFormat="1" x14ac:dyDescent="0.25">
      <c r="A99" s="215">
        <v>43522</v>
      </c>
      <c r="B99" s="349" t="s">
        <v>151</v>
      </c>
      <c r="C99" s="352" t="s">
        <v>12</v>
      </c>
      <c r="D99" s="874" t="s">
        <v>1485</v>
      </c>
      <c r="E99" s="875" t="s">
        <v>13</v>
      </c>
      <c r="F99" s="852">
        <v>14</v>
      </c>
      <c r="G99" s="248"/>
      <c r="H99" s="97"/>
      <c r="I99" s="946"/>
      <c r="J99" s="97"/>
      <c r="K99" s="946"/>
    </row>
    <row r="100" spans="1:14" s="224" customFormat="1" ht="15" customHeight="1" x14ac:dyDescent="0.25">
      <c r="A100" s="215">
        <v>43522</v>
      </c>
      <c r="B100" s="349" t="s">
        <v>2144</v>
      </c>
      <c r="C100" s="350" t="s">
        <v>12</v>
      </c>
      <c r="D100" s="350" t="s">
        <v>1491</v>
      </c>
      <c r="E100" s="480" t="s">
        <v>13</v>
      </c>
      <c r="F100" s="137">
        <v>13.76</v>
      </c>
      <c r="G100" s="965"/>
      <c r="H100" s="97"/>
      <c r="I100" s="946"/>
      <c r="J100" s="97"/>
      <c r="K100" s="946"/>
    </row>
    <row r="101" spans="1:14" s="224" customFormat="1" ht="15" customHeight="1" x14ac:dyDescent="0.25">
      <c r="A101" s="215">
        <v>43522</v>
      </c>
      <c r="B101" s="349" t="s">
        <v>14</v>
      </c>
      <c r="C101" s="350" t="s">
        <v>12</v>
      </c>
      <c r="D101" s="350" t="s">
        <v>1486</v>
      </c>
      <c r="E101" s="480" t="s">
        <v>13</v>
      </c>
      <c r="F101" s="137">
        <v>3.55</v>
      </c>
      <c r="G101" s="965"/>
      <c r="H101" s="97"/>
      <c r="I101" s="946"/>
      <c r="J101" s="97"/>
      <c r="K101" s="946"/>
    </row>
    <row r="102" spans="1:14" s="224" customFormat="1" x14ac:dyDescent="0.25">
      <c r="A102" s="215">
        <v>43523</v>
      </c>
      <c r="B102" s="349" t="s">
        <v>151</v>
      </c>
      <c r="C102" s="352" t="s">
        <v>12</v>
      </c>
      <c r="D102" s="874" t="s">
        <v>1485</v>
      </c>
      <c r="E102" s="875" t="s">
        <v>13</v>
      </c>
      <c r="F102" s="852">
        <v>14</v>
      </c>
      <c r="G102" s="248"/>
      <c r="H102" s="97"/>
      <c r="I102" s="946"/>
      <c r="J102" s="97"/>
      <c r="K102" s="946"/>
    </row>
    <row r="103" spans="1:14" s="224" customFormat="1" ht="15" customHeight="1" x14ac:dyDescent="0.25">
      <c r="A103" s="215">
        <v>43523</v>
      </c>
      <c r="B103" s="862" t="s">
        <v>256</v>
      </c>
      <c r="C103" s="879"/>
      <c r="D103" s="879"/>
      <c r="E103" s="871"/>
      <c r="F103" s="97"/>
      <c r="G103" s="1064">
        <v>500</v>
      </c>
      <c r="H103" s="97">
        <v>500</v>
      </c>
      <c r="I103" s="982"/>
      <c r="J103" s="622"/>
      <c r="K103" s="982"/>
    </row>
    <row r="104" spans="1:14" s="224" customFormat="1" x14ac:dyDescent="0.25">
      <c r="A104" s="215">
        <v>43523</v>
      </c>
      <c r="B104" s="862" t="s">
        <v>2145</v>
      </c>
      <c r="C104" s="879" t="s">
        <v>12</v>
      </c>
      <c r="D104" s="879" t="s">
        <v>1489</v>
      </c>
      <c r="E104" s="871" t="s">
        <v>13</v>
      </c>
      <c r="F104" s="523">
        <v>44</v>
      </c>
      <c r="G104" s="248"/>
      <c r="H104" s="97"/>
      <c r="I104" s="946"/>
      <c r="J104" s="97"/>
      <c r="K104" s="946"/>
      <c r="L104" s="883" t="s">
        <v>2146</v>
      </c>
      <c r="M104" s="89"/>
      <c r="N104" s="89"/>
    </row>
    <row r="105" spans="1:14" s="224" customFormat="1" ht="15" customHeight="1" x14ac:dyDescent="0.25">
      <c r="A105" s="215">
        <v>43523</v>
      </c>
      <c r="B105" s="349" t="s">
        <v>2071</v>
      </c>
      <c r="C105" s="350" t="s">
        <v>12</v>
      </c>
      <c r="D105" s="350" t="s">
        <v>1489</v>
      </c>
      <c r="E105" s="480" t="s">
        <v>13</v>
      </c>
      <c r="F105" s="852">
        <v>7</v>
      </c>
      <c r="G105" s="1528"/>
      <c r="H105" s="622"/>
      <c r="I105" s="982"/>
      <c r="J105" s="622"/>
      <c r="K105" s="982"/>
    </row>
    <row r="106" spans="1:14" s="224" customFormat="1" ht="15" customHeight="1" x14ac:dyDescent="0.25">
      <c r="A106" s="215">
        <v>43523</v>
      </c>
      <c r="B106" s="349" t="s">
        <v>2147</v>
      </c>
      <c r="C106" s="350" t="s">
        <v>19</v>
      </c>
      <c r="D106" s="350" t="s">
        <v>1523</v>
      </c>
      <c r="E106" s="480" t="s">
        <v>13</v>
      </c>
      <c r="F106" s="852">
        <v>54.74</v>
      </c>
      <c r="G106" s="1528"/>
      <c r="H106" s="622"/>
      <c r="I106" s="982"/>
      <c r="J106" s="622"/>
      <c r="K106" s="982"/>
    </row>
    <row r="107" spans="1:14" s="224" customFormat="1" ht="15" customHeight="1" x14ac:dyDescent="0.25">
      <c r="A107" s="215">
        <v>43523</v>
      </c>
      <c r="B107" s="349" t="s">
        <v>1438</v>
      </c>
      <c r="C107" s="350" t="s">
        <v>19</v>
      </c>
      <c r="D107" s="350" t="s">
        <v>1489</v>
      </c>
      <c r="E107" s="480" t="s">
        <v>13</v>
      </c>
      <c r="F107" s="852">
        <v>24</v>
      </c>
      <c r="G107" s="1528"/>
      <c r="H107" s="622"/>
      <c r="I107" s="982"/>
      <c r="J107" s="622"/>
      <c r="K107" s="982"/>
    </row>
    <row r="108" spans="1:14" s="224" customFormat="1" ht="15" customHeight="1" x14ac:dyDescent="0.25">
      <c r="A108" s="215">
        <v>43523</v>
      </c>
      <c r="B108" s="862" t="s">
        <v>2148</v>
      </c>
      <c r="C108" s="879" t="s">
        <v>12</v>
      </c>
      <c r="D108" s="879" t="s">
        <v>1487</v>
      </c>
      <c r="E108" s="480" t="s">
        <v>13</v>
      </c>
      <c r="F108" s="893">
        <v>71.099999999999994</v>
      </c>
      <c r="G108" s="1527"/>
      <c r="H108" s="97"/>
      <c r="I108" s="982"/>
      <c r="J108" s="622"/>
      <c r="K108" s="982"/>
    </row>
    <row r="109" spans="1:14" s="224" customFormat="1" ht="15" customHeight="1" x14ac:dyDescent="0.25">
      <c r="A109" s="215">
        <v>43523</v>
      </c>
      <c r="B109" s="349" t="s">
        <v>14</v>
      </c>
      <c r="C109" s="350" t="s">
        <v>12</v>
      </c>
      <c r="D109" s="350" t="s">
        <v>1486</v>
      </c>
      <c r="E109" s="480" t="s">
        <v>13</v>
      </c>
      <c r="F109" s="137">
        <v>3.67</v>
      </c>
      <c r="G109" s="965"/>
      <c r="H109" s="97"/>
      <c r="I109" s="946"/>
      <c r="J109" s="97"/>
      <c r="K109" s="946"/>
    </row>
    <row r="110" spans="1:14" s="224" customFormat="1" x14ac:dyDescent="0.25">
      <c r="A110" s="215">
        <v>43524</v>
      </c>
      <c r="B110" s="349" t="s">
        <v>151</v>
      </c>
      <c r="C110" s="352" t="s">
        <v>12</v>
      </c>
      <c r="D110" s="874" t="s">
        <v>1485</v>
      </c>
      <c r="E110" s="875" t="s">
        <v>13</v>
      </c>
      <c r="F110" s="852">
        <v>14</v>
      </c>
      <c r="G110" s="248"/>
      <c r="H110" s="97"/>
      <c r="I110" s="946"/>
      <c r="J110" s="97"/>
      <c r="K110" s="946"/>
    </row>
    <row r="111" spans="1:14" s="224" customFormat="1" ht="15" customHeight="1" x14ac:dyDescent="0.25">
      <c r="A111" s="215">
        <v>43524</v>
      </c>
      <c r="B111" s="862" t="s">
        <v>2096</v>
      </c>
      <c r="C111" s="352" t="s">
        <v>12</v>
      </c>
      <c r="D111" s="874" t="s">
        <v>1506</v>
      </c>
      <c r="E111" s="875" t="s">
        <v>15</v>
      </c>
      <c r="F111" s="890">
        <v>30</v>
      </c>
      <c r="G111" s="1528"/>
      <c r="H111" s="622"/>
      <c r="I111" s="982"/>
      <c r="J111" s="622"/>
      <c r="K111" s="982"/>
    </row>
    <row r="112" spans="1:14" s="224" customFormat="1" x14ac:dyDescent="0.25">
      <c r="A112" s="215">
        <v>43524</v>
      </c>
      <c r="B112" s="349" t="s">
        <v>14</v>
      </c>
      <c r="C112" s="350" t="s">
        <v>12</v>
      </c>
      <c r="D112" s="350" t="s">
        <v>1486</v>
      </c>
      <c r="E112" s="480" t="s">
        <v>13</v>
      </c>
      <c r="F112" s="891">
        <v>8.1</v>
      </c>
      <c r="G112" s="964"/>
      <c r="H112" s="622"/>
      <c r="I112" s="1002"/>
      <c r="J112" s="622"/>
      <c r="K112" s="1002"/>
    </row>
    <row r="113" spans="1:11" s="224" customFormat="1" x14ac:dyDescent="0.25">
      <c r="A113" s="215">
        <v>43524</v>
      </c>
      <c r="B113" s="862" t="s">
        <v>1666</v>
      </c>
      <c r="C113" s="350" t="s">
        <v>12</v>
      </c>
      <c r="D113" s="350"/>
      <c r="E113" s="480" t="s">
        <v>25</v>
      </c>
      <c r="F113" s="853"/>
      <c r="G113" s="964"/>
      <c r="H113" s="622"/>
      <c r="I113" s="982"/>
      <c r="J113" s="622"/>
      <c r="K113" s="982">
        <v>51.11</v>
      </c>
    </row>
    <row r="114" spans="1:11" s="224" customFormat="1" ht="15" customHeight="1" thickBot="1" x14ac:dyDescent="0.3">
      <c r="A114" s="215">
        <v>43524</v>
      </c>
      <c r="B114" s="862" t="s">
        <v>1710</v>
      </c>
      <c r="C114" s="879" t="s">
        <v>12</v>
      </c>
      <c r="D114" s="879" t="s">
        <v>1504</v>
      </c>
      <c r="E114" s="871" t="s">
        <v>13</v>
      </c>
      <c r="F114" s="894">
        <v>27.9</v>
      </c>
      <c r="G114" s="965"/>
      <c r="H114" s="97"/>
      <c r="I114" s="946"/>
      <c r="J114" s="97"/>
      <c r="K114" s="946"/>
    </row>
    <row r="115" spans="1:11" ht="25.5" customHeight="1" thickBot="1" x14ac:dyDescent="0.3">
      <c r="A115" s="3060"/>
      <c r="B115" s="3061"/>
      <c r="C115" s="3062"/>
      <c r="D115" s="3062"/>
      <c r="E115" s="3062"/>
      <c r="F115" s="100">
        <f>SUM(F6:F114)</f>
        <v>13547.749999999998</v>
      </c>
      <c r="G115" s="1065">
        <f>SUM(G5:G114)</f>
        <v>14085.930000000011</v>
      </c>
      <c r="H115" s="101">
        <f>SUM(H6:H114)</f>
        <v>1609.3</v>
      </c>
      <c r="I115" s="93">
        <f>SUM(I5:I114)</f>
        <v>2609.2960000000021</v>
      </c>
      <c r="J115" s="101">
        <f>SUM(J6:J114)</f>
        <v>8827.1200000000008</v>
      </c>
      <c r="K115" s="93">
        <f>SUM(K5:K114)</f>
        <v>15383.43</v>
      </c>
    </row>
    <row r="116" spans="1:11" ht="25.5" customHeight="1" thickBot="1" x14ac:dyDescent="0.3">
      <c r="A116" s="3117" t="s">
        <v>49</v>
      </c>
      <c r="B116" s="3118"/>
      <c r="C116" s="3118"/>
      <c r="D116" s="3118"/>
      <c r="E116" s="3118"/>
      <c r="F116" s="144"/>
      <c r="G116" s="519">
        <f>G115-F115</f>
        <v>538.18000000001302</v>
      </c>
      <c r="H116" s="555"/>
      <c r="I116" s="772">
        <f>I115-H115</f>
        <v>999.99600000000214</v>
      </c>
      <c r="J116" s="555"/>
      <c r="K116" s="772">
        <f>K115-J115</f>
        <v>6556.3099999999995</v>
      </c>
    </row>
    <row r="117" spans="1:11" x14ac:dyDescent="0.25">
      <c r="G117" s="89"/>
      <c r="J117" s="769"/>
      <c r="K117" s="868"/>
    </row>
    <row r="118" spans="1:11" x14ac:dyDescent="0.25">
      <c r="B118" s="79" t="s">
        <v>32</v>
      </c>
      <c r="C118" s="475">
        <v>399</v>
      </c>
      <c r="D118" s="85" t="s">
        <v>1485</v>
      </c>
      <c r="J118" s="769"/>
      <c r="K118" s="866"/>
    </row>
    <row r="119" spans="1:11" x14ac:dyDescent="0.25">
      <c r="B119" s="79" t="s">
        <v>1218</v>
      </c>
      <c r="C119" s="475">
        <v>401.1</v>
      </c>
      <c r="D119" s="85" t="s">
        <v>1487</v>
      </c>
      <c r="J119" s="769"/>
      <c r="K119" s="868"/>
    </row>
    <row r="120" spans="1:11" x14ac:dyDescent="0.25">
      <c r="B120" s="79" t="s">
        <v>50</v>
      </c>
      <c r="C120" s="854">
        <v>95.9</v>
      </c>
      <c r="D120" s="85" t="s">
        <v>1493</v>
      </c>
      <c r="J120" s="769"/>
      <c r="K120" s="866"/>
    </row>
    <row r="121" spans="1:11" s="85" customFormat="1" x14ac:dyDescent="0.25">
      <c r="A121" s="79"/>
      <c r="B121" s="79" t="s">
        <v>14</v>
      </c>
      <c r="C121" s="484">
        <v>162.41999999999999</v>
      </c>
      <c r="D121" s="85" t="s">
        <v>1486</v>
      </c>
      <c r="J121" s="769"/>
      <c r="K121" s="866"/>
    </row>
    <row r="122" spans="1:11" s="85" customFormat="1" x14ac:dyDescent="0.25">
      <c r="A122" s="79"/>
      <c r="B122" s="79" t="s">
        <v>51</v>
      </c>
      <c r="C122" s="475">
        <v>164.16</v>
      </c>
      <c r="D122" s="864" t="s">
        <v>1499</v>
      </c>
      <c r="E122" s="79"/>
      <c r="F122" s="89"/>
      <c r="G122" s="79"/>
      <c r="H122" s="79"/>
      <c r="I122" s="79"/>
      <c r="J122" s="769"/>
      <c r="K122" s="866"/>
    </row>
    <row r="123" spans="1:11" s="85" customFormat="1" x14ac:dyDescent="0.25">
      <c r="A123" s="79"/>
      <c r="B123" s="79" t="s">
        <v>52</v>
      </c>
      <c r="C123" s="475">
        <v>60</v>
      </c>
      <c r="D123" s="864" t="s">
        <v>1496</v>
      </c>
      <c r="F123" s="89"/>
      <c r="G123" s="79"/>
      <c r="H123" s="79"/>
      <c r="I123" s="79"/>
      <c r="J123" s="769"/>
      <c r="K123" s="866"/>
    </row>
    <row r="124" spans="1:11" s="85" customFormat="1" x14ac:dyDescent="0.25">
      <c r="A124" s="79"/>
      <c r="B124" s="867" t="s">
        <v>53</v>
      </c>
      <c r="C124" s="475">
        <v>137.25</v>
      </c>
      <c r="D124" s="864" t="s">
        <v>1522</v>
      </c>
      <c r="E124" s="89"/>
      <c r="F124" s="89"/>
      <c r="G124" s="79"/>
      <c r="H124" s="79"/>
      <c r="I124" s="79"/>
      <c r="J124" s="769"/>
      <c r="K124" s="866"/>
    </row>
    <row r="125" spans="1:11" s="85" customFormat="1" x14ac:dyDescent="0.25">
      <c r="A125" s="79"/>
      <c r="B125" s="867" t="s">
        <v>2149</v>
      </c>
      <c r="C125" s="475">
        <v>10315.870000000001</v>
      </c>
      <c r="D125" s="864" t="s">
        <v>2131</v>
      </c>
      <c r="F125" s="89"/>
      <c r="G125" s="79"/>
      <c r="H125" s="79"/>
      <c r="I125" s="79"/>
      <c r="J125" s="769"/>
      <c r="K125" s="866"/>
    </row>
    <row r="126" spans="1:11" s="85" customFormat="1" x14ac:dyDescent="0.25">
      <c r="A126" s="79"/>
      <c r="B126" s="79" t="s">
        <v>56</v>
      </c>
      <c r="C126" s="475">
        <v>54.74</v>
      </c>
      <c r="D126" s="864" t="s">
        <v>1523</v>
      </c>
      <c r="F126" s="89"/>
      <c r="G126" s="79"/>
      <c r="H126" s="79"/>
      <c r="I126" s="79"/>
      <c r="J126" s="769"/>
      <c r="K126" s="868"/>
    </row>
    <row r="127" spans="1:11" s="85" customFormat="1" x14ac:dyDescent="0.25">
      <c r="A127" s="79"/>
      <c r="B127" s="79" t="s">
        <v>1686</v>
      </c>
      <c r="C127" s="475">
        <v>327.05</v>
      </c>
      <c r="D127" s="864" t="s">
        <v>1506</v>
      </c>
      <c r="F127" s="89"/>
      <c r="G127" s="79"/>
      <c r="H127" s="79"/>
      <c r="I127" s="79"/>
      <c r="J127" s="769"/>
      <c r="K127" s="866"/>
    </row>
    <row r="128" spans="1:11" s="85" customFormat="1" x14ac:dyDescent="0.25">
      <c r="A128" s="79"/>
      <c r="B128" s="79" t="s">
        <v>418</v>
      </c>
      <c r="C128" s="475"/>
      <c r="D128" s="85" t="s">
        <v>1524</v>
      </c>
      <c r="E128" s="79"/>
      <c r="F128" s="89"/>
      <c r="J128" s="769"/>
      <c r="K128" s="866"/>
    </row>
    <row r="129" spans="2:11" x14ac:dyDescent="0.25">
      <c r="B129" s="79" t="s">
        <v>419</v>
      </c>
      <c r="C129" s="861">
        <v>461.36</v>
      </c>
      <c r="D129" s="85" t="s">
        <v>1491</v>
      </c>
      <c r="J129" s="769"/>
      <c r="K129" s="868"/>
    </row>
    <row r="130" spans="2:11" x14ac:dyDescent="0.25">
      <c r="B130" s="79" t="s">
        <v>911</v>
      </c>
      <c r="C130" s="861">
        <v>60</v>
      </c>
      <c r="D130" s="85" t="s">
        <v>1525</v>
      </c>
      <c r="J130" s="769"/>
      <c r="K130" s="868"/>
    </row>
    <row r="131" spans="2:11" x14ac:dyDescent="0.25">
      <c r="B131" s="79" t="s">
        <v>1526</v>
      </c>
      <c r="C131" s="861">
        <v>176.82</v>
      </c>
      <c r="D131" s="85" t="s">
        <v>1504</v>
      </c>
      <c r="E131" s="79"/>
      <c r="J131" s="769"/>
      <c r="K131" s="866"/>
    </row>
    <row r="132" spans="2:11" x14ac:dyDescent="0.25">
      <c r="B132" s="79" t="s">
        <v>1527</v>
      </c>
      <c r="C132" s="861">
        <v>610.71</v>
      </c>
      <c r="D132" s="85" t="s">
        <v>1489</v>
      </c>
      <c r="J132" s="769"/>
      <c r="K132" s="868"/>
    </row>
    <row r="133" spans="2:11" x14ac:dyDescent="0.25">
      <c r="J133" s="769"/>
      <c r="K133" s="866"/>
    </row>
    <row r="134" spans="2:11" x14ac:dyDescent="0.25">
      <c r="F134" s="85"/>
      <c r="J134" s="769"/>
      <c r="K134" s="866"/>
    </row>
    <row r="135" spans="2:11" x14ac:dyDescent="0.25">
      <c r="B135" s="79" t="s">
        <v>486</v>
      </c>
      <c r="C135" s="475">
        <f>H135/J135</f>
        <v>479.51357142857148</v>
      </c>
      <c r="F135" s="224" t="s">
        <v>487</v>
      </c>
      <c r="H135" s="216">
        <f>SUM(C118:C132)</f>
        <v>13426.380000000001</v>
      </c>
      <c r="I135" s="518" t="s">
        <v>488</v>
      </c>
      <c r="J135" s="1517">
        <v>28</v>
      </c>
      <c r="K135" s="866"/>
    </row>
    <row r="136" spans="2:11" x14ac:dyDescent="0.25">
      <c r="G136" s="85"/>
      <c r="J136" s="769"/>
      <c r="K136" s="866"/>
    </row>
    <row r="137" spans="2:11" x14ac:dyDescent="0.25">
      <c r="H137" s="629">
        <f>H135-C125</f>
        <v>3110.51</v>
      </c>
      <c r="J137" s="769"/>
      <c r="K137" s="868"/>
    </row>
    <row r="138" spans="2:11" x14ac:dyDescent="0.25">
      <c r="K138" s="866"/>
    </row>
    <row r="139" spans="2:11" x14ac:dyDescent="0.25">
      <c r="D139" s="79"/>
      <c r="E139" s="79"/>
      <c r="J139" s="769"/>
      <c r="K139" s="866"/>
    </row>
    <row r="140" spans="2:11" x14ac:dyDescent="0.25">
      <c r="J140" s="769"/>
      <c r="K140" s="866"/>
    </row>
    <row r="141" spans="2:11" x14ac:dyDescent="0.25">
      <c r="J141" s="769"/>
      <c r="K141" s="866"/>
    </row>
    <row r="142" spans="2:11" x14ac:dyDescent="0.25">
      <c r="J142" s="769"/>
      <c r="K142" s="866"/>
    </row>
    <row r="143" spans="2:11" x14ac:dyDescent="0.25">
      <c r="C143" s="79"/>
      <c r="D143" s="79"/>
      <c r="E143" s="79"/>
      <c r="F143" s="79"/>
      <c r="I143" s="216"/>
      <c r="J143" s="769"/>
      <c r="K143" s="866"/>
    </row>
    <row r="144" spans="2:11" x14ac:dyDescent="0.25">
      <c r="C144" s="79"/>
      <c r="D144" s="79"/>
      <c r="E144" s="79"/>
      <c r="F144" s="79"/>
      <c r="I144" s="216"/>
      <c r="J144" s="769"/>
      <c r="K144" s="866"/>
    </row>
    <row r="145" spans="3:11" x14ac:dyDescent="0.25">
      <c r="C145" s="79"/>
      <c r="D145" s="79"/>
      <c r="E145" s="79"/>
      <c r="F145" s="79"/>
      <c r="G145" s="216"/>
      <c r="I145" s="216"/>
      <c r="J145" s="769"/>
      <c r="K145" s="868"/>
    </row>
    <row r="146" spans="3:11" x14ac:dyDescent="0.25">
      <c r="C146" s="79"/>
      <c r="D146" s="79"/>
      <c r="E146" s="79"/>
      <c r="F146" s="79"/>
      <c r="G146" s="216"/>
      <c r="I146" s="216"/>
      <c r="J146" s="769"/>
      <c r="K146" s="866"/>
    </row>
    <row r="147" spans="3:11" x14ac:dyDescent="0.25">
      <c r="C147" s="79"/>
      <c r="D147" s="79"/>
      <c r="E147" s="79"/>
      <c r="F147" s="79"/>
      <c r="G147" s="216"/>
      <c r="J147" s="770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8"/>
    </row>
    <row r="149" spans="3:11" x14ac:dyDescent="0.25">
      <c r="J149" s="769"/>
      <c r="K149" s="866"/>
    </row>
    <row r="150" spans="3:11" x14ac:dyDescent="0.25">
      <c r="C150" s="79"/>
      <c r="D150" s="79"/>
      <c r="E150" s="79"/>
      <c r="F150" s="79"/>
      <c r="I150" s="629"/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J167" s="769"/>
      <c r="K167" s="868"/>
    </row>
    <row r="168" spans="3:11" x14ac:dyDescent="0.25">
      <c r="J168" s="769"/>
      <c r="K168" s="866"/>
    </row>
    <row r="169" spans="3:11" x14ac:dyDescent="0.25">
      <c r="J169" s="769"/>
      <c r="K169" s="866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8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6"/>
    </row>
    <row r="175" spans="3:11" x14ac:dyDescent="0.25">
      <c r="C175" s="79"/>
      <c r="D175" s="79"/>
      <c r="E175" s="79"/>
      <c r="F175" s="79"/>
      <c r="J175" s="223"/>
      <c r="K175" s="629"/>
    </row>
    <row r="176" spans="3:11" x14ac:dyDescent="0.25">
      <c r="C176" s="79"/>
      <c r="D176" s="79"/>
      <c r="E176" s="79"/>
      <c r="F176" s="79"/>
      <c r="J176" s="756"/>
      <c r="K176" s="756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  <c r="J181" s="85"/>
      <c r="K181" s="85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  <c r="J188" s="85"/>
      <c r="K188" s="85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  <c r="J195" s="771"/>
      <c r="K195" s="518"/>
    </row>
    <row r="196" spans="3:11" x14ac:dyDescent="0.25">
      <c r="C196" s="79"/>
      <c r="D196" s="79"/>
      <c r="E196" s="79"/>
      <c r="F196" s="79"/>
    </row>
    <row r="203" spans="3:11" x14ac:dyDescent="0.25">
      <c r="C203" s="79"/>
      <c r="D203" s="79"/>
      <c r="E203" s="79"/>
      <c r="F203" s="79"/>
      <c r="K203" s="216"/>
    </row>
    <row r="204" spans="3:11" x14ac:dyDescent="0.25">
      <c r="C204" s="79"/>
      <c r="D204" s="79"/>
      <c r="E204" s="79"/>
      <c r="F204" s="79"/>
      <c r="K204" s="216"/>
    </row>
    <row r="205" spans="3:11" x14ac:dyDescent="0.25">
      <c r="C205" s="79"/>
      <c r="D205" s="79"/>
      <c r="E205" s="79"/>
      <c r="F205" s="79"/>
      <c r="K205" s="216"/>
    </row>
    <row r="206" spans="3:11" x14ac:dyDescent="0.25">
      <c r="C206" s="79"/>
      <c r="D206" s="79"/>
      <c r="E206" s="79"/>
      <c r="F206" s="79"/>
      <c r="K206" s="216"/>
    </row>
    <row r="208" spans="3:11" x14ac:dyDescent="0.25">
      <c r="C208" s="79"/>
      <c r="D208" s="79"/>
      <c r="E208" s="79"/>
      <c r="F208" s="79"/>
      <c r="K208" s="216"/>
    </row>
    <row r="210" spans="3:11" x14ac:dyDescent="0.25">
      <c r="C210" s="79"/>
      <c r="D210" s="79"/>
      <c r="E210" s="79"/>
      <c r="F210" s="79"/>
      <c r="K210" s="629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</sheetData>
  <autoFilter ref="A2:I116" xr:uid="{00000000-0009-0000-0000-000053000000}"/>
  <mergeCells count="12">
    <mergeCell ref="A115:E115"/>
    <mergeCell ref="A116:E11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Plan97" filterMode="1"/>
  <dimension ref="A1:M229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N22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2150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hidden="1" x14ac:dyDescent="0.25">
      <c r="A5" s="281">
        <v>43525</v>
      </c>
      <c r="B5" s="369" t="s">
        <v>10</v>
      </c>
      <c r="C5" s="370"/>
      <c r="D5" s="370"/>
      <c r="E5" s="777"/>
      <c r="F5" s="889"/>
      <c r="G5" s="925">
        <f>'Fevereiro-19'!G116</f>
        <v>538.18000000001302</v>
      </c>
      <c r="H5" s="179"/>
      <c r="I5" s="933">
        <f>'Fevereiro-19'!I116</f>
        <v>999.99600000000214</v>
      </c>
      <c r="J5" s="179"/>
      <c r="K5" s="933">
        <f>'Fevereiro-19'!K116</f>
        <v>6556.3099999999995</v>
      </c>
    </row>
    <row r="6" spans="1:13" s="224" customFormat="1" hidden="1" x14ac:dyDescent="0.25">
      <c r="A6" s="215">
        <v>43525</v>
      </c>
      <c r="B6" s="348" t="s">
        <v>11</v>
      </c>
      <c r="C6" s="351"/>
      <c r="D6" s="351"/>
      <c r="E6" s="673"/>
      <c r="F6" s="827">
        <v>50</v>
      </c>
      <c r="G6" s="1526"/>
      <c r="H6" s="250"/>
      <c r="I6" s="1473"/>
      <c r="J6" s="250"/>
      <c r="K6" s="1473"/>
      <c r="L6" s="89"/>
      <c r="M6" s="89"/>
    </row>
    <row r="7" spans="1:13" s="224" customFormat="1" hidden="1" x14ac:dyDescent="0.25">
      <c r="A7" s="215">
        <v>43525</v>
      </c>
      <c r="B7" s="349" t="s">
        <v>151</v>
      </c>
      <c r="C7" s="352" t="s">
        <v>12</v>
      </c>
      <c r="D7" s="874" t="s">
        <v>1485</v>
      </c>
      <c r="E7" s="875" t="s">
        <v>15</v>
      </c>
      <c r="F7" s="852">
        <v>14</v>
      </c>
      <c r="G7" s="964"/>
      <c r="H7" s="622"/>
      <c r="I7" s="982"/>
      <c r="J7" s="622"/>
      <c r="K7" s="982"/>
    </row>
    <row r="8" spans="1:13" s="224" customFormat="1" ht="15" hidden="1" customHeight="1" x14ac:dyDescent="0.25">
      <c r="A8" s="215">
        <v>43525</v>
      </c>
      <c r="B8" s="349" t="s">
        <v>14</v>
      </c>
      <c r="C8" s="350" t="s">
        <v>12</v>
      </c>
      <c r="D8" s="350" t="s">
        <v>1486</v>
      </c>
      <c r="E8" s="480" t="s">
        <v>13</v>
      </c>
      <c r="F8" s="137">
        <v>4.43</v>
      </c>
      <c r="G8" s="965"/>
      <c r="H8" s="97"/>
      <c r="I8" s="946"/>
      <c r="J8" s="97"/>
      <c r="K8" s="946"/>
    </row>
    <row r="9" spans="1:13" s="224" customFormat="1" ht="14.25" hidden="1" customHeight="1" x14ac:dyDescent="0.25">
      <c r="A9" s="215">
        <v>43525</v>
      </c>
      <c r="B9" s="876" t="s">
        <v>2151</v>
      </c>
      <c r="C9" s="350" t="s">
        <v>19</v>
      </c>
      <c r="D9" s="874" t="s">
        <v>1489</v>
      </c>
      <c r="E9" s="875" t="s">
        <v>13</v>
      </c>
      <c r="F9" s="852">
        <v>67.81</v>
      </c>
      <c r="G9" s="673"/>
      <c r="H9" s="622"/>
      <c r="I9" s="982"/>
      <c r="J9" s="622"/>
      <c r="K9" s="982"/>
    </row>
    <row r="10" spans="1:13" s="224" customFormat="1" ht="15" hidden="1" customHeight="1" x14ac:dyDescent="0.25">
      <c r="A10" s="215">
        <v>43526</v>
      </c>
      <c r="B10" s="862" t="s">
        <v>2152</v>
      </c>
      <c r="C10" s="352" t="s">
        <v>12</v>
      </c>
      <c r="D10" s="874" t="s">
        <v>1491</v>
      </c>
      <c r="E10" s="875" t="s">
        <v>15</v>
      </c>
      <c r="F10" s="890">
        <v>15</v>
      </c>
      <c r="G10" s="1528"/>
      <c r="H10" s="622"/>
      <c r="I10" s="982"/>
      <c r="J10" s="622"/>
      <c r="K10" s="982"/>
    </row>
    <row r="11" spans="1:13" s="224" customFormat="1" ht="15" hidden="1" customHeight="1" x14ac:dyDescent="0.25">
      <c r="A11" s="215">
        <v>43526</v>
      </c>
      <c r="B11" s="862" t="s">
        <v>2153</v>
      </c>
      <c r="C11" s="352" t="s">
        <v>12</v>
      </c>
      <c r="D11" s="874" t="s">
        <v>1493</v>
      </c>
      <c r="E11" s="875" t="s">
        <v>15</v>
      </c>
      <c r="F11" s="890">
        <v>8</v>
      </c>
      <c r="G11" s="1528"/>
      <c r="H11" s="622"/>
      <c r="I11" s="982"/>
      <c r="J11" s="622"/>
      <c r="K11" s="982"/>
    </row>
    <row r="12" spans="1:13" s="224" customFormat="1" ht="15" hidden="1" customHeight="1" x14ac:dyDescent="0.25">
      <c r="A12" s="215">
        <v>43527</v>
      </c>
      <c r="B12" s="349" t="s">
        <v>2154</v>
      </c>
      <c r="C12" s="350" t="s">
        <v>12</v>
      </c>
      <c r="D12" s="350" t="s">
        <v>1489</v>
      </c>
      <c r="E12" s="480" t="s">
        <v>15</v>
      </c>
      <c r="F12" s="853">
        <v>70</v>
      </c>
      <c r="G12" s="964"/>
      <c r="H12" s="622"/>
      <c r="I12" s="982"/>
      <c r="J12" s="622"/>
      <c r="K12" s="982"/>
    </row>
    <row r="13" spans="1:13" s="224" customFormat="1" ht="15" hidden="1" customHeight="1" x14ac:dyDescent="0.25">
      <c r="A13" s="215">
        <v>43527</v>
      </c>
      <c r="B13" s="349" t="s">
        <v>2155</v>
      </c>
      <c r="C13" s="350" t="s">
        <v>12</v>
      </c>
      <c r="D13" s="350" t="s">
        <v>1489</v>
      </c>
      <c r="E13" s="480" t="s">
        <v>15</v>
      </c>
      <c r="F13" s="853">
        <v>10</v>
      </c>
      <c r="G13" s="964"/>
      <c r="H13" s="622"/>
      <c r="I13" s="982"/>
      <c r="J13" s="622"/>
      <c r="K13" s="982"/>
    </row>
    <row r="14" spans="1:13" s="224" customFormat="1" ht="15" hidden="1" customHeight="1" x14ac:dyDescent="0.25">
      <c r="A14" s="215">
        <v>43527</v>
      </c>
      <c r="B14" s="349" t="s">
        <v>1085</v>
      </c>
      <c r="C14" s="350" t="s">
        <v>19</v>
      </c>
      <c r="D14" s="350" t="s">
        <v>1491</v>
      </c>
      <c r="E14" s="480" t="s">
        <v>13</v>
      </c>
      <c r="F14" s="853">
        <v>31.48</v>
      </c>
      <c r="G14" s="964"/>
      <c r="H14" s="622"/>
      <c r="I14" s="982"/>
      <c r="J14" s="622"/>
      <c r="K14" s="982"/>
    </row>
    <row r="15" spans="1:13" s="224" customFormat="1" ht="15" hidden="1" customHeight="1" x14ac:dyDescent="0.25">
      <c r="A15" s="215">
        <v>43528</v>
      </c>
      <c r="B15" s="349" t="s">
        <v>14</v>
      </c>
      <c r="C15" s="350" t="s">
        <v>12</v>
      </c>
      <c r="D15" s="350" t="s">
        <v>1486</v>
      </c>
      <c r="E15" s="480" t="s">
        <v>13</v>
      </c>
      <c r="F15" s="137">
        <v>4.3600000000000003</v>
      </c>
      <c r="G15" s="964"/>
      <c r="H15" s="622"/>
      <c r="I15" s="982"/>
      <c r="J15" s="622"/>
      <c r="K15" s="982"/>
    </row>
    <row r="16" spans="1:13" s="224" customFormat="1" ht="14.25" hidden="1" customHeight="1" x14ac:dyDescent="0.25">
      <c r="A16" s="215">
        <v>43528</v>
      </c>
      <c r="B16" s="349" t="s">
        <v>2156</v>
      </c>
      <c r="C16" s="352" t="s">
        <v>12</v>
      </c>
      <c r="D16" s="874" t="s">
        <v>1489</v>
      </c>
      <c r="E16" s="875" t="s">
        <v>13</v>
      </c>
      <c r="F16" s="852">
        <v>5</v>
      </c>
      <c r="G16" s="673"/>
      <c r="H16" s="622"/>
      <c r="I16" s="982"/>
      <c r="J16" s="622"/>
      <c r="K16" s="982"/>
      <c r="L16" s="883"/>
      <c r="M16" s="89"/>
    </row>
    <row r="17" spans="1:13" s="224" customFormat="1" ht="15" hidden="1" customHeight="1" x14ac:dyDescent="0.25">
      <c r="A17" s="215">
        <v>43528</v>
      </c>
      <c r="B17" s="349" t="s">
        <v>14</v>
      </c>
      <c r="C17" s="350" t="s">
        <v>12</v>
      </c>
      <c r="D17" s="350" t="s">
        <v>1486</v>
      </c>
      <c r="E17" s="480" t="s">
        <v>13</v>
      </c>
      <c r="F17" s="137">
        <v>7.4</v>
      </c>
      <c r="G17" s="964"/>
      <c r="H17" s="622"/>
      <c r="I17" s="982"/>
      <c r="J17" s="622"/>
      <c r="K17" s="982"/>
    </row>
    <row r="18" spans="1:13" s="224" customFormat="1" hidden="1" x14ac:dyDescent="0.25">
      <c r="A18" s="215">
        <v>43529</v>
      </c>
      <c r="B18" s="349" t="s">
        <v>151</v>
      </c>
      <c r="C18" s="352" t="s">
        <v>12</v>
      </c>
      <c r="D18" s="874" t="s">
        <v>1485</v>
      </c>
      <c r="E18" s="875" t="s">
        <v>13</v>
      </c>
      <c r="F18" s="852">
        <v>14</v>
      </c>
      <c r="G18" s="964"/>
      <c r="H18" s="622"/>
      <c r="I18" s="982"/>
      <c r="J18" s="622"/>
      <c r="K18" s="982"/>
    </row>
    <row r="19" spans="1:13" s="224" customFormat="1" ht="15" hidden="1" customHeight="1" x14ac:dyDescent="0.25">
      <c r="A19" s="215">
        <v>43529</v>
      </c>
      <c r="B19" s="862" t="s">
        <v>2097</v>
      </c>
      <c r="C19" s="879" t="s">
        <v>12</v>
      </c>
      <c r="D19" s="879" t="s">
        <v>2157</v>
      </c>
      <c r="E19" s="480" t="s">
        <v>13</v>
      </c>
      <c r="F19" s="893">
        <v>50</v>
      </c>
      <c r="G19" s="1527"/>
      <c r="H19" s="97"/>
      <c r="I19" s="982"/>
      <c r="J19" s="622"/>
      <c r="K19" s="982"/>
    </row>
    <row r="20" spans="1:13" s="224" customFormat="1" ht="15" hidden="1" customHeight="1" x14ac:dyDescent="0.25">
      <c r="A20" s="215">
        <v>43529</v>
      </c>
      <c r="B20" s="349" t="s">
        <v>14</v>
      </c>
      <c r="C20" s="350" t="s">
        <v>12</v>
      </c>
      <c r="D20" s="350" t="s">
        <v>1486</v>
      </c>
      <c r="E20" s="480" t="s">
        <v>13</v>
      </c>
      <c r="F20" s="853">
        <v>3.84</v>
      </c>
      <c r="G20" s="1064"/>
      <c r="H20" s="97"/>
      <c r="I20" s="982"/>
      <c r="J20" s="622"/>
      <c r="K20" s="982"/>
    </row>
    <row r="21" spans="1:13" s="224" customFormat="1" ht="15" hidden="1" customHeight="1" x14ac:dyDescent="0.25">
      <c r="A21" s="215">
        <v>43529</v>
      </c>
      <c r="B21" s="862" t="s">
        <v>1836</v>
      </c>
      <c r="C21" s="879" t="s">
        <v>12</v>
      </c>
      <c r="D21" s="879" t="s">
        <v>1491</v>
      </c>
      <c r="E21" s="871" t="s">
        <v>15</v>
      </c>
      <c r="F21" s="622">
        <v>80</v>
      </c>
      <c r="G21" s="1064"/>
      <c r="H21" s="97"/>
      <c r="I21" s="982"/>
      <c r="J21" s="622"/>
      <c r="K21" s="982"/>
      <c r="L21" s="459"/>
    </row>
    <row r="22" spans="1:13" s="224" customFormat="1" ht="15.75" hidden="1" customHeight="1" x14ac:dyDescent="0.25">
      <c r="A22" s="215">
        <v>43530</v>
      </c>
      <c r="B22" s="349" t="s">
        <v>2158</v>
      </c>
      <c r="C22" s="879" t="s">
        <v>12</v>
      </c>
      <c r="D22" s="874"/>
      <c r="E22" s="871" t="s">
        <v>25</v>
      </c>
      <c r="F22" s="1524"/>
      <c r="G22" s="1473">
        <v>1837.68</v>
      </c>
      <c r="H22" s="250"/>
      <c r="I22" s="946"/>
      <c r="J22" s="97"/>
      <c r="K22" s="946"/>
      <c r="L22" s="459"/>
    </row>
    <row r="23" spans="1:13" s="224" customFormat="1" hidden="1" x14ac:dyDescent="0.25">
      <c r="A23" s="215">
        <v>43530</v>
      </c>
      <c r="B23" s="862" t="s">
        <v>2159</v>
      </c>
      <c r="C23" s="879" t="s">
        <v>12</v>
      </c>
      <c r="D23" s="879"/>
      <c r="E23" s="871" t="s">
        <v>13</v>
      </c>
      <c r="F23" s="872">
        <v>499.26</v>
      </c>
      <c r="G23" s="964"/>
      <c r="H23" s="622"/>
      <c r="I23" s="982"/>
      <c r="J23" s="780"/>
      <c r="K23" s="614"/>
      <c r="L23" s="518">
        <v>546.26</v>
      </c>
      <c r="M23" s="89"/>
    </row>
    <row r="24" spans="1:13" hidden="1" x14ac:dyDescent="0.25">
      <c r="A24" s="215">
        <v>43530</v>
      </c>
      <c r="B24" s="862" t="s">
        <v>1961</v>
      </c>
      <c r="C24" s="879" t="s">
        <v>12</v>
      </c>
      <c r="D24" s="879" t="s">
        <v>1504</v>
      </c>
      <c r="E24" s="871" t="s">
        <v>13</v>
      </c>
      <c r="F24" s="852">
        <v>50</v>
      </c>
      <c r="G24" s="964"/>
      <c r="H24" s="622"/>
      <c r="I24" s="982"/>
      <c r="J24" s="622"/>
      <c r="K24" s="1002"/>
      <c r="L24" s="922">
        <v>90</v>
      </c>
    </row>
    <row r="25" spans="1:13" hidden="1" x14ac:dyDescent="0.25">
      <c r="A25" s="215">
        <v>43530</v>
      </c>
      <c r="B25" s="882" t="s">
        <v>2160</v>
      </c>
      <c r="C25" s="879" t="s">
        <v>12</v>
      </c>
      <c r="D25" s="879" t="s">
        <v>1499</v>
      </c>
      <c r="E25" s="871" t="s">
        <v>13</v>
      </c>
      <c r="F25" s="852">
        <v>60</v>
      </c>
      <c r="G25" s="964"/>
      <c r="H25" s="622"/>
      <c r="I25" s="982"/>
      <c r="J25" s="780"/>
      <c r="K25" s="614"/>
      <c r="L25" s="518">
        <v>250.71</v>
      </c>
    </row>
    <row r="26" spans="1:13" hidden="1" x14ac:dyDescent="0.25">
      <c r="A26" s="215">
        <v>43530</v>
      </c>
      <c r="B26" s="876" t="s">
        <v>52</v>
      </c>
      <c r="C26" s="879" t="s">
        <v>12</v>
      </c>
      <c r="D26" s="879" t="s">
        <v>1496</v>
      </c>
      <c r="E26" s="871" t="s">
        <v>13</v>
      </c>
      <c r="F26" s="852">
        <v>60</v>
      </c>
      <c r="G26" s="1528"/>
      <c r="H26" s="853"/>
      <c r="I26" s="982"/>
      <c r="J26" s="622"/>
      <c r="K26" s="982"/>
      <c r="L26" s="518"/>
    </row>
    <row r="27" spans="1:13" s="224" customFormat="1" ht="15" hidden="1" customHeight="1" x14ac:dyDescent="0.25">
      <c r="A27" s="215">
        <v>43530</v>
      </c>
      <c r="B27" s="349" t="s">
        <v>260</v>
      </c>
      <c r="C27" s="350"/>
      <c r="D27" s="350"/>
      <c r="E27" s="480"/>
      <c r="F27" s="852">
        <v>300</v>
      </c>
      <c r="G27" s="1527"/>
      <c r="H27" s="97"/>
      <c r="I27" s="946">
        <v>300</v>
      </c>
      <c r="J27" s="97"/>
      <c r="K27" s="946"/>
      <c r="L27" s="459"/>
    </row>
    <row r="28" spans="1:13" s="224" customFormat="1" ht="14.25" hidden="1" customHeight="1" x14ac:dyDescent="0.25">
      <c r="A28" s="215">
        <v>43530</v>
      </c>
      <c r="B28" s="349" t="s">
        <v>2161</v>
      </c>
      <c r="C28" s="352" t="s">
        <v>12</v>
      </c>
      <c r="D28" s="874" t="s">
        <v>1489</v>
      </c>
      <c r="E28" s="875" t="s">
        <v>15</v>
      </c>
      <c r="F28" s="852">
        <v>30</v>
      </c>
      <c r="G28" s="673"/>
      <c r="H28" s="622"/>
      <c r="I28" s="982"/>
      <c r="J28" s="622"/>
      <c r="K28" s="982"/>
      <c r="L28" s="924"/>
      <c r="M28" s="89"/>
    </row>
    <row r="29" spans="1:13" s="224" customFormat="1" hidden="1" x14ac:dyDescent="0.25">
      <c r="A29" s="215">
        <v>43530</v>
      </c>
      <c r="B29" s="349" t="s">
        <v>151</v>
      </c>
      <c r="C29" s="352" t="s">
        <v>12</v>
      </c>
      <c r="D29" s="874" t="s">
        <v>1485</v>
      </c>
      <c r="E29" s="875" t="s">
        <v>13</v>
      </c>
      <c r="F29" s="852">
        <v>14</v>
      </c>
      <c r="G29" s="964"/>
      <c r="H29" s="622"/>
      <c r="I29" s="982"/>
      <c r="J29" s="622"/>
      <c r="K29" s="982"/>
    </row>
    <row r="30" spans="1:13" s="224" customFormat="1" ht="14.25" hidden="1" customHeight="1" x14ac:dyDescent="0.25">
      <c r="A30" s="215">
        <v>43530</v>
      </c>
      <c r="B30" s="349" t="s">
        <v>2162</v>
      </c>
      <c r="C30" s="352" t="s">
        <v>12</v>
      </c>
      <c r="D30" s="874" t="s">
        <v>1496</v>
      </c>
      <c r="E30" s="875" t="s">
        <v>13</v>
      </c>
      <c r="F30" s="852">
        <v>27.77</v>
      </c>
      <c r="G30" s="673"/>
      <c r="H30" s="622"/>
      <c r="I30" s="982"/>
      <c r="J30" s="622"/>
      <c r="K30" s="982"/>
      <c r="L30" s="883"/>
      <c r="M30" s="89"/>
    </row>
    <row r="31" spans="1:13" s="224" customFormat="1" ht="15" hidden="1" customHeight="1" x14ac:dyDescent="0.25">
      <c r="A31" s="215">
        <v>43531</v>
      </c>
      <c r="B31" s="349" t="s">
        <v>151</v>
      </c>
      <c r="C31" s="352" t="s">
        <v>12</v>
      </c>
      <c r="D31" s="874" t="s">
        <v>1485</v>
      </c>
      <c r="E31" s="875" t="s">
        <v>13</v>
      </c>
      <c r="F31" s="852">
        <v>14</v>
      </c>
      <c r="G31" s="1528"/>
      <c r="H31" s="622"/>
      <c r="I31" s="982"/>
      <c r="J31" s="622"/>
      <c r="K31" s="982"/>
    </row>
    <row r="32" spans="1:13" s="224" customFormat="1" ht="15" hidden="1" customHeight="1" x14ac:dyDescent="0.25">
      <c r="A32" s="215">
        <v>43531</v>
      </c>
      <c r="B32" s="349" t="s">
        <v>17</v>
      </c>
      <c r="C32" s="352" t="s">
        <v>12</v>
      </c>
      <c r="D32" s="874" t="s">
        <v>1493</v>
      </c>
      <c r="E32" s="875" t="s">
        <v>13</v>
      </c>
      <c r="F32" s="852">
        <v>5</v>
      </c>
      <c r="G32" s="1528"/>
      <c r="H32" s="622"/>
      <c r="I32" s="982"/>
      <c r="J32" s="622"/>
      <c r="K32" s="982"/>
    </row>
    <row r="33" spans="1:11" s="224" customFormat="1" ht="15" hidden="1" customHeight="1" x14ac:dyDescent="0.25">
      <c r="A33" s="215">
        <v>43532</v>
      </c>
      <c r="B33" s="349" t="s">
        <v>2163</v>
      </c>
      <c r="C33" s="352" t="s">
        <v>19</v>
      </c>
      <c r="D33" s="874" t="s">
        <v>1485</v>
      </c>
      <c r="E33" s="875" t="s">
        <v>13</v>
      </c>
      <c r="F33" s="852">
        <v>54.64</v>
      </c>
      <c r="G33" s="1528"/>
      <c r="H33" s="622"/>
      <c r="I33" s="982"/>
      <c r="J33" s="622"/>
      <c r="K33" s="982"/>
    </row>
    <row r="34" spans="1:11" s="224" customFormat="1" ht="15" hidden="1" customHeight="1" x14ac:dyDescent="0.25">
      <c r="A34" s="215">
        <v>43532</v>
      </c>
      <c r="B34" s="349" t="s">
        <v>14</v>
      </c>
      <c r="C34" s="350" t="s">
        <v>12</v>
      </c>
      <c r="D34" s="350" t="s">
        <v>1486</v>
      </c>
      <c r="E34" s="480" t="s">
        <v>13</v>
      </c>
      <c r="F34" s="853">
        <v>8.07</v>
      </c>
      <c r="G34" s="1064"/>
      <c r="H34" s="97"/>
      <c r="I34" s="982"/>
      <c r="J34" s="622"/>
      <c r="K34" s="982"/>
    </row>
    <row r="35" spans="1:11" s="224" customFormat="1" hidden="1" x14ac:dyDescent="0.25">
      <c r="A35" s="215">
        <v>43532</v>
      </c>
      <c r="B35" s="349" t="s">
        <v>2164</v>
      </c>
      <c r="C35" s="350" t="s">
        <v>19</v>
      </c>
      <c r="D35" s="802" t="s">
        <v>1491</v>
      </c>
      <c r="E35" s="145" t="s">
        <v>15</v>
      </c>
      <c r="F35" s="891">
        <v>34</v>
      </c>
      <c r="G35" s="964"/>
      <c r="H35" s="622"/>
      <c r="I35" s="982"/>
      <c r="J35" s="622"/>
      <c r="K35" s="982"/>
    </row>
    <row r="36" spans="1:11" s="224" customFormat="1" ht="15" hidden="1" customHeight="1" x14ac:dyDescent="0.25">
      <c r="A36" s="215">
        <v>43532</v>
      </c>
      <c r="B36" s="364" t="s">
        <v>2165</v>
      </c>
      <c r="C36" s="350" t="s">
        <v>12</v>
      </c>
      <c r="D36" s="350" t="s">
        <v>1491</v>
      </c>
      <c r="E36" s="480" t="s">
        <v>15</v>
      </c>
      <c r="F36" s="827">
        <v>30</v>
      </c>
      <c r="G36" s="888"/>
      <c r="H36" s="97"/>
      <c r="I36" s="946"/>
      <c r="J36" s="622"/>
      <c r="K36" s="982"/>
    </row>
    <row r="37" spans="1:11" s="224" customFormat="1" ht="15" hidden="1" customHeight="1" x14ac:dyDescent="0.25">
      <c r="A37" s="215">
        <v>43533</v>
      </c>
      <c r="B37" s="349" t="s">
        <v>2166</v>
      </c>
      <c r="C37" s="352" t="s">
        <v>12</v>
      </c>
      <c r="D37" s="874" t="s">
        <v>2131</v>
      </c>
      <c r="E37" s="875" t="s">
        <v>15</v>
      </c>
      <c r="F37" s="852">
        <v>100</v>
      </c>
      <c r="G37" s="1064"/>
      <c r="H37" s="97"/>
      <c r="I37" s="982"/>
      <c r="J37" s="622"/>
      <c r="K37" s="982"/>
    </row>
    <row r="38" spans="1:11" s="224" customFormat="1" ht="15" hidden="1" customHeight="1" x14ac:dyDescent="0.25">
      <c r="A38" s="215">
        <v>43533</v>
      </c>
      <c r="B38" s="349" t="s">
        <v>2167</v>
      </c>
      <c r="C38" s="352" t="s">
        <v>12</v>
      </c>
      <c r="D38" s="874" t="s">
        <v>2168</v>
      </c>
      <c r="E38" s="875" t="s">
        <v>13</v>
      </c>
      <c r="F38" s="852">
        <v>21</v>
      </c>
      <c r="G38" s="1064"/>
      <c r="H38" s="97"/>
      <c r="I38" s="982"/>
      <c r="J38" s="622"/>
      <c r="K38" s="982"/>
    </row>
    <row r="39" spans="1:11" s="224" customFormat="1" ht="15" customHeight="1" x14ac:dyDescent="0.25">
      <c r="A39" s="215">
        <v>43533</v>
      </c>
      <c r="B39" s="349" t="s">
        <v>2169</v>
      </c>
      <c r="C39" s="352" t="s">
        <v>12</v>
      </c>
      <c r="D39" s="874" t="s">
        <v>1524</v>
      </c>
      <c r="E39" s="875" t="s">
        <v>13</v>
      </c>
      <c r="F39" s="852">
        <v>28.6</v>
      </c>
      <c r="G39" s="1064"/>
      <c r="H39" s="97"/>
      <c r="I39" s="982"/>
      <c r="J39" s="622"/>
      <c r="K39" s="982"/>
    </row>
    <row r="40" spans="1:11" s="224" customFormat="1" ht="15" hidden="1" customHeight="1" x14ac:dyDescent="0.25">
      <c r="A40" s="215">
        <v>43533</v>
      </c>
      <c r="B40" s="349" t="s">
        <v>43</v>
      </c>
      <c r="C40" s="352" t="s">
        <v>12</v>
      </c>
      <c r="D40" s="874" t="s">
        <v>1493</v>
      </c>
      <c r="E40" s="875" t="s">
        <v>13</v>
      </c>
      <c r="F40" s="852">
        <v>18</v>
      </c>
      <c r="G40" s="1064"/>
      <c r="H40" s="97"/>
      <c r="I40" s="982"/>
      <c r="J40" s="622"/>
      <c r="K40" s="982"/>
    </row>
    <row r="41" spans="1:11" s="224" customFormat="1" ht="15" hidden="1" customHeight="1" x14ac:dyDescent="0.25">
      <c r="A41" s="215">
        <v>43533</v>
      </c>
      <c r="B41" s="349" t="s">
        <v>82</v>
      </c>
      <c r="C41" s="352" t="s">
        <v>12</v>
      </c>
      <c r="D41" s="874" t="s">
        <v>1493</v>
      </c>
      <c r="E41" s="875" t="s">
        <v>13</v>
      </c>
      <c r="F41" s="852">
        <v>32</v>
      </c>
      <c r="G41" s="1064"/>
      <c r="H41" s="97"/>
      <c r="I41" s="982"/>
      <c r="J41" s="622"/>
      <c r="K41" s="982"/>
    </row>
    <row r="42" spans="1:11" s="224" customFormat="1" ht="15" hidden="1" customHeight="1" x14ac:dyDescent="0.25">
      <c r="A42" s="215">
        <v>43534</v>
      </c>
      <c r="B42" s="349" t="s">
        <v>14</v>
      </c>
      <c r="C42" s="350" t="s">
        <v>12</v>
      </c>
      <c r="D42" s="350" t="s">
        <v>1486</v>
      </c>
      <c r="E42" s="480" t="s">
        <v>13</v>
      </c>
      <c r="F42" s="853">
        <v>8</v>
      </c>
      <c r="G42" s="1527"/>
      <c r="H42" s="97"/>
      <c r="I42" s="946"/>
      <c r="J42" s="97"/>
      <c r="K42" s="946"/>
    </row>
    <row r="43" spans="1:11" s="224" customFormat="1" ht="15" hidden="1" customHeight="1" x14ac:dyDescent="0.25">
      <c r="A43" s="215">
        <v>43535</v>
      </c>
      <c r="B43" s="349" t="s">
        <v>151</v>
      </c>
      <c r="C43" s="352" t="s">
        <v>12</v>
      </c>
      <c r="D43" s="874" t="s">
        <v>1485</v>
      </c>
      <c r="E43" s="875" t="s">
        <v>15</v>
      </c>
      <c r="F43" s="852">
        <v>14</v>
      </c>
      <c r="G43" s="1528"/>
      <c r="H43" s="622"/>
      <c r="I43" s="982"/>
      <c r="J43" s="622"/>
      <c r="K43" s="982"/>
    </row>
    <row r="44" spans="1:11" s="224" customFormat="1" ht="15" hidden="1" customHeight="1" x14ac:dyDescent="0.25">
      <c r="A44" s="215">
        <v>43535</v>
      </c>
      <c r="B44" s="349" t="s">
        <v>14</v>
      </c>
      <c r="C44" s="350" t="s">
        <v>12</v>
      </c>
      <c r="D44" s="350" t="s">
        <v>1486</v>
      </c>
      <c r="E44" s="480" t="s">
        <v>13</v>
      </c>
      <c r="F44" s="852">
        <v>3.88</v>
      </c>
      <c r="G44" s="1064"/>
      <c r="H44" s="97"/>
      <c r="I44" s="982"/>
      <c r="J44" s="622"/>
      <c r="K44" s="982"/>
    </row>
    <row r="45" spans="1:11" s="224" customFormat="1" ht="15" hidden="1" customHeight="1" x14ac:dyDescent="0.25">
      <c r="A45" s="215">
        <v>43536</v>
      </c>
      <c r="B45" s="349" t="s">
        <v>151</v>
      </c>
      <c r="C45" s="352" t="s">
        <v>12</v>
      </c>
      <c r="D45" s="874" t="s">
        <v>1485</v>
      </c>
      <c r="E45" s="875" t="s">
        <v>13</v>
      </c>
      <c r="F45" s="852">
        <v>14</v>
      </c>
      <c r="G45" s="1528"/>
      <c r="H45" s="622"/>
      <c r="I45" s="982"/>
      <c r="J45" s="622"/>
      <c r="K45" s="982"/>
    </row>
    <row r="46" spans="1:11" s="224" customFormat="1" ht="15" hidden="1" customHeight="1" x14ac:dyDescent="0.25">
      <c r="A46" s="215">
        <v>43536</v>
      </c>
      <c r="B46" s="349" t="s">
        <v>17</v>
      </c>
      <c r="C46" s="352" t="s">
        <v>12</v>
      </c>
      <c r="D46" s="874" t="s">
        <v>1493</v>
      </c>
      <c r="E46" s="875" t="s">
        <v>13</v>
      </c>
      <c r="F46" s="852">
        <v>5</v>
      </c>
      <c r="G46" s="1528"/>
      <c r="H46" s="622"/>
      <c r="I46" s="982"/>
      <c r="J46" s="622"/>
      <c r="K46" s="982"/>
    </row>
    <row r="47" spans="1:11" s="224" customFormat="1" ht="15" hidden="1" customHeight="1" x14ac:dyDescent="0.25">
      <c r="A47" s="215">
        <v>43536</v>
      </c>
      <c r="B47" s="349" t="s">
        <v>14</v>
      </c>
      <c r="C47" s="350" t="s">
        <v>12</v>
      </c>
      <c r="D47" s="350" t="s">
        <v>1486</v>
      </c>
      <c r="E47" s="480" t="s">
        <v>13</v>
      </c>
      <c r="F47" s="852">
        <v>4.09</v>
      </c>
      <c r="G47" s="1064"/>
      <c r="H47" s="97"/>
      <c r="I47" s="982"/>
      <c r="J47" s="622"/>
      <c r="K47" s="982"/>
    </row>
    <row r="48" spans="1:11" s="224" customFormat="1" ht="15" hidden="1" customHeight="1" x14ac:dyDescent="0.25">
      <c r="A48" s="215">
        <v>43536</v>
      </c>
      <c r="B48" s="862" t="s">
        <v>2097</v>
      </c>
      <c r="C48" s="879" t="s">
        <v>12</v>
      </c>
      <c r="D48" s="879" t="s">
        <v>2157</v>
      </c>
      <c r="E48" s="480" t="s">
        <v>13</v>
      </c>
      <c r="F48" s="893">
        <v>50</v>
      </c>
      <c r="G48" s="1527"/>
      <c r="H48" s="97"/>
      <c r="I48" s="946"/>
      <c r="J48" s="97"/>
      <c r="K48" s="946"/>
    </row>
    <row r="49" spans="1:11" s="224" customFormat="1" ht="15" hidden="1" customHeight="1" x14ac:dyDescent="0.25">
      <c r="A49" s="215">
        <v>43537</v>
      </c>
      <c r="B49" s="349" t="s">
        <v>151</v>
      </c>
      <c r="C49" s="352" t="s">
        <v>12</v>
      </c>
      <c r="D49" s="874" t="s">
        <v>1485</v>
      </c>
      <c r="E49" s="875" t="s">
        <v>13</v>
      </c>
      <c r="F49" s="852">
        <v>14</v>
      </c>
      <c r="G49" s="1528"/>
      <c r="H49" s="622"/>
      <c r="I49" s="982"/>
      <c r="J49" s="622"/>
      <c r="K49" s="982"/>
    </row>
    <row r="50" spans="1:11" s="224" customFormat="1" ht="15" hidden="1" customHeight="1" x14ac:dyDescent="0.25">
      <c r="A50" s="215">
        <v>43537</v>
      </c>
      <c r="B50" s="349" t="s">
        <v>2170</v>
      </c>
      <c r="C50" s="350" t="s">
        <v>12</v>
      </c>
      <c r="D50" s="350" t="s">
        <v>1506</v>
      </c>
      <c r="E50" s="480" t="s">
        <v>13</v>
      </c>
      <c r="F50" s="852">
        <v>18.5</v>
      </c>
      <c r="G50" s="1527"/>
      <c r="H50" s="97"/>
      <c r="I50" s="946"/>
      <c r="J50" s="97"/>
      <c r="K50" s="946"/>
    </row>
    <row r="51" spans="1:11" s="224" customFormat="1" ht="15" hidden="1" customHeight="1" x14ac:dyDescent="0.25">
      <c r="A51" s="215">
        <v>43537</v>
      </c>
      <c r="B51" s="349" t="s">
        <v>14</v>
      </c>
      <c r="C51" s="350" t="s">
        <v>12</v>
      </c>
      <c r="D51" s="350" t="s">
        <v>1486</v>
      </c>
      <c r="E51" s="480" t="s">
        <v>13</v>
      </c>
      <c r="F51" s="852">
        <v>9.94</v>
      </c>
      <c r="G51" s="1064"/>
      <c r="H51" s="97"/>
      <c r="I51" s="982"/>
      <c r="J51" s="622"/>
      <c r="K51" s="982"/>
    </row>
    <row r="52" spans="1:11" s="224" customFormat="1" ht="15" hidden="1" customHeight="1" x14ac:dyDescent="0.25">
      <c r="A52" s="215">
        <v>43538</v>
      </c>
      <c r="B52" s="349" t="s">
        <v>151</v>
      </c>
      <c r="C52" s="352" t="s">
        <v>12</v>
      </c>
      <c r="D52" s="874" t="s">
        <v>1485</v>
      </c>
      <c r="E52" s="875" t="s">
        <v>15</v>
      </c>
      <c r="F52" s="852">
        <v>10</v>
      </c>
      <c r="G52" s="1528"/>
      <c r="H52" s="622"/>
      <c r="I52" s="982"/>
      <c r="J52" s="622"/>
      <c r="K52" s="982"/>
    </row>
    <row r="53" spans="1:11" s="224" customFormat="1" ht="15" hidden="1" customHeight="1" x14ac:dyDescent="0.25">
      <c r="A53" s="215">
        <v>43538</v>
      </c>
      <c r="B53" s="862" t="s">
        <v>256</v>
      </c>
      <c r="C53" s="879"/>
      <c r="D53" s="879"/>
      <c r="E53" s="871"/>
      <c r="F53" s="97"/>
      <c r="G53" s="1064">
        <v>600</v>
      </c>
      <c r="H53" s="97">
        <v>600</v>
      </c>
      <c r="I53" s="982"/>
      <c r="J53" s="622"/>
      <c r="K53" s="982"/>
    </row>
    <row r="54" spans="1:11" s="224" customFormat="1" ht="15" hidden="1" customHeight="1" x14ac:dyDescent="0.25">
      <c r="A54" s="215">
        <v>43538</v>
      </c>
      <c r="B54" s="349" t="s">
        <v>2171</v>
      </c>
      <c r="C54" s="352" t="s">
        <v>12</v>
      </c>
      <c r="D54" s="874" t="s">
        <v>2131</v>
      </c>
      <c r="E54" s="875" t="s">
        <v>13</v>
      </c>
      <c r="F54" s="852">
        <v>110.09</v>
      </c>
      <c r="G54" s="1064"/>
      <c r="H54" s="97"/>
      <c r="I54" s="982"/>
      <c r="J54" s="622"/>
      <c r="K54" s="982"/>
    </row>
    <row r="55" spans="1:11" s="224" customFormat="1" ht="15" hidden="1" customHeight="1" x14ac:dyDescent="0.25">
      <c r="A55" s="215">
        <v>43538</v>
      </c>
      <c r="B55" s="349" t="s">
        <v>2172</v>
      </c>
      <c r="C55" s="352" t="s">
        <v>12</v>
      </c>
      <c r="D55" s="874" t="s">
        <v>2131</v>
      </c>
      <c r="E55" s="875" t="s">
        <v>13</v>
      </c>
      <c r="F55" s="852">
        <v>90.2</v>
      </c>
      <c r="G55" s="1064"/>
      <c r="H55" s="97"/>
      <c r="I55" s="982"/>
      <c r="J55" s="622"/>
      <c r="K55" s="982"/>
    </row>
    <row r="56" spans="1:11" s="224" customFormat="1" ht="15" hidden="1" customHeight="1" x14ac:dyDescent="0.25">
      <c r="A56" s="215">
        <v>43538</v>
      </c>
      <c r="B56" s="349" t="s">
        <v>2173</v>
      </c>
      <c r="C56" s="352" t="s">
        <v>12</v>
      </c>
      <c r="D56" s="874" t="s">
        <v>2131</v>
      </c>
      <c r="E56" s="875" t="s">
        <v>13</v>
      </c>
      <c r="F56" s="852">
        <v>204.28</v>
      </c>
      <c r="G56" s="1064"/>
      <c r="H56" s="97"/>
      <c r="I56" s="982"/>
      <c r="J56" s="622"/>
      <c r="K56" s="982"/>
    </row>
    <row r="57" spans="1:11" s="224" customFormat="1" ht="15" hidden="1" customHeight="1" x14ac:dyDescent="0.25">
      <c r="A57" s="215">
        <v>43538</v>
      </c>
      <c r="B57" s="349" t="s">
        <v>2174</v>
      </c>
      <c r="C57" s="352" t="s">
        <v>12</v>
      </c>
      <c r="D57" s="874" t="s">
        <v>2131</v>
      </c>
      <c r="E57" s="875" t="s">
        <v>13</v>
      </c>
      <c r="F57" s="852">
        <v>81.23</v>
      </c>
      <c r="G57" s="1064"/>
      <c r="H57" s="97"/>
      <c r="I57" s="982"/>
      <c r="J57" s="622"/>
      <c r="K57" s="982"/>
    </row>
    <row r="58" spans="1:11" s="224" customFormat="1" ht="15" hidden="1" customHeight="1" x14ac:dyDescent="0.25">
      <c r="A58" s="215">
        <v>43538</v>
      </c>
      <c r="B58" s="349" t="s">
        <v>14</v>
      </c>
      <c r="C58" s="350" t="s">
        <v>12</v>
      </c>
      <c r="D58" s="350" t="s">
        <v>1486</v>
      </c>
      <c r="E58" s="480" t="s">
        <v>13</v>
      </c>
      <c r="F58" s="852">
        <v>20.76</v>
      </c>
      <c r="G58" s="1064"/>
      <c r="H58" s="97"/>
      <c r="I58" s="982"/>
      <c r="J58" s="622"/>
      <c r="K58" s="982"/>
    </row>
    <row r="59" spans="1:11" ht="15" hidden="1" customHeight="1" x14ac:dyDescent="0.25">
      <c r="A59" s="215">
        <v>43538</v>
      </c>
      <c r="B59" s="349" t="s">
        <v>1396</v>
      </c>
      <c r="C59" s="350" t="s">
        <v>12</v>
      </c>
      <c r="D59" s="350"/>
      <c r="E59" s="757" t="s">
        <v>25</v>
      </c>
      <c r="F59" s="97"/>
      <c r="G59" s="946">
        <v>40</v>
      </c>
      <c r="H59" s="97"/>
      <c r="I59" s="946"/>
      <c r="J59" s="97"/>
      <c r="K59" s="946"/>
    </row>
    <row r="60" spans="1:11" s="224" customFormat="1" ht="15" hidden="1" customHeight="1" x14ac:dyDescent="0.25">
      <c r="A60" s="215">
        <v>43539</v>
      </c>
      <c r="B60" s="349" t="s">
        <v>151</v>
      </c>
      <c r="C60" s="352" t="s">
        <v>12</v>
      </c>
      <c r="D60" s="874" t="s">
        <v>1485</v>
      </c>
      <c r="E60" s="875" t="s">
        <v>13</v>
      </c>
      <c r="F60" s="852">
        <v>14</v>
      </c>
      <c r="G60" s="1528"/>
      <c r="H60" s="622"/>
      <c r="I60" s="982"/>
      <c r="J60" s="622"/>
      <c r="K60" s="982"/>
    </row>
    <row r="61" spans="1:11" s="224" customFormat="1" ht="15" customHeight="1" x14ac:dyDescent="0.25">
      <c r="A61" s="215">
        <v>43539</v>
      </c>
      <c r="B61" s="349" t="s">
        <v>2175</v>
      </c>
      <c r="C61" s="350" t="s">
        <v>12</v>
      </c>
      <c r="D61" s="350" t="s">
        <v>1524</v>
      </c>
      <c r="E61" s="480" t="s">
        <v>15</v>
      </c>
      <c r="F61" s="852">
        <v>125</v>
      </c>
      <c r="G61" s="1527"/>
      <c r="H61" s="97"/>
      <c r="I61" s="946"/>
      <c r="J61" s="97"/>
      <c r="K61" s="946"/>
    </row>
    <row r="62" spans="1:11" s="224" customFormat="1" ht="15" hidden="1" customHeight="1" x14ac:dyDescent="0.25">
      <c r="A62" s="215">
        <v>43539</v>
      </c>
      <c r="B62" s="349" t="s">
        <v>14</v>
      </c>
      <c r="C62" s="350" t="s">
        <v>12</v>
      </c>
      <c r="D62" s="350" t="s">
        <v>1486</v>
      </c>
      <c r="E62" s="480" t="s">
        <v>13</v>
      </c>
      <c r="F62" s="852">
        <v>4.13</v>
      </c>
      <c r="G62" s="1064"/>
      <c r="H62" s="97"/>
      <c r="I62" s="982"/>
      <c r="J62" s="622"/>
      <c r="K62" s="982"/>
    </row>
    <row r="63" spans="1:11" s="224" customFormat="1" ht="15" hidden="1" customHeight="1" x14ac:dyDescent="0.25">
      <c r="A63" s="215">
        <v>43540</v>
      </c>
      <c r="B63" s="349" t="s">
        <v>1438</v>
      </c>
      <c r="C63" s="350" t="s">
        <v>2176</v>
      </c>
      <c r="D63" s="350" t="s">
        <v>1489</v>
      </c>
      <c r="E63" s="480" t="s">
        <v>13</v>
      </c>
      <c r="F63" s="852">
        <v>85.29</v>
      </c>
      <c r="G63" s="1527"/>
      <c r="H63" s="97"/>
      <c r="I63" s="946"/>
      <c r="J63" s="97"/>
      <c r="K63" s="946"/>
    </row>
    <row r="64" spans="1:11" s="224" customFormat="1" ht="15" hidden="1" customHeight="1" x14ac:dyDescent="0.25">
      <c r="A64" s="215">
        <v>43540</v>
      </c>
      <c r="B64" s="349" t="s">
        <v>151</v>
      </c>
      <c r="C64" s="352" t="s">
        <v>12</v>
      </c>
      <c r="D64" s="874" t="s">
        <v>1485</v>
      </c>
      <c r="E64" s="875" t="s">
        <v>15</v>
      </c>
      <c r="F64" s="852">
        <v>11</v>
      </c>
      <c r="G64" s="1528"/>
      <c r="H64" s="622"/>
      <c r="I64" s="982"/>
      <c r="J64" s="622"/>
      <c r="K64" s="982"/>
    </row>
    <row r="65" spans="1:12" s="224" customFormat="1" ht="15" hidden="1" customHeight="1" x14ac:dyDescent="0.25">
      <c r="A65" s="215">
        <v>43540</v>
      </c>
      <c r="B65" s="349" t="s">
        <v>2097</v>
      </c>
      <c r="C65" s="350" t="s">
        <v>12</v>
      </c>
      <c r="D65" s="879" t="s">
        <v>2157</v>
      </c>
      <c r="E65" s="480" t="s">
        <v>15</v>
      </c>
      <c r="F65" s="852">
        <v>70</v>
      </c>
      <c r="G65" s="1527"/>
      <c r="H65" s="97"/>
      <c r="I65" s="946"/>
      <c r="J65" s="97"/>
      <c r="K65" s="946"/>
    </row>
    <row r="66" spans="1:12" s="224" customFormat="1" ht="15" hidden="1" customHeight="1" x14ac:dyDescent="0.25">
      <c r="A66" s="215">
        <v>43540</v>
      </c>
      <c r="B66" s="349" t="s">
        <v>14</v>
      </c>
      <c r="C66" s="350" t="s">
        <v>12</v>
      </c>
      <c r="D66" s="350" t="s">
        <v>1486</v>
      </c>
      <c r="E66" s="480" t="s">
        <v>13</v>
      </c>
      <c r="F66" s="852">
        <v>4.51</v>
      </c>
      <c r="G66" s="1527"/>
      <c r="H66" s="97"/>
      <c r="I66" s="946"/>
      <c r="J66" s="97"/>
      <c r="K66" s="946"/>
    </row>
    <row r="67" spans="1:12" s="224" customFormat="1" ht="15" hidden="1" customHeight="1" x14ac:dyDescent="0.25">
      <c r="A67" s="215">
        <v>43541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852">
        <v>5.74</v>
      </c>
      <c r="G67" s="1527"/>
      <c r="H67" s="97"/>
      <c r="I67" s="946"/>
      <c r="J67" s="97"/>
      <c r="K67" s="946"/>
    </row>
    <row r="68" spans="1:12" s="224" customFormat="1" ht="15" hidden="1" customHeight="1" x14ac:dyDescent="0.25">
      <c r="A68" s="215">
        <v>43542</v>
      </c>
      <c r="B68" s="862" t="s">
        <v>256</v>
      </c>
      <c r="C68" s="879"/>
      <c r="D68" s="879"/>
      <c r="E68" s="871"/>
      <c r="F68" s="97"/>
      <c r="G68" s="1064">
        <v>300</v>
      </c>
      <c r="H68" s="97">
        <v>300</v>
      </c>
      <c r="I68" s="982"/>
      <c r="J68" s="622"/>
      <c r="K68" s="982"/>
    </row>
    <row r="69" spans="1:12" s="224" customFormat="1" ht="15.75" hidden="1" customHeight="1" x14ac:dyDescent="0.25">
      <c r="A69" s="215">
        <v>43542</v>
      </c>
      <c r="B69" s="882" t="s">
        <v>2177</v>
      </c>
      <c r="C69" s="879" t="s">
        <v>12</v>
      </c>
      <c r="D69" s="879" t="s">
        <v>1499</v>
      </c>
      <c r="E69" s="871" t="s">
        <v>13</v>
      </c>
      <c r="F69" s="853">
        <v>100</v>
      </c>
      <c r="G69" s="968"/>
      <c r="H69" s="538"/>
      <c r="I69" s="982"/>
      <c r="J69" s="622"/>
      <c r="K69" s="982"/>
      <c r="L69" s="224">
        <v>375.23</v>
      </c>
    </row>
    <row r="70" spans="1:12" s="224" customFormat="1" ht="15" hidden="1" customHeight="1" x14ac:dyDescent="0.25">
      <c r="A70" s="215">
        <v>43542</v>
      </c>
      <c r="B70" s="349" t="s">
        <v>151</v>
      </c>
      <c r="C70" s="352" t="s">
        <v>12</v>
      </c>
      <c r="D70" s="874" t="s">
        <v>1485</v>
      </c>
      <c r="E70" s="875" t="s">
        <v>15</v>
      </c>
      <c r="F70" s="852">
        <v>14</v>
      </c>
      <c r="G70" s="1528"/>
      <c r="H70" s="622"/>
      <c r="I70" s="982"/>
      <c r="J70" s="622"/>
      <c r="K70" s="982"/>
    </row>
    <row r="71" spans="1:12" s="224" customFormat="1" ht="15" hidden="1" customHeight="1" x14ac:dyDescent="0.25">
      <c r="A71" s="215">
        <v>43542</v>
      </c>
      <c r="B71" s="349" t="s">
        <v>14</v>
      </c>
      <c r="C71" s="350" t="s">
        <v>12</v>
      </c>
      <c r="D71" s="350" t="s">
        <v>1486</v>
      </c>
      <c r="E71" s="480" t="s">
        <v>13</v>
      </c>
      <c r="F71" s="852">
        <v>3.15</v>
      </c>
      <c r="G71" s="1527"/>
      <c r="H71" s="97"/>
      <c r="I71" s="946"/>
      <c r="J71" s="97"/>
      <c r="K71" s="946"/>
    </row>
    <row r="72" spans="1:12" s="224" customFormat="1" ht="15" hidden="1" customHeight="1" x14ac:dyDescent="0.25">
      <c r="A72" s="215">
        <v>43543</v>
      </c>
      <c r="B72" s="349" t="s">
        <v>151</v>
      </c>
      <c r="C72" s="352" t="s">
        <v>12</v>
      </c>
      <c r="D72" s="874" t="s">
        <v>1485</v>
      </c>
      <c r="E72" s="875" t="s">
        <v>15</v>
      </c>
      <c r="F72" s="852">
        <v>14</v>
      </c>
      <c r="G72" s="1528"/>
      <c r="H72" s="622"/>
      <c r="I72" s="982"/>
      <c r="J72" s="622"/>
      <c r="K72" s="982"/>
    </row>
    <row r="73" spans="1:12" s="224" customFormat="1" ht="15" hidden="1" customHeight="1" x14ac:dyDescent="0.25">
      <c r="A73" s="215">
        <v>43543</v>
      </c>
      <c r="B73" s="349" t="s">
        <v>17</v>
      </c>
      <c r="C73" s="352" t="s">
        <v>12</v>
      </c>
      <c r="D73" s="874" t="s">
        <v>1493</v>
      </c>
      <c r="E73" s="875" t="s">
        <v>15</v>
      </c>
      <c r="F73" s="852">
        <v>5</v>
      </c>
      <c r="G73" s="1528"/>
      <c r="H73" s="622"/>
      <c r="I73" s="982"/>
      <c r="J73" s="622"/>
      <c r="K73" s="982"/>
    </row>
    <row r="74" spans="1:12" s="224" customFormat="1" ht="15" hidden="1" customHeight="1" x14ac:dyDescent="0.25">
      <c r="A74" s="215">
        <v>43543</v>
      </c>
      <c r="B74" s="349" t="s">
        <v>14</v>
      </c>
      <c r="C74" s="350" t="s">
        <v>12</v>
      </c>
      <c r="D74" s="350" t="s">
        <v>1486</v>
      </c>
      <c r="E74" s="480" t="s">
        <v>13</v>
      </c>
      <c r="F74" s="852">
        <v>3.23</v>
      </c>
      <c r="G74" s="1527"/>
      <c r="H74" s="97"/>
      <c r="I74" s="946"/>
      <c r="J74" s="97"/>
      <c r="K74" s="946"/>
    </row>
    <row r="75" spans="1:12" s="224" customFormat="1" ht="15" hidden="1" customHeight="1" x14ac:dyDescent="0.25">
      <c r="A75" s="215">
        <v>43543</v>
      </c>
      <c r="B75" s="862" t="s">
        <v>2178</v>
      </c>
      <c r="C75" s="879" t="s">
        <v>19</v>
      </c>
      <c r="D75" s="879" t="s">
        <v>1491</v>
      </c>
      <c r="E75" s="480" t="s">
        <v>13</v>
      </c>
      <c r="F75" s="893">
        <v>13.44</v>
      </c>
      <c r="G75" s="1527"/>
      <c r="H75" s="97"/>
      <c r="I75" s="946"/>
      <c r="J75" s="97"/>
      <c r="K75" s="946"/>
    </row>
    <row r="76" spans="1:12" hidden="1" x14ac:dyDescent="0.25">
      <c r="A76" s="215">
        <v>43544</v>
      </c>
      <c r="B76" s="882" t="s">
        <v>2179</v>
      </c>
      <c r="C76" s="350" t="s">
        <v>12</v>
      </c>
      <c r="D76" s="145"/>
      <c r="E76" s="145" t="s">
        <v>25</v>
      </c>
      <c r="F76" s="1529"/>
      <c r="G76" s="965">
        <v>1600</v>
      </c>
      <c r="H76" s="97"/>
      <c r="I76" s="946"/>
      <c r="J76" s="97"/>
      <c r="K76" s="946"/>
    </row>
    <row r="77" spans="1:12" s="224" customFormat="1" hidden="1" x14ac:dyDescent="0.25">
      <c r="A77" s="215">
        <v>43544</v>
      </c>
      <c r="B77" s="873" t="s">
        <v>1564</v>
      </c>
      <c r="C77" s="879" t="s">
        <v>12</v>
      </c>
      <c r="D77" s="350" t="s">
        <v>1491</v>
      </c>
      <c r="E77" s="871" t="s">
        <v>15</v>
      </c>
      <c r="F77" s="853">
        <v>140</v>
      </c>
      <c r="G77" s="964"/>
      <c r="H77" s="622"/>
      <c r="I77" s="982"/>
      <c r="J77" s="622"/>
      <c r="K77" s="982"/>
    </row>
    <row r="78" spans="1:12" s="224" customFormat="1" hidden="1" x14ac:dyDescent="0.25">
      <c r="A78" s="215">
        <v>43544</v>
      </c>
      <c r="B78" s="873" t="s">
        <v>1597</v>
      </c>
      <c r="C78" s="879" t="s">
        <v>12</v>
      </c>
      <c r="D78" s="350" t="s">
        <v>1491</v>
      </c>
      <c r="E78" s="871" t="s">
        <v>15</v>
      </c>
      <c r="F78" s="853">
        <v>80</v>
      </c>
      <c r="G78" s="964"/>
      <c r="H78" s="622"/>
      <c r="I78" s="982"/>
      <c r="J78" s="622"/>
      <c r="K78" s="982"/>
    </row>
    <row r="79" spans="1:12" s="224" customFormat="1" ht="15" hidden="1" customHeight="1" x14ac:dyDescent="0.25">
      <c r="A79" s="215">
        <v>43544</v>
      </c>
      <c r="B79" s="349" t="s">
        <v>151</v>
      </c>
      <c r="C79" s="352" t="s">
        <v>12</v>
      </c>
      <c r="D79" s="874" t="s">
        <v>1485</v>
      </c>
      <c r="E79" s="875" t="s">
        <v>13</v>
      </c>
      <c r="F79" s="852">
        <v>14</v>
      </c>
      <c r="G79" s="1528"/>
      <c r="H79" s="622"/>
      <c r="I79" s="982"/>
      <c r="J79" s="622"/>
      <c r="K79" s="982"/>
    </row>
    <row r="80" spans="1:12" s="224" customFormat="1" ht="15" hidden="1" customHeight="1" x14ac:dyDescent="0.25">
      <c r="A80" s="215">
        <v>43544</v>
      </c>
      <c r="B80" s="349" t="s">
        <v>260</v>
      </c>
      <c r="C80" s="350"/>
      <c r="D80" s="350"/>
      <c r="E80" s="480"/>
      <c r="F80" s="852">
        <v>700</v>
      </c>
      <c r="G80" s="1527"/>
      <c r="H80" s="97"/>
      <c r="I80" s="946">
        <v>700</v>
      </c>
      <c r="J80" s="97"/>
      <c r="K80" s="946"/>
    </row>
    <row r="81" spans="1:11" s="224" customFormat="1" ht="15" hidden="1" customHeight="1" x14ac:dyDescent="0.25">
      <c r="A81" s="215">
        <v>43545</v>
      </c>
      <c r="B81" s="349" t="s">
        <v>151</v>
      </c>
      <c r="C81" s="352" t="s">
        <v>12</v>
      </c>
      <c r="D81" s="874" t="s">
        <v>1485</v>
      </c>
      <c r="E81" s="875" t="s">
        <v>13</v>
      </c>
      <c r="F81" s="852">
        <v>14</v>
      </c>
      <c r="G81" s="1064"/>
      <c r="H81" s="97"/>
      <c r="I81" s="982"/>
      <c r="J81" s="622"/>
      <c r="K81" s="982"/>
    </row>
    <row r="82" spans="1:11" s="224" customFormat="1" ht="15" hidden="1" customHeight="1" x14ac:dyDescent="0.25">
      <c r="A82" s="215">
        <v>43545</v>
      </c>
      <c r="B82" s="349" t="s">
        <v>14</v>
      </c>
      <c r="C82" s="350" t="s">
        <v>12</v>
      </c>
      <c r="D82" s="350" t="s">
        <v>1486</v>
      </c>
      <c r="E82" s="480" t="s">
        <v>13</v>
      </c>
      <c r="F82" s="852">
        <v>3.52</v>
      </c>
      <c r="G82" s="1527"/>
      <c r="H82" s="97"/>
      <c r="I82" s="946"/>
      <c r="J82" s="97"/>
      <c r="K82" s="946"/>
    </row>
    <row r="83" spans="1:11" s="224" customFormat="1" ht="15" hidden="1" customHeight="1" x14ac:dyDescent="0.25">
      <c r="A83" s="215">
        <v>43546</v>
      </c>
      <c r="B83" s="349" t="s">
        <v>2097</v>
      </c>
      <c r="C83" s="350" t="s">
        <v>12</v>
      </c>
      <c r="D83" s="879" t="s">
        <v>2157</v>
      </c>
      <c r="E83" s="480" t="s">
        <v>13</v>
      </c>
      <c r="F83" s="852">
        <v>20</v>
      </c>
      <c r="G83" s="1527"/>
      <c r="H83" s="97"/>
      <c r="I83" s="982"/>
      <c r="J83" s="622"/>
      <c r="K83" s="982"/>
    </row>
    <row r="84" spans="1:11" s="224" customFormat="1" ht="15" hidden="1" customHeight="1" x14ac:dyDescent="0.25">
      <c r="A84" s="215">
        <v>43546</v>
      </c>
      <c r="B84" s="349" t="s">
        <v>14</v>
      </c>
      <c r="C84" s="350" t="s">
        <v>12</v>
      </c>
      <c r="D84" s="350" t="s">
        <v>1486</v>
      </c>
      <c r="E84" s="480" t="s">
        <v>15</v>
      </c>
      <c r="F84" s="852">
        <v>10</v>
      </c>
      <c r="G84" s="1064"/>
      <c r="H84" s="97"/>
      <c r="I84" s="982"/>
      <c r="J84" s="622"/>
      <c r="K84" s="982"/>
    </row>
    <row r="85" spans="1:11" s="224" customFormat="1" ht="15" hidden="1" customHeight="1" x14ac:dyDescent="0.25">
      <c r="A85" s="215">
        <v>43546</v>
      </c>
      <c r="B85" s="349" t="s">
        <v>151</v>
      </c>
      <c r="C85" s="352" t="s">
        <v>12</v>
      </c>
      <c r="D85" s="874" t="s">
        <v>1485</v>
      </c>
      <c r="E85" s="875" t="s">
        <v>13</v>
      </c>
      <c r="F85" s="852">
        <v>14</v>
      </c>
      <c r="G85" s="1064"/>
      <c r="H85" s="97"/>
      <c r="I85" s="982"/>
      <c r="J85" s="622"/>
      <c r="K85" s="982"/>
    </row>
    <row r="86" spans="1:11" s="224" customFormat="1" ht="15" hidden="1" customHeight="1" x14ac:dyDescent="0.25">
      <c r="A86" s="215">
        <v>43546</v>
      </c>
      <c r="B86" s="349" t="s">
        <v>14</v>
      </c>
      <c r="C86" s="350" t="s">
        <v>12</v>
      </c>
      <c r="D86" s="350" t="s">
        <v>1486</v>
      </c>
      <c r="E86" s="480" t="s">
        <v>13</v>
      </c>
      <c r="F86" s="852">
        <v>8.1999999999999993</v>
      </c>
      <c r="G86" s="1064"/>
      <c r="H86" s="97"/>
      <c r="I86" s="982"/>
      <c r="J86" s="622"/>
      <c r="K86" s="982"/>
    </row>
    <row r="87" spans="1:11" s="224" customFormat="1" ht="15" hidden="1" customHeight="1" x14ac:dyDescent="0.25">
      <c r="A87" s="215">
        <v>43547</v>
      </c>
      <c r="B87" s="349" t="s">
        <v>2097</v>
      </c>
      <c r="C87" s="350" t="s">
        <v>19</v>
      </c>
      <c r="D87" s="879" t="s">
        <v>2157</v>
      </c>
      <c r="E87" s="480" t="s">
        <v>13</v>
      </c>
      <c r="F87" s="852">
        <v>80</v>
      </c>
      <c r="G87" s="1527"/>
      <c r="H87" s="97"/>
      <c r="I87" s="982"/>
      <c r="J87" s="622"/>
      <c r="K87" s="982"/>
    </row>
    <row r="88" spans="1:11" s="224" customFormat="1" ht="15" hidden="1" customHeight="1" x14ac:dyDescent="0.25">
      <c r="A88" s="215">
        <v>43547</v>
      </c>
      <c r="B88" s="349" t="s">
        <v>2180</v>
      </c>
      <c r="C88" s="350" t="s">
        <v>19</v>
      </c>
      <c r="D88" s="350" t="s">
        <v>1506</v>
      </c>
      <c r="E88" s="480" t="s">
        <v>13</v>
      </c>
      <c r="F88" s="852">
        <v>50</v>
      </c>
      <c r="G88" s="1527"/>
      <c r="H88" s="97"/>
      <c r="I88" s="946"/>
      <c r="J88" s="97"/>
      <c r="K88" s="946"/>
    </row>
    <row r="89" spans="1:11" s="224" customFormat="1" ht="15" hidden="1" customHeight="1" x14ac:dyDescent="0.25">
      <c r="A89" s="215">
        <v>43547</v>
      </c>
      <c r="B89" s="349" t="s">
        <v>1438</v>
      </c>
      <c r="C89" s="350" t="s">
        <v>19</v>
      </c>
      <c r="D89" s="350" t="s">
        <v>1489</v>
      </c>
      <c r="E89" s="480" t="s">
        <v>13</v>
      </c>
      <c r="F89" s="852">
        <v>53.18</v>
      </c>
      <c r="G89" s="1527"/>
      <c r="H89" s="97"/>
      <c r="I89" s="946"/>
      <c r="J89" s="97"/>
      <c r="K89" s="946"/>
    </row>
    <row r="90" spans="1:11" s="224" customFormat="1" ht="15" hidden="1" customHeight="1" x14ac:dyDescent="0.25">
      <c r="A90" s="215">
        <v>43547</v>
      </c>
      <c r="B90" s="349" t="s">
        <v>2181</v>
      </c>
      <c r="C90" s="352" t="s">
        <v>12</v>
      </c>
      <c r="D90" s="874" t="s">
        <v>1485</v>
      </c>
      <c r="E90" s="875" t="s">
        <v>15</v>
      </c>
      <c r="F90" s="852">
        <v>23</v>
      </c>
      <c r="G90" s="1064"/>
      <c r="H90" s="97"/>
      <c r="I90" s="982"/>
      <c r="J90" s="622"/>
      <c r="K90" s="982"/>
    </row>
    <row r="91" spans="1:11" s="224" customFormat="1" ht="15" hidden="1" customHeight="1" x14ac:dyDescent="0.25">
      <c r="A91" s="215">
        <v>43547</v>
      </c>
      <c r="B91" s="349" t="s">
        <v>82</v>
      </c>
      <c r="C91" s="350" t="s">
        <v>12</v>
      </c>
      <c r="D91" s="350" t="s">
        <v>1493</v>
      </c>
      <c r="E91" s="480" t="s">
        <v>13</v>
      </c>
      <c r="F91" s="852">
        <v>32.9</v>
      </c>
      <c r="G91" s="1527"/>
      <c r="H91" s="97"/>
      <c r="I91" s="946"/>
      <c r="J91" s="97"/>
      <c r="K91" s="946"/>
    </row>
    <row r="92" spans="1:11" s="224" customFormat="1" ht="15" hidden="1" customHeight="1" x14ac:dyDescent="0.25">
      <c r="A92" s="215">
        <v>43548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852">
        <v>3.9</v>
      </c>
      <c r="G92" s="1064"/>
      <c r="H92" s="97"/>
      <c r="I92" s="982"/>
      <c r="J92" s="622"/>
      <c r="K92" s="982"/>
    </row>
    <row r="93" spans="1:11" s="224" customFormat="1" ht="15" customHeight="1" x14ac:dyDescent="0.25">
      <c r="A93" s="215">
        <v>43548</v>
      </c>
      <c r="B93" s="349" t="s">
        <v>2182</v>
      </c>
      <c r="C93" s="350" t="s">
        <v>12</v>
      </c>
      <c r="D93" s="350" t="s">
        <v>1524</v>
      </c>
      <c r="E93" s="480" t="s">
        <v>15</v>
      </c>
      <c r="F93" s="852">
        <v>70</v>
      </c>
      <c r="G93" s="1527"/>
      <c r="H93" s="97"/>
      <c r="I93" s="946"/>
      <c r="J93" s="97"/>
      <c r="K93" s="946"/>
    </row>
    <row r="94" spans="1:11" s="224" customFormat="1" ht="15" hidden="1" customHeight="1" x14ac:dyDescent="0.25">
      <c r="A94" s="215">
        <v>43548</v>
      </c>
      <c r="B94" s="349" t="s">
        <v>17</v>
      </c>
      <c r="C94" s="350" t="s">
        <v>12</v>
      </c>
      <c r="D94" s="350" t="s">
        <v>1493</v>
      </c>
      <c r="E94" s="480" t="s">
        <v>13</v>
      </c>
      <c r="F94" s="852">
        <v>7</v>
      </c>
      <c r="G94" s="1527"/>
      <c r="H94" s="97"/>
      <c r="I94" s="946"/>
      <c r="J94" s="97"/>
      <c r="K94" s="946"/>
    </row>
    <row r="95" spans="1:11" s="224" customFormat="1" ht="15" hidden="1" customHeight="1" x14ac:dyDescent="0.25">
      <c r="A95" s="215">
        <v>43549</v>
      </c>
      <c r="B95" s="349" t="s">
        <v>151</v>
      </c>
      <c r="C95" s="352" t="s">
        <v>12</v>
      </c>
      <c r="D95" s="874" t="s">
        <v>1485</v>
      </c>
      <c r="E95" s="875" t="s">
        <v>15</v>
      </c>
      <c r="F95" s="852">
        <v>11</v>
      </c>
      <c r="G95" s="1064"/>
      <c r="H95" s="97"/>
      <c r="I95" s="982"/>
      <c r="J95" s="622"/>
      <c r="K95" s="982"/>
    </row>
    <row r="96" spans="1:11" s="224" customFormat="1" ht="15" hidden="1" customHeight="1" x14ac:dyDescent="0.25">
      <c r="A96" s="215">
        <v>43549</v>
      </c>
      <c r="B96" s="349" t="s">
        <v>14</v>
      </c>
      <c r="C96" s="350" t="s">
        <v>12</v>
      </c>
      <c r="D96" s="350" t="s">
        <v>1486</v>
      </c>
      <c r="E96" s="480" t="s">
        <v>13</v>
      </c>
      <c r="F96" s="852">
        <v>6.23</v>
      </c>
      <c r="G96" s="1527"/>
      <c r="H96" s="97"/>
      <c r="I96" s="946"/>
      <c r="J96" s="97"/>
      <c r="K96" s="946"/>
    </row>
    <row r="97" spans="1:12" s="224" customFormat="1" ht="15" hidden="1" customHeight="1" x14ac:dyDescent="0.25">
      <c r="A97" s="215">
        <v>43550</v>
      </c>
      <c r="B97" s="349" t="s">
        <v>2183</v>
      </c>
      <c r="C97" s="352" t="s">
        <v>12</v>
      </c>
      <c r="D97" s="874" t="s">
        <v>1522</v>
      </c>
      <c r="E97" s="875" t="s">
        <v>13</v>
      </c>
      <c r="F97" s="852">
        <v>16</v>
      </c>
      <c r="G97" s="1063"/>
      <c r="H97" s="853"/>
      <c r="I97" s="982"/>
      <c r="J97" s="622"/>
      <c r="K97" s="982"/>
    </row>
    <row r="98" spans="1:12" s="224" customFormat="1" ht="15" hidden="1" customHeight="1" x14ac:dyDescent="0.25">
      <c r="A98" s="215">
        <v>43550</v>
      </c>
      <c r="B98" s="349" t="s">
        <v>2167</v>
      </c>
      <c r="C98" s="352" t="s">
        <v>12</v>
      </c>
      <c r="D98" s="874" t="s">
        <v>2168</v>
      </c>
      <c r="E98" s="875" t="s">
        <v>13</v>
      </c>
      <c r="F98" s="852">
        <v>25</v>
      </c>
      <c r="G98" s="1063"/>
      <c r="H98" s="853"/>
      <c r="I98" s="982"/>
      <c r="J98" s="622"/>
      <c r="K98" s="982"/>
    </row>
    <row r="99" spans="1:12" s="224" customFormat="1" ht="15" hidden="1" customHeight="1" x14ac:dyDescent="0.25">
      <c r="A99" s="215">
        <v>43550</v>
      </c>
      <c r="B99" s="862" t="s">
        <v>2184</v>
      </c>
      <c r="C99" s="350" t="s">
        <v>12</v>
      </c>
      <c r="D99" s="874" t="s">
        <v>1504</v>
      </c>
      <c r="E99" s="887" t="s">
        <v>13</v>
      </c>
      <c r="F99" s="852">
        <v>65</v>
      </c>
      <c r="G99" s="1528"/>
      <c r="H99" s="622"/>
      <c r="I99" s="982"/>
      <c r="J99" s="622"/>
      <c r="K99" s="982"/>
      <c r="L99" s="178">
        <v>134.9</v>
      </c>
    </row>
    <row r="100" spans="1:12" s="224" customFormat="1" ht="15" hidden="1" customHeight="1" x14ac:dyDescent="0.25">
      <c r="A100" s="215">
        <v>43551</v>
      </c>
      <c r="B100" s="862" t="s">
        <v>256</v>
      </c>
      <c r="C100" s="879"/>
      <c r="D100" s="879"/>
      <c r="E100" s="871"/>
      <c r="F100" s="97"/>
      <c r="G100" s="1064">
        <v>200</v>
      </c>
      <c r="H100" s="97">
        <v>200</v>
      </c>
      <c r="I100" s="982"/>
      <c r="J100" s="622"/>
      <c r="K100" s="982"/>
    </row>
    <row r="101" spans="1:12" s="224" customFormat="1" ht="15" hidden="1" customHeight="1" x14ac:dyDescent="0.25">
      <c r="A101" s="215">
        <v>43551</v>
      </c>
      <c r="B101" s="349" t="s">
        <v>151</v>
      </c>
      <c r="C101" s="352" t="s">
        <v>12</v>
      </c>
      <c r="D101" s="874" t="s">
        <v>1485</v>
      </c>
      <c r="E101" s="875" t="s">
        <v>15</v>
      </c>
      <c r="F101" s="852">
        <v>14</v>
      </c>
      <c r="G101" s="1064"/>
      <c r="H101" s="97"/>
      <c r="I101" s="982"/>
      <c r="J101" s="622"/>
      <c r="K101" s="982"/>
    </row>
    <row r="102" spans="1:12" s="224" customFormat="1" ht="15" hidden="1" customHeight="1" x14ac:dyDescent="0.25">
      <c r="A102" s="215">
        <v>43551</v>
      </c>
      <c r="B102" s="862" t="s">
        <v>2164</v>
      </c>
      <c r="C102" s="879" t="s">
        <v>12</v>
      </c>
      <c r="D102" s="879" t="s">
        <v>1491</v>
      </c>
      <c r="E102" s="480" t="s">
        <v>15</v>
      </c>
      <c r="F102" s="893">
        <v>31</v>
      </c>
      <c r="G102" s="1527"/>
      <c r="H102" s="97"/>
      <c r="I102" s="982"/>
      <c r="J102" s="622"/>
      <c r="K102" s="982"/>
    </row>
    <row r="103" spans="1:12" s="224" customFormat="1" ht="15" hidden="1" customHeight="1" x14ac:dyDescent="0.25">
      <c r="A103" s="215">
        <v>43551</v>
      </c>
      <c r="B103" s="349" t="s">
        <v>2185</v>
      </c>
      <c r="C103" s="350" t="s">
        <v>12</v>
      </c>
      <c r="D103" s="350" t="s">
        <v>1491</v>
      </c>
      <c r="E103" s="480" t="s">
        <v>15</v>
      </c>
      <c r="F103" s="852">
        <v>16</v>
      </c>
      <c r="G103" s="1527"/>
      <c r="H103" s="97"/>
      <c r="I103" s="946"/>
      <c r="J103" s="97"/>
      <c r="K103" s="946"/>
    </row>
    <row r="104" spans="1:12" s="224" customFormat="1" ht="15" hidden="1" customHeight="1" x14ac:dyDescent="0.25">
      <c r="A104" s="215">
        <v>43551</v>
      </c>
      <c r="B104" s="349" t="s">
        <v>14</v>
      </c>
      <c r="C104" s="350" t="s">
        <v>12</v>
      </c>
      <c r="D104" s="350" t="s">
        <v>1486</v>
      </c>
      <c r="E104" s="480" t="s">
        <v>13</v>
      </c>
      <c r="F104" s="852">
        <v>6.23</v>
      </c>
      <c r="G104" s="1527"/>
      <c r="H104" s="97"/>
      <c r="I104" s="946"/>
      <c r="J104" s="97"/>
      <c r="K104" s="946"/>
    </row>
    <row r="105" spans="1:12" s="224" customFormat="1" ht="15" hidden="1" customHeight="1" x14ac:dyDescent="0.25">
      <c r="A105" s="215">
        <v>43552</v>
      </c>
      <c r="B105" s="349" t="s">
        <v>151</v>
      </c>
      <c r="C105" s="352" t="s">
        <v>12</v>
      </c>
      <c r="D105" s="874" t="s">
        <v>1485</v>
      </c>
      <c r="E105" s="875" t="s">
        <v>15</v>
      </c>
      <c r="F105" s="852">
        <v>14</v>
      </c>
      <c r="G105" s="1064"/>
      <c r="H105" s="97"/>
      <c r="I105" s="982"/>
      <c r="J105" s="622"/>
      <c r="K105" s="982"/>
    </row>
    <row r="106" spans="1:12" s="224" customFormat="1" ht="15" hidden="1" customHeight="1" x14ac:dyDescent="0.25">
      <c r="A106" s="215">
        <v>43552</v>
      </c>
      <c r="B106" s="349" t="s">
        <v>14</v>
      </c>
      <c r="C106" s="350" t="s">
        <v>12</v>
      </c>
      <c r="D106" s="350" t="s">
        <v>1486</v>
      </c>
      <c r="E106" s="480" t="s">
        <v>13</v>
      </c>
      <c r="F106" s="852">
        <v>3.86</v>
      </c>
      <c r="G106" s="1527"/>
      <c r="H106" s="97"/>
      <c r="I106" s="982"/>
      <c r="J106" s="622"/>
      <c r="K106" s="982"/>
    </row>
    <row r="107" spans="1:12" s="224" customFormat="1" ht="15" hidden="1" customHeight="1" x14ac:dyDescent="0.25">
      <c r="A107" s="215">
        <v>43553</v>
      </c>
      <c r="B107" s="862" t="s">
        <v>1710</v>
      </c>
      <c r="C107" s="879" t="s">
        <v>12</v>
      </c>
      <c r="D107" s="879" t="s">
        <v>1504</v>
      </c>
      <c r="E107" s="871" t="s">
        <v>13</v>
      </c>
      <c r="F107" s="137">
        <v>27.9</v>
      </c>
      <c r="G107" s="965"/>
      <c r="H107" s="97"/>
      <c r="I107" s="946"/>
      <c r="J107" s="97"/>
      <c r="K107" s="946"/>
    </row>
    <row r="108" spans="1:12" s="224" customFormat="1" ht="15" hidden="1" customHeight="1" x14ac:dyDescent="0.25">
      <c r="A108" s="215">
        <v>43553</v>
      </c>
      <c r="B108" s="349" t="s">
        <v>151</v>
      </c>
      <c r="C108" s="352" t="s">
        <v>12</v>
      </c>
      <c r="D108" s="874" t="s">
        <v>1485</v>
      </c>
      <c r="E108" s="875" t="s">
        <v>15</v>
      </c>
      <c r="F108" s="852">
        <v>14</v>
      </c>
      <c r="G108" s="1064"/>
      <c r="H108" s="97"/>
      <c r="I108" s="982"/>
      <c r="J108" s="622"/>
      <c r="K108" s="982"/>
    </row>
    <row r="109" spans="1:12" s="224" customFormat="1" ht="15" hidden="1" customHeight="1" x14ac:dyDescent="0.25">
      <c r="A109" s="215">
        <v>43553</v>
      </c>
      <c r="B109" s="349" t="s">
        <v>14</v>
      </c>
      <c r="C109" s="350" t="s">
        <v>12</v>
      </c>
      <c r="D109" s="350" t="s">
        <v>1486</v>
      </c>
      <c r="E109" s="480" t="s">
        <v>13</v>
      </c>
      <c r="F109" s="852">
        <v>6.8</v>
      </c>
      <c r="G109" s="1527"/>
      <c r="H109" s="97"/>
      <c r="I109" s="982"/>
      <c r="J109" s="622"/>
      <c r="K109" s="982"/>
    </row>
    <row r="110" spans="1:12" s="224" customFormat="1" ht="15" hidden="1" customHeight="1" x14ac:dyDescent="0.25">
      <c r="A110" s="215">
        <v>43554</v>
      </c>
      <c r="B110" s="349" t="s">
        <v>2186</v>
      </c>
      <c r="C110" s="350" t="s">
        <v>12</v>
      </c>
      <c r="D110" s="352" t="s">
        <v>2157</v>
      </c>
      <c r="E110" s="919" t="s">
        <v>13</v>
      </c>
      <c r="F110" s="920">
        <v>40</v>
      </c>
      <c r="G110" s="1532"/>
      <c r="H110" s="96"/>
      <c r="I110" s="1482"/>
      <c r="J110" s="96"/>
      <c r="K110" s="1482"/>
    </row>
    <row r="111" spans="1:12" s="224" customFormat="1" hidden="1" x14ac:dyDescent="0.25">
      <c r="A111" s="215">
        <v>43554</v>
      </c>
      <c r="B111" s="349" t="s">
        <v>80</v>
      </c>
      <c r="C111" s="352" t="s">
        <v>19</v>
      </c>
      <c r="D111" s="874" t="s">
        <v>1523</v>
      </c>
      <c r="E111" s="875" t="s">
        <v>15</v>
      </c>
      <c r="F111" s="852">
        <v>20</v>
      </c>
      <c r="G111" s="248"/>
      <c r="H111" s="97"/>
      <c r="I111" s="946"/>
      <c r="J111" s="97"/>
      <c r="K111" s="946"/>
    </row>
    <row r="112" spans="1:12" s="224" customFormat="1" hidden="1" x14ac:dyDescent="0.25">
      <c r="A112" s="215">
        <v>43554</v>
      </c>
      <c r="B112" s="349" t="s">
        <v>1438</v>
      </c>
      <c r="C112" s="352" t="s">
        <v>19</v>
      </c>
      <c r="D112" s="874" t="s">
        <v>1489</v>
      </c>
      <c r="E112" s="875" t="s">
        <v>15</v>
      </c>
      <c r="F112" s="852">
        <v>22</v>
      </c>
      <c r="G112" s="248"/>
      <c r="H112" s="97"/>
      <c r="I112" s="946"/>
      <c r="J112" s="97"/>
      <c r="K112" s="946"/>
    </row>
    <row r="113" spans="1:11" s="224" customFormat="1" hidden="1" x14ac:dyDescent="0.25">
      <c r="A113" s="215">
        <v>43554</v>
      </c>
      <c r="B113" s="349" t="s">
        <v>2096</v>
      </c>
      <c r="C113" s="352" t="s">
        <v>12</v>
      </c>
      <c r="D113" s="874" t="s">
        <v>1506</v>
      </c>
      <c r="E113" s="875" t="s">
        <v>15</v>
      </c>
      <c r="F113" s="852">
        <v>30</v>
      </c>
      <c r="G113" s="248"/>
      <c r="H113" s="97"/>
      <c r="I113" s="946"/>
      <c r="J113" s="97"/>
      <c r="K113" s="946"/>
    </row>
    <row r="114" spans="1:11" s="224" customFormat="1" ht="15" hidden="1" customHeight="1" x14ac:dyDescent="0.25">
      <c r="A114" s="215">
        <v>43555</v>
      </c>
      <c r="B114" s="349" t="s">
        <v>14</v>
      </c>
      <c r="C114" s="350" t="s">
        <v>12</v>
      </c>
      <c r="D114" s="350" t="s">
        <v>1486</v>
      </c>
      <c r="E114" s="480" t="s">
        <v>13</v>
      </c>
      <c r="F114" s="852">
        <v>7.93</v>
      </c>
      <c r="G114" s="1527"/>
      <c r="H114" s="97"/>
      <c r="I114" s="982"/>
      <c r="J114" s="622"/>
      <c r="K114" s="982"/>
    </row>
    <row r="115" spans="1:11" s="224" customFormat="1" hidden="1" x14ac:dyDescent="0.25">
      <c r="A115" s="215">
        <v>43555</v>
      </c>
      <c r="B115" s="349" t="s">
        <v>80</v>
      </c>
      <c r="C115" s="352" t="s">
        <v>12</v>
      </c>
      <c r="D115" s="874" t="s">
        <v>1523</v>
      </c>
      <c r="E115" s="875" t="s">
        <v>15</v>
      </c>
      <c r="F115" s="852">
        <v>12</v>
      </c>
      <c r="G115" s="248"/>
      <c r="H115" s="97"/>
      <c r="I115" s="946"/>
      <c r="J115" s="97"/>
      <c r="K115" s="946"/>
    </row>
    <row r="116" spans="1:11" s="224" customFormat="1" ht="15" hidden="1" customHeight="1" x14ac:dyDescent="0.25">
      <c r="A116" s="215">
        <v>43555</v>
      </c>
      <c r="B116" s="349" t="s">
        <v>153</v>
      </c>
      <c r="C116" s="350" t="s">
        <v>12</v>
      </c>
      <c r="D116" s="350" t="s">
        <v>1522</v>
      </c>
      <c r="E116" s="480" t="s">
        <v>15</v>
      </c>
      <c r="F116" s="852">
        <v>4</v>
      </c>
      <c r="G116" s="1527"/>
      <c r="H116" s="97"/>
      <c r="I116" s="982"/>
      <c r="J116" s="622"/>
      <c r="K116" s="982"/>
    </row>
    <row r="117" spans="1:11" s="224" customFormat="1" ht="15" hidden="1" customHeight="1" x14ac:dyDescent="0.25">
      <c r="A117" s="215">
        <v>43555</v>
      </c>
      <c r="B117" s="349" t="s">
        <v>134</v>
      </c>
      <c r="C117" s="350" t="s">
        <v>12</v>
      </c>
      <c r="D117" s="350" t="s">
        <v>1493</v>
      </c>
      <c r="E117" s="480" t="s">
        <v>13</v>
      </c>
      <c r="F117" s="137">
        <v>20</v>
      </c>
      <c r="G117" s="965"/>
      <c r="H117" s="97"/>
      <c r="I117" s="946"/>
      <c r="J117" s="97"/>
      <c r="K117" s="946"/>
    </row>
    <row r="118" spans="1:11" s="224" customFormat="1" hidden="1" x14ac:dyDescent="0.25">
      <c r="A118" s="215">
        <v>43555</v>
      </c>
      <c r="B118" s="862" t="s">
        <v>1666</v>
      </c>
      <c r="C118" s="350" t="s">
        <v>12</v>
      </c>
      <c r="D118" s="350"/>
      <c r="E118" s="480" t="s">
        <v>25</v>
      </c>
      <c r="F118" s="853"/>
      <c r="G118" s="964"/>
      <c r="H118" s="622"/>
      <c r="I118" s="982"/>
      <c r="J118" s="622"/>
      <c r="K118" s="982">
        <v>27.34</v>
      </c>
    </row>
    <row r="119" spans="1:11" ht="25.5" hidden="1" customHeight="1" thickBot="1" x14ac:dyDescent="0.3">
      <c r="A119" s="3060"/>
      <c r="B119" s="3061"/>
      <c r="C119" s="3062"/>
      <c r="D119" s="3062"/>
      <c r="E119" s="3062"/>
      <c r="F119" s="100">
        <f>SUM(F6:F118)</f>
        <v>4688.7699999999986</v>
      </c>
      <c r="G119" s="1065">
        <f>SUM(G5:G118)</f>
        <v>5115.8600000000133</v>
      </c>
      <c r="H119" s="101">
        <f>SUM(H6:H118)</f>
        <v>1100</v>
      </c>
      <c r="I119" s="93">
        <f>SUM(I5:I118)</f>
        <v>1999.9960000000021</v>
      </c>
      <c r="J119" s="101">
        <f>SUM(J6:J118)</f>
        <v>0</v>
      </c>
      <c r="K119" s="93">
        <f>SUM(K5:K118)</f>
        <v>6583.65</v>
      </c>
    </row>
    <row r="120" spans="1:11" ht="25.5" hidden="1" customHeight="1" thickBot="1" x14ac:dyDescent="0.3">
      <c r="A120" s="3117" t="s">
        <v>49</v>
      </c>
      <c r="B120" s="3118"/>
      <c r="C120" s="3118"/>
      <c r="D120" s="3118"/>
      <c r="E120" s="3118"/>
      <c r="F120" s="144"/>
      <c r="G120" s="519">
        <f>G119-F119</f>
        <v>427.0900000000147</v>
      </c>
      <c r="H120" s="555"/>
      <c r="I120" s="772">
        <f>I119-H119</f>
        <v>899.99600000000214</v>
      </c>
      <c r="J120" s="555"/>
      <c r="K120" s="772">
        <f>K119-J119</f>
        <v>6583.65</v>
      </c>
    </row>
    <row r="121" spans="1:11" x14ac:dyDescent="0.25">
      <c r="E121" s="79"/>
      <c r="G121" s="868"/>
      <c r="J121" s="769"/>
    </row>
    <row r="122" spans="1:11" x14ac:dyDescent="0.25">
      <c r="B122" s="79" t="s">
        <v>32</v>
      </c>
      <c r="C122" s="475">
        <v>333.64</v>
      </c>
      <c r="D122" s="85" t="s">
        <v>1485</v>
      </c>
      <c r="J122" s="769"/>
      <c r="K122" s="866"/>
    </row>
    <row r="123" spans="1:11" x14ac:dyDescent="0.25">
      <c r="B123" s="79" t="s">
        <v>2187</v>
      </c>
      <c r="C123" s="475">
        <v>310</v>
      </c>
      <c r="D123" s="85" t="s">
        <v>2157</v>
      </c>
      <c r="J123" s="769"/>
      <c r="K123" s="868"/>
    </row>
    <row r="124" spans="1:11" x14ac:dyDescent="0.25">
      <c r="B124" s="79" t="s">
        <v>2188</v>
      </c>
      <c r="C124" s="475">
        <v>46</v>
      </c>
      <c r="D124" s="85" t="s">
        <v>2168</v>
      </c>
      <c r="J124" s="769"/>
      <c r="K124" s="868"/>
    </row>
    <row r="125" spans="1:11" x14ac:dyDescent="0.25">
      <c r="B125" s="79" t="s">
        <v>50</v>
      </c>
      <c r="C125" s="854">
        <v>132.9</v>
      </c>
      <c r="D125" s="85" t="s">
        <v>1493</v>
      </c>
      <c r="J125" s="769"/>
      <c r="K125" s="866"/>
    </row>
    <row r="126" spans="1:11" s="85" customFormat="1" x14ac:dyDescent="0.25">
      <c r="A126" s="79"/>
      <c r="B126" s="79" t="s">
        <v>14</v>
      </c>
      <c r="C126" s="484">
        <v>152.19999999999999</v>
      </c>
      <c r="D126" s="85" t="s">
        <v>1486</v>
      </c>
      <c r="J126" s="769"/>
      <c r="K126" s="866"/>
    </row>
    <row r="127" spans="1:11" s="85" customFormat="1" x14ac:dyDescent="0.25">
      <c r="A127" s="79"/>
      <c r="B127" s="79" t="s">
        <v>51</v>
      </c>
      <c r="C127" s="475">
        <v>160</v>
      </c>
      <c r="D127" s="864" t="s">
        <v>1499</v>
      </c>
      <c r="E127" s="79"/>
      <c r="F127" s="89"/>
      <c r="G127" s="79"/>
      <c r="H127" s="79"/>
      <c r="J127" s="769"/>
      <c r="K127" s="866"/>
    </row>
    <row r="128" spans="1:11" s="85" customFormat="1" x14ac:dyDescent="0.25">
      <c r="A128" s="79"/>
      <c r="B128" s="79" t="s">
        <v>2189</v>
      </c>
      <c r="C128" s="475">
        <v>134.9</v>
      </c>
      <c r="D128" s="864" t="s">
        <v>1496</v>
      </c>
      <c r="F128" s="89"/>
      <c r="G128" s="79"/>
      <c r="H128" s="79"/>
      <c r="I128" s="79"/>
    </row>
    <row r="129" spans="1:11" s="85" customFormat="1" x14ac:dyDescent="0.25">
      <c r="A129" s="79"/>
      <c r="B129" s="867" t="s">
        <v>53</v>
      </c>
      <c r="C129" s="475">
        <v>41.25</v>
      </c>
      <c r="D129" s="864" t="s">
        <v>1522</v>
      </c>
      <c r="E129" s="89"/>
      <c r="F129" s="769"/>
      <c r="G129" s="79"/>
    </row>
    <row r="130" spans="1:11" s="85" customFormat="1" x14ac:dyDescent="0.25">
      <c r="A130" s="79"/>
      <c r="B130" s="867" t="s">
        <v>2149</v>
      </c>
      <c r="C130" s="475">
        <v>585.79999999999995</v>
      </c>
      <c r="D130" s="864" t="s">
        <v>2131</v>
      </c>
      <c r="F130" s="769"/>
      <c r="G130" s="866"/>
    </row>
    <row r="131" spans="1:11" s="85" customFormat="1" x14ac:dyDescent="0.25">
      <c r="A131" s="79"/>
      <c r="B131" s="79" t="s">
        <v>56</v>
      </c>
      <c r="C131" s="475">
        <v>32</v>
      </c>
      <c r="D131" s="864" t="s">
        <v>1523</v>
      </c>
      <c r="F131" s="769"/>
      <c r="G131" s="866"/>
    </row>
    <row r="132" spans="1:11" s="85" customFormat="1" x14ac:dyDescent="0.25">
      <c r="A132" s="79"/>
      <c r="B132" s="79" t="s">
        <v>1686</v>
      </c>
      <c r="C132" s="475">
        <v>207.01</v>
      </c>
      <c r="D132" s="864" t="s">
        <v>1506</v>
      </c>
      <c r="F132" s="769"/>
      <c r="G132" s="868"/>
    </row>
    <row r="133" spans="1:11" s="85" customFormat="1" x14ac:dyDescent="0.25">
      <c r="A133" s="79"/>
      <c r="B133" s="79" t="s">
        <v>418</v>
      </c>
      <c r="C133" s="475">
        <v>270.7</v>
      </c>
      <c r="D133" s="85" t="s">
        <v>1524</v>
      </c>
      <c r="E133" s="79"/>
      <c r="F133" s="89"/>
      <c r="J133" s="769"/>
      <c r="K133" s="866"/>
    </row>
    <row r="134" spans="1:11" x14ac:dyDescent="0.25">
      <c r="B134" s="79" t="s">
        <v>419</v>
      </c>
      <c r="C134" s="861">
        <v>470.92</v>
      </c>
      <c r="D134" s="85" t="s">
        <v>1491</v>
      </c>
      <c r="J134" s="769"/>
      <c r="K134" s="868"/>
    </row>
    <row r="135" spans="1:11" x14ac:dyDescent="0.25">
      <c r="B135" s="79" t="s">
        <v>911</v>
      </c>
      <c r="C135" s="861"/>
      <c r="D135" s="85" t="s">
        <v>1525</v>
      </c>
      <c r="J135" s="769"/>
      <c r="K135" s="868"/>
    </row>
    <row r="136" spans="1:11" x14ac:dyDescent="0.25">
      <c r="B136" s="79" t="s">
        <v>1526</v>
      </c>
      <c r="C136" s="861">
        <v>142.9</v>
      </c>
      <c r="D136" s="85" t="s">
        <v>1504</v>
      </c>
      <c r="E136" s="79"/>
      <c r="J136" s="769"/>
      <c r="K136" s="866"/>
    </row>
    <row r="137" spans="1:11" x14ac:dyDescent="0.25">
      <c r="B137" s="79" t="s">
        <v>1527</v>
      </c>
      <c r="C137" s="861">
        <v>518.28</v>
      </c>
      <c r="D137" s="85" t="s">
        <v>1489</v>
      </c>
      <c r="J137" s="769"/>
      <c r="K137" s="868"/>
    </row>
    <row r="138" spans="1:11" x14ac:dyDescent="0.25">
      <c r="J138" s="769"/>
      <c r="K138" s="866"/>
    </row>
    <row r="139" spans="1:11" x14ac:dyDescent="0.25">
      <c r="F139" s="85"/>
      <c r="J139" s="769"/>
      <c r="K139" s="866"/>
    </row>
    <row r="140" spans="1:11" x14ac:dyDescent="0.25">
      <c r="B140" s="79" t="s">
        <v>486</v>
      </c>
      <c r="C140" s="475">
        <f>H140/J140</f>
        <v>114.14516129032258</v>
      </c>
      <c r="F140" s="224" t="s">
        <v>487</v>
      </c>
      <c r="H140" s="216">
        <f>SUM(C122:C137)</f>
        <v>3538.5</v>
      </c>
      <c r="I140" s="518" t="s">
        <v>488</v>
      </c>
      <c r="J140" s="1517">
        <v>31</v>
      </c>
      <c r="K140" s="866"/>
    </row>
    <row r="141" spans="1:11" x14ac:dyDescent="0.25">
      <c r="G141" s="85"/>
      <c r="J141" s="769"/>
      <c r="K141" s="866"/>
    </row>
    <row r="142" spans="1:11" x14ac:dyDescent="0.25">
      <c r="H142" s="629"/>
      <c r="J142" s="769"/>
      <c r="K142" s="868"/>
    </row>
    <row r="143" spans="1:11" x14ac:dyDescent="0.25">
      <c r="K143" s="866"/>
    </row>
    <row r="144" spans="1:11" x14ac:dyDescent="0.25">
      <c r="D144" s="79"/>
      <c r="E144" s="79"/>
      <c r="J144" s="769"/>
      <c r="K144" s="866"/>
    </row>
    <row r="145" spans="3:11" x14ac:dyDescent="0.25"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C148" s="79"/>
      <c r="D148" s="79"/>
      <c r="E148" s="79"/>
      <c r="F148" s="79"/>
      <c r="I148" s="216"/>
      <c r="J148" s="769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6"/>
    </row>
    <row r="150" spans="3:11" x14ac:dyDescent="0.25">
      <c r="C150" s="79"/>
      <c r="D150" s="79"/>
      <c r="E150" s="79"/>
      <c r="F150" s="79"/>
      <c r="G150" s="216"/>
      <c r="I150" s="216"/>
      <c r="J150" s="769"/>
      <c r="K150" s="868"/>
    </row>
    <row r="151" spans="3:11" x14ac:dyDescent="0.25">
      <c r="C151" s="79"/>
      <c r="D151" s="79"/>
      <c r="E151" s="79"/>
      <c r="F151" s="79"/>
      <c r="G151" s="216"/>
      <c r="I151" s="216"/>
      <c r="J151" s="769"/>
      <c r="K151" s="866"/>
    </row>
    <row r="152" spans="3:11" x14ac:dyDescent="0.25">
      <c r="C152" s="79"/>
      <c r="D152" s="79"/>
      <c r="E152" s="79"/>
      <c r="F152" s="79"/>
      <c r="G152" s="216"/>
      <c r="J152" s="770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8"/>
    </row>
    <row r="154" spans="3:11" x14ac:dyDescent="0.25">
      <c r="J154" s="769"/>
      <c r="K154" s="866"/>
    </row>
    <row r="155" spans="3:11" x14ac:dyDescent="0.25">
      <c r="C155" s="79"/>
      <c r="D155" s="79"/>
      <c r="E155" s="79"/>
      <c r="F155" s="79"/>
      <c r="I155" s="629"/>
      <c r="J155" s="769"/>
      <c r="K155" s="866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6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C169" s="79"/>
      <c r="D169" s="79"/>
      <c r="E169" s="79"/>
      <c r="F169" s="79"/>
      <c r="I169" s="216"/>
      <c r="J169" s="769"/>
      <c r="K169" s="868"/>
    </row>
    <row r="170" spans="3:11" x14ac:dyDescent="0.25">
      <c r="J170" s="769"/>
      <c r="K170" s="866"/>
    </row>
    <row r="171" spans="3:11" x14ac:dyDescent="0.25">
      <c r="J171" s="769"/>
      <c r="K171" s="866"/>
    </row>
    <row r="172" spans="3:11" x14ac:dyDescent="0.25">
      <c r="J172" s="769"/>
      <c r="K172" s="868"/>
    </row>
    <row r="173" spans="3:11" x14ac:dyDescent="0.25">
      <c r="J173" s="769"/>
      <c r="K173" s="866"/>
    </row>
    <row r="174" spans="3:11" x14ac:dyDescent="0.25">
      <c r="J174" s="769"/>
      <c r="K174" s="866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8"/>
    </row>
    <row r="179" spans="3:11" x14ac:dyDescent="0.25">
      <c r="C179" s="79"/>
      <c r="D179" s="79"/>
      <c r="E179" s="79"/>
      <c r="F179" s="79"/>
      <c r="J179" s="769"/>
      <c r="K179" s="866"/>
    </row>
    <row r="180" spans="3:11" x14ac:dyDescent="0.25">
      <c r="C180" s="79"/>
      <c r="D180" s="79"/>
      <c r="E180" s="79"/>
      <c r="F180" s="79"/>
      <c r="J180" s="223"/>
      <c r="K180" s="629"/>
    </row>
    <row r="181" spans="3:11" x14ac:dyDescent="0.25">
      <c r="C181" s="79"/>
      <c r="D181" s="79"/>
      <c r="E181" s="79"/>
      <c r="F181" s="79"/>
      <c r="J181" s="756"/>
      <c r="K181" s="756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  <c r="J186" s="85"/>
      <c r="K186" s="85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  <c r="J193" s="85"/>
      <c r="K193" s="85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  <c r="J200" s="771"/>
      <c r="K200" s="518"/>
    </row>
    <row r="201" spans="3:11" x14ac:dyDescent="0.25">
      <c r="C201" s="79"/>
      <c r="D201" s="79"/>
      <c r="E201" s="79"/>
      <c r="F201" s="79"/>
    </row>
    <row r="208" spans="3:11" x14ac:dyDescent="0.25">
      <c r="C208" s="79"/>
      <c r="D208" s="79"/>
      <c r="E208" s="79"/>
      <c r="F208" s="79"/>
      <c r="K208" s="216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3" spans="3:11" x14ac:dyDescent="0.25">
      <c r="C213" s="79"/>
      <c r="D213" s="79"/>
      <c r="E213" s="79"/>
      <c r="F213" s="79"/>
      <c r="K213" s="216"/>
    </row>
    <row r="215" spans="3:11" x14ac:dyDescent="0.25">
      <c r="C215" s="79"/>
      <c r="D215" s="79"/>
      <c r="E215" s="79"/>
      <c r="F215" s="79"/>
      <c r="K215" s="629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</sheetData>
  <autoFilter ref="A2:I120" xr:uid="{00000000-0009-0000-0000-000054000000}">
    <filterColumn colId="3">
      <filters>
        <filter val="COM"/>
      </filters>
    </filterColumn>
  </autoFilter>
  <mergeCells count="12">
    <mergeCell ref="A119:E119"/>
    <mergeCell ref="A120:E12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Plan98" filterMode="1"/>
  <dimension ref="A1:O221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O22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2190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hidden="1" x14ac:dyDescent="0.25">
      <c r="A5" s="281">
        <v>43556</v>
      </c>
      <c r="B5" s="369" t="s">
        <v>10</v>
      </c>
      <c r="C5" s="370"/>
      <c r="D5" s="370"/>
      <c r="E5" s="777"/>
      <c r="F5" s="889"/>
      <c r="G5" s="925">
        <f>'Março-19'!G120</f>
        <v>427.0900000000147</v>
      </c>
      <c r="H5" s="179"/>
      <c r="I5" s="933">
        <f>'Março-19'!I120</f>
        <v>899.99600000000214</v>
      </c>
      <c r="J5" s="179"/>
      <c r="K5" s="933">
        <f>'Março-19'!K120</f>
        <v>6583.65</v>
      </c>
    </row>
    <row r="6" spans="1:13" s="224" customFormat="1" hidden="1" x14ac:dyDescent="0.25">
      <c r="A6" s="215">
        <v>43556</v>
      </c>
      <c r="B6" s="348" t="s">
        <v>11</v>
      </c>
      <c r="C6" s="351"/>
      <c r="D6" s="351"/>
      <c r="E6" s="673"/>
      <c r="F6" s="827">
        <v>63</v>
      </c>
      <c r="G6" s="1526"/>
      <c r="H6" s="250"/>
      <c r="I6" s="1473"/>
      <c r="J6" s="250"/>
      <c r="K6" s="1473"/>
      <c r="L6" s="89"/>
      <c r="M6" s="89"/>
    </row>
    <row r="7" spans="1:13" s="224" customFormat="1" ht="15" hidden="1" customHeight="1" x14ac:dyDescent="0.25">
      <c r="A7" s="215">
        <v>43556</v>
      </c>
      <c r="B7" s="862" t="s">
        <v>256</v>
      </c>
      <c r="C7" s="879"/>
      <c r="D7" s="879"/>
      <c r="E7" s="871"/>
      <c r="F7" s="97"/>
      <c r="G7" s="1064">
        <v>100</v>
      </c>
      <c r="H7" s="97">
        <v>100</v>
      </c>
      <c r="I7" s="982"/>
      <c r="J7" s="622"/>
      <c r="K7" s="982"/>
    </row>
    <row r="8" spans="1:13" s="224" customFormat="1" ht="15" hidden="1" customHeight="1" x14ac:dyDescent="0.25">
      <c r="A8" s="215">
        <v>43556</v>
      </c>
      <c r="B8" s="349" t="s">
        <v>151</v>
      </c>
      <c r="C8" s="352" t="s">
        <v>12</v>
      </c>
      <c r="D8" s="874" t="s">
        <v>1485</v>
      </c>
      <c r="E8" s="875" t="s">
        <v>13</v>
      </c>
      <c r="F8" s="852">
        <v>14</v>
      </c>
      <c r="G8" s="1064"/>
      <c r="H8" s="97"/>
      <c r="I8" s="982"/>
      <c r="J8" s="622"/>
      <c r="K8" s="982"/>
    </row>
    <row r="9" spans="1:13" s="224" customFormat="1" ht="15" hidden="1" customHeight="1" x14ac:dyDescent="0.25">
      <c r="A9" s="215">
        <v>43556</v>
      </c>
      <c r="B9" s="349" t="s">
        <v>14</v>
      </c>
      <c r="C9" s="350" t="s">
        <v>12</v>
      </c>
      <c r="D9" s="350" t="s">
        <v>1486</v>
      </c>
      <c r="E9" s="480" t="s">
        <v>13</v>
      </c>
      <c r="F9" s="852">
        <v>4.24</v>
      </c>
      <c r="G9" s="1527"/>
      <c r="H9" s="97"/>
      <c r="I9" s="982"/>
      <c r="J9" s="622"/>
      <c r="K9" s="982"/>
    </row>
    <row r="10" spans="1:13" s="224" customFormat="1" ht="15" hidden="1" customHeight="1" x14ac:dyDescent="0.25">
      <c r="A10" s="215">
        <v>43557</v>
      </c>
      <c r="B10" s="349" t="s">
        <v>151</v>
      </c>
      <c r="C10" s="352" t="s">
        <v>12</v>
      </c>
      <c r="D10" s="874" t="s">
        <v>1485</v>
      </c>
      <c r="E10" s="875" t="s">
        <v>15</v>
      </c>
      <c r="F10" s="852">
        <v>14</v>
      </c>
      <c r="G10" s="1064"/>
      <c r="H10" s="97"/>
      <c r="I10" s="982"/>
      <c r="J10" s="622"/>
      <c r="K10" s="982"/>
    </row>
    <row r="11" spans="1:13" s="224" customFormat="1" ht="15" hidden="1" customHeight="1" x14ac:dyDescent="0.25">
      <c r="A11" s="215">
        <v>43557</v>
      </c>
      <c r="B11" s="349" t="s">
        <v>14</v>
      </c>
      <c r="C11" s="350" t="s">
        <v>12</v>
      </c>
      <c r="D11" s="350" t="s">
        <v>1486</v>
      </c>
      <c r="E11" s="480" t="s">
        <v>13</v>
      </c>
      <c r="F11" s="852">
        <v>4.09</v>
      </c>
      <c r="G11" s="1527"/>
      <c r="H11" s="97"/>
      <c r="I11" s="982"/>
      <c r="J11" s="622"/>
      <c r="K11" s="982"/>
    </row>
    <row r="12" spans="1:13" s="224" customFormat="1" ht="14.25" hidden="1" customHeight="1" x14ac:dyDescent="0.25">
      <c r="A12" s="215">
        <v>43557</v>
      </c>
      <c r="B12" s="876" t="s">
        <v>1836</v>
      </c>
      <c r="C12" s="350" t="s">
        <v>12</v>
      </c>
      <c r="D12" s="874" t="s">
        <v>1491</v>
      </c>
      <c r="E12" s="875" t="s">
        <v>15</v>
      </c>
      <c r="F12" s="852">
        <v>80</v>
      </c>
      <c r="G12" s="673"/>
      <c r="H12" s="622"/>
      <c r="I12" s="982"/>
      <c r="J12" s="622"/>
      <c r="K12" s="982"/>
    </row>
    <row r="13" spans="1:13" s="224" customFormat="1" ht="15" hidden="1" customHeight="1" x14ac:dyDescent="0.25">
      <c r="A13" s="215">
        <v>43558</v>
      </c>
      <c r="B13" s="349" t="s">
        <v>151</v>
      </c>
      <c r="C13" s="352" t="s">
        <v>12</v>
      </c>
      <c r="D13" s="874" t="s">
        <v>1485</v>
      </c>
      <c r="E13" s="875" t="s">
        <v>15</v>
      </c>
      <c r="F13" s="852">
        <v>14</v>
      </c>
      <c r="G13" s="1064"/>
      <c r="H13" s="97"/>
      <c r="I13" s="982"/>
      <c r="J13" s="622"/>
      <c r="K13" s="982"/>
    </row>
    <row r="14" spans="1:13" s="224" customFormat="1" ht="15" hidden="1" customHeight="1" x14ac:dyDescent="0.25">
      <c r="A14" s="215">
        <v>43558</v>
      </c>
      <c r="B14" s="349" t="s">
        <v>14</v>
      </c>
      <c r="C14" s="350" t="s">
        <v>12</v>
      </c>
      <c r="D14" s="350" t="s">
        <v>1486</v>
      </c>
      <c r="E14" s="480" t="s">
        <v>13</v>
      </c>
      <c r="F14" s="852">
        <v>3.67</v>
      </c>
      <c r="G14" s="1527"/>
      <c r="H14" s="97"/>
      <c r="I14" s="982"/>
      <c r="J14" s="622"/>
      <c r="K14" s="982"/>
    </row>
    <row r="15" spans="1:13" s="224" customFormat="1" ht="15" hidden="1" customHeight="1" x14ac:dyDescent="0.25">
      <c r="A15" s="215">
        <v>43559</v>
      </c>
      <c r="B15" s="349" t="s">
        <v>151</v>
      </c>
      <c r="C15" s="352" t="s">
        <v>12</v>
      </c>
      <c r="D15" s="874" t="s">
        <v>1485</v>
      </c>
      <c r="E15" s="875" t="s">
        <v>15</v>
      </c>
      <c r="F15" s="780">
        <v>10</v>
      </c>
      <c r="G15" s="946"/>
      <c r="H15" s="97"/>
      <c r="I15" s="982"/>
      <c r="J15" s="622"/>
      <c r="K15" s="982"/>
    </row>
    <row r="16" spans="1:13" s="224" customFormat="1" ht="15" hidden="1" customHeight="1" x14ac:dyDescent="0.25">
      <c r="A16" s="215">
        <v>43559</v>
      </c>
      <c r="B16" s="349" t="s">
        <v>14</v>
      </c>
      <c r="C16" s="350" t="s">
        <v>12</v>
      </c>
      <c r="D16" s="350" t="s">
        <v>1486</v>
      </c>
      <c r="E16" s="480" t="s">
        <v>13</v>
      </c>
      <c r="F16" s="850">
        <v>5.9</v>
      </c>
      <c r="G16" s="982"/>
      <c r="H16" s="622"/>
      <c r="I16" s="982"/>
      <c r="J16" s="622"/>
      <c r="K16" s="982"/>
    </row>
    <row r="17" spans="1:13" s="224" customFormat="1" ht="15.75" hidden="1" customHeight="1" x14ac:dyDescent="0.25">
      <c r="A17" s="215">
        <v>43560</v>
      </c>
      <c r="B17" s="349" t="s">
        <v>2191</v>
      </c>
      <c r="C17" s="879" t="s">
        <v>12</v>
      </c>
      <c r="D17" s="874"/>
      <c r="E17" s="871" t="s">
        <v>25</v>
      </c>
      <c r="F17" s="1524"/>
      <c r="G17" s="982">
        <v>1837.68</v>
      </c>
      <c r="H17" s="250"/>
      <c r="I17" s="946"/>
      <c r="J17" s="97"/>
      <c r="K17" s="946"/>
      <c r="L17" s="475"/>
    </row>
    <row r="18" spans="1:13" s="224" customFormat="1" hidden="1" x14ac:dyDescent="0.25">
      <c r="A18" s="215">
        <v>43560</v>
      </c>
      <c r="B18" s="862" t="s">
        <v>2192</v>
      </c>
      <c r="C18" s="879" t="s">
        <v>12</v>
      </c>
      <c r="D18" s="879"/>
      <c r="E18" s="871" t="s">
        <v>13</v>
      </c>
      <c r="F18" s="613">
        <v>610</v>
      </c>
      <c r="G18" s="982"/>
      <c r="H18" s="622"/>
      <c r="I18" s="982"/>
      <c r="J18" s="780"/>
      <c r="K18" s="614"/>
      <c r="L18" s="926">
        <v>950.65</v>
      </c>
      <c r="M18" s="89"/>
    </row>
    <row r="19" spans="1:13" hidden="1" x14ac:dyDescent="0.25">
      <c r="A19" s="215">
        <v>43560</v>
      </c>
      <c r="B19" s="862" t="s">
        <v>1961</v>
      </c>
      <c r="C19" s="879" t="s">
        <v>12</v>
      </c>
      <c r="D19" s="879" t="s">
        <v>1504</v>
      </c>
      <c r="E19" s="871" t="s">
        <v>13</v>
      </c>
      <c r="F19" s="780">
        <v>50</v>
      </c>
      <c r="G19" s="982"/>
      <c r="H19" s="622"/>
      <c r="I19" s="982"/>
      <c r="J19" s="622"/>
      <c r="K19" s="1002"/>
      <c r="L19" s="484">
        <v>90</v>
      </c>
    </row>
    <row r="20" spans="1:13" hidden="1" x14ac:dyDescent="0.25">
      <c r="A20" s="215">
        <v>43560</v>
      </c>
      <c r="B20" s="882" t="s">
        <v>2193</v>
      </c>
      <c r="C20" s="879" t="s">
        <v>12</v>
      </c>
      <c r="D20" s="879" t="s">
        <v>1499</v>
      </c>
      <c r="E20" s="871" t="s">
        <v>13</v>
      </c>
      <c r="F20" s="780">
        <v>60</v>
      </c>
      <c r="G20" s="982"/>
      <c r="H20" s="622"/>
      <c r="I20" s="982"/>
      <c r="J20" s="780"/>
      <c r="K20" s="614"/>
      <c r="L20" s="854">
        <v>242</v>
      </c>
    </row>
    <row r="21" spans="1:13" hidden="1" x14ac:dyDescent="0.25">
      <c r="A21" s="215">
        <v>43560</v>
      </c>
      <c r="B21" s="876" t="s">
        <v>52</v>
      </c>
      <c r="C21" s="879" t="s">
        <v>12</v>
      </c>
      <c r="D21" s="879" t="s">
        <v>1496</v>
      </c>
      <c r="E21" s="871" t="s">
        <v>13</v>
      </c>
      <c r="F21" s="780">
        <v>60</v>
      </c>
      <c r="G21" s="982"/>
      <c r="H21" s="853"/>
      <c r="I21" s="982"/>
      <c r="J21" s="622"/>
      <c r="K21" s="982"/>
      <c r="L21" s="484"/>
    </row>
    <row r="22" spans="1:13" s="224" customFormat="1" ht="15" customHeight="1" x14ac:dyDescent="0.25">
      <c r="A22" s="215">
        <v>43560</v>
      </c>
      <c r="B22" s="349" t="s">
        <v>2194</v>
      </c>
      <c r="C22" s="350" t="s">
        <v>12</v>
      </c>
      <c r="D22" s="350" t="s">
        <v>1524</v>
      </c>
      <c r="E22" s="480" t="s">
        <v>15</v>
      </c>
      <c r="F22" s="852">
        <v>55</v>
      </c>
      <c r="G22" s="1527"/>
      <c r="H22" s="97"/>
      <c r="I22" s="946"/>
      <c r="J22" s="97"/>
      <c r="K22" s="946"/>
      <c r="L22" s="475">
        <v>55</v>
      </c>
    </row>
    <row r="23" spans="1:13" s="224" customFormat="1" ht="15" hidden="1" customHeight="1" x14ac:dyDescent="0.25">
      <c r="A23" s="215">
        <v>43560</v>
      </c>
      <c r="B23" s="349" t="s">
        <v>151</v>
      </c>
      <c r="C23" s="352" t="s">
        <v>12</v>
      </c>
      <c r="D23" s="874" t="s">
        <v>1485</v>
      </c>
      <c r="E23" s="875" t="s">
        <v>15</v>
      </c>
      <c r="F23" s="852">
        <v>14</v>
      </c>
      <c r="G23" s="1064"/>
      <c r="H23" s="97"/>
      <c r="I23" s="982"/>
      <c r="J23" s="622"/>
      <c r="K23" s="982"/>
      <c r="L23" s="927"/>
    </row>
    <row r="24" spans="1:13" s="224" customFormat="1" ht="15" hidden="1" customHeight="1" x14ac:dyDescent="0.25">
      <c r="A24" s="215">
        <v>43560</v>
      </c>
      <c r="B24" s="349" t="s">
        <v>17</v>
      </c>
      <c r="C24" s="350" t="s">
        <v>12</v>
      </c>
      <c r="D24" s="350" t="s">
        <v>1493</v>
      </c>
      <c r="E24" s="480" t="s">
        <v>15</v>
      </c>
      <c r="F24" s="852">
        <v>5</v>
      </c>
      <c r="G24" s="1527"/>
      <c r="H24" s="97"/>
      <c r="I24" s="946"/>
      <c r="J24" s="97"/>
      <c r="K24" s="946"/>
      <c r="L24" s="178"/>
    </row>
    <row r="25" spans="1:13" s="224" customFormat="1" ht="15" hidden="1" customHeight="1" x14ac:dyDescent="0.25">
      <c r="A25" s="215">
        <v>43560</v>
      </c>
      <c r="B25" s="349" t="s">
        <v>1331</v>
      </c>
      <c r="C25" s="350" t="s">
        <v>12</v>
      </c>
      <c r="D25" s="350" t="s">
        <v>2157</v>
      </c>
      <c r="E25" s="480" t="s">
        <v>15</v>
      </c>
      <c r="F25" s="852">
        <v>30</v>
      </c>
      <c r="G25" s="1527"/>
      <c r="H25" s="97"/>
      <c r="I25" s="946"/>
      <c r="J25" s="97"/>
      <c r="K25" s="946"/>
      <c r="L25" s="178"/>
    </row>
    <row r="26" spans="1:13" s="224" customFormat="1" ht="15" hidden="1" customHeight="1" x14ac:dyDescent="0.25">
      <c r="A26" s="215">
        <v>43560</v>
      </c>
      <c r="B26" s="349" t="s">
        <v>134</v>
      </c>
      <c r="C26" s="350" t="s">
        <v>12</v>
      </c>
      <c r="D26" s="350" t="s">
        <v>1493</v>
      </c>
      <c r="E26" s="480" t="s">
        <v>13</v>
      </c>
      <c r="F26" s="852">
        <v>17.05</v>
      </c>
      <c r="G26" s="1527"/>
      <c r="H26" s="97"/>
      <c r="I26" s="946"/>
      <c r="J26" s="97"/>
      <c r="K26" s="946"/>
    </row>
    <row r="27" spans="1:13" s="224" customFormat="1" ht="15" hidden="1" customHeight="1" x14ac:dyDescent="0.25">
      <c r="A27" s="215">
        <v>43560</v>
      </c>
      <c r="B27" s="349" t="s">
        <v>260</v>
      </c>
      <c r="C27" s="350" t="s">
        <v>12</v>
      </c>
      <c r="D27" s="350"/>
      <c r="E27" s="480"/>
      <c r="F27" s="852">
        <v>250</v>
      </c>
      <c r="G27" s="1527"/>
      <c r="H27" s="97"/>
      <c r="I27" s="946">
        <v>250</v>
      </c>
      <c r="J27" s="97"/>
      <c r="K27" s="946"/>
      <c r="L27" s="459"/>
    </row>
    <row r="28" spans="1:13" s="224" customFormat="1" ht="15" hidden="1" customHeight="1" x14ac:dyDescent="0.25">
      <c r="A28" s="215">
        <v>43560</v>
      </c>
      <c r="B28" s="349" t="s">
        <v>17</v>
      </c>
      <c r="C28" s="350" t="s">
        <v>12</v>
      </c>
      <c r="D28" s="350" t="s">
        <v>1493</v>
      </c>
      <c r="E28" s="480" t="s">
        <v>13</v>
      </c>
      <c r="F28" s="852">
        <v>2.5</v>
      </c>
      <c r="G28" s="1527"/>
      <c r="H28" s="97"/>
      <c r="I28" s="946"/>
      <c r="J28" s="97"/>
      <c r="K28" s="946"/>
    </row>
    <row r="29" spans="1:13" s="224" customFormat="1" ht="14.25" hidden="1" customHeight="1" x14ac:dyDescent="0.25">
      <c r="A29" s="215">
        <v>43561</v>
      </c>
      <c r="B29" s="349" t="s">
        <v>2195</v>
      </c>
      <c r="C29" s="352" t="s">
        <v>19</v>
      </c>
      <c r="D29" s="874" t="s">
        <v>2131</v>
      </c>
      <c r="E29" s="875" t="s">
        <v>13</v>
      </c>
      <c r="F29" s="852">
        <v>142.80000000000001</v>
      </c>
      <c r="G29" s="673"/>
      <c r="H29" s="622"/>
      <c r="I29" s="982"/>
      <c r="J29" s="622"/>
      <c r="K29" s="982"/>
      <c r="L29" s="883"/>
      <c r="M29" s="89"/>
    </row>
    <row r="30" spans="1:13" s="224" customFormat="1" ht="14.25" hidden="1" customHeight="1" x14ac:dyDescent="0.25">
      <c r="A30" s="215">
        <v>43561</v>
      </c>
      <c r="B30" s="349" t="s">
        <v>151</v>
      </c>
      <c r="C30" s="352" t="s">
        <v>12</v>
      </c>
      <c r="D30" s="874" t="s">
        <v>1485</v>
      </c>
      <c r="E30" s="875" t="s">
        <v>13</v>
      </c>
      <c r="F30" s="852">
        <v>11</v>
      </c>
      <c r="G30" s="673"/>
      <c r="H30" s="622"/>
      <c r="I30" s="982"/>
      <c r="J30" s="622"/>
      <c r="K30" s="982"/>
      <c r="L30" s="883"/>
      <c r="M30" s="89"/>
    </row>
    <row r="31" spans="1:13" s="224" customFormat="1" ht="14.25" hidden="1" customHeight="1" x14ac:dyDescent="0.25">
      <c r="A31" s="215">
        <v>43561</v>
      </c>
      <c r="B31" s="349" t="s">
        <v>43</v>
      </c>
      <c r="C31" s="352" t="s">
        <v>12</v>
      </c>
      <c r="D31" s="874" t="s">
        <v>1493</v>
      </c>
      <c r="E31" s="875" t="s">
        <v>13</v>
      </c>
      <c r="F31" s="780">
        <v>18</v>
      </c>
      <c r="G31" s="627"/>
      <c r="H31" s="622"/>
      <c r="I31" s="982"/>
      <c r="J31" s="622"/>
      <c r="K31" s="982"/>
      <c r="L31" s="883"/>
      <c r="M31" s="89"/>
    </row>
    <row r="32" spans="1:13" s="224" customFormat="1" ht="14.25" hidden="1" customHeight="1" x14ac:dyDescent="0.25">
      <c r="A32" s="215">
        <v>43561</v>
      </c>
      <c r="B32" s="349" t="s">
        <v>82</v>
      </c>
      <c r="C32" s="352" t="s">
        <v>12</v>
      </c>
      <c r="D32" s="874" t="s">
        <v>1493</v>
      </c>
      <c r="E32" s="875" t="s">
        <v>13</v>
      </c>
      <c r="F32" s="780">
        <v>32</v>
      </c>
      <c r="G32" s="627"/>
      <c r="H32" s="622"/>
      <c r="I32" s="982"/>
      <c r="J32" s="622"/>
      <c r="K32" s="982"/>
      <c r="L32" s="883"/>
      <c r="M32" s="89"/>
    </row>
    <row r="33" spans="1:11" s="224" customFormat="1" hidden="1" x14ac:dyDescent="0.25">
      <c r="A33" s="215">
        <v>43562</v>
      </c>
      <c r="B33" s="349" t="s">
        <v>14</v>
      </c>
      <c r="C33" s="350" t="s">
        <v>12</v>
      </c>
      <c r="D33" s="350" t="s">
        <v>1486</v>
      </c>
      <c r="E33" s="480" t="s">
        <v>13</v>
      </c>
      <c r="F33" s="850">
        <v>6.1</v>
      </c>
      <c r="G33" s="982"/>
      <c r="H33" s="622"/>
      <c r="I33" s="982"/>
      <c r="J33" s="622"/>
      <c r="K33" s="982"/>
    </row>
    <row r="34" spans="1:11" s="224" customFormat="1" ht="15" hidden="1" customHeight="1" x14ac:dyDescent="0.25">
      <c r="A34" s="215">
        <v>43562</v>
      </c>
      <c r="B34" s="349" t="s">
        <v>151</v>
      </c>
      <c r="C34" s="352" t="s">
        <v>12</v>
      </c>
      <c r="D34" s="874" t="s">
        <v>1485</v>
      </c>
      <c r="E34" s="875" t="s">
        <v>13</v>
      </c>
      <c r="F34" s="780">
        <v>18.45</v>
      </c>
      <c r="G34" s="946"/>
      <c r="H34" s="97"/>
      <c r="I34" s="982"/>
      <c r="J34" s="622"/>
      <c r="K34" s="982"/>
    </row>
    <row r="35" spans="1:11" s="224" customFormat="1" hidden="1" x14ac:dyDescent="0.25">
      <c r="A35" s="215">
        <v>43562</v>
      </c>
      <c r="B35" s="349" t="s">
        <v>1331</v>
      </c>
      <c r="C35" s="350" t="s">
        <v>12</v>
      </c>
      <c r="D35" s="350" t="s">
        <v>2157</v>
      </c>
      <c r="E35" s="480" t="s">
        <v>13</v>
      </c>
      <c r="F35" s="852">
        <v>60</v>
      </c>
      <c r="G35" s="982"/>
      <c r="H35" s="622"/>
      <c r="I35" s="982"/>
      <c r="J35" s="622"/>
      <c r="K35" s="982"/>
    </row>
    <row r="36" spans="1:11" s="224" customFormat="1" hidden="1" x14ac:dyDescent="0.25">
      <c r="A36" s="215">
        <v>43562</v>
      </c>
      <c r="B36" s="349" t="s">
        <v>1906</v>
      </c>
      <c r="C36" s="350" t="s">
        <v>12</v>
      </c>
      <c r="D36" s="350" t="s">
        <v>1493</v>
      </c>
      <c r="E36" s="480" t="s">
        <v>15</v>
      </c>
      <c r="F36" s="852">
        <v>14</v>
      </c>
      <c r="G36" s="982"/>
      <c r="H36" s="622"/>
      <c r="I36" s="982"/>
      <c r="J36" s="622"/>
      <c r="K36" s="982"/>
    </row>
    <row r="37" spans="1:11" s="224" customFormat="1" ht="15" hidden="1" customHeight="1" x14ac:dyDescent="0.25">
      <c r="A37" s="215">
        <v>43563</v>
      </c>
      <c r="B37" s="349" t="s">
        <v>151</v>
      </c>
      <c r="C37" s="352" t="s">
        <v>12</v>
      </c>
      <c r="D37" s="874" t="s">
        <v>1485</v>
      </c>
      <c r="E37" s="875" t="s">
        <v>15</v>
      </c>
      <c r="F37" s="780">
        <v>14</v>
      </c>
      <c r="G37" s="946"/>
      <c r="H37" s="97"/>
      <c r="I37" s="982"/>
      <c r="J37" s="622"/>
      <c r="K37" s="982"/>
    </row>
    <row r="38" spans="1:11" s="224" customFormat="1" ht="15" hidden="1" customHeight="1" x14ac:dyDescent="0.25">
      <c r="A38" s="215">
        <v>43564</v>
      </c>
      <c r="B38" s="349" t="s">
        <v>151</v>
      </c>
      <c r="C38" s="352" t="s">
        <v>12</v>
      </c>
      <c r="D38" s="874" t="s">
        <v>1485</v>
      </c>
      <c r="E38" s="875" t="s">
        <v>15</v>
      </c>
      <c r="F38" s="780">
        <v>14</v>
      </c>
      <c r="G38" s="982"/>
      <c r="H38" s="622"/>
      <c r="I38" s="982"/>
      <c r="J38" s="622"/>
      <c r="K38" s="982"/>
    </row>
    <row r="39" spans="1:11" s="224" customFormat="1" hidden="1" x14ac:dyDescent="0.25">
      <c r="A39" s="215">
        <v>43564</v>
      </c>
      <c r="B39" s="349" t="s">
        <v>14</v>
      </c>
      <c r="C39" s="350" t="s">
        <v>12</v>
      </c>
      <c r="D39" s="350" t="s">
        <v>1486</v>
      </c>
      <c r="E39" s="480" t="s">
        <v>13</v>
      </c>
      <c r="F39" s="850">
        <v>9.8800000000000008</v>
      </c>
      <c r="G39" s="982"/>
      <c r="H39" s="622"/>
      <c r="I39" s="982"/>
      <c r="J39" s="622"/>
      <c r="K39" s="982"/>
    </row>
    <row r="40" spans="1:11" s="224" customFormat="1" hidden="1" x14ac:dyDescent="0.25">
      <c r="A40" s="215">
        <v>43564</v>
      </c>
      <c r="B40" s="349" t="s">
        <v>1597</v>
      </c>
      <c r="C40" s="350" t="s">
        <v>12</v>
      </c>
      <c r="D40" s="350" t="s">
        <v>1491</v>
      </c>
      <c r="E40" s="480" t="s">
        <v>15</v>
      </c>
      <c r="F40" s="850">
        <v>150</v>
      </c>
      <c r="G40" s="982"/>
      <c r="H40" s="622"/>
      <c r="I40" s="982"/>
      <c r="J40" s="622"/>
      <c r="K40" s="982"/>
    </row>
    <row r="41" spans="1:11" s="224" customFormat="1" hidden="1" x14ac:dyDescent="0.25">
      <c r="A41" s="215">
        <v>43565</v>
      </c>
      <c r="B41" s="349" t="s">
        <v>14</v>
      </c>
      <c r="C41" s="350" t="s">
        <v>12</v>
      </c>
      <c r="D41" s="350" t="s">
        <v>1486</v>
      </c>
      <c r="E41" s="480" t="s">
        <v>13</v>
      </c>
      <c r="F41" s="850">
        <v>7.85</v>
      </c>
      <c r="G41" s="982"/>
      <c r="H41" s="622"/>
      <c r="I41" s="982"/>
      <c r="J41" s="622"/>
      <c r="K41" s="982"/>
    </row>
    <row r="42" spans="1:11" s="224" customFormat="1" ht="15" hidden="1" customHeight="1" x14ac:dyDescent="0.25">
      <c r="A42" s="215">
        <v>43565</v>
      </c>
      <c r="B42" s="349" t="s">
        <v>151</v>
      </c>
      <c r="C42" s="352" t="s">
        <v>12</v>
      </c>
      <c r="D42" s="874" t="s">
        <v>1485</v>
      </c>
      <c r="E42" s="875" t="s">
        <v>15</v>
      </c>
      <c r="F42" s="780">
        <v>14</v>
      </c>
      <c r="G42" s="982"/>
      <c r="H42" s="622"/>
      <c r="I42" s="982"/>
      <c r="J42" s="622"/>
      <c r="K42" s="982"/>
    </row>
    <row r="43" spans="1:11" s="224" customFormat="1" ht="15" hidden="1" customHeight="1" x14ac:dyDescent="0.25">
      <c r="A43" s="215">
        <v>43565</v>
      </c>
      <c r="B43" s="862" t="s">
        <v>256</v>
      </c>
      <c r="C43" s="879"/>
      <c r="D43" s="879"/>
      <c r="E43" s="871"/>
      <c r="F43" s="97"/>
      <c r="G43" s="1064">
        <v>150</v>
      </c>
      <c r="H43" s="97">
        <v>150</v>
      </c>
      <c r="I43" s="982"/>
      <c r="J43" s="622"/>
      <c r="K43" s="982"/>
    </row>
    <row r="44" spans="1:11" s="224" customFormat="1" ht="15" hidden="1" customHeight="1" x14ac:dyDescent="0.25">
      <c r="A44" s="215">
        <v>43565</v>
      </c>
      <c r="B44" s="349" t="s">
        <v>2196</v>
      </c>
      <c r="C44" s="352" t="s">
        <v>12</v>
      </c>
      <c r="D44" s="874" t="s">
        <v>1522</v>
      </c>
      <c r="E44" s="875" t="s">
        <v>15</v>
      </c>
      <c r="F44" s="780">
        <v>224</v>
      </c>
      <c r="G44" s="982"/>
      <c r="H44" s="622"/>
      <c r="I44" s="982"/>
      <c r="J44" s="622"/>
      <c r="K44" s="982"/>
    </row>
    <row r="45" spans="1:11" s="224" customFormat="1" hidden="1" x14ac:dyDescent="0.25">
      <c r="A45" s="215">
        <v>43565</v>
      </c>
      <c r="B45" s="349" t="s">
        <v>14</v>
      </c>
      <c r="C45" s="350" t="s">
        <v>12</v>
      </c>
      <c r="D45" s="350" t="s">
        <v>1486</v>
      </c>
      <c r="E45" s="480" t="s">
        <v>13</v>
      </c>
      <c r="F45" s="850">
        <v>2.81</v>
      </c>
      <c r="G45" s="982"/>
      <c r="H45" s="622"/>
      <c r="I45" s="982"/>
      <c r="J45" s="622"/>
      <c r="K45" s="982"/>
    </row>
    <row r="46" spans="1:11" s="224" customFormat="1" ht="15" hidden="1" customHeight="1" x14ac:dyDescent="0.25">
      <c r="A46" s="215">
        <v>43566</v>
      </c>
      <c r="B46" s="349" t="s">
        <v>151</v>
      </c>
      <c r="C46" s="352" t="s">
        <v>12</v>
      </c>
      <c r="D46" s="874" t="s">
        <v>1485</v>
      </c>
      <c r="E46" s="875" t="s">
        <v>15</v>
      </c>
      <c r="F46" s="780">
        <v>14</v>
      </c>
      <c r="G46" s="982"/>
      <c r="H46" s="622"/>
      <c r="I46" s="982"/>
      <c r="J46" s="622"/>
      <c r="K46" s="982"/>
    </row>
    <row r="47" spans="1:11" s="224" customFormat="1" ht="15" hidden="1" customHeight="1" x14ac:dyDescent="0.25">
      <c r="A47" s="215">
        <v>43566</v>
      </c>
      <c r="B47" s="349" t="s">
        <v>14</v>
      </c>
      <c r="C47" s="350" t="s">
        <v>12</v>
      </c>
      <c r="D47" s="350" t="s">
        <v>1486</v>
      </c>
      <c r="E47" s="480" t="s">
        <v>13</v>
      </c>
      <c r="F47" s="780">
        <v>4.96</v>
      </c>
      <c r="G47" s="982"/>
      <c r="H47" s="622"/>
      <c r="I47" s="982"/>
      <c r="J47" s="622"/>
      <c r="K47" s="982"/>
    </row>
    <row r="48" spans="1:11" ht="15" hidden="1" customHeight="1" x14ac:dyDescent="0.25">
      <c r="A48" s="215">
        <v>43567</v>
      </c>
      <c r="B48" s="349" t="s">
        <v>1396</v>
      </c>
      <c r="C48" s="350" t="s">
        <v>12</v>
      </c>
      <c r="D48" s="350"/>
      <c r="E48" s="757" t="s">
        <v>25</v>
      </c>
      <c r="F48" s="97"/>
      <c r="G48" s="946">
        <v>40</v>
      </c>
      <c r="H48" s="97"/>
      <c r="I48" s="946"/>
      <c r="J48" s="97"/>
      <c r="K48" s="946"/>
    </row>
    <row r="49" spans="1:11" s="224" customFormat="1" ht="15" hidden="1" customHeight="1" x14ac:dyDescent="0.25">
      <c r="A49" s="215">
        <v>43567</v>
      </c>
      <c r="B49" s="349" t="s">
        <v>151</v>
      </c>
      <c r="C49" s="352" t="s">
        <v>12</v>
      </c>
      <c r="D49" s="874" t="s">
        <v>1485</v>
      </c>
      <c r="E49" s="480" t="s">
        <v>13</v>
      </c>
      <c r="F49" s="780">
        <v>14</v>
      </c>
      <c r="G49" s="982"/>
      <c r="H49" s="622"/>
      <c r="I49" s="982"/>
      <c r="J49" s="622"/>
      <c r="K49" s="982"/>
    </row>
    <row r="50" spans="1:11" s="224" customFormat="1" ht="15" hidden="1" customHeight="1" x14ac:dyDescent="0.25">
      <c r="A50" s="215">
        <v>43567</v>
      </c>
      <c r="B50" s="349" t="s">
        <v>134</v>
      </c>
      <c r="C50" s="350" t="s">
        <v>12</v>
      </c>
      <c r="D50" s="350" t="s">
        <v>1493</v>
      </c>
      <c r="E50" s="480" t="s">
        <v>13</v>
      </c>
      <c r="F50" s="780">
        <v>17.899999999999999</v>
      </c>
      <c r="G50" s="1064"/>
      <c r="H50" s="97"/>
      <c r="I50" s="982"/>
      <c r="J50" s="622"/>
      <c r="K50" s="982"/>
    </row>
    <row r="51" spans="1:11" s="224" customFormat="1" hidden="1" x14ac:dyDescent="0.25">
      <c r="A51" s="215">
        <v>43568</v>
      </c>
      <c r="B51" s="349" t="s">
        <v>2197</v>
      </c>
      <c r="C51" s="350" t="s">
        <v>12</v>
      </c>
      <c r="D51" s="802" t="s">
        <v>2168</v>
      </c>
      <c r="E51" s="145" t="s">
        <v>13</v>
      </c>
      <c r="F51" s="844">
        <v>20</v>
      </c>
      <c r="G51" s="982"/>
      <c r="H51" s="622"/>
      <c r="I51" s="982"/>
      <c r="J51" s="622"/>
      <c r="K51" s="982"/>
    </row>
    <row r="52" spans="1:11" s="224" customFormat="1" hidden="1" x14ac:dyDescent="0.25">
      <c r="A52" s="215">
        <v>43568</v>
      </c>
      <c r="B52" s="349" t="s">
        <v>2198</v>
      </c>
      <c r="C52" s="350" t="s">
        <v>12</v>
      </c>
      <c r="D52" s="802" t="s">
        <v>2157</v>
      </c>
      <c r="E52" s="145" t="s">
        <v>15</v>
      </c>
      <c r="F52" s="844">
        <v>30</v>
      </c>
      <c r="G52" s="982"/>
      <c r="H52" s="622"/>
      <c r="I52" s="982"/>
      <c r="J52" s="622"/>
      <c r="K52" s="982"/>
    </row>
    <row r="53" spans="1:11" s="224" customFormat="1" hidden="1" x14ac:dyDescent="0.25">
      <c r="A53" s="215">
        <v>43568</v>
      </c>
      <c r="B53" s="349" t="s">
        <v>1438</v>
      </c>
      <c r="C53" s="350" t="s">
        <v>19</v>
      </c>
      <c r="D53" s="802" t="s">
        <v>1489</v>
      </c>
      <c r="E53" s="145" t="s">
        <v>13</v>
      </c>
      <c r="F53" s="844">
        <v>61.57</v>
      </c>
      <c r="G53" s="982"/>
      <c r="H53" s="622"/>
      <c r="I53" s="982"/>
      <c r="J53" s="622"/>
      <c r="K53" s="982"/>
    </row>
    <row r="54" spans="1:11" s="224" customFormat="1" ht="15" hidden="1" customHeight="1" x14ac:dyDescent="0.25">
      <c r="A54" s="215">
        <v>43568</v>
      </c>
      <c r="B54" s="349" t="s">
        <v>14</v>
      </c>
      <c r="C54" s="350" t="s">
        <v>12</v>
      </c>
      <c r="D54" s="350" t="s">
        <v>1486</v>
      </c>
      <c r="E54" s="480" t="s">
        <v>13</v>
      </c>
      <c r="F54" s="780">
        <v>9.8699999999999992</v>
      </c>
      <c r="G54" s="982"/>
      <c r="H54" s="622"/>
      <c r="I54" s="982"/>
      <c r="J54" s="622"/>
      <c r="K54" s="982"/>
    </row>
    <row r="55" spans="1:11" s="224" customFormat="1" ht="15" hidden="1" customHeight="1" x14ac:dyDescent="0.25">
      <c r="A55" s="215">
        <v>43569</v>
      </c>
      <c r="B55" s="349" t="s">
        <v>14</v>
      </c>
      <c r="C55" s="350" t="s">
        <v>12</v>
      </c>
      <c r="D55" s="350" t="s">
        <v>1486</v>
      </c>
      <c r="E55" s="480" t="s">
        <v>13</v>
      </c>
      <c r="F55" s="780">
        <v>3.71</v>
      </c>
      <c r="G55" s="627"/>
      <c r="H55" s="97"/>
      <c r="I55" s="946"/>
      <c r="J55" s="622"/>
      <c r="K55" s="982"/>
    </row>
    <row r="56" spans="1:11" s="224" customFormat="1" ht="15" hidden="1" customHeight="1" x14ac:dyDescent="0.25">
      <c r="A56" s="215">
        <v>43570</v>
      </c>
      <c r="B56" s="349" t="s">
        <v>151</v>
      </c>
      <c r="C56" s="352" t="s">
        <v>12</v>
      </c>
      <c r="D56" s="874" t="s">
        <v>1485</v>
      </c>
      <c r="E56" s="875" t="s">
        <v>15</v>
      </c>
      <c r="F56" s="780">
        <v>14</v>
      </c>
      <c r="G56" s="982"/>
      <c r="H56" s="622"/>
      <c r="I56" s="982"/>
      <c r="J56" s="622"/>
      <c r="K56" s="982"/>
    </row>
    <row r="57" spans="1:11" s="224" customFormat="1" ht="15" hidden="1" customHeight="1" x14ac:dyDescent="0.25">
      <c r="A57" s="215">
        <v>43570</v>
      </c>
      <c r="B57" s="349" t="s">
        <v>17</v>
      </c>
      <c r="C57" s="352" t="s">
        <v>12</v>
      </c>
      <c r="D57" s="874" t="s">
        <v>1493</v>
      </c>
      <c r="E57" s="875" t="s">
        <v>15</v>
      </c>
      <c r="F57" s="780">
        <v>5</v>
      </c>
      <c r="G57" s="982"/>
      <c r="H57" s="622"/>
      <c r="I57" s="982"/>
      <c r="J57" s="622"/>
      <c r="K57" s="982"/>
    </row>
    <row r="58" spans="1:11" s="224" customFormat="1" ht="15" hidden="1" customHeight="1" x14ac:dyDescent="0.25">
      <c r="A58" s="215">
        <v>43570</v>
      </c>
      <c r="B58" s="349" t="s">
        <v>14</v>
      </c>
      <c r="C58" s="350" t="s">
        <v>12</v>
      </c>
      <c r="D58" s="350" t="s">
        <v>1486</v>
      </c>
      <c r="E58" s="480" t="s">
        <v>13</v>
      </c>
      <c r="F58" s="780">
        <v>3.76</v>
      </c>
      <c r="G58" s="946"/>
      <c r="H58" s="97"/>
      <c r="I58" s="982"/>
      <c r="J58" s="622"/>
      <c r="K58" s="982"/>
    </row>
    <row r="59" spans="1:11" s="224" customFormat="1" ht="15" hidden="1" customHeight="1" x14ac:dyDescent="0.25">
      <c r="A59" s="215">
        <v>43571</v>
      </c>
      <c r="B59" s="349" t="s">
        <v>151</v>
      </c>
      <c r="C59" s="352" t="s">
        <v>12</v>
      </c>
      <c r="D59" s="874" t="s">
        <v>1485</v>
      </c>
      <c r="E59" s="875" t="s">
        <v>15</v>
      </c>
      <c r="F59" s="780">
        <v>14</v>
      </c>
      <c r="G59" s="982"/>
      <c r="H59" s="622"/>
      <c r="I59" s="982"/>
      <c r="J59" s="622"/>
      <c r="K59" s="982"/>
    </row>
    <row r="60" spans="1:11" s="224" customFormat="1" ht="15" hidden="1" customHeight="1" x14ac:dyDescent="0.25">
      <c r="A60" s="215">
        <v>43571</v>
      </c>
      <c r="B60" s="349" t="s">
        <v>14</v>
      </c>
      <c r="C60" s="350" t="s">
        <v>12</v>
      </c>
      <c r="D60" s="350" t="s">
        <v>1486</v>
      </c>
      <c r="E60" s="480" t="s">
        <v>13</v>
      </c>
      <c r="F60" s="852">
        <v>2.98</v>
      </c>
      <c r="G60" s="1064"/>
      <c r="H60" s="97"/>
      <c r="I60" s="982"/>
      <c r="J60" s="622"/>
      <c r="K60" s="982"/>
    </row>
    <row r="61" spans="1:11" s="224" customFormat="1" ht="15" hidden="1" customHeight="1" x14ac:dyDescent="0.25">
      <c r="A61" s="215">
        <v>43572</v>
      </c>
      <c r="B61" s="349" t="s">
        <v>151</v>
      </c>
      <c r="C61" s="352" t="s">
        <v>12</v>
      </c>
      <c r="D61" s="874" t="s">
        <v>1485</v>
      </c>
      <c r="E61" s="875" t="s">
        <v>15</v>
      </c>
      <c r="F61" s="780">
        <v>14</v>
      </c>
      <c r="G61" s="982"/>
      <c r="H61" s="622"/>
      <c r="I61" s="982"/>
      <c r="J61" s="622"/>
      <c r="K61" s="982"/>
    </row>
    <row r="62" spans="1:11" s="224" customFormat="1" ht="15" hidden="1" customHeight="1" x14ac:dyDescent="0.25">
      <c r="A62" s="215">
        <v>43572</v>
      </c>
      <c r="B62" s="349" t="s">
        <v>2164</v>
      </c>
      <c r="C62" s="350" t="s">
        <v>12</v>
      </c>
      <c r="D62" s="802" t="s">
        <v>1491</v>
      </c>
      <c r="E62" s="145" t="s">
        <v>15</v>
      </c>
      <c r="F62" s="891">
        <v>30</v>
      </c>
      <c r="G62" s="982"/>
      <c r="H62" s="622"/>
      <c r="I62" s="982"/>
      <c r="J62" s="622"/>
      <c r="K62" s="982"/>
    </row>
    <row r="63" spans="1:11" s="224" customFormat="1" ht="15" hidden="1" customHeight="1" x14ac:dyDescent="0.25">
      <c r="A63" s="215">
        <v>43572</v>
      </c>
      <c r="B63" s="349" t="s">
        <v>134</v>
      </c>
      <c r="C63" s="350" t="s">
        <v>12</v>
      </c>
      <c r="D63" s="350" t="s">
        <v>1493</v>
      </c>
      <c r="E63" s="480" t="s">
        <v>13</v>
      </c>
      <c r="F63" s="852">
        <v>15.84</v>
      </c>
      <c r="G63" s="1064"/>
      <c r="H63" s="97"/>
      <c r="I63" s="982"/>
      <c r="J63" s="622"/>
      <c r="K63" s="982"/>
    </row>
    <row r="64" spans="1:11" s="224" customFormat="1" ht="15" hidden="1" customHeight="1" x14ac:dyDescent="0.25">
      <c r="A64" s="215">
        <v>43573</v>
      </c>
      <c r="B64" s="349" t="s">
        <v>14</v>
      </c>
      <c r="C64" s="350" t="s">
        <v>12</v>
      </c>
      <c r="D64" s="350" t="s">
        <v>1486</v>
      </c>
      <c r="E64" s="480" t="s">
        <v>13</v>
      </c>
      <c r="F64" s="852">
        <v>2.41</v>
      </c>
      <c r="G64" s="1064"/>
      <c r="H64" s="97"/>
      <c r="I64" s="982"/>
      <c r="J64" s="622"/>
      <c r="K64" s="982"/>
    </row>
    <row r="65" spans="1:15" hidden="1" x14ac:dyDescent="0.25">
      <c r="A65" s="215">
        <v>43573</v>
      </c>
      <c r="B65" s="882" t="s">
        <v>2199</v>
      </c>
      <c r="C65" s="350" t="s">
        <v>12</v>
      </c>
      <c r="D65" s="145"/>
      <c r="E65" s="145" t="s">
        <v>25</v>
      </c>
      <c r="F65" s="1529"/>
      <c r="G65" s="965">
        <v>1600</v>
      </c>
      <c r="H65" s="97"/>
      <c r="I65" s="946"/>
      <c r="J65" s="97"/>
      <c r="K65" s="946"/>
    </row>
    <row r="66" spans="1:15" s="224" customFormat="1" hidden="1" x14ac:dyDescent="0.25">
      <c r="A66" s="215">
        <v>43573</v>
      </c>
      <c r="B66" s="873" t="s">
        <v>1564</v>
      </c>
      <c r="C66" s="879" t="s">
        <v>12</v>
      </c>
      <c r="D66" s="350" t="s">
        <v>1491</v>
      </c>
      <c r="E66" s="871" t="s">
        <v>15</v>
      </c>
      <c r="F66" s="853">
        <v>140</v>
      </c>
      <c r="G66" s="964"/>
      <c r="H66" s="622"/>
      <c r="I66" s="982"/>
      <c r="J66" s="622"/>
      <c r="K66" s="982"/>
    </row>
    <row r="67" spans="1:15" s="224" customFormat="1" ht="15.75" hidden="1" customHeight="1" x14ac:dyDescent="0.25">
      <c r="A67" s="215">
        <v>43573</v>
      </c>
      <c r="B67" s="882" t="s">
        <v>2200</v>
      </c>
      <c r="C67" s="879" t="s">
        <v>12</v>
      </c>
      <c r="D67" s="879" t="s">
        <v>1499</v>
      </c>
      <c r="E67" s="871" t="s">
        <v>13</v>
      </c>
      <c r="F67" s="853">
        <v>1.1200000000000001</v>
      </c>
      <c r="G67" s="968"/>
      <c r="H67" s="538"/>
      <c r="I67" s="982"/>
      <c r="J67" s="622"/>
      <c r="K67" s="982"/>
      <c r="L67" s="3133" t="s">
        <v>2201</v>
      </c>
      <c r="M67" s="3134"/>
      <c r="N67" s="3134"/>
      <c r="O67" s="3134"/>
    </row>
    <row r="68" spans="1:15" s="224" customFormat="1" ht="15" hidden="1" customHeight="1" x14ac:dyDescent="0.25">
      <c r="A68" s="215">
        <v>43573</v>
      </c>
      <c r="B68" s="349" t="s">
        <v>260</v>
      </c>
      <c r="C68" s="350" t="s">
        <v>12</v>
      </c>
      <c r="D68" s="350"/>
      <c r="E68" s="480"/>
      <c r="F68" s="852">
        <v>500</v>
      </c>
      <c r="G68" s="1527"/>
      <c r="H68" s="97"/>
      <c r="I68" s="946">
        <v>500</v>
      </c>
      <c r="J68" s="97"/>
      <c r="K68" s="946"/>
      <c r="L68" s="459"/>
    </row>
    <row r="69" spans="1:15" s="224" customFormat="1" ht="15" hidden="1" customHeight="1" x14ac:dyDescent="0.25">
      <c r="A69" s="215">
        <v>43573</v>
      </c>
      <c r="B69" s="349" t="s">
        <v>151</v>
      </c>
      <c r="C69" s="352" t="s">
        <v>12</v>
      </c>
      <c r="D69" s="874" t="s">
        <v>1485</v>
      </c>
      <c r="E69" s="875" t="s">
        <v>13</v>
      </c>
      <c r="F69" s="780">
        <v>14</v>
      </c>
      <c r="G69" s="1064"/>
      <c r="H69" s="97"/>
      <c r="I69" s="982"/>
      <c r="J69" s="622"/>
      <c r="K69" s="982"/>
    </row>
    <row r="70" spans="1:15" s="224" customFormat="1" ht="15" hidden="1" customHeight="1" x14ac:dyDescent="0.25">
      <c r="A70" s="215">
        <v>43573</v>
      </c>
      <c r="B70" s="349" t="s">
        <v>134</v>
      </c>
      <c r="C70" s="350" t="s">
        <v>12</v>
      </c>
      <c r="D70" s="350" t="s">
        <v>1493</v>
      </c>
      <c r="E70" s="480" t="s">
        <v>15</v>
      </c>
      <c r="F70" s="852">
        <v>6</v>
      </c>
      <c r="G70" s="1527"/>
      <c r="H70" s="97"/>
      <c r="I70" s="946"/>
      <c r="J70" s="97"/>
      <c r="K70" s="946"/>
    </row>
    <row r="71" spans="1:15" s="224" customFormat="1" ht="15" hidden="1" customHeight="1" x14ac:dyDescent="0.25">
      <c r="A71" s="215">
        <v>43574</v>
      </c>
      <c r="B71" s="349" t="s">
        <v>151</v>
      </c>
      <c r="C71" s="352" t="s">
        <v>12</v>
      </c>
      <c r="D71" s="874" t="s">
        <v>1485</v>
      </c>
      <c r="E71" s="875" t="s">
        <v>13</v>
      </c>
      <c r="F71" s="780">
        <v>17.899999999999999</v>
      </c>
      <c r="G71" s="1064"/>
      <c r="H71" s="97"/>
      <c r="I71" s="982"/>
      <c r="J71" s="622"/>
      <c r="K71" s="982"/>
    </row>
    <row r="72" spans="1:15" s="224" customFormat="1" ht="15" hidden="1" customHeight="1" x14ac:dyDescent="0.25">
      <c r="A72" s="215">
        <v>43574</v>
      </c>
      <c r="B72" s="349" t="s">
        <v>2198</v>
      </c>
      <c r="C72" s="350" t="s">
        <v>19</v>
      </c>
      <c r="D72" s="802" t="s">
        <v>2157</v>
      </c>
      <c r="E72" s="145" t="s">
        <v>13</v>
      </c>
      <c r="F72" s="852">
        <v>80</v>
      </c>
      <c r="G72" s="1064"/>
      <c r="H72" s="97"/>
      <c r="I72" s="982"/>
      <c r="J72" s="622"/>
      <c r="K72" s="982"/>
    </row>
    <row r="73" spans="1:15" s="224" customFormat="1" ht="15" hidden="1" customHeight="1" x14ac:dyDescent="0.25">
      <c r="A73" s="215">
        <v>43574</v>
      </c>
      <c r="B73" s="349" t="s">
        <v>2202</v>
      </c>
      <c r="C73" s="352" t="s">
        <v>19</v>
      </c>
      <c r="D73" s="874" t="s">
        <v>1491</v>
      </c>
      <c r="E73" s="875" t="s">
        <v>13</v>
      </c>
      <c r="F73" s="780">
        <v>84.97</v>
      </c>
      <c r="G73" s="1064"/>
      <c r="H73" s="97"/>
      <c r="I73" s="982"/>
      <c r="J73" s="622"/>
      <c r="K73" s="982"/>
    </row>
    <row r="74" spans="1:15" s="224" customFormat="1" ht="15" hidden="1" customHeight="1" x14ac:dyDescent="0.25">
      <c r="A74" s="215">
        <v>43574</v>
      </c>
      <c r="B74" s="349" t="s">
        <v>2203</v>
      </c>
      <c r="C74" s="350" t="s">
        <v>19</v>
      </c>
      <c r="D74" s="802" t="s">
        <v>1489</v>
      </c>
      <c r="E74" s="145" t="s">
        <v>13</v>
      </c>
      <c r="F74" s="852">
        <v>109.8</v>
      </c>
      <c r="G74" s="1064"/>
      <c r="H74" s="97"/>
      <c r="I74" s="982"/>
      <c r="J74" s="622"/>
      <c r="K74" s="982"/>
    </row>
    <row r="75" spans="1:15" s="224" customFormat="1" ht="15" hidden="1" customHeight="1" x14ac:dyDescent="0.25">
      <c r="A75" s="215">
        <v>43574</v>
      </c>
      <c r="B75" s="349" t="s">
        <v>2204</v>
      </c>
      <c r="C75" s="350" t="s">
        <v>12</v>
      </c>
      <c r="D75" s="802" t="s">
        <v>1491</v>
      </c>
      <c r="E75" s="145" t="s">
        <v>13</v>
      </c>
      <c r="F75" s="852">
        <v>20</v>
      </c>
      <c r="G75" s="1064"/>
      <c r="H75" s="97"/>
      <c r="I75" s="982"/>
      <c r="J75" s="622"/>
      <c r="K75" s="982"/>
    </row>
    <row r="76" spans="1:15" s="224" customFormat="1" ht="15" hidden="1" customHeight="1" x14ac:dyDescent="0.25">
      <c r="A76" s="215">
        <v>43574</v>
      </c>
      <c r="B76" s="349" t="s">
        <v>134</v>
      </c>
      <c r="C76" s="350" t="s">
        <v>12</v>
      </c>
      <c r="D76" s="350" t="s">
        <v>1493</v>
      </c>
      <c r="E76" s="480" t="s">
        <v>13</v>
      </c>
      <c r="F76" s="852">
        <v>7.92</v>
      </c>
      <c r="G76" s="1527"/>
      <c r="H76" s="97"/>
      <c r="I76" s="946"/>
      <c r="J76" s="97"/>
      <c r="K76" s="946"/>
    </row>
    <row r="77" spans="1:15" s="224" customFormat="1" ht="15" hidden="1" customHeight="1" x14ac:dyDescent="0.25">
      <c r="A77" s="215">
        <v>43575</v>
      </c>
      <c r="B77" s="349" t="s">
        <v>43</v>
      </c>
      <c r="C77" s="350" t="s">
        <v>12</v>
      </c>
      <c r="D77" s="350" t="s">
        <v>1493</v>
      </c>
      <c r="E77" s="480" t="s">
        <v>13</v>
      </c>
      <c r="F77" s="852">
        <v>18</v>
      </c>
      <c r="G77" s="1527"/>
      <c r="H77" s="97"/>
      <c r="I77" s="946"/>
      <c r="J77" s="97"/>
      <c r="K77" s="946"/>
    </row>
    <row r="78" spans="1:15" s="224" customFormat="1" ht="15" hidden="1" customHeight="1" x14ac:dyDescent="0.25">
      <c r="A78" s="215">
        <v>43575</v>
      </c>
      <c r="B78" s="349" t="s">
        <v>525</v>
      </c>
      <c r="C78" s="350" t="s">
        <v>12</v>
      </c>
      <c r="D78" s="350" t="s">
        <v>1493</v>
      </c>
      <c r="E78" s="480" t="s">
        <v>13</v>
      </c>
      <c r="F78" s="852">
        <v>26.9</v>
      </c>
      <c r="G78" s="1527"/>
      <c r="H78" s="97"/>
      <c r="I78" s="946"/>
      <c r="J78" s="97"/>
      <c r="K78" s="946"/>
    </row>
    <row r="79" spans="1:15" s="224" customFormat="1" ht="15" hidden="1" customHeight="1" x14ac:dyDescent="0.25">
      <c r="A79" s="215">
        <v>43575</v>
      </c>
      <c r="B79" s="349" t="s">
        <v>151</v>
      </c>
      <c r="C79" s="352" t="s">
        <v>12</v>
      </c>
      <c r="D79" s="874" t="s">
        <v>1485</v>
      </c>
      <c r="E79" s="875" t="s">
        <v>15</v>
      </c>
      <c r="F79" s="852">
        <v>11</v>
      </c>
      <c r="G79" s="1527"/>
      <c r="H79" s="97"/>
      <c r="I79" s="946"/>
      <c r="J79" s="97"/>
      <c r="K79" s="946"/>
    </row>
    <row r="80" spans="1:15" s="224" customFormat="1" ht="15" hidden="1" customHeight="1" x14ac:dyDescent="0.25">
      <c r="A80" s="215">
        <v>43576</v>
      </c>
      <c r="B80" s="349" t="s">
        <v>14</v>
      </c>
      <c r="C80" s="350" t="s">
        <v>12</v>
      </c>
      <c r="D80" s="350" t="s">
        <v>1486</v>
      </c>
      <c r="E80" s="480" t="s">
        <v>13</v>
      </c>
      <c r="F80" s="852">
        <v>3.48</v>
      </c>
      <c r="G80" s="1064"/>
      <c r="H80" s="97"/>
      <c r="I80" s="982"/>
      <c r="J80" s="622"/>
      <c r="K80" s="982"/>
    </row>
    <row r="81" spans="1:13" s="224" customFormat="1" ht="15" hidden="1" customHeight="1" x14ac:dyDescent="0.25">
      <c r="A81" s="215">
        <v>43576</v>
      </c>
      <c r="B81" s="349" t="s">
        <v>1056</v>
      </c>
      <c r="C81" s="350" t="s">
        <v>12</v>
      </c>
      <c r="D81" s="879" t="s">
        <v>1523</v>
      </c>
      <c r="E81" s="480" t="s">
        <v>13</v>
      </c>
      <c r="F81" s="852">
        <v>5</v>
      </c>
      <c r="G81" s="1527"/>
      <c r="H81" s="97"/>
      <c r="I81" s="982"/>
      <c r="J81" s="622"/>
      <c r="K81" s="982"/>
    </row>
    <row r="82" spans="1:13" s="224" customFormat="1" ht="15" hidden="1" customHeight="1" x14ac:dyDescent="0.25">
      <c r="A82" s="215">
        <v>43576</v>
      </c>
      <c r="B82" s="349" t="s">
        <v>151</v>
      </c>
      <c r="C82" s="352" t="s">
        <v>12</v>
      </c>
      <c r="D82" s="874" t="s">
        <v>1485</v>
      </c>
      <c r="E82" s="875" t="s">
        <v>13</v>
      </c>
      <c r="F82" s="852">
        <v>19.739999999999998</v>
      </c>
      <c r="G82" s="1527"/>
      <c r="H82" s="97"/>
      <c r="I82" s="982"/>
      <c r="J82" s="622"/>
      <c r="K82" s="982"/>
    </row>
    <row r="83" spans="1:13" s="224" customFormat="1" ht="15" hidden="1" customHeight="1" x14ac:dyDescent="0.25">
      <c r="A83" s="215">
        <v>43577</v>
      </c>
      <c r="B83" s="349" t="s">
        <v>151</v>
      </c>
      <c r="C83" s="352" t="s">
        <v>12</v>
      </c>
      <c r="D83" s="874" t="s">
        <v>1485</v>
      </c>
      <c r="E83" s="875" t="s">
        <v>15</v>
      </c>
      <c r="F83" s="852">
        <v>14</v>
      </c>
      <c r="G83" s="1527"/>
      <c r="H83" s="97"/>
      <c r="I83" s="946"/>
      <c r="J83" s="97"/>
      <c r="K83" s="946"/>
    </row>
    <row r="84" spans="1:13" s="224" customFormat="1" ht="15" hidden="1" customHeight="1" x14ac:dyDescent="0.25">
      <c r="A84" s="215">
        <v>43577</v>
      </c>
      <c r="B84" s="349" t="s">
        <v>14</v>
      </c>
      <c r="C84" s="350" t="s">
        <v>12</v>
      </c>
      <c r="D84" s="350" t="s">
        <v>1486</v>
      </c>
      <c r="E84" s="480" t="s">
        <v>13</v>
      </c>
      <c r="F84" s="852">
        <v>7.2</v>
      </c>
      <c r="G84" s="1064"/>
      <c r="H84" s="97"/>
      <c r="I84" s="982"/>
      <c r="J84" s="622"/>
      <c r="K84" s="982"/>
    </row>
    <row r="85" spans="1:13" s="224" customFormat="1" ht="15" hidden="1" customHeight="1" x14ac:dyDescent="0.25">
      <c r="A85" s="215">
        <v>43578</v>
      </c>
      <c r="B85" s="862" t="s">
        <v>256</v>
      </c>
      <c r="C85" s="879"/>
      <c r="D85" s="879"/>
      <c r="E85" s="871"/>
      <c r="F85" s="97"/>
      <c r="G85" s="1064">
        <v>400</v>
      </c>
      <c r="H85" s="97">
        <v>400</v>
      </c>
      <c r="I85" s="982"/>
      <c r="J85" s="622"/>
      <c r="K85" s="982"/>
    </row>
    <row r="86" spans="1:13" s="224" customFormat="1" ht="15" hidden="1" customHeight="1" x14ac:dyDescent="0.25">
      <c r="A86" s="215">
        <v>43578</v>
      </c>
      <c r="B86" s="349" t="s">
        <v>151</v>
      </c>
      <c r="C86" s="352" t="s">
        <v>12</v>
      </c>
      <c r="D86" s="874" t="s">
        <v>1485</v>
      </c>
      <c r="E86" s="875" t="s">
        <v>13</v>
      </c>
      <c r="F86" s="852">
        <v>14</v>
      </c>
      <c r="G86" s="1527"/>
      <c r="H86" s="97"/>
      <c r="I86" s="946"/>
      <c r="J86" s="97"/>
      <c r="K86" s="946"/>
    </row>
    <row r="87" spans="1:13" s="224" customFormat="1" ht="15" hidden="1" customHeight="1" x14ac:dyDescent="0.25">
      <c r="A87" s="215">
        <v>43578</v>
      </c>
      <c r="B87" s="349" t="s">
        <v>2205</v>
      </c>
      <c r="C87" s="350" t="s">
        <v>12</v>
      </c>
      <c r="D87" s="350" t="s">
        <v>2131</v>
      </c>
      <c r="E87" s="480" t="s">
        <v>13</v>
      </c>
      <c r="F87" s="852">
        <v>8</v>
      </c>
      <c r="G87" s="1064"/>
      <c r="H87" s="97"/>
      <c r="I87" s="982"/>
      <c r="J87" s="622"/>
      <c r="K87" s="982"/>
    </row>
    <row r="88" spans="1:13" s="224" customFormat="1" ht="15" hidden="1" customHeight="1" x14ac:dyDescent="0.25">
      <c r="A88" s="215">
        <v>43578</v>
      </c>
      <c r="B88" s="349" t="s">
        <v>14</v>
      </c>
      <c r="C88" s="350" t="s">
        <v>12</v>
      </c>
      <c r="D88" s="350" t="s">
        <v>1486</v>
      </c>
      <c r="E88" s="480" t="s">
        <v>13</v>
      </c>
      <c r="F88" s="852">
        <v>3.52</v>
      </c>
      <c r="G88" s="1064"/>
      <c r="H88" s="97"/>
      <c r="I88" s="982"/>
      <c r="J88" s="622"/>
      <c r="K88" s="982"/>
    </row>
    <row r="89" spans="1:13" s="224" customFormat="1" ht="15" hidden="1" customHeight="1" x14ac:dyDescent="0.25">
      <c r="A89" s="215">
        <v>43579</v>
      </c>
      <c r="B89" s="349" t="s">
        <v>151</v>
      </c>
      <c r="C89" s="352" t="s">
        <v>12</v>
      </c>
      <c r="D89" s="874" t="s">
        <v>1485</v>
      </c>
      <c r="E89" s="875" t="s">
        <v>13</v>
      </c>
      <c r="F89" s="852">
        <v>14</v>
      </c>
      <c r="G89" s="1064"/>
      <c r="H89" s="97"/>
      <c r="I89" s="982"/>
      <c r="J89" s="622"/>
      <c r="K89" s="982"/>
    </row>
    <row r="90" spans="1:13" s="224" customFormat="1" ht="15" hidden="1" customHeight="1" x14ac:dyDescent="0.25">
      <c r="A90" s="215">
        <v>43579</v>
      </c>
      <c r="B90" s="862" t="s">
        <v>2206</v>
      </c>
      <c r="C90" s="350" t="s">
        <v>12</v>
      </c>
      <c r="D90" s="874" t="s">
        <v>1504</v>
      </c>
      <c r="E90" s="887" t="s">
        <v>13</v>
      </c>
      <c r="F90" s="852">
        <v>74</v>
      </c>
      <c r="G90" s="1527"/>
      <c r="H90" s="97"/>
      <c r="I90" s="982"/>
      <c r="J90" s="622"/>
      <c r="K90" s="982"/>
      <c r="L90" s="927">
        <v>148</v>
      </c>
    </row>
    <row r="91" spans="1:13" s="224" customFormat="1" ht="15" hidden="1" customHeight="1" x14ac:dyDescent="0.25">
      <c r="A91" s="215">
        <v>43579</v>
      </c>
      <c r="B91" s="349" t="s">
        <v>1597</v>
      </c>
      <c r="C91" s="350" t="s">
        <v>12</v>
      </c>
      <c r="D91" s="350" t="s">
        <v>1491</v>
      </c>
      <c r="E91" s="480" t="s">
        <v>15</v>
      </c>
      <c r="F91" s="852">
        <v>60</v>
      </c>
      <c r="G91" s="1064"/>
      <c r="H91" s="97"/>
      <c r="I91" s="982"/>
      <c r="J91" s="622"/>
      <c r="K91" s="982"/>
      <c r="M91" s="178"/>
    </row>
    <row r="92" spans="1:13" s="224" customFormat="1" ht="15" hidden="1" customHeight="1" x14ac:dyDescent="0.25">
      <c r="A92" s="215">
        <v>43579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852">
        <v>10.130000000000001</v>
      </c>
      <c r="G92" s="1064"/>
      <c r="H92" s="97"/>
      <c r="I92" s="982"/>
      <c r="J92" s="622"/>
      <c r="K92" s="982"/>
    </row>
    <row r="93" spans="1:13" s="224" customFormat="1" ht="15" hidden="1" customHeight="1" x14ac:dyDescent="0.25">
      <c r="A93" s="215">
        <v>43580</v>
      </c>
      <c r="B93" s="349" t="s">
        <v>151</v>
      </c>
      <c r="C93" s="352" t="s">
        <v>12</v>
      </c>
      <c r="D93" s="874" t="s">
        <v>1485</v>
      </c>
      <c r="E93" s="875" t="s">
        <v>13</v>
      </c>
      <c r="F93" s="852">
        <v>14</v>
      </c>
      <c r="G93" s="1064"/>
      <c r="H93" s="97"/>
      <c r="I93" s="982"/>
      <c r="J93" s="622"/>
      <c r="K93" s="982"/>
    </row>
    <row r="94" spans="1:13" s="224" customFormat="1" ht="15" hidden="1" customHeight="1" x14ac:dyDescent="0.25">
      <c r="A94" s="215">
        <v>43580</v>
      </c>
      <c r="B94" s="862" t="s">
        <v>2207</v>
      </c>
      <c r="C94" s="350" t="s">
        <v>12</v>
      </c>
      <c r="D94" s="874" t="s">
        <v>2168</v>
      </c>
      <c r="E94" s="887" t="s">
        <v>13</v>
      </c>
      <c r="F94" s="852">
        <v>20</v>
      </c>
      <c r="G94" s="1527"/>
      <c r="H94" s="97"/>
      <c r="I94" s="982"/>
      <c r="J94" s="622"/>
      <c r="K94" s="982"/>
      <c r="L94" s="927"/>
    </row>
    <row r="95" spans="1:13" s="224" customFormat="1" ht="15" hidden="1" customHeight="1" x14ac:dyDescent="0.25">
      <c r="A95" s="215">
        <v>43580</v>
      </c>
      <c r="B95" s="349" t="s">
        <v>14</v>
      </c>
      <c r="C95" s="350" t="s">
        <v>12</v>
      </c>
      <c r="D95" s="350" t="s">
        <v>1486</v>
      </c>
      <c r="E95" s="480" t="s">
        <v>13</v>
      </c>
      <c r="F95" s="852">
        <v>2.2400000000000002</v>
      </c>
      <c r="G95" s="1527"/>
      <c r="H95" s="97"/>
      <c r="I95" s="982"/>
      <c r="J95" s="622"/>
      <c r="K95" s="982"/>
      <c r="L95" s="927"/>
    </row>
    <row r="96" spans="1:13" s="224" customFormat="1" ht="15" hidden="1" customHeight="1" x14ac:dyDescent="0.25">
      <c r="A96" s="215">
        <v>43581</v>
      </c>
      <c r="B96" s="349" t="s">
        <v>14</v>
      </c>
      <c r="C96" s="350" t="s">
        <v>12</v>
      </c>
      <c r="D96" s="350" t="s">
        <v>1486</v>
      </c>
      <c r="E96" s="480" t="s">
        <v>13</v>
      </c>
      <c r="F96" s="852">
        <v>7.85</v>
      </c>
      <c r="G96" s="1527"/>
      <c r="H96" s="97"/>
      <c r="I96" s="982"/>
      <c r="J96" s="622"/>
      <c r="K96" s="982"/>
      <c r="L96" s="927"/>
    </row>
    <row r="97" spans="1:12" s="224" customFormat="1" ht="15" hidden="1" customHeight="1" x14ac:dyDescent="0.25">
      <c r="A97" s="215">
        <v>43581</v>
      </c>
      <c r="B97" s="349" t="s">
        <v>151</v>
      </c>
      <c r="C97" s="352" t="s">
        <v>12</v>
      </c>
      <c r="D97" s="874" t="s">
        <v>1485</v>
      </c>
      <c r="E97" s="875" t="s">
        <v>15</v>
      </c>
      <c r="F97" s="852">
        <v>14</v>
      </c>
      <c r="G97" s="1064"/>
      <c r="H97" s="97"/>
      <c r="I97" s="982"/>
      <c r="J97" s="622"/>
      <c r="K97" s="982"/>
    </row>
    <row r="98" spans="1:12" s="224" customFormat="1" ht="15" hidden="1" customHeight="1" x14ac:dyDescent="0.25">
      <c r="A98" s="215">
        <v>43581</v>
      </c>
      <c r="B98" s="349" t="s">
        <v>14</v>
      </c>
      <c r="C98" s="350" t="s">
        <v>12</v>
      </c>
      <c r="D98" s="350" t="s">
        <v>1486</v>
      </c>
      <c r="E98" s="480" t="s">
        <v>15</v>
      </c>
      <c r="F98" s="852">
        <v>5</v>
      </c>
      <c r="G98" s="1527"/>
      <c r="H98" s="97"/>
      <c r="I98" s="982"/>
      <c r="J98" s="622"/>
      <c r="K98" s="982"/>
      <c r="L98" s="927"/>
    </row>
    <row r="99" spans="1:12" s="224" customFormat="1" ht="15" hidden="1" customHeight="1" x14ac:dyDescent="0.25">
      <c r="A99" s="215">
        <v>43581</v>
      </c>
      <c r="B99" s="862" t="s">
        <v>256</v>
      </c>
      <c r="C99" s="879"/>
      <c r="D99" s="879"/>
      <c r="E99" s="871"/>
      <c r="F99" s="97"/>
      <c r="G99" s="1064">
        <v>200</v>
      </c>
      <c r="H99" s="97">
        <v>200</v>
      </c>
      <c r="I99" s="982"/>
      <c r="J99" s="622"/>
      <c r="K99" s="982"/>
    </row>
    <row r="100" spans="1:12" s="224" customFormat="1" ht="15" hidden="1" customHeight="1" x14ac:dyDescent="0.25">
      <c r="A100" s="215">
        <v>43581</v>
      </c>
      <c r="B100" s="349" t="s">
        <v>1438</v>
      </c>
      <c r="C100" s="350" t="s">
        <v>19</v>
      </c>
      <c r="D100" s="350" t="s">
        <v>1489</v>
      </c>
      <c r="E100" s="480" t="s">
        <v>13</v>
      </c>
      <c r="F100" s="852">
        <v>55</v>
      </c>
      <c r="G100" s="1527"/>
      <c r="H100" s="97"/>
      <c r="I100" s="946"/>
      <c r="J100" s="97"/>
      <c r="K100" s="946"/>
    </row>
    <row r="101" spans="1:12" s="224" customFormat="1" ht="15" hidden="1" customHeight="1" x14ac:dyDescent="0.25">
      <c r="A101" s="215">
        <v>43581</v>
      </c>
      <c r="B101" s="349" t="s">
        <v>2208</v>
      </c>
      <c r="C101" s="350" t="s">
        <v>19</v>
      </c>
      <c r="D101" s="350" t="s">
        <v>1489</v>
      </c>
      <c r="E101" s="480" t="s">
        <v>13</v>
      </c>
      <c r="F101" s="852">
        <v>85</v>
      </c>
      <c r="G101" s="1527"/>
      <c r="H101" s="97"/>
      <c r="I101" s="946"/>
      <c r="J101" s="97"/>
      <c r="K101" s="946"/>
    </row>
    <row r="102" spans="1:12" s="224" customFormat="1" ht="15" hidden="1" customHeight="1" x14ac:dyDescent="0.25">
      <c r="A102" s="215">
        <v>43582</v>
      </c>
      <c r="B102" s="349"/>
      <c r="C102" s="350"/>
      <c r="D102" s="350"/>
      <c r="E102" s="480"/>
      <c r="F102" s="852"/>
      <c r="G102" s="1527"/>
      <c r="H102" s="97"/>
      <c r="I102" s="946"/>
      <c r="J102" s="97"/>
      <c r="K102" s="946"/>
    </row>
    <row r="103" spans="1:12" s="224" customFormat="1" ht="15" hidden="1" customHeight="1" x14ac:dyDescent="0.25">
      <c r="A103" s="215">
        <v>43583</v>
      </c>
      <c r="B103" s="349" t="s">
        <v>14</v>
      </c>
      <c r="C103" s="350" t="s">
        <v>12</v>
      </c>
      <c r="D103" s="350" t="s">
        <v>1486</v>
      </c>
      <c r="E103" s="480" t="s">
        <v>13</v>
      </c>
      <c r="F103" s="852">
        <v>8.57</v>
      </c>
      <c r="G103" s="1064"/>
      <c r="H103" s="97"/>
      <c r="I103" s="982"/>
      <c r="J103" s="622"/>
      <c r="K103" s="982"/>
    </row>
    <row r="104" spans="1:12" s="224" customFormat="1" ht="15" hidden="1" customHeight="1" x14ac:dyDescent="0.25">
      <c r="A104" s="215">
        <v>43584</v>
      </c>
      <c r="B104" s="349" t="s">
        <v>151</v>
      </c>
      <c r="C104" s="352" t="s">
        <v>12</v>
      </c>
      <c r="D104" s="874" t="s">
        <v>1485</v>
      </c>
      <c r="E104" s="875" t="s">
        <v>13</v>
      </c>
      <c r="F104" s="852">
        <v>14</v>
      </c>
      <c r="G104" s="1064"/>
      <c r="H104" s="97"/>
      <c r="I104" s="982"/>
      <c r="J104" s="622"/>
      <c r="K104" s="982"/>
    </row>
    <row r="105" spans="1:12" s="224" customFormat="1" ht="15" hidden="1" customHeight="1" x14ac:dyDescent="0.25">
      <c r="A105" s="215">
        <v>43584</v>
      </c>
      <c r="B105" s="349" t="s">
        <v>14</v>
      </c>
      <c r="C105" s="350" t="s">
        <v>12</v>
      </c>
      <c r="D105" s="350" t="s">
        <v>1486</v>
      </c>
      <c r="E105" s="480" t="s">
        <v>13</v>
      </c>
      <c r="F105" s="852">
        <v>4</v>
      </c>
      <c r="G105" s="1527"/>
      <c r="H105" s="97"/>
      <c r="I105" s="946"/>
      <c r="J105" s="97"/>
      <c r="K105" s="946"/>
    </row>
    <row r="106" spans="1:12" s="224" customFormat="1" ht="15" hidden="1" customHeight="1" x14ac:dyDescent="0.25">
      <c r="A106" s="215">
        <v>43585</v>
      </c>
      <c r="B106" s="349" t="s">
        <v>151</v>
      </c>
      <c r="C106" s="352" t="s">
        <v>12</v>
      </c>
      <c r="D106" s="874" t="s">
        <v>1485</v>
      </c>
      <c r="E106" s="875" t="s">
        <v>13</v>
      </c>
      <c r="F106" s="852">
        <v>14</v>
      </c>
      <c r="G106" s="1064"/>
      <c r="H106" s="97"/>
      <c r="I106" s="982"/>
      <c r="J106" s="622"/>
      <c r="K106" s="982"/>
    </row>
    <row r="107" spans="1:12" s="224" customFormat="1" ht="15" hidden="1" customHeight="1" x14ac:dyDescent="0.25">
      <c r="A107" s="215">
        <v>43585</v>
      </c>
      <c r="B107" s="349" t="s">
        <v>2198</v>
      </c>
      <c r="C107" s="350" t="s">
        <v>12</v>
      </c>
      <c r="D107" s="350" t="s">
        <v>2157</v>
      </c>
      <c r="E107" s="480" t="s">
        <v>15</v>
      </c>
      <c r="F107" s="852">
        <v>30</v>
      </c>
      <c r="G107" s="1064"/>
      <c r="H107" s="97"/>
      <c r="I107" s="982"/>
      <c r="J107" s="622"/>
      <c r="K107" s="982"/>
    </row>
    <row r="108" spans="1:12" s="224" customFormat="1" ht="15" hidden="1" customHeight="1" x14ac:dyDescent="0.25">
      <c r="A108" s="215">
        <v>43585</v>
      </c>
      <c r="B108" s="349" t="s">
        <v>14</v>
      </c>
      <c r="C108" s="350" t="s">
        <v>12</v>
      </c>
      <c r="D108" s="350" t="s">
        <v>1486</v>
      </c>
      <c r="E108" s="480" t="s">
        <v>13</v>
      </c>
      <c r="F108" s="852">
        <v>13.65</v>
      </c>
      <c r="G108" s="1527"/>
      <c r="H108" s="97"/>
      <c r="I108" s="946"/>
      <c r="J108" s="97"/>
      <c r="K108" s="946"/>
    </row>
    <row r="109" spans="1:12" s="224" customFormat="1" hidden="1" x14ac:dyDescent="0.25">
      <c r="A109" s="215">
        <v>43585</v>
      </c>
      <c r="B109" s="862" t="s">
        <v>1666</v>
      </c>
      <c r="C109" s="350" t="s">
        <v>12</v>
      </c>
      <c r="D109" s="350"/>
      <c r="E109" s="480" t="s">
        <v>25</v>
      </c>
      <c r="F109" s="853"/>
      <c r="G109" s="964"/>
      <c r="H109" s="622"/>
      <c r="I109" s="982"/>
      <c r="J109" s="622"/>
      <c r="K109" s="982">
        <v>29.02</v>
      </c>
    </row>
    <row r="110" spans="1:12" s="224" customFormat="1" ht="15" hidden="1" customHeight="1" thickBot="1" x14ac:dyDescent="0.3">
      <c r="A110" s="215">
        <v>43585</v>
      </c>
      <c r="B110" s="862" t="s">
        <v>1710</v>
      </c>
      <c r="C110" s="879" t="s">
        <v>12</v>
      </c>
      <c r="D110" s="879" t="s">
        <v>1504</v>
      </c>
      <c r="E110" s="871" t="s">
        <v>13</v>
      </c>
      <c r="F110" s="894">
        <v>32.9</v>
      </c>
      <c r="G110" s="965"/>
      <c r="H110" s="97"/>
      <c r="I110" s="946"/>
      <c r="J110" s="97"/>
      <c r="K110" s="946"/>
    </row>
    <row r="111" spans="1:12" ht="25.5" hidden="1" customHeight="1" thickBot="1" x14ac:dyDescent="0.3">
      <c r="A111" s="3060"/>
      <c r="B111" s="3061"/>
      <c r="C111" s="3062"/>
      <c r="D111" s="3062"/>
      <c r="E111" s="3062"/>
      <c r="F111" s="100">
        <f>SUM(F6:F110)</f>
        <v>3974.23</v>
      </c>
      <c r="G111" s="1065">
        <f>SUM(G5:G110)</f>
        <v>4754.770000000015</v>
      </c>
      <c r="H111" s="101">
        <f>SUM(H6:H110)</f>
        <v>850</v>
      </c>
      <c r="I111" s="93">
        <f>SUM(I5:I110)</f>
        <v>1649.9960000000021</v>
      </c>
      <c r="J111" s="101">
        <f>SUM(J6:J110)</f>
        <v>0</v>
      </c>
      <c r="K111" s="93">
        <f>SUM(K5:K110)</f>
        <v>6612.67</v>
      </c>
    </row>
    <row r="112" spans="1:12" ht="25.5" hidden="1" customHeight="1" thickBot="1" x14ac:dyDescent="0.3">
      <c r="A112" s="3117" t="s">
        <v>49</v>
      </c>
      <c r="B112" s="3118"/>
      <c r="C112" s="3118"/>
      <c r="D112" s="3118"/>
      <c r="E112" s="3118"/>
      <c r="F112" s="144"/>
      <c r="G112" s="519">
        <f>G111-F111</f>
        <v>780.54000000001497</v>
      </c>
      <c r="H112" s="555"/>
      <c r="I112" s="772">
        <f>I111-H111</f>
        <v>799.99600000000214</v>
      </c>
      <c r="J112" s="555"/>
      <c r="K112" s="772">
        <f>K111-J111</f>
        <v>6612.67</v>
      </c>
    </row>
    <row r="113" spans="1:11" x14ac:dyDescent="0.25">
      <c r="E113" s="79"/>
      <c r="G113" s="868"/>
    </row>
    <row r="114" spans="1:11" x14ac:dyDescent="0.25">
      <c r="B114" s="79" t="s">
        <v>32</v>
      </c>
      <c r="C114" s="475">
        <v>368.09</v>
      </c>
      <c r="D114" s="85" t="s">
        <v>1485</v>
      </c>
      <c r="J114" s="769"/>
      <c r="K114" s="866"/>
    </row>
    <row r="115" spans="1:11" x14ac:dyDescent="0.25">
      <c r="B115" s="79" t="s">
        <v>2187</v>
      </c>
      <c r="C115" s="475">
        <v>230</v>
      </c>
      <c r="D115" s="85" t="s">
        <v>2157</v>
      </c>
      <c r="J115" s="769"/>
      <c r="K115" s="868"/>
    </row>
    <row r="116" spans="1:11" x14ac:dyDescent="0.25">
      <c r="B116" s="79" t="s">
        <v>2188</v>
      </c>
      <c r="C116" s="475">
        <v>40</v>
      </c>
      <c r="D116" s="85" t="s">
        <v>2168</v>
      </c>
      <c r="J116" s="769"/>
      <c r="K116" s="868"/>
    </row>
    <row r="117" spans="1:11" x14ac:dyDescent="0.25">
      <c r="B117" s="79" t="s">
        <v>50</v>
      </c>
      <c r="C117" s="854">
        <v>186.11</v>
      </c>
      <c r="D117" s="85" t="s">
        <v>1493</v>
      </c>
      <c r="J117" s="769"/>
      <c r="K117" s="866"/>
    </row>
    <row r="118" spans="1:11" s="85" customFormat="1" x14ac:dyDescent="0.25">
      <c r="A118" s="79"/>
      <c r="B118" s="79" t="s">
        <v>14</v>
      </c>
      <c r="C118" s="484">
        <v>137.87</v>
      </c>
      <c r="D118" s="85" t="s">
        <v>1486</v>
      </c>
      <c r="J118" s="769"/>
      <c r="K118" s="866"/>
    </row>
    <row r="119" spans="1:11" s="85" customFormat="1" x14ac:dyDescent="0.25">
      <c r="A119" s="79"/>
      <c r="B119" s="79" t="s">
        <v>51</v>
      </c>
      <c r="C119" s="475">
        <v>61.12</v>
      </c>
      <c r="D119" s="864" t="s">
        <v>1499</v>
      </c>
      <c r="E119" s="79"/>
      <c r="F119" s="89"/>
      <c r="G119" s="79"/>
      <c r="H119" s="79"/>
      <c r="J119" s="769"/>
      <c r="K119" s="866"/>
    </row>
    <row r="120" spans="1:11" s="85" customFormat="1" x14ac:dyDescent="0.25">
      <c r="A120" s="79"/>
      <c r="B120" s="79" t="s">
        <v>2189</v>
      </c>
      <c r="C120" s="475">
        <v>107.13</v>
      </c>
      <c r="D120" s="864" t="s">
        <v>1496</v>
      </c>
      <c r="F120" s="89"/>
      <c r="G120" s="79"/>
      <c r="H120" s="79"/>
      <c r="I120" s="79"/>
    </row>
    <row r="121" spans="1:11" s="85" customFormat="1" x14ac:dyDescent="0.25">
      <c r="A121" s="79"/>
      <c r="B121" s="867" t="s">
        <v>53</v>
      </c>
      <c r="C121" s="475">
        <v>224</v>
      </c>
      <c r="D121" s="864" t="s">
        <v>1522</v>
      </c>
      <c r="E121" s="89"/>
      <c r="F121" s="769"/>
      <c r="G121" s="79"/>
    </row>
    <row r="122" spans="1:11" s="85" customFormat="1" x14ac:dyDescent="0.25">
      <c r="A122" s="79"/>
      <c r="B122" s="867" t="s">
        <v>2149</v>
      </c>
      <c r="C122" s="475">
        <v>150.80000000000001</v>
      </c>
      <c r="D122" s="864" t="s">
        <v>2131</v>
      </c>
      <c r="F122" s="769"/>
      <c r="G122" s="866"/>
    </row>
    <row r="123" spans="1:11" s="85" customFormat="1" x14ac:dyDescent="0.25">
      <c r="A123" s="79"/>
      <c r="B123" s="79" t="s">
        <v>56</v>
      </c>
      <c r="C123" s="475">
        <v>5</v>
      </c>
      <c r="D123" s="864" t="s">
        <v>1523</v>
      </c>
      <c r="F123" s="769"/>
      <c r="G123" s="866"/>
    </row>
    <row r="124" spans="1:11" s="85" customFormat="1" x14ac:dyDescent="0.25">
      <c r="A124" s="79"/>
      <c r="B124" s="79" t="s">
        <v>1686</v>
      </c>
      <c r="C124" s="475">
        <v>158.51</v>
      </c>
      <c r="D124" s="864" t="s">
        <v>1506</v>
      </c>
      <c r="F124" s="769"/>
      <c r="G124" s="868"/>
    </row>
    <row r="125" spans="1:11" s="85" customFormat="1" x14ac:dyDescent="0.25">
      <c r="A125" s="79"/>
      <c r="B125" s="79" t="s">
        <v>418</v>
      </c>
      <c r="C125" s="475">
        <v>239.53</v>
      </c>
      <c r="D125" s="85" t="s">
        <v>1524</v>
      </c>
      <c r="E125" s="79"/>
      <c r="F125" s="89"/>
      <c r="J125" s="769"/>
      <c r="K125" s="866"/>
    </row>
    <row r="126" spans="1:11" x14ac:dyDescent="0.25">
      <c r="B126" s="79" t="s">
        <v>419</v>
      </c>
      <c r="C126" s="861">
        <v>564.97</v>
      </c>
      <c r="D126" s="85" t="s">
        <v>1491</v>
      </c>
      <c r="J126" s="769"/>
      <c r="K126" s="868"/>
    </row>
    <row r="127" spans="1:11" x14ac:dyDescent="0.25">
      <c r="B127" s="79" t="s">
        <v>911</v>
      </c>
      <c r="C127" s="861"/>
      <c r="D127" s="85" t="s">
        <v>1525</v>
      </c>
      <c r="J127" s="769"/>
      <c r="K127" s="868"/>
    </row>
    <row r="128" spans="1:11" x14ac:dyDescent="0.25">
      <c r="B128" s="79" t="s">
        <v>1526</v>
      </c>
      <c r="C128" s="861">
        <v>176.9</v>
      </c>
      <c r="D128" s="85" t="s">
        <v>1504</v>
      </c>
      <c r="E128" s="79"/>
      <c r="J128" s="769"/>
      <c r="K128" s="866"/>
    </row>
    <row r="129" spans="2:11" x14ac:dyDescent="0.25">
      <c r="B129" s="79" t="s">
        <v>1527</v>
      </c>
      <c r="C129" s="861">
        <v>411.37</v>
      </c>
      <c r="D129" s="85" t="s">
        <v>1489</v>
      </c>
      <c r="J129" s="769"/>
      <c r="K129" s="868"/>
    </row>
    <row r="130" spans="2:11" x14ac:dyDescent="0.25">
      <c r="J130" s="769"/>
      <c r="K130" s="866"/>
    </row>
    <row r="131" spans="2:11" x14ac:dyDescent="0.25">
      <c r="F131" s="85"/>
      <c r="J131" s="769"/>
      <c r="K131" s="866"/>
    </row>
    <row r="132" spans="2:11" x14ac:dyDescent="0.25">
      <c r="B132" s="79" t="s">
        <v>486</v>
      </c>
      <c r="C132" s="475">
        <f>H132/J132</f>
        <v>102.04666666666667</v>
      </c>
      <c r="F132" s="224" t="s">
        <v>487</v>
      </c>
      <c r="H132" s="216">
        <f>SUM(C114:C129)</f>
        <v>3061.4</v>
      </c>
      <c r="I132" s="518" t="s">
        <v>488</v>
      </c>
      <c r="J132" s="1517">
        <v>30</v>
      </c>
      <c r="K132" s="866"/>
    </row>
    <row r="133" spans="2:11" x14ac:dyDescent="0.25">
      <c r="G133" s="85"/>
      <c r="J133" s="769"/>
      <c r="K133" s="866"/>
    </row>
    <row r="134" spans="2:11" ht="15.75" customHeight="1" x14ac:dyDescent="0.25">
      <c r="H134" s="629"/>
      <c r="J134" s="769"/>
      <c r="K134" s="868"/>
    </row>
    <row r="135" spans="2:11" x14ac:dyDescent="0.25">
      <c r="K135" s="866"/>
    </row>
    <row r="136" spans="2:11" x14ac:dyDescent="0.25">
      <c r="D136" s="79"/>
      <c r="E136" s="79"/>
      <c r="J136" s="769"/>
      <c r="K136" s="866"/>
    </row>
    <row r="137" spans="2:11" x14ac:dyDescent="0.25">
      <c r="J137" s="769"/>
      <c r="K137" s="866"/>
    </row>
    <row r="138" spans="2:11" x14ac:dyDescent="0.25">
      <c r="J138" s="769"/>
      <c r="K138" s="866"/>
    </row>
    <row r="139" spans="2:11" x14ac:dyDescent="0.25">
      <c r="J139" s="769"/>
      <c r="K139" s="866"/>
    </row>
    <row r="140" spans="2:11" x14ac:dyDescent="0.25">
      <c r="C140" s="79"/>
      <c r="D140" s="79"/>
      <c r="E140" s="79"/>
      <c r="F140" s="79"/>
      <c r="I140" s="216"/>
      <c r="J140" s="769"/>
      <c r="K140" s="866"/>
    </row>
    <row r="141" spans="2:11" x14ac:dyDescent="0.25">
      <c r="C141" s="79"/>
      <c r="D141" s="79"/>
      <c r="E141" s="79"/>
      <c r="F141" s="79"/>
      <c r="I141" s="216"/>
      <c r="J141" s="769"/>
      <c r="K141" s="866"/>
    </row>
    <row r="142" spans="2:11" x14ac:dyDescent="0.25">
      <c r="C142" s="79"/>
      <c r="D142" s="79"/>
      <c r="E142" s="79"/>
      <c r="F142" s="79"/>
      <c r="G142" s="216"/>
      <c r="I142" s="216"/>
      <c r="J142" s="769"/>
      <c r="K142" s="868"/>
    </row>
    <row r="143" spans="2:11" x14ac:dyDescent="0.25">
      <c r="C143" s="79"/>
      <c r="D143" s="79"/>
      <c r="E143" s="79"/>
      <c r="F143" s="79"/>
      <c r="G143" s="216"/>
      <c r="I143" s="216"/>
      <c r="J143" s="769"/>
      <c r="K143" s="866"/>
    </row>
    <row r="144" spans="2:11" x14ac:dyDescent="0.25">
      <c r="C144" s="79"/>
      <c r="D144" s="79"/>
      <c r="E144" s="79"/>
      <c r="F144" s="79"/>
      <c r="G144" s="216"/>
      <c r="J144" s="770"/>
      <c r="K144" s="866"/>
    </row>
    <row r="145" spans="3:11" x14ac:dyDescent="0.25">
      <c r="C145" s="79"/>
      <c r="D145" s="79"/>
      <c r="E145" s="79"/>
      <c r="F145" s="79"/>
      <c r="I145" s="216"/>
      <c r="J145" s="769"/>
      <c r="K145" s="868"/>
    </row>
    <row r="146" spans="3:11" x14ac:dyDescent="0.25">
      <c r="J146" s="769"/>
      <c r="K146" s="866"/>
    </row>
    <row r="147" spans="3:11" x14ac:dyDescent="0.25">
      <c r="C147" s="79"/>
      <c r="D147" s="79"/>
      <c r="E147" s="79"/>
      <c r="F147" s="79"/>
      <c r="I147" s="629"/>
      <c r="J147" s="769"/>
      <c r="K147" s="866"/>
    </row>
    <row r="148" spans="3:11" x14ac:dyDescent="0.25">
      <c r="J148" s="769"/>
      <c r="K148" s="866"/>
    </row>
    <row r="149" spans="3:11" x14ac:dyDescent="0.25">
      <c r="J149" s="769"/>
      <c r="K149" s="866"/>
    </row>
    <row r="150" spans="3:11" x14ac:dyDescent="0.25">
      <c r="J150" s="769"/>
      <c r="K150" s="866"/>
    </row>
    <row r="151" spans="3:11" x14ac:dyDescent="0.25">
      <c r="J151" s="769"/>
      <c r="K151" s="866"/>
    </row>
    <row r="152" spans="3:11" x14ac:dyDescent="0.25">
      <c r="J152" s="769"/>
      <c r="K152" s="866"/>
    </row>
    <row r="153" spans="3:11" x14ac:dyDescent="0.25">
      <c r="C153" s="79"/>
      <c r="D153" s="79"/>
      <c r="E153" s="79"/>
      <c r="F153" s="79"/>
      <c r="I153" s="216"/>
      <c r="J153" s="769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6"/>
    </row>
    <row r="155" spans="3:11" x14ac:dyDescent="0.25">
      <c r="C155" s="79"/>
      <c r="D155" s="79"/>
      <c r="E155" s="79"/>
      <c r="F155" s="79"/>
      <c r="I155" s="216"/>
      <c r="J155" s="769"/>
      <c r="K155" s="866"/>
    </row>
    <row r="156" spans="3:11" x14ac:dyDescent="0.25">
      <c r="C156" s="79"/>
      <c r="D156" s="79"/>
      <c r="E156" s="79"/>
      <c r="F156" s="79"/>
      <c r="I156" s="216"/>
      <c r="J156" s="769"/>
      <c r="K156" s="866"/>
    </row>
    <row r="157" spans="3:11" x14ac:dyDescent="0.25">
      <c r="C157" s="79"/>
      <c r="D157" s="79"/>
      <c r="E157" s="79"/>
      <c r="F157" s="79"/>
      <c r="I157" s="216"/>
      <c r="J157" s="769"/>
      <c r="K157" s="868"/>
    </row>
    <row r="158" spans="3:11" x14ac:dyDescent="0.25">
      <c r="C158" s="79"/>
      <c r="D158" s="79"/>
      <c r="E158" s="79"/>
      <c r="F158" s="79"/>
      <c r="I158" s="216"/>
      <c r="J158" s="769"/>
      <c r="K158" s="868"/>
    </row>
    <row r="159" spans="3:11" x14ac:dyDescent="0.25">
      <c r="C159" s="79"/>
      <c r="D159" s="79"/>
      <c r="E159" s="79"/>
      <c r="F159" s="79"/>
      <c r="I159" s="216"/>
      <c r="J159" s="769"/>
      <c r="K159" s="868"/>
    </row>
    <row r="160" spans="3:11" x14ac:dyDescent="0.25">
      <c r="C160" s="79"/>
      <c r="D160" s="79"/>
      <c r="E160" s="79"/>
      <c r="F160" s="79"/>
      <c r="I160" s="216"/>
      <c r="J160" s="769"/>
      <c r="K160" s="868"/>
    </row>
    <row r="161" spans="3:11" x14ac:dyDescent="0.25">
      <c r="C161" s="79"/>
      <c r="D161" s="79"/>
      <c r="E161" s="79"/>
      <c r="F161" s="79"/>
      <c r="I161" s="216"/>
      <c r="J161" s="769"/>
      <c r="K161" s="868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J164" s="769"/>
      <c r="K164" s="868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C167" s="79"/>
      <c r="D167" s="79"/>
      <c r="E167" s="79"/>
      <c r="F167" s="79"/>
      <c r="J167" s="769"/>
      <c r="K167" s="868"/>
    </row>
    <row r="168" spans="3:11" x14ac:dyDescent="0.25">
      <c r="C168" s="79"/>
      <c r="D168" s="79"/>
      <c r="E168" s="79"/>
      <c r="F168" s="79"/>
      <c r="J168" s="769"/>
      <c r="K168" s="868"/>
    </row>
    <row r="169" spans="3:11" x14ac:dyDescent="0.25">
      <c r="C169" s="79"/>
      <c r="D169" s="79"/>
      <c r="E169" s="79"/>
      <c r="F169" s="79"/>
      <c r="J169" s="769"/>
      <c r="K169" s="868"/>
    </row>
    <row r="170" spans="3:11" x14ac:dyDescent="0.25">
      <c r="C170" s="79"/>
      <c r="D170" s="79"/>
      <c r="E170" s="79"/>
      <c r="F170" s="79"/>
      <c r="J170" s="769"/>
      <c r="K170" s="868"/>
    </row>
    <row r="171" spans="3:11" x14ac:dyDescent="0.25">
      <c r="C171" s="79"/>
      <c r="D171" s="79"/>
      <c r="E171" s="79"/>
      <c r="F171" s="79"/>
      <c r="J171" s="769"/>
      <c r="K171" s="866"/>
    </row>
    <row r="172" spans="3:11" x14ac:dyDescent="0.25">
      <c r="C172" s="79"/>
      <c r="D172" s="79"/>
      <c r="E172" s="79"/>
      <c r="F172" s="79"/>
      <c r="J172" s="223"/>
      <c r="K172" s="629"/>
    </row>
    <row r="173" spans="3:11" x14ac:dyDescent="0.25">
      <c r="C173" s="79"/>
      <c r="D173" s="79"/>
      <c r="E173" s="79"/>
      <c r="F173" s="79"/>
      <c r="J173" s="756"/>
      <c r="K173" s="756"/>
    </row>
    <row r="174" spans="3:11" x14ac:dyDescent="0.25">
      <c r="C174" s="79"/>
      <c r="D174" s="79"/>
      <c r="E174" s="79"/>
      <c r="F174" s="79"/>
    </row>
    <row r="175" spans="3:11" x14ac:dyDescent="0.25">
      <c r="C175" s="79"/>
      <c r="D175" s="79"/>
      <c r="E175" s="79"/>
      <c r="F175" s="79"/>
    </row>
    <row r="176" spans="3:11" x14ac:dyDescent="0.25">
      <c r="C176" s="79"/>
      <c r="D176" s="79"/>
      <c r="E176" s="79"/>
      <c r="F176" s="79"/>
    </row>
    <row r="177" spans="3:11" x14ac:dyDescent="0.25">
      <c r="C177" s="79"/>
      <c r="D177" s="79"/>
      <c r="E177" s="79"/>
      <c r="F177" s="79"/>
    </row>
    <row r="178" spans="3:11" x14ac:dyDescent="0.25">
      <c r="C178" s="79"/>
      <c r="D178" s="79"/>
      <c r="E178" s="79"/>
      <c r="F178" s="79"/>
      <c r="J178" s="85"/>
      <c r="K178" s="85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  <c r="J185" s="85"/>
      <c r="K185" s="85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771"/>
      <c r="K192" s="518"/>
    </row>
    <row r="193" spans="3:11" x14ac:dyDescent="0.25">
      <c r="C193" s="79"/>
      <c r="D193" s="79"/>
      <c r="E193" s="79"/>
      <c r="F193" s="79"/>
    </row>
    <row r="200" spans="3:11" x14ac:dyDescent="0.25">
      <c r="C200" s="79"/>
      <c r="D200" s="79"/>
      <c r="E200" s="79"/>
      <c r="F200" s="79"/>
      <c r="K200" s="216"/>
    </row>
    <row r="201" spans="3:11" x14ac:dyDescent="0.25">
      <c r="C201" s="79"/>
      <c r="D201" s="79"/>
      <c r="E201" s="79"/>
      <c r="F201" s="79"/>
      <c r="K201" s="216"/>
    </row>
    <row r="202" spans="3:11" x14ac:dyDescent="0.25">
      <c r="C202" s="79"/>
      <c r="D202" s="79"/>
      <c r="E202" s="79"/>
      <c r="F202" s="79"/>
      <c r="K202" s="216"/>
    </row>
    <row r="203" spans="3:11" x14ac:dyDescent="0.25">
      <c r="C203" s="79"/>
      <c r="D203" s="79"/>
      <c r="E203" s="79"/>
      <c r="F203" s="79"/>
      <c r="K203" s="216"/>
    </row>
    <row r="205" spans="3:11" x14ac:dyDescent="0.25">
      <c r="C205" s="79"/>
      <c r="D205" s="79"/>
      <c r="E205" s="79"/>
      <c r="F205" s="79"/>
      <c r="K205" s="216"/>
    </row>
    <row r="207" spans="3:11" x14ac:dyDescent="0.25">
      <c r="C207" s="79"/>
      <c r="D207" s="79"/>
      <c r="E207" s="79"/>
      <c r="F207" s="79"/>
      <c r="K207" s="629"/>
    </row>
    <row r="213" spans="3:11" x14ac:dyDescent="0.25">
      <c r="C213" s="79"/>
      <c r="D213" s="79"/>
      <c r="E213" s="79"/>
      <c r="F213" s="79"/>
      <c r="K213" s="216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</sheetData>
  <autoFilter ref="A2:I112" xr:uid="{00000000-0009-0000-0000-000055000000}">
    <filterColumn colId="3">
      <filters>
        <filter val="COM"/>
      </filters>
    </filterColumn>
  </autoFilter>
  <mergeCells count="13">
    <mergeCell ref="L67:O67"/>
    <mergeCell ref="A111:E111"/>
    <mergeCell ref="A112:E11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Plan99" filterMode="1"/>
  <dimension ref="A1:Q240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Q2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20.28515625" style="79" customWidth="1"/>
    <col min="14" max="14" width="11.5703125" style="79" bestFit="1" customWidth="1"/>
    <col min="15" max="15" width="14.28515625" style="79" bestFit="1" customWidth="1"/>
    <col min="16" max="16" width="11.85546875" style="79" customWidth="1"/>
    <col min="17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2209</v>
      </c>
      <c r="G1" s="3058"/>
      <c r="H1" s="3058"/>
      <c r="I1" s="3058"/>
      <c r="J1" s="3058"/>
      <c r="K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7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7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P4" s="85" t="s">
        <v>2210</v>
      </c>
      <c r="Q4" s="85" t="s">
        <v>2211</v>
      </c>
    </row>
    <row r="5" spans="1:17" hidden="1" x14ac:dyDescent="0.25">
      <c r="A5" s="281">
        <v>43586</v>
      </c>
      <c r="B5" s="369" t="s">
        <v>10</v>
      </c>
      <c r="C5" s="370"/>
      <c r="D5" s="370"/>
      <c r="E5" s="777"/>
      <c r="F5" s="179"/>
      <c r="G5" s="933">
        <f>'Abril-19'!G112</f>
        <v>780.54000000001497</v>
      </c>
      <c r="H5" s="179"/>
      <c r="I5" s="933">
        <f>'Abril-19'!I112</f>
        <v>799.99600000000214</v>
      </c>
      <c r="J5" s="179"/>
      <c r="K5" s="933">
        <f>'Abril-19'!K112</f>
        <v>6612.67</v>
      </c>
      <c r="P5" s="85"/>
      <c r="Q5" s="85"/>
    </row>
    <row r="6" spans="1:17" s="224" customFormat="1" hidden="1" x14ac:dyDescent="0.25">
      <c r="A6" s="215">
        <v>43586</v>
      </c>
      <c r="B6" s="348" t="s">
        <v>11</v>
      </c>
      <c r="C6" s="351"/>
      <c r="D6" s="351"/>
      <c r="E6" s="673"/>
      <c r="F6" s="538"/>
      <c r="G6" s="1473"/>
      <c r="H6" s="250"/>
      <c r="I6" s="1473"/>
      <c r="J6" s="250"/>
      <c r="K6" s="1473"/>
      <c r="L6" s="89"/>
      <c r="M6" s="89"/>
      <c r="N6" s="930">
        <v>43586</v>
      </c>
      <c r="O6" s="224" t="s">
        <v>2212</v>
      </c>
      <c r="Q6" s="224">
        <v>1</v>
      </c>
    </row>
    <row r="7" spans="1:17" s="224" customFormat="1" ht="15" hidden="1" customHeight="1" x14ac:dyDescent="0.25">
      <c r="A7" s="215">
        <v>43586</v>
      </c>
      <c r="B7" s="349" t="s">
        <v>151</v>
      </c>
      <c r="C7" s="352" t="s">
        <v>12</v>
      </c>
      <c r="D7" s="874" t="s">
        <v>1485</v>
      </c>
      <c r="E7" s="875" t="s">
        <v>13</v>
      </c>
      <c r="F7" s="780">
        <v>14</v>
      </c>
      <c r="G7" s="982"/>
      <c r="H7" s="622"/>
      <c r="I7" s="982"/>
      <c r="J7" s="622"/>
      <c r="K7" s="982"/>
      <c r="N7" s="930">
        <v>43587</v>
      </c>
      <c r="O7" s="224" t="s">
        <v>2213</v>
      </c>
      <c r="Q7" s="224">
        <v>1</v>
      </c>
    </row>
    <row r="8" spans="1:17" s="224" customFormat="1" ht="15" hidden="1" customHeight="1" x14ac:dyDescent="0.25">
      <c r="A8" s="215">
        <v>43586</v>
      </c>
      <c r="B8" s="349" t="s">
        <v>17</v>
      </c>
      <c r="C8" s="352" t="s">
        <v>12</v>
      </c>
      <c r="D8" s="874" t="s">
        <v>1493</v>
      </c>
      <c r="E8" s="875" t="s">
        <v>13</v>
      </c>
      <c r="F8" s="780">
        <v>5</v>
      </c>
      <c r="G8" s="982"/>
      <c r="H8" s="622"/>
      <c r="I8" s="982"/>
      <c r="J8" s="622"/>
      <c r="K8" s="982"/>
      <c r="N8" s="930">
        <v>43588</v>
      </c>
      <c r="O8" s="224" t="s">
        <v>2214</v>
      </c>
      <c r="P8" s="224">
        <v>1</v>
      </c>
    </row>
    <row r="9" spans="1:17" s="224" customFormat="1" ht="15" hidden="1" customHeight="1" x14ac:dyDescent="0.25">
      <c r="A9" s="215">
        <v>43586</v>
      </c>
      <c r="B9" s="349" t="s">
        <v>134</v>
      </c>
      <c r="C9" s="352" t="s">
        <v>12</v>
      </c>
      <c r="D9" s="874" t="s">
        <v>1493</v>
      </c>
      <c r="E9" s="875" t="s">
        <v>13</v>
      </c>
      <c r="F9" s="780">
        <v>18.95</v>
      </c>
      <c r="G9" s="946"/>
      <c r="H9" s="97"/>
      <c r="I9" s="982"/>
      <c r="J9" s="622"/>
      <c r="K9" s="982"/>
      <c r="N9" s="930">
        <v>43589</v>
      </c>
      <c r="O9" s="224" t="s">
        <v>2215</v>
      </c>
    </row>
    <row r="10" spans="1:17" s="224" customFormat="1" ht="15" hidden="1" customHeight="1" x14ac:dyDescent="0.25">
      <c r="A10" s="215">
        <v>43587</v>
      </c>
      <c r="B10" s="349" t="s">
        <v>151</v>
      </c>
      <c r="C10" s="352" t="s">
        <v>12</v>
      </c>
      <c r="D10" s="874" t="s">
        <v>1485</v>
      </c>
      <c r="E10" s="875" t="s">
        <v>13</v>
      </c>
      <c r="F10" s="780">
        <v>14</v>
      </c>
      <c r="G10" s="982"/>
      <c r="H10" s="622"/>
      <c r="I10" s="982"/>
      <c r="J10" s="622"/>
      <c r="K10" s="982"/>
      <c r="N10" s="930">
        <v>43590</v>
      </c>
      <c r="O10" s="224" t="s">
        <v>2216</v>
      </c>
    </row>
    <row r="11" spans="1:17" s="224" customFormat="1" ht="15" hidden="1" customHeight="1" x14ac:dyDescent="0.25">
      <c r="A11" s="215">
        <v>43588</v>
      </c>
      <c r="B11" s="349" t="s">
        <v>151</v>
      </c>
      <c r="C11" s="352" t="s">
        <v>12</v>
      </c>
      <c r="D11" s="874" t="s">
        <v>1485</v>
      </c>
      <c r="E11" s="875" t="s">
        <v>13</v>
      </c>
      <c r="F11" s="780">
        <v>14</v>
      </c>
      <c r="G11" s="982"/>
      <c r="H11" s="622"/>
      <c r="I11" s="982"/>
      <c r="J11" s="622"/>
      <c r="K11" s="982"/>
      <c r="N11" s="930">
        <v>43591</v>
      </c>
      <c r="O11" s="224" t="s">
        <v>2217</v>
      </c>
      <c r="P11" s="224">
        <v>1</v>
      </c>
    </row>
    <row r="12" spans="1:17" s="224" customFormat="1" ht="15" hidden="1" customHeight="1" x14ac:dyDescent="0.25">
      <c r="A12" s="215">
        <v>43588</v>
      </c>
      <c r="B12" s="349" t="s">
        <v>2198</v>
      </c>
      <c r="C12" s="350" t="s">
        <v>12</v>
      </c>
      <c r="D12" s="350" t="s">
        <v>2157</v>
      </c>
      <c r="E12" s="480" t="s">
        <v>15</v>
      </c>
      <c r="F12" s="780">
        <v>20</v>
      </c>
      <c r="G12" s="946"/>
      <c r="H12" s="97"/>
      <c r="I12" s="982"/>
      <c r="J12" s="622"/>
      <c r="K12" s="982"/>
      <c r="N12" s="930">
        <v>43592</v>
      </c>
      <c r="O12" s="224" t="s">
        <v>2218</v>
      </c>
      <c r="P12" s="224">
        <v>1</v>
      </c>
    </row>
    <row r="13" spans="1:17" s="224" customFormat="1" ht="14.25" hidden="1" customHeight="1" x14ac:dyDescent="0.25">
      <c r="A13" s="215">
        <v>43588</v>
      </c>
      <c r="B13" s="876" t="s">
        <v>134</v>
      </c>
      <c r="C13" s="350" t="s">
        <v>12</v>
      </c>
      <c r="D13" s="874" t="s">
        <v>1493</v>
      </c>
      <c r="E13" s="875" t="s">
        <v>13</v>
      </c>
      <c r="F13" s="780">
        <v>11.88</v>
      </c>
      <c r="G13" s="627"/>
      <c r="H13" s="622"/>
      <c r="I13" s="982"/>
      <c r="J13" s="622"/>
      <c r="K13" s="982"/>
      <c r="N13" s="930">
        <v>43593</v>
      </c>
      <c r="O13" s="224" t="s">
        <v>2212</v>
      </c>
      <c r="P13" s="224">
        <v>1</v>
      </c>
    </row>
    <row r="14" spans="1:17" s="224" customFormat="1" ht="14.25" hidden="1" customHeight="1" x14ac:dyDescent="0.25">
      <c r="A14" s="215">
        <v>43588</v>
      </c>
      <c r="B14" s="876" t="s">
        <v>1836</v>
      </c>
      <c r="C14" s="350" t="s">
        <v>12</v>
      </c>
      <c r="D14" s="874" t="s">
        <v>1491</v>
      </c>
      <c r="E14" s="875" t="s">
        <v>15</v>
      </c>
      <c r="F14" s="780">
        <v>100</v>
      </c>
      <c r="G14" s="627"/>
      <c r="H14" s="622"/>
      <c r="I14" s="982"/>
      <c r="J14" s="622"/>
      <c r="K14" s="982"/>
      <c r="N14" s="930">
        <v>43594</v>
      </c>
      <c r="O14" s="224" t="s">
        <v>2213</v>
      </c>
      <c r="Q14" s="224">
        <v>1</v>
      </c>
    </row>
    <row r="15" spans="1:17" s="224" customFormat="1" ht="14.25" hidden="1" customHeight="1" x14ac:dyDescent="0.25">
      <c r="A15" s="215">
        <v>43588</v>
      </c>
      <c r="B15" s="876" t="s">
        <v>1372</v>
      </c>
      <c r="C15" s="350" t="s">
        <v>12</v>
      </c>
      <c r="D15" s="874" t="s">
        <v>1491</v>
      </c>
      <c r="E15" s="875" t="s">
        <v>13</v>
      </c>
      <c r="F15" s="780">
        <v>2.5</v>
      </c>
      <c r="G15" s="627"/>
      <c r="H15" s="622"/>
      <c r="I15" s="982"/>
      <c r="J15" s="622"/>
      <c r="K15" s="982"/>
      <c r="N15" s="930">
        <v>43595</v>
      </c>
      <c r="O15" s="224" t="s">
        <v>2214</v>
      </c>
      <c r="Q15" s="224">
        <v>1</v>
      </c>
    </row>
    <row r="16" spans="1:17" s="224" customFormat="1" ht="15" hidden="1" customHeight="1" x14ac:dyDescent="0.25">
      <c r="A16" s="215">
        <v>43589</v>
      </c>
      <c r="B16" s="862" t="s">
        <v>256</v>
      </c>
      <c r="C16" s="879"/>
      <c r="D16" s="879"/>
      <c r="E16" s="871"/>
      <c r="F16" s="97"/>
      <c r="G16" s="946">
        <v>300</v>
      </c>
      <c r="H16" s="97">
        <v>300</v>
      </c>
      <c r="I16" s="982"/>
      <c r="J16" s="622"/>
      <c r="K16" s="982"/>
      <c r="N16" s="930">
        <v>43596</v>
      </c>
      <c r="O16" s="224" t="s">
        <v>2215</v>
      </c>
    </row>
    <row r="17" spans="1:17" s="224" customFormat="1" ht="15" hidden="1" customHeight="1" x14ac:dyDescent="0.25">
      <c r="A17" s="215">
        <v>43589</v>
      </c>
      <c r="B17" s="349" t="s">
        <v>2096</v>
      </c>
      <c r="C17" s="352" t="s">
        <v>12</v>
      </c>
      <c r="D17" s="874" t="s">
        <v>1506</v>
      </c>
      <c r="E17" s="875" t="s">
        <v>15</v>
      </c>
      <c r="F17" s="780">
        <v>30</v>
      </c>
      <c r="G17" s="946"/>
      <c r="H17" s="97"/>
      <c r="I17" s="982"/>
      <c r="J17" s="622"/>
      <c r="K17" s="982"/>
      <c r="N17" s="930">
        <v>43597</v>
      </c>
      <c r="O17" s="224" t="s">
        <v>2216</v>
      </c>
    </row>
    <row r="18" spans="1:17" s="224" customFormat="1" ht="15" hidden="1" customHeight="1" x14ac:dyDescent="0.25">
      <c r="A18" s="215">
        <v>43589</v>
      </c>
      <c r="B18" s="349" t="s">
        <v>151</v>
      </c>
      <c r="C18" s="352" t="s">
        <v>12</v>
      </c>
      <c r="D18" s="874" t="s">
        <v>1485</v>
      </c>
      <c r="E18" s="875" t="s">
        <v>13</v>
      </c>
      <c r="F18" s="780">
        <v>13</v>
      </c>
      <c r="G18" s="982"/>
      <c r="H18" s="622"/>
      <c r="I18" s="982"/>
      <c r="J18" s="622"/>
      <c r="K18" s="982"/>
      <c r="N18" s="930">
        <v>43598</v>
      </c>
      <c r="O18" s="224" t="s">
        <v>2217</v>
      </c>
      <c r="Q18" s="224">
        <v>1</v>
      </c>
    </row>
    <row r="19" spans="1:17" s="224" customFormat="1" ht="15" hidden="1" customHeight="1" x14ac:dyDescent="0.25">
      <c r="A19" s="215">
        <v>43589</v>
      </c>
      <c r="B19" s="349" t="s">
        <v>2219</v>
      </c>
      <c r="C19" s="352" t="s">
        <v>19</v>
      </c>
      <c r="D19" s="874" t="s">
        <v>1506</v>
      </c>
      <c r="E19" s="875" t="s">
        <v>13</v>
      </c>
      <c r="F19" s="780">
        <v>47.86</v>
      </c>
      <c r="G19" s="946"/>
      <c r="H19" s="97"/>
      <c r="I19" s="982"/>
      <c r="J19" s="622"/>
      <c r="K19" s="982"/>
      <c r="N19" s="930">
        <v>43599</v>
      </c>
      <c r="O19" s="224" t="s">
        <v>2218</v>
      </c>
      <c r="P19" s="224">
        <v>1</v>
      </c>
    </row>
    <row r="20" spans="1:17" s="224" customFormat="1" ht="15" hidden="1" customHeight="1" x14ac:dyDescent="0.25">
      <c r="A20" s="215">
        <v>43589</v>
      </c>
      <c r="B20" s="349" t="s">
        <v>2220</v>
      </c>
      <c r="C20" s="352" t="s">
        <v>19</v>
      </c>
      <c r="D20" s="874" t="s">
        <v>1491</v>
      </c>
      <c r="E20" s="875" t="s">
        <v>13</v>
      </c>
      <c r="F20" s="780">
        <v>17</v>
      </c>
      <c r="G20" s="946"/>
      <c r="H20" s="97"/>
      <c r="I20" s="982"/>
      <c r="J20" s="622"/>
      <c r="K20" s="982"/>
      <c r="N20" s="930">
        <v>43600</v>
      </c>
      <c r="O20" s="224" t="s">
        <v>2212</v>
      </c>
      <c r="Q20" s="224">
        <v>1</v>
      </c>
    </row>
    <row r="21" spans="1:17" s="224" customFormat="1" ht="15" hidden="1" customHeight="1" x14ac:dyDescent="0.25">
      <c r="A21" s="215">
        <v>43589</v>
      </c>
      <c r="B21" s="349" t="s">
        <v>23</v>
      </c>
      <c r="C21" s="352" t="s">
        <v>12</v>
      </c>
      <c r="D21" s="874" t="s">
        <v>1489</v>
      </c>
      <c r="E21" s="875" t="s">
        <v>13</v>
      </c>
      <c r="F21" s="780">
        <v>9</v>
      </c>
      <c r="G21" s="946"/>
      <c r="H21" s="97"/>
      <c r="I21" s="982"/>
      <c r="J21" s="622"/>
      <c r="K21" s="982"/>
      <c r="N21" s="930">
        <v>43601</v>
      </c>
      <c r="O21" s="224" t="s">
        <v>2213</v>
      </c>
      <c r="P21" s="224">
        <v>1</v>
      </c>
    </row>
    <row r="22" spans="1:17" s="224" customFormat="1" ht="15" hidden="1" customHeight="1" x14ac:dyDescent="0.25">
      <c r="A22" s="215">
        <v>43589</v>
      </c>
      <c r="B22" s="349" t="s">
        <v>421</v>
      </c>
      <c r="C22" s="352" t="s">
        <v>12</v>
      </c>
      <c r="D22" s="874" t="s">
        <v>1493</v>
      </c>
      <c r="E22" s="875" t="s">
        <v>13</v>
      </c>
      <c r="F22" s="780">
        <v>26.9</v>
      </c>
      <c r="G22" s="946"/>
      <c r="H22" s="97"/>
      <c r="I22" s="982"/>
      <c r="J22" s="622"/>
      <c r="K22" s="982"/>
      <c r="N22" s="930">
        <v>43602</v>
      </c>
      <c r="O22" s="224" t="s">
        <v>2214</v>
      </c>
      <c r="P22" s="224">
        <v>1</v>
      </c>
    </row>
    <row r="23" spans="1:17" s="224" customFormat="1" ht="15" hidden="1" customHeight="1" x14ac:dyDescent="0.25">
      <c r="A23" s="215">
        <v>43589</v>
      </c>
      <c r="B23" s="349" t="s">
        <v>2221</v>
      </c>
      <c r="C23" s="352" t="s">
        <v>12</v>
      </c>
      <c r="D23" s="874" t="s">
        <v>1489</v>
      </c>
      <c r="E23" s="875" t="s">
        <v>13</v>
      </c>
      <c r="F23" s="780">
        <v>25</v>
      </c>
      <c r="G23" s="946"/>
      <c r="H23" s="97"/>
      <c r="I23" s="982"/>
      <c r="J23" s="622"/>
      <c r="K23" s="982"/>
      <c r="N23" s="930">
        <v>43603</v>
      </c>
      <c r="O23" s="224" t="s">
        <v>2215</v>
      </c>
    </row>
    <row r="24" spans="1:17" s="224" customFormat="1" ht="15" hidden="1" customHeight="1" x14ac:dyDescent="0.25">
      <c r="A24" s="215">
        <v>43590</v>
      </c>
      <c r="B24" s="349" t="s">
        <v>14</v>
      </c>
      <c r="C24" s="350" t="s">
        <v>12</v>
      </c>
      <c r="D24" s="350" t="s">
        <v>1486</v>
      </c>
      <c r="E24" s="480" t="s">
        <v>13</v>
      </c>
      <c r="F24" s="780">
        <v>10.49</v>
      </c>
      <c r="G24" s="946"/>
      <c r="H24" s="97"/>
      <c r="I24" s="982"/>
      <c r="J24" s="622"/>
      <c r="K24" s="982"/>
      <c r="N24" s="930">
        <v>43604</v>
      </c>
      <c r="O24" s="224" t="s">
        <v>2216</v>
      </c>
    </row>
    <row r="25" spans="1:17" s="224" customFormat="1" ht="15" hidden="1" customHeight="1" x14ac:dyDescent="0.25">
      <c r="A25" s="215">
        <v>43590</v>
      </c>
      <c r="B25" s="349" t="s">
        <v>2198</v>
      </c>
      <c r="C25" s="350" t="s">
        <v>12</v>
      </c>
      <c r="D25" s="350" t="s">
        <v>2157</v>
      </c>
      <c r="E25" s="480" t="s">
        <v>15</v>
      </c>
      <c r="F25" s="780">
        <v>20</v>
      </c>
      <c r="G25" s="946"/>
      <c r="H25" s="97"/>
      <c r="I25" s="982"/>
      <c r="J25" s="622"/>
      <c r="K25" s="982"/>
      <c r="N25" s="930">
        <v>43605</v>
      </c>
      <c r="O25" s="224" t="s">
        <v>2217</v>
      </c>
      <c r="P25" s="224">
        <v>1</v>
      </c>
    </row>
    <row r="26" spans="1:17" s="224" customFormat="1" ht="15" hidden="1" customHeight="1" x14ac:dyDescent="0.25">
      <c r="A26" s="215">
        <v>43591</v>
      </c>
      <c r="B26" s="349" t="s">
        <v>151</v>
      </c>
      <c r="C26" s="352" t="s">
        <v>12</v>
      </c>
      <c r="D26" s="874" t="s">
        <v>1485</v>
      </c>
      <c r="E26" s="875" t="s">
        <v>13</v>
      </c>
      <c r="F26" s="780">
        <v>14</v>
      </c>
      <c r="G26" s="982"/>
      <c r="H26" s="622"/>
      <c r="I26" s="982"/>
      <c r="J26" s="622"/>
      <c r="K26" s="982"/>
      <c r="N26" s="930">
        <v>43606</v>
      </c>
      <c r="O26" s="224" t="s">
        <v>2218</v>
      </c>
      <c r="Q26" s="224">
        <v>1</v>
      </c>
    </row>
    <row r="27" spans="1:17" s="224" customFormat="1" ht="15" hidden="1" customHeight="1" x14ac:dyDescent="0.25">
      <c r="A27" s="215">
        <v>43591</v>
      </c>
      <c r="B27" s="349" t="s">
        <v>14</v>
      </c>
      <c r="C27" s="350" t="s">
        <v>12</v>
      </c>
      <c r="D27" s="350" t="s">
        <v>1486</v>
      </c>
      <c r="E27" s="480" t="s">
        <v>13</v>
      </c>
      <c r="F27" s="780">
        <v>9.3800000000000008</v>
      </c>
      <c r="G27" s="946"/>
      <c r="H27" s="97"/>
      <c r="I27" s="982"/>
      <c r="J27" s="622"/>
      <c r="K27" s="982"/>
      <c r="N27" s="930">
        <v>43607</v>
      </c>
      <c r="O27" s="224" t="s">
        <v>2212</v>
      </c>
      <c r="P27" s="224">
        <v>1</v>
      </c>
    </row>
    <row r="28" spans="1:17" s="224" customFormat="1" ht="15" hidden="1" customHeight="1" x14ac:dyDescent="0.25">
      <c r="A28" s="215">
        <v>43591</v>
      </c>
      <c r="B28" s="349" t="s">
        <v>2198</v>
      </c>
      <c r="C28" s="350" t="s">
        <v>12</v>
      </c>
      <c r="D28" s="350" t="s">
        <v>2157</v>
      </c>
      <c r="E28" s="480" t="s">
        <v>13</v>
      </c>
      <c r="F28" s="780">
        <v>70</v>
      </c>
      <c r="G28" s="946"/>
      <c r="H28" s="97"/>
      <c r="I28" s="982"/>
      <c r="J28" s="622"/>
      <c r="K28" s="982"/>
      <c r="L28" s="931"/>
      <c r="N28" s="930">
        <v>43608</v>
      </c>
      <c r="O28" s="224" t="s">
        <v>2213</v>
      </c>
      <c r="Q28" s="224">
        <v>1</v>
      </c>
    </row>
    <row r="29" spans="1:17" s="224" customFormat="1" ht="15" hidden="1" customHeight="1" x14ac:dyDescent="0.25">
      <c r="A29" s="215">
        <v>43592</v>
      </c>
      <c r="B29" s="349" t="s">
        <v>151</v>
      </c>
      <c r="C29" s="352" t="s">
        <v>12</v>
      </c>
      <c r="D29" s="874" t="s">
        <v>1485</v>
      </c>
      <c r="E29" s="875" t="s">
        <v>13</v>
      </c>
      <c r="F29" s="780">
        <v>14</v>
      </c>
      <c r="G29" s="982"/>
      <c r="H29" s="622"/>
      <c r="I29" s="982"/>
      <c r="J29" s="622"/>
      <c r="K29" s="982"/>
      <c r="L29" s="932"/>
      <c r="N29" s="930">
        <v>43609</v>
      </c>
      <c r="O29" s="224" t="s">
        <v>2214</v>
      </c>
      <c r="P29" s="224">
        <v>1</v>
      </c>
    </row>
    <row r="30" spans="1:17" s="224" customFormat="1" ht="15" hidden="1" customHeight="1" x14ac:dyDescent="0.25">
      <c r="A30" s="215">
        <v>43592</v>
      </c>
      <c r="B30" s="349" t="s">
        <v>14</v>
      </c>
      <c r="C30" s="350" t="s">
        <v>12</v>
      </c>
      <c r="D30" s="350" t="s">
        <v>1486</v>
      </c>
      <c r="E30" s="480" t="s">
        <v>13</v>
      </c>
      <c r="F30" s="780">
        <v>7.85</v>
      </c>
      <c r="G30" s="946"/>
      <c r="H30" s="97"/>
      <c r="I30" s="982"/>
      <c r="J30" s="622"/>
      <c r="K30" s="982"/>
      <c r="L30" s="931"/>
      <c r="N30" s="930">
        <v>43610</v>
      </c>
      <c r="O30" s="224" t="s">
        <v>2215</v>
      </c>
    </row>
    <row r="31" spans="1:17" s="224" customFormat="1" ht="15.75" hidden="1" customHeight="1" x14ac:dyDescent="0.25">
      <c r="A31" s="215">
        <v>43592</v>
      </c>
      <c r="B31" s="349" t="s">
        <v>2222</v>
      </c>
      <c r="C31" s="879" t="s">
        <v>12</v>
      </c>
      <c r="D31" s="874"/>
      <c r="E31" s="871" t="s">
        <v>25</v>
      </c>
      <c r="F31" s="1524"/>
      <c r="G31" s="982">
        <v>1951.16</v>
      </c>
      <c r="H31" s="250"/>
      <c r="I31" s="946"/>
      <c r="J31" s="97"/>
      <c r="K31" s="946"/>
      <c r="L31" s="923"/>
      <c r="N31" s="930">
        <v>43611</v>
      </c>
      <c r="O31" s="224" t="s">
        <v>2216</v>
      </c>
    </row>
    <row r="32" spans="1:17" s="224" customFormat="1" hidden="1" x14ac:dyDescent="0.25">
      <c r="A32" s="215">
        <v>43592</v>
      </c>
      <c r="B32" s="862" t="s">
        <v>2223</v>
      </c>
      <c r="C32" s="879" t="s">
        <v>12</v>
      </c>
      <c r="D32" s="879"/>
      <c r="E32" s="871" t="s">
        <v>13</v>
      </c>
      <c r="F32" s="613">
        <v>280.70999999999998</v>
      </c>
      <c r="G32" s="982"/>
      <c r="H32" s="622"/>
      <c r="I32" s="982"/>
      <c r="J32" s="780"/>
      <c r="K32" s="614"/>
      <c r="L32" s="928">
        <v>489.51</v>
      </c>
      <c r="M32" s="89"/>
      <c r="N32" s="930">
        <v>43612</v>
      </c>
      <c r="O32" s="224" t="s">
        <v>2217</v>
      </c>
      <c r="Q32" s="224">
        <v>1</v>
      </c>
    </row>
    <row r="33" spans="1:17" hidden="1" x14ac:dyDescent="0.25">
      <c r="A33" s="215">
        <v>43592</v>
      </c>
      <c r="B33" s="862" t="s">
        <v>1961</v>
      </c>
      <c r="C33" s="879" t="s">
        <v>12</v>
      </c>
      <c r="D33" s="879" t="s">
        <v>1504</v>
      </c>
      <c r="E33" s="871" t="s">
        <v>13</v>
      </c>
      <c r="F33" s="780">
        <v>50</v>
      </c>
      <c r="G33" s="982"/>
      <c r="H33" s="622"/>
      <c r="I33" s="982"/>
      <c r="J33" s="622"/>
      <c r="K33" s="1002"/>
      <c r="L33" s="929">
        <v>90</v>
      </c>
      <c r="N33" s="930">
        <v>43613</v>
      </c>
      <c r="O33" s="224" t="s">
        <v>2218</v>
      </c>
      <c r="P33" s="459">
        <v>1</v>
      </c>
    </row>
    <row r="34" spans="1:17" hidden="1" x14ac:dyDescent="0.25">
      <c r="A34" s="215">
        <v>43592</v>
      </c>
      <c r="B34" s="882" t="s">
        <v>2224</v>
      </c>
      <c r="C34" s="879" t="s">
        <v>12</v>
      </c>
      <c r="D34" s="879" t="s">
        <v>1499</v>
      </c>
      <c r="E34" s="871" t="s">
        <v>13</v>
      </c>
      <c r="F34" s="780">
        <v>44</v>
      </c>
      <c r="G34" s="982"/>
      <c r="H34" s="622"/>
      <c r="I34" s="982"/>
      <c r="J34" s="780"/>
      <c r="K34" s="614"/>
      <c r="L34" s="921">
        <v>88.61</v>
      </c>
      <c r="N34" s="930">
        <v>43614</v>
      </c>
      <c r="O34" s="224" t="s">
        <v>2212</v>
      </c>
      <c r="P34" s="459">
        <v>1</v>
      </c>
      <c r="Q34" s="224"/>
    </row>
    <row r="35" spans="1:17" hidden="1" x14ac:dyDescent="0.25">
      <c r="A35" s="215">
        <v>43592</v>
      </c>
      <c r="B35" s="876" t="s">
        <v>52</v>
      </c>
      <c r="C35" s="879" t="s">
        <v>12</v>
      </c>
      <c r="D35" s="879" t="s">
        <v>1496</v>
      </c>
      <c r="E35" s="871" t="s">
        <v>13</v>
      </c>
      <c r="F35" s="780">
        <v>60</v>
      </c>
      <c r="G35" s="982"/>
      <c r="H35" s="853"/>
      <c r="I35" s="982"/>
      <c r="J35" s="622"/>
      <c r="K35" s="982"/>
      <c r="L35" s="929"/>
      <c r="M35" s="79" t="s">
        <v>280</v>
      </c>
      <c r="N35" s="930">
        <v>43615</v>
      </c>
      <c r="O35" s="224" t="s">
        <v>2213</v>
      </c>
      <c r="P35" s="459"/>
      <c r="Q35" s="224">
        <v>1</v>
      </c>
    </row>
    <row r="36" spans="1:17" s="224" customFormat="1" ht="15" hidden="1" customHeight="1" x14ac:dyDescent="0.25">
      <c r="A36" s="215">
        <v>43592</v>
      </c>
      <c r="B36" s="349" t="s">
        <v>260</v>
      </c>
      <c r="C36" s="350" t="s">
        <v>12</v>
      </c>
      <c r="D36" s="350"/>
      <c r="E36" s="480"/>
      <c r="F36" s="780">
        <v>700</v>
      </c>
      <c r="G36" s="946"/>
      <c r="H36" s="97"/>
      <c r="I36" s="946">
        <v>700</v>
      </c>
      <c r="J36" s="97"/>
      <c r="K36" s="946"/>
      <c r="L36" s="923"/>
      <c r="N36" s="930">
        <v>43616</v>
      </c>
      <c r="O36" s="224" t="s">
        <v>2214</v>
      </c>
      <c r="P36" s="224">
        <v>1</v>
      </c>
    </row>
    <row r="37" spans="1:17" s="224" customFormat="1" ht="15" hidden="1" customHeight="1" x14ac:dyDescent="0.3">
      <c r="A37" s="215">
        <v>43592</v>
      </c>
      <c r="B37" s="349" t="s">
        <v>14</v>
      </c>
      <c r="C37" s="350" t="s">
        <v>12</v>
      </c>
      <c r="D37" s="350" t="s">
        <v>1486</v>
      </c>
      <c r="E37" s="480" t="s">
        <v>13</v>
      </c>
      <c r="F37" s="780">
        <v>8.4</v>
      </c>
      <c r="G37" s="946"/>
      <c r="H37" s="97"/>
      <c r="I37" s="946"/>
      <c r="J37" s="97"/>
      <c r="K37" s="946"/>
      <c r="L37" s="923"/>
      <c r="O37" s="930"/>
      <c r="P37" s="354">
        <f>SUM(P6:P36)</f>
        <v>13</v>
      </c>
      <c r="Q37" s="354">
        <f>SUM(Q6:Q36)</f>
        <v>10</v>
      </c>
    </row>
    <row r="38" spans="1:17" s="224" customFormat="1" ht="15" hidden="1" customHeight="1" x14ac:dyDescent="0.25">
      <c r="A38" s="215">
        <v>43593</v>
      </c>
      <c r="B38" s="349" t="s">
        <v>151</v>
      </c>
      <c r="C38" s="352" t="s">
        <v>12</v>
      </c>
      <c r="D38" s="874" t="s">
        <v>1485</v>
      </c>
      <c r="E38" s="875" t="s">
        <v>13</v>
      </c>
      <c r="F38" s="780">
        <v>14</v>
      </c>
      <c r="G38" s="982"/>
      <c r="H38" s="622"/>
      <c r="I38" s="982"/>
      <c r="J38" s="622"/>
      <c r="K38" s="982"/>
      <c r="L38" s="932"/>
      <c r="O38" s="930"/>
    </row>
    <row r="39" spans="1:17" s="224" customFormat="1" ht="15" hidden="1" customHeight="1" x14ac:dyDescent="0.25">
      <c r="A39" s="215">
        <v>43593</v>
      </c>
      <c r="B39" s="349" t="s">
        <v>14</v>
      </c>
      <c r="C39" s="350" t="s">
        <v>12</v>
      </c>
      <c r="D39" s="350" t="s">
        <v>1486</v>
      </c>
      <c r="E39" s="480" t="s">
        <v>13</v>
      </c>
      <c r="F39" s="780">
        <v>8.17</v>
      </c>
      <c r="G39" s="946"/>
      <c r="H39" s="97"/>
      <c r="I39" s="946"/>
      <c r="J39" s="97"/>
      <c r="K39" s="946"/>
      <c r="L39" s="923"/>
      <c r="O39" s="930"/>
    </row>
    <row r="40" spans="1:17" s="224" customFormat="1" ht="15" hidden="1" customHeight="1" x14ac:dyDescent="0.25">
      <c r="A40" s="215">
        <v>43593</v>
      </c>
      <c r="B40" s="349" t="s">
        <v>2225</v>
      </c>
      <c r="C40" s="352" t="s">
        <v>12</v>
      </c>
      <c r="D40" s="874" t="s">
        <v>1491</v>
      </c>
      <c r="E40" s="875" t="s">
        <v>13</v>
      </c>
      <c r="F40" s="780">
        <v>31</v>
      </c>
      <c r="G40" s="946"/>
      <c r="H40" s="97"/>
      <c r="I40" s="982"/>
      <c r="J40" s="622"/>
      <c r="K40" s="982"/>
      <c r="L40" s="931"/>
      <c r="O40" s="930"/>
    </row>
    <row r="41" spans="1:17" s="224" customFormat="1" ht="15" hidden="1" customHeight="1" x14ac:dyDescent="0.25">
      <c r="A41" s="215">
        <v>43594</v>
      </c>
      <c r="B41" s="349" t="s">
        <v>151</v>
      </c>
      <c r="C41" s="352" t="s">
        <v>12</v>
      </c>
      <c r="D41" s="874" t="s">
        <v>1485</v>
      </c>
      <c r="E41" s="875" t="s">
        <v>13</v>
      </c>
      <c r="F41" s="780">
        <v>14</v>
      </c>
      <c r="G41" s="982"/>
      <c r="H41" s="622"/>
      <c r="I41" s="982"/>
      <c r="J41" s="622"/>
      <c r="K41" s="982"/>
      <c r="L41" s="932"/>
      <c r="O41" s="930"/>
    </row>
    <row r="42" spans="1:17" s="224" customFormat="1" ht="15" hidden="1" customHeight="1" x14ac:dyDescent="0.25">
      <c r="A42" s="215">
        <v>43594</v>
      </c>
      <c r="B42" s="862" t="s">
        <v>2226</v>
      </c>
      <c r="C42" s="350" t="s">
        <v>12</v>
      </c>
      <c r="D42" s="874" t="s">
        <v>2168</v>
      </c>
      <c r="E42" s="887" t="s">
        <v>13</v>
      </c>
      <c r="F42" s="780">
        <v>28.4</v>
      </c>
      <c r="G42" s="946"/>
      <c r="H42" s="97"/>
      <c r="I42" s="982"/>
      <c r="J42" s="622"/>
      <c r="K42" s="982"/>
      <c r="L42" s="931"/>
      <c r="O42" s="930"/>
    </row>
    <row r="43" spans="1:17" s="224" customFormat="1" ht="14.25" hidden="1" customHeight="1" x14ac:dyDescent="0.25">
      <c r="A43" s="215">
        <v>43594</v>
      </c>
      <c r="B43" s="876" t="s">
        <v>134</v>
      </c>
      <c r="C43" s="350" t="s">
        <v>12</v>
      </c>
      <c r="D43" s="874" t="s">
        <v>1493</v>
      </c>
      <c r="E43" s="875" t="s">
        <v>13</v>
      </c>
      <c r="F43" s="780">
        <v>6.5</v>
      </c>
      <c r="G43" s="627"/>
      <c r="H43" s="622"/>
      <c r="I43" s="982"/>
      <c r="J43" s="622"/>
      <c r="K43" s="982"/>
      <c r="L43" s="932"/>
      <c r="O43" s="930"/>
    </row>
    <row r="44" spans="1:17" s="224" customFormat="1" ht="15" hidden="1" customHeight="1" x14ac:dyDescent="0.25">
      <c r="A44" s="215">
        <v>43594</v>
      </c>
      <c r="B44" s="349" t="s">
        <v>2227</v>
      </c>
      <c r="C44" s="350" t="s">
        <v>12</v>
      </c>
      <c r="D44" s="350" t="s">
        <v>1506</v>
      </c>
      <c r="E44" s="480" t="s">
        <v>15</v>
      </c>
      <c r="F44" s="780">
        <v>10</v>
      </c>
      <c r="G44" s="946"/>
      <c r="H44" s="97"/>
      <c r="I44" s="946"/>
      <c r="J44" s="97"/>
      <c r="K44" s="946"/>
      <c r="L44" s="932"/>
      <c r="O44" s="930"/>
    </row>
    <row r="45" spans="1:17" s="224" customFormat="1" ht="15" hidden="1" customHeight="1" x14ac:dyDescent="0.25">
      <c r="A45" s="215">
        <v>43595</v>
      </c>
      <c r="B45" s="349" t="s">
        <v>151</v>
      </c>
      <c r="C45" s="352" t="s">
        <v>12</v>
      </c>
      <c r="D45" s="874" t="s">
        <v>1485</v>
      </c>
      <c r="E45" s="875" t="s">
        <v>15</v>
      </c>
      <c r="F45" s="780">
        <v>14</v>
      </c>
      <c r="G45" s="982"/>
      <c r="H45" s="622"/>
      <c r="I45" s="982"/>
      <c r="J45" s="622"/>
      <c r="K45" s="982"/>
      <c r="L45" s="932"/>
      <c r="O45" s="930"/>
    </row>
    <row r="46" spans="1:17" s="224" customFormat="1" ht="15" hidden="1" customHeight="1" x14ac:dyDescent="0.25">
      <c r="A46" s="215">
        <v>43595</v>
      </c>
      <c r="B46" s="349" t="s">
        <v>17</v>
      </c>
      <c r="C46" s="352" t="s">
        <v>12</v>
      </c>
      <c r="D46" s="874" t="s">
        <v>1493</v>
      </c>
      <c r="E46" s="875" t="s">
        <v>15</v>
      </c>
      <c r="F46" s="780">
        <v>5</v>
      </c>
      <c r="G46" s="982"/>
      <c r="H46" s="622"/>
      <c r="I46" s="982"/>
      <c r="J46" s="622"/>
      <c r="K46" s="982"/>
      <c r="L46" s="932"/>
      <c r="O46" s="930"/>
    </row>
    <row r="47" spans="1:17" s="224" customFormat="1" ht="15" hidden="1" customHeight="1" x14ac:dyDescent="0.25">
      <c r="A47" s="215">
        <v>43595</v>
      </c>
      <c r="B47" s="349" t="s">
        <v>134</v>
      </c>
      <c r="C47" s="350" t="s">
        <v>12</v>
      </c>
      <c r="D47" s="350" t="s">
        <v>1493</v>
      </c>
      <c r="E47" s="480" t="s">
        <v>13</v>
      </c>
      <c r="F47" s="780">
        <v>19</v>
      </c>
      <c r="G47" s="946"/>
      <c r="H47" s="97"/>
      <c r="I47" s="946"/>
      <c r="J47" s="97"/>
      <c r="K47" s="946"/>
      <c r="L47" s="932"/>
      <c r="O47" s="930"/>
    </row>
    <row r="48" spans="1:17" s="224" customFormat="1" ht="15" hidden="1" customHeight="1" x14ac:dyDescent="0.25">
      <c r="A48" s="215">
        <v>43596</v>
      </c>
      <c r="B48" s="349" t="s">
        <v>14</v>
      </c>
      <c r="C48" s="350" t="s">
        <v>12</v>
      </c>
      <c r="D48" s="350" t="s">
        <v>1486</v>
      </c>
      <c r="E48" s="480" t="s">
        <v>13</v>
      </c>
      <c r="F48" s="780">
        <v>1.76</v>
      </c>
      <c r="G48" s="946"/>
      <c r="H48" s="97"/>
      <c r="I48" s="946"/>
      <c r="J48" s="97"/>
      <c r="K48" s="946"/>
      <c r="L48" s="932"/>
      <c r="O48" s="930"/>
    </row>
    <row r="49" spans="1:15" s="224" customFormat="1" ht="15" hidden="1" customHeight="1" x14ac:dyDescent="0.25">
      <c r="A49" s="215">
        <v>43596</v>
      </c>
      <c r="B49" s="349" t="s">
        <v>2228</v>
      </c>
      <c r="C49" s="350" t="s">
        <v>12</v>
      </c>
      <c r="D49" s="350" t="s">
        <v>1489</v>
      </c>
      <c r="E49" s="480" t="s">
        <v>15</v>
      </c>
      <c r="F49" s="780">
        <v>50</v>
      </c>
      <c r="G49" s="946"/>
      <c r="H49" s="97"/>
      <c r="I49" s="946"/>
      <c r="J49" s="97"/>
      <c r="K49" s="946"/>
      <c r="L49" s="932">
        <v>240</v>
      </c>
      <c r="O49" s="930"/>
    </row>
    <row r="50" spans="1:15" s="224" customFormat="1" ht="15" hidden="1" customHeight="1" x14ac:dyDescent="0.25">
      <c r="A50" s="215">
        <v>43596</v>
      </c>
      <c r="B50" s="349" t="s">
        <v>151</v>
      </c>
      <c r="C50" s="352" t="s">
        <v>12</v>
      </c>
      <c r="D50" s="874" t="s">
        <v>1485</v>
      </c>
      <c r="E50" s="875" t="s">
        <v>13</v>
      </c>
      <c r="F50" s="780">
        <v>15</v>
      </c>
      <c r="G50" s="982"/>
      <c r="H50" s="622"/>
      <c r="I50" s="982"/>
      <c r="J50" s="622"/>
      <c r="K50" s="982"/>
      <c r="L50" s="932"/>
      <c r="O50" s="930"/>
    </row>
    <row r="51" spans="1:15" s="224" customFormat="1" ht="15" hidden="1" customHeight="1" x14ac:dyDescent="0.25">
      <c r="A51" s="215">
        <v>43596</v>
      </c>
      <c r="B51" s="349" t="s">
        <v>2198</v>
      </c>
      <c r="C51" s="350" t="s">
        <v>12</v>
      </c>
      <c r="D51" s="350" t="s">
        <v>2157</v>
      </c>
      <c r="E51" s="480" t="s">
        <v>13</v>
      </c>
      <c r="F51" s="780">
        <v>75</v>
      </c>
      <c r="G51" s="946"/>
      <c r="H51" s="97"/>
      <c r="I51" s="946"/>
      <c r="J51" s="97"/>
      <c r="K51" s="946"/>
      <c r="L51" s="932"/>
      <c r="O51" s="930"/>
    </row>
    <row r="52" spans="1:15" s="224" customFormat="1" ht="15" hidden="1" customHeight="1" x14ac:dyDescent="0.25">
      <c r="A52" s="215">
        <v>43596</v>
      </c>
      <c r="B52" s="349" t="s">
        <v>2229</v>
      </c>
      <c r="C52" s="350" t="s">
        <v>19</v>
      </c>
      <c r="D52" s="350" t="s">
        <v>1489</v>
      </c>
      <c r="E52" s="480" t="s">
        <v>13</v>
      </c>
      <c r="F52" s="780">
        <v>71</v>
      </c>
      <c r="G52" s="946"/>
      <c r="H52" s="97"/>
      <c r="I52" s="946"/>
      <c r="J52" s="97"/>
      <c r="K52" s="946"/>
      <c r="O52" s="930"/>
    </row>
    <row r="53" spans="1:15" s="224" customFormat="1" ht="15" hidden="1" customHeight="1" x14ac:dyDescent="0.25">
      <c r="A53" s="215">
        <v>43596</v>
      </c>
      <c r="B53" s="349" t="s">
        <v>1438</v>
      </c>
      <c r="C53" s="350" t="s">
        <v>19</v>
      </c>
      <c r="D53" s="350" t="s">
        <v>1489</v>
      </c>
      <c r="E53" s="480" t="s">
        <v>13</v>
      </c>
      <c r="F53" s="780">
        <v>73.78</v>
      </c>
      <c r="G53" s="946"/>
      <c r="H53" s="97"/>
      <c r="I53" s="946"/>
      <c r="J53" s="97"/>
      <c r="K53" s="946"/>
      <c r="O53" s="930"/>
    </row>
    <row r="54" spans="1:15" s="224" customFormat="1" ht="15" hidden="1" customHeight="1" x14ac:dyDescent="0.25">
      <c r="A54" s="215">
        <v>43597</v>
      </c>
      <c r="B54" s="349"/>
      <c r="C54" s="350"/>
      <c r="D54" s="350"/>
      <c r="E54" s="480"/>
      <c r="F54" s="780"/>
      <c r="G54" s="946"/>
      <c r="H54" s="97"/>
      <c r="I54" s="946"/>
      <c r="J54" s="97"/>
      <c r="K54" s="946"/>
      <c r="L54" s="459"/>
      <c r="O54" s="930"/>
    </row>
    <row r="55" spans="1:15" ht="15" hidden="1" customHeight="1" x14ac:dyDescent="0.25">
      <c r="A55" s="215">
        <v>43598</v>
      </c>
      <c r="B55" s="349" t="s">
        <v>1396</v>
      </c>
      <c r="C55" s="350" t="s">
        <v>12</v>
      </c>
      <c r="D55" s="350"/>
      <c r="E55" s="757" t="s">
        <v>25</v>
      </c>
      <c r="F55" s="97"/>
      <c r="G55" s="946">
        <v>40</v>
      </c>
      <c r="H55" s="97"/>
      <c r="I55" s="946"/>
      <c r="J55" s="97"/>
      <c r="K55" s="946"/>
    </row>
    <row r="56" spans="1:15" s="224" customFormat="1" ht="15" hidden="1" customHeight="1" x14ac:dyDescent="0.25">
      <c r="A56" s="215">
        <v>43598</v>
      </c>
      <c r="B56" s="349" t="s">
        <v>151</v>
      </c>
      <c r="C56" s="352" t="s">
        <v>12</v>
      </c>
      <c r="D56" s="874" t="s">
        <v>1485</v>
      </c>
      <c r="E56" s="875" t="s">
        <v>15</v>
      </c>
      <c r="F56" s="780">
        <v>14</v>
      </c>
      <c r="G56" s="982"/>
      <c r="H56" s="622"/>
      <c r="I56" s="982"/>
      <c r="J56" s="622"/>
      <c r="K56" s="982"/>
      <c r="O56" s="930"/>
    </row>
    <row r="57" spans="1:15" s="224" customFormat="1" ht="15" hidden="1" customHeight="1" x14ac:dyDescent="0.25">
      <c r="A57" s="215">
        <v>43599</v>
      </c>
      <c r="B57" s="349" t="s">
        <v>14</v>
      </c>
      <c r="C57" s="350" t="s">
        <v>12</v>
      </c>
      <c r="D57" s="350" t="s">
        <v>1486</v>
      </c>
      <c r="E57" s="480" t="s">
        <v>13</v>
      </c>
      <c r="F57" s="780">
        <v>1.8</v>
      </c>
      <c r="G57" s="946"/>
      <c r="H57" s="97"/>
      <c r="I57" s="946"/>
      <c r="J57" s="97"/>
      <c r="K57" s="946"/>
      <c r="O57" s="930"/>
    </row>
    <row r="58" spans="1:15" s="224" customFormat="1" ht="15" hidden="1" customHeight="1" x14ac:dyDescent="0.25">
      <c r="A58" s="215">
        <v>43599</v>
      </c>
      <c r="B58" s="349" t="s">
        <v>151</v>
      </c>
      <c r="C58" s="352" t="s">
        <v>12</v>
      </c>
      <c r="D58" s="874" t="s">
        <v>1485</v>
      </c>
      <c r="E58" s="875" t="s">
        <v>15</v>
      </c>
      <c r="F58" s="780">
        <v>14</v>
      </c>
      <c r="G58" s="982"/>
      <c r="H58" s="622"/>
      <c r="I58" s="982"/>
      <c r="J58" s="622"/>
      <c r="K58" s="982"/>
      <c r="O58" s="930"/>
    </row>
    <row r="59" spans="1:15" s="224" customFormat="1" ht="15" hidden="1" customHeight="1" x14ac:dyDescent="0.25">
      <c r="A59" s="215">
        <v>43599</v>
      </c>
      <c r="B59" s="349" t="s">
        <v>1580</v>
      </c>
      <c r="C59" s="352" t="s">
        <v>12</v>
      </c>
      <c r="D59" s="874" t="s">
        <v>1491</v>
      </c>
      <c r="E59" s="875" t="s">
        <v>15</v>
      </c>
      <c r="F59" s="780">
        <v>10</v>
      </c>
      <c r="G59" s="982"/>
      <c r="H59" s="622"/>
      <c r="I59" s="982"/>
      <c r="J59" s="622"/>
      <c r="K59" s="982"/>
      <c r="O59" s="930"/>
    </row>
    <row r="60" spans="1:15" s="224" customFormat="1" ht="14.25" hidden="1" customHeight="1" x14ac:dyDescent="0.25">
      <c r="A60" s="215">
        <v>43599</v>
      </c>
      <c r="B60" s="349" t="s">
        <v>14</v>
      </c>
      <c r="C60" s="350" t="s">
        <v>12</v>
      </c>
      <c r="D60" s="350" t="s">
        <v>1486</v>
      </c>
      <c r="E60" s="480" t="s">
        <v>13</v>
      </c>
      <c r="F60" s="780">
        <v>7.83</v>
      </c>
      <c r="G60" s="627"/>
      <c r="H60" s="622"/>
      <c r="I60" s="982"/>
      <c r="J60" s="622"/>
      <c r="K60" s="982"/>
      <c r="L60" s="883"/>
      <c r="M60" s="89"/>
      <c r="O60" s="930"/>
    </row>
    <row r="61" spans="1:15" s="224" customFormat="1" ht="15" hidden="1" customHeight="1" x14ac:dyDescent="0.25">
      <c r="A61" s="215">
        <v>43600</v>
      </c>
      <c r="B61" s="349" t="s">
        <v>151</v>
      </c>
      <c r="C61" s="352" t="s">
        <v>12</v>
      </c>
      <c r="D61" s="874" t="s">
        <v>1485</v>
      </c>
      <c r="E61" s="875" t="s">
        <v>13</v>
      </c>
      <c r="F61" s="780">
        <v>14</v>
      </c>
      <c r="G61" s="982"/>
      <c r="H61" s="622"/>
      <c r="I61" s="982"/>
      <c r="J61" s="622"/>
      <c r="K61" s="982"/>
      <c r="O61" s="930"/>
    </row>
    <row r="62" spans="1:15" s="224" customFormat="1" ht="14.25" hidden="1" customHeight="1" x14ac:dyDescent="0.25">
      <c r="A62" s="215">
        <v>43600</v>
      </c>
      <c r="B62" s="349" t="s">
        <v>14</v>
      </c>
      <c r="C62" s="350" t="s">
        <v>12</v>
      </c>
      <c r="D62" s="350" t="s">
        <v>1486</v>
      </c>
      <c r="E62" s="480" t="s">
        <v>13</v>
      </c>
      <c r="F62" s="780">
        <v>5.5</v>
      </c>
      <c r="G62" s="627"/>
      <c r="H62" s="622"/>
      <c r="I62" s="982"/>
      <c r="J62" s="622"/>
      <c r="K62" s="982"/>
      <c r="L62" s="883"/>
      <c r="M62" s="89"/>
      <c r="O62" s="930"/>
    </row>
    <row r="63" spans="1:15" s="224" customFormat="1" ht="15" hidden="1" customHeight="1" x14ac:dyDescent="0.25">
      <c r="A63" s="215">
        <v>43601</v>
      </c>
      <c r="B63" s="349" t="s">
        <v>151</v>
      </c>
      <c r="C63" s="352" t="s">
        <v>12</v>
      </c>
      <c r="D63" s="874" t="s">
        <v>1485</v>
      </c>
      <c r="E63" s="875" t="s">
        <v>13</v>
      </c>
      <c r="F63" s="780">
        <v>14</v>
      </c>
      <c r="G63" s="982"/>
      <c r="H63" s="622"/>
      <c r="I63" s="982"/>
      <c r="J63" s="622"/>
      <c r="K63" s="982"/>
      <c r="O63" s="930"/>
    </row>
    <row r="64" spans="1:15" s="224" customFormat="1" ht="14.25" hidden="1" customHeight="1" x14ac:dyDescent="0.25">
      <c r="A64" s="215">
        <v>43601</v>
      </c>
      <c r="B64" s="349" t="s">
        <v>81</v>
      </c>
      <c r="C64" s="352" t="s">
        <v>12</v>
      </c>
      <c r="D64" s="874" t="s">
        <v>1493</v>
      </c>
      <c r="E64" s="875" t="s">
        <v>13</v>
      </c>
      <c r="F64" s="780">
        <v>2.4</v>
      </c>
      <c r="G64" s="627"/>
      <c r="H64" s="622"/>
      <c r="I64" s="982"/>
      <c r="J64" s="622"/>
      <c r="K64" s="982"/>
      <c r="L64" s="883"/>
      <c r="M64" s="89"/>
      <c r="O64" s="930"/>
    </row>
    <row r="65" spans="1:15" s="224" customFormat="1" ht="14.25" hidden="1" customHeight="1" x14ac:dyDescent="0.25">
      <c r="A65" s="215">
        <v>43601</v>
      </c>
      <c r="B65" s="349" t="s">
        <v>2230</v>
      </c>
      <c r="C65" s="352" t="s">
        <v>12</v>
      </c>
      <c r="D65" s="874" t="s">
        <v>1491</v>
      </c>
      <c r="E65" s="875" t="s">
        <v>13</v>
      </c>
      <c r="F65" s="780">
        <v>28</v>
      </c>
      <c r="G65" s="627"/>
      <c r="H65" s="622"/>
      <c r="I65" s="982"/>
      <c r="J65" s="622"/>
      <c r="K65" s="982"/>
      <c r="L65" s="883"/>
      <c r="M65" s="89"/>
      <c r="O65" s="930"/>
    </row>
    <row r="66" spans="1:15" s="224" customFormat="1" ht="14.25" hidden="1" customHeight="1" x14ac:dyDescent="0.25">
      <c r="A66" s="215">
        <v>43601</v>
      </c>
      <c r="B66" s="349" t="s">
        <v>14</v>
      </c>
      <c r="C66" s="350" t="s">
        <v>12</v>
      </c>
      <c r="D66" s="350" t="s">
        <v>1486</v>
      </c>
      <c r="E66" s="480" t="s">
        <v>13</v>
      </c>
      <c r="F66" s="780">
        <v>4</v>
      </c>
      <c r="G66" s="627"/>
      <c r="H66" s="622"/>
      <c r="I66" s="982"/>
      <c r="J66" s="622"/>
      <c r="K66" s="982"/>
      <c r="L66" s="883"/>
      <c r="M66" s="89"/>
      <c r="O66" s="930"/>
    </row>
    <row r="67" spans="1:15" s="224" customFormat="1" ht="14.25" hidden="1" customHeight="1" x14ac:dyDescent="0.25">
      <c r="A67" s="215">
        <v>43602</v>
      </c>
      <c r="B67" s="349" t="s">
        <v>14</v>
      </c>
      <c r="C67" s="350" t="s">
        <v>12</v>
      </c>
      <c r="D67" s="350" t="s">
        <v>1486</v>
      </c>
      <c r="E67" s="480" t="s">
        <v>13</v>
      </c>
      <c r="F67" s="780">
        <v>10.79</v>
      </c>
      <c r="G67" s="627"/>
      <c r="H67" s="622"/>
      <c r="I67" s="982"/>
      <c r="J67" s="622"/>
      <c r="K67" s="982"/>
      <c r="L67" s="883"/>
      <c r="M67" s="89"/>
      <c r="O67" s="930"/>
    </row>
    <row r="68" spans="1:15" s="224" customFormat="1" ht="15" hidden="1" customHeight="1" x14ac:dyDescent="0.25">
      <c r="A68" s="215">
        <v>43602</v>
      </c>
      <c r="B68" s="349" t="s">
        <v>151</v>
      </c>
      <c r="C68" s="352" t="s">
        <v>12</v>
      </c>
      <c r="D68" s="874" t="s">
        <v>1485</v>
      </c>
      <c r="E68" s="875" t="s">
        <v>15</v>
      </c>
      <c r="F68" s="780">
        <v>14</v>
      </c>
      <c r="G68" s="982"/>
      <c r="H68" s="622"/>
      <c r="I68" s="982"/>
      <c r="J68" s="622"/>
      <c r="K68" s="982"/>
      <c r="O68" s="930"/>
    </row>
    <row r="69" spans="1:15" s="224" customFormat="1" ht="14.25" hidden="1" customHeight="1" x14ac:dyDescent="0.25">
      <c r="A69" s="215">
        <v>43602</v>
      </c>
      <c r="B69" s="349" t="s">
        <v>14</v>
      </c>
      <c r="C69" s="350" t="s">
        <v>12</v>
      </c>
      <c r="D69" s="350" t="s">
        <v>1486</v>
      </c>
      <c r="E69" s="480" t="s">
        <v>13</v>
      </c>
      <c r="F69" s="780">
        <v>14</v>
      </c>
      <c r="G69" s="627"/>
      <c r="H69" s="622"/>
      <c r="I69" s="982"/>
      <c r="J69" s="622"/>
      <c r="K69" s="982"/>
      <c r="L69" s="883"/>
      <c r="M69" s="89"/>
      <c r="O69" s="930"/>
    </row>
    <row r="70" spans="1:15" s="224" customFormat="1" hidden="1" x14ac:dyDescent="0.25">
      <c r="A70" s="215">
        <v>43603</v>
      </c>
      <c r="B70" s="349" t="s">
        <v>151</v>
      </c>
      <c r="C70" s="352" t="s">
        <v>12</v>
      </c>
      <c r="D70" s="874" t="s">
        <v>1485</v>
      </c>
      <c r="E70" s="875" t="s">
        <v>13</v>
      </c>
      <c r="F70" s="850">
        <v>11</v>
      </c>
      <c r="G70" s="982"/>
      <c r="H70" s="622"/>
      <c r="I70" s="982"/>
      <c r="J70" s="622"/>
      <c r="K70" s="982"/>
      <c r="O70" s="930"/>
    </row>
    <row r="71" spans="1:15" s="224" customFormat="1" hidden="1" x14ac:dyDescent="0.25">
      <c r="A71" s="215">
        <v>43603</v>
      </c>
      <c r="B71" s="349" t="s">
        <v>14</v>
      </c>
      <c r="C71" s="350" t="s">
        <v>12</v>
      </c>
      <c r="D71" s="350" t="s">
        <v>1486</v>
      </c>
      <c r="E71" s="480" t="s">
        <v>13</v>
      </c>
      <c r="F71" s="850">
        <v>13.78</v>
      </c>
      <c r="G71" s="982"/>
      <c r="H71" s="622"/>
      <c r="I71" s="982"/>
      <c r="J71" s="622"/>
      <c r="K71" s="982"/>
      <c r="O71" s="930"/>
    </row>
    <row r="72" spans="1:15" s="224" customFormat="1" hidden="1" x14ac:dyDescent="0.25">
      <c r="A72" s="215">
        <v>43603</v>
      </c>
      <c r="B72" s="349" t="s">
        <v>82</v>
      </c>
      <c r="C72" s="350" t="s">
        <v>12</v>
      </c>
      <c r="D72" s="350" t="s">
        <v>1493</v>
      </c>
      <c r="E72" s="480" t="s">
        <v>13</v>
      </c>
      <c r="F72" s="850">
        <v>38</v>
      </c>
      <c r="G72" s="982"/>
      <c r="H72" s="622"/>
      <c r="I72" s="982"/>
      <c r="J72" s="622"/>
      <c r="K72" s="982"/>
      <c r="O72" s="930"/>
    </row>
    <row r="73" spans="1:15" s="224" customFormat="1" ht="15" hidden="1" customHeight="1" x14ac:dyDescent="0.25">
      <c r="A73" s="215">
        <v>43604</v>
      </c>
      <c r="B73" s="349" t="s">
        <v>2198</v>
      </c>
      <c r="C73" s="352" t="s">
        <v>12</v>
      </c>
      <c r="D73" s="874" t="s">
        <v>2157</v>
      </c>
      <c r="E73" s="875" t="s">
        <v>15</v>
      </c>
      <c r="F73" s="780">
        <v>20</v>
      </c>
      <c r="G73" s="946"/>
      <c r="H73" s="97"/>
      <c r="I73" s="982"/>
      <c r="J73" s="622"/>
      <c r="K73" s="982"/>
      <c r="O73" s="930"/>
    </row>
    <row r="74" spans="1:15" hidden="1" x14ac:dyDescent="0.25">
      <c r="A74" s="215">
        <v>43605</v>
      </c>
      <c r="B74" s="882" t="s">
        <v>2231</v>
      </c>
      <c r="C74" s="350" t="s">
        <v>12</v>
      </c>
      <c r="D74" s="145"/>
      <c r="E74" s="145" t="s">
        <v>25</v>
      </c>
      <c r="F74" s="1524"/>
      <c r="G74" s="946">
        <v>1660</v>
      </c>
      <c r="H74" s="97"/>
      <c r="I74" s="946"/>
      <c r="J74" s="97"/>
      <c r="K74" s="946"/>
      <c r="O74" s="930"/>
    </row>
    <row r="75" spans="1:15" s="224" customFormat="1" hidden="1" x14ac:dyDescent="0.25">
      <c r="A75" s="215">
        <v>43605</v>
      </c>
      <c r="B75" s="873" t="s">
        <v>1564</v>
      </c>
      <c r="C75" s="879" t="s">
        <v>12</v>
      </c>
      <c r="D75" s="350" t="s">
        <v>1491</v>
      </c>
      <c r="E75" s="871" t="s">
        <v>15</v>
      </c>
      <c r="F75" s="622">
        <v>140</v>
      </c>
      <c r="G75" s="982"/>
      <c r="H75" s="622"/>
      <c r="I75" s="982"/>
      <c r="J75" s="622"/>
      <c r="K75" s="982"/>
      <c r="O75" s="930"/>
    </row>
    <row r="76" spans="1:15" s="224" customFormat="1" ht="15.75" hidden="1" customHeight="1" x14ac:dyDescent="0.25">
      <c r="A76" s="215">
        <v>43605</v>
      </c>
      <c r="B76" s="882" t="s">
        <v>2200</v>
      </c>
      <c r="C76" s="879" t="s">
        <v>12</v>
      </c>
      <c r="D76" s="879" t="s">
        <v>1499</v>
      </c>
      <c r="E76" s="871" t="s">
        <v>13</v>
      </c>
      <c r="F76" s="622">
        <v>47.82</v>
      </c>
      <c r="G76" s="1002"/>
      <c r="H76" s="538"/>
      <c r="I76" s="982"/>
      <c r="J76" s="622"/>
      <c r="K76" s="982"/>
      <c r="L76" s="932">
        <v>97.82</v>
      </c>
      <c r="O76" s="930"/>
    </row>
    <row r="77" spans="1:15" s="224" customFormat="1" ht="15" hidden="1" customHeight="1" x14ac:dyDescent="0.25">
      <c r="A77" s="215">
        <v>43605</v>
      </c>
      <c r="B77" s="862" t="s">
        <v>2206</v>
      </c>
      <c r="C77" s="350" t="s">
        <v>12</v>
      </c>
      <c r="D77" s="874" t="s">
        <v>1504</v>
      </c>
      <c r="E77" s="887" t="s">
        <v>13</v>
      </c>
      <c r="F77" s="780">
        <v>70</v>
      </c>
      <c r="G77" s="946"/>
      <c r="H77" s="97"/>
      <c r="I77" s="982"/>
      <c r="J77" s="622"/>
      <c r="K77" s="982"/>
      <c r="L77" s="931">
        <v>139.9</v>
      </c>
      <c r="O77" s="930"/>
    </row>
    <row r="78" spans="1:15" s="224" customFormat="1" ht="15" hidden="1" customHeight="1" x14ac:dyDescent="0.25">
      <c r="A78" s="215">
        <v>43605</v>
      </c>
      <c r="B78" s="349" t="s">
        <v>2232</v>
      </c>
      <c r="C78" s="350" t="s">
        <v>19</v>
      </c>
      <c r="D78" s="350" t="s">
        <v>1489</v>
      </c>
      <c r="E78" s="480" t="s">
        <v>15</v>
      </c>
      <c r="F78" s="780">
        <v>72</v>
      </c>
      <c r="G78" s="946"/>
      <c r="H78" s="97"/>
      <c r="I78" s="946"/>
      <c r="J78" s="97"/>
      <c r="K78" s="946"/>
      <c r="O78" s="930"/>
    </row>
    <row r="79" spans="1:15" s="224" customFormat="1" ht="15" hidden="1" customHeight="1" x14ac:dyDescent="0.25">
      <c r="A79" s="215">
        <v>43605</v>
      </c>
      <c r="B79" s="349" t="s">
        <v>2233</v>
      </c>
      <c r="C79" s="350" t="s">
        <v>19</v>
      </c>
      <c r="D79" s="350" t="s">
        <v>1491</v>
      </c>
      <c r="E79" s="480" t="s">
        <v>15</v>
      </c>
      <c r="F79" s="780">
        <v>97</v>
      </c>
      <c r="G79" s="946"/>
      <c r="H79" s="97"/>
      <c r="I79" s="946"/>
      <c r="J79" s="97"/>
      <c r="K79" s="946"/>
      <c r="O79" s="930"/>
    </row>
    <row r="80" spans="1:15" s="224" customFormat="1" ht="15" hidden="1" customHeight="1" x14ac:dyDescent="0.25">
      <c r="A80" s="215">
        <v>43605</v>
      </c>
      <c r="B80" s="349" t="s">
        <v>260</v>
      </c>
      <c r="C80" s="350" t="s">
        <v>12</v>
      </c>
      <c r="D80" s="350"/>
      <c r="E80" s="480"/>
      <c r="F80" s="780">
        <v>700</v>
      </c>
      <c r="G80" s="946"/>
      <c r="H80" s="97"/>
      <c r="I80" s="946">
        <v>700</v>
      </c>
      <c r="J80" s="97"/>
      <c r="K80" s="946"/>
      <c r="L80" s="923"/>
      <c r="N80" s="930"/>
    </row>
    <row r="81" spans="1:15" s="224" customFormat="1" hidden="1" x14ac:dyDescent="0.25">
      <c r="A81" s="215">
        <v>43605</v>
      </c>
      <c r="B81" s="349" t="s">
        <v>151</v>
      </c>
      <c r="C81" s="352" t="s">
        <v>12</v>
      </c>
      <c r="D81" s="874" t="s">
        <v>1485</v>
      </c>
      <c r="E81" s="875" t="s">
        <v>13</v>
      </c>
      <c r="F81" s="850">
        <v>14</v>
      </c>
      <c r="G81" s="982"/>
      <c r="H81" s="622"/>
      <c r="I81" s="982"/>
      <c r="J81" s="622"/>
      <c r="K81" s="982"/>
      <c r="O81" s="930"/>
    </row>
    <row r="82" spans="1:15" s="224" customFormat="1" ht="15" hidden="1" customHeight="1" x14ac:dyDescent="0.25">
      <c r="A82" s="215">
        <v>43605</v>
      </c>
      <c r="B82" s="349" t="s">
        <v>1597</v>
      </c>
      <c r="C82" s="350" t="s">
        <v>12</v>
      </c>
      <c r="D82" s="350" t="s">
        <v>1491</v>
      </c>
      <c r="E82" s="480" t="s">
        <v>15</v>
      </c>
      <c r="F82" s="780">
        <v>100</v>
      </c>
      <c r="G82" s="946"/>
      <c r="H82" s="97"/>
      <c r="I82" s="946"/>
      <c r="J82" s="97"/>
      <c r="K82" s="946"/>
      <c r="O82" s="930"/>
    </row>
    <row r="83" spans="1:15" s="224" customFormat="1" hidden="1" x14ac:dyDescent="0.25">
      <c r="A83" s="215">
        <v>43606</v>
      </c>
      <c r="B83" s="349" t="s">
        <v>151</v>
      </c>
      <c r="C83" s="352" t="s">
        <v>12</v>
      </c>
      <c r="D83" s="874" t="s">
        <v>1485</v>
      </c>
      <c r="E83" s="875" t="s">
        <v>15</v>
      </c>
      <c r="F83" s="850">
        <v>14</v>
      </c>
      <c r="G83" s="982"/>
      <c r="H83" s="622"/>
      <c r="I83" s="982"/>
      <c r="J83" s="622"/>
      <c r="K83" s="982"/>
      <c r="O83" s="930"/>
    </row>
    <row r="84" spans="1:15" s="224" customFormat="1" ht="15" hidden="1" customHeight="1" x14ac:dyDescent="0.25">
      <c r="A84" s="215">
        <v>43606</v>
      </c>
      <c r="B84" s="349" t="s">
        <v>2234</v>
      </c>
      <c r="C84" s="352" t="s">
        <v>19</v>
      </c>
      <c r="D84" s="874" t="s">
        <v>1506</v>
      </c>
      <c r="E84" s="875" t="s">
        <v>13</v>
      </c>
      <c r="F84" s="780">
        <v>114</v>
      </c>
      <c r="G84" s="946"/>
      <c r="H84" s="97"/>
      <c r="I84" s="982"/>
      <c r="J84" s="622"/>
      <c r="K84" s="982"/>
      <c r="O84" s="930"/>
    </row>
    <row r="85" spans="1:15" s="224" customFormat="1" ht="15" hidden="1" customHeight="1" x14ac:dyDescent="0.25">
      <c r="A85" s="215">
        <v>43606</v>
      </c>
      <c r="B85" s="349" t="s">
        <v>103</v>
      </c>
      <c r="C85" s="352" t="s">
        <v>12</v>
      </c>
      <c r="D85" s="874" t="s">
        <v>1489</v>
      </c>
      <c r="E85" s="875" t="s">
        <v>13</v>
      </c>
      <c r="F85" s="780">
        <v>9</v>
      </c>
      <c r="G85" s="946"/>
      <c r="H85" s="97"/>
      <c r="I85" s="982"/>
      <c r="J85" s="622"/>
      <c r="K85" s="982"/>
      <c r="O85" s="930"/>
    </row>
    <row r="86" spans="1:15" s="224" customFormat="1" hidden="1" x14ac:dyDescent="0.25">
      <c r="A86" s="215">
        <v>43606</v>
      </c>
      <c r="B86" s="349" t="s">
        <v>14</v>
      </c>
      <c r="C86" s="350" t="s">
        <v>12</v>
      </c>
      <c r="D86" s="350" t="s">
        <v>1486</v>
      </c>
      <c r="E86" s="480" t="s">
        <v>13</v>
      </c>
      <c r="F86" s="850">
        <v>3.04</v>
      </c>
      <c r="G86" s="982"/>
      <c r="H86" s="622"/>
      <c r="I86" s="982"/>
      <c r="J86" s="622"/>
      <c r="K86" s="982"/>
      <c r="O86" s="930"/>
    </row>
    <row r="87" spans="1:15" s="224" customFormat="1" ht="15" hidden="1" customHeight="1" x14ac:dyDescent="0.25">
      <c r="A87" s="215">
        <v>43606</v>
      </c>
      <c r="B87" s="349" t="s">
        <v>14</v>
      </c>
      <c r="C87" s="350" t="s">
        <v>12</v>
      </c>
      <c r="D87" s="350" t="s">
        <v>1486</v>
      </c>
      <c r="E87" s="480" t="s">
        <v>13</v>
      </c>
      <c r="F87" s="780">
        <v>1.85</v>
      </c>
      <c r="G87" s="946"/>
      <c r="H87" s="97"/>
      <c r="I87" s="982"/>
      <c r="J87" s="622"/>
      <c r="K87" s="982"/>
      <c r="O87" s="930"/>
    </row>
    <row r="88" spans="1:15" s="224" customFormat="1" hidden="1" x14ac:dyDescent="0.25">
      <c r="A88" s="215">
        <v>43607</v>
      </c>
      <c r="B88" s="349" t="s">
        <v>151</v>
      </c>
      <c r="C88" s="352" t="s">
        <v>12</v>
      </c>
      <c r="D88" s="874" t="s">
        <v>1485</v>
      </c>
      <c r="E88" s="875" t="s">
        <v>15</v>
      </c>
      <c r="F88" s="850">
        <v>14</v>
      </c>
      <c r="G88" s="982"/>
      <c r="H88" s="622"/>
      <c r="I88" s="982"/>
      <c r="J88" s="622"/>
      <c r="K88" s="982"/>
      <c r="O88" s="930"/>
    </row>
    <row r="89" spans="1:15" s="224" customFormat="1" ht="15" hidden="1" customHeight="1" x14ac:dyDescent="0.25">
      <c r="A89" s="215">
        <v>43607</v>
      </c>
      <c r="B89" s="349" t="s">
        <v>17</v>
      </c>
      <c r="C89" s="352" t="s">
        <v>12</v>
      </c>
      <c r="D89" s="874" t="s">
        <v>1493</v>
      </c>
      <c r="E89" s="875" t="s">
        <v>15</v>
      </c>
      <c r="F89" s="780">
        <v>5</v>
      </c>
      <c r="G89" s="982"/>
      <c r="H89" s="622"/>
      <c r="I89" s="982"/>
      <c r="J89" s="622"/>
      <c r="K89" s="982"/>
      <c r="N89" s="930"/>
    </row>
    <row r="90" spans="1:15" s="224" customFormat="1" ht="15" hidden="1" customHeight="1" x14ac:dyDescent="0.25">
      <c r="A90" s="215">
        <v>43607</v>
      </c>
      <c r="B90" s="349" t="s">
        <v>14</v>
      </c>
      <c r="C90" s="350" t="s">
        <v>12</v>
      </c>
      <c r="D90" s="350" t="s">
        <v>1486</v>
      </c>
      <c r="E90" s="480" t="s">
        <v>13</v>
      </c>
      <c r="F90" s="780">
        <v>3.36</v>
      </c>
      <c r="G90" s="946"/>
      <c r="H90" s="97"/>
      <c r="I90" s="982"/>
      <c r="J90" s="622"/>
      <c r="K90" s="982"/>
      <c r="O90" s="930"/>
    </row>
    <row r="91" spans="1:15" s="224" customFormat="1" ht="15" hidden="1" customHeight="1" x14ac:dyDescent="0.25">
      <c r="A91" s="215">
        <v>43607</v>
      </c>
      <c r="B91" s="349" t="s">
        <v>2198</v>
      </c>
      <c r="C91" s="352" t="s">
        <v>12</v>
      </c>
      <c r="D91" s="874" t="s">
        <v>2157</v>
      </c>
      <c r="E91" s="875" t="s">
        <v>15</v>
      </c>
      <c r="F91" s="780">
        <v>30</v>
      </c>
      <c r="G91" s="946"/>
      <c r="H91" s="97"/>
      <c r="I91" s="946"/>
      <c r="J91" s="97"/>
      <c r="K91" s="946"/>
      <c r="O91" s="930"/>
    </row>
    <row r="92" spans="1:15" s="224" customFormat="1" ht="15" hidden="1" customHeight="1" x14ac:dyDescent="0.25">
      <c r="A92" s="215">
        <v>43608</v>
      </c>
      <c r="B92" s="349" t="s">
        <v>14</v>
      </c>
      <c r="C92" s="350" t="s">
        <v>12</v>
      </c>
      <c r="D92" s="350" t="s">
        <v>1486</v>
      </c>
      <c r="E92" s="480" t="s">
        <v>13</v>
      </c>
      <c r="F92" s="780">
        <v>3.13</v>
      </c>
      <c r="G92" s="946"/>
      <c r="H92" s="97"/>
      <c r="I92" s="982"/>
      <c r="J92" s="622"/>
      <c r="K92" s="982"/>
      <c r="O92" s="930"/>
    </row>
    <row r="93" spans="1:15" s="224" customFormat="1" hidden="1" x14ac:dyDescent="0.25">
      <c r="A93" s="215">
        <v>43609</v>
      </c>
      <c r="B93" s="349" t="s">
        <v>151</v>
      </c>
      <c r="C93" s="352" t="s">
        <v>12</v>
      </c>
      <c r="D93" s="874" t="s">
        <v>1485</v>
      </c>
      <c r="E93" s="875" t="s">
        <v>15</v>
      </c>
      <c r="F93" s="850">
        <v>14</v>
      </c>
      <c r="G93" s="982"/>
      <c r="H93" s="622"/>
      <c r="I93" s="982"/>
      <c r="J93" s="622"/>
      <c r="K93" s="982"/>
      <c r="O93" s="930"/>
    </row>
    <row r="94" spans="1:15" s="224" customFormat="1" hidden="1" x14ac:dyDescent="0.25">
      <c r="A94" s="215">
        <v>43609</v>
      </c>
      <c r="B94" s="349" t="s">
        <v>2235</v>
      </c>
      <c r="C94" s="352" t="s">
        <v>12</v>
      </c>
      <c r="D94" s="874" t="s">
        <v>1489</v>
      </c>
      <c r="E94" s="875" t="s">
        <v>15</v>
      </c>
      <c r="F94" s="850">
        <v>6</v>
      </c>
      <c r="G94" s="982"/>
      <c r="H94" s="622"/>
      <c r="I94" s="982"/>
      <c r="J94" s="622"/>
      <c r="K94" s="982"/>
      <c r="O94" s="930"/>
    </row>
    <row r="95" spans="1:15" s="224" customFormat="1" ht="15" hidden="1" customHeight="1" x14ac:dyDescent="0.25">
      <c r="A95" s="215">
        <v>43609</v>
      </c>
      <c r="B95" s="349" t="s">
        <v>2236</v>
      </c>
      <c r="C95" s="350" t="s">
        <v>12</v>
      </c>
      <c r="D95" s="350" t="s">
        <v>1493</v>
      </c>
      <c r="E95" s="480" t="s">
        <v>13</v>
      </c>
      <c r="F95" s="780">
        <v>21</v>
      </c>
      <c r="G95" s="946"/>
      <c r="H95" s="97"/>
      <c r="I95" s="982"/>
      <c r="J95" s="622"/>
      <c r="K95" s="982"/>
      <c r="O95" s="930"/>
    </row>
    <row r="96" spans="1:15" s="224" customFormat="1" ht="15" hidden="1" customHeight="1" x14ac:dyDescent="0.25">
      <c r="A96" s="215">
        <v>43609</v>
      </c>
      <c r="B96" s="349" t="s">
        <v>2153</v>
      </c>
      <c r="C96" s="350" t="s">
        <v>12</v>
      </c>
      <c r="D96" s="350" t="s">
        <v>1493</v>
      </c>
      <c r="E96" s="480" t="s">
        <v>13</v>
      </c>
      <c r="F96" s="780">
        <v>5.36</v>
      </c>
      <c r="G96" s="946"/>
      <c r="H96" s="97"/>
      <c r="I96" s="982"/>
      <c r="J96" s="622"/>
      <c r="K96" s="982"/>
      <c r="O96" s="930"/>
    </row>
    <row r="97" spans="1:15" s="224" customFormat="1" ht="15" hidden="1" customHeight="1" x14ac:dyDescent="0.25">
      <c r="A97" s="215">
        <v>43610</v>
      </c>
      <c r="B97" s="349" t="s">
        <v>1938</v>
      </c>
      <c r="C97" s="352" t="s">
        <v>12</v>
      </c>
      <c r="D97" s="874" t="s">
        <v>1485</v>
      </c>
      <c r="E97" s="875" t="s">
        <v>13</v>
      </c>
      <c r="F97" s="780">
        <v>26</v>
      </c>
      <c r="G97" s="946"/>
      <c r="H97" s="97"/>
      <c r="I97" s="982"/>
      <c r="J97" s="622"/>
      <c r="K97" s="982"/>
      <c r="O97" s="930"/>
    </row>
    <row r="98" spans="1:15" s="224" customFormat="1" ht="15" hidden="1" customHeight="1" x14ac:dyDescent="0.25">
      <c r="A98" s="215">
        <v>43610</v>
      </c>
      <c r="B98" s="349" t="s">
        <v>1438</v>
      </c>
      <c r="C98" s="352" t="s">
        <v>19</v>
      </c>
      <c r="D98" s="874" t="s">
        <v>1489</v>
      </c>
      <c r="E98" s="875" t="s">
        <v>13</v>
      </c>
      <c r="F98" s="780">
        <v>68.48</v>
      </c>
      <c r="G98" s="946"/>
      <c r="H98" s="97"/>
      <c r="I98" s="982"/>
      <c r="J98" s="622"/>
      <c r="K98" s="982"/>
      <c r="O98" s="930"/>
    </row>
    <row r="99" spans="1:15" s="224" customFormat="1" ht="15" hidden="1" customHeight="1" x14ac:dyDescent="0.25">
      <c r="A99" s="215">
        <v>43610</v>
      </c>
      <c r="B99" s="349" t="s">
        <v>56</v>
      </c>
      <c r="C99" s="352" t="s">
        <v>19</v>
      </c>
      <c r="D99" s="874" t="s">
        <v>1523</v>
      </c>
      <c r="E99" s="875" t="s">
        <v>13</v>
      </c>
      <c r="F99" s="780">
        <v>23</v>
      </c>
      <c r="G99" s="946"/>
      <c r="H99" s="97"/>
      <c r="I99" s="982"/>
      <c r="J99" s="622"/>
      <c r="K99" s="982"/>
      <c r="O99" s="930"/>
    </row>
    <row r="100" spans="1:15" s="224" customFormat="1" ht="15" hidden="1" customHeight="1" x14ac:dyDescent="0.25">
      <c r="A100" s="215">
        <v>43610</v>
      </c>
      <c r="B100" s="349" t="s">
        <v>2237</v>
      </c>
      <c r="C100" s="352" t="s">
        <v>19</v>
      </c>
      <c r="D100" s="874" t="s">
        <v>1491</v>
      </c>
      <c r="E100" s="875" t="s">
        <v>13</v>
      </c>
      <c r="F100" s="780">
        <v>7</v>
      </c>
      <c r="G100" s="946"/>
      <c r="H100" s="97"/>
      <c r="I100" s="982"/>
      <c r="J100" s="622"/>
      <c r="K100" s="982"/>
      <c r="O100" s="930"/>
    </row>
    <row r="101" spans="1:15" s="224" customFormat="1" ht="15" hidden="1" customHeight="1" x14ac:dyDescent="0.25">
      <c r="A101" s="215">
        <v>43610</v>
      </c>
      <c r="B101" s="349" t="s">
        <v>2198</v>
      </c>
      <c r="C101" s="352" t="s">
        <v>12</v>
      </c>
      <c r="D101" s="874" t="s">
        <v>2157</v>
      </c>
      <c r="E101" s="875" t="s">
        <v>13</v>
      </c>
      <c r="F101" s="780">
        <v>70</v>
      </c>
      <c r="G101" s="946"/>
      <c r="H101" s="97"/>
      <c r="I101" s="946"/>
      <c r="J101" s="97"/>
      <c r="K101" s="946"/>
      <c r="O101" s="930"/>
    </row>
    <row r="102" spans="1:15" s="224" customFormat="1" ht="15" hidden="1" customHeight="1" x14ac:dyDescent="0.25">
      <c r="A102" s="215">
        <v>43611</v>
      </c>
      <c r="B102" s="349" t="s">
        <v>2238</v>
      </c>
      <c r="C102" s="350" t="s">
        <v>12</v>
      </c>
      <c r="D102" s="350" t="s">
        <v>1485</v>
      </c>
      <c r="E102" s="480" t="s">
        <v>15</v>
      </c>
      <c r="F102" s="780">
        <v>20</v>
      </c>
      <c r="G102" s="946"/>
      <c r="H102" s="97"/>
      <c r="I102" s="982"/>
      <c r="J102" s="622"/>
      <c r="K102" s="982"/>
      <c r="O102" s="930"/>
    </row>
    <row r="103" spans="1:15" s="224" customFormat="1" ht="15" hidden="1" customHeight="1" x14ac:dyDescent="0.25">
      <c r="A103" s="215">
        <v>43611</v>
      </c>
      <c r="B103" s="349" t="s">
        <v>14</v>
      </c>
      <c r="C103" s="352" t="s">
        <v>12</v>
      </c>
      <c r="D103" s="874" t="s">
        <v>1486</v>
      </c>
      <c r="E103" s="875" t="s">
        <v>13</v>
      </c>
      <c r="F103" s="780">
        <v>12.41</v>
      </c>
      <c r="G103" s="946"/>
      <c r="H103" s="97"/>
      <c r="I103" s="982"/>
      <c r="J103" s="622"/>
      <c r="K103" s="982"/>
      <c r="O103" s="930"/>
    </row>
    <row r="104" spans="1:15" s="224" customFormat="1" ht="15" customHeight="1" x14ac:dyDescent="0.25">
      <c r="A104" s="215">
        <v>43611</v>
      </c>
      <c r="B104" s="349" t="s">
        <v>2239</v>
      </c>
      <c r="C104" s="350" t="s">
        <v>12</v>
      </c>
      <c r="D104" s="350" t="s">
        <v>1524</v>
      </c>
      <c r="E104" s="480" t="s">
        <v>13</v>
      </c>
      <c r="F104" s="780">
        <v>60</v>
      </c>
      <c r="G104" s="946"/>
      <c r="H104" s="97"/>
      <c r="I104" s="982"/>
      <c r="J104" s="622"/>
      <c r="K104" s="982"/>
      <c r="O104" s="930"/>
    </row>
    <row r="105" spans="1:15" s="224" customFormat="1" ht="15" customHeight="1" x14ac:dyDescent="0.25">
      <c r="A105" s="215">
        <v>43611</v>
      </c>
      <c r="B105" s="349" t="s">
        <v>2240</v>
      </c>
      <c r="C105" s="350" t="s">
        <v>12</v>
      </c>
      <c r="D105" s="350" t="s">
        <v>1524</v>
      </c>
      <c r="E105" s="480" t="s">
        <v>13</v>
      </c>
      <c r="F105" s="780">
        <v>21.56</v>
      </c>
      <c r="G105" s="946"/>
      <c r="H105" s="97"/>
      <c r="I105" s="982"/>
      <c r="J105" s="622"/>
      <c r="K105" s="982"/>
      <c r="O105" s="930"/>
    </row>
    <row r="106" spans="1:15" s="224" customFormat="1" ht="15" hidden="1" customHeight="1" x14ac:dyDescent="0.25">
      <c r="A106" s="215">
        <v>43611</v>
      </c>
      <c r="B106" s="349" t="s">
        <v>2241</v>
      </c>
      <c r="C106" s="350" t="s">
        <v>12</v>
      </c>
      <c r="D106" s="350" t="s">
        <v>1491</v>
      </c>
      <c r="E106" s="480" t="s">
        <v>13</v>
      </c>
      <c r="F106" s="780">
        <v>20</v>
      </c>
      <c r="G106" s="946"/>
      <c r="H106" s="97"/>
      <c r="I106" s="946"/>
      <c r="J106" s="97"/>
      <c r="K106" s="946"/>
      <c r="O106" s="930"/>
    </row>
    <row r="107" spans="1:15" s="224" customFormat="1" ht="15" hidden="1" customHeight="1" x14ac:dyDescent="0.25">
      <c r="A107" s="215">
        <v>43611</v>
      </c>
      <c r="B107" s="349" t="s">
        <v>2242</v>
      </c>
      <c r="C107" s="350" t="s">
        <v>12</v>
      </c>
      <c r="D107" s="350" t="s">
        <v>1493</v>
      </c>
      <c r="E107" s="480" t="s">
        <v>13</v>
      </c>
      <c r="F107" s="780">
        <v>35.799999999999997</v>
      </c>
      <c r="G107" s="946"/>
      <c r="H107" s="97"/>
      <c r="I107" s="946"/>
      <c r="J107" s="97"/>
      <c r="K107" s="946"/>
      <c r="O107" s="930"/>
    </row>
    <row r="108" spans="1:15" s="224" customFormat="1" hidden="1" x14ac:dyDescent="0.25">
      <c r="A108" s="215">
        <v>43612</v>
      </c>
      <c r="B108" s="349" t="s">
        <v>151</v>
      </c>
      <c r="C108" s="352" t="s">
        <v>12</v>
      </c>
      <c r="D108" s="874" t="s">
        <v>1485</v>
      </c>
      <c r="E108" s="875" t="s">
        <v>15</v>
      </c>
      <c r="F108" s="850">
        <v>14</v>
      </c>
      <c r="G108" s="982"/>
      <c r="H108" s="622"/>
      <c r="I108" s="982"/>
      <c r="J108" s="622"/>
      <c r="K108" s="982"/>
      <c r="O108" s="930"/>
    </row>
    <row r="109" spans="1:15" s="224" customFormat="1" ht="15" hidden="1" customHeight="1" x14ac:dyDescent="0.25">
      <c r="A109" s="215">
        <v>43612</v>
      </c>
      <c r="B109" s="349" t="s">
        <v>14</v>
      </c>
      <c r="C109" s="352" t="s">
        <v>12</v>
      </c>
      <c r="D109" s="874" t="s">
        <v>1486</v>
      </c>
      <c r="E109" s="875" t="s">
        <v>13</v>
      </c>
      <c r="F109" s="780">
        <v>2.57</v>
      </c>
      <c r="G109" s="946"/>
      <c r="H109" s="97"/>
      <c r="I109" s="946"/>
      <c r="J109" s="97"/>
      <c r="K109" s="946"/>
      <c r="O109" s="930"/>
    </row>
    <row r="110" spans="1:15" s="224" customFormat="1" hidden="1" x14ac:dyDescent="0.25">
      <c r="A110" s="215">
        <v>43613</v>
      </c>
      <c r="B110" s="349" t="s">
        <v>151</v>
      </c>
      <c r="C110" s="352" t="s">
        <v>12</v>
      </c>
      <c r="D110" s="874" t="s">
        <v>1485</v>
      </c>
      <c r="E110" s="875" t="s">
        <v>15</v>
      </c>
      <c r="F110" s="850">
        <v>14</v>
      </c>
      <c r="G110" s="982"/>
      <c r="H110" s="622"/>
      <c r="I110" s="982"/>
      <c r="J110" s="622"/>
      <c r="K110" s="982"/>
      <c r="O110" s="930"/>
    </row>
    <row r="111" spans="1:15" s="224" customFormat="1" ht="15" hidden="1" customHeight="1" x14ac:dyDescent="0.25">
      <c r="A111" s="215">
        <v>43613</v>
      </c>
      <c r="B111" s="349" t="s">
        <v>17</v>
      </c>
      <c r="C111" s="352" t="s">
        <v>12</v>
      </c>
      <c r="D111" s="874" t="s">
        <v>1493</v>
      </c>
      <c r="E111" s="875" t="s">
        <v>15</v>
      </c>
      <c r="F111" s="780">
        <v>5</v>
      </c>
      <c r="G111" s="982"/>
      <c r="H111" s="622"/>
      <c r="I111" s="982"/>
      <c r="J111" s="622"/>
      <c r="K111" s="982"/>
      <c r="N111" s="930"/>
    </row>
    <row r="112" spans="1:15" s="224" customFormat="1" ht="15" hidden="1" customHeight="1" x14ac:dyDescent="0.25">
      <c r="A112" s="215">
        <v>43613</v>
      </c>
      <c r="B112" s="349" t="s">
        <v>2243</v>
      </c>
      <c r="C112" s="350" t="s">
        <v>19</v>
      </c>
      <c r="D112" s="350" t="s">
        <v>2131</v>
      </c>
      <c r="E112" s="480" t="s">
        <v>13</v>
      </c>
      <c r="F112" s="780">
        <v>54.9</v>
      </c>
      <c r="G112" s="946"/>
      <c r="H112" s="97"/>
      <c r="I112" s="946"/>
      <c r="J112" s="97"/>
      <c r="K112" s="946"/>
      <c r="O112" s="930"/>
    </row>
    <row r="113" spans="1:15" s="224" customFormat="1" ht="15" hidden="1" customHeight="1" x14ac:dyDescent="0.25">
      <c r="A113" s="215">
        <v>43613</v>
      </c>
      <c r="B113" s="349" t="s">
        <v>2244</v>
      </c>
      <c r="C113" s="350" t="s">
        <v>19</v>
      </c>
      <c r="D113" s="350" t="s">
        <v>1491</v>
      </c>
      <c r="E113" s="480" t="s">
        <v>13</v>
      </c>
      <c r="F113" s="780">
        <v>46.45</v>
      </c>
      <c r="G113" s="946"/>
      <c r="H113" s="97"/>
      <c r="I113" s="946"/>
      <c r="J113" s="97"/>
      <c r="K113" s="946"/>
      <c r="O113" s="930"/>
    </row>
    <row r="114" spans="1:15" s="224" customFormat="1" ht="15" hidden="1" customHeight="1" x14ac:dyDescent="0.25">
      <c r="A114" s="215">
        <v>43613</v>
      </c>
      <c r="B114" s="349" t="s">
        <v>2245</v>
      </c>
      <c r="C114" s="350" t="s">
        <v>12</v>
      </c>
      <c r="D114" s="350" t="s">
        <v>1493</v>
      </c>
      <c r="E114" s="480" t="s">
        <v>15</v>
      </c>
      <c r="F114" s="780">
        <v>6</v>
      </c>
      <c r="G114" s="946"/>
      <c r="H114" s="97"/>
      <c r="I114" s="946"/>
      <c r="J114" s="97"/>
      <c r="K114" s="946"/>
      <c r="O114" s="930"/>
    </row>
    <row r="115" spans="1:15" s="224" customFormat="1" ht="15" hidden="1" customHeight="1" x14ac:dyDescent="0.25">
      <c r="A115" s="215">
        <v>43614</v>
      </c>
      <c r="B115" s="349" t="s">
        <v>14</v>
      </c>
      <c r="C115" s="352" t="s">
        <v>12</v>
      </c>
      <c r="D115" s="874" t="s">
        <v>1486</v>
      </c>
      <c r="E115" s="875" t="s">
        <v>13</v>
      </c>
      <c r="F115" s="780">
        <v>2.5</v>
      </c>
      <c r="G115" s="946"/>
      <c r="H115" s="97"/>
      <c r="I115" s="946"/>
      <c r="J115" s="97"/>
      <c r="K115" s="946"/>
      <c r="O115" s="930"/>
    </row>
    <row r="116" spans="1:15" s="224" customFormat="1" hidden="1" x14ac:dyDescent="0.25">
      <c r="A116" s="215">
        <v>43614</v>
      </c>
      <c r="B116" s="349" t="s">
        <v>151</v>
      </c>
      <c r="C116" s="352" t="s">
        <v>12</v>
      </c>
      <c r="D116" s="874" t="s">
        <v>1485</v>
      </c>
      <c r="E116" s="875" t="s">
        <v>13</v>
      </c>
      <c r="F116" s="850">
        <v>14</v>
      </c>
      <c r="G116" s="982"/>
      <c r="H116" s="622"/>
      <c r="I116" s="982"/>
      <c r="J116" s="622"/>
      <c r="K116" s="982"/>
      <c r="O116" s="930"/>
    </row>
    <row r="117" spans="1:15" s="224" customFormat="1" ht="15" hidden="1" customHeight="1" x14ac:dyDescent="0.25">
      <c r="A117" s="215">
        <v>43614</v>
      </c>
      <c r="B117" s="349" t="s">
        <v>134</v>
      </c>
      <c r="C117" s="350" t="s">
        <v>12</v>
      </c>
      <c r="D117" s="350" t="s">
        <v>1493</v>
      </c>
      <c r="E117" s="480" t="s">
        <v>13</v>
      </c>
      <c r="F117" s="780">
        <v>19</v>
      </c>
      <c r="G117" s="946"/>
      <c r="H117" s="97"/>
      <c r="I117" s="946"/>
      <c r="J117" s="97"/>
      <c r="K117" s="946"/>
      <c r="O117" s="930"/>
    </row>
    <row r="118" spans="1:15" s="224" customFormat="1" ht="15" hidden="1" customHeight="1" x14ac:dyDescent="0.25">
      <c r="A118" s="215">
        <v>43615</v>
      </c>
      <c r="B118" s="862" t="s">
        <v>1710</v>
      </c>
      <c r="C118" s="879" t="s">
        <v>12</v>
      </c>
      <c r="D118" s="879" t="s">
        <v>1504</v>
      </c>
      <c r="E118" s="871" t="s">
        <v>13</v>
      </c>
      <c r="F118" s="780">
        <v>32.9</v>
      </c>
      <c r="G118" s="946"/>
      <c r="H118" s="97"/>
      <c r="I118" s="982"/>
      <c r="J118" s="622"/>
      <c r="K118" s="982"/>
      <c r="O118" s="930"/>
    </row>
    <row r="119" spans="1:15" s="224" customFormat="1" hidden="1" x14ac:dyDescent="0.25">
      <c r="A119" s="215">
        <v>43615</v>
      </c>
      <c r="B119" s="349" t="s">
        <v>151</v>
      </c>
      <c r="C119" s="352" t="s">
        <v>12</v>
      </c>
      <c r="D119" s="874" t="s">
        <v>1485</v>
      </c>
      <c r="E119" s="875" t="s">
        <v>13</v>
      </c>
      <c r="F119" s="850">
        <v>14</v>
      </c>
      <c r="G119" s="982"/>
      <c r="H119" s="622"/>
      <c r="I119" s="982"/>
      <c r="J119" s="622"/>
      <c r="K119" s="982"/>
      <c r="O119" s="930"/>
    </row>
    <row r="120" spans="1:15" s="224" customFormat="1" ht="15" hidden="1" customHeight="1" x14ac:dyDescent="0.25">
      <c r="A120" s="215">
        <v>43615</v>
      </c>
      <c r="B120" s="862" t="s">
        <v>2096</v>
      </c>
      <c r="C120" s="879" t="s">
        <v>12</v>
      </c>
      <c r="D120" s="879" t="s">
        <v>1506</v>
      </c>
      <c r="E120" s="871" t="s">
        <v>15</v>
      </c>
      <c r="F120" s="780">
        <v>30</v>
      </c>
      <c r="G120" s="946"/>
      <c r="H120" s="97"/>
      <c r="I120" s="982"/>
      <c r="J120" s="622"/>
      <c r="K120" s="982"/>
      <c r="O120" s="930"/>
    </row>
    <row r="121" spans="1:15" s="224" customFormat="1" ht="15" hidden="1" customHeight="1" x14ac:dyDescent="0.25">
      <c r="A121" s="215">
        <v>43615</v>
      </c>
      <c r="B121" s="862" t="s">
        <v>2246</v>
      </c>
      <c r="C121" s="879" t="s">
        <v>12</v>
      </c>
      <c r="D121" s="879" t="s">
        <v>1506</v>
      </c>
      <c r="E121" s="871" t="s">
        <v>15</v>
      </c>
      <c r="F121" s="780">
        <v>10</v>
      </c>
      <c r="G121" s="946"/>
      <c r="H121" s="97"/>
      <c r="I121" s="982"/>
      <c r="J121" s="622"/>
      <c r="K121" s="982"/>
      <c r="O121" s="930"/>
    </row>
    <row r="122" spans="1:15" s="224" customFormat="1" ht="15" hidden="1" customHeight="1" x14ac:dyDescent="0.25">
      <c r="A122" s="215">
        <v>43615</v>
      </c>
      <c r="B122" s="349" t="s">
        <v>14</v>
      </c>
      <c r="C122" s="352" t="s">
        <v>12</v>
      </c>
      <c r="D122" s="874" t="s">
        <v>1486</v>
      </c>
      <c r="E122" s="875" t="s">
        <v>15</v>
      </c>
      <c r="F122" s="780">
        <v>7</v>
      </c>
      <c r="G122" s="946"/>
      <c r="H122" s="97"/>
      <c r="I122" s="946"/>
      <c r="J122" s="97"/>
      <c r="K122" s="946"/>
      <c r="O122" s="930"/>
    </row>
    <row r="123" spans="1:15" s="224" customFormat="1" ht="15" customHeight="1" x14ac:dyDescent="0.25">
      <c r="A123" s="215">
        <v>43615</v>
      </c>
      <c r="B123" s="862" t="s">
        <v>2247</v>
      </c>
      <c r="C123" s="879" t="s">
        <v>12</v>
      </c>
      <c r="D123" s="879" t="s">
        <v>1524</v>
      </c>
      <c r="E123" s="871" t="s">
        <v>13</v>
      </c>
      <c r="F123" s="780">
        <v>12.5</v>
      </c>
      <c r="G123" s="946"/>
      <c r="H123" s="97"/>
      <c r="I123" s="982"/>
      <c r="J123" s="622"/>
      <c r="K123" s="982"/>
      <c r="O123" s="930"/>
    </row>
    <row r="124" spans="1:15" s="224" customFormat="1" ht="15" hidden="1" customHeight="1" x14ac:dyDescent="0.25">
      <c r="A124" s="215">
        <v>43616</v>
      </c>
      <c r="B124" s="862" t="s">
        <v>256</v>
      </c>
      <c r="C124" s="879"/>
      <c r="D124" s="879"/>
      <c r="E124" s="871"/>
      <c r="F124" s="97"/>
      <c r="G124" s="946">
        <v>250</v>
      </c>
      <c r="H124" s="97">
        <v>250</v>
      </c>
      <c r="I124" s="982"/>
      <c r="J124" s="622"/>
      <c r="K124" s="982"/>
      <c r="N124" s="930"/>
    </row>
    <row r="125" spans="1:15" s="224" customFormat="1" hidden="1" x14ac:dyDescent="0.25">
      <c r="A125" s="215">
        <v>43616</v>
      </c>
      <c r="B125" s="349" t="s">
        <v>151</v>
      </c>
      <c r="C125" s="352" t="s">
        <v>12</v>
      </c>
      <c r="D125" s="874" t="s">
        <v>1485</v>
      </c>
      <c r="E125" s="875" t="s">
        <v>13</v>
      </c>
      <c r="F125" s="850">
        <v>14</v>
      </c>
      <c r="G125" s="982"/>
      <c r="H125" s="622"/>
      <c r="I125" s="982"/>
      <c r="J125" s="622"/>
      <c r="K125" s="982"/>
      <c r="O125" s="930"/>
    </row>
    <row r="126" spans="1:15" s="224" customFormat="1" ht="15" customHeight="1" x14ac:dyDescent="0.25">
      <c r="A126" s="215">
        <v>43616</v>
      </c>
      <c r="B126" s="349" t="s">
        <v>2248</v>
      </c>
      <c r="C126" s="350" t="s">
        <v>12</v>
      </c>
      <c r="D126" s="350" t="s">
        <v>1524</v>
      </c>
      <c r="E126" s="480" t="s">
        <v>13</v>
      </c>
      <c r="F126" s="780">
        <v>30</v>
      </c>
      <c r="G126" s="946"/>
      <c r="H126" s="97"/>
      <c r="I126" s="946"/>
      <c r="J126" s="97"/>
      <c r="K126" s="946"/>
      <c r="O126" s="930"/>
    </row>
    <row r="127" spans="1:15" s="224" customFormat="1" ht="15" hidden="1" customHeight="1" x14ac:dyDescent="0.25">
      <c r="A127" s="215">
        <v>43616</v>
      </c>
      <c r="B127" s="349" t="s">
        <v>14</v>
      </c>
      <c r="C127" s="352" t="s">
        <v>12</v>
      </c>
      <c r="D127" s="874" t="s">
        <v>1486</v>
      </c>
      <c r="E127" s="875" t="s">
        <v>13</v>
      </c>
      <c r="F127" s="780">
        <v>5.9</v>
      </c>
      <c r="G127" s="946"/>
      <c r="H127" s="97"/>
      <c r="I127" s="946"/>
      <c r="J127" s="97"/>
      <c r="K127" s="946"/>
      <c r="O127" s="930"/>
    </row>
    <row r="128" spans="1:15" s="224" customFormat="1" ht="15" hidden="1" customHeight="1" x14ac:dyDescent="0.25">
      <c r="A128" s="215">
        <v>43616</v>
      </c>
      <c r="B128" s="349" t="s">
        <v>2156</v>
      </c>
      <c r="C128" s="352" t="s">
        <v>12</v>
      </c>
      <c r="D128" s="874" t="s">
        <v>1489</v>
      </c>
      <c r="E128" s="875" t="s">
        <v>13</v>
      </c>
      <c r="F128" s="780">
        <v>6</v>
      </c>
      <c r="G128" s="946"/>
      <c r="H128" s="97"/>
      <c r="I128" s="946"/>
      <c r="J128" s="97"/>
      <c r="K128" s="946"/>
      <c r="O128" s="930"/>
    </row>
    <row r="129" spans="1:15" s="224" customFormat="1" hidden="1" x14ac:dyDescent="0.25">
      <c r="A129" s="215">
        <v>43616</v>
      </c>
      <c r="B129" s="862" t="s">
        <v>1666</v>
      </c>
      <c r="C129" s="350" t="s">
        <v>12</v>
      </c>
      <c r="D129" s="350"/>
      <c r="E129" s="480" t="s">
        <v>25</v>
      </c>
      <c r="F129" s="622"/>
      <c r="G129" s="982"/>
      <c r="H129" s="622"/>
      <c r="I129" s="982"/>
      <c r="J129" s="622"/>
      <c r="K129" s="946">
        <v>25.56</v>
      </c>
      <c r="O129" s="930"/>
    </row>
    <row r="130" spans="1:15" ht="25.5" hidden="1" customHeight="1" thickBot="1" x14ac:dyDescent="0.3">
      <c r="A130" s="3060"/>
      <c r="B130" s="3061"/>
      <c r="C130" s="3062"/>
      <c r="D130" s="3062"/>
      <c r="E130" s="3062"/>
      <c r="F130" s="100">
        <f>SUM(F6:F129)</f>
        <v>4521.16</v>
      </c>
      <c r="G130" s="1065">
        <f>SUM(G5:G129)</f>
        <v>4981.7000000000153</v>
      </c>
      <c r="H130" s="101">
        <f>SUM(H6:H129)</f>
        <v>550</v>
      </c>
      <c r="I130" s="93">
        <f>SUM(I5:I129)</f>
        <v>2199.9960000000019</v>
      </c>
      <c r="J130" s="101">
        <f>SUM(J6:J129)</f>
        <v>0</v>
      </c>
      <c r="K130" s="93">
        <f>SUM(K5:K129)</f>
        <v>6638.2300000000005</v>
      </c>
      <c r="O130" s="930"/>
    </row>
    <row r="131" spans="1:15" ht="25.5" hidden="1" customHeight="1" thickBot="1" x14ac:dyDescent="0.3">
      <c r="A131" s="3117" t="s">
        <v>49</v>
      </c>
      <c r="B131" s="3118"/>
      <c r="C131" s="3118"/>
      <c r="D131" s="3118"/>
      <c r="E131" s="3118"/>
      <c r="F131" s="144"/>
      <c r="G131" s="519">
        <f>G130-F130</f>
        <v>460.54000000001543</v>
      </c>
      <c r="H131" s="555"/>
      <c r="I131" s="772">
        <f>I130-H130</f>
        <v>1649.9960000000019</v>
      </c>
      <c r="J131" s="555"/>
      <c r="K131" s="772">
        <f>K130-J130</f>
        <v>6638.2300000000005</v>
      </c>
      <c r="O131" s="930"/>
    </row>
    <row r="132" spans="1:15" x14ac:dyDescent="0.25">
      <c r="C132" s="89"/>
      <c r="D132" s="868"/>
      <c r="E132" s="79"/>
      <c r="F132" s="79"/>
      <c r="K132" s="216"/>
    </row>
    <row r="133" spans="1:15" x14ac:dyDescent="0.25">
      <c r="B133" s="79" t="s">
        <v>32</v>
      </c>
      <c r="C133" s="475">
        <v>393</v>
      </c>
      <c r="D133" s="85" t="s">
        <v>1485</v>
      </c>
      <c r="J133" s="769"/>
      <c r="K133" s="866"/>
      <c r="N133" s="216"/>
    </row>
    <row r="134" spans="1:15" x14ac:dyDescent="0.25">
      <c r="B134" s="79" t="s">
        <v>2187</v>
      </c>
      <c r="C134" s="475">
        <v>305</v>
      </c>
      <c r="D134" s="85" t="s">
        <v>2157</v>
      </c>
      <c r="J134" s="769"/>
      <c r="K134" s="868"/>
      <c r="N134" s="216"/>
      <c r="O134" s="896"/>
    </row>
    <row r="135" spans="1:15" x14ac:dyDescent="0.25">
      <c r="B135" s="79" t="s">
        <v>2188</v>
      </c>
      <c r="C135" s="475">
        <v>28.4</v>
      </c>
      <c r="D135" s="85" t="s">
        <v>2168</v>
      </c>
      <c r="J135" s="769"/>
      <c r="K135" s="868"/>
      <c r="M135" s="518"/>
      <c r="N135" s="484"/>
      <c r="O135" s="518"/>
    </row>
    <row r="136" spans="1:15" x14ac:dyDescent="0.25">
      <c r="B136" s="79" t="s">
        <v>50</v>
      </c>
      <c r="C136" s="854">
        <v>230.79</v>
      </c>
      <c r="D136" s="85" t="s">
        <v>1493</v>
      </c>
      <c r="J136" s="769"/>
      <c r="K136" s="866"/>
    </row>
    <row r="137" spans="1:15" s="85" customFormat="1" x14ac:dyDescent="0.25">
      <c r="A137" s="79"/>
      <c r="B137" s="79" t="s">
        <v>14</v>
      </c>
      <c r="C137" s="484">
        <v>145.51</v>
      </c>
      <c r="D137" s="85" t="s">
        <v>1486</v>
      </c>
      <c r="J137" s="769"/>
      <c r="K137" s="866"/>
    </row>
    <row r="138" spans="1:15" s="85" customFormat="1" x14ac:dyDescent="0.25">
      <c r="A138" s="79"/>
      <c r="B138" s="79" t="s">
        <v>51</v>
      </c>
      <c r="C138" s="475">
        <v>91.82</v>
      </c>
      <c r="D138" s="864" t="s">
        <v>1499</v>
      </c>
      <c r="E138" s="79"/>
      <c r="F138" s="89"/>
      <c r="G138" s="79"/>
      <c r="H138" s="79"/>
      <c r="J138" s="769"/>
      <c r="K138" s="866"/>
    </row>
    <row r="139" spans="1:15" s="85" customFormat="1" x14ac:dyDescent="0.25">
      <c r="A139" s="79"/>
      <c r="B139" s="79" t="s">
        <v>2189</v>
      </c>
      <c r="C139" s="475">
        <v>107.13</v>
      </c>
      <c r="D139" s="864" t="s">
        <v>1496</v>
      </c>
      <c r="F139" s="89"/>
      <c r="G139" s="79"/>
      <c r="H139" s="79"/>
      <c r="I139" s="79"/>
    </row>
    <row r="140" spans="1:15" s="85" customFormat="1" x14ac:dyDescent="0.25">
      <c r="A140" s="79"/>
      <c r="B140" s="867" t="s">
        <v>53</v>
      </c>
      <c r="C140" s="475"/>
      <c r="D140" s="864" t="s">
        <v>1522</v>
      </c>
      <c r="E140" s="89"/>
      <c r="F140" s="769"/>
      <c r="G140" s="79"/>
    </row>
    <row r="141" spans="1:15" s="85" customFormat="1" x14ac:dyDescent="0.25">
      <c r="A141" s="79"/>
      <c r="B141" s="867" t="s">
        <v>2149</v>
      </c>
      <c r="C141" s="475">
        <v>54.9</v>
      </c>
      <c r="D141" s="864" t="s">
        <v>2131</v>
      </c>
      <c r="F141" s="769"/>
      <c r="G141" s="866"/>
      <c r="N141" s="224"/>
    </row>
    <row r="142" spans="1:15" s="85" customFormat="1" x14ac:dyDescent="0.25">
      <c r="A142" s="79"/>
      <c r="B142" s="79" t="s">
        <v>56</v>
      </c>
      <c r="C142" s="475">
        <v>23</v>
      </c>
      <c r="D142" s="864" t="s">
        <v>1523</v>
      </c>
      <c r="F142" s="769"/>
      <c r="G142" s="866"/>
    </row>
    <row r="143" spans="1:15" s="85" customFormat="1" x14ac:dyDescent="0.25">
      <c r="A143" s="79"/>
      <c r="B143" s="79" t="s">
        <v>1686</v>
      </c>
      <c r="C143" s="475">
        <v>291.86</v>
      </c>
      <c r="D143" s="864" t="s">
        <v>1506</v>
      </c>
      <c r="F143" s="769"/>
      <c r="G143" s="868"/>
    </row>
    <row r="144" spans="1:15" s="85" customFormat="1" x14ac:dyDescent="0.25">
      <c r="A144" s="79"/>
      <c r="B144" s="79" t="s">
        <v>418</v>
      </c>
      <c r="C144" s="475">
        <v>207.64</v>
      </c>
      <c r="D144" s="85" t="s">
        <v>1524</v>
      </c>
      <c r="E144" s="79"/>
      <c r="F144" s="89"/>
      <c r="J144" s="769"/>
      <c r="K144" s="866"/>
    </row>
    <row r="145" spans="2:11" x14ac:dyDescent="0.25">
      <c r="B145" s="79" t="s">
        <v>419</v>
      </c>
      <c r="C145" s="861">
        <v>598.95000000000005</v>
      </c>
      <c r="D145" s="85" t="s">
        <v>1491</v>
      </c>
      <c r="J145" s="769"/>
      <c r="K145" s="868"/>
    </row>
    <row r="146" spans="2:11" x14ac:dyDescent="0.25">
      <c r="B146" s="79" t="s">
        <v>911</v>
      </c>
      <c r="C146" s="861"/>
      <c r="D146" s="85" t="s">
        <v>1525</v>
      </c>
      <c r="J146" s="769"/>
      <c r="K146" s="868"/>
    </row>
    <row r="147" spans="2:11" x14ac:dyDescent="0.25">
      <c r="B147" s="79" t="s">
        <v>1526</v>
      </c>
      <c r="C147" s="861">
        <v>152.9</v>
      </c>
      <c r="D147" s="85" t="s">
        <v>1504</v>
      </c>
      <c r="E147" s="79"/>
      <c r="J147" s="769"/>
      <c r="K147" s="866"/>
    </row>
    <row r="148" spans="2:11" x14ac:dyDescent="0.25">
      <c r="B148" s="79" t="s">
        <v>1527</v>
      </c>
      <c r="C148" s="861">
        <v>490.26</v>
      </c>
      <c r="D148" s="85" t="s">
        <v>1489</v>
      </c>
      <c r="J148" s="769"/>
      <c r="K148" s="868"/>
    </row>
    <row r="149" spans="2:11" x14ac:dyDescent="0.25">
      <c r="J149" s="769"/>
      <c r="K149" s="866"/>
    </row>
    <row r="150" spans="2:11" x14ac:dyDescent="0.25">
      <c r="F150" s="85"/>
      <c r="J150" s="769"/>
      <c r="K150" s="866"/>
    </row>
    <row r="151" spans="2:11" x14ac:dyDescent="0.25">
      <c r="B151" s="79" t="s">
        <v>486</v>
      </c>
      <c r="C151" s="475">
        <f>H151/J151</f>
        <v>100.68258064516128</v>
      </c>
      <c r="F151" s="224" t="s">
        <v>487</v>
      </c>
      <c r="H151" s="216">
        <f>SUM(C133:C148)</f>
        <v>3121.16</v>
      </c>
      <c r="I151" s="518" t="s">
        <v>488</v>
      </c>
      <c r="J151" s="1517">
        <v>31</v>
      </c>
      <c r="K151" s="866"/>
    </row>
    <row r="152" spans="2:11" x14ac:dyDescent="0.25">
      <c r="G152" s="85"/>
      <c r="J152" s="769"/>
      <c r="K152" s="866"/>
    </row>
    <row r="153" spans="2:11" ht="15.75" customHeight="1" x14ac:dyDescent="0.25">
      <c r="H153" s="629"/>
      <c r="J153" s="769"/>
      <c r="K153" s="868"/>
    </row>
    <row r="154" spans="2:11" x14ac:dyDescent="0.25">
      <c r="C154" s="79"/>
      <c r="K154" s="866"/>
    </row>
    <row r="155" spans="2:11" x14ac:dyDescent="0.25">
      <c r="D155" s="79"/>
      <c r="E155" s="79"/>
      <c r="J155" s="769"/>
      <c r="K155" s="866"/>
    </row>
    <row r="156" spans="2:11" x14ac:dyDescent="0.25">
      <c r="J156" s="769"/>
      <c r="K156" s="866"/>
    </row>
    <row r="157" spans="2:11" x14ac:dyDescent="0.25">
      <c r="J157" s="769"/>
      <c r="K157" s="866"/>
    </row>
    <row r="158" spans="2:11" x14ac:dyDescent="0.25">
      <c r="J158" s="769"/>
      <c r="K158" s="866"/>
    </row>
    <row r="159" spans="2:11" x14ac:dyDescent="0.25">
      <c r="C159" s="79"/>
      <c r="D159" s="79"/>
      <c r="E159" s="79"/>
      <c r="F159" s="79"/>
      <c r="I159" s="216"/>
      <c r="J159" s="769"/>
      <c r="K159" s="866"/>
    </row>
    <row r="160" spans="2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G161" s="216"/>
      <c r="I161" s="216"/>
      <c r="J161" s="769"/>
      <c r="K161" s="868"/>
    </row>
    <row r="162" spans="3:11" x14ac:dyDescent="0.25">
      <c r="C162" s="79"/>
      <c r="D162" s="79"/>
      <c r="E162" s="79"/>
      <c r="F162" s="79"/>
      <c r="G162" s="216"/>
      <c r="I162" s="216"/>
      <c r="J162" s="769"/>
      <c r="K162" s="866"/>
    </row>
    <row r="163" spans="3:11" x14ac:dyDescent="0.25">
      <c r="C163" s="79"/>
      <c r="D163" s="79"/>
      <c r="E163" s="79"/>
      <c r="F163" s="79"/>
      <c r="G163" s="216"/>
      <c r="J163" s="770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J165" s="769"/>
      <c r="K165" s="866"/>
    </row>
    <row r="166" spans="3:11" x14ac:dyDescent="0.25">
      <c r="C166" s="79"/>
      <c r="D166" s="79"/>
      <c r="E166" s="79"/>
      <c r="F166" s="79"/>
      <c r="I166" s="629"/>
      <c r="J166" s="769"/>
      <c r="K166" s="866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J169" s="769"/>
      <c r="K169" s="866"/>
    </row>
    <row r="170" spans="3:11" x14ac:dyDescent="0.25">
      <c r="J170" s="769"/>
      <c r="K170" s="866"/>
    </row>
    <row r="171" spans="3:11" x14ac:dyDescent="0.25">
      <c r="J171" s="769"/>
      <c r="K171" s="866"/>
    </row>
    <row r="172" spans="3:11" x14ac:dyDescent="0.25">
      <c r="C172" s="79"/>
      <c r="D172" s="79"/>
      <c r="E172" s="79"/>
      <c r="F172" s="79"/>
      <c r="I172" s="216"/>
      <c r="J172" s="769"/>
      <c r="K172" s="866"/>
    </row>
    <row r="173" spans="3:11" x14ac:dyDescent="0.25">
      <c r="C173" s="79"/>
      <c r="D173" s="79"/>
      <c r="E173" s="79"/>
      <c r="F173" s="79"/>
      <c r="I173" s="216"/>
      <c r="J173" s="769"/>
      <c r="K173" s="866"/>
    </row>
    <row r="174" spans="3:11" x14ac:dyDescent="0.25">
      <c r="C174" s="79"/>
      <c r="D174" s="79"/>
      <c r="E174" s="79"/>
      <c r="F174" s="79"/>
      <c r="I174" s="216"/>
      <c r="J174" s="769"/>
      <c r="K174" s="866"/>
    </row>
    <row r="175" spans="3:11" x14ac:dyDescent="0.25">
      <c r="C175" s="79"/>
      <c r="D175" s="79"/>
      <c r="E175" s="79"/>
      <c r="F175" s="79"/>
      <c r="I175" s="216"/>
      <c r="J175" s="769"/>
      <c r="K175" s="866"/>
    </row>
    <row r="176" spans="3:11" x14ac:dyDescent="0.25">
      <c r="C176" s="79"/>
      <c r="D176" s="79"/>
      <c r="E176" s="79"/>
      <c r="F176" s="79"/>
      <c r="I176" s="216"/>
      <c r="J176" s="769"/>
      <c r="K176" s="868"/>
    </row>
    <row r="177" spans="3:11" x14ac:dyDescent="0.25">
      <c r="C177" s="79"/>
      <c r="D177" s="79"/>
      <c r="E177" s="79"/>
      <c r="F177" s="79"/>
      <c r="I177" s="216"/>
      <c r="J177" s="769"/>
      <c r="K177" s="868"/>
    </row>
    <row r="178" spans="3:11" x14ac:dyDescent="0.25">
      <c r="C178" s="79"/>
      <c r="D178" s="79"/>
      <c r="E178" s="79"/>
      <c r="F178" s="79"/>
      <c r="I178" s="216"/>
      <c r="J178" s="769"/>
      <c r="K178" s="868"/>
    </row>
    <row r="179" spans="3:11" x14ac:dyDescent="0.25">
      <c r="C179" s="79"/>
      <c r="D179" s="79"/>
      <c r="E179" s="79"/>
      <c r="F179" s="79"/>
      <c r="I179" s="216"/>
      <c r="J179" s="769"/>
      <c r="K179" s="868"/>
    </row>
    <row r="180" spans="3:11" x14ac:dyDescent="0.25">
      <c r="C180" s="79"/>
      <c r="D180" s="79"/>
      <c r="E180" s="79"/>
      <c r="F180" s="79"/>
      <c r="I180" s="216"/>
      <c r="J180" s="769"/>
      <c r="K180" s="868"/>
    </row>
    <row r="181" spans="3:11" x14ac:dyDescent="0.25">
      <c r="J181" s="769"/>
      <c r="K181" s="866"/>
    </row>
    <row r="182" spans="3:11" x14ac:dyDescent="0.25">
      <c r="J182" s="769"/>
      <c r="K182" s="866"/>
    </row>
    <row r="183" spans="3:11" x14ac:dyDescent="0.25">
      <c r="J183" s="769"/>
      <c r="K183" s="868"/>
    </row>
    <row r="184" spans="3:11" x14ac:dyDescent="0.25">
      <c r="J184" s="769"/>
      <c r="K184" s="866"/>
    </row>
    <row r="185" spans="3:11" x14ac:dyDescent="0.25">
      <c r="J185" s="769"/>
      <c r="K185" s="866"/>
    </row>
    <row r="186" spans="3:11" x14ac:dyDescent="0.25">
      <c r="C186" s="79"/>
      <c r="D186" s="79"/>
      <c r="E186" s="79"/>
      <c r="F186" s="79"/>
      <c r="J186" s="769"/>
      <c r="K186" s="868"/>
    </row>
    <row r="187" spans="3:11" x14ac:dyDescent="0.25">
      <c r="C187" s="79"/>
      <c r="D187" s="79"/>
      <c r="E187" s="79"/>
      <c r="F187" s="79"/>
      <c r="J187" s="769"/>
      <c r="K187" s="868"/>
    </row>
    <row r="188" spans="3:11" x14ac:dyDescent="0.25">
      <c r="C188" s="79"/>
      <c r="D188" s="79"/>
      <c r="E188" s="79"/>
      <c r="F188" s="79"/>
      <c r="J188" s="769"/>
      <c r="K188" s="868"/>
    </row>
    <row r="189" spans="3:11" x14ac:dyDescent="0.25">
      <c r="C189" s="79"/>
      <c r="D189" s="79"/>
      <c r="E189" s="79"/>
      <c r="F189" s="79"/>
      <c r="J189" s="769"/>
      <c r="K189" s="868"/>
    </row>
    <row r="190" spans="3:11" x14ac:dyDescent="0.25">
      <c r="C190" s="79"/>
      <c r="D190" s="79"/>
      <c r="E190" s="79"/>
      <c r="F190" s="79"/>
      <c r="J190" s="769"/>
      <c r="K190" s="866"/>
    </row>
    <row r="191" spans="3:11" x14ac:dyDescent="0.25">
      <c r="C191" s="79"/>
      <c r="D191" s="79"/>
      <c r="E191" s="79"/>
      <c r="F191" s="79"/>
      <c r="J191" s="223"/>
      <c r="K191" s="629"/>
    </row>
    <row r="192" spans="3:11" x14ac:dyDescent="0.25">
      <c r="C192" s="79"/>
      <c r="D192" s="79"/>
      <c r="E192" s="79"/>
      <c r="F192" s="79"/>
      <c r="J192" s="756"/>
      <c r="K192" s="756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  <c r="J197" s="85"/>
      <c r="K197" s="85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  <c r="J204" s="85"/>
      <c r="K204" s="85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</row>
    <row r="207" spans="3:11" x14ac:dyDescent="0.25">
      <c r="C207" s="79"/>
      <c r="D207" s="79"/>
      <c r="E207" s="79"/>
      <c r="F207" s="79"/>
    </row>
    <row r="208" spans="3:11" x14ac:dyDescent="0.25">
      <c r="C208" s="79"/>
      <c r="D208" s="79"/>
      <c r="E208" s="79"/>
      <c r="F208" s="79"/>
    </row>
    <row r="209" spans="3:11" x14ac:dyDescent="0.25">
      <c r="C209" s="79"/>
      <c r="D209" s="79"/>
      <c r="E209" s="79"/>
      <c r="F209" s="79"/>
    </row>
    <row r="210" spans="3:11" x14ac:dyDescent="0.25">
      <c r="C210" s="79"/>
      <c r="D210" s="79"/>
      <c r="E210" s="79"/>
      <c r="F210" s="79"/>
    </row>
    <row r="211" spans="3:11" x14ac:dyDescent="0.25">
      <c r="C211" s="79"/>
      <c r="D211" s="79"/>
      <c r="E211" s="79"/>
      <c r="F211" s="79"/>
      <c r="J211" s="771"/>
      <c r="K211" s="518"/>
    </row>
    <row r="212" spans="3:11" x14ac:dyDescent="0.25">
      <c r="C212" s="79"/>
      <c r="D212" s="79"/>
      <c r="E212" s="79"/>
      <c r="F212" s="79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4" spans="3:11" x14ac:dyDescent="0.25">
      <c r="C224" s="79"/>
      <c r="D224" s="79"/>
      <c r="E224" s="79"/>
      <c r="F224" s="79"/>
      <c r="K224" s="216"/>
    </row>
    <row r="226" spans="3:11" x14ac:dyDescent="0.25">
      <c r="C226" s="79"/>
      <c r="D226" s="79"/>
      <c r="E226" s="79"/>
      <c r="F226" s="79"/>
      <c r="K226" s="629"/>
    </row>
    <row r="232" spans="3:11" x14ac:dyDescent="0.25">
      <c r="C232" s="79"/>
      <c r="D232" s="79"/>
      <c r="E232" s="79"/>
      <c r="F232" s="79"/>
      <c r="K232" s="216"/>
    </row>
    <row r="233" spans="3:11" x14ac:dyDescent="0.25">
      <c r="C233" s="79"/>
      <c r="D233" s="79"/>
      <c r="E233" s="79"/>
      <c r="F233" s="79"/>
      <c r="K233" s="216"/>
    </row>
    <row r="234" spans="3:11" x14ac:dyDescent="0.25">
      <c r="C234" s="79"/>
      <c r="D234" s="79"/>
      <c r="E234" s="79"/>
      <c r="F234" s="79"/>
      <c r="K234" s="216"/>
    </row>
    <row r="235" spans="3:11" x14ac:dyDescent="0.25">
      <c r="C235" s="79"/>
      <c r="D235" s="79"/>
      <c r="E235" s="79"/>
      <c r="F235" s="79"/>
      <c r="K235" s="216"/>
    </row>
    <row r="236" spans="3:11" x14ac:dyDescent="0.25">
      <c r="C236" s="79"/>
      <c r="D236" s="79"/>
      <c r="E236" s="79"/>
      <c r="F236" s="79"/>
      <c r="K236" s="216"/>
    </row>
    <row r="237" spans="3:11" x14ac:dyDescent="0.25">
      <c r="C237" s="79"/>
      <c r="D237" s="79"/>
      <c r="E237" s="79"/>
      <c r="F237" s="79"/>
      <c r="K237" s="216"/>
    </row>
    <row r="238" spans="3:11" x14ac:dyDescent="0.25">
      <c r="C238" s="79"/>
      <c r="D238" s="79"/>
      <c r="E238" s="79"/>
      <c r="F238" s="79"/>
      <c r="K238" s="216"/>
    </row>
    <row r="239" spans="3:11" x14ac:dyDescent="0.25">
      <c r="C239" s="79"/>
      <c r="D239" s="79"/>
      <c r="E239" s="79"/>
      <c r="F239" s="79"/>
      <c r="K239" s="216"/>
    </row>
    <row r="240" spans="3:11" x14ac:dyDescent="0.25">
      <c r="C240" s="79"/>
      <c r="D240" s="79"/>
      <c r="E240" s="79"/>
      <c r="F240" s="79"/>
      <c r="K240" s="216"/>
    </row>
  </sheetData>
  <autoFilter ref="A2:I131" xr:uid="{00000000-0009-0000-0000-000056000000}">
    <filterColumn colId="3">
      <filters>
        <filter val="COM"/>
      </filters>
    </filterColumn>
  </autoFilter>
  <mergeCells count="12">
    <mergeCell ref="A130:E130"/>
    <mergeCell ref="A131:E131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Plan100" filterMode="1"/>
  <dimension ref="A1:O226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O22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2249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5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5" hidden="1" x14ac:dyDescent="0.25">
      <c r="A5" s="281">
        <v>43617</v>
      </c>
      <c r="B5" s="369" t="s">
        <v>10</v>
      </c>
      <c r="C5" s="370"/>
      <c r="D5" s="370"/>
      <c r="E5" s="777"/>
      <c r="F5" s="889"/>
      <c r="G5" s="925">
        <f>'Maio-19'!G131</f>
        <v>460.54000000001543</v>
      </c>
      <c r="H5" s="179"/>
      <c r="I5" s="933">
        <f>'Maio-19'!I131</f>
        <v>1649.9960000000019</v>
      </c>
      <c r="J5" s="179"/>
      <c r="K5" s="933">
        <f>'Maio-19'!K131</f>
        <v>6638.2300000000005</v>
      </c>
    </row>
    <row r="6" spans="1:15" s="224" customFormat="1" hidden="1" x14ac:dyDescent="0.25">
      <c r="A6" s="215">
        <v>43617</v>
      </c>
      <c r="B6" s="348" t="s">
        <v>11</v>
      </c>
      <c r="C6" s="351"/>
      <c r="D6" s="351"/>
      <c r="E6" s="673"/>
      <c r="F6" s="827"/>
      <c r="G6" s="1526"/>
      <c r="H6" s="250"/>
      <c r="I6" s="1473"/>
      <c r="J6" s="250"/>
      <c r="K6" s="1473"/>
      <c r="L6" s="89"/>
      <c r="M6" s="89"/>
    </row>
    <row r="7" spans="1:15" s="224" customFormat="1" ht="15" customHeight="1" x14ac:dyDescent="0.25">
      <c r="A7" s="215">
        <v>43617</v>
      </c>
      <c r="B7" s="349" t="s">
        <v>2250</v>
      </c>
      <c r="C7" s="352" t="s">
        <v>12</v>
      </c>
      <c r="D7" s="874" t="s">
        <v>1524</v>
      </c>
      <c r="E7" s="875" t="s">
        <v>13</v>
      </c>
      <c r="F7" s="780">
        <v>12.35</v>
      </c>
      <c r="G7" s="982"/>
      <c r="H7" s="622"/>
      <c r="I7" s="982"/>
      <c r="J7" s="622"/>
      <c r="K7" s="982"/>
    </row>
    <row r="8" spans="1:15" s="224" customFormat="1" ht="15" hidden="1" customHeight="1" x14ac:dyDescent="0.25">
      <c r="A8" s="215">
        <v>43617</v>
      </c>
      <c r="B8" s="349" t="s">
        <v>2251</v>
      </c>
      <c r="C8" s="352" t="s">
        <v>12</v>
      </c>
      <c r="D8" s="874" t="s">
        <v>2157</v>
      </c>
      <c r="E8" s="875" t="s">
        <v>13</v>
      </c>
      <c r="F8" s="780">
        <v>50</v>
      </c>
      <c r="G8" s="982"/>
      <c r="H8" s="622"/>
      <c r="I8" s="982"/>
      <c r="J8" s="622"/>
      <c r="K8" s="982"/>
    </row>
    <row r="9" spans="1:15" s="224" customFormat="1" ht="15" hidden="1" customHeight="1" x14ac:dyDescent="0.25">
      <c r="A9" s="215">
        <v>43617</v>
      </c>
      <c r="B9" s="349" t="s">
        <v>2252</v>
      </c>
      <c r="C9" s="352" t="s">
        <v>12</v>
      </c>
      <c r="D9" s="874" t="s">
        <v>1489</v>
      </c>
      <c r="E9" s="875" t="s">
        <v>15</v>
      </c>
      <c r="F9" s="780">
        <v>6.2</v>
      </c>
      <c r="G9" s="982"/>
      <c r="H9" s="622"/>
      <c r="I9" s="982"/>
      <c r="J9" s="622"/>
      <c r="K9" s="982"/>
    </row>
    <row r="10" spans="1:15" s="224" customFormat="1" ht="15" hidden="1" customHeight="1" x14ac:dyDescent="0.25">
      <c r="A10" s="215">
        <v>43617</v>
      </c>
      <c r="B10" s="349" t="s">
        <v>82</v>
      </c>
      <c r="C10" s="352" t="s">
        <v>12</v>
      </c>
      <c r="D10" s="874" t="s">
        <v>1493</v>
      </c>
      <c r="E10" s="875" t="s">
        <v>13</v>
      </c>
      <c r="F10" s="852">
        <v>32</v>
      </c>
      <c r="G10" s="1064"/>
      <c r="H10" s="97"/>
      <c r="I10" s="982"/>
      <c r="J10" s="622"/>
      <c r="K10" s="982"/>
    </row>
    <row r="11" spans="1:15" s="224" customFormat="1" ht="15" hidden="1" customHeight="1" x14ac:dyDescent="0.25">
      <c r="A11" s="215">
        <v>43618</v>
      </c>
      <c r="B11" s="349" t="s">
        <v>14</v>
      </c>
      <c r="C11" s="352" t="s">
        <v>12</v>
      </c>
      <c r="D11" s="874" t="s">
        <v>1486</v>
      </c>
      <c r="E11" s="875" t="s">
        <v>13</v>
      </c>
      <c r="F11" s="780">
        <v>7</v>
      </c>
      <c r="G11" s="982"/>
      <c r="H11" s="622"/>
      <c r="I11" s="982"/>
      <c r="J11" s="622"/>
      <c r="K11" s="982"/>
    </row>
    <row r="12" spans="1:15" s="224" customFormat="1" ht="15" hidden="1" customHeight="1" x14ac:dyDescent="0.25">
      <c r="A12" s="215">
        <v>43618</v>
      </c>
      <c r="B12" s="349" t="s">
        <v>134</v>
      </c>
      <c r="C12" s="352" t="s">
        <v>12</v>
      </c>
      <c r="D12" s="874" t="s">
        <v>1493</v>
      </c>
      <c r="E12" s="875" t="s">
        <v>13</v>
      </c>
      <c r="F12" s="780">
        <v>14.23</v>
      </c>
      <c r="G12" s="982"/>
      <c r="H12" s="622"/>
      <c r="I12" s="982"/>
      <c r="J12" s="622"/>
      <c r="K12" s="982"/>
    </row>
    <row r="13" spans="1:15" s="224" customFormat="1" hidden="1" x14ac:dyDescent="0.25">
      <c r="A13" s="215">
        <v>43619</v>
      </c>
      <c r="B13" s="349" t="s">
        <v>151</v>
      </c>
      <c r="C13" s="352" t="s">
        <v>12</v>
      </c>
      <c r="D13" s="874" t="s">
        <v>1485</v>
      </c>
      <c r="E13" s="875" t="s">
        <v>13</v>
      </c>
      <c r="F13" s="850">
        <v>14</v>
      </c>
      <c r="G13" s="982"/>
      <c r="H13" s="622"/>
      <c r="I13" s="982"/>
      <c r="J13" s="622"/>
      <c r="K13" s="982"/>
      <c r="O13" s="930"/>
    </row>
    <row r="14" spans="1:15" s="224" customFormat="1" ht="15" hidden="1" customHeight="1" x14ac:dyDescent="0.25">
      <c r="A14" s="215">
        <v>43619</v>
      </c>
      <c r="B14" s="349" t="s">
        <v>2225</v>
      </c>
      <c r="C14" s="352" t="s">
        <v>12</v>
      </c>
      <c r="D14" s="874" t="s">
        <v>1491</v>
      </c>
      <c r="E14" s="875" t="s">
        <v>13</v>
      </c>
      <c r="F14" s="780">
        <v>32</v>
      </c>
      <c r="G14" s="946"/>
      <c r="H14" s="97"/>
      <c r="I14" s="982"/>
      <c r="J14" s="622"/>
      <c r="K14" s="982"/>
      <c r="L14" s="931"/>
      <c r="O14" s="930"/>
    </row>
    <row r="15" spans="1:15" s="224" customFormat="1" ht="15" hidden="1" customHeight="1" x14ac:dyDescent="0.25">
      <c r="A15" s="215">
        <v>43619</v>
      </c>
      <c r="B15" s="349" t="s">
        <v>14</v>
      </c>
      <c r="C15" s="352" t="s">
        <v>12</v>
      </c>
      <c r="D15" s="874" t="s">
        <v>1486</v>
      </c>
      <c r="E15" s="875" t="s">
        <v>13</v>
      </c>
      <c r="F15" s="780">
        <v>4.66</v>
      </c>
      <c r="G15" s="982"/>
      <c r="H15" s="622"/>
      <c r="I15" s="982"/>
      <c r="J15" s="622"/>
      <c r="K15" s="982"/>
    </row>
    <row r="16" spans="1:15" s="224" customFormat="1" ht="15" hidden="1" customHeight="1" x14ac:dyDescent="0.25">
      <c r="A16" s="215">
        <v>43620</v>
      </c>
      <c r="B16" s="349" t="s">
        <v>14</v>
      </c>
      <c r="C16" s="352" t="s">
        <v>12</v>
      </c>
      <c r="D16" s="874" t="s">
        <v>1486</v>
      </c>
      <c r="E16" s="875" t="s">
        <v>13</v>
      </c>
      <c r="F16" s="780">
        <v>10.45</v>
      </c>
      <c r="G16" s="982"/>
      <c r="H16" s="622"/>
      <c r="I16" s="982"/>
      <c r="J16" s="622"/>
      <c r="K16" s="982"/>
    </row>
    <row r="17" spans="1:15" s="224" customFormat="1" ht="15" hidden="1" customHeight="1" x14ac:dyDescent="0.25">
      <c r="A17" s="215">
        <v>43620</v>
      </c>
      <c r="B17" s="862" t="s">
        <v>256</v>
      </c>
      <c r="C17" s="879"/>
      <c r="D17" s="879"/>
      <c r="E17" s="871"/>
      <c r="F17" s="97"/>
      <c r="G17" s="946">
        <v>150</v>
      </c>
      <c r="H17" s="97">
        <v>150</v>
      </c>
      <c r="I17" s="982"/>
      <c r="J17" s="622"/>
      <c r="K17" s="982"/>
      <c r="N17" s="930"/>
    </row>
    <row r="18" spans="1:15" s="224" customFormat="1" hidden="1" x14ac:dyDescent="0.25">
      <c r="A18" s="215">
        <v>43620</v>
      </c>
      <c r="B18" s="349" t="s">
        <v>151</v>
      </c>
      <c r="C18" s="352" t="s">
        <v>12</v>
      </c>
      <c r="D18" s="874" t="s">
        <v>1485</v>
      </c>
      <c r="E18" s="875" t="s">
        <v>13</v>
      </c>
      <c r="F18" s="850">
        <v>14</v>
      </c>
      <c r="G18" s="982"/>
      <c r="H18" s="622"/>
      <c r="I18" s="982"/>
      <c r="J18" s="622"/>
      <c r="K18" s="982"/>
      <c r="O18" s="930"/>
    </row>
    <row r="19" spans="1:15" s="224" customFormat="1" ht="15" hidden="1" customHeight="1" x14ac:dyDescent="0.25">
      <c r="A19" s="215">
        <v>43620</v>
      </c>
      <c r="B19" s="349" t="s">
        <v>134</v>
      </c>
      <c r="C19" s="352" t="s">
        <v>12</v>
      </c>
      <c r="D19" s="874" t="s">
        <v>1493</v>
      </c>
      <c r="E19" s="875" t="s">
        <v>15</v>
      </c>
      <c r="F19" s="780">
        <v>7</v>
      </c>
      <c r="G19" s="982"/>
      <c r="H19" s="622"/>
      <c r="I19" s="982"/>
      <c r="J19" s="622"/>
      <c r="K19" s="982"/>
    </row>
    <row r="20" spans="1:15" s="224" customFormat="1" ht="15" hidden="1" customHeight="1" x14ac:dyDescent="0.25">
      <c r="A20" s="215">
        <v>43620</v>
      </c>
      <c r="B20" s="349" t="s">
        <v>2251</v>
      </c>
      <c r="C20" s="352" t="s">
        <v>12</v>
      </c>
      <c r="D20" s="874" t="s">
        <v>2157</v>
      </c>
      <c r="E20" s="875" t="s">
        <v>13</v>
      </c>
      <c r="F20" s="852">
        <v>30</v>
      </c>
      <c r="G20" s="1064"/>
      <c r="H20" s="97"/>
      <c r="I20" s="982"/>
      <c r="J20" s="622"/>
      <c r="K20" s="982"/>
    </row>
    <row r="21" spans="1:15" s="224" customFormat="1" ht="15" hidden="1" customHeight="1" x14ac:dyDescent="0.25">
      <c r="A21" s="215">
        <v>43621</v>
      </c>
      <c r="B21" s="349" t="s">
        <v>14</v>
      </c>
      <c r="C21" s="352" t="s">
        <v>12</v>
      </c>
      <c r="D21" s="874" t="s">
        <v>1486</v>
      </c>
      <c r="E21" s="875" t="s">
        <v>13</v>
      </c>
      <c r="F21" s="780">
        <v>4.7</v>
      </c>
      <c r="G21" s="982"/>
      <c r="H21" s="622"/>
      <c r="I21" s="982"/>
      <c r="J21" s="622"/>
      <c r="K21" s="982"/>
    </row>
    <row r="22" spans="1:15" s="224" customFormat="1" hidden="1" x14ac:dyDescent="0.25">
      <c r="A22" s="215">
        <v>43621</v>
      </c>
      <c r="B22" s="349" t="s">
        <v>151</v>
      </c>
      <c r="C22" s="352" t="s">
        <v>12</v>
      </c>
      <c r="D22" s="874" t="s">
        <v>1485</v>
      </c>
      <c r="E22" s="875" t="s">
        <v>13</v>
      </c>
      <c r="F22" s="850">
        <v>14</v>
      </c>
      <c r="G22" s="982"/>
      <c r="H22" s="622"/>
      <c r="I22" s="982"/>
      <c r="J22" s="622"/>
      <c r="K22" s="982"/>
      <c r="O22" s="930"/>
    </row>
    <row r="23" spans="1:15" s="224" customFormat="1" ht="15" hidden="1" customHeight="1" x14ac:dyDescent="0.25">
      <c r="A23" s="215">
        <v>43621</v>
      </c>
      <c r="B23" s="349" t="s">
        <v>14</v>
      </c>
      <c r="C23" s="352" t="s">
        <v>12</v>
      </c>
      <c r="D23" s="874" t="s">
        <v>1486</v>
      </c>
      <c r="E23" s="875" t="s">
        <v>13</v>
      </c>
      <c r="F23" s="780">
        <v>10.17</v>
      </c>
      <c r="G23" s="982"/>
      <c r="H23" s="622"/>
      <c r="I23" s="982"/>
      <c r="J23" s="622"/>
      <c r="K23" s="982"/>
    </row>
    <row r="24" spans="1:15" s="224" customFormat="1" ht="15" hidden="1" customHeight="1" x14ac:dyDescent="0.25">
      <c r="A24" s="215">
        <v>43621</v>
      </c>
      <c r="B24" s="873" t="s">
        <v>2253</v>
      </c>
      <c r="C24" s="350" t="s">
        <v>12</v>
      </c>
      <c r="D24" s="874" t="s">
        <v>1491</v>
      </c>
      <c r="E24" s="875" t="s">
        <v>15</v>
      </c>
      <c r="F24" s="852">
        <v>120</v>
      </c>
      <c r="G24" s="673"/>
      <c r="H24" s="622"/>
      <c r="I24" s="982"/>
      <c r="J24" s="622"/>
      <c r="K24" s="982"/>
    </row>
    <row r="25" spans="1:15" s="224" customFormat="1" ht="15.75" hidden="1" customHeight="1" x14ac:dyDescent="0.25">
      <c r="A25" s="215">
        <v>43622</v>
      </c>
      <c r="B25" s="349" t="s">
        <v>2254</v>
      </c>
      <c r="C25" s="879" t="s">
        <v>12</v>
      </c>
      <c r="D25" s="874"/>
      <c r="E25" s="871" t="s">
        <v>25</v>
      </c>
      <c r="F25" s="1524"/>
      <c r="G25" s="982">
        <v>1891.16</v>
      </c>
      <c r="H25" s="250"/>
      <c r="I25" s="946"/>
      <c r="J25" s="97"/>
      <c r="K25" s="946"/>
      <c r="L25" s="934"/>
    </row>
    <row r="26" spans="1:15" s="224" customFormat="1" hidden="1" x14ac:dyDescent="0.25">
      <c r="A26" s="215">
        <v>43622</v>
      </c>
      <c r="B26" s="862" t="s">
        <v>2255</v>
      </c>
      <c r="C26" s="879" t="s">
        <v>12</v>
      </c>
      <c r="D26" s="879"/>
      <c r="E26" s="871" t="s">
        <v>13</v>
      </c>
      <c r="F26" s="613">
        <v>348.94</v>
      </c>
      <c r="G26" s="982"/>
      <c r="H26" s="622"/>
      <c r="I26" s="982"/>
      <c r="J26" s="780"/>
      <c r="K26" s="614"/>
      <c r="L26" s="934">
        <v>856.06</v>
      </c>
      <c r="M26" s="89"/>
    </row>
    <row r="27" spans="1:15" hidden="1" x14ac:dyDescent="0.25">
      <c r="A27" s="215">
        <v>43622</v>
      </c>
      <c r="B27" s="862" t="s">
        <v>1961</v>
      </c>
      <c r="C27" s="879" t="s">
        <v>12</v>
      </c>
      <c r="D27" s="879" t="s">
        <v>1504</v>
      </c>
      <c r="E27" s="871" t="s">
        <v>13</v>
      </c>
      <c r="F27" s="780">
        <v>50</v>
      </c>
      <c r="G27" s="982"/>
      <c r="H27" s="622"/>
      <c r="I27" s="982"/>
      <c r="J27" s="622"/>
      <c r="K27" s="1002"/>
      <c r="L27" s="935">
        <v>90</v>
      </c>
    </row>
    <row r="28" spans="1:15" hidden="1" x14ac:dyDescent="0.25">
      <c r="A28" s="215">
        <v>43622</v>
      </c>
      <c r="B28" s="882" t="s">
        <v>2256</v>
      </c>
      <c r="C28" s="879" t="s">
        <v>12</v>
      </c>
      <c r="D28" s="879" t="s">
        <v>1499</v>
      </c>
      <c r="E28" s="871" t="s">
        <v>13</v>
      </c>
      <c r="F28" s="780">
        <v>60</v>
      </c>
      <c r="G28" s="982"/>
      <c r="H28" s="622"/>
      <c r="I28" s="982"/>
      <c r="J28" s="780"/>
      <c r="K28" s="614"/>
      <c r="L28" s="936">
        <v>126.12</v>
      </c>
    </row>
    <row r="29" spans="1:15" hidden="1" x14ac:dyDescent="0.25">
      <c r="A29" s="215">
        <v>43622</v>
      </c>
      <c r="B29" s="876" t="s">
        <v>52</v>
      </c>
      <c r="C29" s="879" t="s">
        <v>12</v>
      </c>
      <c r="D29" s="879" t="s">
        <v>1496</v>
      </c>
      <c r="E29" s="871" t="s">
        <v>13</v>
      </c>
      <c r="F29" s="780">
        <v>60</v>
      </c>
      <c r="G29" s="982"/>
      <c r="H29" s="853"/>
      <c r="I29" s="982"/>
      <c r="J29" s="622"/>
      <c r="K29" s="982"/>
      <c r="L29" s="934"/>
    </row>
    <row r="30" spans="1:15" s="224" customFormat="1" hidden="1" x14ac:dyDescent="0.25">
      <c r="A30" s="215">
        <v>43622</v>
      </c>
      <c r="B30" s="349" t="s">
        <v>151</v>
      </c>
      <c r="C30" s="352" t="s">
        <v>12</v>
      </c>
      <c r="D30" s="874" t="s">
        <v>1485</v>
      </c>
      <c r="E30" s="875" t="s">
        <v>13</v>
      </c>
      <c r="F30" s="850">
        <v>14</v>
      </c>
      <c r="G30" s="982"/>
      <c r="H30" s="622"/>
      <c r="I30" s="982"/>
      <c r="J30" s="622"/>
      <c r="K30" s="982"/>
      <c r="O30" s="930"/>
    </row>
    <row r="31" spans="1:15" s="224" customFormat="1" hidden="1" x14ac:dyDescent="0.25">
      <c r="A31" s="215">
        <v>43622</v>
      </c>
      <c r="B31" s="349" t="s">
        <v>249</v>
      </c>
      <c r="C31" s="352" t="s">
        <v>12</v>
      </c>
      <c r="D31" s="874" t="s">
        <v>1493</v>
      </c>
      <c r="E31" s="875" t="s">
        <v>13</v>
      </c>
      <c r="F31" s="850">
        <v>3</v>
      </c>
      <c r="G31" s="982"/>
      <c r="H31" s="622"/>
      <c r="I31" s="982"/>
      <c r="J31" s="622"/>
      <c r="K31" s="982"/>
      <c r="O31" s="930"/>
    </row>
    <row r="32" spans="1:15" s="224" customFormat="1" ht="15" hidden="1" customHeight="1" x14ac:dyDescent="0.25">
      <c r="A32" s="215">
        <v>43622</v>
      </c>
      <c r="B32" s="349" t="s">
        <v>260</v>
      </c>
      <c r="C32" s="350" t="s">
        <v>12</v>
      </c>
      <c r="D32" s="350"/>
      <c r="E32" s="480"/>
      <c r="F32" s="780">
        <v>500</v>
      </c>
      <c r="G32" s="946"/>
      <c r="H32" s="97"/>
      <c r="I32" s="946">
        <v>500</v>
      </c>
      <c r="J32" s="97"/>
      <c r="K32" s="946"/>
      <c r="L32" s="923"/>
      <c r="N32" s="930"/>
    </row>
    <row r="33" spans="1:15" s="224" customFormat="1" ht="15" hidden="1" customHeight="1" x14ac:dyDescent="0.25">
      <c r="A33" s="215">
        <v>43622</v>
      </c>
      <c r="B33" s="349" t="s">
        <v>134</v>
      </c>
      <c r="C33" s="352" t="s">
        <v>12</v>
      </c>
      <c r="D33" s="874" t="s">
        <v>1493</v>
      </c>
      <c r="E33" s="875" t="s">
        <v>15</v>
      </c>
      <c r="F33" s="780">
        <v>6</v>
      </c>
      <c r="G33" s="982"/>
      <c r="H33" s="622"/>
      <c r="I33" s="982"/>
      <c r="J33" s="622"/>
      <c r="K33" s="982"/>
    </row>
    <row r="34" spans="1:15" s="224" customFormat="1" ht="15" hidden="1" customHeight="1" x14ac:dyDescent="0.25">
      <c r="A34" s="215">
        <v>43623</v>
      </c>
      <c r="B34" s="349" t="s">
        <v>14</v>
      </c>
      <c r="C34" s="352" t="s">
        <v>12</v>
      </c>
      <c r="D34" s="874" t="s">
        <v>1486</v>
      </c>
      <c r="E34" s="875" t="s">
        <v>13</v>
      </c>
      <c r="F34" s="780">
        <v>11.25</v>
      </c>
      <c r="G34" s="982"/>
      <c r="H34" s="622"/>
      <c r="I34" s="982"/>
      <c r="J34" s="622"/>
      <c r="K34" s="982"/>
    </row>
    <row r="35" spans="1:15" s="224" customFormat="1" ht="15" hidden="1" customHeight="1" x14ac:dyDescent="0.25">
      <c r="A35" s="215">
        <v>43623</v>
      </c>
      <c r="B35" s="349" t="s">
        <v>1241</v>
      </c>
      <c r="C35" s="352" t="s">
        <v>12</v>
      </c>
      <c r="D35" s="874" t="s">
        <v>1504</v>
      </c>
      <c r="E35" s="875" t="s">
        <v>13</v>
      </c>
      <c r="F35" s="852">
        <v>10</v>
      </c>
      <c r="G35" s="1064"/>
      <c r="H35" s="97"/>
      <c r="I35" s="982"/>
      <c r="J35" s="622"/>
      <c r="K35" s="982"/>
    </row>
    <row r="36" spans="1:15" s="224" customFormat="1" hidden="1" x14ac:dyDescent="0.25">
      <c r="A36" s="215">
        <v>43623</v>
      </c>
      <c r="B36" s="349" t="s">
        <v>151</v>
      </c>
      <c r="C36" s="352" t="s">
        <v>12</v>
      </c>
      <c r="D36" s="874" t="s">
        <v>1485</v>
      </c>
      <c r="E36" s="875" t="s">
        <v>13</v>
      </c>
      <c r="F36" s="850">
        <v>14</v>
      </c>
      <c r="G36" s="982"/>
      <c r="H36" s="622"/>
      <c r="I36" s="982"/>
      <c r="J36" s="622"/>
      <c r="K36" s="982"/>
      <c r="O36" s="930"/>
    </row>
    <row r="37" spans="1:15" s="224" customFormat="1" ht="15" hidden="1" customHeight="1" x14ac:dyDescent="0.25">
      <c r="A37" s="215">
        <v>43623</v>
      </c>
      <c r="B37" s="349" t="s">
        <v>1906</v>
      </c>
      <c r="C37" s="352" t="s">
        <v>12</v>
      </c>
      <c r="D37" s="874" t="s">
        <v>1493</v>
      </c>
      <c r="E37" s="875" t="s">
        <v>13</v>
      </c>
      <c r="F37" s="852">
        <v>23</v>
      </c>
      <c r="G37" s="1064"/>
      <c r="H37" s="97"/>
      <c r="I37" s="982"/>
      <c r="J37" s="622"/>
      <c r="K37" s="982"/>
    </row>
    <row r="38" spans="1:15" s="224" customFormat="1" ht="15" hidden="1" customHeight="1" x14ac:dyDescent="0.25">
      <c r="A38" s="215">
        <v>43624</v>
      </c>
      <c r="B38" s="349" t="s">
        <v>151</v>
      </c>
      <c r="C38" s="352" t="s">
        <v>12</v>
      </c>
      <c r="D38" s="874" t="s">
        <v>1485</v>
      </c>
      <c r="E38" s="875" t="s">
        <v>13</v>
      </c>
      <c r="F38" s="852">
        <v>19</v>
      </c>
      <c r="G38" s="1064"/>
      <c r="H38" s="97"/>
      <c r="I38" s="982"/>
      <c r="J38" s="622"/>
      <c r="K38" s="982"/>
    </row>
    <row r="39" spans="1:15" s="224" customFormat="1" ht="15" hidden="1" customHeight="1" x14ac:dyDescent="0.25">
      <c r="A39" s="215">
        <v>43624</v>
      </c>
      <c r="B39" s="349" t="s">
        <v>1438</v>
      </c>
      <c r="C39" s="350" t="s">
        <v>19</v>
      </c>
      <c r="D39" s="350" t="s">
        <v>1489</v>
      </c>
      <c r="E39" s="480" t="s">
        <v>13</v>
      </c>
      <c r="F39" s="852">
        <v>67.37</v>
      </c>
      <c r="G39" s="1527"/>
      <c r="H39" s="97"/>
      <c r="I39" s="946"/>
      <c r="J39" s="97"/>
      <c r="K39" s="946"/>
    </row>
    <row r="40" spans="1:15" s="224" customFormat="1" ht="15" hidden="1" customHeight="1" x14ac:dyDescent="0.25">
      <c r="A40" s="215">
        <v>43624</v>
      </c>
      <c r="B40" s="349" t="s">
        <v>2251</v>
      </c>
      <c r="C40" s="350" t="s">
        <v>12</v>
      </c>
      <c r="D40" s="350" t="s">
        <v>2157</v>
      </c>
      <c r="E40" s="480" t="s">
        <v>13</v>
      </c>
      <c r="F40" s="852">
        <v>80</v>
      </c>
      <c r="G40" s="1527"/>
      <c r="H40" s="97"/>
      <c r="I40" s="946"/>
      <c r="J40" s="97"/>
      <c r="K40" s="946"/>
    </row>
    <row r="41" spans="1:15" s="224" customFormat="1" ht="15" hidden="1" customHeight="1" x14ac:dyDescent="0.25">
      <c r="A41" s="215">
        <v>43624</v>
      </c>
      <c r="B41" s="349" t="s">
        <v>2257</v>
      </c>
      <c r="C41" s="350" t="s">
        <v>12</v>
      </c>
      <c r="D41" s="350" t="s">
        <v>1491</v>
      </c>
      <c r="E41" s="480" t="s">
        <v>13</v>
      </c>
      <c r="F41" s="852">
        <v>31</v>
      </c>
      <c r="G41" s="1527"/>
      <c r="H41" s="97"/>
      <c r="I41" s="946"/>
      <c r="J41" s="97"/>
      <c r="K41" s="946"/>
    </row>
    <row r="42" spans="1:15" s="224" customFormat="1" ht="15" hidden="1" customHeight="1" x14ac:dyDescent="0.25">
      <c r="A42" s="215">
        <v>43625</v>
      </c>
      <c r="B42" s="349" t="s">
        <v>14</v>
      </c>
      <c r="C42" s="352" t="s">
        <v>12</v>
      </c>
      <c r="D42" s="874" t="s">
        <v>1486</v>
      </c>
      <c r="E42" s="875" t="s">
        <v>13</v>
      </c>
      <c r="F42" s="852">
        <v>9.7899999999999991</v>
      </c>
      <c r="G42" s="1527"/>
      <c r="H42" s="97"/>
      <c r="I42" s="946"/>
      <c r="J42" s="97"/>
      <c r="K42" s="946"/>
    </row>
    <row r="43" spans="1:15" s="224" customFormat="1" ht="15" hidden="1" customHeight="1" x14ac:dyDescent="0.25">
      <c r="A43" s="215">
        <v>43625</v>
      </c>
      <c r="B43" s="349" t="s">
        <v>56</v>
      </c>
      <c r="C43" s="350" t="s">
        <v>12</v>
      </c>
      <c r="D43" s="350" t="s">
        <v>1523</v>
      </c>
      <c r="E43" s="480" t="s">
        <v>15</v>
      </c>
      <c r="F43" s="852">
        <v>26</v>
      </c>
      <c r="G43" s="1527"/>
      <c r="H43" s="97"/>
      <c r="I43" s="946"/>
      <c r="J43" s="97"/>
      <c r="K43" s="946"/>
    </row>
    <row r="44" spans="1:15" s="224" customFormat="1" ht="15" hidden="1" customHeight="1" x14ac:dyDescent="0.25">
      <c r="A44" s="215">
        <v>43626</v>
      </c>
      <c r="B44" s="349" t="s">
        <v>151</v>
      </c>
      <c r="C44" s="352" t="s">
        <v>12</v>
      </c>
      <c r="D44" s="874" t="s">
        <v>1485</v>
      </c>
      <c r="E44" s="875" t="s">
        <v>15</v>
      </c>
      <c r="F44" s="852">
        <v>14</v>
      </c>
      <c r="G44" s="1064"/>
      <c r="H44" s="97"/>
      <c r="I44" s="982"/>
      <c r="J44" s="622"/>
      <c r="K44" s="982"/>
    </row>
    <row r="45" spans="1:15" s="224" customFormat="1" ht="15" hidden="1" customHeight="1" x14ac:dyDescent="0.25">
      <c r="A45" s="215">
        <v>43626</v>
      </c>
      <c r="B45" s="349" t="s">
        <v>14</v>
      </c>
      <c r="C45" s="352" t="s">
        <v>12</v>
      </c>
      <c r="D45" s="874" t="s">
        <v>1486</v>
      </c>
      <c r="E45" s="875" t="s">
        <v>13</v>
      </c>
      <c r="F45" s="852">
        <v>3.61</v>
      </c>
      <c r="G45" s="1527"/>
      <c r="H45" s="97"/>
      <c r="I45" s="946"/>
      <c r="J45" s="97"/>
      <c r="K45" s="946"/>
    </row>
    <row r="46" spans="1:15" s="224" customFormat="1" ht="15" hidden="1" customHeight="1" x14ac:dyDescent="0.25">
      <c r="A46" s="215">
        <v>43627</v>
      </c>
      <c r="B46" s="349" t="s">
        <v>14</v>
      </c>
      <c r="C46" s="352" t="s">
        <v>12</v>
      </c>
      <c r="D46" s="874" t="s">
        <v>1486</v>
      </c>
      <c r="E46" s="875" t="s">
        <v>13</v>
      </c>
      <c r="F46" s="852">
        <v>5.0999999999999996</v>
      </c>
      <c r="G46" s="1527"/>
      <c r="H46" s="97"/>
      <c r="I46" s="946"/>
      <c r="J46" s="97"/>
      <c r="K46" s="946"/>
    </row>
    <row r="47" spans="1:15" s="224" customFormat="1" ht="15" hidden="1" customHeight="1" x14ac:dyDescent="0.25">
      <c r="A47" s="215">
        <v>43627</v>
      </c>
      <c r="B47" s="349" t="s">
        <v>151</v>
      </c>
      <c r="C47" s="352" t="s">
        <v>12</v>
      </c>
      <c r="D47" s="874" t="s">
        <v>1485</v>
      </c>
      <c r="E47" s="875" t="s">
        <v>13</v>
      </c>
      <c r="F47" s="852">
        <v>14</v>
      </c>
      <c r="G47" s="1064"/>
      <c r="H47" s="97"/>
      <c r="I47" s="982"/>
      <c r="J47" s="622"/>
      <c r="K47" s="982"/>
    </row>
    <row r="48" spans="1:15" s="224" customFormat="1" ht="15" hidden="1" customHeight="1" x14ac:dyDescent="0.25">
      <c r="A48" s="215">
        <v>43627</v>
      </c>
      <c r="B48" s="349" t="s">
        <v>17</v>
      </c>
      <c r="C48" s="352" t="s">
        <v>12</v>
      </c>
      <c r="D48" s="874" t="s">
        <v>1493</v>
      </c>
      <c r="E48" s="875" t="s">
        <v>13</v>
      </c>
      <c r="F48" s="852">
        <v>5</v>
      </c>
      <c r="G48" s="1527"/>
      <c r="H48" s="97"/>
      <c r="I48" s="946"/>
      <c r="J48" s="97"/>
      <c r="K48" s="946"/>
      <c r="L48" s="459"/>
    </row>
    <row r="49" spans="1:14" s="224" customFormat="1" ht="15" hidden="1" customHeight="1" x14ac:dyDescent="0.25">
      <c r="A49" s="215">
        <v>43627</v>
      </c>
      <c r="B49" s="349" t="s">
        <v>14</v>
      </c>
      <c r="C49" s="352" t="s">
        <v>12</v>
      </c>
      <c r="D49" s="874" t="s">
        <v>1486</v>
      </c>
      <c r="E49" s="875" t="s">
        <v>13</v>
      </c>
      <c r="F49" s="852">
        <v>4.1100000000000003</v>
      </c>
      <c r="G49" s="1527"/>
      <c r="H49" s="97"/>
      <c r="I49" s="946"/>
      <c r="J49" s="97"/>
      <c r="K49" s="946"/>
      <c r="L49" s="459"/>
    </row>
    <row r="50" spans="1:14" s="224" customFormat="1" ht="15" customHeight="1" x14ac:dyDescent="0.25">
      <c r="A50" s="215">
        <v>43627</v>
      </c>
      <c r="B50" s="349" t="s">
        <v>2258</v>
      </c>
      <c r="C50" s="352" t="s">
        <v>12</v>
      </c>
      <c r="D50" s="874" t="s">
        <v>1524</v>
      </c>
      <c r="E50" s="875" t="s">
        <v>15</v>
      </c>
      <c r="F50" s="852">
        <v>150</v>
      </c>
      <c r="G50" s="1527"/>
      <c r="H50" s="97"/>
      <c r="I50" s="946"/>
      <c r="J50" s="97"/>
      <c r="K50" s="946"/>
      <c r="L50" s="459"/>
    </row>
    <row r="51" spans="1:14" s="224" customFormat="1" ht="15" hidden="1" customHeight="1" x14ac:dyDescent="0.25">
      <c r="A51" s="215">
        <v>43628</v>
      </c>
      <c r="B51" s="349" t="s">
        <v>2259</v>
      </c>
      <c r="C51" s="350" t="s">
        <v>12</v>
      </c>
      <c r="D51" s="350" t="s">
        <v>1493</v>
      </c>
      <c r="E51" s="480" t="s">
        <v>15</v>
      </c>
      <c r="F51" s="852">
        <v>40</v>
      </c>
      <c r="G51" s="1527"/>
      <c r="H51" s="97"/>
      <c r="I51" s="946"/>
      <c r="J51" s="97"/>
      <c r="K51" s="946"/>
    </row>
    <row r="52" spans="1:14" s="224" customFormat="1" ht="15" hidden="1" customHeight="1" x14ac:dyDescent="0.25">
      <c r="A52" s="215">
        <v>43628</v>
      </c>
      <c r="B52" s="349" t="s">
        <v>2260</v>
      </c>
      <c r="C52" s="350" t="s">
        <v>12</v>
      </c>
      <c r="D52" s="350" t="s">
        <v>1485</v>
      </c>
      <c r="E52" s="480" t="s">
        <v>13</v>
      </c>
      <c r="F52" s="852">
        <v>37.619999999999997</v>
      </c>
      <c r="G52" s="1527"/>
      <c r="H52" s="97"/>
      <c r="I52" s="946"/>
      <c r="J52" s="97"/>
      <c r="K52" s="946"/>
    </row>
    <row r="53" spans="1:14" s="224" customFormat="1" ht="15" hidden="1" customHeight="1" x14ac:dyDescent="0.25">
      <c r="A53" s="215">
        <v>43628</v>
      </c>
      <c r="B53" s="349" t="s">
        <v>43</v>
      </c>
      <c r="C53" s="350" t="s">
        <v>12</v>
      </c>
      <c r="D53" s="350" t="s">
        <v>1493</v>
      </c>
      <c r="E53" s="480" t="s">
        <v>13</v>
      </c>
      <c r="F53" s="852">
        <v>18</v>
      </c>
      <c r="G53" s="1527"/>
      <c r="H53" s="97"/>
      <c r="I53" s="946"/>
      <c r="J53" s="97"/>
      <c r="K53" s="946"/>
    </row>
    <row r="54" spans="1:14" s="224" customFormat="1" ht="15" customHeight="1" x14ac:dyDescent="0.25">
      <c r="A54" s="215">
        <v>43628</v>
      </c>
      <c r="B54" s="349" t="s">
        <v>2261</v>
      </c>
      <c r="C54" s="352" t="s">
        <v>12</v>
      </c>
      <c r="D54" s="874" t="s">
        <v>1524</v>
      </c>
      <c r="E54" s="875" t="s">
        <v>15</v>
      </c>
      <c r="F54" s="852">
        <v>50</v>
      </c>
      <c r="G54" s="1527"/>
      <c r="H54" s="97"/>
      <c r="I54" s="946"/>
      <c r="J54" s="97"/>
      <c r="K54" s="946"/>
      <c r="L54" s="459"/>
    </row>
    <row r="55" spans="1:14" s="224" customFormat="1" ht="15" hidden="1" customHeight="1" x14ac:dyDescent="0.25">
      <c r="A55" s="215">
        <v>43629</v>
      </c>
      <c r="B55" s="349" t="s">
        <v>151</v>
      </c>
      <c r="C55" s="352" t="s">
        <v>12</v>
      </c>
      <c r="D55" s="874" t="s">
        <v>1485</v>
      </c>
      <c r="E55" s="875" t="s">
        <v>15</v>
      </c>
      <c r="F55" s="852">
        <v>14</v>
      </c>
      <c r="G55" s="1064"/>
      <c r="H55" s="97"/>
      <c r="I55" s="982"/>
      <c r="J55" s="622"/>
      <c r="K55" s="982"/>
    </row>
    <row r="56" spans="1:14" s="224" customFormat="1" ht="15" hidden="1" customHeight="1" x14ac:dyDescent="0.25">
      <c r="A56" s="215">
        <v>43629</v>
      </c>
      <c r="B56" s="349" t="s">
        <v>14</v>
      </c>
      <c r="C56" s="352" t="s">
        <v>12</v>
      </c>
      <c r="D56" s="874" t="s">
        <v>1486</v>
      </c>
      <c r="E56" s="875" t="s">
        <v>13</v>
      </c>
      <c r="F56" s="852">
        <v>2.71</v>
      </c>
      <c r="G56" s="1527"/>
      <c r="H56" s="97"/>
      <c r="I56" s="946"/>
      <c r="J56" s="97"/>
      <c r="K56" s="946"/>
      <c r="L56" s="459"/>
    </row>
    <row r="57" spans="1:14" s="224" customFormat="1" ht="15" hidden="1" customHeight="1" x14ac:dyDescent="0.25">
      <c r="A57" s="215">
        <v>43630</v>
      </c>
      <c r="B57" s="349" t="s">
        <v>151</v>
      </c>
      <c r="C57" s="352" t="s">
        <v>12</v>
      </c>
      <c r="D57" s="874" t="s">
        <v>1485</v>
      </c>
      <c r="E57" s="875" t="s">
        <v>13</v>
      </c>
      <c r="F57" s="852">
        <v>14</v>
      </c>
      <c r="G57" s="1064"/>
      <c r="H57" s="97"/>
      <c r="I57" s="982"/>
      <c r="J57" s="622"/>
      <c r="K57" s="982"/>
    </row>
    <row r="58" spans="1:14" s="224" customFormat="1" ht="14.25" hidden="1" customHeight="1" x14ac:dyDescent="0.25">
      <c r="A58" s="215">
        <v>43630</v>
      </c>
      <c r="B58" s="349" t="s">
        <v>14</v>
      </c>
      <c r="C58" s="352" t="s">
        <v>12</v>
      </c>
      <c r="D58" s="874" t="s">
        <v>1486</v>
      </c>
      <c r="E58" s="875" t="s">
        <v>13</v>
      </c>
      <c r="F58" s="852">
        <v>7.89</v>
      </c>
      <c r="G58" s="673"/>
      <c r="H58" s="622"/>
      <c r="I58" s="982"/>
      <c r="J58" s="622"/>
      <c r="K58" s="982"/>
      <c r="L58" s="883"/>
      <c r="M58" s="89"/>
    </row>
    <row r="59" spans="1:14" s="224" customFormat="1" ht="15" hidden="1" customHeight="1" x14ac:dyDescent="0.25">
      <c r="A59" s="215">
        <v>43631</v>
      </c>
      <c r="B59" s="862" t="s">
        <v>256</v>
      </c>
      <c r="C59" s="879"/>
      <c r="D59" s="879"/>
      <c r="E59" s="871"/>
      <c r="F59" s="97"/>
      <c r="G59" s="946">
        <v>200</v>
      </c>
      <c r="H59" s="97">
        <v>200</v>
      </c>
      <c r="I59" s="982"/>
      <c r="J59" s="622"/>
      <c r="K59" s="982"/>
      <c r="N59" s="930"/>
    </row>
    <row r="60" spans="1:14" s="224" customFormat="1" ht="14.25" hidden="1" customHeight="1" x14ac:dyDescent="0.25">
      <c r="A60" s="215">
        <v>43631</v>
      </c>
      <c r="B60" s="349" t="s">
        <v>2262</v>
      </c>
      <c r="C60" s="352" t="s">
        <v>19</v>
      </c>
      <c r="D60" s="874" t="s">
        <v>1506</v>
      </c>
      <c r="E60" s="875" t="s">
        <v>13</v>
      </c>
      <c r="F60" s="780">
        <v>50</v>
      </c>
      <c r="G60" s="627"/>
      <c r="H60" s="622"/>
      <c r="I60" s="982"/>
      <c r="J60" s="622"/>
      <c r="K60" s="982"/>
      <c r="L60" s="883"/>
      <c r="M60" s="89"/>
    </row>
    <row r="61" spans="1:14" s="224" customFormat="1" ht="15" hidden="1" customHeight="1" x14ac:dyDescent="0.25">
      <c r="A61" s="215">
        <v>43631</v>
      </c>
      <c r="B61" s="349" t="s">
        <v>2251</v>
      </c>
      <c r="C61" s="352" t="s">
        <v>12</v>
      </c>
      <c r="D61" s="874" t="s">
        <v>2157</v>
      </c>
      <c r="E61" s="875" t="s">
        <v>15</v>
      </c>
      <c r="F61" s="852">
        <v>50</v>
      </c>
      <c r="G61" s="1064"/>
      <c r="H61" s="97"/>
      <c r="I61" s="982"/>
      <c r="J61" s="622"/>
      <c r="K61" s="982"/>
    </row>
    <row r="62" spans="1:14" s="224" customFormat="1" ht="14.25" hidden="1" customHeight="1" x14ac:dyDescent="0.25">
      <c r="A62" s="215">
        <v>43631</v>
      </c>
      <c r="B62" s="349" t="s">
        <v>81</v>
      </c>
      <c r="C62" s="352" t="s">
        <v>12</v>
      </c>
      <c r="D62" s="874" t="s">
        <v>1493</v>
      </c>
      <c r="E62" s="875" t="s">
        <v>15</v>
      </c>
      <c r="F62" s="780">
        <v>5</v>
      </c>
      <c r="G62" s="627"/>
      <c r="H62" s="622"/>
      <c r="I62" s="982"/>
      <c r="J62" s="622"/>
      <c r="K62" s="982"/>
      <c r="L62" s="883"/>
      <c r="M62" s="89"/>
    </row>
    <row r="63" spans="1:14" s="224" customFormat="1" ht="14.25" hidden="1" customHeight="1" x14ac:dyDescent="0.25">
      <c r="A63" s="215">
        <v>43631</v>
      </c>
      <c r="B63" s="349" t="s">
        <v>2263</v>
      </c>
      <c r="C63" s="352" t="s">
        <v>12</v>
      </c>
      <c r="D63" s="874" t="s">
        <v>1489</v>
      </c>
      <c r="E63" s="875" t="s">
        <v>13</v>
      </c>
      <c r="F63" s="780">
        <v>87.5</v>
      </c>
      <c r="G63" s="627"/>
      <c r="H63" s="622"/>
      <c r="I63" s="982"/>
      <c r="J63" s="622"/>
      <c r="K63" s="982"/>
      <c r="L63" s="883"/>
      <c r="M63" s="89"/>
    </row>
    <row r="64" spans="1:14" ht="15" hidden="1" customHeight="1" x14ac:dyDescent="0.25">
      <c r="A64" s="215">
        <v>43631</v>
      </c>
      <c r="B64" s="349" t="s">
        <v>1396</v>
      </c>
      <c r="C64" s="350" t="s">
        <v>12</v>
      </c>
      <c r="D64" s="350"/>
      <c r="E64" s="757" t="s">
        <v>25</v>
      </c>
      <c r="F64" s="97"/>
      <c r="G64" s="946">
        <v>45</v>
      </c>
      <c r="H64" s="97"/>
      <c r="I64" s="946"/>
      <c r="J64" s="97"/>
      <c r="K64" s="946"/>
    </row>
    <row r="65" spans="1:14" s="224" customFormat="1" ht="14.25" hidden="1" customHeight="1" x14ac:dyDescent="0.25">
      <c r="A65" s="215">
        <v>43632</v>
      </c>
      <c r="B65" s="349" t="s">
        <v>2264</v>
      </c>
      <c r="C65" s="352" t="s">
        <v>12</v>
      </c>
      <c r="D65" s="874" t="s">
        <v>1489</v>
      </c>
      <c r="E65" s="875" t="s">
        <v>13</v>
      </c>
      <c r="F65" s="780">
        <v>20.39</v>
      </c>
      <c r="G65" s="627"/>
      <c r="H65" s="622"/>
      <c r="I65" s="982"/>
      <c r="J65" s="622"/>
      <c r="K65" s="982"/>
      <c r="L65" s="883"/>
      <c r="M65" s="89"/>
    </row>
    <row r="66" spans="1:14" s="224" customFormat="1" ht="14.25" hidden="1" customHeight="1" x14ac:dyDescent="0.25">
      <c r="A66" s="215">
        <v>43632</v>
      </c>
      <c r="B66" s="349" t="s">
        <v>2265</v>
      </c>
      <c r="C66" s="352" t="s">
        <v>12</v>
      </c>
      <c r="D66" s="874" t="s">
        <v>1493</v>
      </c>
      <c r="E66" s="875" t="s">
        <v>13</v>
      </c>
      <c r="F66" s="780">
        <v>20.100000000000001</v>
      </c>
      <c r="G66" s="627"/>
      <c r="H66" s="622"/>
      <c r="I66" s="982"/>
      <c r="J66" s="622"/>
      <c r="K66" s="982"/>
      <c r="L66" s="883"/>
      <c r="M66" s="89"/>
    </row>
    <row r="67" spans="1:14" s="224" customFormat="1" ht="15" hidden="1" customHeight="1" x14ac:dyDescent="0.25">
      <c r="A67" s="215">
        <v>43632</v>
      </c>
      <c r="B67" s="349" t="s">
        <v>14</v>
      </c>
      <c r="C67" s="352" t="s">
        <v>12</v>
      </c>
      <c r="D67" s="874" t="s">
        <v>1486</v>
      </c>
      <c r="E67" s="875" t="s">
        <v>13</v>
      </c>
      <c r="F67" s="852">
        <v>7</v>
      </c>
      <c r="G67" s="1527"/>
      <c r="H67" s="97"/>
      <c r="I67" s="946"/>
      <c r="J67" s="97"/>
      <c r="K67" s="946"/>
      <c r="L67" s="459"/>
    </row>
    <row r="68" spans="1:14" s="224" customFormat="1" ht="15" hidden="1" customHeight="1" x14ac:dyDescent="0.25">
      <c r="A68" s="215">
        <v>43633</v>
      </c>
      <c r="B68" s="349" t="s">
        <v>151</v>
      </c>
      <c r="C68" s="352" t="s">
        <v>12</v>
      </c>
      <c r="D68" s="874" t="s">
        <v>1485</v>
      </c>
      <c r="E68" s="875" t="s">
        <v>13</v>
      </c>
      <c r="F68" s="852">
        <v>14</v>
      </c>
      <c r="G68" s="1064"/>
      <c r="H68" s="97"/>
      <c r="I68" s="982"/>
      <c r="J68" s="622"/>
      <c r="K68" s="982"/>
    </row>
    <row r="69" spans="1:14" s="224" customFormat="1" hidden="1" x14ac:dyDescent="0.25">
      <c r="A69" s="215">
        <v>43633</v>
      </c>
      <c r="B69" s="349" t="s">
        <v>14</v>
      </c>
      <c r="C69" s="352" t="s">
        <v>12</v>
      </c>
      <c r="D69" s="874" t="s">
        <v>1486</v>
      </c>
      <c r="E69" s="875" t="s">
        <v>13</v>
      </c>
      <c r="F69" s="852">
        <v>3.4</v>
      </c>
      <c r="G69" s="982"/>
      <c r="H69" s="622"/>
      <c r="I69" s="982"/>
      <c r="J69" s="622"/>
      <c r="K69" s="982"/>
    </row>
    <row r="70" spans="1:14" s="224" customFormat="1" ht="15" hidden="1" customHeight="1" x14ac:dyDescent="0.25">
      <c r="A70" s="215">
        <v>43634</v>
      </c>
      <c r="B70" s="349" t="s">
        <v>151</v>
      </c>
      <c r="C70" s="352" t="s">
        <v>12</v>
      </c>
      <c r="D70" s="874" t="s">
        <v>1485</v>
      </c>
      <c r="E70" s="875" t="s">
        <v>15</v>
      </c>
      <c r="F70" s="852">
        <v>14</v>
      </c>
      <c r="G70" s="946"/>
      <c r="H70" s="97"/>
      <c r="I70" s="982"/>
      <c r="J70" s="622"/>
      <c r="K70" s="982"/>
    </row>
    <row r="71" spans="1:14" s="224" customFormat="1" ht="15" hidden="1" customHeight="1" x14ac:dyDescent="0.25">
      <c r="A71" s="215">
        <v>43634</v>
      </c>
      <c r="B71" s="349" t="s">
        <v>14</v>
      </c>
      <c r="C71" s="352" t="s">
        <v>12</v>
      </c>
      <c r="D71" s="874" t="s">
        <v>1486</v>
      </c>
      <c r="E71" s="875" t="s">
        <v>13</v>
      </c>
      <c r="F71" s="852">
        <v>3.34</v>
      </c>
      <c r="G71" s="946"/>
      <c r="H71" s="97"/>
      <c r="I71" s="982"/>
      <c r="J71" s="622"/>
      <c r="K71" s="982"/>
    </row>
    <row r="72" spans="1:14" s="224" customFormat="1" ht="15" hidden="1" customHeight="1" x14ac:dyDescent="0.25">
      <c r="A72" s="215">
        <v>43634</v>
      </c>
      <c r="B72" s="862" t="s">
        <v>256</v>
      </c>
      <c r="C72" s="879"/>
      <c r="D72" s="879"/>
      <c r="E72" s="871"/>
      <c r="F72" s="97"/>
      <c r="G72" s="946">
        <v>100</v>
      </c>
      <c r="H72" s="97">
        <v>100</v>
      </c>
      <c r="I72" s="982"/>
      <c r="J72" s="622"/>
      <c r="K72" s="982"/>
      <c r="N72" s="930"/>
    </row>
    <row r="73" spans="1:14" hidden="1" x14ac:dyDescent="0.25">
      <c r="A73" s="215">
        <v>43635</v>
      </c>
      <c r="B73" s="882" t="s">
        <v>2266</v>
      </c>
      <c r="C73" s="350" t="s">
        <v>12</v>
      </c>
      <c r="D73" s="145"/>
      <c r="E73" s="145" t="s">
        <v>25</v>
      </c>
      <c r="F73" s="1529"/>
      <c r="G73" s="965">
        <v>1660</v>
      </c>
      <c r="H73" s="97"/>
      <c r="I73" s="946"/>
      <c r="J73" s="97"/>
      <c r="K73" s="946"/>
    </row>
    <row r="74" spans="1:14" s="224" customFormat="1" hidden="1" x14ac:dyDescent="0.25">
      <c r="A74" s="215">
        <v>43635</v>
      </c>
      <c r="B74" s="873" t="s">
        <v>1564</v>
      </c>
      <c r="C74" s="879" t="s">
        <v>12</v>
      </c>
      <c r="D74" s="350" t="s">
        <v>1491</v>
      </c>
      <c r="E74" s="871" t="s">
        <v>15</v>
      </c>
      <c r="F74" s="853">
        <v>140</v>
      </c>
      <c r="G74" s="964"/>
      <c r="H74" s="622"/>
      <c r="I74" s="982"/>
      <c r="J74" s="622"/>
      <c r="K74" s="982"/>
    </row>
    <row r="75" spans="1:14" s="224" customFormat="1" ht="15.75" hidden="1" customHeight="1" x14ac:dyDescent="0.25">
      <c r="A75" s="215">
        <v>43635</v>
      </c>
      <c r="B75" s="882" t="s">
        <v>2267</v>
      </c>
      <c r="C75" s="879" t="s">
        <v>12</v>
      </c>
      <c r="D75" s="879" t="s">
        <v>1499</v>
      </c>
      <c r="E75" s="871" t="s">
        <v>13</v>
      </c>
      <c r="F75" s="853">
        <v>52.6</v>
      </c>
      <c r="G75" s="968"/>
      <c r="H75" s="538"/>
      <c r="I75" s="982"/>
      <c r="J75" s="622"/>
      <c r="K75" s="982"/>
      <c r="L75" s="764">
        <v>104.6</v>
      </c>
    </row>
    <row r="76" spans="1:14" s="224" customFormat="1" ht="15" customHeight="1" x14ac:dyDescent="0.25">
      <c r="A76" s="215">
        <v>43635</v>
      </c>
      <c r="B76" s="349" t="s">
        <v>2268</v>
      </c>
      <c r="C76" s="352" t="s">
        <v>12</v>
      </c>
      <c r="D76" s="874" t="s">
        <v>1524</v>
      </c>
      <c r="E76" s="875" t="s">
        <v>15</v>
      </c>
      <c r="F76" s="852">
        <v>150</v>
      </c>
      <c r="G76" s="1527"/>
      <c r="H76" s="97"/>
      <c r="I76" s="946"/>
      <c r="J76" s="97"/>
      <c r="K76" s="946"/>
      <c r="L76" s="459"/>
    </row>
    <row r="77" spans="1:14" s="224" customFormat="1" ht="15" hidden="1" customHeight="1" x14ac:dyDescent="0.25">
      <c r="A77" s="215">
        <v>43635</v>
      </c>
      <c r="B77" s="349" t="s">
        <v>151</v>
      </c>
      <c r="C77" s="352" t="s">
        <v>12</v>
      </c>
      <c r="D77" s="874" t="s">
        <v>1485</v>
      </c>
      <c r="E77" s="875" t="s">
        <v>13</v>
      </c>
      <c r="F77" s="852">
        <v>14</v>
      </c>
      <c r="G77" s="946"/>
      <c r="H77" s="97"/>
      <c r="I77" s="982"/>
      <c r="J77" s="622"/>
      <c r="K77" s="982"/>
    </row>
    <row r="78" spans="1:14" s="224" customFormat="1" hidden="1" x14ac:dyDescent="0.25">
      <c r="A78" s="215">
        <v>43635</v>
      </c>
      <c r="B78" s="873" t="s">
        <v>2253</v>
      </c>
      <c r="C78" s="879" t="s">
        <v>12</v>
      </c>
      <c r="D78" s="350" t="s">
        <v>1491</v>
      </c>
      <c r="E78" s="871" t="s">
        <v>15</v>
      </c>
      <c r="F78" s="853">
        <v>100</v>
      </c>
      <c r="G78" s="964"/>
      <c r="H78" s="622"/>
      <c r="I78" s="982"/>
      <c r="J78" s="622"/>
      <c r="K78" s="982"/>
    </row>
    <row r="79" spans="1:14" s="224" customFormat="1" ht="15" hidden="1" customHeight="1" x14ac:dyDescent="0.25">
      <c r="A79" s="215">
        <v>43635</v>
      </c>
      <c r="B79" s="349" t="s">
        <v>14</v>
      </c>
      <c r="C79" s="352" t="s">
        <v>12</v>
      </c>
      <c r="D79" s="874" t="s">
        <v>1486</v>
      </c>
      <c r="E79" s="875" t="s">
        <v>13</v>
      </c>
      <c r="F79" s="852">
        <v>9.4600000000000009</v>
      </c>
      <c r="G79" s="946"/>
      <c r="H79" s="97"/>
      <c r="I79" s="982"/>
      <c r="J79" s="622"/>
      <c r="K79" s="982"/>
    </row>
    <row r="80" spans="1:14" s="224" customFormat="1" ht="15" hidden="1" customHeight="1" x14ac:dyDescent="0.25">
      <c r="A80" s="215">
        <v>43636</v>
      </c>
      <c r="B80" s="349" t="s">
        <v>1906</v>
      </c>
      <c r="C80" s="352" t="s">
        <v>12</v>
      </c>
      <c r="D80" s="874" t="s">
        <v>1493</v>
      </c>
      <c r="E80" s="875" t="s">
        <v>15</v>
      </c>
      <c r="F80" s="852">
        <v>17</v>
      </c>
      <c r="G80" s="1064"/>
      <c r="H80" s="97"/>
      <c r="I80" s="982"/>
      <c r="J80" s="622"/>
      <c r="K80" s="982"/>
    </row>
    <row r="81" spans="1:14" s="224" customFormat="1" ht="15" hidden="1" customHeight="1" x14ac:dyDescent="0.25">
      <c r="A81" s="215">
        <v>43636</v>
      </c>
      <c r="B81" s="349" t="s">
        <v>2269</v>
      </c>
      <c r="C81" s="352" t="s">
        <v>12</v>
      </c>
      <c r="D81" s="874" t="s">
        <v>2168</v>
      </c>
      <c r="E81" s="875" t="s">
        <v>13</v>
      </c>
      <c r="F81" s="852">
        <v>26.4</v>
      </c>
      <c r="G81" s="1064"/>
      <c r="H81" s="97"/>
      <c r="I81" s="982"/>
      <c r="J81" s="622"/>
      <c r="K81" s="982"/>
    </row>
    <row r="82" spans="1:14" s="224" customFormat="1" ht="15" hidden="1" customHeight="1" x14ac:dyDescent="0.25">
      <c r="A82" s="215">
        <v>43636</v>
      </c>
      <c r="B82" s="349" t="s">
        <v>14</v>
      </c>
      <c r="C82" s="352" t="s">
        <v>12</v>
      </c>
      <c r="D82" s="874" t="s">
        <v>1486</v>
      </c>
      <c r="E82" s="875" t="s">
        <v>13</v>
      </c>
      <c r="F82" s="852">
        <v>8.73</v>
      </c>
      <c r="G82" s="1064"/>
      <c r="H82" s="97"/>
      <c r="I82" s="982"/>
      <c r="J82" s="622"/>
      <c r="K82" s="982"/>
    </row>
    <row r="83" spans="1:14" s="224" customFormat="1" ht="15" hidden="1" customHeight="1" x14ac:dyDescent="0.25">
      <c r="A83" s="215">
        <v>43637</v>
      </c>
      <c r="B83" s="349" t="s">
        <v>14</v>
      </c>
      <c r="C83" s="352" t="s">
        <v>12</v>
      </c>
      <c r="D83" s="874" t="s">
        <v>1486</v>
      </c>
      <c r="E83" s="875" t="s">
        <v>13</v>
      </c>
      <c r="F83" s="852">
        <v>2.2000000000000002</v>
      </c>
      <c r="G83" s="1064"/>
      <c r="H83" s="97"/>
      <c r="I83" s="982"/>
      <c r="J83" s="622"/>
      <c r="K83" s="982"/>
    </row>
    <row r="84" spans="1:14" s="224" customFormat="1" ht="15" hidden="1" customHeight="1" x14ac:dyDescent="0.25">
      <c r="A84" s="215">
        <v>43637</v>
      </c>
      <c r="B84" s="349" t="s">
        <v>2270</v>
      </c>
      <c r="C84" s="350" t="s">
        <v>12</v>
      </c>
      <c r="D84" s="350" t="s">
        <v>1493</v>
      </c>
      <c r="E84" s="480" t="s">
        <v>13</v>
      </c>
      <c r="F84" s="852">
        <v>44.85</v>
      </c>
      <c r="G84" s="1527"/>
      <c r="H84" s="97"/>
      <c r="I84" s="946"/>
      <c r="J84" s="97"/>
      <c r="K84" s="946"/>
    </row>
    <row r="85" spans="1:14" s="224" customFormat="1" ht="15" hidden="1" customHeight="1" x14ac:dyDescent="0.25">
      <c r="A85" s="215">
        <v>43638</v>
      </c>
      <c r="B85" s="349" t="s">
        <v>14</v>
      </c>
      <c r="C85" s="352" t="s">
        <v>12</v>
      </c>
      <c r="D85" s="874" t="s">
        <v>1486</v>
      </c>
      <c r="E85" s="875" t="s">
        <v>13</v>
      </c>
      <c r="F85" s="852">
        <v>5.79</v>
      </c>
      <c r="G85" s="1064"/>
      <c r="H85" s="97"/>
      <c r="I85" s="982"/>
      <c r="J85" s="622"/>
      <c r="K85" s="982"/>
    </row>
    <row r="86" spans="1:14" s="224" customFormat="1" ht="15" hidden="1" customHeight="1" x14ac:dyDescent="0.25">
      <c r="A86" s="215">
        <v>43638</v>
      </c>
      <c r="B86" s="349" t="s">
        <v>1438</v>
      </c>
      <c r="C86" s="350" t="s">
        <v>19</v>
      </c>
      <c r="D86" s="879" t="s">
        <v>1489</v>
      </c>
      <c r="E86" s="480" t="s">
        <v>13</v>
      </c>
      <c r="F86" s="852">
        <v>58.5</v>
      </c>
      <c r="G86" s="1527"/>
      <c r="H86" s="97"/>
      <c r="I86" s="982"/>
      <c r="J86" s="622"/>
      <c r="K86" s="982"/>
    </row>
    <row r="87" spans="1:14" s="224" customFormat="1" ht="15" hidden="1" customHeight="1" x14ac:dyDescent="0.25">
      <c r="A87" s="215">
        <v>43638</v>
      </c>
      <c r="B87" s="349" t="s">
        <v>1056</v>
      </c>
      <c r="C87" s="350" t="s">
        <v>19</v>
      </c>
      <c r="D87" s="879" t="s">
        <v>1523</v>
      </c>
      <c r="E87" s="480" t="s">
        <v>13</v>
      </c>
      <c r="F87" s="852">
        <v>27</v>
      </c>
      <c r="G87" s="1527"/>
      <c r="H87" s="97"/>
      <c r="I87" s="982"/>
      <c r="J87" s="622"/>
      <c r="K87" s="982"/>
    </row>
    <row r="88" spans="1:14" s="224" customFormat="1" ht="15" hidden="1" customHeight="1" x14ac:dyDescent="0.25">
      <c r="A88" s="215">
        <v>43638</v>
      </c>
      <c r="B88" s="349" t="s">
        <v>2271</v>
      </c>
      <c r="C88" s="352" t="s">
        <v>19</v>
      </c>
      <c r="D88" s="874" t="s">
        <v>2157</v>
      </c>
      <c r="E88" s="875" t="s">
        <v>13</v>
      </c>
      <c r="F88" s="852">
        <v>57.08</v>
      </c>
      <c r="G88" s="1064"/>
      <c r="H88" s="97"/>
      <c r="I88" s="982"/>
      <c r="J88" s="622"/>
      <c r="K88" s="982"/>
    </row>
    <row r="89" spans="1:14" s="224" customFormat="1" ht="15" hidden="1" customHeight="1" x14ac:dyDescent="0.25">
      <c r="A89" s="215">
        <v>43638</v>
      </c>
      <c r="B89" s="349" t="s">
        <v>2272</v>
      </c>
      <c r="C89" s="350" t="s">
        <v>12</v>
      </c>
      <c r="D89" s="879" t="s">
        <v>1485</v>
      </c>
      <c r="E89" s="480" t="s">
        <v>13</v>
      </c>
      <c r="F89" s="852">
        <v>25</v>
      </c>
      <c r="G89" s="1527"/>
      <c r="H89" s="97"/>
      <c r="I89" s="982"/>
      <c r="J89" s="622"/>
      <c r="K89" s="982"/>
    </row>
    <row r="90" spans="1:14" s="224" customFormat="1" ht="15" hidden="1" customHeight="1" x14ac:dyDescent="0.25">
      <c r="A90" s="215">
        <v>43639</v>
      </c>
      <c r="B90" s="349" t="s">
        <v>14</v>
      </c>
      <c r="C90" s="352" t="s">
        <v>12</v>
      </c>
      <c r="D90" s="874" t="s">
        <v>1486</v>
      </c>
      <c r="E90" s="875" t="s">
        <v>13</v>
      </c>
      <c r="F90" s="852">
        <v>8.69</v>
      </c>
      <c r="G90" s="1064"/>
      <c r="H90" s="97"/>
      <c r="I90" s="982"/>
      <c r="J90" s="622"/>
      <c r="K90" s="982"/>
    </row>
    <row r="91" spans="1:14" s="224" customFormat="1" ht="15" hidden="1" customHeight="1" x14ac:dyDescent="0.25">
      <c r="A91" s="215">
        <v>43640</v>
      </c>
      <c r="B91" s="349" t="s">
        <v>1241</v>
      </c>
      <c r="C91" s="352" t="s">
        <v>12</v>
      </c>
      <c r="D91" s="874" t="s">
        <v>1504</v>
      </c>
      <c r="E91" s="875" t="s">
        <v>13</v>
      </c>
      <c r="F91" s="852">
        <v>10</v>
      </c>
      <c r="G91" s="1064"/>
      <c r="H91" s="97"/>
      <c r="I91" s="982"/>
      <c r="J91" s="622"/>
      <c r="K91" s="982"/>
    </row>
    <row r="92" spans="1:14" s="224" customFormat="1" ht="15" hidden="1" customHeight="1" x14ac:dyDescent="0.25">
      <c r="A92" s="215">
        <v>43640</v>
      </c>
      <c r="B92" s="349" t="s">
        <v>260</v>
      </c>
      <c r="C92" s="350" t="s">
        <v>12</v>
      </c>
      <c r="D92" s="350"/>
      <c r="E92" s="480"/>
      <c r="F92" s="780">
        <v>300</v>
      </c>
      <c r="G92" s="946"/>
      <c r="H92" s="97"/>
      <c r="I92" s="946">
        <v>300</v>
      </c>
      <c r="J92" s="97"/>
      <c r="K92" s="946"/>
      <c r="L92" s="923"/>
      <c r="N92" s="930"/>
    </row>
    <row r="93" spans="1:14" s="224" customFormat="1" ht="15" hidden="1" customHeight="1" x14ac:dyDescent="0.25">
      <c r="A93" s="215">
        <v>43640</v>
      </c>
      <c r="B93" s="349" t="s">
        <v>151</v>
      </c>
      <c r="C93" s="352" t="s">
        <v>12</v>
      </c>
      <c r="D93" s="874" t="s">
        <v>1485</v>
      </c>
      <c r="E93" s="875" t="s">
        <v>15</v>
      </c>
      <c r="F93" s="852">
        <v>14</v>
      </c>
      <c r="G93" s="946"/>
      <c r="H93" s="97"/>
      <c r="I93" s="982"/>
      <c r="J93" s="622"/>
      <c r="K93" s="982"/>
    </row>
    <row r="94" spans="1:14" s="224" customFormat="1" ht="15" hidden="1" customHeight="1" x14ac:dyDescent="0.25">
      <c r="A94" s="215">
        <v>43640</v>
      </c>
      <c r="B94" s="862" t="s">
        <v>2206</v>
      </c>
      <c r="C94" s="350" t="s">
        <v>12</v>
      </c>
      <c r="D94" s="874" t="s">
        <v>1504</v>
      </c>
      <c r="E94" s="887" t="s">
        <v>13</v>
      </c>
      <c r="F94" s="852">
        <v>70</v>
      </c>
      <c r="G94" s="1527"/>
      <c r="H94" s="97"/>
      <c r="I94" s="982"/>
      <c r="J94" s="622"/>
      <c r="K94" s="982"/>
    </row>
    <row r="95" spans="1:14" s="224" customFormat="1" ht="15" hidden="1" customHeight="1" x14ac:dyDescent="0.25">
      <c r="A95" s="215">
        <v>43640</v>
      </c>
      <c r="B95" s="349" t="s">
        <v>14</v>
      </c>
      <c r="C95" s="352" t="s">
        <v>12</v>
      </c>
      <c r="D95" s="874" t="s">
        <v>1486</v>
      </c>
      <c r="E95" s="875" t="s">
        <v>13</v>
      </c>
      <c r="F95" s="852">
        <v>2.8</v>
      </c>
      <c r="G95" s="1064"/>
      <c r="H95" s="97"/>
      <c r="I95" s="982"/>
      <c r="J95" s="622"/>
      <c r="K95" s="982"/>
    </row>
    <row r="96" spans="1:14" s="224" customFormat="1" ht="15" hidden="1" customHeight="1" x14ac:dyDescent="0.25">
      <c r="A96" s="215">
        <v>43641</v>
      </c>
      <c r="B96" s="349" t="s">
        <v>151</v>
      </c>
      <c r="C96" s="352" t="s">
        <v>12</v>
      </c>
      <c r="D96" s="874" t="s">
        <v>1485</v>
      </c>
      <c r="E96" s="875" t="s">
        <v>13</v>
      </c>
      <c r="F96" s="852">
        <v>14</v>
      </c>
      <c r="G96" s="946"/>
      <c r="H96" s="97"/>
      <c r="I96" s="982"/>
      <c r="J96" s="622"/>
      <c r="K96" s="982"/>
    </row>
    <row r="97" spans="1:15" s="224" customFormat="1" ht="15" hidden="1" customHeight="1" x14ac:dyDescent="0.25">
      <c r="A97" s="215">
        <v>43641</v>
      </c>
      <c r="B97" s="349" t="s">
        <v>17</v>
      </c>
      <c r="C97" s="352" t="s">
        <v>12</v>
      </c>
      <c r="D97" s="874" t="s">
        <v>1493</v>
      </c>
      <c r="E97" s="875" t="s">
        <v>13</v>
      </c>
      <c r="F97" s="852">
        <v>5</v>
      </c>
      <c r="G97" s="946"/>
      <c r="H97" s="97"/>
      <c r="I97" s="982"/>
      <c r="J97" s="622"/>
      <c r="K97" s="982"/>
    </row>
    <row r="98" spans="1:15" s="224" customFormat="1" ht="15" hidden="1" customHeight="1" x14ac:dyDescent="0.25">
      <c r="A98" s="215">
        <v>43641</v>
      </c>
      <c r="B98" s="349" t="s">
        <v>14</v>
      </c>
      <c r="C98" s="352" t="s">
        <v>12</v>
      </c>
      <c r="D98" s="874" t="s">
        <v>1486</v>
      </c>
      <c r="E98" s="875" t="s">
        <v>13</v>
      </c>
      <c r="F98" s="852">
        <v>16.34</v>
      </c>
      <c r="G98" s="1064"/>
      <c r="H98" s="97"/>
      <c r="I98" s="982"/>
      <c r="J98" s="622"/>
      <c r="K98" s="982"/>
    </row>
    <row r="99" spans="1:15" s="224" customFormat="1" ht="15" hidden="1" customHeight="1" x14ac:dyDescent="0.25">
      <c r="A99" s="215">
        <v>43641</v>
      </c>
      <c r="B99" s="349" t="s">
        <v>2251</v>
      </c>
      <c r="C99" s="350" t="s">
        <v>12</v>
      </c>
      <c r="D99" s="350" t="s">
        <v>2157</v>
      </c>
      <c r="E99" s="480" t="s">
        <v>15</v>
      </c>
      <c r="F99" s="852">
        <v>20</v>
      </c>
      <c r="G99" s="1527"/>
      <c r="H99" s="97"/>
      <c r="I99" s="946"/>
      <c r="J99" s="97"/>
      <c r="K99" s="946"/>
    </row>
    <row r="100" spans="1:15" s="224" customFormat="1" ht="15" hidden="1" customHeight="1" x14ac:dyDescent="0.25">
      <c r="A100" s="215">
        <v>43641</v>
      </c>
      <c r="B100" s="349" t="s">
        <v>2273</v>
      </c>
      <c r="C100" s="350" t="s">
        <v>12</v>
      </c>
      <c r="D100" s="350" t="s">
        <v>1491</v>
      </c>
      <c r="E100" s="480" t="s">
        <v>15</v>
      </c>
      <c r="F100" s="852">
        <v>30</v>
      </c>
      <c r="G100" s="1064"/>
      <c r="H100" s="97"/>
      <c r="I100" s="982"/>
      <c r="J100" s="622"/>
      <c r="K100" s="982"/>
    </row>
    <row r="101" spans="1:15" s="224" customFormat="1" ht="15" hidden="1" customHeight="1" x14ac:dyDescent="0.25">
      <c r="A101" s="215">
        <v>43642</v>
      </c>
      <c r="B101" s="349" t="s">
        <v>151</v>
      </c>
      <c r="C101" s="352" t="s">
        <v>12</v>
      </c>
      <c r="D101" s="874" t="s">
        <v>1485</v>
      </c>
      <c r="E101" s="875" t="s">
        <v>13</v>
      </c>
      <c r="F101" s="852">
        <v>14</v>
      </c>
      <c r="G101" s="946"/>
      <c r="H101" s="97"/>
      <c r="I101" s="982"/>
      <c r="J101" s="622"/>
      <c r="K101" s="982"/>
    </row>
    <row r="102" spans="1:15" s="224" customFormat="1" ht="15" hidden="1" customHeight="1" x14ac:dyDescent="0.25">
      <c r="A102" s="215">
        <v>43642</v>
      </c>
      <c r="B102" s="349" t="s">
        <v>2274</v>
      </c>
      <c r="C102" s="352" t="s">
        <v>12</v>
      </c>
      <c r="D102" s="874" t="s">
        <v>1493</v>
      </c>
      <c r="E102" s="875" t="s">
        <v>13</v>
      </c>
      <c r="F102" s="852">
        <v>30</v>
      </c>
      <c r="G102" s="946"/>
      <c r="H102" s="97"/>
      <c r="I102" s="982"/>
      <c r="J102" s="622"/>
      <c r="K102" s="982"/>
    </row>
    <row r="103" spans="1:15" s="224" customFormat="1" ht="15" hidden="1" customHeight="1" x14ac:dyDescent="0.25">
      <c r="A103" s="215">
        <v>43643</v>
      </c>
      <c r="B103" s="349" t="s">
        <v>151</v>
      </c>
      <c r="C103" s="352" t="s">
        <v>12</v>
      </c>
      <c r="D103" s="874" t="s">
        <v>1485</v>
      </c>
      <c r="E103" s="875" t="s">
        <v>13</v>
      </c>
      <c r="F103" s="852">
        <v>14</v>
      </c>
      <c r="G103" s="946"/>
      <c r="H103" s="97"/>
      <c r="I103" s="982"/>
      <c r="J103" s="622"/>
      <c r="K103" s="982"/>
    </row>
    <row r="104" spans="1:15" s="224" customFormat="1" ht="15" hidden="1" customHeight="1" x14ac:dyDescent="0.25">
      <c r="A104" s="215">
        <v>43643</v>
      </c>
      <c r="B104" s="349" t="s">
        <v>14</v>
      </c>
      <c r="C104" s="352" t="s">
        <v>12</v>
      </c>
      <c r="D104" s="874" t="s">
        <v>1486</v>
      </c>
      <c r="E104" s="875" t="s">
        <v>15</v>
      </c>
      <c r="F104" s="852">
        <v>4</v>
      </c>
      <c r="G104" s="1064"/>
      <c r="H104" s="97"/>
      <c r="I104" s="982"/>
      <c r="J104" s="622"/>
      <c r="K104" s="982"/>
    </row>
    <row r="105" spans="1:15" s="224" customFormat="1" ht="15" hidden="1" customHeight="1" x14ac:dyDescent="0.25">
      <c r="A105" s="215">
        <v>43643</v>
      </c>
      <c r="B105" s="862" t="s">
        <v>2096</v>
      </c>
      <c r="C105" s="879" t="s">
        <v>12</v>
      </c>
      <c r="D105" s="879" t="s">
        <v>1506</v>
      </c>
      <c r="E105" s="871" t="s">
        <v>15</v>
      </c>
      <c r="F105" s="780">
        <v>30</v>
      </c>
      <c r="G105" s="946"/>
      <c r="H105" s="97"/>
      <c r="I105" s="982"/>
      <c r="J105" s="622"/>
      <c r="K105" s="982"/>
      <c r="O105" s="930"/>
    </row>
    <row r="106" spans="1:15" s="224" customFormat="1" ht="15" hidden="1" customHeight="1" x14ac:dyDescent="0.25">
      <c r="A106" s="215">
        <v>43644</v>
      </c>
      <c r="B106" s="349" t="s">
        <v>2225</v>
      </c>
      <c r="C106" s="350" t="s">
        <v>12</v>
      </c>
      <c r="D106" s="350" t="s">
        <v>1491</v>
      </c>
      <c r="E106" s="480" t="s">
        <v>13</v>
      </c>
      <c r="F106" s="852">
        <v>31.5</v>
      </c>
      <c r="G106" s="1527"/>
      <c r="H106" s="97"/>
      <c r="I106" s="946"/>
      <c r="J106" s="97"/>
      <c r="K106" s="946"/>
    </row>
    <row r="107" spans="1:15" s="224" customFormat="1" ht="15" hidden="1" customHeight="1" x14ac:dyDescent="0.25">
      <c r="A107" s="215">
        <v>43644</v>
      </c>
      <c r="B107" s="349" t="s">
        <v>151</v>
      </c>
      <c r="C107" s="352" t="s">
        <v>12</v>
      </c>
      <c r="D107" s="874" t="s">
        <v>1485</v>
      </c>
      <c r="E107" s="875" t="s">
        <v>15</v>
      </c>
      <c r="F107" s="852">
        <v>14</v>
      </c>
      <c r="G107" s="946"/>
      <c r="H107" s="97"/>
      <c r="I107" s="982"/>
      <c r="J107" s="622"/>
      <c r="K107" s="982"/>
    </row>
    <row r="108" spans="1:15" s="224" customFormat="1" ht="15" hidden="1" customHeight="1" x14ac:dyDescent="0.25">
      <c r="A108" s="215">
        <v>43644</v>
      </c>
      <c r="B108" s="349" t="s">
        <v>134</v>
      </c>
      <c r="C108" s="352" t="s">
        <v>12</v>
      </c>
      <c r="D108" s="874" t="s">
        <v>1493</v>
      </c>
      <c r="E108" s="875" t="s">
        <v>13</v>
      </c>
      <c r="F108" s="852">
        <v>15.84</v>
      </c>
      <c r="G108" s="1064"/>
      <c r="H108" s="97"/>
      <c r="I108" s="982"/>
      <c r="J108" s="622"/>
      <c r="K108" s="982"/>
    </row>
    <row r="109" spans="1:15" s="224" customFormat="1" ht="15" hidden="1" customHeight="1" x14ac:dyDescent="0.25">
      <c r="A109" s="215">
        <v>43645</v>
      </c>
      <c r="B109" s="349" t="s">
        <v>2275</v>
      </c>
      <c r="C109" s="350" t="s">
        <v>12</v>
      </c>
      <c r="D109" s="350" t="s">
        <v>1493</v>
      </c>
      <c r="E109" s="480" t="s">
        <v>13</v>
      </c>
      <c r="F109" s="852">
        <v>25</v>
      </c>
      <c r="G109" s="1527"/>
      <c r="H109" s="97"/>
      <c r="I109" s="946"/>
      <c r="J109" s="97"/>
      <c r="K109" s="946"/>
    </row>
    <row r="110" spans="1:15" s="224" customFormat="1" ht="15" hidden="1" customHeight="1" x14ac:dyDescent="0.25">
      <c r="A110" s="215">
        <v>43645</v>
      </c>
      <c r="B110" s="349" t="s">
        <v>2276</v>
      </c>
      <c r="C110" s="350" t="s">
        <v>12</v>
      </c>
      <c r="D110" s="350" t="s">
        <v>1491</v>
      </c>
      <c r="E110" s="480" t="s">
        <v>13</v>
      </c>
      <c r="F110" s="852">
        <v>10</v>
      </c>
      <c r="G110" s="1527"/>
      <c r="H110" s="97"/>
      <c r="I110" s="946"/>
      <c r="J110" s="97"/>
      <c r="K110" s="946"/>
    </row>
    <row r="111" spans="1:15" s="224" customFormat="1" ht="15" hidden="1" customHeight="1" x14ac:dyDescent="0.25">
      <c r="A111" s="215">
        <v>43645</v>
      </c>
      <c r="B111" s="349" t="s">
        <v>43</v>
      </c>
      <c r="C111" s="352" t="s">
        <v>12</v>
      </c>
      <c r="D111" s="874" t="s">
        <v>1493</v>
      </c>
      <c r="E111" s="875" t="s">
        <v>13</v>
      </c>
      <c r="F111" s="852">
        <v>18</v>
      </c>
      <c r="G111" s="1064"/>
      <c r="H111" s="97"/>
      <c r="I111" s="982"/>
      <c r="J111" s="622"/>
      <c r="K111" s="982"/>
    </row>
    <row r="112" spans="1:15" s="224" customFormat="1" ht="15" hidden="1" customHeight="1" x14ac:dyDescent="0.25">
      <c r="A112" s="215">
        <v>43645</v>
      </c>
      <c r="B112" s="349" t="s">
        <v>82</v>
      </c>
      <c r="C112" s="352" t="s">
        <v>12</v>
      </c>
      <c r="D112" s="874" t="s">
        <v>1493</v>
      </c>
      <c r="E112" s="875" t="s">
        <v>15</v>
      </c>
      <c r="F112" s="852">
        <v>32</v>
      </c>
      <c r="G112" s="1064"/>
      <c r="H112" s="97"/>
      <c r="I112" s="982"/>
      <c r="J112" s="622"/>
      <c r="K112" s="982"/>
    </row>
    <row r="113" spans="1:11" s="224" customFormat="1" ht="15" hidden="1" customHeight="1" x14ac:dyDescent="0.25">
      <c r="A113" s="215">
        <v>43646</v>
      </c>
      <c r="B113" s="349" t="s">
        <v>2277</v>
      </c>
      <c r="C113" s="350" t="s">
        <v>12</v>
      </c>
      <c r="D113" s="350" t="s">
        <v>1493</v>
      </c>
      <c r="E113" s="480" t="s">
        <v>13</v>
      </c>
      <c r="F113" s="852">
        <v>14.4</v>
      </c>
      <c r="G113" s="1527"/>
      <c r="H113" s="97"/>
      <c r="I113" s="946"/>
      <c r="J113" s="97"/>
      <c r="K113" s="946"/>
    </row>
    <row r="114" spans="1:11" s="224" customFormat="1" hidden="1" x14ac:dyDescent="0.25">
      <c r="A114" s="215">
        <v>43646</v>
      </c>
      <c r="B114" s="862" t="s">
        <v>1666</v>
      </c>
      <c r="C114" s="350" t="s">
        <v>12</v>
      </c>
      <c r="D114" s="350"/>
      <c r="E114" s="480" t="s">
        <v>25</v>
      </c>
      <c r="F114" s="853"/>
      <c r="G114" s="964"/>
      <c r="H114" s="622"/>
      <c r="I114" s="982"/>
      <c r="J114" s="622"/>
      <c r="K114" s="982">
        <v>25.92</v>
      </c>
    </row>
    <row r="115" spans="1:11" s="224" customFormat="1" ht="15" hidden="1" customHeight="1" thickBot="1" x14ac:dyDescent="0.3">
      <c r="A115" s="215">
        <v>43646</v>
      </c>
      <c r="B115" s="862" t="s">
        <v>1710</v>
      </c>
      <c r="C115" s="879" t="s">
        <v>12</v>
      </c>
      <c r="D115" s="879" t="s">
        <v>1504</v>
      </c>
      <c r="E115" s="871" t="s">
        <v>13</v>
      </c>
      <c r="F115" s="894">
        <v>32.9</v>
      </c>
      <c r="G115" s="79"/>
      <c r="H115" s="97"/>
      <c r="I115" s="946"/>
      <c r="J115" s="97"/>
      <c r="K115" s="946"/>
    </row>
    <row r="116" spans="1:11" ht="25.5" hidden="1" customHeight="1" thickBot="1" x14ac:dyDescent="0.3">
      <c r="A116" s="3060"/>
      <c r="B116" s="3061"/>
      <c r="C116" s="3062"/>
      <c r="D116" s="3062"/>
      <c r="E116" s="3062"/>
      <c r="F116" s="100">
        <f>SUM(F6:F115)</f>
        <v>3885.96</v>
      </c>
      <c r="G116" s="1065">
        <f>SUM(G5:G115)</f>
        <v>4506.7000000000153</v>
      </c>
      <c r="H116" s="101">
        <f>SUM(H6:H115)</f>
        <v>450</v>
      </c>
      <c r="I116" s="93">
        <f>SUM(I5:I115)</f>
        <v>2449.9960000000019</v>
      </c>
      <c r="J116" s="101">
        <f>SUM(J6:J115)</f>
        <v>0</v>
      </c>
      <c r="K116" s="93">
        <f>SUM(K5:K115)</f>
        <v>6664.1500000000005</v>
      </c>
    </row>
    <row r="117" spans="1:11" ht="25.5" hidden="1" customHeight="1" thickBot="1" x14ac:dyDescent="0.3">
      <c r="A117" s="3117" t="s">
        <v>49</v>
      </c>
      <c r="B117" s="3118"/>
      <c r="C117" s="3118"/>
      <c r="D117" s="3118"/>
      <c r="E117" s="3118"/>
      <c r="F117" s="144"/>
      <c r="G117" s="519">
        <f>G116-F116</f>
        <v>620.74000000001524</v>
      </c>
      <c r="H117" s="555"/>
      <c r="I117" s="772">
        <f>I116-H116</f>
        <v>1999.9960000000019</v>
      </c>
      <c r="J117" s="555"/>
      <c r="K117" s="772">
        <f>K116-J116</f>
        <v>6664.1500000000005</v>
      </c>
    </row>
    <row r="118" spans="1:11" x14ac:dyDescent="0.25">
      <c r="E118" s="79"/>
      <c r="G118" s="868"/>
    </row>
    <row r="119" spans="1:11" x14ac:dyDescent="0.25">
      <c r="B119" s="79" t="s">
        <v>32</v>
      </c>
      <c r="C119" s="475">
        <v>319.62</v>
      </c>
      <c r="D119" s="85" t="s">
        <v>1485</v>
      </c>
      <c r="J119" s="769"/>
      <c r="K119" s="866"/>
    </row>
    <row r="120" spans="1:11" x14ac:dyDescent="0.25">
      <c r="B120" s="79" t="s">
        <v>2187</v>
      </c>
      <c r="C120" s="475">
        <v>287.08</v>
      </c>
      <c r="D120" s="85" t="s">
        <v>2157</v>
      </c>
      <c r="J120" s="769"/>
      <c r="K120" s="868"/>
    </row>
    <row r="121" spans="1:11" x14ac:dyDescent="0.25">
      <c r="B121" s="79" t="s">
        <v>2188</v>
      </c>
      <c r="C121" s="475">
        <v>26.4</v>
      </c>
      <c r="D121" s="85" t="s">
        <v>2168</v>
      </c>
      <c r="J121" s="769"/>
      <c r="K121" s="868"/>
    </row>
    <row r="122" spans="1:11" x14ac:dyDescent="0.25">
      <c r="B122" s="79" t="s">
        <v>50</v>
      </c>
      <c r="C122" s="854">
        <v>375.42</v>
      </c>
      <c r="D122" s="85" t="s">
        <v>1493</v>
      </c>
      <c r="J122" s="769"/>
      <c r="K122" s="866"/>
    </row>
    <row r="123" spans="1:11" s="85" customFormat="1" x14ac:dyDescent="0.25">
      <c r="A123" s="79"/>
      <c r="B123" s="79" t="s">
        <v>14</v>
      </c>
      <c r="C123" s="484">
        <v>153.19</v>
      </c>
      <c r="D123" s="85" t="s">
        <v>1486</v>
      </c>
      <c r="J123" s="769"/>
      <c r="K123" s="866"/>
    </row>
    <row r="124" spans="1:11" s="85" customFormat="1" x14ac:dyDescent="0.25">
      <c r="A124" s="79"/>
      <c r="B124" s="79" t="s">
        <v>51</v>
      </c>
      <c r="C124" s="475">
        <v>112.6</v>
      </c>
      <c r="D124" s="864" t="s">
        <v>1499</v>
      </c>
      <c r="E124" s="79"/>
      <c r="F124" s="89"/>
      <c r="G124" s="79"/>
      <c r="H124" s="79"/>
      <c r="J124" s="769"/>
      <c r="K124" s="866"/>
    </row>
    <row r="125" spans="1:11" s="85" customFormat="1" x14ac:dyDescent="0.25">
      <c r="A125" s="79"/>
      <c r="B125" s="79" t="s">
        <v>2189</v>
      </c>
      <c r="C125" s="475">
        <v>116.61</v>
      </c>
      <c r="D125" s="864" t="s">
        <v>1496</v>
      </c>
      <c r="F125" s="89"/>
      <c r="G125" s="79"/>
      <c r="H125" s="79"/>
      <c r="I125" s="79"/>
    </row>
    <row r="126" spans="1:11" s="85" customFormat="1" x14ac:dyDescent="0.25">
      <c r="A126" s="79"/>
      <c r="B126" s="867" t="s">
        <v>53</v>
      </c>
      <c r="C126" s="475"/>
      <c r="D126" s="864" t="s">
        <v>1522</v>
      </c>
      <c r="E126" s="89"/>
      <c r="F126" s="769"/>
      <c r="G126" s="79"/>
    </row>
    <row r="127" spans="1:11" s="85" customFormat="1" x14ac:dyDescent="0.25">
      <c r="A127" s="79"/>
      <c r="B127" s="867" t="s">
        <v>2149</v>
      </c>
      <c r="C127" s="475">
        <v>79</v>
      </c>
      <c r="D127" s="864" t="s">
        <v>2131</v>
      </c>
      <c r="F127" s="769"/>
      <c r="G127" s="866"/>
    </row>
    <row r="128" spans="1:11" s="85" customFormat="1" x14ac:dyDescent="0.25">
      <c r="A128" s="79"/>
      <c r="B128" s="79" t="s">
        <v>56</v>
      </c>
      <c r="C128" s="475">
        <v>53</v>
      </c>
      <c r="D128" s="864" t="s">
        <v>1523</v>
      </c>
      <c r="F128" s="769"/>
      <c r="G128" s="866"/>
    </row>
    <row r="129" spans="1:11" s="85" customFormat="1" x14ac:dyDescent="0.25">
      <c r="A129" s="79"/>
      <c r="B129" s="79" t="s">
        <v>1686</v>
      </c>
      <c r="C129" s="475">
        <v>180</v>
      </c>
      <c r="D129" s="864" t="s">
        <v>1506</v>
      </c>
      <c r="F129" s="769"/>
      <c r="G129" s="868"/>
    </row>
    <row r="130" spans="1:11" s="85" customFormat="1" x14ac:dyDescent="0.25">
      <c r="A130" s="79"/>
      <c r="B130" s="79" t="s">
        <v>418</v>
      </c>
      <c r="C130" s="475">
        <v>362.35</v>
      </c>
      <c r="D130" s="85" t="s">
        <v>1524</v>
      </c>
      <c r="E130" s="79"/>
      <c r="F130" s="89"/>
      <c r="J130" s="769"/>
      <c r="K130" s="866"/>
    </row>
    <row r="131" spans="1:11" x14ac:dyDescent="0.25">
      <c r="B131" s="79" t="s">
        <v>419</v>
      </c>
      <c r="C131" s="861">
        <v>494.5</v>
      </c>
      <c r="D131" s="85" t="s">
        <v>1491</v>
      </c>
      <c r="J131" s="769"/>
      <c r="K131" s="868"/>
    </row>
    <row r="132" spans="1:11" x14ac:dyDescent="0.25">
      <c r="B132" s="79" t="s">
        <v>911</v>
      </c>
      <c r="C132" s="861"/>
      <c r="D132" s="85" t="s">
        <v>1525</v>
      </c>
      <c r="J132" s="769"/>
      <c r="K132" s="868"/>
    </row>
    <row r="133" spans="1:11" x14ac:dyDescent="0.25">
      <c r="B133" s="79" t="s">
        <v>1526</v>
      </c>
      <c r="C133" s="861">
        <v>172.9</v>
      </c>
      <c r="D133" s="85" t="s">
        <v>1504</v>
      </c>
      <c r="E133" s="79"/>
      <c r="J133" s="769"/>
      <c r="K133" s="866"/>
    </row>
    <row r="134" spans="1:11" x14ac:dyDescent="0.25">
      <c r="B134" s="79" t="s">
        <v>1527</v>
      </c>
      <c r="C134" s="861">
        <v>353.29</v>
      </c>
      <c r="D134" s="85" t="s">
        <v>1489</v>
      </c>
      <c r="J134" s="769"/>
      <c r="K134" s="868"/>
    </row>
    <row r="135" spans="1:11" x14ac:dyDescent="0.25">
      <c r="J135" s="769"/>
      <c r="K135" s="866"/>
    </row>
    <row r="136" spans="1:11" x14ac:dyDescent="0.25">
      <c r="F136" s="85"/>
      <c r="H136" s="769"/>
      <c r="J136" s="769"/>
      <c r="K136" s="866"/>
    </row>
    <row r="137" spans="1:11" x14ac:dyDescent="0.25">
      <c r="B137" s="79" t="s">
        <v>486</v>
      </c>
      <c r="C137" s="475">
        <f>H137/J137</f>
        <v>102.86533333333334</v>
      </c>
      <c r="F137" s="224" t="s">
        <v>487</v>
      </c>
      <c r="H137" s="216">
        <f>SUM(C119:C134)</f>
        <v>3085.96</v>
      </c>
      <c r="I137" s="518" t="s">
        <v>488</v>
      </c>
      <c r="J137" s="1517">
        <v>30</v>
      </c>
      <c r="K137" s="866"/>
    </row>
    <row r="138" spans="1:11" x14ac:dyDescent="0.25">
      <c r="G138" s="85"/>
    </row>
    <row r="139" spans="1:11" ht="15.75" customHeight="1" x14ac:dyDescent="0.25">
      <c r="H139" s="629"/>
      <c r="J139" s="769"/>
      <c r="K139" s="868"/>
    </row>
    <row r="140" spans="1:11" x14ac:dyDescent="0.25">
      <c r="E140" s="79"/>
      <c r="F140" s="79"/>
      <c r="H140" s="866"/>
      <c r="K140" s="866"/>
    </row>
    <row r="141" spans="1:11" x14ac:dyDescent="0.25">
      <c r="D141" s="79"/>
      <c r="E141" s="79"/>
      <c r="J141" s="769"/>
      <c r="K141" s="866"/>
    </row>
    <row r="142" spans="1:11" x14ac:dyDescent="0.25">
      <c r="J142" s="769"/>
      <c r="K142" s="866"/>
    </row>
    <row r="143" spans="1:11" x14ac:dyDescent="0.25">
      <c r="J143" s="769"/>
      <c r="K143" s="866"/>
    </row>
    <row r="144" spans="1:11" x14ac:dyDescent="0.25">
      <c r="J144" s="769"/>
      <c r="K144" s="866"/>
    </row>
    <row r="145" spans="3:11" x14ac:dyDescent="0.25">
      <c r="C145" s="79"/>
      <c r="D145" s="79"/>
      <c r="E145" s="79"/>
      <c r="F145" s="79"/>
      <c r="I145" s="216"/>
      <c r="J145" s="769"/>
      <c r="K145" s="866"/>
    </row>
    <row r="146" spans="3:11" x14ac:dyDescent="0.25">
      <c r="C146" s="79"/>
      <c r="D146" s="79"/>
      <c r="E146" s="79"/>
      <c r="F146" s="79"/>
      <c r="I146" s="216"/>
      <c r="J146" s="769"/>
      <c r="K146" s="866"/>
    </row>
    <row r="147" spans="3:11" x14ac:dyDescent="0.25">
      <c r="C147" s="79"/>
      <c r="D147" s="79"/>
      <c r="E147" s="79"/>
      <c r="F147" s="79"/>
      <c r="G147" s="216"/>
      <c r="I147" s="216"/>
      <c r="J147" s="769"/>
      <c r="K147" s="868"/>
    </row>
    <row r="148" spans="3:11" x14ac:dyDescent="0.25">
      <c r="C148" s="79"/>
      <c r="D148" s="79"/>
      <c r="E148" s="79"/>
      <c r="F148" s="79"/>
      <c r="G148" s="216"/>
      <c r="I148" s="216"/>
      <c r="J148" s="769"/>
      <c r="K148" s="866"/>
    </row>
    <row r="149" spans="3:11" x14ac:dyDescent="0.25">
      <c r="C149" s="79"/>
      <c r="D149" s="79"/>
      <c r="E149" s="79"/>
      <c r="F149" s="79"/>
      <c r="G149" s="216"/>
      <c r="J149" s="770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8"/>
    </row>
    <row r="151" spans="3:11" x14ac:dyDescent="0.25">
      <c r="J151" s="769"/>
      <c r="K151" s="866"/>
    </row>
    <row r="152" spans="3:11" x14ac:dyDescent="0.25">
      <c r="C152" s="79"/>
      <c r="D152" s="79"/>
      <c r="E152" s="79"/>
      <c r="F152" s="79"/>
      <c r="I152" s="629"/>
      <c r="J152" s="769"/>
      <c r="K152" s="866"/>
    </row>
    <row r="153" spans="3:11" x14ac:dyDescent="0.25">
      <c r="J153" s="769"/>
      <c r="K153" s="866"/>
    </row>
    <row r="154" spans="3:11" x14ac:dyDescent="0.25">
      <c r="J154" s="769"/>
      <c r="K154" s="866"/>
    </row>
    <row r="155" spans="3:11" x14ac:dyDescent="0.25">
      <c r="J155" s="769"/>
      <c r="K155" s="866"/>
    </row>
    <row r="156" spans="3:11" x14ac:dyDescent="0.25">
      <c r="J156" s="769"/>
      <c r="K156" s="866"/>
    </row>
    <row r="157" spans="3:11" x14ac:dyDescent="0.25">
      <c r="J157" s="769"/>
      <c r="K157" s="866"/>
    </row>
    <row r="158" spans="3:11" x14ac:dyDescent="0.25">
      <c r="C158" s="79"/>
      <c r="D158" s="79"/>
      <c r="E158" s="79"/>
      <c r="F158" s="79"/>
      <c r="I158" s="216"/>
      <c r="J158" s="769"/>
      <c r="K158" s="866"/>
    </row>
    <row r="159" spans="3:11" x14ac:dyDescent="0.25">
      <c r="C159" s="79"/>
      <c r="D159" s="79"/>
      <c r="E159" s="79"/>
      <c r="F159" s="79"/>
      <c r="I159" s="216"/>
      <c r="J159" s="769"/>
      <c r="K159" s="866"/>
    </row>
    <row r="160" spans="3:11" x14ac:dyDescent="0.25">
      <c r="C160" s="79"/>
      <c r="D160" s="79"/>
      <c r="E160" s="79"/>
      <c r="F160" s="79"/>
      <c r="I160" s="216"/>
      <c r="J160" s="769"/>
      <c r="K160" s="866"/>
    </row>
    <row r="161" spans="3:11" x14ac:dyDescent="0.25">
      <c r="C161" s="79"/>
      <c r="D161" s="79"/>
      <c r="E161" s="79"/>
      <c r="F161" s="79"/>
      <c r="I161" s="216"/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8"/>
    </row>
    <row r="163" spans="3:11" x14ac:dyDescent="0.25">
      <c r="C163" s="79"/>
      <c r="D163" s="79"/>
      <c r="E163" s="79"/>
      <c r="F163" s="79"/>
      <c r="I163" s="216"/>
      <c r="J163" s="769"/>
      <c r="K163" s="868"/>
    </row>
    <row r="164" spans="3:11" x14ac:dyDescent="0.25">
      <c r="C164" s="79"/>
      <c r="D164" s="79"/>
      <c r="E164" s="79"/>
      <c r="F164" s="79"/>
      <c r="I164" s="216"/>
      <c r="J164" s="769"/>
      <c r="K164" s="868"/>
    </row>
    <row r="165" spans="3:11" x14ac:dyDescent="0.25">
      <c r="C165" s="79"/>
      <c r="D165" s="79"/>
      <c r="E165" s="79"/>
      <c r="F165" s="79"/>
      <c r="I165" s="216"/>
      <c r="J165" s="769"/>
      <c r="K165" s="868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J167" s="769"/>
      <c r="K167" s="866"/>
    </row>
    <row r="168" spans="3:11" x14ac:dyDescent="0.25">
      <c r="J168" s="769"/>
      <c r="K168" s="866"/>
    </row>
    <row r="169" spans="3:11" x14ac:dyDescent="0.25">
      <c r="J169" s="769"/>
      <c r="K169" s="868"/>
    </row>
    <row r="170" spans="3:11" x14ac:dyDescent="0.25">
      <c r="J170" s="769"/>
      <c r="K170" s="866"/>
    </row>
    <row r="171" spans="3:11" x14ac:dyDescent="0.25">
      <c r="J171" s="769"/>
      <c r="K171" s="866"/>
    </row>
    <row r="172" spans="3:11" x14ac:dyDescent="0.25">
      <c r="C172" s="79"/>
      <c r="D172" s="79"/>
      <c r="E172" s="79"/>
      <c r="F172" s="79"/>
      <c r="J172" s="769"/>
      <c r="K172" s="868"/>
    </row>
    <row r="173" spans="3:11" x14ac:dyDescent="0.25">
      <c r="C173" s="79"/>
      <c r="D173" s="79"/>
      <c r="E173" s="79"/>
      <c r="F173" s="79"/>
      <c r="J173" s="769"/>
      <c r="K173" s="868"/>
    </row>
    <row r="174" spans="3:11" x14ac:dyDescent="0.25">
      <c r="C174" s="79"/>
      <c r="D174" s="79"/>
      <c r="E174" s="79"/>
      <c r="F174" s="79"/>
      <c r="J174" s="769"/>
      <c r="K174" s="868"/>
    </row>
    <row r="175" spans="3:11" x14ac:dyDescent="0.25">
      <c r="C175" s="79"/>
      <c r="D175" s="79"/>
      <c r="E175" s="79"/>
      <c r="F175" s="79"/>
      <c r="J175" s="769"/>
      <c r="K175" s="868"/>
    </row>
    <row r="176" spans="3:11" x14ac:dyDescent="0.25">
      <c r="C176" s="79"/>
      <c r="D176" s="79"/>
      <c r="E176" s="79"/>
      <c r="F176" s="79"/>
      <c r="J176" s="769"/>
      <c r="K176" s="866"/>
    </row>
    <row r="177" spans="3:11" x14ac:dyDescent="0.25">
      <c r="C177" s="79"/>
      <c r="D177" s="79"/>
      <c r="E177" s="79"/>
      <c r="F177" s="79"/>
      <c r="J177" s="223"/>
      <c r="K177" s="629"/>
    </row>
    <row r="178" spans="3:11" x14ac:dyDescent="0.25">
      <c r="C178" s="79"/>
      <c r="D178" s="79"/>
      <c r="E178" s="79"/>
      <c r="F178" s="79"/>
      <c r="J178" s="756"/>
      <c r="K178" s="756"/>
    </row>
    <row r="179" spans="3:11" x14ac:dyDescent="0.25">
      <c r="C179" s="79"/>
      <c r="D179" s="79"/>
      <c r="E179" s="79"/>
      <c r="F179" s="79"/>
    </row>
    <row r="180" spans="3:11" x14ac:dyDescent="0.25">
      <c r="C180" s="79"/>
      <c r="D180" s="79"/>
      <c r="E180" s="79"/>
      <c r="F180" s="79"/>
    </row>
    <row r="181" spans="3:11" x14ac:dyDescent="0.25">
      <c r="C181" s="79"/>
      <c r="D181" s="79"/>
      <c r="E181" s="79"/>
      <c r="F181" s="79"/>
    </row>
    <row r="182" spans="3:11" x14ac:dyDescent="0.25">
      <c r="C182" s="79"/>
      <c r="D182" s="79"/>
      <c r="E182" s="79"/>
      <c r="F182" s="79"/>
    </row>
    <row r="183" spans="3:11" x14ac:dyDescent="0.25">
      <c r="C183" s="79"/>
      <c r="D183" s="79"/>
      <c r="E183" s="79"/>
      <c r="F183" s="79"/>
      <c r="J183" s="85"/>
      <c r="K183" s="85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  <c r="J190" s="85"/>
      <c r="K190" s="85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  <c r="J197" s="771"/>
      <c r="K197" s="518"/>
    </row>
    <row r="198" spans="3:11" x14ac:dyDescent="0.25">
      <c r="C198" s="79"/>
      <c r="D198" s="79"/>
      <c r="E198" s="79"/>
      <c r="F198" s="79"/>
    </row>
    <row r="205" spans="3:11" x14ac:dyDescent="0.25">
      <c r="C205" s="79"/>
      <c r="D205" s="79"/>
      <c r="E205" s="79"/>
      <c r="F205" s="79"/>
      <c r="K205" s="216"/>
    </row>
    <row r="206" spans="3:11" x14ac:dyDescent="0.25">
      <c r="C206" s="79"/>
      <c r="D206" s="79"/>
      <c r="E206" s="79"/>
      <c r="F206" s="79"/>
      <c r="K206" s="216"/>
    </row>
    <row r="207" spans="3:11" x14ac:dyDescent="0.25">
      <c r="C207" s="79"/>
      <c r="D207" s="79"/>
      <c r="E207" s="79"/>
      <c r="F207" s="79"/>
      <c r="K207" s="216"/>
    </row>
    <row r="208" spans="3:11" x14ac:dyDescent="0.25">
      <c r="C208" s="79"/>
      <c r="D208" s="79"/>
      <c r="E208" s="79"/>
      <c r="F208" s="79"/>
      <c r="K208" s="216"/>
    </row>
    <row r="210" spans="3:11" x14ac:dyDescent="0.25">
      <c r="C210" s="79"/>
      <c r="D210" s="79"/>
      <c r="E210" s="79"/>
      <c r="F210" s="79"/>
      <c r="K210" s="216"/>
    </row>
    <row r="212" spans="3:11" x14ac:dyDescent="0.25">
      <c r="C212" s="79"/>
      <c r="D212" s="79"/>
      <c r="E212" s="79"/>
      <c r="F212" s="79"/>
      <c r="K212" s="629"/>
    </row>
    <row r="218" spans="3:11" x14ac:dyDescent="0.25">
      <c r="C218" s="79"/>
      <c r="D218" s="79"/>
      <c r="E218" s="79"/>
      <c r="F218" s="79"/>
      <c r="K218" s="216"/>
    </row>
    <row r="219" spans="3:11" x14ac:dyDescent="0.25">
      <c r="C219" s="79"/>
      <c r="D219" s="79"/>
      <c r="E219" s="79"/>
      <c r="F219" s="79"/>
      <c r="K219" s="216"/>
    </row>
    <row r="220" spans="3:11" x14ac:dyDescent="0.25">
      <c r="C220" s="79"/>
      <c r="D220" s="79"/>
      <c r="E220" s="79"/>
      <c r="F220" s="79"/>
      <c r="K220" s="216"/>
    </row>
    <row r="221" spans="3:11" x14ac:dyDescent="0.25">
      <c r="C221" s="79"/>
      <c r="D221" s="79"/>
      <c r="E221" s="79"/>
      <c r="F221" s="79"/>
      <c r="K221" s="216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</sheetData>
  <autoFilter ref="A2:I117" xr:uid="{00000000-0009-0000-0000-000057000000}">
    <filterColumn colId="3">
      <filters>
        <filter val="COM"/>
      </filters>
    </filterColumn>
  </autoFilter>
  <mergeCells count="12">
    <mergeCell ref="A116:E116"/>
    <mergeCell ref="A117:E11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Plan101"/>
  <dimension ref="A1:O235"/>
  <sheetViews>
    <sheetView zoomScale="85" zoomScaleNormal="85" workbookViewId="0">
      <pane ySplit="4" topLeftCell="A74" activePane="bottomLeft" state="frozen"/>
      <selection activeCell="C44" sqref="C44"/>
      <selection pane="bottomLeft" activeCell="E107" sqref="E10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2278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x14ac:dyDescent="0.25">
      <c r="A5" s="281">
        <v>43647</v>
      </c>
      <c r="B5" s="369" t="s">
        <v>10</v>
      </c>
      <c r="C5" s="370"/>
      <c r="D5" s="370"/>
      <c r="E5" s="777"/>
      <c r="F5" s="889"/>
      <c r="G5" s="925">
        <f>'Junho-19'!G117</f>
        <v>620.74000000001524</v>
      </c>
      <c r="H5" s="179"/>
      <c r="I5" s="933">
        <f>'Junho-19'!I117</f>
        <v>1999.9960000000019</v>
      </c>
      <c r="J5" s="179"/>
      <c r="K5" s="933">
        <f>'Junho-19'!K117</f>
        <v>6664.1500000000005</v>
      </c>
    </row>
    <row r="6" spans="1:13" s="224" customFormat="1" x14ac:dyDescent="0.25">
      <c r="A6" s="215">
        <v>43647</v>
      </c>
      <c r="B6" s="348" t="s">
        <v>11</v>
      </c>
      <c r="C6" s="351"/>
      <c r="D6" s="351"/>
      <c r="E6" s="673"/>
      <c r="F6" s="827"/>
      <c r="G6" s="1526"/>
      <c r="H6" s="250"/>
      <c r="I6" s="1473"/>
      <c r="J6" s="250"/>
      <c r="K6" s="1473"/>
      <c r="L6" s="89"/>
      <c r="M6" s="89"/>
    </row>
    <row r="7" spans="1:13" s="224" customFormat="1" ht="15" customHeight="1" x14ac:dyDescent="0.25">
      <c r="A7" s="215">
        <v>43647</v>
      </c>
      <c r="B7" s="349" t="s">
        <v>151</v>
      </c>
      <c r="C7" s="352" t="s">
        <v>12</v>
      </c>
      <c r="D7" s="874" t="s">
        <v>1485</v>
      </c>
      <c r="E7" s="875" t="s">
        <v>15</v>
      </c>
      <c r="F7" s="852">
        <v>14</v>
      </c>
      <c r="G7" s="964"/>
      <c r="H7" s="622"/>
      <c r="I7" s="982"/>
      <c r="J7" s="622"/>
      <c r="K7" s="982"/>
    </row>
    <row r="8" spans="1:13" s="224" customFormat="1" ht="15" customHeight="1" x14ac:dyDescent="0.25">
      <c r="A8" s="215">
        <v>43647</v>
      </c>
      <c r="B8" s="349" t="s">
        <v>14</v>
      </c>
      <c r="C8" s="352" t="s">
        <v>12</v>
      </c>
      <c r="D8" s="874" t="s">
        <v>1486</v>
      </c>
      <c r="E8" s="875" t="s">
        <v>13</v>
      </c>
      <c r="F8" s="852">
        <v>10.57</v>
      </c>
      <c r="G8" s="1527"/>
      <c r="H8" s="97"/>
      <c r="I8" s="946"/>
      <c r="J8" s="97"/>
      <c r="K8" s="946"/>
    </row>
    <row r="9" spans="1:13" s="224" customFormat="1" ht="15" customHeight="1" x14ac:dyDescent="0.25">
      <c r="A9" s="215">
        <v>43647</v>
      </c>
      <c r="B9" s="349" t="s">
        <v>1822</v>
      </c>
      <c r="C9" s="352" t="s">
        <v>12</v>
      </c>
      <c r="D9" s="874" t="s">
        <v>1489</v>
      </c>
      <c r="E9" s="875" t="s">
        <v>13</v>
      </c>
      <c r="F9" s="852">
        <v>7</v>
      </c>
      <c r="G9" s="964"/>
      <c r="H9" s="622"/>
      <c r="I9" s="982"/>
      <c r="J9" s="622"/>
      <c r="K9" s="982"/>
    </row>
    <row r="10" spans="1:13" s="224" customFormat="1" ht="15" customHeight="1" x14ac:dyDescent="0.25">
      <c r="A10" s="215">
        <v>43648</v>
      </c>
      <c r="B10" s="349" t="s">
        <v>1241</v>
      </c>
      <c r="C10" s="352" t="s">
        <v>12</v>
      </c>
      <c r="D10" s="874" t="s">
        <v>1504</v>
      </c>
      <c r="E10" s="875" t="s">
        <v>13</v>
      </c>
      <c r="F10" s="852">
        <v>10</v>
      </c>
      <c r="G10" s="1527"/>
      <c r="H10" s="97"/>
      <c r="I10" s="982"/>
      <c r="J10" s="622"/>
      <c r="K10" s="982"/>
    </row>
    <row r="11" spans="1:13" s="224" customFormat="1" ht="15" customHeight="1" x14ac:dyDescent="0.25">
      <c r="A11" s="215">
        <v>43648</v>
      </c>
      <c r="B11" s="349" t="s">
        <v>151</v>
      </c>
      <c r="C11" s="352" t="s">
        <v>12</v>
      </c>
      <c r="D11" s="874" t="s">
        <v>1485</v>
      </c>
      <c r="E11" s="875" t="s">
        <v>13</v>
      </c>
      <c r="F11" s="852">
        <v>14</v>
      </c>
      <c r="G11" s="964"/>
      <c r="H11" s="622"/>
      <c r="I11" s="982"/>
      <c r="J11" s="622"/>
      <c r="K11" s="982"/>
    </row>
    <row r="12" spans="1:13" s="224" customFormat="1" ht="15" customHeight="1" x14ac:dyDescent="0.25">
      <c r="A12" s="215">
        <v>43648</v>
      </c>
      <c r="B12" s="349" t="s">
        <v>17</v>
      </c>
      <c r="C12" s="352" t="s">
        <v>12</v>
      </c>
      <c r="D12" s="874" t="s">
        <v>1493</v>
      </c>
      <c r="E12" s="875" t="s">
        <v>13</v>
      </c>
      <c r="F12" s="852">
        <v>5</v>
      </c>
      <c r="G12" s="964"/>
      <c r="H12" s="622"/>
      <c r="I12" s="982"/>
      <c r="J12" s="622"/>
      <c r="K12" s="982"/>
      <c r="L12" s="937"/>
    </row>
    <row r="13" spans="1:13" s="224" customFormat="1" ht="15" customHeight="1" x14ac:dyDescent="0.25">
      <c r="A13" s="215">
        <v>43648</v>
      </c>
      <c r="B13" s="349" t="s">
        <v>14</v>
      </c>
      <c r="C13" s="352" t="s">
        <v>12</v>
      </c>
      <c r="D13" s="874" t="s">
        <v>1486</v>
      </c>
      <c r="E13" s="875" t="s">
        <v>13</v>
      </c>
      <c r="F13" s="852">
        <v>3.13</v>
      </c>
      <c r="G13" s="964"/>
      <c r="H13" s="622"/>
      <c r="I13" s="982"/>
      <c r="J13" s="622"/>
      <c r="K13" s="982"/>
      <c r="L13" s="937"/>
    </row>
    <row r="14" spans="1:13" s="224" customFormat="1" ht="15" customHeight="1" x14ac:dyDescent="0.25">
      <c r="A14" s="215">
        <v>43648</v>
      </c>
      <c r="B14" s="349" t="s">
        <v>2279</v>
      </c>
      <c r="C14" s="352" t="s">
        <v>12</v>
      </c>
      <c r="D14" s="874" t="s">
        <v>1524</v>
      </c>
      <c r="E14" s="875" t="s">
        <v>15</v>
      </c>
      <c r="F14" s="852">
        <v>20</v>
      </c>
      <c r="G14" s="1527"/>
      <c r="H14" s="97"/>
      <c r="I14" s="982"/>
      <c r="J14" s="622"/>
      <c r="K14" s="982"/>
      <c r="L14" s="938"/>
    </row>
    <row r="15" spans="1:13" s="224" customFormat="1" ht="15" customHeight="1" x14ac:dyDescent="0.25">
      <c r="A15" s="215">
        <v>43649</v>
      </c>
      <c r="B15" s="349" t="s">
        <v>151</v>
      </c>
      <c r="C15" s="352" t="s">
        <v>12</v>
      </c>
      <c r="D15" s="874" t="s">
        <v>1485</v>
      </c>
      <c r="E15" s="875" t="s">
        <v>13</v>
      </c>
      <c r="F15" s="852">
        <v>14</v>
      </c>
      <c r="G15" s="964"/>
      <c r="H15" s="622"/>
      <c r="I15" s="982"/>
      <c r="J15" s="622"/>
      <c r="K15" s="982"/>
    </row>
    <row r="16" spans="1:13" s="224" customFormat="1" ht="15" customHeight="1" x14ac:dyDescent="0.25">
      <c r="A16" s="215">
        <v>43649</v>
      </c>
      <c r="B16" s="349" t="s">
        <v>2280</v>
      </c>
      <c r="C16" s="352" t="s">
        <v>12</v>
      </c>
      <c r="D16" s="874" t="s">
        <v>1522</v>
      </c>
      <c r="E16" s="875" t="s">
        <v>13</v>
      </c>
      <c r="F16" s="852">
        <v>10</v>
      </c>
      <c r="G16" s="964"/>
      <c r="H16" s="622"/>
      <c r="I16" s="982"/>
      <c r="J16" s="622"/>
      <c r="K16" s="982"/>
      <c r="L16" s="937"/>
    </row>
    <row r="17" spans="1:15" s="224" customFormat="1" ht="15" customHeight="1" x14ac:dyDescent="0.25">
      <c r="A17" s="215">
        <v>43649</v>
      </c>
      <c r="B17" s="349" t="s">
        <v>2251</v>
      </c>
      <c r="C17" s="350" t="s">
        <v>12</v>
      </c>
      <c r="D17" s="350" t="s">
        <v>2157</v>
      </c>
      <c r="E17" s="480" t="s">
        <v>15</v>
      </c>
      <c r="F17" s="852">
        <v>50</v>
      </c>
      <c r="G17" s="1527"/>
      <c r="H17" s="97"/>
      <c r="I17" s="946"/>
      <c r="J17" s="97"/>
      <c r="K17" s="946"/>
    </row>
    <row r="18" spans="1:15" s="224" customFormat="1" ht="15" customHeight="1" x14ac:dyDescent="0.25">
      <c r="A18" s="215">
        <v>43649</v>
      </c>
      <c r="B18" s="349" t="s">
        <v>14</v>
      </c>
      <c r="C18" s="352" t="s">
        <v>12</v>
      </c>
      <c r="D18" s="874" t="s">
        <v>1486</v>
      </c>
      <c r="E18" s="875" t="s">
        <v>13</v>
      </c>
      <c r="F18" s="852">
        <v>10.47</v>
      </c>
      <c r="G18" s="964"/>
      <c r="H18" s="622"/>
      <c r="I18" s="982"/>
      <c r="J18" s="622"/>
      <c r="K18" s="982"/>
      <c r="L18" s="937"/>
    </row>
    <row r="19" spans="1:15" s="224" customFormat="1" ht="15" customHeight="1" x14ac:dyDescent="0.25">
      <c r="A19" s="215">
        <v>43650</v>
      </c>
      <c r="B19" s="349" t="s">
        <v>14</v>
      </c>
      <c r="C19" s="352" t="s">
        <v>12</v>
      </c>
      <c r="D19" s="874" t="s">
        <v>1486</v>
      </c>
      <c r="E19" s="875" t="s">
        <v>15</v>
      </c>
      <c r="F19" s="852">
        <v>8</v>
      </c>
      <c r="G19" s="964"/>
      <c r="H19" s="622"/>
      <c r="I19" s="982"/>
      <c r="J19" s="622"/>
      <c r="K19" s="982"/>
      <c r="L19" s="937"/>
    </row>
    <row r="20" spans="1:15" s="224" customFormat="1" ht="15.75" customHeight="1" x14ac:dyDescent="0.25">
      <c r="A20" s="215">
        <v>43651</v>
      </c>
      <c r="B20" s="349" t="s">
        <v>2281</v>
      </c>
      <c r="C20" s="879" t="s">
        <v>12</v>
      </c>
      <c r="D20" s="874"/>
      <c r="E20" s="871" t="s">
        <v>25</v>
      </c>
      <c r="F20" s="1529"/>
      <c r="G20" s="964">
        <v>1891.16</v>
      </c>
      <c r="H20" s="250"/>
      <c r="I20" s="946"/>
      <c r="J20" s="97"/>
      <c r="K20" s="946"/>
      <c r="L20" s="939"/>
    </row>
    <row r="21" spans="1:15" s="224" customFormat="1" x14ac:dyDescent="0.25">
      <c r="A21" s="215">
        <v>43651</v>
      </c>
      <c r="B21" s="862" t="s">
        <v>2282</v>
      </c>
      <c r="C21" s="879" t="s">
        <v>12</v>
      </c>
      <c r="D21" s="879"/>
      <c r="E21" s="871" t="s">
        <v>13</v>
      </c>
      <c r="F21" s="872">
        <v>521.87</v>
      </c>
      <c r="G21" s="964"/>
      <c r="H21" s="622"/>
      <c r="I21" s="982"/>
      <c r="J21" s="780"/>
      <c r="K21" s="614"/>
      <c r="L21" s="934">
        <v>701.87</v>
      </c>
      <c r="M21" s="89"/>
    </row>
    <row r="22" spans="1:15" x14ac:dyDescent="0.25">
      <c r="A22" s="215">
        <v>43651</v>
      </c>
      <c r="B22" s="862" t="s">
        <v>1961</v>
      </c>
      <c r="C22" s="879" t="s">
        <v>12</v>
      </c>
      <c r="D22" s="879" t="s">
        <v>1504</v>
      </c>
      <c r="E22" s="871" t="s">
        <v>13</v>
      </c>
      <c r="F22" s="852">
        <v>50</v>
      </c>
      <c r="G22" s="964"/>
      <c r="H22" s="622"/>
      <c r="I22" s="982"/>
      <c r="J22" s="622"/>
      <c r="K22" s="1002"/>
      <c r="L22" s="935">
        <v>90</v>
      </c>
    </row>
    <row r="23" spans="1:15" x14ac:dyDescent="0.25">
      <c r="A23" s="215">
        <v>43651</v>
      </c>
      <c r="B23" s="882" t="s">
        <v>2283</v>
      </c>
      <c r="C23" s="879" t="s">
        <v>12</v>
      </c>
      <c r="D23" s="879" t="s">
        <v>1499</v>
      </c>
      <c r="E23" s="871" t="s">
        <v>13</v>
      </c>
      <c r="F23" s="852">
        <v>0</v>
      </c>
      <c r="G23" s="964"/>
      <c r="H23" s="622"/>
      <c r="I23" s="982"/>
      <c r="J23" s="780"/>
      <c r="K23" s="614"/>
      <c r="L23" s="940">
        <v>0</v>
      </c>
      <c r="M23" s="518" t="s">
        <v>2284</v>
      </c>
    </row>
    <row r="24" spans="1:15" x14ac:dyDescent="0.25">
      <c r="A24" s="215">
        <v>43651</v>
      </c>
      <c r="B24" s="876" t="s">
        <v>52</v>
      </c>
      <c r="C24" s="879" t="s">
        <v>12</v>
      </c>
      <c r="D24" s="879" t="s">
        <v>1496</v>
      </c>
      <c r="E24" s="871" t="s">
        <v>13</v>
      </c>
      <c r="F24" s="852">
        <v>60</v>
      </c>
      <c r="G24" s="964"/>
      <c r="H24" s="853"/>
      <c r="I24" s="982"/>
      <c r="J24" s="622"/>
      <c r="K24" s="982"/>
      <c r="L24" s="934"/>
    </row>
    <row r="25" spans="1:15" s="224" customFormat="1" x14ac:dyDescent="0.25">
      <c r="A25" s="215">
        <v>43651</v>
      </c>
      <c r="B25" s="349" t="s">
        <v>525</v>
      </c>
      <c r="C25" s="352" t="s">
        <v>12</v>
      </c>
      <c r="D25" s="874" t="s">
        <v>1493</v>
      </c>
      <c r="E25" s="875" t="s">
        <v>13</v>
      </c>
      <c r="F25" s="890">
        <v>40</v>
      </c>
      <c r="G25" s="964"/>
      <c r="H25" s="622"/>
      <c r="I25" s="982"/>
      <c r="J25" s="622"/>
      <c r="K25" s="982"/>
      <c r="O25" s="930"/>
    </row>
    <row r="26" spans="1:15" s="224" customFormat="1" ht="15" customHeight="1" x14ac:dyDescent="0.25">
      <c r="A26" s="215">
        <v>43652</v>
      </c>
      <c r="B26" s="349" t="s">
        <v>2251</v>
      </c>
      <c r="C26" s="350" t="s">
        <v>12</v>
      </c>
      <c r="D26" s="350" t="s">
        <v>2157</v>
      </c>
      <c r="E26" s="480" t="s">
        <v>15</v>
      </c>
      <c r="F26" s="852">
        <v>60</v>
      </c>
      <c r="G26" s="1527"/>
      <c r="H26" s="97"/>
      <c r="I26" s="946"/>
      <c r="J26" s="97"/>
      <c r="K26" s="946"/>
    </row>
    <row r="27" spans="1:15" s="224" customFormat="1" ht="15" customHeight="1" x14ac:dyDescent="0.25">
      <c r="A27" s="215">
        <v>43652</v>
      </c>
      <c r="B27" s="349" t="s">
        <v>151</v>
      </c>
      <c r="C27" s="352" t="s">
        <v>12</v>
      </c>
      <c r="D27" s="874" t="s">
        <v>1485</v>
      </c>
      <c r="E27" s="875" t="s">
        <v>13</v>
      </c>
      <c r="F27" s="852">
        <v>13</v>
      </c>
      <c r="G27" s="964"/>
      <c r="H27" s="622"/>
      <c r="I27" s="982"/>
      <c r="J27" s="622"/>
      <c r="K27" s="982"/>
    </row>
    <row r="28" spans="1:15" s="224" customFormat="1" ht="15" customHeight="1" x14ac:dyDescent="0.25">
      <c r="A28" s="215">
        <v>43652</v>
      </c>
      <c r="B28" s="349" t="s">
        <v>2285</v>
      </c>
      <c r="C28" s="352" t="s">
        <v>12</v>
      </c>
      <c r="D28" s="874" t="s">
        <v>1491</v>
      </c>
      <c r="E28" s="875" t="s">
        <v>15</v>
      </c>
      <c r="F28" s="852">
        <v>170</v>
      </c>
      <c r="G28" s="964"/>
      <c r="H28" s="622"/>
      <c r="I28" s="982"/>
      <c r="J28" s="622"/>
      <c r="K28" s="982"/>
    </row>
    <row r="29" spans="1:15" s="224" customFormat="1" ht="15" customHeight="1" x14ac:dyDescent="0.25">
      <c r="A29" s="215">
        <v>43652</v>
      </c>
      <c r="B29" s="349" t="s">
        <v>2286</v>
      </c>
      <c r="C29" s="352" t="s">
        <v>12</v>
      </c>
      <c r="D29" s="874" t="s">
        <v>1491</v>
      </c>
      <c r="E29" s="875" t="s">
        <v>15</v>
      </c>
      <c r="F29" s="852">
        <v>50</v>
      </c>
      <c r="G29" s="964"/>
      <c r="H29" s="622"/>
      <c r="I29" s="982"/>
      <c r="J29" s="622"/>
      <c r="K29" s="982"/>
    </row>
    <row r="30" spans="1:15" s="224" customFormat="1" ht="14.25" customHeight="1" x14ac:dyDescent="0.25">
      <c r="A30" s="215">
        <v>43652</v>
      </c>
      <c r="B30" s="349" t="s">
        <v>1438</v>
      </c>
      <c r="C30" s="352" t="s">
        <v>19</v>
      </c>
      <c r="D30" s="874" t="s">
        <v>1489</v>
      </c>
      <c r="E30" s="875" t="s">
        <v>13</v>
      </c>
      <c r="F30" s="852">
        <v>78.47</v>
      </c>
      <c r="G30" s="673"/>
      <c r="H30" s="622"/>
      <c r="I30" s="982"/>
      <c r="J30" s="622"/>
      <c r="K30" s="982"/>
      <c r="L30" s="883"/>
      <c r="M30" s="89"/>
    </row>
    <row r="31" spans="1:15" s="224" customFormat="1" ht="14.25" customHeight="1" x14ac:dyDescent="0.25">
      <c r="A31" s="215">
        <v>43652</v>
      </c>
      <c r="B31" s="349" t="s">
        <v>82</v>
      </c>
      <c r="C31" s="352" t="s">
        <v>12</v>
      </c>
      <c r="D31" s="874" t="s">
        <v>1493</v>
      </c>
      <c r="E31" s="875" t="s">
        <v>13</v>
      </c>
      <c r="F31" s="852">
        <v>32.9</v>
      </c>
      <c r="G31" s="673"/>
      <c r="H31" s="622"/>
      <c r="I31" s="982"/>
      <c r="J31" s="622"/>
      <c r="K31" s="982"/>
      <c r="L31" s="883"/>
      <c r="M31" s="89"/>
    </row>
    <row r="32" spans="1:15" s="224" customFormat="1" ht="15" customHeight="1" x14ac:dyDescent="0.25">
      <c r="A32" s="215">
        <v>43653</v>
      </c>
      <c r="B32" s="364" t="s">
        <v>311</v>
      </c>
      <c r="C32" s="350"/>
      <c r="D32" s="350"/>
      <c r="E32" s="480"/>
      <c r="F32" s="827"/>
      <c r="G32" s="888"/>
      <c r="H32" s="97"/>
      <c r="I32" s="946">
        <v>3.35</v>
      </c>
      <c r="J32" s="622"/>
      <c r="K32" s="982"/>
    </row>
    <row r="33" spans="1:14" s="224" customFormat="1" ht="15" customHeight="1" x14ac:dyDescent="0.25">
      <c r="A33" s="215">
        <v>43653</v>
      </c>
      <c r="B33" s="349" t="s">
        <v>260</v>
      </c>
      <c r="C33" s="350" t="s">
        <v>12</v>
      </c>
      <c r="D33" s="350"/>
      <c r="E33" s="480"/>
      <c r="F33" s="852">
        <v>300</v>
      </c>
      <c r="G33" s="965"/>
      <c r="H33" s="97"/>
      <c r="I33" s="946">
        <v>300</v>
      </c>
      <c r="J33" s="97"/>
      <c r="K33" s="946"/>
      <c r="L33" s="923"/>
      <c r="N33" s="930"/>
    </row>
    <row r="34" spans="1:14" s="224" customFormat="1" ht="15" customHeight="1" x14ac:dyDescent="0.25">
      <c r="A34" s="215">
        <v>43653</v>
      </c>
      <c r="B34" s="862" t="s">
        <v>2287</v>
      </c>
      <c r="C34" s="879" t="s">
        <v>12</v>
      </c>
      <c r="D34" s="879" t="s">
        <v>1524</v>
      </c>
      <c r="E34" s="871" t="s">
        <v>13</v>
      </c>
      <c r="F34" s="137">
        <v>6.1</v>
      </c>
      <c r="G34" s="965"/>
      <c r="H34" s="97"/>
      <c r="I34" s="982"/>
      <c r="J34" s="622"/>
      <c r="K34" s="982"/>
      <c r="N34" s="930"/>
    </row>
    <row r="35" spans="1:14" s="224" customFormat="1" ht="15" customHeight="1" x14ac:dyDescent="0.25">
      <c r="A35" s="215">
        <v>43653</v>
      </c>
      <c r="B35" s="862" t="s">
        <v>14</v>
      </c>
      <c r="C35" s="879" t="s">
        <v>12</v>
      </c>
      <c r="D35" s="879" t="s">
        <v>1486</v>
      </c>
      <c r="E35" s="871" t="s">
        <v>13</v>
      </c>
      <c r="F35" s="137">
        <v>3.25</v>
      </c>
      <c r="G35" s="965"/>
      <c r="H35" s="97"/>
      <c r="I35" s="982"/>
      <c r="J35" s="622"/>
      <c r="K35" s="982"/>
      <c r="N35" s="930"/>
    </row>
    <row r="36" spans="1:14" s="224" customFormat="1" ht="14.25" customHeight="1" x14ac:dyDescent="0.25">
      <c r="A36" s="215">
        <v>43654</v>
      </c>
      <c r="B36" s="349" t="s">
        <v>2288</v>
      </c>
      <c r="C36" s="352" t="s">
        <v>19</v>
      </c>
      <c r="D36" s="874" t="s">
        <v>1525</v>
      </c>
      <c r="E36" s="875" t="s">
        <v>13</v>
      </c>
      <c r="F36" s="852">
        <v>50</v>
      </c>
      <c r="G36" s="888"/>
      <c r="H36" s="622"/>
      <c r="I36" s="982"/>
      <c r="J36" s="622"/>
      <c r="K36" s="982"/>
      <c r="L36" s="883"/>
      <c r="M36" s="89"/>
    </row>
    <row r="37" spans="1:14" s="224" customFormat="1" ht="14.25" customHeight="1" x14ac:dyDescent="0.25">
      <c r="A37" s="215">
        <v>43654</v>
      </c>
      <c r="B37" s="349" t="s">
        <v>2289</v>
      </c>
      <c r="C37" s="352" t="s">
        <v>19</v>
      </c>
      <c r="D37" s="874" t="s">
        <v>1506</v>
      </c>
      <c r="E37" s="875" t="s">
        <v>13</v>
      </c>
      <c r="F37" s="852">
        <v>50</v>
      </c>
      <c r="G37" s="888"/>
      <c r="H37" s="622"/>
      <c r="I37" s="982"/>
      <c r="J37" s="622"/>
      <c r="K37" s="982"/>
      <c r="L37" s="883"/>
      <c r="M37" s="89"/>
    </row>
    <row r="38" spans="1:14" s="224" customFormat="1" ht="14.25" customHeight="1" x14ac:dyDescent="0.25">
      <c r="A38" s="215">
        <v>43654</v>
      </c>
      <c r="B38" s="349" t="s">
        <v>2290</v>
      </c>
      <c r="C38" s="352" t="s">
        <v>19</v>
      </c>
      <c r="D38" s="874" t="s">
        <v>1506</v>
      </c>
      <c r="E38" s="875" t="s">
        <v>13</v>
      </c>
      <c r="F38" s="852">
        <v>100</v>
      </c>
      <c r="G38" s="888"/>
      <c r="H38" s="622"/>
      <c r="I38" s="982"/>
      <c r="J38" s="622"/>
      <c r="K38" s="982"/>
      <c r="L38" s="883"/>
      <c r="M38" s="89"/>
    </row>
    <row r="39" spans="1:14" s="224" customFormat="1" ht="14.25" customHeight="1" x14ac:dyDescent="0.25">
      <c r="A39" s="215">
        <v>43654</v>
      </c>
      <c r="B39" s="349" t="s">
        <v>82</v>
      </c>
      <c r="C39" s="352" t="s">
        <v>12</v>
      </c>
      <c r="D39" s="874" t="s">
        <v>1493</v>
      </c>
      <c r="E39" s="875" t="s">
        <v>13</v>
      </c>
      <c r="F39" s="852">
        <v>22.4</v>
      </c>
      <c r="G39" s="888"/>
      <c r="H39" s="622"/>
      <c r="I39" s="982"/>
      <c r="J39" s="622"/>
      <c r="K39" s="982"/>
      <c r="L39" s="883"/>
      <c r="M39" s="89"/>
    </row>
    <row r="40" spans="1:14" s="224" customFormat="1" ht="15" customHeight="1" x14ac:dyDescent="0.25">
      <c r="A40" s="215">
        <v>43655</v>
      </c>
      <c r="B40" s="349" t="s">
        <v>151</v>
      </c>
      <c r="C40" s="352" t="s">
        <v>12</v>
      </c>
      <c r="D40" s="874" t="s">
        <v>1485</v>
      </c>
      <c r="E40" s="875" t="s">
        <v>13</v>
      </c>
      <c r="F40" s="852">
        <v>14</v>
      </c>
      <c r="G40" s="964"/>
      <c r="H40" s="622"/>
      <c r="I40" s="982"/>
      <c r="J40" s="622"/>
      <c r="K40" s="982"/>
    </row>
    <row r="41" spans="1:14" s="224" customFormat="1" ht="15" customHeight="1" x14ac:dyDescent="0.25">
      <c r="A41" s="215">
        <v>43655</v>
      </c>
      <c r="B41" s="862" t="s">
        <v>14</v>
      </c>
      <c r="C41" s="879" t="s">
        <v>12</v>
      </c>
      <c r="D41" s="879" t="s">
        <v>1486</v>
      </c>
      <c r="E41" s="871" t="s">
        <v>13</v>
      </c>
      <c r="F41" s="852">
        <v>4.49</v>
      </c>
      <c r="G41" s="1527"/>
      <c r="H41" s="97"/>
      <c r="I41" s="982"/>
      <c r="J41" s="622"/>
      <c r="K41" s="982"/>
    </row>
    <row r="42" spans="1:14" ht="15" customHeight="1" x14ac:dyDescent="0.25">
      <c r="A42" s="215">
        <v>43655</v>
      </c>
      <c r="B42" s="349" t="s">
        <v>1396</v>
      </c>
      <c r="C42" s="350" t="s">
        <v>12</v>
      </c>
      <c r="D42" s="350"/>
      <c r="E42" s="757" t="s">
        <v>25</v>
      </c>
      <c r="F42" s="97"/>
      <c r="G42" s="946">
        <v>45</v>
      </c>
      <c r="H42" s="97"/>
      <c r="I42" s="946"/>
      <c r="J42" s="97"/>
      <c r="K42" s="946"/>
    </row>
    <row r="43" spans="1:14" s="224" customFormat="1" ht="15" customHeight="1" x14ac:dyDescent="0.25">
      <c r="A43" s="215">
        <v>43656</v>
      </c>
      <c r="B43" s="349" t="s">
        <v>1241</v>
      </c>
      <c r="C43" s="352" t="s">
        <v>12</v>
      </c>
      <c r="D43" s="874" t="s">
        <v>1504</v>
      </c>
      <c r="E43" s="875" t="s">
        <v>13</v>
      </c>
      <c r="F43" s="852">
        <v>10</v>
      </c>
      <c r="G43" s="1527"/>
      <c r="H43" s="97"/>
      <c r="I43" s="982"/>
      <c r="J43" s="622"/>
      <c r="K43" s="982"/>
    </row>
    <row r="44" spans="1:14" s="224" customFormat="1" ht="15" customHeight="1" x14ac:dyDescent="0.25">
      <c r="A44" s="215">
        <v>43656</v>
      </c>
      <c r="B44" s="349" t="s">
        <v>151</v>
      </c>
      <c r="C44" s="352" t="s">
        <v>12</v>
      </c>
      <c r="D44" s="874" t="s">
        <v>1485</v>
      </c>
      <c r="E44" s="875" t="s">
        <v>13</v>
      </c>
      <c r="F44" s="852">
        <v>14</v>
      </c>
      <c r="G44" s="964"/>
      <c r="H44" s="622"/>
      <c r="I44" s="982"/>
      <c r="J44" s="622"/>
      <c r="K44" s="982"/>
    </row>
    <row r="45" spans="1:14" s="224" customFormat="1" ht="14.25" customHeight="1" x14ac:dyDescent="0.25">
      <c r="A45" s="215">
        <v>43656</v>
      </c>
      <c r="B45" s="862" t="s">
        <v>14</v>
      </c>
      <c r="C45" s="879" t="s">
        <v>12</v>
      </c>
      <c r="D45" s="879" t="s">
        <v>1486</v>
      </c>
      <c r="E45" s="871" t="s">
        <v>13</v>
      </c>
      <c r="F45" s="852">
        <v>5.94</v>
      </c>
      <c r="G45" s="888"/>
      <c r="H45" s="622"/>
      <c r="I45" s="982"/>
      <c r="J45" s="622"/>
      <c r="K45" s="982"/>
      <c r="L45" s="883"/>
      <c r="M45" s="89"/>
    </row>
    <row r="46" spans="1:14" s="224" customFormat="1" ht="14.25" customHeight="1" x14ac:dyDescent="0.25">
      <c r="A46" s="215">
        <v>43657</v>
      </c>
      <c r="B46" s="349" t="s">
        <v>655</v>
      </c>
      <c r="C46" s="352" t="s">
        <v>12</v>
      </c>
      <c r="D46" s="874" t="s">
        <v>1493</v>
      </c>
      <c r="E46" s="875" t="s">
        <v>15</v>
      </c>
      <c r="F46" s="852">
        <v>18</v>
      </c>
      <c r="G46" s="888"/>
      <c r="H46" s="622"/>
      <c r="I46" s="982"/>
      <c r="J46" s="622"/>
      <c r="K46" s="982"/>
      <c r="L46" s="883"/>
      <c r="M46" s="89"/>
    </row>
    <row r="47" spans="1:14" s="224" customFormat="1" ht="14.25" customHeight="1" x14ac:dyDescent="0.25">
      <c r="A47" s="215">
        <v>43657</v>
      </c>
      <c r="B47" s="349" t="s">
        <v>2227</v>
      </c>
      <c r="C47" s="352" t="s">
        <v>12</v>
      </c>
      <c r="D47" s="874" t="s">
        <v>1506</v>
      </c>
      <c r="E47" s="875" t="s">
        <v>15</v>
      </c>
      <c r="F47" s="852">
        <v>10</v>
      </c>
      <c r="G47" s="888"/>
      <c r="H47" s="622"/>
      <c r="I47" s="982"/>
      <c r="J47" s="97"/>
      <c r="K47" s="982"/>
      <c r="L47" s="883"/>
      <c r="M47" s="89"/>
    </row>
    <row r="48" spans="1:14" s="224" customFormat="1" ht="15" customHeight="1" x14ac:dyDescent="0.25">
      <c r="A48" s="215">
        <v>43658</v>
      </c>
      <c r="B48" s="349" t="s">
        <v>151</v>
      </c>
      <c r="C48" s="352" t="s">
        <v>12</v>
      </c>
      <c r="D48" s="874" t="s">
        <v>1485</v>
      </c>
      <c r="E48" s="875" t="s">
        <v>15</v>
      </c>
      <c r="F48" s="852">
        <v>14</v>
      </c>
      <c r="G48" s="964"/>
      <c r="H48" s="622"/>
      <c r="I48" s="982"/>
      <c r="J48" s="622"/>
      <c r="K48" s="982"/>
    </row>
    <row r="49" spans="1:13" ht="15" customHeight="1" x14ac:dyDescent="0.25">
      <c r="A49" s="215">
        <v>43658</v>
      </c>
      <c r="B49" s="349" t="s">
        <v>81</v>
      </c>
      <c r="C49" s="350" t="s">
        <v>12</v>
      </c>
      <c r="D49" s="350" t="s">
        <v>1493</v>
      </c>
      <c r="E49" s="480" t="s">
        <v>15</v>
      </c>
      <c r="F49" s="137">
        <v>9</v>
      </c>
      <c r="G49" s="965"/>
      <c r="H49" s="97"/>
      <c r="I49" s="946"/>
      <c r="J49" s="97"/>
      <c r="K49" s="946"/>
    </row>
    <row r="50" spans="1:13" s="224" customFormat="1" ht="15" customHeight="1" x14ac:dyDescent="0.25">
      <c r="A50" s="215">
        <v>43658</v>
      </c>
      <c r="B50" s="349" t="s">
        <v>2291</v>
      </c>
      <c r="C50" s="350" t="s">
        <v>12</v>
      </c>
      <c r="D50" s="350" t="s">
        <v>2157</v>
      </c>
      <c r="E50" s="480" t="s">
        <v>15</v>
      </c>
      <c r="F50" s="852">
        <v>60</v>
      </c>
      <c r="G50" s="1527"/>
      <c r="H50" s="97"/>
      <c r="I50" s="946"/>
      <c r="J50" s="97"/>
      <c r="K50" s="946"/>
    </row>
    <row r="51" spans="1:13" s="224" customFormat="1" ht="14.25" customHeight="1" x14ac:dyDescent="0.25">
      <c r="A51" s="215">
        <v>43659</v>
      </c>
      <c r="B51" s="862" t="s">
        <v>14</v>
      </c>
      <c r="C51" s="879" t="s">
        <v>12</v>
      </c>
      <c r="D51" s="879" t="s">
        <v>1486</v>
      </c>
      <c r="E51" s="871" t="s">
        <v>13</v>
      </c>
      <c r="F51" s="852">
        <v>3.4</v>
      </c>
      <c r="G51" s="888"/>
      <c r="H51" s="622"/>
      <c r="I51" s="982"/>
      <c r="J51" s="622"/>
      <c r="K51" s="982"/>
      <c r="L51" s="883"/>
      <c r="M51" s="89"/>
    </row>
    <row r="52" spans="1:13" ht="15" customHeight="1" x14ac:dyDescent="0.25">
      <c r="A52" s="215">
        <v>43659</v>
      </c>
      <c r="B52" s="349" t="s">
        <v>56</v>
      </c>
      <c r="C52" s="350" t="s">
        <v>19</v>
      </c>
      <c r="D52" s="350" t="s">
        <v>1523</v>
      </c>
      <c r="E52" s="480" t="s">
        <v>13</v>
      </c>
      <c r="F52" s="942">
        <v>35.5</v>
      </c>
      <c r="G52" s="965"/>
      <c r="H52" s="97"/>
      <c r="I52" s="946"/>
      <c r="J52" s="97"/>
      <c r="K52" s="946"/>
    </row>
    <row r="53" spans="1:13" s="224" customFormat="1" ht="14.25" customHeight="1" x14ac:dyDescent="0.25">
      <c r="A53" s="215">
        <v>43659</v>
      </c>
      <c r="B53" s="349" t="s">
        <v>1438</v>
      </c>
      <c r="C53" s="352" t="s">
        <v>19</v>
      </c>
      <c r="D53" s="874" t="s">
        <v>1489</v>
      </c>
      <c r="E53" s="875" t="s">
        <v>13</v>
      </c>
      <c r="F53" s="852">
        <v>57.66</v>
      </c>
      <c r="G53" s="888"/>
      <c r="H53" s="622"/>
      <c r="I53" s="982"/>
      <c r="J53" s="622"/>
      <c r="K53" s="982"/>
      <c r="L53" s="883"/>
      <c r="M53" s="89"/>
    </row>
    <row r="54" spans="1:13" ht="15" customHeight="1" x14ac:dyDescent="0.25">
      <c r="A54" s="215">
        <v>43659</v>
      </c>
      <c r="B54" s="349" t="s">
        <v>2292</v>
      </c>
      <c r="C54" s="350" t="s">
        <v>12</v>
      </c>
      <c r="D54" s="350" t="s">
        <v>1523</v>
      </c>
      <c r="E54" s="480" t="s">
        <v>13</v>
      </c>
      <c r="F54" s="942">
        <v>29</v>
      </c>
      <c r="G54" s="965"/>
      <c r="H54" s="97"/>
      <c r="I54" s="946"/>
      <c r="J54" s="97"/>
      <c r="K54" s="946"/>
    </row>
    <row r="55" spans="1:13" ht="15" customHeight="1" x14ac:dyDescent="0.25">
      <c r="A55" s="215">
        <v>43659</v>
      </c>
      <c r="B55" s="349" t="s">
        <v>2293</v>
      </c>
      <c r="C55" s="350" t="s">
        <v>12</v>
      </c>
      <c r="D55" s="350" t="s">
        <v>1493</v>
      </c>
      <c r="E55" s="480" t="s">
        <v>15</v>
      </c>
      <c r="F55" s="137">
        <v>27</v>
      </c>
      <c r="G55" s="965"/>
      <c r="H55" s="97"/>
      <c r="I55" s="946"/>
      <c r="J55" s="97"/>
      <c r="K55" s="946"/>
    </row>
    <row r="56" spans="1:13" ht="15" customHeight="1" x14ac:dyDescent="0.25">
      <c r="A56" s="215">
        <v>43659</v>
      </c>
      <c r="B56" s="349" t="s">
        <v>2294</v>
      </c>
      <c r="C56" s="350" t="s">
        <v>12</v>
      </c>
      <c r="D56" s="350" t="s">
        <v>1489</v>
      </c>
      <c r="E56" s="480" t="s">
        <v>15</v>
      </c>
      <c r="F56" s="137">
        <v>40</v>
      </c>
      <c r="G56" s="965"/>
      <c r="H56" s="97"/>
      <c r="I56" s="946"/>
      <c r="J56" s="97"/>
      <c r="K56" s="946"/>
    </row>
    <row r="57" spans="1:13" s="224" customFormat="1" ht="15" customHeight="1" x14ac:dyDescent="0.25">
      <c r="A57" s="215">
        <v>43660</v>
      </c>
      <c r="B57" s="349" t="s">
        <v>2295</v>
      </c>
      <c r="C57" s="352" t="s">
        <v>12</v>
      </c>
      <c r="D57" s="874" t="s">
        <v>2168</v>
      </c>
      <c r="E57" s="875" t="s">
        <v>15</v>
      </c>
      <c r="F57" s="852">
        <v>10</v>
      </c>
      <c r="G57" s="1064"/>
      <c r="H57" s="97"/>
      <c r="I57" s="982"/>
      <c r="J57" s="622"/>
      <c r="K57" s="982"/>
    </row>
    <row r="58" spans="1:13" s="224" customFormat="1" x14ac:dyDescent="0.25">
      <c r="A58" s="215">
        <v>43296</v>
      </c>
      <c r="B58" s="862" t="s">
        <v>1943</v>
      </c>
      <c r="C58" s="350" t="s">
        <v>12</v>
      </c>
      <c r="D58" s="145"/>
      <c r="E58" s="1480" t="s">
        <v>25</v>
      </c>
      <c r="F58" s="1530"/>
      <c r="G58" s="1527">
        <v>269.93</v>
      </c>
      <c r="H58" s="1481"/>
      <c r="I58" s="627"/>
      <c r="J58" s="709"/>
      <c r="K58" s="627"/>
    </row>
    <row r="59" spans="1:13" s="224" customFormat="1" ht="15" customHeight="1" x14ac:dyDescent="0.25">
      <c r="A59" s="215">
        <v>43661</v>
      </c>
      <c r="B59" s="349" t="s">
        <v>151</v>
      </c>
      <c r="C59" s="352" t="s">
        <v>12</v>
      </c>
      <c r="D59" s="874" t="s">
        <v>1485</v>
      </c>
      <c r="E59" s="875" t="s">
        <v>15</v>
      </c>
      <c r="F59" s="852">
        <v>14</v>
      </c>
      <c r="G59" s="964"/>
      <c r="H59" s="622"/>
      <c r="I59" s="982"/>
      <c r="J59" s="622"/>
      <c r="K59" s="982"/>
    </row>
    <row r="60" spans="1:13" s="224" customFormat="1" ht="15" customHeight="1" x14ac:dyDescent="0.25">
      <c r="A60" s="215">
        <v>43661</v>
      </c>
      <c r="B60" s="349" t="s">
        <v>2285</v>
      </c>
      <c r="C60" s="352" t="s">
        <v>12</v>
      </c>
      <c r="D60" s="874" t="s">
        <v>1491</v>
      </c>
      <c r="E60" s="875" t="s">
        <v>15</v>
      </c>
      <c r="F60" s="852">
        <v>100</v>
      </c>
      <c r="G60" s="964"/>
      <c r="H60" s="622"/>
      <c r="I60" s="982"/>
      <c r="J60" s="622"/>
      <c r="K60" s="982"/>
    </row>
    <row r="61" spans="1:13" s="224" customFormat="1" ht="15" customHeight="1" x14ac:dyDescent="0.25">
      <c r="A61" s="215">
        <v>43661</v>
      </c>
      <c r="B61" s="862" t="s">
        <v>14</v>
      </c>
      <c r="C61" s="879" t="s">
        <v>12</v>
      </c>
      <c r="D61" s="879" t="s">
        <v>1486</v>
      </c>
      <c r="E61" s="871" t="s">
        <v>13</v>
      </c>
      <c r="F61" s="852">
        <v>9.86</v>
      </c>
      <c r="G61" s="1527"/>
      <c r="H61" s="97"/>
      <c r="I61" s="946"/>
      <c r="J61" s="97"/>
      <c r="K61" s="946"/>
      <c r="L61" s="459"/>
    </row>
    <row r="62" spans="1:13" s="224" customFormat="1" ht="15" customHeight="1" x14ac:dyDescent="0.25">
      <c r="A62" s="215">
        <v>43662</v>
      </c>
      <c r="B62" s="349" t="s">
        <v>151</v>
      </c>
      <c r="C62" s="352" t="s">
        <v>12</v>
      </c>
      <c r="D62" s="874" t="s">
        <v>1485</v>
      </c>
      <c r="E62" s="875" t="s">
        <v>15</v>
      </c>
      <c r="F62" s="852">
        <v>14</v>
      </c>
      <c r="G62" s="964"/>
      <c r="H62" s="622"/>
      <c r="I62" s="982"/>
      <c r="J62" s="622"/>
      <c r="K62" s="982"/>
    </row>
    <row r="63" spans="1:13" s="224" customFormat="1" ht="15" customHeight="1" x14ac:dyDescent="0.25">
      <c r="A63" s="215">
        <v>43662</v>
      </c>
      <c r="B63" s="349" t="s">
        <v>2296</v>
      </c>
      <c r="C63" s="352" t="s">
        <v>12</v>
      </c>
      <c r="D63" s="874" t="s">
        <v>1489</v>
      </c>
      <c r="E63" s="875" t="s">
        <v>13</v>
      </c>
      <c r="F63" s="852">
        <v>13.6</v>
      </c>
      <c r="G63" s="1527"/>
      <c r="H63" s="97"/>
      <c r="I63" s="982"/>
      <c r="J63" s="622"/>
      <c r="K63" s="982"/>
    </row>
    <row r="64" spans="1:13" s="224" customFormat="1" ht="15" customHeight="1" x14ac:dyDescent="0.25">
      <c r="A64" s="215">
        <v>43662</v>
      </c>
      <c r="B64" s="349" t="s">
        <v>2251</v>
      </c>
      <c r="C64" s="350" t="s">
        <v>12</v>
      </c>
      <c r="D64" s="350" t="s">
        <v>2157</v>
      </c>
      <c r="E64" s="480" t="s">
        <v>15</v>
      </c>
      <c r="F64" s="852">
        <v>50</v>
      </c>
      <c r="G64" s="1527"/>
      <c r="H64" s="97"/>
      <c r="I64" s="946"/>
      <c r="J64" s="97"/>
      <c r="K64" s="946"/>
    </row>
    <row r="65" spans="1:14" s="224" customFormat="1" ht="15" customHeight="1" x14ac:dyDescent="0.25">
      <c r="A65" s="215">
        <v>43662</v>
      </c>
      <c r="B65" s="349" t="s">
        <v>2297</v>
      </c>
      <c r="C65" s="352" t="s">
        <v>12</v>
      </c>
      <c r="D65" s="874" t="s">
        <v>1489</v>
      </c>
      <c r="E65" s="875" t="s">
        <v>13</v>
      </c>
      <c r="F65" s="852">
        <v>91.35</v>
      </c>
      <c r="G65" s="1527"/>
      <c r="H65" s="97"/>
      <c r="I65" s="982"/>
      <c r="J65" s="622"/>
      <c r="K65" s="982"/>
    </row>
    <row r="66" spans="1:14" s="224" customFormat="1" ht="15" customHeight="1" x14ac:dyDescent="0.25">
      <c r="A66" s="215">
        <v>43663</v>
      </c>
      <c r="B66" s="349" t="s">
        <v>151</v>
      </c>
      <c r="C66" s="352" t="s">
        <v>12</v>
      </c>
      <c r="D66" s="874" t="s">
        <v>1485</v>
      </c>
      <c r="E66" s="875" t="s">
        <v>13</v>
      </c>
      <c r="F66" s="852">
        <v>14</v>
      </c>
      <c r="G66" s="964"/>
      <c r="H66" s="622"/>
      <c r="I66" s="982"/>
      <c r="J66" s="622"/>
      <c r="K66" s="982"/>
    </row>
    <row r="67" spans="1:14" ht="15" customHeight="1" x14ac:dyDescent="0.25">
      <c r="A67" s="215">
        <v>43663</v>
      </c>
      <c r="B67" s="349" t="s">
        <v>81</v>
      </c>
      <c r="C67" s="350" t="s">
        <v>12</v>
      </c>
      <c r="D67" s="350" t="s">
        <v>1493</v>
      </c>
      <c r="E67" s="480" t="s">
        <v>13</v>
      </c>
      <c r="F67" s="853">
        <v>6</v>
      </c>
      <c r="G67" s="965"/>
      <c r="H67" s="97"/>
      <c r="I67" s="946"/>
      <c r="J67" s="97"/>
      <c r="K67" s="946"/>
    </row>
    <row r="68" spans="1:14" s="224" customFormat="1" x14ac:dyDescent="0.25">
      <c r="A68" s="215">
        <v>43663</v>
      </c>
      <c r="B68" s="862" t="s">
        <v>14</v>
      </c>
      <c r="C68" s="879" t="s">
        <v>12</v>
      </c>
      <c r="D68" s="879" t="s">
        <v>1486</v>
      </c>
      <c r="E68" s="871" t="s">
        <v>13</v>
      </c>
      <c r="F68" s="852">
        <v>4.32</v>
      </c>
      <c r="G68" s="964"/>
      <c r="H68" s="622"/>
      <c r="I68" s="982"/>
      <c r="J68" s="622"/>
      <c r="K68" s="982"/>
    </row>
    <row r="69" spans="1:14" s="224" customFormat="1" ht="15" customHeight="1" x14ac:dyDescent="0.25">
      <c r="A69" s="215">
        <v>43664</v>
      </c>
      <c r="B69" s="349" t="s">
        <v>1241</v>
      </c>
      <c r="C69" s="352" t="s">
        <v>12</v>
      </c>
      <c r="D69" s="874" t="s">
        <v>1504</v>
      </c>
      <c r="E69" s="875" t="s">
        <v>13</v>
      </c>
      <c r="F69" s="852">
        <v>10</v>
      </c>
      <c r="G69" s="1527"/>
      <c r="H69" s="97"/>
      <c r="I69" s="982"/>
      <c r="J69" s="622"/>
      <c r="K69" s="982"/>
    </row>
    <row r="70" spans="1:14" s="224" customFormat="1" ht="15" customHeight="1" x14ac:dyDescent="0.25">
      <c r="A70" s="215">
        <v>43664</v>
      </c>
      <c r="B70" s="364" t="s">
        <v>311</v>
      </c>
      <c r="C70" s="350"/>
      <c r="D70" s="350"/>
      <c r="E70" s="480"/>
      <c r="F70" s="827"/>
      <c r="G70" s="888"/>
      <c r="H70" s="97"/>
      <c r="I70" s="946">
        <v>1.87</v>
      </c>
      <c r="J70" s="622"/>
      <c r="K70" s="982"/>
    </row>
    <row r="71" spans="1:14" s="224" customFormat="1" ht="15" customHeight="1" x14ac:dyDescent="0.25">
      <c r="A71" s="215">
        <v>43664</v>
      </c>
      <c r="B71" s="349" t="s">
        <v>151</v>
      </c>
      <c r="C71" s="352" t="s">
        <v>12</v>
      </c>
      <c r="D71" s="874" t="s">
        <v>1485</v>
      </c>
      <c r="E71" s="875" t="s">
        <v>15</v>
      </c>
      <c r="F71" s="852">
        <v>14</v>
      </c>
      <c r="G71" s="964"/>
      <c r="H71" s="622"/>
      <c r="I71" s="982"/>
      <c r="J71" s="622"/>
      <c r="K71" s="982"/>
    </row>
    <row r="72" spans="1:14" s="224" customFormat="1" x14ac:dyDescent="0.25">
      <c r="A72" s="215">
        <v>43664</v>
      </c>
      <c r="B72" s="862" t="s">
        <v>14</v>
      </c>
      <c r="C72" s="879" t="s">
        <v>12</v>
      </c>
      <c r="D72" s="879" t="s">
        <v>1486</v>
      </c>
      <c r="E72" s="871" t="s">
        <v>15</v>
      </c>
      <c r="F72" s="852">
        <v>7</v>
      </c>
      <c r="G72" s="964"/>
      <c r="H72" s="622"/>
      <c r="I72" s="982"/>
      <c r="J72" s="622"/>
      <c r="K72" s="982"/>
    </row>
    <row r="73" spans="1:14" s="224" customFormat="1" x14ac:dyDescent="0.25">
      <c r="A73" s="215">
        <v>43664</v>
      </c>
      <c r="B73" s="862" t="s">
        <v>539</v>
      </c>
      <c r="C73" s="879" t="s">
        <v>12</v>
      </c>
      <c r="D73" s="879" t="s">
        <v>1506</v>
      </c>
      <c r="E73" s="871" t="s">
        <v>13</v>
      </c>
      <c r="F73" s="852">
        <v>8</v>
      </c>
      <c r="G73" s="964"/>
      <c r="H73" s="622"/>
      <c r="I73" s="982"/>
      <c r="J73" s="622"/>
      <c r="K73" s="982"/>
    </row>
    <row r="74" spans="1:14" x14ac:dyDescent="0.25">
      <c r="A74" s="215">
        <v>43665</v>
      </c>
      <c r="B74" s="882" t="s">
        <v>2298</v>
      </c>
      <c r="C74" s="350" t="s">
        <v>12</v>
      </c>
      <c r="D74" s="145"/>
      <c r="E74" s="145" t="s">
        <v>25</v>
      </c>
      <c r="F74" s="1529"/>
      <c r="G74" s="965">
        <v>1600</v>
      </c>
      <c r="H74" s="97"/>
      <c r="I74" s="946"/>
      <c r="J74" s="97"/>
      <c r="K74" s="946"/>
    </row>
    <row r="75" spans="1:14" s="224" customFormat="1" ht="15.75" customHeight="1" x14ac:dyDescent="0.25">
      <c r="A75" s="215">
        <v>43665</v>
      </c>
      <c r="B75" s="882" t="s">
        <v>2299</v>
      </c>
      <c r="C75" s="879" t="s">
        <v>12</v>
      </c>
      <c r="D75" s="879" t="s">
        <v>1499</v>
      </c>
      <c r="E75" s="871" t="s">
        <v>13</v>
      </c>
      <c r="F75" s="853">
        <v>50</v>
      </c>
      <c r="G75" s="968"/>
      <c r="H75" s="538"/>
      <c r="I75" s="982"/>
      <c r="J75" s="622"/>
      <c r="K75" s="982"/>
      <c r="L75" s="764">
        <v>138.19999999999999</v>
      </c>
    </row>
    <row r="76" spans="1:14" s="224" customFormat="1" x14ac:dyDescent="0.25">
      <c r="A76" s="215">
        <v>43665</v>
      </c>
      <c r="B76" s="873" t="s">
        <v>1564</v>
      </c>
      <c r="C76" s="879" t="s">
        <v>12</v>
      </c>
      <c r="D76" s="350" t="s">
        <v>1491</v>
      </c>
      <c r="E76" s="871" t="s">
        <v>15</v>
      </c>
      <c r="F76" s="853">
        <v>140</v>
      </c>
      <c r="G76" s="964"/>
      <c r="H76" s="622"/>
      <c r="I76" s="982"/>
      <c r="J76" s="622"/>
      <c r="K76" s="982"/>
    </row>
    <row r="77" spans="1:14" s="224" customFormat="1" ht="15" customHeight="1" x14ac:dyDescent="0.25">
      <c r="A77" s="215">
        <v>43665</v>
      </c>
      <c r="B77" s="349" t="s">
        <v>260</v>
      </c>
      <c r="C77" s="350" t="s">
        <v>12</v>
      </c>
      <c r="D77" s="350"/>
      <c r="E77" s="480"/>
      <c r="F77" s="852">
        <v>494.78</v>
      </c>
      <c r="G77" s="965"/>
      <c r="H77" s="97"/>
      <c r="I77" s="946">
        <v>494.78</v>
      </c>
      <c r="J77" s="97"/>
      <c r="K77" s="946"/>
      <c r="L77" s="923"/>
      <c r="N77" s="930"/>
    </row>
    <row r="78" spans="1:14" s="224" customFormat="1" ht="15" customHeight="1" x14ac:dyDescent="0.25">
      <c r="A78" s="215">
        <v>43665</v>
      </c>
      <c r="B78" s="349" t="s">
        <v>151</v>
      </c>
      <c r="C78" s="352" t="s">
        <v>12</v>
      </c>
      <c r="D78" s="874" t="s">
        <v>1485</v>
      </c>
      <c r="E78" s="875" t="s">
        <v>15</v>
      </c>
      <c r="F78" s="852">
        <v>14</v>
      </c>
      <c r="G78" s="964"/>
      <c r="H78" s="622"/>
      <c r="I78" s="982"/>
      <c r="J78" s="622"/>
      <c r="K78" s="982"/>
    </row>
    <row r="79" spans="1:14" s="224" customFormat="1" ht="15" customHeight="1" x14ac:dyDescent="0.25">
      <c r="A79" s="215">
        <v>43665</v>
      </c>
      <c r="B79" s="349" t="s">
        <v>1906</v>
      </c>
      <c r="C79" s="352" t="s">
        <v>12</v>
      </c>
      <c r="D79" s="874" t="s">
        <v>1493</v>
      </c>
      <c r="E79" s="875" t="s">
        <v>13</v>
      </c>
      <c r="F79" s="852">
        <v>22</v>
      </c>
      <c r="G79" s="965"/>
      <c r="H79" s="97"/>
      <c r="I79" s="982"/>
      <c r="J79" s="622"/>
      <c r="K79" s="982"/>
    </row>
    <row r="80" spans="1:14" s="224" customFormat="1" ht="15" customHeight="1" x14ac:dyDescent="0.25">
      <c r="A80" s="215">
        <v>43665</v>
      </c>
      <c r="B80" s="349" t="s">
        <v>81</v>
      </c>
      <c r="C80" s="352" t="s">
        <v>12</v>
      </c>
      <c r="D80" s="874" t="s">
        <v>1493</v>
      </c>
      <c r="E80" s="875" t="s">
        <v>13</v>
      </c>
      <c r="F80" s="852">
        <v>10</v>
      </c>
      <c r="G80" s="965"/>
      <c r="H80" s="97"/>
      <c r="I80" s="982"/>
      <c r="J80" s="622"/>
      <c r="K80" s="982"/>
    </row>
    <row r="81" spans="1:12" s="224" customFormat="1" x14ac:dyDescent="0.25">
      <c r="A81" s="215">
        <v>43666</v>
      </c>
      <c r="B81" s="862" t="s">
        <v>14</v>
      </c>
      <c r="C81" s="879" t="s">
        <v>12</v>
      </c>
      <c r="D81" s="879" t="s">
        <v>1486</v>
      </c>
      <c r="E81" s="871" t="s">
        <v>13</v>
      </c>
      <c r="F81" s="852">
        <v>7</v>
      </c>
      <c r="G81" s="964"/>
      <c r="H81" s="622"/>
      <c r="I81" s="982"/>
      <c r="J81" s="622"/>
      <c r="K81" s="982"/>
    </row>
    <row r="82" spans="1:12" s="224" customFormat="1" x14ac:dyDescent="0.25">
      <c r="A82" s="215">
        <v>43666</v>
      </c>
      <c r="B82" s="873" t="s">
        <v>1438</v>
      </c>
      <c r="C82" s="879" t="s">
        <v>19</v>
      </c>
      <c r="D82" s="350" t="s">
        <v>1489</v>
      </c>
      <c r="E82" s="871" t="s">
        <v>13</v>
      </c>
      <c r="F82" s="853">
        <v>62</v>
      </c>
      <c r="G82" s="964"/>
      <c r="H82" s="622"/>
      <c r="I82" s="982"/>
      <c r="J82" s="622"/>
      <c r="K82" s="982"/>
    </row>
    <row r="83" spans="1:12" s="224" customFormat="1" ht="15" customHeight="1" x14ac:dyDescent="0.25">
      <c r="A83" s="215">
        <v>43666</v>
      </c>
      <c r="B83" s="349" t="s">
        <v>2251</v>
      </c>
      <c r="C83" s="350" t="s">
        <v>12</v>
      </c>
      <c r="D83" s="350" t="s">
        <v>2157</v>
      </c>
      <c r="E83" s="480" t="s">
        <v>15</v>
      </c>
      <c r="F83" s="852">
        <v>50</v>
      </c>
      <c r="G83" s="1527"/>
      <c r="H83" s="97"/>
      <c r="I83" s="946"/>
      <c r="J83" s="97"/>
      <c r="K83" s="946"/>
    </row>
    <row r="84" spans="1:12" s="224" customFormat="1" x14ac:dyDescent="0.25">
      <c r="A84" s="215">
        <v>43666</v>
      </c>
      <c r="B84" s="349" t="s">
        <v>151</v>
      </c>
      <c r="C84" s="352" t="s">
        <v>12</v>
      </c>
      <c r="D84" s="874" t="s">
        <v>1485</v>
      </c>
      <c r="E84" s="875" t="s">
        <v>13</v>
      </c>
      <c r="F84" s="853">
        <v>11</v>
      </c>
      <c r="G84" s="964"/>
      <c r="H84" s="622"/>
      <c r="I84" s="982"/>
      <c r="J84" s="622"/>
      <c r="K84" s="982"/>
    </row>
    <row r="85" spans="1:12" s="224" customFormat="1" ht="15" customHeight="1" x14ac:dyDescent="0.25">
      <c r="A85" s="215">
        <v>43666</v>
      </c>
      <c r="B85" s="349" t="s">
        <v>2300</v>
      </c>
      <c r="C85" s="352" t="s">
        <v>12</v>
      </c>
      <c r="D85" s="874" t="s">
        <v>1493</v>
      </c>
      <c r="E85" s="875" t="s">
        <v>15</v>
      </c>
      <c r="F85" s="852">
        <v>7</v>
      </c>
      <c r="G85" s="965"/>
      <c r="H85" s="97"/>
      <c r="I85" s="982"/>
      <c r="J85" s="622"/>
      <c r="K85" s="982"/>
    </row>
    <row r="86" spans="1:12" s="224" customFormat="1" ht="15" customHeight="1" x14ac:dyDescent="0.25">
      <c r="A86" s="215">
        <v>43667</v>
      </c>
      <c r="B86" s="862" t="s">
        <v>14</v>
      </c>
      <c r="C86" s="879" t="s">
        <v>12</v>
      </c>
      <c r="D86" s="879" t="s">
        <v>1486</v>
      </c>
      <c r="E86" s="871" t="s">
        <v>13</v>
      </c>
      <c r="F86" s="852">
        <v>5.43</v>
      </c>
      <c r="G86" s="965"/>
      <c r="H86" s="97"/>
      <c r="I86" s="982"/>
      <c r="J86" s="622"/>
      <c r="K86" s="982"/>
    </row>
    <row r="87" spans="1:12" s="224" customFormat="1" ht="15" customHeight="1" x14ac:dyDescent="0.25">
      <c r="A87" s="215">
        <v>43667</v>
      </c>
      <c r="B87" s="349" t="s">
        <v>2238</v>
      </c>
      <c r="C87" s="352" t="s">
        <v>12</v>
      </c>
      <c r="D87" s="874" t="s">
        <v>1485</v>
      </c>
      <c r="E87" s="875" t="s">
        <v>13</v>
      </c>
      <c r="F87" s="852">
        <v>22</v>
      </c>
      <c r="G87" s="965"/>
      <c r="H87" s="97"/>
      <c r="I87" s="982"/>
      <c r="J87" s="622"/>
      <c r="K87" s="982"/>
    </row>
    <row r="88" spans="1:12" s="224" customFormat="1" x14ac:dyDescent="0.25">
      <c r="A88" s="215">
        <v>43668</v>
      </c>
      <c r="B88" s="349" t="s">
        <v>151</v>
      </c>
      <c r="C88" s="352" t="s">
        <v>12</v>
      </c>
      <c r="D88" s="874" t="s">
        <v>1485</v>
      </c>
      <c r="E88" s="875" t="s">
        <v>13</v>
      </c>
      <c r="F88" s="853">
        <v>14</v>
      </c>
      <c r="G88" s="964"/>
      <c r="H88" s="622"/>
      <c r="I88" s="982"/>
      <c r="J88" s="622"/>
      <c r="K88" s="982"/>
      <c r="L88" s="932"/>
    </row>
    <row r="89" spans="1:12" s="224" customFormat="1" ht="15" customHeight="1" x14ac:dyDescent="0.25">
      <c r="A89" s="215">
        <v>43668</v>
      </c>
      <c r="B89" s="862" t="s">
        <v>14</v>
      </c>
      <c r="C89" s="879" t="s">
        <v>12</v>
      </c>
      <c r="D89" s="879" t="s">
        <v>1486</v>
      </c>
      <c r="E89" s="871" t="s">
        <v>13</v>
      </c>
      <c r="F89" s="852">
        <v>4</v>
      </c>
      <c r="G89" s="1527"/>
      <c r="H89" s="97"/>
      <c r="I89" s="982"/>
      <c r="J89" s="622"/>
      <c r="K89" s="982"/>
      <c r="L89" s="938"/>
    </row>
    <row r="90" spans="1:12" s="224" customFormat="1" x14ac:dyDescent="0.25">
      <c r="A90" s="215">
        <v>43669</v>
      </c>
      <c r="B90" s="349" t="s">
        <v>151</v>
      </c>
      <c r="C90" s="352" t="s">
        <v>12</v>
      </c>
      <c r="D90" s="874" t="s">
        <v>1485</v>
      </c>
      <c r="E90" s="875" t="s">
        <v>13</v>
      </c>
      <c r="F90" s="853">
        <v>14</v>
      </c>
      <c r="G90" s="964"/>
      <c r="H90" s="622"/>
      <c r="I90" s="982"/>
      <c r="J90" s="622"/>
      <c r="K90" s="982"/>
      <c r="L90" s="937"/>
    </row>
    <row r="91" spans="1:12" s="224" customFormat="1" ht="15" customHeight="1" x14ac:dyDescent="0.25">
      <c r="A91" s="215">
        <v>43669</v>
      </c>
      <c r="B91" s="349" t="s">
        <v>2225</v>
      </c>
      <c r="C91" s="350" t="s">
        <v>12</v>
      </c>
      <c r="D91" s="350" t="s">
        <v>1491</v>
      </c>
      <c r="E91" s="480" t="s">
        <v>13</v>
      </c>
      <c r="F91" s="852">
        <v>31.5</v>
      </c>
      <c r="G91" s="1527"/>
      <c r="H91" s="97"/>
      <c r="I91" s="982"/>
      <c r="J91" s="622"/>
      <c r="K91" s="982"/>
      <c r="L91" s="938"/>
    </row>
    <row r="92" spans="1:12" s="224" customFormat="1" ht="15" customHeight="1" x14ac:dyDescent="0.25">
      <c r="A92" s="215">
        <v>43669</v>
      </c>
      <c r="B92" s="862" t="s">
        <v>14</v>
      </c>
      <c r="C92" s="879" t="s">
        <v>12</v>
      </c>
      <c r="D92" s="879" t="s">
        <v>1486</v>
      </c>
      <c r="E92" s="871" t="s">
        <v>13</v>
      </c>
      <c r="F92" s="852">
        <v>4.32</v>
      </c>
      <c r="G92" s="1527"/>
      <c r="H92" s="97"/>
      <c r="I92" s="982"/>
      <c r="J92" s="622"/>
      <c r="K92" s="982"/>
      <c r="L92" s="938"/>
    </row>
    <row r="93" spans="1:12" s="224" customFormat="1" ht="15" customHeight="1" x14ac:dyDescent="0.25">
      <c r="A93" s="215">
        <v>43669</v>
      </c>
      <c r="B93" s="862" t="s">
        <v>2301</v>
      </c>
      <c r="C93" s="879" t="s">
        <v>12</v>
      </c>
      <c r="D93" s="879" t="s">
        <v>1522</v>
      </c>
      <c r="E93" s="871" t="s">
        <v>13</v>
      </c>
      <c r="F93" s="852">
        <v>49.75</v>
      </c>
      <c r="G93" s="1527"/>
      <c r="H93" s="97"/>
      <c r="I93" s="982"/>
      <c r="J93" s="622"/>
      <c r="K93" s="982"/>
      <c r="L93" s="938"/>
    </row>
    <row r="94" spans="1:12" s="224" customFormat="1" x14ac:dyDescent="0.25">
      <c r="A94" s="215">
        <v>43669</v>
      </c>
      <c r="B94" s="862" t="s">
        <v>2302</v>
      </c>
      <c r="C94" s="350" t="s">
        <v>12</v>
      </c>
      <c r="D94" s="874" t="s">
        <v>1504</v>
      </c>
      <c r="E94" s="887" t="s">
        <v>13</v>
      </c>
      <c r="F94" s="852">
        <v>70</v>
      </c>
      <c r="G94" s="1527"/>
      <c r="H94" s="97"/>
      <c r="I94" s="982"/>
      <c r="J94" s="622"/>
      <c r="K94" s="982"/>
      <c r="L94" s="938">
        <v>140</v>
      </c>
    </row>
    <row r="95" spans="1:12" s="224" customFormat="1" x14ac:dyDescent="0.25">
      <c r="A95" s="215">
        <v>43670</v>
      </c>
      <c r="B95" s="349" t="s">
        <v>151</v>
      </c>
      <c r="C95" s="352" t="s">
        <v>12</v>
      </c>
      <c r="D95" s="874" t="s">
        <v>1485</v>
      </c>
      <c r="E95" s="875" t="s">
        <v>15</v>
      </c>
      <c r="F95" s="853">
        <v>14</v>
      </c>
      <c r="G95" s="964"/>
      <c r="H95" s="622"/>
      <c r="I95" s="982"/>
      <c r="J95" s="622"/>
      <c r="K95" s="982"/>
      <c r="L95" s="937"/>
    </row>
    <row r="96" spans="1:12" s="224" customFormat="1" x14ac:dyDescent="0.25">
      <c r="A96" s="215">
        <v>43670</v>
      </c>
      <c r="B96" s="349" t="s">
        <v>81</v>
      </c>
      <c r="C96" s="352" t="s">
        <v>12</v>
      </c>
      <c r="D96" s="874" t="s">
        <v>1493</v>
      </c>
      <c r="E96" s="875" t="s">
        <v>15</v>
      </c>
      <c r="F96" s="853">
        <v>1.5</v>
      </c>
      <c r="G96" s="964"/>
      <c r="H96" s="622"/>
      <c r="I96" s="982"/>
      <c r="J96" s="622"/>
      <c r="K96" s="982"/>
      <c r="L96" s="937"/>
    </row>
    <row r="97" spans="1:13" s="224" customFormat="1" ht="15" customHeight="1" x14ac:dyDescent="0.25">
      <c r="A97" s="215">
        <v>43670</v>
      </c>
      <c r="B97" s="862" t="s">
        <v>14</v>
      </c>
      <c r="C97" s="879" t="s">
        <v>12</v>
      </c>
      <c r="D97" s="879" t="s">
        <v>1486</v>
      </c>
      <c r="E97" s="871" t="s">
        <v>13</v>
      </c>
      <c r="F97" s="852">
        <v>4.3</v>
      </c>
      <c r="G97" s="1527"/>
      <c r="H97" s="97"/>
      <c r="I97" s="982"/>
      <c r="J97" s="622"/>
      <c r="K97" s="982"/>
      <c r="L97" s="938"/>
    </row>
    <row r="98" spans="1:13" s="224" customFormat="1" ht="15" customHeight="1" x14ac:dyDescent="0.25">
      <c r="A98" s="215">
        <v>43670</v>
      </c>
      <c r="B98" s="349" t="s">
        <v>2303</v>
      </c>
      <c r="C98" s="352" t="s">
        <v>12</v>
      </c>
      <c r="D98" s="874" t="s">
        <v>1491</v>
      </c>
      <c r="E98" s="875" t="s">
        <v>15</v>
      </c>
      <c r="F98" s="852">
        <v>60</v>
      </c>
      <c r="G98" s="1527"/>
      <c r="H98" s="97"/>
      <c r="I98" s="946"/>
      <c r="J98" s="97"/>
      <c r="K98" s="946"/>
      <c r="L98" s="939">
        <v>190</v>
      </c>
      <c r="M98" s="944"/>
    </row>
    <row r="99" spans="1:13" s="224" customFormat="1" ht="15" customHeight="1" x14ac:dyDescent="0.25">
      <c r="A99" s="215">
        <v>43670</v>
      </c>
      <c r="B99" s="349" t="s">
        <v>2304</v>
      </c>
      <c r="C99" s="352" t="s">
        <v>12</v>
      </c>
      <c r="D99" s="874" t="s">
        <v>1489</v>
      </c>
      <c r="E99" s="875" t="s">
        <v>15</v>
      </c>
      <c r="F99" s="852">
        <v>35</v>
      </c>
      <c r="G99" s="1527"/>
      <c r="H99" s="97"/>
      <c r="I99" s="946"/>
      <c r="J99" s="97"/>
      <c r="K99" s="946"/>
      <c r="L99" s="939"/>
      <c r="M99" s="944"/>
    </row>
    <row r="100" spans="1:13" s="224" customFormat="1" ht="15" customHeight="1" x14ac:dyDescent="0.25">
      <c r="A100" s="215">
        <v>43670</v>
      </c>
      <c r="B100" s="364" t="s">
        <v>311</v>
      </c>
      <c r="C100" s="350"/>
      <c r="D100" s="350"/>
      <c r="E100" s="480"/>
      <c r="F100" s="827"/>
      <c r="G100" s="888"/>
      <c r="H100" s="97"/>
      <c r="I100" s="946">
        <v>2.21</v>
      </c>
      <c r="J100" s="622"/>
      <c r="K100" s="982"/>
    </row>
    <row r="101" spans="1:13" s="224" customFormat="1" x14ac:dyDescent="0.25">
      <c r="A101" s="215">
        <v>43671</v>
      </c>
      <c r="B101" s="349" t="s">
        <v>151</v>
      </c>
      <c r="C101" s="352" t="s">
        <v>12</v>
      </c>
      <c r="D101" s="874" t="s">
        <v>1485</v>
      </c>
      <c r="E101" s="875" t="s">
        <v>15</v>
      </c>
      <c r="F101" s="853">
        <v>14</v>
      </c>
      <c r="G101" s="964"/>
      <c r="H101" s="622"/>
      <c r="I101" s="982"/>
      <c r="J101" s="622"/>
      <c r="K101" s="982"/>
      <c r="L101" s="937"/>
    </row>
    <row r="102" spans="1:13" s="224" customFormat="1" ht="15" customHeight="1" x14ac:dyDescent="0.25">
      <c r="A102" s="215">
        <v>43672</v>
      </c>
      <c r="B102" s="349" t="s">
        <v>1241</v>
      </c>
      <c r="C102" s="352" t="s">
        <v>12</v>
      </c>
      <c r="D102" s="874" t="s">
        <v>1504</v>
      </c>
      <c r="E102" s="875" t="s">
        <v>13</v>
      </c>
      <c r="F102" s="852">
        <v>10</v>
      </c>
      <c r="G102" s="1527"/>
      <c r="H102" s="97"/>
      <c r="I102" s="982"/>
      <c r="J102" s="622"/>
      <c r="K102" s="982"/>
    </row>
    <row r="103" spans="1:13" s="224" customFormat="1" x14ac:dyDescent="0.25">
      <c r="A103" s="215">
        <v>43672</v>
      </c>
      <c r="B103" s="349" t="s">
        <v>151</v>
      </c>
      <c r="C103" s="352" t="s">
        <v>12</v>
      </c>
      <c r="D103" s="874" t="s">
        <v>1485</v>
      </c>
      <c r="E103" s="875" t="s">
        <v>13</v>
      </c>
      <c r="F103" s="853">
        <v>14</v>
      </c>
      <c r="G103" s="964"/>
      <c r="H103" s="622"/>
      <c r="I103" s="982"/>
      <c r="J103" s="622"/>
      <c r="K103" s="982"/>
      <c r="L103" s="937"/>
    </row>
    <row r="104" spans="1:13" s="224" customFormat="1" ht="15" customHeight="1" x14ac:dyDescent="0.25">
      <c r="A104" s="215">
        <v>43672</v>
      </c>
      <c r="B104" s="349" t="s">
        <v>1438</v>
      </c>
      <c r="C104" s="350" t="s">
        <v>12</v>
      </c>
      <c r="D104" s="350" t="s">
        <v>1489</v>
      </c>
      <c r="E104" s="480" t="s">
        <v>13</v>
      </c>
      <c r="F104" s="852">
        <v>11.58</v>
      </c>
      <c r="G104" s="1527"/>
      <c r="H104" s="97"/>
      <c r="I104" s="946"/>
      <c r="J104" s="97"/>
      <c r="K104" s="946"/>
      <c r="L104" s="937"/>
    </row>
    <row r="105" spans="1:13" s="224" customFormat="1" ht="15" customHeight="1" x14ac:dyDescent="0.25">
      <c r="A105" s="215">
        <v>43672</v>
      </c>
      <c r="B105" s="349" t="s">
        <v>2305</v>
      </c>
      <c r="C105" s="350" t="s">
        <v>12</v>
      </c>
      <c r="D105" s="350" t="s">
        <v>1489</v>
      </c>
      <c r="E105" s="480" t="s">
        <v>15</v>
      </c>
      <c r="F105" s="852">
        <v>100</v>
      </c>
      <c r="G105" s="1527"/>
      <c r="H105" s="97"/>
      <c r="I105" s="946"/>
      <c r="J105" s="97"/>
      <c r="K105" s="946"/>
      <c r="L105" s="937"/>
    </row>
    <row r="106" spans="1:13" s="224" customFormat="1" ht="15" customHeight="1" x14ac:dyDescent="0.25">
      <c r="A106" s="215">
        <v>43673</v>
      </c>
      <c r="B106" s="862" t="s">
        <v>14</v>
      </c>
      <c r="C106" s="879" t="s">
        <v>12</v>
      </c>
      <c r="D106" s="879" t="s">
        <v>1486</v>
      </c>
      <c r="E106" s="871" t="s">
        <v>13</v>
      </c>
      <c r="F106" s="852">
        <v>5.58</v>
      </c>
      <c r="G106" s="1527"/>
      <c r="H106" s="97"/>
      <c r="I106" s="982"/>
      <c r="J106" s="622"/>
      <c r="K106" s="982"/>
      <c r="L106" s="938"/>
    </row>
    <row r="107" spans="1:13" s="224" customFormat="1" ht="15" customHeight="1" x14ac:dyDescent="0.25">
      <c r="A107" s="215">
        <v>43673</v>
      </c>
      <c r="B107" s="862" t="s">
        <v>2306</v>
      </c>
      <c r="C107" s="879" t="s">
        <v>12</v>
      </c>
      <c r="D107" s="879" t="s">
        <v>1524</v>
      </c>
      <c r="E107" s="871" t="s">
        <v>15</v>
      </c>
      <c r="F107" s="852">
        <v>14</v>
      </c>
      <c r="G107" s="1527"/>
      <c r="H107" s="97"/>
      <c r="I107" s="982"/>
      <c r="J107" s="622"/>
      <c r="K107" s="982"/>
      <c r="L107" s="938"/>
    </row>
    <row r="108" spans="1:13" s="224" customFormat="1" ht="15" customHeight="1" x14ac:dyDescent="0.25">
      <c r="A108" s="215">
        <v>43673</v>
      </c>
      <c r="B108" s="349" t="s">
        <v>2307</v>
      </c>
      <c r="C108" s="352" t="s">
        <v>19</v>
      </c>
      <c r="D108" s="874" t="s">
        <v>1489</v>
      </c>
      <c r="E108" s="875" t="s">
        <v>13</v>
      </c>
      <c r="F108" s="852">
        <v>68</v>
      </c>
      <c r="G108" s="1527"/>
      <c r="H108" s="97"/>
      <c r="I108" s="982"/>
      <c r="J108" s="622"/>
      <c r="K108" s="982"/>
      <c r="L108" s="938">
        <v>154.78</v>
      </c>
    </row>
    <row r="109" spans="1:13" s="224" customFormat="1" ht="15" customHeight="1" x14ac:dyDescent="0.25">
      <c r="A109" s="215">
        <v>43673</v>
      </c>
      <c r="B109" s="349" t="s">
        <v>2005</v>
      </c>
      <c r="C109" s="352" t="s">
        <v>12</v>
      </c>
      <c r="D109" s="874" t="s">
        <v>1489</v>
      </c>
      <c r="E109" s="875" t="s">
        <v>13</v>
      </c>
      <c r="F109" s="852">
        <v>20</v>
      </c>
      <c r="G109" s="1527"/>
      <c r="H109" s="97"/>
      <c r="I109" s="982"/>
      <c r="J109" s="622"/>
      <c r="K109" s="982"/>
      <c r="L109" s="938"/>
    </row>
    <row r="110" spans="1:13" s="224" customFormat="1" ht="15" customHeight="1" x14ac:dyDescent="0.25">
      <c r="A110" s="215">
        <v>43673</v>
      </c>
      <c r="B110" s="349" t="s">
        <v>2308</v>
      </c>
      <c r="C110" s="352" t="s">
        <v>12</v>
      </c>
      <c r="D110" s="874" t="s">
        <v>1523</v>
      </c>
      <c r="E110" s="875" t="s">
        <v>13</v>
      </c>
      <c r="F110" s="852">
        <v>82.5</v>
      </c>
      <c r="G110" s="1527"/>
      <c r="H110" s="97"/>
      <c r="I110" s="982"/>
      <c r="J110" s="622"/>
      <c r="K110" s="982"/>
      <c r="L110" s="938"/>
    </row>
    <row r="111" spans="1:13" s="224" customFormat="1" ht="15" customHeight="1" x14ac:dyDescent="0.25">
      <c r="A111" s="215">
        <v>43674</v>
      </c>
      <c r="B111" s="349" t="s">
        <v>2309</v>
      </c>
      <c r="C111" s="350" t="s">
        <v>12</v>
      </c>
      <c r="D111" s="350" t="s">
        <v>1485</v>
      </c>
      <c r="E111" s="480" t="s">
        <v>13</v>
      </c>
      <c r="F111" s="852">
        <v>35</v>
      </c>
      <c r="G111" s="1527"/>
      <c r="H111" s="97"/>
      <c r="I111" s="946"/>
      <c r="J111" s="97"/>
      <c r="K111" s="946"/>
      <c r="L111" s="945"/>
    </row>
    <row r="112" spans="1:13" s="224" customFormat="1" ht="15" customHeight="1" x14ac:dyDescent="0.25">
      <c r="A112" s="215">
        <v>43674</v>
      </c>
      <c r="B112" s="349" t="s">
        <v>2251</v>
      </c>
      <c r="C112" s="350" t="s">
        <v>12</v>
      </c>
      <c r="D112" s="350" t="s">
        <v>2157</v>
      </c>
      <c r="E112" s="480" t="s">
        <v>15</v>
      </c>
      <c r="F112" s="852">
        <v>30</v>
      </c>
      <c r="G112" s="1527"/>
      <c r="H112" s="97"/>
      <c r="I112" s="946"/>
      <c r="J112" s="97"/>
      <c r="K112" s="946"/>
      <c r="L112" s="945"/>
    </row>
    <row r="113" spans="1:14" s="224" customFormat="1" ht="15" customHeight="1" x14ac:dyDescent="0.25">
      <c r="A113" s="215">
        <v>43675</v>
      </c>
      <c r="B113" s="862" t="s">
        <v>256</v>
      </c>
      <c r="C113" s="879"/>
      <c r="D113" s="879"/>
      <c r="E113" s="871"/>
      <c r="F113" s="97"/>
      <c r="G113" s="946">
        <v>1502.21</v>
      </c>
      <c r="H113" s="97">
        <v>1502.21</v>
      </c>
      <c r="I113" s="982"/>
      <c r="J113" s="622"/>
      <c r="K113" s="982"/>
      <c r="N113" s="930"/>
    </row>
    <row r="114" spans="1:14" s="224" customFormat="1" x14ac:dyDescent="0.25">
      <c r="A114" s="215">
        <v>43675</v>
      </c>
      <c r="B114" s="349" t="s">
        <v>151</v>
      </c>
      <c r="C114" s="352" t="s">
        <v>12</v>
      </c>
      <c r="D114" s="874" t="s">
        <v>1485</v>
      </c>
      <c r="E114" s="875" t="s">
        <v>13</v>
      </c>
      <c r="F114" s="853">
        <v>14</v>
      </c>
      <c r="G114" s="964"/>
      <c r="H114" s="622"/>
      <c r="I114" s="982"/>
      <c r="J114" s="622"/>
      <c r="K114" s="982"/>
      <c r="L114" s="937"/>
    </row>
    <row r="115" spans="1:14" s="224" customFormat="1" ht="15" customHeight="1" x14ac:dyDescent="0.25">
      <c r="A115" s="215">
        <v>43675</v>
      </c>
      <c r="B115" s="349" t="s">
        <v>2310</v>
      </c>
      <c r="C115" s="352" t="s">
        <v>12</v>
      </c>
      <c r="D115" s="874"/>
      <c r="E115" s="875" t="s">
        <v>25</v>
      </c>
      <c r="F115" s="852"/>
      <c r="G115" s="1533">
        <v>0</v>
      </c>
      <c r="H115" s="97"/>
      <c r="I115" s="982"/>
      <c r="J115" s="622"/>
      <c r="K115" s="982"/>
      <c r="L115" s="931">
        <v>1300</v>
      </c>
      <c r="M115" s="224" t="s">
        <v>2311</v>
      </c>
    </row>
    <row r="116" spans="1:14" s="224" customFormat="1" ht="15" customHeight="1" x14ac:dyDescent="0.25">
      <c r="A116" s="215">
        <v>43675</v>
      </c>
      <c r="B116" s="349" t="s">
        <v>2312</v>
      </c>
      <c r="C116" s="352" t="s">
        <v>19</v>
      </c>
      <c r="D116" s="874" t="s">
        <v>1525</v>
      </c>
      <c r="E116" s="875" t="s">
        <v>13</v>
      </c>
      <c r="F116" s="954">
        <v>1284.08</v>
      </c>
      <c r="G116" s="1527"/>
      <c r="H116" s="97"/>
      <c r="I116" s="982"/>
      <c r="J116" s="622"/>
      <c r="K116" s="982"/>
      <c r="L116" s="931"/>
    </row>
    <row r="117" spans="1:14" s="224" customFormat="1" ht="15" customHeight="1" x14ac:dyDescent="0.25">
      <c r="A117" s="215">
        <v>43675</v>
      </c>
      <c r="B117" s="349" t="s">
        <v>2285</v>
      </c>
      <c r="C117" s="352" t="s">
        <v>12</v>
      </c>
      <c r="D117" s="874" t="s">
        <v>1491</v>
      </c>
      <c r="E117" s="875" t="s">
        <v>15</v>
      </c>
      <c r="F117" s="852">
        <v>50</v>
      </c>
      <c r="G117" s="964"/>
      <c r="H117" s="622"/>
      <c r="I117" s="982"/>
      <c r="J117" s="622"/>
      <c r="K117" s="982"/>
    </row>
    <row r="118" spans="1:14" s="224" customFormat="1" ht="15" customHeight="1" x14ac:dyDescent="0.25">
      <c r="A118" s="215">
        <v>43675</v>
      </c>
      <c r="B118" s="862" t="s">
        <v>14</v>
      </c>
      <c r="C118" s="879" t="s">
        <v>12</v>
      </c>
      <c r="D118" s="879" t="s">
        <v>1486</v>
      </c>
      <c r="E118" s="871" t="s">
        <v>13</v>
      </c>
      <c r="F118" s="852">
        <v>4.18</v>
      </c>
      <c r="G118" s="1527"/>
      <c r="H118" s="97"/>
      <c r="I118" s="982"/>
      <c r="J118" s="622"/>
      <c r="K118" s="982"/>
      <c r="L118" s="931"/>
    </row>
    <row r="119" spans="1:14" s="224" customFormat="1" x14ac:dyDescent="0.25">
      <c r="A119" s="215">
        <v>43676</v>
      </c>
      <c r="B119" s="349" t="s">
        <v>151</v>
      </c>
      <c r="C119" s="352" t="s">
        <v>12</v>
      </c>
      <c r="D119" s="874" t="s">
        <v>1485</v>
      </c>
      <c r="E119" s="875" t="s">
        <v>13</v>
      </c>
      <c r="F119" s="853">
        <v>14</v>
      </c>
      <c r="G119" s="964"/>
      <c r="H119" s="622"/>
      <c r="I119" s="982"/>
      <c r="J119" s="622"/>
      <c r="K119" s="982"/>
      <c r="L119" s="937"/>
    </row>
    <row r="120" spans="1:14" s="224" customFormat="1" ht="15" customHeight="1" x14ac:dyDescent="0.25">
      <c r="A120" s="215">
        <v>43676</v>
      </c>
      <c r="B120" s="862" t="s">
        <v>14</v>
      </c>
      <c r="C120" s="879" t="s">
        <v>12</v>
      </c>
      <c r="D120" s="879" t="s">
        <v>1486</v>
      </c>
      <c r="E120" s="871" t="s">
        <v>13</v>
      </c>
      <c r="F120" s="852">
        <v>3.82</v>
      </c>
      <c r="G120" s="1527"/>
      <c r="H120" s="97"/>
      <c r="I120" s="946"/>
      <c r="J120" s="97"/>
      <c r="K120" s="946"/>
      <c r="L120" s="932"/>
    </row>
    <row r="121" spans="1:14" s="224" customFormat="1" x14ac:dyDescent="0.25">
      <c r="A121" s="215">
        <v>43677</v>
      </c>
      <c r="B121" s="349" t="s">
        <v>151</v>
      </c>
      <c r="C121" s="352" t="s">
        <v>12</v>
      </c>
      <c r="D121" s="874" t="s">
        <v>1485</v>
      </c>
      <c r="E121" s="875" t="s">
        <v>13</v>
      </c>
      <c r="F121" s="853">
        <v>14</v>
      </c>
      <c r="G121" s="964"/>
      <c r="H121" s="622"/>
      <c r="I121" s="982"/>
      <c r="J121" s="622"/>
      <c r="K121" s="982"/>
      <c r="L121" s="937"/>
    </row>
    <row r="122" spans="1:14" s="224" customFormat="1" ht="15" customHeight="1" x14ac:dyDescent="0.25">
      <c r="A122" s="215">
        <v>43677</v>
      </c>
      <c r="B122" s="862" t="s">
        <v>14</v>
      </c>
      <c r="C122" s="879" t="s">
        <v>12</v>
      </c>
      <c r="D122" s="879" t="s">
        <v>1486</v>
      </c>
      <c r="E122" s="871" t="s">
        <v>13</v>
      </c>
      <c r="F122" s="852">
        <v>3.5</v>
      </c>
      <c r="G122" s="1527"/>
      <c r="H122" s="97"/>
      <c r="I122" s="946"/>
      <c r="J122" s="97"/>
      <c r="K122" s="946"/>
      <c r="L122" s="932"/>
    </row>
    <row r="123" spans="1:14" s="224" customFormat="1" x14ac:dyDescent="0.25">
      <c r="A123" s="215">
        <v>43677</v>
      </c>
      <c r="B123" s="862" t="s">
        <v>1666</v>
      </c>
      <c r="C123" s="350" t="s">
        <v>12</v>
      </c>
      <c r="D123" s="350"/>
      <c r="E123" s="480" t="s">
        <v>25</v>
      </c>
      <c r="F123" s="853"/>
      <c r="G123" s="964"/>
      <c r="H123" s="622"/>
      <c r="I123" s="982"/>
      <c r="J123" s="622"/>
      <c r="K123" s="982">
        <v>31.86</v>
      </c>
      <c r="L123" s="932"/>
    </row>
    <row r="124" spans="1:14" s="224" customFormat="1" ht="15" customHeight="1" thickBot="1" x14ac:dyDescent="0.3">
      <c r="A124" s="215">
        <v>43677</v>
      </c>
      <c r="B124" s="862" t="s">
        <v>1710</v>
      </c>
      <c r="C124" s="879" t="s">
        <v>12</v>
      </c>
      <c r="D124" s="879" t="s">
        <v>1504</v>
      </c>
      <c r="E124" s="871" t="s">
        <v>13</v>
      </c>
      <c r="F124" s="894">
        <v>32.9</v>
      </c>
      <c r="G124" s="79"/>
      <c r="H124" s="97"/>
      <c r="I124" s="946"/>
      <c r="J124" s="97"/>
      <c r="K124" s="946"/>
      <c r="L124" s="932"/>
    </row>
    <row r="125" spans="1:14" ht="25.5" customHeight="1" thickBot="1" x14ac:dyDescent="0.3">
      <c r="A125" s="3060"/>
      <c r="B125" s="3061"/>
      <c r="C125" s="3062"/>
      <c r="D125" s="3062"/>
      <c r="E125" s="3062"/>
      <c r="F125" s="100">
        <f>SUM(F6:F124)</f>
        <v>5525</v>
      </c>
      <c r="G125" s="1534">
        <f>SUM(G5:G124)</f>
        <v>5929.0400000000145</v>
      </c>
      <c r="H125" s="101">
        <f>SUM(H6:H124)</f>
        <v>1502.21</v>
      </c>
      <c r="I125" s="93">
        <f>SUM(I5:I124)</f>
        <v>2802.2060000000019</v>
      </c>
      <c r="J125" s="101">
        <f>SUM(J6:J124)</f>
        <v>0</v>
      </c>
      <c r="K125" s="93">
        <f>SUM(K5:K124)</f>
        <v>6696.01</v>
      </c>
    </row>
    <row r="126" spans="1:14" ht="25.5" customHeight="1" thickBot="1" x14ac:dyDescent="0.3">
      <c r="A126" s="3117" t="s">
        <v>49</v>
      </c>
      <c r="B126" s="3118"/>
      <c r="C126" s="3118"/>
      <c r="D126" s="3118"/>
      <c r="E126" s="3119"/>
      <c r="F126" s="144"/>
      <c r="G126" s="519">
        <f>G125-F125</f>
        <v>404.04000000001452</v>
      </c>
      <c r="H126" s="555"/>
      <c r="I126" s="772">
        <f>I125-H125</f>
        <v>1299.9960000000019</v>
      </c>
      <c r="J126" s="555"/>
      <c r="K126" s="772">
        <f>K125-J125</f>
        <v>6696.01</v>
      </c>
    </row>
    <row r="127" spans="1:14" x14ac:dyDescent="0.25">
      <c r="E127" s="79"/>
      <c r="G127" s="868"/>
    </row>
    <row r="128" spans="1:14" x14ac:dyDescent="0.25">
      <c r="B128" s="79" t="s">
        <v>32</v>
      </c>
      <c r="C128" s="475">
        <v>347</v>
      </c>
      <c r="D128" s="85" t="s">
        <v>1485</v>
      </c>
      <c r="J128" s="769"/>
      <c r="K128" s="866"/>
    </row>
    <row r="129" spans="1:11" x14ac:dyDescent="0.25">
      <c r="B129" s="79" t="s">
        <v>2187</v>
      </c>
      <c r="C129" s="475">
        <v>300</v>
      </c>
      <c r="D129" s="85" t="s">
        <v>2157</v>
      </c>
      <c r="J129" s="769"/>
      <c r="K129" s="868"/>
    </row>
    <row r="130" spans="1:11" x14ac:dyDescent="0.25">
      <c r="B130" s="79" t="s">
        <v>2188</v>
      </c>
      <c r="C130" s="475">
        <v>10</v>
      </c>
      <c r="D130" s="85" t="s">
        <v>2168</v>
      </c>
      <c r="J130" s="769"/>
      <c r="K130" s="868"/>
    </row>
    <row r="131" spans="1:11" x14ac:dyDescent="0.25">
      <c r="B131" s="79" t="s">
        <v>50</v>
      </c>
      <c r="C131" s="854">
        <v>200.8</v>
      </c>
      <c r="D131" s="85" t="s">
        <v>1493</v>
      </c>
      <c r="J131" s="769"/>
      <c r="K131" s="866"/>
    </row>
    <row r="132" spans="1:11" s="85" customFormat="1" x14ac:dyDescent="0.25">
      <c r="A132" s="79"/>
      <c r="B132" s="79" t="s">
        <v>14</v>
      </c>
      <c r="C132" s="484">
        <v>112.56</v>
      </c>
      <c r="D132" s="85" t="s">
        <v>1486</v>
      </c>
      <c r="J132" s="769"/>
      <c r="K132" s="866"/>
    </row>
    <row r="133" spans="1:11" s="85" customFormat="1" x14ac:dyDescent="0.25">
      <c r="A133" s="79"/>
      <c r="B133" s="79" t="s">
        <v>51</v>
      </c>
      <c r="C133" s="475">
        <v>50</v>
      </c>
      <c r="D133" s="864" t="s">
        <v>1499</v>
      </c>
      <c r="E133" s="79"/>
      <c r="F133" s="89"/>
      <c r="G133" s="79"/>
      <c r="H133" s="79"/>
      <c r="J133" s="769"/>
      <c r="K133" s="866"/>
    </row>
    <row r="134" spans="1:11" s="85" customFormat="1" x14ac:dyDescent="0.25">
      <c r="A134" s="79"/>
      <c r="B134" s="79" t="s">
        <v>2189</v>
      </c>
      <c r="C134" s="475">
        <v>173.21</v>
      </c>
      <c r="D134" s="864" t="s">
        <v>1496</v>
      </c>
      <c r="F134" s="89"/>
      <c r="G134" s="79"/>
      <c r="H134" s="79"/>
      <c r="I134" s="79"/>
    </row>
    <row r="135" spans="1:11" s="85" customFormat="1" x14ac:dyDescent="0.25">
      <c r="A135" s="79"/>
      <c r="B135" s="867" t="s">
        <v>53</v>
      </c>
      <c r="C135" s="475">
        <v>105.08</v>
      </c>
      <c r="D135" s="864" t="s">
        <v>1522</v>
      </c>
      <c r="E135" s="89"/>
      <c r="F135" s="769"/>
      <c r="G135" s="79"/>
    </row>
    <row r="136" spans="1:11" s="85" customFormat="1" x14ac:dyDescent="0.25">
      <c r="A136" s="79"/>
      <c r="B136" s="867" t="s">
        <v>2149</v>
      </c>
      <c r="C136" s="475"/>
      <c r="D136" s="864" t="s">
        <v>2131</v>
      </c>
      <c r="F136" s="769"/>
    </row>
    <row r="137" spans="1:11" s="85" customFormat="1" x14ac:dyDescent="0.25">
      <c r="A137" s="79"/>
      <c r="B137" s="79" t="s">
        <v>56</v>
      </c>
      <c r="C137" s="475">
        <v>147</v>
      </c>
      <c r="D137" s="864" t="s">
        <v>1523</v>
      </c>
      <c r="F137" s="769"/>
      <c r="G137" s="866"/>
    </row>
    <row r="138" spans="1:11" s="85" customFormat="1" x14ac:dyDescent="0.25">
      <c r="A138" s="79"/>
      <c r="B138" s="79" t="s">
        <v>1686</v>
      </c>
      <c r="C138" s="475">
        <v>288</v>
      </c>
      <c r="D138" s="864" t="s">
        <v>1506</v>
      </c>
      <c r="F138" s="769"/>
      <c r="G138" s="868"/>
    </row>
    <row r="139" spans="1:11" s="85" customFormat="1" x14ac:dyDescent="0.25">
      <c r="A139" s="79"/>
      <c r="B139" s="79" t="s">
        <v>418</v>
      </c>
      <c r="C139" s="475">
        <v>40.1</v>
      </c>
      <c r="D139" s="85" t="s">
        <v>1524</v>
      </c>
      <c r="E139" s="79"/>
      <c r="F139" s="89"/>
      <c r="J139" s="769"/>
      <c r="K139" s="866"/>
    </row>
    <row r="140" spans="1:11" x14ac:dyDescent="0.25">
      <c r="B140" s="79" t="s">
        <v>419</v>
      </c>
      <c r="C140" s="861">
        <v>661.5</v>
      </c>
      <c r="D140" s="85" t="s">
        <v>1491</v>
      </c>
      <c r="J140" s="769"/>
      <c r="K140" s="868"/>
    </row>
    <row r="141" spans="1:11" x14ac:dyDescent="0.25">
      <c r="B141" s="79" t="s">
        <v>911</v>
      </c>
      <c r="C141" s="955">
        <v>1334.08</v>
      </c>
      <c r="D141" s="85" t="s">
        <v>1525</v>
      </c>
      <c r="J141" s="769"/>
      <c r="K141" s="868"/>
    </row>
    <row r="142" spans="1:11" x14ac:dyDescent="0.25">
      <c r="B142" s="79" t="s">
        <v>1526</v>
      </c>
      <c r="C142" s="861">
        <v>202.9</v>
      </c>
      <c r="D142" s="85" t="s">
        <v>1504</v>
      </c>
      <c r="E142" s="79"/>
      <c r="J142" s="769"/>
      <c r="K142" s="866"/>
    </row>
    <row r="143" spans="1:11" x14ac:dyDescent="0.25">
      <c r="B143" s="79" t="s">
        <v>1527</v>
      </c>
      <c r="C143" s="861">
        <v>757.99</v>
      </c>
      <c r="D143" s="85" t="s">
        <v>1489</v>
      </c>
      <c r="J143" s="769"/>
      <c r="K143" s="868"/>
    </row>
    <row r="144" spans="1:11" x14ac:dyDescent="0.25">
      <c r="J144" s="769"/>
      <c r="K144" s="866"/>
    </row>
    <row r="145" spans="2:11" x14ac:dyDescent="0.25">
      <c r="F145" s="85"/>
      <c r="H145" s="769"/>
      <c r="K145" s="866"/>
    </row>
    <row r="146" spans="2:11" x14ac:dyDescent="0.25">
      <c r="B146" s="79" t="s">
        <v>486</v>
      </c>
      <c r="C146" s="475">
        <f>H146/J146</f>
        <v>152.58774193548388</v>
      </c>
      <c r="F146" s="224" t="s">
        <v>487</v>
      </c>
      <c r="H146" s="216">
        <f>SUM(C128:C143)</f>
        <v>4730.22</v>
      </c>
      <c r="I146" s="518" t="s">
        <v>488</v>
      </c>
      <c r="J146" s="1517">
        <v>31</v>
      </c>
      <c r="K146" s="866"/>
    </row>
    <row r="147" spans="2:11" x14ac:dyDescent="0.25">
      <c r="E147" s="79"/>
      <c r="G147" s="85"/>
    </row>
    <row r="148" spans="2:11" ht="15.75" customHeight="1" x14ac:dyDescent="0.25">
      <c r="E148" s="769"/>
      <c r="H148" s="629"/>
      <c r="J148" s="769"/>
      <c r="K148" s="868"/>
    </row>
    <row r="149" spans="2:11" x14ac:dyDescent="0.25">
      <c r="E149" s="79"/>
      <c r="F149" s="79"/>
      <c r="H149" s="866"/>
      <c r="K149" s="866"/>
    </row>
    <row r="150" spans="2:11" x14ac:dyDescent="0.25">
      <c r="D150" s="79"/>
      <c r="E150" s="79"/>
      <c r="J150" s="769"/>
      <c r="K150" s="866"/>
    </row>
    <row r="151" spans="2:11" x14ac:dyDescent="0.25">
      <c r="J151" s="769"/>
      <c r="K151" s="866"/>
    </row>
    <row r="152" spans="2:11" x14ac:dyDescent="0.25">
      <c r="J152" s="769"/>
      <c r="K152" s="866"/>
    </row>
    <row r="153" spans="2:11" x14ac:dyDescent="0.25">
      <c r="J153" s="769"/>
      <c r="K153" s="866"/>
    </row>
    <row r="154" spans="2:11" x14ac:dyDescent="0.25">
      <c r="C154" s="79"/>
      <c r="D154" s="79"/>
      <c r="E154" s="79"/>
      <c r="F154" s="79"/>
      <c r="I154" s="216"/>
      <c r="J154" s="769"/>
      <c r="K154" s="866"/>
    </row>
    <row r="155" spans="2:11" x14ac:dyDescent="0.25">
      <c r="C155" s="79"/>
      <c r="D155" s="79"/>
      <c r="E155" s="79"/>
      <c r="F155" s="79"/>
      <c r="I155" s="216"/>
      <c r="J155" s="769"/>
      <c r="K155" s="866"/>
    </row>
    <row r="156" spans="2:11" x14ac:dyDescent="0.25">
      <c r="C156" s="79"/>
      <c r="D156" s="79"/>
      <c r="E156" s="79"/>
      <c r="F156" s="79"/>
      <c r="G156" s="216"/>
      <c r="I156" s="216"/>
      <c r="J156" s="769"/>
      <c r="K156" s="868"/>
    </row>
    <row r="157" spans="2:11" x14ac:dyDescent="0.25">
      <c r="C157" s="79"/>
      <c r="D157" s="79"/>
      <c r="E157" s="79"/>
      <c r="F157" s="79"/>
      <c r="G157" s="216"/>
      <c r="I157" s="216"/>
      <c r="J157" s="769"/>
      <c r="K157" s="866"/>
    </row>
    <row r="158" spans="2:11" x14ac:dyDescent="0.25">
      <c r="C158" s="79"/>
      <c r="D158" s="79"/>
      <c r="E158" s="79"/>
      <c r="F158" s="79"/>
      <c r="G158" s="216"/>
      <c r="J158" s="770"/>
      <c r="K158" s="866"/>
    </row>
    <row r="159" spans="2:11" x14ac:dyDescent="0.25">
      <c r="C159" s="79"/>
      <c r="D159" s="79"/>
      <c r="E159" s="79"/>
      <c r="F159" s="79"/>
      <c r="I159" s="216"/>
      <c r="J159" s="769"/>
      <c r="K159" s="868"/>
    </row>
    <row r="160" spans="2:11" x14ac:dyDescent="0.25">
      <c r="J160" s="769"/>
      <c r="K160" s="866"/>
    </row>
    <row r="161" spans="3:11" x14ac:dyDescent="0.25">
      <c r="C161" s="79"/>
      <c r="D161" s="79"/>
      <c r="E161" s="79"/>
      <c r="F161" s="79"/>
      <c r="I161" s="629"/>
      <c r="J161" s="769"/>
      <c r="K161" s="866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C167" s="79"/>
      <c r="D167" s="79"/>
      <c r="E167" s="79"/>
      <c r="F167" s="79"/>
      <c r="I167" s="216"/>
      <c r="J167" s="769"/>
      <c r="K167" s="866"/>
    </row>
    <row r="168" spans="3:11" x14ac:dyDescent="0.25">
      <c r="C168" s="79"/>
      <c r="D168" s="79"/>
      <c r="E168" s="79"/>
      <c r="F168" s="79"/>
      <c r="I168" s="216"/>
      <c r="J168" s="769"/>
      <c r="K168" s="866"/>
    </row>
    <row r="169" spans="3:11" x14ac:dyDescent="0.25">
      <c r="C169" s="79"/>
      <c r="D169" s="79"/>
      <c r="E169" s="79"/>
      <c r="F169" s="79"/>
      <c r="I169" s="216"/>
      <c r="J169" s="769"/>
      <c r="K169" s="866"/>
    </row>
    <row r="170" spans="3:11" x14ac:dyDescent="0.25">
      <c r="C170" s="79"/>
      <c r="D170" s="79"/>
      <c r="E170" s="79"/>
      <c r="F170" s="79"/>
      <c r="I170" s="216"/>
      <c r="J170" s="769"/>
      <c r="K170" s="866"/>
    </row>
    <row r="171" spans="3:11" x14ac:dyDescent="0.25">
      <c r="C171" s="79"/>
      <c r="D171" s="79"/>
      <c r="E171" s="79"/>
      <c r="F171" s="79"/>
      <c r="I171" s="216"/>
      <c r="J171" s="769"/>
      <c r="K171" s="868"/>
    </row>
    <row r="172" spans="3:11" x14ac:dyDescent="0.25">
      <c r="C172" s="79"/>
      <c r="D172" s="79"/>
      <c r="E172" s="79"/>
      <c r="F172" s="79"/>
      <c r="I172" s="216"/>
      <c r="J172" s="769"/>
      <c r="K172" s="868"/>
    </row>
    <row r="173" spans="3:11" x14ac:dyDescent="0.25">
      <c r="C173" s="79"/>
      <c r="D173" s="79"/>
      <c r="E173" s="79"/>
      <c r="F173" s="79"/>
      <c r="I173" s="216"/>
      <c r="J173" s="769"/>
      <c r="K173" s="868"/>
    </row>
    <row r="174" spans="3:11" x14ac:dyDescent="0.25">
      <c r="C174" s="79"/>
      <c r="D174" s="79"/>
      <c r="E174" s="79"/>
      <c r="F174" s="79"/>
      <c r="I174" s="216"/>
      <c r="J174" s="769"/>
      <c r="K174" s="868"/>
    </row>
    <row r="175" spans="3:11" x14ac:dyDescent="0.25">
      <c r="C175" s="79"/>
      <c r="D175" s="79"/>
      <c r="E175" s="79"/>
      <c r="F175" s="79"/>
      <c r="I175" s="216"/>
      <c r="J175" s="769"/>
      <c r="K175" s="868"/>
    </row>
    <row r="176" spans="3:11" x14ac:dyDescent="0.25">
      <c r="J176" s="769"/>
      <c r="K176" s="866"/>
    </row>
    <row r="177" spans="3:11" x14ac:dyDescent="0.25">
      <c r="J177" s="769"/>
      <c r="K177" s="866"/>
    </row>
    <row r="178" spans="3:11" x14ac:dyDescent="0.25">
      <c r="J178" s="769"/>
      <c r="K178" s="868"/>
    </row>
    <row r="179" spans="3:11" x14ac:dyDescent="0.25">
      <c r="J179" s="769"/>
      <c r="K179" s="866"/>
    </row>
    <row r="180" spans="3:11" x14ac:dyDescent="0.25">
      <c r="J180" s="769"/>
      <c r="K180" s="866"/>
    </row>
    <row r="181" spans="3:11" x14ac:dyDescent="0.25">
      <c r="C181" s="79"/>
      <c r="D181" s="79"/>
      <c r="E181" s="79"/>
      <c r="F181" s="79"/>
      <c r="J181" s="769"/>
      <c r="K181" s="868"/>
    </row>
    <row r="182" spans="3:11" x14ac:dyDescent="0.25">
      <c r="C182" s="79"/>
      <c r="D182" s="79"/>
      <c r="E182" s="79"/>
      <c r="F182" s="79"/>
      <c r="J182" s="769"/>
      <c r="K182" s="868"/>
    </row>
    <row r="183" spans="3:11" x14ac:dyDescent="0.25">
      <c r="C183" s="79"/>
      <c r="D183" s="79"/>
      <c r="E183" s="79"/>
      <c r="F183" s="79"/>
      <c r="J183" s="769"/>
      <c r="K183" s="868"/>
    </row>
    <row r="184" spans="3:11" x14ac:dyDescent="0.25">
      <c r="C184" s="79"/>
      <c r="D184" s="79"/>
      <c r="E184" s="79"/>
      <c r="F184" s="79"/>
      <c r="J184" s="769"/>
      <c r="K184" s="868"/>
    </row>
    <row r="185" spans="3:11" x14ac:dyDescent="0.25">
      <c r="C185" s="79"/>
      <c r="D185" s="79"/>
      <c r="E185" s="79"/>
      <c r="F185" s="79"/>
      <c r="J185" s="769"/>
      <c r="K185" s="866"/>
    </row>
    <row r="186" spans="3:11" x14ac:dyDescent="0.25">
      <c r="C186" s="79"/>
      <c r="D186" s="79"/>
      <c r="E186" s="79"/>
      <c r="F186" s="79"/>
      <c r="J186" s="223"/>
      <c r="K186" s="629"/>
    </row>
    <row r="187" spans="3:11" x14ac:dyDescent="0.25">
      <c r="C187" s="79"/>
      <c r="D187" s="79"/>
      <c r="E187" s="79"/>
      <c r="F187" s="79"/>
      <c r="J187" s="756"/>
      <c r="K187" s="756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85"/>
      <c r="K192" s="85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  <c r="J199" s="85"/>
      <c r="K199" s="85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  <c r="J206" s="771"/>
      <c r="K206" s="518"/>
    </row>
    <row r="207" spans="3:11" x14ac:dyDescent="0.25">
      <c r="C207" s="79"/>
      <c r="D207" s="79"/>
      <c r="E207" s="79"/>
      <c r="F207" s="79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9" spans="3:11" x14ac:dyDescent="0.25">
      <c r="C219" s="79"/>
      <c r="D219" s="79"/>
      <c r="E219" s="79"/>
      <c r="F219" s="79"/>
      <c r="K219" s="216"/>
    </row>
    <row r="221" spans="3:11" x14ac:dyDescent="0.25">
      <c r="C221" s="79"/>
      <c r="D221" s="79"/>
      <c r="E221" s="79"/>
      <c r="F221" s="79"/>
      <c r="K221" s="629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  <row r="231" spans="3:11" x14ac:dyDescent="0.25">
      <c r="C231" s="79"/>
      <c r="D231" s="79"/>
      <c r="E231" s="79"/>
      <c r="F231" s="79"/>
      <c r="K231" s="216"/>
    </row>
    <row r="232" spans="3:11" x14ac:dyDescent="0.25">
      <c r="C232" s="79"/>
      <c r="D232" s="79"/>
      <c r="E232" s="79"/>
      <c r="F232" s="79"/>
      <c r="K232" s="216"/>
    </row>
    <row r="233" spans="3:11" x14ac:dyDescent="0.25">
      <c r="C233" s="79"/>
      <c r="D233" s="79"/>
      <c r="E233" s="79"/>
      <c r="F233" s="79"/>
      <c r="K233" s="216"/>
    </row>
    <row r="234" spans="3:11" x14ac:dyDescent="0.25">
      <c r="C234" s="79"/>
      <c r="D234" s="79"/>
      <c r="E234" s="79"/>
      <c r="F234" s="79"/>
      <c r="K234" s="216"/>
    </row>
    <row r="235" spans="3:11" x14ac:dyDescent="0.25">
      <c r="C235" s="79"/>
      <c r="D235" s="79"/>
      <c r="E235" s="79"/>
      <c r="F235" s="79"/>
      <c r="K235" s="216"/>
    </row>
  </sheetData>
  <autoFilter ref="A2:I126" xr:uid="{00000000-0009-0000-0000-000058000000}"/>
  <mergeCells count="12">
    <mergeCell ref="A126:E126"/>
    <mergeCell ref="A125:E12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Plan102"/>
  <dimension ref="A1:O230"/>
  <sheetViews>
    <sheetView zoomScale="85" zoomScaleNormal="85" workbookViewId="0">
      <pane ySplit="4" topLeftCell="A114" activePane="bottomLeft" state="frozen"/>
      <selection activeCell="C44" sqref="C44"/>
      <selection pane="bottomLeft" activeCell="B80" sqref="B8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2313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5" x14ac:dyDescent="0.25">
      <c r="A5" s="281">
        <v>43678</v>
      </c>
      <c r="B5" s="369" t="s">
        <v>10</v>
      </c>
      <c r="C5" s="370"/>
      <c r="D5" s="370"/>
      <c r="E5" s="777"/>
      <c r="F5" s="179"/>
      <c r="G5" s="933">
        <f>'Julho-19'!G126</f>
        <v>404.04000000001452</v>
      </c>
      <c r="H5" s="179"/>
      <c r="I5" s="933">
        <f>'Julho-19'!I126</f>
        <v>1299.9960000000019</v>
      </c>
      <c r="J5" s="179"/>
      <c r="K5" s="933">
        <f>'Julho-19'!K126</f>
        <v>6696.01</v>
      </c>
    </row>
    <row r="6" spans="1:15" s="224" customFormat="1" x14ac:dyDescent="0.25">
      <c r="A6" s="215">
        <v>43678</v>
      </c>
      <c r="B6" s="348" t="s">
        <v>11</v>
      </c>
      <c r="C6" s="351"/>
      <c r="D6" s="351"/>
      <c r="E6" s="673"/>
      <c r="F6" s="538">
        <v>5</v>
      </c>
      <c r="G6" s="1473"/>
      <c r="H6" s="250"/>
      <c r="I6" s="1473"/>
      <c r="J6" s="250"/>
      <c r="K6" s="1473"/>
      <c r="L6" s="89"/>
      <c r="M6" s="89"/>
    </row>
    <row r="7" spans="1:15" s="224" customFormat="1" ht="15" customHeight="1" x14ac:dyDescent="0.25">
      <c r="A7" s="215">
        <v>43678</v>
      </c>
      <c r="B7" s="349" t="s">
        <v>2314</v>
      </c>
      <c r="C7" s="352" t="s">
        <v>12</v>
      </c>
      <c r="D7" s="874" t="s">
        <v>2315</v>
      </c>
      <c r="E7" s="875" t="s">
        <v>13</v>
      </c>
      <c r="F7" s="780">
        <v>60</v>
      </c>
      <c r="G7" s="982"/>
      <c r="H7" s="622"/>
      <c r="I7" s="982"/>
      <c r="J7" s="622"/>
      <c r="K7" s="982"/>
    </row>
    <row r="8" spans="1:15" s="224" customFormat="1" ht="15" customHeight="1" x14ac:dyDescent="0.25">
      <c r="A8" s="215">
        <v>43678</v>
      </c>
      <c r="B8" s="349" t="s">
        <v>2198</v>
      </c>
      <c r="C8" s="350" t="s">
        <v>12</v>
      </c>
      <c r="D8" s="350" t="s">
        <v>2157</v>
      </c>
      <c r="E8" s="480" t="s">
        <v>15</v>
      </c>
      <c r="F8" s="780">
        <v>30</v>
      </c>
      <c r="G8" s="946"/>
      <c r="H8" s="97"/>
      <c r="I8" s="946"/>
      <c r="J8" s="97"/>
      <c r="K8" s="946"/>
    </row>
    <row r="9" spans="1:15" s="224" customFormat="1" ht="15" customHeight="1" x14ac:dyDescent="0.25">
      <c r="A9" s="215">
        <v>43678</v>
      </c>
      <c r="B9" s="349" t="s">
        <v>2295</v>
      </c>
      <c r="C9" s="352" t="s">
        <v>12</v>
      </c>
      <c r="D9" s="874" t="s">
        <v>2168</v>
      </c>
      <c r="E9" s="875" t="s">
        <v>15</v>
      </c>
      <c r="F9" s="780">
        <v>20</v>
      </c>
      <c r="G9" s="946"/>
      <c r="H9" s="97"/>
      <c r="I9" s="982"/>
      <c r="J9" s="622"/>
      <c r="K9" s="982"/>
    </row>
    <row r="10" spans="1:15" s="224" customFormat="1" ht="15" customHeight="1" x14ac:dyDescent="0.25">
      <c r="A10" s="215">
        <v>43678</v>
      </c>
      <c r="B10" s="349" t="s">
        <v>151</v>
      </c>
      <c r="C10" s="352" t="s">
        <v>12</v>
      </c>
      <c r="D10" s="874" t="s">
        <v>1485</v>
      </c>
      <c r="E10" s="875" t="s">
        <v>13</v>
      </c>
      <c r="F10" s="780">
        <v>14</v>
      </c>
      <c r="G10" s="982"/>
      <c r="H10" s="622"/>
      <c r="I10" s="982"/>
      <c r="J10" s="622"/>
      <c r="K10" s="982"/>
    </row>
    <row r="11" spans="1:15" s="224" customFormat="1" ht="15" customHeight="1" x14ac:dyDescent="0.25">
      <c r="A11" s="215">
        <v>43678</v>
      </c>
      <c r="B11" s="349" t="s">
        <v>17</v>
      </c>
      <c r="C11" s="352" t="s">
        <v>12</v>
      </c>
      <c r="D11" s="874" t="s">
        <v>1493</v>
      </c>
      <c r="E11" s="875" t="s">
        <v>13</v>
      </c>
      <c r="F11" s="780">
        <v>5</v>
      </c>
      <c r="G11" s="982"/>
      <c r="H11" s="622"/>
      <c r="I11" s="982"/>
      <c r="J11" s="622"/>
      <c r="K11" s="982"/>
    </row>
    <row r="12" spans="1:15" s="224" customFormat="1" ht="15" customHeight="1" x14ac:dyDescent="0.25">
      <c r="A12" s="215">
        <v>43678</v>
      </c>
      <c r="B12" s="862" t="s">
        <v>2096</v>
      </c>
      <c r="C12" s="879" t="s">
        <v>12</v>
      </c>
      <c r="D12" s="879" t="s">
        <v>1506</v>
      </c>
      <c r="E12" s="871" t="s">
        <v>15</v>
      </c>
      <c r="F12" s="780">
        <v>30</v>
      </c>
      <c r="G12" s="946"/>
      <c r="H12" s="97"/>
      <c r="I12" s="982"/>
      <c r="J12" s="622"/>
      <c r="K12" s="982"/>
      <c r="O12" s="930"/>
    </row>
    <row r="13" spans="1:15" s="224" customFormat="1" ht="15" customHeight="1" x14ac:dyDescent="0.25">
      <c r="A13" s="215">
        <v>43679</v>
      </c>
      <c r="B13" s="349" t="s">
        <v>151</v>
      </c>
      <c r="C13" s="352" t="s">
        <v>12</v>
      </c>
      <c r="D13" s="874" t="s">
        <v>1485</v>
      </c>
      <c r="E13" s="875" t="s">
        <v>13</v>
      </c>
      <c r="F13" s="780">
        <v>14</v>
      </c>
      <c r="G13" s="982"/>
      <c r="H13" s="622"/>
      <c r="I13" s="982"/>
      <c r="J13" s="622"/>
      <c r="K13" s="982"/>
    </row>
    <row r="14" spans="1:15" s="224" customFormat="1" ht="15" customHeight="1" x14ac:dyDescent="0.25">
      <c r="A14" s="215">
        <v>43679</v>
      </c>
      <c r="B14" s="349" t="s">
        <v>134</v>
      </c>
      <c r="C14" s="352" t="s">
        <v>12</v>
      </c>
      <c r="D14" s="874" t="s">
        <v>1493</v>
      </c>
      <c r="E14" s="875" t="s">
        <v>13</v>
      </c>
      <c r="F14" s="780">
        <v>31.5</v>
      </c>
      <c r="G14" s="982"/>
      <c r="H14" s="622"/>
      <c r="I14" s="982"/>
      <c r="J14" s="622"/>
      <c r="K14" s="982"/>
    </row>
    <row r="15" spans="1:15" s="224" customFormat="1" ht="15" customHeight="1" x14ac:dyDescent="0.25">
      <c r="A15" s="215">
        <v>43680</v>
      </c>
      <c r="B15" s="862" t="s">
        <v>14</v>
      </c>
      <c r="C15" s="879" t="s">
        <v>12</v>
      </c>
      <c r="D15" s="879" t="s">
        <v>1486</v>
      </c>
      <c r="E15" s="871" t="s">
        <v>13</v>
      </c>
      <c r="F15" s="780">
        <v>4.59</v>
      </c>
      <c r="G15" s="946"/>
      <c r="H15" s="97"/>
      <c r="I15" s="946"/>
      <c r="J15" s="97"/>
      <c r="K15" s="946"/>
      <c r="L15" s="932"/>
    </row>
    <row r="16" spans="1:15" s="224" customFormat="1" ht="15" customHeight="1" x14ac:dyDescent="0.25">
      <c r="A16" s="215">
        <v>43680</v>
      </c>
      <c r="B16" s="349" t="s">
        <v>1438</v>
      </c>
      <c r="C16" s="352" t="s">
        <v>19</v>
      </c>
      <c r="D16" s="874" t="s">
        <v>1489</v>
      </c>
      <c r="E16" s="875" t="s">
        <v>13</v>
      </c>
      <c r="F16" s="780">
        <v>63.91</v>
      </c>
      <c r="G16" s="946"/>
      <c r="H16" s="97"/>
      <c r="I16" s="982"/>
      <c r="J16" s="622"/>
      <c r="K16" s="982"/>
    </row>
    <row r="17" spans="1:14" s="224" customFormat="1" ht="15" customHeight="1" x14ac:dyDescent="0.25">
      <c r="A17" s="215">
        <v>43680</v>
      </c>
      <c r="B17" s="349" t="s">
        <v>2316</v>
      </c>
      <c r="C17" s="350" t="s">
        <v>12</v>
      </c>
      <c r="D17" s="350" t="s">
        <v>2157</v>
      </c>
      <c r="E17" s="480" t="s">
        <v>13</v>
      </c>
      <c r="F17" s="780">
        <v>80</v>
      </c>
      <c r="G17" s="946"/>
      <c r="H17" s="97"/>
      <c r="I17" s="946"/>
      <c r="J17" s="97"/>
      <c r="K17" s="946"/>
    </row>
    <row r="18" spans="1:14" s="224" customFormat="1" ht="15" customHeight="1" x14ac:dyDescent="0.25">
      <c r="A18" s="215">
        <v>43680</v>
      </c>
      <c r="B18" s="862" t="s">
        <v>256</v>
      </c>
      <c r="C18" s="879"/>
      <c r="D18" s="879"/>
      <c r="E18" s="871"/>
      <c r="F18" s="97"/>
      <c r="G18" s="946">
        <v>200</v>
      </c>
      <c r="H18" s="97">
        <v>200</v>
      </c>
      <c r="I18" s="982"/>
      <c r="J18" s="622"/>
      <c r="K18" s="982"/>
      <c r="N18" s="930"/>
    </row>
    <row r="19" spans="1:14" s="224" customFormat="1" ht="15" customHeight="1" x14ac:dyDescent="0.25">
      <c r="A19" s="215">
        <v>43680</v>
      </c>
      <c r="B19" s="349" t="s">
        <v>151</v>
      </c>
      <c r="C19" s="352" t="s">
        <v>12</v>
      </c>
      <c r="D19" s="874" t="s">
        <v>1485</v>
      </c>
      <c r="E19" s="875" t="s">
        <v>13</v>
      </c>
      <c r="F19" s="780">
        <v>11</v>
      </c>
      <c r="G19" s="982"/>
      <c r="H19" s="622"/>
      <c r="I19" s="982"/>
      <c r="J19" s="622"/>
      <c r="K19" s="982"/>
    </row>
    <row r="20" spans="1:14" s="224" customFormat="1" ht="15" customHeight="1" x14ac:dyDescent="0.25">
      <c r="A20" s="215">
        <v>43680</v>
      </c>
      <c r="B20" s="349" t="s">
        <v>2317</v>
      </c>
      <c r="C20" s="352" t="s">
        <v>12</v>
      </c>
      <c r="D20" s="874" t="s">
        <v>1493</v>
      </c>
      <c r="E20" s="875" t="s">
        <v>13</v>
      </c>
      <c r="F20" s="780">
        <v>45.1</v>
      </c>
      <c r="G20" s="946"/>
      <c r="H20" s="97"/>
      <c r="I20" s="982"/>
      <c r="J20" s="622"/>
      <c r="K20" s="982"/>
    </row>
    <row r="21" spans="1:14" s="224" customFormat="1" ht="15" customHeight="1" x14ac:dyDescent="0.25">
      <c r="A21" s="215">
        <v>43681</v>
      </c>
      <c r="B21" s="862" t="s">
        <v>14</v>
      </c>
      <c r="C21" s="879" t="s">
        <v>12</v>
      </c>
      <c r="D21" s="879" t="s">
        <v>1486</v>
      </c>
      <c r="E21" s="871" t="s">
        <v>13</v>
      </c>
      <c r="F21" s="780">
        <v>4.42</v>
      </c>
      <c r="G21" s="946"/>
      <c r="H21" s="97"/>
      <c r="I21" s="946"/>
      <c r="J21" s="97"/>
      <c r="K21" s="946"/>
      <c r="L21" s="932"/>
    </row>
    <row r="22" spans="1:14" s="224" customFormat="1" ht="15" customHeight="1" x14ac:dyDescent="0.25">
      <c r="A22" s="215">
        <v>43682</v>
      </c>
      <c r="B22" s="349" t="s">
        <v>1241</v>
      </c>
      <c r="C22" s="352" t="s">
        <v>12</v>
      </c>
      <c r="D22" s="874" t="s">
        <v>1504</v>
      </c>
      <c r="E22" s="875" t="s">
        <v>13</v>
      </c>
      <c r="F22" s="780">
        <v>10</v>
      </c>
      <c r="G22" s="946"/>
      <c r="H22" s="97"/>
      <c r="I22" s="982"/>
      <c r="J22" s="622"/>
      <c r="K22" s="982"/>
    </row>
    <row r="23" spans="1:14" s="224" customFormat="1" ht="15" customHeight="1" x14ac:dyDescent="0.25">
      <c r="A23" s="215">
        <v>43682</v>
      </c>
      <c r="B23" s="349" t="s">
        <v>151</v>
      </c>
      <c r="C23" s="352" t="s">
        <v>12</v>
      </c>
      <c r="D23" s="874" t="s">
        <v>1485</v>
      </c>
      <c r="E23" s="875" t="s">
        <v>13</v>
      </c>
      <c r="F23" s="780">
        <v>14</v>
      </c>
      <c r="G23" s="982"/>
      <c r="H23" s="622"/>
      <c r="I23" s="982"/>
      <c r="J23" s="622"/>
      <c r="K23" s="982"/>
    </row>
    <row r="24" spans="1:14" s="224" customFormat="1" ht="15" customHeight="1" x14ac:dyDescent="0.25">
      <c r="A24" s="215">
        <v>43682</v>
      </c>
      <c r="B24" s="862" t="s">
        <v>14</v>
      </c>
      <c r="C24" s="879" t="s">
        <v>12</v>
      </c>
      <c r="D24" s="879" t="s">
        <v>1486</v>
      </c>
      <c r="E24" s="871" t="s">
        <v>13</v>
      </c>
      <c r="F24" s="780">
        <v>3.87</v>
      </c>
      <c r="G24" s="982"/>
      <c r="H24" s="622"/>
      <c r="I24" s="982"/>
      <c r="J24" s="622"/>
      <c r="K24" s="982"/>
      <c r="L24" s="932"/>
    </row>
    <row r="25" spans="1:14" s="224" customFormat="1" ht="15.75" customHeight="1" x14ac:dyDescent="0.25">
      <c r="A25" s="215">
        <v>43683</v>
      </c>
      <c r="B25" s="349" t="s">
        <v>2318</v>
      </c>
      <c r="C25" s="879" t="s">
        <v>12</v>
      </c>
      <c r="D25" s="874"/>
      <c r="E25" s="871" t="s">
        <v>25</v>
      </c>
      <c r="F25" s="1524"/>
      <c r="G25" s="982">
        <v>1891.16</v>
      </c>
      <c r="H25" s="250"/>
      <c r="I25" s="946"/>
      <c r="J25" s="97"/>
      <c r="K25" s="946"/>
      <c r="L25" s="939"/>
    </row>
    <row r="26" spans="1:14" s="224" customFormat="1" x14ac:dyDescent="0.25">
      <c r="A26" s="215">
        <v>43683</v>
      </c>
      <c r="B26" s="862" t="s">
        <v>2319</v>
      </c>
      <c r="C26" s="879" t="s">
        <v>12</v>
      </c>
      <c r="D26" s="879"/>
      <c r="E26" s="871" t="s">
        <v>13</v>
      </c>
      <c r="F26" s="613">
        <v>440.67</v>
      </c>
      <c r="G26" s="982"/>
      <c r="H26" s="622"/>
      <c r="I26" s="982"/>
      <c r="J26" s="780"/>
      <c r="K26" s="614"/>
      <c r="L26" s="948">
        <v>483.07</v>
      </c>
      <c r="M26" s="89"/>
    </row>
    <row r="27" spans="1:14" x14ac:dyDescent="0.25">
      <c r="A27" s="215">
        <v>43683</v>
      </c>
      <c r="B27" s="862" t="s">
        <v>1961</v>
      </c>
      <c r="C27" s="879" t="s">
        <v>12</v>
      </c>
      <c r="D27" s="879" t="s">
        <v>1504</v>
      </c>
      <c r="E27" s="871" t="s">
        <v>13</v>
      </c>
      <c r="F27" s="780">
        <v>50</v>
      </c>
      <c r="G27" s="982"/>
      <c r="H27" s="622"/>
      <c r="I27" s="982"/>
      <c r="J27" s="622"/>
      <c r="K27" s="1002"/>
      <c r="L27" s="948">
        <v>90</v>
      </c>
    </row>
    <row r="28" spans="1:14" x14ac:dyDescent="0.25">
      <c r="A28" s="215">
        <v>43683</v>
      </c>
      <c r="B28" s="882" t="s">
        <v>2320</v>
      </c>
      <c r="C28" s="879" t="s">
        <v>12</v>
      </c>
      <c r="D28" s="879" t="s">
        <v>1499</v>
      </c>
      <c r="E28" s="871" t="s">
        <v>13</v>
      </c>
      <c r="F28" s="780">
        <v>21.31</v>
      </c>
      <c r="G28" s="982"/>
      <c r="H28" s="622"/>
      <c r="I28" s="982"/>
      <c r="J28" s="780"/>
      <c r="K28" s="614"/>
      <c r="L28" s="936">
        <v>41.31</v>
      </c>
      <c r="M28" s="518"/>
    </row>
    <row r="29" spans="1:14" x14ac:dyDescent="0.25">
      <c r="A29" s="215">
        <v>43683</v>
      </c>
      <c r="B29" s="876" t="s">
        <v>52</v>
      </c>
      <c r="C29" s="879" t="s">
        <v>12</v>
      </c>
      <c r="D29" s="879" t="s">
        <v>1496</v>
      </c>
      <c r="E29" s="871" t="s">
        <v>15</v>
      </c>
      <c r="F29" s="780">
        <v>60</v>
      </c>
      <c r="G29" s="982"/>
      <c r="H29" s="853"/>
      <c r="I29" s="982"/>
      <c r="J29" s="622"/>
      <c r="K29" s="982"/>
      <c r="L29" s="948"/>
    </row>
    <row r="30" spans="1:14" s="224" customFormat="1" ht="15" customHeight="1" x14ac:dyDescent="0.25">
      <c r="A30" s="215">
        <v>43683</v>
      </c>
      <c r="B30" s="349" t="s">
        <v>2321</v>
      </c>
      <c r="C30" s="352" t="s">
        <v>12</v>
      </c>
      <c r="D30" s="874" t="s">
        <v>2315</v>
      </c>
      <c r="E30" s="875" t="s">
        <v>13</v>
      </c>
      <c r="F30" s="780">
        <v>148</v>
      </c>
      <c r="G30" s="982"/>
      <c r="H30" s="622"/>
      <c r="I30" s="982"/>
      <c r="J30" s="622"/>
      <c r="K30" s="982"/>
    </row>
    <row r="31" spans="1:14" s="224" customFormat="1" ht="15" customHeight="1" x14ac:dyDescent="0.25">
      <c r="A31" s="215">
        <v>43683</v>
      </c>
      <c r="B31" s="349" t="s">
        <v>260</v>
      </c>
      <c r="C31" s="350" t="s">
        <v>12</v>
      </c>
      <c r="D31" s="350"/>
      <c r="E31" s="480"/>
      <c r="F31" s="780">
        <v>400</v>
      </c>
      <c r="G31" s="946"/>
      <c r="H31" s="97"/>
      <c r="I31" s="946">
        <v>400</v>
      </c>
      <c r="J31" s="97"/>
      <c r="K31" s="946"/>
      <c r="L31" s="923"/>
      <c r="N31" s="930"/>
    </row>
    <row r="32" spans="1:14" s="224" customFormat="1" ht="15" customHeight="1" x14ac:dyDescent="0.25">
      <c r="A32" s="215">
        <v>43683</v>
      </c>
      <c r="B32" s="349" t="s">
        <v>151</v>
      </c>
      <c r="C32" s="352" t="s">
        <v>12</v>
      </c>
      <c r="D32" s="874" t="s">
        <v>1485</v>
      </c>
      <c r="E32" s="875" t="s">
        <v>13</v>
      </c>
      <c r="F32" s="780">
        <v>14</v>
      </c>
      <c r="G32" s="982"/>
      <c r="H32" s="622"/>
      <c r="I32" s="982"/>
      <c r="J32" s="622"/>
      <c r="K32" s="982"/>
      <c r="L32" s="932"/>
    </row>
    <row r="33" spans="1:13" s="224" customFormat="1" ht="15" customHeight="1" x14ac:dyDescent="0.25">
      <c r="A33" s="215">
        <v>43683</v>
      </c>
      <c r="B33" s="862" t="s">
        <v>14</v>
      </c>
      <c r="C33" s="879" t="s">
        <v>12</v>
      </c>
      <c r="D33" s="879" t="s">
        <v>1486</v>
      </c>
      <c r="E33" s="871" t="s">
        <v>13</v>
      </c>
      <c r="F33" s="780">
        <v>4</v>
      </c>
      <c r="G33" s="982"/>
      <c r="H33" s="622"/>
      <c r="I33" s="982"/>
      <c r="J33" s="622"/>
      <c r="K33" s="982"/>
      <c r="L33" s="932"/>
    </row>
    <row r="34" spans="1:13" s="224" customFormat="1" ht="15" customHeight="1" x14ac:dyDescent="0.25">
      <c r="A34" s="215">
        <v>43684</v>
      </c>
      <c r="B34" s="349" t="s">
        <v>151</v>
      </c>
      <c r="C34" s="352" t="s">
        <v>12</v>
      </c>
      <c r="D34" s="874" t="s">
        <v>1485</v>
      </c>
      <c r="E34" s="875" t="s">
        <v>13</v>
      </c>
      <c r="F34" s="780">
        <v>14</v>
      </c>
      <c r="G34" s="982"/>
      <c r="H34" s="622"/>
      <c r="I34" s="982"/>
      <c r="J34" s="622"/>
      <c r="K34" s="982"/>
      <c r="L34" s="932"/>
    </row>
    <row r="35" spans="1:13" s="224" customFormat="1" ht="15" customHeight="1" x14ac:dyDescent="0.25">
      <c r="A35" s="215">
        <v>43685</v>
      </c>
      <c r="B35" s="364" t="s">
        <v>311</v>
      </c>
      <c r="C35" s="350"/>
      <c r="D35" s="350"/>
      <c r="E35" s="480"/>
      <c r="F35" s="538"/>
      <c r="G35" s="627"/>
      <c r="H35" s="97"/>
      <c r="I35" s="946">
        <v>2.2200000000000002</v>
      </c>
      <c r="J35" s="622"/>
      <c r="K35" s="982"/>
    </row>
    <row r="36" spans="1:13" s="224" customFormat="1" ht="15" customHeight="1" x14ac:dyDescent="0.25">
      <c r="A36" s="215">
        <v>43685</v>
      </c>
      <c r="B36" s="349" t="s">
        <v>151</v>
      </c>
      <c r="C36" s="352" t="s">
        <v>12</v>
      </c>
      <c r="D36" s="874" t="s">
        <v>1485</v>
      </c>
      <c r="E36" s="875" t="s">
        <v>13</v>
      </c>
      <c r="F36" s="780">
        <v>14</v>
      </c>
      <c r="G36" s="982"/>
      <c r="H36" s="622"/>
      <c r="I36" s="982"/>
      <c r="J36" s="622"/>
      <c r="K36" s="982"/>
      <c r="L36" s="932"/>
    </row>
    <row r="37" spans="1:13" s="224" customFormat="1" ht="15" customHeight="1" x14ac:dyDescent="0.25">
      <c r="A37" s="215">
        <v>43685</v>
      </c>
      <c r="B37" s="862" t="s">
        <v>14</v>
      </c>
      <c r="C37" s="879" t="s">
        <v>12</v>
      </c>
      <c r="D37" s="879" t="s">
        <v>1486</v>
      </c>
      <c r="E37" s="871" t="s">
        <v>13</v>
      </c>
      <c r="F37" s="780">
        <v>3.43</v>
      </c>
      <c r="G37" s="982"/>
      <c r="H37" s="622"/>
      <c r="I37" s="982"/>
      <c r="J37" s="622"/>
      <c r="K37" s="982"/>
      <c r="L37" s="932"/>
    </row>
    <row r="38" spans="1:13" s="224" customFormat="1" ht="15" customHeight="1" x14ac:dyDescent="0.25">
      <c r="A38" s="215">
        <v>43686</v>
      </c>
      <c r="B38" s="349" t="s">
        <v>134</v>
      </c>
      <c r="C38" s="352" t="s">
        <v>12</v>
      </c>
      <c r="D38" s="874" t="s">
        <v>1493</v>
      </c>
      <c r="E38" s="875" t="s">
        <v>13</v>
      </c>
      <c r="F38" s="780">
        <v>19.52</v>
      </c>
      <c r="G38" s="982"/>
      <c r="H38" s="622"/>
      <c r="I38" s="982"/>
      <c r="J38" s="622"/>
      <c r="K38" s="982"/>
      <c r="L38" s="932"/>
    </row>
    <row r="39" spans="1:13" s="224" customFormat="1" ht="15" customHeight="1" x14ac:dyDescent="0.25">
      <c r="A39" s="215">
        <v>43686</v>
      </c>
      <c r="B39" s="349" t="s">
        <v>2285</v>
      </c>
      <c r="C39" s="352" t="s">
        <v>12</v>
      </c>
      <c r="D39" s="874" t="s">
        <v>1491</v>
      </c>
      <c r="E39" s="875" t="s">
        <v>15</v>
      </c>
      <c r="F39" s="780">
        <v>70</v>
      </c>
      <c r="G39" s="982"/>
      <c r="H39" s="622"/>
      <c r="I39" s="982"/>
      <c r="J39" s="622"/>
      <c r="K39" s="982"/>
    </row>
    <row r="40" spans="1:13" ht="15" customHeight="1" x14ac:dyDescent="0.25">
      <c r="A40" s="215">
        <v>43686</v>
      </c>
      <c r="B40" s="349" t="s">
        <v>1396</v>
      </c>
      <c r="C40" s="350" t="s">
        <v>12</v>
      </c>
      <c r="D40" s="350"/>
      <c r="E40" s="757" t="s">
        <v>25</v>
      </c>
      <c r="F40" s="97"/>
      <c r="G40" s="946">
        <v>45</v>
      </c>
      <c r="H40" s="97"/>
      <c r="I40" s="946"/>
      <c r="J40" s="97"/>
      <c r="K40" s="946"/>
    </row>
    <row r="41" spans="1:13" s="224" customFormat="1" ht="15" customHeight="1" x14ac:dyDescent="0.25">
      <c r="A41" s="215">
        <v>43687</v>
      </c>
      <c r="B41" s="349" t="s">
        <v>2272</v>
      </c>
      <c r="C41" s="352" t="s">
        <v>12</v>
      </c>
      <c r="D41" s="874" t="s">
        <v>1485</v>
      </c>
      <c r="E41" s="875" t="s">
        <v>13</v>
      </c>
      <c r="F41" s="780">
        <v>25</v>
      </c>
      <c r="G41" s="982"/>
      <c r="H41" s="622"/>
      <c r="I41" s="982"/>
      <c r="J41" s="622"/>
      <c r="K41" s="982"/>
      <c r="L41" s="932"/>
    </row>
    <row r="42" spans="1:13" s="224" customFormat="1" ht="14.25" customHeight="1" x14ac:dyDescent="0.25">
      <c r="A42" s="215">
        <v>43687</v>
      </c>
      <c r="B42" s="349" t="s">
        <v>2322</v>
      </c>
      <c r="C42" s="352" t="s">
        <v>12</v>
      </c>
      <c r="D42" s="874" t="s">
        <v>1523</v>
      </c>
      <c r="E42" s="875" t="s">
        <v>15</v>
      </c>
      <c r="F42" s="780">
        <v>40</v>
      </c>
      <c r="G42" s="627"/>
      <c r="H42" s="622"/>
      <c r="I42" s="982"/>
      <c r="J42" s="622"/>
      <c r="K42" s="982"/>
      <c r="L42" s="883"/>
      <c r="M42" s="89"/>
    </row>
    <row r="43" spans="1:13" s="224" customFormat="1" ht="15" customHeight="1" x14ac:dyDescent="0.25">
      <c r="A43" s="215">
        <v>43688</v>
      </c>
      <c r="B43" s="349" t="s">
        <v>2198</v>
      </c>
      <c r="C43" s="350" t="s">
        <v>19</v>
      </c>
      <c r="D43" s="350" t="s">
        <v>2157</v>
      </c>
      <c r="E43" s="480" t="s">
        <v>13</v>
      </c>
      <c r="F43" s="780">
        <v>77.97</v>
      </c>
      <c r="G43" s="946"/>
      <c r="H43" s="97"/>
      <c r="I43" s="946"/>
      <c r="J43" s="97"/>
      <c r="K43" s="946"/>
    </row>
    <row r="44" spans="1:13" s="224" customFormat="1" ht="14.25" customHeight="1" x14ac:dyDescent="0.25">
      <c r="A44" s="215">
        <v>43688</v>
      </c>
      <c r="B44" s="349" t="s">
        <v>2323</v>
      </c>
      <c r="C44" s="352" t="s">
        <v>12</v>
      </c>
      <c r="D44" s="874" t="s">
        <v>1491</v>
      </c>
      <c r="E44" s="875" t="s">
        <v>13</v>
      </c>
      <c r="F44" s="780">
        <v>20</v>
      </c>
      <c r="G44" s="627"/>
      <c r="H44" s="622"/>
      <c r="I44" s="982"/>
      <c r="J44" s="622"/>
      <c r="K44" s="982"/>
      <c r="L44" s="883"/>
      <c r="M44" s="89"/>
    </row>
    <row r="45" spans="1:13" s="224" customFormat="1" ht="14.25" customHeight="1" x14ac:dyDescent="0.25">
      <c r="A45" s="215">
        <v>43688</v>
      </c>
      <c r="B45" s="349" t="s">
        <v>2324</v>
      </c>
      <c r="C45" s="352" t="s">
        <v>12</v>
      </c>
      <c r="D45" s="874" t="s">
        <v>1491</v>
      </c>
      <c r="E45" s="875" t="s">
        <v>13</v>
      </c>
      <c r="F45" s="780">
        <v>18</v>
      </c>
      <c r="G45" s="627"/>
      <c r="H45" s="622"/>
      <c r="I45" s="982"/>
      <c r="J45" s="622"/>
      <c r="K45" s="982"/>
      <c r="L45" s="883"/>
      <c r="M45" s="89"/>
    </row>
    <row r="46" spans="1:13" s="224" customFormat="1" ht="14.25" customHeight="1" x14ac:dyDescent="0.25">
      <c r="A46" s="215">
        <v>43688</v>
      </c>
      <c r="B46" s="349" t="s">
        <v>525</v>
      </c>
      <c r="C46" s="352" t="s">
        <v>12</v>
      </c>
      <c r="D46" s="874" t="s">
        <v>1493</v>
      </c>
      <c r="E46" s="875" t="s">
        <v>13</v>
      </c>
      <c r="F46" s="780">
        <v>30.7</v>
      </c>
      <c r="G46" s="627"/>
      <c r="H46" s="622"/>
      <c r="I46" s="982"/>
      <c r="J46" s="622"/>
      <c r="K46" s="982"/>
      <c r="L46" s="883"/>
      <c r="M46" s="89"/>
    </row>
    <row r="47" spans="1:13" s="224" customFormat="1" ht="15" customHeight="1" x14ac:dyDescent="0.25">
      <c r="A47" s="215">
        <v>43688</v>
      </c>
      <c r="B47" s="364" t="s">
        <v>70</v>
      </c>
      <c r="C47" s="350" t="s">
        <v>12</v>
      </c>
      <c r="D47" s="350" t="s">
        <v>1489</v>
      </c>
      <c r="E47" s="875" t="s">
        <v>13</v>
      </c>
      <c r="F47" s="538">
        <v>2</v>
      </c>
      <c r="G47" s="627"/>
      <c r="H47" s="97"/>
      <c r="I47" s="946"/>
      <c r="J47" s="622"/>
      <c r="K47" s="982"/>
    </row>
    <row r="48" spans="1:13" s="224" customFormat="1" ht="15" customHeight="1" x14ac:dyDescent="0.25">
      <c r="A48" s="215">
        <v>43689</v>
      </c>
      <c r="B48" s="349" t="s">
        <v>151</v>
      </c>
      <c r="C48" s="352" t="s">
        <v>12</v>
      </c>
      <c r="D48" s="874" t="s">
        <v>1485</v>
      </c>
      <c r="E48" s="875" t="s">
        <v>13</v>
      </c>
      <c r="F48" s="780">
        <v>14</v>
      </c>
      <c r="G48" s="982"/>
      <c r="H48" s="622"/>
      <c r="I48" s="982"/>
      <c r="J48" s="622"/>
      <c r="K48" s="982"/>
      <c r="L48" s="932"/>
    </row>
    <row r="49" spans="1:14" s="224" customFormat="1" ht="15" customHeight="1" x14ac:dyDescent="0.25">
      <c r="A49" s="215">
        <v>43689</v>
      </c>
      <c r="B49" s="364" t="s">
        <v>14</v>
      </c>
      <c r="C49" s="350" t="s">
        <v>12</v>
      </c>
      <c r="D49" s="350" t="s">
        <v>1486</v>
      </c>
      <c r="E49" s="875" t="s">
        <v>13</v>
      </c>
      <c r="F49" s="538">
        <v>10</v>
      </c>
      <c r="G49" s="627"/>
      <c r="H49" s="97"/>
      <c r="I49" s="946"/>
      <c r="J49" s="622"/>
      <c r="K49" s="982"/>
    </row>
    <row r="50" spans="1:14" s="224" customFormat="1" ht="15" customHeight="1" x14ac:dyDescent="0.25">
      <c r="A50" s="215">
        <v>43690</v>
      </c>
      <c r="B50" s="349" t="s">
        <v>1241</v>
      </c>
      <c r="C50" s="352" t="s">
        <v>12</v>
      </c>
      <c r="D50" s="874" t="s">
        <v>1504</v>
      </c>
      <c r="E50" s="875" t="s">
        <v>13</v>
      </c>
      <c r="F50" s="780">
        <v>10</v>
      </c>
      <c r="G50" s="946"/>
      <c r="H50" s="97"/>
      <c r="I50" s="982"/>
      <c r="J50" s="622"/>
      <c r="K50" s="982"/>
    </row>
    <row r="51" spans="1:14" s="224" customFormat="1" ht="15" customHeight="1" x14ac:dyDescent="0.25">
      <c r="A51" s="215">
        <v>43690</v>
      </c>
      <c r="B51" s="349" t="s">
        <v>151</v>
      </c>
      <c r="C51" s="352" t="s">
        <v>12</v>
      </c>
      <c r="D51" s="874" t="s">
        <v>1485</v>
      </c>
      <c r="E51" s="875" t="s">
        <v>13</v>
      </c>
      <c r="F51" s="780">
        <v>14</v>
      </c>
      <c r="G51" s="982"/>
      <c r="H51" s="622"/>
      <c r="I51" s="982"/>
      <c r="J51" s="622"/>
      <c r="K51" s="982"/>
      <c r="L51" s="932"/>
    </row>
    <row r="52" spans="1:14" s="224" customFormat="1" ht="15" customHeight="1" x14ac:dyDescent="0.25">
      <c r="A52" s="215">
        <v>43690</v>
      </c>
      <c r="B52" s="349" t="s">
        <v>2225</v>
      </c>
      <c r="C52" s="350" t="s">
        <v>12</v>
      </c>
      <c r="D52" s="350" t="s">
        <v>1491</v>
      </c>
      <c r="E52" s="480" t="s">
        <v>13</v>
      </c>
      <c r="F52" s="780">
        <v>31.5</v>
      </c>
      <c r="G52" s="946"/>
      <c r="H52" s="97"/>
      <c r="I52" s="982"/>
      <c r="J52" s="622"/>
      <c r="K52" s="982"/>
      <c r="L52" s="938"/>
    </row>
    <row r="53" spans="1:14" s="224" customFormat="1" ht="15" customHeight="1" x14ac:dyDescent="0.25">
      <c r="A53" s="215">
        <v>43690</v>
      </c>
      <c r="B53" s="349" t="s">
        <v>2325</v>
      </c>
      <c r="C53" s="350" t="s">
        <v>12</v>
      </c>
      <c r="D53" s="350" t="s">
        <v>1506</v>
      </c>
      <c r="E53" s="480" t="s">
        <v>13</v>
      </c>
      <c r="F53" s="780">
        <v>60</v>
      </c>
      <c r="G53" s="946"/>
      <c r="H53" s="97"/>
      <c r="I53" s="946"/>
      <c r="J53" s="97"/>
      <c r="K53" s="946"/>
      <c r="L53" s="923"/>
      <c r="N53" s="930"/>
    </row>
    <row r="54" spans="1:14" s="224" customFormat="1" ht="15" customHeight="1" x14ac:dyDescent="0.25">
      <c r="A54" s="215">
        <v>43690</v>
      </c>
      <c r="B54" s="349" t="s">
        <v>2326</v>
      </c>
      <c r="C54" s="350" t="s">
        <v>12</v>
      </c>
      <c r="D54" s="350" t="s">
        <v>1489</v>
      </c>
      <c r="E54" s="480" t="s">
        <v>13</v>
      </c>
      <c r="F54" s="780">
        <v>19.190000000000001</v>
      </c>
      <c r="G54" s="946"/>
      <c r="H54" s="97"/>
      <c r="I54" s="946"/>
      <c r="J54" s="97"/>
      <c r="K54" s="946"/>
      <c r="L54" s="923"/>
      <c r="N54" s="930"/>
    </row>
    <row r="55" spans="1:14" s="224" customFormat="1" ht="15" customHeight="1" x14ac:dyDescent="0.25">
      <c r="A55" s="215">
        <v>43690</v>
      </c>
      <c r="B55" s="364" t="s">
        <v>14</v>
      </c>
      <c r="C55" s="350" t="s">
        <v>12</v>
      </c>
      <c r="D55" s="350" t="s">
        <v>1486</v>
      </c>
      <c r="E55" s="875" t="s">
        <v>15</v>
      </c>
      <c r="F55" s="538">
        <v>4.2</v>
      </c>
      <c r="G55" s="627"/>
      <c r="H55" s="97"/>
      <c r="I55" s="946"/>
      <c r="J55" s="622"/>
      <c r="K55" s="982"/>
    </row>
    <row r="56" spans="1:14" s="224" customFormat="1" ht="15" customHeight="1" x14ac:dyDescent="0.25">
      <c r="A56" s="215">
        <v>43691</v>
      </c>
      <c r="B56" s="349" t="s">
        <v>151</v>
      </c>
      <c r="C56" s="352" t="s">
        <v>12</v>
      </c>
      <c r="D56" s="874" t="s">
        <v>1485</v>
      </c>
      <c r="E56" s="875" t="s">
        <v>13</v>
      </c>
      <c r="F56" s="780">
        <v>14</v>
      </c>
      <c r="G56" s="982"/>
      <c r="H56" s="622"/>
      <c r="I56" s="982"/>
      <c r="J56" s="622"/>
      <c r="K56" s="982"/>
      <c r="L56" s="932"/>
    </row>
    <row r="57" spans="1:14" s="224" customFormat="1" ht="15" customHeight="1" x14ac:dyDescent="0.25">
      <c r="A57" s="215">
        <v>43691</v>
      </c>
      <c r="B57" s="364" t="s">
        <v>14</v>
      </c>
      <c r="C57" s="350" t="s">
        <v>12</v>
      </c>
      <c r="D57" s="350" t="s">
        <v>1486</v>
      </c>
      <c r="E57" s="875" t="s">
        <v>13</v>
      </c>
      <c r="F57" s="97">
        <v>13</v>
      </c>
      <c r="G57" s="946"/>
      <c r="H57" s="97"/>
      <c r="I57" s="982"/>
      <c r="J57" s="622"/>
      <c r="K57" s="982"/>
      <c r="N57" s="930"/>
    </row>
    <row r="58" spans="1:14" s="224" customFormat="1" ht="15" customHeight="1" x14ac:dyDescent="0.25">
      <c r="A58" s="215">
        <v>43692</v>
      </c>
      <c r="B58" s="349" t="s">
        <v>151</v>
      </c>
      <c r="C58" s="352" t="s">
        <v>12</v>
      </c>
      <c r="D58" s="874" t="s">
        <v>1485</v>
      </c>
      <c r="E58" s="875" t="s">
        <v>13</v>
      </c>
      <c r="F58" s="780">
        <v>14</v>
      </c>
      <c r="G58" s="982"/>
      <c r="H58" s="622"/>
      <c r="I58" s="982"/>
      <c r="J58" s="622"/>
      <c r="K58" s="982"/>
      <c r="L58" s="932"/>
    </row>
    <row r="59" spans="1:14" s="224" customFormat="1" ht="15" customHeight="1" x14ac:dyDescent="0.25">
      <c r="A59" s="215">
        <v>43692</v>
      </c>
      <c r="B59" s="349" t="s">
        <v>2327</v>
      </c>
      <c r="C59" s="352" t="s">
        <v>12</v>
      </c>
      <c r="D59" s="874" t="s">
        <v>1491</v>
      </c>
      <c r="E59" s="875" t="s">
        <v>15</v>
      </c>
      <c r="F59" s="780">
        <v>50</v>
      </c>
      <c r="G59" s="982"/>
      <c r="H59" s="622"/>
      <c r="I59" s="982"/>
      <c r="J59" s="622"/>
      <c r="K59" s="982"/>
      <c r="L59" s="932"/>
    </row>
    <row r="60" spans="1:14" s="224" customFormat="1" ht="15" customHeight="1" x14ac:dyDescent="0.25">
      <c r="A60" s="215">
        <v>43692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97">
        <v>6.55</v>
      </c>
      <c r="G60" s="946"/>
      <c r="H60" s="97"/>
      <c r="I60" s="982"/>
      <c r="J60" s="622"/>
      <c r="K60" s="982"/>
      <c r="L60" s="883"/>
      <c r="M60" s="89"/>
      <c r="N60" s="930"/>
    </row>
    <row r="61" spans="1:14" s="224" customFormat="1" ht="15" customHeight="1" x14ac:dyDescent="0.25">
      <c r="A61" s="215">
        <v>43693</v>
      </c>
      <c r="B61" s="349" t="s">
        <v>151</v>
      </c>
      <c r="C61" s="352" t="s">
        <v>12</v>
      </c>
      <c r="D61" s="874" t="s">
        <v>1485</v>
      </c>
      <c r="E61" s="875" t="s">
        <v>15</v>
      </c>
      <c r="F61" s="780">
        <v>14</v>
      </c>
      <c r="G61" s="982"/>
      <c r="H61" s="622"/>
      <c r="I61" s="982"/>
      <c r="J61" s="622"/>
      <c r="K61" s="982"/>
      <c r="L61" s="932"/>
    </row>
    <row r="62" spans="1:14" s="224" customFormat="1" ht="14.25" customHeight="1" x14ac:dyDescent="0.25">
      <c r="A62" s="215">
        <v>43693</v>
      </c>
      <c r="B62" s="349" t="s">
        <v>2328</v>
      </c>
      <c r="C62" s="352" t="s">
        <v>12</v>
      </c>
      <c r="D62" s="874" t="s">
        <v>1525</v>
      </c>
      <c r="E62" s="875" t="s">
        <v>15</v>
      </c>
      <c r="F62" s="780">
        <v>24</v>
      </c>
      <c r="G62" s="627"/>
      <c r="H62" s="622"/>
      <c r="I62" s="982"/>
      <c r="J62" s="622"/>
      <c r="K62" s="982"/>
      <c r="L62" s="883"/>
      <c r="M62" s="89"/>
    </row>
    <row r="63" spans="1:14" s="224" customFormat="1" ht="15" customHeight="1" x14ac:dyDescent="0.25">
      <c r="A63" s="215">
        <v>43693</v>
      </c>
      <c r="B63" s="364" t="s">
        <v>14</v>
      </c>
      <c r="C63" s="350" t="s">
        <v>12</v>
      </c>
      <c r="D63" s="350" t="s">
        <v>1486</v>
      </c>
      <c r="E63" s="875" t="s">
        <v>13</v>
      </c>
      <c r="F63" s="97">
        <v>4</v>
      </c>
      <c r="G63" s="946"/>
      <c r="H63" s="97"/>
      <c r="I63" s="982"/>
      <c r="J63" s="622"/>
      <c r="K63" s="982"/>
      <c r="L63" s="883"/>
      <c r="M63" s="89"/>
      <c r="N63" s="930"/>
    </row>
    <row r="64" spans="1:14" s="224" customFormat="1" ht="15" customHeight="1" x14ac:dyDescent="0.25">
      <c r="A64" s="215">
        <v>43694</v>
      </c>
      <c r="B64" s="862" t="s">
        <v>256</v>
      </c>
      <c r="C64" s="879"/>
      <c r="D64" s="879"/>
      <c r="E64" s="871"/>
      <c r="F64" s="97"/>
      <c r="G64" s="946">
        <v>372.22</v>
      </c>
      <c r="H64" s="97">
        <v>372.22</v>
      </c>
      <c r="I64" s="982"/>
      <c r="J64" s="622"/>
      <c r="K64" s="982"/>
      <c r="N64" s="930"/>
    </row>
    <row r="65" spans="1:14" s="224" customFormat="1" ht="14.25" customHeight="1" x14ac:dyDescent="0.25">
      <c r="A65" s="215">
        <v>43694</v>
      </c>
      <c r="B65" s="349" t="s">
        <v>1438</v>
      </c>
      <c r="C65" s="352" t="s">
        <v>19</v>
      </c>
      <c r="D65" s="874" t="s">
        <v>1489</v>
      </c>
      <c r="E65" s="875" t="s">
        <v>13</v>
      </c>
      <c r="F65" s="780">
        <v>70.58</v>
      </c>
      <c r="G65" s="627"/>
      <c r="H65" s="622"/>
      <c r="I65" s="982"/>
      <c r="J65" s="622"/>
      <c r="K65" s="982"/>
      <c r="L65" s="709"/>
    </row>
    <row r="66" spans="1:14" s="224" customFormat="1" ht="15" customHeight="1" x14ac:dyDescent="0.25">
      <c r="A66" s="215">
        <v>43694</v>
      </c>
      <c r="B66" s="349" t="s">
        <v>2198</v>
      </c>
      <c r="C66" s="350" t="s">
        <v>12</v>
      </c>
      <c r="D66" s="350" t="s">
        <v>2157</v>
      </c>
      <c r="E66" s="480" t="s">
        <v>15</v>
      </c>
      <c r="F66" s="780">
        <v>40</v>
      </c>
      <c r="G66" s="946"/>
      <c r="H66" s="97"/>
      <c r="I66" s="946"/>
      <c r="J66" s="97"/>
      <c r="K66" s="946"/>
    </row>
    <row r="67" spans="1:14" s="224" customFormat="1" ht="15" customHeight="1" x14ac:dyDescent="0.25">
      <c r="A67" s="215">
        <v>43695</v>
      </c>
      <c r="B67" s="364" t="s">
        <v>14</v>
      </c>
      <c r="C67" s="350" t="s">
        <v>12</v>
      </c>
      <c r="D67" s="350" t="s">
        <v>1486</v>
      </c>
      <c r="E67" s="875" t="s">
        <v>13</v>
      </c>
      <c r="F67" s="97">
        <v>8.9499999999999993</v>
      </c>
      <c r="G67" s="946"/>
      <c r="H67" s="97"/>
      <c r="I67" s="982"/>
      <c r="J67" s="622"/>
      <c r="K67" s="982"/>
      <c r="L67" s="883"/>
      <c r="M67" s="89"/>
      <c r="N67" s="930"/>
    </row>
    <row r="68" spans="1:14" s="224" customFormat="1" ht="15" customHeight="1" x14ac:dyDescent="0.25">
      <c r="A68" s="215">
        <v>43695</v>
      </c>
      <c r="B68" s="349" t="s">
        <v>151</v>
      </c>
      <c r="C68" s="352" t="s">
        <v>12</v>
      </c>
      <c r="D68" s="874" t="s">
        <v>1485</v>
      </c>
      <c r="E68" s="875" t="s">
        <v>13</v>
      </c>
      <c r="F68" s="780">
        <v>26.64</v>
      </c>
      <c r="G68" s="982"/>
      <c r="H68" s="622"/>
      <c r="I68" s="982"/>
      <c r="J68" s="622"/>
      <c r="K68" s="982"/>
      <c r="L68" s="950"/>
    </row>
    <row r="69" spans="1:14" s="224" customFormat="1" ht="14.25" customHeight="1" x14ac:dyDescent="0.25">
      <c r="A69" s="215">
        <v>43695</v>
      </c>
      <c r="B69" s="349" t="s">
        <v>134</v>
      </c>
      <c r="C69" s="352" t="s">
        <v>12</v>
      </c>
      <c r="D69" s="874" t="s">
        <v>1493</v>
      </c>
      <c r="E69" s="875" t="s">
        <v>13</v>
      </c>
      <c r="F69" s="780">
        <v>26.1</v>
      </c>
      <c r="G69" s="627"/>
      <c r="H69" s="622"/>
      <c r="I69" s="982"/>
      <c r="J69" s="622"/>
      <c r="K69" s="982"/>
      <c r="L69" s="951"/>
    </row>
    <row r="70" spans="1:14" s="224" customFormat="1" ht="15" customHeight="1" x14ac:dyDescent="0.25">
      <c r="A70" s="215">
        <v>43696</v>
      </c>
      <c r="B70" s="349" t="s">
        <v>151</v>
      </c>
      <c r="C70" s="352" t="s">
        <v>12</v>
      </c>
      <c r="D70" s="874" t="s">
        <v>1485</v>
      </c>
      <c r="E70" s="875" t="s">
        <v>15</v>
      </c>
      <c r="F70" s="780">
        <v>14</v>
      </c>
      <c r="G70" s="982"/>
      <c r="H70" s="622"/>
      <c r="I70" s="982"/>
      <c r="J70" s="622"/>
      <c r="K70" s="982"/>
      <c r="L70" s="950"/>
    </row>
    <row r="71" spans="1:14" s="224" customFormat="1" ht="15" customHeight="1" x14ac:dyDescent="0.25">
      <c r="A71" s="215">
        <v>43696</v>
      </c>
      <c r="B71" s="349" t="s">
        <v>1241</v>
      </c>
      <c r="C71" s="352" t="s">
        <v>12</v>
      </c>
      <c r="D71" s="874" t="s">
        <v>1504</v>
      </c>
      <c r="E71" s="875" t="s">
        <v>13</v>
      </c>
      <c r="F71" s="780">
        <v>10</v>
      </c>
      <c r="G71" s="946"/>
      <c r="H71" s="97"/>
      <c r="I71" s="982"/>
      <c r="J71" s="622"/>
      <c r="K71" s="982"/>
    </row>
    <row r="72" spans="1:14" s="224" customFormat="1" ht="14.25" customHeight="1" x14ac:dyDescent="0.25">
      <c r="A72" s="215">
        <v>43696</v>
      </c>
      <c r="B72" s="349" t="s">
        <v>81</v>
      </c>
      <c r="C72" s="352" t="s">
        <v>12</v>
      </c>
      <c r="D72" s="874" t="s">
        <v>1493</v>
      </c>
      <c r="E72" s="875" t="s">
        <v>15</v>
      </c>
      <c r="F72" s="780">
        <v>1.5</v>
      </c>
      <c r="G72" s="627"/>
      <c r="H72" s="622"/>
      <c r="I72" s="982"/>
      <c r="J72" s="622"/>
      <c r="K72" s="982"/>
      <c r="L72" s="951"/>
    </row>
    <row r="73" spans="1:14" s="224" customFormat="1" ht="14.25" customHeight="1" x14ac:dyDescent="0.25">
      <c r="A73" s="215">
        <v>43696</v>
      </c>
      <c r="B73" s="349" t="s">
        <v>2329</v>
      </c>
      <c r="C73" s="352" t="s">
        <v>12</v>
      </c>
      <c r="D73" s="874" t="s">
        <v>1504</v>
      </c>
      <c r="E73" s="875" t="s">
        <v>13</v>
      </c>
      <c r="F73" s="780">
        <v>50</v>
      </c>
      <c r="G73" s="627"/>
      <c r="H73" s="622"/>
      <c r="I73" s="982"/>
      <c r="J73" s="622"/>
      <c r="K73" s="982"/>
      <c r="L73" s="953">
        <v>100</v>
      </c>
    </row>
    <row r="74" spans="1:14" s="224" customFormat="1" ht="14.25" customHeight="1" x14ac:dyDescent="0.25">
      <c r="A74" s="215">
        <v>43696</v>
      </c>
      <c r="B74" s="364" t="s">
        <v>14</v>
      </c>
      <c r="C74" s="350" t="s">
        <v>12</v>
      </c>
      <c r="D74" s="350" t="s">
        <v>1486</v>
      </c>
      <c r="E74" s="875" t="s">
        <v>13</v>
      </c>
      <c r="F74" s="780">
        <v>4.24</v>
      </c>
      <c r="G74" s="627"/>
      <c r="H74" s="622"/>
      <c r="I74" s="982"/>
      <c r="J74" s="622"/>
      <c r="K74" s="982"/>
      <c r="L74" s="951"/>
    </row>
    <row r="75" spans="1:14" x14ac:dyDescent="0.25">
      <c r="A75" s="215">
        <v>43697</v>
      </c>
      <c r="B75" s="882" t="s">
        <v>2330</v>
      </c>
      <c r="C75" s="350" t="s">
        <v>12</v>
      </c>
      <c r="D75" s="145"/>
      <c r="E75" s="145" t="s">
        <v>25</v>
      </c>
      <c r="F75" s="1524"/>
      <c r="G75" s="946">
        <v>1660</v>
      </c>
      <c r="H75" s="97"/>
      <c r="I75" s="946"/>
      <c r="J75" s="97"/>
      <c r="K75" s="946"/>
      <c r="L75" s="952"/>
      <c r="M75" s="85"/>
    </row>
    <row r="76" spans="1:14" s="224" customFormat="1" x14ac:dyDescent="0.25">
      <c r="A76" s="215">
        <v>43697</v>
      </c>
      <c r="B76" s="873" t="s">
        <v>1564</v>
      </c>
      <c r="C76" s="879" t="s">
        <v>12</v>
      </c>
      <c r="D76" s="350" t="s">
        <v>1491</v>
      </c>
      <c r="E76" s="871" t="s">
        <v>15</v>
      </c>
      <c r="F76" s="622">
        <v>140</v>
      </c>
      <c r="G76" s="982"/>
      <c r="H76" s="622"/>
      <c r="I76" s="982"/>
      <c r="J76" s="622"/>
      <c r="K76" s="982"/>
      <c r="L76" s="949"/>
    </row>
    <row r="77" spans="1:14" s="224" customFormat="1" ht="15.75" customHeight="1" x14ac:dyDescent="0.25">
      <c r="A77" s="215">
        <v>43697</v>
      </c>
      <c r="B77" s="882" t="s">
        <v>2331</v>
      </c>
      <c r="C77" s="879" t="s">
        <v>12</v>
      </c>
      <c r="D77" s="879" t="s">
        <v>1499</v>
      </c>
      <c r="E77" s="871" t="s">
        <v>13</v>
      </c>
      <c r="F77" s="622">
        <v>50.2</v>
      </c>
      <c r="G77" s="1002"/>
      <c r="H77" s="538"/>
      <c r="I77" s="982"/>
      <c r="J77" s="622"/>
      <c r="K77" s="982"/>
      <c r="L77" s="949">
        <v>138.19999999999999</v>
      </c>
    </row>
    <row r="78" spans="1:14" s="224" customFormat="1" ht="15" customHeight="1" x14ac:dyDescent="0.25">
      <c r="A78" s="215">
        <v>43670</v>
      </c>
      <c r="B78" s="349" t="s">
        <v>2332</v>
      </c>
      <c r="C78" s="352" t="s">
        <v>12</v>
      </c>
      <c r="D78" s="874" t="s">
        <v>1491</v>
      </c>
      <c r="E78" s="875" t="s">
        <v>15</v>
      </c>
      <c r="F78" s="780">
        <v>60</v>
      </c>
      <c r="G78" s="946"/>
      <c r="H78" s="97"/>
      <c r="I78" s="946"/>
      <c r="J78" s="97"/>
      <c r="K78" s="946"/>
      <c r="L78" s="3135">
        <v>190</v>
      </c>
      <c r="M78" s="944"/>
    </row>
    <row r="79" spans="1:14" s="224" customFormat="1" ht="15" customHeight="1" x14ac:dyDescent="0.25">
      <c r="A79" s="215">
        <v>43670</v>
      </c>
      <c r="B79" s="349" t="s">
        <v>2333</v>
      </c>
      <c r="C79" s="352" t="s">
        <v>12</v>
      </c>
      <c r="D79" s="874" t="s">
        <v>1489</v>
      </c>
      <c r="E79" s="875" t="s">
        <v>15</v>
      </c>
      <c r="F79" s="780">
        <v>35</v>
      </c>
      <c r="G79" s="946"/>
      <c r="H79" s="97"/>
      <c r="I79" s="946"/>
      <c r="J79" s="97"/>
      <c r="K79" s="946"/>
      <c r="L79" s="3135"/>
      <c r="M79" s="944"/>
    </row>
    <row r="80" spans="1:14" s="224" customFormat="1" ht="15" customHeight="1" x14ac:dyDescent="0.25">
      <c r="A80" s="215">
        <v>43697</v>
      </c>
      <c r="B80" s="349" t="s">
        <v>2334</v>
      </c>
      <c r="C80" s="352" t="s">
        <v>19</v>
      </c>
      <c r="D80" s="874" t="s">
        <v>1525</v>
      </c>
      <c r="E80" s="875" t="s">
        <v>13</v>
      </c>
      <c r="F80" s="780">
        <v>300</v>
      </c>
      <c r="G80" s="946"/>
      <c r="H80" s="97"/>
      <c r="I80" s="982"/>
      <c r="J80" s="622"/>
      <c r="K80" s="982"/>
      <c r="L80" s="3136" t="s">
        <v>2335</v>
      </c>
      <c r="M80" s="3137"/>
      <c r="N80" s="969"/>
    </row>
    <row r="81" spans="1:14" s="224" customFormat="1" ht="15" customHeight="1" x14ac:dyDescent="0.25">
      <c r="A81" s="215">
        <v>43697</v>
      </c>
      <c r="B81" s="349" t="s">
        <v>260</v>
      </c>
      <c r="C81" s="350" t="s">
        <v>12</v>
      </c>
      <c r="D81" s="350"/>
      <c r="E81" s="480"/>
      <c r="F81" s="780">
        <v>370</v>
      </c>
      <c r="G81" s="946"/>
      <c r="H81" s="97"/>
      <c r="I81" s="946">
        <v>370</v>
      </c>
      <c r="J81" s="97"/>
      <c r="K81" s="946"/>
      <c r="L81" s="923"/>
      <c r="N81" s="930"/>
    </row>
    <row r="82" spans="1:14" s="224" customFormat="1" ht="15" customHeight="1" x14ac:dyDescent="0.25">
      <c r="A82" s="215">
        <v>43697</v>
      </c>
      <c r="B82" s="349" t="s">
        <v>151</v>
      </c>
      <c r="C82" s="352" t="s">
        <v>12</v>
      </c>
      <c r="D82" s="874" t="s">
        <v>1485</v>
      </c>
      <c r="E82" s="875" t="s">
        <v>15</v>
      </c>
      <c r="F82" s="780">
        <v>14</v>
      </c>
      <c r="G82" s="982"/>
      <c r="H82" s="622"/>
      <c r="I82" s="982"/>
      <c r="J82" s="622"/>
      <c r="K82" s="982"/>
      <c r="L82" s="950"/>
    </row>
    <row r="83" spans="1:14" s="224" customFormat="1" ht="14.25" customHeight="1" x14ac:dyDescent="0.25">
      <c r="A83" s="215">
        <v>43697</v>
      </c>
      <c r="B83" s="364" t="s">
        <v>14</v>
      </c>
      <c r="C83" s="350" t="s">
        <v>12</v>
      </c>
      <c r="D83" s="350" t="s">
        <v>1486</v>
      </c>
      <c r="E83" s="875" t="s">
        <v>13</v>
      </c>
      <c r="F83" s="780">
        <v>7.11</v>
      </c>
      <c r="G83" s="627"/>
      <c r="H83" s="622"/>
      <c r="I83" s="982"/>
      <c r="J83" s="622"/>
      <c r="K83" s="982"/>
      <c r="L83" s="951"/>
    </row>
    <row r="84" spans="1:14" s="224" customFormat="1" ht="15" customHeight="1" x14ac:dyDescent="0.25">
      <c r="A84" s="215">
        <v>43697</v>
      </c>
      <c r="B84" s="349" t="s">
        <v>2336</v>
      </c>
      <c r="C84" s="352" t="s">
        <v>12</v>
      </c>
      <c r="D84" s="874" t="s">
        <v>1491</v>
      </c>
      <c r="E84" s="875" t="s">
        <v>15</v>
      </c>
      <c r="F84" s="780">
        <v>40</v>
      </c>
      <c r="G84" s="946"/>
      <c r="H84" s="97"/>
      <c r="I84" s="982"/>
      <c r="J84" s="622"/>
      <c r="K84" s="982"/>
      <c r="L84" s="949"/>
    </row>
    <row r="85" spans="1:14" s="224" customFormat="1" x14ac:dyDescent="0.25">
      <c r="A85" s="215">
        <v>43698</v>
      </c>
      <c r="B85" s="364" t="s">
        <v>14</v>
      </c>
      <c r="C85" s="350" t="s">
        <v>12</v>
      </c>
      <c r="D85" s="350" t="s">
        <v>1486</v>
      </c>
      <c r="E85" s="875" t="s">
        <v>13</v>
      </c>
      <c r="F85" s="780">
        <v>14.92</v>
      </c>
      <c r="G85" s="982"/>
      <c r="H85" s="622"/>
      <c r="I85" s="982"/>
      <c r="J85" s="622"/>
      <c r="K85" s="982"/>
      <c r="L85" s="949"/>
    </row>
    <row r="86" spans="1:14" s="224" customFormat="1" ht="15" customHeight="1" x14ac:dyDescent="0.25">
      <c r="A86" s="215">
        <v>43699</v>
      </c>
      <c r="B86" s="349" t="s">
        <v>151</v>
      </c>
      <c r="C86" s="352" t="s">
        <v>12</v>
      </c>
      <c r="D86" s="874" t="s">
        <v>1485</v>
      </c>
      <c r="E86" s="875" t="s">
        <v>15</v>
      </c>
      <c r="F86" s="780">
        <v>15</v>
      </c>
      <c r="G86" s="982"/>
      <c r="H86" s="622"/>
      <c r="I86" s="982"/>
      <c r="J86" s="622"/>
      <c r="K86" s="982"/>
      <c r="L86" s="950"/>
    </row>
    <row r="87" spans="1:14" s="224" customFormat="1" ht="15" customHeight="1" x14ac:dyDescent="0.25">
      <c r="A87" s="215">
        <v>43699</v>
      </c>
      <c r="B87" s="364" t="s">
        <v>14</v>
      </c>
      <c r="C87" s="350" t="s">
        <v>12</v>
      </c>
      <c r="D87" s="350" t="s">
        <v>1486</v>
      </c>
      <c r="E87" s="875" t="s">
        <v>13</v>
      </c>
      <c r="F87" s="780">
        <v>4.09</v>
      </c>
      <c r="G87" s="946"/>
      <c r="H87" s="97"/>
      <c r="I87" s="982"/>
      <c r="J87" s="622"/>
      <c r="K87" s="982"/>
      <c r="L87" s="949"/>
    </row>
    <row r="88" spans="1:14" s="224" customFormat="1" ht="15" customHeight="1" x14ac:dyDescent="0.25">
      <c r="A88" s="215">
        <v>43700</v>
      </c>
      <c r="B88" s="349" t="s">
        <v>2337</v>
      </c>
      <c r="C88" s="350" t="s">
        <v>12</v>
      </c>
      <c r="D88" s="350" t="s">
        <v>1522</v>
      </c>
      <c r="E88" s="480" t="s">
        <v>15</v>
      </c>
      <c r="F88" s="780">
        <v>50</v>
      </c>
      <c r="G88" s="946"/>
      <c r="H88" s="97"/>
      <c r="I88" s="946"/>
      <c r="J88" s="97"/>
      <c r="K88" s="946"/>
    </row>
    <row r="89" spans="1:14" s="224" customFormat="1" ht="15" customHeight="1" x14ac:dyDescent="0.25">
      <c r="A89" s="215">
        <v>43700</v>
      </c>
      <c r="B89" s="349" t="s">
        <v>2338</v>
      </c>
      <c r="C89" s="352" t="s">
        <v>19</v>
      </c>
      <c r="D89" s="874" t="s">
        <v>1523</v>
      </c>
      <c r="E89" s="875" t="s">
        <v>13</v>
      </c>
      <c r="F89" s="780">
        <v>38.07</v>
      </c>
      <c r="G89" s="946"/>
      <c r="H89" s="97"/>
      <c r="I89" s="982"/>
      <c r="J89" s="622"/>
      <c r="K89" s="982"/>
    </row>
    <row r="90" spans="1:14" s="224" customFormat="1" ht="15" customHeight="1" x14ac:dyDescent="0.25">
      <c r="A90" s="215">
        <v>43700</v>
      </c>
      <c r="B90" s="349" t="s">
        <v>134</v>
      </c>
      <c r="C90" s="352" t="s">
        <v>19</v>
      </c>
      <c r="D90" s="874" t="s">
        <v>1493</v>
      </c>
      <c r="E90" s="875" t="s">
        <v>13</v>
      </c>
      <c r="F90" s="780">
        <v>18.55</v>
      </c>
      <c r="G90" s="946"/>
      <c r="H90" s="97"/>
      <c r="I90" s="982"/>
      <c r="J90" s="622"/>
      <c r="K90" s="982"/>
    </row>
    <row r="91" spans="1:14" s="224" customFormat="1" ht="15" customHeight="1" x14ac:dyDescent="0.25">
      <c r="A91" s="215">
        <v>43700</v>
      </c>
      <c r="B91" s="349" t="s">
        <v>2198</v>
      </c>
      <c r="C91" s="350" t="s">
        <v>12</v>
      </c>
      <c r="D91" s="350" t="s">
        <v>2157</v>
      </c>
      <c r="E91" s="480" t="s">
        <v>13</v>
      </c>
      <c r="F91" s="780">
        <v>60</v>
      </c>
      <c r="G91" s="946"/>
      <c r="H91" s="97"/>
      <c r="I91" s="946"/>
      <c r="J91" s="97"/>
      <c r="K91" s="946"/>
    </row>
    <row r="92" spans="1:14" s="224" customFormat="1" ht="15" customHeight="1" x14ac:dyDescent="0.25">
      <c r="A92" s="215">
        <v>43701</v>
      </c>
      <c r="B92" s="862" t="s">
        <v>2339</v>
      </c>
      <c r="C92" s="350" t="s">
        <v>12</v>
      </c>
      <c r="D92" s="874" t="s">
        <v>1489</v>
      </c>
      <c r="E92" s="887" t="s">
        <v>13</v>
      </c>
      <c r="F92" s="780">
        <v>17.5</v>
      </c>
      <c r="G92" s="946"/>
      <c r="H92" s="97"/>
      <c r="I92" s="982"/>
      <c r="J92" s="622"/>
      <c r="K92" s="982"/>
      <c r="L92" s="938"/>
    </row>
    <row r="93" spans="1:14" s="224" customFormat="1" ht="15" customHeight="1" x14ac:dyDescent="0.25">
      <c r="A93" s="215">
        <v>43701</v>
      </c>
      <c r="B93" s="862" t="s">
        <v>2340</v>
      </c>
      <c r="C93" s="350" t="s">
        <v>12</v>
      </c>
      <c r="D93" s="874" t="s">
        <v>1489</v>
      </c>
      <c r="E93" s="887" t="s">
        <v>13</v>
      </c>
      <c r="F93" s="780">
        <v>4</v>
      </c>
      <c r="G93" s="946"/>
      <c r="H93" s="97"/>
      <c r="I93" s="982"/>
      <c r="J93" s="622"/>
      <c r="K93" s="982"/>
      <c r="L93" s="938"/>
    </row>
    <row r="94" spans="1:14" s="224" customFormat="1" ht="15" customHeight="1" x14ac:dyDescent="0.25">
      <c r="A94" s="215">
        <v>43701</v>
      </c>
      <c r="B94" s="349" t="s">
        <v>2338</v>
      </c>
      <c r="C94" s="352" t="s">
        <v>12</v>
      </c>
      <c r="D94" s="874" t="s">
        <v>1523</v>
      </c>
      <c r="E94" s="875" t="s">
        <v>13</v>
      </c>
      <c r="F94" s="780">
        <v>29.55</v>
      </c>
      <c r="G94" s="946"/>
      <c r="H94" s="97"/>
      <c r="I94" s="982"/>
      <c r="J94" s="622"/>
      <c r="K94" s="982"/>
      <c r="L94" s="938"/>
    </row>
    <row r="95" spans="1:14" s="224" customFormat="1" ht="15" customHeight="1" x14ac:dyDescent="0.25">
      <c r="A95" s="215">
        <v>43701</v>
      </c>
      <c r="B95" s="862" t="s">
        <v>2302</v>
      </c>
      <c r="C95" s="350" t="s">
        <v>12</v>
      </c>
      <c r="D95" s="874" t="s">
        <v>1504</v>
      </c>
      <c r="E95" s="887" t="s">
        <v>13</v>
      </c>
      <c r="F95" s="780">
        <v>70</v>
      </c>
      <c r="G95" s="946"/>
      <c r="H95" s="97"/>
      <c r="I95" s="982"/>
      <c r="J95" s="622"/>
      <c r="K95" s="982"/>
      <c r="L95" s="956">
        <v>140</v>
      </c>
    </row>
    <row r="96" spans="1:14" s="224" customFormat="1" ht="15" customHeight="1" x14ac:dyDescent="0.25">
      <c r="A96" s="215">
        <v>43702</v>
      </c>
      <c r="B96" s="349" t="s">
        <v>134</v>
      </c>
      <c r="C96" s="352" t="s">
        <v>19</v>
      </c>
      <c r="D96" s="874" t="s">
        <v>1493</v>
      </c>
      <c r="E96" s="875" t="s">
        <v>15</v>
      </c>
      <c r="F96" s="780">
        <v>5</v>
      </c>
      <c r="G96" s="946"/>
      <c r="H96" s="97"/>
      <c r="I96" s="982"/>
      <c r="J96" s="622"/>
      <c r="K96" s="982"/>
    </row>
    <row r="97" spans="1:14" s="224" customFormat="1" ht="15" customHeight="1" x14ac:dyDescent="0.25">
      <c r="A97" s="215">
        <v>43702</v>
      </c>
      <c r="B97" s="364" t="s">
        <v>14</v>
      </c>
      <c r="C97" s="350" t="s">
        <v>12</v>
      </c>
      <c r="D97" s="350" t="s">
        <v>1486</v>
      </c>
      <c r="E97" s="875" t="s">
        <v>13</v>
      </c>
      <c r="F97" s="780">
        <v>3.71</v>
      </c>
      <c r="G97" s="946"/>
      <c r="H97" s="97"/>
      <c r="I97" s="982"/>
      <c r="J97" s="622"/>
      <c r="K97" s="982"/>
    </row>
    <row r="98" spans="1:14" s="224" customFormat="1" ht="15" customHeight="1" x14ac:dyDescent="0.25">
      <c r="A98" s="215">
        <v>43703</v>
      </c>
      <c r="B98" s="349" t="s">
        <v>1241</v>
      </c>
      <c r="C98" s="352" t="s">
        <v>12</v>
      </c>
      <c r="D98" s="874" t="s">
        <v>1504</v>
      </c>
      <c r="E98" s="875" t="s">
        <v>13</v>
      </c>
      <c r="F98" s="780">
        <v>10</v>
      </c>
      <c r="G98" s="946"/>
      <c r="H98" s="97"/>
      <c r="I98" s="982"/>
      <c r="J98" s="622"/>
      <c r="K98" s="982"/>
    </row>
    <row r="99" spans="1:14" s="224" customFormat="1" ht="15" customHeight="1" x14ac:dyDescent="0.25">
      <c r="A99" s="215">
        <v>43703</v>
      </c>
      <c r="B99" s="349" t="s">
        <v>151</v>
      </c>
      <c r="C99" s="352" t="s">
        <v>12</v>
      </c>
      <c r="D99" s="874" t="s">
        <v>1485</v>
      </c>
      <c r="E99" s="875" t="s">
        <v>13</v>
      </c>
      <c r="F99" s="780">
        <v>14</v>
      </c>
      <c r="G99" s="982"/>
      <c r="H99" s="622"/>
      <c r="I99" s="982"/>
      <c r="J99" s="622"/>
      <c r="K99" s="982"/>
      <c r="L99" s="950"/>
    </row>
    <row r="100" spans="1:14" s="224" customFormat="1" ht="15" customHeight="1" x14ac:dyDescent="0.25">
      <c r="A100" s="215">
        <v>43703</v>
      </c>
      <c r="B100" s="349" t="s">
        <v>2198</v>
      </c>
      <c r="C100" s="350" t="s">
        <v>19</v>
      </c>
      <c r="D100" s="350" t="s">
        <v>2157</v>
      </c>
      <c r="E100" s="480" t="s">
        <v>13</v>
      </c>
      <c r="F100" s="780">
        <v>75</v>
      </c>
      <c r="G100" s="946"/>
      <c r="H100" s="97"/>
      <c r="I100" s="946"/>
      <c r="J100" s="97"/>
      <c r="K100" s="946"/>
    </row>
    <row r="101" spans="1:14" s="224" customFormat="1" ht="15" customHeight="1" x14ac:dyDescent="0.25">
      <c r="A101" s="215">
        <v>43703</v>
      </c>
      <c r="B101" s="349" t="s">
        <v>2341</v>
      </c>
      <c r="C101" s="352" t="s">
        <v>19</v>
      </c>
      <c r="D101" s="874" t="s">
        <v>1506</v>
      </c>
      <c r="E101" s="875" t="s">
        <v>13</v>
      </c>
      <c r="F101" s="780">
        <v>30</v>
      </c>
      <c r="G101" s="946"/>
      <c r="H101" s="97"/>
      <c r="I101" s="982"/>
      <c r="J101" s="622"/>
      <c r="K101" s="982"/>
    </row>
    <row r="102" spans="1:14" s="224" customFormat="1" ht="15" customHeight="1" x14ac:dyDescent="0.25">
      <c r="A102" s="215">
        <v>43703</v>
      </c>
      <c r="B102" s="364" t="s">
        <v>14</v>
      </c>
      <c r="C102" s="350" t="s">
        <v>12</v>
      </c>
      <c r="D102" s="350" t="s">
        <v>1486</v>
      </c>
      <c r="E102" s="875" t="s">
        <v>13</v>
      </c>
      <c r="F102" s="780">
        <v>3.21</v>
      </c>
      <c r="G102" s="946"/>
      <c r="H102" s="97"/>
      <c r="I102" s="982"/>
      <c r="J102" s="622"/>
      <c r="K102" s="982"/>
    </row>
    <row r="103" spans="1:14" s="224" customFormat="1" ht="15" customHeight="1" x14ac:dyDescent="0.25">
      <c r="A103" s="215">
        <v>43704</v>
      </c>
      <c r="B103" s="349" t="s">
        <v>151</v>
      </c>
      <c r="C103" s="352" t="s">
        <v>12</v>
      </c>
      <c r="D103" s="874" t="s">
        <v>1485</v>
      </c>
      <c r="E103" s="875" t="s">
        <v>15</v>
      </c>
      <c r="F103" s="780">
        <v>14</v>
      </c>
      <c r="G103" s="982"/>
      <c r="H103" s="622"/>
      <c r="I103" s="982"/>
      <c r="J103" s="622"/>
      <c r="K103" s="982"/>
      <c r="L103" s="950"/>
    </row>
    <row r="104" spans="1:14" s="224" customFormat="1" ht="15" customHeight="1" x14ac:dyDescent="0.25">
      <c r="A104" s="215">
        <v>43704</v>
      </c>
      <c r="B104" s="364" t="s">
        <v>14</v>
      </c>
      <c r="C104" s="350" t="s">
        <v>12</v>
      </c>
      <c r="D104" s="350" t="s">
        <v>1486</v>
      </c>
      <c r="E104" s="875" t="s">
        <v>13</v>
      </c>
      <c r="F104" s="780">
        <v>3.49</v>
      </c>
      <c r="G104" s="946"/>
      <c r="H104" s="97"/>
      <c r="I104" s="982"/>
      <c r="J104" s="622"/>
      <c r="K104" s="982"/>
    </row>
    <row r="105" spans="1:14" s="224" customFormat="1" ht="15" customHeight="1" x14ac:dyDescent="0.25">
      <c r="A105" s="215">
        <v>43704</v>
      </c>
      <c r="B105" s="364" t="s">
        <v>2285</v>
      </c>
      <c r="C105" s="350" t="s">
        <v>12</v>
      </c>
      <c r="D105" s="350" t="s">
        <v>1491</v>
      </c>
      <c r="E105" s="875" t="s">
        <v>15</v>
      </c>
      <c r="F105" s="780">
        <v>100</v>
      </c>
      <c r="G105" s="946"/>
      <c r="H105" s="97"/>
      <c r="I105" s="982"/>
      <c r="J105" s="622"/>
      <c r="K105" s="982"/>
    </row>
    <row r="106" spans="1:14" s="224" customFormat="1" ht="15" customHeight="1" x14ac:dyDescent="0.25">
      <c r="A106" s="215">
        <v>43705</v>
      </c>
      <c r="B106" s="349" t="s">
        <v>151</v>
      </c>
      <c r="C106" s="352" t="s">
        <v>12</v>
      </c>
      <c r="D106" s="874" t="s">
        <v>1485</v>
      </c>
      <c r="E106" s="875" t="s">
        <v>13</v>
      </c>
      <c r="F106" s="780">
        <v>14</v>
      </c>
      <c r="G106" s="982"/>
      <c r="H106" s="622"/>
      <c r="I106" s="982"/>
      <c r="J106" s="622"/>
      <c r="K106" s="982"/>
      <c r="L106" s="950"/>
    </row>
    <row r="107" spans="1:14" s="224" customFormat="1" ht="15" customHeight="1" x14ac:dyDescent="0.25">
      <c r="A107" s="215">
        <v>43705</v>
      </c>
      <c r="B107" s="862" t="s">
        <v>256</v>
      </c>
      <c r="C107" s="879"/>
      <c r="D107" s="879"/>
      <c r="E107" s="871"/>
      <c r="F107" s="97"/>
      <c r="G107" s="946">
        <v>200</v>
      </c>
      <c r="H107" s="97">
        <v>200</v>
      </c>
      <c r="I107" s="982"/>
      <c r="J107" s="622"/>
      <c r="K107" s="982"/>
      <c r="N107" s="930"/>
    </row>
    <row r="108" spans="1:14" s="224" customFormat="1" ht="15" customHeight="1" x14ac:dyDescent="0.25">
      <c r="A108" s="215">
        <v>43705</v>
      </c>
      <c r="B108" s="364" t="s">
        <v>14</v>
      </c>
      <c r="C108" s="350" t="s">
        <v>12</v>
      </c>
      <c r="D108" s="350" t="s">
        <v>1486</v>
      </c>
      <c r="E108" s="875" t="s">
        <v>13</v>
      </c>
      <c r="F108" s="780">
        <v>3.63</v>
      </c>
      <c r="G108" s="946"/>
      <c r="H108" s="97"/>
      <c r="I108" s="946"/>
      <c r="J108" s="97"/>
      <c r="K108" s="946"/>
    </row>
    <row r="109" spans="1:14" s="224" customFormat="1" ht="15" customHeight="1" x14ac:dyDescent="0.25">
      <c r="A109" s="215">
        <v>43706</v>
      </c>
      <c r="B109" s="862" t="s">
        <v>1710</v>
      </c>
      <c r="C109" s="879" t="s">
        <v>12</v>
      </c>
      <c r="D109" s="879" t="s">
        <v>1504</v>
      </c>
      <c r="E109" s="871" t="s">
        <v>13</v>
      </c>
      <c r="F109" s="97">
        <v>32.9</v>
      </c>
      <c r="G109" s="434"/>
      <c r="H109" s="97"/>
      <c r="I109" s="946"/>
      <c r="J109" s="97"/>
      <c r="K109" s="946"/>
    </row>
    <row r="110" spans="1:14" s="224" customFormat="1" ht="15" customHeight="1" x14ac:dyDescent="0.25">
      <c r="A110" s="215">
        <v>43706</v>
      </c>
      <c r="B110" s="349" t="s">
        <v>151</v>
      </c>
      <c r="C110" s="352" t="s">
        <v>12</v>
      </c>
      <c r="D110" s="874" t="s">
        <v>1485</v>
      </c>
      <c r="E110" s="875" t="s">
        <v>15</v>
      </c>
      <c r="F110" s="780">
        <v>14</v>
      </c>
      <c r="G110" s="946"/>
      <c r="H110" s="97"/>
      <c r="I110" s="946"/>
      <c r="J110" s="97"/>
      <c r="K110" s="946"/>
    </row>
    <row r="111" spans="1:14" s="224" customFormat="1" ht="15" customHeight="1" x14ac:dyDescent="0.25">
      <c r="A111" s="215">
        <v>43706</v>
      </c>
      <c r="B111" s="349" t="s">
        <v>2227</v>
      </c>
      <c r="C111" s="350" t="s">
        <v>12</v>
      </c>
      <c r="D111" s="350" t="s">
        <v>1506</v>
      </c>
      <c r="E111" s="480" t="s">
        <v>15</v>
      </c>
      <c r="F111" s="780">
        <v>10</v>
      </c>
      <c r="G111" s="946"/>
      <c r="H111" s="97"/>
      <c r="I111" s="946"/>
      <c r="J111" s="97"/>
      <c r="K111" s="946"/>
    </row>
    <row r="112" spans="1:14" s="224" customFormat="1" ht="15" customHeight="1" x14ac:dyDescent="0.25">
      <c r="A112" s="215">
        <v>43706</v>
      </c>
      <c r="B112" s="862" t="s">
        <v>2096</v>
      </c>
      <c r="C112" s="879" t="s">
        <v>12</v>
      </c>
      <c r="D112" s="879" t="s">
        <v>1506</v>
      </c>
      <c r="E112" s="871" t="s">
        <v>15</v>
      </c>
      <c r="F112" s="780">
        <v>30</v>
      </c>
      <c r="G112" s="946"/>
      <c r="H112" s="97"/>
      <c r="I112" s="946"/>
      <c r="J112" s="97"/>
      <c r="K112" s="946"/>
    </row>
    <row r="113" spans="1:13" s="224" customFormat="1" ht="15" customHeight="1" x14ac:dyDescent="0.25">
      <c r="A113" s="215">
        <v>43707</v>
      </c>
      <c r="B113" s="364" t="s">
        <v>14</v>
      </c>
      <c r="C113" s="350" t="s">
        <v>12</v>
      </c>
      <c r="D113" s="350" t="s">
        <v>1486</v>
      </c>
      <c r="E113" s="875" t="s">
        <v>13</v>
      </c>
      <c r="F113" s="780">
        <v>3.82</v>
      </c>
      <c r="G113" s="946"/>
      <c r="H113" s="97"/>
      <c r="I113" s="946"/>
      <c r="J113" s="97"/>
      <c r="K113" s="946"/>
    </row>
    <row r="114" spans="1:13" s="224" customFormat="1" ht="15" customHeight="1" x14ac:dyDescent="0.25">
      <c r="A114" s="215">
        <v>43707</v>
      </c>
      <c r="B114" s="349" t="s">
        <v>151</v>
      </c>
      <c r="C114" s="352" t="s">
        <v>12</v>
      </c>
      <c r="D114" s="874" t="s">
        <v>1485</v>
      </c>
      <c r="E114" s="875" t="s">
        <v>15</v>
      </c>
      <c r="F114" s="780">
        <v>14</v>
      </c>
      <c r="G114" s="946"/>
      <c r="H114" s="97"/>
      <c r="I114" s="946"/>
      <c r="J114" s="97"/>
      <c r="K114" s="946"/>
    </row>
    <row r="115" spans="1:13" s="224" customFormat="1" ht="15" customHeight="1" x14ac:dyDescent="0.25">
      <c r="A115" s="215">
        <v>43707</v>
      </c>
      <c r="B115" s="349" t="s">
        <v>2342</v>
      </c>
      <c r="C115" s="352" t="s">
        <v>12</v>
      </c>
      <c r="D115" s="874" t="s">
        <v>1489</v>
      </c>
      <c r="E115" s="875" t="s">
        <v>15</v>
      </c>
      <c r="F115" s="850">
        <v>20</v>
      </c>
      <c r="G115" s="1482"/>
      <c r="H115" s="96"/>
      <c r="I115" s="1033"/>
      <c r="J115" s="622"/>
      <c r="K115" s="982"/>
    </row>
    <row r="116" spans="1:13" s="224" customFormat="1" ht="14.25" customHeight="1" x14ac:dyDescent="0.25">
      <c r="A116" s="215">
        <v>43676</v>
      </c>
      <c r="B116" s="349" t="s">
        <v>82</v>
      </c>
      <c r="C116" s="352" t="s">
        <v>12</v>
      </c>
      <c r="D116" s="874" t="s">
        <v>1493</v>
      </c>
      <c r="E116" s="875" t="s">
        <v>15</v>
      </c>
      <c r="F116" s="852">
        <v>35</v>
      </c>
      <c r="G116" s="888"/>
      <c r="H116" s="622"/>
      <c r="I116" s="982"/>
      <c r="J116" s="622"/>
      <c r="K116" s="982"/>
      <c r="L116" s="883"/>
      <c r="M116" s="89"/>
    </row>
    <row r="117" spans="1:13" s="224" customFormat="1" ht="15" customHeight="1" x14ac:dyDescent="0.25">
      <c r="A117" s="215">
        <v>43708</v>
      </c>
      <c r="B117" s="364" t="s">
        <v>14</v>
      </c>
      <c r="C117" s="350" t="s">
        <v>12</v>
      </c>
      <c r="D117" s="350" t="s">
        <v>1486</v>
      </c>
      <c r="E117" s="875" t="s">
        <v>13</v>
      </c>
      <c r="F117" s="780">
        <v>2.95</v>
      </c>
      <c r="G117" s="946"/>
      <c r="H117" s="97"/>
      <c r="I117" s="946"/>
      <c r="J117" s="97"/>
      <c r="K117" s="946"/>
    </row>
    <row r="118" spans="1:13" s="224" customFormat="1" ht="15.75" thickBot="1" x14ac:dyDescent="0.3">
      <c r="A118" s="215">
        <v>43708</v>
      </c>
      <c r="B118" s="862" t="s">
        <v>1666</v>
      </c>
      <c r="C118" s="350" t="s">
        <v>12</v>
      </c>
      <c r="D118" s="350"/>
      <c r="E118" s="480" t="s">
        <v>25</v>
      </c>
      <c r="F118" s="622"/>
      <c r="G118" s="1535"/>
      <c r="H118" s="622"/>
      <c r="I118" s="982"/>
      <c r="J118" s="622"/>
      <c r="K118" s="982">
        <v>27.31</v>
      </c>
    </row>
    <row r="119" spans="1:13" ht="25.5" customHeight="1" thickBot="1" x14ac:dyDescent="0.3">
      <c r="A119" s="3060"/>
      <c r="B119" s="3061"/>
      <c r="C119" s="3062"/>
      <c r="D119" s="3062"/>
      <c r="E119" s="3062"/>
      <c r="F119" s="100">
        <f>SUM(F6:F118)</f>
        <v>4250.1399999999994</v>
      </c>
      <c r="G119" s="1534">
        <f>SUM(G5:G118)</f>
        <v>4772.4200000000146</v>
      </c>
      <c r="H119" s="101">
        <f>SUM(H6:H118)</f>
        <v>772.22</v>
      </c>
      <c r="I119" s="93">
        <f>SUM(I5:I118)</f>
        <v>2072.2160000000022</v>
      </c>
      <c r="J119" s="101">
        <f>SUM(J6:J118)</f>
        <v>0</v>
      </c>
      <c r="K119" s="93">
        <f>SUM(K5:K118)</f>
        <v>6723.3200000000006</v>
      </c>
    </row>
    <row r="120" spans="1:13" ht="25.5" customHeight="1" thickBot="1" x14ac:dyDescent="0.3">
      <c r="A120" s="3117" t="s">
        <v>49</v>
      </c>
      <c r="B120" s="3118"/>
      <c r="C120" s="3118"/>
      <c r="D120" s="3118"/>
      <c r="E120" s="3118"/>
      <c r="F120" s="144"/>
      <c r="G120" s="519">
        <f>G119-F119</f>
        <v>522.28000000001521</v>
      </c>
      <c r="H120" s="555"/>
      <c r="I120" s="772">
        <f>I119-H119</f>
        <v>1299.9960000000021</v>
      </c>
      <c r="J120" s="555"/>
      <c r="K120" s="772">
        <f>K119-J119</f>
        <v>6723.3200000000006</v>
      </c>
    </row>
    <row r="121" spans="1:13" x14ac:dyDescent="0.25">
      <c r="E121" s="79"/>
      <c r="G121" s="868"/>
    </row>
    <row r="122" spans="1:13" x14ac:dyDescent="0.25">
      <c r="B122" s="79" t="s">
        <v>32</v>
      </c>
      <c r="C122" s="475">
        <v>329.64</v>
      </c>
      <c r="D122" s="85" t="s">
        <v>1485</v>
      </c>
      <c r="F122" s="79"/>
      <c r="J122" s="769"/>
      <c r="K122" s="866"/>
    </row>
    <row r="123" spans="1:13" x14ac:dyDescent="0.25">
      <c r="B123" s="79" t="s">
        <v>2187</v>
      </c>
      <c r="C123" s="475">
        <v>362.97</v>
      </c>
      <c r="D123" s="85" t="s">
        <v>2157</v>
      </c>
      <c r="J123" s="769"/>
      <c r="K123" s="868"/>
    </row>
    <row r="124" spans="1:13" x14ac:dyDescent="0.25">
      <c r="B124" s="79" t="s">
        <v>2188</v>
      </c>
      <c r="C124" s="475">
        <v>20</v>
      </c>
      <c r="D124" s="85" t="s">
        <v>2168</v>
      </c>
      <c r="J124" s="769"/>
      <c r="K124" s="868"/>
    </row>
    <row r="125" spans="1:13" x14ac:dyDescent="0.25">
      <c r="B125" s="79" t="s">
        <v>50</v>
      </c>
      <c r="C125" s="854">
        <v>217.97</v>
      </c>
      <c r="D125" s="85" t="s">
        <v>1493</v>
      </c>
      <c r="J125" s="769"/>
      <c r="K125" s="866"/>
    </row>
    <row r="126" spans="1:13" s="85" customFormat="1" x14ac:dyDescent="0.25">
      <c r="A126" s="79"/>
      <c r="B126" s="79" t="s">
        <v>14</v>
      </c>
      <c r="C126" s="484">
        <v>118.18</v>
      </c>
      <c r="D126" s="85" t="s">
        <v>1486</v>
      </c>
      <c r="J126" s="769"/>
      <c r="K126" s="866"/>
    </row>
    <row r="127" spans="1:13" s="85" customFormat="1" x14ac:dyDescent="0.25">
      <c r="A127" s="79"/>
      <c r="B127" s="79" t="s">
        <v>51</v>
      </c>
      <c r="C127" s="475">
        <v>71.510000000000005</v>
      </c>
      <c r="D127" s="864" t="s">
        <v>1499</v>
      </c>
      <c r="E127" s="79"/>
      <c r="F127" s="89"/>
      <c r="G127" s="79"/>
      <c r="H127" s="79"/>
      <c r="J127" s="769"/>
      <c r="K127" s="866"/>
    </row>
    <row r="128" spans="1:13" s="85" customFormat="1" x14ac:dyDescent="0.25">
      <c r="A128" s="79"/>
      <c r="B128" s="79" t="s">
        <v>2189</v>
      </c>
      <c r="C128" s="475">
        <v>60</v>
      </c>
      <c r="D128" s="864" t="s">
        <v>1496</v>
      </c>
      <c r="F128" s="89"/>
      <c r="G128" s="79"/>
      <c r="H128" s="79"/>
      <c r="I128" s="79"/>
    </row>
    <row r="129" spans="1:11" s="85" customFormat="1" x14ac:dyDescent="0.25">
      <c r="A129" s="79"/>
      <c r="B129" s="867" t="s">
        <v>53</v>
      </c>
      <c r="C129" s="475">
        <v>145.33000000000001</v>
      </c>
      <c r="D129" s="864" t="s">
        <v>1522</v>
      </c>
      <c r="E129" s="89"/>
      <c r="F129" s="769"/>
      <c r="G129" s="79"/>
    </row>
    <row r="130" spans="1:11" s="85" customFormat="1" x14ac:dyDescent="0.25">
      <c r="A130" s="79"/>
      <c r="B130" s="867" t="s">
        <v>2149</v>
      </c>
      <c r="C130" s="475">
        <v>57</v>
      </c>
      <c r="D130" s="864" t="s">
        <v>2131</v>
      </c>
      <c r="F130" s="769"/>
    </row>
    <row r="131" spans="1:11" s="85" customFormat="1" x14ac:dyDescent="0.25">
      <c r="A131" s="79"/>
      <c r="B131" s="79" t="s">
        <v>56</v>
      </c>
      <c r="C131" s="475">
        <v>107.62</v>
      </c>
      <c r="D131" s="864" t="s">
        <v>1523</v>
      </c>
      <c r="F131" s="769"/>
      <c r="G131" s="866"/>
    </row>
    <row r="132" spans="1:11" s="85" customFormat="1" x14ac:dyDescent="0.25">
      <c r="A132" s="79"/>
      <c r="B132" s="79" t="s">
        <v>1686</v>
      </c>
      <c r="C132" s="475">
        <v>285</v>
      </c>
      <c r="D132" s="864" t="s">
        <v>1506</v>
      </c>
      <c r="F132" s="769"/>
      <c r="G132" s="868"/>
    </row>
    <row r="133" spans="1:11" s="85" customFormat="1" x14ac:dyDescent="0.25">
      <c r="A133" s="79"/>
      <c r="B133" s="79" t="s">
        <v>418</v>
      </c>
      <c r="C133" s="475"/>
      <c r="D133" s="85" t="s">
        <v>1524</v>
      </c>
      <c r="E133" s="79"/>
      <c r="F133" s="89"/>
      <c r="J133" s="769"/>
      <c r="K133" s="866"/>
    </row>
    <row r="134" spans="1:11" x14ac:dyDescent="0.25">
      <c r="B134" s="79" t="s">
        <v>419</v>
      </c>
      <c r="C134" s="861">
        <v>529.5</v>
      </c>
      <c r="D134" s="85" t="s">
        <v>1491</v>
      </c>
      <c r="J134" s="769"/>
      <c r="K134" s="868"/>
    </row>
    <row r="135" spans="1:11" x14ac:dyDescent="0.25">
      <c r="B135" s="79" t="s">
        <v>911</v>
      </c>
      <c r="C135" s="861">
        <v>374</v>
      </c>
      <c r="D135" s="85" t="s">
        <v>1525</v>
      </c>
      <c r="J135" s="769"/>
      <c r="K135" s="868"/>
    </row>
    <row r="136" spans="1:11" x14ac:dyDescent="0.25">
      <c r="B136" s="79" t="s">
        <v>1526</v>
      </c>
      <c r="C136" s="861">
        <v>242.9</v>
      </c>
      <c r="D136" s="85" t="s">
        <v>1504</v>
      </c>
      <c r="E136" s="79"/>
      <c r="J136" s="769"/>
      <c r="K136" s="866"/>
    </row>
    <row r="137" spans="1:11" x14ac:dyDescent="0.25">
      <c r="B137" s="79" t="s">
        <v>2343</v>
      </c>
      <c r="C137" s="861">
        <v>208</v>
      </c>
      <c r="D137" s="85" t="s">
        <v>2315</v>
      </c>
      <c r="E137" s="79"/>
      <c r="J137" s="769"/>
      <c r="K137" s="866"/>
    </row>
    <row r="138" spans="1:11" x14ac:dyDescent="0.25">
      <c r="B138" s="79" t="s">
        <v>1527</v>
      </c>
      <c r="C138" s="861">
        <v>345.81</v>
      </c>
      <c r="D138" s="85" t="s">
        <v>1489</v>
      </c>
      <c r="J138" s="769"/>
      <c r="K138" s="868"/>
    </row>
    <row r="139" spans="1:11" x14ac:dyDescent="0.25">
      <c r="J139" s="769"/>
      <c r="K139" s="866"/>
    </row>
    <row r="140" spans="1:11" x14ac:dyDescent="0.25">
      <c r="H140" s="769"/>
      <c r="K140" s="866"/>
    </row>
    <row r="141" spans="1:11" x14ac:dyDescent="0.25">
      <c r="B141" s="79" t="s">
        <v>486</v>
      </c>
      <c r="C141" s="475">
        <f>H141/J141</f>
        <v>112.11064516129032</v>
      </c>
      <c r="F141" s="224" t="s">
        <v>487</v>
      </c>
      <c r="H141" s="216">
        <f>SUM(C122:C138)</f>
        <v>3475.43</v>
      </c>
      <c r="I141" s="518" t="s">
        <v>488</v>
      </c>
      <c r="J141" s="1517">
        <v>31</v>
      </c>
      <c r="K141" s="866"/>
    </row>
    <row r="142" spans="1:11" x14ac:dyDescent="0.25">
      <c r="E142" s="79"/>
      <c r="G142" s="85"/>
      <c r="J142" s="85"/>
    </row>
    <row r="143" spans="1:11" ht="15.75" customHeight="1" x14ac:dyDescent="0.25">
      <c r="E143" s="769"/>
      <c r="H143" s="629"/>
      <c r="J143" s="769"/>
      <c r="K143" s="868"/>
    </row>
    <row r="144" spans="1:11" x14ac:dyDescent="0.25">
      <c r="E144" s="79"/>
      <c r="F144" s="79"/>
      <c r="H144" s="866"/>
      <c r="K144" s="866"/>
    </row>
    <row r="145" spans="3:11" x14ac:dyDescent="0.25">
      <c r="D145" s="79"/>
      <c r="E145" s="79"/>
      <c r="J145" s="769"/>
      <c r="K145" s="866"/>
    </row>
    <row r="146" spans="3:11" x14ac:dyDescent="0.25">
      <c r="J146" s="769"/>
      <c r="K146" s="866"/>
    </row>
    <row r="147" spans="3:11" x14ac:dyDescent="0.25">
      <c r="J147" s="769"/>
      <c r="K147" s="866"/>
    </row>
    <row r="148" spans="3:11" x14ac:dyDescent="0.25">
      <c r="J148" s="769"/>
      <c r="K148" s="866"/>
    </row>
    <row r="149" spans="3:11" x14ac:dyDescent="0.25">
      <c r="C149" s="79"/>
      <c r="D149" s="79"/>
      <c r="E149" s="79"/>
      <c r="F149" s="79"/>
      <c r="I149" s="216"/>
      <c r="J149" s="769"/>
      <c r="K149" s="866"/>
    </row>
    <row r="150" spans="3:11" x14ac:dyDescent="0.25">
      <c r="C150" s="79"/>
      <c r="D150" s="79"/>
      <c r="E150" s="79"/>
      <c r="F150" s="79"/>
      <c r="I150" s="216"/>
      <c r="J150" s="769"/>
      <c r="K150" s="866"/>
    </row>
    <row r="151" spans="3:11" x14ac:dyDescent="0.25">
      <c r="C151" s="79"/>
      <c r="D151" s="79"/>
      <c r="E151" s="79"/>
      <c r="F151" s="79"/>
      <c r="G151" s="216"/>
      <c r="I151" s="216"/>
      <c r="J151" s="769"/>
      <c r="K151" s="868"/>
    </row>
    <row r="152" spans="3:11" x14ac:dyDescent="0.25">
      <c r="C152" s="79"/>
      <c r="D152" s="79"/>
      <c r="E152" s="79"/>
      <c r="F152" s="79"/>
      <c r="G152" s="216"/>
      <c r="I152" s="216"/>
      <c r="J152" s="769"/>
      <c r="K152" s="866"/>
    </row>
    <row r="153" spans="3:11" x14ac:dyDescent="0.25">
      <c r="C153" s="79"/>
      <c r="D153" s="79"/>
      <c r="E153" s="79"/>
      <c r="F153" s="79"/>
      <c r="G153" s="216"/>
      <c r="J153" s="770"/>
      <c r="K153" s="866"/>
    </row>
    <row r="154" spans="3:11" x14ac:dyDescent="0.25">
      <c r="C154" s="79"/>
      <c r="D154" s="79"/>
      <c r="E154" s="79"/>
      <c r="F154" s="79"/>
      <c r="I154" s="216"/>
      <c r="J154" s="769"/>
      <c r="K154" s="868"/>
    </row>
    <row r="155" spans="3:11" x14ac:dyDescent="0.25">
      <c r="J155" s="769"/>
      <c r="K155" s="866"/>
    </row>
    <row r="156" spans="3:11" x14ac:dyDescent="0.25">
      <c r="C156" s="79"/>
      <c r="D156" s="79"/>
      <c r="E156" s="79"/>
      <c r="F156" s="79"/>
      <c r="I156" s="629"/>
      <c r="J156" s="769"/>
      <c r="K156" s="866"/>
    </row>
    <row r="157" spans="3:11" x14ac:dyDescent="0.25">
      <c r="J157" s="769"/>
      <c r="K157" s="866"/>
    </row>
    <row r="158" spans="3:11" x14ac:dyDescent="0.25">
      <c r="J158" s="769"/>
      <c r="K158" s="866"/>
    </row>
    <row r="159" spans="3:11" x14ac:dyDescent="0.25">
      <c r="J159" s="769"/>
      <c r="K159" s="866"/>
    </row>
    <row r="160" spans="3:11" x14ac:dyDescent="0.25">
      <c r="J160" s="769"/>
      <c r="K160" s="866"/>
    </row>
    <row r="161" spans="3:11" x14ac:dyDescent="0.25">
      <c r="J161" s="769"/>
      <c r="K161" s="866"/>
    </row>
    <row r="162" spans="3:11" x14ac:dyDescent="0.25">
      <c r="C162" s="79"/>
      <c r="D162" s="79"/>
      <c r="E162" s="79"/>
      <c r="F162" s="79"/>
      <c r="I162" s="216"/>
      <c r="J162" s="769"/>
      <c r="K162" s="866"/>
    </row>
    <row r="163" spans="3:11" x14ac:dyDescent="0.25">
      <c r="C163" s="79"/>
      <c r="D163" s="79"/>
      <c r="E163" s="79"/>
      <c r="F163" s="79"/>
      <c r="I163" s="216"/>
      <c r="J163" s="769"/>
      <c r="K163" s="866"/>
    </row>
    <row r="164" spans="3:11" x14ac:dyDescent="0.25">
      <c r="C164" s="79"/>
      <c r="D164" s="79"/>
      <c r="E164" s="79"/>
      <c r="F164" s="79"/>
      <c r="I164" s="216"/>
      <c r="J164" s="769"/>
      <c r="K164" s="866"/>
    </row>
    <row r="165" spans="3:11" x14ac:dyDescent="0.25">
      <c r="C165" s="79"/>
      <c r="D165" s="79"/>
      <c r="E165" s="79"/>
      <c r="F165" s="79"/>
      <c r="I165" s="216"/>
      <c r="J165" s="769"/>
      <c r="K165" s="866"/>
    </row>
    <row r="166" spans="3:11" x14ac:dyDescent="0.25">
      <c r="C166" s="79"/>
      <c r="D166" s="79"/>
      <c r="E166" s="79"/>
      <c r="F166" s="79"/>
      <c r="I166" s="216"/>
      <c r="J166" s="769"/>
      <c r="K166" s="868"/>
    </row>
    <row r="167" spans="3:11" x14ac:dyDescent="0.25">
      <c r="C167" s="79"/>
      <c r="D167" s="79"/>
      <c r="E167" s="79"/>
      <c r="F167" s="79"/>
      <c r="I167" s="216"/>
      <c r="J167" s="769"/>
      <c r="K167" s="868"/>
    </row>
    <row r="168" spans="3:11" x14ac:dyDescent="0.25">
      <c r="C168" s="79"/>
      <c r="D168" s="79"/>
      <c r="E168" s="79"/>
      <c r="F168" s="79"/>
      <c r="I168" s="216"/>
      <c r="J168" s="769"/>
      <c r="K168" s="868"/>
    </row>
    <row r="169" spans="3:11" x14ac:dyDescent="0.25">
      <c r="C169" s="79"/>
      <c r="D169" s="79"/>
      <c r="E169" s="79"/>
      <c r="F169" s="79"/>
      <c r="I169" s="216"/>
      <c r="J169" s="769"/>
      <c r="K169" s="868"/>
    </row>
    <row r="170" spans="3:11" x14ac:dyDescent="0.25">
      <c r="C170" s="79"/>
      <c r="D170" s="79"/>
      <c r="E170" s="79"/>
      <c r="F170" s="79"/>
      <c r="I170" s="216"/>
      <c r="J170" s="769"/>
      <c r="K170" s="868"/>
    </row>
    <row r="171" spans="3:11" x14ac:dyDescent="0.25">
      <c r="J171" s="769"/>
      <c r="K171" s="866"/>
    </row>
    <row r="172" spans="3:11" x14ac:dyDescent="0.25">
      <c r="J172" s="769"/>
      <c r="K172" s="866"/>
    </row>
    <row r="173" spans="3:11" x14ac:dyDescent="0.25">
      <c r="J173" s="769"/>
      <c r="K173" s="868"/>
    </row>
    <row r="174" spans="3:11" x14ac:dyDescent="0.25">
      <c r="J174" s="769"/>
      <c r="K174" s="866"/>
    </row>
    <row r="175" spans="3:11" x14ac:dyDescent="0.25">
      <c r="J175" s="769"/>
      <c r="K175" s="866"/>
    </row>
    <row r="176" spans="3:11" x14ac:dyDescent="0.25">
      <c r="C176" s="79"/>
      <c r="D176" s="79"/>
      <c r="E176" s="79"/>
      <c r="F176" s="79"/>
      <c r="J176" s="769"/>
      <c r="K176" s="868"/>
    </row>
    <row r="177" spans="3:11" x14ac:dyDescent="0.25">
      <c r="C177" s="79"/>
      <c r="D177" s="79"/>
      <c r="E177" s="79"/>
      <c r="F177" s="79"/>
      <c r="J177" s="769"/>
      <c r="K177" s="868"/>
    </row>
    <row r="178" spans="3:11" x14ac:dyDescent="0.25">
      <c r="C178" s="79"/>
      <c r="D178" s="79"/>
      <c r="E178" s="79"/>
      <c r="F178" s="79"/>
      <c r="J178" s="769"/>
      <c r="K178" s="868"/>
    </row>
    <row r="179" spans="3:11" x14ac:dyDescent="0.25">
      <c r="C179" s="79"/>
      <c r="D179" s="79"/>
      <c r="E179" s="79"/>
      <c r="F179" s="79"/>
      <c r="J179" s="769"/>
      <c r="K179" s="868"/>
    </row>
    <row r="180" spans="3:11" x14ac:dyDescent="0.25">
      <c r="C180" s="79"/>
      <c r="D180" s="79"/>
      <c r="E180" s="79"/>
      <c r="F180" s="79"/>
      <c r="J180" s="769"/>
      <c r="K180" s="866"/>
    </row>
    <row r="181" spans="3:11" x14ac:dyDescent="0.25">
      <c r="C181" s="79"/>
      <c r="D181" s="79"/>
      <c r="E181" s="79"/>
      <c r="F181" s="79"/>
      <c r="J181" s="223"/>
      <c r="K181" s="629"/>
    </row>
    <row r="182" spans="3:11" x14ac:dyDescent="0.25">
      <c r="C182" s="79"/>
      <c r="D182" s="79"/>
      <c r="E182" s="79"/>
      <c r="F182" s="79"/>
      <c r="J182" s="756"/>
      <c r="K182" s="756"/>
    </row>
    <row r="183" spans="3:11" x14ac:dyDescent="0.25">
      <c r="C183" s="79"/>
      <c r="D183" s="79"/>
      <c r="E183" s="79"/>
      <c r="F183" s="79"/>
    </row>
    <row r="184" spans="3:11" x14ac:dyDescent="0.25">
      <c r="C184" s="79"/>
      <c r="D184" s="79"/>
      <c r="E184" s="79"/>
      <c r="F184" s="79"/>
    </row>
    <row r="185" spans="3:11" x14ac:dyDescent="0.25">
      <c r="C185" s="79"/>
      <c r="D185" s="79"/>
      <c r="E185" s="79"/>
      <c r="F185" s="79"/>
    </row>
    <row r="186" spans="3:11" x14ac:dyDescent="0.25">
      <c r="C186" s="79"/>
      <c r="D186" s="79"/>
      <c r="E186" s="79"/>
      <c r="F186" s="79"/>
    </row>
    <row r="187" spans="3:11" x14ac:dyDescent="0.25">
      <c r="C187" s="79"/>
      <c r="D187" s="79"/>
      <c r="E187" s="79"/>
      <c r="F187" s="79"/>
      <c r="J187" s="85"/>
      <c r="K187" s="85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  <c r="J194" s="85"/>
      <c r="K194" s="85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  <c r="J201" s="771"/>
      <c r="K201" s="518"/>
    </row>
    <row r="202" spans="3:11" x14ac:dyDescent="0.25">
      <c r="C202" s="79"/>
      <c r="D202" s="79"/>
      <c r="E202" s="79"/>
      <c r="F202" s="79"/>
    </row>
    <row r="209" spans="3:11" x14ac:dyDescent="0.25">
      <c r="C209" s="79"/>
      <c r="D209" s="79"/>
      <c r="E209" s="79"/>
      <c r="F209" s="79"/>
      <c r="K209" s="216"/>
    </row>
    <row r="210" spans="3:11" x14ac:dyDescent="0.25">
      <c r="C210" s="79"/>
      <c r="D210" s="79"/>
      <c r="E210" s="79"/>
      <c r="F210" s="79"/>
      <c r="K210" s="216"/>
    </row>
    <row r="211" spans="3:11" x14ac:dyDescent="0.25">
      <c r="C211" s="79"/>
      <c r="D211" s="79"/>
      <c r="E211" s="79"/>
      <c r="F211" s="79"/>
      <c r="K211" s="216"/>
    </row>
    <row r="212" spans="3:11" x14ac:dyDescent="0.25">
      <c r="C212" s="79"/>
      <c r="D212" s="79"/>
      <c r="E212" s="79"/>
      <c r="F212" s="79"/>
      <c r="K212" s="216"/>
    </row>
    <row r="214" spans="3:11" x14ac:dyDescent="0.25">
      <c r="C214" s="79"/>
      <c r="D214" s="79"/>
      <c r="E214" s="79"/>
      <c r="F214" s="79"/>
      <c r="K214" s="216"/>
    </row>
    <row r="216" spans="3:11" x14ac:dyDescent="0.25">
      <c r="C216" s="79"/>
      <c r="D216" s="79"/>
      <c r="E216" s="79"/>
      <c r="F216" s="79"/>
      <c r="K216" s="629"/>
    </row>
    <row r="222" spans="3:11" x14ac:dyDescent="0.25">
      <c r="C222" s="79"/>
      <c r="D222" s="79"/>
      <c r="E222" s="79"/>
      <c r="F222" s="79"/>
      <c r="K222" s="216"/>
    </row>
    <row r="223" spans="3:11" x14ac:dyDescent="0.25">
      <c r="C223" s="79"/>
      <c r="D223" s="79"/>
      <c r="E223" s="79"/>
      <c r="F223" s="79"/>
      <c r="K223" s="216"/>
    </row>
    <row r="224" spans="3:11" x14ac:dyDescent="0.25">
      <c r="C224" s="79"/>
      <c r="D224" s="79"/>
      <c r="E224" s="79"/>
      <c r="F224" s="79"/>
      <c r="K224" s="216"/>
    </row>
    <row r="225" spans="3:11" x14ac:dyDescent="0.25">
      <c r="C225" s="79"/>
      <c r="D225" s="79"/>
      <c r="E225" s="79"/>
      <c r="F225" s="79"/>
      <c r="K225" s="216"/>
    </row>
    <row r="226" spans="3:11" x14ac:dyDescent="0.25">
      <c r="C226" s="79"/>
      <c r="D226" s="79"/>
      <c r="E226" s="79"/>
      <c r="F226" s="79"/>
      <c r="K226" s="216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</sheetData>
  <autoFilter ref="A2:I120" xr:uid="{00000000-0009-0000-0000-000059000000}"/>
  <mergeCells count="14">
    <mergeCell ref="A119:E119"/>
    <mergeCell ref="A120:E120"/>
    <mergeCell ref="L78:L7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80:M80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Plan103"/>
  <dimension ref="A1:O235"/>
  <sheetViews>
    <sheetView zoomScale="85" zoomScaleNormal="85" workbookViewId="0">
      <pane ySplit="4" topLeftCell="A50" activePane="bottomLeft" state="frozen"/>
      <selection activeCell="C44" sqref="C44"/>
      <selection pane="bottomLeft" activeCell="B108" sqref="B10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79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3" ht="27" customHeight="1" thickBot="1" x14ac:dyDescent="0.3">
      <c r="A1" s="3053" t="s">
        <v>0</v>
      </c>
      <c r="B1" s="3054"/>
      <c r="C1" s="3055"/>
      <c r="D1" s="3055"/>
      <c r="E1" s="3056"/>
      <c r="F1" s="3057" t="s">
        <v>2344</v>
      </c>
      <c r="G1" s="3058"/>
      <c r="H1" s="3058"/>
      <c r="I1" s="3058"/>
      <c r="J1" s="3058"/>
      <c r="K1" s="3059"/>
    </row>
    <row r="2" spans="1:1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3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</row>
    <row r="5" spans="1:13" x14ac:dyDescent="0.25">
      <c r="A5" s="281">
        <v>43709</v>
      </c>
      <c r="B5" s="369" t="s">
        <v>10</v>
      </c>
      <c r="C5" s="370"/>
      <c r="D5" s="370"/>
      <c r="E5" s="777"/>
      <c r="F5" s="889"/>
      <c r="G5" s="925">
        <f>'Agosto-19'!G120</f>
        <v>522.28000000001521</v>
      </c>
      <c r="H5" s="179"/>
      <c r="I5" s="933">
        <f>'Agosto-19'!I120</f>
        <v>1299.9960000000021</v>
      </c>
      <c r="J5" s="179"/>
      <c r="K5" s="933">
        <f>'Agosto-19'!K120</f>
        <v>6723.3200000000006</v>
      </c>
    </row>
    <row r="6" spans="1:13" s="224" customFormat="1" x14ac:dyDescent="0.25">
      <c r="A6" s="215">
        <v>43709</v>
      </c>
      <c r="B6" s="348" t="s">
        <v>11</v>
      </c>
      <c r="C6" s="351"/>
      <c r="D6" s="351"/>
      <c r="E6" s="673"/>
      <c r="F6" s="827">
        <v>7</v>
      </c>
      <c r="G6" s="1526"/>
      <c r="H6" s="250"/>
      <c r="I6" s="1473"/>
      <c r="J6" s="250"/>
      <c r="K6" s="1473"/>
      <c r="L6" s="89"/>
      <c r="M6" s="89"/>
    </row>
    <row r="7" spans="1:13" s="224" customFormat="1" ht="15" customHeight="1" x14ac:dyDescent="0.25">
      <c r="A7" s="215">
        <v>43709</v>
      </c>
      <c r="B7" s="349" t="s">
        <v>238</v>
      </c>
      <c r="C7" s="350" t="s">
        <v>19</v>
      </c>
      <c r="D7" s="350" t="s">
        <v>1523</v>
      </c>
      <c r="E7" s="480" t="s">
        <v>13</v>
      </c>
      <c r="F7" s="780">
        <v>42</v>
      </c>
      <c r="G7" s="141"/>
      <c r="H7" s="97"/>
      <c r="I7" s="946"/>
      <c r="J7" s="97"/>
      <c r="K7" s="946"/>
    </row>
    <row r="8" spans="1:13" s="224" customFormat="1" ht="15" customHeight="1" x14ac:dyDescent="0.25">
      <c r="A8" s="215">
        <v>43709</v>
      </c>
      <c r="B8" s="349" t="s">
        <v>1438</v>
      </c>
      <c r="C8" s="350" t="s">
        <v>19</v>
      </c>
      <c r="D8" s="350" t="s">
        <v>1489</v>
      </c>
      <c r="E8" s="480" t="s">
        <v>13</v>
      </c>
      <c r="F8" s="780">
        <v>35.450000000000003</v>
      </c>
      <c r="G8" s="141"/>
      <c r="H8" s="97"/>
      <c r="I8" s="946"/>
      <c r="J8" s="97"/>
      <c r="K8" s="946"/>
    </row>
    <row r="9" spans="1:13" s="224" customFormat="1" ht="15" customHeight="1" x14ac:dyDescent="0.25">
      <c r="A9" s="215">
        <v>43709</v>
      </c>
      <c r="B9" s="349" t="s">
        <v>2198</v>
      </c>
      <c r="C9" s="350" t="s">
        <v>12</v>
      </c>
      <c r="D9" s="350" t="s">
        <v>2157</v>
      </c>
      <c r="E9" s="480" t="s">
        <v>15</v>
      </c>
      <c r="F9" s="780">
        <v>30</v>
      </c>
      <c r="G9" s="141"/>
      <c r="H9" s="97"/>
      <c r="I9" s="946"/>
      <c r="J9" s="97"/>
      <c r="K9" s="946"/>
    </row>
    <row r="10" spans="1:13" s="224" customFormat="1" ht="15" customHeight="1" x14ac:dyDescent="0.25">
      <c r="A10" s="215">
        <v>43678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780">
        <v>2.5499999999999998</v>
      </c>
      <c r="G10" s="957"/>
      <c r="H10" s="97"/>
      <c r="I10" s="946"/>
      <c r="J10" s="97"/>
      <c r="K10" s="946"/>
    </row>
    <row r="11" spans="1:13" s="224" customFormat="1" ht="15" customHeight="1" x14ac:dyDescent="0.25">
      <c r="A11" s="215">
        <v>43709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6.99</v>
      </c>
      <c r="G11" s="957"/>
      <c r="H11" s="622"/>
      <c r="I11" s="982"/>
      <c r="J11" s="622"/>
      <c r="K11" s="982"/>
    </row>
    <row r="12" spans="1:13" s="224" customFormat="1" ht="15" customHeight="1" x14ac:dyDescent="0.25">
      <c r="A12" s="215">
        <v>43710</v>
      </c>
      <c r="B12" s="349" t="s">
        <v>32</v>
      </c>
      <c r="C12" s="352" t="s">
        <v>12</v>
      </c>
      <c r="D12" s="874" t="s">
        <v>1485</v>
      </c>
      <c r="E12" s="875" t="s">
        <v>15</v>
      </c>
      <c r="F12" s="780">
        <v>14</v>
      </c>
      <c r="G12" s="957"/>
      <c r="H12" s="622"/>
      <c r="I12" s="982"/>
      <c r="J12" s="622"/>
      <c r="K12" s="982"/>
    </row>
    <row r="13" spans="1:13" s="224" customFormat="1" ht="15" customHeight="1" x14ac:dyDescent="0.25">
      <c r="A13" s="215">
        <v>43710</v>
      </c>
      <c r="B13" s="349" t="s">
        <v>1327</v>
      </c>
      <c r="C13" s="352" t="s">
        <v>12</v>
      </c>
      <c r="D13" s="874" t="s">
        <v>1524</v>
      </c>
      <c r="E13" s="875" t="s">
        <v>15</v>
      </c>
      <c r="F13" s="852">
        <v>18</v>
      </c>
      <c r="G13" s="870"/>
      <c r="H13" s="622"/>
      <c r="I13" s="982"/>
      <c r="J13" s="622"/>
      <c r="K13" s="982"/>
    </row>
    <row r="14" spans="1:13" s="224" customFormat="1" ht="15" customHeight="1" x14ac:dyDescent="0.25">
      <c r="A14" s="215">
        <v>43710</v>
      </c>
      <c r="B14" s="364" t="s">
        <v>14</v>
      </c>
      <c r="C14" s="350" t="s">
        <v>12</v>
      </c>
      <c r="D14" s="350" t="s">
        <v>1486</v>
      </c>
      <c r="E14" s="875" t="s">
        <v>13</v>
      </c>
      <c r="F14" s="852">
        <v>3.14</v>
      </c>
      <c r="G14" s="870"/>
      <c r="H14" s="622"/>
      <c r="I14" s="982"/>
      <c r="J14" s="622"/>
      <c r="K14" s="982"/>
    </row>
    <row r="15" spans="1:13" s="224" customFormat="1" ht="15" customHeight="1" x14ac:dyDescent="0.25">
      <c r="A15" s="215">
        <v>43711</v>
      </c>
      <c r="B15" s="349" t="s">
        <v>32</v>
      </c>
      <c r="C15" s="352" t="s">
        <v>12</v>
      </c>
      <c r="D15" s="874" t="s">
        <v>1485</v>
      </c>
      <c r="E15" s="875" t="s">
        <v>15</v>
      </c>
      <c r="F15" s="852">
        <v>14</v>
      </c>
      <c r="G15" s="870"/>
      <c r="H15" s="622"/>
      <c r="I15" s="982"/>
      <c r="J15" s="622"/>
      <c r="K15" s="982"/>
    </row>
    <row r="16" spans="1:13" s="224" customFormat="1" ht="15" customHeight="1" x14ac:dyDescent="0.25">
      <c r="A16" s="215">
        <v>43711</v>
      </c>
      <c r="B16" s="364" t="s">
        <v>588</v>
      </c>
      <c r="C16" s="350" t="s">
        <v>12</v>
      </c>
      <c r="D16" s="350" t="s">
        <v>1491</v>
      </c>
      <c r="E16" s="875" t="s">
        <v>15</v>
      </c>
      <c r="F16" s="852">
        <v>12</v>
      </c>
      <c r="G16" s="870"/>
      <c r="H16" s="622"/>
      <c r="I16" s="982"/>
      <c r="J16" s="622"/>
      <c r="K16" s="982"/>
    </row>
    <row r="17" spans="1:13" s="224" customFormat="1" ht="15" customHeight="1" x14ac:dyDescent="0.25">
      <c r="A17" s="215">
        <v>43711</v>
      </c>
      <c r="B17" s="364" t="s">
        <v>14</v>
      </c>
      <c r="C17" s="350" t="s">
        <v>12</v>
      </c>
      <c r="D17" s="350" t="s">
        <v>1486</v>
      </c>
      <c r="E17" s="875" t="s">
        <v>13</v>
      </c>
      <c r="F17" s="852">
        <v>3.85</v>
      </c>
      <c r="G17" s="870"/>
      <c r="H17" s="622"/>
      <c r="I17" s="982"/>
      <c r="J17" s="622"/>
      <c r="K17" s="982"/>
    </row>
    <row r="18" spans="1:13" s="224" customFormat="1" ht="15" customHeight="1" x14ac:dyDescent="0.25">
      <c r="A18" s="215">
        <v>43712</v>
      </c>
      <c r="B18" s="349" t="s">
        <v>1241</v>
      </c>
      <c r="C18" s="352" t="s">
        <v>12</v>
      </c>
      <c r="D18" s="879" t="s">
        <v>1504</v>
      </c>
      <c r="E18" s="875" t="s">
        <v>13</v>
      </c>
      <c r="F18" s="852">
        <v>10</v>
      </c>
      <c r="G18" s="870"/>
      <c r="H18" s="622"/>
      <c r="I18" s="982"/>
      <c r="J18" s="622"/>
      <c r="K18" s="982"/>
    </row>
    <row r="19" spans="1:13" s="224" customFormat="1" ht="15" customHeight="1" x14ac:dyDescent="0.25">
      <c r="A19" s="215">
        <v>43712</v>
      </c>
      <c r="B19" s="349" t="s">
        <v>32</v>
      </c>
      <c r="C19" s="352" t="s">
        <v>12</v>
      </c>
      <c r="D19" s="874" t="s">
        <v>1485</v>
      </c>
      <c r="E19" s="875" t="s">
        <v>15</v>
      </c>
      <c r="F19" s="852">
        <v>14</v>
      </c>
      <c r="G19" s="870"/>
      <c r="H19" s="622"/>
      <c r="I19" s="982"/>
      <c r="J19" s="622"/>
      <c r="K19" s="982"/>
    </row>
    <row r="20" spans="1:13" s="224" customFormat="1" ht="15" customHeight="1" x14ac:dyDescent="0.25">
      <c r="A20" s="215">
        <v>43712</v>
      </c>
      <c r="B20" s="364" t="s">
        <v>14</v>
      </c>
      <c r="C20" s="350" t="s">
        <v>12</v>
      </c>
      <c r="D20" s="350" t="s">
        <v>1486</v>
      </c>
      <c r="E20" s="875" t="s">
        <v>15</v>
      </c>
      <c r="F20" s="852">
        <v>10</v>
      </c>
      <c r="G20" s="870"/>
      <c r="H20" s="622"/>
      <c r="I20" s="982"/>
      <c r="J20" s="622"/>
      <c r="K20" s="982"/>
    </row>
    <row r="21" spans="1:13" s="224" customFormat="1" ht="15" customHeight="1" x14ac:dyDescent="0.25">
      <c r="A21" s="215">
        <v>43713</v>
      </c>
      <c r="B21" s="349" t="s">
        <v>32</v>
      </c>
      <c r="C21" s="352" t="s">
        <v>12</v>
      </c>
      <c r="D21" s="874" t="s">
        <v>1485</v>
      </c>
      <c r="E21" s="875" t="s">
        <v>15</v>
      </c>
      <c r="F21" s="852">
        <v>15.5</v>
      </c>
      <c r="G21" s="870"/>
      <c r="H21" s="622"/>
      <c r="I21" s="982"/>
      <c r="J21" s="622"/>
      <c r="K21" s="982"/>
    </row>
    <row r="22" spans="1:13" s="224" customFormat="1" ht="15" customHeight="1" x14ac:dyDescent="0.25">
      <c r="A22" s="215">
        <v>43713</v>
      </c>
      <c r="B22" s="364" t="s">
        <v>14</v>
      </c>
      <c r="C22" s="350" t="s">
        <v>12</v>
      </c>
      <c r="D22" s="350" t="s">
        <v>1486</v>
      </c>
      <c r="E22" s="875" t="s">
        <v>13</v>
      </c>
      <c r="F22" s="852">
        <v>8.5</v>
      </c>
      <c r="G22" s="870"/>
      <c r="H22" s="97"/>
      <c r="I22" s="982"/>
      <c r="J22" s="622"/>
      <c r="K22" s="982"/>
    </row>
    <row r="23" spans="1:13" s="224" customFormat="1" ht="15.75" customHeight="1" x14ac:dyDescent="0.25">
      <c r="A23" s="215">
        <v>43714</v>
      </c>
      <c r="B23" s="349" t="s">
        <v>2345</v>
      </c>
      <c r="C23" s="879" t="s">
        <v>12</v>
      </c>
      <c r="D23" s="874"/>
      <c r="E23" s="871" t="s">
        <v>25</v>
      </c>
      <c r="F23" s="1529"/>
      <c r="G23" s="964">
        <v>1891.16</v>
      </c>
      <c r="H23" s="250"/>
      <c r="I23" s="946"/>
      <c r="J23" s="97"/>
      <c r="K23" s="946"/>
      <c r="L23" s="939"/>
    </row>
    <row r="24" spans="1:13" s="224" customFormat="1" x14ac:dyDescent="0.25">
      <c r="A24" s="215">
        <v>43714</v>
      </c>
      <c r="B24" s="862" t="s">
        <v>2346</v>
      </c>
      <c r="C24" s="879" t="s">
        <v>12</v>
      </c>
      <c r="D24" s="879" t="s">
        <v>1506</v>
      </c>
      <c r="E24" s="871" t="s">
        <v>13</v>
      </c>
      <c r="F24" s="872">
        <v>50</v>
      </c>
      <c r="G24" s="964"/>
      <c r="H24" s="622"/>
      <c r="I24" s="982"/>
      <c r="J24" s="780"/>
      <c r="K24" s="614"/>
      <c r="M24" s="89"/>
    </row>
    <row r="25" spans="1:13" s="224" customFormat="1" x14ac:dyDescent="0.25">
      <c r="A25" s="215">
        <v>43714</v>
      </c>
      <c r="B25" s="862" t="s">
        <v>2346</v>
      </c>
      <c r="C25" s="879" t="s">
        <v>12</v>
      </c>
      <c r="D25" s="879" t="s">
        <v>1522</v>
      </c>
      <c r="E25" s="871" t="s">
        <v>13</v>
      </c>
      <c r="F25" s="872">
        <v>45.333333333333336</v>
      </c>
      <c r="G25" s="964"/>
      <c r="H25" s="622"/>
      <c r="I25" s="982"/>
      <c r="J25" s="780"/>
      <c r="K25" s="614"/>
      <c r="M25" s="89"/>
    </row>
    <row r="26" spans="1:13" s="224" customFormat="1" x14ac:dyDescent="0.25">
      <c r="A26" s="215">
        <v>43714</v>
      </c>
      <c r="B26" s="862" t="s">
        <v>2346</v>
      </c>
      <c r="C26" s="879" t="s">
        <v>12</v>
      </c>
      <c r="D26" s="879" t="s">
        <v>1506</v>
      </c>
      <c r="E26" s="871" t="s">
        <v>13</v>
      </c>
      <c r="F26" s="872">
        <v>65</v>
      </c>
      <c r="G26" s="964"/>
      <c r="H26" s="622"/>
      <c r="I26" s="982"/>
      <c r="J26" s="780"/>
      <c r="K26" s="614"/>
      <c r="M26" s="89"/>
    </row>
    <row r="27" spans="1:13" s="224" customFormat="1" x14ac:dyDescent="0.25">
      <c r="A27" s="215">
        <v>43714</v>
      </c>
      <c r="B27" s="862" t="s">
        <v>2346</v>
      </c>
      <c r="C27" s="879" t="s">
        <v>12</v>
      </c>
      <c r="D27" s="879" t="s">
        <v>2131</v>
      </c>
      <c r="E27" s="871" t="s">
        <v>13</v>
      </c>
      <c r="F27" s="872">
        <v>57</v>
      </c>
      <c r="G27" s="964"/>
      <c r="H27" s="622"/>
      <c r="I27" s="982"/>
      <c r="J27" s="780"/>
      <c r="K27" s="614"/>
      <c r="M27" s="89"/>
    </row>
    <row r="28" spans="1:13" s="224" customFormat="1" x14ac:dyDescent="0.25">
      <c r="A28" s="215">
        <v>43714</v>
      </c>
      <c r="B28" s="862" t="s">
        <v>2346</v>
      </c>
      <c r="C28" s="879" t="s">
        <v>12</v>
      </c>
      <c r="D28" s="879" t="s">
        <v>1522</v>
      </c>
      <c r="E28" s="871" t="s">
        <v>13</v>
      </c>
      <c r="F28" s="872">
        <v>50</v>
      </c>
      <c r="G28" s="964"/>
      <c r="H28" s="622"/>
      <c r="I28" s="982"/>
      <c r="J28" s="780"/>
      <c r="K28" s="614"/>
      <c r="M28" s="89"/>
    </row>
    <row r="29" spans="1:13" s="224" customFormat="1" x14ac:dyDescent="0.25">
      <c r="A29" s="215">
        <v>43714</v>
      </c>
      <c r="B29" s="862" t="s">
        <v>2346</v>
      </c>
      <c r="C29" s="879" t="s">
        <v>12</v>
      </c>
      <c r="D29" s="879" t="s">
        <v>1489</v>
      </c>
      <c r="E29" s="871" t="s">
        <v>13</v>
      </c>
      <c r="F29" s="872">
        <v>50</v>
      </c>
      <c r="G29" s="964"/>
      <c r="H29" s="622"/>
      <c r="I29" s="982"/>
      <c r="J29" s="780"/>
      <c r="K29" s="614"/>
      <c r="M29" s="89"/>
    </row>
    <row r="30" spans="1:13" s="224" customFormat="1" x14ac:dyDescent="0.25">
      <c r="A30" s="215">
        <v>43714</v>
      </c>
      <c r="B30" s="862" t="s">
        <v>2346</v>
      </c>
      <c r="C30" s="879" t="s">
        <v>12</v>
      </c>
      <c r="D30" s="879" t="s">
        <v>1506</v>
      </c>
      <c r="E30" s="871" t="s">
        <v>13</v>
      </c>
      <c r="F30" s="872">
        <v>50</v>
      </c>
      <c r="G30" s="964"/>
      <c r="H30" s="622"/>
      <c r="I30" s="982"/>
      <c r="J30" s="780"/>
      <c r="K30" s="614"/>
      <c r="L30" s="948">
        <v>452.9</v>
      </c>
      <c r="M30" s="89"/>
    </row>
    <row r="31" spans="1:13" x14ac:dyDescent="0.25">
      <c r="A31" s="215">
        <v>43714</v>
      </c>
      <c r="B31" s="862" t="s">
        <v>1961</v>
      </c>
      <c r="C31" s="879" t="s">
        <v>12</v>
      </c>
      <c r="D31" s="879" t="s">
        <v>1504</v>
      </c>
      <c r="E31" s="871" t="s">
        <v>13</v>
      </c>
      <c r="F31" s="852">
        <v>41</v>
      </c>
      <c r="G31" s="964"/>
      <c r="H31" s="622"/>
      <c r="I31" s="982"/>
      <c r="J31" s="622"/>
      <c r="K31" s="1002"/>
      <c r="L31" s="948">
        <v>81</v>
      </c>
    </row>
    <row r="32" spans="1:13" x14ac:dyDescent="0.25">
      <c r="A32" s="215">
        <v>43714</v>
      </c>
      <c r="B32" s="882" t="s">
        <v>2347</v>
      </c>
      <c r="C32" s="879" t="s">
        <v>12</v>
      </c>
      <c r="D32" s="879" t="s">
        <v>1499</v>
      </c>
      <c r="E32" s="871" t="s">
        <v>13</v>
      </c>
      <c r="F32" s="852">
        <v>36.979999999999997</v>
      </c>
      <c r="G32" s="964"/>
      <c r="H32" s="622"/>
      <c r="I32" s="982"/>
      <c r="J32" s="780"/>
      <c r="K32" s="614"/>
      <c r="L32" s="936"/>
      <c r="M32" s="518"/>
    </row>
    <row r="33" spans="1:14" s="224" customFormat="1" ht="15" customHeight="1" x14ac:dyDescent="0.25">
      <c r="A33" s="215">
        <v>43714</v>
      </c>
      <c r="B33" s="349" t="s">
        <v>2348</v>
      </c>
      <c r="C33" s="352" t="s">
        <v>12</v>
      </c>
      <c r="D33" s="874" t="s">
        <v>2315</v>
      </c>
      <c r="E33" s="875" t="s">
        <v>13</v>
      </c>
      <c r="F33" s="852">
        <v>188.3</v>
      </c>
      <c r="G33" s="964"/>
      <c r="H33" s="622"/>
      <c r="I33" s="982"/>
      <c r="J33" s="622"/>
      <c r="K33" s="982"/>
    </row>
    <row r="34" spans="1:14" x14ac:dyDescent="0.25">
      <c r="A34" s="215">
        <v>43714</v>
      </c>
      <c r="B34" s="876" t="s">
        <v>52</v>
      </c>
      <c r="C34" s="879" t="s">
        <v>12</v>
      </c>
      <c r="D34" s="879" t="s">
        <v>1496</v>
      </c>
      <c r="E34" s="871" t="s">
        <v>15</v>
      </c>
      <c r="F34" s="852">
        <v>60</v>
      </c>
      <c r="G34" s="964"/>
      <c r="H34" s="853"/>
      <c r="I34" s="982"/>
      <c r="J34" s="622"/>
      <c r="K34" s="982"/>
      <c r="L34" s="948"/>
    </row>
    <row r="35" spans="1:14" s="224" customFormat="1" ht="15" customHeight="1" x14ac:dyDescent="0.25">
      <c r="A35" s="215">
        <v>43714</v>
      </c>
      <c r="B35" s="349" t="s">
        <v>2349</v>
      </c>
      <c r="C35" s="350" t="s">
        <v>12</v>
      </c>
      <c r="D35" s="350" t="s">
        <v>1491</v>
      </c>
      <c r="E35" s="480" t="s">
        <v>15</v>
      </c>
      <c r="F35" s="852">
        <v>120</v>
      </c>
      <c r="G35" s="965"/>
      <c r="H35" s="97"/>
      <c r="I35" s="946"/>
      <c r="J35" s="97"/>
      <c r="K35" s="946"/>
      <c r="L35" s="923"/>
      <c r="N35" s="930"/>
    </row>
    <row r="36" spans="1:14" s="224" customFormat="1" ht="15" customHeight="1" x14ac:dyDescent="0.25">
      <c r="A36" s="215">
        <v>43714</v>
      </c>
      <c r="B36" s="364" t="s">
        <v>14</v>
      </c>
      <c r="C36" s="350" t="s">
        <v>12</v>
      </c>
      <c r="D36" s="350" t="s">
        <v>1486</v>
      </c>
      <c r="E36" s="875" t="s">
        <v>13</v>
      </c>
      <c r="F36" s="852">
        <v>6.48</v>
      </c>
      <c r="G36" s="965"/>
      <c r="H36" s="97"/>
      <c r="I36" s="946"/>
      <c r="J36" s="97"/>
      <c r="K36" s="946"/>
      <c r="L36" s="923"/>
      <c r="N36" s="930"/>
    </row>
    <row r="37" spans="1:14" s="224" customFormat="1" ht="15" customHeight="1" x14ac:dyDescent="0.25">
      <c r="A37" s="215">
        <v>43715</v>
      </c>
      <c r="B37" s="349" t="s">
        <v>32</v>
      </c>
      <c r="C37" s="352" t="s">
        <v>12</v>
      </c>
      <c r="D37" s="874" t="s">
        <v>1485</v>
      </c>
      <c r="E37" s="875" t="s">
        <v>13</v>
      </c>
      <c r="F37" s="852">
        <v>13</v>
      </c>
      <c r="G37" s="964"/>
      <c r="H37" s="622"/>
      <c r="I37" s="982"/>
      <c r="J37" s="622"/>
      <c r="K37" s="982"/>
    </row>
    <row r="38" spans="1:14" s="224" customFormat="1" ht="15" customHeight="1" x14ac:dyDescent="0.25">
      <c r="A38" s="215">
        <v>43715</v>
      </c>
      <c r="B38" s="349" t="s">
        <v>43</v>
      </c>
      <c r="C38" s="352" t="s">
        <v>12</v>
      </c>
      <c r="D38" s="874" t="s">
        <v>1493</v>
      </c>
      <c r="E38" s="875" t="s">
        <v>13</v>
      </c>
      <c r="F38" s="852">
        <v>18</v>
      </c>
      <c r="G38" s="964"/>
      <c r="H38" s="622"/>
      <c r="I38" s="982"/>
      <c r="J38" s="622"/>
      <c r="K38" s="982"/>
      <c r="L38" s="932"/>
    </row>
    <row r="39" spans="1:14" s="224" customFormat="1" ht="15" customHeight="1" x14ac:dyDescent="0.25">
      <c r="A39" s="215">
        <v>43715</v>
      </c>
      <c r="B39" s="349" t="s">
        <v>238</v>
      </c>
      <c r="C39" s="352" t="s">
        <v>19</v>
      </c>
      <c r="D39" s="874" t="s">
        <v>1489</v>
      </c>
      <c r="E39" s="875" t="s">
        <v>13</v>
      </c>
      <c r="F39" s="852">
        <v>36.56</v>
      </c>
      <c r="G39" s="964"/>
      <c r="H39" s="622"/>
      <c r="I39" s="982"/>
      <c r="J39" s="622"/>
      <c r="K39" s="982"/>
      <c r="L39" s="932"/>
    </row>
    <row r="40" spans="1:14" s="224" customFormat="1" ht="15" customHeight="1" x14ac:dyDescent="0.25">
      <c r="A40" s="215">
        <v>43684</v>
      </c>
      <c r="B40" s="364" t="s">
        <v>311</v>
      </c>
      <c r="C40" s="350"/>
      <c r="D40" s="350"/>
      <c r="E40" s="480"/>
      <c r="F40" s="538"/>
      <c r="G40" s="627"/>
      <c r="H40" s="97"/>
      <c r="I40" s="946">
        <v>3.88</v>
      </c>
      <c r="J40" s="622"/>
      <c r="K40" s="982"/>
    </row>
    <row r="41" spans="1:14" s="224" customFormat="1" ht="15" customHeight="1" x14ac:dyDescent="0.25">
      <c r="A41" s="215">
        <v>43716</v>
      </c>
      <c r="B41" s="349" t="s">
        <v>32</v>
      </c>
      <c r="C41" s="352" t="s">
        <v>12</v>
      </c>
      <c r="D41" s="874" t="s">
        <v>1485</v>
      </c>
      <c r="E41" s="875" t="s">
        <v>13</v>
      </c>
      <c r="F41" s="852">
        <v>22.95</v>
      </c>
      <c r="G41" s="964"/>
      <c r="H41" s="622"/>
      <c r="I41" s="982"/>
      <c r="J41" s="622"/>
      <c r="K41" s="982"/>
    </row>
    <row r="42" spans="1:14" s="224" customFormat="1" ht="15" customHeight="1" x14ac:dyDescent="0.25">
      <c r="A42" s="215">
        <v>43716</v>
      </c>
      <c r="B42" s="862" t="s">
        <v>2295</v>
      </c>
      <c r="C42" s="879" t="s">
        <v>12</v>
      </c>
      <c r="D42" s="879" t="s">
        <v>2168</v>
      </c>
      <c r="E42" s="871" t="s">
        <v>13</v>
      </c>
      <c r="F42" s="852">
        <v>20</v>
      </c>
      <c r="G42" s="964"/>
      <c r="H42" s="622"/>
      <c r="I42" s="982"/>
      <c r="J42" s="622"/>
      <c r="K42" s="982"/>
      <c r="L42" s="932"/>
    </row>
    <row r="43" spans="1:14" s="224" customFormat="1" ht="15" customHeight="1" x14ac:dyDescent="0.25">
      <c r="A43" s="215">
        <v>43716</v>
      </c>
      <c r="B43" s="364" t="s">
        <v>14</v>
      </c>
      <c r="C43" s="350" t="s">
        <v>12</v>
      </c>
      <c r="D43" s="350" t="s">
        <v>1486</v>
      </c>
      <c r="E43" s="875" t="s">
        <v>13</v>
      </c>
      <c r="F43" s="852">
        <v>7.15</v>
      </c>
      <c r="G43" s="965"/>
      <c r="H43" s="97"/>
      <c r="I43" s="946"/>
      <c r="J43" s="97"/>
      <c r="K43" s="946"/>
      <c r="L43" s="923"/>
      <c r="N43" s="930"/>
    </row>
    <row r="44" spans="1:14" s="224" customFormat="1" ht="15" customHeight="1" x14ac:dyDescent="0.25">
      <c r="A44" s="215">
        <v>43717</v>
      </c>
      <c r="B44" s="349" t="s">
        <v>32</v>
      </c>
      <c r="C44" s="352" t="s">
        <v>12</v>
      </c>
      <c r="D44" s="874" t="s">
        <v>1485</v>
      </c>
      <c r="E44" s="875" t="s">
        <v>13</v>
      </c>
      <c r="F44" s="852">
        <v>14</v>
      </c>
      <c r="G44" s="964"/>
      <c r="H44" s="622"/>
      <c r="I44" s="982"/>
      <c r="J44" s="622"/>
      <c r="K44" s="982"/>
    </row>
    <row r="45" spans="1:14" s="224" customFormat="1" ht="15" customHeight="1" x14ac:dyDescent="0.25">
      <c r="A45" s="215">
        <v>43717</v>
      </c>
      <c r="B45" s="349" t="s">
        <v>2350</v>
      </c>
      <c r="C45" s="352" t="s">
        <v>12</v>
      </c>
      <c r="D45" s="874" t="s">
        <v>1524</v>
      </c>
      <c r="E45" s="875" t="s">
        <v>13</v>
      </c>
      <c r="F45" s="852">
        <v>13</v>
      </c>
      <c r="G45" s="964"/>
      <c r="H45" s="622"/>
      <c r="I45" s="982"/>
      <c r="J45" s="622"/>
      <c r="K45" s="982"/>
      <c r="L45" s="932"/>
    </row>
    <row r="46" spans="1:14" s="224" customFormat="1" ht="15" customHeight="1" x14ac:dyDescent="0.25">
      <c r="A46" s="215">
        <v>43717</v>
      </c>
      <c r="B46" s="349" t="s">
        <v>2351</v>
      </c>
      <c r="C46" s="352" t="s">
        <v>12</v>
      </c>
      <c r="D46" s="874" t="s">
        <v>1524</v>
      </c>
      <c r="E46" s="875" t="s">
        <v>13</v>
      </c>
      <c r="F46" s="852">
        <v>25</v>
      </c>
      <c r="G46" s="964"/>
      <c r="H46" s="622"/>
      <c r="I46" s="982"/>
      <c r="J46" s="622"/>
      <c r="K46" s="982"/>
      <c r="L46" s="932"/>
    </row>
    <row r="47" spans="1:14" s="224" customFormat="1" ht="15" customHeight="1" x14ac:dyDescent="0.25">
      <c r="A47" s="215">
        <v>43717</v>
      </c>
      <c r="B47" s="364" t="s">
        <v>14</v>
      </c>
      <c r="C47" s="350" t="s">
        <v>12</v>
      </c>
      <c r="D47" s="350" t="s">
        <v>1486</v>
      </c>
      <c r="E47" s="875" t="s">
        <v>13</v>
      </c>
      <c r="F47" s="852">
        <v>7.15</v>
      </c>
      <c r="G47" s="965"/>
      <c r="H47" s="97"/>
      <c r="I47" s="946"/>
      <c r="J47" s="97"/>
      <c r="K47" s="946"/>
      <c r="L47" s="923"/>
      <c r="N47" s="930"/>
    </row>
    <row r="48" spans="1:14" s="224" customFormat="1" ht="15" customHeight="1" x14ac:dyDescent="0.25">
      <c r="A48" s="215">
        <v>43717</v>
      </c>
      <c r="B48" s="349" t="s">
        <v>2198</v>
      </c>
      <c r="C48" s="350" t="s">
        <v>12</v>
      </c>
      <c r="D48" s="350" t="s">
        <v>2157</v>
      </c>
      <c r="E48" s="480" t="s">
        <v>15</v>
      </c>
      <c r="F48" s="780">
        <v>50</v>
      </c>
      <c r="G48" s="946"/>
      <c r="H48" s="97"/>
      <c r="I48" s="946"/>
      <c r="J48" s="97"/>
      <c r="K48" s="946"/>
    </row>
    <row r="49" spans="1:12" s="224" customFormat="1" ht="15" customHeight="1" x14ac:dyDescent="0.25">
      <c r="A49" s="215">
        <v>43718</v>
      </c>
      <c r="B49" s="349" t="s">
        <v>32</v>
      </c>
      <c r="C49" s="352" t="s">
        <v>12</v>
      </c>
      <c r="D49" s="874" t="s">
        <v>1485</v>
      </c>
      <c r="E49" s="875" t="s">
        <v>15</v>
      </c>
      <c r="F49" s="852">
        <v>14</v>
      </c>
      <c r="G49" s="964"/>
      <c r="H49" s="622"/>
      <c r="I49" s="982"/>
      <c r="J49" s="622"/>
      <c r="K49" s="982"/>
    </row>
    <row r="50" spans="1:12" s="224" customFormat="1" ht="15" customHeight="1" x14ac:dyDescent="0.25">
      <c r="A50" s="215">
        <v>43718</v>
      </c>
      <c r="B50" s="364" t="s">
        <v>2352</v>
      </c>
      <c r="C50" s="352" t="s">
        <v>12</v>
      </c>
      <c r="D50" s="874" t="s">
        <v>1491</v>
      </c>
      <c r="E50" s="875" t="s">
        <v>13</v>
      </c>
      <c r="F50" s="852">
        <v>60</v>
      </c>
      <c r="G50" s="888"/>
      <c r="H50" s="97"/>
      <c r="I50" s="946"/>
      <c r="J50" s="622"/>
      <c r="K50" s="982"/>
    </row>
    <row r="51" spans="1:12" s="224" customFormat="1" ht="15" customHeight="1" x14ac:dyDescent="0.25">
      <c r="A51" s="215">
        <v>43718</v>
      </c>
      <c r="B51" s="364" t="s">
        <v>2353</v>
      </c>
      <c r="C51" s="352" t="s">
        <v>12</v>
      </c>
      <c r="D51" s="874" t="s">
        <v>1491</v>
      </c>
      <c r="E51" s="875" t="s">
        <v>13</v>
      </c>
      <c r="F51" s="852">
        <v>60</v>
      </c>
      <c r="G51" s="888"/>
      <c r="H51" s="97"/>
      <c r="I51" s="946"/>
      <c r="J51" s="622"/>
      <c r="K51" s="982"/>
    </row>
    <row r="52" spans="1:12" s="224" customFormat="1" ht="15" customHeight="1" x14ac:dyDescent="0.25">
      <c r="A52" s="215">
        <v>43718</v>
      </c>
      <c r="B52" s="364" t="s">
        <v>2354</v>
      </c>
      <c r="C52" s="352" t="s">
        <v>12</v>
      </c>
      <c r="D52" s="874" t="s">
        <v>1491</v>
      </c>
      <c r="E52" s="875" t="s">
        <v>13</v>
      </c>
      <c r="F52" s="852">
        <v>15</v>
      </c>
      <c r="G52" s="888"/>
      <c r="H52" s="97"/>
      <c r="I52" s="946"/>
      <c r="J52" s="622"/>
      <c r="K52" s="982"/>
    </row>
    <row r="53" spans="1:12" s="224" customFormat="1" ht="15" customHeight="1" x14ac:dyDescent="0.25">
      <c r="A53" s="215">
        <v>43718</v>
      </c>
      <c r="B53" s="364" t="s">
        <v>2355</v>
      </c>
      <c r="C53" s="352" t="s">
        <v>12</v>
      </c>
      <c r="D53" s="874" t="s">
        <v>1489</v>
      </c>
      <c r="E53" s="875" t="s">
        <v>13</v>
      </c>
      <c r="F53" s="852">
        <v>19.5</v>
      </c>
      <c r="G53" s="888"/>
      <c r="H53" s="97"/>
      <c r="I53" s="946"/>
      <c r="J53" s="622"/>
      <c r="K53" s="982"/>
    </row>
    <row r="54" spans="1:12" s="224" customFormat="1" ht="15" customHeight="1" x14ac:dyDescent="0.25">
      <c r="A54" s="215">
        <v>43718</v>
      </c>
      <c r="B54" s="364" t="s">
        <v>2356</v>
      </c>
      <c r="C54" s="350" t="s">
        <v>12</v>
      </c>
      <c r="D54" s="350" t="s">
        <v>1491</v>
      </c>
      <c r="E54" s="480" t="s">
        <v>13</v>
      </c>
      <c r="F54" s="827">
        <v>44.1</v>
      </c>
      <c r="G54" s="888"/>
      <c r="H54" s="97"/>
      <c r="I54" s="946"/>
      <c r="J54" s="622"/>
      <c r="K54" s="982"/>
    </row>
    <row r="55" spans="1:12" s="224" customFormat="1" ht="15" customHeight="1" x14ac:dyDescent="0.25">
      <c r="A55" s="215">
        <v>43718</v>
      </c>
      <c r="B55" s="364" t="s">
        <v>14</v>
      </c>
      <c r="C55" s="350" t="s">
        <v>12</v>
      </c>
      <c r="D55" s="350" t="s">
        <v>1486</v>
      </c>
      <c r="E55" s="875" t="s">
        <v>15</v>
      </c>
      <c r="F55" s="852">
        <v>6.5</v>
      </c>
      <c r="G55" s="888"/>
      <c r="H55" s="97"/>
      <c r="I55" s="946"/>
      <c r="J55" s="622"/>
      <c r="K55" s="982"/>
    </row>
    <row r="56" spans="1:12" s="224" customFormat="1" ht="15" customHeight="1" x14ac:dyDescent="0.25">
      <c r="A56" s="215">
        <v>43719</v>
      </c>
      <c r="B56" s="349" t="s">
        <v>1241</v>
      </c>
      <c r="C56" s="352" t="s">
        <v>12</v>
      </c>
      <c r="D56" s="879" t="s">
        <v>1504</v>
      </c>
      <c r="E56" s="875" t="s">
        <v>13</v>
      </c>
      <c r="F56" s="852">
        <v>10</v>
      </c>
      <c r="G56" s="964"/>
      <c r="H56" s="622"/>
      <c r="I56" s="982"/>
      <c r="J56" s="622"/>
      <c r="K56" s="982"/>
    </row>
    <row r="57" spans="1:12" s="224" customFormat="1" ht="15" customHeight="1" x14ac:dyDescent="0.25">
      <c r="A57" s="215">
        <v>43719</v>
      </c>
      <c r="B57" s="364" t="s">
        <v>14</v>
      </c>
      <c r="C57" s="350" t="s">
        <v>12</v>
      </c>
      <c r="D57" s="350" t="s">
        <v>1486</v>
      </c>
      <c r="E57" s="875" t="s">
        <v>15</v>
      </c>
      <c r="F57" s="852">
        <v>15.42</v>
      </c>
      <c r="G57" s="888"/>
      <c r="H57" s="97"/>
      <c r="I57" s="946"/>
      <c r="J57" s="622"/>
      <c r="K57" s="982"/>
    </row>
    <row r="58" spans="1:12" s="224" customFormat="1" ht="15" customHeight="1" x14ac:dyDescent="0.25">
      <c r="A58" s="215">
        <v>43720</v>
      </c>
      <c r="B58" s="862" t="s">
        <v>2357</v>
      </c>
      <c r="C58" s="879" t="s">
        <v>19</v>
      </c>
      <c r="D58" s="879" t="s">
        <v>1525</v>
      </c>
      <c r="E58" s="871" t="s">
        <v>13</v>
      </c>
      <c r="F58" s="852">
        <v>151.99</v>
      </c>
      <c r="G58" s="964"/>
      <c r="H58" s="622"/>
      <c r="I58" s="982"/>
      <c r="J58" s="622"/>
      <c r="K58" s="982"/>
      <c r="L58" s="932"/>
    </row>
    <row r="59" spans="1:12" s="224" customFormat="1" ht="15" customHeight="1" x14ac:dyDescent="0.25">
      <c r="A59" s="215">
        <v>43720</v>
      </c>
      <c r="B59" s="349" t="s">
        <v>32</v>
      </c>
      <c r="C59" s="352" t="s">
        <v>12</v>
      </c>
      <c r="D59" s="874" t="s">
        <v>1485</v>
      </c>
      <c r="E59" s="875" t="s">
        <v>13</v>
      </c>
      <c r="F59" s="852">
        <v>14</v>
      </c>
      <c r="G59" s="964"/>
      <c r="H59" s="622"/>
      <c r="I59" s="982"/>
      <c r="J59" s="622"/>
      <c r="K59" s="982"/>
    </row>
    <row r="60" spans="1:12" s="224" customFormat="1" ht="15" customHeight="1" x14ac:dyDescent="0.25">
      <c r="A60" s="215">
        <v>43720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852">
        <v>3.06</v>
      </c>
      <c r="G60" s="964"/>
      <c r="H60" s="622"/>
      <c r="I60" s="982"/>
      <c r="J60" s="622"/>
      <c r="K60" s="982"/>
      <c r="L60" s="932"/>
    </row>
    <row r="61" spans="1:12" ht="15" customHeight="1" x14ac:dyDescent="0.25">
      <c r="A61" s="215">
        <v>43721</v>
      </c>
      <c r="B61" s="349" t="s">
        <v>1396</v>
      </c>
      <c r="C61" s="350" t="s">
        <v>12</v>
      </c>
      <c r="D61" s="350"/>
      <c r="E61" s="480" t="s">
        <v>25</v>
      </c>
      <c r="F61" s="97"/>
      <c r="G61" s="946">
        <v>45</v>
      </c>
      <c r="H61" s="97"/>
      <c r="I61" s="946"/>
      <c r="J61" s="97"/>
      <c r="K61" s="946"/>
    </row>
    <row r="62" spans="1:12" s="224" customFormat="1" ht="15" customHeight="1" x14ac:dyDescent="0.25">
      <c r="A62" s="215">
        <v>43721</v>
      </c>
      <c r="B62" s="349" t="s">
        <v>32</v>
      </c>
      <c r="C62" s="352" t="s">
        <v>12</v>
      </c>
      <c r="D62" s="874" t="s">
        <v>1485</v>
      </c>
      <c r="E62" s="875" t="s">
        <v>13</v>
      </c>
      <c r="F62" s="852">
        <v>14</v>
      </c>
      <c r="G62" s="964"/>
      <c r="H62" s="622"/>
      <c r="I62" s="982"/>
      <c r="J62" s="622"/>
      <c r="K62" s="982"/>
    </row>
    <row r="63" spans="1:12" s="224" customFormat="1" ht="15" customHeight="1" x14ac:dyDescent="0.25">
      <c r="A63" s="215">
        <v>43721</v>
      </c>
      <c r="B63" s="349" t="s">
        <v>81</v>
      </c>
      <c r="C63" s="352" t="s">
        <v>12</v>
      </c>
      <c r="D63" s="874" t="s">
        <v>1493</v>
      </c>
      <c r="E63" s="875" t="s">
        <v>13</v>
      </c>
      <c r="F63" s="852">
        <v>1.5</v>
      </c>
      <c r="G63" s="964"/>
      <c r="H63" s="622"/>
      <c r="I63" s="982"/>
      <c r="J63" s="622"/>
      <c r="K63" s="982"/>
    </row>
    <row r="64" spans="1:12" s="224" customFormat="1" ht="15" customHeight="1" x14ac:dyDescent="0.25">
      <c r="A64" s="215">
        <v>43721</v>
      </c>
      <c r="B64" s="349" t="s">
        <v>2358</v>
      </c>
      <c r="C64" s="352" t="s">
        <v>19</v>
      </c>
      <c r="D64" s="874" t="s">
        <v>1491</v>
      </c>
      <c r="E64" s="875" t="s">
        <v>13</v>
      </c>
      <c r="F64" s="852">
        <v>91.8</v>
      </c>
      <c r="G64" s="964"/>
      <c r="H64" s="622"/>
      <c r="I64" s="982"/>
      <c r="J64" s="622"/>
      <c r="K64" s="982"/>
      <c r="L64" s="932"/>
    </row>
    <row r="65" spans="1:14" s="224" customFormat="1" ht="15" customHeight="1" x14ac:dyDescent="0.25">
      <c r="A65" s="215">
        <v>43721</v>
      </c>
      <c r="B65" s="349" t="s">
        <v>2359</v>
      </c>
      <c r="C65" s="352" t="s">
        <v>12</v>
      </c>
      <c r="D65" s="874" t="s">
        <v>1493</v>
      </c>
      <c r="E65" s="875" t="s">
        <v>13</v>
      </c>
      <c r="F65" s="852">
        <v>21.2</v>
      </c>
      <c r="G65" s="964"/>
      <c r="H65" s="622"/>
      <c r="I65" s="982"/>
      <c r="J65" s="622"/>
      <c r="K65" s="982"/>
      <c r="L65" s="932"/>
    </row>
    <row r="66" spans="1:14" s="224" customFormat="1" ht="15" customHeight="1" x14ac:dyDescent="0.25">
      <c r="A66" s="215">
        <v>43722</v>
      </c>
      <c r="B66" s="364" t="s">
        <v>14</v>
      </c>
      <c r="C66" s="350" t="s">
        <v>12</v>
      </c>
      <c r="D66" s="350" t="s">
        <v>1486</v>
      </c>
      <c r="E66" s="875" t="s">
        <v>13</v>
      </c>
      <c r="F66" s="852">
        <v>5.59</v>
      </c>
      <c r="G66" s="964"/>
      <c r="H66" s="622"/>
      <c r="I66" s="982"/>
      <c r="J66" s="622"/>
      <c r="K66" s="982"/>
      <c r="L66" s="932"/>
    </row>
    <row r="67" spans="1:14" s="224" customFormat="1" ht="15" customHeight="1" x14ac:dyDescent="0.25">
      <c r="A67" s="215">
        <v>43722</v>
      </c>
      <c r="B67" s="364" t="s">
        <v>2360</v>
      </c>
      <c r="C67" s="350" t="s">
        <v>12</v>
      </c>
      <c r="D67" s="350" t="s">
        <v>1491</v>
      </c>
      <c r="E67" s="875" t="s">
        <v>13</v>
      </c>
      <c r="F67" s="852">
        <v>5.99</v>
      </c>
      <c r="G67" s="964"/>
      <c r="H67" s="622"/>
      <c r="I67" s="982"/>
      <c r="J67" s="622"/>
      <c r="K67" s="982"/>
      <c r="L67" s="932"/>
    </row>
    <row r="68" spans="1:14" s="224" customFormat="1" ht="15" customHeight="1" x14ac:dyDescent="0.25">
      <c r="A68" s="215">
        <v>43722</v>
      </c>
      <c r="B68" s="349" t="s">
        <v>2358</v>
      </c>
      <c r="C68" s="352" t="s">
        <v>19</v>
      </c>
      <c r="D68" s="874" t="s">
        <v>1491</v>
      </c>
      <c r="E68" s="875" t="s">
        <v>13</v>
      </c>
      <c r="F68" s="852">
        <v>101.34</v>
      </c>
      <c r="G68" s="964"/>
      <c r="H68" s="622"/>
      <c r="I68" s="982"/>
      <c r="J68" s="622"/>
      <c r="K68" s="982"/>
      <c r="L68" s="932"/>
    </row>
    <row r="69" spans="1:14" s="224" customFormat="1" ht="15" customHeight="1" x14ac:dyDescent="0.25">
      <c r="A69" s="215">
        <v>43722</v>
      </c>
      <c r="B69" s="349" t="s">
        <v>2251</v>
      </c>
      <c r="C69" s="352" t="s">
        <v>12</v>
      </c>
      <c r="D69" s="874" t="s">
        <v>2157</v>
      </c>
      <c r="E69" s="875" t="s">
        <v>15</v>
      </c>
      <c r="F69" s="852">
        <v>50</v>
      </c>
      <c r="G69" s="964"/>
      <c r="H69" s="622"/>
      <c r="I69" s="982"/>
      <c r="J69" s="622"/>
      <c r="K69" s="982"/>
      <c r="L69" s="932"/>
    </row>
    <row r="70" spans="1:14" s="224" customFormat="1" ht="15" customHeight="1" x14ac:dyDescent="0.25">
      <c r="A70" s="215">
        <v>43722</v>
      </c>
      <c r="B70" s="349" t="s">
        <v>2361</v>
      </c>
      <c r="C70" s="352" t="s">
        <v>12</v>
      </c>
      <c r="D70" s="874" t="s">
        <v>1491</v>
      </c>
      <c r="E70" s="875" t="s">
        <v>15</v>
      </c>
      <c r="F70" s="852">
        <v>110</v>
      </c>
      <c r="G70" s="964"/>
      <c r="H70" s="622"/>
      <c r="I70" s="982"/>
      <c r="J70" s="622"/>
      <c r="K70" s="982"/>
    </row>
    <row r="71" spans="1:14" s="224" customFormat="1" ht="15" customHeight="1" x14ac:dyDescent="0.25">
      <c r="A71" s="215">
        <v>43723</v>
      </c>
      <c r="B71" s="364" t="s">
        <v>14</v>
      </c>
      <c r="C71" s="350" t="s">
        <v>12</v>
      </c>
      <c r="D71" s="350" t="s">
        <v>1486</v>
      </c>
      <c r="E71" s="875" t="s">
        <v>13</v>
      </c>
      <c r="F71" s="852">
        <v>6.71</v>
      </c>
      <c r="G71" s="964"/>
      <c r="H71" s="622"/>
      <c r="I71" s="982"/>
      <c r="J71" s="622"/>
      <c r="K71" s="982"/>
      <c r="L71" s="932"/>
    </row>
    <row r="72" spans="1:14" s="224" customFormat="1" ht="15" customHeight="1" x14ac:dyDescent="0.25">
      <c r="A72" s="215">
        <v>43723</v>
      </c>
      <c r="B72" s="349" t="s">
        <v>80</v>
      </c>
      <c r="C72" s="352" t="s">
        <v>12</v>
      </c>
      <c r="D72" s="874" t="s">
        <v>1523</v>
      </c>
      <c r="E72" s="875" t="s">
        <v>13</v>
      </c>
      <c r="F72" s="852">
        <v>27</v>
      </c>
      <c r="G72" s="964"/>
      <c r="H72" s="622"/>
      <c r="I72" s="982"/>
      <c r="J72" s="622"/>
      <c r="K72" s="982"/>
    </row>
    <row r="73" spans="1:14" s="224" customFormat="1" ht="15" customHeight="1" x14ac:dyDescent="0.25">
      <c r="A73" s="215">
        <v>43724</v>
      </c>
      <c r="B73" s="349" t="s">
        <v>32</v>
      </c>
      <c r="C73" s="352" t="s">
        <v>12</v>
      </c>
      <c r="D73" s="874" t="s">
        <v>1485</v>
      </c>
      <c r="E73" s="875" t="s">
        <v>13</v>
      </c>
      <c r="F73" s="852">
        <v>14</v>
      </c>
      <c r="G73" s="964"/>
      <c r="H73" s="622"/>
      <c r="I73" s="982"/>
      <c r="J73" s="622"/>
      <c r="K73" s="982"/>
    </row>
    <row r="74" spans="1:14" s="224" customFormat="1" ht="15" customHeight="1" x14ac:dyDescent="0.25">
      <c r="A74" s="215">
        <v>43724</v>
      </c>
      <c r="B74" s="349" t="s">
        <v>2362</v>
      </c>
      <c r="C74" s="352" t="s">
        <v>12</v>
      </c>
      <c r="D74" s="874" t="s">
        <v>1522</v>
      </c>
      <c r="E74" s="875" t="s">
        <v>13</v>
      </c>
      <c r="F74" s="852">
        <v>40</v>
      </c>
      <c r="G74" s="964"/>
      <c r="H74" s="622"/>
      <c r="I74" s="982"/>
      <c r="J74" s="622"/>
      <c r="K74" s="982"/>
      <c r="L74" s="932"/>
    </row>
    <row r="75" spans="1:14" s="224" customFormat="1" ht="15" customHeight="1" x14ac:dyDescent="0.25">
      <c r="A75" s="215">
        <v>43724</v>
      </c>
      <c r="B75" s="349" t="s">
        <v>2363</v>
      </c>
      <c r="C75" s="352" t="s">
        <v>12</v>
      </c>
      <c r="D75" s="874" t="s">
        <v>1485</v>
      </c>
      <c r="E75" s="875" t="s">
        <v>13</v>
      </c>
      <c r="F75" s="852">
        <v>13.32</v>
      </c>
      <c r="G75" s="964"/>
      <c r="H75" s="622"/>
      <c r="I75" s="982"/>
      <c r="J75" s="622"/>
      <c r="K75" s="982"/>
      <c r="L75" s="932"/>
    </row>
    <row r="76" spans="1:14" s="224" customFormat="1" ht="15.75" customHeight="1" x14ac:dyDescent="0.25">
      <c r="A76" s="215">
        <v>43724</v>
      </c>
      <c r="B76" s="882" t="s">
        <v>2364</v>
      </c>
      <c r="C76" s="879" t="s">
        <v>12</v>
      </c>
      <c r="D76" s="879" t="s">
        <v>1499</v>
      </c>
      <c r="E76" s="871" t="s">
        <v>13</v>
      </c>
      <c r="F76" s="853">
        <v>45.24</v>
      </c>
      <c r="G76" s="968"/>
      <c r="H76" s="538"/>
      <c r="I76" s="982"/>
      <c r="J76" s="622"/>
      <c r="K76" s="982"/>
      <c r="L76" s="949"/>
    </row>
    <row r="77" spans="1:14" s="224" customFormat="1" ht="15" customHeight="1" x14ac:dyDescent="0.25">
      <c r="A77" s="215">
        <v>43725</v>
      </c>
      <c r="B77" s="349" t="s">
        <v>32</v>
      </c>
      <c r="C77" s="352" t="s">
        <v>12</v>
      </c>
      <c r="D77" s="874" t="s">
        <v>1485</v>
      </c>
      <c r="E77" s="875" t="s">
        <v>15</v>
      </c>
      <c r="F77" s="852">
        <v>14</v>
      </c>
      <c r="G77" s="964"/>
      <c r="H77" s="622"/>
      <c r="I77" s="982"/>
      <c r="J77" s="622"/>
      <c r="K77" s="982"/>
    </row>
    <row r="78" spans="1:14" s="224" customFormat="1" ht="15" customHeight="1" x14ac:dyDescent="0.25">
      <c r="A78" s="215">
        <v>43725</v>
      </c>
      <c r="B78" s="862" t="s">
        <v>256</v>
      </c>
      <c r="C78" s="879"/>
      <c r="D78" s="879"/>
      <c r="E78" s="871"/>
      <c r="F78" s="97"/>
      <c r="G78" s="946">
        <v>203.88</v>
      </c>
      <c r="H78" s="97">
        <v>203.88</v>
      </c>
      <c r="I78" s="982"/>
      <c r="J78" s="622"/>
      <c r="K78" s="982"/>
      <c r="N78" s="930"/>
    </row>
    <row r="79" spans="1:14" s="224" customFormat="1" ht="15" customHeight="1" x14ac:dyDescent="0.25">
      <c r="A79" s="215">
        <v>43725</v>
      </c>
      <c r="B79" s="349" t="s">
        <v>2198</v>
      </c>
      <c r="C79" s="350" t="s">
        <v>19</v>
      </c>
      <c r="D79" s="350" t="s">
        <v>2157</v>
      </c>
      <c r="E79" s="480" t="s">
        <v>2365</v>
      </c>
      <c r="F79" s="780">
        <v>80</v>
      </c>
      <c r="G79" s="946"/>
      <c r="H79" s="97"/>
      <c r="I79" s="946"/>
      <c r="J79" s="97"/>
      <c r="K79" s="946"/>
    </row>
    <row r="80" spans="1:14" s="224" customFormat="1" ht="14.25" customHeight="1" x14ac:dyDescent="0.25">
      <c r="A80" s="215">
        <v>43725</v>
      </c>
      <c r="B80" s="349" t="s">
        <v>2366</v>
      </c>
      <c r="C80" s="352" t="s">
        <v>19</v>
      </c>
      <c r="D80" s="874" t="s">
        <v>1506</v>
      </c>
      <c r="E80" s="875" t="s">
        <v>1507</v>
      </c>
      <c r="F80" s="852">
        <v>85</v>
      </c>
      <c r="G80" s="888"/>
      <c r="H80" s="622"/>
      <c r="I80" s="982"/>
      <c r="J80" s="622"/>
      <c r="K80" s="982"/>
      <c r="L80" s="883"/>
      <c r="M80" s="89"/>
    </row>
    <row r="81" spans="1:14" s="224" customFormat="1" ht="15" customHeight="1" x14ac:dyDescent="0.25">
      <c r="A81" s="215">
        <v>43726</v>
      </c>
      <c r="B81" s="349" t="s">
        <v>32</v>
      </c>
      <c r="C81" s="352" t="s">
        <v>12</v>
      </c>
      <c r="D81" s="874" t="s">
        <v>1485</v>
      </c>
      <c r="E81" s="875" t="s">
        <v>13</v>
      </c>
      <c r="F81" s="852">
        <v>14</v>
      </c>
      <c r="G81" s="964"/>
      <c r="H81" s="622"/>
      <c r="I81" s="982"/>
      <c r="J81" s="622"/>
      <c r="K81" s="982"/>
    </row>
    <row r="82" spans="1:14" s="224" customFormat="1" ht="15" customHeight="1" x14ac:dyDescent="0.25">
      <c r="A82" s="215">
        <v>43726</v>
      </c>
      <c r="B82" s="349" t="s">
        <v>81</v>
      </c>
      <c r="C82" s="352" t="s">
        <v>12</v>
      </c>
      <c r="D82" s="874" t="s">
        <v>1493</v>
      </c>
      <c r="E82" s="875" t="s">
        <v>13</v>
      </c>
      <c r="F82" s="852">
        <v>6</v>
      </c>
      <c r="G82" s="964"/>
      <c r="H82" s="622"/>
      <c r="I82" s="982"/>
      <c r="J82" s="622"/>
      <c r="K82" s="982"/>
    </row>
    <row r="83" spans="1:14" s="224" customFormat="1" ht="15" customHeight="1" x14ac:dyDescent="0.25">
      <c r="A83" s="215">
        <v>43726</v>
      </c>
      <c r="B83" s="364" t="s">
        <v>14</v>
      </c>
      <c r="C83" s="350" t="s">
        <v>12</v>
      </c>
      <c r="D83" s="350" t="s">
        <v>1486</v>
      </c>
      <c r="E83" s="875" t="s">
        <v>13</v>
      </c>
      <c r="F83" s="852">
        <v>3.55</v>
      </c>
      <c r="G83" s="965"/>
      <c r="H83" s="97"/>
      <c r="I83" s="946"/>
      <c r="J83" s="97"/>
      <c r="K83" s="946"/>
    </row>
    <row r="84" spans="1:14" s="224" customFormat="1" ht="15" customHeight="1" x14ac:dyDescent="0.25">
      <c r="A84" s="215">
        <v>43727</v>
      </c>
      <c r="B84" s="349" t="s">
        <v>1241</v>
      </c>
      <c r="C84" s="352" t="s">
        <v>12</v>
      </c>
      <c r="D84" s="879" t="s">
        <v>1504</v>
      </c>
      <c r="E84" s="875" t="s">
        <v>13</v>
      </c>
      <c r="F84" s="852">
        <v>10</v>
      </c>
      <c r="G84" s="964"/>
      <c r="H84" s="622"/>
      <c r="I84" s="982"/>
      <c r="J84" s="622"/>
      <c r="K84" s="982"/>
    </row>
    <row r="85" spans="1:14" s="224" customFormat="1" ht="15" customHeight="1" x14ac:dyDescent="0.25">
      <c r="A85" s="215">
        <v>43727</v>
      </c>
      <c r="B85" s="349" t="s">
        <v>32</v>
      </c>
      <c r="C85" s="352" t="s">
        <v>12</v>
      </c>
      <c r="D85" s="874" t="s">
        <v>1485</v>
      </c>
      <c r="E85" s="875" t="s">
        <v>13</v>
      </c>
      <c r="F85" s="852">
        <v>14</v>
      </c>
      <c r="G85" s="964"/>
      <c r="H85" s="622"/>
      <c r="I85" s="982"/>
      <c r="J85" s="622"/>
      <c r="K85" s="982"/>
    </row>
    <row r="86" spans="1:14" s="224" customFormat="1" ht="14.25" customHeight="1" x14ac:dyDescent="0.25">
      <c r="A86" s="215">
        <v>43727</v>
      </c>
      <c r="B86" s="364" t="s">
        <v>14</v>
      </c>
      <c r="C86" s="350" t="s">
        <v>12</v>
      </c>
      <c r="D86" s="350" t="s">
        <v>1486</v>
      </c>
      <c r="E86" s="875" t="s">
        <v>13</v>
      </c>
      <c r="F86" s="852">
        <v>6.5</v>
      </c>
      <c r="G86" s="888"/>
      <c r="H86" s="622"/>
      <c r="I86" s="982"/>
      <c r="J86" s="622"/>
      <c r="K86" s="982"/>
      <c r="L86" s="883"/>
      <c r="M86" s="89"/>
    </row>
    <row r="87" spans="1:14" x14ac:dyDescent="0.25">
      <c r="A87" s="215">
        <v>43728</v>
      </c>
      <c r="B87" s="882" t="s">
        <v>2367</v>
      </c>
      <c r="C87" s="350" t="s">
        <v>12</v>
      </c>
      <c r="D87" s="145"/>
      <c r="E87" s="145" t="s">
        <v>25</v>
      </c>
      <c r="F87" s="1529"/>
      <c r="G87" s="965">
        <v>1600</v>
      </c>
      <c r="H87" s="97"/>
      <c r="I87" s="946"/>
      <c r="J87" s="97"/>
      <c r="K87" s="946"/>
      <c r="L87" s="952"/>
      <c r="M87" s="85"/>
    </row>
    <row r="88" spans="1:14" s="224" customFormat="1" x14ac:dyDescent="0.25">
      <c r="A88" s="215">
        <v>43728</v>
      </c>
      <c r="B88" s="873" t="s">
        <v>1564</v>
      </c>
      <c r="C88" s="879" t="s">
        <v>12</v>
      </c>
      <c r="D88" s="350" t="s">
        <v>1491</v>
      </c>
      <c r="E88" s="871" t="s">
        <v>15</v>
      </c>
      <c r="F88" s="853">
        <v>140</v>
      </c>
      <c r="G88" s="964"/>
      <c r="H88" s="622"/>
      <c r="I88" s="982"/>
      <c r="J88" s="622"/>
      <c r="K88" s="982"/>
      <c r="L88" s="949"/>
    </row>
    <row r="89" spans="1:14" s="224" customFormat="1" ht="15" customHeight="1" x14ac:dyDescent="0.25">
      <c r="A89" s="215">
        <v>43728</v>
      </c>
      <c r="B89" s="349" t="s">
        <v>2368</v>
      </c>
      <c r="C89" s="352" t="s">
        <v>19</v>
      </c>
      <c r="D89" s="874" t="s">
        <v>1525</v>
      </c>
      <c r="E89" s="875" t="s">
        <v>13</v>
      </c>
      <c r="F89" s="852">
        <v>300</v>
      </c>
      <c r="G89" s="964"/>
      <c r="H89" s="622"/>
      <c r="I89" s="982"/>
      <c r="J89" s="622"/>
      <c r="K89" s="982"/>
      <c r="L89" s="3136" t="s">
        <v>2369</v>
      </c>
      <c r="M89" s="3137"/>
    </row>
    <row r="90" spans="1:14" s="224" customFormat="1" x14ac:dyDescent="0.25">
      <c r="A90" s="215">
        <v>43728</v>
      </c>
      <c r="B90" s="873" t="s">
        <v>2370</v>
      </c>
      <c r="C90" s="879" t="s">
        <v>12</v>
      </c>
      <c r="D90" s="350" t="s">
        <v>1491</v>
      </c>
      <c r="E90" s="871" t="s">
        <v>15</v>
      </c>
      <c r="F90" s="853">
        <v>95</v>
      </c>
      <c r="G90" s="964"/>
      <c r="H90" s="622"/>
      <c r="I90" s="982"/>
      <c r="J90" s="622"/>
      <c r="K90" s="982"/>
      <c r="L90" s="949"/>
    </row>
    <row r="91" spans="1:14" s="224" customFormat="1" x14ac:dyDescent="0.25">
      <c r="A91" s="215">
        <v>43728</v>
      </c>
      <c r="B91" s="873" t="s">
        <v>2371</v>
      </c>
      <c r="C91" s="879" t="s">
        <v>12</v>
      </c>
      <c r="D91" s="350" t="s">
        <v>1491</v>
      </c>
      <c r="E91" s="871" t="s">
        <v>15</v>
      </c>
      <c r="F91" s="853">
        <v>50</v>
      </c>
      <c r="G91" s="964"/>
      <c r="H91" s="622"/>
      <c r="I91" s="982"/>
      <c r="J91" s="622"/>
      <c r="K91" s="982"/>
      <c r="L91" s="949"/>
    </row>
    <row r="92" spans="1:14" s="224" customFormat="1" x14ac:dyDescent="0.25">
      <c r="A92" s="215">
        <v>43728</v>
      </c>
      <c r="B92" s="873" t="s">
        <v>2372</v>
      </c>
      <c r="C92" s="879" t="s">
        <v>12</v>
      </c>
      <c r="D92" s="350" t="s">
        <v>1491</v>
      </c>
      <c r="E92" s="871" t="s">
        <v>15</v>
      </c>
      <c r="F92" s="853">
        <v>15</v>
      </c>
      <c r="G92" s="964"/>
      <c r="H92" s="622"/>
      <c r="I92" s="982"/>
      <c r="J92" s="622"/>
      <c r="K92" s="982"/>
      <c r="L92" s="949"/>
    </row>
    <row r="93" spans="1:14" s="224" customFormat="1" ht="15" customHeight="1" x14ac:dyDescent="0.25">
      <c r="A93" s="215">
        <v>43728</v>
      </c>
      <c r="B93" s="349" t="s">
        <v>32</v>
      </c>
      <c r="C93" s="352" t="s">
        <v>12</v>
      </c>
      <c r="D93" s="874" t="s">
        <v>1485</v>
      </c>
      <c r="E93" s="875" t="s">
        <v>13</v>
      </c>
      <c r="F93" s="852">
        <v>14</v>
      </c>
      <c r="G93" s="964"/>
      <c r="H93" s="622"/>
      <c r="I93" s="982"/>
      <c r="J93" s="622"/>
      <c r="K93" s="982"/>
    </row>
    <row r="94" spans="1:14" s="224" customFormat="1" ht="15" customHeight="1" x14ac:dyDescent="0.25">
      <c r="A94" s="215">
        <v>43728</v>
      </c>
      <c r="B94" s="364" t="s">
        <v>14</v>
      </c>
      <c r="C94" s="350" t="s">
        <v>12</v>
      </c>
      <c r="D94" s="350" t="s">
        <v>1486</v>
      </c>
      <c r="E94" s="875" t="s">
        <v>13</v>
      </c>
      <c r="F94" s="852">
        <v>4.92</v>
      </c>
      <c r="G94" s="965"/>
      <c r="H94" s="97"/>
      <c r="I94" s="946"/>
      <c r="J94" s="97"/>
      <c r="K94" s="946"/>
      <c r="L94" s="923"/>
      <c r="N94" s="930"/>
    </row>
    <row r="95" spans="1:14" s="224" customFormat="1" x14ac:dyDescent="0.25">
      <c r="A95" s="215">
        <v>43729</v>
      </c>
      <c r="B95" s="873" t="s">
        <v>81</v>
      </c>
      <c r="C95" s="879" t="s">
        <v>12</v>
      </c>
      <c r="D95" s="350" t="s">
        <v>1493</v>
      </c>
      <c r="E95" s="871" t="s">
        <v>13</v>
      </c>
      <c r="F95" s="853">
        <v>10</v>
      </c>
      <c r="G95" s="964"/>
      <c r="H95" s="622"/>
      <c r="I95" s="982"/>
      <c r="J95" s="622"/>
      <c r="K95" s="982"/>
      <c r="L95" s="949"/>
    </row>
    <row r="96" spans="1:14" s="224" customFormat="1" x14ac:dyDescent="0.25">
      <c r="A96" s="215">
        <v>43729</v>
      </c>
      <c r="B96" s="873" t="s">
        <v>2359</v>
      </c>
      <c r="C96" s="879" t="s">
        <v>12</v>
      </c>
      <c r="D96" s="350" t="s">
        <v>1493</v>
      </c>
      <c r="E96" s="875" t="s">
        <v>13</v>
      </c>
      <c r="F96" s="853">
        <v>32.4</v>
      </c>
      <c r="G96" s="964"/>
      <c r="H96" s="622"/>
      <c r="I96" s="982"/>
      <c r="J96" s="622"/>
      <c r="K96" s="982"/>
      <c r="L96" s="949"/>
    </row>
    <row r="97" spans="1:15" s="224" customFormat="1" ht="15" customHeight="1" x14ac:dyDescent="0.25">
      <c r="A97" s="215">
        <v>43730</v>
      </c>
      <c r="B97" s="349" t="s">
        <v>32</v>
      </c>
      <c r="C97" s="352" t="s">
        <v>12</v>
      </c>
      <c r="D97" s="874" t="s">
        <v>1485</v>
      </c>
      <c r="E97" s="875" t="s">
        <v>13</v>
      </c>
      <c r="F97" s="852">
        <v>14.02</v>
      </c>
      <c r="G97" s="964"/>
      <c r="H97" s="622"/>
      <c r="I97" s="982"/>
      <c r="J97" s="622"/>
      <c r="K97" s="982"/>
    </row>
    <row r="98" spans="1:15" s="224" customFormat="1" ht="15" customHeight="1" x14ac:dyDescent="0.25">
      <c r="A98" s="215">
        <v>43730</v>
      </c>
      <c r="B98" s="349" t="s">
        <v>2373</v>
      </c>
      <c r="C98" s="352" t="s">
        <v>12</v>
      </c>
      <c r="D98" s="874" t="s">
        <v>1493</v>
      </c>
      <c r="E98" s="875" t="s">
        <v>13</v>
      </c>
      <c r="F98" s="852">
        <v>11.72</v>
      </c>
      <c r="G98" s="965"/>
      <c r="H98" s="97"/>
      <c r="I98" s="982"/>
      <c r="J98" s="622"/>
      <c r="K98" s="982"/>
      <c r="L98" s="949"/>
    </row>
    <row r="99" spans="1:15" s="224" customFormat="1" ht="15" customHeight="1" x14ac:dyDescent="0.25">
      <c r="A99" s="215">
        <v>43731</v>
      </c>
      <c r="B99" s="349" t="s">
        <v>2374</v>
      </c>
      <c r="C99" s="352" t="s">
        <v>12</v>
      </c>
      <c r="D99" s="874" t="s">
        <v>1525</v>
      </c>
      <c r="E99" s="875" t="s">
        <v>15</v>
      </c>
      <c r="F99" s="852">
        <v>120</v>
      </c>
      <c r="G99" s="965"/>
      <c r="H99" s="97"/>
      <c r="I99" s="982"/>
      <c r="J99" s="622"/>
      <c r="K99" s="982"/>
    </row>
    <row r="100" spans="1:15" s="224" customFormat="1" ht="15" customHeight="1" x14ac:dyDescent="0.25">
      <c r="A100" s="215">
        <v>43731</v>
      </c>
      <c r="B100" s="349" t="s">
        <v>32</v>
      </c>
      <c r="C100" s="352" t="s">
        <v>12</v>
      </c>
      <c r="D100" s="874" t="s">
        <v>1485</v>
      </c>
      <c r="E100" s="875" t="s">
        <v>15</v>
      </c>
      <c r="F100" s="852">
        <v>14</v>
      </c>
      <c r="G100" s="965"/>
      <c r="H100" s="97"/>
      <c r="I100" s="982"/>
      <c r="J100" s="622"/>
      <c r="K100" s="982"/>
    </row>
    <row r="101" spans="1:15" s="224" customFormat="1" ht="15" customHeight="1" x14ac:dyDescent="0.25">
      <c r="A101" s="215">
        <v>43731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5.39</v>
      </c>
      <c r="G101" s="965"/>
      <c r="H101" s="97"/>
      <c r="I101" s="982"/>
      <c r="J101" s="622"/>
      <c r="K101" s="982"/>
    </row>
    <row r="102" spans="1:15" s="224" customFormat="1" ht="15" customHeight="1" x14ac:dyDescent="0.25">
      <c r="A102" s="215">
        <v>43732</v>
      </c>
      <c r="B102" s="862" t="s">
        <v>2302</v>
      </c>
      <c r="C102" s="350" t="s">
        <v>12</v>
      </c>
      <c r="D102" s="874" t="s">
        <v>1504</v>
      </c>
      <c r="E102" s="887" t="s">
        <v>13</v>
      </c>
      <c r="F102" s="780">
        <v>70</v>
      </c>
      <c r="G102" s="946"/>
      <c r="H102" s="97"/>
      <c r="I102" s="982"/>
      <c r="J102" s="622"/>
      <c r="K102" s="982"/>
      <c r="L102" s="956">
        <v>140</v>
      </c>
    </row>
    <row r="103" spans="1:15" s="224" customFormat="1" ht="15" customHeight="1" x14ac:dyDescent="0.25">
      <c r="A103" s="215">
        <v>43732</v>
      </c>
      <c r="B103" s="349" t="s">
        <v>32</v>
      </c>
      <c r="C103" s="352" t="s">
        <v>12</v>
      </c>
      <c r="D103" s="874" t="s">
        <v>1485</v>
      </c>
      <c r="E103" s="887" t="s">
        <v>13</v>
      </c>
      <c r="F103" s="852">
        <v>14</v>
      </c>
      <c r="G103" s="965"/>
      <c r="H103" s="97"/>
      <c r="I103" s="982"/>
      <c r="J103" s="622"/>
      <c r="K103" s="982"/>
    </row>
    <row r="104" spans="1:15" s="224" customFormat="1" ht="15" customHeight="1" x14ac:dyDescent="0.25">
      <c r="A104" s="215">
        <v>43732</v>
      </c>
      <c r="B104" s="349" t="s">
        <v>2198</v>
      </c>
      <c r="C104" s="350" t="s">
        <v>19</v>
      </c>
      <c r="D104" s="350" t="s">
        <v>2157</v>
      </c>
      <c r="E104" s="480" t="s">
        <v>13</v>
      </c>
      <c r="F104" s="780">
        <v>80</v>
      </c>
      <c r="G104" s="946"/>
      <c r="H104" s="97"/>
      <c r="I104" s="982"/>
      <c r="J104" s="622"/>
      <c r="K104" s="982"/>
    </row>
    <row r="105" spans="1:15" s="224" customFormat="1" ht="15" customHeight="1" x14ac:dyDescent="0.25">
      <c r="A105" s="215">
        <v>43733</v>
      </c>
      <c r="B105" s="364" t="s">
        <v>14</v>
      </c>
      <c r="C105" s="350" t="s">
        <v>12</v>
      </c>
      <c r="D105" s="350" t="s">
        <v>1486</v>
      </c>
      <c r="E105" s="875" t="s">
        <v>13</v>
      </c>
      <c r="F105" s="852">
        <v>11.9</v>
      </c>
      <c r="G105" s="965"/>
      <c r="H105" s="97"/>
      <c r="I105" s="982"/>
      <c r="J105" s="622"/>
      <c r="K105" s="982"/>
    </row>
    <row r="106" spans="1:15" s="224" customFormat="1" ht="15" customHeight="1" x14ac:dyDescent="0.25">
      <c r="A106" s="215">
        <v>43734</v>
      </c>
      <c r="B106" s="349" t="s">
        <v>32</v>
      </c>
      <c r="C106" s="352" t="s">
        <v>12</v>
      </c>
      <c r="D106" s="874" t="s">
        <v>1485</v>
      </c>
      <c r="E106" s="875" t="s">
        <v>15</v>
      </c>
      <c r="F106" s="852">
        <v>14</v>
      </c>
      <c r="G106" s="965"/>
      <c r="H106" s="97"/>
      <c r="I106" s="982"/>
      <c r="J106" s="622"/>
      <c r="K106" s="982"/>
    </row>
    <row r="107" spans="1:15" s="224" customFormat="1" ht="15" customHeight="1" x14ac:dyDescent="0.25">
      <c r="A107" s="215">
        <v>43734</v>
      </c>
      <c r="B107" s="862" t="s">
        <v>2096</v>
      </c>
      <c r="C107" s="879" t="s">
        <v>12</v>
      </c>
      <c r="D107" s="879" t="s">
        <v>1506</v>
      </c>
      <c r="E107" s="871" t="s">
        <v>15</v>
      </c>
      <c r="F107" s="780">
        <v>30</v>
      </c>
      <c r="G107" s="946"/>
      <c r="H107" s="97"/>
      <c r="I107" s="982"/>
      <c r="J107" s="622"/>
      <c r="K107" s="982"/>
      <c r="O107" s="930"/>
    </row>
    <row r="108" spans="1:15" s="224" customFormat="1" ht="15" customHeight="1" x14ac:dyDescent="0.25">
      <c r="A108" s="215">
        <v>43734</v>
      </c>
      <c r="B108" s="349" t="s">
        <v>2375</v>
      </c>
      <c r="C108" s="352" t="s">
        <v>12</v>
      </c>
      <c r="D108" s="874" t="s">
        <v>1506</v>
      </c>
      <c r="E108" s="875" t="s">
        <v>15</v>
      </c>
      <c r="F108" s="852">
        <v>10</v>
      </c>
      <c r="G108" s="965"/>
      <c r="H108" s="97"/>
      <c r="I108" s="982"/>
      <c r="J108" s="622"/>
      <c r="K108" s="982"/>
    </row>
    <row r="109" spans="1:15" s="224" customFormat="1" ht="15" customHeight="1" x14ac:dyDescent="0.25">
      <c r="A109" s="215">
        <v>43734</v>
      </c>
      <c r="B109" s="364" t="s">
        <v>14</v>
      </c>
      <c r="C109" s="350" t="s">
        <v>12</v>
      </c>
      <c r="D109" s="350" t="s">
        <v>1486</v>
      </c>
      <c r="E109" s="875" t="s">
        <v>15</v>
      </c>
      <c r="F109" s="852">
        <v>7.5</v>
      </c>
      <c r="G109" s="965"/>
      <c r="H109" s="97"/>
      <c r="I109" s="982"/>
      <c r="J109" s="622"/>
      <c r="K109" s="982"/>
    </row>
    <row r="110" spans="1:15" s="224" customFormat="1" ht="15" customHeight="1" x14ac:dyDescent="0.25">
      <c r="A110" s="215">
        <v>43735</v>
      </c>
      <c r="B110" s="349" t="s">
        <v>32</v>
      </c>
      <c r="C110" s="352" t="s">
        <v>12</v>
      </c>
      <c r="D110" s="874" t="s">
        <v>1485</v>
      </c>
      <c r="E110" s="875" t="s">
        <v>15</v>
      </c>
      <c r="F110" s="852">
        <v>14</v>
      </c>
      <c r="G110" s="965"/>
      <c r="H110" s="97"/>
      <c r="I110" s="982"/>
      <c r="J110" s="622"/>
      <c r="K110" s="982"/>
    </row>
    <row r="111" spans="1:15" s="224" customFormat="1" ht="15" customHeight="1" x14ac:dyDescent="0.25">
      <c r="A111" s="215">
        <v>43735</v>
      </c>
      <c r="B111" s="349" t="s">
        <v>17</v>
      </c>
      <c r="C111" s="352" t="s">
        <v>12</v>
      </c>
      <c r="D111" s="874" t="s">
        <v>1493</v>
      </c>
      <c r="E111" s="875" t="s">
        <v>13</v>
      </c>
      <c r="F111" s="852">
        <v>6</v>
      </c>
      <c r="G111" s="965"/>
      <c r="H111" s="97"/>
      <c r="I111" s="982"/>
      <c r="J111" s="622"/>
      <c r="K111" s="982"/>
    </row>
    <row r="112" spans="1:15" s="224" customFormat="1" ht="15" customHeight="1" x14ac:dyDescent="0.25">
      <c r="A112" s="215">
        <v>43735</v>
      </c>
      <c r="B112" s="349" t="s">
        <v>134</v>
      </c>
      <c r="C112" s="352" t="s">
        <v>12</v>
      </c>
      <c r="D112" s="874" t="s">
        <v>1493</v>
      </c>
      <c r="E112" s="875" t="s">
        <v>13</v>
      </c>
      <c r="F112" s="852">
        <v>6</v>
      </c>
      <c r="G112" s="965"/>
      <c r="H112" s="97"/>
      <c r="I112" s="982"/>
      <c r="J112" s="622"/>
      <c r="K112" s="982"/>
    </row>
    <row r="113" spans="1:11" s="224" customFormat="1" ht="15" customHeight="1" x14ac:dyDescent="0.25">
      <c r="A113" s="215">
        <v>43735</v>
      </c>
      <c r="B113" s="862" t="s">
        <v>2376</v>
      </c>
      <c r="C113" s="350" t="s">
        <v>12</v>
      </c>
      <c r="D113" s="874" t="s">
        <v>2168</v>
      </c>
      <c r="E113" s="887" t="s">
        <v>13</v>
      </c>
      <c r="F113" s="852">
        <v>21.18</v>
      </c>
      <c r="G113" s="965"/>
      <c r="H113" s="97"/>
      <c r="I113" s="982"/>
      <c r="J113" s="622"/>
      <c r="K113" s="982"/>
    </row>
    <row r="114" spans="1:11" s="224" customFormat="1" ht="15" customHeight="1" x14ac:dyDescent="0.25">
      <c r="A114" s="215">
        <v>43736</v>
      </c>
      <c r="B114" s="349" t="s">
        <v>238</v>
      </c>
      <c r="C114" s="350" t="s">
        <v>19</v>
      </c>
      <c r="D114" s="350" t="s">
        <v>1523</v>
      </c>
      <c r="E114" s="887" t="s">
        <v>13</v>
      </c>
      <c r="F114" s="852">
        <v>20.28</v>
      </c>
      <c r="G114" s="965"/>
      <c r="H114" s="97"/>
      <c r="I114" s="946"/>
      <c r="J114" s="97"/>
      <c r="K114" s="946"/>
    </row>
    <row r="115" spans="1:11" s="224" customFormat="1" ht="15" customHeight="1" x14ac:dyDescent="0.25">
      <c r="A115" s="215">
        <v>43736</v>
      </c>
      <c r="B115" s="349" t="s">
        <v>1438</v>
      </c>
      <c r="C115" s="350" t="s">
        <v>19</v>
      </c>
      <c r="D115" s="350" t="s">
        <v>1489</v>
      </c>
      <c r="E115" s="887" t="s">
        <v>13</v>
      </c>
      <c r="F115" s="852">
        <v>56.58</v>
      </c>
      <c r="G115" s="965"/>
      <c r="H115" s="97"/>
      <c r="I115" s="946"/>
      <c r="J115" s="97"/>
      <c r="K115" s="946"/>
    </row>
    <row r="116" spans="1:11" s="224" customFormat="1" ht="15" customHeight="1" x14ac:dyDescent="0.25">
      <c r="A116" s="215">
        <v>43736</v>
      </c>
      <c r="B116" s="364" t="s">
        <v>14</v>
      </c>
      <c r="C116" s="350" t="s">
        <v>12</v>
      </c>
      <c r="D116" s="350" t="s">
        <v>1486</v>
      </c>
      <c r="E116" s="875" t="s">
        <v>15</v>
      </c>
      <c r="F116" s="852">
        <v>5.54</v>
      </c>
      <c r="G116" s="965"/>
      <c r="H116" s="97"/>
      <c r="I116" s="982"/>
      <c r="J116" s="622"/>
      <c r="K116" s="982"/>
    </row>
    <row r="117" spans="1:11" s="224" customFormat="1" ht="15" customHeight="1" x14ac:dyDescent="0.25">
      <c r="A117" s="215">
        <v>43736</v>
      </c>
      <c r="B117" s="349" t="s">
        <v>2377</v>
      </c>
      <c r="C117" s="350" t="s">
        <v>12</v>
      </c>
      <c r="D117" s="350" t="s">
        <v>1523</v>
      </c>
      <c r="E117" s="887" t="s">
        <v>13</v>
      </c>
      <c r="F117" s="852">
        <v>43</v>
      </c>
      <c r="G117" s="965"/>
      <c r="H117" s="97"/>
      <c r="I117" s="946"/>
      <c r="J117" s="97"/>
      <c r="K117" s="946"/>
    </row>
    <row r="118" spans="1:11" s="224" customFormat="1" ht="15" customHeight="1" x14ac:dyDescent="0.25">
      <c r="A118" s="215">
        <v>43737</v>
      </c>
      <c r="B118" s="364" t="s">
        <v>14</v>
      </c>
      <c r="C118" s="350" t="s">
        <v>12</v>
      </c>
      <c r="D118" s="350" t="s">
        <v>1486</v>
      </c>
      <c r="E118" s="875" t="s">
        <v>15</v>
      </c>
      <c r="F118" s="852">
        <v>4.8099999999999996</v>
      </c>
      <c r="G118" s="965"/>
      <c r="H118" s="97"/>
      <c r="I118" s="982"/>
      <c r="J118" s="622"/>
      <c r="K118" s="982"/>
    </row>
    <row r="119" spans="1:11" s="224" customFormat="1" ht="15" customHeight="1" x14ac:dyDescent="0.25">
      <c r="A119" s="215">
        <v>43737</v>
      </c>
      <c r="B119" s="349" t="s">
        <v>238</v>
      </c>
      <c r="C119" s="350" t="s">
        <v>12</v>
      </c>
      <c r="D119" s="350" t="s">
        <v>1523</v>
      </c>
      <c r="E119" s="480" t="s">
        <v>15</v>
      </c>
      <c r="F119" s="852">
        <v>18</v>
      </c>
      <c r="G119" s="965"/>
      <c r="H119" s="97"/>
      <c r="I119" s="946"/>
      <c r="J119" s="97"/>
      <c r="K119" s="946"/>
    </row>
    <row r="120" spans="1:11" s="224" customFormat="1" ht="15" customHeight="1" x14ac:dyDescent="0.25">
      <c r="A120" s="215">
        <v>43737</v>
      </c>
      <c r="B120" s="349" t="s">
        <v>2359</v>
      </c>
      <c r="C120" s="350" t="s">
        <v>12</v>
      </c>
      <c r="D120" s="350" t="s">
        <v>1523</v>
      </c>
      <c r="E120" s="887" t="s">
        <v>13</v>
      </c>
      <c r="F120" s="852">
        <v>32.4</v>
      </c>
      <c r="G120" s="965"/>
      <c r="H120" s="97"/>
      <c r="I120" s="946"/>
      <c r="J120" s="97"/>
      <c r="K120" s="946"/>
    </row>
    <row r="121" spans="1:11" s="224" customFormat="1" ht="15" customHeight="1" x14ac:dyDescent="0.25">
      <c r="A121" s="215">
        <v>43738</v>
      </c>
      <c r="B121" s="349" t="s">
        <v>134</v>
      </c>
      <c r="C121" s="352" t="s">
        <v>12</v>
      </c>
      <c r="D121" s="874" t="s">
        <v>1493</v>
      </c>
      <c r="E121" s="875" t="s">
        <v>13</v>
      </c>
      <c r="F121" s="780">
        <v>14.5</v>
      </c>
      <c r="G121" s="946"/>
      <c r="H121" s="97"/>
      <c r="I121" s="982"/>
      <c r="J121" s="622"/>
      <c r="K121" s="982"/>
    </row>
    <row r="122" spans="1:11" s="224" customFormat="1" x14ac:dyDescent="0.25">
      <c r="A122" s="215">
        <v>43738</v>
      </c>
      <c r="B122" s="862" t="s">
        <v>1666</v>
      </c>
      <c r="C122" s="350" t="s">
        <v>12</v>
      </c>
      <c r="D122" s="177"/>
      <c r="E122" s="145" t="s">
        <v>25</v>
      </c>
      <c r="F122" s="622"/>
      <c r="G122" s="982"/>
      <c r="H122" s="622"/>
      <c r="I122" s="982"/>
      <c r="J122" s="622"/>
      <c r="K122" s="982">
        <v>23.9</v>
      </c>
    </row>
    <row r="123" spans="1:11" s="224" customFormat="1" ht="15" customHeight="1" thickBot="1" x14ac:dyDescent="0.3">
      <c r="A123" s="215">
        <v>43738</v>
      </c>
      <c r="B123" s="862" t="s">
        <v>1710</v>
      </c>
      <c r="C123" s="879" t="s">
        <v>12</v>
      </c>
      <c r="D123" s="879" t="s">
        <v>1504</v>
      </c>
      <c r="E123" s="871" t="s">
        <v>13</v>
      </c>
      <c r="F123" s="961">
        <v>32.9</v>
      </c>
      <c r="G123" s="960"/>
      <c r="H123" s="97"/>
      <c r="I123" s="946"/>
      <c r="J123" s="97"/>
      <c r="K123" s="946"/>
    </row>
    <row r="124" spans="1:11" ht="25.5" customHeight="1" thickBot="1" x14ac:dyDescent="0.3">
      <c r="A124" s="3060"/>
      <c r="B124" s="3061"/>
      <c r="C124" s="3062"/>
      <c r="D124" s="3062"/>
      <c r="E124" s="3062"/>
      <c r="F124" s="100">
        <f>SUM(F7:F123)</f>
        <v>3820.2333333333331</v>
      </c>
      <c r="G124" s="1534">
        <f>SUM(G5:G123)</f>
        <v>4262.3200000000152</v>
      </c>
      <c r="H124" s="101">
        <f>SUM(H6:H123)</f>
        <v>203.88</v>
      </c>
      <c r="I124" s="93">
        <f>SUM(I5:I123)</f>
        <v>1303.8760000000023</v>
      </c>
      <c r="J124" s="101">
        <f>SUM(J6:J123)</f>
        <v>0</v>
      </c>
      <c r="K124" s="93">
        <f>SUM(K5:K123)</f>
        <v>6747.22</v>
      </c>
    </row>
    <row r="125" spans="1:11" ht="25.5" customHeight="1" thickBot="1" x14ac:dyDescent="0.3">
      <c r="A125" s="3117" t="s">
        <v>49</v>
      </c>
      <c r="B125" s="3118"/>
      <c r="C125" s="3118"/>
      <c r="D125" s="3118"/>
      <c r="E125" s="3118"/>
      <c r="F125" s="894"/>
      <c r="G125" s="519">
        <f>G124-F124</f>
        <v>442.08666666668205</v>
      </c>
      <c r="H125" s="555"/>
      <c r="I125" s="772">
        <f>I124-H124</f>
        <v>1099.9960000000024</v>
      </c>
      <c r="J125" s="555"/>
      <c r="K125" s="772">
        <f>K124-J124</f>
        <v>6747.22</v>
      </c>
    </row>
    <row r="126" spans="1:11" x14ac:dyDescent="0.25">
      <c r="E126" s="79"/>
      <c r="G126" s="868"/>
    </row>
    <row r="127" spans="1:11" x14ac:dyDescent="0.25">
      <c r="B127" s="81" t="s">
        <v>3</v>
      </c>
      <c r="C127" s="193" t="s">
        <v>1484</v>
      </c>
      <c r="D127" s="193" t="s">
        <v>2378</v>
      </c>
      <c r="K127" s="866"/>
    </row>
    <row r="128" spans="1:11" x14ac:dyDescent="0.25">
      <c r="B128" s="79" t="s">
        <v>32</v>
      </c>
      <c r="C128" s="85" t="s">
        <v>1485</v>
      </c>
      <c r="D128" s="475">
        <f>SUMIF($D$7:$D$123,"A",$F$7:$F$125)</f>
        <v>302.78999999999996</v>
      </c>
      <c r="F128" s="79"/>
      <c r="J128" s="769"/>
      <c r="K128" s="868"/>
    </row>
    <row r="129" spans="1:12" x14ac:dyDescent="0.25">
      <c r="B129" s="79" t="s">
        <v>2187</v>
      </c>
      <c r="C129" s="85" t="s">
        <v>2157</v>
      </c>
      <c r="D129" s="475">
        <f>SUMIF($D$7:$D$123,"GAC",$F$7:$F$125)</f>
        <v>290</v>
      </c>
      <c r="J129" s="754"/>
      <c r="K129" s="886"/>
      <c r="L129" s="81"/>
    </row>
    <row r="130" spans="1:12" x14ac:dyDescent="0.25">
      <c r="B130" s="79" t="s">
        <v>2188</v>
      </c>
      <c r="C130" s="85" t="s">
        <v>2168</v>
      </c>
      <c r="D130" s="475">
        <f>SUMIF($D$7:$D$123,"GAM",$F$7:$F$125)</f>
        <v>41.18</v>
      </c>
      <c r="J130" s="864"/>
      <c r="K130" s="864"/>
      <c r="L130" s="958"/>
    </row>
    <row r="131" spans="1:12" s="85" customFormat="1" x14ac:dyDescent="0.25">
      <c r="A131" s="79"/>
      <c r="B131" s="79" t="s">
        <v>50</v>
      </c>
      <c r="C131" s="85" t="s">
        <v>1493</v>
      </c>
      <c r="D131" s="475">
        <f>SUMIF($D$7:$D$123,"LD",$F$7:$F$125)</f>
        <v>127.32</v>
      </c>
      <c r="F131" s="89"/>
      <c r="G131" s="79"/>
      <c r="H131" s="79"/>
      <c r="I131" s="79"/>
      <c r="J131" s="864"/>
      <c r="K131" s="864"/>
      <c r="L131" s="958"/>
    </row>
    <row r="132" spans="1:12" s="85" customFormat="1" x14ac:dyDescent="0.25">
      <c r="A132" s="79"/>
      <c r="B132" s="79" t="s">
        <v>14</v>
      </c>
      <c r="C132" s="85" t="s">
        <v>1486</v>
      </c>
      <c r="D132" s="475">
        <v>137.25</v>
      </c>
      <c r="J132" s="864"/>
      <c r="K132" s="864"/>
      <c r="L132" s="958"/>
    </row>
    <row r="133" spans="1:12" s="85" customFormat="1" x14ac:dyDescent="0.25">
      <c r="A133" s="79"/>
      <c r="B133" s="79" t="s">
        <v>51</v>
      </c>
      <c r="C133" s="864" t="s">
        <v>1499</v>
      </c>
      <c r="D133" s="475">
        <f>SUMIF($D$7:$D$123,"CAL",$F$7:$F$125)</f>
        <v>82.22</v>
      </c>
      <c r="F133" s="89"/>
      <c r="G133" s="79"/>
      <c r="H133" s="79"/>
      <c r="J133" s="864"/>
      <c r="K133" s="864"/>
      <c r="L133" s="958"/>
    </row>
    <row r="134" spans="1:12" s="85" customFormat="1" x14ac:dyDescent="0.25">
      <c r="A134" s="79"/>
      <c r="B134" s="79" t="s">
        <v>2189</v>
      </c>
      <c r="C134" s="864" t="s">
        <v>1496</v>
      </c>
      <c r="D134" s="475">
        <f>SUMIF($D$7:$D$123,"AC",$F$7:$F$125)</f>
        <v>60</v>
      </c>
      <c r="F134" s="89"/>
      <c r="G134" s="79"/>
      <c r="H134" s="79"/>
      <c r="I134" s="79"/>
      <c r="L134" s="959"/>
    </row>
    <row r="135" spans="1:12" s="85" customFormat="1" x14ac:dyDescent="0.25">
      <c r="A135" s="79"/>
      <c r="B135" s="867" t="s">
        <v>53</v>
      </c>
      <c r="C135" s="864" t="s">
        <v>1522</v>
      </c>
      <c r="D135" s="475">
        <f>SUMIF($D$7:$D$123,"DC",$F$7:$F$125)</f>
        <v>135.33333333333334</v>
      </c>
      <c r="F135" s="769"/>
      <c r="G135" s="79"/>
    </row>
    <row r="136" spans="1:12" s="85" customFormat="1" x14ac:dyDescent="0.25">
      <c r="A136" s="79"/>
      <c r="B136" s="867" t="s">
        <v>2149</v>
      </c>
      <c r="C136" s="864" t="s">
        <v>2131</v>
      </c>
      <c r="D136" s="475">
        <f>SUMIF($D$7:$D$123,"DM",$F$7:$F$125)</f>
        <v>57</v>
      </c>
      <c r="F136" s="769"/>
    </row>
    <row r="137" spans="1:12" s="85" customFormat="1" x14ac:dyDescent="0.25">
      <c r="A137" s="79"/>
      <c r="B137" s="79" t="s">
        <v>56</v>
      </c>
      <c r="C137" s="864" t="s">
        <v>1523</v>
      </c>
      <c r="D137" s="475">
        <f>SUMIF($D$7:$D$123,"B",$F$7:$F$125)</f>
        <v>182.68</v>
      </c>
      <c r="F137" s="769"/>
      <c r="G137" s="866"/>
    </row>
    <row r="138" spans="1:12" s="85" customFormat="1" x14ac:dyDescent="0.25">
      <c r="A138" s="79"/>
      <c r="B138" s="79" t="s">
        <v>1686</v>
      </c>
      <c r="C138" s="864" t="s">
        <v>1506</v>
      </c>
      <c r="D138" s="475">
        <f>SUMIF($D$7:$D$123,"R",$F$7:$F$125)</f>
        <v>290</v>
      </c>
      <c r="F138" s="769"/>
      <c r="G138" s="868"/>
      <c r="K138" s="866"/>
    </row>
    <row r="139" spans="1:12" x14ac:dyDescent="0.25">
      <c r="B139" s="79" t="s">
        <v>418</v>
      </c>
      <c r="C139" s="85" t="s">
        <v>1524</v>
      </c>
      <c r="D139" s="475">
        <f>SUMIF($D$7:$D$123,"COM",$F$7:$F$125)</f>
        <v>56</v>
      </c>
      <c r="G139" s="85"/>
      <c r="H139" s="85"/>
      <c r="I139" s="85"/>
      <c r="J139" s="769"/>
      <c r="K139" s="868"/>
    </row>
    <row r="140" spans="1:12" x14ac:dyDescent="0.25">
      <c r="B140" s="79" t="s">
        <v>419</v>
      </c>
      <c r="C140" s="85" t="s">
        <v>1491</v>
      </c>
      <c r="D140" s="475">
        <f>SUMIF($D$7:$D$123,"F",$F$7:$F$125)</f>
        <v>920.23</v>
      </c>
      <c r="J140" s="769"/>
      <c r="K140" s="868"/>
    </row>
    <row r="141" spans="1:12" x14ac:dyDescent="0.25">
      <c r="B141" s="79" t="s">
        <v>911</v>
      </c>
      <c r="C141" s="85" t="s">
        <v>1525</v>
      </c>
      <c r="D141" s="475">
        <f>SUMIF($D$7:$D$123,"FER",$F$7:$F$125)</f>
        <v>571.99</v>
      </c>
      <c r="J141" s="769"/>
      <c r="K141" s="866"/>
    </row>
    <row r="142" spans="1:12" x14ac:dyDescent="0.25">
      <c r="B142" s="79" t="s">
        <v>1526</v>
      </c>
      <c r="C142" s="85" t="s">
        <v>1504</v>
      </c>
      <c r="D142" s="475">
        <f>SUMIF($D$7:$D$123,"I",$F$7:$F$125)</f>
        <v>173.9</v>
      </c>
      <c r="J142" s="769"/>
      <c r="K142" s="866"/>
    </row>
    <row r="143" spans="1:12" x14ac:dyDescent="0.25">
      <c r="B143" s="79" t="s">
        <v>2343</v>
      </c>
      <c r="C143" s="85" t="s">
        <v>2315</v>
      </c>
      <c r="D143" s="475">
        <f>SUMIF($D$7:$D$123,"E",$F$7:$F$125)</f>
        <v>188.3</v>
      </c>
      <c r="J143" s="769"/>
      <c r="K143" s="868"/>
    </row>
    <row r="144" spans="1:12" x14ac:dyDescent="0.25">
      <c r="B144" s="79" t="s">
        <v>1527</v>
      </c>
      <c r="C144" s="85" t="s">
        <v>1489</v>
      </c>
      <c r="D144" s="475">
        <f>SUMIF($D$7:$D$123,"OD",$F$7:$F$125)</f>
        <v>198.08999999999997</v>
      </c>
      <c r="J144" s="769"/>
      <c r="K144" s="866"/>
    </row>
    <row r="145" spans="2:11" x14ac:dyDescent="0.25">
      <c r="D145" s="459"/>
      <c r="J145" s="769"/>
      <c r="K145" s="866"/>
    </row>
    <row r="146" spans="2:11" x14ac:dyDescent="0.25">
      <c r="H146" s="769"/>
      <c r="K146" s="866"/>
    </row>
    <row r="147" spans="2:11" x14ac:dyDescent="0.25">
      <c r="B147" s="79" t="s">
        <v>486</v>
      </c>
      <c r="C147" s="475">
        <f>H147/J147</f>
        <v>127.14277777777778</v>
      </c>
      <c r="F147" s="224" t="s">
        <v>487</v>
      </c>
      <c r="H147" s="216">
        <f>SUM(D128:D144)</f>
        <v>3814.2833333333333</v>
      </c>
      <c r="I147" s="518" t="s">
        <v>488</v>
      </c>
      <c r="J147" s="1517">
        <v>30</v>
      </c>
    </row>
    <row r="148" spans="2:11" ht="15.75" customHeight="1" x14ac:dyDescent="0.25">
      <c r="E148" s="769"/>
      <c r="H148" s="629"/>
      <c r="J148" s="769"/>
      <c r="K148" s="868"/>
    </row>
    <row r="149" spans="2:11" x14ac:dyDescent="0.25">
      <c r="E149" s="79"/>
      <c r="F149" s="79"/>
      <c r="H149" s="866"/>
      <c r="K149" s="866"/>
    </row>
    <row r="150" spans="2:11" x14ac:dyDescent="0.25">
      <c r="D150" s="79"/>
      <c r="E150" s="79"/>
      <c r="J150" s="769"/>
      <c r="K150" s="866"/>
    </row>
    <row r="151" spans="2:11" x14ac:dyDescent="0.25">
      <c r="J151" s="769"/>
      <c r="K151" s="866"/>
    </row>
    <row r="152" spans="2:11" x14ac:dyDescent="0.25">
      <c r="J152" s="769"/>
      <c r="K152" s="866"/>
    </row>
    <row r="153" spans="2:11" x14ac:dyDescent="0.25">
      <c r="J153" s="769"/>
      <c r="K153" s="866"/>
    </row>
    <row r="154" spans="2:11" x14ac:dyDescent="0.25">
      <c r="C154" s="79"/>
      <c r="D154" s="79"/>
      <c r="E154" s="79"/>
      <c r="F154" s="79"/>
      <c r="I154" s="216"/>
      <c r="J154" s="769"/>
      <c r="K154" s="866"/>
    </row>
    <row r="155" spans="2:11" x14ac:dyDescent="0.25">
      <c r="C155" s="79"/>
      <c r="D155" s="79"/>
      <c r="E155" s="79"/>
      <c r="F155" s="79"/>
      <c r="I155" s="216"/>
      <c r="J155" s="769"/>
      <c r="K155" s="866"/>
    </row>
    <row r="156" spans="2:11" x14ac:dyDescent="0.25">
      <c r="C156" s="79"/>
      <c r="D156" s="79"/>
      <c r="E156" s="79"/>
      <c r="F156" s="79"/>
      <c r="G156" s="216"/>
      <c r="I156" s="216"/>
      <c r="J156" s="769"/>
      <c r="K156" s="868"/>
    </row>
    <row r="157" spans="2:11" x14ac:dyDescent="0.25">
      <c r="C157" s="79"/>
      <c r="D157" s="79"/>
      <c r="E157" s="79"/>
      <c r="F157" s="79"/>
      <c r="G157" s="216"/>
      <c r="I157" s="216"/>
      <c r="J157" s="769"/>
      <c r="K157" s="866"/>
    </row>
    <row r="158" spans="2:11" x14ac:dyDescent="0.25">
      <c r="C158" s="79"/>
      <c r="D158" s="79"/>
      <c r="E158" s="79"/>
      <c r="F158" s="79"/>
      <c r="G158" s="216"/>
      <c r="J158" s="770"/>
      <c r="K158" s="866"/>
    </row>
    <row r="159" spans="2:11" x14ac:dyDescent="0.25">
      <c r="C159" s="79"/>
      <c r="D159" s="79"/>
      <c r="E159" s="79"/>
      <c r="F159" s="79"/>
      <c r="I159" s="216"/>
      <c r="J159" s="769"/>
      <c r="K159" s="868"/>
    </row>
    <row r="160" spans="2:11" x14ac:dyDescent="0.25">
      <c r="J160" s="769"/>
      <c r="K160" s="866"/>
    </row>
    <row r="161" spans="3:11" x14ac:dyDescent="0.25">
      <c r="C161" s="79"/>
      <c r="D161" s="79"/>
      <c r="E161" s="79"/>
      <c r="F161" s="79"/>
      <c r="I161" s="629"/>
      <c r="J161" s="769"/>
      <c r="K161" s="866"/>
    </row>
    <row r="162" spans="3:11" x14ac:dyDescent="0.25">
      <c r="J162" s="769"/>
      <c r="K162" s="866"/>
    </row>
    <row r="163" spans="3:11" x14ac:dyDescent="0.25">
      <c r="J163" s="769"/>
      <c r="K163" s="866"/>
    </row>
    <row r="164" spans="3:11" x14ac:dyDescent="0.25">
      <c r="J164" s="769"/>
      <c r="K164" s="866"/>
    </row>
    <row r="165" spans="3:11" x14ac:dyDescent="0.25">
      <c r="J165" s="769"/>
      <c r="K165" s="866"/>
    </row>
    <row r="166" spans="3:11" x14ac:dyDescent="0.25">
      <c r="J166" s="769"/>
      <c r="K166" s="866"/>
    </row>
    <row r="167" spans="3:11" x14ac:dyDescent="0.25">
      <c r="C167" s="79"/>
      <c r="D167" s="79"/>
      <c r="E167" s="79"/>
      <c r="F167" s="79"/>
      <c r="I167" s="216"/>
      <c r="J167" s="769"/>
      <c r="K167" s="866"/>
    </row>
    <row r="168" spans="3:11" x14ac:dyDescent="0.25">
      <c r="C168" s="79"/>
      <c r="D168" s="79"/>
      <c r="E168" s="79"/>
      <c r="F168" s="79"/>
      <c r="I168" s="216"/>
      <c r="J168" s="769"/>
      <c r="K168" s="866"/>
    </row>
    <row r="169" spans="3:11" x14ac:dyDescent="0.25">
      <c r="C169" s="79"/>
      <c r="D169" s="79"/>
      <c r="E169" s="79"/>
      <c r="F169" s="79"/>
      <c r="I169" s="216"/>
      <c r="J169" s="769"/>
      <c r="K169" s="866"/>
    </row>
    <row r="170" spans="3:11" x14ac:dyDescent="0.25">
      <c r="C170" s="79"/>
      <c r="D170" s="79"/>
      <c r="E170" s="79"/>
      <c r="F170" s="79"/>
      <c r="I170" s="216"/>
      <c r="J170" s="769"/>
      <c r="K170" s="866"/>
    </row>
    <row r="171" spans="3:11" x14ac:dyDescent="0.25">
      <c r="C171" s="79"/>
      <c r="D171" s="79"/>
      <c r="E171" s="79"/>
      <c r="F171" s="79"/>
      <c r="I171" s="216"/>
      <c r="J171" s="769"/>
      <c r="K171" s="868"/>
    </row>
    <row r="172" spans="3:11" x14ac:dyDescent="0.25">
      <c r="C172" s="79"/>
      <c r="D172" s="79"/>
      <c r="E172" s="79"/>
      <c r="F172" s="79"/>
      <c r="I172" s="216"/>
      <c r="J172" s="769"/>
      <c r="K172" s="868"/>
    </row>
    <row r="173" spans="3:11" x14ac:dyDescent="0.25">
      <c r="C173" s="79"/>
      <c r="D173" s="79"/>
      <c r="E173" s="79"/>
      <c r="F173" s="79"/>
      <c r="I173" s="216"/>
      <c r="J173" s="769"/>
      <c r="K173" s="868"/>
    </row>
    <row r="174" spans="3:11" x14ac:dyDescent="0.25">
      <c r="C174" s="79"/>
      <c r="D174" s="79"/>
      <c r="E174" s="79"/>
      <c r="F174" s="79"/>
      <c r="I174" s="216"/>
      <c r="J174" s="769"/>
      <c r="K174" s="868"/>
    </row>
    <row r="175" spans="3:11" x14ac:dyDescent="0.25">
      <c r="C175" s="79"/>
      <c r="D175" s="79"/>
      <c r="E175" s="79"/>
      <c r="F175" s="79"/>
      <c r="I175" s="216"/>
      <c r="J175" s="769"/>
      <c r="K175" s="868"/>
    </row>
    <row r="176" spans="3:11" x14ac:dyDescent="0.25">
      <c r="J176" s="769"/>
      <c r="K176" s="866"/>
    </row>
    <row r="177" spans="3:11" x14ac:dyDescent="0.25">
      <c r="J177" s="769"/>
      <c r="K177" s="866"/>
    </row>
    <row r="178" spans="3:11" x14ac:dyDescent="0.25">
      <c r="J178" s="769"/>
      <c r="K178" s="868"/>
    </row>
    <row r="179" spans="3:11" x14ac:dyDescent="0.25">
      <c r="J179" s="769"/>
      <c r="K179" s="866"/>
    </row>
    <row r="180" spans="3:11" x14ac:dyDescent="0.25">
      <c r="J180" s="769"/>
      <c r="K180" s="866"/>
    </row>
    <row r="181" spans="3:11" x14ac:dyDescent="0.25">
      <c r="C181" s="79"/>
      <c r="D181" s="79"/>
      <c r="E181" s="79"/>
      <c r="F181" s="79"/>
      <c r="J181" s="769"/>
      <c r="K181" s="868"/>
    </row>
    <row r="182" spans="3:11" x14ac:dyDescent="0.25">
      <c r="C182" s="79"/>
      <c r="D182" s="79"/>
      <c r="E182" s="79"/>
      <c r="F182" s="79"/>
      <c r="J182" s="769"/>
      <c r="K182" s="868"/>
    </row>
    <row r="183" spans="3:11" x14ac:dyDescent="0.25">
      <c r="C183" s="79"/>
      <c r="D183" s="79"/>
      <c r="E183" s="79"/>
      <c r="F183" s="79"/>
      <c r="J183" s="769"/>
      <c r="K183" s="868"/>
    </row>
    <row r="184" spans="3:11" x14ac:dyDescent="0.25">
      <c r="C184" s="79"/>
      <c r="D184" s="79"/>
      <c r="E184" s="79"/>
      <c r="F184" s="79"/>
      <c r="J184" s="769"/>
      <c r="K184" s="868"/>
    </row>
    <row r="185" spans="3:11" x14ac:dyDescent="0.25">
      <c r="C185" s="79"/>
      <c r="D185" s="79"/>
      <c r="E185" s="79"/>
      <c r="F185" s="79"/>
      <c r="J185" s="769"/>
      <c r="K185" s="866"/>
    </row>
    <row r="186" spans="3:11" x14ac:dyDescent="0.25">
      <c r="C186" s="79"/>
      <c r="D186" s="79"/>
      <c r="E186" s="79"/>
      <c r="F186" s="79"/>
      <c r="J186" s="223"/>
      <c r="K186" s="629"/>
    </row>
    <row r="187" spans="3:11" x14ac:dyDescent="0.25">
      <c r="C187" s="79"/>
      <c r="D187" s="79"/>
      <c r="E187" s="79"/>
      <c r="F187" s="79"/>
      <c r="J187" s="756"/>
      <c r="K187" s="756"/>
    </row>
    <row r="188" spans="3:11" x14ac:dyDescent="0.25">
      <c r="C188" s="79"/>
      <c r="D188" s="79"/>
      <c r="E188" s="79"/>
      <c r="F188" s="79"/>
    </row>
    <row r="189" spans="3:11" x14ac:dyDescent="0.25">
      <c r="C189" s="79"/>
      <c r="D189" s="79"/>
      <c r="E189" s="79"/>
      <c r="F189" s="79"/>
    </row>
    <row r="190" spans="3:11" x14ac:dyDescent="0.25">
      <c r="C190" s="79"/>
      <c r="D190" s="79"/>
      <c r="E190" s="79"/>
      <c r="F190" s="79"/>
    </row>
    <row r="191" spans="3:11" x14ac:dyDescent="0.25">
      <c r="C191" s="79"/>
      <c r="D191" s="79"/>
      <c r="E191" s="79"/>
      <c r="F191" s="79"/>
    </row>
    <row r="192" spans="3:11" x14ac:dyDescent="0.25">
      <c r="C192" s="79"/>
      <c r="D192" s="79"/>
      <c r="E192" s="79"/>
      <c r="F192" s="79"/>
      <c r="J192" s="85"/>
      <c r="K192" s="85"/>
    </row>
    <row r="193" spans="3:11" x14ac:dyDescent="0.25">
      <c r="C193" s="79"/>
      <c r="D193" s="79"/>
      <c r="E193" s="79"/>
      <c r="F193" s="79"/>
    </row>
    <row r="194" spans="3:11" x14ac:dyDescent="0.25">
      <c r="C194" s="79"/>
      <c r="D194" s="79"/>
      <c r="E194" s="79"/>
      <c r="F194" s="79"/>
    </row>
    <row r="195" spans="3:11" x14ac:dyDescent="0.25">
      <c r="C195" s="79"/>
      <c r="D195" s="79"/>
      <c r="E195" s="79"/>
      <c r="F195" s="79"/>
    </row>
    <row r="196" spans="3:11" x14ac:dyDescent="0.25">
      <c r="C196" s="79"/>
      <c r="D196" s="79"/>
      <c r="E196" s="79"/>
      <c r="F196" s="79"/>
    </row>
    <row r="197" spans="3:11" x14ac:dyDescent="0.25">
      <c r="C197" s="79"/>
      <c r="D197" s="79"/>
      <c r="E197" s="79"/>
      <c r="F197" s="79"/>
    </row>
    <row r="198" spans="3:11" x14ac:dyDescent="0.25">
      <c r="C198" s="79"/>
      <c r="D198" s="79"/>
      <c r="E198" s="79"/>
      <c r="F198" s="79"/>
    </row>
    <row r="199" spans="3:11" x14ac:dyDescent="0.25">
      <c r="C199" s="79"/>
      <c r="D199" s="79"/>
      <c r="E199" s="79"/>
      <c r="F199" s="79"/>
      <c r="J199" s="85"/>
      <c r="K199" s="85"/>
    </row>
    <row r="200" spans="3:11" x14ac:dyDescent="0.25">
      <c r="C200" s="79"/>
      <c r="D200" s="79"/>
      <c r="E200" s="79"/>
      <c r="F200" s="79"/>
    </row>
    <row r="201" spans="3:11" x14ac:dyDescent="0.25">
      <c r="C201" s="79"/>
      <c r="D201" s="79"/>
      <c r="E201" s="79"/>
      <c r="F201" s="79"/>
    </row>
    <row r="202" spans="3:11" x14ac:dyDescent="0.25">
      <c r="C202" s="79"/>
      <c r="D202" s="79"/>
      <c r="E202" s="79"/>
      <c r="F202" s="79"/>
    </row>
    <row r="203" spans="3:11" x14ac:dyDescent="0.25">
      <c r="C203" s="79"/>
      <c r="D203" s="79"/>
      <c r="E203" s="79"/>
      <c r="F203" s="79"/>
    </row>
    <row r="204" spans="3:11" x14ac:dyDescent="0.25">
      <c r="C204" s="79"/>
      <c r="D204" s="79"/>
      <c r="E204" s="79"/>
      <c r="F204" s="79"/>
    </row>
    <row r="205" spans="3:11" x14ac:dyDescent="0.25">
      <c r="C205" s="79"/>
      <c r="D205" s="79"/>
      <c r="E205" s="79"/>
      <c r="F205" s="79"/>
    </row>
    <row r="206" spans="3:11" x14ac:dyDescent="0.25">
      <c r="C206" s="79"/>
      <c r="D206" s="79"/>
      <c r="E206" s="79"/>
      <c r="F206" s="79"/>
      <c r="J206" s="771"/>
      <c r="K206" s="518"/>
    </row>
    <row r="207" spans="3:11" x14ac:dyDescent="0.25">
      <c r="C207" s="79"/>
      <c r="D207" s="79"/>
      <c r="E207" s="79"/>
      <c r="F207" s="79"/>
    </row>
    <row r="214" spans="3:11" x14ac:dyDescent="0.25">
      <c r="C214" s="79"/>
      <c r="D214" s="79"/>
      <c r="E214" s="79"/>
      <c r="F214" s="79"/>
      <c r="K214" s="216"/>
    </row>
    <row r="215" spans="3:11" x14ac:dyDescent="0.25">
      <c r="C215" s="79"/>
      <c r="D215" s="79"/>
      <c r="E215" s="79"/>
      <c r="F215" s="79"/>
      <c r="K215" s="216"/>
    </row>
    <row r="216" spans="3:11" x14ac:dyDescent="0.25">
      <c r="C216" s="79"/>
      <c r="D216" s="79"/>
      <c r="E216" s="79"/>
      <c r="F216" s="79"/>
      <c r="K216" s="216"/>
    </row>
    <row r="217" spans="3:11" x14ac:dyDescent="0.25">
      <c r="C217" s="79"/>
      <c r="D217" s="79"/>
      <c r="E217" s="79"/>
      <c r="F217" s="79"/>
      <c r="K217" s="216"/>
    </row>
    <row r="219" spans="3:11" x14ac:dyDescent="0.25">
      <c r="C219" s="79"/>
      <c r="D219" s="79"/>
      <c r="E219" s="79"/>
      <c r="F219" s="79"/>
      <c r="K219" s="216"/>
    </row>
    <row r="221" spans="3:11" x14ac:dyDescent="0.25">
      <c r="C221" s="79"/>
      <c r="D221" s="79"/>
      <c r="E221" s="79"/>
      <c r="F221" s="79"/>
      <c r="K221" s="629"/>
    </row>
    <row r="227" spans="3:11" x14ac:dyDescent="0.25">
      <c r="C227" s="79"/>
      <c r="D227" s="79"/>
      <c r="E227" s="79"/>
      <c r="F227" s="79"/>
      <c r="K227" s="216"/>
    </row>
    <row r="228" spans="3:11" x14ac:dyDescent="0.25">
      <c r="C228" s="79"/>
      <c r="D228" s="79"/>
      <c r="E228" s="79"/>
      <c r="F228" s="79"/>
      <c r="K228" s="216"/>
    </row>
    <row r="229" spans="3:11" x14ac:dyDescent="0.25">
      <c r="C229" s="79"/>
      <c r="D229" s="79"/>
      <c r="E229" s="79"/>
      <c r="F229" s="79"/>
      <c r="K229" s="216"/>
    </row>
    <row r="230" spans="3:11" x14ac:dyDescent="0.25">
      <c r="C230" s="79"/>
      <c r="D230" s="79"/>
      <c r="E230" s="79"/>
      <c r="F230" s="79"/>
      <c r="K230" s="216"/>
    </row>
    <row r="231" spans="3:11" x14ac:dyDescent="0.25">
      <c r="C231" s="79"/>
      <c r="D231" s="79"/>
      <c r="E231" s="79"/>
      <c r="F231" s="79"/>
      <c r="K231" s="216"/>
    </row>
    <row r="232" spans="3:11" x14ac:dyDescent="0.25">
      <c r="C232" s="79"/>
      <c r="D232" s="79"/>
      <c r="E232" s="79"/>
      <c r="F232" s="79"/>
      <c r="K232" s="216"/>
    </row>
    <row r="233" spans="3:11" x14ac:dyDescent="0.25">
      <c r="C233" s="79"/>
      <c r="D233" s="79"/>
      <c r="E233" s="79"/>
      <c r="F233" s="79"/>
      <c r="K233" s="216"/>
    </row>
    <row r="234" spans="3:11" x14ac:dyDescent="0.25">
      <c r="C234" s="79"/>
      <c r="D234" s="79"/>
      <c r="E234" s="79"/>
      <c r="F234" s="79"/>
      <c r="K234" s="216"/>
    </row>
    <row r="235" spans="3:11" x14ac:dyDescent="0.25">
      <c r="C235" s="79"/>
      <c r="D235" s="79"/>
      <c r="E235" s="79"/>
      <c r="F235" s="79"/>
      <c r="K235" s="216"/>
    </row>
  </sheetData>
  <autoFilter ref="A2:I125" xr:uid="{00000000-0009-0000-0000-00005A000000}"/>
  <mergeCells count="13">
    <mergeCell ref="L89:M89"/>
    <mergeCell ref="A124:E124"/>
    <mergeCell ref="A125:E12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Plan107"/>
  <dimension ref="A1:Q234"/>
  <sheetViews>
    <sheetView zoomScale="85" zoomScaleNormal="85" workbookViewId="0">
      <pane ySplit="4" topLeftCell="A98" activePane="bottomLeft" state="frozen"/>
      <selection activeCell="C44" sqref="C44"/>
      <selection pane="bottomLeft" activeCell="B61" sqref="B6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2.42578125" style="79" bestFit="1" customWidth="1"/>
    <col min="13" max="13" width="13.85546875" style="79" customWidth="1"/>
    <col min="14" max="14" width="10" style="79" customWidth="1"/>
    <col min="15" max="15" width="14" style="79" customWidth="1"/>
    <col min="16" max="16" width="11.5703125" style="79" bestFit="1" customWidth="1"/>
    <col min="17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2379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2380</v>
      </c>
      <c r="M2" s="3086"/>
    </row>
    <row r="3" spans="1:17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x14ac:dyDescent="0.25">
      <c r="A5" s="281">
        <v>43739</v>
      </c>
      <c r="B5" s="369" t="s">
        <v>10</v>
      </c>
      <c r="C5" s="370"/>
      <c r="D5" s="370"/>
      <c r="E5" s="777"/>
      <c r="F5" s="889"/>
      <c r="G5" s="925">
        <f>'Setembro-19'!G125</f>
        <v>442.08666666668205</v>
      </c>
      <c r="H5" s="179"/>
      <c r="I5" s="933">
        <f>'Setembro-19'!I125</f>
        <v>1099.9960000000024</v>
      </c>
      <c r="J5" s="179"/>
      <c r="K5" s="933">
        <f>'Setembro-19'!K125</f>
        <v>6747.22</v>
      </c>
      <c r="L5" s="179"/>
      <c r="M5" s="933">
        <f>'Setembro-19'!M125</f>
        <v>0</v>
      </c>
    </row>
    <row r="6" spans="1:17" s="224" customFormat="1" x14ac:dyDescent="0.25">
      <c r="A6" s="215">
        <v>43739</v>
      </c>
      <c r="B6" s="348" t="s">
        <v>11</v>
      </c>
      <c r="C6" s="351"/>
      <c r="D6" s="351"/>
      <c r="E6" s="673"/>
      <c r="F6" s="827"/>
      <c r="G6" s="1526"/>
      <c r="H6" s="250"/>
      <c r="I6" s="1473"/>
      <c r="J6" s="250"/>
      <c r="K6" s="1473"/>
      <c r="L6" s="250"/>
      <c r="M6" s="1473"/>
      <c r="N6" s="89"/>
      <c r="O6" s="89"/>
    </row>
    <row r="7" spans="1:17" s="224" customFormat="1" ht="15" customHeight="1" x14ac:dyDescent="0.25">
      <c r="A7" s="215">
        <v>43739</v>
      </c>
      <c r="B7" s="349" t="s">
        <v>17</v>
      </c>
      <c r="C7" s="352" t="s">
        <v>12</v>
      </c>
      <c r="D7" s="874" t="s">
        <v>1493</v>
      </c>
      <c r="E7" s="875" t="s">
        <v>13</v>
      </c>
      <c r="F7" s="852">
        <v>6</v>
      </c>
      <c r="G7" s="965"/>
      <c r="H7" s="97"/>
      <c r="I7" s="982"/>
      <c r="J7" s="622"/>
      <c r="K7" s="982"/>
      <c r="L7" s="622"/>
      <c r="M7" s="982"/>
    </row>
    <row r="8" spans="1:17" s="224" customFormat="1" ht="15" customHeight="1" x14ac:dyDescent="0.25">
      <c r="A8" s="215">
        <v>43739</v>
      </c>
      <c r="B8" s="364" t="s">
        <v>14</v>
      </c>
      <c r="C8" s="350" t="s">
        <v>12</v>
      </c>
      <c r="D8" s="350" t="s">
        <v>1486</v>
      </c>
      <c r="E8" s="875" t="s">
        <v>13</v>
      </c>
      <c r="F8" s="852">
        <v>4.13</v>
      </c>
      <c r="G8" s="965"/>
      <c r="H8" s="97"/>
      <c r="I8" s="946"/>
      <c r="J8" s="97"/>
      <c r="K8" s="946"/>
      <c r="L8" s="97"/>
      <c r="M8" s="946"/>
      <c r="N8" s="923"/>
      <c r="P8" s="930"/>
    </row>
    <row r="9" spans="1:17" s="224" customFormat="1" ht="15" customHeight="1" x14ac:dyDescent="0.25">
      <c r="A9" s="215">
        <v>43710</v>
      </c>
      <c r="B9" s="349" t="s">
        <v>32</v>
      </c>
      <c r="C9" s="352" t="s">
        <v>12</v>
      </c>
      <c r="D9" s="874" t="s">
        <v>1485</v>
      </c>
      <c r="E9" s="875" t="s">
        <v>13</v>
      </c>
      <c r="F9" s="852">
        <v>14</v>
      </c>
      <c r="G9" s="965"/>
      <c r="H9" s="97"/>
      <c r="I9" s="982"/>
      <c r="J9" s="622"/>
      <c r="K9" s="982"/>
      <c r="L9" s="622"/>
      <c r="M9" s="982"/>
    </row>
    <row r="10" spans="1:17" s="224" customFormat="1" ht="15" customHeight="1" x14ac:dyDescent="0.25">
      <c r="A10" s="215">
        <v>43740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780">
        <v>10</v>
      </c>
      <c r="G10" s="957"/>
      <c r="H10" s="97"/>
      <c r="I10" s="946"/>
      <c r="J10" s="97"/>
      <c r="K10" s="946"/>
      <c r="L10" s="97"/>
      <c r="M10" s="946"/>
    </row>
    <row r="11" spans="1:17" s="224" customFormat="1" ht="15" customHeight="1" x14ac:dyDescent="0.25">
      <c r="A11" s="215">
        <v>43741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10</v>
      </c>
      <c r="G11" s="957"/>
      <c r="H11" s="97"/>
      <c r="I11" s="946"/>
      <c r="J11" s="97"/>
      <c r="K11" s="946"/>
      <c r="L11" s="97"/>
      <c r="M11" s="946"/>
    </row>
    <row r="12" spans="1:17" s="224" customFormat="1" ht="15" customHeight="1" x14ac:dyDescent="0.25">
      <c r="A12" s="215">
        <v>43742</v>
      </c>
      <c r="B12" s="364" t="s">
        <v>196</v>
      </c>
      <c r="C12" s="350" t="s">
        <v>12</v>
      </c>
      <c r="D12" s="350" t="s">
        <v>1504</v>
      </c>
      <c r="E12" s="875" t="s">
        <v>13</v>
      </c>
      <c r="F12" s="780">
        <v>10</v>
      </c>
      <c r="G12" s="957"/>
      <c r="H12" s="622"/>
      <c r="I12" s="982"/>
      <c r="J12" s="622"/>
      <c r="K12" s="982"/>
      <c r="L12" s="622"/>
      <c r="M12" s="982"/>
    </row>
    <row r="13" spans="1:17" s="224" customFormat="1" ht="15" customHeight="1" x14ac:dyDescent="0.25">
      <c r="A13" s="215">
        <v>43742</v>
      </c>
      <c r="B13" s="349" t="s">
        <v>32</v>
      </c>
      <c r="C13" s="352" t="s">
        <v>12</v>
      </c>
      <c r="D13" s="874" t="s">
        <v>1485</v>
      </c>
      <c r="E13" s="875" t="s">
        <v>13</v>
      </c>
      <c r="F13" s="852">
        <v>14</v>
      </c>
      <c r="G13" s="965"/>
      <c r="H13" s="97"/>
      <c r="I13" s="982"/>
      <c r="J13" s="622"/>
      <c r="K13" s="982"/>
      <c r="L13" s="622"/>
      <c r="M13" s="982"/>
    </row>
    <row r="14" spans="1:17" s="224" customFormat="1" ht="15" customHeight="1" x14ac:dyDescent="0.25">
      <c r="A14" s="215">
        <v>43742</v>
      </c>
      <c r="B14" s="349" t="s">
        <v>134</v>
      </c>
      <c r="C14" s="352" t="s">
        <v>12</v>
      </c>
      <c r="D14" s="874" t="s">
        <v>1493</v>
      </c>
      <c r="E14" s="875" t="s">
        <v>13</v>
      </c>
      <c r="F14" s="780">
        <v>12.36</v>
      </c>
      <c r="G14" s="957"/>
      <c r="H14" s="622"/>
      <c r="I14" s="982"/>
      <c r="J14" s="622"/>
      <c r="K14" s="982"/>
      <c r="L14" s="622"/>
      <c r="M14" s="982"/>
    </row>
    <row r="15" spans="1:17" s="224" customFormat="1" ht="15" customHeight="1" x14ac:dyDescent="0.25">
      <c r="A15" s="215">
        <v>43742</v>
      </c>
      <c r="B15" s="349" t="s">
        <v>2251</v>
      </c>
      <c r="C15" s="352" t="s">
        <v>12</v>
      </c>
      <c r="D15" s="874" t="s">
        <v>2157</v>
      </c>
      <c r="E15" s="875" t="s">
        <v>15</v>
      </c>
      <c r="F15" s="780">
        <v>20</v>
      </c>
      <c r="G15" s="957"/>
      <c r="H15" s="622"/>
      <c r="I15" s="982"/>
      <c r="J15" s="622"/>
      <c r="K15" s="982"/>
      <c r="L15" s="622"/>
      <c r="M15" s="982"/>
    </row>
    <row r="16" spans="1:17" s="224" customFormat="1" ht="15" customHeight="1" x14ac:dyDescent="0.25">
      <c r="A16" s="215">
        <v>43742</v>
      </c>
      <c r="B16" s="364" t="s">
        <v>311</v>
      </c>
      <c r="C16" s="350"/>
      <c r="D16" s="350"/>
      <c r="E16" s="480"/>
      <c r="F16" s="538"/>
      <c r="G16" s="627"/>
      <c r="H16" s="97"/>
      <c r="I16" s="946">
        <v>3.69</v>
      </c>
      <c r="J16" s="622"/>
      <c r="K16" s="982"/>
      <c r="L16" s="622"/>
      <c r="M16" s="982"/>
    </row>
    <row r="17" spans="1:16" s="224" customFormat="1" ht="15" customHeight="1" x14ac:dyDescent="0.25">
      <c r="A17" s="215">
        <v>43743</v>
      </c>
      <c r="B17" s="349" t="s">
        <v>1795</v>
      </c>
      <c r="C17" s="352" t="s">
        <v>12</v>
      </c>
      <c r="D17" s="874" t="s">
        <v>1493</v>
      </c>
      <c r="E17" s="875" t="s">
        <v>13</v>
      </c>
      <c r="F17" s="852">
        <v>18</v>
      </c>
      <c r="G17" s="965"/>
      <c r="H17" s="97"/>
      <c r="I17" s="982"/>
      <c r="J17" s="622"/>
      <c r="K17" s="982"/>
      <c r="L17" s="622"/>
      <c r="M17" s="982"/>
    </row>
    <row r="18" spans="1:16" s="224" customFormat="1" ht="15" customHeight="1" x14ac:dyDescent="0.25">
      <c r="A18" s="215">
        <v>43743</v>
      </c>
      <c r="B18" s="349" t="s">
        <v>2381</v>
      </c>
      <c r="C18" s="352" t="s">
        <v>12</v>
      </c>
      <c r="D18" s="874" t="s">
        <v>1489</v>
      </c>
      <c r="E18" s="875" t="s">
        <v>15</v>
      </c>
      <c r="F18" s="852">
        <v>20</v>
      </c>
      <c r="G18" s="965"/>
      <c r="H18" s="97"/>
      <c r="I18" s="982"/>
      <c r="J18" s="622"/>
      <c r="K18" s="982"/>
      <c r="L18" s="622"/>
      <c r="M18" s="982"/>
    </row>
    <row r="19" spans="1:16" s="224" customFormat="1" ht="15" customHeight="1" x14ac:dyDescent="0.25">
      <c r="A19" s="215">
        <v>43743</v>
      </c>
      <c r="B19" s="349" t="s">
        <v>2382</v>
      </c>
      <c r="C19" s="352" t="s">
        <v>12</v>
      </c>
      <c r="D19" s="874" t="s">
        <v>1523</v>
      </c>
      <c r="E19" s="875" t="s">
        <v>13</v>
      </c>
      <c r="F19" s="852">
        <v>77.5</v>
      </c>
      <c r="G19" s="965"/>
      <c r="H19" s="97"/>
      <c r="I19" s="982"/>
      <c r="J19" s="622"/>
      <c r="K19" s="982"/>
      <c r="L19" s="622"/>
      <c r="M19" s="982"/>
    </row>
    <row r="20" spans="1:16" s="224" customFormat="1" ht="15" customHeight="1" x14ac:dyDescent="0.25">
      <c r="A20" s="215">
        <v>43744</v>
      </c>
      <c r="B20" s="349" t="s">
        <v>134</v>
      </c>
      <c r="C20" s="352" t="s">
        <v>12</v>
      </c>
      <c r="D20" s="874" t="s">
        <v>1493</v>
      </c>
      <c r="E20" s="875" t="s">
        <v>13</v>
      </c>
      <c r="F20" s="780">
        <v>18.5</v>
      </c>
      <c r="G20" s="957"/>
      <c r="H20" s="622"/>
      <c r="I20" s="982"/>
      <c r="J20" s="622"/>
      <c r="K20" s="982"/>
      <c r="L20" s="622"/>
      <c r="M20" s="982"/>
    </row>
    <row r="21" spans="1:16" s="224" customFormat="1" ht="15.75" customHeight="1" x14ac:dyDescent="0.25">
      <c r="A21" s="215">
        <v>43745</v>
      </c>
      <c r="B21" s="349" t="s">
        <v>2383</v>
      </c>
      <c r="C21" s="879" t="s">
        <v>12</v>
      </c>
      <c r="D21" s="874"/>
      <c r="E21" s="871" t="s">
        <v>25</v>
      </c>
      <c r="F21" s="852"/>
      <c r="G21" s="964">
        <v>1891.16</v>
      </c>
      <c r="H21" s="538"/>
      <c r="I21" s="982"/>
      <c r="J21" s="97"/>
      <c r="K21" s="946"/>
      <c r="L21" s="97"/>
      <c r="M21" s="946"/>
      <c r="N21" s="939"/>
    </row>
    <row r="22" spans="1:16" s="224" customFormat="1" ht="15.75" customHeight="1" x14ac:dyDescent="0.25">
      <c r="A22" s="215">
        <v>43745</v>
      </c>
      <c r="B22" s="862" t="s">
        <v>2384</v>
      </c>
      <c r="C22" s="879" t="s">
        <v>12</v>
      </c>
      <c r="D22" s="874" t="s">
        <v>2131</v>
      </c>
      <c r="E22" s="871" t="s">
        <v>25</v>
      </c>
      <c r="F22" s="852">
        <v>57</v>
      </c>
      <c r="G22" s="964"/>
      <c r="H22" s="538"/>
      <c r="I22" s="982"/>
      <c r="J22" s="97"/>
      <c r="K22" s="946"/>
      <c r="L22" s="97"/>
      <c r="M22" s="946"/>
      <c r="N22" s="939"/>
    </row>
    <row r="23" spans="1:16" s="224" customFormat="1" x14ac:dyDescent="0.25">
      <c r="A23" s="215">
        <v>43745</v>
      </c>
      <c r="B23" s="862" t="s">
        <v>2384</v>
      </c>
      <c r="C23" s="879" t="s">
        <v>12</v>
      </c>
      <c r="D23" s="879" t="s">
        <v>1491</v>
      </c>
      <c r="E23" s="871" t="s">
        <v>13</v>
      </c>
      <c r="F23" s="872">
        <v>97.3</v>
      </c>
      <c r="G23" s="964"/>
      <c r="H23" s="622"/>
      <c r="I23" s="982"/>
      <c r="J23" s="780"/>
      <c r="K23" s="614"/>
      <c r="L23" s="780"/>
      <c r="M23" s="614"/>
      <c r="O23" s="89"/>
    </row>
    <row r="24" spans="1:16" s="224" customFormat="1" x14ac:dyDescent="0.25">
      <c r="A24" s="215">
        <v>43745</v>
      </c>
      <c r="B24" s="862" t="s">
        <v>2384</v>
      </c>
      <c r="C24" s="879" t="s">
        <v>12</v>
      </c>
      <c r="D24" s="879" t="s">
        <v>1525</v>
      </c>
      <c r="E24" s="871" t="s">
        <v>13</v>
      </c>
      <c r="F24" s="872">
        <v>125</v>
      </c>
      <c r="G24" s="964"/>
      <c r="H24" s="622"/>
      <c r="I24" s="982"/>
      <c r="J24" s="780"/>
      <c r="K24" s="614"/>
      <c r="L24" s="780"/>
      <c r="M24" s="614"/>
      <c r="O24" s="89"/>
    </row>
    <row r="25" spans="1:16" s="224" customFormat="1" x14ac:dyDescent="0.25">
      <c r="A25" s="215">
        <v>43745</v>
      </c>
      <c r="B25" s="862" t="s">
        <v>2384</v>
      </c>
      <c r="C25" s="879" t="s">
        <v>12</v>
      </c>
      <c r="D25" s="879" t="s">
        <v>1506</v>
      </c>
      <c r="E25" s="871" t="s">
        <v>13</v>
      </c>
      <c r="F25" s="872">
        <v>59.666666666666664</v>
      </c>
      <c r="G25" s="964"/>
      <c r="H25" s="622"/>
      <c r="I25" s="982"/>
      <c r="J25" s="780"/>
      <c r="K25" s="614"/>
      <c r="L25" s="780"/>
      <c r="M25" s="614"/>
      <c r="O25" s="89"/>
    </row>
    <row r="26" spans="1:16" s="224" customFormat="1" x14ac:dyDescent="0.25">
      <c r="A26" s="215">
        <v>43745</v>
      </c>
      <c r="B26" s="862" t="s">
        <v>2384</v>
      </c>
      <c r="C26" s="879" t="s">
        <v>12</v>
      </c>
      <c r="D26" s="879" t="s">
        <v>1491</v>
      </c>
      <c r="E26" s="871" t="s">
        <v>13</v>
      </c>
      <c r="F26" s="872">
        <v>80.45</v>
      </c>
      <c r="G26" s="964"/>
      <c r="H26" s="622"/>
      <c r="I26" s="982"/>
      <c r="J26" s="780"/>
      <c r="K26" s="614"/>
      <c r="L26" s="780"/>
      <c r="M26" s="614"/>
      <c r="O26" s="89"/>
    </row>
    <row r="27" spans="1:16" s="224" customFormat="1" x14ac:dyDescent="0.25">
      <c r="A27" s="215">
        <v>43745</v>
      </c>
      <c r="B27" s="862" t="s">
        <v>2384</v>
      </c>
      <c r="C27" s="879" t="s">
        <v>12</v>
      </c>
      <c r="D27" s="879" t="s">
        <v>1506</v>
      </c>
      <c r="E27" s="871" t="s">
        <v>13</v>
      </c>
      <c r="F27" s="872">
        <v>50</v>
      </c>
      <c r="G27" s="964"/>
      <c r="H27" s="622"/>
      <c r="I27" s="982"/>
      <c r="J27" s="780"/>
      <c r="K27" s="614"/>
      <c r="L27" s="780"/>
      <c r="M27" s="614"/>
      <c r="O27" s="89"/>
    </row>
    <row r="28" spans="1:16" x14ac:dyDescent="0.25">
      <c r="A28" s="215">
        <v>43745</v>
      </c>
      <c r="B28" s="862" t="s">
        <v>2385</v>
      </c>
      <c r="C28" s="879" t="s">
        <v>12</v>
      </c>
      <c r="D28" s="879" t="s">
        <v>1504</v>
      </c>
      <c r="E28" s="871" t="s">
        <v>13</v>
      </c>
      <c r="F28" s="852">
        <v>50</v>
      </c>
      <c r="G28" s="964"/>
      <c r="H28" s="622"/>
      <c r="I28" s="982"/>
      <c r="J28" s="622"/>
      <c r="K28" s="1002"/>
      <c r="L28" s="622"/>
      <c r="M28" s="1002"/>
      <c r="N28" s="962">
        <v>90</v>
      </c>
    </row>
    <row r="29" spans="1:16" x14ac:dyDescent="0.25">
      <c r="A29" s="215">
        <v>43745</v>
      </c>
      <c r="B29" s="882" t="s">
        <v>2386</v>
      </c>
      <c r="C29" s="879" t="s">
        <v>12</v>
      </c>
      <c r="D29" s="879" t="s">
        <v>1499</v>
      </c>
      <c r="E29" s="871" t="s">
        <v>13</v>
      </c>
      <c r="F29" s="852">
        <v>60</v>
      </c>
      <c r="G29" s="964"/>
      <c r="H29" s="622"/>
      <c r="I29" s="982"/>
      <c r="J29" s="780"/>
      <c r="K29" s="614"/>
      <c r="L29" s="780"/>
      <c r="M29" s="614"/>
      <c r="N29" s="79">
        <v>137.29</v>
      </c>
      <c r="O29" s="518"/>
    </row>
    <row r="30" spans="1:16" x14ac:dyDescent="0.25">
      <c r="A30" s="215">
        <v>43745</v>
      </c>
      <c r="B30" s="876" t="s">
        <v>52</v>
      </c>
      <c r="C30" s="879" t="s">
        <v>12</v>
      </c>
      <c r="D30" s="879" t="s">
        <v>1496</v>
      </c>
      <c r="E30" s="871" t="s">
        <v>13</v>
      </c>
      <c r="F30" s="852">
        <v>60</v>
      </c>
      <c r="G30" s="964"/>
      <c r="H30" s="853"/>
      <c r="I30" s="982"/>
      <c r="J30" s="622"/>
      <c r="K30" s="982"/>
      <c r="L30" s="622"/>
      <c r="M30" s="982"/>
      <c r="N30" s="948"/>
    </row>
    <row r="31" spans="1:16" x14ac:dyDescent="0.25">
      <c r="A31" s="215">
        <v>43745</v>
      </c>
      <c r="B31" s="876" t="s">
        <v>2387</v>
      </c>
      <c r="C31" s="879" t="s">
        <v>12</v>
      </c>
      <c r="D31" s="879" t="s">
        <v>1489</v>
      </c>
      <c r="E31" s="871" t="s">
        <v>13</v>
      </c>
      <c r="F31" s="852">
        <v>65.2</v>
      </c>
      <c r="G31" s="964"/>
      <c r="H31" s="853"/>
      <c r="I31" s="982"/>
      <c r="J31" s="622"/>
      <c r="K31" s="982"/>
      <c r="L31" s="622"/>
      <c r="M31" s="982"/>
      <c r="N31" s="963" t="s">
        <v>2388</v>
      </c>
    </row>
    <row r="32" spans="1:16" s="224" customFormat="1" ht="15" customHeight="1" x14ac:dyDescent="0.25">
      <c r="A32" s="215">
        <v>43745</v>
      </c>
      <c r="B32" s="349" t="s">
        <v>260</v>
      </c>
      <c r="C32" s="350" t="s">
        <v>12</v>
      </c>
      <c r="D32" s="350"/>
      <c r="E32" s="480"/>
      <c r="F32" s="780">
        <v>296.31</v>
      </c>
      <c r="G32" s="946"/>
      <c r="H32" s="97"/>
      <c r="I32" s="946">
        <v>296.31</v>
      </c>
      <c r="J32" s="97"/>
      <c r="K32" s="946"/>
      <c r="L32" s="97"/>
      <c r="M32" s="946"/>
      <c r="N32" s="923"/>
      <c r="P32" s="930"/>
    </row>
    <row r="33" spans="1:16" s="224" customFormat="1" ht="15" customHeight="1" x14ac:dyDescent="0.25">
      <c r="A33" s="215">
        <v>43745</v>
      </c>
      <c r="B33" s="349" t="s">
        <v>32</v>
      </c>
      <c r="C33" s="352" t="s">
        <v>12</v>
      </c>
      <c r="D33" s="874" t="s">
        <v>1485</v>
      </c>
      <c r="E33" s="875" t="s">
        <v>13</v>
      </c>
      <c r="F33" s="852">
        <v>14</v>
      </c>
      <c r="G33" s="965"/>
      <c r="H33" s="97"/>
      <c r="I33" s="982"/>
      <c r="J33" s="622"/>
      <c r="K33" s="982"/>
      <c r="L33" s="622"/>
      <c r="M33" s="982"/>
    </row>
    <row r="34" spans="1:16" s="224" customFormat="1" ht="15" customHeight="1" x14ac:dyDescent="0.25">
      <c r="A34" s="215">
        <v>43745</v>
      </c>
      <c r="B34" s="364" t="s">
        <v>2389</v>
      </c>
      <c r="C34" s="350" t="s">
        <v>12</v>
      </c>
      <c r="D34" s="350" t="s">
        <v>1491</v>
      </c>
      <c r="E34" s="875" t="s">
        <v>15</v>
      </c>
      <c r="F34" s="852">
        <v>100</v>
      </c>
      <c r="G34" s="965"/>
      <c r="H34" s="97"/>
      <c r="I34" s="946"/>
      <c r="J34" s="97"/>
      <c r="K34" s="946"/>
      <c r="L34" s="97"/>
      <c r="M34" s="946"/>
      <c r="N34" s="923"/>
      <c r="P34" s="930"/>
    </row>
    <row r="35" spans="1:16" s="224" customFormat="1" ht="15" customHeight="1" x14ac:dyDescent="0.25">
      <c r="A35" s="215">
        <v>43745</v>
      </c>
      <c r="B35" s="349" t="s">
        <v>2251</v>
      </c>
      <c r="C35" s="352" t="s">
        <v>12</v>
      </c>
      <c r="D35" s="874" t="s">
        <v>2157</v>
      </c>
      <c r="E35" s="875" t="s">
        <v>15</v>
      </c>
      <c r="F35" s="780">
        <v>30</v>
      </c>
      <c r="G35" s="966"/>
      <c r="H35" s="622"/>
      <c r="I35" s="982"/>
      <c r="J35" s="622"/>
      <c r="K35" s="982"/>
      <c r="L35" s="622"/>
      <c r="M35" s="982"/>
    </row>
    <row r="36" spans="1:16" s="224" customFormat="1" ht="15" customHeight="1" x14ac:dyDescent="0.25">
      <c r="A36" s="215">
        <v>43745</v>
      </c>
      <c r="B36" s="364" t="s">
        <v>14</v>
      </c>
      <c r="C36" s="350" t="s">
        <v>12</v>
      </c>
      <c r="D36" s="350" t="s">
        <v>1486</v>
      </c>
      <c r="E36" s="875" t="s">
        <v>13</v>
      </c>
      <c r="F36" s="852">
        <v>13.54</v>
      </c>
      <c r="G36" s="965"/>
      <c r="H36" s="97"/>
      <c r="I36" s="946"/>
      <c r="J36" s="97"/>
      <c r="K36" s="946"/>
      <c r="L36" s="97"/>
      <c r="M36" s="946"/>
      <c r="N36" s="923"/>
      <c r="P36" s="930"/>
    </row>
    <row r="37" spans="1:16" s="224" customFormat="1" ht="15" customHeight="1" x14ac:dyDescent="0.25">
      <c r="A37" s="215">
        <v>43746</v>
      </c>
      <c r="B37" s="349" t="s">
        <v>32</v>
      </c>
      <c r="C37" s="352" t="s">
        <v>12</v>
      </c>
      <c r="D37" s="874" t="s">
        <v>1485</v>
      </c>
      <c r="E37" s="875" t="s">
        <v>13</v>
      </c>
      <c r="F37" s="852">
        <v>14</v>
      </c>
      <c r="G37" s="965"/>
      <c r="H37" s="97"/>
      <c r="I37" s="982"/>
      <c r="J37" s="622"/>
      <c r="K37" s="982"/>
      <c r="L37" s="622"/>
      <c r="M37" s="982"/>
    </row>
    <row r="38" spans="1:16" s="224" customFormat="1" ht="15" customHeight="1" x14ac:dyDescent="0.25">
      <c r="A38" s="215">
        <v>43747</v>
      </c>
      <c r="B38" s="364" t="s">
        <v>14</v>
      </c>
      <c r="C38" s="350" t="s">
        <v>12</v>
      </c>
      <c r="D38" s="350" t="s">
        <v>1486</v>
      </c>
      <c r="E38" s="875" t="s">
        <v>13</v>
      </c>
      <c r="F38" s="852">
        <v>12.41</v>
      </c>
      <c r="G38" s="964"/>
      <c r="H38" s="622"/>
      <c r="I38" s="982"/>
      <c r="J38" s="622"/>
      <c r="K38" s="982"/>
      <c r="L38" s="622"/>
      <c r="M38" s="982"/>
    </row>
    <row r="39" spans="1:16" s="224" customFormat="1" ht="15" customHeight="1" x14ac:dyDescent="0.25">
      <c r="A39" s="215">
        <v>43748</v>
      </c>
      <c r="B39" s="349" t="s">
        <v>32</v>
      </c>
      <c r="C39" s="352" t="s">
        <v>12</v>
      </c>
      <c r="D39" s="874" t="s">
        <v>1485</v>
      </c>
      <c r="E39" s="875" t="s">
        <v>13</v>
      </c>
      <c r="F39" s="852">
        <v>14</v>
      </c>
      <c r="G39" s="965"/>
      <c r="H39" s="97"/>
      <c r="I39" s="982"/>
      <c r="J39" s="622"/>
      <c r="K39" s="982"/>
      <c r="L39" s="622"/>
      <c r="M39" s="982"/>
    </row>
    <row r="40" spans="1:16" s="224" customFormat="1" ht="15" customHeight="1" x14ac:dyDescent="0.25">
      <c r="A40" s="215">
        <v>43748</v>
      </c>
      <c r="B40" s="349" t="s">
        <v>134</v>
      </c>
      <c r="C40" s="352" t="s">
        <v>12</v>
      </c>
      <c r="D40" s="874" t="s">
        <v>1493</v>
      </c>
      <c r="E40" s="875" t="s">
        <v>13</v>
      </c>
      <c r="F40" s="852">
        <v>11</v>
      </c>
      <c r="G40" s="964"/>
      <c r="H40" s="622"/>
      <c r="I40" s="982"/>
      <c r="J40" s="622"/>
      <c r="K40" s="982"/>
      <c r="L40" s="622"/>
      <c r="M40" s="982"/>
      <c r="N40" s="932"/>
    </row>
    <row r="41" spans="1:16" s="224" customFormat="1" ht="15" customHeight="1" x14ac:dyDescent="0.25">
      <c r="A41" s="215">
        <v>43749</v>
      </c>
      <c r="B41" s="349" t="s">
        <v>2251</v>
      </c>
      <c r="C41" s="352" t="s">
        <v>12</v>
      </c>
      <c r="D41" s="874" t="s">
        <v>2157</v>
      </c>
      <c r="E41" s="875" t="s">
        <v>15</v>
      </c>
      <c r="F41" s="852">
        <v>20</v>
      </c>
      <c r="G41" s="964"/>
      <c r="H41" s="622"/>
      <c r="I41" s="982"/>
      <c r="J41" s="622"/>
      <c r="K41" s="982"/>
      <c r="L41" s="622"/>
      <c r="M41" s="982"/>
      <c r="N41" s="932"/>
    </row>
    <row r="42" spans="1:16" s="224" customFormat="1" ht="15" customHeight="1" x14ac:dyDescent="0.25">
      <c r="A42" s="215">
        <v>43749</v>
      </c>
      <c r="B42" s="349" t="s">
        <v>32</v>
      </c>
      <c r="C42" s="352" t="s">
        <v>12</v>
      </c>
      <c r="D42" s="874" t="s">
        <v>1485</v>
      </c>
      <c r="E42" s="875" t="s">
        <v>15</v>
      </c>
      <c r="F42" s="852">
        <v>14</v>
      </c>
      <c r="G42" s="965"/>
      <c r="H42" s="97"/>
      <c r="I42" s="982"/>
      <c r="J42" s="622"/>
      <c r="K42" s="982"/>
      <c r="L42" s="622"/>
      <c r="M42" s="982"/>
    </row>
    <row r="43" spans="1:16" s="224" customFormat="1" ht="15" customHeight="1" x14ac:dyDescent="0.25">
      <c r="A43" s="215">
        <v>43749</v>
      </c>
      <c r="B43" s="349" t="s">
        <v>17</v>
      </c>
      <c r="C43" s="352" t="s">
        <v>12</v>
      </c>
      <c r="D43" s="874" t="s">
        <v>1493</v>
      </c>
      <c r="E43" s="875" t="s">
        <v>13</v>
      </c>
      <c r="F43" s="852">
        <v>6</v>
      </c>
      <c r="G43" s="965"/>
      <c r="H43" s="97"/>
      <c r="I43" s="982"/>
      <c r="J43" s="622"/>
      <c r="K43" s="982"/>
      <c r="L43" s="622"/>
      <c r="M43" s="982"/>
    </row>
    <row r="44" spans="1:16" s="224" customFormat="1" ht="15" customHeight="1" x14ac:dyDescent="0.25">
      <c r="A44" s="215">
        <v>43749</v>
      </c>
      <c r="B44" s="349" t="s">
        <v>32</v>
      </c>
      <c r="C44" s="352" t="s">
        <v>12</v>
      </c>
      <c r="D44" s="874" t="s">
        <v>1485</v>
      </c>
      <c r="E44" s="875" t="s">
        <v>15</v>
      </c>
      <c r="F44" s="852">
        <v>14</v>
      </c>
      <c r="G44" s="965"/>
      <c r="H44" s="97"/>
      <c r="I44" s="982"/>
      <c r="J44" s="622"/>
      <c r="K44" s="982"/>
      <c r="L44" s="622"/>
      <c r="M44" s="982"/>
    </row>
    <row r="45" spans="1:16" s="224" customFormat="1" ht="15" customHeight="1" x14ac:dyDescent="0.25">
      <c r="A45" s="215">
        <v>43749</v>
      </c>
      <c r="B45" s="364" t="s">
        <v>82</v>
      </c>
      <c r="C45" s="350" t="s">
        <v>12</v>
      </c>
      <c r="D45" s="350" t="s">
        <v>1493</v>
      </c>
      <c r="E45" s="480" t="s">
        <v>13</v>
      </c>
      <c r="F45" s="538">
        <v>42.4</v>
      </c>
      <c r="G45" s="967"/>
      <c r="H45" s="97"/>
      <c r="I45" s="946"/>
      <c r="J45" s="622"/>
      <c r="K45" s="982"/>
      <c r="L45" s="622"/>
      <c r="M45" s="982"/>
    </row>
    <row r="46" spans="1:16" s="224" customFormat="1" ht="15" customHeight="1" x14ac:dyDescent="0.25">
      <c r="A46" s="215">
        <v>43749</v>
      </c>
      <c r="B46" s="364" t="s">
        <v>1396</v>
      </c>
      <c r="C46" s="350" t="s">
        <v>12</v>
      </c>
      <c r="D46" s="350"/>
      <c r="E46" s="480" t="s">
        <v>25</v>
      </c>
      <c r="F46" s="538"/>
      <c r="G46" s="967">
        <v>45</v>
      </c>
      <c r="H46" s="97"/>
      <c r="I46" s="946"/>
      <c r="J46" s="622"/>
      <c r="K46" s="982"/>
      <c r="L46" s="622"/>
      <c r="M46" s="982"/>
    </row>
    <row r="47" spans="1:16" s="224" customFormat="1" ht="15" customHeight="1" x14ac:dyDescent="0.25">
      <c r="A47" s="215">
        <v>43750</v>
      </c>
      <c r="B47" s="349" t="s">
        <v>56</v>
      </c>
      <c r="C47" s="352" t="s">
        <v>19</v>
      </c>
      <c r="D47" s="874" t="s">
        <v>1523</v>
      </c>
      <c r="E47" s="875" t="s">
        <v>13</v>
      </c>
      <c r="F47" s="852">
        <v>24</v>
      </c>
      <c r="G47" s="964"/>
      <c r="H47" s="622"/>
      <c r="I47" s="982"/>
      <c r="J47" s="622"/>
      <c r="K47" s="982"/>
      <c r="L47" s="622"/>
      <c r="M47" s="982"/>
    </row>
    <row r="48" spans="1:16" s="224" customFormat="1" ht="15" customHeight="1" x14ac:dyDescent="0.25">
      <c r="A48" s="215">
        <v>43750</v>
      </c>
      <c r="B48" s="349" t="s">
        <v>1438</v>
      </c>
      <c r="C48" s="352" t="s">
        <v>19</v>
      </c>
      <c r="D48" s="874" t="s">
        <v>1489</v>
      </c>
      <c r="E48" s="875" t="s">
        <v>13</v>
      </c>
      <c r="F48" s="852">
        <v>73.45</v>
      </c>
      <c r="G48" s="964"/>
      <c r="H48" s="622"/>
      <c r="I48" s="982"/>
      <c r="J48" s="622"/>
      <c r="K48" s="982"/>
      <c r="L48" s="622"/>
      <c r="M48" s="982"/>
    </row>
    <row r="49" spans="1:16" s="224" customFormat="1" ht="15" customHeight="1" x14ac:dyDescent="0.25">
      <c r="A49" s="215">
        <v>43750</v>
      </c>
      <c r="B49" s="349" t="s">
        <v>2251</v>
      </c>
      <c r="C49" s="352" t="s">
        <v>12</v>
      </c>
      <c r="D49" s="874" t="s">
        <v>2157</v>
      </c>
      <c r="E49" s="875" t="s">
        <v>15</v>
      </c>
      <c r="F49" s="852">
        <v>70</v>
      </c>
      <c r="G49" s="964"/>
      <c r="H49" s="622"/>
      <c r="I49" s="982"/>
      <c r="J49" s="622"/>
      <c r="K49" s="982"/>
      <c r="L49" s="622"/>
      <c r="M49" s="982"/>
    </row>
    <row r="50" spans="1:16" s="224" customFormat="1" ht="15" customHeight="1" x14ac:dyDescent="0.25">
      <c r="A50" s="215">
        <v>43750</v>
      </c>
      <c r="B50" s="349" t="s">
        <v>32</v>
      </c>
      <c r="C50" s="352" t="s">
        <v>12</v>
      </c>
      <c r="D50" s="874" t="s">
        <v>1485</v>
      </c>
      <c r="E50" s="875" t="s">
        <v>13</v>
      </c>
      <c r="F50" s="852">
        <v>20</v>
      </c>
      <c r="G50" s="964"/>
      <c r="H50" s="622"/>
      <c r="I50" s="982"/>
      <c r="J50" s="622"/>
      <c r="K50" s="982"/>
      <c r="L50" s="622"/>
      <c r="M50" s="982"/>
    </row>
    <row r="51" spans="1:16" s="224" customFormat="1" ht="15" customHeight="1" x14ac:dyDescent="0.25">
      <c r="A51" s="215">
        <v>43751</v>
      </c>
      <c r="B51" s="349" t="s">
        <v>2390</v>
      </c>
      <c r="C51" s="352" t="s">
        <v>12</v>
      </c>
      <c r="D51" s="874" t="s">
        <v>1523</v>
      </c>
      <c r="E51" s="875" t="s">
        <v>13</v>
      </c>
      <c r="F51" s="852">
        <v>10</v>
      </c>
      <c r="G51" s="964"/>
      <c r="H51" s="622"/>
      <c r="I51" s="982"/>
      <c r="J51" s="622"/>
      <c r="K51" s="982"/>
      <c r="L51" s="622"/>
      <c r="M51" s="982"/>
    </row>
    <row r="52" spans="1:16" s="224" customFormat="1" ht="15" customHeight="1" x14ac:dyDescent="0.25">
      <c r="A52" s="215">
        <v>43751</v>
      </c>
      <c r="B52" s="862" t="s">
        <v>2391</v>
      </c>
      <c r="C52" s="879" t="s">
        <v>12</v>
      </c>
      <c r="D52" s="879" t="s">
        <v>1493</v>
      </c>
      <c r="E52" s="871" t="s">
        <v>13</v>
      </c>
      <c r="F52" s="852">
        <v>5</v>
      </c>
      <c r="G52" s="964"/>
      <c r="H52" s="622"/>
      <c r="I52" s="982"/>
      <c r="J52" s="622"/>
      <c r="K52" s="982"/>
      <c r="L52" s="622"/>
      <c r="M52" s="982"/>
      <c r="N52" s="932"/>
    </row>
    <row r="53" spans="1:16" s="224" customFormat="1" ht="15" customHeight="1" x14ac:dyDescent="0.25">
      <c r="A53" s="215">
        <v>43751</v>
      </c>
      <c r="B53" s="862" t="s">
        <v>2392</v>
      </c>
      <c r="C53" s="879" t="s">
        <v>12</v>
      </c>
      <c r="D53" s="879" t="s">
        <v>1489</v>
      </c>
      <c r="E53" s="871" t="s">
        <v>15</v>
      </c>
      <c r="F53" s="852">
        <v>3</v>
      </c>
      <c r="G53" s="964"/>
      <c r="H53" s="622"/>
      <c r="I53" s="982"/>
      <c r="J53" s="622"/>
      <c r="K53" s="982"/>
      <c r="L53" s="622"/>
      <c r="M53" s="982"/>
      <c r="N53" s="932"/>
    </row>
    <row r="54" spans="1:16" s="224" customFormat="1" ht="15" customHeight="1" x14ac:dyDescent="0.25">
      <c r="A54" s="215">
        <v>43751</v>
      </c>
      <c r="B54" s="862" t="s">
        <v>2393</v>
      </c>
      <c r="C54" s="879" t="s">
        <v>12</v>
      </c>
      <c r="D54" s="879" t="s">
        <v>1491</v>
      </c>
      <c r="E54" s="871" t="s">
        <v>13</v>
      </c>
      <c r="F54" s="852">
        <v>20</v>
      </c>
      <c r="G54" s="964"/>
      <c r="H54" s="622"/>
      <c r="I54" s="982"/>
      <c r="J54" s="622"/>
      <c r="K54" s="982"/>
      <c r="L54" s="622"/>
      <c r="M54" s="982"/>
      <c r="N54" s="932"/>
    </row>
    <row r="55" spans="1:16" s="224" customFormat="1" ht="15" customHeight="1" x14ac:dyDescent="0.25">
      <c r="A55" s="215">
        <v>43751</v>
      </c>
      <c r="B55" s="862" t="s">
        <v>134</v>
      </c>
      <c r="C55" s="879" t="s">
        <v>12</v>
      </c>
      <c r="D55" s="879" t="s">
        <v>1493</v>
      </c>
      <c r="E55" s="871" t="s">
        <v>13</v>
      </c>
      <c r="F55" s="852">
        <v>12.9</v>
      </c>
      <c r="G55" s="964"/>
      <c r="H55" s="622"/>
      <c r="I55" s="982"/>
      <c r="J55" s="622"/>
      <c r="K55" s="982"/>
      <c r="L55" s="622"/>
      <c r="M55" s="982"/>
      <c r="N55" s="932"/>
    </row>
    <row r="56" spans="1:16" s="224" customFormat="1" ht="15" customHeight="1" x14ac:dyDescent="0.25">
      <c r="A56" s="215">
        <v>43752</v>
      </c>
      <c r="B56" s="364" t="s">
        <v>196</v>
      </c>
      <c r="C56" s="350" t="s">
        <v>12</v>
      </c>
      <c r="D56" s="350" t="s">
        <v>1504</v>
      </c>
      <c r="E56" s="875" t="s">
        <v>13</v>
      </c>
      <c r="F56" s="852">
        <v>10</v>
      </c>
      <c r="G56" s="965"/>
      <c r="H56" s="97"/>
      <c r="I56" s="946"/>
      <c r="J56" s="97"/>
      <c r="K56" s="946"/>
      <c r="L56" s="97"/>
      <c r="M56" s="946"/>
      <c r="N56" s="923"/>
      <c r="P56" s="930"/>
    </row>
    <row r="57" spans="1:16" s="224" customFormat="1" ht="15" customHeight="1" x14ac:dyDescent="0.25">
      <c r="A57" s="215">
        <v>43752</v>
      </c>
      <c r="B57" s="349" t="s">
        <v>32</v>
      </c>
      <c r="C57" s="352" t="s">
        <v>12</v>
      </c>
      <c r="D57" s="874" t="s">
        <v>1485</v>
      </c>
      <c r="E57" s="875" t="s">
        <v>13</v>
      </c>
      <c r="F57" s="852">
        <v>14</v>
      </c>
      <c r="G57" s="964"/>
      <c r="H57" s="622"/>
      <c r="I57" s="982"/>
      <c r="J57" s="622"/>
      <c r="K57" s="982"/>
      <c r="L57" s="622"/>
      <c r="M57" s="982"/>
    </row>
    <row r="58" spans="1:16" s="224" customFormat="1" ht="15" customHeight="1" x14ac:dyDescent="0.25">
      <c r="A58" s="215">
        <v>43752</v>
      </c>
      <c r="B58" s="364" t="s">
        <v>14</v>
      </c>
      <c r="C58" s="350" t="s">
        <v>19</v>
      </c>
      <c r="D58" s="350" t="s">
        <v>1486</v>
      </c>
      <c r="E58" s="875" t="s">
        <v>13</v>
      </c>
      <c r="F58" s="852">
        <v>6</v>
      </c>
      <c r="G58" s="965"/>
      <c r="H58" s="97"/>
      <c r="I58" s="946"/>
      <c r="J58" s="97"/>
      <c r="K58" s="946"/>
      <c r="L58" s="97"/>
      <c r="M58" s="946"/>
      <c r="N58" s="923"/>
      <c r="P58" s="930"/>
    </row>
    <row r="59" spans="1:16" s="224" customFormat="1" ht="15" customHeight="1" x14ac:dyDescent="0.25">
      <c r="A59" s="215">
        <v>43752</v>
      </c>
      <c r="B59" s="364" t="s">
        <v>2394</v>
      </c>
      <c r="C59" s="350" t="s">
        <v>19</v>
      </c>
      <c r="D59" s="350" t="s">
        <v>1489</v>
      </c>
      <c r="E59" s="875" t="s">
        <v>13</v>
      </c>
      <c r="F59" s="852">
        <v>37.04</v>
      </c>
      <c r="G59" s="965"/>
      <c r="H59" s="97"/>
      <c r="I59" s="946"/>
      <c r="J59" s="97"/>
      <c r="K59" s="946"/>
      <c r="L59" s="97"/>
      <c r="M59" s="946"/>
      <c r="N59" s="923"/>
      <c r="P59" s="930"/>
    </row>
    <row r="60" spans="1:16" s="224" customFormat="1" ht="15" customHeight="1" x14ac:dyDescent="0.25">
      <c r="A60" s="215">
        <v>43753</v>
      </c>
      <c r="B60" s="862" t="s">
        <v>256</v>
      </c>
      <c r="C60" s="879"/>
      <c r="D60" s="879"/>
      <c r="E60" s="871"/>
      <c r="F60" s="97"/>
      <c r="G60" s="946">
        <v>250</v>
      </c>
      <c r="H60" s="97">
        <v>250</v>
      </c>
      <c r="I60" s="982"/>
      <c r="J60" s="622"/>
      <c r="K60" s="982"/>
      <c r="L60" s="622"/>
      <c r="M60" s="982"/>
      <c r="P60" s="930"/>
    </row>
    <row r="61" spans="1:16" s="224" customFormat="1" ht="15" customHeight="1" x14ac:dyDescent="0.25">
      <c r="A61" s="215">
        <v>43753</v>
      </c>
      <c r="B61" s="349" t="s">
        <v>2395</v>
      </c>
      <c r="C61" s="352" t="s">
        <v>19</v>
      </c>
      <c r="D61" s="874" t="s">
        <v>1525</v>
      </c>
      <c r="E61" s="875" t="s">
        <v>13</v>
      </c>
      <c r="F61" s="852">
        <v>400</v>
      </c>
      <c r="G61" s="964"/>
      <c r="H61" s="622"/>
      <c r="I61" s="982"/>
      <c r="J61" s="622"/>
      <c r="K61" s="982"/>
      <c r="L61" s="622"/>
      <c r="M61" s="982"/>
    </row>
    <row r="62" spans="1:16" s="224" customFormat="1" ht="15" customHeight="1" x14ac:dyDescent="0.25">
      <c r="A62" s="215">
        <v>43753</v>
      </c>
      <c r="B62" s="349" t="s">
        <v>32</v>
      </c>
      <c r="C62" s="352" t="s">
        <v>12</v>
      </c>
      <c r="D62" s="874" t="s">
        <v>1485</v>
      </c>
      <c r="E62" s="875" t="s">
        <v>13</v>
      </c>
      <c r="F62" s="852">
        <v>14</v>
      </c>
      <c r="G62" s="964"/>
      <c r="H62" s="622"/>
      <c r="I62" s="982"/>
      <c r="J62" s="622"/>
      <c r="K62" s="982"/>
      <c r="L62" s="622"/>
      <c r="M62" s="982"/>
    </row>
    <row r="63" spans="1:16" s="224" customFormat="1" ht="15" customHeight="1" x14ac:dyDescent="0.25">
      <c r="A63" s="215">
        <v>43753</v>
      </c>
      <c r="B63" s="349" t="s">
        <v>2396</v>
      </c>
      <c r="C63" s="352" t="s">
        <v>12</v>
      </c>
      <c r="D63" s="874" t="s">
        <v>1491</v>
      </c>
      <c r="E63" s="875" t="s">
        <v>15</v>
      </c>
      <c r="F63" s="852">
        <v>50</v>
      </c>
      <c r="G63" s="964"/>
      <c r="H63" s="622"/>
      <c r="I63" s="982"/>
      <c r="J63" s="622"/>
      <c r="K63" s="982"/>
      <c r="L63" s="622"/>
      <c r="M63" s="982"/>
    </row>
    <row r="64" spans="1:16" s="224" customFormat="1" ht="15" customHeight="1" x14ac:dyDescent="0.25">
      <c r="A64" s="215">
        <v>43754</v>
      </c>
      <c r="B64" s="349" t="s">
        <v>32</v>
      </c>
      <c r="C64" s="352" t="s">
        <v>12</v>
      </c>
      <c r="D64" s="874" t="s">
        <v>1485</v>
      </c>
      <c r="E64" s="875" t="s">
        <v>13</v>
      </c>
      <c r="F64" s="852">
        <v>21.02</v>
      </c>
      <c r="G64" s="964"/>
      <c r="H64" s="622"/>
      <c r="I64" s="982"/>
      <c r="J64" s="622"/>
      <c r="K64" s="982"/>
      <c r="L64" s="622"/>
      <c r="M64" s="982"/>
    </row>
    <row r="65" spans="1:16" s="224" customFormat="1" ht="15" customHeight="1" x14ac:dyDescent="0.25">
      <c r="A65" s="215">
        <v>43754</v>
      </c>
      <c r="B65" s="349" t="s">
        <v>2397</v>
      </c>
      <c r="C65" s="352" t="s">
        <v>12</v>
      </c>
      <c r="D65" s="874" t="s">
        <v>1493</v>
      </c>
      <c r="E65" s="875" t="s">
        <v>13</v>
      </c>
      <c r="F65" s="852">
        <v>31.4</v>
      </c>
      <c r="G65" s="964"/>
      <c r="H65" s="622"/>
      <c r="I65" s="982"/>
      <c r="J65" s="622"/>
      <c r="K65" s="982"/>
      <c r="L65" s="622"/>
      <c r="M65" s="982"/>
    </row>
    <row r="66" spans="1:16" s="224" customFormat="1" ht="15" customHeight="1" x14ac:dyDescent="0.25">
      <c r="A66" s="215">
        <v>43755</v>
      </c>
      <c r="B66" s="349" t="s">
        <v>32</v>
      </c>
      <c r="C66" s="352" t="s">
        <v>12</v>
      </c>
      <c r="D66" s="874" t="s">
        <v>1485</v>
      </c>
      <c r="E66" s="875" t="s">
        <v>15</v>
      </c>
      <c r="F66" s="852">
        <v>14</v>
      </c>
      <c r="G66" s="964"/>
      <c r="H66" s="622"/>
      <c r="I66" s="982"/>
      <c r="J66" s="622"/>
      <c r="K66" s="982"/>
      <c r="L66" s="622"/>
      <c r="M66" s="982"/>
    </row>
    <row r="67" spans="1:16" s="224" customFormat="1" ht="15" customHeight="1" x14ac:dyDescent="0.25">
      <c r="A67" s="215">
        <v>43755</v>
      </c>
      <c r="B67" s="364" t="s">
        <v>14</v>
      </c>
      <c r="C67" s="350" t="s">
        <v>12</v>
      </c>
      <c r="D67" s="350" t="s">
        <v>1486</v>
      </c>
      <c r="E67" s="875" t="s">
        <v>13</v>
      </c>
      <c r="F67" s="852">
        <v>11</v>
      </c>
      <c r="G67" s="964"/>
      <c r="H67" s="622"/>
      <c r="I67" s="982"/>
      <c r="J67" s="622"/>
      <c r="K67" s="982"/>
      <c r="L67" s="622"/>
      <c r="M67" s="982"/>
      <c r="N67" s="932"/>
    </row>
    <row r="68" spans="1:16" x14ac:dyDescent="0.25">
      <c r="A68" s="215">
        <v>43756</v>
      </c>
      <c r="B68" s="882" t="s">
        <v>2398</v>
      </c>
      <c r="C68" s="350" t="s">
        <v>12</v>
      </c>
      <c r="D68" s="145"/>
      <c r="E68" s="145" t="s">
        <v>25</v>
      </c>
      <c r="F68" s="1529"/>
      <c r="G68" s="965">
        <v>1600</v>
      </c>
      <c r="H68" s="97"/>
      <c r="I68" s="946"/>
      <c r="J68" s="97"/>
      <c r="K68" s="946"/>
      <c r="L68" s="97"/>
      <c r="M68" s="946"/>
      <c r="N68" s="952"/>
      <c r="O68" s="85"/>
    </row>
    <row r="69" spans="1:16" s="224" customFormat="1" x14ac:dyDescent="0.25">
      <c r="A69" s="215">
        <v>43756</v>
      </c>
      <c r="B69" s="873" t="s">
        <v>1564</v>
      </c>
      <c r="C69" s="879" t="s">
        <v>12</v>
      </c>
      <c r="D69" s="350" t="s">
        <v>1491</v>
      </c>
      <c r="E69" s="871" t="s">
        <v>15</v>
      </c>
      <c r="F69" s="853">
        <v>140</v>
      </c>
      <c r="G69" s="964"/>
      <c r="H69" s="622"/>
      <c r="I69" s="982"/>
      <c r="J69" s="622"/>
      <c r="K69" s="982"/>
      <c r="L69" s="622"/>
      <c r="M69" s="982"/>
      <c r="N69" s="949"/>
    </row>
    <row r="70" spans="1:16" s="224" customFormat="1" ht="15.75" customHeight="1" x14ac:dyDescent="0.25">
      <c r="A70" s="215">
        <v>43756</v>
      </c>
      <c r="B70" s="882" t="s">
        <v>2399</v>
      </c>
      <c r="C70" s="879" t="s">
        <v>12</v>
      </c>
      <c r="D70" s="879" t="s">
        <v>1499</v>
      </c>
      <c r="E70" s="871" t="s">
        <v>13</v>
      </c>
      <c r="F70" s="853">
        <v>40.24</v>
      </c>
      <c r="G70" s="968"/>
      <c r="H70" s="538"/>
      <c r="I70" s="982"/>
      <c r="J70" s="622"/>
      <c r="K70" s="982"/>
      <c r="L70" s="622"/>
      <c r="M70" s="982"/>
      <c r="N70" s="937">
        <v>105.24</v>
      </c>
    </row>
    <row r="71" spans="1:16" s="224" customFormat="1" ht="15" customHeight="1" x14ac:dyDescent="0.25">
      <c r="A71" s="215">
        <v>43756</v>
      </c>
      <c r="B71" s="349" t="s">
        <v>2400</v>
      </c>
      <c r="C71" s="352" t="s">
        <v>19</v>
      </c>
      <c r="D71" s="874" t="s">
        <v>1525</v>
      </c>
      <c r="E71" s="875" t="s">
        <v>15</v>
      </c>
      <c r="F71" s="852">
        <v>200</v>
      </c>
      <c r="G71" s="965"/>
      <c r="H71" s="97"/>
      <c r="I71" s="982"/>
      <c r="J71" s="622"/>
      <c r="K71" s="982"/>
      <c r="L71" s="622"/>
      <c r="M71" s="982"/>
      <c r="N71" s="3136" t="s">
        <v>2401</v>
      </c>
      <c r="O71" s="3137"/>
    </row>
    <row r="72" spans="1:16" s="224" customFormat="1" ht="15" customHeight="1" x14ac:dyDescent="0.25">
      <c r="A72" s="215">
        <v>43756</v>
      </c>
      <c r="B72" s="349" t="s">
        <v>260</v>
      </c>
      <c r="C72" s="350" t="s">
        <v>12</v>
      </c>
      <c r="D72" s="350"/>
      <c r="E72" s="480"/>
      <c r="F72" s="780">
        <v>550</v>
      </c>
      <c r="G72" s="946"/>
      <c r="H72" s="97"/>
      <c r="I72" s="946">
        <v>550</v>
      </c>
      <c r="J72" s="97"/>
      <c r="K72" s="946"/>
      <c r="L72" s="97"/>
      <c r="M72" s="946"/>
      <c r="N72" s="923"/>
      <c r="P72" s="930"/>
    </row>
    <row r="73" spans="1:16" s="224" customFormat="1" ht="15" customHeight="1" x14ac:dyDescent="0.25">
      <c r="A73" s="215">
        <v>43756</v>
      </c>
      <c r="B73" s="349" t="s">
        <v>32</v>
      </c>
      <c r="C73" s="352" t="s">
        <v>12</v>
      </c>
      <c r="D73" s="874" t="s">
        <v>1485</v>
      </c>
      <c r="E73" s="875" t="s">
        <v>15</v>
      </c>
      <c r="F73" s="852">
        <v>14</v>
      </c>
      <c r="G73" s="964"/>
      <c r="H73" s="622"/>
      <c r="I73" s="982"/>
      <c r="J73" s="622"/>
      <c r="K73" s="982"/>
      <c r="L73" s="622"/>
      <c r="M73" s="982"/>
    </row>
    <row r="74" spans="1:16" s="224" customFormat="1" ht="15" customHeight="1" x14ac:dyDescent="0.25">
      <c r="A74" s="215">
        <v>43756</v>
      </c>
      <c r="B74" s="349" t="s">
        <v>81</v>
      </c>
      <c r="C74" s="352" t="s">
        <v>12</v>
      </c>
      <c r="D74" s="874" t="s">
        <v>1493</v>
      </c>
      <c r="E74" s="875" t="s">
        <v>15</v>
      </c>
      <c r="F74" s="852">
        <v>6</v>
      </c>
      <c r="G74" s="964"/>
      <c r="H74" s="622"/>
      <c r="I74" s="982"/>
      <c r="J74" s="622"/>
      <c r="K74" s="982"/>
      <c r="L74" s="622"/>
      <c r="M74" s="982"/>
    </row>
    <row r="75" spans="1:16" s="224" customFormat="1" ht="15" customHeight="1" x14ac:dyDescent="0.25">
      <c r="A75" s="215">
        <v>43756</v>
      </c>
      <c r="B75" s="349" t="s">
        <v>2402</v>
      </c>
      <c r="C75" s="350" t="s">
        <v>12</v>
      </c>
      <c r="D75" s="350" t="s">
        <v>1493</v>
      </c>
      <c r="E75" s="480" t="s">
        <v>13</v>
      </c>
      <c r="F75" s="852">
        <v>12.9</v>
      </c>
      <c r="G75" s="965"/>
      <c r="H75" s="97"/>
      <c r="I75" s="946"/>
      <c r="J75" s="97"/>
      <c r="K75" s="946"/>
      <c r="L75" s="97"/>
      <c r="M75" s="946"/>
      <c r="N75" s="923"/>
      <c r="P75" s="930"/>
    </row>
    <row r="76" spans="1:16" s="224" customFormat="1" ht="15" customHeight="1" x14ac:dyDescent="0.25">
      <c r="A76" s="215">
        <v>43756</v>
      </c>
      <c r="B76" s="349" t="s">
        <v>445</v>
      </c>
      <c r="C76" s="350" t="s">
        <v>12</v>
      </c>
      <c r="D76" s="350" t="s">
        <v>1493</v>
      </c>
      <c r="E76" s="480" t="s">
        <v>13</v>
      </c>
      <c r="F76" s="852">
        <v>5</v>
      </c>
      <c r="G76" s="965"/>
      <c r="H76" s="97"/>
      <c r="I76" s="946"/>
      <c r="J76" s="97"/>
      <c r="K76" s="946"/>
      <c r="L76" s="97"/>
      <c r="M76" s="946"/>
      <c r="N76" s="923"/>
      <c r="P76" s="930"/>
    </row>
    <row r="77" spans="1:16" s="224" customFormat="1" x14ac:dyDescent="0.25">
      <c r="A77" s="215">
        <v>43757</v>
      </c>
      <c r="B77" s="873" t="s">
        <v>2403</v>
      </c>
      <c r="C77" s="879" t="s">
        <v>12</v>
      </c>
      <c r="D77" s="350" t="s">
        <v>1523</v>
      </c>
      <c r="E77" s="871" t="s">
        <v>13</v>
      </c>
      <c r="F77" s="853">
        <v>60</v>
      </c>
      <c r="G77" s="964"/>
      <c r="H77" s="622"/>
      <c r="I77" s="982"/>
      <c r="J77" s="622"/>
      <c r="K77" s="982"/>
      <c r="L77" s="622"/>
      <c r="M77" s="982"/>
      <c r="N77" s="949"/>
    </row>
    <row r="78" spans="1:16" s="224" customFormat="1" ht="15" customHeight="1" x14ac:dyDescent="0.25">
      <c r="A78" s="215">
        <v>43757</v>
      </c>
      <c r="B78" s="364" t="s">
        <v>2404</v>
      </c>
      <c r="C78" s="350" t="s">
        <v>12</v>
      </c>
      <c r="D78" s="350" t="s">
        <v>1523</v>
      </c>
      <c r="E78" s="875" t="s">
        <v>15</v>
      </c>
      <c r="F78" s="852">
        <v>8</v>
      </c>
      <c r="G78" s="964"/>
      <c r="H78" s="622"/>
      <c r="I78" s="982"/>
      <c r="J78" s="622"/>
      <c r="K78" s="982"/>
      <c r="L78" s="622"/>
      <c r="M78" s="982"/>
      <c r="N78" s="932"/>
    </row>
    <row r="79" spans="1:16" s="224" customFormat="1" ht="15" customHeight="1" x14ac:dyDescent="0.25">
      <c r="A79" s="215">
        <v>43757</v>
      </c>
      <c r="B79" s="364" t="s">
        <v>2405</v>
      </c>
      <c r="C79" s="350" t="s">
        <v>12</v>
      </c>
      <c r="D79" s="350" t="s">
        <v>1523</v>
      </c>
      <c r="E79" s="875" t="s">
        <v>13</v>
      </c>
      <c r="F79" s="852">
        <v>3.47</v>
      </c>
      <c r="G79" s="964"/>
      <c r="H79" s="622"/>
      <c r="I79" s="982"/>
      <c r="J79" s="622"/>
      <c r="K79" s="982"/>
      <c r="L79" s="622"/>
      <c r="M79" s="982"/>
      <c r="N79" s="932"/>
    </row>
    <row r="80" spans="1:16" s="224" customFormat="1" x14ac:dyDescent="0.25">
      <c r="A80" s="215">
        <v>43758</v>
      </c>
      <c r="B80" s="873" t="s">
        <v>2406</v>
      </c>
      <c r="C80" s="879" t="s">
        <v>12</v>
      </c>
      <c r="D80" s="350" t="s">
        <v>2168</v>
      </c>
      <c r="E80" s="871" t="s">
        <v>13</v>
      </c>
      <c r="F80" s="853">
        <v>25.82</v>
      </c>
      <c r="G80" s="964"/>
      <c r="H80" s="622"/>
      <c r="I80" s="982"/>
      <c r="J80" s="622"/>
      <c r="K80" s="982"/>
      <c r="L80" s="622"/>
      <c r="M80" s="982"/>
      <c r="N80" s="949"/>
    </row>
    <row r="81" spans="1:16" s="224" customFormat="1" ht="15" customHeight="1" x14ac:dyDescent="0.25">
      <c r="A81" s="215">
        <v>43758</v>
      </c>
      <c r="B81" s="349" t="s">
        <v>134</v>
      </c>
      <c r="C81" s="352" t="s">
        <v>12</v>
      </c>
      <c r="D81" s="874" t="s">
        <v>1493</v>
      </c>
      <c r="E81" s="875" t="s">
        <v>13</v>
      </c>
      <c r="F81" s="852">
        <v>15</v>
      </c>
      <c r="G81" s="965"/>
      <c r="H81" s="97"/>
      <c r="I81" s="982"/>
      <c r="J81" s="622"/>
      <c r="K81" s="982"/>
      <c r="L81" s="622"/>
      <c r="M81" s="982"/>
      <c r="N81" s="949"/>
    </row>
    <row r="82" spans="1:16" s="224" customFormat="1" ht="15" customHeight="1" x14ac:dyDescent="0.25">
      <c r="A82" s="215">
        <v>43759</v>
      </c>
      <c r="B82" s="349" t="s">
        <v>32</v>
      </c>
      <c r="C82" s="352" t="s">
        <v>12</v>
      </c>
      <c r="D82" s="874" t="s">
        <v>1485</v>
      </c>
      <c r="E82" s="875" t="s">
        <v>15</v>
      </c>
      <c r="F82" s="852">
        <v>14</v>
      </c>
      <c r="G82" s="964"/>
      <c r="H82" s="622"/>
      <c r="I82" s="982"/>
      <c r="J82" s="622"/>
      <c r="K82" s="982"/>
      <c r="L82" s="622"/>
      <c r="M82" s="982"/>
    </row>
    <row r="83" spans="1:16" s="224" customFormat="1" ht="15" customHeight="1" x14ac:dyDescent="0.25">
      <c r="A83" s="215">
        <v>43759</v>
      </c>
      <c r="B83" s="349" t="s">
        <v>2251</v>
      </c>
      <c r="C83" s="352" t="s">
        <v>12</v>
      </c>
      <c r="D83" s="874" t="s">
        <v>2157</v>
      </c>
      <c r="E83" s="875" t="s">
        <v>13</v>
      </c>
      <c r="F83" s="852">
        <v>40</v>
      </c>
      <c r="G83" s="964"/>
      <c r="H83" s="622"/>
      <c r="I83" s="982"/>
      <c r="J83" s="622"/>
      <c r="K83" s="982"/>
      <c r="L83" s="622"/>
      <c r="M83" s="982"/>
    </row>
    <row r="84" spans="1:16" s="224" customFormat="1" ht="15" customHeight="1" x14ac:dyDescent="0.25">
      <c r="A84" s="215">
        <v>43759</v>
      </c>
      <c r="B84" s="364" t="s">
        <v>14</v>
      </c>
      <c r="C84" s="350" t="s">
        <v>12</v>
      </c>
      <c r="D84" s="350" t="s">
        <v>1486</v>
      </c>
      <c r="E84" s="875" t="s">
        <v>13</v>
      </c>
      <c r="F84" s="852">
        <v>9.91</v>
      </c>
      <c r="G84" s="1527"/>
      <c r="H84" s="97"/>
      <c r="I84" s="982"/>
      <c r="J84" s="622"/>
      <c r="K84" s="982"/>
      <c r="L84" s="622"/>
      <c r="M84" s="982"/>
    </row>
    <row r="85" spans="1:16" s="224" customFormat="1" ht="15" customHeight="1" x14ac:dyDescent="0.25">
      <c r="A85" s="215">
        <v>43759</v>
      </c>
      <c r="B85" s="349" t="s">
        <v>2407</v>
      </c>
      <c r="C85" s="352" t="s">
        <v>12</v>
      </c>
      <c r="D85" s="874" t="s">
        <v>1489</v>
      </c>
      <c r="E85" s="875" t="s">
        <v>13</v>
      </c>
      <c r="F85" s="852">
        <v>31</v>
      </c>
      <c r="G85" s="1527"/>
      <c r="H85" s="97"/>
      <c r="I85" s="982"/>
      <c r="J85" s="622"/>
      <c r="K85" s="982"/>
      <c r="L85" s="622"/>
      <c r="M85" s="982"/>
    </row>
    <row r="86" spans="1:16" s="224" customFormat="1" ht="15" customHeight="1" x14ac:dyDescent="0.25">
      <c r="A86" s="215">
        <v>43760</v>
      </c>
      <c r="B86" s="364" t="s">
        <v>196</v>
      </c>
      <c r="C86" s="350" t="s">
        <v>12</v>
      </c>
      <c r="D86" s="350" t="s">
        <v>1504</v>
      </c>
      <c r="E86" s="875" t="s">
        <v>13</v>
      </c>
      <c r="F86" s="852">
        <v>10</v>
      </c>
      <c r="G86" s="965"/>
      <c r="H86" s="97"/>
      <c r="I86" s="946"/>
      <c r="J86" s="97"/>
      <c r="K86" s="946"/>
      <c r="L86" s="97"/>
      <c r="M86" s="946"/>
      <c r="N86" s="923"/>
      <c r="P86" s="930"/>
    </row>
    <row r="87" spans="1:16" s="224" customFormat="1" ht="15" customHeight="1" x14ac:dyDescent="0.25">
      <c r="A87" s="215">
        <v>43760</v>
      </c>
      <c r="B87" s="349" t="s">
        <v>32</v>
      </c>
      <c r="C87" s="352" t="s">
        <v>12</v>
      </c>
      <c r="D87" s="874" t="s">
        <v>1485</v>
      </c>
      <c r="E87" s="875" t="s">
        <v>13</v>
      </c>
      <c r="F87" s="852">
        <v>14</v>
      </c>
      <c r="G87" s="964"/>
      <c r="H87" s="622"/>
      <c r="I87" s="982"/>
      <c r="J87" s="622"/>
      <c r="K87" s="982"/>
      <c r="L87" s="622"/>
      <c r="M87" s="982"/>
    </row>
    <row r="88" spans="1:16" s="224" customFormat="1" ht="15" customHeight="1" x14ac:dyDescent="0.25">
      <c r="A88" s="215">
        <v>43760</v>
      </c>
      <c r="B88" s="862" t="s">
        <v>81</v>
      </c>
      <c r="C88" s="350" t="s">
        <v>12</v>
      </c>
      <c r="D88" s="874" t="s">
        <v>1493</v>
      </c>
      <c r="E88" s="887" t="s">
        <v>13</v>
      </c>
      <c r="F88" s="852">
        <v>2.75</v>
      </c>
      <c r="G88" s="1527"/>
      <c r="H88" s="97"/>
      <c r="I88" s="982"/>
      <c r="J88" s="622"/>
      <c r="K88" s="982"/>
      <c r="L88" s="622"/>
      <c r="M88" s="982"/>
    </row>
    <row r="89" spans="1:16" s="224" customFormat="1" ht="15" customHeight="1" x14ac:dyDescent="0.25">
      <c r="A89" s="215">
        <v>43761</v>
      </c>
      <c r="B89" s="349" t="s">
        <v>32</v>
      </c>
      <c r="C89" s="352" t="s">
        <v>12</v>
      </c>
      <c r="D89" s="874" t="s">
        <v>1485</v>
      </c>
      <c r="E89" s="875" t="s">
        <v>15</v>
      </c>
      <c r="F89" s="852">
        <v>14</v>
      </c>
      <c r="G89" s="964"/>
      <c r="H89" s="622"/>
      <c r="I89" s="982"/>
      <c r="J89" s="622"/>
      <c r="K89" s="982"/>
      <c r="L89" s="622"/>
      <c r="M89" s="982"/>
    </row>
    <row r="90" spans="1:16" s="224" customFormat="1" ht="15" customHeight="1" x14ac:dyDescent="0.25">
      <c r="A90" s="215">
        <v>43761</v>
      </c>
      <c r="B90" s="862" t="s">
        <v>256</v>
      </c>
      <c r="C90" s="879"/>
      <c r="D90" s="879"/>
      <c r="E90" s="871"/>
      <c r="F90" s="97"/>
      <c r="G90" s="946">
        <v>400</v>
      </c>
      <c r="H90" s="97">
        <v>400</v>
      </c>
      <c r="I90" s="982"/>
      <c r="J90" s="622"/>
      <c r="K90" s="982"/>
      <c r="L90" s="622"/>
      <c r="M90" s="982"/>
      <c r="P90" s="930"/>
    </row>
    <row r="91" spans="1:16" s="224" customFormat="1" ht="15" customHeight="1" x14ac:dyDescent="0.25">
      <c r="A91" s="215">
        <v>43761</v>
      </c>
      <c r="B91" s="364" t="s">
        <v>14</v>
      </c>
      <c r="C91" s="350" t="s">
        <v>12</v>
      </c>
      <c r="D91" s="350" t="s">
        <v>1486</v>
      </c>
      <c r="E91" s="875" t="s">
        <v>13</v>
      </c>
      <c r="F91" s="852">
        <v>5</v>
      </c>
      <c r="G91" s="1527"/>
      <c r="H91" s="97"/>
      <c r="I91" s="982"/>
      <c r="J91" s="622"/>
      <c r="K91" s="982"/>
      <c r="L91" s="622"/>
      <c r="M91" s="982"/>
    </row>
    <row r="92" spans="1:16" s="224" customFormat="1" ht="15" customHeight="1" x14ac:dyDescent="0.25">
      <c r="A92" s="215">
        <v>43762</v>
      </c>
      <c r="B92" s="862" t="s">
        <v>2302</v>
      </c>
      <c r="C92" s="350" t="s">
        <v>12</v>
      </c>
      <c r="D92" s="874" t="s">
        <v>1504</v>
      </c>
      <c r="E92" s="887" t="s">
        <v>13</v>
      </c>
      <c r="F92" s="852">
        <v>85</v>
      </c>
      <c r="G92" s="1527"/>
      <c r="H92" s="97"/>
      <c r="I92" s="982"/>
      <c r="J92" s="622"/>
      <c r="K92" s="982"/>
      <c r="L92" s="622"/>
      <c r="M92" s="982"/>
      <c r="N92" s="764">
        <v>171</v>
      </c>
    </row>
    <row r="93" spans="1:16" s="224" customFormat="1" ht="15" customHeight="1" x14ac:dyDescent="0.25">
      <c r="A93" s="215">
        <v>43762</v>
      </c>
      <c r="B93" s="349" t="s">
        <v>32</v>
      </c>
      <c r="C93" s="352" t="s">
        <v>12</v>
      </c>
      <c r="D93" s="874" t="s">
        <v>1485</v>
      </c>
      <c r="E93" s="875" t="s">
        <v>15</v>
      </c>
      <c r="F93" s="852">
        <v>14</v>
      </c>
      <c r="G93" s="946"/>
      <c r="H93" s="97"/>
      <c r="I93" s="982"/>
      <c r="J93" s="622"/>
      <c r="K93" s="982"/>
      <c r="L93" s="622"/>
      <c r="M93" s="982"/>
      <c r="P93" s="930"/>
    </row>
    <row r="94" spans="1:16" s="224" customFormat="1" ht="15" customHeight="1" x14ac:dyDescent="0.25">
      <c r="A94" s="215">
        <v>43762</v>
      </c>
      <c r="B94" s="364" t="s">
        <v>17</v>
      </c>
      <c r="C94" s="350" t="s">
        <v>12</v>
      </c>
      <c r="D94" s="350" t="s">
        <v>1493</v>
      </c>
      <c r="E94" s="875" t="s">
        <v>15</v>
      </c>
      <c r="F94" s="852">
        <v>6</v>
      </c>
      <c r="G94" s="946"/>
      <c r="H94" s="97"/>
      <c r="I94" s="982"/>
      <c r="J94" s="622"/>
      <c r="K94" s="982"/>
      <c r="L94" s="622"/>
      <c r="M94" s="982"/>
      <c r="P94" s="930"/>
    </row>
    <row r="95" spans="1:16" s="224" customFormat="1" ht="15" customHeight="1" x14ac:dyDescent="0.25">
      <c r="A95" s="215">
        <v>43762</v>
      </c>
      <c r="B95" s="364" t="s">
        <v>14</v>
      </c>
      <c r="C95" s="350" t="s">
        <v>12</v>
      </c>
      <c r="D95" s="350" t="s">
        <v>1486</v>
      </c>
      <c r="E95" s="875" t="s">
        <v>13</v>
      </c>
      <c r="F95" s="852">
        <v>8.6999999999999993</v>
      </c>
      <c r="G95" s="946"/>
      <c r="H95" s="97"/>
      <c r="I95" s="982"/>
      <c r="J95" s="622"/>
      <c r="K95" s="982"/>
      <c r="L95" s="622"/>
      <c r="M95" s="982"/>
      <c r="P95" s="930"/>
    </row>
    <row r="96" spans="1:16" s="224" customFormat="1" ht="15" customHeight="1" x14ac:dyDescent="0.25">
      <c r="A96" s="215">
        <v>43763</v>
      </c>
      <c r="B96" s="862" t="s">
        <v>2408</v>
      </c>
      <c r="C96" s="879" t="s">
        <v>12</v>
      </c>
      <c r="D96" s="879"/>
      <c r="E96" s="871" t="s">
        <v>13</v>
      </c>
      <c r="F96" s="97">
        <v>399.01</v>
      </c>
      <c r="G96" s="946"/>
      <c r="H96" s="97"/>
      <c r="I96" s="982"/>
      <c r="J96" s="622"/>
      <c r="K96" s="982"/>
      <c r="L96" s="622"/>
      <c r="M96" s="982">
        <v>399.01</v>
      </c>
      <c r="P96" s="930"/>
    </row>
    <row r="97" spans="1:16" s="224" customFormat="1" ht="15" customHeight="1" x14ac:dyDescent="0.25">
      <c r="A97" s="215">
        <v>43763</v>
      </c>
      <c r="B97" s="349" t="s">
        <v>32</v>
      </c>
      <c r="C97" s="352" t="s">
        <v>12</v>
      </c>
      <c r="D97" s="874" t="s">
        <v>1485</v>
      </c>
      <c r="E97" s="875" t="s">
        <v>13</v>
      </c>
      <c r="F97" s="852">
        <v>14</v>
      </c>
      <c r="G97" s="946"/>
      <c r="H97" s="97"/>
      <c r="I97" s="982"/>
      <c r="J97" s="622"/>
      <c r="K97" s="982"/>
      <c r="L97" s="622"/>
      <c r="M97" s="982"/>
      <c r="P97" s="930"/>
    </row>
    <row r="98" spans="1:16" s="224" customFormat="1" ht="15" customHeight="1" x14ac:dyDescent="0.25">
      <c r="A98" s="215">
        <v>43763</v>
      </c>
      <c r="B98" s="349" t="s">
        <v>82</v>
      </c>
      <c r="C98" s="352" t="s">
        <v>12</v>
      </c>
      <c r="D98" s="874" t="s">
        <v>1493</v>
      </c>
      <c r="E98" s="875" t="s">
        <v>13</v>
      </c>
      <c r="F98" s="852">
        <v>21.4</v>
      </c>
      <c r="G98" s="1527"/>
      <c r="H98" s="97"/>
      <c r="I98" s="982"/>
      <c r="J98" s="622"/>
      <c r="K98" s="982"/>
      <c r="L98" s="622"/>
      <c r="M98" s="982"/>
    </row>
    <row r="99" spans="1:16" s="224" customFormat="1" ht="15" customHeight="1" x14ac:dyDescent="0.25">
      <c r="A99" s="215">
        <v>43764</v>
      </c>
      <c r="B99" s="364" t="s">
        <v>14</v>
      </c>
      <c r="C99" s="350" t="s">
        <v>12</v>
      </c>
      <c r="D99" s="350" t="s">
        <v>1486</v>
      </c>
      <c r="E99" s="875" t="s">
        <v>13</v>
      </c>
      <c r="F99" s="852">
        <v>3.65</v>
      </c>
      <c r="G99" s="946"/>
      <c r="H99" s="97"/>
      <c r="I99" s="982"/>
      <c r="J99" s="622"/>
      <c r="K99" s="982"/>
      <c r="L99" s="622"/>
      <c r="M99" s="982"/>
      <c r="P99" s="930"/>
    </row>
    <row r="100" spans="1:16" s="224" customFormat="1" ht="15" customHeight="1" x14ac:dyDescent="0.25">
      <c r="A100" s="215">
        <v>43764</v>
      </c>
      <c r="B100" s="349" t="s">
        <v>1438</v>
      </c>
      <c r="C100" s="352" t="s">
        <v>19</v>
      </c>
      <c r="D100" s="874" t="s">
        <v>1489</v>
      </c>
      <c r="E100" s="875" t="s">
        <v>13</v>
      </c>
      <c r="F100" s="852">
        <v>59.71</v>
      </c>
      <c r="G100" s="964"/>
      <c r="H100" s="622"/>
      <c r="I100" s="982"/>
      <c r="J100" s="622"/>
      <c r="K100" s="982"/>
      <c r="L100" s="622"/>
      <c r="M100" s="982"/>
    </row>
    <row r="101" spans="1:16" s="224" customFormat="1" ht="15" customHeight="1" x14ac:dyDescent="0.25">
      <c r="A101" s="215">
        <v>43764</v>
      </c>
      <c r="B101" s="349" t="s">
        <v>2251</v>
      </c>
      <c r="C101" s="352" t="s">
        <v>12</v>
      </c>
      <c r="D101" s="874" t="s">
        <v>2157</v>
      </c>
      <c r="E101" s="875" t="s">
        <v>13</v>
      </c>
      <c r="F101" s="852">
        <v>50</v>
      </c>
      <c r="G101" s="964"/>
      <c r="H101" s="622"/>
      <c r="I101" s="982"/>
      <c r="J101" s="622"/>
      <c r="K101" s="982"/>
      <c r="L101" s="622"/>
      <c r="M101" s="982"/>
    </row>
    <row r="102" spans="1:16" s="224" customFormat="1" ht="15" customHeight="1" x14ac:dyDescent="0.25">
      <c r="A102" s="215">
        <v>43764</v>
      </c>
      <c r="B102" s="349" t="s">
        <v>2272</v>
      </c>
      <c r="C102" s="352" t="s">
        <v>12</v>
      </c>
      <c r="D102" s="874" t="s">
        <v>1485</v>
      </c>
      <c r="E102" s="875" t="s">
        <v>13</v>
      </c>
      <c r="F102" s="852">
        <v>24</v>
      </c>
      <c r="G102" s="946"/>
      <c r="H102" s="97"/>
      <c r="I102" s="982"/>
      <c r="J102" s="622"/>
      <c r="K102" s="982"/>
      <c r="L102" s="622"/>
      <c r="M102" s="982"/>
      <c r="P102" s="930"/>
    </row>
    <row r="103" spans="1:16" s="224" customFormat="1" ht="15" customHeight="1" x14ac:dyDescent="0.25">
      <c r="A103" s="215">
        <v>43765</v>
      </c>
      <c r="B103" s="364" t="s">
        <v>14</v>
      </c>
      <c r="C103" s="350" t="s">
        <v>12</v>
      </c>
      <c r="D103" s="350" t="s">
        <v>1486</v>
      </c>
      <c r="E103" s="875" t="s">
        <v>13</v>
      </c>
      <c r="F103" s="852">
        <v>6.78</v>
      </c>
      <c r="G103" s="946"/>
      <c r="H103" s="97"/>
      <c r="I103" s="982"/>
      <c r="J103" s="622"/>
      <c r="K103" s="982"/>
      <c r="L103" s="622"/>
      <c r="M103" s="982"/>
      <c r="P103" s="930"/>
    </row>
    <row r="104" spans="1:16" s="224" customFormat="1" ht="15" customHeight="1" x14ac:dyDescent="0.25">
      <c r="A104" s="215">
        <v>43765</v>
      </c>
      <c r="B104" s="862" t="s">
        <v>256</v>
      </c>
      <c r="C104" s="879"/>
      <c r="D104" s="879"/>
      <c r="E104" s="871"/>
      <c r="F104" s="97"/>
      <c r="G104" s="946">
        <v>200</v>
      </c>
      <c r="H104" s="97">
        <v>200</v>
      </c>
      <c r="I104" s="982"/>
      <c r="J104" s="622"/>
      <c r="K104" s="982"/>
      <c r="L104" s="622"/>
      <c r="M104" s="982"/>
    </row>
    <row r="105" spans="1:16" s="224" customFormat="1" ht="15" customHeight="1" x14ac:dyDescent="0.25">
      <c r="A105" s="215">
        <v>43765</v>
      </c>
      <c r="B105" s="862" t="s">
        <v>2391</v>
      </c>
      <c r="C105" s="350" t="s">
        <v>12</v>
      </c>
      <c r="D105" s="874" t="s">
        <v>1493</v>
      </c>
      <c r="E105" s="887" t="s">
        <v>13</v>
      </c>
      <c r="F105" s="852">
        <v>5.5</v>
      </c>
      <c r="G105" s="1527"/>
      <c r="H105" s="97"/>
      <c r="I105" s="982"/>
      <c r="J105" s="622"/>
      <c r="K105" s="982"/>
      <c r="L105" s="622"/>
      <c r="M105" s="982"/>
    </row>
    <row r="106" spans="1:16" s="224" customFormat="1" ht="15" customHeight="1" x14ac:dyDescent="0.25">
      <c r="A106" s="215">
        <v>28</v>
      </c>
      <c r="B106" s="349" t="s">
        <v>32</v>
      </c>
      <c r="C106" s="352" t="s">
        <v>12</v>
      </c>
      <c r="D106" s="874" t="s">
        <v>1485</v>
      </c>
      <c r="E106" s="875" t="s">
        <v>13</v>
      </c>
      <c r="F106" s="852">
        <v>14</v>
      </c>
      <c r="G106" s="946"/>
      <c r="H106" s="97"/>
      <c r="I106" s="982"/>
      <c r="J106" s="622"/>
      <c r="K106" s="982"/>
      <c r="L106" s="622"/>
      <c r="M106" s="982"/>
      <c r="P106" s="930"/>
    </row>
    <row r="107" spans="1:16" s="224" customFormat="1" ht="15" customHeight="1" x14ac:dyDescent="0.25">
      <c r="A107" s="215">
        <v>43766</v>
      </c>
      <c r="B107" s="349" t="s">
        <v>2251</v>
      </c>
      <c r="C107" s="352" t="s">
        <v>19</v>
      </c>
      <c r="D107" s="874" t="s">
        <v>2157</v>
      </c>
      <c r="E107" s="875" t="s">
        <v>13</v>
      </c>
      <c r="F107" s="852">
        <v>75</v>
      </c>
      <c r="G107" s="964"/>
      <c r="H107" s="622"/>
      <c r="I107" s="982"/>
      <c r="J107" s="622"/>
      <c r="K107" s="982"/>
      <c r="L107" s="622"/>
      <c r="M107" s="982"/>
    </row>
    <row r="108" spans="1:16" s="224" customFormat="1" ht="15" customHeight="1" x14ac:dyDescent="0.25">
      <c r="A108" s="215">
        <v>43766</v>
      </c>
      <c r="B108" s="349" t="s">
        <v>2409</v>
      </c>
      <c r="C108" s="350" t="s">
        <v>19</v>
      </c>
      <c r="D108" s="350" t="s">
        <v>1506</v>
      </c>
      <c r="E108" s="480" t="s">
        <v>13</v>
      </c>
      <c r="F108" s="852">
        <v>40</v>
      </c>
      <c r="G108" s="1527"/>
      <c r="H108" s="97"/>
      <c r="I108" s="946"/>
      <c r="J108" s="97"/>
      <c r="K108" s="946"/>
      <c r="L108" s="97"/>
      <c r="M108" s="946"/>
    </row>
    <row r="109" spans="1:16" s="224" customFormat="1" ht="15" customHeight="1" x14ac:dyDescent="0.25">
      <c r="A109" s="215">
        <v>43766</v>
      </c>
      <c r="B109" s="349" t="s">
        <v>2410</v>
      </c>
      <c r="C109" s="350" t="s">
        <v>19</v>
      </c>
      <c r="D109" s="350" t="s">
        <v>1489</v>
      </c>
      <c r="E109" s="480" t="s">
        <v>13</v>
      </c>
      <c r="F109" s="852">
        <v>70</v>
      </c>
      <c r="G109" s="1527"/>
      <c r="H109" s="97"/>
      <c r="I109" s="946"/>
      <c r="J109" s="97"/>
      <c r="K109" s="946"/>
      <c r="L109" s="97"/>
      <c r="M109" s="946"/>
      <c r="N109" s="764"/>
    </row>
    <row r="110" spans="1:16" s="224" customFormat="1" ht="15" customHeight="1" x14ac:dyDescent="0.25">
      <c r="A110" s="215">
        <v>43766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852">
        <v>4.18</v>
      </c>
      <c r="G110" s="946"/>
      <c r="H110" s="97"/>
      <c r="I110" s="982"/>
      <c r="J110" s="622"/>
      <c r="K110" s="982"/>
      <c r="L110" s="622"/>
      <c r="M110" s="982"/>
      <c r="P110" s="930"/>
    </row>
    <row r="111" spans="1:16" s="224" customFormat="1" ht="15" customHeight="1" x14ac:dyDescent="0.25">
      <c r="A111" s="215">
        <v>43767</v>
      </c>
      <c r="B111" s="349" t="s">
        <v>32</v>
      </c>
      <c r="C111" s="352" t="s">
        <v>12</v>
      </c>
      <c r="D111" s="874" t="s">
        <v>1485</v>
      </c>
      <c r="E111" s="875" t="s">
        <v>13</v>
      </c>
      <c r="F111" s="852">
        <v>14</v>
      </c>
      <c r="G111" s="946"/>
      <c r="H111" s="97"/>
      <c r="I111" s="982"/>
      <c r="J111" s="622"/>
      <c r="K111" s="982"/>
      <c r="L111" s="622"/>
      <c r="M111" s="982"/>
      <c r="P111" s="930"/>
    </row>
    <row r="112" spans="1:16" s="224" customFormat="1" ht="15" customHeight="1" x14ac:dyDescent="0.25">
      <c r="A112" s="215">
        <v>43767</v>
      </c>
      <c r="B112" s="349" t="s">
        <v>2411</v>
      </c>
      <c r="C112" s="350" t="s">
        <v>12</v>
      </c>
      <c r="D112" s="350" t="s">
        <v>1491</v>
      </c>
      <c r="E112" s="480" t="s">
        <v>15</v>
      </c>
      <c r="F112" s="852">
        <v>50</v>
      </c>
      <c r="G112" s="1527"/>
      <c r="H112" s="97"/>
      <c r="I112" s="946"/>
      <c r="J112" s="97"/>
      <c r="K112" s="946"/>
      <c r="L112" s="97"/>
      <c r="M112" s="946"/>
    </row>
    <row r="113" spans="1:16" s="224" customFormat="1" ht="15" customHeight="1" x14ac:dyDescent="0.25">
      <c r="A113" s="215">
        <v>43767</v>
      </c>
      <c r="B113" s="364" t="s">
        <v>14</v>
      </c>
      <c r="C113" s="350" t="s">
        <v>12</v>
      </c>
      <c r="D113" s="350" t="s">
        <v>1486</v>
      </c>
      <c r="E113" s="875" t="s">
        <v>13</v>
      </c>
      <c r="F113" s="852">
        <v>15.04</v>
      </c>
      <c r="G113" s="946"/>
      <c r="H113" s="97"/>
      <c r="I113" s="982"/>
      <c r="J113" s="622"/>
      <c r="K113" s="982"/>
      <c r="L113" s="622"/>
      <c r="M113" s="982"/>
      <c r="P113" s="930"/>
    </row>
    <row r="114" spans="1:16" s="224" customFormat="1" ht="15" customHeight="1" x14ac:dyDescent="0.25">
      <c r="A114" s="215">
        <v>43768</v>
      </c>
      <c r="B114" s="862" t="s">
        <v>2412</v>
      </c>
      <c r="C114" s="879" t="s">
        <v>12</v>
      </c>
      <c r="D114" s="879" t="s">
        <v>1504</v>
      </c>
      <c r="E114" s="887" t="s">
        <v>13</v>
      </c>
      <c r="F114" s="137">
        <v>32.9</v>
      </c>
      <c r="G114" s="479"/>
      <c r="H114" s="97"/>
      <c r="I114" s="946"/>
      <c r="J114" s="137"/>
      <c r="K114" s="946"/>
      <c r="L114" s="97"/>
      <c r="M114" s="946"/>
    </row>
    <row r="115" spans="1:16" s="224" customFormat="1" ht="15" customHeight="1" x14ac:dyDescent="0.25">
      <c r="A115" s="215">
        <v>43768</v>
      </c>
      <c r="B115" s="349" t="s">
        <v>196</v>
      </c>
      <c r="C115" s="352" t="s">
        <v>12</v>
      </c>
      <c r="D115" s="874" t="s">
        <v>1504</v>
      </c>
      <c r="E115" s="875" t="s">
        <v>13</v>
      </c>
      <c r="F115" s="890">
        <v>10</v>
      </c>
      <c r="G115" s="1531"/>
      <c r="H115" s="96"/>
      <c r="I115" s="1033"/>
      <c r="J115" s="880"/>
      <c r="K115" s="982"/>
      <c r="L115" s="622"/>
      <c r="M115" s="982"/>
    </row>
    <row r="116" spans="1:16" s="224" customFormat="1" ht="15" customHeight="1" x14ac:dyDescent="0.25">
      <c r="A116" s="215">
        <v>43768</v>
      </c>
      <c r="B116" s="349" t="s">
        <v>82</v>
      </c>
      <c r="C116" s="352" t="s">
        <v>12</v>
      </c>
      <c r="D116" s="874" t="s">
        <v>1493</v>
      </c>
      <c r="E116" s="875" t="s">
        <v>13</v>
      </c>
      <c r="F116" s="890">
        <v>21.2</v>
      </c>
      <c r="G116" s="1531"/>
      <c r="H116" s="96"/>
      <c r="I116" s="1033"/>
      <c r="J116" s="880"/>
      <c r="K116" s="982"/>
      <c r="L116" s="622"/>
      <c r="M116" s="982"/>
    </row>
    <row r="117" spans="1:16" s="224" customFormat="1" ht="15" customHeight="1" x14ac:dyDescent="0.25">
      <c r="A117" s="215">
        <v>43769</v>
      </c>
      <c r="B117" s="349" t="s">
        <v>32</v>
      </c>
      <c r="C117" s="352" t="s">
        <v>12</v>
      </c>
      <c r="D117" s="874" t="s">
        <v>1485</v>
      </c>
      <c r="E117" s="875" t="s">
        <v>13</v>
      </c>
      <c r="F117" s="852">
        <v>14</v>
      </c>
      <c r="G117" s="946"/>
      <c r="H117" s="97"/>
      <c r="I117" s="982"/>
      <c r="J117" s="622"/>
      <c r="K117" s="982"/>
      <c r="L117" s="622"/>
      <c r="M117" s="982"/>
      <c r="P117" s="930"/>
    </row>
    <row r="118" spans="1:16" s="224" customFormat="1" ht="15" customHeight="1" x14ac:dyDescent="0.25">
      <c r="A118" s="215">
        <v>43769</v>
      </c>
      <c r="B118" s="862" t="s">
        <v>2096</v>
      </c>
      <c r="C118" s="879" t="s">
        <v>12</v>
      </c>
      <c r="D118" s="879" t="s">
        <v>1506</v>
      </c>
      <c r="E118" s="871" t="s">
        <v>15</v>
      </c>
      <c r="F118" s="780">
        <v>30</v>
      </c>
      <c r="G118" s="946"/>
      <c r="H118" s="97"/>
      <c r="I118" s="946"/>
      <c r="J118" s="97"/>
      <c r="K118" s="946"/>
      <c r="L118" s="97"/>
      <c r="M118" s="946"/>
    </row>
    <row r="119" spans="1:16" s="224" customFormat="1" ht="15" customHeight="1" x14ac:dyDescent="0.25">
      <c r="A119" s="215">
        <v>43769</v>
      </c>
      <c r="B119" s="349" t="s">
        <v>2375</v>
      </c>
      <c r="C119" s="352" t="s">
        <v>12</v>
      </c>
      <c r="D119" s="874" t="s">
        <v>1506</v>
      </c>
      <c r="E119" s="875" t="s">
        <v>15</v>
      </c>
      <c r="F119" s="852">
        <v>10</v>
      </c>
      <c r="G119" s="946"/>
      <c r="H119" s="97"/>
      <c r="I119" s="946"/>
      <c r="J119" s="97"/>
      <c r="K119" s="946"/>
      <c r="L119" s="97"/>
      <c r="M119" s="946"/>
    </row>
    <row r="120" spans="1:16" s="224" customFormat="1" ht="15" customHeight="1" x14ac:dyDescent="0.25">
      <c r="A120" s="215">
        <v>43769</v>
      </c>
      <c r="B120" s="364" t="s">
        <v>2413</v>
      </c>
      <c r="C120" s="350" t="s">
        <v>12</v>
      </c>
      <c r="D120" s="350" t="s">
        <v>1506</v>
      </c>
      <c r="E120" s="875" t="s">
        <v>13</v>
      </c>
      <c r="F120" s="852">
        <v>20</v>
      </c>
      <c r="G120" s="946"/>
      <c r="H120" s="97"/>
      <c r="I120" s="982"/>
      <c r="J120" s="622"/>
      <c r="K120" s="982"/>
      <c r="L120" s="622"/>
      <c r="M120" s="982"/>
      <c r="P120" s="930"/>
    </row>
    <row r="121" spans="1:16" s="224" customFormat="1" ht="15" customHeight="1" x14ac:dyDescent="0.25">
      <c r="A121" s="215">
        <v>43769</v>
      </c>
      <c r="B121" s="364" t="s">
        <v>14</v>
      </c>
      <c r="C121" s="350" t="s">
        <v>12</v>
      </c>
      <c r="D121" s="350" t="s">
        <v>1486</v>
      </c>
      <c r="E121" s="875" t="s">
        <v>13</v>
      </c>
      <c r="F121" s="852">
        <v>4</v>
      </c>
      <c r="G121" s="946"/>
      <c r="H121" s="97"/>
      <c r="I121" s="982"/>
      <c r="J121" s="622"/>
      <c r="K121" s="982"/>
      <c r="L121" s="622"/>
      <c r="M121" s="982"/>
      <c r="P121" s="930"/>
    </row>
    <row r="122" spans="1:16" s="224" customFormat="1" ht="15.75" thickBot="1" x14ac:dyDescent="0.3">
      <c r="A122" s="215">
        <v>43769</v>
      </c>
      <c r="B122" s="862" t="s">
        <v>1666</v>
      </c>
      <c r="C122" s="350" t="s">
        <v>12</v>
      </c>
      <c r="D122" s="177"/>
      <c r="E122" s="141" t="s">
        <v>25</v>
      </c>
      <c r="F122" s="853"/>
      <c r="G122" s="964"/>
      <c r="H122" s="622"/>
      <c r="I122" s="982"/>
      <c r="J122" s="622"/>
      <c r="K122" s="982">
        <v>23.95</v>
      </c>
      <c r="L122" s="622"/>
      <c r="M122" s="982"/>
    </row>
    <row r="123" spans="1:16" ht="25.5" customHeight="1" thickBot="1" x14ac:dyDescent="0.3">
      <c r="A123" s="3060"/>
      <c r="B123" s="3061"/>
      <c r="C123" s="3062"/>
      <c r="D123" s="3062"/>
      <c r="E123" s="3062"/>
      <c r="F123" s="100">
        <f>SUM(F7:F122)</f>
        <v>4730.7366666666649</v>
      </c>
      <c r="G123" s="1534">
        <f>SUM(G5:G122)</f>
        <v>4828.2466666666824</v>
      </c>
      <c r="H123" s="101">
        <f>SUM(H6:H122)</f>
        <v>850</v>
      </c>
      <c r="I123" s="93">
        <f>SUM(I5:I122)</f>
        <v>1949.9960000000024</v>
      </c>
      <c r="J123" s="101">
        <f>SUM(J6:J122)</f>
        <v>0</v>
      </c>
      <c r="K123" s="93">
        <f>SUM(K5:K122)</f>
        <v>6771.17</v>
      </c>
      <c r="L123" s="101">
        <f>SUM(L6:L122)</f>
        <v>0</v>
      </c>
      <c r="M123" s="93">
        <f>SUM(M5:M122)</f>
        <v>399.01</v>
      </c>
    </row>
    <row r="124" spans="1:16" ht="25.5" customHeight="1" thickBot="1" x14ac:dyDescent="0.3">
      <c r="A124" s="3117" t="s">
        <v>49</v>
      </c>
      <c r="B124" s="3118"/>
      <c r="C124" s="3118"/>
      <c r="D124" s="3118"/>
      <c r="E124" s="3118"/>
      <c r="F124" s="144"/>
      <c r="G124" s="519">
        <f>G123-F123</f>
        <v>97.510000000017499</v>
      </c>
      <c r="H124" s="555"/>
      <c r="I124" s="772">
        <f>I123-H123</f>
        <v>1099.9960000000024</v>
      </c>
      <c r="J124" s="555"/>
      <c r="K124" s="772">
        <f>K123-J123</f>
        <v>6771.17</v>
      </c>
      <c r="L124" s="555"/>
      <c r="M124" s="772">
        <f>M123-L123</f>
        <v>399.01</v>
      </c>
    </row>
    <row r="125" spans="1:16" x14ac:dyDescent="0.25">
      <c r="E125" s="79"/>
      <c r="G125" s="868"/>
    </row>
    <row r="126" spans="1:16" x14ac:dyDescent="0.25">
      <c r="B126" s="81" t="s">
        <v>3</v>
      </c>
      <c r="C126" s="193" t="s">
        <v>1484</v>
      </c>
      <c r="D126" s="970" t="s">
        <v>2378</v>
      </c>
      <c r="K126" s="866"/>
      <c r="M126" s="866"/>
    </row>
    <row r="127" spans="1:16" x14ac:dyDescent="0.25">
      <c r="B127" s="79" t="s">
        <v>32</v>
      </c>
      <c r="C127" s="85" t="s">
        <v>1485</v>
      </c>
      <c r="D127" s="475">
        <f>SUMIF($D$7:$D$122,"A",$F$7:$F$122)</f>
        <v>331.02</v>
      </c>
      <c r="F127" s="79"/>
      <c r="I127" s="769"/>
      <c r="J127" s="868"/>
      <c r="L127" s="868"/>
    </row>
    <row r="128" spans="1:16" x14ac:dyDescent="0.25">
      <c r="B128" s="79" t="s">
        <v>2187</v>
      </c>
      <c r="C128" s="85" t="s">
        <v>2157</v>
      </c>
      <c r="D128" s="475">
        <f>SUMIF($D$10:$D$122,"GAC",$F$10:$F$122)</f>
        <v>305</v>
      </c>
      <c r="J128" s="754"/>
      <c r="K128" s="886"/>
      <c r="L128" s="754"/>
      <c r="M128" s="886"/>
      <c r="N128" s="81"/>
    </row>
    <row r="129" spans="1:14" x14ac:dyDescent="0.25">
      <c r="B129" s="79" t="s">
        <v>2188</v>
      </c>
      <c r="C129" s="85" t="s">
        <v>2168</v>
      </c>
      <c r="D129" s="475">
        <f>SUMIF($D$10:$D$122,"GAM",$F$10:$F$122)</f>
        <v>25.82</v>
      </c>
      <c r="J129" s="864"/>
      <c r="K129" s="864"/>
      <c r="L129" s="864"/>
      <c r="M129" s="864"/>
      <c r="N129" s="958"/>
    </row>
    <row r="130" spans="1:14" s="85" customFormat="1" x14ac:dyDescent="0.25">
      <c r="A130" s="79"/>
      <c r="B130" s="79" t="s">
        <v>50</v>
      </c>
      <c r="C130" s="85" t="s">
        <v>1493</v>
      </c>
      <c r="D130" s="475">
        <f>SUMIF($D$7:$D$122,"LD",$F$7:$F$122)</f>
        <v>259.31</v>
      </c>
      <c r="F130" s="89"/>
      <c r="G130" s="79"/>
      <c r="H130" s="79"/>
      <c r="I130" s="79"/>
      <c r="J130" s="864"/>
      <c r="K130" s="864"/>
      <c r="L130" s="864"/>
      <c r="M130" s="864"/>
      <c r="N130" s="958"/>
    </row>
    <row r="131" spans="1:14" s="85" customFormat="1" x14ac:dyDescent="0.25">
      <c r="A131" s="79"/>
      <c r="B131" s="79" t="s">
        <v>14</v>
      </c>
      <c r="C131" s="85" t="s">
        <v>1486</v>
      </c>
      <c r="D131" s="475">
        <f>SUMIF($D$7:$D$122,"C",$F$7:$F$122)</f>
        <v>124.34</v>
      </c>
      <c r="J131" s="864"/>
      <c r="K131" s="864"/>
      <c r="L131" s="864"/>
      <c r="M131" s="864"/>
      <c r="N131" s="958"/>
    </row>
    <row r="132" spans="1:14" s="85" customFormat="1" x14ac:dyDescent="0.25">
      <c r="A132" s="79"/>
      <c r="B132" s="79" t="s">
        <v>51</v>
      </c>
      <c r="C132" s="864" t="s">
        <v>1499</v>
      </c>
      <c r="D132" s="475">
        <f>SUMIF($D$10:$D$122,"CAL",$F$10:$F$122)</f>
        <v>100.24000000000001</v>
      </c>
      <c r="F132" s="89"/>
      <c r="G132" s="79"/>
      <c r="H132" s="79"/>
      <c r="J132" s="864"/>
      <c r="K132" s="864"/>
      <c r="L132" s="864"/>
      <c r="M132" s="864"/>
      <c r="N132" s="958"/>
    </row>
    <row r="133" spans="1:14" s="85" customFormat="1" x14ac:dyDescent="0.25">
      <c r="A133" s="79"/>
      <c r="B133" s="79" t="s">
        <v>2189</v>
      </c>
      <c r="C133" s="864" t="s">
        <v>1496</v>
      </c>
      <c r="D133" s="475">
        <f>SUMIF($D$7:$D$122,"AC",$F$7:$F$122)</f>
        <v>60</v>
      </c>
      <c r="F133" s="89"/>
      <c r="G133" s="79"/>
      <c r="H133" s="79"/>
      <c r="I133" s="79"/>
      <c r="N133" s="959"/>
    </row>
    <row r="134" spans="1:14" s="85" customFormat="1" x14ac:dyDescent="0.25">
      <c r="A134" s="79"/>
      <c r="B134" s="867" t="s">
        <v>53</v>
      </c>
      <c r="C134" s="864" t="s">
        <v>1522</v>
      </c>
      <c r="D134" s="475">
        <f>SUMIF($D$10:$D$122,"DC",$F$10:$F$122)</f>
        <v>0</v>
      </c>
      <c r="F134" s="769"/>
      <c r="G134" s="79"/>
    </row>
    <row r="135" spans="1:14" s="85" customFormat="1" x14ac:dyDescent="0.25">
      <c r="A135" s="79"/>
      <c r="B135" s="867" t="s">
        <v>2149</v>
      </c>
      <c r="C135" s="864" t="s">
        <v>2131</v>
      </c>
      <c r="D135" s="475">
        <f>SUMIF($D$10:$D$122,"DM",$F$10:$F$122)</f>
        <v>57</v>
      </c>
      <c r="F135" s="769"/>
    </row>
    <row r="136" spans="1:14" s="85" customFormat="1" x14ac:dyDescent="0.25">
      <c r="A136" s="79"/>
      <c r="B136" s="79" t="s">
        <v>2008</v>
      </c>
      <c r="C136" s="864" t="s">
        <v>1523</v>
      </c>
      <c r="D136" s="475">
        <f>SUMIF($D$10:$D$122,"B",$F$10:$F$122)</f>
        <v>182.97</v>
      </c>
      <c r="F136" s="769"/>
      <c r="G136" s="866"/>
    </row>
    <row r="137" spans="1:14" s="85" customFormat="1" x14ac:dyDescent="0.25">
      <c r="A137" s="79"/>
      <c r="B137" s="79" t="s">
        <v>1686</v>
      </c>
      <c r="C137" s="864" t="s">
        <v>1506</v>
      </c>
      <c r="D137" s="475">
        <f>SUMIF($D$10:$D$122,"R",$F$10:$F$122)</f>
        <v>209.66666666666666</v>
      </c>
      <c r="F137" s="769"/>
      <c r="G137" s="868"/>
      <c r="K137" s="866"/>
      <c r="M137" s="866"/>
    </row>
    <row r="138" spans="1:14" x14ac:dyDescent="0.25">
      <c r="B138" s="79" t="s">
        <v>418</v>
      </c>
      <c r="C138" s="85" t="s">
        <v>1524</v>
      </c>
      <c r="D138" s="475">
        <f>SUMIF($D$10:$D$122,"COM",$F$10:$F$122)</f>
        <v>0</v>
      </c>
      <c r="G138" s="85"/>
      <c r="H138" s="85"/>
      <c r="I138" s="85"/>
      <c r="J138" s="769"/>
      <c r="K138" s="868"/>
      <c r="L138" s="769"/>
      <c r="M138" s="868"/>
    </row>
    <row r="139" spans="1:14" x14ac:dyDescent="0.25">
      <c r="B139" s="79" t="s">
        <v>419</v>
      </c>
      <c r="C139" s="85" t="s">
        <v>1491</v>
      </c>
      <c r="D139" s="475">
        <f>SUMIF($D$10:$D$122,"F",$F$10:$F$122)</f>
        <v>537.75</v>
      </c>
      <c r="J139" s="769"/>
      <c r="K139" s="868"/>
      <c r="L139" s="769"/>
      <c r="M139" s="868"/>
    </row>
    <row r="140" spans="1:14" x14ac:dyDescent="0.25">
      <c r="B140" s="79" t="s">
        <v>911</v>
      </c>
      <c r="C140" s="85" t="s">
        <v>1525</v>
      </c>
      <c r="D140" s="475">
        <f>SUMIF($D$10:$D$122,"FER",$F$10:$F$122)</f>
        <v>725</v>
      </c>
      <c r="J140" s="769"/>
      <c r="K140" s="866"/>
      <c r="L140" s="769"/>
      <c r="M140" s="866"/>
    </row>
    <row r="141" spans="1:14" x14ac:dyDescent="0.25">
      <c r="B141" s="79" t="s">
        <v>1526</v>
      </c>
      <c r="C141" s="85" t="s">
        <v>1504</v>
      </c>
      <c r="D141" s="475">
        <f>SUMIF($D$10:$D$122,"I",$F$10:$F$122)</f>
        <v>207.9</v>
      </c>
      <c r="J141" s="769"/>
      <c r="K141" s="866"/>
      <c r="L141" s="769"/>
      <c r="M141" s="866"/>
    </row>
    <row r="142" spans="1:14" x14ac:dyDescent="0.25">
      <c r="B142" s="79" t="s">
        <v>2343</v>
      </c>
      <c r="C142" s="85" t="s">
        <v>2315</v>
      </c>
      <c r="D142" s="475">
        <f>SUMIF($D$10:$D$122,"E",$F$10:$F$122)</f>
        <v>0</v>
      </c>
      <c r="J142" s="769"/>
      <c r="K142" s="868"/>
      <c r="L142" s="769"/>
      <c r="M142" s="868"/>
    </row>
    <row r="143" spans="1:14" x14ac:dyDescent="0.25">
      <c r="B143" s="79" t="s">
        <v>1527</v>
      </c>
      <c r="C143" s="85" t="s">
        <v>1489</v>
      </c>
      <c r="D143" s="475">
        <f>SUMIF($D$10:$D$122,"OD",$F$10:$F$122)</f>
        <v>359.4</v>
      </c>
      <c r="J143" s="769"/>
      <c r="K143" s="866"/>
      <c r="L143" s="769"/>
      <c r="M143" s="866"/>
    </row>
    <row r="144" spans="1:14" x14ac:dyDescent="0.25">
      <c r="D144" s="459"/>
      <c r="J144" s="769"/>
      <c r="K144" s="866"/>
      <c r="L144" s="769"/>
      <c r="M144" s="866"/>
    </row>
    <row r="145" spans="2:13" x14ac:dyDescent="0.25">
      <c r="H145" s="769"/>
      <c r="M145" s="866"/>
    </row>
    <row r="146" spans="2:13" x14ac:dyDescent="0.25">
      <c r="B146" s="79" t="s">
        <v>486</v>
      </c>
      <c r="C146" s="475">
        <f>H146/J146</f>
        <v>112.43279569892474</v>
      </c>
      <c r="F146" s="224" t="s">
        <v>487</v>
      </c>
      <c r="H146" s="216">
        <f>SUM(D127:D143)</f>
        <v>3485.416666666667</v>
      </c>
      <c r="I146" s="518" t="s">
        <v>488</v>
      </c>
      <c r="J146" s="1517">
        <v>31</v>
      </c>
      <c r="K146" s="866"/>
      <c r="L146" s="1517"/>
    </row>
    <row r="147" spans="2:13" ht="15.75" customHeight="1" x14ac:dyDescent="0.25">
      <c r="E147" s="769"/>
      <c r="H147" s="629"/>
      <c r="J147" s="769"/>
      <c r="K147" s="868"/>
      <c r="L147" s="769"/>
      <c r="M147" s="868"/>
    </row>
    <row r="148" spans="2:13" x14ac:dyDescent="0.25">
      <c r="E148" s="79"/>
      <c r="F148" s="79"/>
      <c r="H148" s="866"/>
      <c r="K148" s="866"/>
      <c r="M148" s="866"/>
    </row>
    <row r="149" spans="2:13" x14ac:dyDescent="0.25">
      <c r="D149" s="79"/>
      <c r="E149" s="79"/>
      <c r="J149" s="769"/>
      <c r="K149" s="866"/>
      <c r="L149" s="769"/>
      <c r="M149" s="866"/>
    </row>
    <row r="150" spans="2:13" x14ac:dyDescent="0.25">
      <c r="J150" s="769"/>
      <c r="K150" s="866"/>
      <c r="L150" s="769"/>
      <c r="M150" s="866"/>
    </row>
    <row r="151" spans="2:13" x14ac:dyDescent="0.25">
      <c r="J151" s="769"/>
      <c r="K151" s="866"/>
      <c r="L151" s="769"/>
      <c r="M151" s="866"/>
    </row>
    <row r="152" spans="2:13" x14ac:dyDescent="0.25">
      <c r="J152" s="769"/>
      <c r="K152" s="866"/>
      <c r="L152" s="769"/>
      <c r="M152" s="866"/>
    </row>
    <row r="153" spans="2:13" x14ac:dyDescent="0.25">
      <c r="C153" s="79"/>
      <c r="D153" s="79"/>
      <c r="E153" s="79"/>
      <c r="F153" s="79"/>
      <c r="I153" s="216"/>
      <c r="J153" s="769"/>
      <c r="K153" s="866"/>
      <c r="L153" s="769"/>
      <c r="M153" s="866"/>
    </row>
    <row r="154" spans="2:13" x14ac:dyDescent="0.25">
      <c r="C154" s="79"/>
      <c r="D154" s="79"/>
      <c r="E154" s="79"/>
      <c r="F154" s="79"/>
      <c r="I154" s="216"/>
      <c r="J154" s="769"/>
      <c r="K154" s="866"/>
      <c r="L154" s="769"/>
      <c r="M154" s="866"/>
    </row>
    <row r="155" spans="2:13" x14ac:dyDescent="0.25">
      <c r="C155" s="79"/>
      <c r="D155" s="79"/>
      <c r="E155" s="79"/>
      <c r="F155" s="79"/>
      <c r="G155" s="216"/>
      <c r="I155" s="216"/>
      <c r="J155" s="769"/>
      <c r="K155" s="868"/>
      <c r="L155" s="769"/>
      <c r="M155" s="868"/>
    </row>
    <row r="156" spans="2:13" x14ac:dyDescent="0.25">
      <c r="C156" s="79"/>
      <c r="D156" s="79"/>
      <c r="E156" s="79"/>
      <c r="F156" s="79"/>
      <c r="G156" s="216"/>
      <c r="I156" s="216"/>
      <c r="J156" s="769"/>
      <c r="K156" s="866"/>
      <c r="L156" s="769"/>
      <c r="M156" s="866"/>
    </row>
    <row r="157" spans="2:13" x14ac:dyDescent="0.25">
      <c r="C157" s="79"/>
      <c r="D157" s="79"/>
      <c r="E157" s="79"/>
      <c r="F157" s="79"/>
      <c r="G157" s="216"/>
      <c r="J157" s="770"/>
      <c r="K157" s="866"/>
      <c r="L157" s="770"/>
      <c r="M157" s="866"/>
    </row>
    <row r="158" spans="2:13" x14ac:dyDescent="0.25">
      <c r="C158" s="79"/>
      <c r="D158" s="79"/>
      <c r="E158" s="79"/>
      <c r="F158" s="79"/>
      <c r="I158" s="216"/>
      <c r="J158" s="769"/>
      <c r="K158" s="868"/>
      <c r="L158" s="769"/>
      <c r="M158" s="868"/>
    </row>
    <row r="159" spans="2:13" x14ac:dyDescent="0.25">
      <c r="J159" s="769"/>
      <c r="K159" s="866"/>
      <c r="L159" s="769"/>
      <c r="M159" s="866"/>
    </row>
    <row r="160" spans="2:13" x14ac:dyDescent="0.25">
      <c r="C160" s="79"/>
      <c r="D160" s="79"/>
      <c r="E160" s="79"/>
      <c r="F160" s="79"/>
      <c r="I160" s="629"/>
      <c r="J160" s="769"/>
      <c r="K160" s="866"/>
      <c r="L160" s="769"/>
      <c r="M160" s="866"/>
    </row>
    <row r="161" spans="3:13" x14ac:dyDescent="0.25">
      <c r="J161" s="769"/>
      <c r="K161" s="866"/>
      <c r="L161" s="769"/>
      <c r="M161" s="866"/>
    </row>
    <row r="162" spans="3:13" x14ac:dyDescent="0.25">
      <c r="J162" s="769"/>
      <c r="K162" s="866"/>
      <c r="L162" s="769"/>
      <c r="M162" s="866"/>
    </row>
    <row r="163" spans="3:13" x14ac:dyDescent="0.25">
      <c r="J163" s="769"/>
      <c r="K163" s="866"/>
      <c r="L163" s="769"/>
      <c r="M163" s="866"/>
    </row>
    <row r="164" spans="3:13" x14ac:dyDescent="0.25">
      <c r="J164" s="769"/>
      <c r="K164" s="866"/>
      <c r="L164" s="769"/>
      <c r="M164" s="866"/>
    </row>
    <row r="165" spans="3:13" x14ac:dyDescent="0.25">
      <c r="J165" s="769"/>
      <c r="K165" s="866"/>
      <c r="L165" s="769"/>
      <c r="M165" s="866"/>
    </row>
    <row r="166" spans="3:13" x14ac:dyDescent="0.25">
      <c r="C166" s="79"/>
      <c r="D166" s="79"/>
      <c r="E166" s="79"/>
      <c r="F166" s="79"/>
      <c r="I166" s="216"/>
      <c r="J166" s="769"/>
      <c r="K166" s="866"/>
      <c r="L166" s="769"/>
      <c r="M166" s="866"/>
    </row>
    <row r="167" spans="3:13" x14ac:dyDescent="0.25">
      <c r="C167" s="79"/>
      <c r="D167" s="79"/>
      <c r="E167" s="79"/>
      <c r="F167" s="79"/>
      <c r="I167" s="216"/>
      <c r="J167" s="769"/>
      <c r="K167" s="866"/>
      <c r="L167" s="769"/>
      <c r="M167" s="866"/>
    </row>
    <row r="168" spans="3:13" x14ac:dyDescent="0.25">
      <c r="C168" s="79"/>
      <c r="D168" s="79"/>
      <c r="E168" s="79"/>
      <c r="F168" s="79"/>
      <c r="I168" s="216"/>
      <c r="J168" s="769"/>
      <c r="K168" s="866"/>
      <c r="L168" s="769"/>
      <c r="M168" s="866"/>
    </row>
    <row r="169" spans="3:13" x14ac:dyDescent="0.25">
      <c r="C169" s="79"/>
      <c r="D169" s="79"/>
      <c r="E169" s="79"/>
      <c r="F169" s="79"/>
      <c r="I169" s="216"/>
      <c r="J169" s="769"/>
      <c r="K169" s="866"/>
      <c r="L169" s="769"/>
      <c r="M169" s="866"/>
    </row>
    <row r="170" spans="3:13" x14ac:dyDescent="0.25">
      <c r="C170" s="79"/>
      <c r="D170" s="79"/>
      <c r="E170" s="79"/>
      <c r="F170" s="79"/>
      <c r="I170" s="216"/>
      <c r="J170" s="769"/>
      <c r="K170" s="868"/>
      <c r="L170" s="769"/>
      <c r="M170" s="868"/>
    </row>
    <row r="171" spans="3:13" x14ac:dyDescent="0.25">
      <c r="C171" s="79"/>
      <c r="D171" s="79"/>
      <c r="E171" s="79"/>
      <c r="F171" s="79"/>
      <c r="I171" s="216"/>
      <c r="J171" s="769"/>
      <c r="K171" s="868"/>
      <c r="L171" s="769"/>
      <c r="M171" s="868"/>
    </row>
    <row r="172" spans="3:13" x14ac:dyDescent="0.25">
      <c r="C172" s="79"/>
      <c r="D172" s="79"/>
      <c r="E172" s="79"/>
      <c r="F172" s="79"/>
      <c r="I172" s="216"/>
      <c r="J172" s="769"/>
      <c r="K172" s="868"/>
      <c r="L172" s="769"/>
      <c r="M172" s="868"/>
    </row>
    <row r="173" spans="3:13" x14ac:dyDescent="0.25">
      <c r="C173" s="79"/>
      <c r="D173" s="79"/>
      <c r="E173" s="79"/>
      <c r="F173" s="79"/>
      <c r="I173" s="216"/>
      <c r="J173" s="769"/>
      <c r="K173" s="868"/>
      <c r="L173" s="769"/>
      <c r="M173" s="868"/>
    </row>
    <row r="174" spans="3:13" x14ac:dyDescent="0.25">
      <c r="C174" s="79"/>
      <c r="D174" s="79"/>
      <c r="E174" s="79"/>
      <c r="F174" s="79"/>
      <c r="I174" s="216"/>
      <c r="J174" s="769"/>
      <c r="K174" s="868"/>
      <c r="L174" s="769"/>
      <c r="M174" s="868"/>
    </row>
    <row r="175" spans="3:13" x14ac:dyDescent="0.25">
      <c r="J175" s="769"/>
      <c r="K175" s="866"/>
      <c r="L175" s="769"/>
      <c r="M175" s="866"/>
    </row>
    <row r="176" spans="3:13" x14ac:dyDescent="0.25">
      <c r="J176" s="769"/>
      <c r="K176" s="866"/>
      <c r="L176" s="769"/>
      <c r="M176" s="866"/>
    </row>
    <row r="177" spans="3:13" x14ac:dyDescent="0.25">
      <c r="J177" s="769"/>
      <c r="K177" s="868"/>
      <c r="L177" s="769"/>
      <c r="M177" s="868"/>
    </row>
    <row r="178" spans="3:13" x14ac:dyDescent="0.25">
      <c r="J178" s="769"/>
      <c r="K178" s="866"/>
      <c r="L178" s="769"/>
      <c r="M178" s="866"/>
    </row>
    <row r="179" spans="3:13" x14ac:dyDescent="0.25">
      <c r="J179" s="769"/>
      <c r="K179" s="866"/>
      <c r="L179" s="769"/>
      <c r="M179" s="866"/>
    </row>
    <row r="180" spans="3:13" x14ac:dyDescent="0.25">
      <c r="C180" s="79"/>
      <c r="D180" s="79"/>
      <c r="E180" s="79"/>
      <c r="F180" s="79"/>
      <c r="J180" s="769"/>
      <c r="K180" s="868"/>
      <c r="L180" s="769"/>
      <c r="M180" s="868"/>
    </row>
    <row r="181" spans="3:13" x14ac:dyDescent="0.25">
      <c r="C181" s="79"/>
      <c r="D181" s="79"/>
      <c r="E181" s="79"/>
      <c r="F181" s="79"/>
      <c r="J181" s="769"/>
      <c r="K181" s="868"/>
      <c r="L181" s="769"/>
      <c r="M181" s="868"/>
    </row>
    <row r="182" spans="3:13" x14ac:dyDescent="0.25">
      <c r="C182" s="79"/>
      <c r="D182" s="79"/>
      <c r="E182" s="79"/>
      <c r="F182" s="79"/>
      <c r="J182" s="769"/>
      <c r="K182" s="868"/>
      <c r="L182" s="769"/>
      <c r="M182" s="868"/>
    </row>
    <row r="183" spans="3:13" x14ac:dyDescent="0.25">
      <c r="C183" s="79"/>
      <c r="D183" s="79"/>
      <c r="E183" s="79"/>
      <c r="F183" s="79"/>
      <c r="J183" s="769"/>
      <c r="K183" s="868"/>
      <c r="L183" s="769"/>
      <c r="M183" s="868"/>
    </row>
    <row r="184" spans="3:13" x14ac:dyDescent="0.25">
      <c r="C184" s="79"/>
      <c r="D184" s="79"/>
      <c r="E184" s="79"/>
      <c r="F184" s="79"/>
      <c r="J184" s="769"/>
      <c r="K184" s="866"/>
      <c r="L184" s="769"/>
      <c r="M184" s="866"/>
    </row>
    <row r="185" spans="3:13" x14ac:dyDescent="0.25">
      <c r="C185" s="79"/>
      <c r="D185" s="79"/>
      <c r="E185" s="79"/>
      <c r="F185" s="79"/>
      <c r="J185" s="223"/>
      <c r="K185" s="629"/>
      <c r="L185" s="223"/>
      <c r="M185" s="629"/>
    </row>
    <row r="186" spans="3:13" x14ac:dyDescent="0.25">
      <c r="C186" s="79"/>
      <c r="D186" s="79"/>
      <c r="E186" s="79"/>
      <c r="F186" s="79"/>
      <c r="J186" s="756"/>
      <c r="K186" s="756"/>
      <c r="L186" s="756"/>
      <c r="M186" s="756"/>
    </row>
    <row r="187" spans="3:13" x14ac:dyDescent="0.25">
      <c r="C187" s="79"/>
      <c r="D187" s="79"/>
      <c r="E187" s="79"/>
      <c r="F187" s="79"/>
    </row>
    <row r="188" spans="3:13" x14ac:dyDescent="0.25">
      <c r="C188" s="79"/>
      <c r="D188" s="79"/>
      <c r="E188" s="79"/>
      <c r="F188" s="79"/>
    </row>
    <row r="189" spans="3:13" x14ac:dyDescent="0.25">
      <c r="C189" s="79"/>
      <c r="D189" s="79"/>
      <c r="E189" s="79"/>
      <c r="F189" s="79"/>
    </row>
    <row r="190" spans="3:13" x14ac:dyDescent="0.25">
      <c r="C190" s="79"/>
      <c r="D190" s="79"/>
      <c r="E190" s="79"/>
      <c r="F190" s="79"/>
    </row>
    <row r="191" spans="3:13" x14ac:dyDescent="0.25">
      <c r="C191" s="79"/>
      <c r="D191" s="79"/>
      <c r="E191" s="79"/>
      <c r="F191" s="79"/>
      <c r="J191" s="85"/>
      <c r="K191" s="85"/>
      <c r="L191" s="85"/>
      <c r="M191" s="85"/>
    </row>
    <row r="192" spans="3:13" x14ac:dyDescent="0.25">
      <c r="C192" s="79"/>
      <c r="D192" s="79"/>
      <c r="E192" s="79"/>
      <c r="F192" s="79"/>
    </row>
    <row r="193" spans="3:13" x14ac:dyDescent="0.25">
      <c r="C193" s="79"/>
      <c r="D193" s="79"/>
      <c r="E193" s="79"/>
      <c r="F193" s="79"/>
    </row>
    <row r="194" spans="3:13" x14ac:dyDescent="0.25">
      <c r="C194" s="79"/>
      <c r="D194" s="79"/>
      <c r="E194" s="79"/>
      <c r="F194" s="79"/>
    </row>
    <row r="195" spans="3:13" x14ac:dyDescent="0.25">
      <c r="C195" s="79"/>
      <c r="D195" s="79"/>
      <c r="E195" s="79"/>
      <c r="F195" s="79"/>
    </row>
    <row r="196" spans="3:13" x14ac:dyDescent="0.25">
      <c r="C196" s="79"/>
      <c r="D196" s="79"/>
      <c r="E196" s="79"/>
      <c r="F196" s="79"/>
    </row>
    <row r="197" spans="3:13" x14ac:dyDescent="0.25">
      <c r="C197" s="79"/>
      <c r="D197" s="79"/>
      <c r="E197" s="79"/>
      <c r="F197" s="79"/>
    </row>
    <row r="198" spans="3:13" x14ac:dyDescent="0.25">
      <c r="C198" s="79"/>
      <c r="D198" s="79"/>
      <c r="E198" s="79"/>
      <c r="F198" s="79"/>
      <c r="J198" s="85"/>
      <c r="K198" s="85"/>
      <c r="L198" s="85"/>
      <c r="M198" s="85"/>
    </row>
    <row r="199" spans="3:13" x14ac:dyDescent="0.25">
      <c r="C199" s="79"/>
      <c r="D199" s="79"/>
      <c r="E199" s="79"/>
      <c r="F199" s="79"/>
    </row>
    <row r="200" spans="3:13" x14ac:dyDescent="0.25">
      <c r="C200" s="79"/>
      <c r="D200" s="79"/>
      <c r="E200" s="79"/>
      <c r="F200" s="79"/>
    </row>
    <row r="201" spans="3:13" x14ac:dyDescent="0.25">
      <c r="C201" s="79"/>
      <c r="D201" s="79"/>
      <c r="E201" s="79"/>
      <c r="F201" s="79"/>
    </row>
    <row r="202" spans="3:13" x14ac:dyDescent="0.25">
      <c r="C202" s="79"/>
      <c r="D202" s="79"/>
      <c r="E202" s="79"/>
      <c r="F202" s="79"/>
    </row>
    <row r="203" spans="3:13" x14ac:dyDescent="0.25">
      <c r="C203" s="79"/>
      <c r="D203" s="79"/>
      <c r="E203" s="79"/>
      <c r="F203" s="79"/>
    </row>
    <row r="204" spans="3:13" x14ac:dyDescent="0.25">
      <c r="C204" s="79"/>
      <c r="D204" s="79"/>
      <c r="E204" s="79"/>
      <c r="F204" s="79"/>
    </row>
    <row r="205" spans="3:13" x14ac:dyDescent="0.25">
      <c r="C205" s="79"/>
      <c r="D205" s="79"/>
      <c r="E205" s="79"/>
      <c r="F205" s="79"/>
      <c r="J205" s="771"/>
      <c r="K205" s="518"/>
      <c r="L205" s="771"/>
      <c r="M205" s="518"/>
    </row>
    <row r="206" spans="3:13" x14ac:dyDescent="0.25">
      <c r="C206" s="79"/>
      <c r="D206" s="79"/>
      <c r="E206" s="79"/>
      <c r="F206" s="79"/>
    </row>
    <row r="213" spans="3:13" x14ac:dyDescent="0.25">
      <c r="C213" s="79"/>
      <c r="D213" s="79"/>
      <c r="E213" s="79"/>
      <c r="F213" s="79"/>
      <c r="K213" s="216"/>
      <c r="M213" s="216"/>
    </row>
    <row r="214" spans="3:13" x14ac:dyDescent="0.25">
      <c r="C214" s="79"/>
      <c r="D214" s="79"/>
      <c r="E214" s="79"/>
      <c r="F214" s="79"/>
      <c r="K214" s="216"/>
      <c r="M214" s="216"/>
    </row>
    <row r="215" spans="3:13" x14ac:dyDescent="0.25">
      <c r="C215" s="79"/>
      <c r="D215" s="79"/>
      <c r="E215" s="79"/>
      <c r="F215" s="79"/>
      <c r="K215" s="216"/>
      <c r="M215" s="216"/>
    </row>
    <row r="216" spans="3:13" x14ac:dyDescent="0.25">
      <c r="C216" s="79"/>
      <c r="D216" s="79"/>
      <c r="E216" s="79"/>
      <c r="F216" s="79"/>
      <c r="K216" s="216"/>
      <c r="M216" s="216"/>
    </row>
    <row r="218" spans="3:13" x14ac:dyDescent="0.25">
      <c r="C218" s="79"/>
      <c r="D218" s="79"/>
      <c r="E218" s="79"/>
      <c r="F218" s="79"/>
      <c r="K218" s="216"/>
      <c r="M218" s="216"/>
    </row>
    <row r="220" spans="3:13" x14ac:dyDescent="0.25">
      <c r="C220" s="79"/>
      <c r="D220" s="79"/>
      <c r="E220" s="79"/>
      <c r="F220" s="79"/>
      <c r="K220" s="629"/>
      <c r="M220" s="629"/>
    </row>
    <row r="226" spans="3:13" x14ac:dyDescent="0.25">
      <c r="C226" s="79"/>
      <c r="D226" s="79"/>
      <c r="E226" s="79"/>
      <c r="F226" s="79"/>
      <c r="K226" s="216"/>
      <c r="M226" s="216"/>
    </row>
    <row r="227" spans="3:13" x14ac:dyDescent="0.25">
      <c r="C227" s="79"/>
      <c r="D227" s="79"/>
      <c r="E227" s="79"/>
      <c r="F227" s="79"/>
      <c r="K227" s="216"/>
      <c r="M227" s="216"/>
    </row>
    <row r="228" spans="3:13" x14ac:dyDescent="0.25">
      <c r="C228" s="79"/>
      <c r="D228" s="79"/>
      <c r="E228" s="79"/>
      <c r="F228" s="79"/>
      <c r="K228" s="216"/>
      <c r="M228" s="216"/>
    </row>
    <row r="229" spans="3:13" x14ac:dyDescent="0.25">
      <c r="C229" s="79"/>
      <c r="D229" s="79"/>
      <c r="E229" s="79"/>
      <c r="F229" s="79"/>
      <c r="K229" s="216"/>
      <c r="M229" s="216"/>
    </row>
    <row r="230" spans="3:13" x14ac:dyDescent="0.25">
      <c r="C230" s="79"/>
      <c r="D230" s="79"/>
      <c r="E230" s="79"/>
      <c r="F230" s="79"/>
      <c r="K230" s="216"/>
      <c r="M230" s="216"/>
    </row>
    <row r="231" spans="3:13" x14ac:dyDescent="0.25">
      <c r="C231" s="79"/>
      <c r="D231" s="79"/>
      <c r="E231" s="79"/>
      <c r="F231" s="79"/>
      <c r="K231" s="216"/>
      <c r="M231" s="216"/>
    </row>
    <row r="232" spans="3:13" x14ac:dyDescent="0.25">
      <c r="C232" s="79"/>
      <c r="D232" s="79"/>
      <c r="E232" s="79"/>
      <c r="F232" s="79"/>
      <c r="K232" s="216"/>
      <c r="M232" s="216"/>
    </row>
    <row r="233" spans="3:13" x14ac:dyDescent="0.25">
      <c r="C233" s="79"/>
      <c r="D233" s="79"/>
      <c r="E233" s="79"/>
      <c r="F233" s="79"/>
      <c r="K233" s="216"/>
      <c r="M233" s="216"/>
    </row>
    <row r="234" spans="3:13" x14ac:dyDescent="0.25">
      <c r="C234" s="79"/>
      <c r="D234" s="79"/>
      <c r="E234" s="79"/>
      <c r="F234" s="79"/>
      <c r="K234" s="216"/>
      <c r="M234" s="216"/>
    </row>
  </sheetData>
  <autoFilter ref="A2:I124" xr:uid="{00000000-0009-0000-0000-00005B000000}"/>
  <mergeCells count="14">
    <mergeCell ref="N71:O71"/>
    <mergeCell ref="A123:E123"/>
    <mergeCell ref="A124:E124"/>
    <mergeCell ref="A1:E1"/>
    <mergeCell ref="A2:A4"/>
    <mergeCell ref="B2:B4"/>
    <mergeCell ref="C2:C4"/>
    <mergeCell ref="D2:D4"/>
    <mergeCell ref="E2:E4"/>
    <mergeCell ref="F2:G3"/>
    <mergeCell ref="H2:I3"/>
    <mergeCell ref="J2:K3"/>
    <mergeCell ref="L2:M3"/>
    <mergeCell ref="F1:M1"/>
  </mergeCells>
  <pageMargins left="0.18" right="0.49" top="0.15" bottom="0.16" header="0.15" footer="0.13"/>
  <pageSetup paperSize="9" scale="85" orientation="portrait" horizontalDpi="300" verticalDpi="300" r:id="rId1"/>
  <headerFooter alignWithMargins="0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Plan108"/>
  <dimension ref="A1:Q240"/>
  <sheetViews>
    <sheetView zoomScale="85" zoomScaleNormal="85" workbookViewId="0">
      <pane ySplit="4" topLeftCell="A83" activePane="bottomLeft" state="frozen"/>
      <selection activeCell="C44" sqref="C44"/>
      <selection pane="bottomLeft" activeCell="E30" sqref="E3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2.42578125" style="79" customWidth="1"/>
    <col min="13" max="13" width="13.85546875" style="79" customWidth="1"/>
    <col min="14" max="14" width="12.28515625" style="79" customWidth="1"/>
    <col min="15" max="15" width="14" style="79" customWidth="1"/>
    <col min="16" max="16" width="11.5703125" style="79" bestFit="1" customWidth="1"/>
    <col min="17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2414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2380</v>
      </c>
      <c r="M2" s="3086"/>
    </row>
    <row r="3" spans="1:17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x14ac:dyDescent="0.25">
      <c r="A5" s="281">
        <v>43770</v>
      </c>
      <c r="B5" s="369" t="s">
        <v>10</v>
      </c>
      <c r="C5" s="370"/>
      <c r="D5" s="370"/>
      <c r="E5" s="777"/>
      <c r="F5" s="889"/>
      <c r="G5" s="925">
        <f>'Outubro-19'!G124</f>
        <v>97.510000000017499</v>
      </c>
      <c r="H5" s="179"/>
      <c r="I5" s="933">
        <f>'Outubro-19'!I124</f>
        <v>1099.9960000000024</v>
      </c>
      <c r="J5" s="179"/>
      <c r="K5" s="933">
        <f>'Outubro-19'!K124</f>
        <v>6771.17</v>
      </c>
      <c r="L5" s="179"/>
      <c r="M5" s="933">
        <f>'Outubro-19'!M124</f>
        <v>399.01</v>
      </c>
    </row>
    <row r="6" spans="1:17" s="224" customFormat="1" x14ac:dyDescent="0.25">
      <c r="A6" s="215">
        <v>43770</v>
      </c>
      <c r="B6" s="348" t="s">
        <v>11</v>
      </c>
      <c r="C6" s="351"/>
      <c r="D6" s="351"/>
      <c r="E6" s="673"/>
      <c r="F6" s="827">
        <v>15</v>
      </c>
      <c r="G6" s="1526"/>
      <c r="H6" s="250"/>
      <c r="I6" s="1473"/>
      <c r="J6" s="250"/>
      <c r="K6" s="1473"/>
      <c r="L6" s="250"/>
      <c r="M6" s="1473"/>
      <c r="N6" s="89"/>
      <c r="O6" s="89"/>
    </row>
    <row r="7" spans="1:17" s="224" customFormat="1" ht="15" customHeight="1" x14ac:dyDescent="0.25">
      <c r="A7" s="215">
        <v>43770</v>
      </c>
      <c r="B7" s="862" t="s">
        <v>256</v>
      </c>
      <c r="C7" s="879"/>
      <c r="D7" s="879"/>
      <c r="E7" s="871"/>
      <c r="F7" s="97"/>
      <c r="G7" s="946">
        <v>200</v>
      </c>
      <c r="H7" s="97">
        <v>200</v>
      </c>
      <c r="I7" s="982"/>
      <c r="J7" s="622"/>
      <c r="K7" s="982"/>
      <c r="L7" s="622"/>
      <c r="M7" s="982"/>
    </row>
    <row r="8" spans="1:17" s="224" customFormat="1" ht="15" customHeight="1" x14ac:dyDescent="0.25">
      <c r="A8" s="215">
        <v>43770</v>
      </c>
      <c r="B8" s="349" t="s">
        <v>32</v>
      </c>
      <c r="C8" s="352" t="s">
        <v>12</v>
      </c>
      <c r="D8" s="874" t="s">
        <v>1485</v>
      </c>
      <c r="E8" s="875" t="s">
        <v>13</v>
      </c>
      <c r="F8" s="852">
        <v>14</v>
      </c>
      <c r="G8" s="965"/>
      <c r="H8" s="97"/>
      <c r="I8" s="982"/>
      <c r="J8" s="622"/>
      <c r="K8" s="982"/>
      <c r="L8" s="622"/>
      <c r="M8" s="982"/>
    </row>
    <row r="9" spans="1:17" s="224" customFormat="1" ht="15" customHeight="1" x14ac:dyDescent="0.25">
      <c r="A9" s="215">
        <v>43770</v>
      </c>
      <c r="B9" s="862" t="s">
        <v>2415</v>
      </c>
      <c r="C9" s="350" t="s">
        <v>12</v>
      </c>
      <c r="D9" s="874" t="s">
        <v>1493</v>
      </c>
      <c r="E9" s="887" t="s">
        <v>13</v>
      </c>
      <c r="F9" s="852">
        <v>6</v>
      </c>
      <c r="G9" s="965"/>
      <c r="H9" s="97"/>
      <c r="I9" s="946"/>
      <c r="J9" s="97"/>
      <c r="K9" s="946"/>
      <c r="L9" s="97"/>
      <c r="M9" s="946"/>
      <c r="N9" s="923"/>
      <c r="P9" s="930"/>
    </row>
    <row r="10" spans="1:17" s="224" customFormat="1" ht="15" customHeight="1" x14ac:dyDescent="0.25">
      <c r="A10" s="215">
        <v>43770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852">
        <v>9.43</v>
      </c>
      <c r="G10" s="965"/>
      <c r="H10" s="97"/>
      <c r="I10" s="946"/>
      <c r="J10" s="97"/>
      <c r="K10" s="946"/>
      <c r="L10" s="97"/>
      <c r="M10" s="946"/>
      <c r="N10" s="923"/>
      <c r="P10" s="930"/>
    </row>
    <row r="11" spans="1:17" s="224" customFormat="1" ht="15" customHeight="1" x14ac:dyDescent="0.25">
      <c r="A11" s="215">
        <v>43771</v>
      </c>
      <c r="B11" s="349" t="s">
        <v>32</v>
      </c>
      <c r="C11" s="352" t="s">
        <v>12</v>
      </c>
      <c r="D11" s="874" t="s">
        <v>1485</v>
      </c>
      <c r="E11" s="875" t="s">
        <v>13</v>
      </c>
      <c r="F11" s="852">
        <v>18.02</v>
      </c>
      <c r="G11" s="965"/>
      <c r="H11" s="97"/>
      <c r="I11" s="982"/>
      <c r="J11" s="622"/>
      <c r="K11" s="982"/>
      <c r="L11" s="622"/>
      <c r="M11" s="982"/>
    </row>
    <row r="12" spans="1:17" s="224" customFormat="1" ht="15" customHeight="1" x14ac:dyDescent="0.25">
      <c r="A12" s="215">
        <v>43771</v>
      </c>
      <c r="B12" s="364" t="s">
        <v>43</v>
      </c>
      <c r="C12" s="350" t="s">
        <v>12</v>
      </c>
      <c r="D12" s="350" t="s">
        <v>1493</v>
      </c>
      <c r="E12" s="875" t="s">
        <v>13</v>
      </c>
      <c r="F12" s="780">
        <v>16</v>
      </c>
      <c r="G12" s="957"/>
      <c r="H12" s="97"/>
      <c r="I12" s="946"/>
      <c r="J12" s="97"/>
      <c r="K12" s="946"/>
      <c r="L12" s="97"/>
      <c r="M12" s="946"/>
    </row>
    <row r="13" spans="1:17" s="224" customFormat="1" ht="15" customHeight="1" x14ac:dyDescent="0.25">
      <c r="A13" s="215">
        <v>43771</v>
      </c>
      <c r="B13" s="364" t="s">
        <v>82</v>
      </c>
      <c r="C13" s="350" t="s">
        <v>12</v>
      </c>
      <c r="D13" s="350" t="s">
        <v>1493</v>
      </c>
      <c r="E13" s="875" t="s">
        <v>13</v>
      </c>
      <c r="F13" s="780">
        <v>33.9</v>
      </c>
      <c r="G13" s="957"/>
      <c r="H13" s="97"/>
      <c r="I13" s="946"/>
      <c r="J13" s="97"/>
      <c r="K13" s="946"/>
      <c r="L13" s="97"/>
      <c r="M13" s="946"/>
    </row>
    <row r="14" spans="1:17" s="224" customFormat="1" ht="15" customHeight="1" x14ac:dyDescent="0.25">
      <c r="A14" s="215">
        <v>43772</v>
      </c>
      <c r="B14" s="364" t="s">
        <v>80</v>
      </c>
      <c r="C14" s="350" t="s">
        <v>12</v>
      </c>
      <c r="D14" s="350" t="s">
        <v>1523</v>
      </c>
      <c r="E14" s="875" t="s">
        <v>13</v>
      </c>
      <c r="F14" s="780">
        <v>10</v>
      </c>
      <c r="G14" s="957"/>
      <c r="H14" s="97"/>
      <c r="I14" s="946"/>
      <c r="J14" s="97"/>
      <c r="K14" s="946"/>
      <c r="L14" s="97"/>
      <c r="M14" s="946"/>
    </row>
    <row r="15" spans="1:17" s="224" customFormat="1" ht="15" customHeight="1" x14ac:dyDescent="0.25">
      <c r="A15" s="215">
        <v>43772</v>
      </c>
      <c r="B15" s="364" t="s">
        <v>2416</v>
      </c>
      <c r="C15" s="350" t="s">
        <v>12</v>
      </c>
      <c r="D15" s="350" t="s">
        <v>1506</v>
      </c>
      <c r="E15" s="875" t="s">
        <v>13</v>
      </c>
      <c r="F15" s="780">
        <v>24</v>
      </c>
      <c r="G15" s="957"/>
      <c r="H15" s="622"/>
      <c r="I15" s="982"/>
      <c r="J15" s="622"/>
      <c r="K15" s="982"/>
      <c r="L15" s="622"/>
      <c r="M15" s="982"/>
    </row>
    <row r="16" spans="1:17" s="224" customFormat="1" ht="15" customHeight="1" x14ac:dyDescent="0.25">
      <c r="A16" s="215">
        <v>43772</v>
      </c>
      <c r="B16" s="364" t="s">
        <v>249</v>
      </c>
      <c r="C16" s="350" t="s">
        <v>12</v>
      </c>
      <c r="D16" s="350" t="s">
        <v>1493</v>
      </c>
      <c r="E16" s="875" t="s">
        <v>13</v>
      </c>
      <c r="F16" s="780">
        <v>6</v>
      </c>
      <c r="G16" s="957"/>
      <c r="H16" s="622"/>
      <c r="I16" s="982"/>
      <c r="J16" s="622"/>
      <c r="K16" s="982"/>
      <c r="L16" s="622"/>
      <c r="M16" s="982"/>
    </row>
    <row r="17" spans="1:17" s="224" customFormat="1" ht="15" customHeight="1" x14ac:dyDescent="0.25">
      <c r="A17" s="215">
        <v>43772</v>
      </c>
      <c r="B17" s="364" t="s">
        <v>443</v>
      </c>
      <c r="C17" s="350" t="s">
        <v>12</v>
      </c>
      <c r="D17" s="350" t="s">
        <v>1493</v>
      </c>
      <c r="E17" s="875" t="s">
        <v>13</v>
      </c>
      <c r="F17" s="780">
        <v>10</v>
      </c>
      <c r="G17" s="957"/>
      <c r="H17" s="622"/>
      <c r="I17" s="982"/>
      <c r="J17" s="622"/>
      <c r="K17" s="982"/>
      <c r="L17" s="622"/>
      <c r="M17" s="982"/>
    </row>
    <row r="18" spans="1:17" s="224" customFormat="1" ht="15" customHeight="1" x14ac:dyDescent="0.25">
      <c r="A18" s="215">
        <v>43773</v>
      </c>
      <c r="B18" s="349" t="s">
        <v>32</v>
      </c>
      <c r="C18" s="352" t="s">
        <v>12</v>
      </c>
      <c r="D18" s="874" t="s">
        <v>1485</v>
      </c>
      <c r="E18" s="875" t="s">
        <v>13</v>
      </c>
      <c r="F18" s="852">
        <v>14</v>
      </c>
      <c r="G18" s="965"/>
      <c r="H18" s="97"/>
      <c r="I18" s="982"/>
      <c r="J18" s="622"/>
      <c r="K18" s="982"/>
      <c r="L18" s="622"/>
      <c r="M18" s="982"/>
    </row>
    <row r="19" spans="1:17" s="224" customFormat="1" ht="15" customHeight="1" x14ac:dyDescent="0.25">
      <c r="A19" s="215">
        <v>43773</v>
      </c>
      <c r="B19" s="364" t="s">
        <v>14</v>
      </c>
      <c r="C19" s="350" t="s">
        <v>12</v>
      </c>
      <c r="D19" s="350" t="s">
        <v>1486</v>
      </c>
      <c r="E19" s="875" t="s">
        <v>13</v>
      </c>
      <c r="F19" s="852">
        <v>9.1</v>
      </c>
      <c r="G19" s="965"/>
      <c r="H19" s="97"/>
      <c r="I19" s="946"/>
      <c r="J19" s="97"/>
      <c r="K19" s="946"/>
      <c r="L19" s="97"/>
      <c r="M19" s="946"/>
      <c r="N19" s="923"/>
      <c r="P19" s="930"/>
    </row>
    <row r="20" spans="1:17" s="224" customFormat="1" ht="15" customHeight="1" x14ac:dyDescent="0.25">
      <c r="A20" s="215">
        <v>43773</v>
      </c>
      <c r="B20" s="349" t="s">
        <v>2417</v>
      </c>
      <c r="C20" s="352" t="s">
        <v>12</v>
      </c>
      <c r="D20" s="874" t="s">
        <v>1491</v>
      </c>
      <c r="E20" s="875" t="s">
        <v>15</v>
      </c>
      <c r="F20" s="852">
        <v>30</v>
      </c>
      <c r="G20" s="965"/>
      <c r="H20" s="97"/>
      <c r="I20" s="982"/>
      <c r="J20" s="622"/>
      <c r="K20" s="982"/>
      <c r="L20" s="622"/>
      <c r="M20" s="982"/>
    </row>
    <row r="21" spans="1:17" s="224" customFormat="1" ht="15" customHeight="1" x14ac:dyDescent="0.25">
      <c r="A21" s="215">
        <v>43774</v>
      </c>
      <c r="B21" s="349" t="s">
        <v>32</v>
      </c>
      <c r="C21" s="352" t="s">
        <v>12</v>
      </c>
      <c r="D21" s="874" t="s">
        <v>1485</v>
      </c>
      <c r="E21" s="875" t="s">
        <v>13</v>
      </c>
      <c r="F21" s="852">
        <v>14</v>
      </c>
      <c r="G21" s="965"/>
      <c r="H21" s="97"/>
      <c r="I21" s="982"/>
      <c r="J21" s="622"/>
      <c r="K21" s="982"/>
      <c r="L21" s="622"/>
      <c r="M21" s="982"/>
    </row>
    <row r="22" spans="1:17" s="224" customFormat="1" ht="15" customHeight="1" x14ac:dyDescent="0.25">
      <c r="A22" s="215">
        <v>43774</v>
      </c>
      <c r="B22" s="364" t="s">
        <v>2418</v>
      </c>
      <c r="C22" s="350" t="s">
        <v>12</v>
      </c>
      <c r="D22" s="350" t="s">
        <v>1496</v>
      </c>
      <c r="E22" s="875" t="s">
        <v>13</v>
      </c>
      <c r="F22" s="852">
        <v>9.8800000000000008</v>
      </c>
      <c r="G22" s="965"/>
      <c r="H22" s="97"/>
      <c r="I22" s="982"/>
      <c r="J22" s="622"/>
      <c r="K22" s="982"/>
      <c r="L22" s="622"/>
      <c r="M22" s="982"/>
    </row>
    <row r="23" spans="1:17" s="224" customFormat="1" ht="15" customHeight="1" x14ac:dyDescent="0.25">
      <c r="A23" s="215">
        <v>43775</v>
      </c>
      <c r="B23" s="349" t="s">
        <v>32</v>
      </c>
      <c r="C23" s="352" t="s">
        <v>12</v>
      </c>
      <c r="D23" s="874" t="s">
        <v>1485</v>
      </c>
      <c r="E23" s="875" t="s">
        <v>15</v>
      </c>
      <c r="F23" s="852">
        <v>14</v>
      </c>
      <c r="G23" s="957"/>
      <c r="H23" s="622"/>
      <c r="I23" s="982"/>
      <c r="J23" s="622"/>
      <c r="K23" s="982"/>
      <c r="L23" s="622"/>
      <c r="M23" s="982"/>
    </row>
    <row r="24" spans="1:17" s="224" customFormat="1" ht="15" customHeight="1" x14ac:dyDescent="0.25">
      <c r="A24" s="215">
        <v>43775</v>
      </c>
      <c r="B24" s="364" t="s">
        <v>14</v>
      </c>
      <c r="C24" s="350" t="s">
        <v>12</v>
      </c>
      <c r="D24" s="350" t="s">
        <v>1486</v>
      </c>
      <c r="E24" s="875" t="s">
        <v>13</v>
      </c>
      <c r="F24" s="852">
        <v>5.59</v>
      </c>
      <c r="G24" s="965"/>
      <c r="H24" s="97"/>
      <c r="I24" s="946"/>
      <c r="J24" s="97"/>
      <c r="K24" s="946"/>
      <c r="L24" s="97"/>
      <c r="M24" s="946"/>
      <c r="N24" s="923"/>
      <c r="P24" s="930"/>
    </row>
    <row r="25" spans="1:17" s="224" customFormat="1" ht="15.75" customHeight="1" x14ac:dyDescent="0.25">
      <c r="A25" s="215">
        <v>43776</v>
      </c>
      <c r="B25" s="349" t="s">
        <v>2419</v>
      </c>
      <c r="C25" s="879" t="s">
        <v>12</v>
      </c>
      <c r="D25" s="874"/>
      <c r="E25" s="871" t="s">
        <v>25</v>
      </c>
      <c r="F25" s="852"/>
      <c r="G25" s="964">
        <v>1891.16</v>
      </c>
      <c r="H25" s="538"/>
      <c r="I25" s="982"/>
      <c r="J25" s="97"/>
      <c r="K25" s="946"/>
      <c r="L25" s="97"/>
      <c r="M25" s="946"/>
      <c r="N25" s="939"/>
    </row>
    <row r="26" spans="1:17" s="224" customFormat="1" ht="15" customHeight="1" x14ac:dyDescent="0.25">
      <c r="A26" s="215">
        <v>43776</v>
      </c>
      <c r="B26" s="349" t="s">
        <v>2420</v>
      </c>
      <c r="C26" s="350" t="s">
        <v>12</v>
      </c>
      <c r="D26" s="350"/>
      <c r="E26" s="480" t="s">
        <v>25</v>
      </c>
      <c r="F26" s="780"/>
      <c r="G26" s="946">
        <v>120</v>
      </c>
      <c r="H26" s="97"/>
      <c r="I26" s="946"/>
      <c r="J26" s="97"/>
      <c r="K26" s="946"/>
      <c r="L26" s="97"/>
      <c r="M26" s="946"/>
      <c r="N26" s="3138" t="s">
        <v>2421</v>
      </c>
      <c r="O26" s="3139"/>
      <c r="P26" s="3139"/>
      <c r="Q26" s="3139"/>
    </row>
    <row r="27" spans="1:17" s="224" customFormat="1" ht="15" customHeight="1" x14ac:dyDescent="0.25">
      <c r="A27" s="215">
        <v>43776</v>
      </c>
      <c r="B27" s="349" t="s">
        <v>1670</v>
      </c>
      <c r="C27" s="350" t="s">
        <v>12</v>
      </c>
      <c r="D27" s="350"/>
      <c r="E27" s="480" t="s">
        <v>25</v>
      </c>
      <c r="F27" s="622"/>
      <c r="G27" s="1064">
        <v>150</v>
      </c>
      <c r="H27" s="97"/>
      <c r="I27" s="946"/>
      <c r="J27" s="97"/>
      <c r="K27" s="946"/>
      <c r="L27" s="97"/>
      <c r="M27" s="946"/>
    </row>
    <row r="28" spans="1:17" s="224" customFormat="1" ht="15.75" customHeight="1" x14ac:dyDescent="0.25">
      <c r="A28" s="215">
        <v>43776</v>
      </c>
      <c r="B28" s="862" t="s">
        <v>2422</v>
      </c>
      <c r="C28" s="879" t="s">
        <v>12</v>
      </c>
      <c r="D28" s="874" t="s">
        <v>2131</v>
      </c>
      <c r="E28" s="871" t="s">
        <v>13</v>
      </c>
      <c r="F28" s="852">
        <v>57</v>
      </c>
      <c r="G28" s="964"/>
      <c r="H28" s="538"/>
      <c r="I28" s="982"/>
      <c r="J28" s="97"/>
      <c r="K28" s="946"/>
      <c r="L28" s="97"/>
      <c r="M28" s="946"/>
      <c r="N28" s="939"/>
    </row>
    <row r="29" spans="1:17" s="224" customFormat="1" x14ac:dyDescent="0.25">
      <c r="A29" s="215">
        <v>43776</v>
      </c>
      <c r="B29" s="862" t="s">
        <v>2422</v>
      </c>
      <c r="C29" s="879" t="s">
        <v>12</v>
      </c>
      <c r="D29" s="879" t="s">
        <v>1491</v>
      </c>
      <c r="E29" s="871" t="s">
        <v>13</v>
      </c>
      <c r="F29" s="872">
        <v>97.3</v>
      </c>
      <c r="G29" s="964"/>
      <c r="H29" s="622"/>
      <c r="I29" s="982"/>
      <c r="J29" s="780"/>
      <c r="K29" s="614"/>
      <c r="L29" s="780"/>
      <c r="M29" s="614"/>
      <c r="O29" s="89"/>
    </row>
    <row r="30" spans="1:17" s="224" customFormat="1" x14ac:dyDescent="0.25">
      <c r="A30" s="215">
        <v>43776</v>
      </c>
      <c r="B30" s="862" t="s">
        <v>2422</v>
      </c>
      <c r="C30" s="879" t="s">
        <v>12</v>
      </c>
      <c r="D30" s="879" t="s">
        <v>1525</v>
      </c>
      <c r="E30" s="871" t="s">
        <v>13</v>
      </c>
      <c r="F30" s="872">
        <v>125</v>
      </c>
      <c r="G30" s="964"/>
      <c r="H30" s="622"/>
      <c r="I30" s="982"/>
      <c r="J30" s="780"/>
      <c r="K30" s="614"/>
      <c r="L30" s="780"/>
      <c r="M30" s="614"/>
      <c r="O30" s="89"/>
    </row>
    <row r="31" spans="1:17" s="224" customFormat="1" x14ac:dyDescent="0.25">
      <c r="A31" s="215">
        <v>43776</v>
      </c>
      <c r="B31" s="862" t="s">
        <v>2422</v>
      </c>
      <c r="C31" s="879" t="s">
        <v>12</v>
      </c>
      <c r="D31" s="879" t="s">
        <v>1506</v>
      </c>
      <c r="E31" s="871" t="s">
        <v>13</v>
      </c>
      <c r="F31" s="872">
        <v>59.666666666666664</v>
      </c>
      <c r="G31" s="964"/>
      <c r="H31" s="622"/>
      <c r="I31" s="982"/>
      <c r="J31" s="780"/>
      <c r="K31" s="614"/>
      <c r="L31" s="780"/>
      <c r="M31" s="614"/>
      <c r="O31" s="89"/>
    </row>
    <row r="32" spans="1:17" s="224" customFormat="1" x14ac:dyDescent="0.25">
      <c r="A32" s="215">
        <v>43776</v>
      </c>
      <c r="B32" s="862" t="s">
        <v>2422</v>
      </c>
      <c r="C32" s="879" t="s">
        <v>12</v>
      </c>
      <c r="D32" s="879" t="s">
        <v>1506</v>
      </c>
      <c r="E32" s="871" t="s">
        <v>13</v>
      </c>
      <c r="F32" s="872">
        <v>50.48</v>
      </c>
      <c r="G32" s="964"/>
      <c r="H32" s="622"/>
      <c r="I32" s="982"/>
      <c r="J32" s="780"/>
      <c r="K32" s="614"/>
      <c r="L32" s="780"/>
      <c r="M32" s="614"/>
      <c r="O32" s="89"/>
    </row>
    <row r="33" spans="1:16" s="224" customFormat="1" x14ac:dyDescent="0.25">
      <c r="A33" s="215">
        <v>43776</v>
      </c>
      <c r="B33" s="862" t="s">
        <v>2422</v>
      </c>
      <c r="C33" s="879" t="s">
        <v>12</v>
      </c>
      <c r="D33" s="879" t="s">
        <v>1525</v>
      </c>
      <c r="E33" s="871" t="s">
        <v>13</v>
      </c>
      <c r="F33" s="872">
        <v>164.9</v>
      </c>
      <c r="G33" s="964"/>
      <c r="H33" s="622"/>
      <c r="I33" s="982"/>
      <c r="J33" s="780"/>
      <c r="K33" s="614"/>
      <c r="L33" s="780"/>
      <c r="M33" s="614"/>
      <c r="O33" s="89"/>
    </row>
    <row r="34" spans="1:16" s="224" customFormat="1" x14ac:dyDescent="0.25">
      <c r="A34" s="215">
        <v>43776</v>
      </c>
      <c r="B34" s="862" t="s">
        <v>2422</v>
      </c>
      <c r="C34" s="879" t="s">
        <v>12</v>
      </c>
      <c r="D34" s="879" t="s">
        <v>1506</v>
      </c>
      <c r="E34" s="871" t="s">
        <v>13</v>
      </c>
      <c r="F34" s="872">
        <v>20</v>
      </c>
      <c r="G34" s="964"/>
      <c r="H34" s="622"/>
      <c r="I34" s="982"/>
      <c r="J34" s="780"/>
      <c r="K34" s="614"/>
      <c r="L34" s="780"/>
      <c r="M34" s="614"/>
      <c r="O34" s="89"/>
    </row>
    <row r="35" spans="1:16" s="224" customFormat="1" x14ac:dyDescent="0.25">
      <c r="A35" s="215">
        <v>43776</v>
      </c>
      <c r="B35" s="862" t="s">
        <v>2422</v>
      </c>
      <c r="C35" s="879" t="s">
        <v>12</v>
      </c>
      <c r="D35" s="879" t="s">
        <v>1489</v>
      </c>
      <c r="E35" s="871" t="s">
        <v>13</v>
      </c>
      <c r="F35" s="872">
        <v>50</v>
      </c>
      <c r="G35" s="964"/>
      <c r="H35" s="622"/>
      <c r="I35" s="982"/>
      <c r="J35" s="780"/>
      <c r="K35" s="614"/>
      <c r="L35" s="780"/>
      <c r="M35" s="614"/>
      <c r="O35" s="89"/>
    </row>
    <row r="36" spans="1:16" x14ac:dyDescent="0.25">
      <c r="A36" s="215">
        <v>43776</v>
      </c>
      <c r="B36" s="862" t="s">
        <v>2385</v>
      </c>
      <c r="C36" s="879" t="s">
        <v>12</v>
      </c>
      <c r="D36" s="879" t="s">
        <v>1504</v>
      </c>
      <c r="E36" s="871" t="s">
        <v>13</v>
      </c>
      <c r="F36" s="852">
        <v>50</v>
      </c>
      <c r="G36" s="964"/>
      <c r="H36" s="622"/>
      <c r="I36" s="982"/>
      <c r="J36" s="622"/>
      <c r="K36" s="1002"/>
      <c r="L36" s="622"/>
      <c r="M36" s="1002"/>
      <c r="N36" s="962">
        <v>90</v>
      </c>
    </row>
    <row r="37" spans="1:16" x14ac:dyDescent="0.25">
      <c r="A37" s="215">
        <v>43776</v>
      </c>
      <c r="B37" s="882" t="s">
        <v>2423</v>
      </c>
      <c r="C37" s="879" t="s">
        <v>12</v>
      </c>
      <c r="D37" s="879" t="s">
        <v>1499</v>
      </c>
      <c r="E37" s="871" t="s">
        <v>13</v>
      </c>
      <c r="F37" s="852">
        <v>49.72</v>
      </c>
      <c r="G37" s="964"/>
      <c r="H37" s="622"/>
      <c r="I37" s="982"/>
      <c r="J37" s="780"/>
      <c r="K37" s="614"/>
      <c r="L37" s="780"/>
      <c r="M37" s="614"/>
      <c r="N37" s="79">
        <v>109.72</v>
      </c>
      <c r="O37" s="518"/>
    </row>
    <row r="38" spans="1:16" x14ac:dyDescent="0.25">
      <c r="A38" s="215">
        <v>43776</v>
      </c>
      <c r="B38" s="876" t="s">
        <v>52</v>
      </c>
      <c r="C38" s="879" t="s">
        <v>12</v>
      </c>
      <c r="D38" s="879" t="s">
        <v>1496</v>
      </c>
      <c r="E38" s="871" t="s">
        <v>15</v>
      </c>
      <c r="F38" s="852">
        <v>60</v>
      </c>
      <c r="G38" s="964"/>
      <c r="H38" s="853"/>
      <c r="I38" s="982"/>
      <c r="J38" s="622"/>
      <c r="K38" s="982"/>
      <c r="L38" s="622"/>
      <c r="M38" s="982"/>
      <c r="N38" s="948"/>
    </row>
    <row r="39" spans="1:16" s="224" customFormat="1" ht="15" customHeight="1" x14ac:dyDescent="0.25">
      <c r="A39" s="215">
        <v>43776</v>
      </c>
      <c r="B39" s="349" t="s">
        <v>1241</v>
      </c>
      <c r="C39" s="350" t="s">
        <v>12</v>
      </c>
      <c r="D39" s="350" t="s">
        <v>1504</v>
      </c>
      <c r="E39" s="480" t="s">
        <v>13</v>
      </c>
      <c r="F39" s="780">
        <v>10</v>
      </c>
      <c r="G39" s="946"/>
      <c r="H39" s="97"/>
      <c r="I39" s="946"/>
      <c r="J39" s="97"/>
      <c r="K39" s="946"/>
      <c r="L39" s="97"/>
      <c r="M39" s="946"/>
      <c r="N39" s="923"/>
      <c r="P39" s="930"/>
    </row>
    <row r="40" spans="1:16" s="224" customFormat="1" ht="15" customHeight="1" x14ac:dyDescent="0.25">
      <c r="A40" s="215">
        <v>43776</v>
      </c>
      <c r="B40" s="349" t="s">
        <v>32</v>
      </c>
      <c r="C40" s="352" t="s">
        <v>12</v>
      </c>
      <c r="D40" s="874" t="s">
        <v>1485</v>
      </c>
      <c r="E40" s="875" t="s">
        <v>15</v>
      </c>
      <c r="F40" s="852">
        <v>14</v>
      </c>
      <c r="G40" s="957"/>
      <c r="H40" s="622"/>
      <c r="I40" s="982"/>
      <c r="J40" s="622"/>
      <c r="K40" s="982"/>
      <c r="L40" s="622"/>
      <c r="M40" s="982"/>
    </row>
    <row r="41" spans="1:16" s="224" customFormat="1" ht="15" customHeight="1" x14ac:dyDescent="0.25">
      <c r="A41" s="215">
        <v>43776</v>
      </c>
      <c r="B41" s="349" t="s">
        <v>2198</v>
      </c>
      <c r="C41" s="350" t="s">
        <v>12</v>
      </c>
      <c r="D41" s="350" t="s">
        <v>2157</v>
      </c>
      <c r="E41" s="480" t="s">
        <v>15</v>
      </c>
      <c r="F41" s="780">
        <v>40</v>
      </c>
      <c r="G41" s="946"/>
      <c r="H41" s="97"/>
      <c r="I41" s="946"/>
      <c r="J41" s="97"/>
      <c r="K41" s="946"/>
      <c r="L41" s="97"/>
      <c r="M41" s="946"/>
      <c r="N41" s="923"/>
      <c r="P41" s="930"/>
    </row>
    <row r="42" spans="1:16" s="224" customFormat="1" ht="15" customHeight="1" x14ac:dyDescent="0.25">
      <c r="A42" s="215">
        <v>43777</v>
      </c>
      <c r="B42" s="349" t="s">
        <v>32</v>
      </c>
      <c r="C42" s="352" t="s">
        <v>12</v>
      </c>
      <c r="D42" s="874" t="s">
        <v>1485</v>
      </c>
      <c r="E42" s="875" t="s">
        <v>15</v>
      </c>
      <c r="F42" s="852">
        <v>14</v>
      </c>
      <c r="G42" s="957"/>
      <c r="H42" s="622"/>
      <c r="I42" s="982"/>
      <c r="J42" s="622"/>
      <c r="K42" s="982"/>
      <c r="L42" s="622"/>
      <c r="M42" s="982"/>
    </row>
    <row r="43" spans="1:16" s="224" customFormat="1" ht="15" customHeight="1" x14ac:dyDescent="0.25">
      <c r="A43" s="215">
        <v>43777</v>
      </c>
      <c r="B43" s="349" t="s">
        <v>82</v>
      </c>
      <c r="C43" s="352" t="s">
        <v>12</v>
      </c>
      <c r="D43" s="874" t="s">
        <v>1493</v>
      </c>
      <c r="E43" s="875" t="s">
        <v>1740</v>
      </c>
      <c r="F43" s="852">
        <v>42</v>
      </c>
      <c r="G43" s="965"/>
      <c r="H43" s="97"/>
      <c r="I43" s="982"/>
      <c r="J43" s="622"/>
      <c r="K43" s="982"/>
      <c r="L43" s="622"/>
      <c r="M43" s="982"/>
    </row>
    <row r="44" spans="1:16" s="224" customFormat="1" ht="15" customHeight="1" x14ac:dyDescent="0.25">
      <c r="A44" s="215">
        <v>43778</v>
      </c>
      <c r="B44" s="364" t="s">
        <v>14</v>
      </c>
      <c r="C44" s="350" t="s">
        <v>12</v>
      </c>
      <c r="D44" s="350" t="s">
        <v>1486</v>
      </c>
      <c r="E44" s="875" t="s">
        <v>13</v>
      </c>
      <c r="F44" s="852">
        <v>4.66</v>
      </c>
      <c r="G44" s="965"/>
      <c r="H44" s="97"/>
      <c r="I44" s="946"/>
      <c r="J44" s="97"/>
      <c r="K44" s="946"/>
      <c r="L44" s="97"/>
      <c r="M44" s="946"/>
      <c r="N44" s="923"/>
      <c r="P44" s="930"/>
    </row>
    <row r="45" spans="1:16" s="224" customFormat="1" ht="15" customHeight="1" x14ac:dyDescent="0.25">
      <c r="A45" s="215">
        <v>43778</v>
      </c>
      <c r="B45" s="349" t="s">
        <v>1438</v>
      </c>
      <c r="C45" s="352" t="s">
        <v>19</v>
      </c>
      <c r="D45" s="874" t="s">
        <v>1489</v>
      </c>
      <c r="E45" s="875" t="s">
        <v>1740</v>
      </c>
      <c r="F45" s="780">
        <v>74.209999999999994</v>
      </c>
      <c r="G45" s="946"/>
      <c r="H45" s="97"/>
      <c r="I45" s="982"/>
      <c r="J45" s="622"/>
      <c r="K45" s="982"/>
      <c r="L45" s="622"/>
      <c r="M45" s="982"/>
    </row>
    <row r="46" spans="1:16" s="224" customFormat="1" ht="15" customHeight="1" x14ac:dyDescent="0.25">
      <c r="A46" s="215">
        <v>43778</v>
      </c>
      <c r="B46" s="349" t="s">
        <v>140</v>
      </c>
      <c r="C46" s="352" t="s">
        <v>19</v>
      </c>
      <c r="D46" s="874" t="s">
        <v>1506</v>
      </c>
      <c r="E46" s="875" t="s">
        <v>13</v>
      </c>
      <c r="F46" s="780">
        <v>24</v>
      </c>
      <c r="G46" s="946"/>
      <c r="H46" s="97"/>
      <c r="I46" s="982"/>
      <c r="J46" s="622"/>
      <c r="K46" s="982"/>
      <c r="L46" s="622"/>
      <c r="M46" s="982"/>
    </row>
    <row r="47" spans="1:16" s="224" customFormat="1" ht="15" customHeight="1" x14ac:dyDescent="0.25">
      <c r="A47" s="215">
        <v>43778</v>
      </c>
      <c r="B47" s="349" t="s">
        <v>2424</v>
      </c>
      <c r="C47" s="352" t="s">
        <v>12</v>
      </c>
      <c r="D47" s="874" t="s">
        <v>1489</v>
      </c>
      <c r="E47" s="875" t="s">
        <v>13</v>
      </c>
      <c r="F47" s="780">
        <v>16</v>
      </c>
      <c r="G47" s="946"/>
      <c r="H47" s="97"/>
      <c r="I47" s="982"/>
      <c r="J47" s="622"/>
      <c r="K47" s="982"/>
      <c r="L47" s="622"/>
      <c r="M47" s="982"/>
    </row>
    <row r="48" spans="1:16" s="224" customFormat="1" ht="15" customHeight="1" x14ac:dyDescent="0.25">
      <c r="A48" s="215">
        <v>43778</v>
      </c>
      <c r="B48" s="349" t="s">
        <v>2198</v>
      </c>
      <c r="C48" s="350" t="s">
        <v>12</v>
      </c>
      <c r="D48" s="350" t="s">
        <v>2157</v>
      </c>
      <c r="E48" s="480" t="s">
        <v>15</v>
      </c>
      <c r="F48" s="780">
        <v>40</v>
      </c>
      <c r="G48" s="946"/>
      <c r="H48" s="97"/>
      <c r="I48" s="982"/>
      <c r="J48" s="622"/>
      <c r="K48" s="982"/>
      <c r="L48" s="622"/>
      <c r="M48" s="982"/>
    </row>
    <row r="49" spans="1:16" s="224" customFormat="1" ht="15" customHeight="1" x14ac:dyDescent="0.25">
      <c r="A49" s="215">
        <v>43778</v>
      </c>
      <c r="B49" s="349" t="s">
        <v>32</v>
      </c>
      <c r="C49" s="352" t="s">
        <v>12</v>
      </c>
      <c r="D49" s="874" t="s">
        <v>1485</v>
      </c>
      <c r="E49" s="875" t="s">
        <v>15</v>
      </c>
      <c r="F49" s="852">
        <v>14</v>
      </c>
      <c r="G49" s="957"/>
      <c r="H49" s="622"/>
      <c r="I49" s="982"/>
      <c r="J49" s="622"/>
      <c r="K49" s="982"/>
      <c r="L49" s="622"/>
      <c r="M49" s="982"/>
    </row>
    <row r="50" spans="1:16" s="224" customFormat="1" ht="15" customHeight="1" x14ac:dyDescent="0.25">
      <c r="A50" s="215">
        <v>43778</v>
      </c>
      <c r="B50" s="349" t="s">
        <v>82</v>
      </c>
      <c r="C50" s="352" t="s">
        <v>12</v>
      </c>
      <c r="D50" s="874" t="s">
        <v>1493</v>
      </c>
      <c r="E50" s="875" t="s">
        <v>13</v>
      </c>
      <c r="F50" s="780">
        <v>33</v>
      </c>
      <c r="G50" s="946"/>
      <c r="H50" s="97"/>
      <c r="I50" s="982"/>
      <c r="J50" s="622"/>
      <c r="K50" s="982"/>
      <c r="L50" s="622"/>
      <c r="M50" s="982"/>
    </row>
    <row r="51" spans="1:16" s="224" customFormat="1" ht="15" customHeight="1" x14ac:dyDescent="0.25">
      <c r="A51" s="215">
        <v>43748</v>
      </c>
      <c r="B51" s="349" t="s">
        <v>260</v>
      </c>
      <c r="C51" s="350" t="s">
        <v>12</v>
      </c>
      <c r="D51" s="350"/>
      <c r="E51" s="480"/>
      <c r="F51" s="780">
        <v>200</v>
      </c>
      <c r="G51" s="946"/>
      <c r="H51" s="97"/>
      <c r="I51" s="946">
        <v>200</v>
      </c>
      <c r="J51" s="97"/>
      <c r="K51" s="946"/>
      <c r="L51" s="97"/>
      <c r="M51" s="946"/>
      <c r="N51" s="923"/>
      <c r="P51" s="930"/>
    </row>
    <row r="52" spans="1:16" s="224" customFormat="1" ht="15" customHeight="1" x14ac:dyDescent="0.25">
      <c r="A52" s="215">
        <v>43779</v>
      </c>
      <c r="B52" s="349" t="s">
        <v>2425</v>
      </c>
      <c r="C52" s="352" t="s">
        <v>12</v>
      </c>
      <c r="D52" s="874" t="s">
        <v>1491</v>
      </c>
      <c r="E52" s="875" t="s">
        <v>15</v>
      </c>
      <c r="F52" s="780">
        <v>100</v>
      </c>
      <c r="G52" s="966"/>
      <c r="H52" s="622"/>
      <c r="I52" s="982"/>
      <c r="J52" s="622"/>
      <c r="K52" s="982"/>
      <c r="L52" s="622"/>
      <c r="M52" s="982"/>
    </row>
    <row r="53" spans="1:16" s="224" customFormat="1" ht="15" customHeight="1" x14ac:dyDescent="0.25">
      <c r="A53" s="215">
        <v>43780</v>
      </c>
      <c r="B53" s="349" t="s">
        <v>32</v>
      </c>
      <c r="C53" s="352" t="s">
        <v>12</v>
      </c>
      <c r="D53" s="874" t="s">
        <v>1485</v>
      </c>
      <c r="E53" s="480" t="s">
        <v>13</v>
      </c>
      <c r="F53" s="852">
        <v>14</v>
      </c>
      <c r="G53" s="957"/>
      <c r="H53" s="622"/>
      <c r="I53" s="982"/>
      <c r="J53" s="622"/>
      <c r="K53" s="982"/>
      <c r="L53" s="622"/>
      <c r="M53" s="982"/>
    </row>
    <row r="54" spans="1:16" s="224" customFormat="1" ht="15" customHeight="1" x14ac:dyDescent="0.25">
      <c r="A54" s="215">
        <v>43780</v>
      </c>
      <c r="B54" s="349" t="s">
        <v>2426</v>
      </c>
      <c r="C54" s="350" t="s">
        <v>19</v>
      </c>
      <c r="D54" s="350" t="s">
        <v>2157</v>
      </c>
      <c r="E54" s="480" t="s">
        <v>13</v>
      </c>
      <c r="F54" s="780">
        <v>75</v>
      </c>
      <c r="G54" s="946"/>
      <c r="H54" s="97"/>
      <c r="I54" s="982"/>
      <c r="J54" s="622"/>
      <c r="K54" s="982"/>
      <c r="L54" s="622"/>
      <c r="M54" s="982"/>
    </row>
    <row r="55" spans="1:16" s="224" customFormat="1" ht="15" customHeight="1" x14ac:dyDescent="0.25">
      <c r="A55" s="215">
        <v>43780</v>
      </c>
      <c r="B55" s="364" t="s">
        <v>1768</v>
      </c>
      <c r="C55" s="350" t="s">
        <v>19</v>
      </c>
      <c r="D55" s="350" t="s">
        <v>1506</v>
      </c>
      <c r="E55" s="480" t="s">
        <v>13</v>
      </c>
      <c r="F55" s="852">
        <v>90</v>
      </c>
      <c r="G55" s="965"/>
      <c r="H55" s="97"/>
      <c r="I55" s="946"/>
      <c r="J55" s="97"/>
      <c r="K55" s="946"/>
      <c r="L55" s="97"/>
      <c r="M55" s="946"/>
      <c r="N55" s="923"/>
      <c r="P55" s="930"/>
    </row>
    <row r="56" spans="1:16" s="224" customFormat="1" ht="15" customHeight="1" x14ac:dyDescent="0.25">
      <c r="A56" s="215">
        <v>43780</v>
      </c>
      <c r="B56" s="364" t="s">
        <v>2427</v>
      </c>
      <c r="C56" s="350" t="s">
        <v>19</v>
      </c>
      <c r="D56" s="350" t="s">
        <v>1506</v>
      </c>
      <c r="E56" s="480" t="s">
        <v>13</v>
      </c>
      <c r="F56" s="852">
        <v>23</v>
      </c>
      <c r="G56" s="965"/>
      <c r="H56" s="97"/>
      <c r="I56" s="946"/>
      <c r="J56" s="97"/>
      <c r="K56" s="946"/>
      <c r="L56" s="97"/>
      <c r="M56" s="946"/>
      <c r="N56" s="923"/>
      <c r="P56" s="930"/>
    </row>
    <row r="57" spans="1:16" s="224" customFormat="1" ht="15" customHeight="1" x14ac:dyDescent="0.25">
      <c r="A57" s="215">
        <v>43780</v>
      </c>
      <c r="B57" s="364" t="s">
        <v>14</v>
      </c>
      <c r="C57" s="350" t="s">
        <v>12</v>
      </c>
      <c r="D57" s="350" t="s">
        <v>1486</v>
      </c>
      <c r="E57" s="875" t="s">
        <v>13</v>
      </c>
      <c r="F57" s="852">
        <v>3.5</v>
      </c>
      <c r="G57" s="965"/>
      <c r="H57" s="97"/>
      <c r="I57" s="946"/>
      <c r="J57" s="97"/>
      <c r="K57" s="946"/>
      <c r="L57" s="97"/>
      <c r="M57" s="946"/>
      <c r="N57" s="923"/>
      <c r="P57" s="930"/>
    </row>
    <row r="58" spans="1:16" s="224" customFormat="1" ht="15" customHeight="1" x14ac:dyDescent="0.25">
      <c r="A58" s="215">
        <v>43780</v>
      </c>
      <c r="B58" s="364" t="s">
        <v>1396</v>
      </c>
      <c r="C58" s="350" t="s">
        <v>12</v>
      </c>
      <c r="D58" s="350"/>
      <c r="E58" s="480" t="s">
        <v>25</v>
      </c>
      <c r="F58" s="538"/>
      <c r="G58" s="967">
        <v>45</v>
      </c>
      <c r="H58" s="97"/>
      <c r="I58" s="946"/>
      <c r="J58" s="622"/>
      <c r="K58" s="982"/>
      <c r="L58" s="622"/>
      <c r="M58" s="982"/>
    </row>
    <row r="59" spans="1:16" s="224" customFormat="1" ht="15" customHeight="1" x14ac:dyDescent="0.25">
      <c r="A59" s="215">
        <v>43781</v>
      </c>
      <c r="B59" s="349" t="s">
        <v>32</v>
      </c>
      <c r="C59" s="352" t="s">
        <v>12</v>
      </c>
      <c r="D59" s="874" t="s">
        <v>1485</v>
      </c>
      <c r="E59" s="480" t="s">
        <v>13</v>
      </c>
      <c r="F59" s="852">
        <v>14</v>
      </c>
      <c r="G59" s="957"/>
      <c r="H59" s="622"/>
      <c r="I59" s="982"/>
      <c r="J59" s="622"/>
      <c r="K59" s="982"/>
      <c r="L59" s="622"/>
      <c r="M59" s="982"/>
    </row>
    <row r="60" spans="1:16" s="224" customFormat="1" ht="15" customHeight="1" x14ac:dyDescent="0.25">
      <c r="A60" s="215">
        <v>43781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852">
        <v>7.83</v>
      </c>
      <c r="G60" s="965"/>
      <c r="H60" s="97"/>
      <c r="I60" s="982"/>
      <c r="J60" s="622"/>
      <c r="K60" s="982"/>
      <c r="L60" s="622"/>
      <c r="M60" s="982"/>
    </row>
    <row r="61" spans="1:16" s="224" customFormat="1" ht="15" customHeight="1" x14ac:dyDescent="0.25">
      <c r="A61" s="215">
        <v>43782</v>
      </c>
      <c r="B61" s="364" t="s">
        <v>14</v>
      </c>
      <c r="C61" s="350" t="s">
        <v>12</v>
      </c>
      <c r="D61" s="350" t="s">
        <v>1486</v>
      </c>
      <c r="E61" s="875" t="s">
        <v>13</v>
      </c>
      <c r="F61" s="852">
        <v>5.88</v>
      </c>
      <c r="G61" s="965"/>
      <c r="H61" s="97"/>
      <c r="I61" s="982"/>
      <c r="J61" s="622"/>
      <c r="K61" s="982"/>
      <c r="L61" s="622"/>
      <c r="M61" s="982"/>
    </row>
    <row r="62" spans="1:16" s="224" customFormat="1" ht="15" customHeight="1" x14ac:dyDescent="0.25">
      <c r="A62" s="215">
        <v>43782</v>
      </c>
      <c r="B62" s="349" t="s">
        <v>32</v>
      </c>
      <c r="C62" s="352" t="s">
        <v>12</v>
      </c>
      <c r="D62" s="874" t="s">
        <v>1485</v>
      </c>
      <c r="E62" s="480" t="s">
        <v>15</v>
      </c>
      <c r="F62" s="852">
        <v>14</v>
      </c>
      <c r="G62" s="957"/>
      <c r="H62" s="622"/>
      <c r="I62" s="982"/>
      <c r="J62" s="622"/>
      <c r="K62" s="982"/>
      <c r="L62" s="622"/>
      <c r="M62" s="982"/>
    </row>
    <row r="63" spans="1:16" s="224" customFormat="1" ht="15" customHeight="1" x14ac:dyDescent="0.25">
      <c r="A63" s="215">
        <v>43782</v>
      </c>
      <c r="B63" s="364" t="s">
        <v>2415</v>
      </c>
      <c r="C63" s="350" t="s">
        <v>12</v>
      </c>
      <c r="D63" s="350" t="s">
        <v>1493</v>
      </c>
      <c r="E63" s="875" t="s">
        <v>15</v>
      </c>
      <c r="F63" s="852">
        <v>5</v>
      </c>
      <c r="G63" s="964"/>
      <c r="H63" s="622"/>
      <c r="I63" s="982"/>
      <c r="J63" s="622"/>
      <c r="K63" s="982"/>
      <c r="L63" s="622"/>
      <c r="M63" s="982"/>
    </row>
    <row r="64" spans="1:16" s="224" customFormat="1" ht="15" customHeight="1" x14ac:dyDescent="0.25">
      <c r="A64" s="215">
        <v>43782</v>
      </c>
      <c r="B64" s="364" t="s">
        <v>14</v>
      </c>
      <c r="C64" s="350" t="s">
        <v>12</v>
      </c>
      <c r="D64" s="350" t="s">
        <v>1486</v>
      </c>
      <c r="E64" s="875" t="s">
        <v>13</v>
      </c>
      <c r="F64" s="852">
        <v>3.89</v>
      </c>
      <c r="G64" s="965"/>
      <c r="H64" s="97"/>
      <c r="I64" s="982"/>
      <c r="J64" s="622"/>
      <c r="K64" s="982"/>
      <c r="L64" s="622"/>
      <c r="M64" s="982"/>
    </row>
    <row r="65" spans="1:16" s="224" customFormat="1" ht="15" customHeight="1" x14ac:dyDescent="0.25">
      <c r="A65" s="215">
        <v>43782</v>
      </c>
      <c r="B65" s="364" t="s">
        <v>2428</v>
      </c>
      <c r="C65" s="350" t="s">
        <v>12</v>
      </c>
      <c r="D65" s="350" t="s">
        <v>1522</v>
      </c>
      <c r="E65" s="875" t="s">
        <v>13</v>
      </c>
      <c r="F65" s="852">
        <v>10</v>
      </c>
      <c r="G65" s="965"/>
      <c r="H65" s="97"/>
      <c r="I65" s="982"/>
      <c r="J65" s="622"/>
      <c r="K65" s="982"/>
      <c r="L65" s="622"/>
      <c r="M65" s="982"/>
    </row>
    <row r="66" spans="1:16" s="224" customFormat="1" ht="15" customHeight="1" x14ac:dyDescent="0.25">
      <c r="A66" s="215">
        <v>43783</v>
      </c>
      <c r="B66" s="862" t="s">
        <v>256</v>
      </c>
      <c r="C66" s="879"/>
      <c r="D66" s="879"/>
      <c r="E66" s="871"/>
      <c r="F66" s="97"/>
      <c r="G66" s="946">
        <v>300</v>
      </c>
      <c r="H66" s="97">
        <v>300</v>
      </c>
      <c r="I66" s="982"/>
      <c r="J66" s="622"/>
      <c r="K66" s="982"/>
      <c r="L66" s="622"/>
      <c r="M66" s="982"/>
    </row>
    <row r="67" spans="1:16" s="224" customFormat="1" ht="15" customHeight="1" x14ac:dyDescent="0.25">
      <c r="A67" s="215">
        <v>43783</v>
      </c>
      <c r="B67" s="349" t="s">
        <v>2429</v>
      </c>
      <c r="C67" s="350" t="s">
        <v>12</v>
      </c>
      <c r="D67" s="350" t="s">
        <v>1522</v>
      </c>
      <c r="E67" s="480" t="s">
        <v>13</v>
      </c>
      <c r="F67" s="852">
        <v>135.38999999999999</v>
      </c>
      <c r="G67" s="1527"/>
      <c r="H67" s="97"/>
      <c r="I67" s="946"/>
      <c r="J67" s="97"/>
      <c r="K67" s="946"/>
      <c r="L67" s="97"/>
      <c r="M67" s="946"/>
    </row>
    <row r="68" spans="1:16" s="224" customFormat="1" ht="15" customHeight="1" x14ac:dyDescent="0.25">
      <c r="A68" s="215">
        <v>43783</v>
      </c>
      <c r="B68" s="349" t="s">
        <v>2430</v>
      </c>
      <c r="C68" s="350" t="s">
        <v>12</v>
      </c>
      <c r="D68" s="350" t="s">
        <v>1522</v>
      </c>
      <c r="E68" s="480" t="s">
        <v>13</v>
      </c>
      <c r="F68" s="852">
        <v>133.33000000000001</v>
      </c>
      <c r="G68" s="1527"/>
      <c r="H68" s="97"/>
      <c r="I68" s="982"/>
      <c r="J68" s="622"/>
      <c r="K68" s="982"/>
      <c r="L68" s="622"/>
      <c r="M68" s="982"/>
    </row>
    <row r="69" spans="1:16" s="224" customFormat="1" ht="15" customHeight="1" x14ac:dyDescent="0.25">
      <c r="A69" s="215">
        <v>43783</v>
      </c>
      <c r="B69" s="349" t="s">
        <v>134</v>
      </c>
      <c r="C69" s="352" t="s">
        <v>12</v>
      </c>
      <c r="D69" s="874" t="s">
        <v>1493</v>
      </c>
      <c r="E69" s="875" t="s">
        <v>13</v>
      </c>
      <c r="F69" s="852">
        <v>11</v>
      </c>
      <c r="G69" s="965"/>
      <c r="H69" s="97"/>
      <c r="I69" s="982"/>
      <c r="J69" s="622"/>
      <c r="K69" s="982"/>
      <c r="L69" s="622"/>
      <c r="M69" s="982"/>
    </row>
    <row r="70" spans="1:16" s="224" customFormat="1" ht="15" customHeight="1" x14ac:dyDescent="0.25">
      <c r="A70" s="215">
        <v>43784</v>
      </c>
      <c r="B70" s="349" t="s">
        <v>2198</v>
      </c>
      <c r="C70" s="350" t="s">
        <v>12</v>
      </c>
      <c r="D70" s="350" t="s">
        <v>2157</v>
      </c>
      <c r="E70" s="480" t="s">
        <v>15</v>
      </c>
      <c r="F70" s="780">
        <v>30</v>
      </c>
      <c r="G70" s="946"/>
      <c r="H70" s="97"/>
      <c r="I70" s="946"/>
      <c r="J70" s="97"/>
      <c r="K70" s="946"/>
      <c r="L70" s="97"/>
      <c r="M70" s="946"/>
      <c r="N70" s="923"/>
      <c r="P70" s="930"/>
    </row>
    <row r="71" spans="1:16" s="224" customFormat="1" ht="15" customHeight="1" x14ac:dyDescent="0.25">
      <c r="A71" s="215">
        <v>43784</v>
      </c>
      <c r="B71" s="349" t="s">
        <v>1438</v>
      </c>
      <c r="C71" s="352" t="s">
        <v>19</v>
      </c>
      <c r="D71" s="874" t="s">
        <v>1489</v>
      </c>
      <c r="E71" s="480" t="s">
        <v>13</v>
      </c>
      <c r="F71" s="852">
        <v>20</v>
      </c>
      <c r="G71" s="957"/>
      <c r="H71" s="622"/>
      <c r="I71" s="982"/>
      <c r="J71" s="622"/>
      <c r="K71" s="982"/>
      <c r="L71" s="622"/>
      <c r="M71" s="982"/>
    </row>
    <row r="72" spans="1:16" s="224" customFormat="1" ht="15" customHeight="1" x14ac:dyDescent="0.25">
      <c r="A72" s="215">
        <v>43784</v>
      </c>
      <c r="B72" s="349" t="s">
        <v>2431</v>
      </c>
      <c r="C72" s="352" t="s">
        <v>12</v>
      </c>
      <c r="D72" s="874" t="s">
        <v>1491</v>
      </c>
      <c r="E72" s="480" t="s">
        <v>13</v>
      </c>
      <c r="F72" s="852">
        <v>18</v>
      </c>
      <c r="G72" s="964"/>
      <c r="H72" s="622"/>
      <c r="I72" s="982"/>
      <c r="J72" s="622"/>
      <c r="K72" s="982"/>
      <c r="L72" s="622"/>
      <c r="M72" s="982"/>
      <c r="N72" s="932"/>
    </row>
    <row r="73" spans="1:16" s="224" customFormat="1" ht="15" customHeight="1" x14ac:dyDescent="0.25">
      <c r="A73" s="215">
        <v>43784</v>
      </c>
      <c r="B73" s="349" t="s">
        <v>32</v>
      </c>
      <c r="C73" s="352" t="s">
        <v>12</v>
      </c>
      <c r="D73" s="874" t="s">
        <v>1485</v>
      </c>
      <c r="E73" s="480" t="s">
        <v>13</v>
      </c>
      <c r="F73" s="852">
        <v>17.899999999999999</v>
      </c>
      <c r="G73" s="957"/>
      <c r="H73" s="622"/>
      <c r="I73" s="982"/>
      <c r="J73" s="622"/>
      <c r="K73" s="982"/>
      <c r="L73" s="622"/>
      <c r="M73" s="982"/>
    </row>
    <row r="74" spans="1:16" s="224" customFormat="1" ht="15" customHeight="1" x14ac:dyDescent="0.25">
      <c r="A74" s="215">
        <v>43785</v>
      </c>
      <c r="B74" s="349" t="s">
        <v>43</v>
      </c>
      <c r="C74" s="352" t="s">
        <v>12</v>
      </c>
      <c r="D74" s="874" t="s">
        <v>1493</v>
      </c>
      <c r="E74" s="480" t="s">
        <v>13</v>
      </c>
      <c r="F74" s="852">
        <v>18</v>
      </c>
      <c r="G74" s="964"/>
      <c r="H74" s="622"/>
      <c r="I74" s="982"/>
      <c r="J74" s="622"/>
      <c r="K74" s="982"/>
      <c r="L74" s="622"/>
      <c r="M74" s="982"/>
      <c r="N74" s="932"/>
    </row>
    <row r="75" spans="1:16" s="224" customFormat="1" ht="15" customHeight="1" x14ac:dyDescent="0.25">
      <c r="A75" s="215">
        <v>43785</v>
      </c>
      <c r="B75" s="349" t="s">
        <v>82</v>
      </c>
      <c r="C75" s="352" t="s">
        <v>12</v>
      </c>
      <c r="D75" s="874" t="s">
        <v>1493</v>
      </c>
      <c r="E75" s="480" t="s">
        <v>13</v>
      </c>
      <c r="F75" s="852">
        <v>27.4</v>
      </c>
      <c r="G75" s="964"/>
      <c r="H75" s="622"/>
      <c r="I75" s="982"/>
      <c r="J75" s="622"/>
      <c r="K75" s="982"/>
      <c r="L75" s="622"/>
      <c r="M75" s="982"/>
      <c r="N75" s="932"/>
    </row>
    <row r="76" spans="1:16" s="224" customFormat="1" ht="15" customHeight="1" x14ac:dyDescent="0.25">
      <c r="A76" s="215">
        <v>43786</v>
      </c>
      <c r="B76" s="349" t="s">
        <v>2432</v>
      </c>
      <c r="C76" s="352" t="s">
        <v>12</v>
      </c>
      <c r="D76" s="874" t="s">
        <v>1485</v>
      </c>
      <c r="E76" s="875" t="s">
        <v>13</v>
      </c>
      <c r="F76" s="852">
        <v>19.899999999999999</v>
      </c>
      <c r="G76" s="965"/>
      <c r="H76" s="97"/>
      <c r="I76" s="982"/>
      <c r="J76" s="622"/>
      <c r="K76" s="982"/>
      <c r="L76" s="622"/>
      <c r="M76" s="982"/>
    </row>
    <row r="77" spans="1:16" s="224" customFormat="1" ht="15" customHeight="1" x14ac:dyDescent="0.25">
      <c r="A77" s="215">
        <v>43787</v>
      </c>
      <c r="B77" s="349" t="s">
        <v>1241</v>
      </c>
      <c r="C77" s="350" t="s">
        <v>12</v>
      </c>
      <c r="D77" s="350" t="s">
        <v>1504</v>
      </c>
      <c r="E77" s="480" t="s">
        <v>13</v>
      </c>
      <c r="F77" s="780">
        <v>10</v>
      </c>
      <c r="G77" s="946"/>
      <c r="H77" s="97"/>
      <c r="I77" s="946"/>
      <c r="J77" s="97"/>
      <c r="K77" s="946"/>
      <c r="L77" s="97"/>
      <c r="M77" s="946"/>
      <c r="N77" s="923"/>
      <c r="P77" s="930"/>
    </row>
    <row r="78" spans="1:16" s="224" customFormat="1" ht="15" customHeight="1" x14ac:dyDescent="0.25">
      <c r="A78" s="215">
        <v>43787</v>
      </c>
      <c r="B78" s="349" t="s">
        <v>32</v>
      </c>
      <c r="C78" s="352" t="s">
        <v>12</v>
      </c>
      <c r="D78" s="874" t="s">
        <v>1485</v>
      </c>
      <c r="E78" s="480" t="s">
        <v>15</v>
      </c>
      <c r="F78" s="852">
        <v>14</v>
      </c>
      <c r="G78" s="957"/>
      <c r="H78" s="622"/>
      <c r="I78" s="982"/>
      <c r="J78" s="622"/>
      <c r="K78" s="982"/>
      <c r="L78" s="622"/>
      <c r="M78" s="982"/>
    </row>
    <row r="79" spans="1:16" s="224" customFormat="1" ht="15" customHeight="1" x14ac:dyDescent="0.25">
      <c r="A79" s="215">
        <v>43787</v>
      </c>
      <c r="B79" s="364" t="s">
        <v>14</v>
      </c>
      <c r="C79" s="350" t="s">
        <v>12</v>
      </c>
      <c r="D79" s="350" t="s">
        <v>1486</v>
      </c>
      <c r="E79" s="875" t="s">
        <v>13</v>
      </c>
      <c r="F79" s="852">
        <v>8.94</v>
      </c>
      <c r="G79" s="965"/>
      <c r="H79" s="97"/>
      <c r="I79" s="982"/>
      <c r="J79" s="622"/>
      <c r="K79" s="982"/>
      <c r="L79" s="622"/>
      <c r="M79" s="982"/>
    </row>
    <row r="80" spans="1:16" s="224" customFormat="1" ht="15" customHeight="1" x14ac:dyDescent="0.25">
      <c r="A80" s="215">
        <v>43788</v>
      </c>
      <c r="B80" s="349" t="s">
        <v>32</v>
      </c>
      <c r="C80" s="352" t="s">
        <v>12</v>
      </c>
      <c r="D80" s="874" t="s">
        <v>1485</v>
      </c>
      <c r="E80" s="480" t="s">
        <v>13</v>
      </c>
      <c r="F80" s="852">
        <v>14</v>
      </c>
      <c r="G80" s="957"/>
      <c r="H80" s="622"/>
      <c r="I80" s="982"/>
      <c r="J80" s="622"/>
      <c r="K80" s="982"/>
      <c r="L80" s="622"/>
      <c r="M80" s="982"/>
    </row>
    <row r="81" spans="1:16" x14ac:dyDescent="0.25">
      <c r="A81" s="215">
        <v>43789</v>
      </c>
      <c r="B81" s="882" t="s">
        <v>2433</v>
      </c>
      <c r="C81" s="350" t="s">
        <v>12</v>
      </c>
      <c r="D81" s="145"/>
      <c r="E81" s="145" t="s">
        <v>25</v>
      </c>
      <c r="F81" s="1529"/>
      <c r="G81" s="965">
        <v>1660</v>
      </c>
      <c r="H81" s="97"/>
      <c r="I81" s="946"/>
      <c r="J81" s="97"/>
      <c r="K81" s="946"/>
      <c r="L81" s="97"/>
      <c r="M81" s="946"/>
      <c r="N81" s="952"/>
      <c r="O81" s="85"/>
    </row>
    <row r="82" spans="1:16" s="224" customFormat="1" ht="15" customHeight="1" x14ac:dyDescent="0.25">
      <c r="A82" s="215">
        <v>43789</v>
      </c>
      <c r="B82" s="349" t="s">
        <v>2434</v>
      </c>
      <c r="C82" s="350" t="s">
        <v>12</v>
      </c>
      <c r="D82" s="350"/>
      <c r="E82" s="480" t="s">
        <v>25</v>
      </c>
      <c r="F82" s="780"/>
      <c r="G82" s="946">
        <v>170</v>
      </c>
      <c r="H82" s="97"/>
      <c r="I82" s="946"/>
      <c r="J82" s="97"/>
      <c r="K82" s="946"/>
      <c r="L82" s="97"/>
      <c r="M82" s="946"/>
      <c r="N82" s="939"/>
      <c r="P82" s="930"/>
    </row>
    <row r="83" spans="1:16" s="224" customFormat="1" x14ac:dyDescent="0.25">
      <c r="A83" s="215">
        <v>43789</v>
      </c>
      <c r="B83" s="873" t="s">
        <v>1564</v>
      </c>
      <c r="C83" s="879" t="s">
        <v>12</v>
      </c>
      <c r="D83" s="350" t="s">
        <v>1491</v>
      </c>
      <c r="E83" s="871" t="s">
        <v>15</v>
      </c>
      <c r="F83" s="853">
        <v>140</v>
      </c>
      <c r="G83" s="964"/>
      <c r="H83" s="622"/>
      <c r="I83" s="982"/>
      <c r="J83" s="622"/>
      <c r="K83" s="982"/>
      <c r="L83" s="622"/>
      <c r="M83" s="982"/>
      <c r="N83" s="949"/>
    </row>
    <row r="84" spans="1:16" s="224" customFormat="1" ht="15.75" customHeight="1" x14ac:dyDescent="0.25">
      <c r="A84" s="215">
        <v>43789</v>
      </c>
      <c r="B84" s="882" t="s">
        <v>2435</v>
      </c>
      <c r="C84" s="879" t="s">
        <v>12</v>
      </c>
      <c r="D84" s="879" t="s">
        <v>1499</v>
      </c>
      <c r="E84" s="871" t="s">
        <v>13</v>
      </c>
      <c r="F84" s="853">
        <v>47.35</v>
      </c>
      <c r="G84" s="968"/>
      <c r="H84" s="538"/>
      <c r="I84" s="982"/>
      <c r="J84" s="622"/>
      <c r="K84" s="982"/>
      <c r="L84" s="622"/>
      <c r="M84" s="982"/>
      <c r="N84" s="980">
        <v>107.35</v>
      </c>
    </row>
    <row r="85" spans="1:16" s="224" customFormat="1" ht="15" customHeight="1" x14ac:dyDescent="0.25">
      <c r="A85" s="215">
        <v>43789</v>
      </c>
      <c r="B85" s="349" t="s">
        <v>2436</v>
      </c>
      <c r="C85" s="352" t="s">
        <v>19</v>
      </c>
      <c r="D85" s="874" t="s">
        <v>1525</v>
      </c>
      <c r="E85" s="875" t="s">
        <v>15</v>
      </c>
      <c r="F85" s="852">
        <v>300</v>
      </c>
      <c r="G85" s="965"/>
      <c r="H85" s="97"/>
      <c r="I85" s="982"/>
      <c r="J85" s="622"/>
      <c r="K85" s="982"/>
      <c r="L85" s="622"/>
      <c r="M85" s="982"/>
      <c r="N85" s="977" t="s">
        <v>2437</v>
      </c>
      <c r="O85" s="978"/>
    </row>
    <row r="86" spans="1:16" s="224" customFormat="1" ht="15" customHeight="1" x14ac:dyDescent="0.25">
      <c r="A86" s="215">
        <v>43789</v>
      </c>
      <c r="B86" s="349" t="s">
        <v>260</v>
      </c>
      <c r="C86" s="350" t="s">
        <v>12</v>
      </c>
      <c r="D86" s="350"/>
      <c r="E86" s="480"/>
      <c r="F86" s="780">
        <v>300</v>
      </c>
      <c r="G86" s="946"/>
      <c r="H86" s="97"/>
      <c r="I86" s="946">
        <v>300</v>
      </c>
      <c r="J86" s="97"/>
      <c r="K86" s="946"/>
      <c r="L86" s="97"/>
      <c r="M86" s="946"/>
      <c r="N86" s="923"/>
      <c r="P86" s="930"/>
    </row>
    <row r="87" spans="1:16" s="224" customFormat="1" ht="15" customHeight="1" x14ac:dyDescent="0.25">
      <c r="A87" s="215">
        <v>43789</v>
      </c>
      <c r="B87" s="349" t="s">
        <v>32</v>
      </c>
      <c r="C87" s="352" t="s">
        <v>12</v>
      </c>
      <c r="D87" s="874" t="s">
        <v>1485</v>
      </c>
      <c r="E87" s="480" t="s">
        <v>13</v>
      </c>
      <c r="F87" s="852">
        <v>14</v>
      </c>
      <c r="G87" s="957"/>
      <c r="H87" s="622"/>
      <c r="I87" s="982"/>
      <c r="J87" s="622"/>
      <c r="K87" s="982"/>
      <c r="L87" s="622"/>
      <c r="M87" s="982"/>
    </row>
    <row r="88" spans="1:16" s="224" customFormat="1" ht="15" customHeight="1" x14ac:dyDescent="0.25">
      <c r="A88" s="215">
        <v>43789</v>
      </c>
      <c r="B88" s="364" t="s">
        <v>14</v>
      </c>
      <c r="C88" s="350" t="s">
        <v>12</v>
      </c>
      <c r="D88" s="350" t="s">
        <v>1486</v>
      </c>
      <c r="E88" s="875" t="s">
        <v>13</v>
      </c>
      <c r="F88" s="852">
        <v>5.98</v>
      </c>
      <c r="G88" s="965"/>
      <c r="H88" s="97"/>
      <c r="I88" s="982"/>
      <c r="J88" s="622"/>
      <c r="K88" s="982"/>
      <c r="L88" s="622"/>
      <c r="M88" s="982"/>
    </row>
    <row r="89" spans="1:16" s="224" customFormat="1" ht="15" customHeight="1" x14ac:dyDescent="0.25">
      <c r="A89" s="215">
        <v>43789</v>
      </c>
      <c r="B89" s="364" t="s">
        <v>2415</v>
      </c>
      <c r="C89" s="350" t="s">
        <v>12</v>
      </c>
      <c r="D89" s="350" t="s">
        <v>1493</v>
      </c>
      <c r="E89" s="875" t="s">
        <v>13</v>
      </c>
      <c r="F89" s="852">
        <v>10</v>
      </c>
      <c r="G89" s="964"/>
      <c r="H89" s="622"/>
      <c r="I89" s="982"/>
      <c r="J89" s="622"/>
      <c r="K89" s="982"/>
      <c r="L89" s="622"/>
      <c r="M89" s="982"/>
    </row>
    <row r="90" spans="1:16" s="224" customFormat="1" ht="15" customHeight="1" x14ac:dyDescent="0.25">
      <c r="A90" s="215">
        <v>43789</v>
      </c>
      <c r="B90" s="349" t="s">
        <v>2417</v>
      </c>
      <c r="C90" s="350" t="s">
        <v>12</v>
      </c>
      <c r="D90" s="350" t="s">
        <v>1491</v>
      </c>
      <c r="E90" s="480" t="s">
        <v>15</v>
      </c>
      <c r="F90" s="780">
        <v>40</v>
      </c>
      <c r="G90" s="946"/>
      <c r="H90" s="97"/>
      <c r="I90" s="946"/>
      <c r="J90" s="97"/>
      <c r="K90" s="946"/>
      <c r="L90" s="97"/>
      <c r="M90" s="946"/>
      <c r="N90" s="939"/>
      <c r="P90" s="930"/>
    </row>
    <row r="91" spans="1:16" s="224" customFormat="1" ht="15" customHeight="1" x14ac:dyDescent="0.25">
      <c r="A91" s="215">
        <v>43790</v>
      </c>
      <c r="B91" s="349" t="s">
        <v>32</v>
      </c>
      <c r="C91" s="352" t="s">
        <v>12</v>
      </c>
      <c r="D91" s="874" t="s">
        <v>1485</v>
      </c>
      <c r="E91" s="480" t="s">
        <v>15</v>
      </c>
      <c r="F91" s="852">
        <v>14</v>
      </c>
      <c r="G91" s="957"/>
      <c r="H91" s="622"/>
      <c r="I91" s="982"/>
      <c r="J91" s="622"/>
      <c r="K91" s="982"/>
      <c r="L91" s="622"/>
      <c r="M91" s="982"/>
    </row>
    <row r="92" spans="1:16" s="224" customFormat="1" ht="15" customHeight="1" x14ac:dyDescent="0.25">
      <c r="A92" s="215">
        <v>43790</v>
      </c>
      <c r="B92" s="364" t="s">
        <v>14</v>
      </c>
      <c r="C92" s="350" t="s">
        <v>12</v>
      </c>
      <c r="D92" s="350" t="s">
        <v>1486</v>
      </c>
      <c r="E92" s="875" t="s">
        <v>13</v>
      </c>
      <c r="F92" s="852">
        <v>3.6</v>
      </c>
      <c r="G92" s="964"/>
      <c r="H92" s="622"/>
      <c r="I92" s="982"/>
      <c r="J92" s="622"/>
      <c r="K92" s="982"/>
      <c r="L92" s="622"/>
      <c r="M92" s="982"/>
      <c r="N92" s="878"/>
    </row>
    <row r="93" spans="1:16" s="224" customFormat="1" ht="15" customHeight="1" x14ac:dyDescent="0.25">
      <c r="A93" s="215">
        <v>43791</v>
      </c>
      <c r="B93" s="349" t="s">
        <v>32</v>
      </c>
      <c r="C93" s="352" t="s">
        <v>12</v>
      </c>
      <c r="D93" s="874" t="s">
        <v>1485</v>
      </c>
      <c r="E93" s="480" t="s">
        <v>15</v>
      </c>
      <c r="F93" s="852">
        <v>14</v>
      </c>
      <c r="G93" s="964"/>
      <c r="H93" s="622"/>
      <c r="I93" s="982"/>
      <c r="J93" s="622"/>
      <c r="K93" s="982"/>
      <c r="L93" s="622"/>
      <c r="M93" s="982"/>
      <c r="N93" s="878"/>
    </row>
    <row r="94" spans="1:16" s="224" customFormat="1" ht="15" customHeight="1" x14ac:dyDescent="0.25">
      <c r="A94" s="215">
        <v>43791</v>
      </c>
      <c r="B94" s="349" t="s">
        <v>2438</v>
      </c>
      <c r="C94" s="352" t="s">
        <v>12</v>
      </c>
      <c r="D94" s="874" t="s">
        <v>1522</v>
      </c>
      <c r="E94" s="875" t="s">
        <v>15</v>
      </c>
      <c r="F94" s="852">
        <v>180</v>
      </c>
      <c r="G94" s="964"/>
      <c r="H94" s="622"/>
      <c r="I94" s="982"/>
      <c r="J94" s="622"/>
      <c r="K94" s="982"/>
      <c r="L94" s="622"/>
      <c r="M94" s="982"/>
      <c r="N94" s="878"/>
    </row>
    <row r="95" spans="1:16" s="224" customFormat="1" ht="15" customHeight="1" x14ac:dyDescent="0.25">
      <c r="A95" s="215">
        <v>43791</v>
      </c>
      <c r="B95" s="349" t="s">
        <v>82</v>
      </c>
      <c r="C95" s="352" t="s">
        <v>12</v>
      </c>
      <c r="D95" s="874" t="s">
        <v>1493</v>
      </c>
      <c r="E95" s="875" t="s">
        <v>13</v>
      </c>
      <c r="F95" s="852">
        <v>34.9</v>
      </c>
      <c r="G95" s="964"/>
      <c r="H95" s="622"/>
      <c r="I95" s="982"/>
      <c r="J95" s="622"/>
      <c r="K95" s="982"/>
      <c r="L95" s="622"/>
      <c r="M95" s="982"/>
      <c r="N95" s="878"/>
    </row>
    <row r="96" spans="1:16" s="224" customFormat="1" ht="15" customHeight="1" x14ac:dyDescent="0.25">
      <c r="A96" s="215">
        <v>43792</v>
      </c>
      <c r="B96" s="364" t="s">
        <v>14</v>
      </c>
      <c r="C96" s="350" t="s">
        <v>12</v>
      </c>
      <c r="D96" s="350" t="s">
        <v>1486</v>
      </c>
      <c r="E96" s="875" t="s">
        <v>13</v>
      </c>
      <c r="F96" s="852">
        <v>4.2699999999999996</v>
      </c>
      <c r="G96" s="965"/>
      <c r="H96" s="97"/>
      <c r="I96" s="946"/>
      <c r="J96" s="97"/>
      <c r="K96" s="946"/>
      <c r="L96" s="97"/>
      <c r="M96" s="946"/>
      <c r="N96" s="939"/>
      <c r="P96" s="930"/>
    </row>
    <row r="97" spans="1:16" s="224" customFormat="1" ht="15" customHeight="1" x14ac:dyDescent="0.25">
      <c r="A97" s="215">
        <v>43792</v>
      </c>
      <c r="B97" s="364" t="s">
        <v>1438</v>
      </c>
      <c r="C97" s="350" t="s">
        <v>19</v>
      </c>
      <c r="D97" s="350" t="s">
        <v>1489</v>
      </c>
      <c r="E97" s="875" t="s">
        <v>13</v>
      </c>
      <c r="F97" s="852">
        <v>70.31</v>
      </c>
      <c r="G97" s="965"/>
      <c r="H97" s="97"/>
      <c r="I97" s="982"/>
      <c r="J97" s="622"/>
      <c r="K97" s="982"/>
      <c r="L97" s="622"/>
      <c r="M97" s="982"/>
    </row>
    <row r="98" spans="1:16" s="224" customFormat="1" ht="15" customHeight="1" x14ac:dyDescent="0.25">
      <c r="A98" s="215">
        <v>43792</v>
      </c>
      <c r="B98" s="364" t="s">
        <v>80</v>
      </c>
      <c r="C98" s="350" t="s">
        <v>19</v>
      </c>
      <c r="D98" s="350" t="s">
        <v>1523</v>
      </c>
      <c r="E98" s="875" t="s">
        <v>13</v>
      </c>
      <c r="F98" s="852">
        <v>29</v>
      </c>
      <c r="G98" s="965"/>
      <c r="H98" s="97"/>
      <c r="I98" s="982"/>
      <c r="J98" s="622"/>
      <c r="K98" s="982"/>
      <c r="L98" s="622"/>
      <c r="M98" s="982"/>
    </row>
    <row r="99" spans="1:16" s="224" customFormat="1" ht="15" customHeight="1" x14ac:dyDescent="0.25">
      <c r="A99" s="215">
        <v>43792</v>
      </c>
      <c r="B99" s="349" t="s">
        <v>2198</v>
      </c>
      <c r="C99" s="350" t="s">
        <v>12</v>
      </c>
      <c r="D99" s="350" t="s">
        <v>2157</v>
      </c>
      <c r="E99" s="480" t="s">
        <v>15</v>
      </c>
      <c r="F99" s="780">
        <v>40</v>
      </c>
      <c r="G99" s="946"/>
      <c r="H99" s="97"/>
      <c r="I99" s="946"/>
      <c r="J99" s="97"/>
      <c r="K99" s="946"/>
      <c r="L99" s="97"/>
      <c r="M99" s="946"/>
      <c r="N99" s="923"/>
      <c r="P99" s="930"/>
    </row>
    <row r="100" spans="1:16" s="224" customFormat="1" ht="15" customHeight="1" x14ac:dyDescent="0.25">
      <c r="A100" s="215">
        <v>43792</v>
      </c>
      <c r="B100" s="349" t="s">
        <v>2439</v>
      </c>
      <c r="C100" s="350" t="s">
        <v>12</v>
      </c>
      <c r="D100" s="350" t="s">
        <v>1489</v>
      </c>
      <c r="E100" s="480" t="s">
        <v>15</v>
      </c>
      <c r="F100" s="780">
        <v>9</v>
      </c>
      <c r="G100" s="946"/>
      <c r="H100" s="97"/>
      <c r="I100" s="946"/>
      <c r="J100" s="97"/>
      <c r="K100" s="946"/>
      <c r="L100" s="97"/>
      <c r="M100" s="946"/>
      <c r="N100" s="923"/>
      <c r="P100" s="930"/>
    </row>
    <row r="101" spans="1:16" s="224" customFormat="1" ht="15" customHeight="1" x14ac:dyDescent="0.25">
      <c r="A101" s="215">
        <v>43793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9.24</v>
      </c>
      <c r="G101" s="965"/>
      <c r="H101" s="97"/>
      <c r="I101" s="982"/>
      <c r="J101" s="622"/>
      <c r="K101" s="982"/>
      <c r="L101" s="622"/>
      <c r="M101" s="982"/>
    </row>
    <row r="102" spans="1:16" s="224" customFormat="1" ht="15" customHeight="1" x14ac:dyDescent="0.25">
      <c r="A102" s="215">
        <v>43793</v>
      </c>
      <c r="B102" s="862" t="s">
        <v>2302</v>
      </c>
      <c r="C102" s="350" t="s">
        <v>12</v>
      </c>
      <c r="D102" s="874" t="s">
        <v>1504</v>
      </c>
      <c r="E102" s="887" t="s">
        <v>13</v>
      </c>
      <c r="F102" s="852">
        <v>25</v>
      </c>
      <c r="G102" s="1527"/>
      <c r="H102" s="97"/>
      <c r="I102" s="982"/>
      <c r="J102" s="622"/>
      <c r="K102" s="982"/>
      <c r="L102" s="622"/>
      <c r="M102" s="982"/>
      <c r="N102" s="764">
        <v>53.79</v>
      </c>
      <c r="P102" s="930"/>
    </row>
    <row r="103" spans="1:16" s="224" customFormat="1" ht="15" customHeight="1" x14ac:dyDescent="0.25">
      <c r="A103" s="215">
        <v>43793</v>
      </c>
      <c r="B103" s="349" t="s">
        <v>2440</v>
      </c>
      <c r="C103" s="350" t="s">
        <v>12</v>
      </c>
      <c r="D103" s="350" t="s">
        <v>1489</v>
      </c>
      <c r="E103" s="480" t="s">
        <v>13</v>
      </c>
      <c r="F103" s="852">
        <v>30</v>
      </c>
      <c r="G103" s="965"/>
      <c r="H103" s="97"/>
      <c r="I103" s="946"/>
      <c r="J103" s="97"/>
      <c r="K103" s="946"/>
      <c r="L103" s="97"/>
      <c r="M103" s="946"/>
      <c r="N103" s="939"/>
      <c r="P103" s="930"/>
    </row>
    <row r="104" spans="1:16" s="224" customFormat="1" ht="15" customHeight="1" x14ac:dyDescent="0.25">
      <c r="A104" s="215">
        <v>43793</v>
      </c>
      <c r="B104" s="349" t="s">
        <v>2441</v>
      </c>
      <c r="C104" s="350" t="s">
        <v>12</v>
      </c>
      <c r="D104" s="350" t="s">
        <v>1493</v>
      </c>
      <c r="E104" s="480" t="s">
        <v>13</v>
      </c>
      <c r="F104" s="852">
        <v>43.8</v>
      </c>
      <c r="G104" s="965"/>
      <c r="H104" s="97"/>
      <c r="I104" s="946"/>
      <c r="J104" s="97"/>
      <c r="K104" s="946"/>
      <c r="L104" s="97"/>
      <c r="M104" s="946"/>
      <c r="N104" s="939"/>
      <c r="P104" s="930"/>
    </row>
    <row r="105" spans="1:16" s="224" customFormat="1" ht="15" customHeight="1" x14ac:dyDescent="0.25">
      <c r="A105" s="215">
        <v>43793</v>
      </c>
      <c r="B105" s="349" t="s">
        <v>103</v>
      </c>
      <c r="C105" s="350" t="s">
        <v>12</v>
      </c>
      <c r="D105" s="350" t="s">
        <v>1489</v>
      </c>
      <c r="E105" s="480" t="s">
        <v>13</v>
      </c>
      <c r="F105" s="852">
        <v>13</v>
      </c>
      <c r="G105" s="965"/>
      <c r="H105" s="97"/>
      <c r="I105" s="946"/>
      <c r="J105" s="97"/>
      <c r="K105" s="946"/>
      <c r="L105" s="97"/>
      <c r="M105" s="946"/>
      <c r="N105" s="939"/>
      <c r="P105" s="930"/>
    </row>
    <row r="106" spans="1:16" s="224" customFormat="1" ht="15" customHeight="1" x14ac:dyDescent="0.25">
      <c r="A106" s="215">
        <v>43794</v>
      </c>
      <c r="B106" s="349" t="s">
        <v>32</v>
      </c>
      <c r="C106" s="352" t="s">
        <v>12</v>
      </c>
      <c r="D106" s="874" t="s">
        <v>1485</v>
      </c>
      <c r="E106" s="480" t="s">
        <v>15</v>
      </c>
      <c r="F106" s="852">
        <v>14</v>
      </c>
      <c r="G106" s="964"/>
      <c r="H106" s="622"/>
      <c r="I106" s="982"/>
      <c r="J106" s="622"/>
      <c r="K106" s="982"/>
      <c r="L106" s="622"/>
      <c r="M106" s="982"/>
      <c r="N106" s="878"/>
    </row>
    <row r="107" spans="1:16" s="224" customFormat="1" ht="15" customHeight="1" x14ac:dyDescent="0.25">
      <c r="A107" s="215">
        <v>43794</v>
      </c>
      <c r="B107" s="349" t="s">
        <v>1241</v>
      </c>
      <c r="C107" s="350" t="s">
        <v>12</v>
      </c>
      <c r="D107" s="350" t="s">
        <v>1504</v>
      </c>
      <c r="E107" s="480" t="s">
        <v>13</v>
      </c>
      <c r="F107" s="780">
        <v>10</v>
      </c>
      <c r="G107" s="946"/>
      <c r="H107" s="97"/>
      <c r="I107" s="946"/>
      <c r="J107" s="97"/>
      <c r="K107" s="946"/>
      <c r="L107" s="97"/>
      <c r="M107" s="946"/>
      <c r="N107" s="923"/>
      <c r="P107" s="930"/>
    </row>
    <row r="108" spans="1:16" s="224" customFormat="1" x14ac:dyDescent="0.25">
      <c r="A108" s="215">
        <v>43794</v>
      </c>
      <c r="B108" s="873" t="s">
        <v>521</v>
      </c>
      <c r="C108" s="879" t="s">
        <v>12</v>
      </c>
      <c r="D108" s="350" t="s">
        <v>1496</v>
      </c>
      <c r="E108" s="871" t="s">
        <v>15</v>
      </c>
      <c r="F108" s="853">
        <v>12</v>
      </c>
      <c r="G108" s="964"/>
      <c r="H108" s="622"/>
      <c r="I108" s="982"/>
      <c r="J108" s="622"/>
      <c r="K108" s="982"/>
      <c r="L108" s="622"/>
      <c r="M108" s="982"/>
      <c r="N108" s="949"/>
    </row>
    <row r="109" spans="1:16" s="224" customFormat="1" ht="15" customHeight="1" x14ac:dyDescent="0.25">
      <c r="A109" s="215">
        <v>43795</v>
      </c>
      <c r="B109" s="349" t="s">
        <v>32</v>
      </c>
      <c r="C109" s="352" t="s">
        <v>12</v>
      </c>
      <c r="D109" s="874" t="s">
        <v>1485</v>
      </c>
      <c r="E109" s="875" t="s">
        <v>13</v>
      </c>
      <c r="F109" s="852">
        <v>14</v>
      </c>
      <c r="G109" s="964"/>
      <c r="H109" s="622"/>
      <c r="I109" s="982"/>
      <c r="J109" s="622"/>
      <c r="K109" s="982"/>
      <c r="L109" s="622"/>
      <c r="M109" s="982"/>
      <c r="N109" s="878"/>
    </row>
    <row r="110" spans="1:16" s="224" customFormat="1" ht="15" customHeight="1" x14ac:dyDescent="0.25">
      <c r="A110" s="215">
        <v>43795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852">
        <v>14.65</v>
      </c>
      <c r="G110" s="964"/>
      <c r="H110" s="622"/>
      <c r="I110" s="982"/>
      <c r="J110" s="622"/>
      <c r="K110" s="982"/>
      <c r="L110" s="622"/>
      <c r="M110" s="982"/>
      <c r="N110" s="932"/>
    </row>
    <row r="111" spans="1:16" s="224" customFormat="1" ht="15" customHeight="1" x14ac:dyDescent="0.25">
      <c r="A111" s="215">
        <v>43795</v>
      </c>
      <c r="B111" s="364" t="s">
        <v>2442</v>
      </c>
      <c r="C111" s="350" t="s">
        <v>12</v>
      </c>
      <c r="D111" s="350" t="s">
        <v>1491</v>
      </c>
      <c r="E111" s="875" t="s">
        <v>13</v>
      </c>
      <c r="F111" s="852">
        <v>20.63</v>
      </c>
      <c r="G111" s="964"/>
      <c r="H111" s="622"/>
      <c r="I111" s="982"/>
      <c r="J111" s="622"/>
      <c r="K111" s="982"/>
      <c r="L111" s="622"/>
      <c r="M111" s="982"/>
      <c r="N111" s="932"/>
    </row>
    <row r="112" spans="1:16" x14ac:dyDescent="0.25">
      <c r="A112" s="215">
        <v>43796</v>
      </c>
      <c r="B112" s="876" t="s">
        <v>2443</v>
      </c>
      <c r="C112" s="879" t="s">
        <v>12</v>
      </c>
      <c r="D112" s="879" t="s">
        <v>1489</v>
      </c>
      <c r="E112" s="871" t="s">
        <v>13</v>
      </c>
      <c r="F112" s="852">
        <v>101.42</v>
      </c>
      <c r="G112" s="964"/>
      <c r="H112" s="853"/>
      <c r="I112" s="982"/>
      <c r="J112" s="622"/>
      <c r="K112" s="982"/>
      <c r="L112" s="622"/>
      <c r="M112" s="982"/>
      <c r="N112" s="979" t="s">
        <v>2444</v>
      </c>
    </row>
    <row r="113" spans="1:16" s="224" customFormat="1" ht="15" customHeight="1" x14ac:dyDescent="0.25">
      <c r="A113" s="215">
        <v>43796</v>
      </c>
      <c r="B113" s="349" t="s">
        <v>32</v>
      </c>
      <c r="C113" s="352" t="s">
        <v>12</v>
      </c>
      <c r="D113" s="874" t="s">
        <v>1485</v>
      </c>
      <c r="E113" s="875" t="s">
        <v>13</v>
      </c>
      <c r="F113" s="852">
        <v>14</v>
      </c>
      <c r="G113" s="964"/>
      <c r="H113" s="622"/>
      <c r="I113" s="982"/>
      <c r="J113" s="622"/>
      <c r="K113" s="982"/>
      <c r="L113" s="622"/>
      <c r="M113" s="982"/>
      <c r="N113" s="878"/>
    </row>
    <row r="114" spans="1:16" s="224" customFormat="1" ht="15" customHeight="1" x14ac:dyDescent="0.25">
      <c r="A114" s="215">
        <v>43796</v>
      </c>
      <c r="B114" s="349" t="s">
        <v>2198</v>
      </c>
      <c r="C114" s="350" t="s">
        <v>12</v>
      </c>
      <c r="D114" s="350" t="s">
        <v>2157</v>
      </c>
      <c r="E114" s="480" t="s">
        <v>15</v>
      </c>
      <c r="F114" s="780">
        <v>30</v>
      </c>
      <c r="G114" s="982"/>
      <c r="H114" s="622"/>
      <c r="I114" s="982"/>
      <c r="J114" s="622"/>
      <c r="K114" s="982"/>
      <c r="L114" s="622"/>
      <c r="M114" s="982"/>
      <c r="N114" s="932"/>
    </row>
    <row r="115" spans="1:16" s="224" customFormat="1" ht="15" customHeight="1" x14ac:dyDescent="0.25">
      <c r="A115" s="215">
        <v>43796</v>
      </c>
      <c r="B115" s="364" t="s">
        <v>14</v>
      </c>
      <c r="C115" s="350" t="s">
        <v>12</v>
      </c>
      <c r="D115" s="350" t="s">
        <v>1486</v>
      </c>
      <c r="E115" s="875" t="s">
        <v>13</v>
      </c>
      <c r="F115" s="852">
        <v>6.98</v>
      </c>
      <c r="G115" s="964"/>
      <c r="H115" s="622"/>
      <c r="I115" s="982"/>
      <c r="J115" s="622"/>
      <c r="K115" s="982"/>
      <c r="L115" s="622"/>
      <c r="M115" s="982"/>
      <c r="N115" s="932"/>
    </row>
    <row r="116" spans="1:16" s="224" customFormat="1" ht="15" customHeight="1" x14ac:dyDescent="0.25">
      <c r="A116" s="215">
        <v>43797</v>
      </c>
      <c r="B116" s="349" t="s">
        <v>32</v>
      </c>
      <c r="C116" s="352" t="s">
        <v>12</v>
      </c>
      <c r="D116" s="874" t="s">
        <v>1485</v>
      </c>
      <c r="E116" s="875" t="s">
        <v>13</v>
      </c>
      <c r="F116" s="852">
        <v>14</v>
      </c>
      <c r="G116" s="964"/>
      <c r="H116" s="622"/>
      <c r="I116" s="982"/>
      <c r="J116" s="622"/>
      <c r="K116" s="982"/>
      <c r="L116" s="622"/>
      <c r="M116" s="982"/>
      <c r="N116" s="878"/>
    </row>
    <row r="117" spans="1:16" s="224" customFormat="1" ht="15" customHeight="1" x14ac:dyDescent="0.25">
      <c r="A117" s="215">
        <v>43797</v>
      </c>
      <c r="B117" s="862" t="s">
        <v>2445</v>
      </c>
      <c r="C117" s="879" t="s">
        <v>12</v>
      </c>
      <c r="D117" s="879" t="s">
        <v>1506</v>
      </c>
      <c r="E117" s="871" t="s">
        <v>15</v>
      </c>
      <c r="F117" s="97">
        <v>60</v>
      </c>
      <c r="G117" s="946"/>
      <c r="H117" s="97"/>
      <c r="I117" s="982"/>
      <c r="J117" s="622"/>
      <c r="K117" s="982"/>
      <c r="L117" s="622"/>
      <c r="M117" s="982"/>
    </row>
    <row r="118" spans="1:16" s="224" customFormat="1" ht="15" customHeight="1" x14ac:dyDescent="0.25">
      <c r="A118" s="215">
        <v>43797</v>
      </c>
      <c r="B118" s="862" t="s">
        <v>2375</v>
      </c>
      <c r="C118" s="879" t="s">
        <v>12</v>
      </c>
      <c r="D118" s="879" t="s">
        <v>1506</v>
      </c>
      <c r="E118" s="871" t="s">
        <v>15</v>
      </c>
      <c r="F118" s="97">
        <v>10</v>
      </c>
      <c r="G118" s="946"/>
      <c r="H118" s="97"/>
      <c r="I118" s="982"/>
      <c r="J118" s="622"/>
      <c r="K118" s="982"/>
      <c r="L118" s="622"/>
      <c r="M118" s="982"/>
    </row>
    <row r="119" spans="1:16" s="224" customFormat="1" ht="15" customHeight="1" x14ac:dyDescent="0.25">
      <c r="A119" s="215">
        <v>43798</v>
      </c>
      <c r="B119" s="349" t="s">
        <v>2446</v>
      </c>
      <c r="C119" s="350" t="s">
        <v>12</v>
      </c>
      <c r="D119" s="350"/>
      <c r="E119" s="480" t="s">
        <v>25</v>
      </c>
      <c r="F119" s="780"/>
      <c r="G119" s="946">
        <v>170</v>
      </c>
      <c r="H119" s="97"/>
      <c r="I119" s="946"/>
      <c r="J119" s="97"/>
      <c r="K119" s="946"/>
      <c r="L119" s="97"/>
      <c r="M119" s="946"/>
      <c r="N119" s="923"/>
      <c r="P119" s="930"/>
    </row>
    <row r="120" spans="1:16" s="224" customFormat="1" ht="15" customHeight="1" x14ac:dyDescent="0.25">
      <c r="A120" s="215">
        <v>43798</v>
      </c>
      <c r="B120" s="364" t="s">
        <v>2447</v>
      </c>
      <c r="C120" s="350" t="s">
        <v>12</v>
      </c>
      <c r="D120" s="350"/>
      <c r="E120" s="480" t="s">
        <v>25</v>
      </c>
      <c r="F120" s="622"/>
      <c r="G120" s="982">
        <v>2075</v>
      </c>
      <c r="H120" s="622"/>
      <c r="I120" s="982"/>
      <c r="J120" s="622"/>
      <c r="K120" s="982"/>
      <c r="L120" s="622"/>
      <c r="M120" s="982"/>
    </row>
    <row r="121" spans="1:16" s="224" customFormat="1" ht="15" customHeight="1" x14ac:dyDescent="0.25">
      <c r="A121" s="247">
        <v>43433</v>
      </c>
      <c r="B121" s="876" t="s">
        <v>1710</v>
      </c>
      <c r="C121" s="879" t="s">
        <v>12</v>
      </c>
      <c r="D121" s="879" t="s">
        <v>1504</v>
      </c>
      <c r="E121" s="871" t="s">
        <v>13</v>
      </c>
      <c r="F121" s="137">
        <v>32.9</v>
      </c>
      <c r="G121" s="479"/>
      <c r="H121" s="97"/>
      <c r="I121" s="946"/>
      <c r="J121" s="97"/>
      <c r="K121" s="946"/>
      <c r="L121" s="97"/>
      <c r="M121" s="946"/>
    </row>
    <row r="122" spans="1:16" s="224" customFormat="1" ht="15" customHeight="1" x14ac:dyDescent="0.25">
      <c r="A122" s="215">
        <v>43798</v>
      </c>
      <c r="B122" s="349" t="s">
        <v>260</v>
      </c>
      <c r="C122" s="350" t="s">
        <v>12</v>
      </c>
      <c r="D122" s="350"/>
      <c r="E122" s="480"/>
      <c r="F122" s="780">
        <v>1000</v>
      </c>
      <c r="G122" s="946"/>
      <c r="H122" s="97"/>
      <c r="I122" s="946">
        <v>1000</v>
      </c>
      <c r="J122" s="97"/>
      <c r="K122" s="946"/>
      <c r="L122" s="97"/>
      <c r="M122" s="946"/>
      <c r="N122" s="923"/>
      <c r="P122" s="930"/>
    </row>
    <row r="123" spans="1:16" s="224" customFormat="1" ht="15" customHeight="1" x14ac:dyDescent="0.25">
      <c r="A123" s="215">
        <v>43798</v>
      </c>
      <c r="B123" s="862" t="s">
        <v>1597</v>
      </c>
      <c r="C123" s="352" t="s">
        <v>12</v>
      </c>
      <c r="D123" s="874" t="s">
        <v>1491</v>
      </c>
      <c r="E123" s="983" t="s">
        <v>15</v>
      </c>
      <c r="F123" s="890">
        <v>80</v>
      </c>
      <c r="G123" s="1531"/>
      <c r="H123" s="96"/>
      <c r="I123" s="1033"/>
      <c r="J123" s="880"/>
      <c r="K123" s="1033"/>
      <c r="L123" s="880"/>
      <c r="M123" s="1033"/>
    </row>
    <row r="124" spans="1:16" s="224" customFormat="1" ht="15" customHeight="1" x14ac:dyDescent="0.25">
      <c r="A124" s="215">
        <v>43798</v>
      </c>
      <c r="B124" s="862" t="s">
        <v>2402</v>
      </c>
      <c r="C124" s="352" t="s">
        <v>12</v>
      </c>
      <c r="D124" s="874" t="s">
        <v>1493</v>
      </c>
      <c r="E124" s="983" t="s">
        <v>13</v>
      </c>
      <c r="F124" s="890">
        <v>20.440000000000001</v>
      </c>
      <c r="G124" s="1531"/>
      <c r="H124" s="96"/>
      <c r="I124" s="1033"/>
      <c r="J124" s="880"/>
      <c r="K124" s="1033"/>
      <c r="L124" s="880"/>
      <c r="M124" s="1033"/>
    </row>
    <row r="125" spans="1:16" s="224" customFormat="1" ht="15" customHeight="1" x14ac:dyDescent="0.25">
      <c r="A125" s="215">
        <v>43799</v>
      </c>
      <c r="B125" s="862" t="s">
        <v>43</v>
      </c>
      <c r="C125" s="352" t="s">
        <v>12</v>
      </c>
      <c r="D125" s="874" t="s">
        <v>1493</v>
      </c>
      <c r="E125" s="983" t="s">
        <v>13</v>
      </c>
      <c r="F125" s="890">
        <v>18</v>
      </c>
      <c r="G125" s="1531"/>
      <c r="H125" s="96"/>
      <c r="I125" s="1033"/>
      <c r="J125" s="880"/>
      <c r="K125" s="1033"/>
      <c r="L125" s="880"/>
      <c r="M125" s="1033"/>
    </row>
    <row r="126" spans="1:16" s="224" customFormat="1" ht="15" customHeight="1" x14ac:dyDescent="0.25">
      <c r="A126" s="215">
        <v>43799</v>
      </c>
      <c r="B126" s="349" t="s">
        <v>2198</v>
      </c>
      <c r="C126" s="350" t="s">
        <v>12</v>
      </c>
      <c r="D126" s="350" t="s">
        <v>2157</v>
      </c>
      <c r="E126" s="480" t="s">
        <v>15</v>
      </c>
      <c r="F126" s="780">
        <v>20</v>
      </c>
      <c r="G126" s="982"/>
      <c r="H126" s="622"/>
      <c r="I126" s="982"/>
      <c r="J126" s="622"/>
      <c r="K126" s="982"/>
      <c r="L126" s="622"/>
      <c r="M126" s="982"/>
      <c r="N126" s="932"/>
    </row>
    <row r="127" spans="1:16" s="224" customFormat="1" ht="15" customHeight="1" x14ac:dyDescent="0.25">
      <c r="A127" s="215">
        <v>43799</v>
      </c>
      <c r="B127" s="862" t="s">
        <v>82</v>
      </c>
      <c r="C127" s="352" t="s">
        <v>12</v>
      </c>
      <c r="D127" s="874" t="s">
        <v>1493</v>
      </c>
      <c r="E127" s="983" t="s">
        <v>13</v>
      </c>
      <c r="F127" s="890">
        <v>21.2</v>
      </c>
      <c r="G127" s="1531"/>
      <c r="H127" s="96"/>
      <c r="I127" s="1033"/>
      <c r="J127" s="880"/>
      <c r="K127" s="1033"/>
      <c r="L127" s="880"/>
      <c r="M127" s="1033"/>
    </row>
    <row r="128" spans="1:16" s="224" customFormat="1" ht="15.75" thickBot="1" x14ac:dyDescent="0.3">
      <c r="A128" s="215">
        <v>43434</v>
      </c>
      <c r="B128" s="862" t="s">
        <v>1666</v>
      </c>
      <c r="C128" s="350" t="s">
        <v>12</v>
      </c>
      <c r="D128" s="177"/>
      <c r="E128" s="141" t="s">
        <v>25</v>
      </c>
      <c r="F128" s="853"/>
      <c r="G128" s="964"/>
      <c r="H128" s="622"/>
      <c r="I128" s="982"/>
      <c r="J128" s="622"/>
      <c r="K128" s="982">
        <v>19.68</v>
      </c>
      <c r="L128" s="622"/>
      <c r="M128" s="982"/>
    </row>
    <row r="129" spans="1:14" ht="25.5" customHeight="1" thickBot="1" x14ac:dyDescent="0.3">
      <c r="A129" s="3060"/>
      <c r="B129" s="3061"/>
      <c r="C129" s="3062"/>
      <c r="D129" s="3062"/>
      <c r="E129" s="3062"/>
      <c r="F129" s="100">
        <f>SUM(F6:F128)</f>
        <v>5304.4866666666658</v>
      </c>
      <c r="G129" s="1534">
        <f>SUM(G5:G128)</f>
        <v>6878.6700000000174</v>
      </c>
      <c r="H129" s="101">
        <f>SUM(H6:H128)</f>
        <v>500</v>
      </c>
      <c r="I129" s="93">
        <f>SUM(I5:I128)</f>
        <v>2599.9960000000024</v>
      </c>
      <c r="J129" s="101">
        <f>SUM(J6:J128)</f>
        <v>0</v>
      </c>
      <c r="K129" s="93">
        <f>SUM(K5:K128)</f>
        <v>6790.85</v>
      </c>
      <c r="L129" s="101">
        <f>SUM(L6:L128)</f>
        <v>0</v>
      </c>
      <c r="M129" s="93">
        <f>SUM(M5:M128)</f>
        <v>399.01</v>
      </c>
    </row>
    <row r="130" spans="1:14" ht="25.5" customHeight="1" thickBot="1" x14ac:dyDescent="0.3">
      <c r="A130" s="3117" t="s">
        <v>49</v>
      </c>
      <c r="B130" s="3118"/>
      <c r="C130" s="3118"/>
      <c r="D130" s="3118"/>
      <c r="E130" s="3118"/>
      <c r="F130" s="144"/>
      <c r="G130" s="519">
        <f>G129-F129</f>
        <v>1574.1833333333516</v>
      </c>
      <c r="H130" s="555"/>
      <c r="I130" s="772">
        <f>I129-H129</f>
        <v>2099.9960000000024</v>
      </c>
      <c r="J130" s="555"/>
      <c r="K130" s="772">
        <f>K129-J129</f>
        <v>6790.85</v>
      </c>
      <c r="L130" s="555"/>
      <c r="M130" s="772">
        <f>M129-L129</f>
        <v>399.01</v>
      </c>
    </row>
    <row r="131" spans="1:14" x14ac:dyDescent="0.25">
      <c r="E131" s="79"/>
      <c r="G131" s="868"/>
    </row>
    <row r="132" spans="1:14" x14ac:dyDescent="0.25">
      <c r="B132" s="81" t="s">
        <v>3</v>
      </c>
      <c r="C132" s="193" t="s">
        <v>1484</v>
      </c>
      <c r="D132" s="970" t="s">
        <v>2378</v>
      </c>
      <c r="K132" s="866"/>
      <c r="M132" s="866"/>
    </row>
    <row r="133" spans="1:14" x14ac:dyDescent="0.25">
      <c r="B133" s="79" t="s">
        <v>32</v>
      </c>
      <c r="C133" s="85" t="s">
        <v>1485</v>
      </c>
      <c r="D133" s="475">
        <f>SUMIF($D$8:$D$128,"A",$F$8:$F$128)</f>
        <v>321.82</v>
      </c>
      <c r="F133" s="79"/>
      <c r="I133" s="769"/>
      <c r="J133" s="868"/>
      <c r="L133" s="868"/>
    </row>
    <row r="134" spans="1:14" x14ac:dyDescent="0.25">
      <c r="B134" s="79" t="s">
        <v>2187</v>
      </c>
      <c r="C134" s="85" t="s">
        <v>2157</v>
      </c>
      <c r="D134" s="475">
        <f>SUMIF($D$14:$D$128,"GAC",$F$14:$F$128)</f>
        <v>275</v>
      </c>
      <c r="J134" s="754"/>
      <c r="K134" s="886"/>
      <c r="L134" s="754"/>
      <c r="M134" s="886"/>
      <c r="N134" s="81"/>
    </row>
    <row r="135" spans="1:14" x14ac:dyDescent="0.25">
      <c r="B135" s="79" t="s">
        <v>2188</v>
      </c>
      <c r="C135" s="85" t="s">
        <v>2168</v>
      </c>
      <c r="D135" s="475">
        <f>SUMIF($D$14:$D$128,"GAM",$F$14:$F$128)</f>
        <v>0</v>
      </c>
      <c r="J135" s="864"/>
      <c r="K135" s="864"/>
      <c r="L135" s="864"/>
      <c r="M135" s="864"/>
      <c r="N135" s="958"/>
    </row>
    <row r="136" spans="1:14" s="85" customFormat="1" x14ac:dyDescent="0.25">
      <c r="A136" s="79"/>
      <c r="B136" s="79" t="s">
        <v>50</v>
      </c>
      <c r="C136" s="85" t="s">
        <v>1493</v>
      </c>
      <c r="D136" s="475">
        <f>SUMIF($D$8:$D$128,"LD",$F$8:$F$128)</f>
        <v>356.64</v>
      </c>
      <c r="J136" s="864"/>
      <c r="K136" s="864"/>
      <c r="L136" s="864"/>
      <c r="M136" s="864"/>
      <c r="N136" s="958"/>
    </row>
    <row r="137" spans="1:14" s="85" customFormat="1" x14ac:dyDescent="0.25">
      <c r="A137" s="79"/>
      <c r="B137" s="79" t="s">
        <v>14</v>
      </c>
      <c r="C137" s="85" t="s">
        <v>1486</v>
      </c>
      <c r="D137" s="475">
        <f>SUMIF($D$8:$D$128,"C",$F$8:$F$128)</f>
        <v>103.53999999999999</v>
      </c>
      <c r="F137" s="89"/>
      <c r="G137" s="79"/>
      <c r="H137" s="79"/>
      <c r="J137" s="864"/>
      <c r="K137" s="864"/>
      <c r="L137" s="864"/>
      <c r="M137" s="864"/>
      <c r="N137" s="958"/>
    </row>
    <row r="138" spans="1:14" s="85" customFormat="1" x14ac:dyDescent="0.25">
      <c r="A138" s="79"/>
      <c r="B138" s="79" t="s">
        <v>51</v>
      </c>
      <c r="C138" s="864" t="s">
        <v>1499</v>
      </c>
      <c r="D138" s="475">
        <f>SUMIF($D$14:$D$128,"CAL",$F$14:$F$128)</f>
        <v>97.07</v>
      </c>
      <c r="F138" s="89"/>
      <c r="G138" s="79"/>
      <c r="H138" s="79"/>
      <c r="I138" s="79"/>
      <c r="L138" s="864"/>
      <c r="M138" s="864"/>
      <c r="N138" s="958"/>
    </row>
    <row r="139" spans="1:14" s="85" customFormat="1" x14ac:dyDescent="0.25">
      <c r="A139" s="79"/>
      <c r="B139" s="79" t="s">
        <v>2189</v>
      </c>
      <c r="C139" s="864" t="s">
        <v>1496</v>
      </c>
      <c r="D139" s="475">
        <f>SUMIF($D$8:$D$128,"AC",$F$8:$F$128)</f>
        <v>81.88</v>
      </c>
      <c r="F139" s="769"/>
      <c r="G139" s="79"/>
      <c r="N139" s="959"/>
    </row>
    <row r="140" spans="1:14" s="85" customFormat="1" x14ac:dyDescent="0.25">
      <c r="A140" s="79"/>
      <c r="B140" s="867" t="s">
        <v>53</v>
      </c>
      <c r="C140" s="864" t="s">
        <v>1522</v>
      </c>
      <c r="D140" s="475">
        <f>SUMIF($D$14:$D$128,"DC",$F$14:$F$128)</f>
        <v>458.72</v>
      </c>
    </row>
    <row r="141" spans="1:14" s="85" customFormat="1" x14ac:dyDescent="0.25">
      <c r="A141" s="79"/>
      <c r="B141" s="867" t="s">
        <v>2149</v>
      </c>
      <c r="C141" s="864" t="s">
        <v>2131</v>
      </c>
      <c r="D141" s="475">
        <f>SUMIF($D$14:$D$128,"DM",$F$14:$F$128)</f>
        <v>57</v>
      </c>
      <c r="F141" s="769"/>
    </row>
    <row r="142" spans="1:14" s="85" customFormat="1" x14ac:dyDescent="0.25">
      <c r="A142" s="79"/>
      <c r="B142" s="79" t="s">
        <v>2008</v>
      </c>
      <c r="C142" s="864" t="s">
        <v>1523</v>
      </c>
      <c r="D142" s="475">
        <f>SUMIF($D$14:$D$128,"B",$F$14:$F$128)</f>
        <v>39</v>
      </c>
      <c r="F142" s="769"/>
      <c r="G142" s="866"/>
    </row>
    <row r="143" spans="1:14" s="85" customFormat="1" x14ac:dyDescent="0.25">
      <c r="A143" s="79"/>
      <c r="B143" s="79" t="s">
        <v>1686</v>
      </c>
      <c r="C143" s="864" t="s">
        <v>1506</v>
      </c>
      <c r="D143" s="475">
        <f>SUMIF($D$14:$D$128,"R",$F$14:$F$128)</f>
        <v>361.14666666666665</v>
      </c>
      <c r="F143" s="769"/>
      <c r="G143" s="868"/>
      <c r="K143" s="866"/>
      <c r="M143" s="866"/>
    </row>
    <row r="144" spans="1:14" x14ac:dyDescent="0.25">
      <c r="B144" s="79" t="s">
        <v>418</v>
      </c>
      <c r="C144" s="85" t="s">
        <v>1524</v>
      </c>
      <c r="D144" s="475">
        <f>SUMIF($D$14:$D$128,"COM",$F$14:$F$128)</f>
        <v>0</v>
      </c>
      <c r="G144" s="85"/>
      <c r="H144" s="85"/>
      <c r="I144" s="85"/>
      <c r="J144" s="769"/>
      <c r="K144" s="868"/>
      <c r="L144" s="769"/>
      <c r="M144" s="868"/>
    </row>
    <row r="145" spans="2:13" x14ac:dyDescent="0.25">
      <c r="B145" s="79" t="s">
        <v>419</v>
      </c>
      <c r="C145" s="85" t="s">
        <v>1491</v>
      </c>
      <c r="D145" s="475">
        <f>SUMIF($D$14:$D$128,"F",$F$14:$F$128)</f>
        <v>525.93000000000006</v>
      </c>
      <c r="J145" s="769"/>
      <c r="K145" s="868"/>
      <c r="L145" s="769"/>
      <c r="M145" s="868"/>
    </row>
    <row r="146" spans="2:13" x14ac:dyDescent="0.25">
      <c r="B146" s="79" t="s">
        <v>911</v>
      </c>
      <c r="C146" s="85" t="s">
        <v>1525</v>
      </c>
      <c r="D146" s="475">
        <f>SUMIF($D$14:$D$128,"FER",$F$14:$F$128)</f>
        <v>589.9</v>
      </c>
      <c r="J146" s="769"/>
      <c r="K146" s="866"/>
      <c r="L146" s="769"/>
      <c r="M146" s="866"/>
    </row>
    <row r="147" spans="2:13" x14ac:dyDescent="0.25">
      <c r="B147" s="79" t="s">
        <v>1526</v>
      </c>
      <c r="C147" s="85" t="s">
        <v>1504</v>
      </c>
      <c r="D147" s="475">
        <f>SUMIF($D$14:$D$128,"I",$F$14:$F$128)</f>
        <v>137.9</v>
      </c>
      <c r="F147" s="89" t="s">
        <v>280</v>
      </c>
      <c r="J147" s="769"/>
      <c r="K147" s="866"/>
      <c r="L147" s="769"/>
      <c r="M147" s="866"/>
    </row>
    <row r="148" spans="2:13" x14ac:dyDescent="0.25">
      <c r="B148" s="79" t="s">
        <v>2343</v>
      </c>
      <c r="C148" s="85" t="s">
        <v>2315</v>
      </c>
      <c r="D148" s="475">
        <f>SUMIF($D$14:$D$128,"E",$F$14:$F$128)</f>
        <v>0</v>
      </c>
      <c r="J148" s="769"/>
      <c r="K148" s="868"/>
      <c r="L148" s="769"/>
      <c r="M148" s="868"/>
    </row>
    <row r="149" spans="2:13" x14ac:dyDescent="0.25">
      <c r="B149" s="79" t="s">
        <v>1527</v>
      </c>
      <c r="C149" s="85" t="s">
        <v>1489</v>
      </c>
      <c r="D149" s="475">
        <f>SUMIF($D$14:$D$128,"OD",$F$14:$F$128)</f>
        <v>383.94</v>
      </c>
      <c r="J149" s="769"/>
      <c r="K149" s="866"/>
      <c r="L149" s="769"/>
      <c r="M149" s="866"/>
    </row>
    <row r="150" spans="2:13" x14ac:dyDescent="0.25">
      <c r="D150" s="459"/>
      <c r="J150" s="769"/>
      <c r="K150" s="866"/>
      <c r="L150" s="769"/>
      <c r="M150" s="866"/>
    </row>
    <row r="151" spans="2:13" x14ac:dyDescent="0.25">
      <c r="H151" s="769"/>
      <c r="K151" s="866"/>
      <c r="M151" s="866"/>
    </row>
    <row r="152" spans="2:13" x14ac:dyDescent="0.25">
      <c r="B152" s="79" t="s">
        <v>486</v>
      </c>
      <c r="C152" s="475">
        <f>H152/J152</f>
        <v>126.31622222222224</v>
      </c>
      <c r="F152" s="224" t="s">
        <v>487</v>
      </c>
      <c r="H152" s="216">
        <f>SUM(D133:D149)</f>
        <v>3789.4866666666671</v>
      </c>
      <c r="I152" s="518" t="s">
        <v>488</v>
      </c>
      <c r="J152" s="1517">
        <v>30</v>
      </c>
      <c r="L152" s="1517"/>
    </row>
    <row r="153" spans="2:13" ht="15.75" customHeight="1" x14ac:dyDescent="0.25">
      <c r="E153" s="769"/>
      <c r="H153" s="629"/>
      <c r="J153" s="769"/>
      <c r="K153" s="868"/>
      <c r="L153" s="769"/>
      <c r="M153" s="868"/>
    </row>
    <row r="154" spans="2:13" x14ac:dyDescent="0.25">
      <c r="E154" s="79"/>
      <c r="F154" s="79"/>
      <c r="H154" s="866"/>
      <c r="K154" s="866"/>
      <c r="M154" s="866"/>
    </row>
    <row r="155" spans="2:13" x14ac:dyDescent="0.25">
      <c r="D155" s="79"/>
      <c r="E155" s="79"/>
      <c r="J155" s="769"/>
      <c r="K155" s="866"/>
      <c r="L155" s="769"/>
      <c r="M155" s="866"/>
    </row>
    <row r="156" spans="2:13" x14ac:dyDescent="0.25">
      <c r="J156" s="769"/>
      <c r="K156" s="866"/>
      <c r="L156" s="769"/>
      <c r="M156" s="866"/>
    </row>
    <row r="157" spans="2:13" x14ac:dyDescent="0.25">
      <c r="J157" s="769"/>
      <c r="K157" s="866"/>
      <c r="L157" s="769"/>
      <c r="M157" s="866"/>
    </row>
    <row r="158" spans="2:13" x14ac:dyDescent="0.25">
      <c r="J158" s="769"/>
      <c r="K158" s="866"/>
      <c r="L158" s="769"/>
      <c r="M158" s="866"/>
    </row>
    <row r="159" spans="2:13" x14ac:dyDescent="0.25">
      <c r="C159" s="79"/>
      <c r="D159" s="79"/>
      <c r="E159" s="79"/>
      <c r="F159" s="79"/>
      <c r="I159" s="216"/>
      <c r="J159" s="769"/>
      <c r="K159" s="866"/>
      <c r="L159" s="769"/>
      <c r="M159" s="866"/>
    </row>
    <row r="160" spans="2:13" x14ac:dyDescent="0.25">
      <c r="C160" s="79"/>
      <c r="D160" s="79"/>
      <c r="E160" s="79"/>
      <c r="F160" s="79"/>
      <c r="I160" s="216"/>
      <c r="J160" s="769"/>
      <c r="K160" s="866"/>
      <c r="L160" s="769"/>
      <c r="M160" s="866"/>
    </row>
    <row r="161" spans="3:13" x14ac:dyDescent="0.25">
      <c r="C161" s="79"/>
      <c r="D161" s="79"/>
      <c r="E161" s="79"/>
      <c r="F161" s="79"/>
      <c r="G161" s="216"/>
      <c r="I161" s="216"/>
      <c r="J161" s="769"/>
      <c r="K161" s="868"/>
      <c r="L161" s="769"/>
      <c r="M161" s="868"/>
    </row>
    <row r="162" spans="3:13" x14ac:dyDescent="0.25">
      <c r="C162" s="79"/>
      <c r="D162" s="79"/>
      <c r="E162" s="79"/>
      <c r="F162" s="79"/>
      <c r="G162" s="216"/>
      <c r="I162" s="216"/>
      <c r="J162" s="769"/>
      <c r="K162" s="866"/>
      <c r="L162" s="769"/>
      <c r="M162" s="866"/>
    </row>
    <row r="163" spans="3:13" x14ac:dyDescent="0.25">
      <c r="C163" s="79"/>
      <c r="D163" s="79"/>
      <c r="E163" s="79"/>
      <c r="F163" s="79"/>
      <c r="G163" s="216"/>
      <c r="J163" s="770"/>
      <c r="K163" s="866"/>
      <c r="L163" s="770"/>
      <c r="M163" s="866"/>
    </row>
    <row r="164" spans="3:13" x14ac:dyDescent="0.25">
      <c r="C164" s="79"/>
      <c r="D164" s="79"/>
      <c r="E164" s="79"/>
      <c r="F164" s="79"/>
      <c r="I164" s="216"/>
      <c r="J164" s="769"/>
      <c r="K164" s="868"/>
      <c r="L164" s="769"/>
      <c r="M164" s="868"/>
    </row>
    <row r="165" spans="3:13" x14ac:dyDescent="0.25">
      <c r="J165" s="769"/>
      <c r="K165" s="866"/>
      <c r="L165" s="769"/>
      <c r="M165" s="866"/>
    </row>
    <row r="166" spans="3:13" x14ac:dyDescent="0.25">
      <c r="C166" s="79"/>
      <c r="D166" s="79"/>
      <c r="E166" s="79"/>
      <c r="F166" s="79"/>
      <c r="I166" s="629"/>
      <c r="J166" s="769"/>
      <c r="K166" s="866"/>
      <c r="L166" s="769"/>
      <c r="M166" s="866"/>
    </row>
    <row r="167" spans="3:13" x14ac:dyDescent="0.25">
      <c r="J167" s="769"/>
      <c r="K167" s="866"/>
      <c r="L167" s="769"/>
      <c r="M167" s="866"/>
    </row>
    <row r="168" spans="3:13" x14ac:dyDescent="0.25">
      <c r="J168" s="769"/>
      <c r="K168" s="866"/>
      <c r="L168" s="769"/>
      <c r="M168" s="866"/>
    </row>
    <row r="169" spans="3:13" x14ac:dyDescent="0.25">
      <c r="J169" s="769"/>
      <c r="K169" s="866"/>
      <c r="L169" s="769"/>
      <c r="M169" s="866"/>
    </row>
    <row r="170" spans="3:13" x14ac:dyDescent="0.25">
      <c r="J170" s="769"/>
      <c r="K170" s="866"/>
      <c r="L170" s="769"/>
      <c r="M170" s="866"/>
    </row>
    <row r="171" spans="3:13" x14ac:dyDescent="0.25">
      <c r="J171" s="769"/>
      <c r="K171" s="866"/>
      <c r="L171" s="769"/>
      <c r="M171" s="866"/>
    </row>
    <row r="172" spans="3:13" x14ac:dyDescent="0.25">
      <c r="C172" s="79"/>
      <c r="D172" s="79"/>
      <c r="E172" s="79"/>
      <c r="F172" s="79"/>
      <c r="I172" s="216"/>
      <c r="J172" s="769"/>
      <c r="K172" s="866"/>
      <c r="L172" s="769"/>
      <c r="M172" s="866"/>
    </row>
    <row r="173" spans="3:13" x14ac:dyDescent="0.25">
      <c r="C173" s="79"/>
      <c r="D173" s="79"/>
      <c r="E173" s="79"/>
      <c r="F173" s="79"/>
      <c r="I173" s="216"/>
      <c r="J173" s="769"/>
      <c r="K173" s="866"/>
      <c r="L173" s="769"/>
      <c r="M173" s="866"/>
    </row>
    <row r="174" spans="3:13" x14ac:dyDescent="0.25">
      <c r="C174" s="79"/>
      <c r="D174" s="79"/>
      <c r="E174" s="79"/>
      <c r="F174" s="79"/>
      <c r="I174" s="216"/>
      <c r="J174" s="769"/>
      <c r="K174" s="866"/>
      <c r="L174" s="769"/>
      <c r="M174" s="866"/>
    </row>
    <row r="175" spans="3:13" x14ac:dyDescent="0.25">
      <c r="C175" s="79"/>
      <c r="D175" s="79"/>
      <c r="E175" s="79"/>
      <c r="F175" s="79"/>
      <c r="I175" s="216"/>
      <c r="J175" s="769"/>
      <c r="K175" s="866"/>
      <c r="L175" s="769"/>
      <c r="M175" s="866"/>
    </row>
    <row r="176" spans="3:13" x14ac:dyDescent="0.25">
      <c r="C176" s="79"/>
      <c r="D176" s="79"/>
      <c r="E176" s="79"/>
      <c r="F176" s="79"/>
      <c r="I176" s="216"/>
      <c r="J176" s="769"/>
      <c r="K176" s="868"/>
      <c r="L176" s="769"/>
      <c r="M176" s="868"/>
    </row>
    <row r="177" spans="3:13" x14ac:dyDescent="0.25">
      <c r="C177" s="79"/>
      <c r="D177" s="79"/>
      <c r="E177" s="79"/>
      <c r="F177" s="79"/>
      <c r="I177" s="216"/>
      <c r="J177" s="769"/>
      <c r="K177" s="868"/>
      <c r="L177" s="769"/>
      <c r="M177" s="868"/>
    </row>
    <row r="178" spans="3:13" x14ac:dyDescent="0.25">
      <c r="C178" s="79"/>
      <c r="D178" s="79"/>
      <c r="E178" s="79"/>
      <c r="F178" s="79"/>
      <c r="I178" s="216"/>
      <c r="J178" s="769"/>
      <c r="K178" s="868"/>
      <c r="L178" s="769"/>
      <c r="M178" s="868"/>
    </row>
    <row r="179" spans="3:13" x14ac:dyDescent="0.25">
      <c r="C179" s="79"/>
      <c r="D179" s="79"/>
      <c r="E179" s="79"/>
      <c r="F179" s="79"/>
      <c r="I179" s="216"/>
      <c r="J179" s="769"/>
      <c r="K179" s="868"/>
      <c r="L179" s="769"/>
      <c r="M179" s="868"/>
    </row>
    <row r="180" spans="3:13" x14ac:dyDescent="0.25">
      <c r="C180" s="79"/>
      <c r="D180" s="79"/>
      <c r="E180" s="79"/>
      <c r="F180" s="79"/>
      <c r="I180" s="216"/>
      <c r="J180" s="769"/>
      <c r="K180" s="868"/>
      <c r="L180" s="769"/>
      <c r="M180" s="868"/>
    </row>
    <row r="181" spans="3:13" x14ac:dyDescent="0.25">
      <c r="J181" s="769"/>
      <c r="K181" s="866"/>
      <c r="L181" s="769"/>
      <c r="M181" s="866"/>
    </row>
    <row r="182" spans="3:13" x14ac:dyDescent="0.25">
      <c r="J182" s="769"/>
      <c r="K182" s="866"/>
      <c r="L182" s="769"/>
      <c r="M182" s="866"/>
    </row>
    <row r="183" spans="3:13" x14ac:dyDescent="0.25">
      <c r="J183" s="769"/>
      <c r="K183" s="868"/>
      <c r="L183" s="769"/>
      <c r="M183" s="868"/>
    </row>
    <row r="184" spans="3:13" x14ac:dyDescent="0.25">
      <c r="J184" s="769"/>
      <c r="K184" s="866"/>
      <c r="L184" s="769"/>
      <c r="M184" s="866"/>
    </row>
    <row r="185" spans="3:13" x14ac:dyDescent="0.25">
      <c r="J185" s="769"/>
      <c r="K185" s="866"/>
      <c r="L185" s="769"/>
      <c r="M185" s="866"/>
    </row>
    <row r="186" spans="3:13" x14ac:dyDescent="0.25">
      <c r="C186" s="79"/>
      <c r="D186" s="79"/>
      <c r="E186" s="79"/>
      <c r="F186" s="79"/>
      <c r="J186" s="769"/>
      <c r="K186" s="868"/>
      <c r="L186" s="769"/>
      <c r="M186" s="868"/>
    </row>
    <row r="187" spans="3:13" x14ac:dyDescent="0.25">
      <c r="C187" s="79"/>
      <c r="D187" s="79"/>
      <c r="E187" s="79"/>
      <c r="F187" s="79"/>
      <c r="J187" s="769"/>
      <c r="K187" s="868"/>
      <c r="L187" s="769"/>
      <c r="M187" s="868"/>
    </row>
    <row r="188" spans="3:13" x14ac:dyDescent="0.25">
      <c r="C188" s="79"/>
      <c r="D188" s="79"/>
      <c r="E188" s="79"/>
      <c r="F188" s="79"/>
      <c r="J188" s="769"/>
      <c r="K188" s="868"/>
      <c r="L188" s="769"/>
      <c r="M188" s="868"/>
    </row>
    <row r="189" spans="3:13" x14ac:dyDescent="0.25">
      <c r="C189" s="79"/>
      <c r="D189" s="79"/>
      <c r="E189" s="79"/>
      <c r="F189" s="79"/>
      <c r="J189" s="769"/>
      <c r="K189" s="868"/>
      <c r="L189" s="769"/>
      <c r="M189" s="868"/>
    </row>
    <row r="190" spans="3:13" x14ac:dyDescent="0.25">
      <c r="C190" s="79"/>
      <c r="D190" s="79"/>
      <c r="E190" s="79"/>
      <c r="F190" s="79"/>
      <c r="J190" s="769"/>
      <c r="K190" s="866"/>
      <c r="L190" s="769"/>
      <c r="M190" s="866"/>
    </row>
    <row r="191" spans="3:13" x14ac:dyDescent="0.25">
      <c r="C191" s="79"/>
      <c r="D191" s="79"/>
      <c r="E191" s="79"/>
      <c r="F191" s="79"/>
      <c r="J191" s="223"/>
      <c r="K191" s="629"/>
      <c r="L191" s="223"/>
      <c r="M191" s="629"/>
    </row>
    <row r="192" spans="3:13" x14ac:dyDescent="0.25">
      <c r="C192" s="79"/>
      <c r="D192" s="79"/>
      <c r="E192" s="79"/>
      <c r="F192" s="79"/>
      <c r="J192" s="756"/>
      <c r="K192" s="756"/>
      <c r="L192" s="756"/>
      <c r="M192" s="756"/>
    </row>
    <row r="193" spans="3:13" x14ac:dyDescent="0.25">
      <c r="C193" s="79"/>
      <c r="D193" s="79"/>
      <c r="E193" s="79"/>
      <c r="F193" s="79"/>
    </row>
    <row r="194" spans="3:13" x14ac:dyDescent="0.25">
      <c r="C194" s="79"/>
      <c r="D194" s="79"/>
      <c r="E194" s="79"/>
      <c r="F194" s="79"/>
    </row>
    <row r="195" spans="3:13" x14ac:dyDescent="0.25">
      <c r="C195" s="79"/>
      <c r="D195" s="79"/>
      <c r="E195" s="79"/>
      <c r="F195" s="79"/>
    </row>
    <row r="196" spans="3:13" x14ac:dyDescent="0.25">
      <c r="C196" s="79"/>
      <c r="D196" s="79"/>
      <c r="E196" s="79"/>
      <c r="F196" s="79"/>
    </row>
    <row r="197" spans="3:13" x14ac:dyDescent="0.25">
      <c r="C197" s="79"/>
      <c r="D197" s="79"/>
      <c r="E197" s="79"/>
      <c r="F197" s="79"/>
      <c r="J197" s="85"/>
      <c r="K197" s="85"/>
      <c r="L197" s="85"/>
      <c r="M197" s="85"/>
    </row>
    <row r="198" spans="3:13" x14ac:dyDescent="0.25">
      <c r="C198" s="79"/>
      <c r="D198" s="79"/>
      <c r="E198" s="79"/>
      <c r="F198" s="79"/>
    </row>
    <row r="199" spans="3:13" x14ac:dyDescent="0.25">
      <c r="C199" s="79"/>
      <c r="D199" s="79"/>
      <c r="E199" s="79"/>
      <c r="F199" s="79"/>
    </row>
    <row r="200" spans="3:13" x14ac:dyDescent="0.25">
      <c r="C200" s="79"/>
      <c r="D200" s="79"/>
      <c r="E200" s="79"/>
      <c r="F200" s="79"/>
    </row>
    <row r="201" spans="3:13" x14ac:dyDescent="0.25">
      <c r="C201" s="79"/>
      <c r="D201" s="79"/>
      <c r="E201" s="79"/>
      <c r="F201" s="79"/>
    </row>
    <row r="202" spans="3:13" x14ac:dyDescent="0.25">
      <c r="C202" s="79"/>
      <c r="D202" s="79"/>
      <c r="E202" s="79"/>
      <c r="F202" s="79"/>
    </row>
    <row r="203" spans="3:13" x14ac:dyDescent="0.25">
      <c r="C203" s="79"/>
      <c r="D203" s="79"/>
      <c r="E203" s="79"/>
      <c r="F203" s="79"/>
    </row>
    <row r="204" spans="3:13" x14ac:dyDescent="0.25">
      <c r="C204" s="79"/>
      <c r="D204" s="79"/>
      <c r="E204" s="79"/>
      <c r="F204" s="79"/>
      <c r="J204" s="85"/>
      <c r="K204" s="85"/>
      <c r="L204" s="85"/>
      <c r="M204" s="85"/>
    </row>
    <row r="205" spans="3:13" x14ac:dyDescent="0.25">
      <c r="C205" s="79"/>
      <c r="D205" s="79"/>
      <c r="E205" s="79"/>
      <c r="F205" s="79"/>
    </row>
    <row r="206" spans="3:13" x14ac:dyDescent="0.25">
      <c r="C206" s="79"/>
      <c r="D206" s="79"/>
      <c r="E206" s="79"/>
      <c r="F206" s="79"/>
    </row>
    <row r="207" spans="3:13" x14ac:dyDescent="0.25">
      <c r="C207" s="79"/>
      <c r="D207" s="79"/>
      <c r="E207" s="79"/>
      <c r="F207" s="79"/>
    </row>
    <row r="208" spans="3:13" x14ac:dyDescent="0.25">
      <c r="C208" s="79"/>
      <c r="D208" s="79"/>
      <c r="E208" s="79"/>
      <c r="F208" s="79"/>
    </row>
    <row r="209" spans="3:13" x14ac:dyDescent="0.25">
      <c r="C209" s="79"/>
      <c r="D209" s="79"/>
      <c r="E209" s="79"/>
      <c r="F209" s="79"/>
    </row>
    <row r="210" spans="3:13" x14ac:dyDescent="0.25">
      <c r="C210" s="79"/>
      <c r="D210" s="79"/>
      <c r="E210" s="79"/>
      <c r="F210" s="79"/>
    </row>
    <row r="211" spans="3:13" x14ac:dyDescent="0.25">
      <c r="C211" s="79"/>
      <c r="D211" s="79"/>
      <c r="E211" s="79"/>
      <c r="F211" s="79"/>
      <c r="J211" s="771"/>
      <c r="K211" s="518"/>
      <c r="L211" s="771"/>
      <c r="M211" s="518"/>
    </row>
    <row r="212" spans="3:13" x14ac:dyDescent="0.25">
      <c r="C212" s="79"/>
      <c r="D212" s="79"/>
      <c r="E212" s="79"/>
      <c r="F212" s="79"/>
    </row>
    <row r="219" spans="3:13" x14ac:dyDescent="0.25">
      <c r="C219" s="79"/>
      <c r="D219" s="79"/>
      <c r="E219" s="79"/>
      <c r="F219" s="79"/>
      <c r="K219" s="216"/>
      <c r="M219" s="216"/>
    </row>
    <row r="220" spans="3:13" x14ac:dyDescent="0.25">
      <c r="C220" s="79"/>
      <c r="D220" s="79"/>
      <c r="E220" s="79"/>
      <c r="F220" s="79"/>
      <c r="K220" s="216"/>
      <c r="M220" s="216"/>
    </row>
    <row r="221" spans="3:13" x14ac:dyDescent="0.25">
      <c r="C221" s="79"/>
      <c r="D221" s="79"/>
      <c r="E221" s="79"/>
      <c r="F221" s="79"/>
      <c r="K221" s="216"/>
      <c r="M221" s="216"/>
    </row>
    <row r="222" spans="3:13" x14ac:dyDescent="0.25">
      <c r="C222" s="79"/>
      <c r="D222" s="79"/>
      <c r="E222" s="79"/>
      <c r="F222" s="79"/>
      <c r="K222" s="216"/>
      <c r="M222" s="216"/>
    </row>
    <row r="224" spans="3:13" x14ac:dyDescent="0.25">
      <c r="C224" s="79"/>
      <c r="D224" s="79"/>
      <c r="E224" s="79"/>
      <c r="F224" s="79"/>
      <c r="K224" s="216"/>
      <c r="M224" s="216"/>
    </row>
    <row r="226" spans="3:13" x14ac:dyDescent="0.25">
      <c r="C226" s="79"/>
      <c r="D226" s="79"/>
      <c r="E226" s="79"/>
      <c r="F226" s="79"/>
      <c r="K226" s="629"/>
      <c r="M226" s="629"/>
    </row>
    <row r="232" spans="3:13" x14ac:dyDescent="0.25">
      <c r="C232" s="79"/>
      <c r="D232" s="79"/>
      <c r="E232" s="79"/>
      <c r="F232" s="79"/>
      <c r="K232" s="216"/>
      <c r="M232" s="216"/>
    </row>
    <row r="233" spans="3:13" x14ac:dyDescent="0.25">
      <c r="C233" s="79"/>
      <c r="D233" s="79"/>
      <c r="E233" s="79"/>
      <c r="F233" s="79"/>
      <c r="K233" s="216"/>
      <c r="M233" s="216"/>
    </row>
    <row r="234" spans="3:13" x14ac:dyDescent="0.25">
      <c r="C234" s="79"/>
      <c r="D234" s="79"/>
      <c r="E234" s="79"/>
      <c r="F234" s="79"/>
      <c r="K234" s="216"/>
      <c r="M234" s="216"/>
    </row>
    <row r="235" spans="3:13" x14ac:dyDescent="0.25">
      <c r="C235" s="79"/>
      <c r="D235" s="79"/>
      <c r="E235" s="79"/>
      <c r="F235" s="79"/>
      <c r="K235" s="216"/>
      <c r="M235" s="216"/>
    </row>
    <row r="236" spans="3:13" x14ac:dyDescent="0.25">
      <c r="C236" s="79"/>
      <c r="D236" s="79"/>
      <c r="E236" s="79"/>
      <c r="F236" s="79"/>
      <c r="K236" s="216"/>
      <c r="M236" s="216"/>
    </row>
    <row r="237" spans="3:13" x14ac:dyDescent="0.25">
      <c r="C237" s="79"/>
      <c r="D237" s="79"/>
      <c r="E237" s="79"/>
      <c r="F237" s="79"/>
      <c r="K237" s="216"/>
      <c r="M237" s="216"/>
    </row>
    <row r="238" spans="3:13" x14ac:dyDescent="0.25">
      <c r="C238" s="79"/>
      <c r="D238" s="79"/>
      <c r="E238" s="79"/>
      <c r="F238" s="79"/>
      <c r="K238" s="216"/>
      <c r="M238" s="216"/>
    </row>
    <row r="239" spans="3:13" x14ac:dyDescent="0.25">
      <c r="C239" s="79"/>
      <c r="D239" s="79"/>
      <c r="E239" s="79"/>
      <c r="F239" s="79"/>
      <c r="K239" s="216"/>
      <c r="M239" s="216"/>
    </row>
    <row r="240" spans="3:13" x14ac:dyDescent="0.25">
      <c r="C240" s="79"/>
      <c r="D240" s="79"/>
      <c r="E240" s="79"/>
      <c r="F240" s="79"/>
      <c r="K240" s="216"/>
      <c r="M240" s="216"/>
    </row>
  </sheetData>
  <autoFilter ref="A2:I130" xr:uid="{00000000-0009-0000-0000-00005C000000}"/>
  <mergeCells count="14">
    <mergeCell ref="N26:Q26"/>
    <mergeCell ref="A129:E129"/>
    <mergeCell ref="A130:E130"/>
    <mergeCell ref="L2:M3"/>
    <mergeCell ref="F1:M1"/>
    <mergeCell ref="A1:E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Plan109"/>
  <dimension ref="A1:Q254"/>
  <sheetViews>
    <sheetView zoomScale="85" zoomScaleNormal="85" workbookViewId="0">
      <pane ySplit="4" topLeftCell="A118" activePane="bottomLeft" state="frozen"/>
      <selection activeCell="C44" sqref="C44"/>
      <selection pane="bottomLeft" activeCell="E113" sqref="E11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3.85546875" style="85" bestFit="1" customWidth="1"/>
    <col min="4" max="4" width="13.85546875" style="85" customWidth="1"/>
    <col min="5" max="5" width="24.7109375" style="85" bestFit="1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2.42578125" style="79" customWidth="1"/>
    <col min="13" max="13" width="13.85546875" style="79" customWidth="1"/>
    <col min="14" max="14" width="10" style="518" customWidth="1"/>
    <col min="15" max="15" width="14" style="79" customWidth="1"/>
    <col min="16" max="16" width="11.5703125" style="79" bestFit="1" customWidth="1"/>
    <col min="17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2448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2380</v>
      </c>
      <c r="M2" s="3086"/>
    </row>
    <row r="3" spans="1:17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x14ac:dyDescent="0.25">
      <c r="A5" s="281">
        <v>43800</v>
      </c>
      <c r="B5" s="369" t="s">
        <v>10</v>
      </c>
      <c r="C5" s="370"/>
      <c r="D5" s="370"/>
      <c r="E5" s="777"/>
      <c r="F5" s="889"/>
      <c r="G5" s="925">
        <f>'Novembro-19'!G130</f>
        <v>1574.1833333333516</v>
      </c>
      <c r="H5" s="179"/>
      <c r="I5" s="933">
        <f>'Novembro-19'!I130</f>
        <v>2099.9960000000024</v>
      </c>
      <c r="J5" s="179"/>
      <c r="K5" s="933">
        <f>'Novembro-19'!K130</f>
        <v>6790.85</v>
      </c>
      <c r="L5" s="179"/>
      <c r="M5" s="933">
        <f>'Novembro-19'!M130</f>
        <v>399.01</v>
      </c>
    </row>
    <row r="6" spans="1:17" s="224" customFormat="1" x14ac:dyDescent="0.25">
      <c r="A6" s="215">
        <v>43800</v>
      </c>
      <c r="B6" s="348" t="s">
        <v>11</v>
      </c>
      <c r="C6" s="351"/>
      <c r="D6" s="351"/>
      <c r="E6" s="673"/>
      <c r="F6" s="827">
        <v>20</v>
      </c>
      <c r="G6" s="1526"/>
      <c r="H6" s="250"/>
      <c r="I6" s="1473"/>
      <c r="J6" s="250"/>
      <c r="K6" s="1473"/>
      <c r="L6" s="250"/>
      <c r="M6" s="1473"/>
      <c r="N6" s="518"/>
      <c r="O6" s="89"/>
    </row>
    <row r="7" spans="1:17" s="224" customFormat="1" ht="15" customHeight="1" x14ac:dyDescent="0.25">
      <c r="A7" s="215">
        <v>43800</v>
      </c>
      <c r="B7" s="862" t="s">
        <v>2449</v>
      </c>
      <c r="C7" s="879" t="s">
        <v>12</v>
      </c>
      <c r="D7" s="879" t="s">
        <v>1493</v>
      </c>
      <c r="E7" s="871" t="s">
        <v>13</v>
      </c>
      <c r="F7" s="97">
        <v>29</v>
      </c>
      <c r="G7" s="946"/>
      <c r="H7" s="97"/>
      <c r="I7" s="982"/>
      <c r="J7" s="622"/>
      <c r="K7" s="982"/>
      <c r="L7" s="622"/>
      <c r="M7" s="982"/>
      <c r="N7" s="459"/>
    </row>
    <row r="8" spans="1:17" s="224" customFormat="1" ht="15" customHeight="1" x14ac:dyDescent="0.25">
      <c r="A8" s="215">
        <v>43800</v>
      </c>
      <c r="B8" s="349" t="s">
        <v>81</v>
      </c>
      <c r="C8" s="879" t="s">
        <v>12</v>
      </c>
      <c r="D8" s="879" t="s">
        <v>1493</v>
      </c>
      <c r="E8" s="871" t="s">
        <v>13</v>
      </c>
      <c r="F8" s="852">
        <v>10.28</v>
      </c>
      <c r="G8" s="965"/>
      <c r="H8" s="97"/>
      <c r="I8" s="982"/>
      <c r="J8" s="622"/>
      <c r="K8" s="982"/>
      <c r="L8" s="622"/>
      <c r="M8" s="982"/>
      <c r="N8" s="459"/>
    </row>
    <row r="9" spans="1:17" s="224" customFormat="1" ht="15" customHeight="1" x14ac:dyDescent="0.25">
      <c r="A9" s="215">
        <v>43801</v>
      </c>
      <c r="B9" s="862" t="s">
        <v>1241</v>
      </c>
      <c r="C9" s="350" t="s">
        <v>12</v>
      </c>
      <c r="D9" s="874" t="s">
        <v>1504</v>
      </c>
      <c r="E9" s="887" t="s">
        <v>13</v>
      </c>
      <c r="F9" s="852">
        <v>10</v>
      </c>
      <c r="G9" s="965"/>
      <c r="H9" s="97"/>
      <c r="I9" s="946"/>
      <c r="J9" s="97"/>
      <c r="K9" s="946"/>
      <c r="L9" s="97"/>
      <c r="M9" s="946"/>
      <c r="N9" s="923"/>
      <c r="P9" s="930"/>
    </row>
    <row r="10" spans="1:17" s="224" customFormat="1" ht="15" customHeight="1" x14ac:dyDescent="0.25">
      <c r="A10" s="215">
        <v>43801</v>
      </c>
      <c r="B10" s="364" t="s">
        <v>32</v>
      </c>
      <c r="C10" s="350" t="s">
        <v>12</v>
      </c>
      <c r="D10" s="350" t="s">
        <v>1485</v>
      </c>
      <c r="E10" s="875" t="s">
        <v>13</v>
      </c>
      <c r="F10" s="780">
        <v>14</v>
      </c>
      <c r="G10" s="946"/>
      <c r="H10" s="97"/>
      <c r="I10" s="946"/>
      <c r="J10" s="97"/>
      <c r="K10" s="946"/>
      <c r="L10" s="97"/>
      <c r="M10" s="946"/>
      <c r="N10" s="923"/>
      <c r="P10" s="930"/>
    </row>
    <row r="11" spans="1:17" s="224" customFormat="1" ht="15" customHeight="1" x14ac:dyDescent="0.25">
      <c r="A11" s="215">
        <v>43801</v>
      </c>
      <c r="B11" s="349" t="s">
        <v>2198</v>
      </c>
      <c r="C11" s="350" t="s">
        <v>12</v>
      </c>
      <c r="D11" s="350" t="s">
        <v>2157</v>
      </c>
      <c r="E11" s="480" t="s">
        <v>13</v>
      </c>
      <c r="F11" s="780">
        <v>40</v>
      </c>
      <c r="G11" s="946"/>
      <c r="H11" s="97"/>
      <c r="I11" s="946"/>
      <c r="J11" s="97"/>
      <c r="K11" s="946"/>
      <c r="L11" s="97"/>
      <c r="M11" s="946"/>
      <c r="N11" s="923"/>
      <c r="P11" s="930"/>
    </row>
    <row r="12" spans="1:17" s="224" customFormat="1" ht="15" customHeight="1" x14ac:dyDescent="0.25">
      <c r="A12" s="215">
        <v>43801</v>
      </c>
      <c r="B12" s="364" t="s">
        <v>14</v>
      </c>
      <c r="C12" s="350" t="s">
        <v>12</v>
      </c>
      <c r="D12" s="350" t="s">
        <v>1486</v>
      </c>
      <c r="E12" s="875" t="s">
        <v>13</v>
      </c>
      <c r="F12" s="780">
        <v>8.7100000000000009</v>
      </c>
      <c r="G12" s="946"/>
      <c r="H12" s="97"/>
      <c r="I12" s="946"/>
      <c r="J12" s="97"/>
      <c r="K12" s="946"/>
      <c r="L12" s="97"/>
      <c r="M12" s="946"/>
      <c r="N12" s="923"/>
      <c r="P12" s="930"/>
    </row>
    <row r="13" spans="1:17" s="224" customFormat="1" ht="15" customHeight="1" x14ac:dyDescent="0.25">
      <c r="A13" s="215">
        <v>43802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780">
        <v>14</v>
      </c>
      <c r="G13" s="946"/>
      <c r="H13" s="97"/>
      <c r="I13" s="946"/>
      <c r="J13" s="97"/>
      <c r="K13" s="946"/>
      <c r="L13" s="97"/>
      <c r="M13" s="946"/>
      <c r="N13" s="923"/>
      <c r="P13" s="930"/>
    </row>
    <row r="14" spans="1:17" s="224" customFormat="1" ht="15" customHeight="1" x14ac:dyDescent="0.25">
      <c r="A14" s="215">
        <v>43802</v>
      </c>
      <c r="B14" s="349" t="s">
        <v>2450</v>
      </c>
      <c r="C14" s="352" t="s">
        <v>12</v>
      </c>
      <c r="D14" s="874" t="s">
        <v>1489</v>
      </c>
      <c r="E14" s="875" t="s">
        <v>13</v>
      </c>
      <c r="F14" s="780">
        <v>11.98</v>
      </c>
      <c r="G14" s="946"/>
      <c r="H14" s="97"/>
      <c r="I14" s="982"/>
      <c r="J14" s="622"/>
      <c r="K14" s="982"/>
      <c r="L14" s="622"/>
      <c r="M14" s="982"/>
      <c r="N14" s="459"/>
    </row>
    <row r="15" spans="1:17" s="224" customFormat="1" ht="15" customHeight="1" x14ac:dyDescent="0.25">
      <c r="A15" s="215">
        <v>43802</v>
      </c>
      <c r="B15" s="349" t="s">
        <v>2451</v>
      </c>
      <c r="C15" s="352" t="s">
        <v>12</v>
      </c>
      <c r="D15" s="874" t="s">
        <v>1506</v>
      </c>
      <c r="E15" s="875" t="s">
        <v>13</v>
      </c>
      <c r="F15" s="780">
        <v>14</v>
      </c>
      <c r="G15" s="946"/>
      <c r="H15" s="97"/>
      <c r="I15" s="982"/>
      <c r="J15" s="622"/>
      <c r="K15" s="982"/>
      <c r="L15" s="622"/>
      <c r="M15" s="982"/>
      <c r="N15" s="459"/>
    </row>
    <row r="16" spans="1:17" s="224" customFormat="1" ht="15" customHeight="1" x14ac:dyDescent="0.25">
      <c r="A16" s="215">
        <v>43802</v>
      </c>
      <c r="B16" s="364" t="s">
        <v>14</v>
      </c>
      <c r="C16" s="350" t="s">
        <v>12</v>
      </c>
      <c r="D16" s="350" t="s">
        <v>1486</v>
      </c>
      <c r="E16" s="875" t="s">
        <v>13</v>
      </c>
      <c r="F16" s="780">
        <v>10</v>
      </c>
      <c r="G16" s="946"/>
      <c r="H16" s="97"/>
      <c r="I16" s="946"/>
      <c r="J16" s="97"/>
      <c r="K16" s="946"/>
      <c r="L16" s="97"/>
      <c r="M16" s="946"/>
      <c r="N16" s="923"/>
      <c r="P16" s="930"/>
    </row>
    <row r="17" spans="1:16" s="224" customFormat="1" ht="15" customHeight="1" x14ac:dyDescent="0.25">
      <c r="A17" s="215">
        <v>43802</v>
      </c>
      <c r="B17" s="349" t="s">
        <v>2452</v>
      </c>
      <c r="C17" s="352" t="s">
        <v>12</v>
      </c>
      <c r="D17" s="874" t="s">
        <v>2168</v>
      </c>
      <c r="E17" s="875" t="s">
        <v>13</v>
      </c>
      <c r="F17" s="780">
        <v>28.8</v>
      </c>
      <c r="G17" s="946"/>
      <c r="H17" s="97"/>
      <c r="I17" s="982"/>
      <c r="J17" s="622"/>
      <c r="K17" s="982"/>
      <c r="L17" s="622"/>
      <c r="M17" s="982"/>
      <c r="N17" s="459"/>
    </row>
    <row r="18" spans="1:16" s="224" customFormat="1" ht="15" customHeight="1" x14ac:dyDescent="0.25">
      <c r="A18" s="215">
        <v>43803</v>
      </c>
      <c r="B18" s="364" t="s">
        <v>32</v>
      </c>
      <c r="C18" s="350" t="s">
        <v>12</v>
      </c>
      <c r="D18" s="350" t="s">
        <v>1485</v>
      </c>
      <c r="E18" s="875" t="s">
        <v>13</v>
      </c>
      <c r="F18" s="780">
        <v>14</v>
      </c>
      <c r="G18" s="946"/>
      <c r="H18" s="97"/>
      <c r="I18" s="946"/>
      <c r="J18" s="97"/>
      <c r="K18" s="946"/>
      <c r="L18" s="97"/>
      <c r="M18" s="946"/>
      <c r="N18" s="923"/>
      <c r="P18" s="930"/>
    </row>
    <row r="19" spans="1:16" s="224" customFormat="1" ht="15" customHeight="1" x14ac:dyDescent="0.25">
      <c r="A19" s="215">
        <v>43803</v>
      </c>
      <c r="B19" s="364" t="s">
        <v>14</v>
      </c>
      <c r="C19" s="350" t="s">
        <v>12</v>
      </c>
      <c r="D19" s="350" t="s">
        <v>1486</v>
      </c>
      <c r="E19" s="875" t="s">
        <v>13</v>
      </c>
      <c r="F19" s="780">
        <v>9.76</v>
      </c>
      <c r="G19" s="957"/>
      <c r="H19" s="97"/>
      <c r="I19" s="946"/>
      <c r="J19" s="97"/>
      <c r="K19" s="946"/>
      <c r="L19" s="97"/>
      <c r="M19" s="946"/>
      <c r="N19" s="459"/>
    </row>
    <row r="20" spans="1:16" s="224" customFormat="1" ht="15" customHeight="1" x14ac:dyDescent="0.25">
      <c r="A20" s="215">
        <v>43804</v>
      </c>
      <c r="B20" s="364" t="s">
        <v>32</v>
      </c>
      <c r="C20" s="350" t="s">
        <v>12</v>
      </c>
      <c r="D20" s="350" t="s">
        <v>1485</v>
      </c>
      <c r="E20" s="875" t="s">
        <v>13</v>
      </c>
      <c r="F20" s="780">
        <v>14</v>
      </c>
      <c r="G20" s="946"/>
      <c r="H20" s="97"/>
      <c r="I20" s="946"/>
      <c r="J20" s="97"/>
      <c r="K20" s="946"/>
      <c r="L20" s="97"/>
      <c r="M20" s="946"/>
      <c r="N20" s="923"/>
      <c r="P20" s="930"/>
    </row>
    <row r="21" spans="1:16" s="224" customFormat="1" ht="15" customHeight="1" x14ac:dyDescent="0.25">
      <c r="A21" s="215">
        <v>43804</v>
      </c>
      <c r="B21" s="364" t="s">
        <v>14</v>
      </c>
      <c r="C21" s="350" t="s">
        <v>12</v>
      </c>
      <c r="D21" s="350" t="s">
        <v>1486</v>
      </c>
      <c r="E21" s="875" t="s">
        <v>15</v>
      </c>
      <c r="F21" s="780">
        <v>10</v>
      </c>
      <c r="G21" s="957"/>
      <c r="H21" s="97"/>
      <c r="I21" s="946"/>
      <c r="J21" s="97"/>
      <c r="K21" s="946"/>
      <c r="L21" s="97"/>
      <c r="M21" s="946"/>
      <c r="N21" s="459"/>
    </row>
    <row r="22" spans="1:16" s="224" customFormat="1" ht="15" customHeight="1" x14ac:dyDescent="0.25">
      <c r="A22" s="215">
        <v>43804</v>
      </c>
      <c r="B22" s="349" t="s">
        <v>2198</v>
      </c>
      <c r="C22" s="350" t="s">
        <v>12</v>
      </c>
      <c r="D22" s="350" t="s">
        <v>2157</v>
      </c>
      <c r="E22" s="480" t="s">
        <v>13</v>
      </c>
      <c r="F22" s="780">
        <v>30</v>
      </c>
      <c r="G22" s="946"/>
      <c r="H22" s="97"/>
      <c r="I22" s="946"/>
      <c r="J22" s="97"/>
      <c r="K22" s="946"/>
      <c r="L22" s="97"/>
      <c r="M22" s="946"/>
      <c r="N22" s="923"/>
      <c r="P22" s="930"/>
    </row>
    <row r="23" spans="1:16" s="224" customFormat="1" ht="15.75" customHeight="1" x14ac:dyDescent="0.25">
      <c r="A23" s="215">
        <v>43805</v>
      </c>
      <c r="B23" s="349" t="s">
        <v>2453</v>
      </c>
      <c r="C23" s="879" t="s">
        <v>12</v>
      </c>
      <c r="D23" s="874"/>
      <c r="E23" s="871" t="s">
        <v>25</v>
      </c>
      <c r="F23" s="780"/>
      <c r="G23" s="982">
        <v>1891.16</v>
      </c>
      <c r="H23" s="538"/>
      <c r="I23" s="982"/>
      <c r="J23" s="97"/>
      <c r="K23" s="946"/>
      <c r="L23" s="97"/>
      <c r="M23" s="946"/>
      <c r="N23" s="939"/>
    </row>
    <row r="24" spans="1:16" s="224" customFormat="1" ht="15.75" customHeight="1" x14ac:dyDescent="0.25">
      <c r="A24" s="215">
        <v>43805</v>
      </c>
      <c r="B24" s="862" t="s">
        <v>2454</v>
      </c>
      <c r="C24" s="879" t="s">
        <v>12</v>
      </c>
      <c r="D24" s="874" t="s">
        <v>2131</v>
      </c>
      <c r="E24" s="871" t="s">
        <v>13</v>
      </c>
      <c r="F24" s="852">
        <v>57</v>
      </c>
      <c r="G24" s="964"/>
      <c r="H24" s="538"/>
      <c r="I24" s="982"/>
      <c r="J24" s="97"/>
      <c r="K24" s="946"/>
      <c r="L24" s="97"/>
      <c r="M24" s="946"/>
      <c r="N24" s="939"/>
    </row>
    <row r="25" spans="1:16" s="224" customFormat="1" x14ac:dyDescent="0.25">
      <c r="A25" s="215">
        <v>43805</v>
      </c>
      <c r="B25" s="862" t="s">
        <v>2454</v>
      </c>
      <c r="C25" s="879" t="s">
        <v>12</v>
      </c>
      <c r="D25" s="879" t="s">
        <v>1491</v>
      </c>
      <c r="E25" s="871" t="s">
        <v>13</v>
      </c>
      <c r="F25" s="872">
        <v>97.3</v>
      </c>
      <c r="G25" s="964"/>
      <c r="H25" s="622"/>
      <c r="I25" s="982"/>
      <c r="J25" s="780"/>
      <c r="K25" s="614"/>
      <c r="L25" s="780"/>
      <c r="M25" s="614"/>
      <c r="N25" s="459"/>
      <c r="O25" s="89"/>
    </row>
    <row r="26" spans="1:16" s="224" customFormat="1" x14ac:dyDescent="0.25">
      <c r="A26" s="215">
        <v>43805</v>
      </c>
      <c r="B26" s="862" t="s">
        <v>2454</v>
      </c>
      <c r="C26" s="879" t="s">
        <v>12</v>
      </c>
      <c r="D26" s="879" t="s">
        <v>1525</v>
      </c>
      <c r="E26" s="871" t="s">
        <v>13</v>
      </c>
      <c r="F26" s="872">
        <v>125</v>
      </c>
      <c r="G26" s="964"/>
      <c r="H26" s="622"/>
      <c r="I26" s="982"/>
      <c r="J26" s="780"/>
      <c r="K26" s="614"/>
      <c r="L26" s="780"/>
      <c r="M26" s="614"/>
      <c r="N26" s="459"/>
      <c r="O26" s="89"/>
    </row>
    <row r="27" spans="1:16" s="224" customFormat="1" x14ac:dyDescent="0.25">
      <c r="A27" s="215">
        <v>43805</v>
      </c>
      <c r="B27" s="862" t="s">
        <v>2454</v>
      </c>
      <c r="C27" s="879" t="s">
        <v>12</v>
      </c>
      <c r="D27" s="879" t="s">
        <v>1506</v>
      </c>
      <c r="E27" s="871" t="s">
        <v>13</v>
      </c>
      <c r="F27" s="872">
        <v>59.666666666666664</v>
      </c>
      <c r="G27" s="964"/>
      <c r="H27" s="622"/>
      <c r="I27" s="982"/>
      <c r="J27" s="780"/>
      <c r="K27" s="614"/>
      <c r="L27" s="780"/>
      <c r="M27" s="614"/>
      <c r="N27" s="459"/>
      <c r="O27" s="89"/>
    </row>
    <row r="28" spans="1:16" s="224" customFormat="1" x14ac:dyDescent="0.25">
      <c r="A28" s="215">
        <v>43805</v>
      </c>
      <c r="B28" s="862" t="s">
        <v>2454</v>
      </c>
      <c r="C28" s="879" t="s">
        <v>12</v>
      </c>
      <c r="D28" s="879" t="s">
        <v>1525</v>
      </c>
      <c r="E28" s="871" t="s">
        <v>13</v>
      </c>
      <c r="F28" s="872">
        <v>164.9</v>
      </c>
      <c r="G28" s="964"/>
      <c r="H28" s="622"/>
      <c r="I28" s="982"/>
      <c r="J28" s="780"/>
      <c r="K28" s="614"/>
      <c r="L28" s="780"/>
      <c r="M28" s="614"/>
      <c r="N28" s="459"/>
      <c r="O28" s="89"/>
    </row>
    <row r="29" spans="1:16" s="224" customFormat="1" x14ac:dyDescent="0.25">
      <c r="A29" s="215">
        <v>43805</v>
      </c>
      <c r="B29" s="862" t="s">
        <v>2454</v>
      </c>
      <c r="C29" s="879" t="s">
        <v>12</v>
      </c>
      <c r="D29" s="879" t="s">
        <v>1506</v>
      </c>
      <c r="E29" s="871" t="s">
        <v>13</v>
      </c>
      <c r="F29" s="872">
        <v>20</v>
      </c>
      <c r="G29" s="964"/>
      <c r="H29" s="622"/>
      <c r="I29" s="982"/>
      <c r="J29" s="780"/>
      <c r="K29" s="614"/>
      <c r="L29" s="780"/>
      <c r="M29" s="614"/>
      <c r="N29" s="459"/>
      <c r="O29" s="89"/>
    </row>
    <row r="30" spans="1:16" s="224" customFormat="1" x14ac:dyDescent="0.25">
      <c r="A30" s="215">
        <v>43805</v>
      </c>
      <c r="B30" s="862" t="s">
        <v>2454</v>
      </c>
      <c r="C30" s="879" t="s">
        <v>12</v>
      </c>
      <c r="D30" s="879" t="s">
        <v>1489</v>
      </c>
      <c r="E30" s="871" t="s">
        <v>13</v>
      </c>
      <c r="F30" s="872">
        <v>50</v>
      </c>
      <c r="G30" s="964"/>
      <c r="H30" s="622"/>
      <c r="I30" s="982"/>
      <c r="J30" s="780"/>
      <c r="K30" s="614"/>
      <c r="L30" s="780"/>
      <c r="M30" s="614"/>
      <c r="O30" s="89"/>
    </row>
    <row r="31" spans="1:16" s="224" customFormat="1" x14ac:dyDescent="0.25">
      <c r="A31" s="215">
        <v>43805</v>
      </c>
      <c r="B31" s="862" t="s">
        <v>2454</v>
      </c>
      <c r="C31" s="879" t="s">
        <v>12</v>
      </c>
      <c r="D31" s="879" t="s">
        <v>1489</v>
      </c>
      <c r="E31" s="871" t="s">
        <v>13</v>
      </c>
      <c r="F31" s="872">
        <v>79</v>
      </c>
      <c r="G31" s="964"/>
      <c r="H31" s="622"/>
      <c r="I31" s="982"/>
      <c r="J31" s="780"/>
      <c r="K31" s="614"/>
      <c r="L31" s="780"/>
      <c r="M31" s="614"/>
      <c r="O31" s="89"/>
    </row>
    <row r="32" spans="1:16" s="224" customFormat="1" x14ac:dyDescent="0.25">
      <c r="A32" s="215">
        <v>43805</v>
      </c>
      <c r="B32" s="862" t="s">
        <v>2454</v>
      </c>
      <c r="C32" s="879" t="s">
        <v>12</v>
      </c>
      <c r="D32" s="879" t="s">
        <v>1491</v>
      </c>
      <c r="E32" s="871" t="s">
        <v>13</v>
      </c>
      <c r="F32" s="872">
        <v>74.5</v>
      </c>
      <c r="G32" s="964"/>
      <c r="H32" s="622"/>
      <c r="I32" s="982"/>
      <c r="J32" s="780"/>
      <c r="K32" s="614"/>
      <c r="L32" s="780"/>
      <c r="M32" s="614"/>
      <c r="O32" s="89"/>
    </row>
    <row r="33" spans="1:16" x14ac:dyDescent="0.25">
      <c r="A33" s="215">
        <v>43805</v>
      </c>
      <c r="B33" s="862" t="s">
        <v>2385</v>
      </c>
      <c r="C33" s="879" t="s">
        <v>12</v>
      </c>
      <c r="D33" s="879" t="s">
        <v>1504</v>
      </c>
      <c r="E33" s="871" t="s">
        <v>13</v>
      </c>
      <c r="F33" s="852">
        <v>50</v>
      </c>
      <c r="G33" s="964"/>
      <c r="H33" s="622"/>
      <c r="I33" s="982"/>
      <c r="J33" s="622"/>
      <c r="K33" s="1002"/>
      <c r="L33" s="622"/>
      <c r="M33" s="1002"/>
      <c r="N33" s="948">
        <v>90</v>
      </c>
    </row>
    <row r="34" spans="1:16" x14ac:dyDescent="0.25">
      <c r="A34" s="215">
        <v>43805</v>
      </c>
      <c r="B34" s="882" t="s">
        <v>2455</v>
      </c>
      <c r="C34" s="879" t="s">
        <v>12</v>
      </c>
      <c r="D34" s="879" t="s">
        <v>1499</v>
      </c>
      <c r="E34" s="871" t="s">
        <v>13</v>
      </c>
      <c r="F34" s="852">
        <v>58.75</v>
      </c>
      <c r="G34" s="964"/>
      <c r="H34" s="622"/>
      <c r="I34" s="982"/>
      <c r="J34" s="780"/>
      <c r="K34" s="614"/>
      <c r="L34" s="780"/>
      <c r="M34" s="614"/>
      <c r="N34" s="934">
        <v>138.75</v>
      </c>
      <c r="O34" s="986"/>
    </row>
    <row r="35" spans="1:16" x14ac:dyDescent="0.25">
      <c r="A35" s="215">
        <v>43805</v>
      </c>
      <c r="B35" s="876" t="s">
        <v>52</v>
      </c>
      <c r="C35" s="879" t="s">
        <v>12</v>
      </c>
      <c r="D35" s="879" t="s">
        <v>1496</v>
      </c>
      <c r="E35" s="871" t="s">
        <v>13</v>
      </c>
      <c r="F35" s="852">
        <v>60</v>
      </c>
      <c r="G35" s="964"/>
      <c r="H35" s="853"/>
      <c r="I35" s="982"/>
      <c r="J35" s="622"/>
      <c r="K35" s="982"/>
      <c r="L35" s="622"/>
      <c r="M35" s="982"/>
      <c r="N35" s="934"/>
    </row>
    <row r="36" spans="1:16" s="224" customFormat="1" ht="15" customHeight="1" x14ac:dyDescent="0.25">
      <c r="A36" s="215">
        <v>43805</v>
      </c>
      <c r="B36" s="364" t="s">
        <v>32</v>
      </c>
      <c r="C36" s="350" t="s">
        <v>12</v>
      </c>
      <c r="D36" s="350" t="s">
        <v>1485</v>
      </c>
      <c r="E36" s="875" t="s">
        <v>13</v>
      </c>
      <c r="F36" s="780">
        <v>14</v>
      </c>
      <c r="G36" s="946"/>
      <c r="H36" s="97"/>
      <c r="I36" s="946"/>
      <c r="J36" s="97"/>
      <c r="K36" s="946"/>
      <c r="L36" s="97"/>
      <c r="M36" s="946"/>
      <c r="N36" s="923"/>
      <c r="P36" s="930"/>
    </row>
    <row r="37" spans="1:16" s="224" customFormat="1" ht="15" customHeight="1" x14ac:dyDescent="0.25">
      <c r="A37" s="215">
        <v>43805</v>
      </c>
      <c r="B37" s="349" t="s">
        <v>470</v>
      </c>
      <c r="C37" s="350" t="s">
        <v>12</v>
      </c>
      <c r="D37" s="350" t="s">
        <v>1489</v>
      </c>
      <c r="E37" s="480" t="s">
        <v>15</v>
      </c>
      <c r="F37" s="622">
        <v>78</v>
      </c>
      <c r="G37" s="1064"/>
      <c r="H37" s="97"/>
      <c r="I37" s="946"/>
      <c r="J37" s="97"/>
      <c r="K37" s="946"/>
      <c r="L37" s="97"/>
      <c r="M37" s="946"/>
      <c r="N37" s="934"/>
    </row>
    <row r="38" spans="1:16" s="224" customFormat="1" ht="15" customHeight="1" x14ac:dyDescent="0.25">
      <c r="A38" s="215">
        <v>43805</v>
      </c>
      <c r="B38" s="349" t="s">
        <v>260</v>
      </c>
      <c r="C38" s="350" t="s">
        <v>12</v>
      </c>
      <c r="D38" s="350"/>
      <c r="E38" s="480"/>
      <c r="F38" s="780">
        <v>900</v>
      </c>
      <c r="G38" s="946"/>
      <c r="H38" s="97"/>
      <c r="I38" s="946">
        <v>900</v>
      </c>
      <c r="J38" s="97"/>
      <c r="K38" s="946"/>
      <c r="L38" s="97"/>
      <c r="M38" s="946"/>
      <c r="N38" s="923"/>
      <c r="P38" s="930"/>
    </row>
    <row r="39" spans="1:16" s="224" customFormat="1" ht="15" customHeight="1" x14ac:dyDescent="0.25">
      <c r="A39" s="215">
        <v>43805</v>
      </c>
      <c r="B39" s="349" t="s">
        <v>2198</v>
      </c>
      <c r="C39" s="350" t="s">
        <v>19</v>
      </c>
      <c r="D39" s="350" t="s">
        <v>2157</v>
      </c>
      <c r="E39" s="480" t="s">
        <v>13</v>
      </c>
      <c r="F39" s="780">
        <v>80</v>
      </c>
      <c r="G39" s="946"/>
      <c r="H39" s="97"/>
      <c r="I39" s="946"/>
      <c r="J39" s="97"/>
      <c r="K39" s="946"/>
      <c r="L39" s="97"/>
      <c r="M39" s="946"/>
      <c r="N39" s="934"/>
      <c r="P39" s="930"/>
    </row>
    <row r="40" spans="1:16" s="224" customFormat="1" ht="15" customHeight="1" x14ac:dyDescent="0.25">
      <c r="A40" s="215">
        <v>43805</v>
      </c>
      <c r="B40" s="349" t="s">
        <v>2456</v>
      </c>
      <c r="C40" s="350" t="s">
        <v>19</v>
      </c>
      <c r="D40" s="350" t="s">
        <v>1506</v>
      </c>
      <c r="E40" s="480" t="s">
        <v>13</v>
      </c>
      <c r="F40" s="780">
        <v>80</v>
      </c>
      <c r="G40" s="946"/>
      <c r="H40" s="97"/>
      <c r="I40" s="946"/>
      <c r="J40" s="97"/>
      <c r="K40" s="946"/>
      <c r="L40" s="97"/>
      <c r="M40" s="946"/>
      <c r="N40" s="934"/>
      <c r="P40" s="930"/>
    </row>
    <row r="41" spans="1:16" s="224" customFormat="1" ht="15" customHeight="1" x14ac:dyDescent="0.25">
      <c r="A41" s="215">
        <v>43805</v>
      </c>
      <c r="B41" s="349" t="s">
        <v>2457</v>
      </c>
      <c r="C41" s="350" t="s">
        <v>19</v>
      </c>
      <c r="D41" s="350" t="s">
        <v>1506</v>
      </c>
      <c r="E41" s="480" t="s">
        <v>13</v>
      </c>
      <c r="F41" s="780">
        <v>42.6</v>
      </c>
      <c r="G41" s="946"/>
      <c r="H41" s="97"/>
      <c r="I41" s="946"/>
      <c r="J41" s="97"/>
      <c r="K41" s="946"/>
      <c r="L41" s="97"/>
      <c r="M41" s="946"/>
      <c r="N41" s="934"/>
      <c r="P41" s="930"/>
    </row>
    <row r="42" spans="1:16" s="224" customFormat="1" ht="15" customHeight="1" x14ac:dyDescent="0.25">
      <c r="A42" s="215">
        <v>43805</v>
      </c>
      <c r="B42" s="364" t="s">
        <v>14</v>
      </c>
      <c r="C42" s="350" t="s">
        <v>12</v>
      </c>
      <c r="D42" s="350" t="s">
        <v>1486</v>
      </c>
      <c r="E42" s="875" t="s">
        <v>15</v>
      </c>
      <c r="F42" s="780">
        <v>3.91</v>
      </c>
      <c r="G42" s="957"/>
      <c r="H42" s="97"/>
      <c r="I42" s="946"/>
      <c r="J42" s="97"/>
      <c r="K42" s="946"/>
      <c r="L42" s="97"/>
      <c r="M42" s="946"/>
      <c r="N42" s="459"/>
    </row>
    <row r="43" spans="1:16" s="224" customFormat="1" ht="15" customHeight="1" x14ac:dyDescent="0.25">
      <c r="A43" s="215">
        <v>43806</v>
      </c>
      <c r="B43" s="349" t="s">
        <v>2458</v>
      </c>
      <c r="C43" s="352" t="s">
        <v>12</v>
      </c>
      <c r="D43" s="874" t="s">
        <v>1524</v>
      </c>
      <c r="E43" s="875" t="s">
        <v>13</v>
      </c>
      <c r="F43" s="852">
        <v>5.3</v>
      </c>
      <c r="G43" s="957"/>
      <c r="H43" s="622"/>
      <c r="I43" s="982"/>
      <c r="J43" s="622"/>
      <c r="K43" s="982"/>
      <c r="L43" s="622"/>
      <c r="M43" s="982"/>
    </row>
    <row r="44" spans="1:16" s="224" customFormat="1" ht="15" customHeight="1" x14ac:dyDescent="0.25">
      <c r="A44" s="215">
        <v>43806</v>
      </c>
      <c r="B44" s="349" t="s">
        <v>2459</v>
      </c>
      <c r="C44" s="352" t="s">
        <v>19</v>
      </c>
      <c r="D44" s="874" t="s">
        <v>1493</v>
      </c>
      <c r="E44" s="875" t="s">
        <v>13</v>
      </c>
      <c r="F44" s="852">
        <v>31.47</v>
      </c>
      <c r="G44" s="957"/>
      <c r="H44" s="622"/>
      <c r="I44" s="982"/>
      <c r="J44" s="622"/>
      <c r="K44" s="982"/>
      <c r="L44" s="622"/>
      <c r="M44" s="982"/>
    </row>
    <row r="45" spans="1:16" s="224" customFormat="1" ht="15" customHeight="1" x14ac:dyDescent="0.25">
      <c r="A45" s="215">
        <v>43806</v>
      </c>
      <c r="B45" s="349" t="s">
        <v>2460</v>
      </c>
      <c r="C45" s="352" t="s">
        <v>12</v>
      </c>
      <c r="D45" s="874" t="s">
        <v>1491</v>
      </c>
      <c r="E45" s="875" t="s">
        <v>13</v>
      </c>
      <c r="F45" s="852">
        <v>47</v>
      </c>
      <c r="G45" s="957"/>
      <c r="H45" s="622"/>
      <c r="I45" s="982"/>
      <c r="J45" s="622"/>
      <c r="K45" s="982"/>
      <c r="L45" s="622"/>
      <c r="M45" s="982"/>
    </row>
    <row r="46" spans="1:16" s="224" customFormat="1" ht="15" customHeight="1" x14ac:dyDescent="0.25">
      <c r="A46" s="215">
        <v>43806</v>
      </c>
      <c r="B46" s="349" t="s">
        <v>2461</v>
      </c>
      <c r="C46" s="352" t="s">
        <v>12</v>
      </c>
      <c r="D46" s="874" t="s">
        <v>1489</v>
      </c>
      <c r="E46" s="875" t="s">
        <v>15</v>
      </c>
      <c r="F46" s="852">
        <v>15</v>
      </c>
      <c r="G46" s="957"/>
      <c r="H46" s="622"/>
      <c r="I46" s="982"/>
      <c r="J46" s="622"/>
      <c r="K46" s="982"/>
      <c r="L46" s="622"/>
      <c r="M46" s="982"/>
    </row>
    <row r="47" spans="1:16" s="224" customFormat="1" ht="15" customHeight="1" x14ac:dyDescent="0.25">
      <c r="A47" s="215">
        <v>43806</v>
      </c>
      <c r="B47" s="349" t="s">
        <v>2462</v>
      </c>
      <c r="C47" s="352" t="s">
        <v>12</v>
      </c>
      <c r="D47" s="874" t="s">
        <v>1491</v>
      </c>
      <c r="E47" s="875" t="s">
        <v>15</v>
      </c>
      <c r="F47" s="852">
        <v>25</v>
      </c>
      <c r="G47" s="957"/>
      <c r="H47" s="622"/>
      <c r="I47" s="982"/>
      <c r="J47" s="622"/>
      <c r="K47" s="982"/>
      <c r="L47" s="622"/>
      <c r="M47" s="982"/>
    </row>
    <row r="48" spans="1:16" s="224" customFormat="1" ht="15" customHeight="1" x14ac:dyDescent="0.25">
      <c r="A48" s="215">
        <v>43806</v>
      </c>
      <c r="B48" s="349" t="s">
        <v>249</v>
      </c>
      <c r="C48" s="352" t="s">
        <v>12</v>
      </c>
      <c r="D48" s="874" t="s">
        <v>1493</v>
      </c>
      <c r="E48" s="875" t="s">
        <v>15</v>
      </c>
      <c r="F48" s="852">
        <v>5</v>
      </c>
      <c r="G48" s="957"/>
      <c r="H48" s="622"/>
      <c r="I48" s="982"/>
      <c r="J48" s="622"/>
      <c r="K48" s="982"/>
      <c r="L48" s="622"/>
      <c r="M48" s="982"/>
    </row>
    <row r="49" spans="1:16" s="224" customFormat="1" ht="15" customHeight="1" x14ac:dyDescent="0.25">
      <c r="A49" s="215">
        <v>43806</v>
      </c>
      <c r="B49" s="349" t="s">
        <v>2463</v>
      </c>
      <c r="C49" s="352" t="s">
        <v>12</v>
      </c>
      <c r="D49" s="874" t="s">
        <v>1493</v>
      </c>
      <c r="E49" s="875" t="s">
        <v>13</v>
      </c>
      <c r="F49" s="852">
        <v>59.7</v>
      </c>
      <c r="G49" s="957"/>
      <c r="H49" s="622"/>
      <c r="I49" s="982"/>
      <c r="J49" s="622"/>
      <c r="K49" s="982"/>
      <c r="L49" s="622"/>
      <c r="M49" s="982"/>
    </row>
    <row r="50" spans="1:16" s="224" customFormat="1" ht="15" customHeight="1" x14ac:dyDescent="0.25">
      <c r="A50" s="215">
        <v>43807</v>
      </c>
      <c r="B50" s="349" t="s">
        <v>2417</v>
      </c>
      <c r="C50" s="350" t="s">
        <v>12</v>
      </c>
      <c r="D50" s="350" t="s">
        <v>1491</v>
      </c>
      <c r="E50" s="480" t="s">
        <v>15</v>
      </c>
      <c r="F50" s="780">
        <v>120</v>
      </c>
      <c r="G50" s="946"/>
      <c r="H50" s="97"/>
      <c r="I50" s="946"/>
      <c r="J50" s="97"/>
      <c r="K50" s="946"/>
      <c r="L50" s="97"/>
      <c r="M50" s="946"/>
      <c r="P50" s="930"/>
    </row>
    <row r="51" spans="1:16" s="224" customFormat="1" ht="15" customHeight="1" x14ac:dyDescent="0.25">
      <c r="A51" s="215">
        <v>43807</v>
      </c>
      <c r="B51" s="349" t="s">
        <v>2464</v>
      </c>
      <c r="C51" s="350" t="s">
        <v>12</v>
      </c>
      <c r="D51" s="350" t="s">
        <v>1491</v>
      </c>
      <c r="E51" s="480" t="s">
        <v>15</v>
      </c>
      <c r="F51" s="780">
        <v>30</v>
      </c>
      <c r="G51" s="946"/>
      <c r="H51" s="97"/>
      <c r="I51" s="946"/>
      <c r="J51" s="97"/>
      <c r="K51" s="946"/>
      <c r="L51" s="97"/>
      <c r="M51" s="946"/>
      <c r="P51" s="930"/>
    </row>
    <row r="52" spans="1:16" s="224" customFormat="1" ht="15" customHeight="1" x14ac:dyDescent="0.25">
      <c r="A52" s="215">
        <v>43808</v>
      </c>
      <c r="B52" s="349" t="s">
        <v>1241</v>
      </c>
      <c r="C52" s="350" t="s">
        <v>12</v>
      </c>
      <c r="D52" s="350" t="s">
        <v>1504</v>
      </c>
      <c r="E52" s="480" t="s">
        <v>13</v>
      </c>
      <c r="F52" s="780">
        <v>17</v>
      </c>
      <c r="G52" s="957"/>
      <c r="H52" s="622"/>
      <c r="I52" s="982"/>
      <c r="J52" s="622"/>
      <c r="K52" s="982"/>
      <c r="L52" s="622"/>
      <c r="M52" s="982"/>
      <c r="N52" s="948"/>
    </row>
    <row r="53" spans="1:16" s="224" customFormat="1" ht="15" customHeight="1" x14ac:dyDescent="0.25">
      <c r="A53" s="215">
        <v>43808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780">
        <v>14</v>
      </c>
      <c r="G53" s="946"/>
      <c r="H53" s="97"/>
      <c r="I53" s="946"/>
      <c r="J53" s="97"/>
      <c r="K53" s="946"/>
      <c r="L53" s="97"/>
      <c r="M53" s="946"/>
      <c r="N53" s="923"/>
      <c r="P53" s="930"/>
    </row>
    <row r="54" spans="1:16" s="224" customFormat="1" ht="15" customHeight="1" x14ac:dyDescent="0.25">
      <c r="A54" s="215">
        <v>43808</v>
      </c>
      <c r="B54" s="364" t="s">
        <v>14</v>
      </c>
      <c r="C54" s="350" t="s">
        <v>12</v>
      </c>
      <c r="D54" s="350" t="s">
        <v>1486</v>
      </c>
      <c r="E54" s="875" t="s">
        <v>13</v>
      </c>
      <c r="F54" s="852">
        <v>3.6</v>
      </c>
      <c r="G54" s="957"/>
      <c r="H54" s="622"/>
      <c r="I54" s="982"/>
      <c r="J54" s="622"/>
      <c r="K54" s="982"/>
      <c r="L54" s="622"/>
      <c r="M54" s="982"/>
      <c r="N54" s="948"/>
    </row>
    <row r="55" spans="1:16" s="224" customFormat="1" ht="15" customHeight="1" x14ac:dyDescent="0.25">
      <c r="A55" s="215">
        <v>43809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780">
        <v>14</v>
      </c>
      <c r="G55" s="946"/>
      <c r="H55" s="97"/>
      <c r="I55" s="946"/>
      <c r="J55" s="97"/>
      <c r="K55" s="946"/>
      <c r="L55" s="97"/>
      <c r="M55" s="946"/>
      <c r="N55" s="923"/>
      <c r="P55" s="930"/>
    </row>
    <row r="56" spans="1:16" s="224" customFormat="1" ht="15" customHeight="1" x14ac:dyDescent="0.25">
      <c r="A56" s="215">
        <v>43809</v>
      </c>
      <c r="B56" s="364" t="s">
        <v>2465</v>
      </c>
      <c r="C56" s="350" t="s">
        <v>12</v>
      </c>
      <c r="D56" s="350" t="s">
        <v>1489</v>
      </c>
      <c r="E56" s="875" t="s">
        <v>15</v>
      </c>
      <c r="F56" s="852">
        <v>3.5</v>
      </c>
      <c r="G56" s="957"/>
      <c r="H56" s="622"/>
      <c r="I56" s="982"/>
      <c r="J56" s="622"/>
      <c r="K56" s="982"/>
      <c r="L56" s="622"/>
      <c r="M56" s="982"/>
      <c r="N56" s="948"/>
    </row>
    <row r="57" spans="1:16" s="224" customFormat="1" ht="15" customHeight="1" x14ac:dyDescent="0.25">
      <c r="A57" s="215">
        <v>43810</v>
      </c>
      <c r="B57" s="364" t="s">
        <v>1396</v>
      </c>
      <c r="C57" s="350" t="s">
        <v>12</v>
      </c>
      <c r="D57" s="350"/>
      <c r="E57" s="480" t="s">
        <v>25</v>
      </c>
      <c r="F57" s="538"/>
      <c r="G57" s="967">
        <v>45</v>
      </c>
      <c r="H57" s="97"/>
      <c r="I57" s="946"/>
      <c r="J57" s="622"/>
      <c r="K57" s="982"/>
      <c r="L57" s="622"/>
      <c r="M57" s="982"/>
    </row>
    <row r="58" spans="1:16" s="224" customFormat="1" ht="15" customHeight="1" x14ac:dyDescent="0.25">
      <c r="A58" s="215">
        <v>43810</v>
      </c>
      <c r="B58" s="364" t="s">
        <v>311</v>
      </c>
      <c r="C58" s="350"/>
      <c r="D58" s="350"/>
      <c r="E58" s="480"/>
      <c r="F58" s="538"/>
      <c r="G58" s="627"/>
      <c r="H58" s="97"/>
      <c r="I58" s="946">
        <v>2.2999999999999998</v>
      </c>
      <c r="J58" s="622"/>
      <c r="K58" s="982"/>
      <c r="M58" s="987"/>
    </row>
    <row r="59" spans="1:16" s="224" customFormat="1" ht="15" customHeight="1" x14ac:dyDescent="0.25">
      <c r="A59" s="215">
        <v>43810</v>
      </c>
      <c r="B59" s="364" t="s">
        <v>32</v>
      </c>
      <c r="C59" s="350" t="s">
        <v>12</v>
      </c>
      <c r="D59" s="350" t="s">
        <v>1485</v>
      </c>
      <c r="E59" s="875" t="s">
        <v>13</v>
      </c>
      <c r="F59" s="780">
        <v>16</v>
      </c>
      <c r="G59" s="946"/>
      <c r="H59" s="97"/>
      <c r="I59" s="946"/>
      <c r="J59" s="97"/>
      <c r="K59" s="946"/>
      <c r="L59" s="97"/>
      <c r="M59" s="946"/>
      <c r="N59" s="923"/>
      <c r="P59" s="930"/>
    </row>
    <row r="60" spans="1:16" s="224" customFormat="1" ht="15" customHeight="1" x14ac:dyDescent="0.25">
      <c r="A60" s="215">
        <v>43810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852">
        <v>3.69</v>
      </c>
      <c r="G60" s="965"/>
      <c r="H60" s="97"/>
      <c r="I60" s="946"/>
      <c r="J60" s="97"/>
      <c r="K60" s="946"/>
      <c r="L60" s="97"/>
      <c r="M60" s="946"/>
      <c r="N60" s="923"/>
      <c r="P60" s="930"/>
    </row>
    <row r="61" spans="1:16" s="224" customFormat="1" ht="15" customHeight="1" x14ac:dyDescent="0.25">
      <c r="A61" s="215">
        <v>43811</v>
      </c>
      <c r="B61" s="364" t="s">
        <v>32</v>
      </c>
      <c r="C61" s="350" t="s">
        <v>12</v>
      </c>
      <c r="D61" s="350" t="s">
        <v>1485</v>
      </c>
      <c r="E61" s="875" t="s">
        <v>13</v>
      </c>
      <c r="F61" s="780">
        <v>14</v>
      </c>
      <c r="G61" s="946"/>
      <c r="H61" s="97"/>
      <c r="I61" s="946"/>
      <c r="J61" s="97"/>
      <c r="K61" s="946"/>
      <c r="L61" s="97"/>
      <c r="M61" s="946"/>
      <c r="N61" s="923"/>
      <c r="P61" s="930"/>
    </row>
    <row r="62" spans="1:16" s="224" customFormat="1" ht="15" customHeight="1" x14ac:dyDescent="0.25">
      <c r="A62" s="215">
        <v>43811</v>
      </c>
      <c r="B62" s="349" t="s">
        <v>1327</v>
      </c>
      <c r="C62" s="352" t="s">
        <v>12</v>
      </c>
      <c r="D62" s="874" t="s">
        <v>1524</v>
      </c>
      <c r="E62" s="875" t="s">
        <v>13</v>
      </c>
      <c r="F62" s="780">
        <v>19.2</v>
      </c>
      <c r="G62" s="946"/>
      <c r="H62" s="97"/>
      <c r="I62" s="982"/>
      <c r="J62" s="622"/>
      <c r="K62" s="982"/>
      <c r="L62" s="622"/>
      <c r="M62" s="982"/>
      <c r="N62" s="459"/>
    </row>
    <row r="63" spans="1:16" s="224" customFormat="1" ht="15" customHeight="1" x14ac:dyDescent="0.25">
      <c r="A63" s="215">
        <v>43811</v>
      </c>
      <c r="B63" s="349" t="s">
        <v>2198</v>
      </c>
      <c r="C63" s="350" t="s">
        <v>12</v>
      </c>
      <c r="D63" s="350" t="s">
        <v>2157</v>
      </c>
      <c r="E63" s="480" t="s">
        <v>15</v>
      </c>
      <c r="F63" s="780">
        <v>20</v>
      </c>
      <c r="G63" s="946"/>
      <c r="H63" s="97"/>
      <c r="I63" s="982"/>
      <c r="J63" s="622"/>
      <c r="K63" s="982"/>
      <c r="L63" s="622"/>
      <c r="M63" s="982"/>
      <c r="N63" s="459"/>
    </row>
    <row r="64" spans="1:16" s="224" customFormat="1" ht="15" customHeight="1" x14ac:dyDescent="0.25">
      <c r="A64" s="215">
        <v>43811</v>
      </c>
      <c r="B64" s="364" t="s">
        <v>14</v>
      </c>
      <c r="C64" s="350" t="s">
        <v>12</v>
      </c>
      <c r="D64" s="350" t="s">
        <v>1486</v>
      </c>
      <c r="E64" s="875" t="s">
        <v>13</v>
      </c>
      <c r="F64" s="852">
        <v>5.37</v>
      </c>
      <c r="G64" s="965"/>
      <c r="H64" s="97"/>
      <c r="I64" s="946"/>
      <c r="J64" s="97"/>
      <c r="K64" s="946"/>
      <c r="L64" s="97"/>
      <c r="M64" s="946"/>
      <c r="N64" s="923"/>
      <c r="P64" s="930"/>
    </row>
    <row r="65" spans="1:16" s="224" customFormat="1" ht="15" customHeight="1" x14ac:dyDescent="0.25">
      <c r="A65" s="215">
        <v>43812</v>
      </c>
      <c r="B65" s="862" t="s">
        <v>2466</v>
      </c>
      <c r="C65" s="879" t="s">
        <v>12</v>
      </c>
      <c r="D65" s="879"/>
      <c r="E65" s="871" t="s">
        <v>13</v>
      </c>
      <c r="F65" s="97"/>
      <c r="G65" s="946">
        <v>399.01</v>
      </c>
      <c r="H65" s="97"/>
      <c r="I65" s="982"/>
      <c r="J65" s="622"/>
      <c r="K65" s="982"/>
      <c r="L65" s="622">
        <v>399.01</v>
      </c>
      <c r="M65" s="982"/>
      <c r="P65" s="930"/>
    </row>
    <row r="66" spans="1:16" s="224" customFormat="1" ht="15" customHeight="1" x14ac:dyDescent="0.25">
      <c r="A66" s="215">
        <v>43812</v>
      </c>
      <c r="B66" s="862" t="s">
        <v>2467</v>
      </c>
      <c r="C66" s="879" t="s">
        <v>12</v>
      </c>
      <c r="D66" s="879"/>
      <c r="E66" s="871" t="s">
        <v>13</v>
      </c>
      <c r="F66" s="97">
        <v>17.260000000000002</v>
      </c>
      <c r="G66" s="946"/>
      <c r="H66" s="97"/>
      <c r="I66" s="982"/>
      <c r="J66" s="622"/>
      <c r="K66" s="982"/>
      <c r="L66" s="622"/>
      <c r="M66" s="982"/>
      <c r="P66" s="930"/>
    </row>
    <row r="67" spans="1:16" s="224" customFormat="1" ht="15" customHeight="1" x14ac:dyDescent="0.25">
      <c r="A67" s="215">
        <v>43812</v>
      </c>
      <c r="B67" s="349" t="s">
        <v>2468</v>
      </c>
      <c r="C67" s="352" t="s">
        <v>12</v>
      </c>
      <c r="D67" s="874" t="s">
        <v>1489</v>
      </c>
      <c r="E67" s="875" t="s">
        <v>15</v>
      </c>
      <c r="F67" s="780">
        <v>25</v>
      </c>
      <c r="G67" s="946"/>
      <c r="H67" s="97"/>
      <c r="I67" s="982"/>
      <c r="J67" s="622"/>
      <c r="K67" s="982"/>
      <c r="L67" s="622"/>
      <c r="M67" s="982"/>
      <c r="N67" s="459"/>
    </row>
    <row r="68" spans="1:16" s="224" customFormat="1" ht="15" customHeight="1" x14ac:dyDescent="0.25">
      <c r="A68" s="215">
        <v>43812</v>
      </c>
      <c r="B68" s="364" t="s">
        <v>32</v>
      </c>
      <c r="C68" s="350" t="s">
        <v>12</v>
      </c>
      <c r="D68" s="350" t="s">
        <v>1485</v>
      </c>
      <c r="E68" s="875" t="s">
        <v>13</v>
      </c>
      <c r="F68" s="780">
        <v>14</v>
      </c>
      <c r="G68" s="946"/>
      <c r="H68" s="97"/>
      <c r="I68" s="946"/>
      <c r="J68" s="97"/>
      <c r="K68" s="946"/>
      <c r="L68" s="97"/>
      <c r="M68" s="946"/>
      <c r="N68" s="923"/>
      <c r="P68" s="930"/>
    </row>
    <row r="69" spans="1:16" s="224" customFormat="1" ht="15" customHeight="1" x14ac:dyDescent="0.25">
      <c r="A69" s="215">
        <v>43812</v>
      </c>
      <c r="B69" s="349" t="s">
        <v>2198</v>
      </c>
      <c r="C69" s="350" t="s">
        <v>12</v>
      </c>
      <c r="D69" s="350" t="s">
        <v>2157</v>
      </c>
      <c r="E69" s="480" t="s">
        <v>13</v>
      </c>
      <c r="F69" s="780">
        <v>80</v>
      </c>
      <c r="G69" s="946"/>
      <c r="H69" s="97"/>
      <c r="I69" s="982"/>
      <c r="J69" s="622"/>
      <c r="K69" s="982"/>
      <c r="L69" s="622"/>
      <c r="M69" s="982"/>
      <c r="N69" s="459"/>
    </row>
    <row r="70" spans="1:16" s="224" customFormat="1" ht="15" customHeight="1" x14ac:dyDescent="0.25">
      <c r="A70" s="215">
        <v>43813</v>
      </c>
      <c r="B70" s="349" t="s">
        <v>2469</v>
      </c>
      <c r="C70" s="352" t="s">
        <v>12</v>
      </c>
      <c r="D70" s="874" t="s">
        <v>1491</v>
      </c>
      <c r="E70" s="875" t="s">
        <v>15</v>
      </c>
      <c r="F70" s="852">
        <v>30</v>
      </c>
      <c r="G70" s="965"/>
      <c r="H70" s="97"/>
      <c r="I70" s="982"/>
      <c r="J70" s="622"/>
      <c r="K70" s="982"/>
      <c r="L70" s="622"/>
      <c r="M70" s="982"/>
      <c r="N70" s="459"/>
    </row>
    <row r="71" spans="1:16" s="224" customFormat="1" ht="15" customHeight="1" x14ac:dyDescent="0.25">
      <c r="A71" s="215">
        <v>43813</v>
      </c>
      <c r="B71" s="349" t="s">
        <v>2470</v>
      </c>
      <c r="C71" s="352" t="s">
        <v>12</v>
      </c>
      <c r="D71" s="874" t="s">
        <v>1489</v>
      </c>
      <c r="E71" s="875" t="s">
        <v>15</v>
      </c>
      <c r="F71" s="852">
        <v>150</v>
      </c>
      <c r="G71" s="965"/>
      <c r="H71" s="97"/>
      <c r="I71" s="982"/>
      <c r="J71" s="622"/>
      <c r="K71" s="982"/>
      <c r="L71" s="622"/>
      <c r="M71" s="982"/>
      <c r="N71" s="459"/>
    </row>
    <row r="72" spans="1:16" s="224" customFormat="1" ht="15" customHeight="1" x14ac:dyDescent="0.25">
      <c r="A72" s="215">
        <v>43813</v>
      </c>
      <c r="B72" s="349" t="s">
        <v>81</v>
      </c>
      <c r="C72" s="352" t="s">
        <v>12</v>
      </c>
      <c r="D72" s="874" t="s">
        <v>1493</v>
      </c>
      <c r="E72" s="875" t="s">
        <v>15</v>
      </c>
      <c r="F72" s="780">
        <v>10</v>
      </c>
      <c r="G72" s="946"/>
      <c r="H72" s="97"/>
      <c r="I72" s="982"/>
      <c r="J72" s="622"/>
      <c r="K72" s="982"/>
      <c r="L72" s="622"/>
      <c r="M72" s="982"/>
      <c r="N72" s="459"/>
    </row>
    <row r="73" spans="1:16" s="224" customFormat="1" ht="15" customHeight="1" x14ac:dyDescent="0.25">
      <c r="A73" s="215">
        <v>43813</v>
      </c>
      <c r="B73" s="349" t="s">
        <v>82</v>
      </c>
      <c r="C73" s="352" t="s">
        <v>12</v>
      </c>
      <c r="D73" s="874" t="s">
        <v>1493</v>
      </c>
      <c r="E73" s="875" t="s">
        <v>13</v>
      </c>
      <c r="F73" s="780">
        <v>42.4</v>
      </c>
      <c r="G73" s="946"/>
      <c r="H73" s="97"/>
      <c r="I73" s="982"/>
      <c r="J73" s="622"/>
      <c r="K73" s="982"/>
      <c r="L73" s="622"/>
      <c r="M73" s="982"/>
      <c r="N73" s="459"/>
    </row>
    <row r="74" spans="1:16" s="224" customFormat="1" ht="15" customHeight="1" x14ac:dyDescent="0.25">
      <c r="A74" s="215">
        <v>43814</v>
      </c>
      <c r="B74" s="364" t="s">
        <v>14</v>
      </c>
      <c r="C74" s="350" t="s">
        <v>12</v>
      </c>
      <c r="D74" s="350" t="s">
        <v>1486</v>
      </c>
      <c r="E74" s="875" t="s">
        <v>13</v>
      </c>
      <c r="F74" s="780">
        <v>10.029999999999999</v>
      </c>
      <c r="G74" s="946"/>
      <c r="H74" s="97"/>
      <c r="I74" s="982"/>
      <c r="J74" s="622"/>
      <c r="K74" s="982"/>
      <c r="L74" s="622"/>
      <c r="M74" s="982"/>
      <c r="N74" s="459"/>
    </row>
    <row r="75" spans="1:16" s="224" customFormat="1" ht="15" customHeight="1" x14ac:dyDescent="0.25">
      <c r="A75" s="215">
        <v>43814</v>
      </c>
      <c r="B75" s="364" t="s">
        <v>1581</v>
      </c>
      <c r="C75" s="350" t="s">
        <v>12</v>
      </c>
      <c r="D75" s="350" t="s">
        <v>1485</v>
      </c>
      <c r="E75" s="875" t="s">
        <v>13</v>
      </c>
      <c r="F75" s="852">
        <v>45.5</v>
      </c>
      <c r="G75" s="957"/>
      <c r="H75" s="622"/>
      <c r="I75" s="982"/>
      <c r="J75" s="622"/>
      <c r="K75" s="982"/>
      <c r="L75" s="622"/>
      <c r="M75" s="982"/>
      <c r="N75" s="459"/>
    </row>
    <row r="76" spans="1:16" s="224" customFormat="1" ht="15" customHeight="1" x14ac:dyDescent="0.25">
      <c r="A76" s="215">
        <v>43815</v>
      </c>
      <c r="B76" s="364" t="s">
        <v>32</v>
      </c>
      <c r="C76" s="350" t="s">
        <v>12</v>
      </c>
      <c r="D76" s="350" t="s">
        <v>1485</v>
      </c>
      <c r="E76" s="875" t="s">
        <v>13</v>
      </c>
      <c r="F76" s="780">
        <v>14</v>
      </c>
      <c r="G76" s="946"/>
      <c r="H76" s="97"/>
      <c r="I76" s="946"/>
      <c r="J76" s="97"/>
      <c r="K76" s="946"/>
      <c r="L76" s="97"/>
      <c r="M76" s="946"/>
      <c r="N76" s="923"/>
      <c r="P76" s="930"/>
    </row>
    <row r="77" spans="1:16" s="224" customFormat="1" ht="15" customHeight="1" x14ac:dyDescent="0.25">
      <c r="A77" s="215">
        <v>43815</v>
      </c>
      <c r="B77" s="364" t="s">
        <v>2471</v>
      </c>
      <c r="C77" s="350" t="s">
        <v>12</v>
      </c>
      <c r="D77" s="350" t="s">
        <v>1489</v>
      </c>
      <c r="E77" s="875" t="s">
        <v>15</v>
      </c>
      <c r="F77" s="780">
        <v>25</v>
      </c>
      <c r="G77" s="946"/>
      <c r="H77" s="97"/>
      <c r="I77" s="946"/>
      <c r="J77" s="97"/>
      <c r="K77" s="946"/>
      <c r="L77" s="97"/>
      <c r="M77" s="946"/>
      <c r="N77" s="923"/>
      <c r="P77" s="930"/>
    </row>
    <row r="78" spans="1:16" s="224" customFormat="1" ht="15" customHeight="1" x14ac:dyDescent="0.25">
      <c r="A78" s="215">
        <v>43815</v>
      </c>
      <c r="B78" s="349" t="s">
        <v>2472</v>
      </c>
      <c r="C78" s="350" t="s">
        <v>12</v>
      </c>
      <c r="D78" s="350" t="s">
        <v>1491</v>
      </c>
      <c r="E78" s="480" t="s">
        <v>15</v>
      </c>
      <c r="F78" s="780">
        <v>100</v>
      </c>
      <c r="G78" s="946"/>
      <c r="H78" s="97"/>
      <c r="I78" s="946"/>
      <c r="J78" s="97"/>
      <c r="K78" s="946"/>
      <c r="L78" s="97"/>
      <c r="M78" s="946"/>
      <c r="P78" s="930"/>
    </row>
    <row r="79" spans="1:16" s="224" customFormat="1" ht="15" customHeight="1" x14ac:dyDescent="0.25">
      <c r="A79" s="215">
        <v>43815</v>
      </c>
      <c r="B79" s="364" t="s">
        <v>14</v>
      </c>
      <c r="C79" s="350" t="s">
        <v>12</v>
      </c>
      <c r="D79" s="350" t="s">
        <v>1486</v>
      </c>
      <c r="E79" s="875" t="s">
        <v>13</v>
      </c>
      <c r="F79" s="852">
        <v>10.45</v>
      </c>
      <c r="G79" s="957"/>
      <c r="H79" s="622"/>
      <c r="I79" s="982"/>
      <c r="J79" s="622"/>
      <c r="K79" s="982"/>
      <c r="L79" s="622"/>
      <c r="M79" s="982"/>
      <c r="N79" s="459"/>
    </row>
    <row r="80" spans="1:16" s="224" customFormat="1" ht="15" customHeight="1" x14ac:dyDescent="0.25">
      <c r="A80" s="215">
        <v>43816</v>
      </c>
      <c r="B80" s="349" t="s">
        <v>1241</v>
      </c>
      <c r="C80" s="350" t="s">
        <v>12</v>
      </c>
      <c r="D80" s="350" t="s">
        <v>1504</v>
      </c>
      <c r="E80" s="480" t="s">
        <v>13</v>
      </c>
      <c r="F80" s="780">
        <v>10</v>
      </c>
      <c r="G80" s="957"/>
      <c r="H80" s="622"/>
      <c r="I80" s="982"/>
      <c r="J80" s="622"/>
      <c r="K80" s="982"/>
      <c r="L80" s="622"/>
      <c r="M80" s="982"/>
      <c r="N80" s="948"/>
    </row>
    <row r="81" spans="1:16" s="224" customFormat="1" ht="15" customHeight="1" x14ac:dyDescent="0.25">
      <c r="A81" s="215">
        <v>43816</v>
      </c>
      <c r="B81" s="364" t="s">
        <v>32</v>
      </c>
      <c r="C81" s="350" t="s">
        <v>12</v>
      </c>
      <c r="D81" s="350" t="s">
        <v>1485</v>
      </c>
      <c r="E81" s="875" t="s">
        <v>15</v>
      </c>
      <c r="F81" s="780">
        <v>14</v>
      </c>
      <c r="G81" s="946"/>
      <c r="H81" s="97"/>
      <c r="I81" s="946"/>
      <c r="J81" s="97"/>
      <c r="K81" s="946"/>
      <c r="L81" s="97"/>
      <c r="M81" s="946"/>
      <c r="N81" s="923"/>
      <c r="P81" s="930"/>
    </row>
    <row r="82" spans="1:16" s="224" customFormat="1" ht="15" customHeight="1" x14ac:dyDescent="0.25">
      <c r="A82" s="215">
        <v>43816</v>
      </c>
      <c r="B82" s="349" t="s">
        <v>2473</v>
      </c>
      <c r="C82" s="352" t="s">
        <v>12</v>
      </c>
      <c r="D82" s="874" t="s">
        <v>1523</v>
      </c>
      <c r="E82" s="875" t="s">
        <v>13</v>
      </c>
      <c r="F82" s="780">
        <v>21</v>
      </c>
      <c r="G82" s="946"/>
      <c r="H82" s="97"/>
      <c r="I82" s="982"/>
      <c r="J82" s="622"/>
      <c r="K82" s="982"/>
      <c r="L82" s="622"/>
      <c r="M82" s="982"/>
      <c r="N82" s="459"/>
    </row>
    <row r="83" spans="1:16" s="224" customFormat="1" ht="15" customHeight="1" x14ac:dyDescent="0.25">
      <c r="A83" s="215">
        <v>43816</v>
      </c>
      <c r="B83" s="349" t="s">
        <v>1464</v>
      </c>
      <c r="C83" s="352" t="s">
        <v>12</v>
      </c>
      <c r="D83" s="874" t="s">
        <v>1489</v>
      </c>
      <c r="E83" s="875" t="s">
        <v>13</v>
      </c>
      <c r="F83" s="780">
        <v>6</v>
      </c>
      <c r="G83" s="946"/>
      <c r="H83" s="97"/>
      <c r="I83" s="982"/>
      <c r="J83" s="622"/>
      <c r="K83" s="982"/>
      <c r="L83" s="622"/>
      <c r="M83" s="982"/>
      <c r="N83" s="459"/>
    </row>
    <row r="84" spans="1:16" s="224" customFormat="1" ht="15" customHeight="1" x14ac:dyDescent="0.25">
      <c r="A84" s="215">
        <v>43817</v>
      </c>
      <c r="B84" s="364" t="s">
        <v>32</v>
      </c>
      <c r="C84" s="350" t="s">
        <v>12</v>
      </c>
      <c r="D84" s="350" t="s">
        <v>1485</v>
      </c>
      <c r="E84" s="875" t="s">
        <v>15</v>
      </c>
      <c r="F84" s="780">
        <v>14</v>
      </c>
      <c r="G84" s="946"/>
      <c r="H84" s="97"/>
      <c r="I84" s="946"/>
      <c r="J84" s="97"/>
      <c r="K84" s="946"/>
      <c r="L84" s="97"/>
      <c r="M84" s="946"/>
      <c r="N84" s="923"/>
      <c r="P84" s="930"/>
    </row>
    <row r="85" spans="1:16" s="224" customFormat="1" ht="15" customHeight="1" x14ac:dyDescent="0.25">
      <c r="A85" s="215">
        <v>43817</v>
      </c>
      <c r="B85" s="349" t="s">
        <v>2198</v>
      </c>
      <c r="C85" s="350" t="s">
        <v>12</v>
      </c>
      <c r="D85" s="350" t="s">
        <v>2157</v>
      </c>
      <c r="E85" s="480" t="s">
        <v>15</v>
      </c>
      <c r="F85" s="780">
        <v>50</v>
      </c>
      <c r="G85" s="946"/>
      <c r="H85" s="97"/>
      <c r="I85" s="982"/>
      <c r="J85" s="622"/>
      <c r="K85" s="982"/>
      <c r="L85" s="622"/>
      <c r="M85" s="982"/>
      <c r="N85" s="459"/>
    </row>
    <row r="86" spans="1:16" s="224" customFormat="1" ht="15" customHeight="1" x14ac:dyDescent="0.25">
      <c r="A86" s="215">
        <v>43817</v>
      </c>
      <c r="B86" s="364" t="s">
        <v>14</v>
      </c>
      <c r="C86" s="350" t="s">
        <v>12</v>
      </c>
      <c r="D86" s="350" t="s">
        <v>1486</v>
      </c>
      <c r="E86" s="875" t="s">
        <v>13</v>
      </c>
      <c r="F86" s="852">
        <v>19.3</v>
      </c>
      <c r="G86" s="957"/>
      <c r="H86" s="622"/>
      <c r="I86" s="982"/>
      <c r="J86" s="622"/>
      <c r="K86" s="982"/>
      <c r="L86" s="622"/>
      <c r="M86" s="982"/>
      <c r="N86" s="459"/>
    </row>
    <row r="87" spans="1:16" s="224" customFormat="1" ht="15" customHeight="1" x14ac:dyDescent="0.25">
      <c r="A87" s="215">
        <v>43818</v>
      </c>
      <c r="B87" s="862" t="s">
        <v>256</v>
      </c>
      <c r="C87" s="879"/>
      <c r="D87" s="879"/>
      <c r="E87" s="871"/>
      <c r="F87" s="97"/>
      <c r="G87" s="946">
        <v>102.3</v>
      </c>
      <c r="H87" s="97">
        <v>102.3</v>
      </c>
      <c r="I87" s="982"/>
      <c r="J87" s="622"/>
      <c r="K87" s="982"/>
      <c r="L87" s="622"/>
      <c r="M87" s="982"/>
    </row>
    <row r="88" spans="1:16" s="224" customFormat="1" ht="15" customHeight="1" x14ac:dyDescent="0.25">
      <c r="A88" s="215">
        <v>43818</v>
      </c>
      <c r="B88" s="862" t="s">
        <v>2302</v>
      </c>
      <c r="C88" s="350" t="s">
        <v>12</v>
      </c>
      <c r="D88" s="874" t="s">
        <v>1504</v>
      </c>
      <c r="E88" s="887" t="s">
        <v>13</v>
      </c>
      <c r="F88" s="852">
        <v>33.51</v>
      </c>
      <c r="G88" s="966"/>
      <c r="H88" s="622"/>
      <c r="I88" s="982"/>
      <c r="J88" s="622"/>
      <c r="K88" s="982"/>
      <c r="L88" s="622"/>
      <c r="M88" s="982"/>
      <c r="N88" s="459">
        <v>83.51</v>
      </c>
      <c r="O88" s="3096" t="s">
        <v>2474</v>
      </c>
      <c r="P88" s="3096"/>
    </row>
    <row r="89" spans="1:16" s="224" customFormat="1" ht="15" customHeight="1" x14ac:dyDescent="0.25">
      <c r="A89" s="215">
        <v>43818</v>
      </c>
      <c r="B89" s="364" t="s">
        <v>32</v>
      </c>
      <c r="C89" s="350" t="s">
        <v>12</v>
      </c>
      <c r="D89" s="350" t="s">
        <v>1485</v>
      </c>
      <c r="E89" s="875" t="s">
        <v>15</v>
      </c>
      <c r="F89" s="780">
        <v>14</v>
      </c>
      <c r="G89" s="946"/>
      <c r="H89" s="97"/>
      <c r="I89" s="946"/>
      <c r="J89" s="97"/>
      <c r="K89" s="946"/>
      <c r="L89" s="97"/>
      <c r="M89" s="946"/>
      <c r="N89" s="923"/>
      <c r="P89" s="930"/>
    </row>
    <row r="90" spans="1:16" s="224" customFormat="1" ht="15" customHeight="1" x14ac:dyDescent="0.25">
      <c r="A90" s="215">
        <v>43818</v>
      </c>
      <c r="B90" s="349" t="s">
        <v>2475</v>
      </c>
      <c r="C90" s="352" t="s">
        <v>12</v>
      </c>
      <c r="D90" s="874" t="s">
        <v>1489</v>
      </c>
      <c r="E90" s="875" t="s">
        <v>15</v>
      </c>
      <c r="F90" s="780">
        <v>51</v>
      </c>
      <c r="G90" s="966"/>
      <c r="H90" s="622"/>
      <c r="I90" s="982"/>
      <c r="J90" s="622"/>
      <c r="K90" s="982"/>
      <c r="L90" s="622"/>
      <c r="M90" s="982"/>
      <c r="N90" s="459"/>
    </row>
    <row r="91" spans="1:16" s="224" customFormat="1" ht="15" customHeight="1" x14ac:dyDescent="0.25">
      <c r="A91" s="215">
        <v>43818</v>
      </c>
      <c r="B91" s="364" t="s">
        <v>14</v>
      </c>
      <c r="C91" s="350" t="s">
        <v>12</v>
      </c>
      <c r="D91" s="350" t="s">
        <v>1486</v>
      </c>
      <c r="E91" s="875" t="s">
        <v>13</v>
      </c>
      <c r="F91" s="852">
        <v>10</v>
      </c>
      <c r="G91" s="957"/>
      <c r="H91" s="622"/>
      <c r="I91" s="982"/>
      <c r="J91" s="622"/>
      <c r="K91" s="982"/>
      <c r="L91" s="622"/>
      <c r="M91" s="982"/>
      <c r="N91" s="459"/>
    </row>
    <row r="92" spans="1:16" s="224" customFormat="1" ht="15" customHeight="1" x14ac:dyDescent="0.25">
      <c r="A92" s="215">
        <v>43819</v>
      </c>
      <c r="B92" s="364" t="s">
        <v>2476</v>
      </c>
      <c r="C92" s="350" t="s">
        <v>12</v>
      </c>
      <c r="D92" s="350"/>
      <c r="E92" s="480" t="s">
        <v>25</v>
      </c>
      <c r="F92" s="622"/>
      <c r="G92" s="982">
        <v>1476.16</v>
      </c>
      <c r="H92" s="622"/>
      <c r="I92" s="982"/>
      <c r="J92" s="622"/>
      <c r="K92" s="982"/>
      <c r="L92" s="622"/>
      <c r="M92" s="982"/>
      <c r="N92" s="459"/>
    </row>
    <row r="93" spans="1:16" s="224" customFormat="1" ht="15" customHeight="1" x14ac:dyDescent="0.25">
      <c r="A93" s="215">
        <v>43819</v>
      </c>
      <c r="B93" s="862" t="s">
        <v>2477</v>
      </c>
      <c r="C93" s="879" t="s">
        <v>12</v>
      </c>
      <c r="D93" s="879"/>
      <c r="E93" s="778" t="s">
        <v>25</v>
      </c>
      <c r="F93" s="137"/>
      <c r="G93" s="965">
        <v>4550</v>
      </c>
      <c r="H93" s="97"/>
      <c r="I93" s="946"/>
      <c r="J93" s="97"/>
      <c r="K93" s="946"/>
      <c r="L93" s="709"/>
      <c r="M93" s="987"/>
    </row>
    <row r="94" spans="1:16" s="224" customFormat="1" x14ac:dyDescent="0.25">
      <c r="A94" s="215">
        <v>43819</v>
      </c>
      <c r="B94" s="873" t="s">
        <v>1564</v>
      </c>
      <c r="C94" s="879" t="s">
        <v>12</v>
      </c>
      <c r="D94" s="350" t="s">
        <v>1491</v>
      </c>
      <c r="E94" s="871" t="s">
        <v>15</v>
      </c>
      <c r="F94" s="853">
        <v>140</v>
      </c>
      <c r="G94" s="964"/>
      <c r="H94" s="622"/>
      <c r="I94" s="982"/>
      <c r="J94" s="622"/>
      <c r="K94" s="982"/>
      <c r="L94" s="622"/>
      <c r="M94" s="982"/>
      <c r="N94" s="984"/>
    </row>
    <row r="95" spans="1:16" s="224" customFormat="1" ht="15" customHeight="1" x14ac:dyDescent="0.25">
      <c r="A95" s="215">
        <v>43819</v>
      </c>
      <c r="B95" s="349" t="s">
        <v>2472</v>
      </c>
      <c r="C95" s="350" t="s">
        <v>12</v>
      </c>
      <c r="D95" s="350" t="s">
        <v>1491</v>
      </c>
      <c r="E95" s="480" t="s">
        <v>15</v>
      </c>
      <c r="F95" s="780">
        <v>100</v>
      </c>
      <c r="G95" s="946"/>
      <c r="H95" s="97"/>
      <c r="I95" s="946"/>
      <c r="J95" s="97"/>
      <c r="K95" s="946"/>
      <c r="L95" s="97"/>
      <c r="M95" s="946"/>
      <c r="P95" s="930"/>
    </row>
    <row r="96" spans="1:16" s="224" customFormat="1" ht="15.75" customHeight="1" x14ac:dyDescent="0.25">
      <c r="A96" s="215">
        <v>43819</v>
      </c>
      <c r="B96" s="882" t="s">
        <v>2478</v>
      </c>
      <c r="C96" s="879" t="s">
        <v>12</v>
      </c>
      <c r="D96" s="879" t="s">
        <v>1499</v>
      </c>
      <c r="E96" s="871" t="s">
        <v>13</v>
      </c>
      <c r="F96" s="853">
        <v>50</v>
      </c>
      <c r="G96" s="968"/>
      <c r="H96" s="538"/>
      <c r="I96" s="982"/>
      <c r="J96" s="622"/>
      <c r="K96" s="982"/>
      <c r="L96" s="622"/>
      <c r="M96" s="982"/>
      <c r="N96" s="939">
        <v>129.96</v>
      </c>
    </row>
    <row r="97" spans="1:16" s="224" customFormat="1" ht="15" customHeight="1" x14ac:dyDescent="0.25">
      <c r="A97" s="215">
        <v>43819</v>
      </c>
      <c r="B97" s="349" t="s">
        <v>2479</v>
      </c>
      <c r="C97" s="352" t="s">
        <v>19</v>
      </c>
      <c r="D97" s="874" t="s">
        <v>1525</v>
      </c>
      <c r="E97" s="875" t="s">
        <v>15</v>
      </c>
      <c r="F97" s="852">
        <v>200</v>
      </c>
      <c r="G97" s="965"/>
      <c r="H97" s="97"/>
      <c r="I97" s="982"/>
      <c r="J97" s="622"/>
      <c r="K97" s="982"/>
      <c r="L97" s="622"/>
      <c r="M97" s="982"/>
      <c r="N97" s="988"/>
      <c r="O97" s="978"/>
    </row>
    <row r="98" spans="1:16" s="224" customFormat="1" ht="15" customHeight="1" x14ac:dyDescent="0.25">
      <c r="A98" s="215">
        <v>43819</v>
      </c>
      <c r="B98" s="349" t="s">
        <v>260</v>
      </c>
      <c r="C98" s="350" t="s">
        <v>12</v>
      </c>
      <c r="D98" s="350"/>
      <c r="E98" s="480"/>
      <c r="F98" s="780">
        <v>1100</v>
      </c>
      <c r="G98" s="946"/>
      <c r="H98" s="97"/>
      <c r="I98" s="946">
        <v>1100</v>
      </c>
      <c r="J98" s="97"/>
      <c r="K98" s="946"/>
      <c r="L98" s="97"/>
      <c r="M98" s="946"/>
      <c r="N98" s="923"/>
      <c r="P98" s="930"/>
    </row>
    <row r="99" spans="1:16" s="224" customFormat="1" ht="15" customHeight="1" x14ac:dyDescent="0.25">
      <c r="A99" s="215">
        <v>43819</v>
      </c>
      <c r="B99" s="364" t="s">
        <v>32</v>
      </c>
      <c r="C99" s="350" t="s">
        <v>12</v>
      </c>
      <c r="D99" s="350" t="s">
        <v>1485</v>
      </c>
      <c r="E99" s="875" t="s">
        <v>15</v>
      </c>
      <c r="F99" s="780">
        <v>14</v>
      </c>
      <c r="G99" s="946"/>
      <c r="H99" s="97"/>
      <c r="I99" s="946"/>
      <c r="J99" s="97"/>
      <c r="K99" s="946"/>
      <c r="L99" s="97"/>
      <c r="M99" s="946"/>
      <c r="N99" s="923"/>
      <c r="P99" s="930"/>
    </row>
    <row r="100" spans="1:16" s="224" customFormat="1" ht="15" customHeight="1" x14ac:dyDescent="0.25">
      <c r="A100" s="215">
        <v>43820</v>
      </c>
      <c r="B100" s="349" t="s">
        <v>1438</v>
      </c>
      <c r="C100" s="350" t="s">
        <v>19</v>
      </c>
      <c r="D100" s="350" t="s">
        <v>1489</v>
      </c>
      <c r="E100" s="480" t="s">
        <v>13</v>
      </c>
      <c r="F100" s="780">
        <v>76.23</v>
      </c>
      <c r="G100" s="946"/>
      <c r="H100" s="97"/>
      <c r="I100" s="946"/>
      <c r="J100" s="97"/>
      <c r="K100" s="946"/>
      <c r="L100" s="97"/>
      <c r="M100" s="946"/>
      <c r="N100" s="923"/>
      <c r="P100" s="930"/>
    </row>
    <row r="101" spans="1:16" s="224" customFormat="1" ht="15" customHeight="1" x14ac:dyDescent="0.25">
      <c r="A101" s="215">
        <v>43820</v>
      </c>
      <c r="B101" s="349" t="s">
        <v>2198</v>
      </c>
      <c r="C101" s="350" t="s">
        <v>12</v>
      </c>
      <c r="D101" s="350" t="s">
        <v>2157</v>
      </c>
      <c r="E101" s="480" t="s">
        <v>13</v>
      </c>
      <c r="F101" s="780">
        <v>80</v>
      </c>
      <c r="G101" s="946"/>
      <c r="H101" s="97"/>
      <c r="I101" s="982"/>
      <c r="J101" s="622"/>
      <c r="K101" s="982"/>
      <c r="L101" s="622"/>
      <c r="M101" s="982"/>
      <c r="N101" s="459"/>
    </row>
    <row r="102" spans="1:16" s="224" customFormat="1" ht="15" customHeight="1" x14ac:dyDescent="0.25">
      <c r="A102" s="215">
        <v>43820</v>
      </c>
      <c r="B102" s="364" t="s">
        <v>32</v>
      </c>
      <c r="C102" s="350" t="s">
        <v>12</v>
      </c>
      <c r="D102" s="350" t="s">
        <v>1485</v>
      </c>
      <c r="E102" s="875" t="s">
        <v>13</v>
      </c>
      <c r="F102" s="780">
        <v>15</v>
      </c>
      <c r="G102" s="946"/>
      <c r="H102" s="97"/>
      <c r="I102" s="946"/>
      <c r="J102" s="97"/>
      <c r="K102" s="946"/>
      <c r="L102" s="97"/>
      <c r="M102" s="946"/>
      <c r="N102" s="923"/>
      <c r="P102" s="930"/>
    </row>
    <row r="103" spans="1:16" s="224" customFormat="1" ht="15" customHeight="1" x14ac:dyDescent="0.25">
      <c r="A103" s="215">
        <v>43821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23.22</v>
      </c>
      <c r="G103" s="982"/>
      <c r="H103" s="622"/>
      <c r="I103" s="982"/>
      <c r="J103" s="622"/>
      <c r="K103" s="982"/>
      <c r="L103" s="622"/>
      <c r="M103" s="982"/>
      <c r="N103" s="459"/>
    </row>
    <row r="104" spans="1:16" s="224" customFormat="1" ht="15" customHeight="1" x14ac:dyDescent="0.25">
      <c r="A104" s="215">
        <v>43822</v>
      </c>
      <c r="B104" s="349" t="s">
        <v>2480</v>
      </c>
      <c r="C104" s="350" t="s">
        <v>12</v>
      </c>
      <c r="D104" s="350"/>
      <c r="E104" s="480" t="s">
        <v>25</v>
      </c>
      <c r="F104" s="780"/>
      <c r="G104" s="946">
        <v>500</v>
      </c>
      <c r="H104" s="97"/>
      <c r="I104" s="946"/>
      <c r="J104" s="97"/>
      <c r="K104" s="946"/>
      <c r="L104" s="97"/>
      <c r="M104" s="946"/>
      <c r="N104" s="923"/>
      <c r="P104" s="930"/>
    </row>
    <row r="105" spans="1:16" s="224" customFormat="1" ht="15" customHeight="1" x14ac:dyDescent="0.25">
      <c r="A105" s="215">
        <v>43822</v>
      </c>
      <c r="B105" s="349" t="s">
        <v>2481</v>
      </c>
      <c r="C105" s="350" t="s">
        <v>12</v>
      </c>
      <c r="D105" s="350"/>
      <c r="E105" s="480" t="s">
        <v>25</v>
      </c>
      <c r="F105" s="780"/>
      <c r="G105" s="946">
        <v>33</v>
      </c>
      <c r="H105" s="97"/>
      <c r="I105" s="946"/>
      <c r="J105" s="97"/>
      <c r="K105" s="946"/>
      <c r="L105" s="97"/>
      <c r="M105" s="946"/>
      <c r="N105" s="923"/>
      <c r="P105" s="930"/>
    </row>
    <row r="106" spans="1:16" s="224" customFormat="1" ht="15" customHeight="1" x14ac:dyDescent="0.25">
      <c r="A106" s="215">
        <v>43822</v>
      </c>
      <c r="B106" s="364" t="s">
        <v>32</v>
      </c>
      <c r="C106" s="350" t="s">
        <v>12</v>
      </c>
      <c r="D106" s="350" t="s">
        <v>1485</v>
      </c>
      <c r="E106" s="875" t="s">
        <v>15</v>
      </c>
      <c r="F106" s="780">
        <v>15</v>
      </c>
      <c r="G106" s="946"/>
      <c r="H106" s="97"/>
      <c r="I106" s="946"/>
      <c r="J106" s="97"/>
      <c r="K106" s="946"/>
      <c r="L106" s="97"/>
      <c r="M106" s="946"/>
      <c r="N106" s="923"/>
      <c r="P106" s="930"/>
    </row>
    <row r="107" spans="1:16" s="224" customFormat="1" ht="15" customHeight="1" x14ac:dyDescent="0.25">
      <c r="A107" s="215">
        <v>43822</v>
      </c>
      <c r="B107" s="349" t="s">
        <v>260</v>
      </c>
      <c r="C107" s="350" t="s">
        <v>12</v>
      </c>
      <c r="D107" s="350"/>
      <c r="E107" s="480"/>
      <c r="F107" s="780">
        <v>3500</v>
      </c>
      <c r="G107" s="946"/>
      <c r="H107" s="97"/>
      <c r="I107" s="946">
        <v>3500</v>
      </c>
      <c r="J107" s="97"/>
      <c r="K107" s="946"/>
      <c r="L107" s="97"/>
      <c r="M107" s="946"/>
      <c r="N107" s="923"/>
      <c r="P107" s="930"/>
    </row>
    <row r="108" spans="1:16" s="224" customFormat="1" ht="15" customHeight="1" x14ac:dyDescent="0.25">
      <c r="A108" s="215">
        <v>43823</v>
      </c>
      <c r="B108" s="364" t="s">
        <v>14</v>
      </c>
      <c r="C108" s="350" t="s">
        <v>12</v>
      </c>
      <c r="D108" s="350" t="s">
        <v>1486</v>
      </c>
      <c r="E108" s="875" t="s">
        <v>13</v>
      </c>
      <c r="F108" s="852">
        <v>3.58</v>
      </c>
      <c r="G108" s="957"/>
      <c r="H108" s="622"/>
      <c r="I108" s="982"/>
      <c r="J108" s="622"/>
      <c r="K108" s="982"/>
      <c r="L108" s="622"/>
      <c r="M108" s="982"/>
      <c r="N108" s="459"/>
    </row>
    <row r="109" spans="1:16" s="224" customFormat="1" ht="15" customHeight="1" x14ac:dyDescent="0.25">
      <c r="A109" s="215">
        <v>43823</v>
      </c>
      <c r="B109" s="349" t="s">
        <v>1874</v>
      </c>
      <c r="C109" s="350" t="s">
        <v>12</v>
      </c>
      <c r="D109" s="350" t="s">
        <v>1524</v>
      </c>
      <c r="E109" s="480" t="s">
        <v>15</v>
      </c>
      <c r="F109" s="852">
        <v>9.5</v>
      </c>
      <c r="G109" s="965"/>
      <c r="H109" s="97"/>
      <c r="I109" s="946"/>
      <c r="J109" s="97"/>
      <c r="K109" s="946"/>
      <c r="L109" s="97"/>
      <c r="M109" s="946"/>
      <c r="N109" s="923"/>
      <c r="P109" s="930"/>
    </row>
    <row r="110" spans="1:16" s="224" customFormat="1" ht="15" customHeight="1" x14ac:dyDescent="0.25">
      <c r="A110" s="215">
        <v>43823</v>
      </c>
      <c r="B110" s="349" t="s">
        <v>2482</v>
      </c>
      <c r="C110" s="350" t="s">
        <v>12</v>
      </c>
      <c r="D110" s="350" t="s">
        <v>1523</v>
      </c>
      <c r="E110" s="480" t="s">
        <v>13</v>
      </c>
      <c r="F110" s="852">
        <v>30</v>
      </c>
      <c r="G110" s="965"/>
      <c r="H110" s="97"/>
      <c r="I110" s="946"/>
      <c r="J110" s="97"/>
      <c r="K110" s="946"/>
      <c r="L110" s="97"/>
      <c r="M110" s="946"/>
      <c r="N110" s="923"/>
      <c r="P110" s="930"/>
    </row>
    <row r="111" spans="1:16" s="224" customFormat="1" ht="15" customHeight="1" x14ac:dyDescent="0.25">
      <c r="A111" s="215">
        <v>43823</v>
      </c>
      <c r="B111" s="349" t="s">
        <v>2483</v>
      </c>
      <c r="C111" s="350" t="s">
        <v>12</v>
      </c>
      <c r="D111" s="350" t="s">
        <v>1523</v>
      </c>
      <c r="E111" s="480" t="s">
        <v>13</v>
      </c>
      <c r="F111" s="852">
        <v>16</v>
      </c>
      <c r="G111" s="965"/>
      <c r="H111" s="97"/>
      <c r="I111" s="946"/>
      <c r="J111" s="97"/>
      <c r="K111" s="946"/>
      <c r="L111" s="97"/>
      <c r="M111" s="946"/>
      <c r="N111" s="923"/>
      <c r="P111" s="930"/>
    </row>
    <row r="112" spans="1:16" s="224" customFormat="1" ht="15" customHeight="1" x14ac:dyDescent="0.25">
      <c r="A112" s="215">
        <v>43823</v>
      </c>
      <c r="B112" s="364" t="s">
        <v>32</v>
      </c>
      <c r="C112" s="350" t="s">
        <v>12</v>
      </c>
      <c r="D112" s="350" t="s">
        <v>1485</v>
      </c>
      <c r="E112" s="875" t="s">
        <v>15</v>
      </c>
      <c r="F112" s="780">
        <v>19.79</v>
      </c>
      <c r="G112" s="946"/>
      <c r="H112" s="97"/>
      <c r="I112" s="946"/>
      <c r="J112" s="97"/>
      <c r="K112" s="946"/>
      <c r="L112" s="97"/>
      <c r="M112" s="946"/>
      <c r="N112" s="923"/>
      <c r="P112" s="930"/>
    </row>
    <row r="113" spans="1:15" s="224" customFormat="1" x14ac:dyDescent="0.25">
      <c r="A113" s="215">
        <v>43824</v>
      </c>
      <c r="B113" s="873" t="s">
        <v>2484</v>
      </c>
      <c r="C113" s="879" t="s">
        <v>12</v>
      </c>
      <c r="D113" s="350" t="s">
        <v>1491</v>
      </c>
      <c r="E113" s="871" t="s">
        <v>13</v>
      </c>
      <c r="F113" s="853">
        <v>18.899999999999999</v>
      </c>
      <c r="G113" s="964"/>
      <c r="H113" s="622"/>
      <c r="I113" s="982"/>
      <c r="J113" s="622"/>
      <c r="K113" s="982"/>
      <c r="L113" s="622"/>
      <c r="M113" s="982"/>
      <c r="N113" s="984"/>
    </row>
    <row r="114" spans="1:15" s="224" customFormat="1" x14ac:dyDescent="0.25">
      <c r="A114" s="215">
        <v>43824</v>
      </c>
      <c r="B114" s="873" t="s">
        <v>82</v>
      </c>
      <c r="C114" s="879" t="s">
        <v>12</v>
      </c>
      <c r="D114" s="350" t="s">
        <v>1493</v>
      </c>
      <c r="E114" s="871" t="s">
        <v>15</v>
      </c>
      <c r="F114" s="853">
        <v>35</v>
      </c>
      <c r="G114" s="964"/>
      <c r="H114" s="622"/>
      <c r="I114" s="982"/>
      <c r="J114" s="622"/>
      <c r="K114" s="982"/>
      <c r="L114" s="622"/>
      <c r="M114" s="982"/>
      <c r="N114" s="984"/>
    </row>
    <row r="115" spans="1:15" s="224" customFormat="1" ht="15" customHeight="1" x14ac:dyDescent="0.25">
      <c r="A115" s="215">
        <v>43825</v>
      </c>
      <c r="B115" s="364" t="s">
        <v>2485</v>
      </c>
      <c r="C115" s="350" t="s">
        <v>12</v>
      </c>
      <c r="D115" s="350" t="s">
        <v>1506</v>
      </c>
      <c r="E115" s="875" t="s">
        <v>13</v>
      </c>
      <c r="F115" s="852">
        <v>6.6</v>
      </c>
      <c r="G115" s="964"/>
      <c r="H115" s="622"/>
      <c r="I115" s="982"/>
      <c r="J115" s="622"/>
      <c r="K115" s="982"/>
      <c r="L115" s="622"/>
      <c r="M115" s="982"/>
      <c r="N115" s="923"/>
    </row>
    <row r="116" spans="1:15" s="224" customFormat="1" ht="15" customHeight="1" x14ac:dyDescent="0.25">
      <c r="A116" s="215">
        <v>43825</v>
      </c>
      <c r="B116" s="364" t="s">
        <v>2486</v>
      </c>
      <c r="C116" s="350" t="s">
        <v>12</v>
      </c>
      <c r="D116" s="350" t="s">
        <v>2131</v>
      </c>
      <c r="E116" s="875" t="s">
        <v>15</v>
      </c>
      <c r="F116" s="852">
        <v>42</v>
      </c>
      <c r="G116" s="964"/>
      <c r="H116" s="622"/>
      <c r="I116" s="982"/>
      <c r="J116" s="622"/>
      <c r="K116" s="982"/>
      <c r="L116" s="622"/>
      <c r="M116" s="982"/>
      <c r="N116" s="3142" t="s">
        <v>2487</v>
      </c>
      <c r="O116" s="3143"/>
    </row>
    <row r="117" spans="1:15" s="224" customFormat="1" ht="15" customHeight="1" x14ac:dyDescent="0.25">
      <c r="A117" s="215">
        <v>43825</v>
      </c>
      <c r="B117" s="364" t="s">
        <v>2488</v>
      </c>
      <c r="C117" s="350" t="s">
        <v>12</v>
      </c>
      <c r="D117" s="350" t="s">
        <v>1524</v>
      </c>
      <c r="E117" s="875" t="s">
        <v>15</v>
      </c>
      <c r="F117" s="852">
        <v>3</v>
      </c>
      <c r="G117" s="964"/>
      <c r="H117" s="622"/>
      <c r="I117" s="982"/>
      <c r="J117" s="622"/>
      <c r="K117" s="982"/>
      <c r="L117" s="622"/>
      <c r="M117" s="982"/>
      <c r="N117" s="923"/>
    </row>
    <row r="118" spans="1:15" s="224" customFormat="1" ht="15" customHeight="1" x14ac:dyDescent="0.25">
      <c r="A118" s="215">
        <v>43826</v>
      </c>
      <c r="B118" s="364" t="s">
        <v>2489</v>
      </c>
      <c r="C118" s="350" t="s">
        <v>12</v>
      </c>
      <c r="D118" s="350" t="s">
        <v>1506</v>
      </c>
      <c r="E118" s="875" t="s">
        <v>13</v>
      </c>
      <c r="F118" s="852">
        <v>12</v>
      </c>
      <c r="G118" s="964"/>
      <c r="H118" s="622"/>
      <c r="I118" s="982"/>
      <c r="J118" s="622"/>
      <c r="K118" s="982"/>
      <c r="L118" s="622"/>
      <c r="M118" s="982"/>
      <c r="N118" s="923"/>
    </row>
    <row r="119" spans="1:15" s="224" customFormat="1" ht="15" customHeight="1" x14ac:dyDescent="0.25">
      <c r="A119" s="215">
        <v>43826</v>
      </c>
      <c r="B119" s="364" t="s">
        <v>2490</v>
      </c>
      <c r="C119" s="350" t="s">
        <v>12</v>
      </c>
      <c r="D119" s="350" t="s">
        <v>1506</v>
      </c>
      <c r="E119" s="875" t="s">
        <v>13</v>
      </c>
      <c r="F119" s="852">
        <v>20</v>
      </c>
      <c r="G119" s="964"/>
      <c r="H119" s="622"/>
      <c r="I119" s="982"/>
      <c r="J119" s="622"/>
      <c r="K119" s="982"/>
      <c r="L119" s="622"/>
      <c r="M119" s="982"/>
      <c r="N119" s="923"/>
    </row>
    <row r="120" spans="1:15" s="224" customFormat="1" ht="15" customHeight="1" x14ac:dyDescent="0.25">
      <c r="A120" s="215">
        <v>43826</v>
      </c>
      <c r="B120" s="364" t="s">
        <v>2491</v>
      </c>
      <c r="C120" s="350" t="s">
        <v>19</v>
      </c>
      <c r="D120" s="350" t="s">
        <v>1506</v>
      </c>
      <c r="E120" s="875" t="s">
        <v>15</v>
      </c>
      <c r="F120" s="852">
        <v>100</v>
      </c>
      <c r="G120" s="964"/>
      <c r="H120" s="622"/>
      <c r="I120" s="982"/>
      <c r="J120" s="622"/>
      <c r="K120" s="982"/>
      <c r="L120" s="622"/>
      <c r="M120" s="982"/>
      <c r="N120" s="923"/>
    </row>
    <row r="121" spans="1:15" s="224" customFormat="1" ht="15" customHeight="1" x14ac:dyDescent="0.25">
      <c r="A121" s="215">
        <v>43826</v>
      </c>
      <c r="B121" s="364" t="s">
        <v>2492</v>
      </c>
      <c r="C121" s="350" t="s">
        <v>19</v>
      </c>
      <c r="D121" s="350" t="s">
        <v>1489</v>
      </c>
      <c r="E121" s="875" t="s">
        <v>15</v>
      </c>
      <c r="F121" s="852">
        <v>50</v>
      </c>
      <c r="G121" s="964"/>
      <c r="H121" s="622"/>
      <c r="I121" s="982"/>
      <c r="J121" s="622"/>
      <c r="K121" s="982"/>
      <c r="L121" s="622"/>
      <c r="M121" s="982"/>
      <c r="N121" s="923"/>
    </row>
    <row r="122" spans="1:15" s="224" customFormat="1" ht="15" customHeight="1" x14ac:dyDescent="0.25">
      <c r="A122" s="215">
        <v>43826</v>
      </c>
      <c r="B122" s="364" t="s">
        <v>2493</v>
      </c>
      <c r="C122" s="350" t="s">
        <v>19</v>
      </c>
      <c r="D122" s="350" t="s">
        <v>1489</v>
      </c>
      <c r="E122" s="875" t="s">
        <v>15</v>
      </c>
      <c r="F122" s="852">
        <v>70</v>
      </c>
      <c r="G122" s="964"/>
      <c r="H122" s="622"/>
      <c r="I122" s="982"/>
      <c r="J122" s="622"/>
      <c r="K122" s="982"/>
      <c r="L122" s="622"/>
      <c r="M122" s="982"/>
      <c r="N122" s="923"/>
    </row>
    <row r="123" spans="1:15" s="224" customFormat="1" ht="15" customHeight="1" x14ac:dyDescent="0.25">
      <c r="A123" s="215">
        <v>43826</v>
      </c>
      <c r="B123" s="364" t="s">
        <v>2494</v>
      </c>
      <c r="C123" s="350" t="s">
        <v>19</v>
      </c>
      <c r="D123" s="350" t="s">
        <v>1489</v>
      </c>
      <c r="E123" s="875" t="s">
        <v>15</v>
      </c>
      <c r="F123" s="852">
        <v>60</v>
      </c>
      <c r="G123" s="964"/>
      <c r="H123" s="622"/>
      <c r="I123" s="982"/>
      <c r="J123" s="622"/>
      <c r="K123" s="982"/>
      <c r="L123" s="622"/>
      <c r="M123" s="982"/>
      <c r="N123" s="923"/>
    </row>
    <row r="124" spans="1:15" s="224" customFormat="1" ht="15" customHeight="1" x14ac:dyDescent="0.25">
      <c r="A124" s="215">
        <v>43826</v>
      </c>
      <c r="B124" s="364" t="s">
        <v>23</v>
      </c>
      <c r="C124" s="350" t="s">
        <v>12</v>
      </c>
      <c r="D124" s="350" t="s">
        <v>1489</v>
      </c>
      <c r="E124" s="875" t="s">
        <v>13</v>
      </c>
      <c r="F124" s="852">
        <v>9</v>
      </c>
      <c r="G124" s="964"/>
      <c r="H124" s="622"/>
      <c r="I124" s="982"/>
      <c r="J124" s="622"/>
      <c r="K124" s="982"/>
      <c r="L124" s="622"/>
      <c r="M124" s="982"/>
      <c r="N124" s="923"/>
    </row>
    <row r="125" spans="1:15" s="224" customFormat="1" ht="15" customHeight="1" x14ac:dyDescent="0.25">
      <c r="A125" s="215">
        <v>43827</v>
      </c>
      <c r="B125" s="364" t="s">
        <v>2269</v>
      </c>
      <c r="C125" s="350" t="s">
        <v>12</v>
      </c>
      <c r="D125" s="350" t="s">
        <v>2168</v>
      </c>
      <c r="E125" s="875" t="s">
        <v>13</v>
      </c>
      <c r="F125" s="852">
        <v>21.74</v>
      </c>
      <c r="G125" s="964"/>
      <c r="H125" s="622"/>
      <c r="I125" s="982"/>
      <c r="J125" s="622"/>
      <c r="K125" s="982"/>
      <c r="L125" s="622"/>
      <c r="M125" s="982"/>
      <c r="N125" s="923"/>
    </row>
    <row r="126" spans="1:15" s="224" customFormat="1" ht="15" customHeight="1" x14ac:dyDescent="0.25">
      <c r="A126" s="215">
        <v>43827</v>
      </c>
      <c r="B126" s="364" t="s">
        <v>2495</v>
      </c>
      <c r="C126" s="350" t="s">
        <v>19</v>
      </c>
      <c r="D126" s="350" t="s">
        <v>1491</v>
      </c>
      <c r="E126" s="875" t="s">
        <v>13</v>
      </c>
      <c r="F126" s="852">
        <v>9</v>
      </c>
      <c r="G126" s="964"/>
      <c r="H126" s="622"/>
      <c r="I126" s="982"/>
      <c r="J126" s="622"/>
      <c r="K126" s="982"/>
      <c r="L126" s="622"/>
      <c r="M126" s="982"/>
      <c r="N126" s="923"/>
    </row>
    <row r="127" spans="1:15" s="224" customFormat="1" ht="15" customHeight="1" x14ac:dyDescent="0.25">
      <c r="A127" s="215">
        <v>43827</v>
      </c>
      <c r="B127" s="364" t="s">
        <v>1056</v>
      </c>
      <c r="C127" s="350" t="s">
        <v>19</v>
      </c>
      <c r="D127" s="350" t="s">
        <v>1523</v>
      </c>
      <c r="E127" s="875" t="s">
        <v>13</v>
      </c>
      <c r="F127" s="852">
        <v>30</v>
      </c>
      <c r="G127" s="964"/>
      <c r="H127" s="622"/>
      <c r="I127" s="982"/>
      <c r="J127" s="622"/>
      <c r="K127" s="982"/>
      <c r="L127" s="622"/>
      <c r="M127" s="982"/>
      <c r="N127" s="923"/>
    </row>
    <row r="128" spans="1:15" s="224" customFormat="1" ht="15" customHeight="1" x14ac:dyDescent="0.25">
      <c r="A128" s="215">
        <v>43827</v>
      </c>
      <c r="B128" s="364" t="s">
        <v>2496</v>
      </c>
      <c r="C128" s="350" t="s">
        <v>19</v>
      </c>
      <c r="D128" s="350" t="s">
        <v>1506</v>
      </c>
      <c r="E128" s="875" t="s">
        <v>13</v>
      </c>
      <c r="F128" s="852">
        <v>34</v>
      </c>
      <c r="G128" s="964"/>
      <c r="H128" s="622"/>
      <c r="I128" s="982"/>
      <c r="J128" s="622"/>
      <c r="K128" s="982"/>
      <c r="L128" s="622"/>
      <c r="M128" s="982"/>
      <c r="N128" s="923"/>
    </row>
    <row r="129" spans="1:16" s="224" customFormat="1" ht="15" customHeight="1" x14ac:dyDescent="0.25">
      <c r="A129" s="215">
        <v>43827</v>
      </c>
      <c r="B129" s="364" t="s">
        <v>1438</v>
      </c>
      <c r="C129" s="350" t="s">
        <v>19</v>
      </c>
      <c r="D129" s="350" t="s">
        <v>1489</v>
      </c>
      <c r="E129" s="875" t="s">
        <v>13</v>
      </c>
      <c r="F129" s="852">
        <v>9.51</v>
      </c>
      <c r="G129" s="964"/>
      <c r="H129" s="622"/>
      <c r="I129" s="982"/>
      <c r="J129" s="622"/>
      <c r="K129" s="982"/>
      <c r="L129" s="622"/>
      <c r="M129" s="982"/>
      <c r="N129" s="923"/>
    </row>
    <row r="130" spans="1:16" s="224" customFormat="1" ht="15" customHeight="1" x14ac:dyDescent="0.25">
      <c r="A130" s="215">
        <v>43827</v>
      </c>
      <c r="B130" s="862" t="s">
        <v>2497</v>
      </c>
      <c r="C130" s="879" t="s">
        <v>12</v>
      </c>
      <c r="D130" s="879" t="s">
        <v>1523</v>
      </c>
      <c r="E130" s="871" t="s">
        <v>13</v>
      </c>
      <c r="F130" s="97">
        <v>29</v>
      </c>
      <c r="G130" s="946"/>
      <c r="H130" s="97"/>
      <c r="I130" s="982"/>
      <c r="J130" s="622"/>
      <c r="K130" s="982"/>
      <c r="L130" s="622"/>
      <c r="M130" s="982"/>
      <c r="N130" s="459"/>
    </row>
    <row r="131" spans="1:16" s="224" customFormat="1" ht="15" customHeight="1" x14ac:dyDescent="0.25">
      <c r="A131" s="215">
        <v>43827</v>
      </c>
      <c r="B131" s="862" t="s">
        <v>82</v>
      </c>
      <c r="C131" s="879" t="s">
        <v>12</v>
      </c>
      <c r="D131" s="879" t="s">
        <v>1493</v>
      </c>
      <c r="E131" s="871" t="s">
        <v>13</v>
      </c>
      <c r="F131" s="97">
        <v>42.4</v>
      </c>
      <c r="G131" s="946"/>
      <c r="H131" s="97"/>
      <c r="I131" s="982"/>
      <c r="J131" s="622"/>
      <c r="K131" s="982"/>
      <c r="L131" s="622"/>
      <c r="M131" s="982"/>
      <c r="N131" s="459"/>
    </row>
    <row r="132" spans="1:16" s="224" customFormat="1" ht="15" customHeight="1" x14ac:dyDescent="0.25">
      <c r="A132" s="215">
        <v>43828</v>
      </c>
      <c r="B132" s="862" t="s">
        <v>17</v>
      </c>
      <c r="C132" s="350" t="s">
        <v>19</v>
      </c>
      <c r="D132" s="874" t="s">
        <v>1493</v>
      </c>
      <c r="E132" s="887" t="s">
        <v>13</v>
      </c>
      <c r="F132" s="852">
        <v>22.5</v>
      </c>
      <c r="G132" s="1527"/>
      <c r="H132" s="97"/>
      <c r="I132" s="982"/>
      <c r="J132" s="622"/>
      <c r="K132" s="982"/>
      <c r="L132" s="622"/>
      <c r="M132" s="982"/>
      <c r="N132" s="459"/>
    </row>
    <row r="133" spans="1:16" s="224" customFormat="1" ht="15" customHeight="1" x14ac:dyDescent="0.25">
      <c r="A133" s="215">
        <v>43829</v>
      </c>
      <c r="B133" s="349" t="s">
        <v>2498</v>
      </c>
      <c r="C133" s="350" t="s">
        <v>12</v>
      </c>
      <c r="D133" s="350" t="s">
        <v>1524</v>
      </c>
      <c r="E133" s="480" t="s">
        <v>15</v>
      </c>
      <c r="F133" s="780">
        <v>142.5</v>
      </c>
      <c r="G133" s="946"/>
      <c r="H133" s="97"/>
      <c r="I133" s="946"/>
      <c r="J133" s="97"/>
      <c r="K133" s="946"/>
      <c r="L133" s="97"/>
      <c r="M133" s="946"/>
      <c r="N133" s="923"/>
      <c r="P133" s="930"/>
    </row>
    <row r="134" spans="1:16" s="224" customFormat="1" ht="15" customHeight="1" x14ac:dyDescent="0.25">
      <c r="A134" s="215">
        <v>43829</v>
      </c>
      <c r="B134" s="862" t="s">
        <v>2499</v>
      </c>
      <c r="C134" s="350" t="s">
        <v>12</v>
      </c>
      <c r="D134" s="874" t="s">
        <v>1489</v>
      </c>
      <c r="E134" s="887" t="s">
        <v>15</v>
      </c>
      <c r="F134" s="852">
        <v>9</v>
      </c>
      <c r="G134" s="1527"/>
      <c r="H134" s="97"/>
      <c r="I134" s="982"/>
      <c r="J134" s="622"/>
      <c r="K134" s="982"/>
      <c r="L134" s="622"/>
      <c r="M134" s="982"/>
      <c r="N134" s="459"/>
    </row>
    <row r="135" spans="1:16" s="224" customFormat="1" ht="15" customHeight="1" x14ac:dyDescent="0.25">
      <c r="A135" s="215">
        <v>43829</v>
      </c>
      <c r="B135" s="862" t="s">
        <v>1710</v>
      </c>
      <c r="C135" s="879" t="s">
        <v>12</v>
      </c>
      <c r="D135" s="879" t="s">
        <v>1504</v>
      </c>
      <c r="E135" s="871" t="s">
        <v>13</v>
      </c>
      <c r="F135" s="137">
        <v>32.9</v>
      </c>
      <c r="G135" s="479"/>
      <c r="H135" s="97"/>
      <c r="I135" s="982"/>
      <c r="J135" s="622"/>
      <c r="K135" s="982"/>
      <c r="L135" s="622"/>
      <c r="M135" s="982"/>
      <c r="N135" s="459"/>
    </row>
    <row r="136" spans="1:16" s="224" customFormat="1" ht="15" customHeight="1" x14ac:dyDescent="0.25">
      <c r="A136" s="215">
        <v>43829</v>
      </c>
      <c r="B136" s="862" t="s">
        <v>14</v>
      </c>
      <c r="C136" s="350" t="s">
        <v>12</v>
      </c>
      <c r="D136" s="874" t="s">
        <v>1486</v>
      </c>
      <c r="E136" s="887" t="s">
        <v>13</v>
      </c>
      <c r="F136" s="890">
        <v>5.21</v>
      </c>
      <c r="G136" s="1531"/>
      <c r="H136" s="96"/>
      <c r="I136" s="1033"/>
      <c r="J136" s="622"/>
      <c r="K136" s="982"/>
      <c r="L136" s="622"/>
      <c r="M136" s="982"/>
      <c r="N136" s="459"/>
    </row>
    <row r="137" spans="1:16" s="224" customFormat="1" ht="15" customHeight="1" x14ac:dyDescent="0.25">
      <c r="A137" s="215">
        <v>43829</v>
      </c>
      <c r="B137" s="862" t="s">
        <v>2500</v>
      </c>
      <c r="C137" s="350" t="s">
        <v>19</v>
      </c>
      <c r="D137" s="874" t="s">
        <v>1489</v>
      </c>
      <c r="E137" s="887" t="s">
        <v>13</v>
      </c>
      <c r="F137" s="852">
        <v>65.900000000000006</v>
      </c>
      <c r="G137" s="1527"/>
      <c r="H137" s="97"/>
      <c r="I137" s="982"/>
      <c r="J137" s="622"/>
      <c r="K137" s="982"/>
      <c r="L137" s="622"/>
      <c r="M137" s="982"/>
      <c r="N137" s="459"/>
    </row>
    <row r="138" spans="1:16" s="224" customFormat="1" ht="15" customHeight="1" x14ac:dyDescent="0.25">
      <c r="A138" s="215">
        <v>43829</v>
      </c>
      <c r="B138" s="862" t="s">
        <v>2501</v>
      </c>
      <c r="C138" s="350" t="s">
        <v>12</v>
      </c>
      <c r="D138" s="874" t="s">
        <v>1523</v>
      </c>
      <c r="E138" s="887" t="s">
        <v>13</v>
      </c>
      <c r="F138" s="852">
        <v>193.46</v>
      </c>
      <c r="G138" s="1527"/>
      <c r="H138" s="97"/>
      <c r="I138" s="982"/>
      <c r="J138" s="622"/>
      <c r="K138" s="982"/>
      <c r="L138" s="622"/>
      <c r="M138" s="982"/>
      <c r="N138" s="3140" t="s">
        <v>2502</v>
      </c>
      <c r="O138" s="3141"/>
      <c r="P138" s="3141"/>
    </row>
    <row r="139" spans="1:16" s="224" customFormat="1" ht="15" customHeight="1" x14ac:dyDescent="0.25">
      <c r="A139" s="215">
        <v>43829</v>
      </c>
      <c r="B139" s="862" t="s">
        <v>256</v>
      </c>
      <c r="C139" s="879"/>
      <c r="D139" s="879"/>
      <c r="E139" s="871"/>
      <c r="F139" s="97"/>
      <c r="G139" s="946">
        <v>800</v>
      </c>
      <c r="H139" s="97">
        <v>800</v>
      </c>
      <c r="I139" s="982"/>
      <c r="J139" s="622"/>
      <c r="K139" s="982"/>
      <c r="L139" s="622"/>
      <c r="M139" s="982"/>
    </row>
    <row r="140" spans="1:16" s="224" customFormat="1" ht="15" customHeight="1" x14ac:dyDescent="0.25">
      <c r="A140" s="215">
        <v>43829</v>
      </c>
      <c r="B140" s="862" t="s">
        <v>17</v>
      </c>
      <c r="C140" s="350" t="s">
        <v>19</v>
      </c>
      <c r="D140" s="874" t="s">
        <v>1493</v>
      </c>
      <c r="E140" s="887" t="s">
        <v>13</v>
      </c>
      <c r="F140" s="852">
        <v>21.9</v>
      </c>
      <c r="G140" s="1527"/>
      <c r="H140" s="97"/>
      <c r="I140" s="982"/>
      <c r="J140" s="622"/>
      <c r="K140" s="982"/>
      <c r="L140" s="622"/>
      <c r="M140" s="982"/>
      <c r="N140" s="459"/>
    </row>
    <row r="141" spans="1:16" s="224" customFormat="1" ht="15" customHeight="1" x14ac:dyDescent="0.25">
      <c r="A141" s="215">
        <v>43829</v>
      </c>
      <c r="B141" s="349" t="s">
        <v>2198</v>
      </c>
      <c r="C141" s="350" t="s">
        <v>12</v>
      </c>
      <c r="D141" s="350" t="s">
        <v>2157</v>
      </c>
      <c r="E141" s="480" t="s">
        <v>15</v>
      </c>
      <c r="F141" s="780">
        <v>40</v>
      </c>
      <c r="G141" s="946"/>
      <c r="H141" s="97"/>
      <c r="I141" s="982"/>
      <c r="J141" s="622"/>
      <c r="K141" s="982"/>
      <c r="L141" s="622"/>
      <c r="M141" s="982"/>
      <c r="N141" s="459"/>
    </row>
    <row r="142" spans="1:16" s="224" customFormat="1" ht="15.75" thickBot="1" x14ac:dyDescent="0.3">
      <c r="A142" s="215">
        <v>43830</v>
      </c>
      <c r="B142" s="862" t="s">
        <v>1666</v>
      </c>
      <c r="C142" s="350" t="s">
        <v>12</v>
      </c>
      <c r="D142" s="177"/>
      <c r="E142" s="141" t="s">
        <v>25</v>
      </c>
      <c r="F142" s="853"/>
      <c r="G142" s="964"/>
      <c r="H142" s="622"/>
      <c r="I142" s="982"/>
      <c r="J142" s="622"/>
      <c r="K142" s="982">
        <v>20.75</v>
      </c>
      <c r="L142" s="622"/>
      <c r="M142" s="982"/>
      <c r="N142" s="459"/>
    </row>
    <row r="143" spans="1:16" ht="25.5" customHeight="1" thickBot="1" x14ac:dyDescent="0.3">
      <c r="A143" s="3060"/>
      <c r="B143" s="3061"/>
      <c r="C143" s="3062"/>
      <c r="D143" s="3062"/>
      <c r="E143" s="3062"/>
      <c r="F143" s="100">
        <f>SUM(F6:F142)</f>
        <v>10196.276666666663</v>
      </c>
      <c r="G143" s="1534">
        <f>SUM(G5:G142)</f>
        <v>11370.813333333352</v>
      </c>
      <c r="H143" s="101">
        <f>SUM(H6:H142)</f>
        <v>902.3</v>
      </c>
      <c r="I143" s="93">
        <f>SUM(I5:I142)</f>
        <v>7602.2960000000021</v>
      </c>
      <c r="J143" s="101">
        <f>SUM(J6:J142)</f>
        <v>0</v>
      </c>
      <c r="K143" s="93">
        <f>SUM(K5:K142)</f>
        <v>6811.6</v>
      </c>
      <c r="L143" s="101">
        <f>SUM(L6:L142)</f>
        <v>399.01</v>
      </c>
      <c r="M143" s="93">
        <f>SUM(M5:M142)</f>
        <v>399.01</v>
      </c>
    </row>
    <row r="144" spans="1:16" ht="25.5" customHeight="1" thickBot="1" x14ac:dyDescent="0.3">
      <c r="A144" s="3117" t="s">
        <v>49</v>
      </c>
      <c r="B144" s="3118"/>
      <c r="C144" s="3118"/>
      <c r="D144" s="3118"/>
      <c r="E144" s="3118"/>
      <c r="F144" s="144"/>
      <c r="G144" s="519">
        <f>G143-F143</f>
        <v>1174.5366666666887</v>
      </c>
      <c r="H144" s="555"/>
      <c r="I144" s="772">
        <f>I143-H143</f>
        <v>6699.9960000000019</v>
      </c>
      <c r="J144" s="555"/>
      <c r="K144" s="772">
        <f>K143-J143</f>
        <v>6811.6</v>
      </c>
      <c r="L144" s="555"/>
      <c r="M144" s="772">
        <f>M143-L143</f>
        <v>0</v>
      </c>
    </row>
    <row r="145" spans="1:14" x14ac:dyDescent="0.25">
      <c r="E145" s="79"/>
      <c r="G145" s="868"/>
    </row>
    <row r="146" spans="1:14" x14ac:dyDescent="0.25">
      <c r="B146" s="81" t="s">
        <v>3</v>
      </c>
      <c r="C146" s="193" t="s">
        <v>1484</v>
      </c>
      <c r="D146" s="970" t="s">
        <v>2378</v>
      </c>
      <c r="K146" s="866"/>
      <c r="M146" s="866"/>
    </row>
    <row r="147" spans="1:14" x14ac:dyDescent="0.25">
      <c r="B147" s="79" t="s">
        <v>32</v>
      </c>
      <c r="C147" s="85" t="s">
        <v>1485</v>
      </c>
      <c r="D147" s="475">
        <f>SUMIF($D$7:$D$142,"A",$F$7:$F$142)</f>
        <v>330.51000000000005</v>
      </c>
      <c r="F147" s="79"/>
      <c r="I147" s="769"/>
      <c r="J147" s="868"/>
      <c r="L147" s="868"/>
    </row>
    <row r="148" spans="1:14" x14ac:dyDescent="0.25">
      <c r="B148" s="79" t="s">
        <v>2187</v>
      </c>
      <c r="C148" s="85" t="s">
        <v>2157</v>
      </c>
      <c r="D148" s="475">
        <f>SUMIF($D$7:$D$142,"GAC",$F$7:$F$142)</f>
        <v>420</v>
      </c>
      <c r="J148" s="754"/>
      <c r="K148" s="886"/>
      <c r="L148" s="754"/>
      <c r="M148" s="886"/>
      <c r="N148" s="985"/>
    </row>
    <row r="149" spans="1:14" x14ac:dyDescent="0.25">
      <c r="B149" s="79" t="s">
        <v>2188</v>
      </c>
      <c r="C149" s="85" t="s">
        <v>2168</v>
      </c>
      <c r="D149" s="475">
        <f>SUMIF($D$7:$D$142,"GAM",$F$7:$F$142)</f>
        <v>50.54</v>
      </c>
      <c r="J149" s="864"/>
      <c r="K149" s="864"/>
      <c r="L149" s="864"/>
      <c r="M149" s="864"/>
      <c r="N149" s="958"/>
    </row>
    <row r="150" spans="1:14" s="85" customFormat="1" x14ac:dyDescent="0.25">
      <c r="A150" s="79"/>
      <c r="B150" s="79" t="s">
        <v>50</v>
      </c>
      <c r="C150" s="85" t="s">
        <v>1493</v>
      </c>
      <c r="D150" s="475">
        <f>SUMIF($D$7:$D$142,"LD",$F$7:$F$142)</f>
        <v>309.64999999999998</v>
      </c>
      <c r="J150" s="864"/>
      <c r="K150" s="864"/>
      <c r="L150" s="864"/>
      <c r="M150" s="864"/>
      <c r="N150" s="958"/>
    </row>
    <row r="151" spans="1:14" s="85" customFormat="1" x14ac:dyDescent="0.25">
      <c r="A151" s="79"/>
      <c r="B151" s="79" t="s">
        <v>14</v>
      </c>
      <c r="C151" s="85" t="s">
        <v>1486</v>
      </c>
      <c r="D151" s="475">
        <f>SUMIF($D$7:$D$142,"C",$F$7:$F$142)</f>
        <v>113.60999999999999</v>
      </c>
      <c r="F151" s="89"/>
      <c r="G151" s="79"/>
      <c r="H151" s="79"/>
      <c r="J151" s="864"/>
      <c r="K151" s="864"/>
      <c r="L151" s="864"/>
      <c r="M151" s="864"/>
      <c r="N151" s="958"/>
    </row>
    <row r="152" spans="1:14" s="85" customFormat="1" x14ac:dyDescent="0.25">
      <c r="A152" s="79"/>
      <c r="B152" s="79" t="s">
        <v>51</v>
      </c>
      <c r="C152" s="864" t="s">
        <v>1499</v>
      </c>
      <c r="D152" s="475">
        <f>SUMIF($D$7:$D$142,"CAL",$F$7:$F$142)</f>
        <v>108.75</v>
      </c>
      <c r="F152" s="89"/>
      <c r="G152" s="79"/>
      <c r="H152" s="79"/>
      <c r="I152" s="79"/>
      <c r="L152" s="864"/>
      <c r="M152" s="864"/>
      <c r="N152" s="958"/>
    </row>
    <row r="153" spans="1:14" s="85" customFormat="1" x14ac:dyDescent="0.25">
      <c r="A153" s="79"/>
      <c r="B153" s="79" t="s">
        <v>2189</v>
      </c>
      <c r="C153" s="864" t="s">
        <v>1496</v>
      </c>
      <c r="D153" s="475">
        <f>SUMIF($D$8:$D$142,"AC",$F$8:$F$142)</f>
        <v>60</v>
      </c>
      <c r="F153" s="769"/>
      <c r="G153" s="79"/>
      <c r="N153" s="941"/>
    </row>
    <row r="154" spans="1:14" s="85" customFormat="1" x14ac:dyDescent="0.25">
      <c r="A154" s="79"/>
      <c r="B154" s="867" t="s">
        <v>53</v>
      </c>
      <c r="C154" s="864" t="s">
        <v>1522</v>
      </c>
      <c r="D154" s="475">
        <f>SUMIF($D$23:$D$142,"DC",$F$23:$F$142)</f>
        <v>0</v>
      </c>
      <c r="N154" s="459"/>
    </row>
    <row r="155" spans="1:14" s="85" customFormat="1" x14ac:dyDescent="0.25">
      <c r="A155" s="79"/>
      <c r="B155" s="867" t="s">
        <v>2149</v>
      </c>
      <c r="C155" s="864" t="s">
        <v>2131</v>
      </c>
      <c r="D155" s="475">
        <f>SUMIF($D$23:$D$142,"DM",$F$23:$F$142)</f>
        <v>99</v>
      </c>
      <c r="F155" s="769"/>
      <c r="N155" s="459"/>
    </row>
    <row r="156" spans="1:14" s="85" customFormat="1" x14ac:dyDescent="0.25">
      <c r="A156" s="79"/>
      <c r="B156" s="79" t="s">
        <v>2008</v>
      </c>
      <c r="C156" s="864" t="s">
        <v>1523</v>
      </c>
      <c r="D156" s="475">
        <f>SUMIF($D$23:$D$142,"B",$F$23:$F$142)</f>
        <v>319.46000000000004</v>
      </c>
      <c r="F156" s="769"/>
      <c r="G156" s="866"/>
      <c r="N156" s="459"/>
    </row>
    <row r="157" spans="1:14" s="85" customFormat="1" x14ac:dyDescent="0.25">
      <c r="A157" s="79"/>
      <c r="B157" s="79" t="s">
        <v>1686</v>
      </c>
      <c r="C157" s="864" t="s">
        <v>1506</v>
      </c>
      <c r="D157" s="475">
        <f>SUMIF($D$7:$D$142,"R",$F$7:$F$142)</f>
        <v>388.86666666666667</v>
      </c>
      <c r="F157" s="769"/>
      <c r="G157" s="868"/>
      <c r="K157" s="866"/>
      <c r="M157" s="866"/>
      <c r="N157" s="459"/>
    </row>
    <row r="158" spans="1:14" x14ac:dyDescent="0.25">
      <c r="B158" s="79" t="s">
        <v>418</v>
      </c>
      <c r="C158" s="85" t="s">
        <v>1524</v>
      </c>
      <c r="D158" s="475">
        <f>SUMIF($D$23:$D$142,"COM",$F$23:$F$142)</f>
        <v>179.5</v>
      </c>
      <c r="G158" s="85"/>
      <c r="H158" s="85"/>
      <c r="I158" s="85"/>
      <c r="J158" s="769"/>
      <c r="K158" s="868"/>
      <c r="L158" s="769"/>
      <c r="M158" s="868"/>
    </row>
    <row r="159" spans="1:14" x14ac:dyDescent="0.25">
      <c r="B159" s="79" t="s">
        <v>419</v>
      </c>
      <c r="C159" s="85" t="s">
        <v>1491</v>
      </c>
      <c r="D159" s="475">
        <f>SUMIF($D$7:$D$142,"F",$F$7:$F$142)</f>
        <v>791.69999999999993</v>
      </c>
      <c r="J159" s="769"/>
      <c r="K159" s="868"/>
      <c r="L159" s="769"/>
      <c r="M159" s="868"/>
    </row>
    <row r="160" spans="1:14" x14ac:dyDescent="0.25">
      <c r="B160" s="79" t="s">
        <v>911</v>
      </c>
      <c r="C160" s="85" t="s">
        <v>1525</v>
      </c>
      <c r="D160" s="475">
        <f>SUMIF($D$7:$D$142,"FER",$F$7:$F$142)</f>
        <v>489.9</v>
      </c>
      <c r="J160" s="769"/>
      <c r="K160" s="866"/>
      <c r="L160" s="769"/>
      <c r="M160" s="866"/>
    </row>
    <row r="161" spans="2:13" x14ac:dyDescent="0.25">
      <c r="B161" s="79" t="s">
        <v>1526</v>
      </c>
      <c r="C161" s="85" t="s">
        <v>1504</v>
      </c>
      <c r="D161" s="475">
        <f>SUMIF($D$7:$D$142,"I",$F$7:$F$142)</f>
        <v>153.41</v>
      </c>
      <c r="F161" s="89" t="s">
        <v>280</v>
      </c>
      <c r="J161" s="769"/>
      <c r="K161" s="866"/>
      <c r="L161" s="769"/>
      <c r="M161" s="866"/>
    </row>
    <row r="162" spans="2:13" x14ac:dyDescent="0.25">
      <c r="B162" s="79" t="s">
        <v>2343</v>
      </c>
      <c r="C162" s="85" t="s">
        <v>2315</v>
      </c>
      <c r="D162" s="475">
        <f>SUMIF($D$23:$D$142,"E",$F$23:$F$142)</f>
        <v>0</v>
      </c>
      <c r="J162" s="769"/>
      <c r="K162" s="868"/>
      <c r="L162" s="769"/>
      <c r="M162" s="868"/>
    </row>
    <row r="163" spans="2:13" x14ac:dyDescent="0.25">
      <c r="B163" s="79" t="s">
        <v>1527</v>
      </c>
      <c r="C163" s="85" t="s">
        <v>1489</v>
      </c>
      <c r="D163" s="475">
        <f>SUMIF($D$7:$D$142,"OD",$F$7:$F$142)</f>
        <v>844.12</v>
      </c>
      <c r="J163" s="769"/>
      <c r="K163" s="866"/>
      <c r="L163" s="769"/>
      <c r="M163" s="866"/>
    </row>
    <row r="164" spans="2:13" x14ac:dyDescent="0.25">
      <c r="D164" s="459"/>
      <c r="J164" s="769"/>
      <c r="K164" s="866"/>
      <c r="L164" s="769"/>
      <c r="M164" s="866"/>
    </row>
    <row r="165" spans="2:13" x14ac:dyDescent="0.25">
      <c r="H165" s="769"/>
      <c r="K165" s="866"/>
      <c r="M165" s="866"/>
    </row>
    <row r="166" spans="2:13" x14ac:dyDescent="0.25">
      <c r="B166" s="79" t="s">
        <v>486</v>
      </c>
      <c r="C166" s="475">
        <f>H166/J166</f>
        <v>150.29086021505375</v>
      </c>
      <c r="F166" s="224" t="s">
        <v>487</v>
      </c>
      <c r="H166" s="216">
        <f>SUM(D147:D163)</f>
        <v>4659.0166666666664</v>
      </c>
      <c r="I166" s="518" t="s">
        <v>488</v>
      </c>
      <c r="J166" s="1517">
        <v>31</v>
      </c>
      <c r="L166" s="1517"/>
    </row>
    <row r="167" spans="2:13" ht="15.75" customHeight="1" x14ac:dyDescent="0.25">
      <c r="E167" s="769"/>
      <c r="H167" s="629"/>
      <c r="J167" s="769"/>
      <c r="K167" s="868"/>
      <c r="L167" s="769"/>
      <c r="M167" s="868"/>
    </row>
    <row r="168" spans="2:13" x14ac:dyDescent="0.25">
      <c r="E168" s="79"/>
      <c r="F168" s="79"/>
      <c r="H168" s="866"/>
      <c r="K168" s="866"/>
      <c r="M168" s="866"/>
    </row>
    <row r="169" spans="2:13" x14ac:dyDescent="0.25">
      <c r="D169" s="79"/>
      <c r="E169" s="79"/>
      <c r="J169" s="769"/>
      <c r="K169" s="866"/>
      <c r="L169" s="769"/>
      <c r="M169" s="866"/>
    </row>
    <row r="170" spans="2:13" x14ac:dyDescent="0.25">
      <c r="J170" s="769"/>
      <c r="K170" s="866"/>
      <c r="L170" s="769"/>
      <c r="M170" s="866"/>
    </row>
    <row r="171" spans="2:13" x14ac:dyDescent="0.25">
      <c r="J171" s="769"/>
      <c r="K171" s="866"/>
      <c r="L171" s="769"/>
      <c r="M171" s="866"/>
    </row>
    <row r="172" spans="2:13" x14ac:dyDescent="0.25">
      <c r="J172" s="769"/>
      <c r="K172" s="866"/>
      <c r="L172" s="769"/>
      <c r="M172" s="866"/>
    </row>
    <row r="173" spans="2:13" x14ac:dyDescent="0.25">
      <c r="C173" s="79"/>
      <c r="D173" s="79"/>
      <c r="E173" s="79"/>
      <c r="F173" s="79"/>
      <c r="I173" s="216"/>
      <c r="J173" s="769"/>
      <c r="K173" s="866"/>
      <c r="L173" s="769"/>
      <c r="M173" s="866"/>
    </row>
    <row r="174" spans="2:13" x14ac:dyDescent="0.25">
      <c r="C174" s="79"/>
      <c r="D174" s="79"/>
      <c r="E174" s="79"/>
      <c r="F174" s="79"/>
      <c r="I174" s="216"/>
      <c r="J174" s="769"/>
      <c r="K174" s="866"/>
      <c r="L174" s="769"/>
      <c r="M174" s="866"/>
    </row>
    <row r="175" spans="2:13" x14ac:dyDescent="0.25">
      <c r="C175" s="79"/>
      <c r="D175" s="79"/>
      <c r="E175" s="79"/>
      <c r="F175" s="79"/>
      <c r="G175" s="216"/>
      <c r="I175" s="216"/>
      <c r="J175" s="769"/>
      <c r="K175" s="868"/>
      <c r="L175" s="769"/>
      <c r="M175" s="868"/>
    </row>
    <row r="176" spans="2:13" x14ac:dyDescent="0.25">
      <c r="C176" s="79"/>
      <c r="D176" s="79"/>
      <c r="E176" s="79"/>
      <c r="F176" s="79"/>
      <c r="G176" s="216"/>
      <c r="I176" s="216"/>
      <c r="J176" s="769"/>
      <c r="K176" s="866"/>
      <c r="L176" s="769"/>
      <c r="M176" s="866"/>
    </row>
    <row r="177" spans="3:13" x14ac:dyDescent="0.25">
      <c r="C177" s="79"/>
      <c r="D177" s="79"/>
      <c r="E177" s="79"/>
      <c r="F177" s="79"/>
      <c r="G177" s="216"/>
      <c r="J177" s="770"/>
      <c r="K177" s="866"/>
      <c r="L177" s="770"/>
      <c r="M177" s="866"/>
    </row>
    <row r="178" spans="3:13" x14ac:dyDescent="0.25">
      <c r="C178" s="79"/>
      <c r="D178" s="79"/>
      <c r="E178" s="79"/>
      <c r="F178" s="79"/>
      <c r="I178" s="216"/>
      <c r="J178" s="769"/>
      <c r="K178" s="868"/>
      <c r="L178" s="769"/>
      <c r="M178" s="868"/>
    </row>
    <row r="179" spans="3:13" x14ac:dyDescent="0.25">
      <c r="J179" s="769"/>
      <c r="K179" s="866"/>
      <c r="L179" s="769"/>
      <c r="M179" s="866"/>
    </row>
    <row r="180" spans="3:13" x14ac:dyDescent="0.25">
      <c r="C180" s="79"/>
      <c r="D180" s="79"/>
      <c r="E180" s="79"/>
      <c r="F180" s="79"/>
      <c r="I180" s="629"/>
      <c r="J180" s="769"/>
      <c r="K180" s="866"/>
      <c r="L180" s="769"/>
      <c r="M180" s="866"/>
    </row>
    <row r="181" spans="3:13" x14ac:dyDescent="0.25">
      <c r="J181" s="769"/>
      <c r="K181" s="866"/>
      <c r="L181" s="769"/>
      <c r="M181" s="866"/>
    </row>
    <row r="182" spans="3:13" x14ac:dyDescent="0.25">
      <c r="J182" s="769"/>
      <c r="K182" s="866"/>
      <c r="L182" s="769"/>
      <c r="M182" s="866"/>
    </row>
    <row r="183" spans="3:13" x14ac:dyDescent="0.25">
      <c r="J183" s="769"/>
      <c r="K183" s="866"/>
      <c r="L183" s="769"/>
      <c r="M183" s="866"/>
    </row>
    <row r="184" spans="3:13" x14ac:dyDescent="0.25">
      <c r="J184" s="769"/>
      <c r="K184" s="866"/>
      <c r="L184" s="769"/>
      <c r="M184" s="866"/>
    </row>
    <row r="185" spans="3:13" x14ac:dyDescent="0.25">
      <c r="J185" s="769"/>
      <c r="K185" s="866"/>
      <c r="L185" s="769"/>
      <c r="M185" s="866"/>
    </row>
    <row r="186" spans="3:13" x14ac:dyDescent="0.25">
      <c r="C186" s="79"/>
      <c r="D186" s="79"/>
      <c r="E186" s="79"/>
      <c r="F186" s="79"/>
      <c r="I186" s="216"/>
      <c r="J186" s="769"/>
      <c r="K186" s="866"/>
      <c r="L186" s="769"/>
      <c r="M186" s="866"/>
    </row>
    <row r="187" spans="3:13" x14ac:dyDescent="0.25">
      <c r="C187" s="79"/>
      <c r="D187" s="79"/>
      <c r="E187" s="79"/>
      <c r="F187" s="79"/>
      <c r="I187" s="216"/>
      <c r="J187" s="769"/>
      <c r="K187" s="866"/>
      <c r="L187" s="769"/>
      <c r="M187" s="866"/>
    </row>
    <row r="188" spans="3:13" x14ac:dyDescent="0.25">
      <c r="C188" s="79"/>
      <c r="D188" s="79"/>
      <c r="E188" s="79"/>
      <c r="F188" s="79"/>
      <c r="I188" s="216"/>
      <c r="J188" s="769"/>
      <c r="K188" s="866"/>
      <c r="L188" s="769"/>
      <c r="M188" s="866"/>
    </row>
    <row r="189" spans="3:13" x14ac:dyDescent="0.25">
      <c r="C189" s="79"/>
      <c r="D189" s="79"/>
      <c r="E189" s="79"/>
      <c r="F189" s="79"/>
      <c r="I189" s="216"/>
      <c r="J189" s="769"/>
      <c r="K189" s="866"/>
      <c r="L189" s="769"/>
      <c r="M189" s="866"/>
    </row>
    <row r="190" spans="3:13" x14ac:dyDescent="0.25">
      <c r="C190" s="79"/>
      <c r="D190" s="79"/>
      <c r="E190" s="79"/>
      <c r="F190" s="79"/>
      <c r="I190" s="216"/>
      <c r="J190" s="769"/>
      <c r="K190" s="868"/>
      <c r="L190" s="769"/>
      <c r="M190" s="868"/>
    </row>
    <row r="191" spans="3:13" x14ac:dyDescent="0.25">
      <c r="C191" s="79"/>
      <c r="D191" s="79"/>
      <c r="E191" s="79"/>
      <c r="F191" s="79"/>
      <c r="I191" s="216"/>
      <c r="J191" s="769"/>
      <c r="K191" s="868"/>
      <c r="L191" s="769"/>
      <c r="M191" s="868"/>
    </row>
    <row r="192" spans="3:13" x14ac:dyDescent="0.25">
      <c r="C192" s="79"/>
      <c r="D192" s="79"/>
      <c r="E192" s="79"/>
      <c r="F192" s="79"/>
      <c r="I192" s="216"/>
      <c r="J192" s="769"/>
      <c r="K192" s="868"/>
      <c r="L192" s="769"/>
      <c r="M192" s="868"/>
    </row>
    <row r="193" spans="3:13" x14ac:dyDescent="0.25">
      <c r="C193" s="79"/>
      <c r="D193" s="79"/>
      <c r="E193" s="79"/>
      <c r="F193" s="79"/>
      <c r="I193" s="216"/>
      <c r="J193" s="769"/>
      <c r="K193" s="868"/>
      <c r="L193" s="769"/>
      <c r="M193" s="868"/>
    </row>
    <row r="194" spans="3:13" x14ac:dyDescent="0.25">
      <c r="C194" s="79"/>
      <c r="D194" s="79"/>
      <c r="E194" s="79"/>
      <c r="F194" s="79"/>
      <c r="I194" s="216"/>
      <c r="J194" s="769"/>
      <c r="K194" s="868"/>
      <c r="L194" s="769"/>
      <c r="M194" s="868"/>
    </row>
    <row r="195" spans="3:13" x14ac:dyDescent="0.25">
      <c r="J195" s="769"/>
      <c r="K195" s="866"/>
      <c r="L195" s="769"/>
      <c r="M195" s="866"/>
    </row>
    <row r="196" spans="3:13" x14ac:dyDescent="0.25">
      <c r="J196" s="769"/>
      <c r="K196" s="866"/>
      <c r="L196" s="769"/>
      <c r="M196" s="866"/>
    </row>
    <row r="197" spans="3:13" x14ac:dyDescent="0.25">
      <c r="J197" s="769"/>
      <c r="K197" s="868"/>
      <c r="L197" s="769"/>
      <c r="M197" s="868"/>
    </row>
    <row r="198" spans="3:13" x14ac:dyDescent="0.25">
      <c r="J198" s="769"/>
      <c r="K198" s="866"/>
      <c r="L198" s="769"/>
      <c r="M198" s="866"/>
    </row>
    <row r="199" spans="3:13" x14ac:dyDescent="0.25">
      <c r="J199" s="769"/>
      <c r="K199" s="866"/>
      <c r="L199" s="769"/>
      <c r="M199" s="866"/>
    </row>
    <row r="200" spans="3:13" x14ac:dyDescent="0.25">
      <c r="C200" s="79"/>
      <c r="D200" s="79"/>
      <c r="E200" s="79"/>
      <c r="F200" s="79"/>
      <c r="J200" s="769"/>
      <c r="K200" s="868"/>
      <c r="L200" s="769"/>
      <c r="M200" s="868"/>
    </row>
    <row r="201" spans="3:13" x14ac:dyDescent="0.25">
      <c r="C201" s="79"/>
      <c r="D201" s="79"/>
      <c r="E201" s="79"/>
      <c r="F201" s="79"/>
      <c r="J201" s="769"/>
      <c r="K201" s="868"/>
      <c r="L201" s="769"/>
      <c r="M201" s="868"/>
    </row>
    <row r="202" spans="3:13" x14ac:dyDescent="0.25">
      <c r="C202" s="79"/>
      <c r="D202" s="79"/>
      <c r="E202" s="79"/>
      <c r="F202" s="79"/>
      <c r="J202" s="769"/>
      <c r="K202" s="868"/>
      <c r="L202" s="769"/>
      <c r="M202" s="868"/>
    </row>
    <row r="203" spans="3:13" x14ac:dyDescent="0.25">
      <c r="C203" s="79"/>
      <c r="D203" s="79"/>
      <c r="E203" s="79"/>
      <c r="F203" s="79"/>
      <c r="J203" s="769"/>
      <c r="K203" s="868"/>
      <c r="L203" s="769"/>
      <c r="M203" s="868"/>
    </row>
    <row r="204" spans="3:13" x14ac:dyDescent="0.25">
      <c r="C204" s="79"/>
      <c r="D204" s="79"/>
      <c r="E204" s="79"/>
      <c r="F204" s="79"/>
      <c r="J204" s="769"/>
      <c r="K204" s="866"/>
      <c r="L204" s="769"/>
      <c r="M204" s="866"/>
    </row>
    <row r="205" spans="3:13" x14ac:dyDescent="0.25">
      <c r="C205" s="79"/>
      <c r="D205" s="79"/>
      <c r="E205" s="79"/>
      <c r="F205" s="79"/>
      <c r="J205" s="223"/>
      <c r="K205" s="629"/>
      <c r="L205" s="223"/>
      <c r="M205" s="629"/>
    </row>
    <row r="206" spans="3:13" x14ac:dyDescent="0.25">
      <c r="C206" s="79"/>
      <c r="D206" s="79"/>
      <c r="E206" s="79"/>
      <c r="F206" s="79"/>
      <c r="J206" s="756"/>
      <c r="K206" s="756"/>
      <c r="L206" s="756"/>
      <c r="M206" s="756"/>
    </row>
    <row r="207" spans="3:13" x14ac:dyDescent="0.25">
      <c r="C207" s="79"/>
      <c r="D207" s="79"/>
      <c r="E207" s="79"/>
      <c r="F207" s="79"/>
    </row>
    <row r="208" spans="3:13" x14ac:dyDescent="0.25">
      <c r="C208" s="79"/>
      <c r="D208" s="79"/>
      <c r="E208" s="79"/>
      <c r="F208" s="79"/>
    </row>
    <row r="209" spans="3:13" x14ac:dyDescent="0.25">
      <c r="C209" s="79"/>
      <c r="D209" s="79"/>
      <c r="E209" s="79"/>
      <c r="F209" s="79"/>
    </row>
    <row r="210" spans="3:13" x14ac:dyDescent="0.25">
      <c r="C210" s="79"/>
      <c r="D210" s="79"/>
      <c r="E210" s="79"/>
      <c r="F210" s="79"/>
    </row>
    <row r="211" spans="3:13" x14ac:dyDescent="0.25">
      <c r="C211" s="79"/>
      <c r="D211" s="79"/>
      <c r="E211" s="79"/>
      <c r="F211" s="79"/>
      <c r="J211" s="85"/>
      <c r="K211" s="85"/>
      <c r="L211" s="85"/>
      <c r="M211" s="85"/>
    </row>
    <row r="212" spans="3:13" x14ac:dyDescent="0.25">
      <c r="C212" s="79"/>
      <c r="D212" s="79"/>
      <c r="E212" s="79"/>
      <c r="F212" s="79"/>
    </row>
    <row r="213" spans="3:13" x14ac:dyDescent="0.25">
      <c r="C213" s="79"/>
      <c r="D213" s="79"/>
      <c r="E213" s="79"/>
      <c r="F213" s="79"/>
    </row>
    <row r="214" spans="3:13" x14ac:dyDescent="0.25">
      <c r="C214" s="79"/>
      <c r="D214" s="79"/>
      <c r="E214" s="79"/>
      <c r="F214" s="79"/>
    </row>
    <row r="215" spans="3:13" x14ac:dyDescent="0.25">
      <c r="C215" s="79"/>
      <c r="D215" s="79"/>
      <c r="E215" s="79"/>
      <c r="F215" s="79"/>
    </row>
    <row r="216" spans="3:13" x14ac:dyDescent="0.25">
      <c r="C216" s="79"/>
      <c r="D216" s="79"/>
      <c r="E216" s="79"/>
      <c r="F216" s="79"/>
    </row>
    <row r="217" spans="3:13" x14ac:dyDescent="0.25">
      <c r="C217" s="79"/>
      <c r="D217" s="79"/>
      <c r="E217" s="79"/>
      <c r="F217" s="79"/>
    </row>
    <row r="218" spans="3:13" x14ac:dyDescent="0.25">
      <c r="C218" s="79"/>
      <c r="D218" s="79"/>
      <c r="E218" s="79"/>
      <c r="F218" s="79"/>
      <c r="J218" s="85"/>
      <c r="K218" s="85"/>
      <c r="L218" s="85"/>
      <c r="M218" s="85"/>
    </row>
    <row r="219" spans="3:13" x14ac:dyDescent="0.25">
      <c r="C219" s="79"/>
      <c r="D219" s="79"/>
      <c r="E219" s="79"/>
      <c r="F219" s="79"/>
    </row>
    <row r="220" spans="3:13" x14ac:dyDescent="0.25">
      <c r="C220" s="79"/>
      <c r="D220" s="79"/>
      <c r="E220" s="79"/>
      <c r="F220" s="79"/>
    </row>
    <row r="221" spans="3:13" x14ac:dyDescent="0.25">
      <c r="C221" s="79"/>
      <c r="D221" s="79"/>
      <c r="E221" s="79"/>
      <c r="F221" s="79"/>
    </row>
    <row r="222" spans="3:13" x14ac:dyDescent="0.25">
      <c r="C222" s="79"/>
      <c r="D222" s="79"/>
      <c r="E222" s="79"/>
      <c r="F222" s="79"/>
    </row>
    <row r="223" spans="3:13" x14ac:dyDescent="0.25">
      <c r="C223" s="79"/>
      <c r="D223" s="79"/>
      <c r="E223" s="79"/>
      <c r="F223" s="79"/>
    </row>
    <row r="224" spans="3:13" x14ac:dyDescent="0.25">
      <c r="C224" s="79"/>
      <c r="D224" s="79"/>
      <c r="E224" s="79"/>
      <c r="F224" s="79"/>
    </row>
    <row r="225" spans="3:13" x14ac:dyDescent="0.25">
      <c r="C225" s="79"/>
      <c r="D225" s="79"/>
      <c r="E225" s="79"/>
      <c r="F225" s="79"/>
      <c r="J225" s="771"/>
      <c r="K225" s="518"/>
      <c r="L225" s="771"/>
      <c r="M225" s="518"/>
    </row>
    <row r="226" spans="3:13" x14ac:dyDescent="0.25">
      <c r="C226" s="79"/>
      <c r="D226" s="79"/>
      <c r="E226" s="79"/>
      <c r="F226" s="79"/>
    </row>
    <row r="233" spans="3:13" x14ac:dyDescent="0.25">
      <c r="C233" s="79"/>
      <c r="D233" s="79"/>
      <c r="E233" s="79"/>
      <c r="F233" s="79"/>
      <c r="K233" s="216"/>
      <c r="M233" s="216"/>
    </row>
    <row r="234" spans="3:13" x14ac:dyDescent="0.25">
      <c r="C234" s="79"/>
      <c r="D234" s="79"/>
      <c r="E234" s="79"/>
      <c r="F234" s="79"/>
      <c r="K234" s="216"/>
      <c r="M234" s="216"/>
    </row>
    <row r="235" spans="3:13" x14ac:dyDescent="0.25">
      <c r="C235" s="79"/>
      <c r="D235" s="79"/>
      <c r="E235" s="79"/>
      <c r="F235" s="79"/>
      <c r="K235" s="216"/>
      <c r="M235" s="216"/>
    </row>
    <row r="236" spans="3:13" x14ac:dyDescent="0.25">
      <c r="C236" s="79"/>
      <c r="D236" s="79"/>
      <c r="E236" s="79"/>
      <c r="F236" s="79"/>
      <c r="K236" s="216"/>
      <c r="M236" s="216"/>
    </row>
    <row r="238" spans="3:13" x14ac:dyDescent="0.25">
      <c r="C238" s="79"/>
      <c r="D238" s="79"/>
      <c r="E238" s="79"/>
      <c r="F238" s="79"/>
      <c r="K238" s="216"/>
      <c r="M238" s="216"/>
    </row>
    <row r="240" spans="3:13" x14ac:dyDescent="0.25">
      <c r="C240" s="79"/>
      <c r="D240" s="79"/>
      <c r="E240" s="79"/>
      <c r="F240" s="79"/>
      <c r="K240" s="629"/>
      <c r="M240" s="629"/>
    </row>
    <row r="246" spans="3:13" x14ac:dyDescent="0.25">
      <c r="C246" s="79"/>
      <c r="D246" s="79"/>
      <c r="E246" s="79"/>
      <c r="F246" s="79"/>
      <c r="K246" s="216"/>
      <c r="M246" s="216"/>
    </row>
    <row r="247" spans="3:13" x14ac:dyDescent="0.25">
      <c r="C247" s="79"/>
      <c r="D247" s="79"/>
      <c r="E247" s="79"/>
      <c r="F247" s="79"/>
      <c r="K247" s="216"/>
      <c r="M247" s="216"/>
    </row>
    <row r="248" spans="3:13" x14ac:dyDescent="0.25">
      <c r="C248" s="79"/>
      <c r="D248" s="79"/>
      <c r="E248" s="79"/>
      <c r="F248" s="79"/>
      <c r="K248" s="216"/>
      <c r="M248" s="216"/>
    </row>
    <row r="249" spans="3:13" x14ac:dyDescent="0.25">
      <c r="C249" s="79"/>
      <c r="D249" s="79"/>
      <c r="E249" s="79"/>
      <c r="F249" s="79"/>
      <c r="K249" s="216"/>
      <c r="M249" s="216"/>
    </row>
    <row r="250" spans="3:13" x14ac:dyDescent="0.25">
      <c r="C250" s="79"/>
      <c r="D250" s="79"/>
      <c r="E250" s="79"/>
      <c r="F250" s="79"/>
      <c r="K250" s="216"/>
      <c r="M250" s="216"/>
    </row>
    <row r="251" spans="3:13" x14ac:dyDescent="0.25">
      <c r="C251" s="79"/>
      <c r="D251" s="79"/>
      <c r="E251" s="79"/>
      <c r="F251" s="79"/>
      <c r="K251" s="216"/>
      <c r="M251" s="216"/>
    </row>
    <row r="252" spans="3:13" x14ac:dyDescent="0.25">
      <c r="C252" s="79"/>
      <c r="D252" s="79"/>
      <c r="E252" s="79"/>
      <c r="F252" s="79"/>
      <c r="K252" s="216"/>
      <c r="M252" s="216"/>
    </row>
    <row r="253" spans="3:13" x14ac:dyDescent="0.25">
      <c r="C253" s="79"/>
      <c r="D253" s="79"/>
      <c r="E253" s="79"/>
      <c r="F253" s="79"/>
      <c r="K253" s="216"/>
      <c r="M253" s="216"/>
    </row>
    <row r="254" spans="3:13" x14ac:dyDescent="0.25">
      <c r="C254" s="79"/>
      <c r="D254" s="79"/>
      <c r="E254" s="79"/>
      <c r="F254" s="79"/>
      <c r="K254" s="216"/>
      <c r="M254" s="216"/>
    </row>
  </sheetData>
  <autoFilter ref="A2:I144" xr:uid="{00000000-0009-0000-0000-00005D000000}"/>
  <mergeCells count="16">
    <mergeCell ref="O88:P88"/>
    <mergeCell ref="A143:E143"/>
    <mergeCell ref="A144:E144"/>
    <mergeCell ref="A1:E1"/>
    <mergeCell ref="F1:M1"/>
    <mergeCell ref="A2:A4"/>
    <mergeCell ref="B2:B4"/>
    <mergeCell ref="C2:C4"/>
    <mergeCell ref="D2:D4"/>
    <mergeCell ref="E2:E4"/>
    <mergeCell ref="F2:G3"/>
    <mergeCell ref="H2:I3"/>
    <mergeCell ref="J2:K3"/>
    <mergeCell ref="L2:M3"/>
    <mergeCell ref="N138:P138"/>
    <mergeCell ref="N116:O116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Plan104"/>
  <dimension ref="A1:T82"/>
  <sheetViews>
    <sheetView zoomScale="85" zoomScaleNormal="85" workbookViewId="0">
      <selection activeCell="D14" sqref="D14:O14"/>
    </sheetView>
  </sheetViews>
  <sheetFormatPr defaultColWidth="9.140625" defaultRowHeight="15" x14ac:dyDescent="0.25"/>
  <cols>
    <col min="1" max="1" width="34.140625" style="79" customWidth="1"/>
    <col min="2" max="2" width="17.57031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customWidth="1"/>
    <col min="9" max="9" width="16.7109375" style="79" bestFit="1" customWidth="1"/>
    <col min="10" max="10" width="19" style="79" bestFit="1" customWidth="1"/>
    <col min="11" max="11" width="15.5703125" style="79" bestFit="1" customWidth="1"/>
    <col min="12" max="12" width="14.28515625" style="79" bestFit="1" customWidth="1"/>
    <col min="13" max="13" width="14.28515625" style="79" customWidth="1"/>
    <col min="14" max="14" width="15" style="79" customWidth="1"/>
    <col min="15" max="15" width="16.5703125" style="79" customWidth="1"/>
    <col min="16" max="16" width="15.5703125" style="79" customWidth="1"/>
    <col min="17" max="17" width="19.28515625" style="79" bestFit="1" customWidth="1"/>
    <col min="18" max="18" width="19.5703125" style="79" bestFit="1" customWidth="1"/>
    <col min="19" max="19" width="17.5703125" style="79" bestFit="1" customWidth="1"/>
    <col min="20" max="20" width="19.5703125" style="79" bestFit="1" customWidth="1"/>
    <col min="21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2503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348.65750000000003</v>
      </c>
      <c r="C3" s="332">
        <f t="shared" ref="C3:C18" si="0">D3+E3+F3+G3+H3+I3+J3+K3+L3+M3+N3+O3</f>
        <v>4183.8900000000003</v>
      </c>
      <c r="D3" s="549">
        <f>'Janeiro-19'!C124</f>
        <v>407.76</v>
      </c>
      <c r="E3" s="587">
        <f>'Fevereiro-19'!C118</f>
        <v>399</v>
      </c>
      <c r="F3" s="588">
        <f>'Março-19'!C122</f>
        <v>333.64</v>
      </c>
      <c r="G3" s="549">
        <f>'Abril-19'!C114</f>
        <v>368.09</v>
      </c>
      <c r="H3" s="549">
        <f>'Maio-19'!C133</f>
        <v>393</v>
      </c>
      <c r="I3" s="588">
        <f>'Junho-19'!C119</f>
        <v>319.62</v>
      </c>
      <c r="J3" s="549">
        <f>'Julho-19'!C128</f>
        <v>347</v>
      </c>
      <c r="K3" s="588">
        <f>'Agosto-19'!C122</f>
        <v>329.64</v>
      </c>
      <c r="L3" s="588">
        <f>'Setembro-19'!D128</f>
        <v>302.78999999999996</v>
      </c>
      <c r="M3" s="561">
        <f>'Outubro-19'!D127</f>
        <v>331.02</v>
      </c>
      <c r="N3" s="565">
        <f>'Novembro-19'!D133</f>
        <v>321.82</v>
      </c>
      <c r="O3" s="561">
        <f>'Dezembro-19'!D147</f>
        <v>330.51000000000005</v>
      </c>
      <c r="P3" s="329"/>
    </row>
    <row r="4" spans="1:16" x14ac:dyDescent="0.25">
      <c r="A4" s="329" t="s">
        <v>2187</v>
      </c>
      <c r="B4" s="336">
        <f t="shared" ref="B4:B19" si="1">C4/12</f>
        <v>332.8725</v>
      </c>
      <c r="C4" s="332">
        <f t="shared" ref="C4" si="2">D4+E4+F4+G4+H4+I4+J4+K4+L4+M4+N4+O4</f>
        <v>3994.4700000000003</v>
      </c>
      <c r="D4" s="588">
        <f>'Janeiro-19'!C125</f>
        <v>508.32</v>
      </c>
      <c r="E4" s="587">
        <f>'Fevereiro-19'!C119</f>
        <v>401.1</v>
      </c>
      <c r="F4" s="588">
        <f>'Março-19'!C123</f>
        <v>310</v>
      </c>
      <c r="G4" s="588">
        <f>'Abril-19'!C115</f>
        <v>230</v>
      </c>
      <c r="H4" s="549">
        <f>'Maio-19'!C134</f>
        <v>305</v>
      </c>
      <c r="I4" s="588">
        <f>'Junho-19'!C120</f>
        <v>287.08</v>
      </c>
      <c r="J4" s="549">
        <f>'Julho-19'!C129</f>
        <v>300</v>
      </c>
      <c r="K4" s="549">
        <f>'Agosto-19'!C123</f>
        <v>362.97</v>
      </c>
      <c r="L4" s="588">
        <f>'Setembro-19'!D129</f>
        <v>290</v>
      </c>
      <c r="M4" s="549">
        <f>'Outubro-19'!D128</f>
        <v>305</v>
      </c>
      <c r="N4" s="565">
        <f>'Novembro-19'!D134</f>
        <v>275</v>
      </c>
      <c r="O4" s="561">
        <f>'Dezembro-19'!D148</f>
        <v>420</v>
      </c>
      <c r="P4" s="329"/>
    </row>
    <row r="5" spans="1:16" x14ac:dyDescent="0.25">
      <c r="A5" s="329" t="s">
        <v>2188</v>
      </c>
      <c r="B5" s="336">
        <f t="shared" si="1"/>
        <v>24.028333333333336</v>
      </c>
      <c r="C5" s="332">
        <f t="shared" si="0"/>
        <v>288.34000000000003</v>
      </c>
      <c r="D5" s="588">
        <v>0</v>
      </c>
      <c r="E5" s="587">
        <v>0</v>
      </c>
      <c r="F5" s="549">
        <f>'Março-19'!C124</f>
        <v>46</v>
      </c>
      <c r="G5" s="588">
        <f>'Abril-19'!C116</f>
        <v>40</v>
      </c>
      <c r="H5" s="588">
        <f>'Maio-19'!C135</f>
        <v>28.4</v>
      </c>
      <c r="I5" s="588">
        <f>'Junho-19'!C121</f>
        <v>26.4</v>
      </c>
      <c r="J5" s="588">
        <f>'Julho-19'!C130</f>
        <v>10</v>
      </c>
      <c r="K5" s="549">
        <f>'Agosto-19'!C124</f>
        <v>20</v>
      </c>
      <c r="L5" s="549">
        <f>'Setembro-19'!D130</f>
        <v>41.18</v>
      </c>
      <c r="M5" s="565">
        <f>'Outubro-19'!D129</f>
        <v>25.82</v>
      </c>
      <c r="N5" s="565">
        <f>'Novembro-19'!D135</f>
        <v>0</v>
      </c>
      <c r="O5" s="561">
        <f>'Dezembro-19'!D149</f>
        <v>50.54</v>
      </c>
      <c r="P5" s="329"/>
    </row>
    <row r="6" spans="1:16" x14ac:dyDescent="0.25">
      <c r="A6" s="329" t="s">
        <v>50</v>
      </c>
      <c r="B6" s="336">
        <f t="shared" si="1"/>
        <v>216.41</v>
      </c>
      <c r="C6" s="332">
        <f t="shared" si="0"/>
        <v>2596.92</v>
      </c>
      <c r="D6" s="588">
        <f>'Janeiro-19'!C126</f>
        <v>104.11</v>
      </c>
      <c r="E6" s="587">
        <f>'Fevereiro-19'!C120</f>
        <v>95.9</v>
      </c>
      <c r="F6" s="549">
        <f>'Março-19'!C125</f>
        <v>132.9</v>
      </c>
      <c r="G6" s="549">
        <f>'Abril-19'!C117</f>
        <v>186.11</v>
      </c>
      <c r="H6" s="549">
        <f>'Maio-19'!C136</f>
        <v>230.79</v>
      </c>
      <c r="I6" s="549">
        <f>'Junho-19'!C122</f>
        <v>375.42</v>
      </c>
      <c r="J6" s="588">
        <f>'Julho-19'!C131</f>
        <v>200.8</v>
      </c>
      <c r="K6" s="549">
        <f>'Agosto-19'!C125</f>
        <v>217.97</v>
      </c>
      <c r="L6" s="588">
        <f>'Setembro-19'!D131</f>
        <v>127.32</v>
      </c>
      <c r="M6" s="561">
        <f>'Outubro-19'!D130</f>
        <v>259.31</v>
      </c>
      <c r="N6" s="561">
        <f>'Novembro-19'!D136</f>
        <v>356.64</v>
      </c>
      <c r="O6" s="565">
        <f>'Dezembro-19'!D150</f>
        <v>309.64999999999998</v>
      </c>
      <c r="P6" s="329"/>
    </row>
    <row r="7" spans="1:16" x14ac:dyDescent="0.25">
      <c r="A7" s="329" t="s">
        <v>14</v>
      </c>
      <c r="B7" s="336">
        <f t="shared" si="1"/>
        <v>136.66916666666665</v>
      </c>
      <c r="C7" s="332">
        <f>D7+E7+F7+G7+H7+I7+J7+K7+L7+M7+N7+O7</f>
        <v>1640.0299999999997</v>
      </c>
      <c r="D7" s="588">
        <f>'Janeiro-19'!C127</f>
        <v>179.36</v>
      </c>
      <c r="E7" s="587">
        <f>'Fevereiro-19'!C121</f>
        <v>162.41999999999999</v>
      </c>
      <c r="F7" s="588">
        <f>'Março-19'!C126</f>
        <v>152.19999999999999</v>
      </c>
      <c r="G7" s="588">
        <f>'Abril-19'!C118</f>
        <v>137.87</v>
      </c>
      <c r="H7" s="549">
        <f>'Maio-19'!C137</f>
        <v>145.51</v>
      </c>
      <c r="I7" s="549">
        <f>'Junho-19'!C123</f>
        <v>153.19</v>
      </c>
      <c r="J7" s="588">
        <f>'Julho-19'!C132</f>
        <v>112.56</v>
      </c>
      <c r="K7" s="549">
        <f>'Agosto-19'!C126</f>
        <v>118.18</v>
      </c>
      <c r="L7" s="549">
        <f>'Setembro-19'!D132</f>
        <v>137.25</v>
      </c>
      <c r="M7" s="565">
        <f>'Outubro-19'!D131</f>
        <v>124.34</v>
      </c>
      <c r="N7" s="565">
        <f>'Novembro-19'!D137</f>
        <v>103.53999999999999</v>
      </c>
      <c r="O7" s="561">
        <f>'Dezembro-19'!D151</f>
        <v>113.60999999999999</v>
      </c>
      <c r="P7" s="329"/>
    </row>
    <row r="8" spans="1:16" x14ac:dyDescent="0.25">
      <c r="A8" s="329" t="s">
        <v>358</v>
      </c>
      <c r="B8" s="336">
        <f t="shared" si="1"/>
        <v>98.874166666666667</v>
      </c>
      <c r="C8" s="332">
        <f>D8+E8+F8+G8+H8+I8+J8+K8+L8+M8+N8+O8</f>
        <v>1186.49</v>
      </c>
      <c r="D8" s="588">
        <f>'Janeiro-19'!C128</f>
        <v>87</v>
      </c>
      <c r="E8" s="547">
        <f>'Fevereiro-19'!C122</f>
        <v>164.16</v>
      </c>
      <c r="F8" s="588">
        <f>'Março-19'!C127</f>
        <v>160</v>
      </c>
      <c r="G8" s="588">
        <f>'Abril-19'!C119</f>
        <v>61.12</v>
      </c>
      <c r="H8" s="549">
        <f>'Maio-19'!C138</f>
        <v>91.82</v>
      </c>
      <c r="I8" s="549">
        <f>'Junho-19'!C124</f>
        <v>112.6</v>
      </c>
      <c r="J8" s="588">
        <f>'Julho-19'!C133</f>
        <v>50</v>
      </c>
      <c r="K8" s="549">
        <f>'Agosto-19'!C127</f>
        <v>71.510000000000005</v>
      </c>
      <c r="L8" s="549">
        <f>'Setembro-19'!D133</f>
        <v>82.22</v>
      </c>
      <c r="M8" s="561">
        <f>'Outubro-19'!D132</f>
        <v>100.24000000000001</v>
      </c>
      <c r="N8" s="565">
        <f>'Novembro-19'!D138</f>
        <v>97.07</v>
      </c>
      <c r="O8" s="561">
        <f>'Dezembro-19'!D152</f>
        <v>108.75</v>
      </c>
      <c r="P8" s="329"/>
    </row>
    <row r="9" spans="1:16" x14ac:dyDescent="0.25">
      <c r="A9" s="329" t="s">
        <v>2189</v>
      </c>
      <c r="B9" s="336">
        <f t="shared" si="1"/>
        <v>98.87166666666667</v>
      </c>
      <c r="C9" s="332">
        <f>D9+E9+F9+G9+H9+I9+J9+K9+L9+M9+N9+O9</f>
        <v>1186.46</v>
      </c>
      <c r="D9" s="588">
        <f>'Janeiro-19'!C129</f>
        <v>165.6</v>
      </c>
      <c r="E9" s="587">
        <f>'Fevereiro-19'!C123</f>
        <v>60</v>
      </c>
      <c r="F9" s="549">
        <f>'Março-19'!C128</f>
        <v>134.9</v>
      </c>
      <c r="G9" s="588">
        <f>'Abril-19'!C120</f>
        <v>107.13</v>
      </c>
      <c r="H9" s="588">
        <f>'Maio-19'!C139</f>
        <v>107.13</v>
      </c>
      <c r="I9" s="549">
        <f>'Junho-19'!C125</f>
        <v>116.61</v>
      </c>
      <c r="J9" s="549">
        <f>'Julho-19'!C134</f>
        <v>173.21</v>
      </c>
      <c r="K9" s="588">
        <f>'Agosto-19'!C128</f>
        <v>60</v>
      </c>
      <c r="L9" s="588">
        <f>'Setembro-19'!D134</f>
        <v>60</v>
      </c>
      <c r="M9" s="565">
        <f>'Outubro-19'!D133</f>
        <v>60</v>
      </c>
      <c r="N9" s="561">
        <f>'Novembro-19'!D139</f>
        <v>81.88</v>
      </c>
      <c r="O9" s="565">
        <f>'Dezembro-19'!D153</f>
        <v>60</v>
      </c>
      <c r="P9" s="329"/>
    </row>
    <row r="10" spans="1:16" x14ac:dyDescent="0.25">
      <c r="A10" s="329" t="s">
        <v>53</v>
      </c>
      <c r="B10" s="336">
        <f t="shared" si="1"/>
        <v>196.67361111111109</v>
      </c>
      <c r="C10" s="332">
        <f t="shared" si="0"/>
        <v>2360.083333333333</v>
      </c>
      <c r="D10" s="549">
        <f>'Janeiro-19'!C130</f>
        <v>1113.1199999999999</v>
      </c>
      <c r="E10" s="587">
        <f>'Fevereiro-19'!C124</f>
        <v>137.25</v>
      </c>
      <c r="F10" s="588">
        <f>'Março-19'!C129</f>
        <v>41.25</v>
      </c>
      <c r="G10" s="549">
        <f>'Abril-19'!C121</f>
        <v>224</v>
      </c>
      <c r="H10" s="588">
        <f>'Maio-19'!C140</f>
        <v>0</v>
      </c>
      <c r="I10" s="588">
        <f>'Junho-19'!C126</f>
        <v>0</v>
      </c>
      <c r="J10" s="549">
        <f>'Julho-19'!C135</f>
        <v>105.08</v>
      </c>
      <c r="K10" s="549">
        <f>'Agosto-19'!C129</f>
        <v>145.33000000000001</v>
      </c>
      <c r="L10" s="588">
        <f>'Setembro-19'!D135</f>
        <v>135.33333333333334</v>
      </c>
      <c r="M10" s="565">
        <f>'Outubro-19'!D134</f>
        <v>0</v>
      </c>
      <c r="N10" s="561">
        <f>'Novembro-19'!D140</f>
        <v>458.72</v>
      </c>
      <c r="O10" s="565">
        <f>'Dezembro-19'!D154</f>
        <v>0</v>
      </c>
      <c r="P10" s="329"/>
    </row>
    <row r="11" spans="1:16" x14ac:dyDescent="0.25">
      <c r="A11" s="906" t="s">
        <v>2149</v>
      </c>
      <c r="B11" s="336">
        <f t="shared" si="1"/>
        <v>959.44749999999988</v>
      </c>
      <c r="C11" s="332">
        <f t="shared" si="0"/>
        <v>11513.369999999999</v>
      </c>
      <c r="D11" s="588">
        <f>'Janeiro-19'!C131</f>
        <v>0</v>
      </c>
      <c r="E11" s="547">
        <f>'Fevereiro-19'!C125</f>
        <v>10315.870000000001</v>
      </c>
      <c r="F11" s="588">
        <f>'Março-19'!C130</f>
        <v>585.79999999999995</v>
      </c>
      <c r="G11" s="588">
        <f>'Abril-19'!C122</f>
        <v>150.80000000000001</v>
      </c>
      <c r="H11" s="588">
        <f>'Maio-19'!C141</f>
        <v>54.9</v>
      </c>
      <c r="I11" s="549">
        <f>'Junho-19'!C127</f>
        <v>79</v>
      </c>
      <c r="J11" s="588">
        <f>'Julho-19'!C136</f>
        <v>0</v>
      </c>
      <c r="K11" s="549">
        <f>'Agosto-19'!C130</f>
        <v>57</v>
      </c>
      <c r="L11" s="588">
        <f>'Setembro-19'!D136</f>
        <v>57</v>
      </c>
      <c r="M11" s="565">
        <f>'Outubro-19'!D135</f>
        <v>57</v>
      </c>
      <c r="N11" s="565">
        <f>'Novembro-19'!D141</f>
        <v>57</v>
      </c>
      <c r="O11" s="561">
        <f>'Dezembro-19'!D155</f>
        <v>99</v>
      </c>
      <c r="P11" s="329"/>
    </row>
    <row r="12" spans="1:16" x14ac:dyDescent="0.25">
      <c r="A12" s="329" t="s">
        <v>2504</v>
      </c>
      <c r="B12" s="336">
        <f t="shared" si="1"/>
        <v>112.95583333333333</v>
      </c>
      <c r="C12" s="332">
        <f t="shared" si="0"/>
        <v>1355.47</v>
      </c>
      <c r="D12" s="588">
        <f>'Janeiro-19'!C132</f>
        <v>209</v>
      </c>
      <c r="E12" s="587">
        <f>'Fevereiro-19'!C126</f>
        <v>54.74</v>
      </c>
      <c r="F12" s="588">
        <f>'Março-19'!C131</f>
        <v>32</v>
      </c>
      <c r="G12" s="588">
        <f>'Abril-19'!C123</f>
        <v>5</v>
      </c>
      <c r="H12" s="549">
        <f>'Maio-19'!C142</f>
        <v>23</v>
      </c>
      <c r="I12" s="549">
        <f>'Junho-19'!C128</f>
        <v>53</v>
      </c>
      <c r="J12" s="549">
        <f>'Julho-19'!C137</f>
        <v>147</v>
      </c>
      <c r="K12" s="588">
        <f>'Agosto-19'!C131</f>
        <v>107.62</v>
      </c>
      <c r="L12" s="549">
        <f>'Setembro-19'!D137</f>
        <v>182.68</v>
      </c>
      <c r="M12" s="561">
        <f>'Outubro-19'!D136</f>
        <v>182.97</v>
      </c>
      <c r="N12" s="565">
        <f>'Novembro-19'!D142</f>
        <v>39</v>
      </c>
      <c r="O12" s="561">
        <f>'Dezembro-19'!D156</f>
        <v>319.46000000000004</v>
      </c>
      <c r="P12" s="329"/>
    </row>
    <row r="13" spans="1:16" x14ac:dyDescent="0.25">
      <c r="A13" s="329" t="s">
        <v>1686</v>
      </c>
      <c r="B13" s="336">
        <f t="shared" si="1"/>
        <v>277.02083333333331</v>
      </c>
      <c r="C13" s="332">
        <f t="shared" si="0"/>
        <v>3324.25</v>
      </c>
      <c r="D13" s="588">
        <f>'Janeiro-19'!C133</f>
        <v>337.14</v>
      </c>
      <c r="E13" s="587">
        <f>'Fevereiro-19'!C127</f>
        <v>327.05</v>
      </c>
      <c r="F13" s="588">
        <f>'Março-19'!C132</f>
        <v>207.01</v>
      </c>
      <c r="G13" s="588">
        <f>'Abril-19'!C124</f>
        <v>158.51</v>
      </c>
      <c r="H13" s="549">
        <f>'Maio-19'!C143</f>
        <v>291.86</v>
      </c>
      <c r="I13" s="588">
        <f>'Junho-19'!C129</f>
        <v>180</v>
      </c>
      <c r="J13" s="549">
        <f>'Julho-19'!C138</f>
        <v>288</v>
      </c>
      <c r="K13" s="588">
        <f>'Agosto-19'!C132</f>
        <v>285</v>
      </c>
      <c r="L13" s="549">
        <f>'Setembro-19'!D138</f>
        <v>290</v>
      </c>
      <c r="M13" s="565">
        <f>'Outubro-19'!D137</f>
        <v>209.66666666666666</v>
      </c>
      <c r="N13" s="561">
        <f>'Novembro-19'!D143</f>
        <v>361.14666666666665</v>
      </c>
      <c r="O13" s="561">
        <f>'Dezembro-19'!D157</f>
        <v>388.86666666666667</v>
      </c>
    </row>
    <row r="14" spans="1:16" x14ac:dyDescent="0.25">
      <c r="A14" s="329" t="s">
        <v>418</v>
      </c>
      <c r="B14" s="336">
        <f t="shared" si="1"/>
        <v>123.02249999999999</v>
      </c>
      <c r="C14" s="332">
        <f t="shared" si="0"/>
        <v>1476.27</v>
      </c>
      <c r="D14" s="588">
        <f>'Janeiro-19'!C134</f>
        <v>120.45</v>
      </c>
      <c r="E14" s="587">
        <f>'Fevereiro-19'!C128</f>
        <v>0</v>
      </c>
      <c r="F14" s="549">
        <f>'Março-19'!C133</f>
        <v>270.7</v>
      </c>
      <c r="G14" s="588">
        <f>'Abril-19'!C125</f>
        <v>239.53</v>
      </c>
      <c r="H14" s="588">
        <f>'Maio-19'!C144</f>
        <v>207.64</v>
      </c>
      <c r="I14" s="549">
        <f>'Junho-19'!C130</f>
        <v>362.35</v>
      </c>
      <c r="J14" s="588">
        <f>'Julho-19'!C139</f>
        <v>40.1</v>
      </c>
      <c r="K14" s="588">
        <f>'Agosto-19'!C133</f>
        <v>0</v>
      </c>
      <c r="L14" s="549">
        <f>'Setembro-19'!D139</f>
        <v>56</v>
      </c>
      <c r="M14" s="565">
        <f>'Outubro-19'!D138</f>
        <v>0</v>
      </c>
      <c r="N14" s="565">
        <f>'Novembro-19'!D144</f>
        <v>0</v>
      </c>
      <c r="O14" s="561">
        <f>'Dezembro-19'!D158</f>
        <v>179.5</v>
      </c>
    </row>
    <row r="15" spans="1:16" x14ac:dyDescent="0.25">
      <c r="A15" s="329" t="s">
        <v>419</v>
      </c>
      <c r="B15" s="336">
        <f t="shared" si="1"/>
        <v>592.1925</v>
      </c>
      <c r="C15" s="332">
        <f t="shared" si="0"/>
        <v>7106.31</v>
      </c>
      <c r="D15" s="549">
        <f>'Janeiro-19'!C135</f>
        <v>549</v>
      </c>
      <c r="E15" s="587">
        <f>'Fevereiro-19'!C129</f>
        <v>461.36</v>
      </c>
      <c r="F15" s="549">
        <f>'Março-19'!C134</f>
        <v>470.92</v>
      </c>
      <c r="G15" s="549">
        <f>'Abril-19'!C126</f>
        <v>564.97</v>
      </c>
      <c r="H15" s="549">
        <f>'Maio-19'!C145</f>
        <v>598.95000000000005</v>
      </c>
      <c r="I15" s="588">
        <f>'Junho-19'!C131</f>
        <v>494.5</v>
      </c>
      <c r="J15" s="549">
        <f>'Julho-19'!C140</f>
        <v>661.5</v>
      </c>
      <c r="K15" s="588">
        <f>'Agosto-19'!C134</f>
        <v>529.5</v>
      </c>
      <c r="L15" s="549">
        <f>'Setembro-19'!D140</f>
        <v>920.23</v>
      </c>
      <c r="M15" s="565">
        <f>'Outubro-19'!D139</f>
        <v>537.75</v>
      </c>
      <c r="N15" s="565">
        <f>'Novembro-19'!D145</f>
        <v>525.93000000000006</v>
      </c>
      <c r="O15" s="561">
        <f>'Dezembro-19'!D159</f>
        <v>791.69999999999993</v>
      </c>
    </row>
    <row r="16" spans="1:16" x14ac:dyDescent="0.25">
      <c r="A16" s="329" t="s">
        <v>911</v>
      </c>
      <c r="B16" s="336">
        <f t="shared" si="1"/>
        <v>361.51666666666665</v>
      </c>
      <c r="C16" s="332">
        <f t="shared" si="0"/>
        <v>4338.2</v>
      </c>
      <c r="D16" s="549">
        <f>'Janeiro-19'!C136</f>
        <v>193.33</v>
      </c>
      <c r="E16" s="587">
        <f>'Fevereiro-19'!C130</f>
        <v>60</v>
      </c>
      <c r="F16" s="588">
        <f>'Março-19'!C135</f>
        <v>0</v>
      </c>
      <c r="G16" s="588">
        <f>'Abril-19'!C127</f>
        <v>0</v>
      </c>
      <c r="H16" s="588">
        <f>'Maio-19'!C146</f>
        <v>0</v>
      </c>
      <c r="I16" s="588">
        <f>'Junho-19'!C132</f>
        <v>0</v>
      </c>
      <c r="J16" s="549">
        <f>'Julho-19'!C141</f>
        <v>1334.08</v>
      </c>
      <c r="K16" s="588">
        <f>'Agosto-19'!C135</f>
        <v>374</v>
      </c>
      <c r="L16" s="549">
        <f>'Setembro-19'!D141</f>
        <v>571.99</v>
      </c>
      <c r="M16" s="561">
        <f>'Outubro-19'!D140</f>
        <v>725</v>
      </c>
      <c r="N16" s="565">
        <f>'Novembro-19'!D146</f>
        <v>589.9</v>
      </c>
      <c r="O16" s="565">
        <f>'Dezembro-19'!D160</f>
        <v>489.9</v>
      </c>
    </row>
    <row r="17" spans="1:17" x14ac:dyDescent="0.25">
      <c r="A17" s="329" t="s">
        <v>1526</v>
      </c>
      <c r="B17" s="336">
        <f>C17/12</f>
        <v>174.01250000000002</v>
      </c>
      <c r="C17" s="332">
        <f t="shared" si="0"/>
        <v>2088.15</v>
      </c>
      <c r="D17" s="588">
        <f>'Janeiro-19'!C137</f>
        <v>146.82</v>
      </c>
      <c r="E17" s="547">
        <f>'Fevereiro-19'!C131</f>
        <v>176.82</v>
      </c>
      <c r="F17" s="588">
        <f>'Março-19'!C136</f>
        <v>142.9</v>
      </c>
      <c r="G17" s="549">
        <f>'Abril-19'!C128</f>
        <v>176.9</v>
      </c>
      <c r="H17" s="588">
        <f>'Maio-19'!C147</f>
        <v>152.9</v>
      </c>
      <c r="I17" s="549">
        <f>'Junho-19'!C133</f>
        <v>172.9</v>
      </c>
      <c r="J17" s="549">
        <f>'Julho-19'!C142</f>
        <v>202.9</v>
      </c>
      <c r="K17" s="549">
        <f>'Agosto-19'!C136</f>
        <v>242.9</v>
      </c>
      <c r="L17" s="588">
        <f>'Setembro-19'!D142</f>
        <v>173.9</v>
      </c>
      <c r="M17" s="561">
        <f>'Outubro-19'!D141</f>
        <v>207.9</v>
      </c>
      <c r="N17" s="565">
        <f>'Novembro-19'!D147</f>
        <v>137.9</v>
      </c>
      <c r="O17" s="561">
        <f>'Dezembro-19'!D161</f>
        <v>153.41</v>
      </c>
    </row>
    <row r="18" spans="1:17" x14ac:dyDescent="0.25">
      <c r="A18" s="329" t="s">
        <v>2343</v>
      </c>
      <c r="B18" s="336">
        <f t="shared" si="1"/>
        <v>33.024999999999999</v>
      </c>
      <c r="C18" s="947">
        <f t="shared" si="0"/>
        <v>396.3</v>
      </c>
      <c r="D18" s="588">
        <v>0</v>
      </c>
      <c r="E18" s="587">
        <v>0</v>
      </c>
      <c r="F18" s="588">
        <v>0</v>
      </c>
      <c r="G18" s="588">
        <v>0</v>
      </c>
      <c r="H18" s="588">
        <v>0</v>
      </c>
      <c r="I18" s="588">
        <v>0</v>
      </c>
      <c r="J18" s="588">
        <v>0</v>
      </c>
      <c r="K18" s="549">
        <f>'Agosto-19'!C137</f>
        <v>208</v>
      </c>
      <c r="L18" s="588">
        <f>'Setembro-19'!D143</f>
        <v>188.3</v>
      </c>
      <c r="M18" s="565">
        <f>'Outubro-19'!D142</f>
        <v>0</v>
      </c>
      <c r="N18" s="565">
        <f>'Novembro-19'!D148</f>
        <v>0</v>
      </c>
      <c r="O18" s="565">
        <f>'Dezembro-19'!D162</f>
        <v>0</v>
      </c>
    </row>
    <row r="19" spans="1:17" x14ac:dyDescent="0.25">
      <c r="A19" s="329" t="s">
        <v>1527</v>
      </c>
      <c r="B19" s="336">
        <f t="shared" si="1"/>
        <v>512.51499999999999</v>
      </c>
      <c r="C19" s="332">
        <f>D19+E19+F19+G19+H19+I19+J19+K19+L19+M19+N19+O19</f>
        <v>6150.1799999999994</v>
      </c>
      <c r="D19" s="549">
        <f>'Janeiro-19'!C138</f>
        <v>876.92</v>
      </c>
      <c r="E19" s="587">
        <f>'Fevereiro-19'!C132</f>
        <v>610.71</v>
      </c>
      <c r="F19" s="588">
        <f>'Março-19'!C137</f>
        <v>518.28</v>
      </c>
      <c r="G19" s="588">
        <f>'Abril-19'!C129</f>
        <v>411.37</v>
      </c>
      <c r="H19" s="549">
        <f>'Maio-19'!C148</f>
        <v>490.26</v>
      </c>
      <c r="I19" s="588">
        <f>'Junho-19'!C134</f>
        <v>353.29</v>
      </c>
      <c r="J19" s="549">
        <f>'Julho-19'!C143</f>
        <v>757.99</v>
      </c>
      <c r="K19" s="588">
        <f>'Agosto-19'!C138</f>
        <v>345.81</v>
      </c>
      <c r="L19" s="588">
        <f>'Setembro-19'!D144</f>
        <v>198.08999999999997</v>
      </c>
      <c r="M19" s="561">
        <f>'Outubro-19'!D143</f>
        <v>359.4</v>
      </c>
      <c r="N19" s="561">
        <f>'Novembro-19'!D149</f>
        <v>383.94</v>
      </c>
      <c r="O19" s="561">
        <f>'Dezembro-19'!D163</f>
        <v>844.12</v>
      </c>
    </row>
    <row r="20" spans="1:17" ht="15.75" x14ac:dyDescent="0.25">
      <c r="A20" s="389" t="s">
        <v>361</v>
      </c>
      <c r="B20" s="551">
        <f>SUM(B3:B19)</f>
        <v>4598.7652777777776</v>
      </c>
      <c r="C20" s="552">
        <f>SUM(C3:C19)</f>
        <v>55185.183333333327</v>
      </c>
      <c r="D20" s="391">
        <f t="shared" ref="D20:O20" si="3">SUM(D3:D19)</f>
        <v>4997.9299999999994</v>
      </c>
      <c r="E20" s="391">
        <f t="shared" si="3"/>
        <v>13426.380000000001</v>
      </c>
      <c r="F20" s="391">
        <f t="shared" si="3"/>
        <v>3538.5</v>
      </c>
      <c r="G20" s="391">
        <f t="shared" si="3"/>
        <v>3061.4</v>
      </c>
      <c r="H20" s="391">
        <f>SUM(H3:H19)</f>
        <v>3121.16</v>
      </c>
      <c r="I20" s="391">
        <f>SUM(I3:I19)</f>
        <v>3085.96</v>
      </c>
      <c r="J20" s="391">
        <f t="shared" si="3"/>
        <v>4730.22</v>
      </c>
      <c r="K20" s="391">
        <f t="shared" si="3"/>
        <v>3475.43</v>
      </c>
      <c r="L20" s="391">
        <f t="shared" si="3"/>
        <v>3814.2833333333333</v>
      </c>
      <c r="M20" s="391">
        <f t="shared" si="3"/>
        <v>3485.416666666667</v>
      </c>
      <c r="N20" s="391">
        <f t="shared" si="3"/>
        <v>3789.4866666666671</v>
      </c>
      <c r="O20" s="391">
        <f t="shared" si="3"/>
        <v>4659.0166666666664</v>
      </c>
    </row>
    <row r="22" spans="1:17" x14ac:dyDescent="0.25">
      <c r="F22" s="79"/>
    </row>
    <row r="23" spans="1:17" x14ac:dyDescent="0.25">
      <c r="F23" s="79"/>
    </row>
    <row r="24" spans="1:17" x14ac:dyDescent="0.25">
      <c r="F24" s="79"/>
    </row>
    <row r="25" spans="1:17" x14ac:dyDescent="0.25">
      <c r="F25" s="79"/>
    </row>
    <row r="26" spans="1:17" x14ac:dyDescent="0.25">
      <c r="B26" s="867"/>
      <c r="C26" s="867"/>
      <c r="F26" s="79"/>
    </row>
    <row r="27" spans="1:17" s="200" customFormat="1" ht="18" customHeight="1" x14ac:dyDescent="0.3">
      <c r="A27" s="198" t="s">
        <v>362</v>
      </c>
      <c r="B27" s="846">
        <v>4150</v>
      </c>
      <c r="D27" s="196"/>
      <c r="E27" s="196"/>
      <c r="F27" s="79"/>
      <c r="G27" s="79"/>
      <c r="H27" s="79"/>
      <c r="K27" s="196"/>
      <c r="L27" s="196"/>
      <c r="M27" s="196"/>
    </row>
    <row r="28" spans="1:17" s="200" customFormat="1" ht="17.25" customHeight="1" x14ac:dyDescent="0.3">
      <c r="A28" s="198"/>
      <c r="C28" s="196"/>
      <c r="D28" s="196"/>
      <c r="E28" s="196"/>
      <c r="F28" s="196"/>
      <c r="G28" s="196"/>
      <c r="H28" s="196"/>
      <c r="I28" s="196"/>
      <c r="J28" s="196"/>
      <c r="K28" s="196"/>
      <c r="L28" s="196"/>
      <c r="M28" s="196"/>
      <c r="N28" s="196"/>
    </row>
    <row r="29" spans="1:17" ht="15.75" x14ac:dyDescent="0.25">
      <c r="A29" s="197" t="s">
        <v>2505</v>
      </c>
      <c r="B29" s="278" t="s">
        <v>345</v>
      </c>
      <c r="C29" s="193" t="s">
        <v>346</v>
      </c>
      <c r="D29" s="195" t="s">
        <v>347</v>
      </c>
      <c r="E29" s="195" t="s">
        <v>348</v>
      </c>
      <c r="F29" s="195" t="s">
        <v>349</v>
      </c>
      <c r="G29" s="195" t="s">
        <v>364</v>
      </c>
      <c r="H29" s="195" t="s">
        <v>351</v>
      </c>
      <c r="I29" s="195" t="s">
        <v>352</v>
      </c>
      <c r="J29" s="193" t="s">
        <v>353</v>
      </c>
      <c r="K29" s="193" t="s">
        <v>354</v>
      </c>
      <c r="L29" s="193" t="s">
        <v>355</v>
      </c>
      <c r="M29" s="193" t="s">
        <v>365</v>
      </c>
      <c r="N29" s="193" t="s">
        <v>357</v>
      </c>
      <c r="O29" s="193"/>
      <c r="P29" s="193"/>
      <c r="Q29" s="193"/>
    </row>
    <row r="30" spans="1:17" x14ac:dyDescent="0.25">
      <c r="A30" s="79" t="s">
        <v>366</v>
      </c>
      <c r="B30" s="633">
        <f>C30+D30+E30+F30+G30+H30+I30+J30+K30+L30+M30+N30</f>
        <v>17733.330000000002</v>
      </c>
      <c r="C30" s="865">
        <v>1493.33</v>
      </c>
      <c r="D30" s="865">
        <v>1600</v>
      </c>
      <c r="E30" s="865">
        <v>1600</v>
      </c>
      <c r="F30" s="865">
        <v>1600</v>
      </c>
      <c r="G30" s="865">
        <v>1660</v>
      </c>
      <c r="H30" s="865">
        <v>1660</v>
      </c>
      <c r="I30" s="865">
        <v>1660</v>
      </c>
      <c r="J30" s="865">
        <v>1660</v>
      </c>
      <c r="K30" s="865">
        <v>1600</v>
      </c>
      <c r="L30" s="865">
        <v>1600</v>
      </c>
      <c r="M30" s="865">
        <v>1600</v>
      </c>
      <c r="N30" s="865"/>
      <c r="Q30" s="629"/>
    </row>
    <row r="31" spans="1:17" x14ac:dyDescent="0.25">
      <c r="A31" s="79" t="s">
        <v>367</v>
      </c>
      <c r="B31" s="633">
        <f>C31+D31+E31+F31+G31+H31+I31+J31+K31+L31+M31+N31</f>
        <v>23180.539999999997</v>
      </c>
      <c r="C31" s="865">
        <v>1733.55</v>
      </c>
      <c r="D31" s="865">
        <v>1837.68</v>
      </c>
      <c r="E31" s="865">
        <v>1837.68</v>
      </c>
      <c r="F31" s="865">
        <v>1951.16</v>
      </c>
      <c r="G31" s="865">
        <v>1891.16</v>
      </c>
      <c r="H31" s="865">
        <v>1891.16</v>
      </c>
      <c r="I31" s="865">
        <v>1891.16</v>
      </c>
      <c r="J31" s="865">
        <v>1891.16</v>
      </c>
      <c r="K31" s="865">
        <v>1891.16</v>
      </c>
      <c r="L31" s="865">
        <v>1891.16</v>
      </c>
      <c r="M31" s="865">
        <v>1891.16</v>
      </c>
      <c r="N31" s="865">
        <v>2582.35</v>
      </c>
      <c r="O31" s="216"/>
      <c r="P31" s="216"/>
      <c r="Q31" s="216"/>
    </row>
    <row r="32" spans="1:17" x14ac:dyDescent="0.25">
      <c r="A32" s="79" t="s">
        <v>368</v>
      </c>
      <c r="B32" s="633">
        <f>C32+D32+E32+F32+G32+H32+I32+J32+K32+L32+M32+N32</f>
        <v>4550</v>
      </c>
      <c r="C32" s="865"/>
      <c r="D32" s="865"/>
      <c r="E32" s="865"/>
      <c r="F32" s="865"/>
      <c r="G32" s="865"/>
      <c r="H32" s="865"/>
      <c r="I32" s="865"/>
      <c r="J32" s="865"/>
      <c r="K32" s="865"/>
      <c r="L32" s="800"/>
      <c r="M32" s="800"/>
      <c r="N32" s="800">
        <v>4550</v>
      </c>
      <c r="O32" s="216"/>
      <c r="P32" s="216"/>
      <c r="Q32" s="216"/>
    </row>
    <row r="33" spans="1:17" x14ac:dyDescent="0.25">
      <c r="A33" s="79" t="s">
        <v>369</v>
      </c>
      <c r="B33" s="633">
        <f>C33+D33+E33+F33+G33+H33+I33+J33+K33+L33+M33+N33</f>
        <v>3551.16</v>
      </c>
      <c r="C33" s="865"/>
      <c r="D33" s="865"/>
      <c r="E33" s="865"/>
      <c r="F33" s="865"/>
      <c r="G33" s="865"/>
      <c r="H33" s="865"/>
      <c r="I33" s="865"/>
      <c r="J33" s="865"/>
      <c r="K33" s="865"/>
      <c r="L33" s="800"/>
      <c r="M33" s="866">
        <v>2075</v>
      </c>
      <c r="N33" s="800">
        <v>1476.16</v>
      </c>
      <c r="O33" s="216"/>
      <c r="P33" s="216"/>
      <c r="Q33" s="216"/>
    </row>
    <row r="34" spans="1:17" x14ac:dyDescent="0.25">
      <c r="A34" s="79" t="s">
        <v>2506</v>
      </c>
      <c r="B34" s="1050">
        <f>C34+D34+E34+F34+G34+H34+I34+J34+K34+L34+M34+N34</f>
        <v>540</v>
      </c>
      <c r="C34" s="865">
        <v>45</v>
      </c>
      <c r="D34" s="865">
        <v>45</v>
      </c>
      <c r="E34" s="865">
        <v>45</v>
      </c>
      <c r="F34" s="865">
        <v>45</v>
      </c>
      <c r="G34" s="865">
        <v>45</v>
      </c>
      <c r="H34" s="865">
        <v>45</v>
      </c>
      <c r="I34" s="865">
        <v>45</v>
      </c>
      <c r="J34" s="865">
        <v>45</v>
      </c>
      <c r="K34" s="865">
        <v>45</v>
      </c>
      <c r="L34" s="865">
        <v>45</v>
      </c>
      <c r="M34" s="865">
        <v>45</v>
      </c>
      <c r="N34" s="865">
        <v>45</v>
      </c>
      <c r="O34" s="216"/>
      <c r="P34" s="216"/>
      <c r="Q34" s="216"/>
    </row>
    <row r="35" spans="1:17" ht="15.75" x14ac:dyDescent="0.25">
      <c r="A35" s="280" t="s">
        <v>361</v>
      </c>
      <c r="B35" s="206">
        <f>SUM(B30:B34)</f>
        <v>49555.03</v>
      </c>
      <c r="C35" s="206">
        <f>SUM(C30:C34)</f>
        <v>3271.88</v>
      </c>
      <c r="D35" s="206">
        <f t="shared" ref="D35:L35" si="4">SUM(D30:D31)</f>
        <v>3437.6800000000003</v>
      </c>
      <c r="E35" s="206">
        <f t="shared" si="4"/>
        <v>3437.6800000000003</v>
      </c>
      <c r="F35" s="206">
        <f t="shared" si="4"/>
        <v>3551.16</v>
      </c>
      <c r="G35" s="206">
        <f t="shared" si="4"/>
        <v>3551.16</v>
      </c>
      <c r="H35" s="206">
        <f t="shared" si="4"/>
        <v>3551.16</v>
      </c>
      <c r="I35" s="206">
        <f t="shared" si="4"/>
        <v>3551.16</v>
      </c>
      <c r="J35" s="206">
        <f t="shared" si="4"/>
        <v>3551.16</v>
      </c>
      <c r="K35" s="206">
        <f t="shared" si="4"/>
        <v>3491.16</v>
      </c>
      <c r="L35" s="206">
        <f t="shared" si="4"/>
        <v>3491.16</v>
      </c>
      <c r="M35" s="206">
        <f>SUM(M30:M34)</f>
        <v>5611.16</v>
      </c>
      <c r="N35" s="206">
        <f>SUM(N30:N34)</f>
        <v>8653.51</v>
      </c>
      <c r="O35" s="206"/>
      <c r="P35" s="633"/>
      <c r="Q35" s="633"/>
    </row>
    <row r="36" spans="1:17" ht="15.75" x14ac:dyDescent="0.25">
      <c r="A36" s="280"/>
      <c r="B36" s="206"/>
      <c r="C36" s="206"/>
      <c r="D36" s="206"/>
      <c r="E36" s="206"/>
      <c r="F36" s="206"/>
      <c r="G36" s="206"/>
      <c r="I36" s="206"/>
      <c r="J36" s="206"/>
      <c r="K36" s="206"/>
      <c r="L36" s="206"/>
      <c r="M36" s="206"/>
      <c r="O36" s="216"/>
      <c r="P36" s="216"/>
      <c r="Q36" s="216"/>
    </row>
    <row r="37" spans="1:17" x14ac:dyDescent="0.25">
      <c r="B37" s="206"/>
      <c r="C37" s="865"/>
      <c r="D37" s="865"/>
      <c r="E37" s="865"/>
      <c r="F37" s="865"/>
      <c r="G37" s="865"/>
      <c r="H37" s="865"/>
      <c r="I37" s="865"/>
      <c r="M37" s="216"/>
      <c r="N37" s="206"/>
      <c r="O37" s="216"/>
      <c r="P37" s="216"/>
      <c r="Q37" s="216"/>
    </row>
    <row r="38" spans="1:17" x14ac:dyDescent="0.25">
      <c r="A38" s="81" t="s">
        <v>371</v>
      </c>
      <c r="B38" s="206">
        <f>SUM(C38:N38)</f>
        <v>3732.8928000000001</v>
      </c>
      <c r="C38" s="177">
        <v>320</v>
      </c>
      <c r="D38" s="177">
        <v>320</v>
      </c>
      <c r="E38" s="177">
        <v>320</v>
      </c>
      <c r="F38" s="177">
        <v>332</v>
      </c>
      <c r="G38" s="177">
        <v>332</v>
      </c>
      <c r="H38" s="177">
        <v>332</v>
      </c>
      <c r="I38" s="216">
        <v>332</v>
      </c>
      <c r="J38" s="177">
        <v>332</v>
      </c>
      <c r="K38" s="177">
        <v>332</v>
      </c>
      <c r="L38" s="177">
        <v>332</v>
      </c>
      <c r="M38" s="177">
        <f>M35*8%</f>
        <v>448.89280000000002</v>
      </c>
      <c r="N38" s="216"/>
      <c r="O38" s="216"/>
      <c r="P38" s="216"/>
      <c r="Q38" s="216"/>
    </row>
    <row r="39" spans="1:17" x14ac:dyDescent="0.25">
      <c r="A39" s="81" t="s">
        <v>372</v>
      </c>
      <c r="B39" s="206">
        <f>C39+D39+E39+F39+G39+H39+I39+J39+K39+M39+L39+N39+O39+P39</f>
        <v>0</v>
      </c>
      <c r="C39" s="177"/>
      <c r="D39" s="177"/>
      <c r="E39" s="177"/>
      <c r="F39" s="177"/>
      <c r="H39" s="177"/>
      <c r="I39" s="177"/>
      <c r="J39" s="177"/>
      <c r="K39" s="177"/>
      <c r="L39" s="177"/>
      <c r="M39" s="177"/>
      <c r="N39" s="177"/>
      <c r="O39" s="216"/>
      <c r="P39" s="216"/>
      <c r="Q39" s="216"/>
    </row>
    <row r="40" spans="1:17" x14ac:dyDescent="0.25">
      <c r="A40" s="81" t="s">
        <v>373</v>
      </c>
      <c r="B40" s="206">
        <f>C40+D40+E40+F40+G40+H40+I40+J40+K40+M40+L40+N40+O40+P40</f>
        <v>332</v>
      </c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>
        <v>166</v>
      </c>
      <c r="N40" s="177">
        <v>166</v>
      </c>
      <c r="O40" s="216"/>
      <c r="P40" s="216"/>
      <c r="Q40" s="216"/>
    </row>
    <row r="41" spans="1:17" ht="15.75" x14ac:dyDescent="0.25">
      <c r="A41" s="280" t="s">
        <v>361</v>
      </c>
      <c r="B41" s="206">
        <f t="shared" ref="B41:N41" si="5">SUM(B38:B40)</f>
        <v>4064.8928000000001</v>
      </c>
      <c r="C41" s="206">
        <f>SUM(C38:C40)</f>
        <v>320</v>
      </c>
      <c r="D41" s="206">
        <f t="shared" si="5"/>
        <v>320</v>
      </c>
      <c r="E41" s="206">
        <f t="shared" si="5"/>
        <v>320</v>
      </c>
      <c r="F41" s="206">
        <f>SUM(F38:F40)</f>
        <v>332</v>
      </c>
      <c r="G41" s="206">
        <f>SUM(G38:G40)</f>
        <v>332</v>
      </c>
      <c r="H41" s="206">
        <f t="shared" si="5"/>
        <v>332</v>
      </c>
      <c r="I41" s="206">
        <f>SUM(I38:I40)</f>
        <v>332</v>
      </c>
      <c r="J41" s="206">
        <f t="shared" si="5"/>
        <v>332</v>
      </c>
      <c r="K41" s="206">
        <f t="shared" si="5"/>
        <v>332</v>
      </c>
      <c r="L41" s="206">
        <f t="shared" si="5"/>
        <v>332</v>
      </c>
      <c r="M41" s="206">
        <f>SUM(M38:M40)</f>
        <v>614.89280000000008</v>
      </c>
      <c r="N41" s="633">
        <f t="shared" si="5"/>
        <v>166</v>
      </c>
      <c r="O41" s="633"/>
      <c r="P41" s="633"/>
      <c r="Q41" s="216"/>
    </row>
    <row r="42" spans="1:17" ht="15.75" x14ac:dyDescent="0.25">
      <c r="A42" s="280"/>
      <c r="B42" s="206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6"/>
    </row>
    <row r="43" spans="1:17" x14ac:dyDescent="0.25">
      <c r="A43" s="81"/>
      <c r="B43" s="206"/>
      <c r="C43" s="177"/>
      <c r="D43" s="177"/>
      <c r="E43" s="177"/>
      <c r="F43" s="177"/>
      <c r="G43" s="177"/>
      <c r="H43" s="177"/>
      <c r="I43" s="177"/>
      <c r="J43" s="177"/>
      <c r="K43" s="177"/>
      <c r="L43" s="177"/>
      <c r="M43" s="177"/>
    </row>
    <row r="44" spans="1:17" ht="15.75" x14ac:dyDescent="0.25">
      <c r="A44" s="197" t="s">
        <v>374</v>
      </c>
      <c r="B44" s="278" t="s">
        <v>345</v>
      </c>
      <c r="C44" s="193" t="s">
        <v>346</v>
      </c>
      <c r="D44" s="195" t="s">
        <v>347</v>
      </c>
      <c r="E44" s="195" t="s">
        <v>348</v>
      </c>
      <c r="F44" s="195" t="s">
        <v>349</v>
      </c>
      <c r="G44" s="195" t="s">
        <v>364</v>
      </c>
      <c r="H44" s="195" t="s">
        <v>351</v>
      </c>
      <c r="I44" s="195" t="s">
        <v>352</v>
      </c>
      <c r="J44" s="193" t="s">
        <v>353</v>
      </c>
      <c r="K44" s="193" t="s">
        <v>354</v>
      </c>
      <c r="L44" s="193" t="s">
        <v>355</v>
      </c>
      <c r="M44" s="193" t="s">
        <v>356</v>
      </c>
      <c r="N44" s="193" t="s">
        <v>357</v>
      </c>
      <c r="O44" s="193"/>
    </row>
    <row r="45" spans="1:17" x14ac:dyDescent="0.25">
      <c r="A45" s="79" t="s">
        <v>1214</v>
      </c>
      <c r="B45" s="633">
        <f>C45+D45+E45+F45+G45+H45+I45+J45+K45+L45+M45+N45</f>
        <v>4972</v>
      </c>
      <c r="C45" s="865">
        <v>440</v>
      </c>
      <c r="D45" s="865">
        <v>440</v>
      </c>
      <c r="E45" s="865">
        <v>440</v>
      </c>
      <c r="F45" s="865">
        <v>456.5</v>
      </c>
      <c r="G45" s="865">
        <v>456.5</v>
      </c>
      <c r="H45" s="865">
        <v>456.5</v>
      </c>
      <c r="I45" s="865">
        <v>456.5</v>
      </c>
      <c r="J45" s="865">
        <v>456.5</v>
      </c>
      <c r="K45" s="865">
        <v>456.5</v>
      </c>
      <c r="L45" s="865">
        <v>456.5</v>
      </c>
      <c r="M45" s="865">
        <v>456.5</v>
      </c>
      <c r="N45" s="865"/>
    </row>
    <row r="46" spans="1:17" x14ac:dyDescent="0.25">
      <c r="A46" s="79" t="s">
        <v>1215</v>
      </c>
      <c r="B46" s="633">
        <f t="shared" ref="B46:B52" si="6">C46+D46+E46+F46+G46+H46+I46+J46+K46+L46+M46+N46</f>
        <v>0</v>
      </c>
      <c r="C46" s="865"/>
      <c r="D46" s="865"/>
      <c r="E46" s="865"/>
      <c r="F46" s="865"/>
      <c r="G46" s="865"/>
      <c r="H46" s="865"/>
      <c r="I46" s="865"/>
      <c r="J46" s="865"/>
      <c r="K46" s="865"/>
      <c r="L46" s="865"/>
      <c r="M46" s="865"/>
      <c r="N46" s="865"/>
    </row>
    <row r="47" spans="1:17" x14ac:dyDescent="0.25">
      <c r="A47" s="79" t="s">
        <v>1216</v>
      </c>
      <c r="B47" s="633">
        <f t="shared" si="6"/>
        <v>0</v>
      </c>
      <c r="C47" s="865"/>
      <c r="D47" s="865"/>
      <c r="E47" s="865"/>
      <c r="F47" s="865"/>
      <c r="G47" s="865"/>
      <c r="H47" s="865"/>
      <c r="I47" s="865"/>
      <c r="J47" s="865"/>
      <c r="K47" s="865"/>
      <c r="L47" s="865"/>
      <c r="M47" s="865"/>
      <c r="N47" s="865"/>
    </row>
    <row r="48" spans="1:17" x14ac:dyDescent="0.25">
      <c r="A48" s="79" t="s">
        <v>1479</v>
      </c>
      <c r="B48" s="633">
        <f>C48+D48+E48+F48+G48+H48+I48+J48+K48+L48+M48+N48</f>
        <v>1505.7599999999998</v>
      </c>
      <c r="C48" s="865">
        <v>122.32</v>
      </c>
      <c r="D48" s="865">
        <v>122.32</v>
      </c>
      <c r="E48" s="865">
        <v>122.32</v>
      </c>
      <c r="F48" s="865">
        <v>142.35</v>
      </c>
      <c r="G48" s="865">
        <v>142.35</v>
      </c>
      <c r="H48" s="865">
        <v>142.35</v>
      </c>
      <c r="I48" s="865">
        <v>142.35</v>
      </c>
      <c r="J48" s="865">
        <v>142.35</v>
      </c>
      <c r="K48" s="865">
        <v>142.35</v>
      </c>
      <c r="L48" s="865">
        <v>142.35</v>
      </c>
      <c r="M48" s="865">
        <v>142.35</v>
      </c>
      <c r="N48" s="865"/>
    </row>
    <row r="49" spans="1:20" x14ac:dyDescent="0.25">
      <c r="A49" s="79" t="s">
        <v>1480</v>
      </c>
      <c r="B49" s="633">
        <f t="shared" si="6"/>
        <v>0</v>
      </c>
      <c r="C49" s="865"/>
      <c r="D49" s="865"/>
      <c r="E49" s="865"/>
      <c r="F49" s="865"/>
      <c r="G49" s="865"/>
      <c r="H49" s="865"/>
      <c r="I49" s="865"/>
      <c r="J49" s="216"/>
      <c r="K49" s="216"/>
      <c r="L49" s="216"/>
      <c r="M49" s="216"/>
      <c r="N49" s="865"/>
    </row>
    <row r="50" spans="1:20" x14ac:dyDescent="0.25">
      <c r="A50" s="79" t="s">
        <v>1481</v>
      </c>
      <c r="B50" s="633">
        <f t="shared" si="6"/>
        <v>0</v>
      </c>
      <c r="C50" s="865"/>
      <c r="D50" s="865"/>
      <c r="E50" s="865"/>
      <c r="F50" s="865"/>
      <c r="G50" s="865"/>
      <c r="H50" s="865"/>
      <c r="I50" s="865"/>
      <c r="J50" s="216"/>
      <c r="K50" s="216"/>
      <c r="L50" s="216"/>
      <c r="M50" s="216"/>
      <c r="N50" s="865"/>
    </row>
    <row r="51" spans="1:20" x14ac:dyDescent="0.25">
      <c r="A51" s="79" t="s">
        <v>378</v>
      </c>
      <c r="B51" s="633">
        <f t="shared" si="6"/>
        <v>0</v>
      </c>
      <c r="C51" s="865"/>
      <c r="D51" s="865"/>
      <c r="E51" s="865"/>
      <c r="F51" s="865"/>
      <c r="G51" s="865"/>
      <c r="H51" s="865"/>
      <c r="I51" s="865"/>
      <c r="J51" s="216"/>
      <c r="K51" s="216"/>
      <c r="L51" s="216"/>
      <c r="M51" s="216"/>
      <c r="N51" s="216"/>
    </row>
    <row r="52" spans="1:20" x14ac:dyDescent="0.25">
      <c r="A52" s="79" t="s">
        <v>379</v>
      </c>
      <c r="B52" s="633">
        <f t="shared" si="6"/>
        <v>0</v>
      </c>
      <c r="C52" s="865"/>
      <c r="D52" s="865"/>
      <c r="E52" s="865"/>
      <c r="F52" s="865"/>
      <c r="G52" s="865"/>
      <c r="H52" s="865"/>
      <c r="I52" s="865"/>
      <c r="J52" s="216"/>
      <c r="K52" s="216"/>
      <c r="L52" s="216"/>
      <c r="M52" s="216"/>
      <c r="N52" s="216"/>
    </row>
    <row r="53" spans="1:20" ht="15.75" x14ac:dyDescent="0.25">
      <c r="A53" s="280" t="s">
        <v>361</v>
      </c>
      <c r="B53" s="206">
        <f t="shared" ref="B53" si="7">SUM(B45:B52)</f>
        <v>6477.76</v>
      </c>
      <c r="C53" s="865">
        <f t="shared" ref="C53:N53" si="8">SUM(C45:C52)</f>
        <v>562.31999999999994</v>
      </c>
      <c r="D53" s="865">
        <f t="shared" si="8"/>
        <v>562.31999999999994</v>
      </c>
      <c r="E53" s="865">
        <f t="shared" si="8"/>
        <v>562.31999999999994</v>
      </c>
      <c r="F53" s="865">
        <f t="shared" si="8"/>
        <v>598.85</v>
      </c>
      <c r="G53" s="865">
        <f t="shared" si="8"/>
        <v>598.85</v>
      </c>
      <c r="H53" s="865">
        <f t="shared" si="8"/>
        <v>598.85</v>
      </c>
      <c r="I53" s="865">
        <f t="shared" si="8"/>
        <v>598.85</v>
      </c>
      <c r="J53" s="865">
        <f t="shared" si="8"/>
        <v>598.85</v>
      </c>
      <c r="K53" s="865">
        <f t="shared" si="8"/>
        <v>598.85</v>
      </c>
      <c r="L53" s="865">
        <f t="shared" si="8"/>
        <v>598.85</v>
      </c>
      <c r="M53" s="865">
        <f t="shared" si="8"/>
        <v>598.85</v>
      </c>
      <c r="N53" s="865">
        <f t="shared" si="8"/>
        <v>0</v>
      </c>
    </row>
    <row r="54" spans="1:20" x14ac:dyDescent="0.25">
      <c r="B54" s="194"/>
      <c r="C54" s="865"/>
      <c r="D54" s="865"/>
      <c r="E54" s="865"/>
      <c r="F54" s="865"/>
      <c r="G54" s="865"/>
      <c r="H54" s="865"/>
      <c r="I54" s="865"/>
    </row>
    <row r="55" spans="1:20" ht="18.75" x14ac:dyDescent="0.3">
      <c r="A55" s="353" t="s">
        <v>380</v>
      </c>
      <c r="B55" s="200" t="s">
        <v>381</v>
      </c>
      <c r="C55" s="354" t="s">
        <v>382</v>
      </c>
      <c r="D55" s="355" t="s">
        <v>383</v>
      </c>
    </row>
    <row r="56" spans="1:20" ht="18.75" x14ac:dyDescent="0.3">
      <c r="A56" s="353">
        <f>B35/12</f>
        <v>4129.5858333333335</v>
      </c>
      <c r="B56" s="329" t="s">
        <v>32</v>
      </c>
      <c r="C56" s="336">
        <f>B3</f>
        <v>348.65750000000003</v>
      </c>
      <c r="D56" s="225">
        <f>C56/A56</f>
        <v>8.4429168946119099E-2</v>
      </c>
      <c r="F56" s="801"/>
      <c r="G56" s="629"/>
      <c r="I56" s="629"/>
    </row>
    <row r="57" spans="1:20" x14ac:dyDescent="0.25">
      <c r="B57" s="329" t="s">
        <v>2187</v>
      </c>
      <c r="C57" s="336">
        <f t="shared" ref="C57:C72" si="9">B4</f>
        <v>332.8725</v>
      </c>
      <c r="D57" s="225">
        <f>C57/A56</f>
        <v>8.0606751726313153E-2</v>
      </c>
      <c r="E57" s="177"/>
      <c r="F57" s="801"/>
      <c r="G57" s="629"/>
      <c r="I57" s="629"/>
    </row>
    <row r="58" spans="1:20" x14ac:dyDescent="0.25">
      <c r="B58" s="329" t="s">
        <v>2188</v>
      </c>
      <c r="C58" s="336">
        <f t="shared" si="9"/>
        <v>24.028333333333336</v>
      </c>
      <c r="D58" s="225">
        <f>C58/A56</f>
        <v>5.8185818876509612E-3</v>
      </c>
      <c r="E58" s="177"/>
      <c r="F58" s="801"/>
      <c r="G58" s="629"/>
      <c r="I58" s="629"/>
    </row>
    <row r="59" spans="1:20" x14ac:dyDescent="0.25">
      <c r="B59" s="329" t="s">
        <v>50</v>
      </c>
      <c r="C59" s="336">
        <f t="shared" si="9"/>
        <v>216.41</v>
      </c>
      <c r="D59" s="225">
        <f>C59/A56</f>
        <v>5.2404771019208339E-2</v>
      </c>
      <c r="E59" s="177"/>
      <c r="F59" s="801"/>
      <c r="G59" s="629"/>
      <c r="I59" s="629"/>
    </row>
    <row r="60" spans="1:20" x14ac:dyDescent="0.25">
      <c r="B60" s="329" t="s">
        <v>14</v>
      </c>
      <c r="C60" s="336">
        <f t="shared" si="9"/>
        <v>136.66916666666665</v>
      </c>
      <c r="D60" s="225">
        <f>C60/A56</f>
        <v>3.3095126771187498E-2</v>
      </c>
      <c r="E60" s="177"/>
      <c r="F60" s="801"/>
      <c r="G60" s="629"/>
      <c r="I60" s="629"/>
    </row>
    <row r="61" spans="1:20" x14ac:dyDescent="0.25">
      <c r="B61" s="329" t="s">
        <v>358</v>
      </c>
      <c r="C61" s="336">
        <f t="shared" si="9"/>
        <v>98.874166666666667</v>
      </c>
      <c r="D61" s="225">
        <f>C61/A56</f>
        <v>2.3942877241725006E-2</v>
      </c>
      <c r="E61" s="177"/>
      <c r="F61" s="801"/>
      <c r="G61" s="629"/>
      <c r="I61" s="629"/>
    </row>
    <row r="62" spans="1:20" x14ac:dyDescent="0.25">
      <c r="B62" s="329" t="s">
        <v>2189</v>
      </c>
      <c r="C62" s="336">
        <f t="shared" si="9"/>
        <v>98.87166666666667</v>
      </c>
      <c r="D62" s="225">
        <f>C62/A56</f>
        <v>2.3942271854138723E-2</v>
      </c>
      <c r="E62" s="177"/>
      <c r="F62" s="801"/>
      <c r="G62" s="629"/>
      <c r="I62" s="629"/>
    </row>
    <row r="63" spans="1:20" x14ac:dyDescent="0.25">
      <c r="B63" s="329" t="s">
        <v>53</v>
      </c>
      <c r="C63" s="336">
        <f t="shared" si="9"/>
        <v>196.67361111111109</v>
      </c>
      <c r="D63" s="225">
        <f>C63/A56</f>
        <v>4.7625505086634656E-2</v>
      </c>
      <c r="E63" s="177"/>
      <c r="F63" s="801"/>
      <c r="G63" s="629"/>
      <c r="I63" s="629"/>
    </row>
    <row r="64" spans="1:20" x14ac:dyDescent="0.25">
      <c r="B64" s="906" t="s">
        <v>2149</v>
      </c>
      <c r="C64" s="336">
        <f t="shared" si="9"/>
        <v>959.44749999999988</v>
      </c>
      <c r="D64" s="225">
        <f>C64/A56</f>
        <v>0.23233504247701994</v>
      </c>
      <c r="E64" s="177"/>
      <c r="F64" s="801"/>
      <c r="G64" s="629"/>
      <c r="H64"/>
      <c r="I64"/>
      <c r="J64"/>
      <c r="K64"/>
      <c r="L64"/>
      <c r="M64"/>
      <c r="N64"/>
      <c r="O64"/>
      <c r="P64"/>
      <c r="Q64"/>
      <c r="R64"/>
      <c r="S64"/>
      <c r="T64"/>
    </row>
    <row r="65" spans="2:20" x14ac:dyDescent="0.25">
      <c r="B65" s="329" t="s">
        <v>56</v>
      </c>
      <c r="C65" s="336">
        <f t="shared" si="9"/>
        <v>112.95583333333333</v>
      </c>
      <c r="D65" s="225">
        <f>C65/A56</f>
        <v>2.7352823719408503E-2</v>
      </c>
      <c r="E65" s="177"/>
      <c r="F65" s="801"/>
      <c r="G65" s="629"/>
      <c r="H65" s="202"/>
      <c r="I65"/>
      <c r="J65"/>
      <c r="K65"/>
      <c r="L65"/>
      <c r="M65"/>
      <c r="N65"/>
      <c r="O65"/>
      <c r="P65"/>
      <c r="Q65"/>
      <c r="R65"/>
      <c r="S65"/>
      <c r="T65"/>
    </row>
    <row r="66" spans="2:20" ht="14.25" customHeight="1" x14ac:dyDescent="0.25">
      <c r="B66" s="329" t="s">
        <v>1686</v>
      </c>
      <c r="C66" s="336">
        <f t="shared" si="9"/>
        <v>277.02083333333331</v>
      </c>
      <c r="D66" s="225">
        <f>C66/A56</f>
        <v>6.7081989456973384E-2</v>
      </c>
      <c r="F66" s="801"/>
      <c r="G66" s="629"/>
      <c r="H66" s="202"/>
      <c r="I66"/>
      <c r="J66"/>
      <c r="K66"/>
      <c r="L66"/>
      <c r="M66"/>
      <c r="N66"/>
      <c r="O66"/>
      <c r="P66"/>
      <c r="Q66"/>
      <c r="R66"/>
      <c r="S66"/>
      <c r="T66"/>
    </row>
    <row r="67" spans="2:20" x14ac:dyDescent="0.25">
      <c r="B67" s="329" t="s">
        <v>418</v>
      </c>
      <c r="C67" s="336">
        <f t="shared" si="9"/>
        <v>123.02249999999999</v>
      </c>
      <c r="D67" s="225">
        <f>C67/A56</f>
        <v>2.9790517733517666E-2</v>
      </c>
      <c r="F67" s="801"/>
      <c r="G67" s="629"/>
      <c r="H67" s="202"/>
      <c r="I67"/>
      <c r="J67"/>
      <c r="K67"/>
      <c r="L67"/>
      <c r="M67"/>
      <c r="N67"/>
      <c r="O67"/>
      <c r="P67"/>
      <c r="Q67"/>
      <c r="R67"/>
      <c r="S67"/>
      <c r="T67"/>
    </row>
    <row r="68" spans="2:20" x14ac:dyDescent="0.25">
      <c r="B68" s="329" t="s">
        <v>419</v>
      </c>
      <c r="C68" s="336">
        <f t="shared" si="9"/>
        <v>592.1925</v>
      </c>
      <c r="D68" s="225">
        <f>C68/A56</f>
        <v>0.14340239527652388</v>
      </c>
      <c r="F68" s="801"/>
      <c r="H68" s="202"/>
      <c r="I68"/>
      <c r="J68"/>
      <c r="K68"/>
      <c r="L68"/>
      <c r="M68"/>
      <c r="N68"/>
      <c r="O68"/>
      <c r="P68"/>
      <c r="Q68"/>
      <c r="R68"/>
      <c r="S68"/>
      <c r="T68"/>
    </row>
    <row r="69" spans="2:20" x14ac:dyDescent="0.25">
      <c r="B69" s="329" t="s">
        <v>911</v>
      </c>
      <c r="C69" s="336">
        <f t="shared" si="9"/>
        <v>361.51666666666665</v>
      </c>
      <c r="D69" s="225">
        <f>C69/A56</f>
        <v>8.7543080894109032E-2</v>
      </c>
      <c r="H69" s="202"/>
      <c r="I69"/>
      <c r="J69"/>
      <c r="K69"/>
      <c r="L69"/>
      <c r="M69"/>
      <c r="N69"/>
      <c r="O69"/>
      <c r="P69"/>
      <c r="Q69"/>
      <c r="R69"/>
      <c r="S69"/>
      <c r="T69"/>
    </row>
    <row r="70" spans="2:20" x14ac:dyDescent="0.25">
      <c r="B70" s="329" t="s">
        <v>1526</v>
      </c>
      <c r="C70" s="336">
        <f t="shared" si="9"/>
        <v>174.01250000000002</v>
      </c>
      <c r="D70" s="225">
        <f>C70/A56</f>
        <v>4.2138002943394447E-2</v>
      </c>
      <c r="E70" s="85" t="s">
        <v>280</v>
      </c>
      <c r="H70" s="202"/>
      <c r="I70"/>
      <c r="J70"/>
      <c r="K70"/>
      <c r="L70"/>
      <c r="M70"/>
      <c r="N70"/>
      <c r="O70"/>
      <c r="P70"/>
      <c r="Q70"/>
      <c r="R70"/>
      <c r="S70"/>
      <c r="T70"/>
    </row>
    <row r="71" spans="2:20" x14ac:dyDescent="0.25">
      <c r="B71" s="329" t="s">
        <v>2343</v>
      </c>
      <c r="C71" s="336">
        <f t="shared" si="9"/>
        <v>33.024999999999999</v>
      </c>
      <c r="D71" s="225">
        <f>C71/A56</f>
        <v>7.9971700148299771E-3</v>
      </c>
      <c r="H71" s="202"/>
      <c r="I71"/>
      <c r="J71"/>
      <c r="K71"/>
      <c r="L71"/>
      <c r="M71"/>
      <c r="N71"/>
      <c r="O71"/>
      <c r="P71"/>
      <c r="Q71"/>
      <c r="R71"/>
      <c r="S71"/>
      <c r="T71"/>
    </row>
    <row r="72" spans="2:20" x14ac:dyDescent="0.25">
      <c r="B72" s="329" t="s">
        <v>1527</v>
      </c>
      <c r="C72" s="336">
        <f t="shared" si="9"/>
        <v>512.51499999999999</v>
      </c>
      <c r="D72" s="225">
        <f>C72/A56</f>
        <v>0.12410808751402228</v>
      </c>
      <c r="H72" s="202"/>
      <c r="I72"/>
      <c r="J72"/>
      <c r="K72"/>
      <c r="L72"/>
      <c r="M72"/>
      <c r="N72"/>
      <c r="O72"/>
      <c r="P72"/>
      <c r="Q72"/>
      <c r="R72"/>
      <c r="S72"/>
      <c r="T72"/>
    </row>
    <row r="73" spans="2:20" x14ac:dyDescent="0.25">
      <c r="H73" s="202"/>
      <c r="I73"/>
      <c r="J73"/>
      <c r="K73"/>
      <c r="L73"/>
      <c r="M73"/>
      <c r="N73"/>
      <c r="O73"/>
      <c r="P73"/>
      <c r="Q73"/>
      <c r="R73"/>
      <c r="S73"/>
      <c r="T73"/>
    </row>
    <row r="74" spans="2:20" ht="18.75" x14ac:dyDescent="0.3">
      <c r="B74" s="200" t="s">
        <v>388</v>
      </c>
      <c r="C74" s="623">
        <f>SUM(C56:C72)</f>
        <v>4598.7652777777776</v>
      </c>
      <c r="D74" s="624">
        <f>SUM(D56:D72)</f>
        <v>1.1136141645627766</v>
      </c>
      <c r="H74" s="202"/>
      <c r="I74"/>
      <c r="J74"/>
      <c r="K74"/>
      <c r="L74"/>
      <c r="M74"/>
      <c r="N74"/>
      <c r="O74"/>
      <c r="P74"/>
      <c r="Q74"/>
      <c r="R74"/>
      <c r="S74"/>
      <c r="T74"/>
    </row>
    <row r="75" spans="2:20" x14ac:dyDescent="0.25">
      <c r="H75" s="202"/>
      <c r="I75"/>
      <c r="J75"/>
      <c r="K75"/>
      <c r="L75"/>
      <c r="M75"/>
      <c r="N75"/>
      <c r="O75"/>
      <c r="P75"/>
      <c r="Q75"/>
      <c r="R75"/>
      <c r="S75"/>
      <c r="T75"/>
    </row>
    <row r="76" spans="2:20" x14ac:dyDescent="0.25">
      <c r="H76" s="202"/>
      <c r="I76"/>
      <c r="J76"/>
      <c r="K76"/>
      <c r="L76"/>
      <c r="M76"/>
      <c r="N76"/>
      <c r="O76"/>
      <c r="P76"/>
      <c r="Q76"/>
      <c r="R76"/>
      <c r="S76"/>
      <c r="T76"/>
    </row>
    <row r="77" spans="2:20" x14ac:dyDescent="0.25">
      <c r="H77" s="202"/>
      <c r="I77"/>
      <c r="J77"/>
      <c r="K77"/>
      <c r="L77"/>
      <c r="M77"/>
      <c r="N77"/>
      <c r="O77"/>
      <c r="P77"/>
      <c r="Q77"/>
      <c r="R77"/>
      <c r="S77"/>
      <c r="T77"/>
    </row>
    <row r="78" spans="2:20" x14ac:dyDescent="0.25">
      <c r="H78" s="202"/>
      <c r="I78"/>
      <c r="J78"/>
      <c r="K78"/>
      <c r="L78"/>
      <c r="M78"/>
      <c r="N78"/>
      <c r="O78"/>
      <c r="P78"/>
      <c r="Q78"/>
      <c r="R78"/>
      <c r="S78"/>
      <c r="T78"/>
    </row>
    <row r="79" spans="2:20" x14ac:dyDescent="0.25">
      <c r="H79" s="202"/>
      <c r="I79"/>
      <c r="J79"/>
      <c r="K79"/>
      <c r="L79"/>
      <c r="M79"/>
      <c r="N79"/>
      <c r="O79"/>
      <c r="P79"/>
      <c r="Q79"/>
      <c r="R79"/>
      <c r="S79"/>
      <c r="T79"/>
    </row>
    <row r="80" spans="2:20" x14ac:dyDescent="0.25">
      <c r="H80" s="202"/>
      <c r="I80"/>
      <c r="J80"/>
      <c r="K80"/>
      <c r="L80"/>
      <c r="M80"/>
      <c r="N80"/>
      <c r="O80"/>
      <c r="P80"/>
      <c r="Q80"/>
      <c r="R80"/>
      <c r="S80"/>
      <c r="T80"/>
    </row>
    <row r="81" spans="8:20" x14ac:dyDescent="0.25">
      <c r="H81" s="202"/>
      <c r="I81"/>
      <c r="J81"/>
      <c r="K81"/>
      <c r="L81"/>
      <c r="M81"/>
      <c r="N81"/>
      <c r="O81"/>
      <c r="P81"/>
      <c r="Q81"/>
      <c r="R81"/>
      <c r="S81"/>
      <c r="T81"/>
    </row>
    <row r="82" spans="8:20" x14ac:dyDescent="0.25">
      <c r="H82" s="202"/>
      <c r="I82"/>
      <c r="J82"/>
      <c r="K82"/>
      <c r="L82"/>
      <c r="M82"/>
      <c r="N82"/>
      <c r="O82"/>
      <c r="P82"/>
      <c r="Q82"/>
      <c r="R82"/>
      <c r="S82"/>
      <c r="T82"/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Plan112"/>
  <dimension ref="A1:O254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" style="85" customWidth="1"/>
    <col min="4" max="4" width="13.85546875" style="85" customWidth="1"/>
    <col min="5" max="5" width="17.140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2507</v>
      </c>
      <c r="G1" s="3058"/>
      <c r="H1" s="3058"/>
      <c r="I1" s="3058"/>
      <c r="J1" s="3058"/>
      <c r="K1" s="3058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43831</v>
      </c>
      <c r="B5" s="369" t="s">
        <v>10</v>
      </c>
      <c r="C5" s="370"/>
      <c r="D5" s="370"/>
      <c r="E5" s="777"/>
      <c r="F5" s="889"/>
      <c r="G5" s="925">
        <f>'Dezembro-19'!G144</f>
        <v>1174.5366666666887</v>
      </c>
      <c r="H5" s="179"/>
      <c r="I5" s="933">
        <f>'Dezembro-19'!I144</f>
        <v>6699.9960000000019</v>
      </c>
      <c r="J5" s="179"/>
      <c r="K5" s="933">
        <f>'Dezembro-19'!K144</f>
        <v>6811.6</v>
      </c>
    </row>
    <row r="6" spans="1:15" s="224" customFormat="1" x14ac:dyDescent="0.25">
      <c r="A6" s="215">
        <v>43831</v>
      </c>
      <c r="B6" s="348" t="s">
        <v>11</v>
      </c>
      <c r="C6" s="351"/>
      <c r="D6" s="351"/>
      <c r="E6" s="673"/>
      <c r="F6" s="827">
        <v>36</v>
      </c>
      <c r="G6" s="1526"/>
      <c r="H6" s="250"/>
      <c r="I6" s="1473"/>
      <c r="J6" s="250"/>
      <c r="K6" s="1473"/>
      <c r="L6" s="518"/>
      <c r="M6" s="89"/>
    </row>
    <row r="7" spans="1:15" s="224" customFormat="1" ht="15" customHeight="1" x14ac:dyDescent="0.25">
      <c r="A7" s="215">
        <v>43831</v>
      </c>
      <c r="B7" s="349" t="s">
        <v>2508</v>
      </c>
      <c r="C7" s="350" t="s">
        <v>12</v>
      </c>
      <c r="D7" s="350" t="s">
        <v>1493</v>
      </c>
      <c r="E7" s="480" t="s">
        <v>15</v>
      </c>
      <c r="F7" s="780">
        <v>12</v>
      </c>
      <c r="G7" s="946"/>
      <c r="H7" s="97"/>
      <c r="I7" s="982"/>
      <c r="J7" s="622"/>
      <c r="K7" s="982"/>
      <c r="L7" s="459"/>
    </row>
    <row r="8" spans="1:15" s="224" customFormat="1" ht="15" customHeight="1" x14ac:dyDescent="0.25">
      <c r="A8" s="215">
        <v>43832</v>
      </c>
      <c r="B8" s="349" t="s">
        <v>14</v>
      </c>
      <c r="C8" s="879" t="s">
        <v>12</v>
      </c>
      <c r="D8" s="879" t="s">
        <v>1486</v>
      </c>
      <c r="E8" s="871" t="s">
        <v>13</v>
      </c>
      <c r="F8" s="852">
        <v>11.26</v>
      </c>
      <c r="G8" s="965"/>
      <c r="H8" s="97"/>
      <c r="I8" s="982"/>
      <c r="J8" s="622"/>
      <c r="K8" s="982"/>
      <c r="L8" s="459"/>
    </row>
    <row r="9" spans="1:15" s="224" customFormat="1" ht="15" customHeight="1" x14ac:dyDescent="0.25">
      <c r="A9" s="215">
        <v>43832</v>
      </c>
      <c r="B9" s="862" t="s">
        <v>2509</v>
      </c>
      <c r="C9" s="350" t="s">
        <v>12</v>
      </c>
      <c r="D9" s="874" t="s">
        <v>1522</v>
      </c>
      <c r="E9" s="887" t="s">
        <v>13</v>
      </c>
      <c r="F9" s="852">
        <v>23</v>
      </c>
      <c r="G9" s="965"/>
      <c r="H9" s="97"/>
      <c r="I9" s="946"/>
      <c r="J9" s="97"/>
      <c r="K9" s="946"/>
      <c r="L9" s="923"/>
      <c r="N9" s="930"/>
    </row>
    <row r="10" spans="1:15" s="224" customFormat="1" ht="15" customHeight="1" x14ac:dyDescent="0.25">
      <c r="A10" s="215">
        <v>43832</v>
      </c>
      <c r="B10" s="349" t="s">
        <v>14</v>
      </c>
      <c r="C10" s="879" t="s">
        <v>12</v>
      </c>
      <c r="D10" s="879" t="s">
        <v>1486</v>
      </c>
      <c r="E10" s="871" t="s">
        <v>13</v>
      </c>
      <c r="F10" s="852">
        <v>11.26</v>
      </c>
      <c r="G10" s="965"/>
      <c r="H10" s="97"/>
      <c r="I10" s="946"/>
      <c r="J10" s="97"/>
      <c r="K10" s="946"/>
      <c r="L10" s="923"/>
      <c r="N10" s="930"/>
    </row>
    <row r="11" spans="1:15" s="224" customFormat="1" ht="15" customHeight="1" x14ac:dyDescent="0.25">
      <c r="A11" s="215">
        <v>43833</v>
      </c>
      <c r="B11" s="364" t="s">
        <v>1241</v>
      </c>
      <c r="C11" s="350" t="s">
        <v>12</v>
      </c>
      <c r="D11" s="350" t="s">
        <v>1504</v>
      </c>
      <c r="E11" s="875" t="s">
        <v>13</v>
      </c>
      <c r="F11" s="780">
        <v>10</v>
      </c>
      <c r="G11" s="946"/>
      <c r="H11" s="97"/>
      <c r="I11" s="946"/>
      <c r="J11" s="97"/>
      <c r="K11" s="946"/>
      <c r="L11" s="923"/>
      <c r="N11" s="930"/>
    </row>
    <row r="12" spans="1:15" s="224" customFormat="1" ht="15" customHeight="1" x14ac:dyDescent="0.25">
      <c r="A12" s="215">
        <v>43833</v>
      </c>
      <c r="B12" s="364" t="s">
        <v>2510</v>
      </c>
      <c r="C12" s="350" t="s">
        <v>12</v>
      </c>
      <c r="D12" s="350" t="s">
        <v>1506</v>
      </c>
      <c r="E12" s="875" t="s">
        <v>15</v>
      </c>
      <c r="F12" s="780">
        <v>50</v>
      </c>
      <c r="G12" s="946"/>
      <c r="H12" s="97"/>
      <c r="I12" s="946"/>
      <c r="J12" s="97"/>
      <c r="K12" s="946"/>
      <c r="L12" s="923"/>
      <c r="N12" s="930"/>
    </row>
    <row r="13" spans="1:15" s="224" customFormat="1" ht="15" customHeight="1" x14ac:dyDescent="0.25">
      <c r="A13" s="215">
        <v>43833</v>
      </c>
      <c r="B13" s="364" t="s">
        <v>2511</v>
      </c>
      <c r="C13" s="350" t="s">
        <v>12</v>
      </c>
      <c r="D13" s="350" t="s">
        <v>2157</v>
      </c>
      <c r="E13" s="875" t="s">
        <v>13</v>
      </c>
      <c r="F13" s="780">
        <v>119.96</v>
      </c>
      <c r="G13" s="946"/>
      <c r="H13" s="97"/>
      <c r="I13" s="946"/>
      <c r="J13" s="97"/>
      <c r="K13" s="946"/>
      <c r="L13" s="923"/>
      <c r="N13" s="930"/>
    </row>
    <row r="14" spans="1:15" s="224" customFormat="1" ht="15" customHeight="1" x14ac:dyDescent="0.25">
      <c r="A14" s="215">
        <v>43833</v>
      </c>
      <c r="B14" s="364" t="s">
        <v>2512</v>
      </c>
      <c r="C14" s="350" t="s">
        <v>12</v>
      </c>
      <c r="D14" s="350" t="s">
        <v>1489</v>
      </c>
      <c r="E14" s="875" t="s">
        <v>15</v>
      </c>
      <c r="F14" s="780">
        <v>66.400000000000006</v>
      </c>
      <c r="G14" s="946"/>
      <c r="H14" s="97"/>
      <c r="I14" s="946"/>
      <c r="J14" s="97"/>
      <c r="K14" s="946"/>
      <c r="L14" s="923"/>
      <c r="N14" s="930"/>
    </row>
    <row r="15" spans="1:15" s="224" customFormat="1" ht="15" customHeight="1" x14ac:dyDescent="0.25">
      <c r="A15" s="215">
        <v>43833</v>
      </c>
      <c r="B15" s="364" t="s">
        <v>656</v>
      </c>
      <c r="C15" s="350" t="s">
        <v>12</v>
      </c>
      <c r="D15" s="350" t="s">
        <v>1493</v>
      </c>
      <c r="E15" s="875" t="s">
        <v>13</v>
      </c>
      <c r="F15" s="780">
        <v>12.03</v>
      </c>
      <c r="G15" s="946"/>
      <c r="H15" s="97"/>
      <c r="I15" s="946"/>
      <c r="J15" s="97"/>
      <c r="K15" s="946"/>
      <c r="L15" s="923"/>
      <c r="N15" s="930"/>
    </row>
    <row r="16" spans="1:15" s="224" customFormat="1" ht="15" customHeight="1" x14ac:dyDescent="0.25">
      <c r="A16" s="215">
        <v>43833</v>
      </c>
      <c r="B16" s="364" t="s">
        <v>2513</v>
      </c>
      <c r="C16" s="350" t="s">
        <v>12</v>
      </c>
      <c r="D16" s="350" t="s">
        <v>1523</v>
      </c>
      <c r="E16" s="875" t="s">
        <v>13</v>
      </c>
      <c r="F16" s="780">
        <v>56.56</v>
      </c>
      <c r="G16" s="946"/>
      <c r="H16" s="97"/>
      <c r="I16" s="946"/>
      <c r="J16" s="97"/>
      <c r="K16" s="946"/>
      <c r="L16" s="923"/>
      <c r="N16" s="930"/>
    </row>
    <row r="17" spans="1:15" s="224" customFormat="1" ht="15" customHeight="1" x14ac:dyDescent="0.25">
      <c r="A17" s="215">
        <v>43833</v>
      </c>
      <c r="B17" s="364" t="s">
        <v>2514</v>
      </c>
      <c r="C17" s="350" t="s">
        <v>12</v>
      </c>
      <c r="D17" s="350" t="s">
        <v>1523</v>
      </c>
      <c r="E17" s="875" t="s">
        <v>13</v>
      </c>
      <c r="F17" s="780">
        <v>20.94</v>
      </c>
      <c r="G17" s="946"/>
      <c r="H17" s="97"/>
      <c r="I17" s="946"/>
      <c r="J17" s="97"/>
      <c r="K17" s="946"/>
      <c r="L17" s="923"/>
      <c r="N17" s="930"/>
    </row>
    <row r="18" spans="1:15" s="224" customFormat="1" ht="15" customHeight="1" x14ac:dyDescent="0.25">
      <c r="A18" s="215">
        <v>43833</v>
      </c>
      <c r="B18" s="364" t="s">
        <v>311</v>
      </c>
      <c r="C18" s="350"/>
      <c r="D18" s="350"/>
      <c r="E18" s="480"/>
      <c r="F18" s="538"/>
      <c r="G18" s="627"/>
      <c r="H18" s="97"/>
      <c r="I18" s="946">
        <v>7.46</v>
      </c>
      <c r="J18" s="622"/>
      <c r="K18" s="982"/>
    </row>
    <row r="19" spans="1:15" s="224" customFormat="1" ht="15" customHeight="1" x14ac:dyDescent="0.25">
      <c r="A19" s="215">
        <v>43834</v>
      </c>
      <c r="B19" s="349"/>
      <c r="C19" s="350"/>
      <c r="D19" s="350"/>
      <c r="E19" s="480"/>
      <c r="F19" s="780"/>
      <c r="G19" s="946"/>
      <c r="H19" s="97"/>
      <c r="I19" s="946"/>
      <c r="J19" s="97"/>
      <c r="K19" s="946"/>
      <c r="L19" s="923"/>
      <c r="N19" s="930"/>
    </row>
    <row r="20" spans="1:15" s="224" customFormat="1" ht="15" customHeight="1" x14ac:dyDescent="0.25">
      <c r="A20" s="215">
        <v>43835</v>
      </c>
      <c r="B20" s="364" t="s">
        <v>656</v>
      </c>
      <c r="C20" s="350" t="s">
        <v>12</v>
      </c>
      <c r="D20" s="350" t="s">
        <v>1493</v>
      </c>
      <c r="E20" s="875" t="s">
        <v>13</v>
      </c>
      <c r="F20" s="780">
        <v>8.5</v>
      </c>
      <c r="G20" s="946"/>
      <c r="H20" s="97"/>
      <c r="I20" s="946"/>
      <c r="J20" s="97"/>
      <c r="K20" s="946"/>
      <c r="L20" s="923"/>
      <c r="N20" s="930"/>
    </row>
    <row r="21" spans="1:15" s="224" customFormat="1" ht="15" customHeight="1" x14ac:dyDescent="0.25">
      <c r="A21" s="215">
        <v>43835</v>
      </c>
      <c r="B21" s="364" t="s">
        <v>2515</v>
      </c>
      <c r="C21" s="350" t="s">
        <v>12</v>
      </c>
      <c r="D21" s="350" t="s">
        <v>2157</v>
      </c>
      <c r="E21" s="875" t="s">
        <v>15</v>
      </c>
      <c r="F21" s="780">
        <v>104</v>
      </c>
      <c r="G21" s="946"/>
      <c r="H21" s="97"/>
      <c r="I21" s="946"/>
      <c r="J21" s="97"/>
      <c r="K21" s="946"/>
      <c r="L21" s="923"/>
      <c r="N21" s="930"/>
    </row>
    <row r="22" spans="1:15" s="224" customFormat="1" ht="15" customHeight="1" x14ac:dyDescent="0.25">
      <c r="A22" s="215">
        <v>43835</v>
      </c>
      <c r="B22" s="364" t="s">
        <v>2516</v>
      </c>
      <c r="C22" s="350" t="s">
        <v>12</v>
      </c>
      <c r="D22" s="350" t="s">
        <v>1489</v>
      </c>
      <c r="E22" s="875" t="s">
        <v>15</v>
      </c>
      <c r="F22" s="780">
        <v>66.400000000000006</v>
      </c>
      <c r="G22" s="946"/>
      <c r="H22" s="97"/>
      <c r="I22" s="946"/>
      <c r="J22" s="97"/>
      <c r="K22" s="946"/>
      <c r="L22" s="923"/>
      <c r="N22" s="930"/>
    </row>
    <row r="23" spans="1:15" s="224" customFormat="1" ht="15" customHeight="1" x14ac:dyDescent="0.25">
      <c r="A23" s="215">
        <v>43835</v>
      </c>
      <c r="B23" s="364" t="s">
        <v>82</v>
      </c>
      <c r="C23" s="350" t="s">
        <v>12</v>
      </c>
      <c r="D23" s="350" t="s">
        <v>1493</v>
      </c>
      <c r="E23" s="875" t="s">
        <v>13</v>
      </c>
      <c r="F23" s="780">
        <v>34</v>
      </c>
      <c r="G23" s="946"/>
      <c r="H23" s="97"/>
      <c r="I23" s="946"/>
      <c r="J23" s="97"/>
      <c r="K23" s="946"/>
      <c r="L23" s="923"/>
      <c r="N23" s="930"/>
    </row>
    <row r="24" spans="1:15" s="224" customFormat="1" ht="15" customHeight="1" x14ac:dyDescent="0.25">
      <c r="A24" s="215">
        <v>43836</v>
      </c>
      <c r="B24" s="364" t="s">
        <v>2251</v>
      </c>
      <c r="C24" s="350" t="s">
        <v>12</v>
      </c>
      <c r="D24" s="350" t="s">
        <v>2157</v>
      </c>
      <c r="E24" s="875" t="s">
        <v>15</v>
      </c>
      <c r="F24" s="780">
        <v>50</v>
      </c>
      <c r="G24" s="946"/>
      <c r="H24" s="97"/>
      <c r="I24" s="946"/>
      <c r="J24" s="97"/>
      <c r="K24" s="946"/>
      <c r="L24" s="923"/>
      <c r="N24" s="930"/>
    </row>
    <row r="25" spans="1:15" s="224" customFormat="1" ht="15" customHeight="1" x14ac:dyDescent="0.25">
      <c r="A25" s="215">
        <v>43836</v>
      </c>
      <c r="B25" s="364" t="s">
        <v>32</v>
      </c>
      <c r="C25" s="350" t="s">
        <v>12</v>
      </c>
      <c r="D25" s="350" t="s">
        <v>1485</v>
      </c>
      <c r="E25" s="875" t="s">
        <v>13</v>
      </c>
      <c r="F25" s="780">
        <v>15</v>
      </c>
      <c r="G25" s="946"/>
      <c r="H25" s="97"/>
      <c r="I25" s="946"/>
      <c r="J25" s="97"/>
      <c r="K25" s="946"/>
      <c r="L25" s="923"/>
      <c r="N25" s="930"/>
    </row>
    <row r="26" spans="1:15" s="224" customFormat="1" ht="15" customHeight="1" x14ac:dyDescent="0.25">
      <c r="A26" s="215">
        <v>43836</v>
      </c>
      <c r="B26" s="364" t="s">
        <v>2517</v>
      </c>
      <c r="C26" s="350" t="s">
        <v>12</v>
      </c>
      <c r="D26" s="350" t="s">
        <v>2131</v>
      </c>
      <c r="E26" s="875" t="s">
        <v>13</v>
      </c>
      <c r="F26" s="780">
        <v>6.73</v>
      </c>
      <c r="G26" s="982"/>
      <c r="H26" s="97"/>
      <c r="I26" s="946"/>
      <c r="J26" s="97"/>
      <c r="K26" s="946"/>
      <c r="L26" s="3145" t="s">
        <v>2518</v>
      </c>
      <c r="M26" s="3143"/>
      <c r="N26" s="3143"/>
    </row>
    <row r="27" spans="1:15" s="224" customFormat="1" ht="15" customHeight="1" x14ac:dyDescent="0.25">
      <c r="A27" s="215">
        <v>43837</v>
      </c>
      <c r="B27" s="349" t="s">
        <v>2519</v>
      </c>
      <c r="C27" s="352" t="s">
        <v>12</v>
      </c>
      <c r="D27" s="874" t="s">
        <v>1523</v>
      </c>
      <c r="E27" s="875" t="s">
        <v>13</v>
      </c>
      <c r="F27" s="780">
        <v>124</v>
      </c>
      <c r="G27" s="982"/>
      <c r="H27" s="97"/>
      <c r="I27" s="982"/>
      <c r="J27" s="622"/>
      <c r="K27" s="982"/>
      <c r="L27" s="459" t="s">
        <v>2520</v>
      </c>
    </row>
    <row r="28" spans="1:15" s="224" customFormat="1" ht="15.75" customHeight="1" x14ac:dyDescent="0.25">
      <c r="A28" s="215">
        <v>43837</v>
      </c>
      <c r="B28" s="349" t="s">
        <v>2521</v>
      </c>
      <c r="C28" s="879" t="s">
        <v>12</v>
      </c>
      <c r="D28" s="874"/>
      <c r="E28" s="871" t="s">
        <v>25</v>
      </c>
      <c r="F28" s="1514"/>
      <c r="G28" s="1002">
        <v>369.35</v>
      </c>
      <c r="H28" s="250"/>
      <c r="I28" s="946"/>
      <c r="J28" s="97"/>
      <c r="K28" s="946"/>
    </row>
    <row r="29" spans="1:15" s="224" customFormat="1" ht="15.75" customHeight="1" x14ac:dyDescent="0.25">
      <c r="A29" s="215">
        <v>43837</v>
      </c>
      <c r="B29" s="349" t="s">
        <v>2522</v>
      </c>
      <c r="C29" s="879" t="s">
        <v>12</v>
      </c>
      <c r="D29" s="874"/>
      <c r="E29" s="871" t="s">
        <v>25</v>
      </c>
      <c r="F29" s="1514"/>
      <c r="G29" s="1002">
        <v>2213</v>
      </c>
      <c r="H29" s="250"/>
      <c r="I29" s="946"/>
      <c r="J29" s="97"/>
      <c r="K29" s="946"/>
    </row>
    <row r="30" spans="1:15" s="224" customFormat="1" ht="15" customHeight="1" x14ac:dyDescent="0.25">
      <c r="A30" s="215">
        <v>43837</v>
      </c>
      <c r="B30" s="349" t="s">
        <v>2523</v>
      </c>
      <c r="C30" s="350" t="s">
        <v>12</v>
      </c>
      <c r="D30" s="350"/>
      <c r="E30" s="480" t="s">
        <v>25</v>
      </c>
      <c r="F30" s="780"/>
      <c r="G30" s="982">
        <v>150</v>
      </c>
      <c r="H30" s="97"/>
      <c r="I30" s="946"/>
      <c r="J30" s="97"/>
      <c r="K30" s="946"/>
      <c r="L30" s="3144" t="s">
        <v>2524</v>
      </c>
      <c r="M30" s="3139"/>
      <c r="N30" s="3139"/>
      <c r="O30" s="3139"/>
    </row>
    <row r="31" spans="1:15" s="224" customFormat="1" ht="15.75" customHeight="1" x14ac:dyDescent="0.25">
      <c r="A31" s="215">
        <v>43837</v>
      </c>
      <c r="B31" s="862" t="s">
        <v>2525</v>
      </c>
      <c r="C31" s="879" t="s">
        <v>12</v>
      </c>
      <c r="D31" s="874" t="s">
        <v>1525</v>
      </c>
      <c r="E31" s="871" t="s">
        <v>13</v>
      </c>
      <c r="F31" s="852">
        <v>125</v>
      </c>
      <c r="G31" s="964"/>
      <c r="H31" s="538"/>
      <c r="I31" s="982"/>
      <c r="J31" s="97"/>
      <c r="K31" s="946"/>
      <c r="L31" s="939"/>
    </row>
    <row r="32" spans="1:15" s="224" customFormat="1" x14ac:dyDescent="0.25">
      <c r="A32" s="215">
        <v>43837</v>
      </c>
      <c r="B32" s="862" t="s">
        <v>2525</v>
      </c>
      <c r="C32" s="879" t="s">
        <v>12</v>
      </c>
      <c r="D32" s="879" t="s">
        <v>1525</v>
      </c>
      <c r="E32" s="871" t="s">
        <v>13</v>
      </c>
      <c r="F32" s="872">
        <v>164.9</v>
      </c>
      <c r="G32" s="964"/>
      <c r="H32" s="622"/>
      <c r="I32" s="982"/>
      <c r="J32" s="780"/>
      <c r="K32" s="614"/>
      <c r="L32" s="459"/>
      <c r="M32" s="89"/>
    </row>
    <row r="33" spans="1:14" s="224" customFormat="1" x14ac:dyDescent="0.25">
      <c r="A33" s="215">
        <v>43837</v>
      </c>
      <c r="B33" s="862" t="s">
        <v>2525</v>
      </c>
      <c r="C33" s="879" t="s">
        <v>12</v>
      </c>
      <c r="D33" s="879" t="s">
        <v>1489</v>
      </c>
      <c r="E33" s="871" t="s">
        <v>13</v>
      </c>
      <c r="F33" s="872">
        <v>50</v>
      </c>
      <c r="G33" s="964"/>
      <c r="H33" s="622"/>
      <c r="I33" s="982"/>
      <c r="J33" s="780"/>
      <c r="K33" s="614"/>
      <c r="L33" s="459"/>
      <c r="M33" s="89"/>
    </row>
    <row r="34" spans="1:14" s="224" customFormat="1" x14ac:dyDescent="0.25">
      <c r="A34" s="215">
        <v>43837</v>
      </c>
      <c r="B34" s="862" t="s">
        <v>2525</v>
      </c>
      <c r="C34" s="879" t="s">
        <v>12</v>
      </c>
      <c r="D34" s="879" t="s">
        <v>1489</v>
      </c>
      <c r="E34" s="871" t="s">
        <v>13</v>
      </c>
      <c r="F34" s="872">
        <v>79</v>
      </c>
      <c r="G34" s="964"/>
      <c r="H34" s="622"/>
      <c r="I34" s="982"/>
      <c r="J34" s="780"/>
      <c r="K34" s="614"/>
      <c r="L34" s="459"/>
      <c r="M34" s="89"/>
    </row>
    <row r="35" spans="1:14" s="224" customFormat="1" x14ac:dyDescent="0.25">
      <c r="A35" s="215">
        <v>43837</v>
      </c>
      <c r="B35" s="862" t="s">
        <v>2525</v>
      </c>
      <c r="C35" s="879" t="s">
        <v>12</v>
      </c>
      <c r="D35" s="879" t="s">
        <v>1491</v>
      </c>
      <c r="E35" s="871" t="s">
        <v>13</v>
      </c>
      <c r="F35" s="872">
        <v>74.5</v>
      </c>
      <c r="G35" s="964"/>
      <c r="H35" s="622"/>
      <c r="I35" s="982"/>
      <c r="J35" s="780"/>
      <c r="K35" s="614"/>
      <c r="L35" s="459"/>
      <c r="M35" s="89"/>
    </row>
    <row r="36" spans="1:14" s="224" customFormat="1" x14ac:dyDescent="0.25">
      <c r="A36" s="215">
        <v>43837</v>
      </c>
      <c r="B36" s="862" t="s">
        <v>2525</v>
      </c>
      <c r="C36" s="879" t="s">
        <v>12</v>
      </c>
      <c r="D36" s="879" t="s">
        <v>1496</v>
      </c>
      <c r="E36" s="871" t="s">
        <v>13</v>
      </c>
      <c r="F36" s="872">
        <v>106.9</v>
      </c>
      <c r="G36" s="964"/>
      <c r="H36" s="622"/>
      <c r="I36" s="982"/>
      <c r="J36" s="780"/>
      <c r="K36" s="614"/>
      <c r="L36" s="459"/>
      <c r="M36" s="89"/>
    </row>
    <row r="37" spans="1:14" s="224" customFormat="1" x14ac:dyDescent="0.25">
      <c r="A37" s="215">
        <v>43837</v>
      </c>
      <c r="B37" s="862" t="s">
        <v>2525</v>
      </c>
      <c r="C37" s="879" t="s">
        <v>12</v>
      </c>
      <c r="D37" s="879" t="s">
        <v>1506</v>
      </c>
      <c r="E37" s="871" t="s">
        <v>13</v>
      </c>
      <c r="F37" s="872">
        <v>101.9</v>
      </c>
      <c r="G37" s="964"/>
      <c r="H37" s="622"/>
      <c r="I37" s="982"/>
      <c r="J37" s="780"/>
      <c r="K37" s="614"/>
      <c r="M37" s="89"/>
    </row>
    <row r="38" spans="1:14" s="224" customFormat="1" x14ac:dyDescent="0.25">
      <c r="A38" s="215">
        <v>43837</v>
      </c>
      <c r="B38" s="862" t="s">
        <v>2525</v>
      </c>
      <c r="C38" s="879" t="s">
        <v>12</v>
      </c>
      <c r="D38" s="879" t="s">
        <v>1491</v>
      </c>
      <c r="E38" s="871" t="s">
        <v>13</v>
      </c>
      <c r="F38" s="872">
        <v>107.91</v>
      </c>
      <c r="G38" s="964"/>
      <c r="H38" s="622"/>
      <c r="I38" s="982"/>
      <c r="J38" s="780"/>
      <c r="K38" s="614"/>
      <c r="M38" s="89"/>
    </row>
    <row r="39" spans="1:14" x14ac:dyDescent="0.25">
      <c r="A39" s="215">
        <v>43837</v>
      </c>
      <c r="B39" s="862" t="s">
        <v>2385</v>
      </c>
      <c r="C39" s="879" t="s">
        <v>12</v>
      </c>
      <c r="D39" s="879" t="s">
        <v>1504</v>
      </c>
      <c r="E39" s="871" t="s">
        <v>13</v>
      </c>
      <c r="F39" s="852">
        <v>90</v>
      </c>
      <c r="G39" s="964"/>
      <c r="H39" s="622"/>
      <c r="I39" s="982"/>
      <c r="J39" s="622"/>
      <c r="K39" s="1002"/>
      <c r="L39" s="948">
        <v>90</v>
      </c>
    </row>
    <row r="40" spans="1:14" x14ac:dyDescent="0.25">
      <c r="A40" s="215">
        <v>43837</v>
      </c>
      <c r="B40" s="882" t="s">
        <v>2526</v>
      </c>
      <c r="C40" s="879" t="s">
        <v>12</v>
      </c>
      <c r="D40" s="879" t="s">
        <v>1499</v>
      </c>
      <c r="E40" s="871" t="s">
        <v>13</v>
      </c>
      <c r="F40" s="852">
        <v>55.8</v>
      </c>
      <c r="G40" s="964"/>
      <c r="H40" s="622"/>
      <c r="I40" s="982"/>
      <c r="J40" s="780"/>
      <c r="K40" s="614"/>
      <c r="L40" s="948">
        <v>55.8</v>
      </c>
      <c r="M40" s="986"/>
    </row>
    <row r="41" spans="1:14" x14ac:dyDescent="0.25">
      <c r="A41" s="215">
        <v>43837</v>
      </c>
      <c r="B41" s="876" t="s">
        <v>52</v>
      </c>
      <c r="C41" s="879" t="s">
        <v>12</v>
      </c>
      <c r="D41" s="879" t="s">
        <v>1496</v>
      </c>
      <c r="E41" s="871" t="s">
        <v>13</v>
      </c>
      <c r="F41" s="852">
        <v>60</v>
      </c>
      <c r="G41" s="964"/>
      <c r="H41" s="853"/>
      <c r="I41" s="982"/>
      <c r="J41" s="622"/>
      <c r="K41" s="982"/>
      <c r="L41" s="934"/>
    </row>
    <row r="42" spans="1:14" s="224" customFormat="1" ht="15" customHeight="1" x14ac:dyDescent="0.25">
      <c r="A42" s="215">
        <v>43837</v>
      </c>
      <c r="B42" s="349" t="s">
        <v>260</v>
      </c>
      <c r="C42" s="350" t="s">
        <v>12</v>
      </c>
      <c r="D42" s="350"/>
      <c r="E42" s="480"/>
      <c r="F42" s="780">
        <v>592.54</v>
      </c>
      <c r="G42" s="946"/>
      <c r="H42" s="97"/>
      <c r="I42" s="946">
        <v>592.54</v>
      </c>
      <c r="J42" s="97"/>
      <c r="K42" s="946"/>
      <c r="L42" s="948"/>
      <c r="N42" s="930"/>
    </row>
    <row r="43" spans="1:14" s="224" customFormat="1" ht="15" customHeight="1" x14ac:dyDescent="0.25">
      <c r="A43" s="215">
        <v>43837</v>
      </c>
      <c r="B43" s="349" t="s">
        <v>14</v>
      </c>
      <c r="C43" s="879" t="s">
        <v>12</v>
      </c>
      <c r="D43" s="879" t="s">
        <v>1486</v>
      </c>
      <c r="E43" s="871" t="s">
        <v>13</v>
      </c>
      <c r="F43" s="852">
        <v>4.1500000000000004</v>
      </c>
      <c r="G43" s="946"/>
      <c r="H43" s="97"/>
      <c r="I43" s="946"/>
      <c r="J43" s="97"/>
      <c r="K43" s="946"/>
      <c r="L43" s="923"/>
      <c r="N43" s="930"/>
    </row>
    <row r="44" spans="1:14" s="224" customFormat="1" ht="15" customHeight="1" x14ac:dyDescent="0.25">
      <c r="A44" s="215">
        <v>43837</v>
      </c>
      <c r="B44" s="364" t="s">
        <v>32</v>
      </c>
      <c r="C44" s="350" t="s">
        <v>12</v>
      </c>
      <c r="D44" s="350" t="s">
        <v>1485</v>
      </c>
      <c r="E44" s="875" t="s">
        <v>15</v>
      </c>
      <c r="F44" s="780">
        <v>15</v>
      </c>
      <c r="G44" s="946"/>
      <c r="H44" s="97"/>
      <c r="I44" s="946"/>
      <c r="J44" s="97"/>
      <c r="K44" s="946"/>
      <c r="L44" s="923"/>
      <c r="N44" s="930"/>
    </row>
    <row r="45" spans="1:14" s="224" customFormat="1" ht="15" customHeight="1" x14ac:dyDescent="0.25">
      <c r="A45" s="215">
        <v>43838</v>
      </c>
      <c r="B45" s="364" t="s">
        <v>32</v>
      </c>
      <c r="C45" s="350" t="s">
        <v>12</v>
      </c>
      <c r="D45" s="350" t="s">
        <v>1485</v>
      </c>
      <c r="E45" s="875" t="s">
        <v>13</v>
      </c>
      <c r="F45" s="780">
        <v>15</v>
      </c>
      <c r="G45" s="946"/>
      <c r="H45" s="97"/>
      <c r="I45" s="946"/>
      <c r="J45" s="97"/>
      <c r="K45" s="946"/>
      <c r="L45" s="923"/>
      <c r="N45" s="930"/>
    </row>
    <row r="46" spans="1:14" s="224" customFormat="1" ht="15" customHeight="1" x14ac:dyDescent="0.25">
      <c r="A46" s="215">
        <v>43838</v>
      </c>
      <c r="B46" s="349" t="s">
        <v>14</v>
      </c>
      <c r="C46" s="879" t="s">
        <v>12</v>
      </c>
      <c r="D46" s="879" t="s">
        <v>1486</v>
      </c>
      <c r="E46" s="871" t="s">
        <v>13</v>
      </c>
      <c r="F46" s="852">
        <v>14.75</v>
      </c>
      <c r="G46" s="946"/>
      <c r="H46" s="97"/>
      <c r="I46" s="946"/>
      <c r="J46" s="97"/>
      <c r="K46" s="946"/>
      <c r="L46" s="923"/>
      <c r="N46" s="930"/>
    </row>
    <row r="47" spans="1:14" s="224" customFormat="1" ht="15" customHeight="1" x14ac:dyDescent="0.25">
      <c r="A47" s="215">
        <v>43838</v>
      </c>
      <c r="B47" s="349" t="s">
        <v>2527</v>
      </c>
      <c r="C47" s="879" t="s">
        <v>19</v>
      </c>
      <c r="D47" s="879" t="s">
        <v>1525</v>
      </c>
      <c r="E47" s="871" t="s">
        <v>13</v>
      </c>
      <c r="F47" s="852">
        <v>137.74</v>
      </c>
      <c r="G47" s="946"/>
      <c r="H47" s="97"/>
      <c r="I47" s="946"/>
      <c r="J47" s="97"/>
      <c r="K47" s="946"/>
      <c r="L47" s="923"/>
      <c r="N47" s="930"/>
    </row>
    <row r="48" spans="1:14" s="224" customFormat="1" ht="15" customHeight="1" x14ac:dyDescent="0.25">
      <c r="A48" s="215">
        <v>43838</v>
      </c>
      <c r="B48" s="349" t="s">
        <v>2528</v>
      </c>
      <c r="C48" s="350" t="s">
        <v>12</v>
      </c>
      <c r="D48" s="350" t="s">
        <v>1491</v>
      </c>
      <c r="E48" s="480" t="s">
        <v>15</v>
      </c>
      <c r="F48" s="780">
        <v>100</v>
      </c>
      <c r="G48" s="946"/>
      <c r="H48" s="97"/>
      <c r="I48" s="946"/>
      <c r="J48" s="97"/>
      <c r="K48" s="946"/>
      <c r="L48" s="934"/>
      <c r="N48" s="930"/>
    </row>
    <row r="49" spans="1:14" s="224" customFormat="1" ht="15" customHeight="1" x14ac:dyDescent="0.25">
      <c r="A49" s="215">
        <v>43839</v>
      </c>
      <c r="B49" s="862" t="s">
        <v>256</v>
      </c>
      <c r="C49" s="350"/>
      <c r="D49" s="350"/>
      <c r="E49" s="875"/>
      <c r="F49" s="780"/>
      <c r="G49" s="989">
        <v>1000</v>
      </c>
      <c r="H49" s="97">
        <v>1000</v>
      </c>
      <c r="I49" s="946"/>
      <c r="J49" s="97"/>
      <c r="K49" s="946"/>
      <c r="L49" s="459"/>
    </row>
    <row r="50" spans="1:14" s="224" customFormat="1" ht="15" customHeight="1" x14ac:dyDescent="0.25">
      <c r="A50" s="215">
        <v>43839</v>
      </c>
      <c r="B50" s="364" t="s">
        <v>2529</v>
      </c>
      <c r="C50" s="350" t="s">
        <v>12</v>
      </c>
      <c r="D50" s="350" t="s">
        <v>1522</v>
      </c>
      <c r="E50" s="875" t="s">
        <v>13</v>
      </c>
      <c r="F50" s="780">
        <v>661.57</v>
      </c>
      <c r="G50" s="957"/>
      <c r="H50" s="97"/>
      <c r="I50" s="946"/>
      <c r="J50" s="97"/>
      <c r="K50" s="946"/>
      <c r="L50" s="459">
        <v>682.04</v>
      </c>
    </row>
    <row r="51" spans="1:14" s="224" customFormat="1" ht="15" customHeight="1" x14ac:dyDescent="0.25">
      <c r="A51" s="215">
        <v>43839</v>
      </c>
      <c r="B51" s="364" t="s">
        <v>2530</v>
      </c>
      <c r="C51" s="350" t="s">
        <v>12</v>
      </c>
      <c r="D51" s="350" t="s">
        <v>2131</v>
      </c>
      <c r="E51" s="875" t="s">
        <v>13</v>
      </c>
      <c r="F51" s="780">
        <v>229.59</v>
      </c>
      <c r="G51" s="957"/>
      <c r="H51" s="97"/>
      <c r="I51" s="946"/>
      <c r="J51" s="97"/>
      <c r="K51" s="946"/>
      <c r="L51" s="767">
        <v>236.7</v>
      </c>
    </row>
    <row r="52" spans="1:14" s="224" customFormat="1" ht="15" customHeight="1" x14ac:dyDescent="0.25">
      <c r="A52" s="215">
        <v>43839</v>
      </c>
      <c r="B52" s="364" t="s">
        <v>32</v>
      </c>
      <c r="C52" s="350" t="s">
        <v>12</v>
      </c>
      <c r="D52" s="350" t="s">
        <v>1485</v>
      </c>
      <c r="E52" s="875" t="s">
        <v>15</v>
      </c>
      <c r="F52" s="780">
        <v>15</v>
      </c>
      <c r="G52" s="946"/>
      <c r="H52" s="97"/>
      <c r="I52" s="946"/>
      <c r="J52" s="97"/>
      <c r="K52" s="946"/>
      <c r="L52" s="923"/>
      <c r="N52" s="930"/>
    </row>
    <row r="53" spans="1:14" s="224" customFormat="1" ht="15" customHeight="1" x14ac:dyDescent="0.25">
      <c r="A53" s="215">
        <v>43839</v>
      </c>
      <c r="B53" s="364" t="s">
        <v>2531</v>
      </c>
      <c r="C53" s="350" t="s">
        <v>19</v>
      </c>
      <c r="D53" s="350" t="s">
        <v>1525</v>
      </c>
      <c r="E53" s="875" t="s">
        <v>13</v>
      </c>
      <c r="F53" s="780">
        <v>209.99</v>
      </c>
      <c r="G53" s="957"/>
      <c r="H53" s="97"/>
      <c r="I53" s="946"/>
      <c r="J53" s="97"/>
      <c r="K53" s="946"/>
      <c r="L53" s="459"/>
    </row>
    <row r="54" spans="1:14" s="224" customFormat="1" ht="15" customHeight="1" x14ac:dyDescent="0.25">
      <c r="A54" s="215">
        <v>43839</v>
      </c>
      <c r="B54" s="349" t="s">
        <v>14</v>
      </c>
      <c r="C54" s="879" t="s">
        <v>12</v>
      </c>
      <c r="D54" s="879" t="s">
        <v>1486</v>
      </c>
      <c r="E54" s="871" t="s">
        <v>15</v>
      </c>
      <c r="F54" s="780">
        <v>11</v>
      </c>
      <c r="G54" s="957"/>
      <c r="H54" s="97"/>
      <c r="I54" s="946"/>
      <c r="J54" s="97"/>
      <c r="K54" s="946"/>
      <c r="L54" s="459"/>
    </row>
    <row r="55" spans="1:14" s="224" customFormat="1" ht="15" customHeight="1" x14ac:dyDescent="0.25">
      <c r="A55" s="215">
        <v>43839</v>
      </c>
      <c r="B55" s="862" t="s">
        <v>256</v>
      </c>
      <c r="C55" s="350"/>
      <c r="D55" s="350"/>
      <c r="E55" s="875"/>
      <c r="F55" s="780"/>
      <c r="G55" s="989">
        <v>4300</v>
      </c>
      <c r="H55" s="97">
        <v>4300</v>
      </c>
      <c r="I55" s="946"/>
      <c r="J55" s="97"/>
      <c r="K55" s="946"/>
      <c r="L55" s="459"/>
    </row>
    <row r="56" spans="1:14" s="224" customFormat="1" ht="15" customHeight="1" x14ac:dyDescent="0.25">
      <c r="A56" s="215">
        <v>43839</v>
      </c>
      <c r="B56" s="364" t="s">
        <v>1396</v>
      </c>
      <c r="C56" s="350" t="s">
        <v>12</v>
      </c>
      <c r="D56" s="350"/>
      <c r="E56" s="480" t="s">
        <v>25</v>
      </c>
      <c r="F56" s="538"/>
      <c r="G56" s="967">
        <v>45</v>
      </c>
      <c r="H56" s="97"/>
      <c r="I56" s="946"/>
      <c r="J56" s="97"/>
      <c r="K56" s="946"/>
      <c r="L56" s="923"/>
      <c r="N56" s="930"/>
    </row>
    <row r="57" spans="1:14" s="224" customFormat="1" ht="15" customHeight="1" x14ac:dyDescent="0.25">
      <c r="A57" s="215">
        <v>43839</v>
      </c>
      <c r="B57" s="364" t="s">
        <v>1241</v>
      </c>
      <c r="C57" s="350" t="s">
        <v>12</v>
      </c>
      <c r="D57" s="350" t="s">
        <v>1504</v>
      </c>
      <c r="E57" s="875" t="s">
        <v>13</v>
      </c>
      <c r="F57" s="780">
        <v>10</v>
      </c>
      <c r="G57" s="946"/>
      <c r="H57" s="97"/>
      <c r="I57" s="946"/>
      <c r="J57" s="97"/>
      <c r="K57" s="946"/>
      <c r="L57" s="923"/>
      <c r="N57" s="930"/>
    </row>
    <row r="58" spans="1:14" s="224" customFormat="1" ht="15" customHeight="1" x14ac:dyDescent="0.25">
      <c r="A58" s="215">
        <v>43840</v>
      </c>
      <c r="B58" s="349" t="s">
        <v>1661</v>
      </c>
      <c r="C58" s="352" t="s">
        <v>12</v>
      </c>
      <c r="D58" s="874"/>
      <c r="E58" s="875" t="s">
        <v>13</v>
      </c>
      <c r="F58" s="852">
        <v>4189.49</v>
      </c>
      <c r="G58" s="957"/>
      <c r="H58" s="622"/>
      <c r="I58" s="982"/>
      <c r="J58" s="622"/>
      <c r="K58" s="982">
        <v>4189.49</v>
      </c>
    </row>
    <row r="59" spans="1:14" s="224" customFormat="1" ht="15" customHeight="1" x14ac:dyDescent="0.25">
      <c r="A59" s="215">
        <v>43840</v>
      </c>
      <c r="B59" s="349" t="s">
        <v>2532</v>
      </c>
      <c r="C59" s="352" t="s">
        <v>12</v>
      </c>
      <c r="D59" s="874" t="s">
        <v>1489</v>
      </c>
      <c r="E59" s="875" t="s">
        <v>13</v>
      </c>
      <c r="F59" s="852">
        <v>16.18</v>
      </c>
      <c r="G59" s="957"/>
      <c r="H59" s="622"/>
      <c r="I59" s="982"/>
      <c r="J59" s="622"/>
      <c r="K59" s="982"/>
    </row>
    <row r="60" spans="1:14" s="224" customFormat="1" ht="15" customHeight="1" x14ac:dyDescent="0.25">
      <c r="A60" s="215">
        <v>43840</v>
      </c>
      <c r="B60" s="364" t="s">
        <v>32</v>
      </c>
      <c r="C60" s="350" t="s">
        <v>12</v>
      </c>
      <c r="D60" s="350" t="s">
        <v>1485</v>
      </c>
      <c r="E60" s="875" t="s">
        <v>13</v>
      </c>
      <c r="F60" s="780">
        <v>15</v>
      </c>
      <c r="G60" s="946"/>
      <c r="H60" s="97"/>
      <c r="I60" s="946"/>
      <c r="J60" s="97"/>
      <c r="K60" s="946"/>
      <c r="L60" s="923"/>
      <c r="N60" s="930"/>
    </row>
    <row r="61" spans="1:14" s="224" customFormat="1" ht="15" customHeight="1" x14ac:dyDescent="0.25">
      <c r="A61" s="215">
        <v>43840</v>
      </c>
      <c r="B61" s="364" t="s">
        <v>17</v>
      </c>
      <c r="C61" s="350" t="s">
        <v>12</v>
      </c>
      <c r="D61" s="350" t="s">
        <v>1493</v>
      </c>
      <c r="E61" s="875" t="s">
        <v>13</v>
      </c>
      <c r="F61" s="780">
        <v>7.5</v>
      </c>
      <c r="G61" s="946"/>
      <c r="H61" s="97"/>
      <c r="I61" s="946"/>
      <c r="J61" s="97"/>
      <c r="K61" s="946"/>
      <c r="L61" s="923"/>
      <c r="N61" s="930"/>
    </row>
    <row r="62" spans="1:14" s="224" customFormat="1" ht="15" customHeight="1" x14ac:dyDescent="0.25">
      <c r="A62" s="215">
        <v>43840</v>
      </c>
      <c r="B62" s="349" t="s">
        <v>1438</v>
      </c>
      <c r="C62" s="352" t="s">
        <v>12</v>
      </c>
      <c r="D62" s="874" t="s">
        <v>1489</v>
      </c>
      <c r="E62" s="875" t="s">
        <v>13</v>
      </c>
      <c r="F62" s="852">
        <v>33.28</v>
      </c>
      <c r="G62" s="957"/>
      <c r="H62" s="622"/>
      <c r="I62" s="982"/>
      <c r="J62" s="622"/>
      <c r="K62" s="982"/>
    </row>
    <row r="63" spans="1:14" s="224" customFormat="1" ht="15" customHeight="1" x14ac:dyDescent="0.25">
      <c r="A63" s="215">
        <v>43840</v>
      </c>
      <c r="B63" s="349" t="s">
        <v>2533</v>
      </c>
      <c r="C63" s="352" t="s">
        <v>19</v>
      </c>
      <c r="D63" s="874" t="s">
        <v>1491</v>
      </c>
      <c r="E63" s="875" t="s">
        <v>13</v>
      </c>
      <c r="F63" s="852">
        <v>29.19</v>
      </c>
      <c r="G63" s="957"/>
      <c r="H63" s="622"/>
      <c r="I63" s="982"/>
      <c r="J63" s="622"/>
      <c r="K63" s="982"/>
    </row>
    <row r="64" spans="1:14" s="224" customFormat="1" ht="15" customHeight="1" x14ac:dyDescent="0.25">
      <c r="A64" s="215">
        <v>43840</v>
      </c>
      <c r="B64" s="349" t="s">
        <v>2534</v>
      </c>
      <c r="C64" s="352" t="s">
        <v>12</v>
      </c>
      <c r="D64" s="874" t="s">
        <v>1491</v>
      </c>
      <c r="E64" s="875" t="s">
        <v>13</v>
      </c>
      <c r="F64" s="852">
        <v>17.45</v>
      </c>
      <c r="G64" s="957"/>
      <c r="H64" s="622"/>
      <c r="I64" s="982"/>
      <c r="J64" s="622"/>
      <c r="K64" s="982"/>
    </row>
    <row r="65" spans="1:14" s="224" customFormat="1" ht="15" customHeight="1" x14ac:dyDescent="0.25">
      <c r="A65" s="215">
        <v>43840</v>
      </c>
      <c r="B65" s="364" t="s">
        <v>17</v>
      </c>
      <c r="C65" s="352" t="s">
        <v>12</v>
      </c>
      <c r="D65" s="874" t="s">
        <v>1493</v>
      </c>
      <c r="E65" s="875" t="s">
        <v>13</v>
      </c>
      <c r="F65" s="852">
        <v>3</v>
      </c>
      <c r="G65" s="957"/>
      <c r="H65" s="622"/>
      <c r="I65" s="982"/>
      <c r="J65" s="622"/>
      <c r="K65" s="982"/>
    </row>
    <row r="66" spans="1:14" s="224" customFormat="1" ht="15" customHeight="1" x14ac:dyDescent="0.25">
      <c r="A66" s="215">
        <v>43841</v>
      </c>
      <c r="B66" s="364" t="s">
        <v>2535</v>
      </c>
      <c r="C66" s="352" t="s">
        <v>12</v>
      </c>
      <c r="D66" s="874" t="s">
        <v>1489</v>
      </c>
      <c r="E66" s="875" t="s">
        <v>13</v>
      </c>
      <c r="F66" s="852">
        <v>9</v>
      </c>
      <c r="G66" s="957"/>
      <c r="H66" s="622"/>
      <c r="I66" s="982"/>
      <c r="J66" s="622"/>
      <c r="K66" s="982"/>
    </row>
    <row r="67" spans="1:14" s="224" customFormat="1" ht="15" customHeight="1" x14ac:dyDescent="0.25">
      <c r="A67" s="215">
        <v>43841</v>
      </c>
      <c r="B67" s="349" t="s">
        <v>43</v>
      </c>
      <c r="C67" s="352" t="s">
        <v>12</v>
      </c>
      <c r="D67" s="874" t="s">
        <v>1493</v>
      </c>
      <c r="E67" s="875" t="s">
        <v>13</v>
      </c>
      <c r="F67" s="852">
        <v>18</v>
      </c>
      <c r="G67" s="957"/>
      <c r="H67" s="622"/>
      <c r="I67" s="982"/>
      <c r="J67" s="622"/>
      <c r="K67" s="982"/>
    </row>
    <row r="68" spans="1:14" s="224" customFormat="1" ht="15" customHeight="1" x14ac:dyDescent="0.25">
      <c r="A68" s="215">
        <v>43841</v>
      </c>
      <c r="B68" s="349" t="s">
        <v>82</v>
      </c>
      <c r="C68" s="352" t="s">
        <v>12</v>
      </c>
      <c r="D68" s="874" t="s">
        <v>1493</v>
      </c>
      <c r="E68" s="875" t="s">
        <v>13</v>
      </c>
      <c r="F68" s="852">
        <v>42.4</v>
      </c>
      <c r="G68" s="957"/>
      <c r="H68" s="622"/>
      <c r="I68" s="982"/>
      <c r="J68" s="622"/>
      <c r="K68" s="982"/>
    </row>
    <row r="69" spans="1:14" s="224" customFormat="1" ht="15" customHeight="1" x14ac:dyDescent="0.25">
      <c r="A69" s="215">
        <v>43842</v>
      </c>
      <c r="B69" s="349" t="s">
        <v>43</v>
      </c>
      <c r="C69" s="352" t="s">
        <v>12</v>
      </c>
      <c r="D69" s="874" t="s">
        <v>1493</v>
      </c>
      <c r="E69" s="875" t="s">
        <v>13</v>
      </c>
      <c r="F69" s="852">
        <v>17.86</v>
      </c>
      <c r="G69" s="957"/>
      <c r="H69" s="622"/>
      <c r="I69" s="982"/>
      <c r="J69" s="622"/>
      <c r="K69" s="982"/>
    </row>
    <row r="70" spans="1:14" s="224" customFormat="1" ht="15" customHeight="1" x14ac:dyDescent="0.25">
      <c r="A70" s="215">
        <v>43842</v>
      </c>
      <c r="B70" s="349" t="s">
        <v>421</v>
      </c>
      <c r="C70" s="352" t="s">
        <v>12</v>
      </c>
      <c r="D70" s="874" t="s">
        <v>1493</v>
      </c>
      <c r="E70" s="875" t="s">
        <v>13</v>
      </c>
      <c r="F70" s="852">
        <v>20</v>
      </c>
      <c r="G70" s="957"/>
      <c r="H70" s="622"/>
      <c r="I70" s="982"/>
      <c r="J70" s="622"/>
      <c r="K70" s="982"/>
    </row>
    <row r="71" spans="1:14" s="224" customFormat="1" ht="15" customHeight="1" x14ac:dyDescent="0.25">
      <c r="A71" s="215">
        <v>43842</v>
      </c>
      <c r="B71" s="364" t="s">
        <v>2251</v>
      </c>
      <c r="C71" s="350" t="s">
        <v>12</v>
      </c>
      <c r="D71" s="350" t="s">
        <v>2157</v>
      </c>
      <c r="E71" s="875" t="s">
        <v>15</v>
      </c>
      <c r="F71" s="780">
        <v>30</v>
      </c>
      <c r="G71" s="946"/>
      <c r="H71" s="97"/>
      <c r="I71" s="946"/>
      <c r="J71" s="97"/>
      <c r="K71" s="946"/>
      <c r="L71" s="923"/>
      <c r="N71" s="930"/>
    </row>
    <row r="72" spans="1:14" s="224" customFormat="1" ht="15" customHeight="1" x14ac:dyDescent="0.25">
      <c r="A72" s="215">
        <v>43843</v>
      </c>
      <c r="B72" s="364" t="s">
        <v>32</v>
      </c>
      <c r="C72" s="350" t="s">
        <v>12</v>
      </c>
      <c r="D72" s="350" t="s">
        <v>1485</v>
      </c>
      <c r="E72" s="875" t="s">
        <v>15</v>
      </c>
      <c r="F72" s="780">
        <v>15</v>
      </c>
      <c r="G72" s="946"/>
      <c r="H72" s="97"/>
      <c r="I72" s="946"/>
      <c r="J72" s="97"/>
      <c r="K72" s="946"/>
      <c r="L72" s="923"/>
      <c r="N72" s="930"/>
    </row>
    <row r="73" spans="1:14" s="224" customFormat="1" ht="15" customHeight="1" x14ac:dyDescent="0.25">
      <c r="A73" s="215">
        <v>43843</v>
      </c>
      <c r="B73" s="349" t="s">
        <v>14</v>
      </c>
      <c r="C73" s="879" t="s">
        <v>12</v>
      </c>
      <c r="D73" s="879" t="s">
        <v>1486</v>
      </c>
      <c r="E73" s="871" t="s">
        <v>13</v>
      </c>
      <c r="F73" s="852">
        <v>11.84</v>
      </c>
      <c r="G73" s="957"/>
      <c r="H73" s="622"/>
      <c r="I73" s="982"/>
      <c r="J73" s="622"/>
      <c r="K73" s="982"/>
    </row>
    <row r="74" spans="1:14" s="224" customFormat="1" ht="15" customHeight="1" x14ac:dyDescent="0.25">
      <c r="A74" s="215">
        <v>43844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15</v>
      </c>
      <c r="G74" s="946"/>
      <c r="H74" s="97"/>
      <c r="I74" s="946"/>
      <c r="J74" s="97"/>
      <c r="K74" s="946"/>
      <c r="L74" s="923"/>
      <c r="N74" s="930"/>
    </row>
    <row r="75" spans="1:14" s="224" customFormat="1" ht="15" customHeight="1" x14ac:dyDescent="0.25">
      <c r="A75" s="215">
        <v>43844</v>
      </c>
      <c r="B75" s="349" t="s">
        <v>2536</v>
      </c>
      <c r="C75" s="352" t="s">
        <v>12</v>
      </c>
      <c r="D75" s="874" t="s">
        <v>1522</v>
      </c>
      <c r="E75" s="875" t="s">
        <v>13</v>
      </c>
      <c r="F75" s="852">
        <v>143</v>
      </c>
      <c r="G75" s="957"/>
      <c r="H75" s="622"/>
      <c r="I75" s="982"/>
      <c r="J75" s="622"/>
      <c r="K75" s="982"/>
    </row>
    <row r="76" spans="1:14" s="224" customFormat="1" ht="15" customHeight="1" x14ac:dyDescent="0.25">
      <c r="A76" s="215">
        <v>43844</v>
      </c>
      <c r="B76" s="364" t="s">
        <v>2251</v>
      </c>
      <c r="C76" s="350" t="s">
        <v>19</v>
      </c>
      <c r="D76" s="350" t="s">
        <v>2157</v>
      </c>
      <c r="E76" s="875" t="s">
        <v>13</v>
      </c>
      <c r="F76" s="852">
        <v>80</v>
      </c>
      <c r="G76" s="957"/>
      <c r="H76" s="622"/>
      <c r="I76" s="982"/>
      <c r="J76" s="622"/>
      <c r="K76" s="982"/>
    </row>
    <row r="77" spans="1:14" s="224" customFormat="1" ht="15" customHeight="1" x14ac:dyDescent="0.25">
      <c r="A77" s="215">
        <v>43844</v>
      </c>
      <c r="B77" s="349" t="s">
        <v>2537</v>
      </c>
      <c r="C77" s="352" t="s">
        <v>19</v>
      </c>
      <c r="D77" s="874" t="s">
        <v>1506</v>
      </c>
      <c r="E77" s="875" t="s">
        <v>13</v>
      </c>
      <c r="F77" s="852">
        <v>70</v>
      </c>
      <c r="G77" s="957"/>
      <c r="H77" s="622"/>
      <c r="I77" s="982"/>
      <c r="J77" s="622"/>
      <c r="K77" s="982"/>
    </row>
    <row r="78" spans="1:14" s="224" customFormat="1" ht="15" customHeight="1" x14ac:dyDescent="0.25">
      <c r="A78" s="215">
        <v>43844</v>
      </c>
      <c r="B78" s="349" t="s">
        <v>2538</v>
      </c>
      <c r="C78" s="352" t="s">
        <v>12</v>
      </c>
      <c r="D78" s="874" t="s">
        <v>1493</v>
      </c>
      <c r="E78" s="875" t="s">
        <v>13</v>
      </c>
      <c r="F78" s="852">
        <v>30.7</v>
      </c>
      <c r="G78" s="957"/>
      <c r="H78" s="622"/>
      <c r="I78" s="982"/>
      <c r="J78" s="622"/>
      <c r="K78" s="982"/>
    </row>
    <row r="79" spans="1:14" s="224" customFormat="1" ht="15" customHeight="1" x14ac:dyDescent="0.25">
      <c r="A79" s="215">
        <v>43844</v>
      </c>
      <c r="B79" s="349" t="s">
        <v>103</v>
      </c>
      <c r="C79" s="352" t="s">
        <v>12</v>
      </c>
      <c r="D79" s="874" t="s">
        <v>1489</v>
      </c>
      <c r="E79" s="875" t="s">
        <v>13</v>
      </c>
      <c r="F79" s="852">
        <v>2</v>
      </c>
      <c r="G79" s="957"/>
      <c r="H79" s="622"/>
      <c r="I79" s="982"/>
      <c r="J79" s="622"/>
      <c r="K79" s="982"/>
    </row>
    <row r="80" spans="1:14" s="224" customFormat="1" ht="15" customHeight="1" x14ac:dyDescent="0.25">
      <c r="A80" s="215">
        <v>43845</v>
      </c>
      <c r="B80" s="364" t="s">
        <v>32</v>
      </c>
      <c r="C80" s="350" t="s">
        <v>12</v>
      </c>
      <c r="D80" s="350" t="s">
        <v>1485</v>
      </c>
      <c r="E80" s="875" t="s">
        <v>15</v>
      </c>
      <c r="F80" s="852">
        <v>15</v>
      </c>
      <c r="G80" s="957"/>
      <c r="H80" s="622"/>
      <c r="I80" s="982"/>
      <c r="J80" s="622"/>
      <c r="K80" s="982"/>
    </row>
    <row r="81" spans="1:14" s="224" customFormat="1" ht="15" customHeight="1" x14ac:dyDescent="0.25">
      <c r="A81" s="215">
        <v>43845</v>
      </c>
      <c r="B81" s="349" t="s">
        <v>14</v>
      </c>
      <c r="C81" s="879" t="s">
        <v>12</v>
      </c>
      <c r="D81" s="879" t="s">
        <v>1486</v>
      </c>
      <c r="E81" s="871" t="s">
        <v>13</v>
      </c>
      <c r="F81" s="852">
        <v>10</v>
      </c>
      <c r="G81" s="957"/>
      <c r="H81" s="622"/>
      <c r="I81" s="982"/>
      <c r="J81" s="622"/>
      <c r="K81" s="982"/>
    </row>
    <row r="82" spans="1:14" s="224" customFormat="1" ht="15.75" customHeight="1" x14ac:dyDescent="0.25">
      <c r="A82" s="215">
        <v>43846</v>
      </c>
      <c r="B82" s="882" t="s">
        <v>2539</v>
      </c>
      <c r="C82" s="879" t="s">
        <v>12</v>
      </c>
      <c r="D82" s="879" t="s">
        <v>1499</v>
      </c>
      <c r="E82" s="871" t="s">
        <v>13</v>
      </c>
      <c r="F82" s="853">
        <v>105.24</v>
      </c>
      <c r="G82" s="968"/>
      <c r="H82" s="538"/>
      <c r="I82" s="982"/>
      <c r="J82" s="622"/>
      <c r="K82" s="982"/>
      <c r="L82" s="939"/>
    </row>
    <row r="83" spans="1:14" s="224" customFormat="1" ht="15" customHeight="1" x14ac:dyDescent="0.25">
      <c r="A83" s="215">
        <v>43846</v>
      </c>
      <c r="B83" s="349" t="s">
        <v>14</v>
      </c>
      <c r="C83" s="879" t="s">
        <v>12</v>
      </c>
      <c r="D83" s="879" t="s">
        <v>1486</v>
      </c>
      <c r="E83" s="871" t="s">
        <v>13</v>
      </c>
      <c r="F83" s="852">
        <v>4.22</v>
      </c>
      <c r="G83" s="957"/>
      <c r="H83" s="622"/>
      <c r="I83" s="982"/>
      <c r="J83" s="622"/>
      <c r="K83" s="982"/>
    </row>
    <row r="84" spans="1:14" s="224" customFormat="1" ht="15" customHeight="1" x14ac:dyDescent="0.25">
      <c r="A84" s="215">
        <v>43847</v>
      </c>
      <c r="B84" s="349" t="s">
        <v>2540</v>
      </c>
      <c r="C84" s="350" t="s">
        <v>12</v>
      </c>
      <c r="D84" s="350" t="s">
        <v>1489</v>
      </c>
      <c r="E84" s="871" t="s">
        <v>13</v>
      </c>
      <c r="F84" s="780">
        <v>20</v>
      </c>
      <c r="G84" s="946"/>
      <c r="H84" s="97"/>
      <c r="I84" s="946"/>
      <c r="J84" s="97"/>
      <c r="K84" s="946"/>
      <c r="N84" s="930"/>
    </row>
    <row r="85" spans="1:14" s="224" customFormat="1" ht="15" customHeight="1" x14ac:dyDescent="0.25">
      <c r="A85" s="215">
        <v>43847</v>
      </c>
      <c r="B85" s="364" t="s">
        <v>32</v>
      </c>
      <c r="C85" s="350" t="s">
        <v>12</v>
      </c>
      <c r="D85" s="350" t="s">
        <v>1485</v>
      </c>
      <c r="E85" s="871" t="s">
        <v>13</v>
      </c>
      <c r="F85" s="852">
        <v>15</v>
      </c>
      <c r="G85" s="946"/>
      <c r="H85" s="97"/>
      <c r="I85" s="946"/>
      <c r="J85" s="97"/>
      <c r="K85" s="946"/>
      <c r="N85" s="930"/>
    </row>
    <row r="86" spans="1:14" s="224" customFormat="1" ht="15" customHeight="1" x14ac:dyDescent="0.25">
      <c r="A86" s="215">
        <v>43847</v>
      </c>
      <c r="B86" s="349" t="s">
        <v>82</v>
      </c>
      <c r="C86" s="352" t="s">
        <v>12</v>
      </c>
      <c r="D86" s="874" t="s">
        <v>1493</v>
      </c>
      <c r="E86" s="875" t="s">
        <v>13</v>
      </c>
      <c r="F86" s="852">
        <v>27.44</v>
      </c>
      <c r="G86" s="957"/>
      <c r="H86" s="622"/>
      <c r="I86" s="982"/>
      <c r="J86" s="622"/>
      <c r="K86" s="982"/>
    </row>
    <row r="87" spans="1:14" s="224" customFormat="1" ht="15" customHeight="1" x14ac:dyDescent="0.25">
      <c r="A87" s="215">
        <v>43848</v>
      </c>
      <c r="B87" s="349" t="s">
        <v>14</v>
      </c>
      <c r="C87" s="879" t="s">
        <v>12</v>
      </c>
      <c r="D87" s="879" t="s">
        <v>1486</v>
      </c>
      <c r="E87" s="871" t="s">
        <v>13</v>
      </c>
      <c r="F87" s="780">
        <v>6.51</v>
      </c>
      <c r="G87" s="946"/>
      <c r="H87" s="97"/>
      <c r="I87" s="946"/>
      <c r="J87" s="97"/>
      <c r="K87" s="946"/>
      <c r="N87" s="930"/>
    </row>
    <row r="88" spans="1:14" s="224" customFormat="1" ht="15" customHeight="1" x14ac:dyDescent="0.25">
      <c r="A88" s="215">
        <v>43848</v>
      </c>
      <c r="B88" s="349" t="s">
        <v>1438</v>
      </c>
      <c r="C88" s="879" t="s">
        <v>19</v>
      </c>
      <c r="D88" s="879" t="s">
        <v>1489</v>
      </c>
      <c r="E88" s="871" t="s">
        <v>13</v>
      </c>
      <c r="F88" s="780">
        <v>62.83</v>
      </c>
      <c r="G88" s="946"/>
      <c r="H88" s="97"/>
      <c r="I88" s="946"/>
      <c r="J88" s="97"/>
      <c r="K88" s="946"/>
      <c r="N88" s="930"/>
    </row>
    <row r="89" spans="1:14" s="224" customFormat="1" ht="15" customHeight="1" x14ac:dyDescent="0.25">
      <c r="A89" s="215">
        <v>43848</v>
      </c>
      <c r="B89" s="349" t="s">
        <v>80</v>
      </c>
      <c r="C89" s="879" t="s">
        <v>19</v>
      </c>
      <c r="D89" s="879" t="s">
        <v>1523</v>
      </c>
      <c r="E89" s="871" t="s">
        <v>13</v>
      </c>
      <c r="F89" s="780">
        <v>30</v>
      </c>
      <c r="G89" s="946"/>
      <c r="H89" s="97"/>
      <c r="I89" s="946"/>
      <c r="J89" s="97"/>
      <c r="K89" s="946"/>
      <c r="N89" s="930"/>
    </row>
    <row r="90" spans="1:14" s="224" customFormat="1" ht="15" customHeight="1" x14ac:dyDescent="0.25">
      <c r="A90" s="215">
        <v>43849</v>
      </c>
      <c r="B90" s="349" t="s">
        <v>2541</v>
      </c>
      <c r="C90" s="350" t="s">
        <v>12</v>
      </c>
      <c r="D90" s="350" t="s">
        <v>1489</v>
      </c>
      <c r="E90" s="480" t="s">
        <v>15</v>
      </c>
      <c r="F90" s="780">
        <v>15</v>
      </c>
      <c r="G90" s="957"/>
      <c r="H90" s="622"/>
      <c r="I90" s="982"/>
      <c r="J90" s="622"/>
      <c r="K90" s="982"/>
      <c r="L90" s="948"/>
    </row>
    <row r="91" spans="1:14" s="224" customFormat="1" ht="15" customHeight="1" x14ac:dyDescent="0.25">
      <c r="A91" s="215">
        <v>43849</v>
      </c>
      <c r="B91" s="349" t="s">
        <v>1231</v>
      </c>
      <c r="C91" s="350" t="s">
        <v>12</v>
      </c>
      <c r="D91" s="350" t="s">
        <v>1489</v>
      </c>
      <c r="E91" s="480" t="s">
        <v>15</v>
      </c>
      <c r="F91" s="780">
        <v>30</v>
      </c>
      <c r="G91" s="957"/>
      <c r="H91" s="622"/>
      <c r="I91" s="982"/>
      <c r="J91" s="622"/>
      <c r="K91" s="982"/>
      <c r="L91" s="948"/>
    </row>
    <row r="92" spans="1:14" s="224" customFormat="1" ht="15" customHeight="1" x14ac:dyDescent="0.25">
      <c r="A92" s="215">
        <v>43849</v>
      </c>
      <c r="B92" s="349" t="s">
        <v>2542</v>
      </c>
      <c r="C92" s="350" t="s">
        <v>12</v>
      </c>
      <c r="D92" s="350" t="s">
        <v>1493</v>
      </c>
      <c r="E92" s="480" t="s">
        <v>13</v>
      </c>
      <c r="F92" s="780">
        <v>8</v>
      </c>
      <c r="G92" s="957"/>
      <c r="H92" s="622"/>
      <c r="I92" s="982"/>
      <c r="J92" s="622"/>
      <c r="K92" s="982"/>
      <c r="L92" s="948"/>
    </row>
    <row r="93" spans="1:14" s="224" customFormat="1" ht="15" customHeight="1" x14ac:dyDescent="0.25">
      <c r="A93" s="215">
        <v>43849</v>
      </c>
      <c r="B93" s="364" t="s">
        <v>311</v>
      </c>
      <c r="C93" s="350"/>
      <c r="D93" s="350"/>
      <c r="E93" s="480"/>
      <c r="F93" s="538"/>
      <c r="G93" s="627"/>
      <c r="H93" s="97"/>
      <c r="I93" s="946">
        <v>5.17</v>
      </c>
      <c r="J93" s="622"/>
      <c r="K93" s="982"/>
    </row>
    <row r="94" spans="1:14" s="224" customFormat="1" ht="15" customHeight="1" x14ac:dyDescent="0.25">
      <c r="A94" s="215">
        <v>43850</v>
      </c>
      <c r="B94" s="364" t="s">
        <v>2269</v>
      </c>
      <c r="C94" s="350" t="s">
        <v>12</v>
      </c>
      <c r="D94" s="350" t="s">
        <v>2168</v>
      </c>
      <c r="E94" s="875" t="s">
        <v>13</v>
      </c>
      <c r="F94" s="852">
        <v>30.78</v>
      </c>
      <c r="G94" s="946"/>
      <c r="H94" s="97"/>
      <c r="I94" s="946"/>
      <c r="J94" s="97"/>
      <c r="K94" s="946"/>
      <c r="L94" s="923"/>
      <c r="N94" s="930"/>
    </row>
    <row r="95" spans="1:14" s="224" customFormat="1" ht="15" customHeight="1" x14ac:dyDescent="0.25">
      <c r="A95" s="215">
        <v>43850</v>
      </c>
      <c r="B95" s="364" t="s">
        <v>1241</v>
      </c>
      <c r="C95" s="350" t="s">
        <v>12</v>
      </c>
      <c r="D95" s="350" t="s">
        <v>1504</v>
      </c>
      <c r="E95" s="875" t="s">
        <v>13</v>
      </c>
      <c r="F95" s="780">
        <v>12</v>
      </c>
      <c r="G95" s="946"/>
      <c r="H95" s="97"/>
      <c r="I95" s="946"/>
      <c r="J95" s="97"/>
      <c r="K95" s="946"/>
      <c r="L95" s="923"/>
      <c r="N95" s="930"/>
    </row>
    <row r="96" spans="1:14" s="224" customFormat="1" ht="15" customHeight="1" x14ac:dyDescent="0.25">
      <c r="A96" s="215">
        <v>43850</v>
      </c>
      <c r="B96" s="882" t="s">
        <v>2543</v>
      </c>
      <c r="C96" s="350" t="s">
        <v>12</v>
      </c>
      <c r="D96" s="350"/>
      <c r="E96" s="480" t="s">
        <v>25</v>
      </c>
      <c r="F96" s="622"/>
      <c r="G96" s="982">
        <v>1494</v>
      </c>
      <c r="H96" s="622"/>
      <c r="I96" s="982"/>
      <c r="J96" s="622"/>
      <c r="K96" s="982"/>
      <c r="L96" s="459"/>
    </row>
    <row r="97" spans="1:14" s="224" customFormat="1" x14ac:dyDescent="0.25">
      <c r="A97" s="215">
        <v>43850</v>
      </c>
      <c r="B97" s="873" t="s">
        <v>1564</v>
      </c>
      <c r="C97" s="879" t="s">
        <v>12</v>
      </c>
      <c r="D97" s="350" t="s">
        <v>1491</v>
      </c>
      <c r="E97" s="871" t="s">
        <v>15</v>
      </c>
      <c r="F97" s="853">
        <v>140</v>
      </c>
      <c r="G97" s="964"/>
      <c r="H97" s="622"/>
      <c r="I97" s="982"/>
      <c r="J97" s="622"/>
      <c r="K97" s="982"/>
      <c r="L97" s="984"/>
    </row>
    <row r="98" spans="1:14" s="224" customFormat="1" ht="15" customHeight="1" x14ac:dyDescent="0.25">
      <c r="A98" s="215">
        <v>43850</v>
      </c>
      <c r="B98" s="349" t="s">
        <v>2544</v>
      </c>
      <c r="C98" s="350" t="s">
        <v>12</v>
      </c>
      <c r="D98" s="350" t="s">
        <v>1491</v>
      </c>
      <c r="E98" s="480" t="s">
        <v>15</v>
      </c>
      <c r="F98" s="852">
        <v>60</v>
      </c>
      <c r="G98" s="965"/>
      <c r="H98" s="97"/>
      <c r="I98" s="946"/>
      <c r="J98" s="97"/>
      <c r="K98" s="946"/>
      <c r="L98" s="923">
        <v>110</v>
      </c>
      <c r="M98" s="224" t="s">
        <v>2545</v>
      </c>
      <c r="N98" s="930"/>
    </row>
    <row r="99" spans="1:14" s="224" customFormat="1" ht="15" customHeight="1" x14ac:dyDescent="0.25">
      <c r="A99" s="215">
        <v>43850</v>
      </c>
      <c r="B99" s="862" t="s">
        <v>2302</v>
      </c>
      <c r="C99" s="350" t="s">
        <v>12</v>
      </c>
      <c r="D99" s="874" t="s">
        <v>1504</v>
      </c>
      <c r="E99" s="887" t="s">
        <v>13</v>
      </c>
      <c r="F99" s="852">
        <v>42.79</v>
      </c>
      <c r="G99" s="965"/>
      <c r="H99" s="97"/>
      <c r="I99" s="946"/>
      <c r="J99" s="97"/>
      <c r="K99" s="946"/>
      <c r="L99" s="923">
        <v>92.79</v>
      </c>
      <c r="N99" s="930"/>
    </row>
    <row r="100" spans="1:14" s="224" customFormat="1" ht="15" customHeight="1" x14ac:dyDescent="0.25">
      <c r="A100" s="215">
        <v>43850</v>
      </c>
      <c r="B100" s="862" t="s">
        <v>256</v>
      </c>
      <c r="C100" s="350"/>
      <c r="D100" s="350"/>
      <c r="E100" s="875"/>
      <c r="F100" s="780"/>
      <c r="G100" s="989">
        <v>903.62</v>
      </c>
      <c r="H100" s="97">
        <v>903.62</v>
      </c>
      <c r="I100" s="946"/>
      <c r="J100" s="97"/>
      <c r="K100" s="946"/>
      <c r="L100" s="459"/>
    </row>
    <row r="101" spans="1:14" s="224" customFormat="1" ht="15" customHeight="1" x14ac:dyDescent="0.25">
      <c r="A101" s="215">
        <v>43850</v>
      </c>
      <c r="B101" s="364" t="s">
        <v>2546</v>
      </c>
      <c r="C101" s="350" t="s">
        <v>304</v>
      </c>
      <c r="D101" s="350" t="s">
        <v>1525</v>
      </c>
      <c r="E101" s="871" t="s">
        <v>15</v>
      </c>
      <c r="F101" s="852">
        <v>1500</v>
      </c>
      <c r="G101" s="946"/>
      <c r="H101" s="97"/>
      <c r="I101" s="946"/>
      <c r="J101" s="97"/>
      <c r="K101" s="946"/>
      <c r="N101" s="930"/>
    </row>
    <row r="102" spans="1:14" s="224" customFormat="1" ht="15" customHeight="1" x14ac:dyDescent="0.25">
      <c r="A102" s="215">
        <v>43851</v>
      </c>
      <c r="B102" s="364" t="s">
        <v>32</v>
      </c>
      <c r="C102" s="350" t="s">
        <v>12</v>
      </c>
      <c r="D102" s="350" t="s">
        <v>1485</v>
      </c>
      <c r="E102" s="871" t="s">
        <v>15</v>
      </c>
      <c r="F102" s="852">
        <v>15</v>
      </c>
      <c r="G102" s="946"/>
      <c r="H102" s="97"/>
      <c r="I102" s="946"/>
      <c r="J102" s="97"/>
      <c r="K102" s="946"/>
      <c r="N102" s="930"/>
    </row>
    <row r="103" spans="1:14" s="224" customFormat="1" ht="15" customHeight="1" x14ac:dyDescent="0.25">
      <c r="A103" s="215">
        <v>43851</v>
      </c>
      <c r="B103" s="349" t="s">
        <v>2528</v>
      </c>
      <c r="C103" s="350" t="s">
        <v>12</v>
      </c>
      <c r="D103" s="350" t="s">
        <v>1491</v>
      </c>
      <c r="E103" s="480" t="s">
        <v>15</v>
      </c>
      <c r="F103" s="852">
        <v>100</v>
      </c>
      <c r="G103" s="965"/>
      <c r="H103" s="97"/>
      <c r="I103" s="946"/>
      <c r="J103" s="97"/>
      <c r="K103" s="946"/>
      <c r="L103" s="923"/>
      <c r="N103" s="930"/>
    </row>
    <row r="104" spans="1:14" s="224" customFormat="1" ht="15" customHeight="1" x14ac:dyDescent="0.25">
      <c r="A104" s="215">
        <v>43851</v>
      </c>
      <c r="B104" s="349" t="s">
        <v>2251</v>
      </c>
      <c r="C104" s="350" t="s">
        <v>12</v>
      </c>
      <c r="D104" s="350" t="s">
        <v>2157</v>
      </c>
      <c r="E104" s="480" t="s">
        <v>15</v>
      </c>
      <c r="F104" s="852">
        <v>50</v>
      </c>
      <c r="G104" s="965"/>
      <c r="H104" s="97"/>
      <c r="I104" s="946"/>
      <c r="J104" s="97"/>
      <c r="K104" s="946"/>
      <c r="L104" s="923"/>
      <c r="N104" s="930"/>
    </row>
    <row r="105" spans="1:14" s="224" customFormat="1" x14ac:dyDescent="0.25">
      <c r="A105" s="215">
        <v>43851</v>
      </c>
      <c r="B105" s="349" t="s">
        <v>14</v>
      </c>
      <c r="C105" s="879" t="s">
        <v>12</v>
      </c>
      <c r="D105" s="879" t="s">
        <v>1486</v>
      </c>
      <c r="E105" s="871" t="s">
        <v>13</v>
      </c>
      <c r="F105" s="853">
        <v>4.37</v>
      </c>
      <c r="G105" s="964"/>
      <c r="H105" s="622"/>
      <c r="I105" s="982"/>
      <c r="J105" s="622"/>
      <c r="K105" s="982"/>
      <c r="L105" s="984"/>
    </row>
    <row r="106" spans="1:14" s="224" customFormat="1" ht="15" customHeight="1" x14ac:dyDescent="0.25">
      <c r="A106" s="215">
        <v>43852</v>
      </c>
      <c r="B106" s="364" t="s">
        <v>32</v>
      </c>
      <c r="C106" s="350" t="s">
        <v>12</v>
      </c>
      <c r="D106" s="350" t="s">
        <v>1485</v>
      </c>
      <c r="E106" s="875" t="s">
        <v>13</v>
      </c>
      <c r="F106" s="852">
        <v>15</v>
      </c>
      <c r="G106" s="946"/>
      <c r="H106" s="97"/>
      <c r="I106" s="946"/>
      <c r="J106" s="97"/>
      <c r="K106" s="946"/>
      <c r="N106" s="930"/>
    </row>
    <row r="107" spans="1:14" s="224" customFormat="1" ht="15" customHeight="1" x14ac:dyDescent="0.25">
      <c r="A107" s="215">
        <v>43852</v>
      </c>
      <c r="B107" s="364" t="s">
        <v>17</v>
      </c>
      <c r="C107" s="352" t="s">
        <v>12</v>
      </c>
      <c r="D107" s="874" t="s">
        <v>1493</v>
      </c>
      <c r="E107" s="875" t="s">
        <v>13</v>
      </c>
      <c r="F107" s="852">
        <v>10</v>
      </c>
      <c r="G107" s="957"/>
      <c r="H107" s="622"/>
      <c r="I107" s="982"/>
      <c r="J107" s="622"/>
      <c r="K107" s="982"/>
    </row>
    <row r="108" spans="1:14" s="224" customFormat="1" x14ac:dyDescent="0.25">
      <c r="A108" s="215">
        <v>43852</v>
      </c>
      <c r="B108" s="349" t="s">
        <v>14</v>
      </c>
      <c r="C108" s="879" t="s">
        <v>12</v>
      </c>
      <c r="D108" s="879" t="s">
        <v>1486</v>
      </c>
      <c r="E108" s="871" t="s">
        <v>13</v>
      </c>
      <c r="F108" s="853">
        <v>3.69</v>
      </c>
      <c r="G108" s="964"/>
      <c r="H108" s="622"/>
      <c r="I108" s="982"/>
      <c r="J108" s="622"/>
      <c r="K108" s="982"/>
      <c r="L108" s="984"/>
    </row>
    <row r="109" spans="1:14" s="224" customFormat="1" ht="15" customHeight="1" x14ac:dyDescent="0.25">
      <c r="A109" s="215">
        <v>43853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852">
        <v>15</v>
      </c>
      <c r="G109" s="946"/>
      <c r="H109" s="97"/>
      <c r="I109" s="946"/>
      <c r="J109" s="97"/>
      <c r="K109" s="946"/>
      <c r="N109" s="930"/>
    </row>
    <row r="110" spans="1:14" s="224" customFormat="1" ht="15" customHeight="1" x14ac:dyDescent="0.25">
      <c r="A110" s="215">
        <v>43853</v>
      </c>
      <c r="B110" s="364" t="s">
        <v>81</v>
      </c>
      <c r="C110" s="352" t="s">
        <v>12</v>
      </c>
      <c r="D110" s="874" t="s">
        <v>1493</v>
      </c>
      <c r="E110" s="875" t="s">
        <v>13</v>
      </c>
      <c r="F110" s="852">
        <v>2.5</v>
      </c>
      <c r="G110" s="957"/>
      <c r="H110" s="622"/>
      <c r="I110" s="982"/>
      <c r="J110" s="622"/>
      <c r="K110" s="982"/>
    </row>
    <row r="111" spans="1:14" s="224" customFormat="1" ht="15" customHeight="1" x14ac:dyDescent="0.25">
      <c r="A111" s="215">
        <v>43853</v>
      </c>
      <c r="B111" s="349" t="s">
        <v>14</v>
      </c>
      <c r="C111" s="879" t="s">
        <v>12</v>
      </c>
      <c r="D111" s="879" t="s">
        <v>1486</v>
      </c>
      <c r="E111" s="871" t="s">
        <v>13</v>
      </c>
      <c r="F111" s="852">
        <v>3.71</v>
      </c>
      <c r="G111" s="964"/>
      <c r="H111" s="622"/>
      <c r="I111" s="982"/>
      <c r="J111" s="622"/>
      <c r="K111" s="982"/>
      <c r="L111" s="923"/>
    </row>
    <row r="112" spans="1:14" s="224" customFormat="1" ht="15" customHeight="1" x14ac:dyDescent="0.25">
      <c r="A112" s="215">
        <v>43854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852">
        <v>15</v>
      </c>
      <c r="G112" s="946"/>
      <c r="H112" s="97"/>
      <c r="I112" s="946"/>
      <c r="J112" s="97"/>
      <c r="K112" s="946"/>
      <c r="N112" s="930"/>
    </row>
    <row r="113" spans="1:14" s="224" customFormat="1" ht="15" customHeight="1" x14ac:dyDescent="0.25">
      <c r="A113" s="215">
        <v>43854</v>
      </c>
      <c r="B113" s="349" t="s">
        <v>1438</v>
      </c>
      <c r="C113" s="350" t="s">
        <v>12</v>
      </c>
      <c r="D113" s="350" t="s">
        <v>1489</v>
      </c>
      <c r="E113" s="480" t="s">
        <v>13</v>
      </c>
      <c r="F113" s="852">
        <v>13.08</v>
      </c>
      <c r="G113" s="965"/>
      <c r="H113" s="97"/>
      <c r="I113" s="946"/>
      <c r="J113" s="97"/>
      <c r="K113" s="946"/>
      <c r="L113" s="923"/>
      <c r="N113" s="930"/>
    </row>
    <row r="114" spans="1:14" s="224" customFormat="1" ht="15" customHeight="1" x14ac:dyDescent="0.25">
      <c r="A114" s="215">
        <v>43854</v>
      </c>
      <c r="B114" s="349" t="s">
        <v>14</v>
      </c>
      <c r="C114" s="879" t="s">
        <v>12</v>
      </c>
      <c r="D114" s="879" t="s">
        <v>1486</v>
      </c>
      <c r="E114" s="871" t="s">
        <v>13</v>
      </c>
      <c r="F114" s="852">
        <v>4.9000000000000004</v>
      </c>
      <c r="G114" s="964"/>
      <c r="H114" s="622"/>
      <c r="I114" s="982"/>
      <c r="J114" s="622"/>
      <c r="K114" s="982"/>
      <c r="L114" s="923"/>
    </row>
    <row r="115" spans="1:14" s="224" customFormat="1" ht="15" customHeight="1" x14ac:dyDescent="0.25">
      <c r="A115" s="215">
        <v>43855</v>
      </c>
      <c r="B115" s="364" t="s">
        <v>32</v>
      </c>
      <c r="C115" s="350" t="s">
        <v>12</v>
      </c>
      <c r="D115" s="350" t="s">
        <v>1485</v>
      </c>
      <c r="E115" s="875" t="s">
        <v>13</v>
      </c>
      <c r="F115" s="852">
        <v>30</v>
      </c>
      <c r="G115" s="946"/>
      <c r="H115" s="97"/>
      <c r="I115" s="946"/>
      <c r="J115" s="97"/>
      <c r="K115" s="946"/>
      <c r="N115" s="930"/>
    </row>
    <row r="116" spans="1:14" s="224" customFormat="1" ht="15" customHeight="1" x14ac:dyDescent="0.25">
      <c r="A116" s="215">
        <v>43855</v>
      </c>
      <c r="B116" s="349" t="s">
        <v>43</v>
      </c>
      <c r="C116" s="352" t="s">
        <v>12</v>
      </c>
      <c r="D116" s="874" t="s">
        <v>1493</v>
      </c>
      <c r="E116" s="875" t="s">
        <v>13</v>
      </c>
      <c r="F116" s="852">
        <v>18</v>
      </c>
      <c r="G116" s="957"/>
      <c r="H116" s="622"/>
      <c r="I116" s="982"/>
      <c r="J116" s="622"/>
      <c r="K116" s="982"/>
    </row>
    <row r="117" spans="1:14" s="224" customFormat="1" x14ac:dyDescent="0.25">
      <c r="A117" s="215">
        <v>43855</v>
      </c>
      <c r="B117" s="873" t="s">
        <v>82</v>
      </c>
      <c r="C117" s="879" t="s">
        <v>12</v>
      </c>
      <c r="D117" s="350" t="s">
        <v>1493</v>
      </c>
      <c r="E117" s="871" t="s">
        <v>13</v>
      </c>
      <c r="F117" s="853">
        <v>42.8</v>
      </c>
      <c r="G117" s="964"/>
      <c r="H117" s="622"/>
      <c r="I117" s="982"/>
      <c r="J117" s="622"/>
      <c r="K117" s="982"/>
      <c r="L117" s="984"/>
    </row>
    <row r="118" spans="1:14" s="224" customFormat="1" ht="15" customHeight="1" x14ac:dyDescent="0.25">
      <c r="A118" s="215">
        <v>43856</v>
      </c>
      <c r="B118" s="364"/>
      <c r="C118" s="350"/>
      <c r="D118" s="350"/>
      <c r="E118" s="875"/>
      <c r="F118" s="852"/>
      <c r="G118" s="964"/>
      <c r="H118" s="622"/>
      <c r="I118" s="982"/>
      <c r="J118" s="622"/>
      <c r="K118" s="982"/>
      <c r="L118" s="923"/>
    </row>
    <row r="119" spans="1:14" s="224" customFormat="1" ht="15" customHeight="1" x14ac:dyDescent="0.25">
      <c r="A119" s="215">
        <v>43857</v>
      </c>
      <c r="B119" s="364" t="s">
        <v>32</v>
      </c>
      <c r="C119" s="350" t="s">
        <v>12</v>
      </c>
      <c r="D119" s="350" t="s">
        <v>1485</v>
      </c>
      <c r="E119" s="875" t="s">
        <v>15</v>
      </c>
      <c r="F119" s="852">
        <v>15</v>
      </c>
      <c r="G119" s="946"/>
      <c r="H119" s="97"/>
      <c r="I119" s="946"/>
      <c r="J119" s="97"/>
      <c r="K119" s="946"/>
      <c r="N119" s="930"/>
    </row>
    <row r="120" spans="1:14" s="224" customFormat="1" ht="15" customHeight="1" x14ac:dyDescent="0.25">
      <c r="A120" s="215">
        <v>43857</v>
      </c>
      <c r="B120" s="364" t="s">
        <v>1597</v>
      </c>
      <c r="C120" s="350" t="s">
        <v>12</v>
      </c>
      <c r="D120" s="350" t="s">
        <v>1491</v>
      </c>
      <c r="E120" s="875" t="s">
        <v>15</v>
      </c>
      <c r="F120" s="852">
        <v>50</v>
      </c>
      <c r="G120" s="964"/>
      <c r="H120" s="622"/>
      <c r="I120" s="982"/>
      <c r="J120" s="622"/>
      <c r="K120" s="982"/>
      <c r="L120" s="923"/>
    </row>
    <row r="121" spans="1:14" s="224" customFormat="1" ht="15" customHeight="1" x14ac:dyDescent="0.25">
      <c r="A121" s="215">
        <v>43857</v>
      </c>
      <c r="B121" s="349" t="s">
        <v>2251</v>
      </c>
      <c r="C121" s="350" t="s">
        <v>12</v>
      </c>
      <c r="D121" s="350" t="s">
        <v>2157</v>
      </c>
      <c r="E121" s="480" t="s">
        <v>15</v>
      </c>
      <c r="F121" s="852">
        <v>30</v>
      </c>
      <c r="G121" s="965"/>
      <c r="H121" s="97"/>
      <c r="I121" s="946"/>
      <c r="J121" s="97"/>
      <c r="K121" s="946"/>
      <c r="L121" s="923"/>
      <c r="N121" s="930"/>
    </row>
    <row r="122" spans="1:14" s="224" customFormat="1" ht="15" customHeight="1" x14ac:dyDescent="0.25">
      <c r="A122" s="215">
        <v>43857</v>
      </c>
      <c r="B122" s="349" t="s">
        <v>14</v>
      </c>
      <c r="C122" s="879" t="s">
        <v>12</v>
      </c>
      <c r="D122" s="879" t="s">
        <v>1486</v>
      </c>
      <c r="E122" s="871" t="s">
        <v>13</v>
      </c>
      <c r="F122" s="852">
        <v>13.18</v>
      </c>
      <c r="G122" s="964"/>
      <c r="H122" s="622"/>
      <c r="I122" s="982"/>
      <c r="J122" s="622"/>
      <c r="K122" s="982"/>
      <c r="L122" s="923"/>
    </row>
    <row r="123" spans="1:14" s="224" customFormat="1" ht="15" customHeight="1" x14ac:dyDescent="0.25">
      <c r="A123" s="215">
        <v>43858</v>
      </c>
      <c r="B123" s="364" t="s">
        <v>32</v>
      </c>
      <c r="C123" s="350" t="s">
        <v>12</v>
      </c>
      <c r="D123" s="350" t="s">
        <v>1485</v>
      </c>
      <c r="E123" s="875" t="s">
        <v>13</v>
      </c>
      <c r="F123" s="852">
        <v>15</v>
      </c>
      <c r="G123" s="946"/>
      <c r="H123" s="97"/>
      <c r="I123" s="946"/>
      <c r="J123" s="97"/>
      <c r="K123" s="946"/>
      <c r="N123" s="930"/>
    </row>
    <row r="124" spans="1:14" s="224" customFormat="1" ht="15" customHeight="1" x14ac:dyDescent="0.25">
      <c r="A124" s="215">
        <v>43858</v>
      </c>
      <c r="B124" s="364" t="s">
        <v>81</v>
      </c>
      <c r="C124" s="352" t="s">
        <v>12</v>
      </c>
      <c r="D124" s="874" t="s">
        <v>1493</v>
      </c>
      <c r="E124" s="875" t="s">
        <v>13</v>
      </c>
      <c r="F124" s="852">
        <v>2.5</v>
      </c>
      <c r="G124" s="957"/>
      <c r="H124" s="622"/>
      <c r="I124" s="982"/>
      <c r="J124" s="622"/>
      <c r="K124" s="982"/>
    </row>
    <row r="125" spans="1:14" s="224" customFormat="1" ht="15" customHeight="1" x14ac:dyDescent="0.25">
      <c r="A125" s="215">
        <v>43858</v>
      </c>
      <c r="B125" s="349" t="s">
        <v>14</v>
      </c>
      <c r="C125" s="879" t="s">
        <v>12</v>
      </c>
      <c r="D125" s="879" t="s">
        <v>1486</v>
      </c>
      <c r="E125" s="871" t="s">
        <v>13</v>
      </c>
      <c r="F125" s="852">
        <v>3.85</v>
      </c>
      <c r="G125" s="964"/>
      <c r="H125" s="622"/>
      <c r="I125" s="982"/>
      <c r="J125" s="622"/>
      <c r="K125" s="982"/>
      <c r="L125" s="923"/>
    </row>
    <row r="126" spans="1:14" s="224" customFormat="1" ht="15" customHeight="1" x14ac:dyDescent="0.25">
      <c r="A126" s="215">
        <v>43858</v>
      </c>
      <c r="B126" s="862" t="s">
        <v>2547</v>
      </c>
      <c r="C126" s="879" t="s">
        <v>12</v>
      </c>
      <c r="D126" s="879" t="s">
        <v>1524</v>
      </c>
      <c r="E126" s="871" t="s">
        <v>15</v>
      </c>
      <c r="F126" s="97">
        <v>11</v>
      </c>
      <c r="G126" s="946"/>
      <c r="H126" s="97"/>
      <c r="I126" s="982"/>
      <c r="J126" s="622"/>
      <c r="K126" s="982"/>
      <c r="L126" s="459"/>
    </row>
    <row r="127" spans="1:14" s="224" customFormat="1" ht="15" customHeight="1" x14ac:dyDescent="0.25">
      <c r="A127" s="215">
        <v>43858</v>
      </c>
      <c r="B127" s="862" t="s">
        <v>2548</v>
      </c>
      <c r="C127" s="879" t="s">
        <v>12</v>
      </c>
      <c r="D127" s="879" t="s">
        <v>1506</v>
      </c>
      <c r="E127" s="871" t="s">
        <v>15</v>
      </c>
      <c r="F127" s="97">
        <v>20</v>
      </c>
      <c r="G127" s="946"/>
      <c r="H127" s="97"/>
      <c r="I127" s="982"/>
      <c r="J127" s="622"/>
      <c r="K127" s="982"/>
      <c r="L127" s="459"/>
    </row>
    <row r="128" spans="1:14" s="224" customFormat="1" ht="15" customHeight="1" x14ac:dyDescent="0.25">
      <c r="A128" s="215">
        <v>43859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852">
        <v>15</v>
      </c>
      <c r="G128" s="957"/>
      <c r="H128" s="622"/>
      <c r="I128" s="982"/>
      <c r="J128" s="622"/>
      <c r="K128" s="982"/>
    </row>
    <row r="129" spans="1:14" s="224" customFormat="1" ht="15" customHeight="1" x14ac:dyDescent="0.25">
      <c r="A129" s="215">
        <v>43859</v>
      </c>
      <c r="B129" s="349" t="s">
        <v>14</v>
      </c>
      <c r="C129" s="879" t="s">
        <v>12</v>
      </c>
      <c r="D129" s="879" t="s">
        <v>1486</v>
      </c>
      <c r="E129" s="871" t="s">
        <v>13</v>
      </c>
      <c r="F129" s="852">
        <v>4.09</v>
      </c>
      <c r="G129" s="964"/>
      <c r="H129" s="622"/>
      <c r="I129" s="982"/>
      <c r="J129" s="622"/>
      <c r="K129" s="982"/>
      <c r="L129" s="923"/>
    </row>
    <row r="130" spans="1:14" s="224" customFormat="1" ht="15" customHeight="1" x14ac:dyDescent="0.25">
      <c r="A130" s="215">
        <v>43860</v>
      </c>
      <c r="B130" s="364" t="s">
        <v>32</v>
      </c>
      <c r="C130" s="350" t="s">
        <v>12</v>
      </c>
      <c r="D130" s="350" t="s">
        <v>1485</v>
      </c>
      <c r="E130" s="875" t="s">
        <v>13</v>
      </c>
      <c r="F130" s="852">
        <v>15</v>
      </c>
      <c r="G130" s="957"/>
      <c r="H130" s="622"/>
      <c r="I130" s="982"/>
      <c r="J130" s="622"/>
      <c r="K130" s="982"/>
    </row>
    <row r="131" spans="1:14" s="224" customFormat="1" ht="15" customHeight="1" x14ac:dyDescent="0.25">
      <c r="A131" s="215">
        <v>43860</v>
      </c>
      <c r="B131" s="862" t="s">
        <v>872</v>
      </c>
      <c r="C131" s="350" t="s">
        <v>12</v>
      </c>
      <c r="D131" s="874"/>
      <c r="E131" s="887" t="s">
        <v>25</v>
      </c>
      <c r="F131" s="852"/>
      <c r="G131" s="1527">
        <v>150</v>
      </c>
      <c r="H131" s="97"/>
      <c r="I131" s="982"/>
      <c r="J131" s="622"/>
      <c r="K131" s="982"/>
      <c r="L131" s="459"/>
    </row>
    <row r="132" spans="1:14" s="224" customFormat="1" ht="15" customHeight="1" x14ac:dyDescent="0.25">
      <c r="A132" s="215">
        <v>43860</v>
      </c>
      <c r="B132" s="862" t="s">
        <v>2549</v>
      </c>
      <c r="C132" s="350" t="s">
        <v>12</v>
      </c>
      <c r="D132" s="874" t="s">
        <v>1522</v>
      </c>
      <c r="E132" s="887" t="s">
        <v>13</v>
      </c>
      <c r="F132" s="852">
        <v>100</v>
      </c>
      <c r="G132" s="1527"/>
      <c r="H132" s="97"/>
      <c r="I132" s="982"/>
      <c r="J132" s="622"/>
      <c r="K132" s="982"/>
      <c r="L132" s="459"/>
    </row>
    <row r="133" spans="1:14" s="224" customFormat="1" ht="15" customHeight="1" x14ac:dyDescent="0.25">
      <c r="A133" s="215">
        <v>43860</v>
      </c>
      <c r="B133" s="349" t="s">
        <v>14</v>
      </c>
      <c r="C133" s="879" t="s">
        <v>12</v>
      </c>
      <c r="D133" s="879" t="s">
        <v>1486</v>
      </c>
      <c r="E133" s="871" t="s">
        <v>13</v>
      </c>
      <c r="F133" s="852">
        <v>4.33</v>
      </c>
      <c r="G133" s="964"/>
      <c r="H133" s="622"/>
      <c r="I133" s="982"/>
      <c r="J133" s="622"/>
      <c r="K133" s="982"/>
      <c r="L133" s="923"/>
    </row>
    <row r="134" spans="1:14" s="224" customFormat="1" ht="15" customHeight="1" x14ac:dyDescent="0.25">
      <c r="A134" s="215">
        <v>43860</v>
      </c>
      <c r="B134" s="349" t="s">
        <v>2251</v>
      </c>
      <c r="C134" s="350" t="s">
        <v>12</v>
      </c>
      <c r="D134" s="350" t="s">
        <v>2157</v>
      </c>
      <c r="E134" s="480" t="s">
        <v>15</v>
      </c>
      <c r="F134" s="852">
        <v>50</v>
      </c>
      <c r="G134" s="1527"/>
      <c r="H134" s="97"/>
      <c r="I134" s="982"/>
      <c r="J134" s="622"/>
      <c r="K134" s="982"/>
      <c r="L134" s="459"/>
    </row>
    <row r="135" spans="1:14" s="224" customFormat="1" ht="15" customHeight="1" x14ac:dyDescent="0.25">
      <c r="A135" s="215">
        <v>43860</v>
      </c>
      <c r="B135" s="364" t="s">
        <v>2510</v>
      </c>
      <c r="C135" s="350" t="s">
        <v>12</v>
      </c>
      <c r="D135" s="350" t="s">
        <v>1506</v>
      </c>
      <c r="E135" s="875" t="s">
        <v>15</v>
      </c>
      <c r="F135" s="780">
        <v>40</v>
      </c>
      <c r="G135" s="946"/>
      <c r="H135" s="97"/>
      <c r="I135" s="946"/>
      <c r="J135" s="97"/>
      <c r="K135" s="946"/>
      <c r="L135" s="923"/>
      <c r="N135" s="930"/>
    </row>
    <row r="136" spans="1:14" s="224" customFormat="1" ht="15" customHeight="1" x14ac:dyDescent="0.25">
      <c r="A136" s="215">
        <v>43861</v>
      </c>
      <c r="B136" s="862" t="s">
        <v>256</v>
      </c>
      <c r="C136" s="350"/>
      <c r="D136" s="350"/>
      <c r="E136" s="875"/>
      <c r="F136" s="780"/>
      <c r="G136" s="989">
        <v>301.55</v>
      </c>
      <c r="H136" s="97">
        <v>301.55</v>
      </c>
      <c r="I136" s="946"/>
      <c r="J136" s="97"/>
      <c r="K136" s="946"/>
      <c r="L136" s="459"/>
    </row>
    <row r="137" spans="1:14" s="224" customFormat="1" ht="15" customHeight="1" x14ac:dyDescent="0.25">
      <c r="A137" s="215">
        <v>43861</v>
      </c>
      <c r="B137" s="364" t="s">
        <v>32</v>
      </c>
      <c r="C137" s="350" t="s">
        <v>12</v>
      </c>
      <c r="D137" s="350" t="s">
        <v>1485</v>
      </c>
      <c r="E137" s="875" t="s">
        <v>13</v>
      </c>
      <c r="F137" s="852">
        <v>15</v>
      </c>
      <c r="G137" s="957"/>
      <c r="H137" s="622"/>
      <c r="I137" s="982"/>
      <c r="J137" s="622"/>
      <c r="K137" s="982"/>
    </row>
    <row r="138" spans="1:14" s="224" customFormat="1" ht="15" customHeight="1" x14ac:dyDescent="0.25">
      <c r="A138" s="215">
        <v>43861</v>
      </c>
      <c r="B138" s="364" t="s">
        <v>17</v>
      </c>
      <c r="C138" s="352" t="s">
        <v>12</v>
      </c>
      <c r="D138" s="874" t="s">
        <v>1493</v>
      </c>
      <c r="E138" s="875" t="s">
        <v>13</v>
      </c>
      <c r="F138" s="852">
        <v>6</v>
      </c>
      <c r="G138" s="946"/>
      <c r="H138" s="97"/>
      <c r="I138" s="946"/>
      <c r="J138" s="97"/>
      <c r="K138" s="946"/>
      <c r="L138" s="923"/>
      <c r="N138" s="930"/>
    </row>
    <row r="139" spans="1:14" s="224" customFormat="1" ht="15" customHeight="1" x14ac:dyDescent="0.25">
      <c r="A139" s="215">
        <v>43861</v>
      </c>
      <c r="B139" s="364" t="s">
        <v>82</v>
      </c>
      <c r="C139" s="350" t="s">
        <v>12</v>
      </c>
      <c r="D139" s="350" t="s">
        <v>1493</v>
      </c>
      <c r="E139" s="480" t="s">
        <v>13</v>
      </c>
      <c r="F139" s="622">
        <v>21.4</v>
      </c>
      <c r="G139" s="982"/>
      <c r="H139" s="622"/>
      <c r="I139" s="982"/>
      <c r="J139" s="622"/>
      <c r="K139" s="982"/>
      <c r="L139" s="459"/>
    </row>
    <row r="140" spans="1:14" s="224" customFormat="1" ht="15" customHeight="1" x14ac:dyDescent="0.25">
      <c r="A140" s="215">
        <v>43861</v>
      </c>
      <c r="B140" s="364" t="s">
        <v>527</v>
      </c>
      <c r="C140" s="350" t="s">
        <v>12</v>
      </c>
      <c r="D140" s="350" t="s">
        <v>1493</v>
      </c>
      <c r="E140" s="480" t="s">
        <v>13</v>
      </c>
      <c r="F140" s="622">
        <v>9.68</v>
      </c>
      <c r="G140" s="982"/>
      <c r="H140" s="622"/>
      <c r="I140" s="982"/>
      <c r="J140" s="622"/>
      <c r="K140" s="982"/>
      <c r="L140" s="459"/>
    </row>
    <row r="141" spans="1:14" s="224" customFormat="1" x14ac:dyDescent="0.25">
      <c r="A141" s="215">
        <v>43861</v>
      </c>
      <c r="B141" s="862" t="s">
        <v>1666</v>
      </c>
      <c r="C141" s="350" t="s">
        <v>12</v>
      </c>
      <c r="D141" s="177"/>
      <c r="E141" s="141" t="s">
        <v>25</v>
      </c>
      <c r="F141" s="853"/>
      <c r="G141" s="964"/>
      <c r="H141" s="622"/>
      <c r="I141" s="982"/>
      <c r="J141" s="622"/>
      <c r="K141" s="982">
        <v>46.96</v>
      </c>
      <c r="L141" s="459"/>
    </row>
    <row r="142" spans="1:14" s="224" customFormat="1" ht="15" customHeight="1" thickBot="1" x14ac:dyDescent="0.3">
      <c r="A142" s="215">
        <v>43861</v>
      </c>
      <c r="B142" s="862" t="s">
        <v>1710</v>
      </c>
      <c r="C142" s="879" t="s">
        <v>12</v>
      </c>
      <c r="D142" s="879" t="s">
        <v>1504</v>
      </c>
      <c r="E142" s="871" t="s">
        <v>13</v>
      </c>
      <c r="F142" s="894">
        <v>32.9</v>
      </c>
      <c r="G142" s="301"/>
      <c r="H142" s="416"/>
      <c r="I142" s="1522"/>
      <c r="J142" s="416"/>
      <c r="K142" s="1522"/>
      <c r="L142" s="459"/>
    </row>
    <row r="143" spans="1:14" ht="25.5" customHeight="1" thickBot="1" x14ac:dyDescent="0.3">
      <c r="A143" s="3060"/>
      <c r="B143" s="3061"/>
      <c r="C143" s="3062"/>
      <c r="D143" s="3062"/>
      <c r="E143" s="3062"/>
      <c r="F143" s="100">
        <f>SUM(F6:F142)</f>
        <v>11637.960000000001</v>
      </c>
      <c r="G143" s="1534">
        <f>SUM(G5:G142)</f>
        <v>12101.056666666689</v>
      </c>
      <c r="H143" s="101">
        <f>SUM(H6:H142)</f>
        <v>6505.17</v>
      </c>
      <c r="I143" s="93">
        <f>SUM(I5:I142)</f>
        <v>7305.166000000002</v>
      </c>
      <c r="J143" s="527">
        <f>SUM(J6:J142)</f>
        <v>0</v>
      </c>
      <c r="K143" s="93">
        <f>SUM(K5:K142)</f>
        <v>11048.05</v>
      </c>
    </row>
    <row r="144" spans="1:14" ht="25.5" customHeight="1" thickBot="1" x14ac:dyDescent="0.3">
      <c r="A144" s="3117" t="s">
        <v>49</v>
      </c>
      <c r="B144" s="3118"/>
      <c r="C144" s="3118"/>
      <c r="D144" s="3118"/>
      <c r="E144" s="3118"/>
      <c r="F144" s="144"/>
      <c r="G144" s="519">
        <f>G143-F143</f>
        <v>463.09666666668818</v>
      </c>
      <c r="H144" s="555"/>
      <c r="I144" s="772">
        <f>I143-H143</f>
        <v>799.99600000000191</v>
      </c>
      <c r="J144" s="593"/>
      <c r="K144" s="772">
        <f>K143-J143</f>
        <v>11048.05</v>
      </c>
    </row>
    <row r="145" spans="1:12" x14ac:dyDescent="0.25">
      <c r="E145" s="79"/>
      <c r="G145" s="868"/>
    </row>
    <row r="146" spans="1:12" x14ac:dyDescent="0.25">
      <c r="B146" s="81" t="s">
        <v>3</v>
      </c>
      <c r="C146" s="193" t="s">
        <v>1484</v>
      </c>
      <c r="D146" s="970" t="s">
        <v>2378</v>
      </c>
      <c r="K146" s="866"/>
    </row>
    <row r="147" spans="1:12" x14ac:dyDescent="0.25">
      <c r="B147" s="79" t="s">
        <v>32</v>
      </c>
      <c r="C147" s="85" t="s">
        <v>1485</v>
      </c>
      <c r="D147" s="475">
        <f>SUMIF($D$7:$D$142,"A",$F$7:$F$142)</f>
        <v>300</v>
      </c>
      <c r="F147" s="79"/>
      <c r="I147" s="769"/>
      <c r="J147" s="868"/>
    </row>
    <row r="148" spans="1:12" x14ac:dyDescent="0.25">
      <c r="B148" s="79" t="s">
        <v>2187</v>
      </c>
      <c r="C148" s="85" t="s">
        <v>2157</v>
      </c>
      <c r="D148" s="475">
        <f>SUMIF($D$7:$D$142,"GAC",$F$7:$F$142)</f>
        <v>513.96</v>
      </c>
      <c r="J148" s="754"/>
      <c r="K148" s="886"/>
      <c r="L148" s="985"/>
    </row>
    <row r="149" spans="1:12" x14ac:dyDescent="0.25">
      <c r="B149" s="79" t="s">
        <v>2188</v>
      </c>
      <c r="C149" s="85" t="s">
        <v>2168</v>
      </c>
      <c r="D149" s="475">
        <f>SUMIF($D$7:$D$142,"GAM",$F$7:$F$142)</f>
        <v>30.78</v>
      </c>
      <c r="J149" s="864"/>
      <c r="K149" s="864"/>
      <c r="L149" s="958"/>
    </row>
    <row r="150" spans="1:12" s="85" customFormat="1" x14ac:dyDescent="0.25">
      <c r="A150" s="79"/>
      <c r="B150" s="79" t="s">
        <v>50</v>
      </c>
      <c r="C150" s="85" t="s">
        <v>1493</v>
      </c>
      <c r="D150" s="475">
        <f>SUMIF($D$7:$D$142,"LD",$F$7:$F$142)</f>
        <v>354.31</v>
      </c>
      <c r="J150" s="864"/>
      <c r="K150" s="864"/>
      <c r="L150" s="958"/>
    </row>
    <row r="151" spans="1:12" s="85" customFormat="1" x14ac:dyDescent="0.25">
      <c r="A151" s="79"/>
      <c r="B151" s="79" t="s">
        <v>14</v>
      </c>
      <c r="C151" s="85" t="s">
        <v>1486</v>
      </c>
      <c r="D151" s="475">
        <f>SUMIF($D$7:$D$142,"C",$F$7:$F$142)</f>
        <v>127.11</v>
      </c>
      <c r="F151" s="89"/>
      <c r="G151" s="79"/>
      <c r="H151" s="79"/>
      <c r="J151" s="864"/>
      <c r="K151" s="864"/>
      <c r="L151" s="958"/>
    </row>
    <row r="152" spans="1:12" s="85" customFormat="1" x14ac:dyDescent="0.25">
      <c r="A152" s="79"/>
      <c r="B152" s="79" t="s">
        <v>51</v>
      </c>
      <c r="C152" s="864" t="s">
        <v>1499</v>
      </c>
      <c r="D152" s="475">
        <f>SUMIF($D$7:$D$142,"CAL",$F$7:$F$142)</f>
        <v>161.04</v>
      </c>
    </row>
    <row r="153" spans="1:12" s="85" customFormat="1" x14ac:dyDescent="0.25">
      <c r="A153" s="79"/>
      <c r="B153" s="79" t="s">
        <v>2189</v>
      </c>
      <c r="C153" s="864" t="s">
        <v>1496</v>
      </c>
      <c r="D153" s="475">
        <f>SUMIF($D$7:$D$142,"AC",$F$7:$F$142)</f>
        <v>166.9</v>
      </c>
      <c r="F153" s="769"/>
      <c r="G153" s="79"/>
      <c r="L153" s="941"/>
    </row>
    <row r="154" spans="1:12" s="85" customFormat="1" x14ac:dyDescent="0.25">
      <c r="A154" s="79"/>
      <c r="B154" s="867" t="s">
        <v>53</v>
      </c>
      <c r="C154" s="864" t="s">
        <v>1522</v>
      </c>
      <c r="D154" s="475">
        <f>SUMIF($D$7:$D$142,"DC",$F$7:$F$142)</f>
        <v>927.57</v>
      </c>
      <c r="L154" s="459"/>
    </row>
    <row r="155" spans="1:12" s="85" customFormat="1" x14ac:dyDescent="0.25">
      <c r="A155" s="79"/>
      <c r="B155" s="867" t="s">
        <v>2149</v>
      </c>
      <c r="C155" s="864" t="s">
        <v>2131</v>
      </c>
      <c r="D155" s="475">
        <f>SUMIF($D$7:$D$142,"DM",$F$7:$F$142)</f>
        <v>236.32</v>
      </c>
      <c r="F155" s="769"/>
      <c r="L155" s="459"/>
    </row>
    <row r="156" spans="1:12" s="85" customFormat="1" x14ac:dyDescent="0.25">
      <c r="A156" s="79"/>
      <c r="B156" s="79" t="s">
        <v>2008</v>
      </c>
      <c r="C156" s="864" t="s">
        <v>1523</v>
      </c>
      <c r="D156" s="475">
        <f>SUMIF($D$7:$D$142,"B",$F$7:$F$142)</f>
        <v>231.5</v>
      </c>
      <c r="F156" s="769"/>
      <c r="G156" s="866"/>
      <c r="L156" s="459"/>
    </row>
    <row r="157" spans="1:12" s="85" customFormat="1" x14ac:dyDescent="0.25">
      <c r="A157" s="79"/>
      <c r="B157" s="79" t="s">
        <v>1686</v>
      </c>
      <c r="C157" s="864" t="s">
        <v>1506</v>
      </c>
      <c r="D157" s="475">
        <f>SUMIF($D$7:$D$142,"R",$F$7:$F$142)</f>
        <v>281.89999999999998</v>
      </c>
      <c r="F157" s="89"/>
      <c r="G157" s="79"/>
      <c r="H157" s="79"/>
      <c r="I157" s="79"/>
      <c r="L157" s="958"/>
    </row>
    <row r="158" spans="1:12" x14ac:dyDescent="0.25">
      <c r="B158" s="79" t="s">
        <v>418</v>
      </c>
      <c r="C158" s="85" t="s">
        <v>1524</v>
      </c>
      <c r="D158" s="475">
        <f>SUMIF($D$7:$D$142,"COM",$F$7:$F$142)</f>
        <v>11</v>
      </c>
      <c r="G158" s="85"/>
      <c r="H158" s="85"/>
      <c r="I158" s="85"/>
      <c r="J158" s="769"/>
      <c r="K158" s="868"/>
    </row>
    <row r="159" spans="1:12" x14ac:dyDescent="0.25">
      <c r="B159" s="79" t="s">
        <v>419</v>
      </c>
      <c r="C159" s="85" t="s">
        <v>1491</v>
      </c>
      <c r="D159" s="475">
        <f>SUMIF($D$7:$D$142,"F",$F$7:$F$142)</f>
        <v>679.05</v>
      </c>
      <c r="J159" s="769"/>
      <c r="K159" s="868"/>
    </row>
    <row r="160" spans="1:12" x14ac:dyDescent="0.25">
      <c r="B160" s="79" t="s">
        <v>911</v>
      </c>
      <c r="C160" s="85" t="s">
        <v>1525</v>
      </c>
      <c r="D160" s="475">
        <f>SUMIF($D$7:$D$142,"FER",$F$7:$F$142)</f>
        <v>2137.63</v>
      </c>
      <c r="J160" s="769"/>
      <c r="K160" s="866"/>
    </row>
    <row r="161" spans="1:15" x14ac:dyDescent="0.25">
      <c r="B161" s="79" t="s">
        <v>1526</v>
      </c>
      <c r="C161" s="85" t="s">
        <v>1504</v>
      </c>
      <c r="D161" s="475">
        <f>SUMIF($D$7:$D$142,"I",$F$7:$F$142)</f>
        <v>197.69</v>
      </c>
      <c r="F161" s="89" t="s">
        <v>280</v>
      </c>
      <c r="J161" s="769"/>
      <c r="K161" s="866"/>
    </row>
    <row r="162" spans="1:15" x14ac:dyDescent="0.25">
      <c r="B162" s="79" t="s">
        <v>2343</v>
      </c>
      <c r="C162" s="85" t="s">
        <v>2315</v>
      </c>
      <c r="D162" s="475">
        <f>SUMIF($D$7:$D$142,"E",$F$7:$F$142)</f>
        <v>0</v>
      </c>
      <c r="J162" s="769"/>
      <c r="K162" s="868"/>
    </row>
    <row r="163" spans="1:15" x14ac:dyDescent="0.25">
      <c r="B163" s="79" t="s">
        <v>1527</v>
      </c>
      <c r="C163" s="85" t="s">
        <v>1489</v>
      </c>
      <c r="D163" s="475">
        <f>SUMIF($D$7:$D$142,"OD",$F$7:$F$142)</f>
        <v>463.16999999999996</v>
      </c>
      <c r="J163" s="769"/>
      <c r="K163" s="866"/>
    </row>
    <row r="164" spans="1:15" x14ac:dyDescent="0.25">
      <c r="C164" s="769"/>
      <c r="D164" s="459"/>
      <c r="J164" s="769"/>
      <c r="K164" s="866"/>
    </row>
    <row r="165" spans="1:15" x14ac:dyDescent="0.25">
      <c r="H165" s="769"/>
      <c r="K165" s="866"/>
    </row>
    <row r="166" spans="1:15" x14ac:dyDescent="0.25">
      <c r="B166" s="79" t="s">
        <v>486</v>
      </c>
      <c r="C166" s="475">
        <f>H166/J166</f>
        <v>219.99774193548387</v>
      </c>
      <c r="F166" s="224" t="s">
        <v>487</v>
      </c>
      <c r="H166" s="216">
        <f>SUM(D147:D163)</f>
        <v>6819.93</v>
      </c>
      <c r="I166" s="518" t="s">
        <v>280</v>
      </c>
      <c r="J166" s="1517">
        <v>31</v>
      </c>
    </row>
    <row r="167" spans="1:15" ht="15.75" customHeight="1" x14ac:dyDescent="0.25">
      <c r="E167" s="769"/>
      <c r="H167" s="629"/>
      <c r="J167" s="769"/>
      <c r="K167" s="868"/>
    </row>
    <row r="168" spans="1:15" x14ac:dyDescent="0.25">
      <c r="E168" s="79"/>
      <c r="F168" s="79"/>
      <c r="H168" s="866"/>
      <c r="K168" s="866"/>
    </row>
    <row r="169" spans="1:15" s="518" customFormat="1" x14ac:dyDescent="0.25">
      <c r="A169" s="79"/>
      <c r="B169" s="79"/>
      <c r="C169" s="85"/>
      <c r="D169" s="79"/>
      <c r="E169" s="79"/>
      <c r="F169" s="8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M170" s="79"/>
      <c r="N170" s="79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M171" s="79"/>
      <c r="N171" s="79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216"/>
      <c r="H175" s="79"/>
      <c r="I175" s="216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216"/>
      <c r="H176" s="79"/>
      <c r="I176" s="216"/>
      <c r="J176" s="769"/>
      <c r="K176" s="866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216"/>
      <c r="H177" s="79"/>
      <c r="I177" s="79"/>
      <c r="J177" s="770"/>
      <c r="K177" s="866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M178" s="79"/>
      <c r="N178" s="79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629"/>
      <c r="J180" s="769"/>
      <c r="K180" s="866"/>
      <c r="M180" s="79"/>
      <c r="N180" s="79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M181" s="79"/>
      <c r="N181" s="79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M182" s="79"/>
      <c r="N182" s="79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M183" s="79"/>
      <c r="N183" s="79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M184" s="79"/>
      <c r="N184" s="79"/>
      <c r="O184" s="79"/>
    </row>
    <row r="185" spans="1:15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6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6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6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6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69"/>
      <c r="K190" s="868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69"/>
      <c r="K191" s="868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69"/>
      <c r="K192" s="868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69"/>
      <c r="K193" s="868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769"/>
      <c r="K194" s="868"/>
      <c r="M194" s="79"/>
      <c r="N194" s="79"/>
      <c r="O194" s="79"/>
    </row>
    <row r="195" spans="1:15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866"/>
      <c r="M195" s="79"/>
      <c r="N195" s="79"/>
      <c r="O195" s="79"/>
    </row>
    <row r="196" spans="1:15" s="518" customFormat="1" x14ac:dyDescent="0.25">
      <c r="A196" s="79"/>
      <c r="B196" s="79"/>
      <c r="C196" s="85"/>
      <c r="D196" s="85"/>
      <c r="E196" s="85"/>
      <c r="F196" s="89"/>
      <c r="G196" s="79"/>
      <c r="H196" s="79"/>
      <c r="I196" s="79"/>
      <c r="J196" s="769"/>
      <c r="K196" s="866"/>
      <c r="M196" s="79"/>
      <c r="N196" s="79"/>
      <c r="O196" s="79"/>
    </row>
    <row r="197" spans="1:15" s="518" customFormat="1" x14ac:dyDescent="0.25">
      <c r="A197" s="79"/>
      <c r="B197" s="79"/>
      <c r="C197" s="85"/>
      <c r="D197" s="85"/>
      <c r="E197" s="85"/>
      <c r="F197" s="89"/>
      <c r="G197" s="79"/>
      <c r="H197" s="79"/>
      <c r="I197" s="79"/>
      <c r="J197" s="769"/>
      <c r="K197" s="868"/>
      <c r="M197" s="79"/>
      <c r="N197" s="79"/>
      <c r="O197" s="79"/>
    </row>
    <row r="198" spans="1:15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69"/>
      <c r="K198" s="866"/>
      <c r="M198" s="79"/>
      <c r="N198" s="79"/>
      <c r="O198" s="79"/>
    </row>
    <row r="199" spans="1:15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69"/>
      <c r="K199" s="866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8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69"/>
      <c r="K201" s="868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8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8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223"/>
      <c r="K205" s="629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56"/>
      <c r="K206" s="756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85"/>
      <c r="K211" s="85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M214" s="79"/>
      <c r="N214" s="79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85"/>
      <c r="K218" s="85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M221" s="79"/>
      <c r="N221" s="79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M223" s="79"/>
      <c r="N223" s="79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M224" s="79"/>
      <c r="N224" s="79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71"/>
      <c r="M225" s="79"/>
      <c r="N225" s="79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M226" s="79"/>
      <c r="N226" s="79"/>
      <c r="O226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M233" s="79"/>
      <c r="N233" s="79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M236" s="79"/>
      <c r="N236" s="79"/>
      <c r="O236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M238" s="79"/>
      <c r="N238" s="79"/>
      <c r="O238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629"/>
      <c r="M240" s="79"/>
      <c r="N240" s="79"/>
      <c r="O240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M246" s="79"/>
      <c r="N246" s="79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M247" s="79"/>
      <c r="N247" s="79"/>
      <c r="O247" s="79"/>
    </row>
    <row r="248" spans="1:15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M248" s="79"/>
      <c r="N248" s="79"/>
      <c r="O248" s="79"/>
    </row>
    <row r="249" spans="1:15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M249" s="79"/>
      <c r="N249" s="79"/>
      <c r="O249" s="79"/>
    </row>
    <row r="250" spans="1:15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216"/>
      <c r="M250" s="79"/>
      <c r="N250" s="79"/>
      <c r="O250" s="79"/>
    </row>
    <row r="251" spans="1:15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216"/>
      <c r="M251" s="79"/>
      <c r="N251" s="79"/>
      <c r="O251" s="79"/>
    </row>
    <row r="252" spans="1:15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216"/>
      <c r="M252" s="79"/>
      <c r="N252" s="79"/>
      <c r="O252" s="79"/>
    </row>
    <row r="253" spans="1:15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216"/>
      <c r="M253" s="79"/>
      <c r="N253" s="79"/>
      <c r="O253" s="79"/>
    </row>
    <row r="254" spans="1:15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216"/>
      <c r="M254" s="79"/>
      <c r="N254" s="79"/>
      <c r="O254" s="79"/>
    </row>
  </sheetData>
  <autoFilter ref="A2:I144" xr:uid="{00000000-0009-0000-0000-00005F000000}"/>
  <mergeCells count="14">
    <mergeCell ref="L30:O30"/>
    <mergeCell ref="A143:E143"/>
    <mergeCell ref="A144:E144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26:N26"/>
  </mergeCells>
  <pageMargins left="0.18" right="0.49" top="0.15" bottom="0.16" header="0.15" footer="0.13"/>
  <pageSetup paperSize="9" scale="85" orientation="portrait" horizontalDpi="300" verticalDpi="300" r:id="rId1"/>
  <headerFooter alignWithMargins="0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Plan113"/>
  <dimension ref="A1:R239"/>
  <sheetViews>
    <sheetView zoomScale="85" zoomScaleNormal="85" workbookViewId="0">
      <pane ySplit="4" topLeftCell="A9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" width="9.140625" style="79"/>
    <col min="17" max="17" width="12.140625" style="79" customWidth="1"/>
    <col min="18" max="18" width="10.7109375" style="79" bestFit="1" customWidth="1"/>
    <col min="19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2550</v>
      </c>
      <c r="G1" s="3058"/>
      <c r="H1" s="3058"/>
      <c r="I1" s="3058"/>
      <c r="J1" s="3058"/>
      <c r="K1" s="3058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43862</v>
      </c>
      <c r="B5" s="369" t="s">
        <v>10</v>
      </c>
      <c r="C5" s="370"/>
      <c r="D5" s="370"/>
      <c r="E5" s="777"/>
      <c r="F5" s="889"/>
      <c r="G5" s="925">
        <f>'Janeiro-20'!G144</f>
        <v>463.09666666668818</v>
      </c>
      <c r="H5" s="179"/>
      <c r="I5" s="933">
        <f>'Janeiro-20'!I144</f>
        <v>799.99600000000191</v>
      </c>
      <c r="J5" s="179"/>
      <c r="K5" s="933">
        <f>'Janeiro-20'!K144</f>
        <v>11048.05</v>
      </c>
    </row>
    <row r="6" spans="1:15" s="224" customFormat="1" x14ac:dyDescent="0.25">
      <c r="A6" s="215">
        <v>43862</v>
      </c>
      <c r="B6" s="348" t="s">
        <v>11</v>
      </c>
      <c r="C6" s="351"/>
      <c r="D6" s="351"/>
      <c r="E6" s="673"/>
      <c r="F6" s="827">
        <v>44</v>
      </c>
      <c r="G6" s="1526"/>
      <c r="H6" s="250"/>
      <c r="I6" s="1473"/>
      <c r="J6" s="250"/>
      <c r="K6" s="1473"/>
      <c r="L6" s="518"/>
      <c r="M6" s="89"/>
    </row>
    <row r="7" spans="1:15" s="224" customFormat="1" ht="15" customHeight="1" x14ac:dyDescent="0.25">
      <c r="A7" s="215">
        <v>43862</v>
      </c>
      <c r="B7" s="349" t="s">
        <v>1438</v>
      </c>
      <c r="C7" s="350" t="s">
        <v>19</v>
      </c>
      <c r="D7" s="350" t="s">
        <v>1489</v>
      </c>
      <c r="E7" s="480" t="s">
        <v>13</v>
      </c>
      <c r="F7" s="780">
        <v>89.03</v>
      </c>
      <c r="G7" s="946"/>
      <c r="H7" s="97"/>
      <c r="I7" s="982"/>
      <c r="J7" s="622"/>
      <c r="K7" s="982"/>
      <c r="L7" s="459"/>
    </row>
    <row r="8" spans="1:15" s="224" customFormat="1" ht="15" customHeight="1" x14ac:dyDescent="0.25">
      <c r="A8" s="215">
        <v>43862</v>
      </c>
      <c r="B8" s="349" t="s">
        <v>80</v>
      </c>
      <c r="C8" s="350" t="s">
        <v>19</v>
      </c>
      <c r="D8" s="350" t="s">
        <v>1523</v>
      </c>
      <c r="E8" s="480" t="s">
        <v>13</v>
      </c>
      <c r="F8" s="780">
        <v>30</v>
      </c>
      <c r="G8" s="946"/>
      <c r="H8" s="97"/>
      <c r="I8" s="982"/>
      <c r="J8" s="622"/>
      <c r="K8" s="982"/>
      <c r="L8" s="459"/>
    </row>
    <row r="9" spans="1:15" s="224" customFormat="1" ht="15" customHeight="1" x14ac:dyDescent="0.25">
      <c r="A9" s="215">
        <v>43862</v>
      </c>
      <c r="B9" s="349" t="s">
        <v>2551</v>
      </c>
      <c r="C9" s="879" t="s">
        <v>12</v>
      </c>
      <c r="D9" s="879" t="s">
        <v>1493</v>
      </c>
      <c r="E9" s="871" t="s">
        <v>13</v>
      </c>
      <c r="F9" s="852">
        <v>37.799999999999997</v>
      </c>
      <c r="G9" s="965"/>
      <c r="H9" s="97"/>
      <c r="I9" s="982"/>
      <c r="J9" s="622"/>
      <c r="K9" s="982"/>
      <c r="L9" s="459"/>
    </row>
    <row r="10" spans="1:15" s="224" customFormat="1" ht="15" customHeight="1" x14ac:dyDescent="0.25">
      <c r="A10" s="215">
        <v>43862</v>
      </c>
      <c r="B10" s="349" t="s">
        <v>2251</v>
      </c>
      <c r="C10" s="350" t="s">
        <v>12</v>
      </c>
      <c r="D10" s="350" t="s">
        <v>2157</v>
      </c>
      <c r="E10" s="480" t="s">
        <v>15</v>
      </c>
      <c r="F10" s="852">
        <v>50</v>
      </c>
      <c r="G10" s="965"/>
      <c r="H10" s="97"/>
      <c r="I10" s="946"/>
      <c r="J10" s="97"/>
      <c r="K10" s="946"/>
      <c r="L10" s="923"/>
      <c r="N10" s="930"/>
    </row>
    <row r="11" spans="1:15" s="224" customFormat="1" ht="15" customHeight="1" x14ac:dyDescent="0.25">
      <c r="A11" s="215">
        <v>43863</v>
      </c>
      <c r="B11" s="349" t="s">
        <v>14</v>
      </c>
      <c r="C11" s="879" t="s">
        <v>12</v>
      </c>
      <c r="D11" s="879" t="s">
        <v>1486</v>
      </c>
      <c r="E11" s="871" t="s">
        <v>13</v>
      </c>
      <c r="F11" s="852">
        <v>5.51</v>
      </c>
      <c r="G11" s="965"/>
      <c r="H11" s="97"/>
      <c r="I11" s="946"/>
      <c r="J11" s="97"/>
      <c r="K11" s="946"/>
      <c r="L11" s="923"/>
      <c r="N11" s="930"/>
    </row>
    <row r="12" spans="1:15" s="224" customFormat="1" ht="15" customHeight="1" x14ac:dyDescent="0.25">
      <c r="A12" s="215">
        <v>43864</v>
      </c>
      <c r="B12" s="364" t="s">
        <v>1241</v>
      </c>
      <c r="C12" s="350" t="s">
        <v>12</v>
      </c>
      <c r="D12" s="350" t="s">
        <v>1504</v>
      </c>
      <c r="E12" s="875" t="s">
        <v>13</v>
      </c>
      <c r="F12" s="780">
        <v>12</v>
      </c>
      <c r="G12" s="946"/>
      <c r="H12" s="97"/>
      <c r="I12" s="946"/>
      <c r="J12" s="97"/>
      <c r="K12" s="946"/>
      <c r="L12" s="923"/>
      <c r="N12" s="930"/>
    </row>
    <row r="13" spans="1:15" s="224" customFormat="1" ht="15" customHeight="1" x14ac:dyDescent="0.25">
      <c r="A13" s="215">
        <v>43864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852">
        <v>15</v>
      </c>
      <c r="G13" s="946"/>
      <c r="H13" s="97"/>
      <c r="I13" s="946"/>
      <c r="J13" s="97"/>
      <c r="K13" s="946"/>
      <c r="L13" s="923"/>
      <c r="N13" s="930"/>
    </row>
    <row r="14" spans="1:15" s="224" customFormat="1" ht="15" customHeight="1" x14ac:dyDescent="0.25">
      <c r="A14" s="215">
        <v>43864</v>
      </c>
      <c r="B14" s="364" t="s">
        <v>17</v>
      </c>
      <c r="C14" s="352" t="s">
        <v>12</v>
      </c>
      <c r="D14" s="874" t="s">
        <v>1493</v>
      </c>
      <c r="E14" s="875" t="s">
        <v>13</v>
      </c>
      <c r="F14" s="852">
        <v>6</v>
      </c>
      <c r="G14" s="946"/>
      <c r="H14" s="97"/>
      <c r="I14" s="946"/>
      <c r="J14" s="97"/>
      <c r="K14" s="946"/>
      <c r="L14" s="923"/>
      <c r="N14" s="930"/>
    </row>
    <row r="15" spans="1:15" s="224" customFormat="1" ht="15" customHeight="1" x14ac:dyDescent="0.25">
      <c r="A15" s="215">
        <v>43865</v>
      </c>
      <c r="B15" s="364" t="s">
        <v>32</v>
      </c>
      <c r="C15" s="350" t="s">
        <v>12</v>
      </c>
      <c r="D15" s="350" t="s">
        <v>1485</v>
      </c>
      <c r="E15" s="875" t="s">
        <v>15</v>
      </c>
      <c r="F15" s="852">
        <v>15</v>
      </c>
      <c r="G15" s="946"/>
      <c r="H15" s="97"/>
      <c r="I15" s="946"/>
      <c r="J15" s="97"/>
      <c r="K15" s="946"/>
      <c r="L15" s="923"/>
      <c r="N15" s="930"/>
    </row>
    <row r="16" spans="1:15" s="224" customFormat="1" ht="15" customHeight="1" x14ac:dyDescent="0.25">
      <c r="A16" s="215">
        <v>43865</v>
      </c>
      <c r="B16" s="349" t="s">
        <v>14</v>
      </c>
      <c r="C16" s="879" t="s">
        <v>12</v>
      </c>
      <c r="D16" s="879" t="s">
        <v>1486</v>
      </c>
      <c r="E16" s="871" t="s">
        <v>13</v>
      </c>
      <c r="F16" s="780">
        <v>9.6</v>
      </c>
      <c r="G16" s="946"/>
      <c r="H16" s="97"/>
      <c r="I16" s="946"/>
      <c r="J16" s="97"/>
      <c r="K16" s="946"/>
      <c r="L16" s="923"/>
      <c r="N16" s="930"/>
    </row>
    <row r="17" spans="1:15" s="224" customFormat="1" ht="15" customHeight="1" x14ac:dyDescent="0.25">
      <c r="A17" s="215">
        <v>43865</v>
      </c>
      <c r="B17" s="364" t="s">
        <v>311</v>
      </c>
      <c r="C17" s="350"/>
      <c r="D17" s="350"/>
      <c r="E17" s="480"/>
      <c r="F17" s="538"/>
      <c r="G17" s="627"/>
      <c r="H17" s="97"/>
      <c r="I17" s="946">
        <v>1.55</v>
      </c>
      <c r="J17" s="97"/>
      <c r="K17" s="946"/>
      <c r="L17" s="923"/>
      <c r="N17" s="930"/>
    </row>
    <row r="18" spans="1:15" s="224" customFormat="1" ht="15" customHeight="1" x14ac:dyDescent="0.25">
      <c r="A18" s="215">
        <v>43866</v>
      </c>
      <c r="B18" s="364" t="s">
        <v>32</v>
      </c>
      <c r="C18" s="350" t="s">
        <v>12</v>
      </c>
      <c r="D18" s="350" t="s">
        <v>1485</v>
      </c>
      <c r="E18" s="875" t="s">
        <v>15</v>
      </c>
      <c r="F18" s="852">
        <v>15</v>
      </c>
      <c r="G18" s="946"/>
      <c r="H18" s="97"/>
      <c r="I18" s="946"/>
      <c r="J18" s="97"/>
      <c r="K18" s="946"/>
      <c r="L18" s="923"/>
      <c r="N18" s="930"/>
    </row>
    <row r="19" spans="1:15" s="224" customFormat="1" ht="15.75" customHeight="1" x14ac:dyDescent="0.25">
      <c r="A19" s="215">
        <v>43867</v>
      </c>
      <c r="B19" s="349" t="s">
        <v>2552</v>
      </c>
      <c r="C19" s="879" t="s">
        <v>12</v>
      </c>
      <c r="D19" s="874"/>
      <c r="E19" s="871" t="s">
        <v>25</v>
      </c>
      <c r="F19" s="1514"/>
      <c r="G19" s="1002">
        <v>1644.87</v>
      </c>
      <c r="H19" s="250"/>
      <c r="I19" s="946"/>
      <c r="J19" s="97"/>
      <c r="K19" s="946"/>
    </row>
    <row r="20" spans="1:15" s="224" customFormat="1" ht="15" customHeight="1" x14ac:dyDescent="0.25">
      <c r="A20" s="215">
        <v>43867</v>
      </c>
      <c r="B20" s="349" t="s">
        <v>2553</v>
      </c>
      <c r="C20" s="350" t="s">
        <v>12</v>
      </c>
      <c r="D20" s="350"/>
      <c r="E20" s="480" t="s">
        <v>25</v>
      </c>
      <c r="F20" s="780"/>
      <c r="G20" s="982">
        <v>200</v>
      </c>
      <c r="H20" s="97"/>
      <c r="I20" s="946"/>
      <c r="J20" s="97"/>
      <c r="K20" s="946"/>
      <c r="L20" s="996"/>
      <c r="M20" s="997"/>
      <c r="N20" s="997"/>
      <c r="O20" s="997"/>
    </row>
    <row r="21" spans="1:15" s="224" customFormat="1" ht="15.75" customHeight="1" x14ac:dyDescent="0.25">
      <c r="A21" s="215">
        <v>43867</v>
      </c>
      <c r="B21" s="349" t="s">
        <v>2554</v>
      </c>
      <c r="C21" s="879" t="s">
        <v>12</v>
      </c>
      <c r="D21" s="874" t="s">
        <v>1525</v>
      </c>
      <c r="E21" s="871" t="s">
        <v>13</v>
      </c>
      <c r="F21" s="852">
        <v>164.9</v>
      </c>
      <c r="G21" s="964"/>
      <c r="H21" s="538"/>
      <c r="I21" s="982"/>
      <c r="J21" s="97"/>
      <c r="K21" s="946"/>
      <c r="L21" s="939"/>
    </row>
    <row r="22" spans="1:15" s="224" customFormat="1" x14ac:dyDescent="0.25">
      <c r="A22" s="215">
        <v>43867</v>
      </c>
      <c r="B22" s="349" t="s">
        <v>2554</v>
      </c>
      <c r="C22" s="879" t="s">
        <v>12</v>
      </c>
      <c r="D22" s="879" t="s">
        <v>1506</v>
      </c>
      <c r="E22" s="871" t="s">
        <v>13</v>
      </c>
      <c r="F22" s="872">
        <v>80</v>
      </c>
      <c r="G22" s="964"/>
      <c r="H22" s="622"/>
      <c r="I22" s="982"/>
      <c r="J22" s="780"/>
      <c r="K22" s="614"/>
      <c r="L22" s="459"/>
      <c r="M22" s="89"/>
    </row>
    <row r="23" spans="1:15" s="224" customFormat="1" x14ac:dyDescent="0.25">
      <c r="A23" s="215">
        <v>43867</v>
      </c>
      <c r="B23" s="862" t="s">
        <v>2554</v>
      </c>
      <c r="C23" s="879" t="s">
        <v>12</v>
      </c>
      <c r="D23" s="879" t="s">
        <v>1506</v>
      </c>
      <c r="E23" s="871" t="s">
        <v>13</v>
      </c>
      <c r="F23" s="872">
        <v>50</v>
      </c>
      <c r="G23" s="964"/>
      <c r="H23" s="622"/>
      <c r="I23" s="982"/>
      <c r="J23" s="780"/>
      <c r="K23" s="614"/>
      <c r="L23" s="459"/>
      <c r="M23" s="89"/>
    </row>
    <row r="24" spans="1:15" s="224" customFormat="1" x14ac:dyDescent="0.25">
      <c r="A24" s="215">
        <v>43867</v>
      </c>
      <c r="B24" s="862" t="s">
        <v>2554</v>
      </c>
      <c r="C24" s="879" t="s">
        <v>12</v>
      </c>
      <c r="D24" s="879" t="s">
        <v>1506</v>
      </c>
      <c r="E24" s="871" t="s">
        <v>13</v>
      </c>
      <c r="F24" s="872">
        <v>25</v>
      </c>
      <c r="G24" s="964"/>
      <c r="H24" s="622"/>
      <c r="I24" s="982"/>
      <c r="J24" s="780"/>
      <c r="K24" s="614"/>
      <c r="L24" s="459"/>
      <c r="M24" s="89"/>
    </row>
    <row r="25" spans="1:15" s="224" customFormat="1" x14ac:dyDescent="0.25">
      <c r="A25" s="215">
        <v>43867</v>
      </c>
      <c r="B25" s="862" t="s">
        <v>2554</v>
      </c>
      <c r="C25" s="879" t="s">
        <v>12</v>
      </c>
      <c r="D25" s="879" t="s">
        <v>2131</v>
      </c>
      <c r="E25" s="871" t="s">
        <v>13</v>
      </c>
      <c r="F25" s="872">
        <v>54.25</v>
      </c>
      <c r="G25" s="964"/>
      <c r="H25" s="622"/>
      <c r="I25" s="982"/>
      <c r="J25" s="780"/>
      <c r="K25" s="614"/>
      <c r="L25" s="459"/>
      <c r="M25" s="89"/>
    </row>
    <row r="26" spans="1:15" s="224" customFormat="1" x14ac:dyDescent="0.25">
      <c r="A26" s="215">
        <v>43867</v>
      </c>
      <c r="B26" s="862" t="s">
        <v>2554</v>
      </c>
      <c r="C26" s="879" t="s">
        <v>12</v>
      </c>
      <c r="D26" s="879" t="s">
        <v>1525</v>
      </c>
      <c r="E26" s="871" t="s">
        <v>13</v>
      </c>
      <c r="F26" s="872">
        <v>75</v>
      </c>
      <c r="G26" s="964"/>
      <c r="H26" s="622"/>
      <c r="I26" s="982"/>
      <c r="J26" s="780"/>
      <c r="K26" s="614"/>
      <c r="L26" s="459"/>
      <c r="M26" s="89"/>
    </row>
    <row r="27" spans="1:15" s="224" customFormat="1" x14ac:dyDescent="0.25">
      <c r="A27" s="215">
        <v>43867</v>
      </c>
      <c r="B27" s="862" t="s">
        <v>2554</v>
      </c>
      <c r="C27" s="879" t="s">
        <v>12</v>
      </c>
      <c r="D27" s="879" t="s">
        <v>1522</v>
      </c>
      <c r="E27" s="871" t="s">
        <v>13</v>
      </c>
      <c r="F27" s="872">
        <v>100</v>
      </c>
      <c r="G27" s="964"/>
      <c r="H27" s="622"/>
      <c r="I27" s="982"/>
      <c r="J27" s="780"/>
      <c r="K27" s="614"/>
      <c r="L27" s="459"/>
      <c r="M27" s="89"/>
    </row>
    <row r="28" spans="1:15" s="224" customFormat="1" x14ac:dyDescent="0.25">
      <c r="A28" s="215">
        <v>43867</v>
      </c>
      <c r="B28" s="862" t="s">
        <v>2554</v>
      </c>
      <c r="C28" s="879" t="s">
        <v>12</v>
      </c>
      <c r="D28" s="879" t="s">
        <v>1506</v>
      </c>
      <c r="E28" s="871" t="s">
        <v>13</v>
      </c>
      <c r="F28" s="872">
        <v>49.9</v>
      </c>
      <c r="G28" s="964"/>
      <c r="H28" s="622"/>
      <c r="I28" s="982"/>
      <c r="J28" s="780"/>
      <c r="K28" s="614"/>
      <c r="M28" s="89"/>
    </row>
    <row r="29" spans="1:15" s="224" customFormat="1" x14ac:dyDescent="0.25">
      <c r="A29" s="215">
        <v>43867</v>
      </c>
      <c r="B29" s="862" t="s">
        <v>2554</v>
      </c>
      <c r="C29" s="879" t="s">
        <v>12</v>
      </c>
      <c r="D29" s="879" t="s">
        <v>1506</v>
      </c>
      <c r="E29" s="871" t="s">
        <v>13</v>
      </c>
      <c r="F29" s="872">
        <v>33.300000000000004</v>
      </c>
      <c r="G29" s="964"/>
      <c r="H29" s="622"/>
      <c r="I29" s="982"/>
      <c r="J29" s="780"/>
      <c r="K29" s="614"/>
      <c r="M29" s="89"/>
    </row>
    <row r="30" spans="1:15" s="224" customFormat="1" x14ac:dyDescent="0.25">
      <c r="A30" s="215">
        <v>43867</v>
      </c>
      <c r="B30" s="349" t="s">
        <v>2554</v>
      </c>
      <c r="C30" s="879" t="s">
        <v>12</v>
      </c>
      <c r="D30" s="879" t="s">
        <v>1525</v>
      </c>
      <c r="E30" s="871" t="s">
        <v>13</v>
      </c>
      <c r="F30" s="872">
        <v>6.9</v>
      </c>
      <c r="G30" s="964"/>
      <c r="H30" s="622"/>
      <c r="I30" s="982"/>
      <c r="J30" s="780"/>
      <c r="K30" s="614"/>
      <c r="L30" s="459"/>
      <c r="M30" s="89"/>
    </row>
    <row r="31" spans="1:15" s="224" customFormat="1" x14ac:dyDescent="0.25">
      <c r="A31" s="215">
        <v>43867</v>
      </c>
      <c r="B31" s="862" t="s">
        <v>2554</v>
      </c>
      <c r="C31" s="879" t="s">
        <v>12</v>
      </c>
      <c r="D31" s="879" t="s">
        <v>1504</v>
      </c>
      <c r="E31" s="871" t="s">
        <v>13</v>
      </c>
      <c r="F31" s="872">
        <v>2</v>
      </c>
      <c r="G31" s="964"/>
      <c r="H31" s="622"/>
      <c r="I31" s="982"/>
      <c r="J31" s="780"/>
      <c r="K31" s="614"/>
      <c r="L31" s="459"/>
      <c r="M31" s="89"/>
    </row>
    <row r="32" spans="1:15" x14ac:dyDescent="0.25">
      <c r="A32" s="215">
        <v>43867</v>
      </c>
      <c r="B32" s="862" t="s">
        <v>2385</v>
      </c>
      <c r="C32" s="879" t="s">
        <v>12</v>
      </c>
      <c r="D32" s="879" t="s">
        <v>1504</v>
      </c>
      <c r="E32" s="871" t="s">
        <v>13</v>
      </c>
      <c r="F32" s="852">
        <v>50</v>
      </c>
      <c r="G32" s="964"/>
      <c r="H32" s="622"/>
      <c r="I32" s="982"/>
      <c r="J32" s="622"/>
      <c r="K32" s="1002"/>
      <c r="L32" s="948">
        <v>90</v>
      </c>
    </row>
    <row r="33" spans="1:14" x14ac:dyDescent="0.25">
      <c r="A33" s="215">
        <v>43867</v>
      </c>
      <c r="B33" s="882" t="s">
        <v>2555</v>
      </c>
      <c r="C33" s="879" t="s">
        <v>12</v>
      </c>
      <c r="D33" s="879" t="s">
        <v>1499</v>
      </c>
      <c r="E33" s="871" t="s">
        <v>13</v>
      </c>
      <c r="F33" s="852">
        <v>41.25</v>
      </c>
      <c r="G33" s="964"/>
      <c r="H33" s="622"/>
      <c r="I33" s="982"/>
      <c r="J33" s="780"/>
      <c r="K33" s="614"/>
      <c r="L33" s="948">
        <v>131.25</v>
      </c>
      <c r="M33" s="986"/>
    </row>
    <row r="34" spans="1:14" x14ac:dyDescent="0.25">
      <c r="A34" s="215">
        <v>43867</v>
      </c>
      <c r="B34" s="876" t="s">
        <v>52</v>
      </c>
      <c r="C34" s="879" t="s">
        <v>12</v>
      </c>
      <c r="D34" s="879" t="s">
        <v>1496</v>
      </c>
      <c r="E34" s="871" t="s">
        <v>13</v>
      </c>
      <c r="F34" s="852">
        <v>60</v>
      </c>
      <c r="G34" s="964"/>
      <c r="H34" s="853"/>
      <c r="I34" s="982"/>
      <c r="J34" s="622"/>
      <c r="K34" s="982"/>
      <c r="L34" s="934"/>
    </row>
    <row r="35" spans="1:14" s="224" customFormat="1" ht="15" customHeight="1" x14ac:dyDescent="0.25">
      <c r="A35" s="215">
        <v>43867</v>
      </c>
      <c r="B35" s="364" t="s">
        <v>32</v>
      </c>
      <c r="C35" s="350" t="s">
        <v>12</v>
      </c>
      <c r="D35" s="350" t="s">
        <v>1485</v>
      </c>
      <c r="E35" s="875" t="s">
        <v>13</v>
      </c>
      <c r="F35" s="852">
        <v>15</v>
      </c>
      <c r="G35" s="946"/>
      <c r="H35" s="97"/>
      <c r="I35" s="946"/>
      <c r="J35" s="97"/>
      <c r="K35" s="946"/>
      <c r="L35" s="923"/>
      <c r="N35" s="930"/>
    </row>
    <row r="36" spans="1:14" s="224" customFormat="1" ht="15" customHeight="1" x14ac:dyDescent="0.25">
      <c r="A36" s="215">
        <v>43867</v>
      </c>
      <c r="B36" s="364" t="s">
        <v>17</v>
      </c>
      <c r="C36" s="350" t="s">
        <v>12</v>
      </c>
      <c r="D36" s="350" t="s">
        <v>1493</v>
      </c>
      <c r="E36" s="875" t="s">
        <v>13</v>
      </c>
      <c r="F36" s="852">
        <v>5</v>
      </c>
      <c r="G36" s="946"/>
      <c r="H36" s="97"/>
      <c r="I36" s="946"/>
      <c r="J36" s="97"/>
      <c r="K36" s="946"/>
      <c r="L36" s="923"/>
      <c r="N36" s="930"/>
    </row>
    <row r="37" spans="1:14" s="224" customFormat="1" ht="15" customHeight="1" x14ac:dyDescent="0.25">
      <c r="A37" s="215">
        <v>43867</v>
      </c>
      <c r="B37" s="364" t="s">
        <v>2556</v>
      </c>
      <c r="C37" s="350" t="s">
        <v>12</v>
      </c>
      <c r="D37" s="350" t="s">
        <v>1489</v>
      </c>
      <c r="E37" s="875" t="s">
        <v>15</v>
      </c>
      <c r="F37" s="852">
        <v>90</v>
      </c>
      <c r="G37" s="946"/>
      <c r="H37" s="97"/>
      <c r="I37" s="946"/>
      <c r="J37" s="97"/>
      <c r="K37" s="946"/>
      <c r="L37" s="923"/>
      <c r="N37" s="930"/>
    </row>
    <row r="38" spans="1:14" s="224" customFormat="1" ht="15" customHeight="1" x14ac:dyDescent="0.25">
      <c r="A38" s="215">
        <v>43867</v>
      </c>
      <c r="B38" s="349" t="s">
        <v>14</v>
      </c>
      <c r="C38" s="879" t="s">
        <v>12</v>
      </c>
      <c r="D38" s="879" t="s">
        <v>1486</v>
      </c>
      <c r="E38" s="871" t="s">
        <v>13</v>
      </c>
      <c r="F38" s="852">
        <v>4.26</v>
      </c>
      <c r="G38" s="946"/>
      <c r="H38" s="97"/>
      <c r="I38" s="946"/>
      <c r="J38" s="97"/>
      <c r="K38" s="946"/>
      <c r="L38" s="923"/>
      <c r="N38" s="930"/>
    </row>
    <row r="39" spans="1:14" s="224" customFormat="1" ht="15" customHeight="1" x14ac:dyDescent="0.25">
      <c r="A39" s="215">
        <v>43868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852">
        <v>15</v>
      </c>
      <c r="G39" s="946"/>
      <c r="H39" s="97"/>
      <c r="I39" s="946"/>
      <c r="J39" s="97"/>
      <c r="K39" s="946"/>
      <c r="L39" s="923"/>
      <c r="N39" s="930"/>
    </row>
    <row r="40" spans="1:14" s="224" customFormat="1" ht="15" customHeight="1" x14ac:dyDescent="0.25">
      <c r="A40" s="215">
        <v>43868</v>
      </c>
      <c r="B40" s="349" t="s">
        <v>14</v>
      </c>
      <c r="C40" s="879" t="s">
        <v>12</v>
      </c>
      <c r="D40" s="879" t="s">
        <v>1486</v>
      </c>
      <c r="E40" s="871" t="s">
        <v>13</v>
      </c>
      <c r="F40" s="852">
        <v>16.899999999999999</v>
      </c>
      <c r="G40" s="946"/>
      <c r="H40" s="97"/>
      <c r="I40" s="946"/>
      <c r="J40" s="97"/>
      <c r="K40" s="946"/>
      <c r="L40" s="923"/>
      <c r="N40" s="930"/>
    </row>
    <row r="41" spans="1:14" s="224" customFormat="1" ht="15" customHeight="1" x14ac:dyDescent="0.25">
      <c r="A41" s="215">
        <v>43868</v>
      </c>
      <c r="B41" s="349" t="s">
        <v>2557</v>
      </c>
      <c r="C41" s="879" t="s">
        <v>12</v>
      </c>
      <c r="D41" s="879" t="s">
        <v>1524</v>
      </c>
      <c r="E41" s="871" t="s">
        <v>13</v>
      </c>
      <c r="F41" s="852">
        <v>20.7</v>
      </c>
      <c r="G41" s="946"/>
      <c r="H41" s="97"/>
      <c r="I41" s="946"/>
      <c r="J41" s="97"/>
      <c r="K41" s="946"/>
      <c r="L41" s="923"/>
      <c r="N41" s="930"/>
    </row>
    <row r="42" spans="1:14" s="224" customFormat="1" ht="15" customHeight="1" x14ac:dyDescent="0.25">
      <c r="A42" s="215">
        <v>43868</v>
      </c>
      <c r="B42" s="349" t="s">
        <v>2251</v>
      </c>
      <c r="C42" s="350" t="s">
        <v>12</v>
      </c>
      <c r="D42" s="350" t="s">
        <v>2157</v>
      </c>
      <c r="E42" s="480" t="s">
        <v>13</v>
      </c>
      <c r="F42" s="852">
        <v>50</v>
      </c>
      <c r="G42" s="965"/>
      <c r="H42" s="97"/>
      <c r="I42" s="946"/>
      <c r="J42" s="97"/>
      <c r="K42" s="946"/>
      <c r="L42" s="923"/>
      <c r="N42" s="930"/>
    </row>
    <row r="43" spans="1:14" s="224" customFormat="1" ht="15" customHeight="1" x14ac:dyDescent="0.25">
      <c r="A43" s="215">
        <v>43868</v>
      </c>
      <c r="B43" s="349" t="s">
        <v>2417</v>
      </c>
      <c r="C43" s="879" t="s">
        <v>12</v>
      </c>
      <c r="D43" s="879" t="s">
        <v>1491</v>
      </c>
      <c r="E43" s="871" t="s">
        <v>15</v>
      </c>
      <c r="F43" s="852">
        <v>60</v>
      </c>
      <c r="G43" s="946"/>
      <c r="H43" s="97"/>
      <c r="I43" s="946"/>
      <c r="J43" s="97"/>
      <c r="K43" s="946"/>
      <c r="L43" s="923"/>
      <c r="N43" s="930"/>
    </row>
    <row r="44" spans="1:14" s="224" customFormat="1" ht="15" customHeight="1" x14ac:dyDescent="0.25">
      <c r="A44" s="215">
        <v>43868</v>
      </c>
      <c r="B44" s="349" t="s">
        <v>2558</v>
      </c>
      <c r="C44" s="879" t="s">
        <v>12</v>
      </c>
      <c r="D44" s="879" t="s">
        <v>1491</v>
      </c>
      <c r="E44" s="871" t="s">
        <v>15</v>
      </c>
      <c r="F44" s="852">
        <v>80</v>
      </c>
      <c r="G44" s="946"/>
      <c r="H44" s="97"/>
      <c r="I44" s="946"/>
      <c r="J44" s="97"/>
      <c r="K44" s="946"/>
      <c r="L44" s="923"/>
      <c r="N44" s="930"/>
    </row>
    <row r="45" spans="1:14" s="224" customFormat="1" ht="15" customHeight="1" x14ac:dyDescent="0.25">
      <c r="A45" s="215">
        <v>43869</v>
      </c>
      <c r="B45" s="364" t="s">
        <v>2559</v>
      </c>
      <c r="C45" s="350" t="s">
        <v>12</v>
      </c>
      <c r="D45" s="350" t="s">
        <v>1524</v>
      </c>
      <c r="E45" s="875" t="s">
        <v>13</v>
      </c>
      <c r="F45" s="780">
        <v>12</v>
      </c>
      <c r="G45" s="946"/>
      <c r="H45" s="97"/>
      <c r="I45" s="946"/>
      <c r="J45" s="97"/>
      <c r="K45" s="946"/>
      <c r="L45" s="923"/>
      <c r="N45" s="930"/>
    </row>
    <row r="46" spans="1:14" s="224" customFormat="1" ht="15" customHeight="1" x14ac:dyDescent="0.25">
      <c r="A46" s="215">
        <v>43869</v>
      </c>
      <c r="B46" s="364" t="s">
        <v>2560</v>
      </c>
      <c r="C46" s="350" t="s">
        <v>12</v>
      </c>
      <c r="D46" s="350" t="s">
        <v>2131</v>
      </c>
      <c r="E46" s="875" t="s">
        <v>13</v>
      </c>
      <c r="F46" s="780">
        <v>15</v>
      </c>
      <c r="G46" s="946"/>
      <c r="H46" s="97"/>
      <c r="I46" s="946"/>
      <c r="J46" s="97"/>
      <c r="K46" s="946"/>
      <c r="L46" s="923"/>
      <c r="N46" s="930"/>
    </row>
    <row r="47" spans="1:14" s="224" customFormat="1" ht="15" customHeight="1" x14ac:dyDescent="0.25">
      <c r="A47" s="215">
        <v>43869</v>
      </c>
      <c r="B47" s="364" t="s">
        <v>2561</v>
      </c>
      <c r="C47" s="350" t="s">
        <v>12</v>
      </c>
      <c r="D47" s="350" t="s">
        <v>1493</v>
      </c>
      <c r="E47" s="875" t="s">
        <v>13</v>
      </c>
      <c r="F47" s="780">
        <v>25</v>
      </c>
      <c r="G47" s="946"/>
      <c r="H47" s="97"/>
      <c r="I47" s="946"/>
      <c r="J47" s="97"/>
      <c r="K47" s="946"/>
      <c r="L47" s="923"/>
      <c r="N47" s="930"/>
    </row>
    <row r="48" spans="1:14" s="224" customFormat="1" ht="15" customHeight="1" x14ac:dyDescent="0.25">
      <c r="A48" s="215">
        <v>43869</v>
      </c>
      <c r="B48" s="364" t="s">
        <v>82</v>
      </c>
      <c r="C48" s="350" t="s">
        <v>12</v>
      </c>
      <c r="D48" s="350" t="s">
        <v>1493</v>
      </c>
      <c r="E48" s="875" t="s">
        <v>13</v>
      </c>
      <c r="F48" s="780">
        <v>21.4</v>
      </c>
      <c r="G48" s="946"/>
      <c r="H48" s="97"/>
      <c r="I48" s="946"/>
      <c r="J48" s="97"/>
      <c r="K48" s="946"/>
      <c r="L48" s="923"/>
      <c r="N48" s="930"/>
    </row>
    <row r="49" spans="1:14" s="224" customFormat="1" ht="15" customHeight="1" x14ac:dyDescent="0.25">
      <c r="A49" s="215">
        <v>43870</v>
      </c>
      <c r="B49" s="364" t="s">
        <v>421</v>
      </c>
      <c r="C49" s="350" t="s">
        <v>12</v>
      </c>
      <c r="D49" s="350" t="s">
        <v>1493</v>
      </c>
      <c r="E49" s="875" t="s">
        <v>13</v>
      </c>
      <c r="F49" s="780">
        <v>20.9</v>
      </c>
      <c r="G49" s="946"/>
      <c r="H49" s="97"/>
      <c r="I49" s="946"/>
      <c r="J49" s="97"/>
      <c r="K49" s="946"/>
      <c r="L49" s="923"/>
      <c r="N49" s="930"/>
    </row>
    <row r="50" spans="1:14" s="224" customFormat="1" ht="15" customHeight="1" x14ac:dyDescent="0.25">
      <c r="A50" s="215">
        <v>43870</v>
      </c>
      <c r="B50" s="364" t="s">
        <v>1396</v>
      </c>
      <c r="C50" s="350" t="s">
        <v>12</v>
      </c>
      <c r="D50" s="350"/>
      <c r="E50" s="480" t="s">
        <v>25</v>
      </c>
      <c r="F50" s="538"/>
      <c r="G50" s="967">
        <v>45</v>
      </c>
      <c r="H50" s="97"/>
      <c r="I50" s="946"/>
      <c r="J50" s="97"/>
      <c r="K50" s="946"/>
      <c r="L50" s="923"/>
      <c r="N50" s="930"/>
    </row>
    <row r="51" spans="1:14" s="224" customFormat="1" ht="15" customHeight="1" x14ac:dyDescent="0.25">
      <c r="A51" s="215">
        <v>43871</v>
      </c>
      <c r="B51" s="364" t="s">
        <v>32</v>
      </c>
      <c r="C51" s="350" t="s">
        <v>12</v>
      </c>
      <c r="D51" s="350" t="s">
        <v>1485</v>
      </c>
      <c r="E51" s="875" t="s">
        <v>13</v>
      </c>
      <c r="F51" s="852">
        <v>15</v>
      </c>
      <c r="G51" s="946"/>
      <c r="H51" s="97"/>
      <c r="I51" s="946"/>
      <c r="J51" s="97"/>
      <c r="K51" s="946"/>
      <c r="L51" s="923"/>
      <c r="N51" s="930"/>
    </row>
    <row r="52" spans="1:14" s="224" customFormat="1" ht="15" customHeight="1" x14ac:dyDescent="0.25">
      <c r="A52" s="215">
        <v>43871</v>
      </c>
      <c r="B52" s="349" t="s">
        <v>14</v>
      </c>
      <c r="C52" s="879" t="s">
        <v>12</v>
      </c>
      <c r="D52" s="879" t="s">
        <v>1486</v>
      </c>
      <c r="E52" s="871" t="s">
        <v>13</v>
      </c>
      <c r="F52" s="852">
        <v>3.54</v>
      </c>
      <c r="G52" s="946"/>
      <c r="H52" s="97"/>
      <c r="I52" s="946"/>
      <c r="J52" s="97"/>
      <c r="K52" s="946"/>
      <c r="L52" s="923"/>
      <c r="N52" s="930"/>
    </row>
    <row r="53" spans="1:14" s="224" customFormat="1" ht="15" customHeight="1" x14ac:dyDescent="0.25">
      <c r="A53" s="215">
        <v>43872</v>
      </c>
      <c r="B53" s="364" t="s">
        <v>1241</v>
      </c>
      <c r="C53" s="350" t="s">
        <v>12</v>
      </c>
      <c r="D53" s="350" t="s">
        <v>1504</v>
      </c>
      <c r="E53" s="875" t="s">
        <v>13</v>
      </c>
      <c r="F53" s="780">
        <v>10</v>
      </c>
      <c r="G53" s="946"/>
      <c r="H53" s="97"/>
      <c r="I53" s="946"/>
      <c r="J53" s="97"/>
      <c r="K53" s="946"/>
      <c r="L53" s="923"/>
      <c r="N53" s="930"/>
    </row>
    <row r="54" spans="1:14" s="224" customFormat="1" ht="15" customHeight="1" x14ac:dyDescent="0.25">
      <c r="A54" s="215">
        <v>43872</v>
      </c>
      <c r="B54" s="364" t="s">
        <v>32</v>
      </c>
      <c r="C54" s="350" t="s">
        <v>12</v>
      </c>
      <c r="D54" s="350" t="s">
        <v>1485</v>
      </c>
      <c r="E54" s="875" t="s">
        <v>15</v>
      </c>
      <c r="F54" s="852">
        <v>15</v>
      </c>
      <c r="G54" s="946"/>
      <c r="H54" s="97"/>
      <c r="I54" s="946"/>
      <c r="J54" s="97"/>
      <c r="K54" s="946"/>
      <c r="L54" s="923"/>
      <c r="N54" s="930"/>
    </row>
    <row r="55" spans="1:14" s="224" customFormat="1" ht="15" customHeight="1" x14ac:dyDescent="0.25">
      <c r="A55" s="215">
        <v>43872</v>
      </c>
      <c r="B55" s="882" t="s">
        <v>2562</v>
      </c>
      <c r="C55" s="879" t="s">
        <v>12</v>
      </c>
      <c r="D55" s="879" t="s">
        <v>1499</v>
      </c>
      <c r="E55" s="871" t="s">
        <v>13</v>
      </c>
      <c r="F55" s="852">
        <v>53.49</v>
      </c>
      <c r="G55" s="946"/>
      <c r="H55" s="97"/>
      <c r="I55" s="946"/>
      <c r="J55" s="97"/>
      <c r="K55" s="946"/>
      <c r="L55" s="948">
        <v>113.49</v>
      </c>
      <c r="N55" s="930"/>
    </row>
    <row r="56" spans="1:14" s="224" customFormat="1" ht="15" customHeight="1" x14ac:dyDescent="0.25">
      <c r="A56" s="215">
        <v>43873</v>
      </c>
      <c r="B56" s="364" t="s">
        <v>32</v>
      </c>
      <c r="C56" s="350" t="s">
        <v>12</v>
      </c>
      <c r="D56" s="350" t="s">
        <v>1485</v>
      </c>
      <c r="E56" s="875" t="s">
        <v>15</v>
      </c>
      <c r="F56" s="852">
        <v>15</v>
      </c>
      <c r="G56" s="946"/>
      <c r="H56" s="97"/>
      <c r="I56" s="946"/>
      <c r="J56" s="97"/>
      <c r="K56" s="946"/>
      <c r="L56" s="923"/>
      <c r="N56" s="930"/>
    </row>
    <row r="57" spans="1:14" s="224" customFormat="1" ht="15" customHeight="1" x14ac:dyDescent="0.25">
      <c r="A57" s="215">
        <v>43873</v>
      </c>
      <c r="B57" s="364" t="s">
        <v>81</v>
      </c>
      <c r="C57" s="350" t="s">
        <v>12</v>
      </c>
      <c r="D57" s="350" t="s">
        <v>1493</v>
      </c>
      <c r="E57" s="875" t="s">
        <v>15</v>
      </c>
      <c r="F57" s="852">
        <v>2</v>
      </c>
      <c r="G57" s="946"/>
      <c r="H57" s="97"/>
      <c r="I57" s="946"/>
      <c r="J57" s="97"/>
      <c r="K57" s="946"/>
      <c r="L57" s="923"/>
      <c r="N57" s="930"/>
    </row>
    <row r="58" spans="1:14" s="224" customFormat="1" ht="15" customHeight="1" x14ac:dyDescent="0.25">
      <c r="A58" s="215">
        <v>43873</v>
      </c>
      <c r="B58" s="349" t="s">
        <v>2251</v>
      </c>
      <c r="C58" s="350" t="s">
        <v>12</v>
      </c>
      <c r="D58" s="350" t="s">
        <v>2157</v>
      </c>
      <c r="E58" s="875" t="s">
        <v>15</v>
      </c>
      <c r="F58" s="780">
        <v>70</v>
      </c>
      <c r="G58" s="946"/>
      <c r="H58" s="97"/>
      <c r="I58" s="946"/>
      <c r="J58" s="97"/>
      <c r="K58" s="946"/>
      <c r="L58" s="934"/>
      <c r="N58" s="930"/>
    </row>
    <row r="59" spans="1:14" s="224" customFormat="1" ht="15" customHeight="1" x14ac:dyDescent="0.25">
      <c r="A59" s="215">
        <v>43873</v>
      </c>
      <c r="B59" s="349" t="s">
        <v>14</v>
      </c>
      <c r="C59" s="879" t="s">
        <v>12</v>
      </c>
      <c r="D59" s="879" t="s">
        <v>1486</v>
      </c>
      <c r="E59" s="871" t="s">
        <v>13</v>
      </c>
      <c r="F59" s="780">
        <v>4.18</v>
      </c>
      <c r="G59" s="946"/>
      <c r="H59" s="97"/>
      <c r="I59" s="946"/>
      <c r="J59" s="97"/>
      <c r="K59" s="946"/>
      <c r="L59" s="934"/>
      <c r="N59" s="930"/>
    </row>
    <row r="60" spans="1:14" s="224" customFormat="1" ht="15" customHeight="1" x14ac:dyDescent="0.25">
      <c r="A60" s="215">
        <v>43874</v>
      </c>
      <c r="B60" s="364" t="s">
        <v>32</v>
      </c>
      <c r="C60" s="350" t="s">
        <v>12</v>
      </c>
      <c r="D60" s="350" t="s">
        <v>1485</v>
      </c>
      <c r="E60" s="875" t="s">
        <v>15</v>
      </c>
      <c r="F60" s="852">
        <v>15</v>
      </c>
      <c r="G60" s="946"/>
      <c r="H60" s="97"/>
      <c r="I60" s="946"/>
      <c r="J60" s="97"/>
      <c r="K60" s="946"/>
      <c r="L60" s="923"/>
      <c r="N60" s="930"/>
    </row>
    <row r="61" spans="1:14" s="224" customFormat="1" ht="15" customHeight="1" x14ac:dyDescent="0.25">
      <c r="A61" s="215">
        <v>43874</v>
      </c>
      <c r="B61" s="364" t="s">
        <v>81</v>
      </c>
      <c r="C61" s="350" t="s">
        <v>12</v>
      </c>
      <c r="D61" s="350" t="s">
        <v>1493</v>
      </c>
      <c r="E61" s="875" t="s">
        <v>15</v>
      </c>
      <c r="F61" s="852">
        <v>3</v>
      </c>
      <c r="G61" s="946"/>
      <c r="H61" s="97"/>
      <c r="I61" s="946"/>
      <c r="J61" s="97"/>
      <c r="K61" s="946"/>
      <c r="L61" s="923"/>
      <c r="N61" s="930"/>
    </row>
    <row r="62" spans="1:14" s="224" customFormat="1" ht="15" customHeight="1" x14ac:dyDescent="0.25">
      <c r="A62" s="215">
        <v>43874</v>
      </c>
      <c r="B62" s="862" t="s">
        <v>2563</v>
      </c>
      <c r="C62" s="879" t="s">
        <v>12</v>
      </c>
      <c r="D62" s="879" t="s">
        <v>1493</v>
      </c>
      <c r="E62" s="871" t="s">
        <v>13</v>
      </c>
      <c r="F62" s="780">
        <v>20</v>
      </c>
      <c r="G62" s="989"/>
      <c r="H62" s="97"/>
      <c r="I62" s="946"/>
      <c r="J62" s="97"/>
      <c r="K62" s="946"/>
      <c r="L62" s="3097"/>
      <c r="M62" s="3098"/>
    </row>
    <row r="63" spans="1:14" s="224" customFormat="1" ht="15" customHeight="1" x14ac:dyDescent="0.25">
      <c r="A63" s="215">
        <v>43875</v>
      </c>
      <c r="B63" s="364" t="s">
        <v>32</v>
      </c>
      <c r="C63" s="350" t="s">
        <v>12</v>
      </c>
      <c r="D63" s="350" t="s">
        <v>1485</v>
      </c>
      <c r="E63" s="875" t="s">
        <v>15</v>
      </c>
      <c r="F63" s="852">
        <v>15</v>
      </c>
      <c r="G63" s="946"/>
      <c r="H63" s="97"/>
      <c r="I63" s="946"/>
      <c r="J63" s="97"/>
      <c r="K63" s="946"/>
      <c r="L63" s="923"/>
      <c r="N63" s="930"/>
    </row>
    <row r="64" spans="1:14" s="224" customFormat="1" ht="15" customHeight="1" x14ac:dyDescent="0.25">
      <c r="A64" s="215">
        <v>43875</v>
      </c>
      <c r="B64" s="862" t="s">
        <v>82</v>
      </c>
      <c r="C64" s="350" t="s">
        <v>12</v>
      </c>
      <c r="D64" s="350" t="s">
        <v>1493</v>
      </c>
      <c r="E64" s="875" t="s">
        <v>13</v>
      </c>
      <c r="F64" s="780">
        <v>27</v>
      </c>
      <c r="G64" s="989"/>
      <c r="H64" s="97"/>
      <c r="I64" s="946"/>
      <c r="J64" s="97"/>
      <c r="K64" s="946"/>
      <c r="L64" s="3097"/>
      <c r="M64" s="3098"/>
    </row>
    <row r="65" spans="1:14" s="224" customFormat="1" ht="15" customHeight="1" x14ac:dyDescent="0.25">
      <c r="A65" s="215">
        <v>43875</v>
      </c>
      <c r="B65" s="349" t="s">
        <v>14</v>
      </c>
      <c r="C65" s="879" t="s">
        <v>12</v>
      </c>
      <c r="D65" s="879" t="s">
        <v>1486</v>
      </c>
      <c r="E65" s="871" t="s">
        <v>13</v>
      </c>
      <c r="F65" s="780">
        <v>6.44</v>
      </c>
      <c r="G65" s="957"/>
      <c r="H65" s="97"/>
      <c r="I65" s="946"/>
      <c r="J65" s="97"/>
      <c r="K65" s="946"/>
      <c r="L65" s="459"/>
    </row>
    <row r="66" spans="1:14" s="224" customFormat="1" ht="15" customHeight="1" x14ac:dyDescent="0.25">
      <c r="A66" s="215">
        <v>43876</v>
      </c>
      <c r="B66" s="349" t="s">
        <v>2251</v>
      </c>
      <c r="C66" s="350" t="s">
        <v>12</v>
      </c>
      <c r="D66" s="350" t="s">
        <v>2157</v>
      </c>
      <c r="E66" s="875" t="s">
        <v>15</v>
      </c>
      <c r="F66" s="780">
        <v>60</v>
      </c>
      <c r="G66" s="946"/>
      <c r="H66" s="97"/>
      <c r="I66" s="946"/>
      <c r="J66" s="97"/>
      <c r="K66" s="946"/>
      <c r="L66" s="934"/>
      <c r="N66" s="930"/>
    </row>
    <row r="67" spans="1:14" s="224" customFormat="1" ht="15" customHeight="1" x14ac:dyDescent="0.25">
      <c r="A67" s="215">
        <v>43876</v>
      </c>
      <c r="B67" s="349" t="s">
        <v>14</v>
      </c>
      <c r="C67" s="879" t="s">
        <v>12</v>
      </c>
      <c r="D67" s="879" t="s">
        <v>1486</v>
      </c>
      <c r="E67" s="871" t="s">
        <v>13</v>
      </c>
      <c r="F67" s="780">
        <v>4.7699999999999996</v>
      </c>
      <c r="G67" s="946"/>
      <c r="H67" s="97"/>
      <c r="I67" s="946"/>
      <c r="J67" s="97"/>
      <c r="K67" s="946"/>
      <c r="L67" s="934"/>
      <c r="N67" s="930"/>
    </row>
    <row r="68" spans="1:14" s="224" customFormat="1" ht="15" customHeight="1" x14ac:dyDescent="0.25">
      <c r="A68" s="215">
        <v>43876</v>
      </c>
      <c r="B68" s="364" t="s">
        <v>56</v>
      </c>
      <c r="C68" s="350" t="s">
        <v>19</v>
      </c>
      <c r="D68" s="350" t="s">
        <v>1523</v>
      </c>
      <c r="E68" s="875" t="s">
        <v>13</v>
      </c>
      <c r="F68" s="780">
        <v>27</v>
      </c>
      <c r="G68" s="957"/>
      <c r="H68" s="97"/>
      <c r="I68" s="946"/>
      <c r="J68" s="97"/>
      <c r="K68" s="946"/>
      <c r="L68" s="767"/>
    </row>
    <row r="69" spans="1:14" s="224" customFormat="1" ht="15" customHeight="1" x14ac:dyDescent="0.25">
      <c r="A69" s="215">
        <v>43876</v>
      </c>
      <c r="B69" s="364" t="s">
        <v>1438</v>
      </c>
      <c r="C69" s="350" t="s">
        <v>19</v>
      </c>
      <c r="D69" s="350" t="s">
        <v>1489</v>
      </c>
      <c r="E69" s="875" t="s">
        <v>13</v>
      </c>
      <c r="F69" s="780">
        <v>57</v>
      </c>
      <c r="G69" s="957"/>
      <c r="H69" s="97"/>
      <c r="I69" s="946"/>
      <c r="J69" s="97"/>
      <c r="K69" s="946"/>
      <c r="L69" s="767"/>
    </row>
    <row r="70" spans="1:14" s="224" customFormat="1" ht="15" customHeight="1" x14ac:dyDescent="0.25">
      <c r="A70" s="215">
        <v>43876</v>
      </c>
      <c r="B70" s="364" t="s">
        <v>2300</v>
      </c>
      <c r="C70" s="350" t="s">
        <v>12</v>
      </c>
      <c r="D70" s="350" t="s">
        <v>1493</v>
      </c>
      <c r="E70" s="875" t="s">
        <v>15</v>
      </c>
      <c r="F70" s="780">
        <v>5</v>
      </c>
      <c r="G70" s="957"/>
      <c r="H70" s="97"/>
      <c r="I70" s="946"/>
      <c r="J70" s="97"/>
      <c r="K70" s="946"/>
      <c r="L70" s="767"/>
    </row>
    <row r="71" spans="1:14" s="224" customFormat="1" ht="15" customHeight="1" x14ac:dyDescent="0.25">
      <c r="A71" s="215">
        <v>43877</v>
      </c>
      <c r="B71" s="349" t="s">
        <v>14</v>
      </c>
      <c r="C71" s="879" t="s">
        <v>12</v>
      </c>
      <c r="D71" s="879" t="s">
        <v>1486</v>
      </c>
      <c r="E71" s="871" t="s">
        <v>13</v>
      </c>
      <c r="F71" s="780">
        <v>7.4</v>
      </c>
      <c r="G71" s="946"/>
      <c r="H71" s="97"/>
      <c r="I71" s="946"/>
      <c r="J71" s="97"/>
      <c r="K71" s="946"/>
      <c r="L71" s="934"/>
      <c r="N71" s="930"/>
    </row>
    <row r="72" spans="1:14" s="224" customFormat="1" ht="15" customHeight="1" x14ac:dyDescent="0.25">
      <c r="A72" s="215">
        <v>43877</v>
      </c>
      <c r="B72" s="364" t="s">
        <v>2564</v>
      </c>
      <c r="C72" s="350" t="s">
        <v>12</v>
      </c>
      <c r="D72" s="350" t="s">
        <v>1485</v>
      </c>
      <c r="E72" s="875" t="s">
        <v>13</v>
      </c>
      <c r="F72" s="852">
        <v>37.5</v>
      </c>
      <c r="G72" s="946"/>
      <c r="H72" s="97"/>
      <c r="I72" s="946"/>
      <c r="J72" s="97"/>
      <c r="K72" s="946"/>
      <c r="L72" s="923"/>
      <c r="N72" s="930"/>
    </row>
    <row r="73" spans="1:14" s="224" customFormat="1" ht="15" customHeight="1" x14ac:dyDescent="0.25">
      <c r="A73" s="215">
        <v>43877</v>
      </c>
      <c r="B73" s="364" t="s">
        <v>2565</v>
      </c>
      <c r="C73" s="350" t="s">
        <v>12</v>
      </c>
      <c r="D73" s="350" t="s">
        <v>1491</v>
      </c>
      <c r="E73" s="875" t="s">
        <v>15</v>
      </c>
      <c r="F73" s="780">
        <v>40</v>
      </c>
      <c r="G73" s="946"/>
      <c r="H73" s="97"/>
      <c r="I73" s="946"/>
      <c r="J73" s="97"/>
      <c r="K73" s="946"/>
      <c r="L73" s="923"/>
      <c r="N73" s="930"/>
    </row>
    <row r="74" spans="1:14" s="224" customFormat="1" ht="15" customHeight="1" x14ac:dyDescent="0.25">
      <c r="A74" s="215">
        <v>43878</v>
      </c>
      <c r="B74" s="364" t="s">
        <v>32</v>
      </c>
      <c r="C74" s="350" t="s">
        <v>12</v>
      </c>
      <c r="D74" s="350" t="s">
        <v>1485</v>
      </c>
      <c r="E74" s="875" t="s">
        <v>15</v>
      </c>
      <c r="F74" s="852">
        <v>15</v>
      </c>
      <c r="G74" s="946"/>
      <c r="H74" s="97"/>
      <c r="I74" s="946"/>
      <c r="J74" s="97"/>
      <c r="K74" s="946"/>
      <c r="L74" s="923"/>
      <c r="N74" s="930"/>
    </row>
    <row r="75" spans="1:14" s="224" customFormat="1" ht="15" customHeight="1" x14ac:dyDescent="0.25">
      <c r="A75" s="215">
        <v>43878</v>
      </c>
      <c r="B75" s="349" t="s">
        <v>14</v>
      </c>
      <c r="C75" s="879" t="s">
        <v>12</v>
      </c>
      <c r="D75" s="879" t="s">
        <v>1486</v>
      </c>
      <c r="E75" s="871" t="s">
        <v>13</v>
      </c>
      <c r="F75" s="780">
        <v>3.49</v>
      </c>
      <c r="G75" s="957"/>
      <c r="H75" s="97"/>
      <c r="I75" s="946"/>
      <c r="J75" s="97"/>
      <c r="K75" s="946"/>
      <c r="L75" s="459"/>
    </row>
    <row r="76" spans="1:14" s="224" customFormat="1" ht="15" customHeight="1" x14ac:dyDescent="0.25">
      <c r="A76" s="215">
        <v>43879</v>
      </c>
      <c r="B76" s="364" t="s">
        <v>32</v>
      </c>
      <c r="C76" s="350" t="s">
        <v>12</v>
      </c>
      <c r="D76" s="350" t="s">
        <v>1485</v>
      </c>
      <c r="E76" s="875" t="s">
        <v>13</v>
      </c>
      <c r="F76" s="852">
        <v>15</v>
      </c>
      <c r="G76" s="946"/>
      <c r="H76" s="97"/>
      <c r="I76" s="946"/>
      <c r="J76" s="97"/>
      <c r="K76" s="946"/>
      <c r="L76" s="923"/>
      <c r="N76" s="930"/>
    </row>
    <row r="77" spans="1:14" s="224" customFormat="1" ht="15" customHeight="1" x14ac:dyDescent="0.25">
      <c r="A77" s="215">
        <v>43879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780">
        <v>7.65</v>
      </c>
      <c r="G77" s="957"/>
      <c r="H77" s="97"/>
      <c r="I77" s="946"/>
      <c r="J77" s="97"/>
      <c r="K77" s="946"/>
      <c r="L77" s="459"/>
    </row>
    <row r="78" spans="1:14" s="224" customFormat="1" ht="15" customHeight="1" x14ac:dyDescent="0.25">
      <c r="A78" s="215">
        <v>43880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852">
        <v>15</v>
      </c>
      <c r="G78" s="946"/>
      <c r="H78" s="97"/>
      <c r="I78" s="946"/>
      <c r="J78" s="97"/>
      <c r="K78" s="946"/>
      <c r="L78" s="923"/>
      <c r="N78" s="930"/>
    </row>
    <row r="79" spans="1:14" s="224" customFormat="1" ht="15" customHeight="1" x14ac:dyDescent="0.25">
      <c r="A79" s="215">
        <v>43880</v>
      </c>
      <c r="B79" s="364" t="s">
        <v>17</v>
      </c>
      <c r="C79" s="350" t="s">
        <v>12</v>
      </c>
      <c r="D79" s="350" t="s">
        <v>1493</v>
      </c>
      <c r="E79" s="875" t="s">
        <v>13</v>
      </c>
      <c r="F79" s="852">
        <v>5</v>
      </c>
      <c r="G79" s="946"/>
      <c r="H79" s="97"/>
      <c r="I79" s="946"/>
      <c r="J79" s="97"/>
      <c r="K79" s="946"/>
      <c r="L79" s="923"/>
      <c r="N79" s="930"/>
    </row>
    <row r="80" spans="1:14" s="224" customFormat="1" ht="15" customHeight="1" x14ac:dyDescent="0.25">
      <c r="A80" s="215">
        <v>43880</v>
      </c>
      <c r="B80" s="364" t="s">
        <v>2566</v>
      </c>
      <c r="C80" s="350" t="s">
        <v>12</v>
      </c>
      <c r="D80" s="350" t="s">
        <v>1489</v>
      </c>
      <c r="E80" s="875" t="s">
        <v>13</v>
      </c>
      <c r="F80" s="852">
        <v>15.5</v>
      </c>
      <c r="G80" s="946"/>
      <c r="H80" s="97"/>
      <c r="I80" s="946"/>
      <c r="J80" s="97"/>
      <c r="K80" s="946"/>
      <c r="L80" s="923"/>
      <c r="N80" s="930"/>
    </row>
    <row r="81" spans="1:14" s="224" customFormat="1" ht="15" customHeight="1" x14ac:dyDescent="0.25">
      <c r="A81" s="215">
        <v>43880</v>
      </c>
      <c r="B81" s="862" t="s">
        <v>256</v>
      </c>
      <c r="C81" s="350"/>
      <c r="D81" s="350"/>
      <c r="E81" s="875"/>
      <c r="F81" s="780"/>
      <c r="G81" s="989">
        <v>200</v>
      </c>
      <c r="H81" s="97">
        <v>200</v>
      </c>
      <c r="I81" s="946"/>
      <c r="J81" s="97"/>
      <c r="K81" s="946"/>
      <c r="L81" s="459"/>
    </row>
    <row r="82" spans="1:14" s="224" customFormat="1" ht="15" customHeight="1" x14ac:dyDescent="0.25">
      <c r="A82" s="215">
        <v>43880</v>
      </c>
      <c r="B82" s="862" t="s">
        <v>2567</v>
      </c>
      <c r="C82" s="350" t="s">
        <v>19</v>
      </c>
      <c r="D82" s="350" t="s">
        <v>1523</v>
      </c>
      <c r="E82" s="875" t="s">
        <v>13</v>
      </c>
      <c r="F82" s="780">
        <v>116.05</v>
      </c>
      <c r="G82" s="989"/>
      <c r="H82" s="97"/>
      <c r="I82" s="946"/>
      <c r="J82" s="97"/>
      <c r="K82" s="946"/>
      <c r="L82" s="459"/>
    </row>
    <row r="83" spans="1:14" s="224" customFormat="1" ht="15" customHeight="1" x14ac:dyDescent="0.25">
      <c r="A83" s="215">
        <v>43881</v>
      </c>
      <c r="B83" s="882" t="s">
        <v>2568</v>
      </c>
      <c r="C83" s="350" t="s">
        <v>12</v>
      </c>
      <c r="D83" s="350"/>
      <c r="E83" s="480" t="s">
        <v>25</v>
      </c>
      <c r="F83" s="622"/>
      <c r="G83" s="982">
        <v>1660</v>
      </c>
      <c r="H83" s="622"/>
      <c r="I83" s="982"/>
      <c r="J83" s="622"/>
      <c r="K83" s="982"/>
      <c r="L83" s="459"/>
    </row>
    <row r="84" spans="1:14" s="224" customFormat="1" ht="15" customHeight="1" x14ac:dyDescent="0.25">
      <c r="A84" s="215">
        <v>43881</v>
      </c>
      <c r="B84" s="349" t="s">
        <v>2569</v>
      </c>
      <c r="C84" s="350" t="s">
        <v>12</v>
      </c>
      <c r="D84" s="350" t="s">
        <v>1491</v>
      </c>
      <c r="E84" s="480" t="s">
        <v>15</v>
      </c>
      <c r="F84" s="852">
        <v>50</v>
      </c>
      <c r="G84" s="965"/>
      <c r="H84" s="97"/>
      <c r="I84" s="946"/>
      <c r="J84" s="97"/>
      <c r="K84" s="946"/>
      <c r="L84" s="923">
        <v>110</v>
      </c>
      <c r="M84" s="224" t="s">
        <v>2545</v>
      </c>
      <c r="N84" s="930"/>
    </row>
    <row r="85" spans="1:14" s="224" customFormat="1" ht="15" customHeight="1" x14ac:dyDescent="0.25">
      <c r="A85" s="215">
        <v>43881</v>
      </c>
      <c r="B85" s="862" t="s">
        <v>2302</v>
      </c>
      <c r="C85" s="350" t="s">
        <v>12</v>
      </c>
      <c r="D85" s="874" t="s">
        <v>1504</v>
      </c>
      <c r="E85" s="887" t="s">
        <v>13</v>
      </c>
      <c r="F85" s="852">
        <v>46.79</v>
      </c>
      <c r="G85" s="965"/>
      <c r="H85" s="97"/>
      <c r="I85" s="946"/>
      <c r="J85" s="97"/>
      <c r="K85" s="946"/>
      <c r="L85" s="923">
        <v>92.79</v>
      </c>
      <c r="N85" s="930"/>
    </row>
    <row r="86" spans="1:14" s="224" customFormat="1" ht="15" customHeight="1" x14ac:dyDescent="0.25">
      <c r="A86" s="215">
        <v>43881</v>
      </c>
      <c r="B86" s="364" t="s">
        <v>1241</v>
      </c>
      <c r="C86" s="350" t="s">
        <v>12</v>
      </c>
      <c r="D86" s="350" t="s">
        <v>1504</v>
      </c>
      <c r="E86" s="875" t="s">
        <v>13</v>
      </c>
      <c r="F86" s="780">
        <v>10</v>
      </c>
      <c r="G86" s="946"/>
      <c r="H86" s="97"/>
      <c r="I86" s="946"/>
      <c r="J86" s="97"/>
      <c r="K86" s="946"/>
      <c r="L86" s="923"/>
      <c r="N86" s="930"/>
    </row>
    <row r="87" spans="1:14" s="224" customFormat="1" ht="15" customHeight="1" x14ac:dyDescent="0.25">
      <c r="A87" s="215">
        <v>43881</v>
      </c>
      <c r="B87" s="364" t="s">
        <v>32</v>
      </c>
      <c r="C87" s="350" t="s">
        <v>12</v>
      </c>
      <c r="D87" s="350" t="s">
        <v>1485</v>
      </c>
      <c r="E87" s="875" t="s">
        <v>13</v>
      </c>
      <c r="F87" s="852">
        <v>15</v>
      </c>
      <c r="G87" s="946"/>
      <c r="H87" s="97"/>
      <c r="I87" s="946"/>
      <c r="J87" s="97"/>
      <c r="K87" s="946"/>
      <c r="L87" s="923"/>
      <c r="N87" s="930"/>
    </row>
    <row r="88" spans="1:14" s="224" customFormat="1" ht="15" customHeight="1" x14ac:dyDescent="0.25">
      <c r="A88" s="215">
        <v>43881</v>
      </c>
      <c r="B88" s="862" t="s">
        <v>2570</v>
      </c>
      <c r="C88" s="350" t="s">
        <v>12</v>
      </c>
      <c r="D88" s="350" t="s">
        <v>1489</v>
      </c>
      <c r="E88" s="875" t="s">
        <v>13</v>
      </c>
      <c r="F88" s="852">
        <v>8</v>
      </c>
      <c r="G88" s="989"/>
      <c r="H88" s="97"/>
      <c r="I88" s="946"/>
      <c r="J88" s="97"/>
      <c r="K88" s="946"/>
      <c r="L88" s="459"/>
    </row>
    <row r="89" spans="1:14" s="224" customFormat="1" ht="15" customHeight="1" x14ac:dyDescent="0.25">
      <c r="A89" s="215">
        <v>43881</v>
      </c>
      <c r="B89" s="862" t="s">
        <v>2571</v>
      </c>
      <c r="C89" s="350" t="s">
        <v>12</v>
      </c>
      <c r="D89" s="350" t="s">
        <v>1491</v>
      </c>
      <c r="E89" s="875" t="s">
        <v>13</v>
      </c>
      <c r="F89" s="852">
        <v>30</v>
      </c>
      <c r="G89" s="989"/>
      <c r="H89" s="97"/>
      <c r="I89" s="946"/>
      <c r="J89" s="97"/>
      <c r="K89" s="946"/>
      <c r="L89" s="459"/>
    </row>
    <row r="90" spans="1:14" s="224" customFormat="1" ht="15" customHeight="1" x14ac:dyDescent="0.25">
      <c r="A90" s="215">
        <v>43881</v>
      </c>
      <c r="B90" s="349" t="s">
        <v>14</v>
      </c>
      <c r="C90" s="879" t="s">
        <v>12</v>
      </c>
      <c r="D90" s="879" t="s">
        <v>1486</v>
      </c>
      <c r="E90" s="871" t="s">
        <v>13</v>
      </c>
      <c r="F90" s="780">
        <v>4.24</v>
      </c>
      <c r="G90" s="957"/>
      <c r="H90" s="97"/>
      <c r="I90" s="946"/>
      <c r="J90" s="97"/>
      <c r="K90" s="946"/>
      <c r="L90" s="459"/>
    </row>
    <row r="91" spans="1:14" s="224" customFormat="1" ht="15" customHeight="1" x14ac:dyDescent="0.25">
      <c r="A91" s="215">
        <v>43882</v>
      </c>
      <c r="B91" s="349" t="s">
        <v>260</v>
      </c>
      <c r="C91" s="350" t="s">
        <v>12</v>
      </c>
      <c r="D91" s="350"/>
      <c r="E91" s="480"/>
      <c r="F91" s="852">
        <v>400</v>
      </c>
      <c r="G91" s="946"/>
      <c r="H91" s="97"/>
      <c r="I91" s="946">
        <v>400</v>
      </c>
      <c r="J91" s="97"/>
      <c r="K91" s="946"/>
      <c r="L91" s="459"/>
    </row>
    <row r="92" spans="1:14" s="224" customFormat="1" ht="15" customHeight="1" x14ac:dyDescent="0.25">
      <c r="A92" s="215">
        <v>43882</v>
      </c>
      <c r="B92" s="364" t="s">
        <v>32</v>
      </c>
      <c r="C92" s="350" t="s">
        <v>12</v>
      </c>
      <c r="D92" s="350" t="s">
        <v>1485</v>
      </c>
      <c r="E92" s="875" t="s">
        <v>13</v>
      </c>
      <c r="F92" s="852">
        <v>15</v>
      </c>
      <c r="G92" s="946"/>
      <c r="H92" s="97"/>
      <c r="I92" s="946"/>
      <c r="J92" s="97"/>
      <c r="K92" s="946"/>
      <c r="N92" s="930"/>
    </row>
    <row r="93" spans="1:14" s="224" customFormat="1" ht="15" customHeight="1" x14ac:dyDescent="0.25">
      <c r="A93" s="215">
        <v>43883</v>
      </c>
      <c r="B93" s="349" t="s">
        <v>82</v>
      </c>
      <c r="C93" s="350" t="s">
        <v>12</v>
      </c>
      <c r="D93" s="350" t="s">
        <v>1493</v>
      </c>
      <c r="E93" s="480" t="s">
        <v>13</v>
      </c>
      <c r="F93" s="852">
        <v>34.9</v>
      </c>
      <c r="G93" s="946"/>
      <c r="H93" s="97"/>
      <c r="I93" s="946"/>
      <c r="J93" s="97"/>
      <c r="K93" s="946"/>
      <c r="N93" s="930"/>
    </row>
    <row r="94" spans="1:14" s="224" customFormat="1" ht="15" customHeight="1" x14ac:dyDescent="0.25">
      <c r="A94" s="215">
        <v>43883</v>
      </c>
      <c r="B94" s="364" t="s">
        <v>2572</v>
      </c>
      <c r="C94" s="350" t="s">
        <v>12</v>
      </c>
      <c r="D94" s="350" t="s">
        <v>1489</v>
      </c>
      <c r="E94" s="875" t="s">
        <v>15</v>
      </c>
      <c r="F94" s="852">
        <v>30.9</v>
      </c>
      <c r="G94" s="946"/>
      <c r="H94" s="97"/>
      <c r="I94" s="946"/>
      <c r="J94" s="97"/>
      <c r="K94" s="946"/>
      <c r="N94" s="930"/>
    </row>
    <row r="95" spans="1:14" s="224" customFormat="1" ht="15" customHeight="1" x14ac:dyDescent="0.25">
      <c r="A95" s="215">
        <v>43883</v>
      </c>
      <c r="B95" s="349" t="s">
        <v>2573</v>
      </c>
      <c r="C95" s="350" t="s">
        <v>12</v>
      </c>
      <c r="D95" s="350" t="s">
        <v>2157</v>
      </c>
      <c r="E95" s="875" t="s">
        <v>13</v>
      </c>
      <c r="F95" s="780">
        <v>70</v>
      </c>
      <c r="G95" s="946"/>
      <c r="H95" s="97"/>
      <c r="I95" s="946"/>
      <c r="J95" s="97"/>
      <c r="K95" s="946"/>
      <c r="N95" s="930"/>
    </row>
    <row r="96" spans="1:14" s="224" customFormat="1" ht="15" customHeight="1" x14ac:dyDescent="0.25">
      <c r="A96" s="215">
        <v>43883</v>
      </c>
      <c r="B96" s="349" t="s">
        <v>14</v>
      </c>
      <c r="C96" s="879" t="s">
        <v>12</v>
      </c>
      <c r="D96" s="879" t="s">
        <v>1486</v>
      </c>
      <c r="E96" s="871" t="s">
        <v>13</v>
      </c>
      <c r="F96" s="852">
        <v>2.7</v>
      </c>
      <c r="G96" s="946"/>
      <c r="H96" s="97"/>
      <c r="I96" s="946"/>
      <c r="J96" s="97"/>
      <c r="K96" s="946"/>
      <c r="N96" s="930"/>
    </row>
    <row r="97" spans="1:18" s="224" customFormat="1" ht="15" customHeight="1" x14ac:dyDescent="0.25">
      <c r="A97" s="215">
        <v>43884</v>
      </c>
      <c r="B97" s="349" t="s">
        <v>2574</v>
      </c>
      <c r="C97" s="879" t="s">
        <v>12</v>
      </c>
      <c r="D97" s="879" t="s">
        <v>1486</v>
      </c>
      <c r="E97" s="871" t="s">
        <v>13</v>
      </c>
      <c r="F97" s="852">
        <v>15.93</v>
      </c>
      <c r="G97" s="965"/>
      <c r="H97" s="97"/>
      <c r="I97" s="946"/>
      <c r="J97" s="97"/>
      <c r="K97" s="946"/>
      <c r="L97" s="923"/>
      <c r="N97" s="930"/>
    </row>
    <row r="98" spans="1:18" s="224" customFormat="1" ht="15" customHeight="1" x14ac:dyDescent="0.25">
      <c r="A98" s="215">
        <v>43884</v>
      </c>
      <c r="B98" s="349" t="s">
        <v>2575</v>
      </c>
      <c r="C98" s="350" t="s">
        <v>12</v>
      </c>
      <c r="D98" s="350" t="s">
        <v>1485</v>
      </c>
      <c r="E98" s="480" t="s">
        <v>13</v>
      </c>
      <c r="F98" s="852">
        <v>45.98</v>
      </c>
      <c r="G98" s="965"/>
      <c r="H98" s="97"/>
      <c r="I98" s="946"/>
      <c r="J98" s="97"/>
      <c r="K98" s="946"/>
      <c r="L98" s="923"/>
      <c r="N98" s="930"/>
    </row>
    <row r="99" spans="1:18" s="224" customFormat="1" ht="15" customHeight="1" x14ac:dyDescent="0.25">
      <c r="A99" s="215">
        <v>43884</v>
      </c>
      <c r="B99" s="349" t="s">
        <v>2576</v>
      </c>
      <c r="C99" s="350" t="s">
        <v>12</v>
      </c>
      <c r="D99" s="350" t="s">
        <v>1493</v>
      </c>
      <c r="E99" s="480" t="s">
        <v>13</v>
      </c>
      <c r="F99" s="852">
        <v>7.5</v>
      </c>
      <c r="G99" s="965"/>
      <c r="H99" s="97"/>
      <c r="I99" s="946"/>
      <c r="J99" s="97"/>
      <c r="K99" s="946"/>
      <c r="L99" s="923"/>
      <c r="N99" s="930"/>
    </row>
    <row r="100" spans="1:18" s="224" customFormat="1" ht="15" customHeight="1" x14ac:dyDescent="0.25">
      <c r="A100" s="215">
        <v>43884</v>
      </c>
      <c r="B100" s="349" t="s">
        <v>2577</v>
      </c>
      <c r="C100" s="350" t="s">
        <v>12</v>
      </c>
      <c r="D100" s="350" t="s">
        <v>1493</v>
      </c>
      <c r="E100" s="480" t="s">
        <v>15</v>
      </c>
      <c r="F100" s="852">
        <v>10</v>
      </c>
      <c r="G100" s="965"/>
      <c r="H100" s="97"/>
      <c r="I100" s="946"/>
      <c r="J100" s="97"/>
      <c r="K100" s="946"/>
      <c r="L100" s="923"/>
      <c r="N100" s="930"/>
    </row>
    <row r="101" spans="1:18" s="224" customFormat="1" ht="15" customHeight="1" x14ac:dyDescent="0.25">
      <c r="A101" s="215">
        <v>43885</v>
      </c>
      <c r="B101" s="364" t="s">
        <v>2578</v>
      </c>
      <c r="C101" s="350" t="s">
        <v>12</v>
      </c>
      <c r="D101" s="350" t="s">
        <v>1489</v>
      </c>
      <c r="E101" s="875" t="s">
        <v>15</v>
      </c>
      <c r="F101" s="852">
        <v>11.1</v>
      </c>
      <c r="G101" s="946"/>
      <c r="H101" s="97"/>
      <c r="I101" s="946"/>
      <c r="J101" s="97"/>
      <c r="K101" s="946"/>
      <c r="N101" s="930"/>
    </row>
    <row r="102" spans="1:18" s="224" customFormat="1" ht="15" customHeight="1" x14ac:dyDescent="0.25">
      <c r="A102" s="215">
        <v>43885</v>
      </c>
      <c r="B102" s="349" t="s">
        <v>2579</v>
      </c>
      <c r="C102" s="350" t="s">
        <v>12</v>
      </c>
      <c r="D102" s="350" t="s">
        <v>1493</v>
      </c>
      <c r="E102" s="480" t="s">
        <v>13</v>
      </c>
      <c r="F102" s="852">
        <v>20</v>
      </c>
      <c r="G102" s="965"/>
      <c r="H102" s="97"/>
      <c r="I102" s="946"/>
      <c r="J102" s="97"/>
      <c r="K102" s="946"/>
      <c r="L102" s="939"/>
      <c r="N102" s="930"/>
    </row>
    <row r="103" spans="1:18" s="224" customFormat="1" ht="15" customHeight="1" x14ac:dyDescent="0.25">
      <c r="A103" s="215">
        <v>43886</v>
      </c>
      <c r="B103" s="349" t="s">
        <v>14</v>
      </c>
      <c r="C103" s="879" t="s">
        <v>12</v>
      </c>
      <c r="D103" s="879" t="s">
        <v>1486</v>
      </c>
      <c r="E103" s="871" t="s">
        <v>13</v>
      </c>
      <c r="F103" s="852">
        <v>13.11</v>
      </c>
      <c r="G103" s="946"/>
      <c r="H103" s="97"/>
      <c r="I103" s="946"/>
      <c r="J103" s="97"/>
      <c r="K103" s="946"/>
      <c r="N103" s="930"/>
    </row>
    <row r="104" spans="1:18" s="224" customFormat="1" x14ac:dyDescent="0.25">
      <c r="A104" s="215">
        <v>43886</v>
      </c>
      <c r="B104" s="873" t="s">
        <v>421</v>
      </c>
      <c r="C104" s="879" t="s">
        <v>19</v>
      </c>
      <c r="D104" s="350" t="s">
        <v>1493</v>
      </c>
      <c r="E104" s="871" t="s">
        <v>13</v>
      </c>
      <c r="F104" s="853">
        <v>21.5</v>
      </c>
      <c r="G104" s="964"/>
      <c r="H104" s="622"/>
      <c r="I104" s="982"/>
      <c r="J104" s="622"/>
      <c r="K104" s="982"/>
      <c r="L104" s="984"/>
    </row>
    <row r="105" spans="1:18" s="224" customFormat="1" ht="15" customHeight="1" x14ac:dyDescent="0.25">
      <c r="A105" s="215">
        <v>43887</v>
      </c>
      <c r="B105" s="364" t="s">
        <v>32</v>
      </c>
      <c r="C105" s="350" t="s">
        <v>12</v>
      </c>
      <c r="D105" s="350" t="s">
        <v>1485</v>
      </c>
      <c r="E105" s="875" t="s">
        <v>13</v>
      </c>
      <c r="F105" s="852">
        <v>15</v>
      </c>
      <c r="G105" s="946"/>
      <c r="H105" s="97"/>
      <c r="I105" s="946"/>
      <c r="J105" s="97"/>
      <c r="K105" s="946"/>
      <c r="L105" s="923"/>
      <c r="N105" s="930"/>
    </row>
    <row r="106" spans="1:18" s="224" customFormat="1" ht="15" customHeight="1" x14ac:dyDescent="0.25">
      <c r="A106" s="215">
        <v>43887</v>
      </c>
      <c r="B106" s="364" t="s">
        <v>17</v>
      </c>
      <c r="C106" s="350" t="s">
        <v>12</v>
      </c>
      <c r="D106" s="350" t="s">
        <v>1493</v>
      </c>
      <c r="E106" s="875" t="s">
        <v>13</v>
      </c>
      <c r="F106" s="852">
        <v>2</v>
      </c>
      <c r="G106" s="946"/>
      <c r="H106" s="97"/>
      <c r="I106" s="946"/>
      <c r="J106" s="97"/>
      <c r="K106" s="946"/>
      <c r="L106" s="923"/>
      <c r="N106" s="930"/>
    </row>
    <row r="107" spans="1:18" s="224" customFormat="1" ht="15" customHeight="1" x14ac:dyDescent="0.25">
      <c r="A107" s="215">
        <v>43887</v>
      </c>
      <c r="B107" s="364" t="s">
        <v>2580</v>
      </c>
      <c r="C107" s="350" t="s">
        <v>12</v>
      </c>
      <c r="D107" s="350" t="s">
        <v>1489</v>
      </c>
      <c r="E107" s="875" t="s">
        <v>13</v>
      </c>
      <c r="F107" s="852">
        <v>21.07</v>
      </c>
      <c r="G107" s="964"/>
      <c r="H107" s="622"/>
      <c r="I107" s="982"/>
      <c r="J107" s="622"/>
      <c r="K107" s="982"/>
      <c r="L107" s="923"/>
    </row>
    <row r="108" spans="1:18" s="224" customFormat="1" ht="15" customHeight="1" x14ac:dyDescent="0.25">
      <c r="A108" s="215">
        <v>43887</v>
      </c>
      <c r="B108" s="364" t="s">
        <v>2251</v>
      </c>
      <c r="C108" s="350" t="s">
        <v>12</v>
      </c>
      <c r="D108" s="350" t="s">
        <v>2157</v>
      </c>
      <c r="E108" s="875" t="s">
        <v>15</v>
      </c>
      <c r="F108" s="852">
        <v>30</v>
      </c>
      <c r="G108" s="964"/>
      <c r="H108" s="622"/>
      <c r="I108" s="982"/>
      <c r="J108" s="622"/>
      <c r="K108" s="982"/>
      <c r="L108" s="923"/>
    </row>
    <row r="109" spans="1:18" s="224" customFormat="1" ht="15" customHeight="1" x14ac:dyDescent="0.25">
      <c r="A109" s="215">
        <v>43887</v>
      </c>
      <c r="B109" s="349" t="s">
        <v>14</v>
      </c>
      <c r="C109" s="879" t="s">
        <v>12</v>
      </c>
      <c r="D109" s="879" t="s">
        <v>1486</v>
      </c>
      <c r="E109" s="871" t="s">
        <v>13</v>
      </c>
      <c r="F109" s="852">
        <v>3.74</v>
      </c>
      <c r="G109" s="946"/>
      <c r="H109" s="97"/>
      <c r="I109" s="946"/>
      <c r="J109" s="97"/>
      <c r="K109" s="946"/>
      <c r="N109" s="930"/>
      <c r="O109" s="224" t="s">
        <v>2581</v>
      </c>
      <c r="P109" s="224" t="s">
        <v>2582</v>
      </c>
      <c r="Q109" s="224" t="s">
        <v>2583</v>
      </c>
      <c r="R109" s="224" t="s">
        <v>2584</v>
      </c>
    </row>
    <row r="110" spans="1:18" s="224" customFormat="1" ht="15" customHeight="1" x14ac:dyDescent="0.25">
      <c r="A110" s="215">
        <v>43887</v>
      </c>
      <c r="B110" s="349" t="s">
        <v>2585</v>
      </c>
      <c r="C110" s="350" t="s">
        <v>12</v>
      </c>
      <c r="D110" s="350" t="s">
        <v>1523</v>
      </c>
      <c r="E110" s="480" t="s">
        <v>13</v>
      </c>
      <c r="F110" s="852">
        <v>73</v>
      </c>
      <c r="G110" s="965"/>
      <c r="H110" s="97"/>
      <c r="I110" s="946"/>
      <c r="J110" s="97"/>
      <c r="K110" s="946"/>
      <c r="L110" s="923"/>
      <c r="N110" s="930" t="s">
        <v>2586</v>
      </c>
      <c r="O110" s="224">
        <v>2</v>
      </c>
      <c r="P110" s="224">
        <v>9</v>
      </c>
      <c r="Q110" s="178">
        <v>200</v>
      </c>
      <c r="R110" s="999">
        <f>Q110/P110*O110</f>
        <v>44.444444444444443</v>
      </c>
    </row>
    <row r="111" spans="1:18" s="224" customFormat="1" ht="15" customHeight="1" x14ac:dyDescent="0.25">
      <c r="A111" s="215">
        <v>43887</v>
      </c>
      <c r="B111" s="349" t="s">
        <v>2587</v>
      </c>
      <c r="C111" s="350" t="s">
        <v>12</v>
      </c>
      <c r="D111" s="350" t="s">
        <v>1523</v>
      </c>
      <c r="E111" s="480" t="s">
        <v>13</v>
      </c>
      <c r="F111" s="852">
        <v>73</v>
      </c>
      <c r="G111" s="965"/>
      <c r="H111" s="97"/>
      <c r="I111" s="946"/>
      <c r="J111" s="97"/>
      <c r="K111" s="946"/>
      <c r="L111" s="923"/>
      <c r="N111" s="930"/>
      <c r="O111" s="224">
        <v>1</v>
      </c>
      <c r="P111" s="224">
        <v>7</v>
      </c>
      <c r="Q111" s="178">
        <v>200</v>
      </c>
      <c r="R111" s="999">
        <f>Q111/P111*O111</f>
        <v>28.571428571428573</v>
      </c>
    </row>
    <row r="112" spans="1:18" s="224" customFormat="1" ht="15" customHeight="1" x14ac:dyDescent="0.25">
      <c r="A112" s="215">
        <v>43888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852">
        <v>15</v>
      </c>
      <c r="G112" s="965"/>
      <c r="H112" s="97"/>
      <c r="I112" s="946"/>
      <c r="J112" s="97"/>
      <c r="K112" s="946"/>
      <c r="L112" s="923"/>
      <c r="N112" s="930"/>
    </row>
    <row r="113" spans="1:18" s="224" customFormat="1" ht="15" customHeight="1" x14ac:dyDescent="0.25">
      <c r="A113" s="215">
        <v>43888</v>
      </c>
      <c r="B113" s="349" t="s">
        <v>2588</v>
      </c>
      <c r="C113" s="350" t="s">
        <v>12</v>
      </c>
      <c r="D113" s="350" t="s">
        <v>1524</v>
      </c>
      <c r="E113" s="480" t="s">
        <v>13</v>
      </c>
      <c r="F113" s="852">
        <v>20</v>
      </c>
      <c r="G113" s="965"/>
      <c r="H113" s="97"/>
      <c r="I113" s="946"/>
      <c r="J113" s="97"/>
      <c r="K113" s="946"/>
      <c r="L113" s="923"/>
      <c r="N113" s="930"/>
      <c r="R113" s="1000"/>
    </row>
    <row r="114" spans="1:18" s="224" customFormat="1" ht="15" customHeight="1" x14ac:dyDescent="0.25">
      <c r="A114" s="215">
        <v>43888</v>
      </c>
      <c r="B114" s="349" t="s">
        <v>2589</v>
      </c>
      <c r="C114" s="350" t="s">
        <v>12</v>
      </c>
      <c r="D114" s="350" t="s">
        <v>1489</v>
      </c>
      <c r="E114" s="480" t="s">
        <v>15</v>
      </c>
      <c r="F114" s="852">
        <v>10</v>
      </c>
      <c r="G114" s="965"/>
      <c r="H114" s="97"/>
      <c r="I114" s="946"/>
      <c r="J114" s="97"/>
      <c r="K114" s="946"/>
      <c r="L114" s="923"/>
      <c r="N114" s="930"/>
      <c r="R114" s="1000"/>
    </row>
    <row r="115" spans="1:18" s="224" customFormat="1" x14ac:dyDescent="0.25">
      <c r="A115" s="215">
        <v>43888</v>
      </c>
      <c r="B115" s="873" t="s">
        <v>2590</v>
      </c>
      <c r="C115" s="879" t="s">
        <v>12</v>
      </c>
      <c r="D115" s="350" t="s">
        <v>1491</v>
      </c>
      <c r="E115" s="871" t="s">
        <v>15</v>
      </c>
      <c r="F115" s="853">
        <v>150</v>
      </c>
      <c r="G115" s="964"/>
      <c r="H115" s="622"/>
      <c r="I115" s="982"/>
      <c r="J115" s="622"/>
      <c r="K115" s="982"/>
      <c r="L115" s="984"/>
      <c r="R115" s="178"/>
    </row>
    <row r="116" spans="1:18" s="224" customFormat="1" ht="15" customHeight="1" x14ac:dyDescent="0.25">
      <c r="A116" s="215">
        <v>43888</v>
      </c>
      <c r="B116" s="862" t="s">
        <v>2371</v>
      </c>
      <c r="C116" s="350" t="s">
        <v>12</v>
      </c>
      <c r="D116" s="350" t="s">
        <v>1491</v>
      </c>
      <c r="E116" s="875" t="s">
        <v>15</v>
      </c>
      <c r="F116" s="780">
        <v>80</v>
      </c>
      <c r="G116" s="1002"/>
      <c r="H116" s="97"/>
      <c r="I116" s="946"/>
      <c r="J116" s="97"/>
      <c r="K116" s="946"/>
      <c r="L116" s="923"/>
      <c r="R116" s="1000"/>
    </row>
    <row r="117" spans="1:18" s="224" customFormat="1" ht="15" customHeight="1" x14ac:dyDescent="0.25">
      <c r="A117" s="215">
        <v>43888</v>
      </c>
      <c r="B117" s="862" t="s">
        <v>2591</v>
      </c>
      <c r="C117" s="350" t="s">
        <v>12</v>
      </c>
      <c r="D117" s="350" t="s">
        <v>1491</v>
      </c>
      <c r="E117" s="875" t="s">
        <v>15</v>
      </c>
      <c r="F117" s="780">
        <v>50</v>
      </c>
      <c r="G117" s="989"/>
      <c r="H117" s="97"/>
      <c r="I117" s="946"/>
      <c r="J117" s="97"/>
      <c r="K117" s="946"/>
      <c r="L117" s="923">
        <v>70</v>
      </c>
      <c r="R117" s="178"/>
    </row>
    <row r="118" spans="1:18" s="224" customFormat="1" ht="15" customHeight="1" x14ac:dyDescent="0.25">
      <c r="A118" s="215">
        <v>43888</v>
      </c>
      <c r="B118" s="364" t="s">
        <v>2096</v>
      </c>
      <c r="C118" s="350" t="s">
        <v>12</v>
      </c>
      <c r="D118" s="350" t="s">
        <v>1506</v>
      </c>
      <c r="E118" s="875" t="s">
        <v>15</v>
      </c>
      <c r="F118" s="780">
        <v>40</v>
      </c>
      <c r="G118" s="946"/>
      <c r="H118" s="97"/>
      <c r="I118" s="946"/>
      <c r="J118" s="97"/>
      <c r="K118" s="946"/>
      <c r="L118" s="923"/>
      <c r="N118" s="930"/>
      <c r="R118" s="178"/>
    </row>
    <row r="119" spans="1:18" s="224" customFormat="1" ht="15" customHeight="1" x14ac:dyDescent="0.25">
      <c r="A119" s="215">
        <v>43888</v>
      </c>
      <c r="B119" s="349" t="s">
        <v>14</v>
      </c>
      <c r="C119" s="879" t="s">
        <v>12</v>
      </c>
      <c r="D119" s="879" t="s">
        <v>1486</v>
      </c>
      <c r="E119" s="871" t="s">
        <v>13</v>
      </c>
      <c r="F119" s="780">
        <v>8.93</v>
      </c>
      <c r="G119" s="946"/>
      <c r="H119" s="97"/>
      <c r="I119" s="946"/>
      <c r="J119" s="97"/>
      <c r="K119" s="946"/>
      <c r="L119" s="923"/>
      <c r="N119" s="930"/>
      <c r="R119" s="178"/>
    </row>
    <row r="120" spans="1:18" s="224" customFormat="1" ht="15" customHeight="1" x14ac:dyDescent="0.25">
      <c r="A120" s="215">
        <v>43889</v>
      </c>
      <c r="B120" s="364" t="s">
        <v>1241</v>
      </c>
      <c r="C120" s="350" t="s">
        <v>12</v>
      </c>
      <c r="D120" s="350" t="s">
        <v>1504</v>
      </c>
      <c r="E120" s="875" t="s">
        <v>13</v>
      </c>
      <c r="F120" s="780">
        <v>12</v>
      </c>
      <c r="G120" s="946"/>
      <c r="H120" s="97"/>
      <c r="I120" s="946"/>
      <c r="J120" s="97"/>
      <c r="K120" s="946"/>
      <c r="L120" s="923"/>
      <c r="N120" s="930"/>
      <c r="P120" s="79"/>
      <c r="Q120" s="985"/>
      <c r="R120" s="1001"/>
    </row>
    <row r="121" spans="1:18" s="224" customFormat="1" ht="15" customHeight="1" x14ac:dyDescent="0.25">
      <c r="A121" s="215">
        <v>43889</v>
      </c>
      <c r="B121" s="364" t="s">
        <v>32</v>
      </c>
      <c r="C121" s="350" t="s">
        <v>12</v>
      </c>
      <c r="D121" s="350" t="s">
        <v>1485</v>
      </c>
      <c r="E121" s="875" t="s">
        <v>13</v>
      </c>
      <c r="F121" s="852">
        <v>15</v>
      </c>
      <c r="G121" s="965"/>
      <c r="H121" s="97"/>
      <c r="I121" s="946"/>
      <c r="J121" s="97"/>
      <c r="K121" s="946"/>
      <c r="L121" s="923"/>
      <c r="N121" s="930"/>
      <c r="P121" s="79"/>
      <c r="Q121" s="79"/>
      <c r="R121" s="79"/>
    </row>
    <row r="122" spans="1:18" s="224" customFormat="1" x14ac:dyDescent="0.25">
      <c r="A122" s="215">
        <v>43889</v>
      </c>
      <c r="B122" s="873" t="s">
        <v>82</v>
      </c>
      <c r="C122" s="879" t="s">
        <v>12</v>
      </c>
      <c r="D122" s="350" t="s">
        <v>1493</v>
      </c>
      <c r="E122" s="871" t="s">
        <v>13</v>
      </c>
      <c r="F122" s="853">
        <v>42.8</v>
      </c>
      <c r="G122" s="964"/>
      <c r="H122" s="622"/>
      <c r="I122" s="982"/>
      <c r="J122" s="622"/>
      <c r="K122" s="982"/>
      <c r="L122" s="984"/>
    </row>
    <row r="123" spans="1:18" s="224" customFormat="1" ht="15" customHeight="1" x14ac:dyDescent="0.25">
      <c r="A123" s="215">
        <v>43890</v>
      </c>
      <c r="B123" s="349" t="s">
        <v>1438</v>
      </c>
      <c r="C123" s="350" t="s">
        <v>19</v>
      </c>
      <c r="D123" s="350" t="s">
        <v>1489</v>
      </c>
      <c r="E123" s="480" t="s">
        <v>13</v>
      </c>
      <c r="F123" s="780">
        <v>48.51</v>
      </c>
      <c r="G123" s="946"/>
      <c r="H123" s="97"/>
      <c r="I123" s="946"/>
      <c r="J123" s="97"/>
      <c r="K123" s="946"/>
      <c r="N123" s="930"/>
    </row>
    <row r="124" spans="1:18" s="224" customFormat="1" ht="15" customHeight="1" x14ac:dyDescent="0.25">
      <c r="A124" s="215">
        <v>43890</v>
      </c>
      <c r="B124" s="862" t="s">
        <v>256</v>
      </c>
      <c r="C124" s="350"/>
      <c r="D124" s="350"/>
      <c r="E124" s="875"/>
      <c r="F124" s="780"/>
      <c r="G124" s="989">
        <v>101.55</v>
      </c>
      <c r="H124" s="97">
        <v>101.55</v>
      </c>
      <c r="I124" s="982"/>
      <c r="J124" s="622"/>
      <c r="K124" s="982"/>
      <c r="L124" s="923"/>
    </row>
    <row r="125" spans="1:18" s="224" customFormat="1" ht="15" customHeight="1" x14ac:dyDescent="0.25">
      <c r="A125" s="215">
        <v>43890</v>
      </c>
      <c r="B125" s="349" t="s">
        <v>2592</v>
      </c>
      <c r="C125" s="350" t="s">
        <v>19</v>
      </c>
      <c r="D125" s="350" t="s">
        <v>1493</v>
      </c>
      <c r="E125" s="480" t="s">
        <v>13</v>
      </c>
      <c r="F125" s="780">
        <v>20.12</v>
      </c>
      <c r="G125" s="946"/>
      <c r="H125" s="97"/>
      <c r="I125" s="946"/>
      <c r="J125" s="97"/>
      <c r="K125" s="946"/>
      <c r="N125" s="930"/>
    </row>
    <row r="126" spans="1:18" s="224" customFormat="1" x14ac:dyDescent="0.25">
      <c r="A126" s="215">
        <v>43890</v>
      </c>
      <c r="B126" s="862" t="s">
        <v>1666</v>
      </c>
      <c r="C126" s="350" t="s">
        <v>12</v>
      </c>
      <c r="D126" s="177"/>
      <c r="E126" s="141" t="s">
        <v>25</v>
      </c>
      <c r="F126" s="853"/>
      <c r="G126" s="964"/>
      <c r="H126" s="622"/>
      <c r="I126" s="982"/>
      <c r="J126" s="622"/>
      <c r="K126" s="982">
        <v>25.62</v>
      </c>
      <c r="L126" s="459"/>
    </row>
    <row r="127" spans="1:18" s="224" customFormat="1" ht="15" customHeight="1" thickBot="1" x14ac:dyDescent="0.3">
      <c r="A127" s="215">
        <v>43890</v>
      </c>
      <c r="B127" s="862" t="s">
        <v>2593</v>
      </c>
      <c r="C127" s="879" t="s">
        <v>12</v>
      </c>
      <c r="D127" s="879" t="s">
        <v>1504</v>
      </c>
      <c r="E127" s="871" t="s">
        <v>13</v>
      </c>
      <c r="F127" s="894">
        <v>32.9</v>
      </c>
      <c r="G127" s="301"/>
      <c r="H127" s="416"/>
      <c r="I127" s="1522"/>
      <c r="J127" s="416"/>
      <c r="K127" s="1522"/>
      <c r="L127" s="459"/>
    </row>
    <row r="128" spans="1:18" ht="25.5" customHeight="1" thickBot="1" x14ac:dyDescent="0.3">
      <c r="A128" s="3060"/>
      <c r="B128" s="3061"/>
      <c r="C128" s="3062"/>
      <c r="D128" s="3062"/>
      <c r="E128" s="3062"/>
      <c r="F128" s="100">
        <f>SUM(F6:F127)</f>
        <v>3904.3300000000004</v>
      </c>
      <c r="G128" s="1534">
        <f>SUM(G5:G127)</f>
        <v>4314.5166666666883</v>
      </c>
      <c r="H128" s="101">
        <f>SUM(H6:H127)</f>
        <v>301.55</v>
      </c>
      <c r="I128" s="93">
        <f>SUM(I5:I127)</f>
        <v>1201.5460000000019</v>
      </c>
      <c r="J128" s="527">
        <f>SUM(J6:J127)</f>
        <v>0</v>
      </c>
      <c r="K128" s="93">
        <f>SUM(K5:K127)</f>
        <v>11073.67</v>
      </c>
    </row>
    <row r="129" spans="1:18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410.18666666668787</v>
      </c>
      <c r="H129" s="555"/>
      <c r="I129" s="772">
        <f>I128-H128</f>
        <v>899.99600000000191</v>
      </c>
      <c r="J129" s="593"/>
      <c r="K129" s="772">
        <f>K128-J128</f>
        <v>11073.67</v>
      </c>
    </row>
    <row r="130" spans="1:18" x14ac:dyDescent="0.25">
      <c r="E130" s="79"/>
      <c r="K130" s="518"/>
      <c r="L130" s="79"/>
      <c r="R130" s="632"/>
    </row>
    <row r="131" spans="1:18" x14ac:dyDescent="0.25">
      <c r="B131" s="81" t="s">
        <v>3</v>
      </c>
      <c r="C131" s="193" t="s">
        <v>1484</v>
      </c>
      <c r="D131" s="970" t="s">
        <v>2378</v>
      </c>
      <c r="K131" s="866"/>
    </row>
    <row r="132" spans="1:18" x14ac:dyDescent="0.25">
      <c r="B132" s="79" t="s">
        <v>32</v>
      </c>
      <c r="C132" s="85" t="s">
        <v>1485</v>
      </c>
      <c r="D132" s="475">
        <f>SUMIF($D$8:$D$127,"A",$F$8:$F$127)</f>
        <v>353.48</v>
      </c>
      <c r="F132" s="79"/>
      <c r="I132" s="769"/>
      <c r="J132" s="868"/>
    </row>
    <row r="133" spans="1:18" x14ac:dyDescent="0.25">
      <c r="B133" s="79" t="s">
        <v>2187</v>
      </c>
      <c r="C133" s="85" t="s">
        <v>2157</v>
      </c>
      <c r="D133" s="475">
        <f>SUMIF($D$8:$D$127,"GAC",$F$8:$F$127)</f>
        <v>330</v>
      </c>
      <c r="J133" s="754"/>
      <c r="K133" s="886"/>
      <c r="L133" s="985"/>
    </row>
    <row r="134" spans="1:18" x14ac:dyDescent="0.25">
      <c r="B134" s="79" t="s">
        <v>2188</v>
      </c>
      <c r="C134" s="85" t="s">
        <v>2168</v>
      </c>
      <c r="D134" s="475">
        <f>SUMIF($D$8:$D$127,"GAM",$F$8:$F$127)</f>
        <v>0</v>
      </c>
      <c r="J134" s="864"/>
      <c r="K134" s="864"/>
      <c r="L134" s="958"/>
    </row>
    <row r="135" spans="1:18" s="85" customFormat="1" x14ac:dyDescent="0.25">
      <c r="A135" s="79"/>
      <c r="B135" s="79" t="s">
        <v>50</v>
      </c>
      <c r="C135" s="85" t="s">
        <v>1493</v>
      </c>
      <c r="D135" s="475">
        <f>SUMIF($D$8:$D$127,"LD",$F$8:$F$127)</f>
        <v>336.92</v>
      </c>
      <c r="J135" s="864"/>
      <c r="K135" s="864"/>
      <c r="L135" s="958"/>
    </row>
    <row r="136" spans="1:18" s="85" customFormat="1" x14ac:dyDescent="0.25">
      <c r="A136" s="79"/>
      <c r="B136" s="79" t="s">
        <v>14</v>
      </c>
      <c r="C136" s="85" t="s">
        <v>1486</v>
      </c>
      <c r="D136" s="475">
        <f>SUMIF($D$8:$D$127,"C",$F$8:$F$127)</f>
        <v>122.38999999999999</v>
      </c>
      <c r="F136" s="89"/>
      <c r="G136" s="79"/>
      <c r="H136" s="79"/>
      <c r="J136" s="864"/>
      <c r="K136" s="864"/>
      <c r="L136" s="958"/>
    </row>
    <row r="137" spans="1:18" s="85" customFormat="1" x14ac:dyDescent="0.25">
      <c r="A137" s="79"/>
      <c r="B137" s="79" t="s">
        <v>51</v>
      </c>
      <c r="C137" s="864" t="s">
        <v>1499</v>
      </c>
      <c r="D137" s="475">
        <f>SUMIF($D$8:$D$127,"CAL",$F$8:$F$127)</f>
        <v>94.740000000000009</v>
      </c>
      <c r="F137" s="89"/>
      <c r="G137" s="79"/>
      <c r="H137" s="79"/>
      <c r="I137" s="79"/>
      <c r="L137" s="958"/>
    </row>
    <row r="138" spans="1:18" s="85" customFormat="1" x14ac:dyDescent="0.25">
      <c r="A138" s="79"/>
      <c r="B138" s="79" t="s">
        <v>2189</v>
      </c>
      <c r="C138" s="864" t="s">
        <v>1496</v>
      </c>
      <c r="D138" s="475">
        <f>SUMIF($D$8:$D$127,"AC",$F$8:$F$127)</f>
        <v>60</v>
      </c>
      <c r="F138" s="769"/>
      <c r="G138" s="79"/>
      <c r="L138" s="941"/>
    </row>
    <row r="139" spans="1:18" s="85" customFormat="1" x14ac:dyDescent="0.25">
      <c r="A139" s="79"/>
      <c r="B139" s="867" t="s">
        <v>53</v>
      </c>
      <c r="C139" s="864" t="s">
        <v>1522</v>
      </c>
      <c r="D139" s="475">
        <f>SUMIF($D$8:$D$127,"DC",$F$8:$F$127)</f>
        <v>100</v>
      </c>
      <c r="L139" s="459"/>
    </row>
    <row r="140" spans="1:18" s="85" customFormat="1" x14ac:dyDescent="0.25">
      <c r="A140" s="79"/>
      <c r="B140" s="867" t="s">
        <v>2149</v>
      </c>
      <c r="C140" s="864" t="s">
        <v>2131</v>
      </c>
      <c r="D140" s="475">
        <f>SUMIF($D$8:$D$127,"DM",$F$8:$F$127)</f>
        <v>69.25</v>
      </c>
      <c r="F140" s="769"/>
      <c r="L140" s="459"/>
    </row>
    <row r="141" spans="1:18" s="85" customFormat="1" x14ac:dyDescent="0.25">
      <c r="A141" s="79"/>
      <c r="B141" s="79" t="s">
        <v>2504</v>
      </c>
      <c r="C141" s="864" t="s">
        <v>1523</v>
      </c>
      <c r="D141" s="475">
        <f>SUMIF($D$8:$D$127,"B",$F$8:$F$127)</f>
        <v>319.05</v>
      </c>
      <c r="F141" s="769"/>
      <c r="G141" s="866"/>
      <c r="L141" s="459"/>
    </row>
    <row r="142" spans="1:18" s="85" customFormat="1" x14ac:dyDescent="0.25">
      <c r="A142" s="79"/>
      <c r="B142" s="79" t="s">
        <v>1686</v>
      </c>
      <c r="C142" s="864" t="s">
        <v>1506</v>
      </c>
      <c r="D142" s="475">
        <f>SUMIF($D$8:$D$127,"R",$F$8:$F$127)</f>
        <v>278.20000000000005</v>
      </c>
      <c r="F142" s="769"/>
      <c r="G142" s="868"/>
      <c r="K142" s="866"/>
      <c r="L142" s="459"/>
    </row>
    <row r="143" spans="1:18" x14ac:dyDescent="0.25">
      <c r="B143" s="79" t="s">
        <v>418</v>
      </c>
      <c r="C143" s="85" t="s">
        <v>1524</v>
      </c>
      <c r="D143" s="475">
        <f>SUMIF($D$8:$D$127,"COM",$F$8:$F$127)</f>
        <v>52.7</v>
      </c>
      <c r="G143" s="85"/>
      <c r="H143" s="85"/>
      <c r="I143" s="85"/>
      <c r="J143" s="769"/>
      <c r="K143" s="868"/>
    </row>
    <row r="144" spans="1:18" x14ac:dyDescent="0.25">
      <c r="B144" s="79" t="s">
        <v>419</v>
      </c>
      <c r="C144" s="85" t="s">
        <v>1491</v>
      </c>
      <c r="D144" s="475">
        <f>SUMIF($D$8:$D$127,"F",$F$8:$F$127)</f>
        <v>540</v>
      </c>
      <c r="J144" s="769"/>
      <c r="K144" s="868"/>
    </row>
    <row r="145" spans="1:15" x14ac:dyDescent="0.25">
      <c r="B145" s="79" t="s">
        <v>911</v>
      </c>
      <c r="C145" s="85" t="s">
        <v>1525</v>
      </c>
      <c r="D145" s="475">
        <f>SUMIF($D$8:$D$127,"FER",$F$8:$F$127)</f>
        <v>246.8</v>
      </c>
      <c r="J145" s="769"/>
      <c r="K145" s="866"/>
    </row>
    <row r="146" spans="1:15" x14ac:dyDescent="0.25">
      <c r="B146" s="79" t="s">
        <v>1526</v>
      </c>
      <c r="C146" s="85" t="s">
        <v>1504</v>
      </c>
      <c r="D146" s="475">
        <f>SUMIF($D$8:$D$127,"I",$F$8:$F$127)</f>
        <v>175.69</v>
      </c>
      <c r="F146" s="89" t="s">
        <v>280</v>
      </c>
      <c r="J146" s="769"/>
      <c r="K146" s="866"/>
    </row>
    <row r="147" spans="1:15" x14ac:dyDescent="0.25">
      <c r="B147" s="79" t="s">
        <v>2343</v>
      </c>
      <c r="C147" s="85" t="s">
        <v>2315</v>
      </c>
      <c r="D147" s="475">
        <f>SUMIF($D$8:$D$127,"E",$F$8:$F$127)</f>
        <v>0</v>
      </c>
      <c r="J147" s="769"/>
      <c r="K147" s="868"/>
    </row>
    <row r="148" spans="1:15" x14ac:dyDescent="0.25">
      <c r="B148" s="79" t="s">
        <v>1527</v>
      </c>
      <c r="C148" s="85" t="s">
        <v>1489</v>
      </c>
      <c r="D148" s="475">
        <f>SUMIF($D$7:$D$127,"OD",$F$7:$F$127)</f>
        <v>381.10999999999996</v>
      </c>
      <c r="J148" s="769"/>
      <c r="K148" s="866"/>
    </row>
    <row r="149" spans="1:15" x14ac:dyDescent="0.25">
      <c r="C149" s="769"/>
      <c r="D149" s="459"/>
      <c r="K149" s="866"/>
    </row>
    <row r="150" spans="1:15" x14ac:dyDescent="0.25">
      <c r="H150" s="769"/>
      <c r="I150" s="518" t="s">
        <v>280</v>
      </c>
      <c r="K150" s="866"/>
    </row>
    <row r="151" spans="1:15" x14ac:dyDescent="0.25">
      <c r="B151" s="79" t="s">
        <v>486</v>
      </c>
      <c r="C151" s="475">
        <f>H151/J151</f>
        <v>119.32172413793103</v>
      </c>
      <c r="F151" s="224" t="s">
        <v>487</v>
      </c>
      <c r="H151" s="216">
        <f>SUM(D132:D148)</f>
        <v>3460.33</v>
      </c>
      <c r="J151" s="1517">
        <v>29</v>
      </c>
    </row>
    <row r="152" spans="1:15" ht="15.75" customHeight="1" x14ac:dyDescent="0.25">
      <c r="E152" s="769"/>
      <c r="H152" s="629"/>
      <c r="K152" s="868"/>
    </row>
    <row r="153" spans="1:15" x14ac:dyDescent="0.25">
      <c r="E153" s="79"/>
      <c r="F153" s="79"/>
      <c r="H153" s="866"/>
      <c r="J153" s="769"/>
      <c r="K153" s="866"/>
    </row>
    <row r="154" spans="1:15" s="518" customFormat="1" x14ac:dyDescent="0.25">
      <c r="A154" s="79"/>
      <c r="B154" s="79"/>
      <c r="C154" s="85"/>
      <c r="D154" s="79"/>
      <c r="E154" s="79"/>
      <c r="F154" s="89"/>
      <c r="G154" s="79"/>
      <c r="H154" s="79"/>
      <c r="I154" s="79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M155" s="79"/>
      <c r="N155" s="79"/>
      <c r="O155" s="79"/>
    </row>
    <row r="156" spans="1:15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M165" s="79"/>
      <c r="N165" s="79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M167" s="79"/>
      <c r="N167" s="79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M168" s="79"/>
      <c r="N168" s="79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M179" s="79"/>
      <c r="N179" s="79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M180" s="79"/>
      <c r="N180" s="79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M181" s="79"/>
      <c r="N181" s="79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M182" s="79"/>
      <c r="N182" s="79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M183" s="79"/>
      <c r="N183" s="79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M211" s="79"/>
      <c r="N211" s="79"/>
      <c r="O211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M221" s="79"/>
      <c r="N221" s="79"/>
      <c r="O221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M223" s="79"/>
      <c r="N223" s="79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M225" s="79"/>
      <c r="N225" s="79"/>
      <c r="O225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M231" s="79"/>
      <c r="N231" s="79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M232" s="79"/>
      <c r="N232" s="79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M233" s="79"/>
      <c r="N233" s="79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M236" s="79"/>
      <c r="N236" s="79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M237" s="79"/>
      <c r="N237" s="79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M238" s="79"/>
      <c r="N238" s="79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M239" s="79"/>
      <c r="N239" s="79"/>
      <c r="O239" s="79"/>
    </row>
  </sheetData>
  <autoFilter ref="A2:I148" xr:uid="{00000000-0009-0000-0000-000060000000}"/>
  <mergeCells count="14">
    <mergeCell ref="L62:M62"/>
    <mergeCell ref="A128:E128"/>
    <mergeCell ref="A129:E12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64:M64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Plan114"/>
  <dimension ref="A1:O236"/>
  <sheetViews>
    <sheetView zoomScale="85" zoomScaleNormal="85" workbookViewId="0">
      <pane ySplit="4" topLeftCell="A41" activePane="bottomLeft" state="frozen"/>
      <selection activeCell="C44" sqref="C44"/>
      <selection pane="bottomLeft" activeCell="B60" sqref="B6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2594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43891</v>
      </c>
      <c r="B5" s="369" t="s">
        <v>10</v>
      </c>
      <c r="C5" s="370"/>
      <c r="D5" s="370"/>
      <c r="E5" s="777"/>
      <c r="F5" s="889"/>
      <c r="G5" s="925">
        <f>'Fevereiro-20'!G129</f>
        <v>410.18666666668787</v>
      </c>
      <c r="H5" s="179"/>
      <c r="I5" s="933">
        <f>'Fevereiro-20'!I129</f>
        <v>899.99600000000191</v>
      </c>
      <c r="J5" s="179"/>
      <c r="K5" s="933">
        <f>'Fevereiro-20'!K129</f>
        <v>11073.67</v>
      </c>
    </row>
    <row r="6" spans="1:15" s="224" customFormat="1" x14ac:dyDescent="0.25">
      <c r="A6" s="215">
        <v>43891</v>
      </c>
      <c r="B6" s="348" t="s">
        <v>11</v>
      </c>
      <c r="C6" s="351"/>
      <c r="D6" s="351"/>
      <c r="E6" s="673"/>
      <c r="F6" s="827"/>
      <c r="G6" s="1526"/>
      <c r="H6" s="250"/>
      <c r="I6" s="1473"/>
      <c r="J6" s="250"/>
      <c r="K6" s="1473"/>
      <c r="L6" s="518"/>
      <c r="M6" s="89"/>
    </row>
    <row r="7" spans="1:15" s="224" customFormat="1" ht="15" customHeight="1" x14ac:dyDescent="0.25">
      <c r="A7" s="215">
        <v>43891</v>
      </c>
      <c r="B7" s="364" t="s">
        <v>2251</v>
      </c>
      <c r="C7" s="350" t="s">
        <v>12</v>
      </c>
      <c r="D7" s="350" t="s">
        <v>2157</v>
      </c>
      <c r="E7" s="875" t="s">
        <v>13</v>
      </c>
      <c r="F7" s="780">
        <v>60</v>
      </c>
      <c r="G7" s="946"/>
      <c r="H7" s="97"/>
      <c r="I7" s="982"/>
      <c r="J7" s="622"/>
      <c r="K7" s="982"/>
      <c r="L7" s="459"/>
    </row>
    <row r="8" spans="1:15" s="224" customFormat="1" ht="15" customHeight="1" x14ac:dyDescent="0.25">
      <c r="A8" s="215">
        <v>43892</v>
      </c>
      <c r="B8" s="364" t="s">
        <v>32</v>
      </c>
      <c r="C8" s="350" t="s">
        <v>12</v>
      </c>
      <c r="D8" s="350" t="s">
        <v>1485</v>
      </c>
      <c r="E8" s="875" t="s">
        <v>15</v>
      </c>
      <c r="F8" s="852">
        <v>15</v>
      </c>
      <c r="G8" s="946"/>
      <c r="H8" s="97"/>
      <c r="I8" s="982"/>
      <c r="J8" s="622"/>
      <c r="K8" s="982"/>
      <c r="L8" s="459"/>
    </row>
    <row r="9" spans="1:15" s="224" customFormat="1" ht="15" customHeight="1" x14ac:dyDescent="0.25">
      <c r="A9" s="215">
        <v>43892</v>
      </c>
      <c r="B9" s="349" t="s">
        <v>14</v>
      </c>
      <c r="C9" s="879" t="s">
        <v>12</v>
      </c>
      <c r="D9" s="879" t="s">
        <v>1486</v>
      </c>
      <c r="E9" s="871" t="s">
        <v>13</v>
      </c>
      <c r="F9" s="852">
        <v>3.6</v>
      </c>
      <c r="G9" s="965"/>
      <c r="H9" s="97"/>
      <c r="I9" s="946"/>
      <c r="J9" s="97"/>
      <c r="K9" s="946"/>
      <c r="L9" s="923"/>
      <c r="N9" s="930"/>
    </row>
    <row r="10" spans="1:15" s="224" customFormat="1" ht="15" customHeight="1" x14ac:dyDescent="0.25">
      <c r="A10" s="215">
        <v>43893</v>
      </c>
      <c r="B10" s="364" t="s">
        <v>32</v>
      </c>
      <c r="C10" s="350" t="s">
        <v>12</v>
      </c>
      <c r="D10" s="350" t="s">
        <v>1485</v>
      </c>
      <c r="E10" s="875" t="s">
        <v>15</v>
      </c>
      <c r="F10" s="852">
        <v>15</v>
      </c>
      <c r="G10" s="946"/>
      <c r="H10" s="97"/>
      <c r="I10" s="982"/>
      <c r="J10" s="622"/>
      <c r="K10" s="982"/>
      <c r="L10" s="459"/>
    </row>
    <row r="11" spans="1:15" s="224" customFormat="1" ht="15" customHeight="1" x14ac:dyDescent="0.25">
      <c r="A11" s="215">
        <v>43893</v>
      </c>
      <c r="B11" s="349" t="s">
        <v>14</v>
      </c>
      <c r="C11" s="879" t="s">
        <v>12</v>
      </c>
      <c r="D11" s="879" t="s">
        <v>1486</v>
      </c>
      <c r="E11" s="871" t="s">
        <v>13</v>
      </c>
      <c r="F11" s="852">
        <v>8.6</v>
      </c>
      <c r="G11" s="965"/>
      <c r="H11" s="97"/>
      <c r="I11" s="946"/>
      <c r="J11" s="97"/>
      <c r="K11" s="946"/>
      <c r="L11" s="923"/>
      <c r="N11" s="930"/>
    </row>
    <row r="12" spans="1:15" s="224" customFormat="1" ht="15" customHeight="1" x14ac:dyDescent="0.25">
      <c r="A12" s="215">
        <v>43894</v>
      </c>
      <c r="B12" s="364" t="s">
        <v>32</v>
      </c>
      <c r="C12" s="350" t="s">
        <v>12</v>
      </c>
      <c r="D12" s="350" t="s">
        <v>1485</v>
      </c>
      <c r="E12" s="875" t="s">
        <v>15</v>
      </c>
      <c r="F12" s="852">
        <v>15</v>
      </c>
      <c r="G12" s="946"/>
      <c r="H12" s="97"/>
      <c r="I12" s="982"/>
      <c r="J12" s="622"/>
      <c r="K12" s="982"/>
      <c r="L12" s="459"/>
    </row>
    <row r="13" spans="1:15" s="224" customFormat="1" ht="15" customHeight="1" x14ac:dyDescent="0.25">
      <c r="A13" s="215">
        <v>43894</v>
      </c>
      <c r="B13" s="364" t="s">
        <v>2269</v>
      </c>
      <c r="C13" s="350" t="s">
        <v>12</v>
      </c>
      <c r="D13" s="350" t="s">
        <v>2168</v>
      </c>
      <c r="E13" s="875" t="s">
        <v>15</v>
      </c>
      <c r="F13" s="780">
        <v>30</v>
      </c>
      <c r="G13" s="946"/>
      <c r="H13" s="97"/>
      <c r="I13" s="946"/>
      <c r="J13" s="97"/>
      <c r="K13" s="946"/>
      <c r="L13" s="923"/>
      <c r="N13" s="930"/>
    </row>
    <row r="14" spans="1:15" s="224" customFormat="1" ht="15" customHeight="1" x14ac:dyDescent="0.25">
      <c r="A14" s="215">
        <v>43894</v>
      </c>
      <c r="B14" s="349" t="s">
        <v>14</v>
      </c>
      <c r="C14" s="879" t="s">
        <v>12</v>
      </c>
      <c r="D14" s="879" t="s">
        <v>1486</v>
      </c>
      <c r="E14" s="871" t="s">
        <v>15</v>
      </c>
      <c r="F14" s="852">
        <v>3</v>
      </c>
      <c r="G14" s="965"/>
      <c r="H14" s="97"/>
      <c r="I14" s="946"/>
      <c r="J14" s="97"/>
      <c r="K14" s="946"/>
      <c r="L14" s="928"/>
      <c r="M14" s="89"/>
      <c r="N14" s="930"/>
    </row>
    <row r="15" spans="1:15" s="224" customFormat="1" ht="15" customHeight="1" x14ac:dyDescent="0.25">
      <c r="A15" s="215">
        <v>43895</v>
      </c>
      <c r="B15" s="364" t="s">
        <v>32</v>
      </c>
      <c r="C15" s="350" t="s">
        <v>12</v>
      </c>
      <c r="D15" s="350" t="s">
        <v>1485</v>
      </c>
      <c r="E15" s="875" t="s">
        <v>15</v>
      </c>
      <c r="F15" s="852">
        <v>15</v>
      </c>
      <c r="G15" s="946"/>
      <c r="H15" s="97"/>
      <c r="I15" s="982"/>
      <c r="J15" s="622"/>
      <c r="K15" s="982"/>
      <c r="L15" s="518"/>
      <c r="M15" s="89"/>
    </row>
    <row r="16" spans="1:15" s="224" customFormat="1" ht="15" customHeight="1" x14ac:dyDescent="0.25">
      <c r="A16" s="215">
        <v>43895</v>
      </c>
      <c r="B16" s="364" t="s">
        <v>2595</v>
      </c>
      <c r="C16" s="350" t="s">
        <v>12</v>
      </c>
      <c r="D16" s="350" t="s">
        <v>1506</v>
      </c>
      <c r="E16" s="875" t="s">
        <v>15</v>
      </c>
      <c r="F16" s="852">
        <v>10</v>
      </c>
      <c r="G16" s="946"/>
      <c r="H16" s="97"/>
      <c r="I16" s="946"/>
      <c r="J16" s="97"/>
      <c r="K16" s="946"/>
      <c r="L16" s="928"/>
      <c r="M16" s="89"/>
      <c r="N16" s="930"/>
    </row>
    <row r="17" spans="1:15" s="224" customFormat="1" ht="15" customHeight="1" x14ac:dyDescent="0.25">
      <c r="A17" s="215">
        <v>43895</v>
      </c>
      <c r="B17" s="349" t="s">
        <v>14</v>
      </c>
      <c r="C17" s="879" t="s">
        <v>12</v>
      </c>
      <c r="D17" s="879" t="s">
        <v>1486</v>
      </c>
      <c r="E17" s="871" t="s">
        <v>13</v>
      </c>
      <c r="F17" s="852">
        <v>2.04</v>
      </c>
      <c r="G17" s="946"/>
      <c r="H17" s="97"/>
      <c r="I17" s="946"/>
      <c r="J17" s="97"/>
      <c r="K17" s="946"/>
      <c r="L17" s="928"/>
      <c r="M17" s="89"/>
      <c r="N17" s="930"/>
    </row>
    <row r="18" spans="1:15" s="224" customFormat="1" ht="15.75" customHeight="1" x14ac:dyDescent="0.25">
      <c r="A18" s="215">
        <v>43896</v>
      </c>
      <c r="B18" s="349" t="s">
        <v>2596</v>
      </c>
      <c r="C18" s="879" t="s">
        <v>12</v>
      </c>
      <c r="D18" s="874"/>
      <c r="E18" s="871" t="s">
        <v>25</v>
      </c>
      <c r="F18" s="1514"/>
      <c r="G18" s="1002">
        <v>1836.76</v>
      </c>
      <c r="H18" s="250"/>
      <c r="I18" s="946"/>
      <c r="J18" s="97"/>
      <c r="K18" s="946"/>
      <c r="L18" s="89"/>
      <c r="M18" s="89"/>
    </row>
    <row r="19" spans="1:15" s="224" customFormat="1" ht="15" customHeight="1" x14ac:dyDescent="0.25">
      <c r="A19" s="215">
        <v>43896</v>
      </c>
      <c r="B19" s="349" t="s">
        <v>2597</v>
      </c>
      <c r="C19" s="350" t="s">
        <v>12</v>
      </c>
      <c r="D19" s="350"/>
      <c r="E19" s="480" t="s">
        <v>25</v>
      </c>
      <c r="F19" s="780"/>
      <c r="G19" s="982">
        <v>200</v>
      </c>
      <c r="H19" s="97"/>
      <c r="I19" s="946"/>
      <c r="J19" s="97"/>
      <c r="K19" s="946"/>
      <c r="L19" s="996"/>
      <c r="M19" s="997"/>
      <c r="N19" s="997"/>
      <c r="O19" s="997"/>
    </row>
    <row r="20" spans="1:15" s="224" customFormat="1" ht="15.75" customHeight="1" x14ac:dyDescent="0.25">
      <c r="A20" s="215">
        <v>43896</v>
      </c>
      <c r="B20" s="349" t="s">
        <v>2598</v>
      </c>
      <c r="C20" s="879" t="s">
        <v>12</v>
      </c>
      <c r="D20" s="874" t="s">
        <v>1525</v>
      </c>
      <c r="E20" s="871" t="s">
        <v>13</v>
      </c>
      <c r="F20" s="852">
        <v>164.9</v>
      </c>
      <c r="G20" s="964"/>
      <c r="H20" s="538"/>
      <c r="I20" s="982"/>
      <c r="J20" s="97"/>
      <c r="K20" s="946"/>
      <c r="L20" s="928"/>
      <c r="M20" s="89"/>
    </row>
    <row r="21" spans="1:15" s="224" customFormat="1" x14ac:dyDescent="0.25">
      <c r="A21" s="215">
        <v>43896</v>
      </c>
      <c r="B21" s="349" t="s">
        <v>2598</v>
      </c>
      <c r="C21" s="879" t="s">
        <v>12</v>
      </c>
      <c r="D21" s="879" t="s">
        <v>1506</v>
      </c>
      <c r="E21" s="871" t="s">
        <v>13</v>
      </c>
      <c r="F21" s="872">
        <v>50</v>
      </c>
      <c r="G21" s="964"/>
      <c r="H21" s="622"/>
      <c r="I21" s="982"/>
      <c r="J21" s="780"/>
      <c r="K21" s="614"/>
      <c r="L21" s="518"/>
      <c r="M21" s="89"/>
    </row>
    <row r="22" spans="1:15" s="224" customFormat="1" x14ac:dyDescent="0.25">
      <c r="A22" s="215">
        <v>43896</v>
      </c>
      <c r="B22" s="349" t="s">
        <v>2598</v>
      </c>
      <c r="C22" s="879" t="s">
        <v>12</v>
      </c>
      <c r="D22" s="879" t="s">
        <v>1506</v>
      </c>
      <c r="E22" s="871" t="s">
        <v>13</v>
      </c>
      <c r="F22" s="872">
        <v>25</v>
      </c>
      <c r="G22" s="964"/>
      <c r="H22" s="622"/>
      <c r="I22" s="982"/>
      <c r="J22" s="780"/>
      <c r="K22" s="614"/>
      <c r="L22" s="518"/>
      <c r="M22" s="89"/>
    </row>
    <row r="23" spans="1:15" s="224" customFormat="1" x14ac:dyDescent="0.25">
      <c r="A23" s="215">
        <v>43896</v>
      </c>
      <c r="B23" s="349" t="s">
        <v>2598</v>
      </c>
      <c r="C23" s="879" t="s">
        <v>12</v>
      </c>
      <c r="D23" s="879" t="s">
        <v>2131</v>
      </c>
      <c r="E23" s="871" t="s">
        <v>13</v>
      </c>
      <c r="F23" s="872">
        <v>54.25</v>
      </c>
      <c r="G23" s="964"/>
      <c r="H23" s="622"/>
      <c r="I23" s="982"/>
      <c r="J23" s="780"/>
      <c r="K23" s="614"/>
      <c r="L23" s="518"/>
      <c r="M23" s="89"/>
    </row>
    <row r="24" spans="1:15" s="224" customFormat="1" x14ac:dyDescent="0.25">
      <c r="A24" s="215">
        <v>43896</v>
      </c>
      <c r="B24" s="349" t="s">
        <v>2598</v>
      </c>
      <c r="C24" s="879" t="s">
        <v>12</v>
      </c>
      <c r="D24" s="879" t="s">
        <v>1525</v>
      </c>
      <c r="E24" s="871" t="s">
        <v>13</v>
      </c>
      <c r="F24" s="872">
        <v>75</v>
      </c>
      <c r="G24" s="964"/>
      <c r="H24" s="622"/>
      <c r="I24" s="982"/>
      <c r="J24" s="780"/>
      <c r="K24" s="614"/>
      <c r="L24" s="518"/>
      <c r="M24" s="89"/>
    </row>
    <row r="25" spans="1:15" s="224" customFormat="1" x14ac:dyDescent="0.25">
      <c r="A25" s="215">
        <v>43896</v>
      </c>
      <c r="B25" s="349" t="s">
        <v>2598</v>
      </c>
      <c r="C25" s="879" t="s">
        <v>12</v>
      </c>
      <c r="D25" s="879" t="s">
        <v>1522</v>
      </c>
      <c r="E25" s="871" t="s">
        <v>13</v>
      </c>
      <c r="F25" s="872">
        <v>100</v>
      </c>
      <c r="G25" s="964"/>
      <c r="H25" s="622"/>
      <c r="I25" s="982"/>
      <c r="J25" s="780"/>
      <c r="K25" s="614"/>
      <c r="L25" s="518"/>
      <c r="M25" s="89"/>
    </row>
    <row r="26" spans="1:15" s="224" customFormat="1" x14ac:dyDescent="0.25">
      <c r="A26" s="215">
        <v>43896</v>
      </c>
      <c r="B26" s="349" t="s">
        <v>2598</v>
      </c>
      <c r="C26" s="879" t="s">
        <v>12</v>
      </c>
      <c r="D26" s="879" t="s">
        <v>1506</v>
      </c>
      <c r="E26" s="871" t="s">
        <v>13</v>
      </c>
      <c r="F26" s="872">
        <v>33.300000000000004</v>
      </c>
      <c r="G26" s="964"/>
      <c r="H26" s="622"/>
      <c r="I26" s="982"/>
      <c r="J26" s="780"/>
      <c r="K26" s="614"/>
      <c r="L26" s="518"/>
      <c r="M26" s="89"/>
    </row>
    <row r="27" spans="1:15" s="224" customFormat="1" x14ac:dyDescent="0.25">
      <c r="A27" s="215">
        <v>43896</v>
      </c>
      <c r="B27" s="349" t="s">
        <v>2598</v>
      </c>
      <c r="C27" s="879" t="s">
        <v>12</v>
      </c>
      <c r="D27" s="879" t="s">
        <v>1522</v>
      </c>
      <c r="E27" s="871" t="s">
        <v>13</v>
      </c>
      <c r="F27" s="872">
        <v>65</v>
      </c>
      <c r="G27" s="964"/>
      <c r="H27" s="622"/>
      <c r="I27" s="982"/>
      <c r="J27" s="780"/>
      <c r="K27" s="614"/>
      <c r="L27" s="518"/>
      <c r="M27" s="89"/>
    </row>
    <row r="28" spans="1:15" s="224" customFormat="1" x14ac:dyDescent="0.25">
      <c r="A28" s="215">
        <v>43896</v>
      </c>
      <c r="B28" s="349" t="s">
        <v>2598</v>
      </c>
      <c r="C28" s="879" t="s">
        <v>12</v>
      </c>
      <c r="D28" s="879" t="s">
        <v>1489</v>
      </c>
      <c r="E28" s="871" t="s">
        <v>13</v>
      </c>
      <c r="F28" s="872">
        <v>10</v>
      </c>
      <c r="G28" s="964"/>
      <c r="H28" s="622"/>
      <c r="I28" s="982"/>
      <c r="J28" s="780"/>
      <c r="K28" s="614"/>
      <c r="L28" s="518"/>
      <c r="M28" s="89"/>
    </row>
    <row r="29" spans="1:15" s="224" customFormat="1" x14ac:dyDescent="0.25">
      <c r="A29" s="215">
        <v>43896</v>
      </c>
      <c r="B29" s="349" t="s">
        <v>2598</v>
      </c>
      <c r="C29" s="879" t="s">
        <v>12</v>
      </c>
      <c r="D29" s="879" t="s">
        <v>1522</v>
      </c>
      <c r="E29" s="871" t="s">
        <v>13</v>
      </c>
      <c r="F29" s="872">
        <v>140.66666666666666</v>
      </c>
      <c r="G29" s="964"/>
      <c r="H29" s="622"/>
      <c r="I29" s="982"/>
      <c r="J29" s="780"/>
      <c r="K29" s="614"/>
      <c r="L29" s="518"/>
      <c r="M29" s="89"/>
    </row>
    <row r="30" spans="1:15" s="224" customFormat="1" x14ac:dyDescent="0.25">
      <c r="A30" s="215">
        <v>43896</v>
      </c>
      <c r="B30" s="349" t="s">
        <v>2598</v>
      </c>
      <c r="C30" s="879" t="s">
        <v>12</v>
      </c>
      <c r="D30" s="879" t="s">
        <v>1489</v>
      </c>
      <c r="E30" s="871" t="s">
        <v>13</v>
      </c>
      <c r="F30" s="872">
        <v>15</v>
      </c>
      <c r="G30" s="964"/>
      <c r="H30" s="622"/>
      <c r="I30" s="982"/>
      <c r="J30" s="780"/>
      <c r="K30" s="614"/>
      <c r="L30" s="89"/>
      <c r="M30" s="89"/>
    </row>
    <row r="31" spans="1:15" x14ac:dyDescent="0.25">
      <c r="A31" s="215">
        <v>43896</v>
      </c>
      <c r="B31" s="862" t="s">
        <v>2385</v>
      </c>
      <c r="C31" s="879" t="s">
        <v>12</v>
      </c>
      <c r="D31" s="879" t="s">
        <v>1504</v>
      </c>
      <c r="E31" s="871" t="s">
        <v>13</v>
      </c>
      <c r="F31" s="852">
        <v>50</v>
      </c>
      <c r="G31" s="964"/>
      <c r="H31" s="622"/>
      <c r="I31" s="982"/>
      <c r="J31" s="622"/>
      <c r="K31" s="1002"/>
      <c r="L31" s="928">
        <v>90</v>
      </c>
    </row>
    <row r="32" spans="1:15" x14ac:dyDescent="0.25">
      <c r="A32" s="215">
        <v>43896</v>
      </c>
      <c r="B32" s="882" t="s">
        <v>2599</v>
      </c>
      <c r="C32" s="879" t="s">
        <v>12</v>
      </c>
      <c r="D32" s="879" t="s">
        <v>1499</v>
      </c>
      <c r="E32" s="871" t="s">
        <v>13</v>
      </c>
      <c r="F32" s="852">
        <v>37.21</v>
      </c>
      <c r="G32" s="964"/>
      <c r="H32" s="622"/>
      <c r="I32" s="982"/>
      <c r="J32" s="780"/>
      <c r="K32" s="614"/>
      <c r="L32" s="928">
        <v>67.209999999999994</v>
      </c>
      <c r="M32" s="518"/>
    </row>
    <row r="33" spans="1:14" x14ac:dyDescent="0.25">
      <c r="A33" s="215">
        <v>43896</v>
      </c>
      <c r="B33" s="876" t="s">
        <v>52</v>
      </c>
      <c r="C33" s="879" t="s">
        <v>12</v>
      </c>
      <c r="D33" s="879" t="s">
        <v>1496</v>
      </c>
      <c r="E33" s="871" t="s">
        <v>15</v>
      </c>
      <c r="F33" s="852">
        <v>60</v>
      </c>
      <c r="G33" s="964"/>
      <c r="H33" s="853"/>
      <c r="I33" s="982"/>
      <c r="J33" s="622"/>
      <c r="K33" s="982"/>
    </row>
    <row r="34" spans="1:14" s="224" customFormat="1" ht="15" customHeight="1" x14ac:dyDescent="0.25">
      <c r="A34" s="215">
        <v>43896</v>
      </c>
      <c r="B34" s="364" t="s">
        <v>32</v>
      </c>
      <c r="C34" s="350" t="s">
        <v>12</v>
      </c>
      <c r="D34" s="350" t="s">
        <v>1485</v>
      </c>
      <c r="E34" s="875" t="s">
        <v>15</v>
      </c>
      <c r="F34" s="852">
        <v>15</v>
      </c>
      <c r="G34" s="946"/>
      <c r="H34" s="97"/>
      <c r="I34" s="982"/>
      <c r="J34" s="622"/>
      <c r="K34" s="982"/>
      <c r="L34" s="518"/>
      <c r="M34" s="89"/>
    </row>
    <row r="35" spans="1:14" s="224" customFormat="1" ht="15" customHeight="1" x14ac:dyDescent="0.25">
      <c r="A35" s="215">
        <v>43896</v>
      </c>
      <c r="B35" s="364" t="s">
        <v>114</v>
      </c>
      <c r="C35" s="350" t="s">
        <v>12</v>
      </c>
      <c r="D35" s="350" t="s">
        <v>1506</v>
      </c>
      <c r="E35" s="875" t="s">
        <v>15</v>
      </c>
      <c r="F35" s="852">
        <v>10</v>
      </c>
      <c r="G35" s="946"/>
      <c r="H35" s="97"/>
      <c r="I35" s="982"/>
      <c r="J35" s="622"/>
      <c r="K35" s="982"/>
      <c r="L35" s="518"/>
      <c r="M35" s="89"/>
    </row>
    <row r="36" spans="1:14" s="224" customFormat="1" ht="15" customHeight="1" x14ac:dyDescent="0.25">
      <c r="A36" s="215">
        <v>43896</v>
      </c>
      <c r="B36" s="349" t="s">
        <v>2588</v>
      </c>
      <c r="C36" s="350" t="s">
        <v>12</v>
      </c>
      <c r="D36" s="350" t="s">
        <v>1524</v>
      </c>
      <c r="E36" s="480" t="s">
        <v>15</v>
      </c>
      <c r="F36" s="852">
        <v>23</v>
      </c>
      <c r="G36" s="946"/>
      <c r="H36" s="97"/>
      <c r="I36" s="982"/>
      <c r="J36" s="622"/>
      <c r="K36" s="982"/>
      <c r="L36" s="518"/>
      <c r="M36" s="89"/>
    </row>
    <row r="37" spans="1:14" s="224" customFormat="1" ht="15" customHeight="1" x14ac:dyDescent="0.25">
      <c r="A37" s="215">
        <v>43896</v>
      </c>
      <c r="B37" s="349" t="s">
        <v>260</v>
      </c>
      <c r="C37" s="350" t="s">
        <v>12</v>
      </c>
      <c r="D37" s="350"/>
      <c r="E37" s="480"/>
      <c r="F37" s="780">
        <v>200</v>
      </c>
      <c r="G37" s="946"/>
      <c r="H37" s="97"/>
      <c r="I37" s="946">
        <v>200</v>
      </c>
      <c r="J37" s="622"/>
      <c r="K37" s="982"/>
      <c r="L37" s="518"/>
      <c r="M37" s="89"/>
    </row>
    <row r="38" spans="1:14" s="224" customFormat="1" ht="15" customHeight="1" x14ac:dyDescent="0.25">
      <c r="A38" s="215">
        <v>43896</v>
      </c>
      <c r="B38" s="364" t="s">
        <v>2251</v>
      </c>
      <c r="C38" s="350" t="s">
        <v>12</v>
      </c>
      <c r="D38" s="350" t="s">
        <v>2157</v>
      </c>
      <c r="E38" s="875" t="s">
        <v>15</v>
      </c>
      <c r="F38" s="780">
        <v>20</v>
      </c>
      <c r="G38" s="946"/>
      <c r="H38" s="97"/>
      <c r="I38" s="982"/>
      <c r="J38" s="622"/>
      <c r="K38" s="982"/>
      <c r="L38" s="518"/>
      <c r="M38" s="89"/>
    </row>
    <row r="39" spans="1:14" s="224" customFormat="1" ht="15" customHeight="1" x14ac:dyDescent="0.25">
      <c r="A39" s="215">
        <v>43896</v>
      </c>
      <c r="B39" s="349" t="s">
        <v>14</v>
      </c>
      <c r="C39" s="879" t="s">
        <v>12</v>
      </c>
      <c r="D39" s="879" t="s">
        <v>1486</v>
      </c>
      <c r="E39" s="871" t="s">
        <v>13</v>
      </c>
      <c r="F39" s="852">
        <v>13.05</v>
      </c>
      <c r="G39" s="965"/>
      <c r="H39" s="97"/>
      <c r="I39" s="946"/>
      <c r="J39" s="97"/>
      <c r="K39" s="946"/>
      <c r="L39" s="928"/>
      <c r="M39" s="89"/>
      <c r="N39" s="930"/>
    </row>
    <row r="40" spans="1:14" s="224" customFormat="1" ht="15" customHeight="1" x14ac:dyDescent="0.25">
      <c r="A40" s="215">
        <v>43897</v>
      </c>
      <c r="B40" s="349" t="s">
        <v>14</v>
      </c>
      <c r="C40" s="879" t="s">
        <v>12</v>
      </c>
      <c r="D40" s="879" t="s">
        <v>1486</v>
      </c>
      <c r="E40" s="871" t="s">
        <v>13</v>
      </c>
      <c r="F40" s="852">
        <v>5</v>
      </c>
      <c r="G40" s="965"/>
      <c r="H40" s="97"/>
      <c r="I40" s="946"/>
      <c r="J40" s="97"/>
      <c r="K40" s="946"/>
      <c r="L40" s="928"/>
      <c r="M40" s="89"/>
      <c r="N40" s="930"/>
    </row>
    <row r="41" spans="1:14" s="224" customFormat="1" ht="15" customHeight="1" x14ac:dyDescent="0.25">
      <c r="A41" s="215">
        <v>43897</v>
      </c>
      <c r="B41" s="364" t="s">
        <v>32</v>
      </c>
      <c r="C41" s="350" t="s">
        <v>12</v>
      </c>
      <c r="D41" s="350" t="s">
        <v>1485</v>
      </c>
      <c r="E41" s="875" t="s">
        <v>15</v>
      </c>
      <c r="F41" s="852">
        <v>15</v>
      </c>
      <c r="G41" s="946"/>
      <c r="H41" s="97"/>
      <c r="I41" s="946"/>
      <c r="J41" s="97"/>
      <c r="K41" s="946"/>
      <c r="L41" s="928"/>
      <c r="M41" s="89"/>
      <c r="N41" s="930"/>
    </row>
    <row r="42" spans="1:14" s="224" customFormat="1" ht="15" customHeight="1" x14ac:dyDescent="0.25">
      <c r="A42" s="215">
        <v>43897</v>
      </c>
      <c r="B42" s="364" t="s">
        <v>43</v>
      </c>
      <c r="C42" s="350" t="s">
        <v>12</v>
      </c>
      <c r="D42" s="350" t="s">
        <v>1485</v>
      </c>
      <c r="E42" s="875" t="s">
        <v>13</v>
      </c>
      <c r="F42" s="852">
        <v>18</v>
      </c>
      <c r="G42" s="946"/>
      <c r="H42" s="97"/>
      <c r="I42" s="946"/>
      <c r="J42" s="97"/>
      <c r="K42" s="946"/>
      <c r="L42" s="928"/>
      <c r="M42" s="89"/>
      <c r="N42" s="930"/>
    </row>
    <row r="43" spans="1:14" s="224" customFormat="1" ht="15" customHeight="1" x14ac:dyDescent="0.25">
      <c r="A43" s="215">
        <v>43897</v>
      </c>
      <c r="B43" s="364" t="s">
        <v>82</v>
      </c>
      <c r="C43" s="350" t="s">
        <v>12</v>
      </c>
      <c r="D43" s="350" t="s">
        <v>1493</v>
      </c>
      <c r="E43" s="875" t="s">
        <v>15</v>
      </c>
      <c r="F43" s="852">
        <v>43</v>
      </c>
      <c r="G43" s="946"/>
      <c r="H43" s="97"/>
      <c r="I43" s="946"/>
      <c r="J43" s="97"/>
      <c r="K43" s="946"/>
      <c r="L43" s="928"/>
      <c r="M43" s="89"/>
      <c r="N43" s="930"/>
    </row>
    <row r="44" spans="1:14" s="224" customFormat="1" ht="15" customHeight="1" x14ac:dyDescent="0.25">
      <c r="A44" s="215">
        <v>43898</v>
      </c>
      <c r="B44" s="364" t="s">
        <v>1241</v>
      </c>
      <c r="C44" s="350" t="s">
        <v>12</v>
      </c>
      <c r="D44" s="350" t="s">
        <v>1504</v>
      </c>
      <c r="E44" s="875" t="s">
        <v>13</v>
      </c>
      <c r="F44" s="852">
        <v>10</v>
      </c>
      <c r="G44" s="946"/>
      <c r="H44" s="97"/>
      <c r="I44" s="946"/>
      <c r="J44" s="97"/>
      <c r="K44" s="946"/>
      <c r="L44" s="928"/>
      <c r="M44" s="89"/>
      <c r="N44" s="930"/>
    </row>
    <row r="45" spans="1:14" s="224" customFormat="1" ht="15" customHeight="1" x14ac:dyDescent="0.25">
      <c r="A45" s="215">
        <v>43898</v>
      </c>
      <c r="B45" s="364" t="s">
        <v>2600</v>
      </c>
      <c r="C45" s="350" t="s">
        <v>12</v>
      </c>
      <c r="D45" s="350" t="s">
        <v>1493</v>
      </c>
      <c r="E45" s="875" t="s">
        <v>13</v>
      </c>
      <c r="F45" s="852">
        <v>30</v>
      </c>
      <c r="G45" s="946"/>
      <c r="H45" s="97"/>
      <c r="I45" s="946"/>
      <c r="J45" s="97"/>
      <c r="K45" s="946"/>
      <c r="L45" s="928"/>
      <c r="M45" s="89"/>
      <c r="N45" s="930"/>
    </row>
    <row r="46" spans="1:14" s="224" customFormat="1" ht="15" customHeight="1" x14ac:dyDescent="0.25">
      <c r="A46" s="215">
        <v>43898</v>
      </c>
      <c r="B46" s="364" t="s">
        <v>2601</v>
      </c>
      <c r="C46" s="350" t="s">
        <v>12</v>
      </c>
      <c r="D46" s="350" t="s">
        <v>1493</v>
      </c>
      <c r="E46" s="875" t="s">
        <v>15</v>
      </c>
      <c r="F46" s="852">
        <v>31</v>
      </c>
      <c r="G46" s="946"/>
      <c r="H46" s="97"/>
      <c r="I46" s="946"/>
      <c r="J46" s="97"/>
      <c r="K46" s="946"/>
      <c r="L46" s="928"/>
      <c r="M46" s="89"/>
      <c r="N46" s="930"/>
    </row>
    <row r="47" spans="1:14" s="224" customFormat="1" ht="15" customHeight="1" x14ac:dyDescent="0.25">
      <c r="A47" s="215">
        <v>43898</v>
      </c>
      <c r="B47" s="364" t="s">
        <v>2251</v>
      </c>
      <c r="C47" s="350" t="s">
        <v>12</v>
      </c>
      <c r="D47" s="350" t="s">
        <v>2157</v>
      </c>
      <c r="E47" s="875" t="s">
        <v>15</v>
      </c>
      <c r="F47" s="780">
        <v>50</v>
      </c>
      <c r="G47" s="946"/>
      <c r="H47" s="97"/>
      <c r="I47" s="982"/>
      <c r="J47" s="622"/>
      <c r="K47" s="982"/>
      <c r="L47" s="518"/>
      <c r="M47" s="89"/>
    </row>
    <row r="48" spans="1:14" s="224" customFormat="1" ht="15" customHeight="1" x14ac:dyDescent="0.25">
      <c r="A48" s="215">
        <v>43899</v>
      </c>
      <c r="B48" s="364" t="s">
        <v>32</v>
      </c>
      <c r="C48" s="350" t="s">
        <v>12</v>
      </c>
      <c r="D48" s="350" t="s">
        <v>1485</v>
      </c>
      <c r="E48" s="875" t="s">
        <v>13</v>
      </c>
      <c r="F48" s="852">
        <v>15</v>
      </c>
      <c r="G48" s="946"/>
      <c r="H48" s="97"/>
      <c r="I48" s="946"/>
      <c r="J48" s="97"/>
      <c r="K48" s="946"/>
      <c r="L48" s="928"/>
      <c r="M48" s="89"/>
      <c r="N48" s="930"/>
    </row>
    <row r="49" spans="1:14" s="224" customFormat="1" ht="15" customHeight="1" x14ac:dyDescent="0.25">
      <c r="A49" s="215">
        <v>43899</v>
      </c>
      <c r="B49" s="364" t="s">
        <v>17</v>
      </c>
      <c r="C49" s="350" t="s">
        <v>12</v>
      </c>
      <c r="D49" s="350" t="s">
        <v>1493</v>
      </c>
      <c r="E49" s="875" t="s">
        <v>13</v>
      </c>
      <c r="F49" s="852">
        <v>6</v>
      </c>
      <c r="G49" s="946"/>
      <c r="H49" s="97"/>
      <c r="I49" s="946"/>
      <c r="J49" s="97"/>
      <c r="K49" s="946"/>
      <c r="L49" s="928"/>
      <c r="M49" s="89"/>
      <c r="N49" s="930"/>
    </row>
    <row r="50" spans="1:14" s="224" customFormat="1" ht="15" customHeight="1" x14ac:dyDescent="0.25">
      <c r="A50" s="215">
        <v>43899</v>
      </c>
      <c r="B50" s="364" t="s">
        <v>2602</v>
      </c>
      <c r="C50" s="350" t="s">
        <v>12</v>
      </c>
      <c r="D50" s="350" t="s">
        <v>1524</v>
      </c>
      <c r="E50" s="875" t="s">
        <v>13</v>
      </c>
      <c r="F50" s="852">
        <v>6.16</v>
      </c>
      <c r="G50" s="946"/>
      <c r="H50" s="97"/>
      <c r="I50" s="946"/>
      <c r="J50" s="97"/>
      <c r="K50" s="946"/>
      <c r="L50" s="928"/>
      <c r="M50" s="89"/>
      <c r="N50" s="930"/>
    </row>
    <row r="51" spans="1:14" s="224" customFormat="1" ht="15" customHeight="1" x14ac:dyDescent="0.25">
      <c r="A51" s="215">
        <v>43899</v>
      </c>
      <c r="B51" s="349" t="s">
        <v>619</v>
      </c>
      <c r="C51" s="879" t="s">
        <v>12</v>
      </c>
      <c r="D51" s="879" t="s">
        <v>1491</v>
      </c>
      <c r="E51" s="871" t="s">
        <v>13</v>
      </c>
      <c r="F51" s="852">
        <v>33.979999999999997</v>
      </c>
      <c r="G51" s="965"/>
      <c r="H51" s="97"/>
      <c r="I51" s="946"/>
      <c r="J51" s="97"/>
      <c r="K51" s="946"/>
      <c r="L51" s="928"/>
      <c r="M51" s="89"/>
      <c r="N51" s="930"/>
    </row>
    <row r="52" spans="1:14" s="224" customFormat="1" ht="15" customHeight="1" x14ac:dyDescent="0.25">
      <c r="A52" s="215">
        <v>43899</v>
      </c>
      <c r="B52" s="349" t="s">
        <v>14</v>
      </c>
      <c r="C52" s="879" t="s">
        <v>12</v>
      </c>
      <c r="D52" s="879" t="s">
        <v>1486</v>
      </c>
      <c r="E52" s="871" t="s">
        <v>13</v>
      </c>
      <c r="F52" s="852">
        <v>6.55</v>
      </c>
      <c r="G52" s="965"/>
      <c r="H52" s="97"/>
      <c r="I52" s="946"/>
      <c r="J52" s="97"/>
      <c r="K52" s="946"/>
      <c r="L52" s="928"/>
      <c r="M52" s="89"/>
      <c r="N52" s="930"/>
    </row>
    <row r="53" spans="1:14" s="224" customFormat="1" ht="15" customHeight="1" x14ac:dyDescent="0.25">
      <c r="A53" s="215">
        <v>43899</v>
      </c>
      <c r="B53" s="364" t="s">
        <v>2603</v>
      </c>
      <c r="C53" s="350" t="s">
        <v>12</v>
      </c>
      <c r="D53" s="350" t="s">
        <v>1491</v>
      </c>
      <c r="E53" s="875" t="s">
        <v>15</v>
      </c>
      <c r="F53" s="852">
        <v>100</v>
      </c>
      <c r="G53" s="946"/>
      <c r="H53" s="97"/>
      <c r="I53" s="946"/>
      <c r="J53" s="97"/>
      <c r="K53" s="946"/>
      <c r="L53" s="928"/>
      <c r="M53" s="89"/>
      <c r="N53" s="930"/>
    </row>
    <row r="54" spans="1:14" s="224" customFormat="1" ht="15" customHeight="1" x14ac:dyDescent="0.25">
      <c r="A54" s="215">
        <v>43899</v>
      </c>
      <c r="B54" s="364" t="s">
        <v>1396</v>
      </c>
      <c r="C54" s="350" t="s">
        <v>12</v>
      </c>
      <c r="D54" s="350"/>
      <c r="E54" s="480" t="s">
        <v>25</v>
      </c>
      <c r="F54" s="538"/>
      <c r="G54" s="967">
        <v>45</v>
      </c>
      <c r="H54" s="97"/>
      <c r="I54" s="946"/>
      <c r="J54" s="97"/>
      <c r="K54" s="946"/>
      <c r="L54" s="928"/>
      <c r="M54" s="89"/>
      <c r="N54" s="930"/>
    </row>
    <row r="55" spans="1:14" s="224" customFormat="1" ht="15" customHeight="1" x14ac:dyDescent="0.25">
      <c r="A55" s="215">
        <v>43900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852">
        <v>15</v>
      </c>
      <c r="G55" s="946"/>
      <c r="H55" s="97"/>
      <c r="I55" s="946"/>
      <c r="J55" s="97"/>
      <c r="K55" s="946"/>
      <c r="L55" s="928"/>
      <c r="M55" s="89"/>
      <c r="N55" s="930"/>
    </row>
    <row r="56" spans="1:14" s="224" customFormat="1" ht="15" customHeight="1" x14ac:dyDescent="0.25">
      <c r="A56" s="215">
        <v>43900</v>
      </c>
      <c r="B56" s="349" t="s">
        <v>14</v>
      </c>
      <c r="C56" s="879" t="s">
        <v>12</v>
      </c>
      <c r="D56" s="879" t="s">
        <v>1486</v>
      </c>
      <c r="E56" s="871" t="s">
        <v>13</v>
      </c>
      <c r="F56" s="852">
        <v>15.03</v>
      </c>
      <c r="G56" s="965"/>
      <c r="H56" s="97"/>
      <c r="I56" s="946"/>
      <c r="J56" s="97"/>
      <c r="K56" s="946"/>
      <c r="L56" s="928"/>
      <c r="M56" s="89"/>
      <c r="N56" s="930"/>
    </row>
    <row r="57" spans="1:14" s="224" customFormat="1" ht="15" customHeight="1" x14ac:dyDescent="0.25">
      <c r="A57" s="215">
        <v>43901</v>
      </c>
      <c r="B57" s="364" t="s">
        <v>32</v>
      </c>
      <c r="C57" s="350" t="s">
        <v>12</v>
      </c>
      <c r="D57" s="350" t="s">
        <v>1485</v>
      </c>
      <c r="E57" s="875" t="s">
        <v>13</v>
      </c>
      <c r="F57" s="852">
        <v>15</v>
      </c>
      <c r="G57" s="946"/>
      <c r="H57" s="97"/>
      <c r="I57" s="946"/>
      <c r="J57" s="97"/>
      <c r="K57" s="946"/>
      <c r="L57" s="928"/>
      <c r="M57" s="89"/>
      <c r="N57" s="930"/>
    </row>
    <row r="58" spans="1:14" s="224" customFormat="1" ht="15" customHeight="1" x14ac:dyDescent="0.25">
      <c r="A58" s="215">
        <v>43901</v>
      </c>
      <c r="B58" s="364" t="s">
        <v>2604</v>
      </c>
      <c r="C58" s="350" t="s">
        <v>12</v>
      </c>
      <c r="D58" s="350" t="s">
        <v>1485</v>
      </c>
      <c r="E58" s="875" t="s">
        <v>13</v>
      </c>
      <c r="F58" s="852">
        <v>15</v>
      </c>
      <c r="G58" s="946"/>
      <c r="H58" s="97"/>
      <c r="I58" s="946"/>
      <c r="J58" s="97"/>
      <c r="K58" s="946"/>
      <c r="L58" s="928"/>
      <c r="M58" s="89"/>
      <c r="N58" s="930"/>
    </row>
    <row r="59" spans="1:14" s="224" customFormat="1" ht="15" customHeight="1" x14ac:dyDescent="0.25">
      <c r="A59" s="215">
        <v>43901</v>
      </c>
      <c r="B59" s="364" t="s">
        <v>2251</v>
      </c>
      <c r="C59" s="350" t="s">
        <v>12</v>
      </c>
      <c r="D59" s="350" t="s">
        <v>2157</v>
      </c>
      <c r="E59" s="875" t="s">
        <v>13</v>
      </c>
      <c r="F59" s="780">
        <v>80</v>
      </c>
      <c r="G59" s="946"/>
      <c r="H59" s="97"/>
      <c r="I59" s="982"/>
      <c r="J59" s="622"/>
      <c r="K59" s="982"/>
      <c r="L59" s="518"/>
      <c r="M59" s="89"/>
    </row>
    <row r="60" spans="1:14" s="224" customFormat="1" ht="15" customHeight="1" x14ac:dyDescent="0.25">
      <c r="A60" s="215">
        <v>43901</v>
      </c>
      <c r="B60" s="364" t="s">
        <v>2605</v>
      </c>
      <c r="C60" s="350" t="s">
        <v>12</v>
      </c>
      <c r="D60" s="350" t="s">
        <v>1491</v>
      </c>
      <c r="E60" s="875" t="s">
        <v>13</v>
      </c>
      <c r="F60" s="852">
        <v>14.9</v>
      </c>
      <c r="G60" s="946"/>
      <c r="H60" s="97"/>
      <c r="I60" s="946"/>
      <c r="J60" s="97"/>
      <c r="K60" s="946"/>
      <c r="L60" s="928"/>
      <c r="M60" s="89"/>
      <c r="N60" s="930"/>
    </row>
    <row r="61" spans="1:14" s="224" customFormat="1" ht="15" customHeight="1" x14ac:dyDescent="0.25">
      <c r="A61" s="215">
        <v>43902</v>
      </c>
      <c r="B61" s="862" t="s">
        <v>256</v>
      </c>
      <c r="C61" s="350"/>
      <c r="D61" s="350"/>
      <c r="E61" s="875"/>
      <c r="F61" s="780"/>
      <c r="G61" s="989">
        <v>100</v>
      </c>
      <c r="H61" s="97">
        <v>100</v>
      </c>
      <c r="I61" s="946"/>
      <c r="J61" s="97"/>
      <c r="K61" s="946"/>
      <c r="L61" s="928"/>
      <c r="M61" s="89"/>
      <c r="N61" s="930"/>
    </row>
    <row r="62" spans="1:14" s="224" customFormat="1" ht="15" customHeight="1" x14ac:dyDescent="0.25">
      <c r="A62" s="215">
        <v>43902</v>
      </c>
      <c r="B62" s="364" t="s">
        <v>17</v>
      </c>
      <c r="C62" s="350" t="s">
        <v>12</v>
      </c>
      <c r="D62" s="350" t="s">
        <v>1493</v>
      </c>
      <c r="E62" s="875" t="s">
        <v>13</v>
      </c>
      <c r="F62" s="852">
        <v>6</v>
      </c>
      <c r="G62" s="946"/>
      <c r="H62" s="97"/>
      <c r="I62" s="946"/>
      <c r="J62" s="97"/>
      <c r="K62" s="946"/>
      <c r="L62" s="928"/>
      <c r="M62" s="89"/>
      <c r="N62" s="930"/>
    </row>
    <row r="63" spans="1:14" s="224" customFormat="1" ht="15" customHeight="1" x14ac:dyDescent="0.25">
      <c r="A63" s="215">
        <v>43902</v>
      </c>
      <c r="B63" s="364" t="s">
        <v>32</v>
      </c>
      <c r="C63" s="350" t="s">
        <v>12</v>
      </c>
      <c r="D63" s="350" t="s">
        <v>1485</v>
      </c>
      <c r="E63" s="875" t="s">
        <v>13</v>
      </c>
      <c r="F63" s="852">
        <v>15</v>
      </c>
      <c r="G63" s="946"/>
      <c r="H63" s="97"/>
      <c r="I63" s="946"/>
      <c r="J63" s="97"/>
      <c r="K63" s="946"/>
      <c r="L63" s="928"/>
      <c r="M63" s="89"/>
      <c r="N63" s="930"/>
    </row>
    <row r="64" spans="1:14" s="224" customFormat="1" ht="15" customHeight="1" x14ac:dyDescent="0.25">
      <c r="A64" s="215">
        <v>43902</v>
      </c>
      <c r="B64" s="349" t="s">
        <v>14</v>
      </c>
      <c r="C64" s="879" t="s">
        <v>12</v>
      </c>
      <c r="D64" s="879" t="s">
        <v>1486</v>
      </c>
      <c r="E64" s="871" t="s">
        <v>13</v>
      </c>
      <c r="F64" s="852">
        <v>9</v>
      </c>
      <c r="G64" s="965"/>
      <c r="H64" s="97"/>
      <c r="I64" s="946"/>
      <c r="J64" s="97"/>
      <c r="K64" s="946"/>
      <c r="L64" s="928"/>
      <c r="M64" s="89"/>
      <c r="N64" s="930"/>
    </row>
    <row r="65" spans="1:14" s="224" customFormat="1" ht="15" customHeight="1" x14ac:dyDescent="0.25">
      <c r="A65" s="215">
        <v>43902</v>
      </c>
      <c r="B65" s="349" t="s">
        <v>2606</v>
      </c>
      <c r="C65" s="879" t="s">
        <v>12</v>
      </c>
      <c r="D65" s="879" t="s">
        <v>1524</v>
      </c>
      <c r="E65" s="871" t="s">
        <v>15</v>
      </c>
      <c r="F65" s="852">
        <v>150</v>
      </c>
      <c r="G65" s="946"/>
      <c r="H65" s="97"/>
      <c r="I65" s="946"/>
      <c r="J65" s="97"/>
      <c r="K65" s="946"/>
      <c r="L65" s="928"/>
      <c r="M65" s="89"/>
      <c r="N65" s="930"/>
    </row>
    <row r="66" spans="1:14" s="224" customFormat="1" ht="15" customHeight="1" x14ac:dyDescent="0.25">
      <c r="A66" s="215">
        <v>43903</v>
      </c>
      <c r="B66" s="882" t="s">
        <v>2607</v>
      </c>
      <c r="C66" s="879" t="s">
        <v>12</v>
      </c>
      <c r="D66" s="879" t="s">
        <v>1499</v>
      </c>
      <c r="E66" s="871" t="s">
        <v>13</v>
      </c>
      <c r="F66" s="852">
        <v>45.24</v>
      </c>
      <c r="G66" s="946"/>
      <c r="H66" s="97"/>
      <c r="I66" s="946"/>
      <c r="J66" s="97"/>
      <c r="K66" s="946"/>
      <c r="L66" s="89">
        <v>105.24</v>
      </c>
      <c r="M66" s="89"/>
      <c r="N66" s="930"/>
    </row>
    <row r="67" spans="1:14" s="224" customFormat="1" ht="15" customHeight="1" x14ac:dyDescent="0.25">
      <c r="A67" s="215">
        <v>43903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852">
        <v>15</v>
      </c>
      <c r="G67" s="946"/>
      <c r="H67" s="97"/>
      <c r="I67" s="946"/>
      <c r="J67" s="97"/>
      <c r="K67" s="946"/>
      <c r="L67" s="928"/>
      <c r="M67" s="89"/>
      <c r="N67" s="930"/>
    </row>
    <row r="68" spans="1:14" s="224" customFormat="1" ht="15" customHeight="1" x14ac:dyDescent="0.25">
      <c r="A68" s="215">
        <v>43903</v>
      </c>
      <c r="B68" s="349" t="s">
        <v>82</v>
      </c>
      <c r="C68" s="350" t="s">
        <v>12</v>
      </c>
      <c r="D68" s="350" t="s">
        <v>1493</v>
      </c>
      <c r="E68" s="875" t="s">
        <v>13</v>
      </c>
      <c r="F68" s="852">
        <v>26.43</v>
      </c>
      <c r="G68" s="946"/>
      <c r="H68" s="97"/>
      <c r="I68" s="946"/>
      <c r="J68" s="97"/>
      <c r="K68" s="946"/>
      <c r="L68" s="928"/>
      <c r="M68" s="89"/>
      <c r="N68" s="930"/>
    </row>
    <row r="69" spans="1:14" s="224" customFormat="1" ht="15" customHeight="1" x14ac:dyDescent="0.25">
      <c r="A69" s="215">
        <v>43904</v>
      </c>
      <c r="B69" s="349" t="s">
        <v>14</v>
      </c>
      <c r="C69" s="879" t="s">
        <v>12</v>
      </c>
      <c r="D69" s="879" t="s">
        <v>1486</v>
      </c>
      <c r="E69" s="871" t="s">
        <v>13</v>
      </c>
      <c r="F69" s="852">
        <v>5.44</v>
      </c>
      <c r="G69" s="965"/>
      <c r="H69" s="97"/>
      <c r="I69" s="946"/>
      <c r="J69" s="97"/>
      <c r="K69" s="946"/>
      <c r="L69" s="923"/>
      <c r="N69" s="930"/>
    </row>
    <row r="70" spans="1:14" s="224" customFormat="1" ht="15" customHeight="1" x14ac:dyDescent="0.25">
      <c r="A70" s="215">
        <v>43904</v>
      </c>
      <c r="B70" s="349" t="s">
        <v>1438</v>
      </c>
      <c r="C70" s="879" t="s">
        <v>19</v>
      </c>
      <c r="D70" s="879" t="s">
        <v>1489</v>
      </c>
      <c r="E70" s="871" t="s">
        <v>13</v>
      </c>
      <c r="F70" s="852">
        <v>43.39</v>
      </c>
      <c r="G70" s="965"/>
      <c r="H70" s="97"/>
      <c r="I70" s="946"/>
      <c r="J70" s="97"/>
      <c r="K70" s="946"/>
      <c r="L70" s="923"/>
      <c r="N70" s="930"/>
    </row>
    <row r="71" spans="1:14" s="224" customFormat="1" ht="15" customHeight="1" x14ac:dyDescent="0.25">
      <c r="A71" s="215">
        <v>43904</v>
      </c>
      <c r="B71" s="349" t="s">
        <v>80</v>
      </c>
      <c r="C71" s="879" t="s">
        <v>19</v>
      </c>
      <c r="D71" s="879" t="s">
        <v>1523</v>
      </c>
      <c r="E71" s="871" t="s">
        <v>13</v>
      </c>
      <c r="F71" s="852">
        <v>27</v>
      </c>
      <c r="G71" s="965"/>
      <c r="H71" s="97"/>
      <c r="I71" s="946"/>
      <c r="J71" s="97"/>
      <c r="K71" s="946"/>
      <c r="L71" s="923"/>
      <c r="N71" s="930"/>
    </row>
    <row r="72" spans="1:14" s="224" customFormat="1" ht="15" customHeight="1" x14ac:dyDescent="0.25">
      <c r="A72" s="215">
        <v>43904</v>
      </c>
      <c r="B72" s="364" t="s">
        <v>2251</v>
      </c>
      <c r="C72" s="350" t="s">
        <v>12</v>
      </c>
      <c r="D72" s="350" t="s">
        <v>2157</v>
      </c>
      <c r="E72" s="875" t="s">
        <v>15</v>
      </c>
      <c r="F72" s="852">
        <v>40</v>
      </c>
      <c r="G72" s="965"/>
      <c r="H72" s="97"/>
      <c r="I72" s="946"/>
      <c r="J72" s="97"/>
      <c r="K72" s="946"/>
      <c r="L72" s="923"/>
      <c r="N72" s="930"/>
    </row>
    <row r="73" spans="1:14" s="224" customFormat="1" ht="15" customHeight="1" x14ac:dyDescent="0.25">
      <c r="A73" s="215">
        <v>43904</v>
      </c>
      <c r="B73" s="349" t="s">
        <v>2300</v>
      </c>
      <c r="C73" s="350" t="s">
        <v>12</v>
      </c>
      <c r="D73" s="350" t="s">
        <v>1493</v>
      </c>
      <c r="E73" s="480" t="s">
        <v>15</v>
      </c>
      <c r="F73" s="852">
        <v>8.5</v>
      </c>
      <c r="G73" s="965"/>
      <c r="H73" s="97"/>
      <c r="I73" s="946"/>
      <c r="J73" s="97"/>
      <c r="K73" s="946"/>
      <c r="L73" s="923"/>
      <c r="N73" s="930"/>
    </row>
    <row r="74" spans="1:14" s="224" customFormat="1" ht="15" customHeight="1" x14ac:dyDescent="0.25">
      <c r="A74" s="215">
        <v>43905</v>
      </c>
      <c r="B74" s="349" t="s">
        <v>14</v>
      </c>
      <c r="C74" s="879" t="s">
        <v>12</v>
      </c>
      <c r="D74" s="879" t="s">
        <v>1486</v>
      </c>
      <c r="E74" s="871" t="s">
        <v>13</v>
      </c>
      <c r="F74" s="852">
        <v>8.1199999999999992</v>
      </c>
      <c r="G74" s="946"/>
      <c r="H74" s="97"/>
      <c r="I74" s="946"/>
      <c r="J74" s="97"/>
      <c r="K74" s="946"/>
      <c r="L74" s="923"/>
      <c r="N74" s="930"/>
    </row>
    <row r="75" spans="1:14" s="224" customFormat="1" ht="15" customHeight="1" x14ac:dyDescent="0.25">
      <c r="A75" s="215">
        <v>43905</v>
      </c>
      <c r="B75" s="349" t="s">
        <v>2608</v>
      </c>
      <c r="C75" s="879" t="s">
        <v>12</v>
      </c>
      <c r="D75" s="879" t="s">
        <v>1489</v>
      </c>
      <c r="E75" s="871" t="s">
        <v>13</v>
      </c>
      <c r="F75" s="852">
        <v>30</v>
      </c>
      <c r="G75" s="946"/>
      <c r="H75" s="97"/>
      <c r="I75" s="946"/>
      <c r="J75" s="97"/>
      <c r="K75" s="946"/>
      <c r="L75" s="923"/>
      <c r="N75" s="930"/>
    </row>
    <row r="76" spans="1:14" s="224" customFormat="1" ht="15" customHeight="1" x14ac:dyDescent="0.25">
      <c r="A76" s="215">
        <v>43905</v>
      </c>
      <c r="B76" s="349" t="s">
        <v>2609</v>
      </c>
      <c r="C76" s="879" t="s">
        <v>12</v>
      </c>
      <c r="D76" s="879" t="s">
        <v>1489</v>
      </c>
      <c r="E76" s="871" t="s">
        <v>13</v>
      </c>
      <c r="F76" s="852">
        <v>5.75</v>
      </c>
      <c r="G76" s="946"/>
      <c r="H76" s="97"/>
      <c r="I76" s="946"/>
      <c r="J76" s="97"/>
      <c r="K76" s="946"/>
      <c r="L76" s="923"/>
      <c r="N76" s="930"/>
    </row>
    <row r="77" spans="1:14" s="224" customFormat="1" ht="15" customHeight="1" x14ac:dyDescent="0.25">
      <c r="A77" s="215">
        <v>43905</v>
      </c>
      <c r="B77" s="364" t="s">
        <v>2610</v>
      </c>
      <c r="C77" s="350" t="s">
        <v>12</v>
      </c>
      <c r="D77" s="350" t="s">
        <v>1485</v>
      </c>
      <c r="E77" s="875" t="s">
        <v>13</v>
      </c>
      <c r="F77" s="852">
        <v>40</v>
      </c>
      <c r="G77" s="946"/>
      <c r="H77" s="97"/>
      <c r="I77" s="946"/>
      <c r="J77" s="97"/>
      <c r="K77" s="946"/>
      <c r="L77" s="923"/>
      <c r="N77" s="930"/>
    </row>
    <row r="78" spans="1:14" s="224" customFormat="1" ht="15" customHeight="1" x14ac:dyDescent="0.25">
      <c r="A78" s="215">
        <v>43906</v>
      </c>
      <c r="B78" s="862" t="s">
        <v>256</v>
      </c>
      <c r="C78" s="350"/>
      <c r="D78" s="350"/>
      <c r="E78" s="875"/>
      <c r="F78" s="780"/>
      <c r="G78" s="989">
        <v>300</v>
      </c>
      <c r="H78" s="97">
        <v>300</v>
      </c>
      <c r="I78" s="946"/>
      <c r="J78" s="97"/>
      <c r="K78" s="946"/>
      <c r="L78" s="928"/>
      <c r="M78" s="89"/>
      <c r="N78" s="930"/>
    </row>
    <row r="79" spans="1:14" s="224" customFormat="1" ht="15" customHeight="1" x14ac:dyDescent="0.25">
      <c r="A79" s="215">
        <v>43906</v>
      </c>
      <c r="B79" s="364" t="s">
        <v>1241</v>
      </c>
      <c r="C79" s="350" t="s">
        <v>12</v>
      </c>
      <c r="D79" s="350" t="s">
        <v>1504</v>
      </c>
      <c r="E79" s="875" t="s">
        <v>13</v>
      </c>
      <c r="F79" s="852">
        <v>10</v>
      </c>
      <c r="G79" s="946"/>
      <c r="H79" s="97"/>
      <c r="I79" s="946"/>
      <c r="J79" s="97"/>
      <c r="K79" s="946"/>
      <c r="L79" s="923"/>
      <c r="N79" s="930"/>
    </row>
    <row r="80" spans="1:14" s="224" customFormat="1" ht="15" customHeight="1" x14ac:dyDescent="0.25">
      <c r="A80" s="215">
        <v>43906</v>
      </c>
      <c r="B80" s="364" t="s">
        <v>32</v>
      </c>
      <c r="C80" s="350" t="s">
        <v>12</v>
      </c>
      <c r="D80" s="350" t="s">
        <v>1485</v>
      </c>
      <c r="E80" s="875" t="s">
        <v>13</v>
      </c>
      <c r="F80" s="852">
        <v>15</v>
      </c>
      <c r="G80" s="946"/>
      <c r="H80" s="97"/>
      <c r="I80" s="946"/>
      <c r="J80" s="97"/>
      <c r="K80" s="946"/>
      <c r="L80" s="928"/>
      <c r="M80" s="89"/>
      <c r="N80" s="930"/>
    </row>
    <row r="81" spans="1:14" s="224" customFormat="1" ht="15" customHeight="1" x14ac:dyDescent="0.25">
      <c r="A81" s="215">
        <v>43907</v>
      </c>
      <c r="B81" s="364" t="s">
        <v>32</v>
      </c>
      <c r="C81" s="350" t="s">
        <v>12</v>
      </c>
      <c r="D81" s="350" t="s">
        <v>1485</v>
      </c>
      <c r="E81" s="875" t="s">
        <v>13</v>
      </c>
      <c r="F81" s="852">
        <v>15</v>
      </c>
      <c r="G81" s="946"/>
      <c r="H81" s="97"/>
      <c r="I81" s="946"/>
      <c r="J81" s="97"/>
      <c r="K81" s="946"/>
      <c r="L81" s="923"/>
      <c r="N81" s="930"/>
    </row>
    <row r="82" spans="1:14" s="224" customFormat="1" ht="15" customHeight="1" x14ac:dyDescent="0.25">
      <c r="A82" s="215">
        <v>43907</v>
      </c>
      <c r="B82" s="349" t="s">
        <v>14</v>
      </c>
      <c r="C82" s="879" t="s">
        <v>12</v>
      </c>
      <c r="D82" s="879" t="s">
        <v>1486</v>
      </c>
      <c r="E82" s="871" t="s">
        <v>13</v>
      </c>
      <c r="F82" s="852">
        <v>15</v>
      </c>
      <c r="G82" s="946"/>
      <c r="H82" s="97"/>
      <c r="I82" s="946"/>
      <c r="J82" s="97"/>
      <c r="K82" s="946"/>
      <c r="L82" s="923"/>
      <c r="N82" s="930"/>
    </row>
    <row r="83" spans="1:14" s="224" customFormat="1" ht="15" customHeight="1" x14ac:dyDescent="0.25">
      <c r="A83" s="215">
        <v>43907</v>
      </c>
      <c r="B83" s="364" t="s">
        <v>2251</v>
      </c>
      <c r="C83" s="350" t="s">
        <v>12</v>
      </c>
      <c r="D83" s="350" t="s">
        <v>2157</v>
      </c>
      <c r="E83" s="875" t="s">
        <v>15</v>
      </c>
      <c r="F83" s="852">
        <v>20</v>
      </c>
      <c r="G83" s="965"/>
      <c r="H83" s="97"/>
      <c r="I83" s="946"/>
      <c r="J83" s="97"/>
      <c r="K83" s="946"/>
      <c r="L83" s="923"/>
      <c r="N83" s="930"/>
    </row>
    <row r="84" spans="1:14" s="224" customFormat="1" ht="15" customHeight="1" x14ac:dyDescent="0.25">
      <c r="A84" s="215">
        <v>43907</v>
      </c>
      <c r="B84" s="364" t="s">
        <v>2603</v>
      </c>
      <c r="C84" s="350" t="s">
        <v>12</v>
      </c>
      <c r="D84" s="350" t="s">
        <v>1491</v>
      </c>
      <c r="E84" s="875" t="s">
        <v>15</v>
      </c>
      <c r="F84" s="780">
        <v>50</v>
      </c>
      <c r="G84" s="946"/>
      <c r="H84" s="97"/>
      <c r="I84" s="946"/>
      <c r="J84" s="97"/>
      <c r="K84" s="946"/>
      <c r="L84" s="923"/>
      <c r="N84" s="930"/>
    </row>
    <row r="85" spans="1:14" s="224" customFormat="1" ht="15" customHeight="1" x14ac:dyDescent="0.25">
      <c r="A85" s="215">
        <v>43908</v>
      </c>
      <c r="B85" s="364" t="s">
        <v>32</v>
      </c>
      <c r="C85" s="350" t="s">
        <v>12</v>
      </c>
      <c r="D85" s="350" t="s">
        <v>1485</v>
      </c>
      <c r="E85" s="875" t="s">
        <v>13</v>
      </c>
      <c r="F85" s="852">
        <v>15</v>
      </c>
      <c r="G85" s="946"/>
      <c r="H85" s="97"/>
      <c r="I85" s="946"/>
      <c r="J85" s="97"/>
      <c r="K85" s="946"/>
      <c r="L85" s="923"/>
      <c r="N85" s="930"/>
    </row>
    <row r="86" spans="1:14" s="224" customFormat="1" ht="15" customHeight="1" x14ac:dyDescent="0.25">
      <c r="A86" s="215">
        <v>43909</v>
      </c>
      <c r="B86" s="364" t="s">
        <v>32</v>
      </c>
      <c r="C86" s="350" t="s">
        <v>12</v>
      </c>
      <c r="D86" s="350" t="s">
        <v>1485</v>
      </c>
      <c r="E86" s="875" t="s">
        <v>13</v>
      </c>
      <c r="F86" s="852">
        <v>15</v>
      </c>
      <c r="G86" s="946"/>
      <c r="H86" s="97"/>
      <c r="I86" s="946"/>
      <c r="J86" s="97"/>
      <c r="K86" s="946"/>
      <c r="L86" s="923"/>
      <c r="N86" s="930"/>
    </row>
    <row r="87" spans="1:14" s="224" customFormat="1" ht="15" customHeight="1" x14ac:dyDescent="0.25">
      <c r="A87" s="215">
        <v>43909</v>
      </c>
      <c r="B87" s="364" t="s">
        <v>81</v>
      </c>
      <c r="C87" s="350" t="s">
        <v>12</v>
      </c>
      <c r="D87" s="350" t="s">
        <v>1493</v>
      </c>
      <c r="E87" s="875" t="s">
        <v>13</v>
      </c>
      <c r="F87" s="780">
        <v>2</v>
      </c>
      <c r="G87" s="946"/>
      <c r="H87" s="97"/>
      <c r="I87" s="946"/>
      <c r="J87" s="97"/>
      <c r="K87" s="946"/>
      <c r="L87" s="923"/>
      <c r="N87" s="930"/>
    </row>
    <row r="88" spans="1:14" s="224" customFormat="1" ht="15" customHeight="1" x14ac:dyDescent="0.25">
      <c r="A88" s="215">
        <v>43910</v>
      </c>
      <c r="B88" s="882" t="s">
        <v>2611</v>
      </c>
      <c r="C88" s="350" t="s">
        <v>12</v>
      </c>
      <c r="D88" s="350"/>
      <c r="E88" s="480" t="s">
        <v>25</v>
      </c>
      <c r="F88" s="622"/>
      <c r="G88" s="982">
        <v>1660</v>
      </c>
      <c r="H88" s="622"/>
      <c r="I88" s="982"/>
      <c r="J88" s="622"/>
      <c r="K88" s="982"/>
      <c r="L88" s="459"/>
    </row>
    <row r="89" spans="1:14" s="224" customFormat="1" x14ac:dyDescent="0.25">
      <c r="A89" s="215">
        <v>43910</v>
      </c>
      <c r="B89" s="873" t="s">
        <v>2590</v>
      </c>
      <c r="C89" s="879" t="s">
        <v>12</v>
      </c>
      <c r="D89" s="350" t="s">
        <v>1491</v>
      </c>
      <c r="E89" s="871" t="s">
        <v>15</v>
      </c>
      <c r="F89" s="853">
        <v>150</v>
      </c>
      <c r="G89" s="964"/>
      <c r="H89" s="622"/>
      <c r="I89" s="982"/>
      <c r="J89" s="622"/>
      <c r="K89" s="982"/>
      <c r="L89" s="984"/>
    </row>
    <row r="90" spans="1:14" s="224" customFormat="1" ht="15" customHeight="1" x14ac:dyDescent="0.25">
      <c r="A90" s="215">
        <v>43910</v>
      </c>
      <c r="B90" s="349" t="s">
        <v>260</v>
      </c>
      <c r="C90" s="350" t="s">
        <v>12</v>
      </c>
      <c r="D90" s="350"/>
      <c r="E90" s="480"/>
      <c r="F90" s="780">
        <v>500</v>
      </c>
      <c r="G90" s="946"/>
      <c r="H90" s="97"/>
      <c r="I90" s="946">
        <v>500</v>
      </c>
      <c r="J90" s="622"/>
      <c r="K90" s="982"/>
      <c r="L90" s="518"/>
      <c r="M90" s="89"/>
    </row>
    <row r="91" spans="1:14" s="224" customFormat="1" ht="15" customHeight="1" x14ac:dyDescent="0.25">
      <c r="A91" s="215">
        <v>43910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852">
        <v>15</v>
      </c>
      <c r="G91" s="946"/>
      <c r="H91" s="97"/>
      <c r="I91" s="946"/>
      <c r="J91" s="97"/>
      <c r="K91" s="946"/>
      <c r="L91" s="923"/>
      <c r="N91" s="930"/>
    </row>
    <row r="92" spans="1:14" s="224" customFormat="1" ht="15" customHeight="1" x14ac:dyDescent="0.25">
      <c r="A92" s="215">
        <v>43910</v>
      </c>
      <c r="B92" s="364" t="s">
        <v>2603</v>
      </c>
      <c r="C92" s="350" t="s">
        <v>12</v>
      </c>
      <c r="D92" s="350" t="s">
        <v>1491</v>
      </c>
      <c r="E92" s="875" t="s">
        <v>15</v>
      </c>
      <c r="F92" s="852">
        <v>50</v>
      </c>
      <c r="G92" s="946"/>
      <c r="H92" s="97"/>
      <c r="I92" s="946"/>
      <c r="J92" s="97"/>
      <c r="K92" s="946"/>
      <c r="L92" s="923"/>
      <c r="N92" s="930"/>
    </row>
    <row r="93" spans="1:14" s="224" customFormat="1" ht="15" customHeight="1" x14ac:dyDescent="0.25">
      <c r="A93" s="215">
        <v>43910</v>
      </c>
      <c r="B93" s="364" t="s">
        <v>14</v>
      </c>
      <c r="C93" s="350" t="s">
        <v>12</v>
      </c>
      <c r="D93" s="350" t="s">
        <v>1486</v>
      </c>
      <c r="E93" s="875" t="s">
        <v>13</v>
      </c>
      <c r="F93" s="780">
        <v>17.12</v>
      </c>
      <c r="G93" s="982"/>
      <c r="H93" s="622"/>
      <c r="I93" s="982"/>
      <c r="J93" s="97"/>
      <c r="K93" s="946"/>
      <c r="L93" s="923"/>
      <c r="N93" s="930"/>
    </row>
    <row r="94" spans="1:14" s="224" customFormat="1" ht="15" customHeight="1" x14ac:dyDescent="0.25">
      <c r="A94" s="215">
        <v>43911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852">
        <v>15</v>
      </c>
      <c r="G94" s="982"/>
      <c r="H94" s="622"/>
      <c r="I94" s="982"/>
      <c r="J94" s="97"/>
      <c r="K94" s="946"/>
      <c r="L94" s="923"/>
      <c r="N94" s="930"/>
    </row>
    <row r="95" spans="1:14" s="224" customFormat="1" ht="15" customHeight="1" x14ac:dyDescent="0.25">
      <c r="A95" s="215">
        <v>43911</v>
      </c>
      <c r="B95" s="364" t="s">
        <v>82</v>
      </c>
      <c r="C95" s="350" t="s">
        <v>12</v>
      </c>
      <c r="D95" s="350" t="s">
        <v>1493</v>
      </c>
      <c r="E95" s="875" t="s">
        <v>13</v>
      </c>
      <c r="F95" s="852">
        <v>35</v>
      </c>
      <c r="G95" s="982"/>
      <c r="H95" s="622"/>
      <c r="I95" s="982"/>
      <c r="J95" s="97"/>
      <c r="K95" s="946"/>
      <c r="L95" s="923"/>
      <c r="N95" s="930"/>
    </row>
    <row r="96" spans="1:14" s="224" customFormat="1" ht="15" customHeight="1" x14ac:dyDescent="0.25">
      <c r="A96" s="215">
        <v>43912</v>
      </c>
      <c r="B96" s="364" t="s">
        <v>14</v>
      </c>
      <c r="C96" s="350" t="s">
        <v>12</v>
      </c>
      <c r="D96" s="350" t="s">
        <v>1486</v>
      </c>
      <c r="E96" s="875" t="s">
        <v>13</v>
      </c>
      <c r="F96" s="852">
        <v>7.44</v>
      </c>
      <c r="G96" s="989"/>
      <c r="H96" s="622"/>
      <c r="I96" s="982"/>
      <c r="J96" s="97"/>
      <c r="K96" s="946"/>
      <c r="L96" s="459"/>
    </row>
    <row r="97" spans="1:14" s="224" customFormat="1" ht="15" customHeight="1" x14ac:dyDescent="0.25">
      <c r="A97" s="215">
        <v>43912</v>
      </c>
      <c r="B97" s="862" t="s">
        <v>2612</v>
      </c>
      <c r="C97" s="350" t="s">
        <v>12</v>
      </c>
      <c r="D97" s="350" t="s">
        <v>1485</v>
      </c>
      <c r="E97" s="875" t="s">
        <v>13</v>
      </c>
      <c r="F97" s="852">
        <v>11.1</v>
      </c>
      <c r="G97" s="989"/>
      <c r="H97" s="622"/>
      <c r="I97" s="982"/>
      <c r="J97" s="97"/>
      <c r="K97" s="946"/>
      <c r="L97" s="459"/>
    </row>
    <row r="98" spans="1:14" s="224" customFormat="1" ht="15" customHeight="1" x14ac:dyDescent="0.25">
      <c r="A98" s="215">
        <v>43912</v>
      </c>
      <c r="B98" s="364" t="s">
        <v>2269</v>
      </c>
      <c r="C98" s="350" t="s">
        <v>12</v>
      </c>
      <c r="D98" s="350" t="s">
        <v>2168</v>
      </c>
      <c r="E98" s="875" t="s">
        <v>13</v>
      </c>
      <c r="F98" s="780">
        <v>20.260000000000002</v>
      </c>
      <c r="G98" s="989"/>
      <c r="H98" s="622"/>
      <c r="I98" s="982"/>
      <c r="J98" s="97"/>
      <c r="K98" s="946"/>
      <c r="L98" s="459"/>
    </row>
    <row r="99" spans="1:14" s="224" customFormat="1" ht="15" customHeight="1" x14ac:dyDescent="0.25">
      <c r="A99" s="215">
        <v>43912</v>
      </c>
      <c r="B99" s="364" t="s">
        <v>14</v>
      </c>
      <c r="C99" s="350" t="s">
        <v>12</v>
      </c>
      <c r="D99" s="350" t="s">
        <v>1486</v>
      </c>
      <c r="E99" s="875" t="s">
        <v>13</v>
      </c>
      <c r="F99" s="852">
        <v>5.46</v>
      </c>
      <c r="G99" s="989"/>
      <c r="H99" s="622"/>
      <c r="I99" s="982"/>
      <c r="J99" s="97"/>
      <c r="K99" s="946"/>
      <c r="L99" s="459"/>
    </row>
    <row r="100" spans="1:14" s="224" customFormat="1" ht="15" customHeight="1" x14ac:dyDescent="0.25">
      <c r="A100" s="215">
        <v>43913</v>
      </c>
      <c r="B100" s="364" t="s">
        <v>32</v>
      </c>
      <c r="C100" s="350" t="s">
        <v>12</v>
      </c>
      <c r="D100" s="350" t="s">
        <v>1485</v>
      </c>
      <c r="E100" s="875" t="s">
        <v>15</v>
      </c>
      <c r="F100" s="852">
        <v>13</v>
      </c>
      <c r="G100" s="989"/>
      <c r="H100" s="622"/>
      <c r="I100" s="982"/>
      <c r="J100" s="97"/>
      <c r="K100" s="946"/>
      <c r="L100" s="459"/>
    </row>
    <row r="101" spans="1:14" s="224" customFormat="1" ht="15" customHeight="1" x14ac:dyDescent="0.25">
      <c r="A101" s="215">
        <v>43913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12.49</v>
      </c>
      <c r="G101" s="989"/>
      <c r="H101" s="622"/>
      <c r="I101" s="982"/>
      <c r="J101" s="97"/>
      <c r="K101" s="946"/>
      <c r="L101" s="459"/>
    </row>
    <row r="102" spans="1:14" s="224" customFormat="1" ht="15" customHeight="1" x14ac:dyDescent="0.25">
      <c r="A102" s="215">
        <v>43913</v>
      </c>
      <c r="B102" s="364" t="s">
        <v>2251</v>
      </c>
      <c r="C102" s="350" t="s">
        <v>12</v>
      </c>
      <c r="D102" s="350" t="s">
        <v>2157</v>
      </c>
      <c r="E102" s="875" t="s">
        <v>15</v>
      </c>
      <c r="F102" s="852">
        <v>50</v>
      </c>
      <c r="G102" s="989"/>
      <c r="H102" s="622"/>
      <c r="I102" s="982"/>
      <c r="J102" s="97"/>
      <c r="K102" s="946"/>
      <c r="L102" s="459"/>
    </row>
    <row r="103" spans="1:14" s="224" customFormat="1" ht="15" customHeight="1" x14ac:dyDescent="0.25">
      <c r="A103" s="215">
        <v>43913</v>
      </c>
      <c r="B103" s="364" t="s">
        <v>2613</v>
      </c>
      <c r="C103" s="350" t="s">
        <v>12</v>
      </c>
      <c r="D103" s="350" t="s">
        <v>1491</v>
      </c>
      <c r="E103" s="875" t="s">
        <v>13</v>
      </c>
      <c r="F103" s="852">
        <v>20.88</v>
      </c>
      <c r="G103" s="989"/>
      <c r="H103" s="622"/>
      <c r="I103" s="982"/>
      <c r="J103" s="97"/>
      <c r="K103" s="946"/>
      <c r="L103" s="459"/>
    </row>
    <row r="104" spans="1:14" s="224" customFormat="1" ht="15" customHeight="1" x14ac:dyDescent="0.25">
      <c r="A104" s="215">
        <v>43914</v>
      </c>
      <c r="B104" s="364" t="s">
        <v>1241</v>
      </c>
      <c r="C104" s="350" t="s">
        <v>12</v>
      </c>
      <c r="D104" s="350" t="s">
        <v>1504</v>
      </c>
      <c r="E104" s="875" t="s">
        <v>13</v>
      </c>
      <c r="F104" s="852">
        <v>10</v>
      </c>
      <c r="G104" s="946"/>
      <c r="H104" s="97"/>
      <c r="I104" s="946"/>
      <c r="J104" s="97"/>
      <c r="K104" s="946"/>
      <c r="L104" s="923"/>
      <c r="N104" s="930"/>
    </row>
    <row r="105" spans="1:14" s="224" customFormat="1" ht="15" customHeight="1" x14ac:dyDescent="0.25">
      <c r="A105" s="215">
        <v>43914</v>
      </c>
      <c r="B105" s="862" t="s">
        <v>2302</v>
      </c>
      <c r="C105" s="350" t="s">
        <v>12</v>
      </c>
      <c r="D105" s="874" t="s">
        <v>1504</v>
      </c>
      <c r="E105" s="887" t="s">
        <v>13</v>
      </c>
      <c r="F105" s="852">
        <v>46.79</v>
      </c>
      <c r="G105" s="964"/>
      <c r="H105" s="622"/>
      <c r="I105" s="982"/>
      <c r="J105" s="97"/>
      <c r="K105" s="946"/>
      <c r="L105" s="923">
        <v>92.79</v>
      </c>
      <c r="N105" s="930"/>
    </row>
    <row r="106" spans="1:14" s="224" customFormat="1" ht="15" customHeight="1" x14ac:dyDescent="0.25">
      <c r="A106" s="215">
        <v>43914</v>
      </c>
      <c r="B106" s="364" t="s">
        <v>32</v>
      </c>
      <c r="C106" s="350" t="s">
        <v>12</v>
      </c>
      <c r="D106" s="350" t="s">
        <v>1485</v>
      </c>
      <c r="E106" s="875" t="s">
        <v>13</v>
      </c>
      <c r="F106" s="852">
        <v>15</v>
      </c>
      <c r="G106" s="989"/>
      <c r="H106" s="622"/>
      <c r="I106" s="982"/>
      <c r="J106" s="97"/>
      <c r="K106" s="946"/>
      <c r="L106" s="459"/>
    </row>
    <row r="107" spans="1:14" s="224" customFormat="1" ht="15" customHeight="1" x14ac:dyDescent="0.25">
      <c r="A107" s="215">
        <v>43914</v>
      </c>
      <c r="B107" s="349" t="s">
        <v>2614</v>
      </c>
      <c r="C107" s="350" t="s">
        <v>19</v>
      </c>
      <c r="D107" s="350" t="s">
        <v>1506</v>
      </c>
      <c r="E107" s="875" t="s">
        <v>13</v>
      </c>
      <c r="F107" s="780">
        <v>34.9</v>
      </c>
      <c r="G107" s="957"/>
      <c r="H107" s="622"/>
      <c r="I107" s="982"/>
      <c r="J107" s="97"/>
      <c r="K107" s="946"/>
      <c r="L107" s="459"/>
    </row>
    <row r="108" spans="1:14" s="224" customFormat="1" ht="15" customHeight="1" x14ac:dyDescent="0.25">
      <c r="A108" s="215">
        <v>43915</v>
      </c>
      <c r="B108" s="349" t="s">
        <v>2615</v>
      </c>
      <c r="C108" s="350" t="s">
        <v>12</v>
      </c>
      <c r="D108" s="350" t="s">
        <v>1489</v>
      </c>
      <c r="E108" s="480" t="s">
        <v>15</v>
      </c>
      <c r="F108" s="852">
        <v>46</v>
      </c>
      <c r="G108" s="982"/>
      <c r="H108" s="622"/>
      <c r="I108" s="982"/>
      <c r="J108" s="97"/>
      <c r="K108" s="946"/>
      <c r="L108" s="459"/>
    </row>
    <row r="109" spans="1:14" s="224" customFormat="1" ht="15" customHeight="1" x14ac:dyDescent="0.25">
      <c r="A109" s="215">
        <v>43915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852">
        <v>15</v>
      </c>
      <c r="G109" s="989"/>
      <c r="H109" s="622"/>
      <c r="I109" s="982"/>
      <c r="J109" s="97"/>
      <c r="K109" s="946"/>
      <c r="L109" s="459"/>
    </row>
    <row r="110" spans="1:14" s="224" customFormat="1" ht="15" customHeight="1" x14ac:dyDescent="0.25">
      <c r="A110" s="215">
        <v>43916</v>
      </c>
      <c r="B110" s="364" t="s">
        <v>32</v>
      </c>
      <c r="C110" s="350" t="s">
        <v>12</v>
      </c>
      <c r="D110" s="350" t="s">
        <v>1485</v>
      </c>
      <c r="E110" s="875" t="s">
        <v>13</v>
      </c>
      <c r="F110" s="852">
        <v>15</v>
      </c>
      <c r="G110" s="982"/>
      <c r="H110" s="622"/>
      <c r="I110" s="982"/>
      <c r="J110" s="97"/>
      <c r="K110" s="946"/>
      <c r="L110" s="459"/>
    </row>
    <row r="111" spans="1:14" s="224" customFormat="1" ht="15" customHeight="1" x14ac:dyDescent="0.25">
      <c r="A111" s="215">
        <v>43916</v>
      </c>
      <c r="B111" s="364" t="s">
        <v>14</v>
      </c>
      <c r="C111" s="350" t="s">
        <v>12</v>
      </c>
      <c r="D111" s="350" t="s">
        <v>1486</v>
      </c>
      <c r="E111" s="875" t="s">
        <v>13</v>
      </c>
      <c r="F111" s="780">
        <v>10.1</v>
      </c>
      <c r="G111" s="989"/>
      <c r="H111" s="622"/>
      <c r="I111" s="982"/>
      <c r="J111" s="97"/>
      <c r="K111" s="946"/>
      <c r="L111" s="923"/>
    </row>
    <row r="112" spans="1:14" s="224" customFormat="1" ht="15" customHeight="1" x14ac:dyDescent="0.25">
      <c r="A112" s="215">
        <v>43917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852">
        <v>15</v>
      </c>
      <c r="G112" s="989"/>
      <c r="H112" s="622"/>
      <c r="I112" s="982"/>
      <c r="J112" s="97"/>
      <c r="K112" s="946"/>
      <c r="L112" s="459"/>
    </row>
    <row r="113" spans="1:14" s="224" customFormat="1" ht="15" customHeight="1" x14ac:dyDescent="0.25">
      <c r="A113" s="215">
        <v>43918</v>
      </c>
      <c r="B113" s="364" t="s">
        <v>1438</v>
      </c>
      <c r="C113" s="350" t="s">
        <v>19</v>
      </c>
      <c r="D113" s="350" t="s">
        <v>1489</v>
      </c>
      <c r="E113" s="875" t="s">
        <v>13</v>
      </c>
      <c r="F113" s="852">
        <v>55.05</v>
      </c>
      <c r="G113" s="982"/>
      <c r="H113" s="622"/>
      <c r="I113" s="982"/>
      <c r="J113" s="97"/>
      <c r="K113" s="946"/>
      <c r="N113" s="930"/>
    </row>
    <row r="114" spans="1:14" s="224" customFormat="1" ht="15" customHeight="1" x14ac:dyDescent="0.25">
      <c r="A114" s="215">
        <v>43918</v>
      </c>
      <c r="B114" s="364" t="s">
        <v>80</v>
      </c>
      <c r="C114" s="350" t="s">
        <v>19</v>
      </c>
      <c r="D114" s="350" t="s">
        <v>1523</v>
      </c>
      <c r="E114" s="875" t="s">
        <v>13</v>
      </c>
      <c r="F114" s="852">
        <v>15</v>
      </c>
      <c r="G114" s="982"/>
      <c r="H114" s="622"/>
      <c r="I114" s="982"/>
      <c r="J114" s="97"/>
      <c r="K114" s="946"/>
      <c r="N114" s="930"/>
    </row>
    <row r="115" spans="1:14" s="224" customFormat="1" ht="15" customHeight="1" x14ac:dyDescent="0.25">
      <c r="A115" s="215">
        <v>43918</v>
      </c>
      <c r="B115" s="349" t="s">
        <v>82</v>
      </c>
      <c r="C115" s="350" t="s">
        <v>12</v>
      </c>
      <c r="D115" s="350" t="s">
        <v>1493</v>
      </c>
      <c r="E115" s="480" t="s">
        <v>13</v>
      </c>
      <c r="F115" s="852">
        <v>33</v>
      </c>
      <c r="G115" s="982"/>
      <c r="H115" s="622"/>
      <c r="I115" s="982"/>
      <c r="J115" s="97"/>
      <c r="K115" s="946"/>
      <c r="N115" s="930"/>
    </row>
    <row r="116" spans="1:14" s="224" customFormat="1" ht="15" customHeight="1" x14ac:dyDescent="0.25">
      <c r="A116" s="215">
        <v>43918</v>
      </c>
      <c r="B116" s="349" t="s">
        <v>2616</v>
      </c>
      <c r="C116" s="350" t="s">
        <v>12</v>
      </c>
      <c r="D116" s="350" t="s">
        <v>1493</v>
      </c>
      <c r="E116" s="480" t="s">
        <v>13</v>
      </c>
      <c r="F116" s="852">
        <v>20</v>
      </c>
      <c r="G116" s="982"/>
      <c r="H116" s="622"/>
      <c r="I116" s="982"/>
      <c r="J116" s="97"/>
      <c r="K116" s="946"/>
      <c r="N116" s="930"/>
    </row>
    <row r="117" spans="1:14" s="224" customFormat="1" ht="15" customHeight="1" x14ac:dyDescent="0.25">
      <c r="A117" s="215">
        <v>43919</v>
      </c>
      <c r="B117" s="364" t="s">
        <v>14</v>
      </c>
      <c r="C117" s="350" t="s">
        <v>12</v>
      </c>
      <c r="D117" s="350" t="s">
        <v>1486</v>
      </c>
      <c r="E117" s="875" t="s">
        <v>13</v>
      </c>
      <c r="F117" s="852">
        <v>6.18</v>
      </c>
      <c r="G117" s="982"/>
      <c r="H117" s="622"/>
      <c r="I117" s="982"/>
      <c r="J117" s="97"/>
      <c r="K117" s="946"/>
      <c r="N117" s="930"/>
    </row>
    <row r="118" spans="1:14" s="224" customFormat="1" ht="15" customHeight="1" x14ac:dyDescent="0.25">
      <c r="A118" s="215">
        <v>43919</v>
      </c>
      <c r="B118" s="364" t="s">
        <v>2603</v>
      </c>
      <c r="C118" s="350" t="s">
        <v>12</v>
      </c>
      <c r="D118" s="350" t="s">
        <v>1491</v>
      </c>
      <c r="E118" s="875" t="s">
        <v>15</v>
      </c>
      <c r="F118" s="852">
        <v>50</v>
      </c>
      <c r="G118" s="982"/>
      <c r="H118" s="622"/>
      <c r="I118" s="982"/>
      <c r="J118" s="97"/>
      <c r="K118" s="946"/>
      <c r="N118" s="930"/>
    </row>
    <row r="119" spans="1:14" s="224" customFormat="1" ht="15.75" customHeight="1" x14ac:dyDescent="0.25">
      <c r="A119" s="215">
        <v>43920</v>
      </c>
      <c r="B119" s="364" t="s">
        <v>32</v>
      </c>
      <c r="C119" s="350" t="s">
        <v>12</v>
      </c>
      <c r="D119" s="350" t="s">
        <v>1485</v>
      </c>
      <c r="E119" s="875" t="s">
        <v>13</v>
      </c>
      <c r="F119" s="852">
        <v>15</v>
      </c>
      <c r="G119" s="946"/>
      <c r="H119" s="97"/>
      <c r="I119" s="946"/>
      <c r="J119" s="97"/>
      <c r="K119" s="946"/>
      <c r="L119" s="928"/>
      <c r="M119" s="89"/>
      <c r="N119" s="930"/>
    </row>
    <row r="120" spans="1:14" s="224" customFormat="1" ht="15" customHeight="1" x14ac:dyDescent="0.25">
      <c r="A120" s="215">
        <v>43921</v>
      </c>
      <c r="B120" s="364" t="s">
        <v>32</v>
      </c>
      <c r="C120" s="350" t="s">
        <v>12</v>
      </c>
      <c r="D120" s="350" t="s">
        <v>1485</v>
      </c>
      <c r="E120" s="875" t="s">
        <v>13</v>
      </c>
      <c r="F120" s="852">
        <v>15</v>
      </c>
      <c r="G120" s="982"/>
      <c r="H120" s="97"/>
      <c r="I120" s="946"/>
      <c r="J120" s="97"/>
      <c r="K120" s="946"/>
      <c r="N120" s="930"/>
    </row>
    <row r="121" spans="1:14" s="224" customFormat="1" ht="15" customHeight="1" x14ac:dyDescent="0.25">
      <c r="A121" s="215">
        <v>43921</v>
      </c>
      <c r="B121" s="364" t="s">
        <v>81</v>
      </c>
      <c r="C121" s="350" t="s">
        <v>12</v>
      </c>
      <c r="D121" s="350" t="s">
        <v>1493</v>
      </c>
      <c r="E121" s="875" t="s">
        <v>13</v>
      </c>
      <c r="F121" s="852">
        <v>3</v>
      </c>
      <c r="G121" s="989"/>
      <c r="H121" s="622"/>
      <c r="I121" s="982"/>
      <c r="J121" s="97"/>
      <c r="K121" s="946"/>
      <c r="L121" s="459"/>
    </row>
    <row r="122" spans="1:14" s="224" customFormat="1" ht="15" customHeight="1" x14ac:dyDescent="0.25">
      <c r="A122" s="215">
        <v>43921</v>
      </c>
      <c r="B122" s="364" t="s">
        <v>14</v>
      </c>
      <c r="C122" s="350" t="s">
        <v>12</v>
      </c>
      <c r="D122" s="350" t="s">
        <v>1486</v>
      </c>
      <c r="E122" s="875" t="s">
        <v>13</v>
      </c>
      <c r="F122" s="852">
        <v>6.8</v>
      </c>
      <c r="G122" s="982"/>
      <c r="H122" s="97"/>
      <c r="I122" s="946"/>
      <c r="J122" s="97"/>
      <c r="K122" s="946"/>
      <c r="N122" s="930"/>
    </row>
    <row r="123" spans="1:14" s="224" customFormat="1" x14ac:dyDescent="0.25">
      <c r="A123" s="215">
        <v>43921</v>
      </c>
      <c r="B123" s="862" t="s">
        <v>1666</v>
      </c>
      <c r="C123" s="350" t="s">
        <v>12</v>
      </c>
      <c r="D123" s="1003"/>
      <c r="E123" s="141" t="s">
        <v>25</v>
      </c>
      <c r="F123" s="853"/>
      <c r="G123" s="964"/>
      <c r="H123" s="622"/>
      <c r="I123" s="982"/>
      <c r="J123" s="622"/>
      <c r="K123" s="982">
        <v>25.72</v>
      </c>
      <c r="L123" s="459"/>
    </row>
    <row r="124" spans="1:14" s="224" customFormat="1" ht="15" customHeight="1" thickBot="1" x14ac:dyDescent="0.3">
      <c r="A124" s="215">
        <v>43921</v>
      </c>
      <c r="B124" s="862" t="s">
        <v>2593</v>
      </c>
      <c r="C124" s="879" t="s">
        <v>12</v>
      </c>
      <c r="D124" s="879" t="s">
        <v>1504</v>
      </c>
      <c r="E124" s="871" t="s">
        <v>13</v>
      </c>
      <c r="F124" s="894">
        <v>32.9</v>
      </c>
      <c r="G124" s="301"/>
      <c r="H124" s="416"/>
      <c r="I124" s="1522"/>
      <c r="J124" s="416"/>
      <c r="K124" s="1522"/>
      <c r="L124" s="459"/>
    </row>
    <row r="125" spans="1:14" ht="25.5" customHeight="1" thickBot="1" x14ac:dyDescent="0.3">
      <c r="A125" s="3060"/>
      <c r="B125" s="3061"/>
      <c r="C125" s="3062"/>
      <c r="D125" s="3062"/>
      <c r="E125" s="3062"/>
      <c r="F125" s="100">
        <f>SUM(F6:F124)</f>
        <v>3877.5766666666664</v>
      </c>
      <c r="G125" s="1534">
        <f>SUM(G5:G124)</f>
        <v>4551.9466666666876</v>
      </c>
      <c r="H125" s="101">
        <f>SUM(H6:H124)</f>
        <v>400</v>
      </c>
      <c r="I125" s="93">
        <f>SUM(I5:I124)</f>
        <v>1599.9960000000019</v>
      </c>
      <c r="J125" s="527">
        <f>SUM(J6:J124)</f>
        <v>0</v>
      </c>
      <c r="K125" s="93">
        <f>SUM(K5:K124)</f>
        <v>11099.39</v>
      </c>
    </row>
    <row r="126" spans="1:14" ht="25.5" customHeight="1" thickBot="1" x14ac:dyDescent="0.3">
      <c r="A126" s="3117" t="s">
        <v>49</v>
      </c>
      <c r="B126" s="3118"/>
      <c r="C126" s="3118"/>
      <c r="D126" s="3118"/>
      <c r="E126" s="3118"/>
      <c r="F126" s="144" t="s">
        <v>280</v>
      </c>
      <c r="G126" s="519">
        <f>G125-F125</f>
        <v>674.37000000002126</v>
      </c>
      <c r="H126" s="555"/>
      <c r="I126" s="772">
        <f>I125-H125</f>
        <v>1199.9960000000019</v>
      </c>
      <c r="J126" s="593"/>
      <c r="K126" s="772">
        <f>K125-J125</f>
        <v>11099.39</v>
      </c>
    </row>
    <row r="127" spans="1:14" x14ac:dyDescent="0.25">
      <c r="E127" s="79"/>
      <c r="K127" s="518"/>
      <c r="L127" s="79"/>
    </row>
    <row r="128" spans="1:14" x14ac:dyDescent="0.25">
      <c r="B128" s="81" t="s">
        <v>3</v>
      </c>
      <c r="C128" s="193" t="s">
        <v>1484</v>
      </c>
      <c r="D128" s="970" t="s">
        <v>2378</v>
      </c>
      <c r="K128" s="866"/>
    </row>
    <row r="129" spans="1:12" x14ac:dyDescent="0.25">
      <c r="B129" s="79" t="s">
        <v>32</v>
      </c>
      <c r="C129" s="85" t="s">
        <v>1485</v>
      </c>
      <c r="D129" s="475">
        <f>SUMIF($D$8:$D$124,"A",$F$8:$F$124)</f>
        <v>442.1</v>
      </c>
      <c r="F129" s="79"/>
      <c r="I129" s="769"/>
      <c r="J129" s="868"/>
    </row>
    <row r="130" spans="1:12" x14ac:dyDescent="0.25">
      <c r="B130" s="79" t="s">
        <v>2187</v>
      </c>
      <c r="C130" s="85" t="s">
        <v>2157</v>
      </c>
      <c r="D130" s="475">
        <f>SUMIF($D$7:$D$124,"GAC",$F$7:$F$124)</f>
        <v>320</v>
      </c>
      <c r="J130" s="754"/>
      <c r="K130" s="886"/>
      <c r="L130" s="985"/>
    </row>
    <row r="131" spans="1:12" x14ac:dyDescent="0.25">
      <c r="B131" s="79" t="s">
        <v>2188</v>
      </c>
      <c r="C131" s="85" t="s">
        <v>2168</v>
      </c>
      <c r="D131" s="475">
        <f>SUMIF($D$8:$D$124,"GAM",$F$8:$F$124)</f>
        <v>50.260000000000005</v>
      </c>
      <c r="J131" s="864"/>
      <c r="K131" s="864"/>
      <c r="L131" s="958"/>
    </row>
    <row r="132" spans="1:12" s="85" customFormat="1" x14ac:dyDescent="0.25">
      <c r="A132" s="79"/>
      <c r="B132" s="79" t="s">
        <v>50</v>
      </c>
      <c r="C132" s="85" t="s">
        <v>1493</v>
      </c>
      <c r="D132" s="475">
        <f>SUMIF($D$8:$D$124,"LD",$F$8:$F$124)</f>
        <v>243.93</v>
      </c>
      <c r="J132" s="864"/>
      <c r="K132" s="864"/>
      <c r="L132" s="958"/>
    </row>
    <row r="133" spans="1:12" s="85" customFormat="1" x14ac:dyDescent="0.25">
      <c r="A133" s="79"/>
      <c r="B133" s="79" t="s">
        <v>14</v>
      </c>
      <c r="C133" s="85" t="s">
        <v>1486</v>
      </c>
      <c r="D133" s="475">
        <f>SUMIF($D$8:$D$124,"C",$F$8:$F$124)</f>
        <v>160.02000000000001</v>
      </c>
      <c r="F133" s="89"/>
      <c r="G133" s="79"/>
      <c r="H133" s="79"/>
      <c r="J133" s="864"/>
      <c r="K133" s="864"/>
      <c r="L133" s="958"/>
    </row>
    <row r="134" spans="1:12" s="85" customFormat="1" x14ac:dyDescent="0.25">
      <c r="A134" s="79"/>
      <c r="B134" s="79" t="s">
        <v>51</v>
      </c>
      <c r="C134" s="864" t="s">
        <v>1499</v>
      </c>
      <c r="D134" s="475">
        <f>SUMIF($D$8:$D$124,"CAL",$F$8:$F$124)</f>
        <v>82.45</v>
      </c>
      <c r="F134" s="89"/>
      <c r="G134" s="79"/>
      <c r="H134" s="79"/>
      <c r="I134" s="79"/>
      <c r="L134" s="958"/>
    </row>
    <row r="135" spans="1:12" s="85" customFormat="1" x14ac:dyDescent="0.25">
      <c r="A135" s="79"/>
      <c r="B135" s="79" t="s">
        <v>2189</v>
      </c>
      <c r="C135" s="864" t="s">
        <v>1496</v>
      </c>
      <c r="D135" s="475">
        <f>SUMIF($D$8:$D$124,"AC",$F$8:$F$124)</f>
        <v>60</v>
      </c>
      <c r="F135" s="769"/>
      <c r="G135" s="79"/>
      <c r="L135" s="941"/>
    </row>
    <row r="136" spans="1:12" s="85" customFormat="1" x14ac:dyDescent="0.25">
      <c r="A136" s="79"/>
      <c r="B136" s="867" t="s">
        <v>53</v>
      </c>
      <c r="C136" s="864" t="s">
        <v>1522</v>
      </c>
      <c r="D136" s="475">
        <f>SUMIF($D$8:$D$124,"DC",$F$8:$F$124)</f>
        <v>305.66666666666663</v>
      </c>
      <c r="L136" s="459"/>
    </row>
    <row r="137" spans="1:12" s="85" customFormat="1" x14ac:dyDescent="0.25">
      <c r="A137" s="79"/>
      <c r="B137" s="867" t="s">
        <v>2149</v>
      </c>
      <c r="C137" s="864" t="s">
        <v>2131</v>
      </c>
      <c r="D137" s="475">
        <f>SUMIF($D$8:$D$124,"DM",$F$8:$F$124)</f>
        <v>54.25</v>
      </c>
      <c r="F137" s="769"/>
      <c r="L137" s="459"/>
    </row>
    <row r="138" spans="1:12" s="85" customFormat="1" x14ac:dyDescent="0.25">
      <c r="A138" s="79"/>
      <c r="B138" s="79" t="s">
        <v>2008</v>
      </c>
      <c r="C138" s="864" t="s">
        <v>1523</v>
      </c>
      <c r="D138" s="475">
        <f>SUMIF($D$8:$D$124,"B",$F$8:$F$124)</f>
        <v>42</v>
      </c>
      <c r="F138" s="769"/>
      <c r="G138" s="866"/>
      <c r="L138" s="459"/>
    </row>
    <row r="139" spans="1:12" s="85" customFormat="1" x14ac:dyDescent="0.25">
      <c r="A139" s="79"/>
      <c r="B139" s="79" t="s">
        <v>1686</v>
      </c>
      <c r="C139" s="864" t="s">
        <v>1506</v>
      </c>
      <c r="D139" s="475">
        <f>SUMIF($D$8:$D$124,"R",$F$8:$F$124)</f>
        <v>163.20000000000002</v>
      </c>
      <c r="F139" s="769"/>
      <c r="G139" s="868"/>
      <c r="K139" s="866"/>
      <c r="L139" s="459"/>
    </row>
    <row r="140" spans="1:12" x14ac:dyDescent="0.25">
      <c r="B140" s="79" t="s">
        <v>418</v>
      </c>
      <c r="C140" s="85" t="s">
        <v>1524</v>
      </c>
      <c r="D140" s="475">
        <f>SUMIF($D$8:$D$124,"COM",$F$8:$F$124)</f>
        <v>179.16</v>
      </c>
      <c r="G140" s="85"/>
      <c r="H140" s="85"/>
      <c r="I140" s="85"/>
      <c r="J140" s="769"/>
      <c r="K140" s="868"/>
    </row>
    <row r="141" spans="1:12" x14ac:dyDescent="0.25">
      <c r="B141" s="79" t="s">
        <v>419</v>
      </c>
      <c r="C141" s="85" t="s">
        <v>1491</v>
      </c>
      <c r="D141" s="475">
        <f>SUMIF($D$8:$D$124,"F",$F$8:$F$124)</f>
        <v>469.76</v>
      </c>
      <c r="J141" s="769"/>
      <c r="K141" s="868"/>
    </row>
    <row r="142" spans="1:12" x14ac:dyDescent="0.25">
      <c r="B142" s="79" t="s">
        <v>911</v>
      </c>
      <c r="C142" s="85" t="s">
        <v>1525</v>
      </c>
      <c r="D142" s="475">
        <f>SUMIF($D$8:$D$124,"FER",$F$8:$F$124)</f>
        <v>239.9</v>
      </c>
      <c r="J142" s="769"/>
      <c r="K142" s="866"/>
    </row>
    <row r="143" spans="1:12" x14ac:dyDescent="0.25">
      <c r="B143" s="79" t="s">
        <v>1526</v>
      </c>
      <c r="C143" s="85" t="s">
        <v>1504</v>
      </c>
      <c r="D143" s="475">
        <f>SUMIF($D$8:$D$124,"I",$F$8:$F$124)</f>
        <v>159.69</v>
      </c>
      <c r="F143" s="89" t="s">
        <v>280</v>
      </c>
      <c r="J143" s="769"/>
      <c r="K143" s="866"/>
    </row>
    <row r="144" spans="1:12" x14ac:dyDescent="0.25">
      <c r="B144" s="79" t="s">
        <v>2343</v>
      </c>
      <c r="C144" s="85" t="s">
        <v>2315</v>
      </c>
      <c r="D144" s="475">
        <f>SUMIF($D$8:$D$124,"E",$F$8:$F$124)</f>
        <v>0</v>
      </c>
      <c r="J144" s="769"/>
      <c r="K144" s="868"/>
    </row>
    <row r="145" spans="1:15" x14ac:dyDescent="0.25">
      <c r="B145" s="79" t="s">
        <v>1527</v>
      </c>
      <c r="C145" s="85" t="s">
        <v>1489</v>
      </c>
      <c r="D145" s="475">
        <f>SUMIF($D$7:$D$124,"OD",$F$7:$F$124)</f>
        <v>205.19</v>
      </c>
      <c r="J145" s="769"/>
      <c r="K145" s="866"/>
    </row>
    <row r="146" spans="1:15" x14ac:dyDescent="0.25">
      <c r="C146" s="769"/>
      <c r="D146" s="459"/>
      <c r="K146" s="866"/>
    </row>
    <row r="147" spans="1:15" x14ac:dyDescent="0.25">
      <c r="H147" s="769"/>
      <c r="I147" s="518" t="s">
        <v>280</v>
      </c>
      <c r="K147" s="866"/>
    </row>
    <row r="148" spans="1:15" x14ac:dyDescent="0.25">
      <c r="B148" s="79" t="s">
        <v>486</v>
      </c>
      <c r="C148" s="475">
        <f>H148/J148</f>
        <v>102.5024731182796</v>
      </c>
      <c r="F148" s="224" t="s">
        <v>487</v>
      </c>
      <c r="H148" s="216">
        <f>SUM(D129:D145)</f>
        <v>3177.5766666666673</v>
      </c>
      <c r="J148" s="1517">
        <v>31</v>
      </c>
    </row>
    <row r="149" spans="1:15" ht="15.75" customHeight="1" x14ac:dyDescent="0.25">
      <c r="E149" s="769"/>
      <c r="H149" s="629"/>
      <c r="K149" s="868"/>
    </row>
    <row r="150" spans="1:15" x14ac:dyDescent="0.25">
      <c r="E150" s="79"/>
      <c r="F150" s="79"/>
      <c r="H150" s="866"/>
      <c r="J150" s="769"/>
      <c r="K150" s="866"/>
    </row>
    <row r="151" spans="1:15" s="518" customFormat="1" x14ac:dyDescent="0.25">
      <c r="A151" s="79"/>
      <c r="B151" s="79"/>
      <c r="C151" s="85"/>
      <c r="D151" s="79"/>
      <c r="E151" s="79"/>
      <c r="F151" s="89"/>
      <c r="G151" s="79"/>
      <c r="H151" s="79"/>
      <c r="I151" s="79"/>
      <c r="J151" s="769"/>
      <c r="K151" s="866"/>
      <c r="M151" s="79"/>
      <c r="N151" s="79"/>
      <c r="O151" s="79"/>
    </row>
    <row r="152" spans="1:15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216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79"/>
      <c r="H155" s="79"/>
      <c r="K155" s="866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M156" s="79"/>
      <c r="N156" s="79"/>
      <c r="O156" s="79"/>
    </row>
    <row r="157" spans="1:15" s="518" customFormat="1" x14ac:dyDescent="0.25">
      <c r="A157" s="79"/>
      <c r="B157" s="79"/>
      <c r="C157" s="79"/>
      <c r="D157" s="79"/>
      <c r="E157" s="79"/>
      <c r="F157" s="79"/>
      <c r="G157" s="216"/>
      <c r="H157" s="79"/>
      <c r="I157" s="216"/>
      <c r="J157" s="769"/>
      <c r="K157" s="868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216"/>
      <c r="H158" s="79"/>
      <c r="I158" s="216"/>
      <c r="J158" s="769"/>
      <c r="K158" s="866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216"/>
      <c r="H159" s="79"/>
      <c r="I159" s="79"/>
      <c r="J159" s="770"/>
      <c r="K159" s="866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629"/>
      <c r="J162" s="769"/>
      <c r="K162" s="866"/>
      <c r="M162" s="79"/>
      <c r="N162" s="79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M165" s="79"/>
      <c r="N165" s="79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M176" s="79"/>
      <c r="N176" s="79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M177" s="79"/>
      <c r="N177" s="79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M178" s="79"/>
      <c r="N178" s="79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8"/>
      <c r="M179" s="79"/>
      <c r="N179" s="79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M180" s="79"/>
      <c r="N180" s="79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8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8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6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223"/>
      <c r="K187" s="62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56"/>
      <c r="K188" s="756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85"/>
      <c r="K193" s="85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85"/>
      <c r="K200" s="85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71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M208" s="79"/>
      <c r="N208" s="79"/>
      <c r="O208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M220" s="79"/>
      <c r="N220" s="79"/>
      <c r="O220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629"/>
      <c r="M222" s="79"/>
      <c r="N222" s="79"/>
      <c r="O222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M228" s="79"/>
      <c r="N228" s="79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M229" s="79"/>
      <c r="N229" s="79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M230" s="79"/>
      <c r="N230" s="79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M231" s="79"/>
      <c r="N231" s="79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M232" s="79"/>
      <c r="N232" s="79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M233" s="79"/>
      <c r="N233" s="79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M236" s="79"/>
      <c r="N236" s="79"/>
      <c r="O236" s="79"/>
    </row>
  </sheetData>
  <autoFilter ref="A2:I126" xr:uid="{00000000-0009-0000-0000-000061000000}"/>
  <mergeCells count="12">
    <mergeCell ref="A125:E125"/>
    <mergeCell ref="A126:E12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Plan115"/>
  <dimension ref="A1:O219"/>
  <sheetViews>
    <sheetView zoomScale="85" zoomScaleNormal="85" workbookViewId="0">
      <pane ySplit="4" topLeftCell="A86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2617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47" t="s">
        <v>8</v>
      </c>
      <c r="I4" s="148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43922</v>
      </c>
      <c r="B5" s="369" t="s">
        <v>10</v>
      </c>
      <c r="C5" s="370"/>
      <c r="D5" s="370"/>
      <c r="E5" s="777"/>
      <c r="F5" s="179"/>
      <c r="G5" s="933">
        <f>'Março-20'!G126</f>
        <v>674.37000000002126</v>
      </c>
      <c r="H5" s="179"/>
      <c r="I5" s="933">
        <f>'Março-20'!I126</f>
        <v>1199.9960000000019</v>
      </c>
      <c r="J5" s="179"/>
      <c r="K5" s="933">
        <f>'Março-20'!K126</f>
        <v>11099.39</v>
      </c>
    </row>
    <row r="6" spans="1:15" s="224" customFormat="1" x14ac:dyDescent="0.25">
      <c r="A6" s="215">
        <v>43922</v>
      </c>
      <c r="B6" s="348" t="s">
        <v>11</v>
      </c>
      <c r="C6" s="351"/>
      <c r="D6" s="351"/>
      <c r="E6" s="673"/>
      <c r="F6" s="538">
        <v>30</v>
      </c>
      <c r="G6" s="1473"/>
      <c r="H6" s="250"/>
      <c r="I6" s="1473"/>
      <c r="J6" s="250"/>
      <c r="K6" s="1473"/>
      <c r="L6" s="518"/>
      <c r="M6" s="89"/>
    </row>
    <row r="7" spans="1:15" s="224" customFormat="1" ht="15" customHeight="1" x14ac:dyDescent="0.25">
      <c r="A7" s="215">
        <v>43922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15</v>
      </c>
      <c r="G7" s="946"/>
      <c r="H7" s="97"/>
      <c r="I7" s="982"/>
      <c r="J7" s="622"/>
      <c r="K7" s="982"/>
      <c r="L7" s="459"/>
    </row>
    <row r="8" spans="1:15" s="224" customFormat="1" ht="15" customHeight="1" x14ac:dyDescent="0.25">
      <c r="A8" s="215">
        <v>43922</v>
      </c>
      <c r="B8" s="364" t="s">
        <v>1241</v>
      </c>
      <c r="C8" s="350" t="s">
        <v>12</v>
      </c>
      <c r="D8" s="350" t="s">
        <v>1504</v>
      </c>
      <c r="E8" s="875" t="s">
        <v>13</v>
      </c>
      <c r="F8" s="780">
        <v>12</v>
      </c>
      <c r="G8" s="946"/>
      <c r="H8" s="97"/>
      <c r="I8" s="982"/>
      <c r="J8" s="622"/>
      <c r="K8" s="982"/>
      <c r="L8" s="459"/>
    </row>
    <row r="9" spans="1:15" s="224" customFormat="1" ht="15" customHeight="1" x14ac:dyDescent="0.25">
      <c r="A9" s="215">
        <v>43923</v>
      </c>
      <c r="B9" s="364" t="s">
        <v>32</v>
      </c>
      <c r="C9" s="350" t="s">
        <v>12</v>
      </c>
      <c r="D9" s="350" t="s">
        <v>1485</v>
      </c>
      <c r="E9" s="875" t="s">
        <v>13</v>
      </c>
      <c r="F9" s="780">
        <v>15</v>
      </c>
      <c r="G9" s="946"/>
      <c r="H9" s="97"/>
      <c r="I9" s="982"/>
      <c r="J9" s="622"/>
      <c r="K9" s="982"/>
      <c r="L9" s="459"/>
    </row>
    <row r="10" spans="1:15" s="224" customFormat="1" ht="15" customHeight="1" x14ac:dyDescent="0.25">
      <c r="A10" s="215">
        <v>43923</v>
      </c>
      <c r="B10" s="364" t="s">
        <v>2096</v>
      </c>
      <c r="C10" s="350" t="s">
        <v>12</v>
      </c>
      <c r="D10" s="350" t="s">
        <v>1506</v>
      </c>
      <c r="E10" s="875" t="s">
        <v>15</v>
      </c>
      <c r="F10" s="780">
        <v>40</v>
      </c>
      <c r="G10" s="946"/>
      <c r="H10" s="97"/>
      <c r="I10" s="982"/>
      <c r="J10" s="622"/>
      <c r="K10" s="982"/>
      <c r="L10" s="459"/>
    </row>
    <row r="11" spans="1:15" s="224" customFormat="1" ht="15" customHeight="1" x14ac:dyDescent="0.25">
      <c r="A11" s="215">
        <v>43924</v>
      </c>
      <c r="B11" s="364" t="s">
        <v>32</v>
      </c>
      <c r="C11" s="350" t="s">
        <v>12</v>
      </c>
      <c r="D11" s="350" t="s">
        <v>1485</v>
      </c>
      <c r="E11" s="875" t="s">
        <v>13</v>
      </c>
      <c r="F11" s="780">
        <v>15</v>
      </c>
      <c r="G11" s="946"/>
      <c r="H11" s="97"/>
      <c r="I11" s="982"/>
      <c r="J11" s="622"/>
      <c r="K11" s="982"/>
      <c r="L11" s="459"/>
    </row>
    <row r="12" spans="1:15" s="224" customFormat="1" ht="15" customHeight="1" x14ac:dyDescent="0.25">
      <c r="A12" s="215">
        <v>43924</v>
      </c>
      <c r="B12" s="349" t="s">
        <v>14</v>
      </c>
      <c r="C12" s="879" t="s">
        <v>12</v>
      </c>
      <c r="D12" s="879" t="s">
        <v>1486</v>
      </c>
      <c r="E12" s="871" t="s">
        <v>13</v>
      </c>
      <c r="F12" s="780">
        <v>13.85</v>
      </c>
      <c r="G12" s="946"/>
      <c r="H12" s="97"/>
      <c r="I12" s="946"/>
      <c r="J12" s="97"/>
      <c r="K12" s="946"/>
      <c r="L12" s="923"/>
      <c r="N12" s="930"/>
    </row>
    <row r="13" spans="1:15" s="224" customFormat="1" x14ac:dyDescent="0.25">
      <c r="A13" s="215">
        <v>43924</v>
      </c>
      <c r="B13" s="364" t="s">
        <v>2603</v>
      </c>
      <c r="C13" s="350" t="s">
        <v>12</v>
      </c>
      <c r="D13" s="350" t="s">
        <v>1491</v>
      </c>
      <c r="E13" s="875" t="s">
        <v>15</v>
      </c>
      <c r="F13" s="780">
        <v>60</v>
      </c>
      <c r="G13" s="946"/>
      <c r="H13" s="97"/>
      <c r="I13" s="946"/>
      <c r="J13" s="97"/>
      <c r="K13" s="946"/>
      <c r="L13" s="923"/>
      <c r="N13" s="930"/>
    </row>
    <row r="14" spans="1:15" s="224" customFormat="1" ht="15" customHeight="1" x14ac:dyDescent="0.25">
      <c r="A14" s="215">
        <v>43924</v>
      </c>
      <c r="B14" s="364" t="s">
        <v>1331</v>
      </c>
      <c r="C14" s="350" t="s">
        <v>12</v>
      </c>
      <c r="D14" s="350" t="s">
        <v>2157</v>
      </c>
      <c r="E14" s="875" t="s">
        <v>15</v>
      </c>
      <c r="F14" s="780">
        <v>40</v>
      </c>
      <c r="G14" s="946"/>
      <c r="H14" s="97"/>
      <c r="I14" s="946"/>
      <c r="J14" s="97"/>
      <c r="K14" s="946"/>
      <c r="L14" s="923"/>
      <c r="N14" s="930"/>
    </row>
    <row r="15" spans="1:15" s="224" customFormat="1" ht="15" customHeight="1" x14ac:dyDescent="0.25">
      <c r="A15" s="215">
        <v>43925</v>
      </c>
      <c r="B15" s="349" t="s">
        <v>14</v>
      </c>
      <c r="C15" s="879" t="s">
        <v>12</v>
      </c>
      <c r="D15" s="879" t="s">
        <v>1486</v>
      </c>
      <c r="E15" s="871" t="s">
        <v>13</v>
      </c>
      <c r="F15" s="780">
        <v>4.63</v>
      </c>
      <c r="G15" s="946"/>
      <c r="H15" s="97"/>
      <c r="I15" s="946"/>
      <c r="J15" s="97"/>
      <c r="K15" s="946"/>
      <c r="L15" s="923"/>
      <c r="N15" s="930"/>
    </row>
    <row r="16" spans="1:15" s="224" customFormat="1" ht="15" customHeight="1" x14ac:dyDescent="0.25">
      <c r="A16" s="215">
        <v>43925</v>
      </c>
      <c r="B16" s="364" t="s">
        <v>80</v>
      </c>
      <c r="C16" s="350" t="s">
        <v>12</v>
      </c>
      <c r="D16" s="350" t="s">
        <v>1523</v>
      </c>
      <c r="E16" s="875" t="s">
        <v>13</v>
      </c>
      <c r="F16" s="780">
        <v>30</v>
      </c>
      <c r="G16" s="946"/>
      <c r="H16" s="97"/>
      <c r="I16" s="982"/>
      <c r="J16" s="622"/>
      <c r="K16" s="982"/>
      <c r="L16" s="459"/>
    </row>
    <row r="17" spans="1:14" s="224" customFormat="1" ht="15" customHeight="1" x14ac:dyDescent="0.25">
      <c r="A17" s="215">
        <v>43926</v>
      </c>
      <c r="B17" s="364" t="s">
        <v>81</v>
      </c>
      <c r="C17" s="350" t="s">
        <v>12</v>
      </c>
      <c r="D17" s="350" t="s">
        <v>1493</v>
      </c>
      <c r="E17" s="875" t="s">
        <v>13</v>
      </c>
      <c r="F17" s="780">
        <v>16.05</v>
      </c>
      <c r="G17" s="946"/>
      <c r="H17" s="97"/>
      <c r="I17" s="946"/>
      <c r="J17" s="97"/>
      <c r="K17" s="946"/>
      <c r="L17" s="923"/>
      <c r="N17" s="930"/>
    </row>
    <row r="18" spans="1:14" s="224" customFormat="1" ht="15" customHeight="1" x14ac:dyDescent="0.25">
      <c r="A18" s="215">
        <v>43926</v>
      </c>
      <c r="B18" s="364" t="s">
        <v>82</v>
      </c>
      <c r="C18" s="350" t="s">
        <v>12</v>
      </c>
      <c r="D18" s="350" t="s">
        <v>1493</v>
      </c>
      <c r="E18" s="875" t="s">
        <v>13</v>
      </c>
      <c r="F18" s="780">
        <v>21.4</v>
      </c>
      <c r="G18" s="946"/>
      <c r="H18" s="97"/>
      <c r="I18" s="946"/>
      <c r="J18" s="97"/>
      <c r="K18" s="946"/>
      <c r="L18" s="923"/>
      <c r="N18" s="930"/>
    </row>
    <row r="19" spans="1:14" s="224" customFormat="1" ht="15.75" customHeight="1" x14ac:dyDescent="0.25">
      <c r="A19" s="215">
        <v>43927</v>
      </c>
      <c r="B19" s="349" t="s">
        <v>2618</v>
      </c>
      <c r="C19" s="879" t="s">
        <v>12</v>
      </c>
      <c r="D19" s="874"/>
      <c r="E19" s="871" t="s">
        <v>25</v>
      </c>
      <c r="F19" s="1514"/>
      <c r="G19" s="1002">
        <v>1850.84</v>
      </c>
      <c r="H19" s="250"/>
      <c r="I19" s="946"/>
      <c r="J19" s="97"/>
      <c r="K19" s="946"/>
      <c r="L19" s="89"/>
      <c r="M19" s="89"/>
    </row>
    <row r="20" spans="1:14" s="224" customFormat="1" ht="15.75" customHeight="1" x14ac:dyDescent="0.25">
      <c r="A20" s="215">
        <v>43927</v>
      </c>
      <c r="B20" s="349" t="s">
        <v>2619</v>
      </c>
      <c r="C20" s="879" t="s">
        <v>12</v>
      </c>
      <c r="D20" s="874" t="s">
        <v>1525</v>
      </c>
      <c r="E20" s="871" t="s">
        <v>13</v>
      </c>
      <c r="F20" s="780">
        <v>164.9</v>
      </c>
      <c r="G20" s="982"/>
      <c r="H20" s="538"/>
      <c r="I20" s="982"/>
      <c r="J20" s="97"/>
      <c r="K20" s="946"/>
      <c r="L20" s="928"/>
      <c r="M20" s="89"/>
    </row>
    <row r="21" spans="1:14" s="224" customFormat="1" x14ac:dyDescent="0.25">
      <c r="A21" s="215">
        <v>43927</v>
      </c>
      <c r="B21" s="349" t="s">
        <v>2619</v>
      </c>
      <c r="C21" s="879" t="s">
        <v>12</v>
      </c>
      <c r="D21" s="879" t="s">
        <v>2131</v>
      </c>
      <c r="E21" s="871" t="s">
        <v>13</v>
      </c>
      <c r="F21" s="613">
        <v>54.25</v>
      </c>
      <c r="G21" s="982"/>
      <c r="H21" s="622"/>
      <c r="I21" s="982"/>
      <c r="J21" s="780"/>
      <c r="K21" s="614"/>
      <c r="L21" s="518"/>
      <c r="M21" s="89"/>
    </row>
    <row r="22" spans="1:14" s="224" customFormat="1" x14ac:dyDescent="0.25">
      <c r="A22" s="215">
        <v>43927</v>
      </c>
      <c r="B22" s="349" t="s">
        <v>2619</v>
      </c>
      <c r="C22" s="879" t="s">
        <v>12</v>
      </c>
      <c r="D22" s="879" t="s">
        <v>1525</v>
      </c>
      <c r="E22" s="871" t="s">
        <v>13</v>
      </c>
      <c r="F22" s="613">
        <v>75</v>
      </c>
      <c r="G22" s="982"/>
      <c r="H22" s="622"/>
      <c r="I22" s="982"/>
      <c r="J22" s="780"/>
      <c r="K22" s="614"/>
      <c r="L22" s="518"/>
      <c r="M22" s="89"/>
    </row>
    <row r="23" spans="1:14" s="224" customFormat="1" x14ac:dyDescent="0.25">
      <c r="A23" s="215">
        <v>43927</v>
      </c>
      <c r="B23" s="349" t="s">
        <v>2619</v>
      </c>
      <c r="C23" s="879" t="s">
        <v>12</v>
      </c>
      <c r="D23" s="879" t="s">
        <v>1506</v>
      </c>
      <c r="E23" s="871" t="s">
        <v>13</v>
      </c>
      <c r="F23" s="613">
        <v>33.33</v>
      </c>
      <c r="G23" s="982"/>
      <c r="H23" s="622"/>
      <c r="I23" s="982"/>
      <c r="J23" s="780"/>
      <c r="K23" s="614"/>
      <c r="L23" s="518"/>
      <c r="M23" s="89"/>
    </row>
    <row r="24" spans="1:14" s="224" customFormat="1" x14ac:dyDescent="0.25">
      <c r="A24" s="215">
        <v>43927</v>
      </c>
      <c r="B24" s="349" t="s">
        <v>2619</v>
      </c>
      <c r="C24" s="879" t="s">
        <v>12</v>
      </c>
      <c r="D24" s="879" t="s">
        <v>1522</v>
      </c>
      <c r="E24" s="871" t="s">
        <v>13</v>
      </c>
      <c r="F24" s="613">
        <v>65</v>
      </c>
      <c r="G24" s="982"/>
      <c r="H24" s="622"/>
      <c r="I24" s="982"/>
      <c r="J24" s="780"/>
      <c r="K24" s="614"/>
      <c r="L24" s="518"/>
      <c r="M24" s="89"/>
    </row>
    <row r="25" spans="1:14" s="224" customFormat="1" x14ac:dyDescent="0.25">
      <c r="A25" s="215">
        <v>43927</v>
      </c>
      <c r="B25" s="349" t="s">
        <v>2619</v>
      </c>
      <c r="C25" s="879" t="s">
        <v>12</v>
      </c>
      <c r="D25" s="879" t="s">
        <v>1522</v>
      </c>
      <c r="E25" s="871" t="s">
        <v>13</v>
      </c>
      <c r="F25" s="613">
        <v>140.66666666666666</v>
      </c>
      <c r="G25" s="982"/>
      <c r="H25" s="622"/>
      <c r="I25" s="982"/>
      <c r="J25" s="780"/>
      <c r="K25" s="614"/>
      <c r="L25" s="518"/>
      <c r="M25" s="89"/>
    </row>
    <row r="26" spans="1:14" s="224" customFormat="1" x14ac:dyDescent="0.25">
      <c r="A26" s="215">
        <v>43927</v>
      </c>
      <c r="B26" s="349" t="s">
        <v>2619</v>
      </c>
      <c r="C26" s="879" t="s">
        <v>12</v>
      </c>
      <c r="D26" s="879" t="s">
        <v>1524</v>
      </c>
      <c r="E26" s="871" t="s">
        <v>13</v>
      </c>
      <c r="F26" s="456">
        <v>145</v>
      </c>
      <c r="G26" s="982"/>
      <c r="H26" s="622"/>
      <c r="I26" s="982"/>
      <c r="J26" s="780"/>
      <c r="K26" s="614"/>
      <c r="L26" s="518"/>
      <c r="M26" s="89"/>
    </row>
    <row r="27" spans="1:14" s="224" customFormat="1" x14ac:dyDescent="0.25">
      <c r="A27" s="215">
        <v>43927</v>
      </c>
      <c r="B27" s="349" t="s">
        <v>2619</v>
      </c>
      <c r="C27" s="879" t="s">
        <v>12</v>
      </c>
      <c r="D27" s="879" t="s">
        <v>1496</v>
      </c>
      <c r="E27" s="871" t="s">
        <v>13</v>
      </c>
      <c r="F27" s="456">
        <v>24</v>
      </c>
      <c r="G27" s="982"/>
      <c r="H27" s="622"/>
      <c r="I27" s="982"/>
      <c r="J27" s="780"/>
      <c r="K27" s="614"/>
      <c r="L27" s="518"/>
      <c r="M27" s="89"/>
    </row>
    <row r="28" spans="1:14" s="224" customFormat="1" x14ac:dyDescent="0.25">
      <c r="A28" s="215">
        <v>43927</v>
      </c>
      <c r="B28" s="349" t="s">
        <v>2619</v>
      </c>
      <c r="C28" s="879" t="s">
        <v>12</v>
      </c>
      <c r="D28" s="879" t="s">
        <v>1496</v>
      </c>
      <c r="E28" s="871" t="s">
        <v>13</v>
      </c>
      <c r="F28" s="456">
        <v>59.666666666666664</v>
      </c>
      <c r="G28" s="982"/>
      <c r="H28" s="622"/>
      <c r="I28" s="982"/>
      <c r="J28" s="780"/>
      <c r="K28" s="614"/>
      <c r="L28" s="518"/>
      <c r="M28" s="89"/>
    </row>
    <row r="29" spans="1:14" x14ac:dyDescent="0.25">
      <c r="A29" s="215">
        <v>43927</v>
      </c>
      <c r="B29" s="862" t="s">
        <v>2385</v>
      </c>
      <c r="C29" s="879" t="s">
        <v>12</v>
      </c>
      <c r="D29" s="879" t="s">
        <v>1504</v>
      </c>
      <c r="E29" s="871" t="s">
        <v>13</v>
      </c>
      <c r="F29" s="780">
        <v>80.900000000000006</v>
      </c>
      <c r="G29" s="982"/>
      <c r="H29" s="622"/>
      <c r="I29" s="982"/>
      <c r="J29" s="622"/>
      <c r="K29" s="1002"/>
      <c r="L29" s="928" t="s">
        <v>2620</v>
      </c>
    </row>
    <row r="30" spans="1:14" x14ac:dyDescent="0.25">
      <c r="A30" s="215">
        <v>43927</v>
      </c>
      <c r="B30" s="882" t="s">
        <v>2621</v>
      </c>
      <c r="C30" s="879" t="s">
        <v>12</v>
      </c>
      <c r="D30" s="879" t="s">
        <v>1499</v>
      </c>
      <c r="E30" s="871" t="s">
        <v>13</v>
      </c>
      <c r="F30" s="780">
        <v>76.77</v>
      </c>
      <c r="G30" s="982"/>
      <c r="H30" s="622"/>
      <c r="I30" s="982"/>
      <c r="J30" s="780"/>
      <c r="K30" s="614"/>
      <c r="L30" s="928" t="s">
        <v>2622</v>
      </c>
      <c r="M30" s="518"/>
    </row>
    <row r="31" spans="1:14" x14ac:dyDescent="0.25">
      <c r="A31" s="215">
        <v>43927</v>
      </c>
      <c r="B31" s="876" t="s">
        <v>52</v>
      </c>
      <c r="C31" s="879" t="s">
        <v>12</v>
      </c>
      <c r="D31" s="879" t="s">
        <v>1496</v>
      </c>
      <c r="E31" s="871" t="s">
        <v>15</v>
      </c>
      <c r="F31" s="1004"/>
      <c r="G31" s="982"/>
      <c r="H31" s="853"/>
      <c r="I31" s="982"/>
      <c r="J31" s="622"/>
      <c r="K31" s="982"/>
      <c r="L31" s="928"/>
    </row>
    <row r="32" spans="1:14" s="224" customFormat="1" ht="15" customHeight="1" x14ac:dyDescent="0.25">
      <c r="A32" s="215">
        <v>43927</v>
      </c>
      <c r="B32" s="364" t="s">
        <v>32</v>
      </c>
      <c r="C32" s="350" t="s">
        <v>12</v>
      </c>
      <c r="D32" s="350" t="s">
        <v>1485</v>
      </c>
      <c r="E32" s="875" t="s">
        <v>13</v>
      </c>
      <c r="F32" s="780">
        <v>15</v>
      </c>
      <c r="G32" s="946"/>
      <c r="H32" s="97"/>
      <c r="I32" s="982"/>
      <c r="J32" s="622"/>
      <c r="K32" s="982"/>
      <c r="L32" s="459"/>
    </row>
    <row r="33" spans="1:14" s="224" customFormat="1" ht="15" customHeight="1" x14ac:dyDescent="0.25">
      <c r="A33" s="215">
        <v>43927</v>
      </c>
      <c r="B33" s="349" t="s">
        <v>14</v>
      </c>
      <c r="C33" s="879" t="s">
        <v>12</v>
      </c>
      <c r="D33" s="879" t="s">
        <v>1486</v>
      </c>
      <c r="E33" s="871" t="s">
        <v>13</v>
      </c>
      <c r="F33" s="780">
        <v>19.52</v>
      </c>
      <c r="G33" s="946"/>
      <c r="H33" s="97"/>
      <c r="I33" s="982"/>
      <c r="J33" s="622"/>
      <c r="K33" s="982"/>
      <c r="L33" s="518"/>
      <c r="M33" s="89"/>
    </row>
    <row r="34" spans="1:14" s="224" customFormat="1" ht="15" customHeight="1" x14ac:dyDescent="0.25">
      <c r="A34" s="215">
        <v>43928</v>
      </c>
      <c r="B34" s="349" t="s">
        <v>260</v>
      </c>
      <c r="C34" s="350" t="s">
        <v>12</v>
      </c>
      <c r="D34" s="350"/>
      <c r="E34" s="480"/>
      <c r="F34" s="780">
        <v>250</v>
      </c>
      <c r="G34" s="946"/>
      <c r="H34" s="97"/>
      <c r="I34" s="946">
        <v>250</v>
      </c>
      <c r="J34" s="97"/>
      <c r="K34" s="946"/>
      <c r="L34" s="928"/>
      <c r="M34" s="89"/>
      <c r="N34" s="930"/>
    </row>
    <row r="35" spans="1:14" s="224" customFormat="1" ht="15" customHeight="1" x14ac:dyDescent="0.25">
      <c r="A35" s="215">
        <v>43928</v>
      </c>
      <c r="B35" s="364" t="s">
        <v>32</v>
      </c>
      <c r="C35" s="350" t="s">
        <v>12</v>
      </c>
      <c r="D35" s="350" t="s">
        <v>1485</v>
      </c>
      <c r="E35" s="875" t="s">
        <v>13</v>
      </c>
      <c r="F35" s="780">
        <v>15</v>
      </c>
      <c r="G35" s="946"/>
      <c r="H35" s="97"/>
      <c r="I35" s="982"/>
      <c r="J35" s="622"/>
      <c r="K35" s="982"/>
      <c r="L35" s="459"/>
    </row>
    <row r="36" spans="1:14" s="224" customFormat="1" ht="15" customHeight="1" x14ac:dyDescent="0.25">
      <c r="A36" s="215">
        <v>43928</v>
      </c>
      <c r="B36" s="349" t="s">
        <v>14</v>
      </c>
      <c r="C36" s="879" t="s">
        <v>12</v>
      </c>
      <c r="D36" s="879" t="s">
        <v>1486</v>
      </c>
      <c r="E36" s="871" t="s">
        <v>13</v>
      </c>
      <c r="F36" s="780">
        <v>10.31</v>
      </c>
      <c r="G36" s="946"/>
      <c r="H36" s="97"/>
      <c r="I36" s="982"/>
      <c r="J36" s="622"/>
      <c r="K36" s="982"/>
      <c r="L36" s="518"/>
      <c r="M36" s="89"/>
    </row>
    <row r="37" spans="1:14" s="224" customFormat="1" ht="15" customHeight="1" x14ac:dyDescent="0.25">
      <c r="A37" s="215">
        <v>43929</v>
      </c>
      <c r="B37" s="364" t="s">
        <v>32</v>
      </c>
      <c r="C37" s="350" t="s">
        <v>12</v>
      </c>
      <c r="D37" s="350" t="s">
        <v>1485</v>
      </c>
      <c r="E37" s="875" t="s">
        <v>13</v>
      </c>
      <c r="F37" s="780">
        <v>15</v>
      </c>
      <c r="G37" s="946"/>
      <c r="H37" s="97"/>
      <c r="I37" s="946"/>
      <c r="J37" s="97"/>
      <c r="K37" s="946"/>
      <c r="L37" s="928"/>
      <c r="M37" s="89"/>
      <c r="N37" s="930"/>
    </row>
    <row r="38" spans="1:14" s="224" customFormat="1" ht="15" customHeight="1" x14ac:dyDescent="0.25">
      <c r="A38" s="215">
        <v>43929</v>
      </c>
      <c r="B38" s="364" t="s">
        <v>2269</v>
      </c>
      <c r="C38" s="350" t="s">
        <v>12</v>
      </c>
      <c r="D38" s="350" t="s">
        <v>2168</v>
      </c>
      <c r="E38" s="875" t="s">
        <v>13</v>
      </c>
      <c r="F38" s="780">
        <v>20.100000000000001</v>
      </c>
      <c r="G38" s="946"/>
      <c r="H38" s="97"/>
      <c r="I38" s="946"/>
      <c r="J38" s="97"/>
      <c r="K38" s="946"/>
      <c r="L38" s="928"/>
      <c r="M38" s="89"/>
      <c r="N38" s="930"/>
    </row>
    <row r="39" spans="1:14" s="224" customFormat="1" ht="15" customHeight="1" x14ac:dyDescent="0.25">
      <c r="A39" s="215">
        <v>43930</v>
      </c>
      <c r="B39" s="364" t="s">
        <v>1241</v>
      </c>
      <c r="C39" s="350" t="s">
        <v>12</v>
      </c>
      <c r="D39" s="350" t="s">
        <v>1504</v>
      </c>
      <c r="E39" s="875" t="s">
        <v>13</v>
      </c>
      <c r="F39" s="780">
        <v>10</v>
      </c>
      <c r="G39" s="946"/>
      <c r="H39" s="97"/>
      <c r="I39" s="982"/>
      <c r="J39" s="622"/>
      <c r="K39" s="982"/>
      <c r="L39" s="459"/>
    </row>
    <row r="40" spans="1:14" s="224" customFormat="1" ht="15" customHeight="1" x14ac:dyDescent="0.25">
      <c r="A40" s="215">
        <v>43930</v>
      </c>
      <c r="B40" s="364" t="s">
        <v>32</v>
      </c>
      <c r="C40" s="350" t="s">
        <v>12</v>
      </c>
      <c r="D40" s="350" t="s">
        <v>1485</v>
      </c>
      <c r="E40" s="875" t="s">
        <v>13</v>
      </c>
      <c r="F40" s="780">
        <v>15</v>
      </c>
      <c r="G40" s="946"/>
      <c r="H40" s="97"/>
      <c r="I40" s="946"/>
      <c r="J40" s="97"/>
      <c r="K40" s="946"/>
      <c r="L40" s="928"/>
      <c r="M40" s="89"/>
      <c r="N40" s="930"/>
    </row>
    <row r="41" spans="1:14" s="224" customFormat="1" ht="15" customHeight="1" x14ac:dyDescent="0.25">
      <c r="A41" s="215">
        <v>43930</v>
      </c>
      <c r="B41" s="364" t="s">
        <v>81</v>
      </c>
      <c r="C41" s="350" t="s">
        <v>12</v>
      </c>
      <c r="D41" s="350" t="s">
        <v>1493</v>
      </c>
      <c r="E41" s="875" t="s">
        <v>13</v>
      </c>
      <c r="F41" s="780">
        <v>2.5</v>
      </c>
      <c r="G41" s="946"/>
      <c r="H41" s="97"/>
      <c r="I41" s="946"/>
      <c r="J41" s="97"/>
      <c r="K41" s="946"/>
      <c r="L41" s="928"/>
      <c r="M41" s="89"/>
      <c r="N41" s="930"/>
    </row>
    <row r="42" spans="1:14" s="224" customFormat="1" ht="15" customHeight="1" x14ac:dyDescent="0.25">
      <c r="A42" s="215">
        <v>43930</v>
      </c>
      <c r="B42" s="364" t="s">
        <v>82</v>
      </c>
      <c r="C42" s="350" t="s">
        <v>12</v>
      </c>
      <c r="D42" s="350" t="s">
        <v>1493</v>
      </c>
      <c r="E42" s="875" t="s">
        <v>13</v>
      </c>
      <c r="F42" s="780">
        <v>34.9</v>
      </c>
      <c r="G42" s="946"/>
      <c r="H42" s="97"/>
      <c r="I42" s="946"/>
      <c r="J42" s="97"/>
      <c r="K42" s="946"/>
      <c r="L42" s="928"/>
      <c r="M42" s="89"/>
      <c r="N42" s="930"/>
    </row>
    <row r="43" spans="1:14" s="224" customFormat="1" ht="15" customHeight="1" x14ac:dyDescent="0.25">
      <c r="A43" s="215">
        <v>43930</v>
      </c>
      <c r="B43" s="364" t="s">
        <v>1396</v>
      </c>
      <c r="C43" s="350" t="s">
        <v>12</v>
      </c>
      <c r="D43" s="350"/>
      <c r="E43" s="480" t="s">
        <v>25</v>
      </c>
      <c r="F43" s="538"/>
      <c r="G43" s="967">
        <v>45</v>
      </c>
      <c r="H43" s="97"/>
      <c r="I43" s="946"/>
      <c r="J43" s="97"/>
      <c r="K43" s="946"/>
      <c r="L43" s="928"/>
      <c r="M43" s="89"/>
      <c r="N43" s="930"/>
    </row>
    <row r="44" spans="1:14" s="224" customFormat="1" ht="15" customHeight="1" x14ac:dyDescent="0.25">
      <c r="A44" s="215">
        <v>43931</v>
      </c>
      <c r="B44" s="349" t="s">
        <v>14</v>
      </c>
      <c r="C44" s="879" t="s">
        <v>12</v>
      </c>
      <c r="D44" s="879" t="s">
        <v>1486</v>
      </c>
      <c r="E44" s="871" t="s">
        <v>13</v>
      </c>
      <c r="F44" s="780">
        <v>4.84</v>
      </c>
      <c r="G44" s="946"/>
      <c r="H44" s="97"/>
      <c r="I44" s="982"/>
      <c r="J44" s="622"/>
      <c r="K44" s="982"/>
      <c r="L44" s="518"/>
      <c r="M44" s="89"/>
    </row>
    <row r="45" spans="1:14" s="224" customFormat="1" ht="15" customHeight="1" x14ac:dyDescent="0.25">
      <c r="A45" s="215">
        <v>43931</v>
      </c>
      <c r="B45" s="364" t="s">
        <v>2251</v>
      </c>
      <c r="C45" s="350" t="s">
        <v>12</v>
      </c>
      <c r="D45" s="350" t="s">
        <v>2157</v>
      </c>
      <c r="E45" s="875" t="s">
        <v>15</v>
      </c>
      <c r="F45" s="780">
        <v>60</v>
      </c>
      <c r="G45" s="946"/>
      <c r="H45" s="97"/>
      <c r="I45" s="946"/>
      <c r="J45" s="97"/>
      <c r="K45" s="946"/>
      <c r="L45" s="928"/>
      <c r="M45" s="89"/>
      <c r="N45" s="930"/>
    </row>
    <row r="46" spans="1:14" s="224" customFormat="1" ht="15" customHeight="1" x14ac:dyDescent="0.25">
      <c r="A46" s="215">
        <v>43931</v>
      </c>
      <c r="B46" s="364" t="s">
        <v>2623</v>
      </c>
      <c r="C46" s="350" t="s">
        <v>12</v>
      </c>
      <c r="D46" s="350" t="s">
        <v>1493</v>
      </c>
      <c r="E46" s="875" t="s">
        <v>13</v>
      </c>
      <c r="F46" s="780">
        <v>97.08</v>
      </c>
      <c r="G46" s="946"/>
      <c r="H46" s="97"/>
      <c r="I46" s="946"/>
      <c r="J46" s="97"/>
      <c r="K46" s="946"/>
      <c r="L46" s="928"/>
      <c r="M46" s="89"/>
      <c r="N46" s="930"/>
    </row>
    <row r="47" spans="1:14" s="224" customFormat="1" ht="15" customHeight="1" x14ac:dyDescent="0.25">
      <c r="A47" s="215">
        <v>43931</v>
      </c>
      <c r="B47" s="364" t="s">
        <v>1438</v>
      </c>
      <c r="C47" s="350" t="s">
        <v>12</v>
      </c>
      <c r="D47" s="350" t="s">
        <v>1489</v>
      </c>
      <c r="E47" s="875" t="s">
        <v>13</v>
      </c>
      <c r="F47" s="780">
        <v>39.700000000000003</v>
      </c>
      <c r="G47" s="946"/>
      <c r="H47" s="97"/>
      <c r="I47" s="946"/>
      <c r="J47" s="97"/>
      <c r="K47" s="946"/>
      <c r="L47" s="928"/>
      <c r="M47" s="89"/>
      <c r="N47" s="930"/>
    </row>
    <row r="48" spans="1:14" s="224" customFormat="1" ht="15" customHeight="1" x14ac:dyDescent="0.25">
      <c r="A48" s="215">
        <v>43932</v>
      </c>
      <c r="B48" s="349" t="s">
        <v>2624</v>
      </c>
      <c r="C48" s="879" t="s">
        <v>19</v>
      </c>
      <c r="D48" s="879" t="s">
        <v>1493</v>
      </c>
      <c r="E48" s="871" t="s">
        <v>13</v>
      </c>
      <c r="F48" s="780">
        <v>25.06</v>
      </c>
      <c r="G48" s="946"/>
      <c r="H48" s="97"/>
      <c r="I48" s="946"/>
      <c r="J48" s="97"/>
      <c r="K48" s="946"/>
      <c r="L48" s="928"/>
      <c r="M48" s="89"/>
      <c r="N48" s="930"/>
    </row>
    <row r="49" spans="1:14" s="224" customFormat="1" ht="15" customHeight="1" x14ac:dyDescent="0.25">
      <c r="A49" s="215">
        <v>43932</v>
      </c>
      <c r="B49" s="349" t="s">
        <v>1874</v>
      </c>
      <c r="C49" s="879" t="s">
        <v>12</v>
      </c>
      <c r="D49" s="879" t="s">
        <v>1489</v>
      </c>
      <c r="E49" s="871" t="s">
        <v>15</v>
      </c>
      <c r="F49" s="780">
        <v>3</v>
      </c>
      <c r="G49" s="946"/>
      <c r="H49" s="97"/>
      <c r="I49" s="946"/>
      <c r="J49" s="97"/>
      <c r="K49" s="946"/>
      <c r="L49" s="928"/>
      <c r="M49" s="89"/>
      <c r="N49" s="930"/>
    </row>
    <row r="50" spans="1:14" s="224" customFormat="1" ht="15" customHeight="1" x14ac:dyDescent="0.25">
      <c r="A50" s="215">
        <v>43933</v>
      </c>
      <c r="B50" s="349" t="s">
        <v>14</v>
      </c>
      <c r="C50" s="879" t="s">
        <v>12</v>
      </c>
      <c r="D50" s="879" t="s">
        <v>1486</v>
      </c>
      <c r="E50" s="871" t="s">
        <v>13</v>
      </c>
      <c r="F50" s="780">
        <v>8.3699999999999992</v>
      </c>
      <c r="G50" s="946"/>
      <c r="H50" s="97"/>
      <c r="I50" s="982"/>
      <c r="J50" s="622"/>
      <c r="K50" s="982"/>
      <c r="L50" s="518"/>
      <c r="M50" s="89"/>
    </row>
    <row r="51" spans="1:14" s="224" customFormat="1" ht="15" customHeight="1" x14ac:dyDescent="0.25">
      <c r="A51" s="215">
        <v>43933</v>
      </c>
      <c r="B51" s="364" t="s">
        <v>2603</v>
      </c>
      <c r="C51" s="350" t="s">
        <v>12</v>
      </c>
      <c r="D51" s="350" t="s">
        <v>1491</v>
      </c>
      <c r="E51" s="875" t="s">
        <v>15</v>
      </c>
      <c r="F51" s="780">
        <v>90</v>
      </c>
      <c r="G51" s="946"/>
      <c r="H51" s="97"/>
      <c r="I51" s="946"/>
      <c r="J51" s="97"/>
      <c r="K51" s="946"/>
      <c r="L51" s="928"/>
      <c r="M51" s="89"/>
      <c r="N51" s="930"/>
    </row>
    <row r="52" spans="1:14" s="224" customFormat="1" ht="15" customHeight="1" x14ac:dyDescent="0.25">
      <c r="A52" s="215">
        <v>43934</v>
      </c>
      <c r="B52" s="364" t="s">
        <v>32</v>
      </c>
      <c r="C52" s="350" t="s">
        <v>12</v>
      </c>
      <c r="D52" s="350" t="s">
        <v>1485</v>
      </c>
      <c r="E52" s="875" t="s">
        <v>13</v>
      </c>
      <c r="F52" s="780">
        <v>15</v>
      </c>
      <c r="G52" s="946"/>
      <c r="H52" s="97"/>
      <c r="I52" s="946"/>
      <c r="J52" s="97"/>
      <c r="K52" s="946"/>
      <c r="L52" s="928"/>
      <c r="M52" s="89"/>
      <c r="N52" s="930"/>
    </row>
    <row r="53" spans="1:14" s="224" customFormat="1" ht="15" customHeight="1" x14ac:dyDescent="0.25">
      <c r="A53" s="215">
        <v>43935</v>
      </c>
      <c r="B53" s="882" t="s">
        <v>2625</v>
      </c>
      <c r="C53" s="879" t="s">
        <v>12</v>
      </c>
      <c r="D53" s="879" t="s">
        <v>1499</v>
      </c>
      <c r="E53" s="871" t="s">
        <v>13</v>
      </c>
      <c r="F53" s="780">
        <v>40.24</v>
      </c>
      <c r="G53" s="946"/>
      <c r="H53" s="97"/>
      <c r="I53" s="946"/>
      <c r="J53" s="97"/>
      <c r="K53" s="946"/>
      <c r="L53" s="89">
        <v>105.24</v>
      </c>
      <c r="M53" s="89"/>
      <c r="N53" s="930"/>
    </row>
    <row r="54" spans="1:14" s="224" customFormat="1" ht="15" customHeight="1" x14ac:dyDescent="0.25">
      <c r="A54" s="215">
        <v>43935</v>
      </c>
      <c r="B54" s="364" t="s">
        <v>32</v>
      </c>
      <c r="C54" s="350" t="s">
        <v>12</v>
      </c>
      <c r="D54" s="350" t="s">
        <v>1485</v>
      </c>
      <c r="E54" s="875" t="s">
        <v>13</v>
      </c>
      <c r="F54" s="780">
        <v>15</v>
      </c>
      <c r="G54" s="946"/>
      <c r="H54" s="97"/>
      <c r="I54" s="946"/>
      <c r="J54" s="97"/>
      <c r="K54" s="946"/>
      <c r="L54" s="928"/>
      <c r="M54" s="89"/>
      <c r="N54" s="930"/>
    </row>
    <row r="55" spans="1:14" s="224" customFormat="1" ht="15" customHeight="1" x14ac:dyDescent="0.25">
      <c r="A55" s="215">
        <v>43936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780">
        <v>15</v>
      </c>
      <c r="G55" s="946"/>
      <c r="H55" s="97"/>
      <c r="I55" s="946"/>
      <c r="J55" s="97"/>
      <c r="K55" s="946"/>
      <c r="L55" s="928"/>
      <c r="M55" s="89"/>
      <c r="N55" s="930"/>
    </row>
    <row r="56" spans="1:14" s="224" customFormat="1" ht="15" customHeight="1" x14ac:dyDescent="0.25">
      <c r="A56" s="215">
        <v>43936</v>
      </c>
      <c r="B56" s="364" t="s">
        <v>81</v>
      </c>
      <c r="C56" s="350" t="s">
        <v>12</v>
      </c>
      <c r="D56" s="350" t="s">
        <v>1493</v>
      </c>
      <c r="E56" s="875" t="s">
        <v>13</v>
      </c>
      <c r="F56" s="780">
        <v>1.5</v>
      </c>
      <c r="G56" s="946"/>
      <c r="H56" s="97"/>
      <c r="I56" s="946"/>
      <c r="J56" s="97"/>
      <c r="K56" s="946"/>
      <c r="L56" s="928"/>
      <c r="M56" s="89"/>
      <c r="N56" s="930"/>
    </row>
    <row r="57" spans="1:14" s="224" customFormat="1" ht="15" customHeight="1" x14ac:dyDescent="0.25">
      <c r="A57" s="215">
        <v>43937</v>
      </c>
      <c r="B57" s="364" t="s">
        <v>32</v>
      </c>
      <c r="C57" s="350" t="s">
        <v>12</v>
      </c>
      <c r="D57" s="350" t="s">
        <v>1485</v>
      </c>
      <c r="E57" s="875" t="s">
        <v>13</v>
      </c>
      <c r="F57" s="780">
        <v>15</v>
      </c>
      <c r="G57" s="946"/>
      <c r="H57" s="97"/>
      <c r="I57" s="946"/>
      <c r="J57" s="97"/>
      <c r="K57" s="946"/>
      <c r="L57" s="928"/>
      <c r="M57" s="89"/>
      <c r="N57" s="930"/>
    </row>
    <row r="58" spans="1:14" s="224" customFormat="1" ht="15" customHeight="1" x14ac:dyDescent="0.25">
      <c r="A58" s="215">
        <v>43937</v>
      </c>
      <c r="B58" s="364" t="s">
        <v>81</v>
      </c>
      <c r="C58" s="350" t="s">
        <v>12</v>
      </c>
      <c r="D58" s="350" t="s">
        <v>1493</v>
      </c>
      <c r="E58" s="875" t="s">
        <v>13</v>
      </c>
      <c r="F58" s="780">
        <v>3.95</v>
      </c>
      <c r="G58" s="946"/>
      <c r="H58" s="97"/>
      <c r="I58" s="946"/>
      <c r="J58" s="97"/>
      <c r="K58" s="946"/>
      <c r="L58" s="923"/>
      <c r="N58" s="930"/>
    </row>
    <row r="59" spans="1:14" s="224" customFormat="1" ht="15" customHeight="1" x14ac:dyDescent="0.25">
      <c r="A59" s="215">
        <v>43938</v>
      </c>
      <c r="B59" s="364" t="s">
        <v>1241</v>
      </c>
      <c r="C59" s="350" t="s">
        <v>12</v>
      </c>
      <c r="D59" s="350" t="s">
        <v>1504</v>
      </c>
      <c r="E59" s="875" t="s">
        <v>13</v>
      </c>
      <c r="F59" s="780">
        <v>10</v>
      </c>
      <c r="G59" s="946"/>
      <c r="H59" s="97"/>
      <c r="I59" s="982"/>
      <c r="J59" s="622"/>
      <c r="K59" s="982"/>
      <c r="L59" s="459"/>
    </row>
    <row r="60" spans="1:14" s="224" customFormat="1" ht="15" customHeight="1" x14ac:dyDescent="0.25">
      <c r="A60" s="215">
        <v>43938</v>
      </c>
      <c r="B60" s="862" t="s">
        <v>256</v>
      </c>
      <c r="C60" s="350"/>
      <c r="D60" s="350"/>
      <c r="E60" s="875"/>
      <c r="F60" s="780"/>
      <c r="G60" s="989">
        <v>450</v>
      </c>
      <c r="H60" s="97">
        <v>450</v>
      </c>
      <c r="I60" s="946"/>
      <c r="J60" s="97"/>
      <c r="K60" s="946"/>
      <c r="L60" s="923"/>
      <c r="N60" s="930"/>
    </row>
    <row r="61" spans="1:14" s="224" customFormat="1" ht="15" customHeight="1" x14ac:dyDescent="0.25">
      <c r="A61" s="215">
        <v>43938</v>
      </c>
      <c r="B61" s="349" t="s">
        <v>2626</v>
      </c>
      <c r="C61" s="879" t="s">
        <v>19</v>
      </c>
      <c r="D61" s="879" t="s">
        <v>1506</v>
      </c>
      <c r="E61" s="871" t="s">
        <v>13</v>
      </c>
      <c r="F61" s="780">
        <v>580</v>
      </c>
      <c r="G61" s="946"/>
      <c r="H61" s="97"/>
      <c r="I61" s="946"/>
      <c r="J61" s="97"/>
      <c r="K61" s="946"/>
      <c r="L61" s="923">
        <v>1068.57</v>
      </c>
      <c r="N61" s="930"/>
    </row>
    <row r="62" spans="1:14" s="224" customFormat="1" ht="15" customHeight="1" x14ac:dyDescent="0.25">
      <c r="A62" s="215">
        <v>43938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15</v>
      </c>
      <c r="G62" s="946"/>
      <c r="H62" s="97"/>
      <c r="I62" s="946"/>
      <c r="J62" s="97"/>
      <c r="K62" s="946"/>
      <c r="L62" s="928"/>
      <c r="M62" s="89"/>
      <c r="N62" s="930"/>
    </row>
    <row r="63" spans="1:14" s="224" customFormat="1" ht="15" customHeight="1" x14ac:dyDescent="0.25">
      <c r="A63" s="215">
        <v>43938</v>
      </c>
      <c r="B63" s="349" t="s">
        <v>14</v>
      </c>
      <c r="C63" s="879" t="s">
        <v>12</v>
      </c>
      <c r="D63" s="879" t="s">
        <v>1486</v>
      </c>
      <c r="E63" s="871" t="s">
        <v>13</v>
      </c>
      <c r="F63" s="780">
        <v>3.48</v>
      </c>
      <c r="G63" s="946"/>
      <c r="H63" s="97"/>
      <c r="I63" s="946"/>
      <c r="J63" s="97"/>
      <c r="K63" s="946"/>
      <c r="L63" s="923"/>
      <c r="N63" s="930"/>
    </row>
    <row r="64" spans="1:14" s="224" customFormat="1" ht="15" customHeight="1" x14ac:dyDescent="0.25">
      <c r="A64" s="215">
        <v>43939</v>
      </c>
      <c r="B64" s="364" t="s">
        <v>32</v>
      </c>
      <c r="C64" s="350" t="s">
        <v>12</v>
      </c>
      <c r="D64" s="350" t="s">
        <v>1485</v>
      </c>
      <c r="E64" s="875" t="s">
        <v>13</v>
      </c>
      <c r="F64" s="780">
        <v>12.5</v>
      </c>
      <c r="G64" s="946"/>
      <c r="H64" s="97"/>
      <c r="I64" s="946"/>
      <c r="J64" s="97"/>
      <c r="K64" s="946"/>
      <c r="L64" s="928"/>
      <c r="M64" s="89"/>
      <c r="N64" s="930"/>
    </row>
    <row r="65" spans="1:14" s="224" customFormat="1" ht="15" customHeight="1" x14ac:dyDescent="0.25">
      <c r="A65" s="215">
        <v>43939</v>
      </c>
      <c r="B65" s="364" t="s">
        <v>81</v>
      </c>
      <c r="C65" s="350" t="s">
        <v>12</v>
      </c>
      <c r="D65" s="350" t="s">
        <v>1493</v>
      </c>
      <c r="E65" s="875" t="s">
        <v>13</v>
      </c>
      <c r="F65" s="780">
        <v>8.17</v>
      </c>
      <c r="G65" s="946"/>
      <c r="H65" s="97"/>
      <c r="I65" s="946"/>
      <c r="J65" s="97"/>
      <c r="K65" s="946"/>
      <c r="L65" s="923"/>
      <c r="N65" s="930"/>
    </row>
    <row r="66" spans="1:14" s="224" customFormat="1" ht="15" customHeight="1" x14ac:dyDescent="0.25">
      <c r="A66" s="215">
        <v>43939</v>
      </c>
      <c r="B66" s="349" t="s">
        <v>2627</v>
      </c>
      <c r="C66" s="350" t="s">
        <v>12</v>
      </c>
      <c r="D66" s="350" t="s">
        <v>1493</v>
      </c>
      <c r="E66" s="480" t="s">
        <v>13</v>
      </c>
      <c r="F66" s="780">
        <v>27.5</v>
      </c>
      <c r="G66" s="946"/>
      <c r="H66" s="97"/>
      <c r="I66" s="946"/>
      <c r="J66" s="97"/>
      <c r="K66" s="946"/>
      <c r="L66" s="923"/>
      <c r="N66" s="930"/>
    </row>
    <row r="67" spans="1:14" s="224" customFormat="1" ht="15" customHeight="1" x14ac:dyDescent="0.25">
      <c r="A67" s="215">
        <v>43940</v>
      </c>
      <c r="B67" s="862" t="s">
        <v>256</v>
      </c>
      <c r="C67" s="350"/>
      <c r="D67" s="350"/>
      <c r="E67" s="875"/>
      <c r="F67" s="780"/>
      <c r="G67" s="989">
        <v>200</v>
      </c>
      <c r="H67" s="97">
        <v>200</v>
      </c>
      <c r="I67" s="946"/>
      <c r="J67" s="97"/>
      <c r="K67" s="946"/>
      <c r="L67" s="923"/>
      <c r="N67" s="930"/>
    </row>
    <row r="68" spans="1:14" s="224" customFormat="1" ht="15" customHeight="1" x14ac:dyDescent="0.25">
      <c r="A68" s="215">
        <v>43940</v>
      </c>
      <c r="B68" s="349" t="s">
        <v>14</v>
      </c>
      <c r="C68" s="879" t="s">
        <v>12</v>
      </c>
      <c r="D68" s="879" t="s">
        <v>1486</v>
      </c>
      <c r="E68" s="871" t="s">
        <v>13</v>
      </c>
      <c r="F68" s="780">
        <v>6.95</v>
      </c>
      <c r="G68" s="946"/>
      <c r="H68" s="97"/>
      <c r="I68" s="946"/>
      <c r="J68" s="97"/>
      <c r="K68" s="946"/>
      <c r="L68" s="923"/>
      <c r="N68" s="930"/>
    </row>
    <row r="69" spans="1:14" s="224" customFormat="1" ht="15" customHeight="1" x14ac:dyDescent="0.25">
      <c r="A69" s="215">
        <v>43940</v>
      </c>
      <c r="B69" s="349" t="s">
        <v>2628</v>
      </c>
      <c r="C69" s="350" t="s">
        <v>19</v>
      </c>
      <c r="D69" s="350" t="s">
        <v>1489</v>
      </c>
      <c r="E69" s="480" t="s">
        <v>13</v>
      </c>
      <c r="F69" s="780">
        <v>60</v>
      </c>
      <c r="G69" s="946"/>
      <c r="H69" s="97"/>
      <c r="I69" s="946"/>
      <c r="J69" s="97"/>
      <c r="K69" s="946"/>
      <c r="L69" s="923"/>
      <c r="N69" s="930"/>
    </row>
    <row r="70" spans="1:14" s="224" customFormat="1" ht="15" customHeight="1" x14ac:dyDescent="0.25">
      <c r="A70" s="215">
        <v>43940</v>
      </c>
      <c r="B70" s="349" t="s">
        <v>2629</v>
      </c>
      <c r="C70" s="350" t="s">
        <v>19</v>
      </c>
      <c r="D70" s="350" t="s">
        <v>1489</v>
      </c>
      <c r="E70" s="480" t="s">
        <v>13</v>
      </c>
      <c r="F70" s="780">
        <v>48.72</v>
      </c>
      <c r="G70" s="946"/>
      <c r="H70" s="97"/>
      <c r="I70" s="946"/>
      <c r="J70" s="97"/>
      <c r="K70" s="946"/>
      <c r="L70" s="923"/>
      <c r="N70" s="930"/>
    </row>
    <row r="71" spans="1:14" s="224" customFormat="1" ht="15" customHeight="1" x14ac:dyDescent="0.25">
      <c r="A71" s="215">
        <v>43941</v>
      </c>
      <c r="B71" s="882" t="s">
        <v>2630</v>
      </c>
      <c r="C71" s="350" t="s">
        <v>12</v>
      </c>
      <c r="D71" s="350"/>
      <c r="E71" s="480" t="s">
        <v>25</v>
      </c>
      <c r="F71" s="622"/>
      <c r="G71" s="982">
        <v>1660</v>
      </c>
      <c r="H71" s="622"/>
      <c r="I71" s="982"/>
      <c r="J71" s="622"/>
      <c r="K71" s="982"/>
      <c r="L71" s="459"/>
    </row>
    <row r="72" spans="1:14" s="224" customFormat="1" x14ac:dyDescent="0.25">
      <c r="A72" s="215">
        <v>43941</v>
      </c>
      <c r="B72" s="873" t="s">
        <v>2590</v>
      </c>
      <c r="C72" s="879" t="s">
        <v>12</v>
      </c>
      <c r="D72" s="350" t="s">
        <v>1491</v>
      </c>
      <c r="E72" s="871" t="s">
        <v>15</v>
      </c>
      <c r="F72" s="622">
        <v>150</v>
      </c>
      <c r="G72" s="982"/>
      <c r="H72" s="622"/>
      <c r="I72" s="982"/>
      <c r="J72" s="622"/>
      <c r="K72" s="982"/>
      <c r="L72" s="984"/>
    </row>
    <row r="73" spans="1:14" s="224" customFormat="1" ht="15" customHeight="1" x14ac:dyDescent="0.25">
      <c r="A73" s="215">
        <v>43941</v>
      </c>
      <c r="B73" s="349" t="s">
        <v>260</v>
      </c>
      <c r="C73" s="350" t="s">
        <v>12</v>
      </c>
      <c r="D73" s="350"/>
      <c r="E73" s="480"/>
      <c r="F73" s="780">
        <v>600</v>
      </c>
      <c r="G73" s="946"/>
      <c r="H73" s="97"/>
      <c r="I73" s="946">
        <v>600</v>
      </c>
      <c r="J73" s="97"/>
      <c r="K73" s="946"/>
      <c r="L73" s="928"/>
      <c r="M73" s="89"/>
      <c r="N73" s="930"/>
    </row>
    <row r="74" spans="1:14" s="224" customFormat="1" ht="15" customHeight="1" x14ac:dyDescent="0.25">
      <c r="A74" s="215">
        <v>43941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15</v>
      </c>
      <c r="G74" s="946"/>
      <c r="H74" s="97"/>
      <c r="I74" s="946"/>
      <c r="J74" s="97"/>
      <c r="K74" s="946"/>
      <c r="L74" s="928"/>
      <c r="M74" s="89"/>
      <c r="N74" s="930"/>
    </row>
    <row r="75" spans="1:14" s="224" customFormat="1" ht="15" customHeight="1" x14ac:dyDescent="0.25">
      <c r="A75" s="215">
        <v>43941</v>
      </c>
      <c r="B75" s="364" t="s">
        <v>2603</v>
      </c>
      <c r="C75" s="350" t="s">
        <v>12</v>
      </c>
      <c r="D75" s="350" t="s">
        <v>1491</v>
      </c>
      <c r="E75" s="875" t="s">
        <v>15</v>
      </c>
      <c r="F75" s="780">
        <v>50</v>
      </c>
      <c r="G75" s="946"/>
      <c r="H75" s="97"/>
      <c r="I75" s="946"/>
      <c r="J75" s="97"/>
      <c r="K75" s="946"/>
      <c r="L75" s="928"/>
      <c r="M75" s="89"/>
      <c r="N75" s="930"/>
    </row>
    <row r="76" spans="1:14" s="224" customFormat="1" ht="15" customHeight="1" x14ac:dyDescent="0.25">
      <c r="A76" s="215">
        <v>43941</v>
      </c>
      <c r="B76" s="364" t="s">
        <v>2251</v>
      </c>
      <c r="C76" s="350" t="s">
        <v>12</v>
      </c>
      <c r="D76" s="350" t="s">
        <v>2157</v>
      </c>
      <c r="E76" s="875" t="s">
        <v>13</v>
      </c>
      <c r="F76" s="780">
        <v>70</v>
      </c>
      <c r="G76" s="946"/>
      <c r="H76" s="97"/>
      <c r="I76" s="946"/>
      <c r="J76" s="97"/>
      <c r="K76" s="946"/>
      <c r="L76" s="928"/>
      <c r="M76" s="89"/>
      <c r="N76" s="930"/>
    </row>
    <row r="77" spans="1:14" s="224" customFormat="1" ht="15" customHeight="1" x14ac:dyDescent="0.25">
      <c r="A77" s="215">
        <v>43941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780">
        <v>4.6500000000000004</v>
      </c>
      <c r="G77" s="946"/>
      <c r="H77" s="97"/>
      <c r="I77" s="946"/>
      <c r="J77" s="622"/>
      <c r="K77" s="982"/>
      <c r="L77" s="518"/>
      <c r="M77" s="89"/>
    </row>
    <row r="78" spans="1:14" s="224" customFormat="1" ht="15" customHeight="1" x14ac:dyDescent="0.25">
      <c r="A78" s="215">
        <v>43942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780">
        <v>15</v>
      </c>
      <c r="G78" s="946"/>
      <c r="H78" s="97"/>
      <c r="I78" s="946"/>
      <c r="J78" s="97"/>
      <c r="K78" s="946"/>
      <c r="L78" s="928"/>
      <c r="M78" s="89"/>
      <c r="N78" s="930"/>
    </row>
    <row r="79" spans="1:14" s="224" customFormat="1" ht="15" customHeight="1" x14ac:dyDescent="0.25">
      <c r="A79" s="215">
        <v>43942</v>
      </c>
      <c r="B79" s="364" t="s">
        <v>2269</v>
      </c>
      <c r="C79" s="350" t="s">
        <v>12</v>
      </c>
      <c r="D79" s="350" t="s">
        <v>2168</v>
      </c>
      <c r="E79" s="875" t="s">
        <v>13</v>
      </c>
      <c r="F79" s="780">
        <v>6</v>
      </c>
      <c r="G79" s="946"/>
      <c r="H79" s="97"/>
      <c r="I79" s="946"/>
      <c r="J79" s="97"/>
      <c r="K79" s="946"/>
      <c r="L79" s="923"/>
      <c r="N79" s="930"/>
    </row>
    <row r="80" spans="1:14" s="224" customFormat="1" ht="15" customHeight="1" x14ac:dyDescent="0.25">
      <c r="A80" s="215">
        <v>43942</v>
      </c>
      <c r="B80" s="349" t="s">
        <v>14</v>
      </c>
      <c r="C80" s="879" t="s">
        <v>12</v>
      </c>
      <c r="D80" s="879" t="s">
        <v>1486</v>
      </c>
      <c r="E80" s="871" t="s">
        <v>13</v>
      </c>
      <c r="F80" s="780">
        <v>4.32</v>
      </c>
      <c r="G80" s="946"/>
      <c r="H80" s="97"/>
      <c r="I80" s="946"/>
      <c r="J80" s="622"/>
      <c r="K80" s="982"/>
      <c r="L80" s="518"/>
      <c r="M80" s="89"/>
    </row>
    <row r="81" spans="1:14" s="224" customFormat="1" ht="15" customHeight="1" x14ac:dyDescent="0.25">
      <c r="A81" s="215">
        <v>43943</v>
      </c>
      <c r="B81" s="364" t="s">
        <v>32</v>
      </c>
      <c r="C81" s="350" t="s">
        <v>12</v>
      </c>
      <c r="D81" s="350" t="s">
        <v>1485</v>
      </c>
      <c r="E81" s="875" t="s">
        <v>13</v>
      </c>
      <c r="F81" s="780">
        <v>13</v>
      </c>
      <c r="G81" s="946"/>
      <c r="H81" s="97"/>
      <c r="I81" s="946"/>
      <c r="J81" s="97"/>
      <c r="K81" s="946"/>
      <c r="L81" s="928"/>
      <c r="M81" s="89"/>
      <c r="N81" s="930"/>
    </row>
    <row r="82" spans="1:14" s="224" customFormat="1" ht="15" customHeight="1" x14ac:dyDescent="0.25">
      <c r="A82" s="215">
        <v>43943</v>
      </c>
      <c r="B82" s="349" t="s">
        <v>14</v>
      </c>
      <c r="C82" s="879" t="s">
        <v>12</v>
      </c>
      <c r="D82" s="879" t="s">
        <v>1486</v>
      </c>
      <c r="E82" s="871" t="s">
        <v>13</v>
      </c>
      <c r="F82" s="780">
        <v>10.130000000000001</v>
      </c>
      <c r="G82" s="946"/>
      <c r="H82" s="97"/>
      <c r="I82" s="946"/>
      <c r="J82" s="97"/>
      <c r="K82" s="946"/>
      <c r="L82" s="923"/>
      <c r="N82" s="930"/>
    </row>
    <row r="83" spans="1:14" s="224" customFormat="1" ht="15" customHeight="1" x14ac:dyDescent="0.25">
      <c r="A83" s="215">
        <v>43944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780">
        <v>15</v>
      </c>
      <c r="G83" s="946"/>
      <c r="H83" s="97"/>
      <c r="I83" s="946"/>
      <c r="J83" s="97"/>
      <c r="K83" s="946"/>
      <c r="L83" s="928"/>
      <c r="M83" s="89"/>
      <c r="N83" s="930"/>
    </row>
    <row r="84" spans="1:14" s="224" customFormat="1" ht="15" customHeight="1" x14ac:dyDescent="0.25">
      <c r="A84" s="215">
        <v>43944</v>
      </c>
      <c r="B84" s="364" t="s">
        <v>81</v>
      </c>
      <c r="C84" s="350" t="s">
        <v>12</v>
      </c>
      <c r="D84" s="350" t="s">
        <v>1493</v>
      </c>
      <c r="E84" s="875" t="s">
        <v>13</v>
      </c>
      <c r="F84" s="780">
        <v>2</v>
      </c>
      <c r="G84" s="946"/>
      <c r="H84" s="97"/>
      <c r="I84" s="946"/>
      <c r="J84" s="97"/>
      <c r="K84" s="946"/>
      <c r="L84" s="923"/>
      <c r="N84" s="930"/>
    </row>
    <row r="85" spans="1:14" s="224" customFormat="1" ht="15" customHeight="1" x14ac:dyDescent="0.25">
      <c r="A85" s="215">
        <v>43944</v>
      </c>
      <c r="B85" s="862" t="s">
        <v>2302</v>
      </c>
      <c r="C85" s="350" t="s">
        <v>12</v>
      </c>
      <c r="D85" s="874" t="s">
        <v>1504</v>
      </c>
      <c r="E85" s="887" t="s">
        <v>13</v>
      </c>
      <c r="F85" s="780">
        <v>52</v>
      </c>
      <c r="G85" s="982"/>
      <c r="H85" s="622"/>
      <c r="I85" s="982"/>
      <c r="J85" s="97"/>
      <c r="K85" s="946"/>
      <c r="L85" s="923">
        <v>102</v>
      </c>
      <c r="N85" s="930"/>
    </row>
    <row r="86" spans="1:14" s="224" customFormat="1" ht="15" customHeight="1" x14ac:dyDescent="0.25">
      <c r="A86" s="215">
        <v>43945</v>
      </c>
      <c r="B86" s="364" t="s">
        <v>32</v>
      </c>
      <c r="C86" s="350" t="s">
        <v>12</v>
      </c>
      <c r="D86" s="350" t="s">
        <v>1485</v>
      </c>
      <c r="E86" s="875" t="s">
        <v>13</v>
      </c>
      <c r="F86" s="780">
        <v>15</v>
      </c>
      <c r="G86" s="946"/>
      <c r="H86" s="97"/>
      <c r="I86" s="946"/>
      <c r="J86" s="97"/>
      <c r="K86" s="946"/>
      <c r="L86" s="928"/>
      <c r="M86" s="89"/>
      <c r="N86" s="930"/>
    </row>
    <row r="87" spans="1:14" s="224" customFormat="1" ht="15" customHeight="1" x14ac:dyDescent="0.25">
      <c r="A87" s="215">
        <v>43945</v>
      </c>
      <c r="B87" s="364" t="s">
        <v>82</v>
      </c>
      <c r="C87" s="350" t="s">
        <v>12</v>
      </c>
      <c r="D87" s="350" t="s">
        <v>1493</v>
      </c>
      <c r="E87" s="875" t="s">
        <v>13</v>
      </c>
      <c r="F87" s="780">
        <v>22.4</v>
      </c>
      <c r="G87" s="982"/>
      <c r="H87" s="622"/>
      <c r="I87" s="982"/>
      <c r="J87" s="97"/>
      <c r="K87" s="946"/>
      <c r="L87" s="923"/>
      <c r="N87" s="930"/>
    </row>
    <row r="88" spans="1:14" s="224" customFormat="1" ht="15" customHeight="1" x14ac:dyDescent="0.25">
      <c r="A88" s="215">
        <v>43946</v>
      </c>
      <c r="B88" s="349" t="s">
        <v>14</v>
      </c>
      <c r="C88" s="879" t="s">
        <v>12</v>
      </c>
      <c r="D88" s="879" t="s">
        <v>1486</v>
      </c>
      <c r="E88" s="871" t="s">
        <v>13</v>
      </c>
      <c r="F88" s="780">
        <v>4.72</v>
      </c>
      <c r="G88" s="946"/>
      <c r="H88" s="97"/>
      <c r="I88" s="946"/>
      <c r="J88" s="622"/>
      <c r="K88" s="982"/>
      <c r="L88" s="518"/>
      <c r="M88" s="89"/>
    </row>
    <row r="89" spans="1:14" s="224" customFormat="1" ht="15" customHeight="1" x14ac:dyDescent="0.25">
      <c r="A89" s="215">
        <v>43946</v>
      </c>
      <c r="B89" s="364" t="s">
        <v>2251</v>
      </c>
      <c r="C89" s="350" t="s">
        <v>12</v>
      </c>
      <c r="D89" s="350" t="s">
        <v>2157</v>
      </c>
      <c r="E89" s="875" t="s">
        <v>15</v>
      </c>
      <c r="F89" s="780">
        <v>40</v>
      </c>
      <c r="G89" s="946"/>
      <c r="H89" s="97"/>
      <c r="I89" s="946"/>
      <c r="J89" s="97"/>
      <c r="K89" s="946"/>
      <c r="L89" s="928"/>
      <c r="M89" s="89"/>
      <c r="N89" s="930"/>
    </row>
    <row r="90" spans="1:14" s="224" customFormat="1" ht="15" customHeight="1" x14ac:dyDescent="0.25">
      <c r="A90" s="215">
        <v>43946</v>
      </c>
      <c r="B90" s="364" t="s">
        <v>2631</v>
      </c>
      <c r="C90" s="350" t="s">
        <v>12</v>
      </c>
      <c r="D90" s="350" t="s">
        <v>1489</v>
      </c>
      <c r="E90" s="875" t="s">
        <v>15</v>
      </c>
      <c r="F90" s="780">
        <v>13</v>
      </c>
      <c r="G90" s="982"/>
      <c r="H90" s="622"/>
      <c r="I90" s="982"/>
      <c r="J90" s="97"/>
      <c r="K90" s="946"/>
      <c r="L90" s="923"/>
      <c r="N90" s="930"/>
    </row>
    <row r="91" spans="1:14" s="224" customFormat="1" ht="15" customHeight="1" x14ac:dyDescent="0.25">
      <c r="A91" s="215">
        <v>43946</v>
      </c>
      <c r="B91" s="364" t="s">
        <v>1438</v>
      </c>
      <c r="C91" s="350" t="s">
        <v>12</v>
      </c>
      <c r="D91" s="350" t="s">
        <v>1489</v>
      </c>
      <c r="E91" s="875" t="s">
        <v>13</v>
      </c>
      <c r="F91" s="780">
        <v>13.47</v>
      </c>
      <c r="G91" s="982"/>
      <c r="H91" s="622"/>
      <c r="I91" s="982"/>
      <c r="J91" s="97"/>
      <c r="K91" s="946"/>
      <c r="L91" s="923"/>
      <c r="N91" s="930"/>
    </row>
    <row r="92" spans="1:14" s="224" customFormat="1" ht="15" customHeight="1" x14ac:dyDescent="0.25">
      <c r="A92" s="215">
        <v>43947</v>
      </c>
      <c r="B92" s="349" t="s">
        <v>14</v>
      </c>
      <c r="C92" s="879" t="s">
        <v>12</v>
      </c>
      <c r="D92" s="879" t="s">
        <v>1486</v>
      </c>
      <c r="E92" s="871" t="s">
        <v>13</v>
      </c>
      <c r="F92" s="780">
        <v>4.32</v>
      </c>
      <c r="G92" s="989"/>
      <c r="H92" s="622"/>
      <c r="I92" s="982"/>
      <c r="J92" s="97"/>
      <c r="K92" s="946"/>
      <c r="L92" s="459"/>
    </row>
    <row r="93" spans="1:14" s="224" customFormat="1" ht="15" customHeight="1" x14ac:dyDescent="0.25">
      <c r="A93" s="215">
        <v>43948</v>
      </c>
      <c r="B93" s="364" t="s">
        <v>2269</v>
      </c>
      <c r="C93" s="350" t="s">
        <v>12</v>
      </c>
      <c r="D93" s="350" t="s">
        <v>2168</v>
      </c>
      <c r="E93" s="875" t="s">
        <v>15</v>
      </c>
      <c r="F93" s="780">
        <v>20</v>
      </c>
      <c r="G93" s="946"/>
      <c r="H93" s="97"/>
      <c r="I93" s="946"/>
      <c r="J93" s="97"/>
      <c r="K93" s="946"/>
      <c r="L93" s="923"/>
      <c r="N93" s="930"/>
    </row>
    <row r="94" spans="1:14" s="224" customFormat="1" ht="15" customHeight="1" x14ac:dyDescent="0.25">
      <c r="A94" s="215">
        <v>43948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780">
        <v>15</v>
      </c>
      <c r="G94" s="946"/>
      <c r="H94" s="97"/>
      <c r="I94" s="946"/>
      <c r="J94" s="97"/>
      <c r="K94" s="946"/>
      <c r="L94" s="928"/>
      <c r="M94" s="89"/>
      <c r="N94" s="930"/>
    </row>
    <row r="95" spans="1:14" s="224" customFormat="1" ht="15" customHeight="1" x14ac:dyDescent="0.25">
      <c r="A95" s="215">
        <v>43948</v>
      </c>
      <c r="B95" s="862" t="s">
        <v>2632</v>
      </c>
      <c r="C95" s="350" t="s">
        <v>12</v>
      </c>
      <c r="D95" s="350" t="s">
        <v>1489</v>
      </c>
      <c r="E95" s="875" t="s">
        <v>15</v>
      </c>
      <c r="F95" s="780">
        <v>120</v>
      </c>
      <c r="G95" s="989"/>
      <c r="H95" s="622"/>
      <c r="I95" s="982"/>
      <c r="J95" s="97"/>
      <c r="K95" s="946"/>
      <c r="L95" s="459"/>
    </row>
    <row r="96" spans="1:14" s="224" customFormat="1" ht="15" customHeight="1" x14ac:dyDescent="0.25">
      <c r="A96" s="215">
        <v>43948</v>
      </c>
      <c r="B96" s="349" t="s">
        <v>14</v>
      </c>
      <c r="C96" s="879" t="s">
        <v>12</v>
      </c>
      <c r="D96" s="879" t="s">
        <v>1486</v>
      </c>
      <c r="E96" s="871" t="s">
        <v>13</v>
      </c>
      <c r="F96" s="780">
        <v>17.760000000000002</v>
      </c>
      <c r="G96" s="946"/>
      <c r="H96" s="97"/>
      <c r="I96" s="946"/>
      <c r="J96" s="97"/>
      <c r="K96" s="946"/>
      <c r="L96" s="923"/>
      <c r="N96" s="930"/>
    </row>
    <row r="97" spans="1:14" s="224" customFormat="1" ht="15" customHeight="1" x14ac:dyDescent="0.25">
      <c r="A97" s="215">
        <v>43948</v>
      </c>
      <c r="B97" s="364" t="s">
        <v>1241</v>
      </c>
      <c r="C97" s="350" t="s">
        <v>12</v>
      </c>
      <c r="D97" s="350" t="s">
        <v>1504</v>
      </c>
      <c r="E97" s="875" t="s">
        <v>13</v>
      </c>
      <c r="F97" s="780">
        <v>10</v>
      </c>
      <c r="G97" s="946"/>
      <c r="H97" s="97"/>
      <c r="I97" s="982"/>
      <c r="J97" s="622"/>
      <c r="K97" s="982"/>
      <c r="L97" s="459"/>
    </row>
    <row r="98" spans="1:14" s="224" customFormat="1" ht="15" customHeight="1" x14ac:dyDescent="0.25">
      <c r="A98" s="215">
        <v>43949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15</v>
      </c>
      <c r="G98" s="946"/>
      <c r="H98" s="97"/>
      <c r="I98" s="946"/>
      <c r="J98" s="97"/>
      <c r="K98" s="946"/>
      <c r="L98" s="928"/>
      <c r="M98" s="89"/>
      <c r="N98" s="930"/>
    </row>
    <row r="99" spans="1:14" s="224" customFormat="1" ht="15" customHeight="1" x14ac:dyDescent="0.25">
      <c r="A99" s="215">
        <v>43949</v>
      </c>
      <c r="B99" s="364" t="s">
        <v>2603</v>
      </c>
      <c r="C99" s="350" t="s">
        <v>12</v>
      </c>
      <c r="D99" s="350" t="s">
        <v>1491</v>
      </c>
      <c r="E99" s="875" t="s">
        <v>15</v>
      </c>
      <c r="F99" s="780">
        <v>100</v>
      </c>
      <c r="G99" s="989"/>
      <c r="H99" s="622"/>
      <c r="I99" s="982"/>
      <c r="J99" s="97"/>
      <c r="K99" s="946"/>
      <c r="L99" s="459"/>
    </row>
    <row r="100" spans="1:14" s="224" customFormat="1" ht="15" customHeight="1" x14ac:dyDescent="0.25">
      <c r="A100" s="215">
        <v>43950</v>
      </c>
      <c r="B100" s="364" t="s">
        <v>32</v>
      </c>
      <c r="C100" s="350" t="s">
        <v>12</v>
      </c>
      <c r="D100" s="350" t="s">
        <v>1485</v>
      </c>
      <c r="E100" s="875" t="s">
        <v>13</v>
      </c>
      <c r="F100" s="780">
        <v>15</v>
      </c>
      <c r="G100" s="946"/>
      <c r="H100" s="97"/>
      <c r="I100" s="946"/>
      <c r="J100" s="97"/>
      <c r="K100" s="946"/>
      <c r="L100" s="928"/>
      <c r="M100" s="89"/>
      <c r="N100" s="930"/>
    </row>
    <row r="101" spans="1:14" s="224" customFormat="1" ht="15" customHeight="1" x14ac:dyDescent="0.25">
      <c r="A101" s="215">
        <v>43950</v>
      </c>
      <c r="B101" s="364" t="s">
        <v>81</v>
      </c>
      <c r="C101" s="350" t="s">
        <v>12</v>
      </c>
      <c r="D101" s="350" t="s">
        <v>1493</v>
      </c>
      <c r="E101" s="875" t="s">
        <v>13</v>
      </c>
      <c r="F101" s="780">
        <v>2</v>
      </c>
      <c r="G101" s="946"/>
      <c r="H101" s="97"/>
      <c r="I101" s="946"/>
      <c r="J101" s="97"/>
      <c r="K101" s="946"/>
      <c r="L101" s="923"/>
      <c r="N101" s="930"/>
    </row>
    <row r="102" spans="1:14" s="224" customFormat="1" ht="15" customHeight="1" x14ac:dyDescent="0.25">
      <c r="A102" s="215">
        <v>43950</v>
      </c>
      <c r="B102" s="364" t="s">
        <v>2633</v>
      </c>
      <c r="C102" s="350" t="s">
        <v>12</v>
      </c>
      <c r="D102" s="350" t="s">
        <v>1522</v>
      </c>
      <c r="E102" s="875" t="s">
        <v>13</v>
      </c>
      <c r="F102" s="780">
        <v>110.1</v>
      </c>
      <c r="G102" s="989"/>
      <c r="H102" s="622"/>
      <c r="I102" s="982"/>
      <c r="J102" s="97"/>
      <c r="K102" s="946"/>
      <c r="L102" s="459"/>
    </row>
    <row r="103" spans="1:14" s="224" customFormat="1" ht="15" customHeight="1" x14ac:dyDescent="0.25">
      <c r="A103" s="215">
        <v>43951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15</v>
      </c>
      <c r="G103" s="946"/>
      <c r="H103" s="97"/>
      <c r="I103" s="946"/>
      <c r="J103" s="97"/>
      <c r="K103" s="946"/>
      <c r="L103" s="928"/>
      <c r="M103" s="89"/>
      <c r="N103" s="930"/>
    </row>
    <row r="104" spans="1:14" s="224" customFormat="1" ht="15" customHeight="1" x14ac:dyDescent="0.25">
      <c r="A104" s="215">
        <v>43951</v>
      </c>
      <c r="B104" s="349" t="s">
        <v>14</v>
      </c>
      <c r="C104" s="879" t="s">
        <v>12</v>
      </c>
      <c r="D104" s="879" t="s">
        <v>1486</v>
      </c>
      <c r="E104" s="871" t="s">
        <v>13</v>
      </c>
      <c r="F104" s="780">
        <v>5.35</v>
      </c>
      <c r="G104" s="989"/>
      <c r="H104" s="622"/>
      <c r="I104" s="982"/>
      <c r="J104" s="97"/>
      <c r="K104" s="946"/>
      <c r="L104" s="459"/>
    </row>
    <row r="105" spans="1:14" s="224" customFormat="1" ht="15" customHeight="1" x14ac:dyDescent="0.25">
      <c r="A105" s="215">
        <v>43951</v>
      </c>
      <c r="B105" s="364" t="s">
        <v>2096</v>
      </c>
      <c r="C105" s="350" t="s">
        <v>12</v>
      </c>
      <c r="D105" s="350" t="s">
        <v>1506</v>
      </c>
      <c r="E105" s="875" t="s">
        <v>15</v>
      </c>
      <c r="F105" s="780">
        <v>40</v>
      </c>
      <c r="G105" s="989"/>
      <c r="H105" s="622"/>
      <c r="I105" s="982"/>
      <c r="J105" s="97"/>
      <c r="K105" s="946"/>
      <c r="L105" s="459"/>
    </row>
    <row r="106" spans="1:14" s="224" customFormat="1" x14ac:dyDescent="0.25">
      <c r="A106" s="215">
        <v>43951</v>
      </c>
      <c r="B106" s="862" t="s">
        <v>1666</v>
      </c>
      <c r="C106" s="350" t="s">
        <v>12</v>
      </c>
      <c r="D106" s="1003"/>
      <c r="E106" s="145" t="s">
        <v>25</v>
      </c>
      <c r="F106" s="622"/>
      <c r="G106" s="982"/>
      <c r="H106" s="622"/>
      <c r="I106" s="982"/>
      <c r="J106" s="622"/>
      <c r="K106" s="982">
        <v>23.49</v>
      </c>
      <c r="L106" s="459"/>
    </row>
    <row r="107" spans="1:14" s="224" customFormat="1" ht="15" customHeight="1" thickBot="1" x14ac:dyDescent="0.3">
      <c r="A107" s="215">
        <v>43951</v>
      </c>
      <c r="B107" s="862" t="s">
        <v>2593</v>
      </c>
      <c r="C107" s="879" t="s">
        <v>12</v>
      </c>
      <c r="D107" s="879" t="s">
        <v>1504</v>
      </c>
      <c r="E107" s="871" t="s">
        <v>13</v>
      </c>
      <c r="F107" s="416">
        <v>32.9</v>
      </c>
      <c r="G107" s="960"/>
      <c r="H107" s="416"/>
      <c r="I107" s="1522"/>
      <c r="J107" s="416"/>
      <c r="K107" s="1522"/>
      <c r="L107" s="459"/>
    </row>
    <row r="108" spans="1:14" ht="25.5" customHeight="1" thickBot="1" x14ac:dyDescent="0.3">
      <c r="A108" s="3060"/>
      <c r="B108" s="3061"/>
      <c r="C108" s="3062"/>
      <c r="D108" s="3062"/>
      <c r="E108" s="3062"/>
      <c r="F108" s="100">
        <f>SUM(F6:F107)</f>
        <v>4483.9233333333332</v>
      </c>
      <c r="G108" s="1534">
        <f>SUM(G5:G107)</f>
        <v>4880.210000000021</v>
      </c>
      <c r="H108" s="101">
        <f>SUM(H6:H107)</f>
        <v>650</v>
      </c>
      <c r="I108" s="93">
        <f>SUM(I5:I107)</f>
        <v>2049.9960000000019</v>
      </c>
      <c r="J108" s="527">
        <f>SUM(J6:J107)</f>
        <v>0</v>
      </c>
      <c r="K108" s="93">
        <f>SUM(K5:K107)</f>
        <v>11122.88</v>
      </c>
    </row>
    <row r="109" spans="1:14" ht="25.5" customHeight="1" thickBot="1" x14ac:dyDescent="0.3">
      <c r="A109" s="3117" t="s">
        <v>49</v>
      </c>
      <c r="B109" s="3118"/>
      <c r="C109" s="3118"/>
      <c r="D109" s="3118"/>
      <c r="E109" s="3118"/>
      <c r="F109" s="144" t="s">
        <v>280</v>
      </c>
      <c r="G109" s="519">
        <f>G108-F108</f>
        <v>396.28666666668778</v>
      </c>
      <c r="H109" s="555"/>
      <c r="I109" s="772">
        <f>I108-H108</f>
        <v>1399.9960000000019</v>
      </c>
      <c r="J109" s="593"/>
      <c r="K109" s="772">
        <f>K108-J108</f>
        <v>11122.88</v>
      </c>
    </row>
    <row r="110" spans="1:14" x14ac:dyDescent="0.25">
      <c r="E110" s="79"/>
      <c r="K110" s="518"/>
      <c r="L110" s="79"/>
    </row>
    <row r="111" spans="1:14" x14ac:dyDescent="0.25">
      <c r="B111" s="81" t="s">
        <v>3</v>
      </c>
      <c r="C111" s="193" t="s">
        <v>1484</v>
      </c>
      <c r="D111" s="970" t="s">
        <v>2378</v>
      </c>
      <c r="K111" s="866"/>
    </row>
    <row r="112" spans="1:14" x14ac:dyDescent="0.25">
      <c r="B112" s="79" t="s">
        <v>32</v>
      </c>
      <c r="C112" s="85" t="s">
        <v>1485</v>
      </c>
      <c r="D112" s="475">
        <f>SUMIF($D$7:$D$107,"A",$F$7:$F$107)</f>
        <v>325.5</v>
      </c>
      <c r="F112" s="79"/>
      <c r="I112" s="769"/>
      <c r="J112" s="868"/>
    </row>
    <row r="113" spans="1:12" x14ac:dyDescent="0.25">
      <c r="B113" s="79" t="s">
        <v>2187</v>
      </c>
      <c r="C113" s="85" t="s">
        <v>2157</v>
      </c>
      <c r="D113" s="475">
        <f>SUMIF($D$7:$D$107,"GAC",$F$7:$F$107)</f>
        <v>210</v>
      </c>
      <c r="J113" s="754"/>
      <c r="K113" s="886"/>
      <c r="L113" s="985"/>
    </row>
    <row r="114" spans="1:12" x14ac:dyDescent="0.25">
      <c r="B114" s="79" t="s">
        <v>2188</v>
      </c>
      <c r="C114" s="85" t="s">
        <v>2168</v>
      </c>
      <c r="D114" s="475">
        <f>SUMIF($D$8:$D$107,"GAM",$F$8:$F$107)</f>
        <v>46.1</v>
      </c>
      <c r="J114" s="864"/>
      <c r="K114" s="864"/>
      <c r="L114" s="958"/>
    </row>
    <row r="115" spans="1:12" s="85" customFormat="1" x14ac:dyDescent="0.25">
      <c r="A115" s="79"/>
      <c r="B115" s="79" t="s">
        <v>50</v>
      </c>
      <c r="C115" s="85" t="s">
        <v>1493</v>
      </c>
      <c r="D115" s="475">
        <f>SUMIF($D$8:$D$107,"LD",$F$8:$F$107)</f>
        <v>264.51</v>
      </c>
      <c r="J115" s="864"/>
      <c r="K115" s="864"/>
      <c r="L115" s="958"/>
    </row>
    <row r="116" spans="1:12" s="85" customFormat="1" x14ac:dyDescent="0.25">
      <c r="A116" s="79"/>
      <c r="B116" s="79" t="s">
        <v>14</v>
      </c>
      <c r="C116" s="85" t="s">
        <v>1486</v>
      </c>
      <c r="D116" s="475">
        <f>SUMIF($D$8:$D$107,"C",$F$8:$F$107)</f>
        <v>123.2</v>
      </c>
      <c r="F116" s="89"/>
      <c r="G116" s="79"/>
      <c r="H116" s="79"/>
      <c r="J116" s="864"/>
      <c r="K116" s="864"/>
      <c r="L116" s="958"/>
    </row>
    <row r="117" spans="1:12" s="85" customFormat="1" x14ac:dyDescent="0.25">
      <c r="A117" s="79"/>
      <c r="B117" s="79" t="s">
        <v>51</v>
      </c>
      <c r="C117" s="864" t="s">
        <v>1499</v>
      </c>
      <c r="D117" s="475">
        <f>SUMIF($D$8:$D$107,"CAL",$F$8:$F$107)</f>
        <v>117.00999999999999</v>
      </c>
      <c r="F117" s="89"/>
      <c r="G117" s="79"/>
      <c r="H117" s="79"/>
      <c r="I117" s="79"/>
      <c r="L117" s="958"/>
    </row>
    <row r="118" spans="1:12" s="85" customFormat="1" x14ac:dyDescent="0.25">
      <c r="A118" s="79"/>
      <c r="B118" s="79" t="s">
        <v>2189</v>
      </c>
      <c r="C118" s="864" t="s">
        <v>1496</v>
      </c>
      <c r="D118" s="475">
        <f>SUMIF($D$8:$D$107,"AC",$F$8:$F$107)</f>
        <v>83.666666666666657</v>
      </c>
      <c r="F118" s="769"/>
      <c r="G118" s="79"/>
      <c r="L118" s="941"/>
    </row>
    <row r="119" spans="1:12" s="85" customFormat="1" x14ac:dyDescent="0.25">
      <c r="A119" s="79"/>
      <c r="B119" s="867" t="s">
        <v>53</v>
      </c>
      <c r="C119" s="864" t="s">
        <v>1522</v>
      </c>
      <c r="D119" s="475">
        <f>SUMIF($D$8:$D$107,"DC",$F$8:$F$107)</f>
        <v>315.76666666666665</v>
      </c>
      <c r="L119" s="459"/>
    </row>
    <row r="120" spans="1:12" s="85" customFormat="1" x14ac:dyDescent="0.25">
      <c r="A120" s="79"/>
      <c r="B120" s="867" t="s">
        <v>2149</v>
      </c>
      <c r="C120" s="864" t="s">
        <v>2131</v>
      </c>
      <c r="D120" s="475">
        <f>SUMIF($D$8:$D$107,"DM",$F$8:$F$107)</f>
        <v>54.25</v>
      </c>
      <c r="F120" s="769"/>
      <c r="L120" s="459"/>
    </row>
    <row r="121" spans="1:12" s="85" customFormat="1" x14ac:dyDescent="0.25">
      <c r="A121" s="79"/>
      <c r="B121" s="79" t="s">
        <v>2008</v>
      </c>
      <c r="C121" s="864" t="s">
        <v>1523</v>
      </c>
      <c r="D121" s="475">
        <f>SUMIF($D$8:$D$107,"B",$F$8:$F$107)</f>
        <v>30</v>
      </c>
      <c r="F121" s="769"/>
      <c r="G121" s="866"/>
      <c r="L121" s="459"/>
    </row>
    <row r="122" spans="1:12" s="85" customFormat="1" x14ac:dyDescent="0.25">
      <c r="A122" s="79"/>
      <c r="B122" s="79" t="s">
        <v>1686</v>
      </c>
      <c r="C122" s="864" t="s">
        <v>1506</v>
      </c>
      <c r="D122" s="475">
        <f>SUMIF($D$8:$D$107,"R",$F$8:$F$107)</f>
        <v>693.33</v>
      </c>
      <c r="F122" s="769"/>
      <c r="G122" s="868"/>
      <c r="K122" s="866"/>
      <c r="L122" s="459"/>
    </row>
    <row r="123" spans="1:12" x14ac:dyDescent="0.25">
      <c r="B123" s="79" t="s">
        <v>418</v>
      </c>
      <c r="C123" s="85" t="s">
        <v>1524</v>
      </c>
      <c r="D123" s="475">
        <f>SUMIF($D$8:$D$107,"COM",$F$8:$F$107)</f>
        <v>145</v>
      </c>
      <c r="G123" s="85"/>
      <c r="H123" s="85"/>
      <c r="I123" s="85"/>
      <c r="J123" s="769"/>
      <c r="K123" s="868"/>
    </row>
    <row r="124" spans="1:12" x14ac:dyDescent="0.25">
      <c r="B124" s="79" t="s">
        <v>419</v>
      </c>
      <c r="C124" s="85" t="s">
        <v>1491</v>
      </c>
      <c r="D124" s="475">
        <f>SUMIF($D$8:$D$107,"F",$F$8:$F$107)</f>
        <v>450</v>
      </c>
      <c r="J124" s="769"/>
      <c r="K124" s="868"/>
    </row>
    <row r="125" spans="1:12" x14ac:dyDescent="0.25">
      <c r="B125" s="79" t="s">
        <v>911</v>
      </c>
      <c r="C125" s="85" t="s">
        <v>1525</v>
      </c>
      <c r="D125" s="475">
        <f>SUMIF($D$8:$D$107,"FER",$F$8:$F$107)</f>
        <v>239.9</v>
      </c>
      <c r="J125" s="769"/>
      <c r="K125" s="866"/>
    </row>
    <row r="126" spans="1:12" x14ac:dyDescent="0.25">
      <c r="B126" s="79" t="s">
        <v>1526</v>
      </c>
      <c r="C126" s="85" t="s">
        <v>1504</v>
      </c>
      <c r="D126" s="475">
        <f>SUMIF($D$8:$D$107,"I",$F$8:$F$107)</f>
        <v>207.8</v>
      </c>
      <c r="F126" s="89" t="s">
        <v>280</v>
      </c>
      <c r="J126" s="769"/>
      <c r="K126" s="866"/>
    </row>
    <row r="127" spans="1:12" x14ac:dyDescent="0.25">
      <c r="B127" s="79" t="s">
        <v>2343</v>
      </c>
      <c r="C127" s="85" t="s">
        <v>2315</v>
      </c>
      <c r="D127" s="475">
        <f>SUMIF($D$8:$D$107,"E",$F$8:$F$107)</f>
        <v>0</v>
      </c>
      <c r="J127" s="769"/>
      <c r="K127" s="868"/>
    </row>
    <row r="128" spans="1:12" x14ac:dyDescent="0.25">
      <c r="B128" s="79" t="s">
        <v>1527</v>
      </c>
      <c r="C128" s="85" t="s">
        <v>1489</v>
      </c>
      <c r="D128" s="475">
        <f>SUMIF($D$7:$D$107,"OD",$F$7:$F$107)</f>
        <v>297.89</v>
      </c>
      <c r="J128" s="769"/>
      <c r="K128" s="866"/>
    </row>
    <row r="129" spans="1:15" x14ac:dyDescent="0.25">
      <c r="C129" s="769"/>
      <c r="D129" s="459"/>
      <c r="K129" s="866"/>
    </row>
    <row r="130" spans="1:15" x14ac:dyDescent="0.25">
      <c r="H130" s="769"/>
      <c r="I130" s="518" t="s">
        <v>280</v>
      </c>
      <c r="K130" s="866"/>
    </row>
    <row r="131" spans="1:15" x14ac:dyDescent="0.25">
      <c r="B131" s="79" t="s">
        <v>486</v>
      </c>
      <c r="C131" s="475">
        <f>H131/J131</f>
        <v>124.2732183908046</v>
      </c>
      <c r="F131" s="224" t="s">
        <v>487</v>
      </c>
      <c r="H131" s="216">
        <f>SUM(D112:D128)</f>
        <v>3603.9233333333336</v>
      </c>
      <c r="J131" s="1517">
        <v>29</v>
      </c>
    </row>
    <row r="132" spans="1:15" ht="15.75" customHeight="1" x14ac:dyDescent="0.25">
      <c r="E132" s="769"/>
      <c r="H132" s="629"/>
      <c r="K132" s="868"/>
    </row>
    <row r="133" spans="1:15" x14ac:dyDescent="0.25">
      <c r="E133" s="79"/>
      <c r="F133" s="79"/>
      <c r="H133" s="866"/>
      <c r="J133" s="769"/>
      <c r="K133" s="866"/>
    </row>
    <row r="134" spans="1:15" s="518" customFormat="1" x14ac:dyDescent="0.25">
      <c r="A134" s="79"/>
      <c r="B134" s="79"/>
      <c r="C134" s="85"/>
      <c r="D134" s="79"/>
      <c r="E134" s="79"/>
      <c r="F134" s="89"/>
      <c r="G134" s="79"/>
      <c r="H134" s="79"/>
      <c r="I134" s="79"/>
      <c r="J134" s="769"/>
      <c r="K134" s="866"/>
      <c r="M134" s="79"/>
      <c r="N134" s="79"/>
      <c r="O134" s="79"/>
    </row>
    <row r="135" spans="1:15" s="518" customFormat="1" x14ac:dyDescent="0.25">
      <c r="A135" s="79"/>
      <c r="B135" s="79"/>
      <c r="C135" s="85"/>
      <c r="D135" s="85"/>
      <c r="E135" s="85"/>
      <c r="F135" s="89"/>
      <c r="G135" s="79"/>
      <c r="H135" s="79"/>
      <c r="I135" s="79"/>
      <c r="J135" s="769"/>
      <c r="K135" s="866"/>
      <c r="M135" s="79"/>
      <c r="N135" s="79"/>
      <c r="O135" s="79"/>
    </row>
    <row r="136" spans="1:15" s="518" customFormat="1" x14ac:dyDescent="0.25">
      <c r="A136" s="79"/>
      <c r="B136" s="79"/>
      <c r="C136" s="85"/>
      <c r="D136" s="85"/>
      <c r="E136" s="85"/>
      <c r="F136" s="89"/>
      <c r="G136" s="79"/>
      <c r="H136" s="79"/>
      <c r="I136" s="79"/>
      <c r="J136" s="769"/>
      <c r="K136" s="866"/>
      <c r="M136" s="79"/>
      <c r="N136" s="79"/>
      <c r="O136" s="79"/>
    </row>
    <row r="137" spans="1:15" s="518" customFormat="1" x14ac:dyDescent="0.25">
      <c r="A137" s="79"/>
      <c r="B137" s="79"/>
      <c r="C137" s="85"/>
      <c r="D137" s="85"/>
      <c r="E137" s="85"/>
      <c r="F137" s="89"/>
      <c r="G137" s="79"/>
      <c r="H137" s="79"/>
      <c r="I137" s="216"/>
      <c r="J137" s="769"/>
      <c r="K137" s="866"/>
      <c r="M137" s="79"/>
      <c r="N137" s="79"/>
      <c r="O137" s="79"/>
    </row>
    <row r="138" spans="1:15" s="518" customFormat="1" x14ac:dyDescent="0.25">
      <c r="A138" s="79"/>
      <c r="B138" s="79"/>
      <c r="C138" s="79"/>
      <c r="D138" s="79"/>
      <c r="E138" s="79"/>
      <c r="F138" s="79"/>
      <c r="G138" s="79"/>
      <c r="H138" s="79"/>
      <c r="K138" s="866"/>
      <c r="M138" s="79"/>
      <c r="N138" s="79"/>
      <c r="O138" s="79"/>
    </row>
    <row r="139" spans="1:15" s="518" customFormat="1" x14ac:dyDescent="0.25">
      <c r="A139" s="79"/>
      <c r="B139" s="79"/>
      <c r="C139" s="79"/>
      <c r="D139" s="79"/>
      <c r="E139" s="79"/>
      <c r="F139" s="79"/>
      <c r="G139" s="79"/>
      <c r="H139" s="79"/>
      <c r="I139" s="216"/>
      <c r="J139" s="769"/>
      <c r="K139" s="866"/>
      <c r="M139" s="79"/>
      <c r="N139" s="79"/>
      <c r="O139" s="79"/>
    </row>
    <row r="140" spans="1:15" s="518" customFormat="1" x14ac:dyDescent="0.25">
      <c r="A140" s="79"/>
      <c r="B140" s="79"/>
      <c r="C140" s="79"/>
      <c r="D140" s="79"/>
      <c r="E140" s="79"/>
      <c r="F140" s="79"/>
      <c r="G140" s="216"/>
      <c r="H140" s="79"/>
      <c r="I140" s="216"/>
      <c r="J140" s="769"/>
      <c r="K140" s="868"/>
      <c r="M140" s="79"/>
      <c r="N140" s="79"/>
      <c r="O140" s="79"/>
    </row>
    <row r="141" spans="1:15" s="518" customFormat="1" x14ac:dyDescent="0.25">
      <c r="A141" s="79"/>
      <c r="B141" s="79"/>
      <c r="C141" s="79"/>
      <c r="D141" s="79"/>
      <c r="E141" s="79"/>
      <c r="F141" s="79"/>
      <c r="G141" s="216"/>
      <c r="H141" s="79"/>
      <c r="I141" s="216"/>
      <c r="J141" s="769"/>
      <c r="K141" s="866"/>
      <c r="M141" s="79"/>
      <c r="N141" s="79"/>
      <c r="O141" s="79"/>
    </row>
    <row r="142" spans="1:15" s="518" customFormat="1" x14ac:dyDescent="0.25">
      <c r="A142" s="79"/>
      <c r="B142" s="79"/>
      <c r="C142" s="79"/>
      <c r="D142" s="79"/>
      <c r="E142" s="79"/>
      <c r="F142" s="79"/>
      <c r="G142" s="216"/>
      <c r="H142" s="79"/>
      <c r="I142" s="79"/>
      <c r="J142" s="770"/>
      <c r="K142" s="866"/>
      <c r="M142" s="79"/>
      <c r="N142" s="79"/>
      <c r="O142" s="79"/>
    </row>
    <row r="143" spans="1:15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216"/>
      <c r="J143" s="769"/>
      <c r="K143" s="868"/>
      <c r="M143" s="79"/>
      <c r="N143" s="79"/>
      <c r="O143" s="79"/>
    </row>
    <row r="144" spans="1:15" s="518" customFormat="1" x14ac:dyDescent="0.25">
      <c r="A144" s="79"/>
      <c r="B144" s="79"/>
      <c r="C144" s="85"/>
      <c r="D144" s="85"/>
      <c r="E144" s="85"/>
      <c r="F144" s="89"/>
      <c r="G144" s="79"/>
      <c r="H144" s="79"/>
      <c r="I144" s="79"/>
      <c r="J144" s="769"/>
      <c r="K144" s="866"/>
      <c r="M144" s="79"/>
      <c r="N144" s="79"/>
      <c r="O144" s="79"/>
    </row>
    <row r="145" spans="1:15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629"/>
      <c r="J145" s="769"/>
      <c r="K145" s="866"/>
      <c r="M145" s="79"/>
      <c r="N145" s="79"/>
      <c r="O145" s="79"/>
    </row>
    <row r="146" spans="1:15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M146" s="79"/>
      <c r="N146" s="79"/>
      <c r="O146" s="79"/>
    </row>
    <row r="147" spans="1:15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M148" s="79"/>
      <c r="N148" s="79"/>
      <c r="O148" s="79"/>
    </row>
    <row r="149" spans="1:15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6"/>
      <c r="M151" s="79"/>
      <c r="N151" s="79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8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M156" s="79"/>
      <c r="N156" s="79"/>
      <c r="O156" s="79"/>
    </row>
    <row r="157" spans="1:15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8"/>
      <c r="M162" s="79"/>
      <c r="N162" s="79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79"/>
      <c r="J165" s="769"/>
      <c r="K165" s="868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69"/>
      <c r="K166" s="868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69"/>
      <c r="K167" s="868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223"/>
      <c r="K170" s="629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56"/>
      <c r="K171" s="756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85"/>
      <c r="K176" s="85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85"/>
      <c r="K183" s="85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71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216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216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216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M201" s="79"/>
      <c r="N201" s="79"/>
      <c r="O201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M203" s="79"/>
      <c r="N203" s="79"/>
      <c r="O203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629"/>
      <c r="M205" s="79"/>
      <c r="N205" s="79"/>
      <c r="O205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M214" s="79"/>
      <c r="N214" s="79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</sheetData>
  <autoFilter ref="A2:I109" xr:uid="{00000000-0009-0000-0000-000062000000}"/>
  <mergeCells count="12">
    <mergeCell ref="A108:E108"/>
    <mergeCell ref="A109:E10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Plan116"/>
  <dimension ref="A1:O219"/>
  <sheetViews>
    <sheetView zoomScale="85" zoomScaleNormal="85" workbookViewId="0">
      <pane ySplit="4" topLeftCell="A53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4257812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2634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515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43952</v>
      </c>
      <c r="B5" s="369" t="s">
        <v>10</v>
      </c>
      <c r="C5" s="370"/>
      <c r="D5" s="370"/>
      <c r="E5" s="777"/>
      <c r="F5" s="1018"/>
      <c r="G5" s="933">
        <f>'Abril-20'!G109</f>
        <v>396.28666666668778</v>
      </c>
      <c r="H5" s="163"/>
      <c r="I5" s="1479">
        <f>'Abril-20'!I109</f>
        <v>1399.9960000000019</v>
      </c>
      <c r="J5" s="179"/>
      <c r="K5" s="933">
        <f>'Abril-20'!K109</f>
        <v>11122.88</v>
      </c>
    </row>
    <row r="6" spans="1:15" s="224" customFormat="1" x14ac:dyDescent="0.25">
      <c r="A6" s="215">
        <v>43952</v>
      </c>
      <c r="B6" s="348" t="s">
        <v>11</v>
      </c>
      <c r="C6" s="351"/>
      <c r="D6" s="351"/>
      <c r="E6" s="673"/>
      <c r="F6" s="613"/>
      <c r="G6" s="1473"/>
      <c r="H6" s="252"/>
      <c r="I6" s="1480"/>
      <c r="J6" s="250"/>
      <c r="K6" s="1473"/>
      <c r="L6" s="518"/>
      <c r="M6" s="89"/>
    </row>
    <row r="7" spans="1:15" s="224" customFormat="1" ht="15" customHeight="1" x14ac:dyDescent="0.25">
      <c r="A7" s="215">
        <v>43952</v>
      </c>
      <c r="B7" s="364" t="s">
        <v>2251</v>
      </c>
      <c r="C7" s="350" t="s">
        <v>12</v>
      </c>
      <c r="D7" s="350" t="s">
        <v>2157</v>
      </c>
      <c r="E7" s="875" t="s">
        <v>15</v>
      </c>
      <c r="F7" s="780">
        <v>50</v>
      </c>
      <c r="G7" s="946"/>
      <c r="H7" s="95"/>
      <c r="I7" s="1063"/>
      <c r="J7" s="622"/>
      <c r="K7" s="982"/>
      <c r="L7" s="459"/>
    </row>
    <row r="8" spans="1:15" s="224" customFormat="1" ht="15" customHeight="1" x14ac:dyDescent="0.25">
      <c r="A8" s="215">
        <v>43952</v>
      </c>
      <c r="B8" s="349" t="s">
        <v>14</v>
      </c>
      <c r="C8" s="879" t="s">
        <v>12</v>
      </c>
      <c r="D8" s="879" t="s">
        <v>1486</v>
      </c>
      <c r="E8" s="871" t="s">
        <v>13</v>
      </c>
      <c r="F8" s="780">
        <v>5.8</v>
      </c>
      <c r="G8" s="946"/>
      <c r="H8" s="95"/>
      <c r="I8" s="1063"/>
      <c r="J8" s="622"/>
      <c r="K8" s="982"/>
      <c r="L8" s="459"/>
    </row>
    <row r="9" spans="1:15" s="224" customFormat="1" ht="15" customHeight="1" x14ac:dyDescent="0.25">
      <c r="A9" s="215">
        <v>43952</v>
      </c>
      <c r="B9" s="364" t="s">
        <v>1438</v>
      </c>
      <c r="C9" s="350" t="s">
        <v>19</v>
      </c>
      <c r="D9" s="350" t="s">
        <v>1489</v>
      </c>
      <c r="E9" s="875" t="s">
        <v>13</v>
      </c>
      <c r="F9" s="780">
        <v>40.950000000000003</v>
      </c>
      <c r="G9" s="946"/>
      <c r="H9" s="95"/>
      <c r="I9" s="1063"/>
      <c r="J9" s="622"/>
      <c r="K9" s="982"/>
      <c r="L9" s="459"/>
    </row>
    <row r="10" spans="1:15" s="224" customFormat="1" ht="15" customHeight="1" x14ac:dyDescent="0.25">
      <c r="A10" s="215">
        <v>43952</v>
      </c>
      <c r="B10" s="364" t="s">
        <v>2635</v>
      </c>
      <c r="C10" s="350" t="s">
        <v>19</v>
      </c>
      <c r="D10" s="350" t="s">
        <v>1491</v>
      </c>
      <c r="E10" s="875" t="s">
        <v>13</v>
      </c>
      <c r="F10" s="780">
        <v>20</v>
      </c>
      <c r="G10" s="946"/>
      <c r="H10" s="95"/>
      <c r="I10" s="1063"/>
      <c r="J10" s="622"/>
      <c r="K10" s="982"/>
      <c r="L10" s="459"/>
    </row>
    <row r="11" spans="1:15" s="224" customFormat="1" ht="15" customHeight="1" x14ac:dyDescent="0.25">
      <c r="A11" s="215">
        <v>43953</v>
      </c>
      <c r="B11" s="349" t="s">
        <v>14</v>
      </c>
      <c r="C11" s="879" t="s">
        <v>12</v>
      </c>
      <c r="D11" s="879" t="s">
        <v>1486</v>
      </c>
      <c r="E11" s="871" t="s">
        <v>13</v>
      </c>
      <c r="F11" s="780">
        <v>5.3</v>
      </c>
      <c r="G11" s="946"/>
      <c r="H11" s="95"/>
      <c r="I11" s="1063"/>
      <c r="J11" s="622"/>
      <c r="K11" s="982"/>
      <c r="L11" s="459"/>
    </row>
    <row r="12" spans="1:15" s="224" customFormat="1" ht="15" customHeight="1" x14ac:dyDescent="0.25">
      <c r="A12" s="215">
        <v>43953</v>
      </c>
      <c r="B12" s="349" t="s">
        <v>82</v>
      </c>
      <c r="C12" s="879" t="s">
        <v>12</v>
      </c>
      <c r="D12" s="879" t="s">
        <v>1493</v>
      </c>
      <c r="E12" s="871" t="s">
        <v>13</v>
      </c>
      <c r="F12" s="780">
        <v>30</v>
      </c>
      <c r="G12" s="946"/>
      <c r="H12" s="95"/>
      <c r="I12" s="1063"/>
      <c r="J12" s="622"/>
      <c r="K12" s="982"/>
      <c r="L12" s="459"/>
    </row>
    <row r="13" spans="1:15" s="224" customFormat="1" ht="15" customHeight="1" x14ac:dyDescent="0.25">
      <c r="A13" s="215">
        <v>43953</v>
      </c>
      <c r="B13" s="349" t="s">
        <v>80</v>
      </c>
      <c r="C13" s="879" t="s">
        <v>12</v>
      </c>
      <c r="D13" s="879" t="s">
        <v>1523</v>
      </c>
      <c r="E13" s="871" t="s">
        <v>13</v>
      </c>
      <c r="F13" s="780">
        <v>15</v>
      </c>
      <c r="G13" s="946"/>
      <c r="H13" s="95"/>
      <c r="I13" s="1063"/>
      <c r="J13" s="622"/>
      <c r="K13" s="982"/>
      <c r="L13" s="459"/>
    </row>
    <row r="14" spans="1:15" s="224" customFormat="1" ht="15" customHeight="1" x14ac:dyDescent="0.25">
      <c r="A14" s="215">
        <v>43954</v>
      </c>
      <c r="B14" s="349" t="s">
        <v>14</v>
      </c>
      <c r="C14" s="879" t="s">
        <v>12</v>
      </c>
      <c r="D14" s="879" t="s">
        <v>1486</v>
      </c>
      <c r="E14" s="871" t="s">
        <v>13</v>
      </c>
      <c r="F14" s="780">
        <v>8.57</v>
      </c>
      <c r="G14" s="946"/>
      <c r="H14" s="95"/>
      <c r="I14" s="1063"/>
      <c r="J14" s="622"/>
      <c r="K14" s="982"/>
      <c r="L14" s="459"/>
    </row>
    <row r="15" spans="1:15" s="224" customFormat="1" ht="15" customHeight="1" x14ac:dyDescent="0.25">
      <c r="A15" s="215">
        <v>43954</v>
      </c>
      <c r="B15" s="364" t="s">
        <v>525</v>
      </c>
      <c r="C15" s="350" t="s">
        <v>12</v>
      </c>
      <c r="D15" s="350" t="s">
        <v>1493</v>
      </c>
      <c r="E15" s="875" t="s">
        <v>13</v>
      </c>
      <c r="F15" s="780">
        <v>25.4</v>
      </c>
      <c r="G15" s="946"/>
      <c r="H15" s="95"/>
      <c r="I15" s="1063"/>
      <c r="J15" s="622"/>
      <c r="K15" s="982"/>
      <c r="L15" s="459"/>
    </row>
    <row r="16" spans="1:15" s="224" customFormat="1" ht="15" customHeight="1" x14ac:dyDescent="0.25">
      <c r="A16" s="215">
        <v>43955</v>
      </c>
      <c r="B16" s="364" t="s">
        <v>1241</v>
      </c>
      <c r="C16" s="350" t="s">
        <v>12</v>
      </c>
      <c r="D16" s="350" t="s">
        <v>1504</v>
      </c>
      <c r="E16" s="875" t="s">
        <v>13</v>
      </c>
      <c r="F16" s="780">
        <v>10</v>
      </c>
      <c r="G16" s="946"/>
      <c r="H16" s="95"/>
      <c r="I16" s="1064"/>
      <c r="J16" s="97"/>
      <c r="K16" s="946"/>
      <c r="L16" s="923"/>
      <c r="N16" s="930"/>
    </row>
    <row r="17" spans="1:14" s="224" customFormat="1" ht="15" customHeight="1" x14ac:dyDescent="0.25">
      <c r="A17" s="215">
        <v>43955</v>
      </c>
      <c r="B17" s="364" t="s">
        <v>32</v>
      </c>
      <c r="C17" s="350" t="s">
        <v>12</v>
      </c>
      <c r="D17" s="350" t="s">
        <v>1485</v>
      </c>
      <c r="E17" s="875" t="s">
        <v>13</v>
      </c>
      <c r="F17" s="780">
        <v>15</v>
      </c>
      <c r="G17" s="946"/>
      <c r="H17" s="95"/>
      <c r="I17" s="1064"/>
      <c r="J17" s="97"/>
      <c r="K17" s="946"/>
      <c r="L17" s="923"/>
      <c r="N17" s="930"/>
    </row>
    <row r="18" spans="1:14" s="224" customFormat="1" ht="15" customHeight="1" x14ac:dyDescent="0.25">
      <c r="A18" s="215">
        <v>43955</v>
      </c>
      <c r="B18" s="349" t="s">
        <v>14</v>
      </c>
      <c r="C18" s="879" t="s">
        <v>12</v>
      </c>
      <c r="D18" s="879" t="s">
        <v>1486</v>
      </c>
      <c r="E18" s="871" t="s">
        <v>13</v>
      </c>
      <c r="F18" s="780">
        <v>12.56</v>
      </c>
      <c r="G18" s="946"/>
      <c r="H18" s="95"/>
      <c r="I18" s="1063"/>
      <c r="J18" s="622"/>
      <c r="K18" s="982"/>
      <c r="L18" s="459"/>
    </row>
    <row r="19" spans="1:14" s="224" customFormat="1" ht="15" customHeight="1" x14ac:dyDescent="0.25">
      <c r="A19" s="215">
        <v>43956</v>
      </c>
      <c r="B19" s="364" t="s">
        <v>32</v>
      </c>
      <c r="C19" s="350" t="s">
        <v>12</v>
      </c>
      <c r="D19" s="350" t="s">
        <v>1485</v>
      </c>
      <c r="E19" s="875" t="s">
        <v>13</v>
      </c>
      <c r="F19" s="780">
        <v>15</v>
      </c>
      <c r="G19" s="946"/>
      <c r="H19" s="95"/>
      <c r="I19" s="1064"/>
      <c r="J19" s="97"/>
      <c r="K19" s="946"/>
      <c r="L19" s="923"/>
      <c r="N19" s="930"/>
    </row>
    <row r="20" spans="1:14" s="224" customFormat="1" ht="15" customHeight="1" x14ac:dyDescent="0.25">
      <c r="A20" s="215">
        <v>43957</v>
      </c>
      <c r="B20" s="364" t="s">
        <v>32</v>
      </c>
      <c r="C20" s="145" t="s">
        <v>12</v>
      </c>
      <c r="D20" s="350" t="s">
        <v>1485</v>
      </c>
      <c r="E20" s="875" t="s">
        <v>13</v>
      </c>
      <c r="F20" s="780">
        <v>15</v>
      </c>
      <c r="G20" s="946"/>
      <c r="H20" s="95"/>
      <c r="I20" s="1064"/>
      <c r="J20" s="97"/>
      <c r="K20" s="946"/>
      <c r="L20" s="923"/>
      <c r="N20" s="930"/>
    </row>
    <row r="21" spans="1:14" s="224" customFormat="1" ht="15" customHeight="1" x14ac:dyDescent="0.25">
      <c r="A21" s="215">
        <v>43957</v>
      </c>
      <c r="B21" s="349" t="s">
        <v>14</v>
      </c>
      <c r="C21" s="887" t="s">
        <v>12</v>
      </c>
      <c r="D21" s="879" t="s">
        <v>1486</v>
      </c>
      <c r="E21" s="871" t="s">
        <v>13</v>
      </c>
      <c r="F21" s="780">
        <v>12.55</v>
      </c>
      <c r="G21" s="946"/>
      <c r="H21" s="95"/>
      <c r="I21" s="1064"/>
      <c r="J21" s="97"/>
      <c r="K21" s="946"/>
      <c r="L21" s="923"/>
      <c r="N21" s="930"/>
    </row>
    <row r="22" spans="1:14" s="224" customFormat="1" ht="15.75" customHeight="1" x14ac:dyDescent="0.25">
      <c r="A22" s="215">
        <v>43958</v>
      </c>
      <c r="B22" s="349" t="s">
        <v>2636</v>
      </c>
      <c r="C22" s="887" t="s">
        <v>12</v>
      </c>
      <c r="D22" s="874"/>
      <c r="E22" s="871" t="s">
        <v>25</v>
      </c>
      <c r="F22" s="523"/>
      <c r="G22" s="1002">
        <v>1850.84</v>
      </c>
      <c r="H22" s="252"/>
      <c r="I22" s="1064"/>
      <c r="J22" s="97"/>
      <c r="K22" s="946"/>
      <c r="L22" s="89"/>
      <c r="M22" s="89"/>
    </row>
    <row r="23" spans="1:14" s="224" customFormat="1" ht="15.75" customHeight="1" x14ac:dyDescent="0.25">
      <c r="A23" s="215">
        <v>43958</v>
      </c>
      <c r="B23" s="349" t="s">
        <v>2637</v>
      </c>
      <c r="C23" s="887" t="s">
        <v>12</v>
      </c>
      <c r="D23" s="1005" t="s">
        <v>1525</v>
      </c>
      <c r="E23" s="887" t="s">
        <v>13</v>
      </c>
      <c r="F23" s="613">
        <v>164.9</v>
      </c>
      <c r="G23" s="982"/>
      <c r="H23" s="539"/>
      <c r="I23" s="1063"/>
      <c r="J23" s="97"/>
      <c r="K23" s="946"/>
      <c r="L23" s="928"/>
      <c r="M23" s="89"/>
    </row>
    <row r="24" spans="1:14" s="224" customFormat="1" x14ac:dyDescent="0.25">
      <c r="A24" s="215">
        <v>43958</v>
      </c>
      <c r="B24" s="349" t="s">
        <v>2637</v>
      </c>
      <c r="C24" s="887" t="s">
        <v>12</v>
      </c>
      <c r="D24" s="1005" t="s">
        <v>2131</v>
      </c>
      <c r="E24" s="887" t="s">
        <v>13</v>
      </c>
      <c r="F24" s="780">
        <v>54.25</v>
      </c>
      <c r="G24" s="982"/>
      <c r="H24" s="1008"/>
      <c r="I24" s="1063"/>
      <c r="J24" s="780"/>
      <c r="K24" s="614"/>
      <c r="L24" s="518"/>
      <c r="M24" s="89"/>
    </row>
    <row r="25" spans="1:14" s="224" customFormat="1" x14ac:dyDescent="0.25">
      <c r="A25" s="215">
        <v>43958</v>
      </c>
      <c r="B25" s="349" t="s">
        <v>2637</v>
      </c>
      <c r="C25" s="887" t="s">
        <v>12</v>
      </c>
      <c r="D25" s="1005" t="s">
        <v>1525</v>
      </c>
      <c r="E25" s="887" t="s">
        <v>13</v>
      </c>
      <c r="F25" s="780">
        <v>75</v>
      </c>
      <c r="G25" s="982"/>
      <c r="H25" s="1008"/>
      <c r="I25" s="1063"/>
      <c r="J25" s="780"/>
      <c r="K25" s="614"/>
      <c r="L25" s="518"/>
      <c r="M25" s="89"/>
    </row>
    <row r="26" spans="1:14" s="224" customFormat="1" x14ac:dyDescent="0.25">
      <c r="A26" s="215">
        <v>43958</v>
      </c>
      <c r="B26" s="349" t="s">
        <v>2637</v>
      </c>
      <c r="C26" s="887" t="s">
        <v>12</v>
      </c>
      <c r="D26" s="1005" t="s">
        <v>1522</v>
      </c>
      <c r="E26" s="887" t="s">
        <v>13</v>
      </c>
      <c r="F26" s="780">
        <v>140.66666666666666</v>
      </c>
      <c r="G26" s="982"/>
      <c r="H26" s="1008"/>
      <c r="I26" s="1063"/>
      <c r="J26" s="780"/>
      <c r="K26" s="614"/>
      <c r="L26" s="518"/>
      <c r="M26" s="89"/>
    </row>
    <row r="27" spans="1:14" s="224" customFormat="1" x14ac:dyDescent="0.25">
      <c r="A27" s="215">
        <v>43958</v>
      </c>
      <c r="B27" s="349" t="s">
        <v>2637</v>
      </c>
      <c r="C27" s="887" t="s">
        <v>12</v>
      </c>
      <c r="D27" s="1005" t="s">
        <v>1496</v>
      </c>
      <c r="E27" s="887" t="s">
        <v>13</v>
      </c>
      <c r="F27" s="780">
        <v>24</v>
      </c>
      <c r="G27" s="982"/>
      <c r="H27" s="1008"/>
      <c r="I27" s="1063"/>
      <c r="J27" s="780"/>
      <c r="K27" s="614"/>
      <c r="L27" s="518"/>
      <c r="M27" s="89"/>
    </row>
    <row r="28" spans="1:14" s="224" customFormat="1" x14ac:dyDescent="0.25">
      <c r="A28" s="215">
        <v>43958</v>
      </c>
      <c r="B28" s="349" t="s">
        <v>2637</v>
      </c>
      <c r="C28" s="887" t="s">
        <v>12</v>
      </c>
      <c r="D28" s="1005" t="s">
        <v>1496</v>
      </c>
      <c r="E28" s="887" t="s">
        <v>13</v>
      </c>
      <c r="F28" s="780">
        <v>59.666666666666664</v>
      </c>
      <c r="G28" s="982"/>
      <c r="H28" s="1008"/>
      <c r="I28" s="1063"/>
      <c r="J28" s="780"/>
      <c r="K28" s="614"/>
      <c r="L28" s="518"/>
      <c r="M28" s="89"/>
    </row>
    <row r="29" spans="1:14" s="224" customFormat="1" x14ac:dyDescent="0.25">
      <c r="A29" s="215">
        <v>43958</v>
      </c>
      <c r="B29" s="349" t="s">
        <v>2637</v>
      </c>
      <c r="C29" s="887" t="s">
        <v>12</v>
      </c>
      <c r="D29" s="1006" t="s">
        <v>1493</v>
      </c>
      <c r="E29" s="887" t="s">
        <v>13</v>
      </c>
      <c r="F29" s="780">
        <v>100</v>
      </c>
      <c r="G29" s="982"/>
      <c r="H29" s="1008"/>
      <c r="I29" s="1063"/>
      <c r="J29" s="780"/>
      <c r="K29" s="614"/>
      <c r="L29" s="518"/>
      <c r="M29" s="89"/>
    </row>
    <row r="30" spans="1:14" s="224" customFormat="1" x14ac:dyDescent="0.25">
      <c r="A30" s="215">
        <v>43958</v>
      </c>
      <c r="B30" s="349" t="s">
        <v>2637</v>
      </c>
      <c r="C30" s="887" t="s">
        <v>12</v>
      </c>
      <c r="D30" s="1006" t="s">
        <v>1506</v>
      </c>
      <c r="E30" s="887" t="s">
        <v>13</v>
      </c>
      <c r="F30" s="780">
        <v>488.57</v>
      </c>
      <c r="G30" s="982"/>
      <c r="H30" s="1008"/>
      <c r="I30" s="1063"/>
      <c r="J30" s="780"/>
      <c r="K30" s="614"/>
      <c r="L30" s="518"/>
      <c r="M30" s="89"/>
    </row>
    <row r="31" spans="1:14" x14ac:dyDescent="0.25">
      <c r="A31" s="215">
        <v>43958</v>
      </c>
      <c r="B31" s="862" t="s">
        <v>2385</v>
      </c>
      <c r="C31" s="879" t="s">
        <v>12</v>
      </c>
      <c r="D31" s="879"/>
      <c r="E31" s="871" t="s">
        <v>13</v>
      </c>
      <c r="F31" s="780">
        <v>37.950000000000003</v>
      </c>
      <c r="G31" s="982"/>
      <c r="H31" s="1008"/>
      <c r="I31" s="1063"/>
      <c r="J31" s="622"/>
      <c r="K31" s="1002"/>
      <c r="L31" s="928">
        <v>77.95</v>
      </c>
    </row>
    <row r="32" spans="1:14" x14ac:dyDescent="0.25">
      <c r="A32" s="215">
        <v>43958</v>
      </c>
      <c r="B32" s="882" t="s">
        <v>2638</v>
      </c>
      <c r="C32" s="879" t="s">
        <v>12</v>
      </c>
      <c r="D32" s="879" t="s">
        <v>1499</v>
      </c>
      <c r="E32" s="871" t="s">
        <v>13</v>
      </c>
      <c r="F32" s="780">
        <v>12.94</v>
      </c>
      <c r="G32" s="982"/>
      <c r="H32" s="1008"/>
      <c r="I32" s="1063"/>
      <c r="J32" s="780"/>
      <c r="K32" s="614"/>
      <c r="L32" s="928"/>
      <c r="M32" s="518"/>
    </row>
    <row r="33" spans="1:14" x14ac:dyDescent="0.25">
      <c r="A33" s="215">
        <v>43958</v>
      </c>
      <c r="B33" s="876" t="s">
        <v>52</v>
      </c>
      <c r="C33" s="879" t="s">
        <v>12</v>
      </c>
      <c r="D33" s="879"/>
      <c r="E33" s="871" t="s">
        <v>15</v>
      </c>
      <c r="F33" s="1004"/>
      <c r="G33" s="982"/>
      <c r="H33" s="1009"/>
      <c r="I33" s="1063"/>
      <c r="J33" s="622"/>
      <c r="K33" s="982"/>
      <c r="L33" s="928"/>
    </row>
    <row r="34" spans="1:14" s="224" customFormat="1" ht="15" customHeight="1" x14ac:dyDescent="0.25">
      <c r="A34" s="215">
        <v>43958</v>
      </c>
      <c r="B34" s="364" t="s">
        <v>32</v>
      </c>
      <c r="C34" s="350" t="s">
        <v>12</v>
      </c>
      <c r="D34" s="350" t="s">
        <v>1485</v>
      </c>
      <c r="E34" s="875" t="s">
        <v>13</v>
      </c>
      <c r="F34" s="780">
        <v>15</v>
      </c>
      <c r="G34" s="946"/>
      <c r="H34" s="95"/>
      <c r="I34" s="1064"/>
      <c r="J34" s="97"/>
      <c r="K34" s="946"/>
      <c r="L34" s="923"/>
      <c r="N34" s="930"/>
    </row>
    <row r="35" spans="1:14" s="224" customFormat="1" ht="15" customHeight="1" x14ac:dyDescent="0.25">
      <c r="A35" s="215">
        <v>43958</v>
      </c>
      <c r="B35" s="364" t="s">
        <v>2639</v>
      </c>
      <c r="C35" s="350" t="s">
        <v>12</v>
      </c>
      <c r="D35" s="350" t="s">
        <v>1491</v>
      </c>
      <c r="E35" s="875" t="s">
        <v>13</v>
      </c>
      <c r="F35" s="780">
        <v>28</v>
      </c>
      <c r="G35" s="946"/>
      <c r="H35" s="95"/>
      <c r="I35" s="1063"/>
      <c r="J35" s="622"/>
      <c r="K35" s="982"/>
      <c r="L35" s="459"/>
    </row>
    <row r="36" spans="1:14" s="224" customFormat="1" ht="15" customHeight="1" x14ac:dyDescent="0.25">
      <c r="A36" s="215">
        <v>43958</v>
      </c>
      <c r="B36" s="364" t="s">
        <v>1775</v>
      </c>
      <c r="C36" s="350" t="s">
        <v>12</v>
      </c>
      <c r="D36" s="350" t="s">
        <v>1491</v>
      </c>
      <c r="E36" s="875" t="s">
        <v>13</v>
      </c>
      <c r="F36" s="780">
        <v>18</v>
      </c>
      <c r="G36" s="946"/>
      <c r="H36" s="95"/>
      <c r="I36" s="1063"/>
      <c r="J36" s="622"/>
      <c r="K36" s="982"/>
      <c r="L36" s="459"/>
    </row>
    <row r="37" spans="1:14" s="224" customFormat="1" ht="15" customHeight="1" x14ac:dyDescent="0.25">
      <c r="A37" s="215">
        <v>43959</v>
      </c>
      <c r="B37" s="364" t="s">
        <v>32</v>
      </c>
      <c r="C37" s="350" t="s">
        <v>12</v>
      </c>
      <c r="D37" s="350" t="s">
        <v>1485</v>
      </c>
      <c r="E37" s="875" t="s">
        <v>13</v>
      </c>
      <c r="F37" s="780">
        <v>14</v>
      </c>
      <c r="G37" s="946"/>
      <c r="H37" s="95"/>
      <c r="I37" s="1064"/>
      <c r="J37" s="97"/>
      <c r="K37" s="946"/>
      <c r="L37" s="923"/>
      <c r="N37" s="930"/>
    </row>
    <row r="38" spans="1:14" s="224" customFormat="1" ht="15" customHeight="1" x14ac:dyDescent="0.25">
      <c r="A38" s="215">
        <v>43959</v>
      </c>
      <c r="B38" s="349" t="s">
        <v>81</v>
      </c>
      <c r="C38" s="879" t="s">
        <v>12</v>
      </c>
      <c r="D38" s="879" t="s">
        <v>1493</v>
      </c>
      <c r="E38" s="871" t="s">
        <v>13</v>
      </c>
      <c r="F38" s="780">
        <v>2</v>
      </c>
      <c r="G38" s="946"/>
      <c r="H38" s="95"/>
      <c r="I38" s="1063"/>
      <c r="J38" s="622"/>
      <c r="K38" s="982"/>
      <c r="L38" s="459"/>
    </row>
    <row r="39" spans="1:14" s="224" customFormat="1" ht="15" customHeight="1" x14ac:dyDescent="0.25">
      <c r="A39" s="215">
        <v>43959</v>
      </c>
      <c r="B39" s="349" t="s">
        <v>82</v>
      </c>
      <c r="C39" s="879" t="s">
        <v>12</v>
      </c>
      <c r="D39" s="879" t="s">
        <v>1493</v>
      </c>
      <c r="E39" s="871" t="s">
        <v>13</v>
      </c>
      <c r="F39" s="780">
        <v>26.67</v>
      </c>
      <c r="G39" s="946"/>
      <c r="H39" s="95"/>
      <c r="I39" s="1063"/>
      <c r="J39" s="622"/>
      <c r="K39" s="982"/>
      <c r="L39" s="459"/>
    </row>
    <row r="40" spans="1:14" s="224" customFormat="1" ht="15" customHeight="1" x14ac:dyDescent="0.25">
      <c r="A40" s="215">
        <v>43960</v>
      </c>
      <c r="B40" s="364" t="s">
        <v>2251</v>
      </c>
      <c r="C40" s="350" t="s">
        <v>12</v>
      </c>
      <c r="D40" s="350" t="s">
        <v>2157</v>
      </c>
      <c r="E40" s="875" t="s">
        <v>15</v>
      </c>
      <c r="F40" s="780">
        <v>80</v>
      </c>
      <c r="G40" s="946"/>
      <c r="H40" s="95"/>
      <c r="I40" s="1063"/>
      <c r="J40" s="622"/>
      <c r="K40" s="982"/>
      <c r="L40" s="459"/>
    </row>
    <row r="41" spans="1:14" s="224" customFormat="1" ht="15" customHeight="1" x14ac:dyDescent="0.25">
      <c r="A41" s="215">
        <v>43960</v>
      </c>
      <c r="B41" s="364" t="s">
        <v>1438</v>
      </c>
      <c r="C41" s="350" t="s">
        <v>19</v>
      </c>
      <c r="D41" s="350" t="s">
        <v>1489</v>
      </c>
      <c r="E41" s="875" t="s">
        <v>13</v>
      </c>
      <c r="F41" s="780">
        <v>57.15</v>
      </c>
      <c r="G41" s="946"/>
      <c r="H41" s="95"/>
      <c r="I41" s="1064"/>
      <c r="J41" s="97"/>
      <c r="K41" s="946"/>
      <c r="L41" s="928"/>
      <c r="M41" s="89"/>
      <c r="N41" s="930"/>
    </row>
    <row r="42" spans="1:14" s="224" customFormat="1" ht="15" customHeight="1" x14ac:dyDescent="0.25">
      <c r="A42" s="215">
        <v>43960</v>
      </c>
      <c r="B42" s="349" t="s">
        <v>14</v>
      </c>
      <c r="C42" s="887" t="s">
        <v>12</v>
      </c>
      <c r="D42" s="879" t="s">
        <v>1486</v>
      </c>
      <c r="E42" s="871" t="s">
        <v>13</v>
      </c>
      <c r="F42" s="780">
        <v>15.89</v>
      </c>
      <c r="G42" s="946"/>
      <c r="H42" s="95"/>
      <c r="I42" s="1064"/>
      <c r="J42" s="97"/>
      <c r="K42" s="946"/>
      <c r="L42" s="928"/>
      <c r="M42" s="89"/>
      <c r="N42" s="930"/>
    </row>
    <row r="43" spans="1:14" s="224" customFormat="1" ht="15" customHeight="1" x14ac:dyDescent="0.25">
      <c r="A43" s="215">
        <v>43960</v>
      </c>
      <c r="B43" s="364" t="s">
        <v>32</v>
      </c>
      <c r="C43" s="350" t="s">
        <v>12</v>
      </c>
      <c r="D43" s="350" t="s">
        <v>1485</v>
      </c>
      <c r="E43" s="875" t="s">
        <v>13</v>
      </c>
      <c r="F43" s="780">
        <v>21.9</v>
      </c>
      <c r="G43" s="946"/>
      <c r="H43" s="95"/>
      <c r="I43" s="1064"/>
      <c r="J43" s="97"/>
      <c r="K43" s="946"/>
      <c r="L43" s="923"/>
      <c r="N43" s="930"/>
    </row>
    <row r="44" spans="1:14" s="224" customFormat="1" ht="15" customHeight="1" x14ac:dyDescent="0.25">
      <c r="A44" s="215">
        <v>43961</v>
      </c>
      <c r="B44" s="364" t="s">
        <v>2640</v>
      </c>
      <c r="C44" s="350" t="s">
        <v>12</v>
      </c>
      <c r="D44" s="350" t="s">
        <v>1489</v>
      </c>
      <c r="E44" s="480" t="s">
        <v>15</v>
      </c>
      <c r="F44" s="613">
        <v>50</v>
      </c>
      <c r="G44" s="967"/>
      <c r="H44" s="95"/>
      <c r="I44" s="1064"/>
      <c r="J44" s="97"/>
      <c r="K44" s="946"/>
      <c r="L44" s="928"/>
      <c r="M44" s="89"/>
      <c r="N44" s="930"/>
    </row>
    <row r="45" spans="1:14" s="224" customFormat="1" ht="15" customHeight="1" x14ac:dyDescent="0.25">
      <c r="A45" s="215">
        <v>43962</v>
      </c>
      <c r="B45" s="364" t="s">
        <v>32</v>
      </c>
      <c r="C45" s="350" t="s">
        <v>12</v>
      </c>
      <c r="D45" s="350" t="s">
        <v>1485</v>
      </c>
      <c r="E45" s="875" t="s">
        <v>13</v>
      </c>
      <c r="F45" s="780">
        <v>15</v>
      </c>
      <c r="G45" s="946"/>
      <c r="H45" s="95"/>
      <c r="I45" s="1064"/>
      <c r="J45" s="97"/>
      <c r="K45" s="946"/>
      <c r="L45" s="923"/>
      <c r="N45" s="930"/>
    </row>
    <row r="46" spans="1:14" s="224" customFormat="1" ht="15" customHeight="1" x14ac:dyDescent="0.25">
      <c r="A46" s="215">
        <v>43962</v>
      </c>
      <c r="B46" s="349" t="s">
        <v>14</v>
      </c>
      <c r="C46" s="887" t="s">
        <v>12</v>
      </c>
      <c r="D46" s="879" t="s">
        <v>1486</v>
      </c>
      <c r="E46" s="871" t="s">
        <v>13</v>
      </c>
      <c r="F46" s="780">
        <v>15.75</v>
      </c>
      <c r="G46" s="946"/>
      <c r="H46" s="95"/>
      <c r="I46" s="1064"/>
      <c r="J46" s="97"/>
      <c r="K46" s="946"/>
      <c r="L46" s="928"/>
      <c r="M46" s="89"/>
      <c r="N46" s="930"/>
    </row>
    <row r="47" spans="1:14" s="224" customFormat="1" ht="15" customHeight="1" x14ac:dyDescent="0.25">
      <c r="A47" s="215">
        <v>43963</v>
      </c>
      <c r="B47" s="364" t="s">
        <v>1241</v>
      </c>
      <c r="C47" s="350" t="s">
        <v>12</v>
      </c>
      <c r="D47" s="350" t="s">
        <v>1504</v>
      </c>
      <c r="E47" s="875" t="s">
        <v>13</v>
      </c>
      <c r="F47" s="780">
        <v>10</v>
      </c>
      <c r="G47" s="946"/>
      <c r="H47" s="95"/>
      <c r="I47" s="1064"/>
      <c r="J47" s="97"/>
      <c r="K47" s="946"/>
      <c r="L47" s="923"/>
      <c r="N47" s="930"/>
    </row>
    <row r="48" spans="1:14" s="224" customFormat="1" ht="15" customHeight="1" x14ac:dyDescent="0.25">
      <c r="A48" s="215">
        <v>43963</v>
      </c>
      <c r="B48" s="882" t="s">
        <v>2641</v>
      </c>
      <c r="C48" s="879" t="s">
        <v>12</v>
      </c>
      <c r="D48" s="879" t="s">
        <v>1499</v>
      </c>
      <c r="E48" s="871" t="s">
        <v>13</v>
      </c>
      <c r="F48" s="780">
        <v>40.24</v>
      </c>
      <c r="G48" s="946"/>
      <c r="H48" s="95"/>
      <c r="I48" s="1064"/>
      <c r="J48" s="97"/>
      <c r="K48" s="946"/>
      <c r="L48" s="928">
        <v>105.24</v>
      </c>
      <c r="M48" s="89"/>
      <c r="N48" s="930"/>
    </row>
    <row r="49" spans="1:14" s="224" customFormat="1" ht="15" customHeight="1" x14ac:dyDescent="0.25">
      <c r="A49" s="215">
        <v>43963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15</v>
      </c>
      <c r="G49" s="946"/>
      <c r="H49" s="95"/>
      <c r="I49" s="1064"/>
      <c r="J49" s="97"/>
      <c r="K49" s="946"/>
      <c r="L49" s="923"/>
      <c r="N49" s="930"/>
    </row>
    <row r="50" spans="1:14" s="224" customFormat="1" ht="15" customHeight="1" x14ac:dyDescent="0.25">
      <c r="A50" s="215">
        <v>43963</v>
      </c>
      <c r="B50" s="349" t="s">
        <v>14</v>
      </c>
      <c r="C50" s="887" t="s">
        <v>12</v>
      </c>
      <c r="D50" s="879" t="s">
        <v>1486</v>
      </c>
      <c r="E50" s="871" t="s">
        <v>13</v>
      </c>
      <c r="F50" s="780">
        <v>8.85</v>
      </c>
      <c r="G50" s="946"/>
      <c r="H50" s="95"/>
      <c r="I50" s="1064"/>
      <c r="J50" s="97"/>
      <c r="K50" s="946"/>
      <c r="L50" s="928"/>
      <c r="M50" s="89"/>
      <c r="N50" s="930"/>
    </row>
    <row r="51" spans="1:14" s="224" customFormat="1" ht="15" customHeight="1" x14ac:dyDescent="0.25">
      <c r="A51" s="215">
        <v>43963</v>
      </c>
      <c r="B51" s="364" t="s">
        <v>2603</v>
      </c>
      <c r="C51" s="350" t="s">
        <v>12</v>
      </c>
      <c r="D51" s="350" t="s">
        <v>1491</v>
      </c>
      <c r="E51" s="875" t="s">
        <v>15</v>
      </c>
      <c r="F51" s="780">
        <v>60</v>
      </c>
      <c r="G51" s="946"/>
      <c r="H51" s="95"/>
      <c r="I51" s="1063"/>
      <c r="J51" s="622"/>
      <c r="K51" s="982"/>
      <c r="L51" s="518"/>
      <c r="M51" s="89"/>
    </row>
    <row r="52" spans="1:14" s="224" customFormat="1" ht="15" customHeight="1" x14ac:dyDescent="0.25">
      <c r="A52" s="215">
        <v>43964</v>
      </c>
      <c r="B52" s="364" t="s">
        <v>32</v>
      </c>
      <c r="C52" s="350" t="s">
        <v>12</v>
      </c>
      <c r="D52" s="350" t="s">
        <v>1485</v>
      </c>
      <c r="E52" s="875" t="s">
        <v>13</v>
      </c>
      <c r="F52" s="780">
        <v>13</v>
      </c>
      <c r="G52" s="946"/>
      <c r="H52" s="95"/>
      <c r="I52" s="1064"/>
      <c r="J52" s="97"/>
      <c r="K52" s="946"/>
      <c r="L52" s="923"/>
      <c r="N52" s="930"/>
    </row>
    <row r="53" spans="1:14" s="224" customFormat="1" ht="15" customHeight="1" x14ac:dyDescent="0.25">
      <c r="A53" s="215">
        <v>43964</v>
      </c>
      <c r="B53" s="364" t="s">
        <v>994</v>
      </c>
      <c r="C53" s="350" t="s">
        <v>12</v>
      </c>
      <c r="D53" s="350"/>
      <c r="E53" s="875" t="s">
        <v>25</v>
      </c>
      <c r="F53" s="780"/>
      <c r="G53" s="946">
        <v>20.74</v>
      </c>
      <c r="H53" s="95"/>
      <c r="I53" s="1064"/>
      <c r="J53" s="97"/>
      <c r="K53" s="946"/>
      <c r="L53" s="923"/>
      <c r="N53" s="930"/>
    </row>
    <row r="54" spans="1:14" s="224" customFormat="1" ht="15" customHeight="1" x14ac:dyDescent="0.25">
      <c r="A54" s="215">
        <v>43965</v>
      </c>
      <c r="B54" s="364" t="s">
        <v>32</v>
      </c>
      <c r="C54" s="350" t="s">
        <v>12</v>
      </c>
      <c r="D54" s="350" t="s">
        <v>1485</v>
      </c>
      <c r="E54" s="875" t="s">
        <v>13</v>
      </c>
      <c r="F54" s="780">
        <v>15</v>
      </c>
      <c r="G54" s="946"/>
      <c r="H54" s="95"/>
      <c r="I54" s="1064"/>
      <c r="J54" s="97"/>
      <c r="K54" s="946"/>
      <c r="L54" s="928"/>
      <c r="M54" s="89"/>
      <c r="N54" s="930"/>
    </row>
    <row r="55" spans="1:14" s="224" customFormat="1" ht="15" customHeight="1" x14ac:dyDescent="0.25">
      <c r="A55" s="215">
        <v>43965</v>
      </c>
      <c r="B55" s="349" t="s">
        <v>14</v>
      </c>
      <c r="C55" s="887" t="s">
        <v>12</v>
      </c>
      <c r="D55" s="879" t="s">
        <v>1486</v>
      </c>
      <c r="E55" s="871" t="s">
        <v>13</v>
      </c>
      <c r="F55" s="780">
        <v>5</v>
      </c>
      <c r="G55" s="946"/>
      <c r="H55" s="95"/>
      <c r="I55" s="1064"/>
      <c r="J55" s="97"/>
      <c r="K55" s="946"/>
      <c r="L55" s="928"/>
      <c r="M55" s="89"/>
      <c r="N55" s="930"/>
    </row>
    <row r="56" spans="1:14" s="224" customFormat="1" ht="15" customHeight="1" x14ac:dyDescent="0.25">
      <c r="A56" s="215">
        <v>43966</v>
      </c>
      <c r="B56" s="349" t="s">
        <v>14</v>
      </c>
      <c r="C56" s="887" t="s">
        <v>12</v>
      </c>
      <c r="D56" s="879" t="s">
        <v>1486</v>
      </c>
      <c r="E56" s="871" t="s">
        <v>13</v>
      </c>
      <c r="F56" s="780">
        <v>3.38</v>
      </c>
      <c r="G56" s="946"/>
      <c r="H56" s="95"/>
      <c r="I56" s="1064"/>
      <c r="J56" s="97"/>
      <c r="K56" s="946"/>
      <c r="L56" s="928"/>
      <c r="M56" s="89"/>
      <c r="N56" s="930"/>
    </row>
    <row r="57" spans="1:14" s="224" customFormat="1" ht="15" customHeight="1" x14ac:dyDescent="0.25">
      <c r="A57" s="215">
        <v>43966</v>
      </c>
      <c r="B57" s="364" t="s">
        <v>2642</v>
      </c>
      <c r="C57" s="350" t="s">
        <v>12</v>
      </c>
      <c r="D57" s="350" t="s">
        <v>2131</v>
      </c>
      <c r="E57" s="875" t="s">
        <v>13</v>
      </c>
      <c r="F57" s="780">
        <v>23.9</v>
      </c>
      <c r="G57" s="946"/>
      <c r="H57" s="95"/>
      <c r="I57" s="1063"/>
      <c r="J57" s="622"/>
      <c r="K57" s="982"/>
      <c r="L57" s="459"/>
    </row>
    <row r="58" spans="1:14" s="224" customFormat="1" ht="15" customHeight="1" x14ac:dyDescent="0.25">
      <c r="A58" s="215">
        <v>43966</v>
      </c>
      <c r="B58" s="364" t="s">
        <v>2643</v>
      </c>
      <c r="C58" s="350" t="s">
        <v>12</v>
      </c>
      <c r="D58" s="350" t="s">
        <v>2131</v>
      </c>
      <c r="E58" s="875" t="s">
        <v>13</v>
      </c>
      <c r="F58" s="780">
        <v>3</v>
      </c>
      <c r="G58" s="946"/>
      <c r="H58" s="95"/>
      <c r="I58" s="1063"/>
      <c r="J58" s="622"/>
      <c r="K58" s="982"/>
      <c r="L58" s="459"/>
    </row>
    <row r="59" spans="1:14" s="224" customFormat="1" ht="15" customHeight="1" x14ac:dyDescent="0.25">
      <c r="A59" s="215">
        <v>43966</v>
      </c>
      <c r="B59" s="364" t="s">
        <v>1438</v>
      </c>
      <c r="C59" s="350" t="s">
        <v>19</v>
      </c>
      <c r="D59" s="350" t="s">
        <v>1489</v>
      </c>
      <c r="E59" s="875" t="s">
        <v>13</v>
      </c>
      <c r="F59" s="780">
        <v>67.540000000000006</v>
      </c>
      <c r="G59" s="946"/>
      <c r="H59" s="95"/>
      <c r="I59" s="1063"/>
      <c r="J59" s="622"/>
      <c r="K59" s="982"/>
      <c r="L59" s="459"/>
    </row>
    <row r="60" spans="1:14" s="224" customFormat="1" ht="15" customHeight="1" x14ac:dyDescent="0.25">
      <c r="A60" s="215">
        <v>43966</v>
      </c>
      <c r="B60" s="364" t="s">
        <v>2251</v>
      </c>
      <c r="C60" s="350" t="s">
        <v>12</v>
      </c>
      <c r="D60" s="350" t="s">
        <v>2157</v>
      </c>
      <c r="E60" s="875" t="s">
        <v>15</v>
      </c>
      <c r="F60" s="780">
        <v>50</v>
      </c>
      <c r="G60" s="946"/>
      <c r="H60" s="95"/>
      <c r="I60" s="1063"/>
      <c r="J60" s="622"/>
      <c r="K60" s="982"/>
      <c r="L60" s="459"/>
    </row>
    <row r="61" spans="1:14" s="224" customFormat="1" ht="15" customHeight="1" x14ac:dyDescent="0.25">
      <c r="A61" s="215">
        <v>43967</v>
      </c>
      <c r="B61" s="349" t="s">
        <v>2644</v>
      </c>
      <c r="C61" s="879" t="s">
        <v>12</v>
      </c>
      <c r="D61" s="879" t="s">
        <v>1522</v>
      </c>
      <c r="E61" s="871" t="s">
        <v>15</v>
      </c>
      <c r="F61" s="780">
        <v>4</v>
      </c>
      <c r="G61" s="946"/>
      <c r="H61" s="95"/>
      <c r="I61" s="1064"/>
      <c r="J61" s="97"/>
      <c r="K61" s="946"/>
      <c r="L61" s="928"/>
      <c r="M61" s="89"/>
      <c r="N61" s="930"/>
    </row>
    <row r="62" spans="1:14" s="224" customFormat="1" ht="15" customHeight="1" x14ac:dyDescent="0.25">
      <c r="A62" s="215">
        <v>43967</v>
      </c>
      <c r="B62" s="349" t="s">
        <v>82</v>
      </c>
      <c r="C62" s="879" t="s">
        <v>12</v>
      </c>
      <c r="D62" s="879" t="s">
        <v>1493</v>
      </c>
      <c r="E62" s="871" t="s">
        <v>13</v>
      </c>
      <c r="F62" s="780">
        <v>27.95</v>
      </c>
      <c r="G62" s="946"/>
      <c r="H62" s="95"/>
      <c r="I62" s="1064"/>
      <c r="J62" s="97"/>
      <c r="K62" s="946"/>
      <c r="L62" s="928"/>
      <c r="M62" s="89"/>
      <c r="N62" s="930"/>
    </row>
    <row r="63" spans="1:14" s="224" customFormat="1" ht="15" customHeight="1" x14ac:dyDescent="0.25">
      <c r="A63" s="215">
        <v>43968</v>
      </c>
      <c r="B63" s="349" t="s">
        <v>14</v>
      </c>
      <c r="C63" s="887" t="s">
        <v>12</v>
      </c>
      <c r="D63" s="879" t="s">
        <v>1486</v>
      </c>
      <c r="E63" s="871" t="s">
        <v>13</v>
      </c>
      <c r="F63" s="780">
        <v>8.64</v>
      </c>
      <c r="G63" s="946"/>
      <c r="H63" s="95"/>
      <c r="I63" s="1063"/>
      <c r="J63" s="622"/>
      <c r="K63" s="982"/>
      <c r="L63" s="518"/>
      <c r="M63" s="89"/>
    </row>
    <row r="64" spans="1:14" s="224" customFormat="1" ht="15" customHeight="1" x14ac:dyDescent="0.25">
      <c r="A64" s="215">
        <v>43968</v>
      </c>
      <c r="B64" s="349" t="s">
        <v>80</v>
      </c>
      <c r="C64" s="887" t="s">
        <v>12</v>
      </c>
      <c r="D64" s="879" t="s">
        <v>1523</v>
      </c>
      <c r="E64" s="871" t="s">
        <v>15</v>
      </c>
      <c r="F64" s="780">
        <v>26.01</v>
      </c>
      <c r="G64" s="946"/>
      <c r="H64" s="95"/>
      <c r="I64" s="1063"/>
      <c r="J64" s="622"/>
      <c r="K64" s="982"/>
      <c r="L64" s="518"/>
      <c r="M64" s="89"/>
    </row>
    <row r="65" spans="1:14" s="224" customFormat="1" ht="15" customHeight="1" x14ac:dyDescent="0.25">
      <c r="A65" s="215">
        <v>43968</v>
      </c>
      <c r="B65" s="349" t="s">
        <v>470</v>
      </c>
      <c r="C65" s="887" t="s">
        <v>12</v>
      </c>
      <c r="D65" s="879" t="s">
        <v>1489</v>
      </c>
      <c r="E65" s="871" t="s">
        <v>15</v>
      </c>
      <c r="F65" s="780">
        <v>45</v>
      </c>
      <c r="G65" s="946"/>
      <c r="H65" s="95"/>
      <c r="I65" s="1063"/>
      <c r="J65" s="622"/>
      <c r="K65" s="982"/>
      <c r="L65" s="518"/>
      <c r="M65" s="89"/>
    </row>
    <row r="66" spans="1:14" s="224" customFormat="1" ht="15" customHeight="1" x14ac:dyDescent="0.25">
      <c r="A66" s="215">
        <v>43969</v>
      </c>
      <c r="B66" s="364" t="s">
        <v>1396</v>
      </c>
      <c r="C66" s="350" t="s">
        <v>12</v>
      </c>
      <c r="D66" s="350"/>
      <c r="E66" s="480" t="s">
        <v>25</v>
      </c>
      <c r="F66" s="613"/>
      <c r="G66" s="967">
        <v>45</v>
      </c>
      <c r="H66" s="95"/>
      <c r="I66" s="1064"/>
      <c r="J66" s="97"/>
      <c r="K66" s="946"/>
      <c r="L66" s="928"/>
      <c r="M66" s="89"/>
      <c r="N66" s="930"/>
    </row>
    <row r="67" spans="1:14" s="224" customFormat="1" ht="15" customHeight="1" x14ac:dyDescent="0.25">
      <c r="A67" s="215">
        <v>43969</v>
      </c>
      <c r="B67" s="364" t="s">
        <v>32</v>
      </c>
      <c r="C67" s="350" t="s">
        <v>12</v>
      </c>
      <c r="D67" s="350" t="s">
        <v>1485</v>
      </c>
      <c r="E67" s="875" t="s">
        <v>15</v>
      </c>
      <c r="F67" s="780">
        <v>13</v>
      </c>
      <c r="G67" s="946"/>
      <c r="H67" s="95"/>
      <c r="I67" s="1064"/>
      <c r="J67" s="97"/>
      <c r="K67" s="946"/>
      <c r="L67" s="928"/>
      <c r="M67" s="89"/>
      <c r="N67" s="930"/>
    </row>
    <row r="68" spans="1:14" s="224" customFormat="1" ht="15" customHeight="1" x14ac:dyDescent="0.25">
      <c r="A68" s="215">
        <v>43969</v>
      </c>
      <c r="B68" s="349" t="s">
        <v>14</v>
      </c>
      <c r="C68" s="887" t="s">
        <v>12</v>
      </c>
      <c r="D68" s="879" t="s">
        <v>1486</v>
      </c>
      <c r="E68" s="871" t="s">
        <v>13</v>
      </c>
      <c r="F68" s="780">
        <v>5.49</v>
      </c>
      <c r="G68" s="946"/>
      <c r="H68" s="95"/>
      <c r="I68" s="1064"/>
      <c r="J68" s="97"/>
      <c r="K68" s="946"/>
      <c r="L68" s="928"/>
      <c r="M68" s="89"/>
      <c r="N68" s="930"/>
    </row>
    <row r="69" spans="1:14" s="224" customFormat="1" ht="15" customHeight="1" x14ac:dyDescent="0.25">
      <c r="A69" s="215">
        <v>43969</v>
      </c>
      <c r="B69" s="364" t="s">
        <v>2207</v>
      </c>
      <c r="C69" s="350" t="s">
        <v>12</v>
      </c>
      <c r="D69" s="350" t="s">
        <v>2168</v>
      </c>
      <c r="E69" s="875" t="s">
        <v>13</v>
      </c>
      <c r="F69" s="780">
        <v>18.600000000000001</v>
      </c>
      <c r="G69" s="946"/>
      <c r="H69" s="95"/>
      <c r="I69" s="1064"/>
      <c r="J69" s="97"/>
      <c r="K69" s="946"/>
      <c r="L69" s="928"/>
      <c r="M69" s="89"/>
      <c r="N69" s="930"/>
    </row>
    <row r="70" spans="1:14" s="224" customFormat="1" ht="15" customHeight="1" x14ac:dyDescent="0.25">
      <c r="A70" s="215">
        <v>43970</v>
      </c>
      <c r="B70" s="862" t="s">
        <v>256</v>
      </c>
      <c r="C70" s="350"/>
      <c r="D70" s="350"/>
      <c r="E70" s="875"/>
      <c r="F70" s="780"/>
      <c r="G70" s="946">
        <v>400</v>
      </c>
      <c r="H70" s="95">
        <v>400</v>
      </c>
      <c r="I70" s="1064"/>
      <c r="J70" s="97"/>
      <c r="K70" s="946"/>
      <c r="L70" s="928"/>
      <c r="M70" s="89"/>
      <c r="N70" s="930"/>
    </row>
    <row r="71" spans="1:14" s="224" customFormat="1" ht="15" customHeight="1" x14ac:dyDescent="0.25">
      <c r="A71" s="215">
        <v>43970</v>
      </c>
      <c r="B71" s="862" t="s">
        <v>2302</v>
      </c>
      <c r="C71" s="350" t="s">
        <v>12</v>
      </c>
      <c r="D71" s="874" t="s">
        <v>1504</v>
      </c>
      <c r="E71" s="887" t="s">
        <v>13</v>
      </c>
      <c r="F71" s="852">
        <v>70</v>
      </c>
      <c r="G71" s="982"/>
      <c r="H71" s="1009"/>
      <c r="I71" s="1063"/>
      <c r="J71" s="137"/>
      <c r="K71" s="946"/>
      <c r="L71" s="923">
        <v>141.01</v>
      </c>
      <c r="N71" s="930"/>
    </row>
    <row r="72" spans="1:14" s="224" customFormat="1" ht="15" customHeight="1" x14ac:dyDescent="0.25">
      <c r="A72" s="215">
        <v>43970</v>
      </c>
      <c r="B72" s="364" t="s">
        <v>32</v>
      </c>
      <c r="C72" s="350" t="s">
        <v>12</v>
      </c>
      <c r="D72" s="350" t="s">
        <v>1485</v>
      </c>
      <c r="E72" s="875" t="s">
        <v>15</v>
      </c>
      <c r="F72" s="780">
        <v>14</v>
      </c>
      <c r="G72" s="946"/>
      <c r="H72" s="95"/>
      <c r="I72" s="1064"/>
      <c r="J72" s="97"/>
      <c r="K72" s="946"/>
      <c r="L72" s="928"/>
      <c r="M72" s="89"/>
      <c r="N72" s="930"/>
    </row>
    <row r="73" spans="1:14" s="224" customFormat="1" ht="15" customHeight="1" x14ac:dyDescent="0.25">
      <c r="A73" s="215">
        <v>43970</v>
      </c>
      <c r="B73" s="349" t="s">
        <v>14</v>
      </c>
      <c r="C73" s="887" t="s">
        <v>12</v>
      </c>
      <c r="D73" s="879" t="s">
        <v>1486</v>
      </c>
      <c r="E73" s="871" t="s">
        <v>13</v>
      </c>
      <c r="F73" s="780">
        <v>5.49</v>
      </c>
      <c r="G73" s="946"/>
      <c r="H73" s="95"/>
      <c r="I73" s="1064"/>
      <c r="J73" s="97"/>
      <c r="K73" s="946"/>
      <c r="L73" s="928"/>
      <c r="M73" s="89"/>
      <c r="N73" s="930"/>
    </row>
    <row r="74" spans="1:14" s="224" customFormat="1" ht="15" customHeight="1" x14ac:dyDescent="0.25">
      <c r="A74" s="215">
        <v>43970</v>
      </c>
      <c r="B74" s="364" t="s">
        <v>2603</v>
      </c>
      <c r="C74" s="350" t="s">
        <v>12</v>
      </c>
      <c r="D74" s="350" t="s">
        <v>1491</v>
      </c>
      <c r="E74" s="875" t="s">
        <v>15</v>
      </c>
      <c r="F74" s="780">
        <v>75</v>
      </c>
      <c r="G74" s="946"/>
      <c r="H74" s="95"/>
      <c r="I74" s="1063"/>
      <c r="J74" s="622"/>
      <c r="K74" s="982"/>
      <c r="L74" s="518"/>
      <c r="M74" s="89"/>
    </row>
    <row r="75" spans="1:14" s="224" customFormat="1" ht="15" customHeight="1" x14ac:dyDescent="0.25">
      <c r="A75" s="215">
        <v>43971</v>
      </c>
      <c r="B75" s="882" t="s">
        <v>2645</v>
      </c>
      <c r="C75" s="350" t="s">
        <v>12</v>
      </c>
      <c r="D75" s="350"/>
      <c r="E75" s="480" t="s">
        <v>25</v>
      </c>
      <c r="F75" s="780"/>
      <c r="G75" s="982">
        <v>1245</v>
      </c>
      <c r="H75" s="1008"/>
      <c r="I75" s="1063"/>
      <c r="J75" s="622"/>
      <c r="K75" s="982"/>
      <c r="L75" s="459"/>
    </row>
    <row r="76" spans="1:14" s="224" customFormat="1" x14ac:dyDescent="0.25">
      <c r="A76" s="215">
        <v>43971</v>
      </c>
      <c r="B76" s="873" t="s">
        <v>2590</v>
      </c>
      <c r="C76" s="879" t="s">
        <v>12</v>
      </c>
      <c r="D76" s="350" t="s">
        <v>1491</v>
      </c>
      <c r="E76" s="871" t="s">
        <v>15</v>
      </c>
      <c r="F76" s="780">
        <v>75</v>
      </c>
      <c r="G76" s="982"/>
      <c r="H76" s="1008"/>
      <c r="I76" s="1063"/>
      <c r="J76" s="622"/>
      <c r="K76" s="982"/>
      <c r="L76" s="984"/>
    </row>
    <row r="77" spans="1:14" s="224" customFormat="1" ht="15" customHeight="1" x14ac:dyDescent="0.25">
      <c r="A77" s="215">
        <v>43971</v>
      </c>
      <c r="B77" s="364" t="s">
        <v>1241</v>
      </c>
      <c r="C77" s="350" t="s">
        <v>12</v>
      </c>
      <c r="D77" s="350" t="s">
        <v>1504</v>
      </c>
      <c r="E77" s="875" t="s">
        <v>13</v>
      </c>
      <c r="F77" s="780">
        <v>15</v>
      </c>
      <c r="G77" s="946"/>
      <c r="H77" s="95"/>
      <c r="I77" s="1064"/>
      <c r="J77" s="97"/>
      <c r="K77" s="946"/>
      <c r="L77" s="923"/>
      <c r="N77" s="930"/>
    </row>
    <row r="78" spans="1:14" s="224" customFormat="1" ht="15" customHeight="1" x14ac:dyDescent="0.25">
      <c r="A78" s="215">
        <v>43971</v>
      </c>
      <c r="B78" s="364" t="s">
        <v>32</v>
      </c>
      <c r="C78" s="350" t="s">
        <v>12</v>
      </c>
      <c r="D78" s="350" t="s">
        <v>1485</v>
      </c>
      <c r="E78" s="875" t="s">
        <v>15</v>
      </c>
      <c r="F78" s="780">
        <v>15</v>
      </c>
      <c r="G78" s="946"/>
      <c r="H78" s="1010"/>
      <c r="I78" s="1064"/>
      <c r="J78" s="137"/>
      <c r="K78" s="946"/>
      <c r="L78" s="928"/>
      <c r="M78" s="89"/>
      <c r="N78" s="930"/>
    </row>
    <row r="79" spans="1:14" s="224" customFormat="1" ht="15" customHeight="1" x14ac:dyDescent="0.25">
      <c r="A79" s="215">
        <v>43972</v>
      </c>
      <c r="B79" s="349" t="s">
        <v>14</v>
      </c>
      <c r="C79" s="887" t="s">
        <v>12</v>
      </c>
      <c r="D79" s="879" t="s">
        <v>1486</v>
      </c>
      <c r="E79" s="871" t="s">
        <v>13</v>
      </c>
      <c r="F79" s="780">
        <v>3.33</v>
      </c>
      <c r="G79" s="946"/>
      <c r="H79" s="95"/>
      <c r="I79" s="1064"/>
      <c r="J79" s="97"/>
      <c r="K79" s="946"/>
      <c r="L79" s="928"/>
      <c r="M79" s="89"/>
      <c r="N79" s="930"/>
    </row>
    <row r="80" spans="1:14" s="224" customFormat="1" ht="15" customHeight="1" x14ac:dyDescent="0.25">
      <c r="A80" s="215">
        <v>43972</v>
      </c>
      <c r="B80" s="364" t="s">
        <v>1561</v>
      </c>
      <c r="C80" s="350" t="s">
        <v>12</v>
      </c>
      <c r="D80" s="350" t="s">
        <v>1489</v>
      </c>
      <c r="E80" s="875" t="s">
        <v>13</v>
      </c>
      <c r="F80" s="852">
        <v>8.5</v>
      </c>
      <c r="G80" s="627"/>
      <c r="H80" s="1011"/>
      <c r="I80" s="248"/>
      <c r="J80" s="672"/>
      <c r="K80" s="627"/>
    </row>
    <row r="81" spans="1:14" s="224" customFormat="1" ht="15" customHeight="1" x14ac:dyDescent="0.25">
      <c r="A81" s="215">
        <v>43973</v>
      </c>
      <c r="B81" s="364" t="s">
        <v>2251</v>
      </c>
      <c r="C81" s="350" t="s">
        <v>12</v>
      </c>
      <c r="D81" s="350" t="s">
        <v>2157</v>
      </c>
      <c r="E81" s="875" t="s">
        <v>15</v>
      </c>
      <c r="F81" s="780">
        <v>40</v>
      </c>
      <c r="G81" s="946"/>
      <c r="H81" s="95"/>
      <c r="I81" s="1063"/>
      <c r="J81" s="622"/>
      <c r="K81" s="982"/>
      <c r="L81" s="459"/>
    </row>
    <row r="82" spans="1:14" s="224" customFormat="1" ht="15" customHeight="1" x14ac:dyDescent="0.25">
      <c r="A82" s="215">
        <v>43973</v>
      </c>
      <c r="B82" s="364" t="s">
        <v>2646</v>
      </c>
      <c r="C82" s="350" t="s">
        <v>12</v>
      </c>
      <c r="D82" s="350" t="s">
        <v>1491</v>
      </c>
      <c r="E82" s="875" t="s">
        <v>13</v>
      </c>
      <c r="F82" s="852">
        <v>20</v>
      </c>
      <c r="G82" s="946"/>
      <c r="H82" s="1010"/>
      <c r="I82" s="1064"/>
      <c r="J82" s="137"/>
      <c r="K82" s="946"/>
      <c r="L82" s="928"/>
      <c r="M82" s="89"/>
      <c r="N82" s="930"/>
    </row>
    <row r="83" spans="1:14" s="224" customFormat="1" ht="15" customHeight="1" x14ac:dyDescent="0.25">
      <c r="A83" s="215">
        <v>43973</v>
      </c>
      <c r="B83" s="364" t="s">
        <v>1438</v>
      </c>
      <c r="C83" s="350" t="s">
        <v>19</v>
      </c>
      <c r="D83" s="350" t="s">
        <v>1489</v>
      </c>
      <c r="E83" s="875" t="s">
        <v>13</v>
      </c>
      <c r="F83" s="852">
        <v>99.76</v>
      </c>
      <c r="G83" s="946"/>
      <c r="H83" s="1010"/>
      <c r="I83" s="1064"/>
      <c r="J83" s="137"/>
      <c r="K83" s="946"/>
      <c r="L83" s="928"/>
      <c r="M83" s="89"/>
      <c r="N83" s="930"/>
    </row>
    <row r="84" spans="1:14" s="224" customFormat="1" ht="15" customHeight="1" x14ac:dyDescent="0.25">
      <c r="A84" s="215">
        <v>43973</v>
      </c>
      <c r="B84" s="349" t="s">
        <v>82</v>
      </c>
      <c r="C84" s="879" t="s">
        <v>12</v>
      </c>
      <c r="D84" s="879" t="s">
        <v>1493</v>
      </c>
      <c r="E84" s="871" t="s">
        <v>13</v>
      </c>
      <c r="F84" s="780">
        <v>33</v>
      </c>
      <c r="G84" s="946"/>
      <c r="H84" s="95"/>
      <c r="I84" s="1064"/>
      <c r="J84" s="97"/>
      <c r="K84" s="946"/>
      <c r="L84" s="928"/>
      <c r="M84" s="89"/>
      <c r="N84" s="930"/>
    </row>
    <row r="85" spans="1:14" s="224" customFormat="1" ht="15" customHeight="1" x14ac:dyDescent="0.25">
      <c r="A85" s="215">
        <v>43974</v>
      </c>
      <c r="B85" s="349" t="s">
        <v>14</v>
      </c>
      <c r="C85" s="887" t="s">
        <v>12</v>
      </c>
      <c r="D85" s="879" t="s">
        <v>1486</v>
      </c>
      <c r="E85" s="871" t="s">
        <v>13</v>
      </c>
      <c r="F85" s="780">
        <v>5.42</v>
      </c>
      <c r="G85" s="946"/>
      <c r="H85" s="95"/>
      <c r="I85" s="1064"/>
      <c r="J85" s="97"/>
      <c r="K85" s="946"/>
      <c r="L85" s="928"/>
      <c r="M85" s="89"/>
      <c r="N85" s="930"/>
    </row>
    <row r="86" spans="1:14" s="224" customFormat="1" ht="15" customHeight="1" x14ac:dyDescent="0.25">
      <c r="A86" s="215">
        <v>43975</v>
      </c>
      <c r="B86" s="364" t="s">
        <v>2603</v>
      </c>
      <c r="C86" s="350" t="s">
        <v>12</v>
      </c>
      <c r="D86" s="350" t="s">
        <v>1491</v>
      </c>
      <c r="E86" s="875" t="s">
        <v>15</v>
      </c>
      <c r="F86" s="852">
        <v>60</v>
      </c>
      <c r="G86" s="946"/>
      <c r="H86" s="1010"/>
      <c r="I86" s="1064"/>
      <c r="J86" s="137"/>
      <c r="K86" s="946"/>
      <c r="L86" s="928"/>
      <c r="M86" s="89"/>
      <c r="N86" s="930"/>
    </row>
    <row r="87" spans="1:14" s="224" customFormat="1" ht="15" customHeight="1" x14ac:dyDescent="0.25">
      <c r="A87" s="215">
        <v>43975</v>
      </c>
      <c r="B87" s="364" t="s">
        <v>82</v>
      </c>
      <c r="C87" s="350" t="s">
        <v>12</v>
      </c>
      <c r="D87" s="350" t="s">
        <v>1493</v>
      </c>
      <c r="E87" s="875" t="s">
        <v>13</v>
      </c>
      <c r="F87" s="780">
        <v>28.05</v>
      </c>
      <c r="G87" s="946"/>
      <c r="H87" s="95"/>
      <c r="I87" s="1064"/>
      <c r="J87" s="97"/>
      <c r="K87" s="946"/>
      <c r="L87" s="928"/>
      <c r="M87" s="89"/>
      <c r="N87" s="930"/>
    </row>
    <row r="88" spans="1:14" s="224" customFormat="1" ht="15" customHeight="1" x14ac:dyDescent="0.25">
      <c r="A88" s="215">
        <v>43976</v>
      </c>
      <c r="B88" s="349" t="s">
        <v>14</v>
      </c>
      <c r="C88" s="887" t="s">
        <v>12</v>
      </c>
      <c r="D88" s="879" t="s">
        <v>1486</v>
      </c>
      <c r="E88" s="871" t="s">
        <v>13</v>
      </c>
      <c r="F88" s="780">
        <v>8.66</v>
      </c>
      <c r="G88" s="946"/>
      <c r="H88" s="95"/>
      <c r="I88" s="1064"/>
      <c r="J88" s="97"/>
      <c r="K88" s="946"/>
      <c r="L88" s="928"/>
      <c r="M88" s="89"/>
      <c r="N88" s="930"/>
    </row>
    <row r="89" spans="1:14" s="224" customFormat="1" ht="15" customHeight="1" x14ac:dyDescent="0.25">
      <c r="A89" s="215">
        <v>43976</v>
      </c>
      <c r="B89" s="364" t="s">
        <v>32</v>
      </c>
      <c r="C89" s="350" t="s">
        <v>12</v>
      </c>
      <c r="D89" s="350" t="s">
        <v>1485</v>
      </c>
      <c r="E89" s="875" t="s">
        <v>13</v>
      </c>
      <c r="F89" s="780">
        <v>29</v>
      </c>
      <c r="G89" s="982"/>
      <c r="H89" s="1008"/>
      <c r="I89" s="1063"/>
      <c r="J89" s="97"/>
      <c r="K89" s="946"/>
      <c r="L89" s="923"/>
      <c r="N89" s="930"/>
    </row>
    <row r="90" spans="1:14" s="224" customFormat="1" ht="15" customHeight="1" x14ac:dyDescent="0.25">
      <c r="A90" s="215">
        <v>43977</v>
      </c>
      <c r="B90" s="349" t="s">
        <v>260</v>
      </c>
      <c r="C90" s="350" t="s">
        <v>12</v>
      </c>
      <c r="D90" s="350"/>
      <c r="E90" s="480"/>
      <c r="F90" s="780">
        <v>300</v>
      </c>
      <c r="G90" s="946"/>
      <c r="H90" s="95"/>
      <c r="I90" s="1064">
        <v>300</v>
      </c>
      <c r="J90" s="622"/>
      <c r="K90" s="982"/>
      <c r="L90" s="518"/>
      <c r="M90" s="89"/>
    </row>
    <row r="91" spans="1:14" s="224" customFormat="1" ht="15" customHeight="1" x14ac:dyDescent="0.25">
      <c r="A91" s="215">
        <v>43977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780">
        <v>15</v>
      </c>
      <c r="G91" s="982"/>
      <c r="H91" s="1008"/>
      <c r="I91" s="1063"/>
      <c r="J91" s="97"/>
      <c r="K91" s="946"/>
      <c r="L91" s="923"/>
      <c r="N91" s="930"/>
    </row>
    <row r="92" spans="1:14" s="224" customFormat="1" ht="15" customHeight="1" x14ac:dyDescent="0.25">
      <c r="A92" s="215">
        <v>43977</v>
      </c>
      <c r="B92" s="349" t="s">
        <v>14</v>
      </c>
      <c r="C92" s="887" t="s">
        <v>12</v>
      </c>
      <c r="D92" s="879" t="s">
        <v>1486</v>
      </c>
      <c r="E92" s="871" t="s">
        <v>13</v>
      </c>
      <c r="F92" s="780">
        <v>3.86</v>
      </c>
      <c r="G92" s="946"/>
      <c r="H92" s="95"/>
      <c r="I92" s="1064"/>
      <c r="J92" s="622"/>
      <c r="K92" s="982"/>
      <c r="L92" s="518"/>
      <c r="M92" s="89"/>
    </row>
    <row r="93" spans="1:14" s="224" customFormat="1" ht="15" customHeight="1" x14ac:dyDescent="0.25">
      <c r="A93" s="215">
        <v>43978</v>
      </c>
      <c r="B93" s="364" t="s">
        <v>32</v>
      </c>
      <c r="C93" s="350" t="s">
        <v>12</v>
      </c>
      <c r="D93" s="350" t="s">
        <v>1485</v>
      </c>
      <c r="E93" s="875" t="s">
        <v>13</v>
      </c>
      <c r="F93" s="780">
        <v>15</v>
      </c>
      <c r="G93" s="946"/>
      <c r="H93" s="95"/>
      <c r="I93" s="1064"/>
      <c r="J93" s="97"/>
      <c r="K93" s="946"/>
      <c r="L93" s="928"/>
      <c r="M93" s="89"/>
      <c r="N93" s="930"/>
    </row>
    <row r="94" spans="1:14" s="224" customFormat="1" ht="15" customHeight="1" x14ac:dyDescent="0.25">
      <c r="A94" s="215">
        <v>43979</v>
      </c>
      <c r="B94" s="364" t="s">
        <v>1241</v>
      </c>
      <c r="C94" s="350" t="s">
        <v>12</v>
      </c>
      <c r="D94" s="350" t="s">
        <v>1504</v>
      </c>
      <c r="E94" s="875" t="s">
        <v>13</v>
      </c>
      <c r="F94" s="780">
        <v>12</v>
      </c>
      <c r="G94" s="946"/>
      <c r="H94" s="95"/>
      <c r="I94" s="1064"/>
      <c r="J94" s="97"/>
      <c r="K94" s="946"/>
      <c r="L94" s="923"/>
      <c r="N94" s="930"/>
    </row>
    <row r="95" spans="1:14" s="224" customFormat="1" ht="15" customHeight="1" x14ac:dyDescent="0.25">
      <c r="A95" s="215">
        <v>43979</v>
      </c>
      <c r="B95" s="364" t="s">
        <v>32</v>
      </c>
      <c r="C95" s="350" t="s">
        <v>12</v>
      </c>
      <c r="D95" s="350" t="s">
        <v>1485</v>
      </c>
      <c r="E95" s="875" t="s">
        <v>13</v>
      </c>
      <c r="F95" s="780">
        <v>13</v>
      </c>
      <c r="G95" s="946"/>
      <c r="H95" s="95"/>
      <c r="I95" s="1064"/>
      <c r="J95" s="97"/>
      <c r="K95" s="946"/>
      <c r="L95" s="928"/>
      <c r="M95" s="89"/>
      <c r="N95" s="930"/>
    </row>
    <row r="96" spans="1:14" s="224" customFormat="1" ht="15" customHeight="1" x14ac:dyDescent="0.25">
      <c r="A96" s="215">
        <v>43979</v>
      </c>
      <c r="B96" s="364" t="s">
        <v>2647</v>
      </c>
      <c r="C96" s="350" t="s">
        <v>12</v>
      </c>
      <c r="D96" s="350" t="s">
        <v>1491</v>
      </c>
      <c r="E96" s="875" t="s">
        <v>13</v>
      </c>
      <c r="F96" s="780">
        <v>50</v>
      </c>
      <c r="G96" s="982"/>
      <c r="H96" s="1008"/>
      <c r="I96" s="1063"/>
      <c r="J96" s="97"/>
      <c r="K96" s="946"/>
      <c r="L96" s="923"/>
      <c r="N96" s="930"/>
    </row>
    <row r="97" spans="1:14" s="224" customFormat="1" ht="15" customHeight="1" x14ac:dyDescent="0.25">
      <c r="A97" s="215">
        <v>43979</v>
      </c>
      <c r="B97" s="364" t="s">
        <v>2648</v>
      </c>
      <c r="C97" s="350" t="s">
        <v>12</v>
      </c>
      <c r="D97" s="350" t="s">
        <v>1491</v>
      </c>
      <c r="E97" s="875" t="s">
        <v>13</v>
      </c>
      <c r="F97" s="780">
        <v>20</v>
      </c>
      <c r="G97" s="982"/>
      <c r="H97" s="1008"/>
      <c r="I97" s="1063"/>
      <c r="J97" s="97"/>
      <c r="K97" s="946"/>
      <c r="L97" s="923"/>
      <c r="N97" s="930"/>
    </row>
    <row r="98" spans="1:14" s="224" customFormat="1" ht="15" customHeight="1" x14ac:dyDescent="0.25">
      <c r="A98" s="215">
        <v>43979</v>
      </c>
      <c r="B98" s="364" t="s">
        <v>2649</v>
      </c>
      <c r="C98" s="350" t="s">
        <v>12</v>
      </c>
      <c r="D98" s="350" t="s">
        <v>1506</v>
      </c>
      <c r="E98" s="875" t="s">
        <v>13</v>
      </c>
      <c r="F98" s="780">
        <v>20</v>
      </c>
      <c r="G98" s="982"/>
      <c r="H98" s="1008"/>
      <c r="I98" s="1063"/>
      <c r="J98" s="97"/>
      <c r="K98" s="946"/>
      <c r="L98" s="923"/>
      <c r="N98" s="930"/>
    </row>
    <row r="99" spans="1:14" s="224" customFormat="1" ht="15" customHeight="1" x14ac:dyDescent="0.25">
      <c r="A99" s="215">
        <v>43979</v>
      </c>
      <c r="B99" s="349" t="s">
        <v>2650</v>
      </c>
      <c r="C99" s="887" t="s">
        <v>12</v>
      </c>
      <c r="D99" s="879" t="s">
        <v>1489</v>
      </c>
      <c r="E99" s="871" t="s">
        <v>13</v>
      </c>
      <c r="F99" s="780">
        <v>6</v>
      </c>
      <c r="G99" s="946"/>
      <c r="H99" s="95"/>
      <c r="I99" s="1064"/>
      <c r="J99" s="622"/>
      <c r="K99" s="982"/>
      <c r="L99" s="518"/>
      <c r="M99" s="89"/>
    </row>
    <row r="100" spans="1:14" s="224" customFormat="1" ht="15" customHeight="1" x14ac:dyDescent="0.25">
      <c r="A100" s="215">
        <v>43979</v>
      </c>
      <c r="B100" s="364" t="s">
        <v>2651</v>
      </c>
      <c r="C100" s="350" t="s">
        <v>12</v>
      </c>
      <c r="D100" s="350" t="s">
        <v>1489</v>
      </c>
      <c r="E100" s="875" t="s">
        <v>13</v>
      </c>
      <c r="F100" s="780">
        <v>9</v>
      </c>
      <c r="G100" s="982"/>
      <c r="H100" s="1008"/>
      <c r="I100" s="1063"/>
      <c r="J100" s="97"/>
      <c r="K100" s="946"/>
      <c r="L100" s="923"/>
      <c r="N100" s="930"/>
    </row>
    <row r="101" spans="1:14" s="224" customFormat="1" ht="15" customHeight="1" x14ac:dyDescent="0.25">
      <c r="A101" s="215">
        <v>43979</v>
      </c>
      <c r="B101" s="349" t="s">
        <v>14</v>
      </c>
      <c r="C101" s="887" t="s">
        <v>12</v>
      </c>
      <c r="D101" s="879" t="s">
        <v>1486</v>
      </c>
      <c r="E101" s="871" t="s">
        <v>13</v>
      </c>
      <c r="F101" s="780">
        <v>4.32</v>
      </c>
      <c r="G101" s="946"/>
      <c r="H101" s="95"/>
      <c r="I101" s="1064"/>
      <c r="J101" s="622"/>
      <c r="K101" s="982"/>
      <c r="L101" s="518"/>
      <c r="M101" s="89"/>
    </row>
    <row r="102" spans="1:14" s="224" customFormat="1" ht="15" customHeight="1" x14ac:dyDescent="0.25">
      <c r="A102" s="215">
        <v>43980</v>
      </c>
      <c r="B102" s="364" t="s">
        <v>687</v>
      </c>
      <c r="C102" s="350" t="s">
        <v>12</v>
      </c>
      <c r="D102" s="350" t="s">
        <v>1491</v>
      </c>
      <c r="E102" s="875" t="s">
        <v>13</v>
      </c>
      <c r="F102" s="780">
        <v>24.84</v>
      </c>
      <c r="G102" s="982"/>
      <c r="H102" s="1008"/>
      <c r="I102" s="1063"/>
      <c r="J102" s="97"/>
      <c r="K102" s="946"/>
      <c r="L102" s="923"/>
      <c r="N102" s="930"/>
    </row>
    <row r="103" spans="1:14" s="224" customFormat="1" ht="15" customHeight="1" x14ac:dyDescent="0.25">
      <c r="A103" s="215">
        <v>43980</v>
      </c>
      <c r="B103" s="349" t="s">
        <v>14</v>
      </c>
      <c r="C103" s="887" t="s">
        <v>12</v>
      </c>
      <c r="D103" s="879" t="s">
        <v>1486</v>
      </c>
      <c r="E103" s="871" t="s">
        <v>13</v>
      </c>
      <c r="F103" s="780">
        <v>9.5</v>
      </c>
      <c r="G103" s="946"/>
      <c r="H103" s="95"/>
      <c r="I103" s="1064"/>
      <c r="J103" s="622"/>
      <c r="K103" s="982"/>
      <c r="L103" s="518"/>
      <c r="M103" s="89"/>
    </row>
    <row r="104" spans="1:14" s="224" customFormat="1" ht="15" customHeight="1" x14ac:dyDescent="0.25">
      <c r="A104" s="215">
        <v>43982</v>
      </c>
      <c r="B104" s="349" t="s">
        <v>14</v>
      </c>
      <c r="C104" s="887" t="s">
        <v>12</v>
      </c>
      <c r="D104" s="879" t="s">
        <v>1486</v>
      </c>
      <c r="E104" s="871" t="s">
        <v>13</v>
      </c>
      <c r="F104" s="780">
        <v>8.25</v>
      </c>
      <c r="G104" s="946"/>
      <c r="H104" s="95"/>
      <c r="I104" s="1064"/>
      <c r="J104" s="622"/>
      <c r="K104" s="982"/>
      <c r="L104" s="518"/>
      <c r="M104" s="89"/>
    </row>
    <row r="105" spans="1:14" s="224" customFormat="1" ht="15" customHeight="1" x14ac:dyDescent="0.25">
      <c r="A105" s="215">
        <v>43982</v>
      </c>
      <c r="B105" s="364" t="s">
        <v>655</v>
      </c>
      <c r="C105" s="350" t="s">
        <v>12</v>
      </c>
      <c r="D105" s="350" t="s">
        <v>1493</v>
      </c>
      <c r="E105" s="875" t="s">
        <v>13</v>
      </c>
      <c r="F105" s="780">
        <v>20.5</v>
      </c>
      <c r="G105" s="946"/>
      <c r="H105" s="95"/>
      <c r="I105" s="1064"/>
      <c r="J105" s="97"/>
      <c r="K105" s="946"/>
      <c r="L105" s="923"/>
      <c r="N105" s="930"/>
    </row>
    <row r="106" spans="1:14" s="224" customFormat="1" x14ac:dyDescent="0.25">
      <c r="A106" s="215">
        <v>43982</v>
      </c>
      <c r="B106" s="862" t="s">
        <v>1666</v>
      </c>
      <c r="C106" s="350" t="s">
        <v>12</v>
      </c>
      <c r="D106" s="1003"/>
      <c r="E106" s="145" t="s">
        <v>25</v>
      </c>
      <c r="F106" s="780"/>
      <c r="G106" s="982"/>
      <c r="H106" s="1008"/>
      <c r="I106" s="1063"/>
      <c r="J106" s="622"/>
      <c r="K106" s="982">
        <v>20.36</v>
      </c>
      <c r="L106" s="459"/>
    </row>
    <row r="107" spans="1:14" s="224" customFormat="1" ht="15" customHeight="1" thickBot="1" x14ac:dyDescent="0.3">
      <c r="A107" s="215">
        <v>43982</v>
      </c>
      <c r="B107" s="862" t="s">
        <v>2593</v>
      </c>
      <c r="C107" s="879" t="s">
        <v>12</v>
      </c>
      <c r="D107" s="879" t="s">
        <v>1504</v>
      </c>
      <c r="E107" s="871" t="s">
        <v>13</v>
      </c>
      <c r="F107" s="1019">
        <v>32.9</v>
      </c>
      <c r="G107" s="960"/>
      <c r="H107" s="1012"/>
      <c r="I107" s="1536"/>
      <c r="J107" s="416"/>
      <c r="K107" s="1522"/>
      <c r="L107" s="459"/>
    </row>
    <row r="108" spans="1:14" ht="25.5" customHeight="1" thickBot="1" x14ac:dyDescent="0.3">
      <c r="A108" s="3060"/>
      <c r="B108" s="3061"/>
      <c r="C108" s="3062"/>
      <c r="D108" s="3062"/>
      <c r="E108" s="3062"/>
      <c r="F108" s="1020">
        <f>SUM(F6:F107)</f>
        <v>3431.4133333333343</v>
      </c>
      <c r="G108" s="1534">
        <f>SUM(G5:G107)</f>
        <v>3957.8666666666877</v>
      </c>
      <c r="H108" s="101">
        <f>SUM(H6:H107)</f>
        <v>400</v>
      </c>
      <c r="I108" s="93">
        <f>SUM(I5:I107)</f>
        <v>1699.9960000000019</v>
      </c>
      <c r="J108" s="527">
        <f>SUM(J6:J107)</f>
        <v>0</v>
      </c>
      <c r="K108" s="93">
        <f>SUM(K5:K107)</f>
        <v>11143.24</v>
      </c>
    </row>
    <row r="109" spans="1:14" ht="25.5" customHeight="1" thickBot="1" x14ac:dyDescent="0.3">
      <c r="A109" s="3117" t="s">
        <v>49</v>
      </c>
      <c r="B109" s="3118"/>
      <c r="C109" s="3118"/>
      <c r="D109" s="3118"/>
      <c r="E109" s="3118"/>
      <c r="F109" s="1021" t="s">
        <v>280</v>
      </c>
      <c r="G109" s="519">
        <f>G108-F108</f>
        <v>526.45333333335338</v>
      </c>
      <c r="H109" s="555"/>
      <c r="I109" s="772">
        <f>I108-H108</f>
        <v>1299.9960000000019</v>
      </c>
      <c r="J109" s="593"/>
      <c r="K109" s="772">
        <f>K108-J108</f>
        <v>11143.24</v>
      </c>
    </row>
    <row r="110" spans="1:14" x14ac:dyDescent="0.25">
      <c r="E110" s="79"/>
      <c r="K110" s="518"/>
      <c r="L110" s="79"/>
      <c r="M110" s="1017" t="s">
        <v>2652</v>
      </c>
      <c r="N110" s="1017"/>
    </row>
    <row r="111" spans="1:14" x14ac:dyDescent="0.25">
      <c r="B111" s="81" t="s">
        <v>3</v>
      </c>
      <c r="C111" s="193" t="s">
        <v>1484</v>
      </c>
      <c r="D111" s="970" t="s">
        <v>2378</v>
      </c>
      <c r="G111" s="216"/>
      <c r="K111" s="866"/>
    </row>
    <row r="112" spans="1:14" x14ac:dyDescent="0.25">
      <c r="B112" s="79" t="s">
        <v>32</v>
      </c>
      <c r="C112" s="85" t="s">
        <v>1485</v>
      </c>
      <c r="D112" s="475">
        <f>SUMIF($D$7:$D$107,"A",$F$7:$F$107)</f>
        <v>267.89999999999998</v>
      </c>
      <c r="F112" s="79"/>
      <c r="I112" s="769"/>
      <c r="J112" s="868"/>
    </row>
    <row r="113" spans="1:12" x14ac:dyDescent="0.25">
      <c r="B113" s="79" t="s">
        <v>2187</v>
      </c>
      <c r="C113" s="85" t="s">
        <v>2157</v>
      </c>
      <c r="D113" s="475">
        <f>SUMIF($D$7:$D$107,"GAC",$F$7:$F$107)</f>
        <v>220</v>
      </c>
      <c r="G113" s="609"/>
      <c r="J113" s="754"/>
      <c r="K113" s="886"/>
      <c r="L113" s="985"/>
    </row>
    <row r="114" spans="1:12" x14ac:dyDescent="0.25">
      <c r="B114" s="79" t="s">
        <v>2188</v>
      </c>
      <c r="C114" s="85" t="s">
        <v>2168</v>
      </c>
      <c r="D114" s="475">
        <f>SUMIF($D$8:$D$107,"GAM",$F$8:$F$107)</f>
        <v>18.600000000000001</v>
      </c>
      <c r="J114" s="864"/>
      <c r="K114" s="864"/>
      <c r="L114" s="958"/>
    </row>
    <row r="115" spans="1:12" s="85" customFormat="1" x14ac:dyDescent="0.25">
      <c r="A115" s="79"/>
      <c r="B115" s="79" t="s">
        <v>50</v>
      </c>
      <c r="C115" s="85" t="s">
        <v>1493</v>
      </c>
      <c r="D115" s="475">
        <f>SUMIF($D$8:$D$107,"LD",$F$8:$F$107)</f>
        <v>293.57</v>
      </c>
      <c r="J115" s="864"/>
      <c r="K115" s="864"/>
      <c r="L115" s="958"/>
    </row>
    <row r="116" spans="1:12" s="85" customFormat="1" x14ac:dyDescent="0.25">
      <c r="A116" s="79"/>
      <c r="B116" s="79" t="s">
        <v>14</v>
      </c>
      <c r="C116" s="85" t="s">
        <v>1486</v>
      </c>
      <c r="D116" s="475">
        <f>SUMIF($D$8:$D$107,"C",$F$8:$F$107)</f>
        <v>156.60999999999999</v>
      </c>
      <c r="F116" s="89"/>
      <c r="G116" s="79"/>
      <c r="H116" s="79"/>
      <c r="J116" s="864"/>
      <c r="K116" s="864"/>
      <c r="L116" s="958"/>
    </row>
    <row r="117" spans="1:12" s="85" customFormat="1" x14ac:dyDescent="0.25">
      <c r="A117" s="79"/>
      <c r="B117" s="79" t="s">
        <v>51</v>
      </c>
      <c r="C117" s="864" t="s">
        <v>1499</v>
      </c>
      <c r="D117" s="475">
        <f>SUMIF($D$8:$D$107,"CAL",$F$8:$F$107)</f>
        <v>53.18</v>
      </c>
      <c r="F117" s="89"/>
      <c r="G117" s="79"/>
      <c r="H117" s="79"/>
      <c r="I117" s="79"/>
      <c r="L117" s="958"/>
    </row>
    <row r="118" spans="1:12" s="85" customFormat="1" x14ac:dyDescent="0.25">
      <c r="A118" s="79"/>
      <c r="B118" s="79" t="s">
        <v>2189</v>
      </c>
      <c r="C118" s="864" t="s">
        <v>1496</v>
      </c>
      <c r="D118" s="475">
        <f>SUMIF($D$8:$D$107,"AC",$F$8:$F$107)</f>
        <v>83.666666666666657</v>
      </c>
      <c r="F118" s="769"/>
      <c r="G118" s="79"/>
      <c r="L118" s="941"/>
    </row>
    <row r="119" spans="1:12" s="85" customFormat="1" x14ac:dyDescent="0.25">
      <c r="A119" s="79"/>
      <c r="B119" s="867" t="s">
        <v>53</v>
      </c>
      <c r="C119" s="864" t="s">
        <v>1522</v>
      </c>
      <c r="D119" s="475">
        <f>SUMIF($D$8:$D$107,"DC",$F$8:$F$107)</f>
        <v>144.66666666666666</v>
      </c>
      <c r="L119" s="459"/>
    </row>
    <row r="120" spans="1:12" s="85" customFormat="1" x14ac:dyDescent="0.25">
      <c r="A120" s="79"/>
      <c r="B120" s="867" t="s">
        <v>2149</v>
      </c>
      <c r="C120" s="864" t="s">
        <v>2131</v>
      </c>
      <c r="D120" s="475">
        <f>SUMIF($D$8:$D$107,"DM",$F$8:$F$107)</f>
        <v>81.150000000000006</v>
      </c>
      <c r="F120" s="769"/>
      <c r="L120" s="459"/>
    </row>
    <row r="121" spans="1:12" s="85" customFormat="1" x14ac:dyDescent="0.25">
      <c r="A121" s="79"/>
      <c r="B121" s="79" t="s">
        <v>2008</v>
      </c>
      <c r="C121" s="864" t="s">
        <v>1523</v>
      </c>
      <c r="D121" s="475">
        <f>SUMIF($D$8:$D$107,"B",$F$8:$F$107)</f>
        <v>41.010000000000005</v>
      </c>
      <c r="F121" s="769"/>
      <c r="G121" s="866"/>
      <c r="J121" s="85" t="s">
        <v>280</v>
      </c>
      <c r="L121" s="459"/>
    </row>
    <row r="122" spans="1:12" s="85" customFormat="1" x14ac:dyDescent="0.25">
      <c r="A122" s="79"/>
      <c r="B122" s="79" t="s">
        <v>1686</v>
      </c>
      <c r="C122" s="864" t="s">
        <v>1506</v>
      </c>
      <c r="D122" s="475">
        <f>SUMIF($D$8:$D$107,"R",$F$8:$F$107)</f>
        <v>508.57</v>
      </c>
      <c r="F122" s="769"/>
      <c r="G122" s="868"/>
      <c r="K122" s="866"/>
      <c r="L122" s="459"/>
    </row>
    <row r="123" spans="1:12" x14ac:dyDescent="0.25">
      <c r="B123" s="79" t="s">
        <v>418</v>
      </c>
      <c r="C123" s="85" t="s">
        <v>1524</v>
      </c>
      <c r="D123" s="475">
        <f>SUMIF($D$8:$D$107,"COM",$F$8:$F$107)</f>
        <v>0</v>
      </c>
      <c r="G123" s="85"/>
      <c r="H123" s="85"/>
      <c r="I123" s="85"/>
      <c r="J123" s="769"/>
      <c r="K123" s="868"/>
    </row>
    <row r="124" spans="1:12" x14ac:dyDescent="0.25">
      <c r="B124" s="79" t="s">
        <v>419</v>
      </c>
      <c r="C124" s="85" t="s">
        <v>1491</v>
      </c>
      <c r="D124" s="475">
        <f>SUMIF($D$8:$D$107,"F",$F$8:$F$107)</f>
        <v>450.84</v>
      </c>
      <c r="J124" s="769"/>
      <c r="K124" s="868"/>
    </row>
    <row r="125" spans="1:12" x14ac:dyDescent="0.25">
      <c r="B125" s="79" t="s">
        <v>911</v>
      </c>
      <c r="C125" s="85" t="s">
        <v>1525</v>
      </c>
      <c r="D125" s="475">
        <f>SUMIF($D$8:$D$107,"FER",$F$8:$F$107)</f>
        <v>239.9</v>
      </c>
      <c r="J125" s="769"/>
      <c r="K125" s="866"/>
    </row>
    <row r="126" spans="1:12" x14ac:dyDescent="0.25">
      <c r="B126" s="79" t="s">
        <v>1526</v>
      </c>
      <c r="C126" s="85" t="s">
        <v>1504</v>
      </c>
      <c r="D126" s="475">
        <f>SUMIF($D$8:$D$107,"I",$F$8:$F$107)</f>
        <v>149.9</v>
      </c>
      <c r="F126" s="89" t="s">
        <v>280</v>
      </c>
      <c r="J126" s="769"/>
      <c r="K126" s="866"/>
    </row>
    <row r="127" spans="1:12" x14ac:dyDescent="0.25">
      <c r="B127" s="79" t="s">
        <v>2343</v>
      </c>
      <c r="C127" s="85" t="s">
        <v>2315</v>
      </c>
      <c r="D127" s="475">
        <f>SUMIF($D$8:$D$107,"E",$F$8:$F$107)</f>
        <v>0</v>
      </c>
      <c r="J127" s="769"/>
      <c r="K127" s="868"/>
    </row>
    <row r="128" spans="1:12" x14ac:dyDescent="0.25">
      <c r="B128" s="79" t="s">
        <v>1527</v>
      </c>
      <c r="C128" s="85" t="s">
        <v>1489</v>
      </c>
      <c r="D128" s="475">
        <f>SUMIF($D$7:$D$107,"OD",$F$7:$F$107)</f>
        <v>383.9</v>
      </c>
      <c r="J128" s="769"/>
      <c r="K128" s="866"/>
    </row>
    <row r="129" spans="1:15" x14ac:dyDescent="0.25">
      <c r="C129" s="769"/>
      <c r="K129" s="866"/>
    </row>
    <row r="130" spans="1:15" x14ac:dyDescent="0.25">
      <c r="D130" s="459"/>
      <c r="H130" s="769"/>
      <c r="I130" s="518" t="s">
        <v>280</v>
      </c>
      <c r="K130" s="866"/>
    </row>
    <row r="131" spans="1:15" x14ac:dyDescent="0.25">
      <c r="B131" s="79" t="s">
        <v>486</v>
      </c>
      <c r="C131" s="475">
        <f>H131/J131</f>
        <v>99.789139784946244</v>
      </c>
      <c r="F131" s="224" t="s">
        <v>487</v>
      </c>
      <c r="H131" s="216">
        <f>SUM(D112:D128)</f>
        <v>3093.4633333333336</v>
      </c>
      <c r="J131" s="1517">
        <v>31</v>
      </c>
    </row>
    <row r="132" spans="1:15" ht="15.75" customHeight="1" x14ac:dyDescent="0.25">
      <c r="E132" s="769"/>
      <c r="H132" s="629"/>
      <c r="K132" s="868"/>
    </row>
    <row r="133" spans="1:15" x14ac:dyDescent="0.25">
      <c r="E133" s="79"/>
      <c r="F133" s="79"/>
      <c r="H133" s="866"/>
      <c r="J133" s="769"/>
      <c r="K133" s="866"/>
    </row>
    <row r="134" spans="1:15" s="518" customFormat="1" x14ac:dyDescent="0.25">
      <c r="A134" s="79"/>
      <c r="B134" s="79"/>
      <c r="C134" s="85"/>
      <c r="D134" s="79"/>
      <c r="E134" s="79"/>
      <c r="F134" s="89"/>
      <c r="G134" s="79"/>
      <c r="H134" s="79"/>
      <c r="I134" s="79"/>
      <c r="J134" s="769"/>
      <c r="K134" s="866"/>
      <c r="M134" s="79"/>
      <c r="N134" s="79"/>
      <c r="O134" s="79"/>
    </row>
    <row r="135" spans="1:15" s="518" customFormat="1" x14ac:dyDescent="0.25">
      <c r="A135" s="79"/>
      <c r="B135" s="79"/>
      <c r="C135" s="85"/>
      <c r="D135" s="85"/>
      <c r="E135" s="85"/>
      <c r="F135" s="89"/>
      <c r="G135" s="79"/>
      <c r="H135" s="79"/>
      <c r="I135" s="79"/>
      <c r="J135" s="769"/>
      <c r="K135" s="866"/>
      <c r="M135" s="79"/>
      <c r="N135" s="79"/>
      <c r="O135" s="79"/>
    </row>
    <row r="136" spans="1:15" s="518" customFormat="1" x14ac:dyDescent="0.25">
      <c r="A136" s="79"/>
      <c r="B136" s="79"/>
      <c r="C136" s="85"/>
      <c r="D136" s="85"/>
      <c r="E136" s="85"/>
      <c r="F136" s="89"/>
      <c r="G136" s="79"/>
      <c r="H136" s="79"/>
      <c r="I136" s="79"/>
      <c r="J136" s="769"/>
      <c r="K136" s="866"/>
      <c r="M136" s="79"/>
      <c r="N136" s="79"/>
      <c r="O136" s="79"/>
    </row>
    <row r="137" spans="1:15" s="518" customFormat="1" x14ac:dyDescent="0.25">
      <c r="A137" s="79"/>
      <c r="B137" s="79"/>
      <c r="C137" s="85"/>
      <c r="D137" s="85"/>
      <c r="E137" s="85"/>
      <c r="F137" s="89"/>
      <c r="G137" s="79"/>
      <c r="H137" s="79"/>
      <c r="I137" s="216"/>
      <c r="J137" s="769"/>
      <c r="K137" s="866"/>
      <c r="M137" s="79"/>
      <c r="N137" s="79"/>
      <c r="O137" s="79"/>
    </row>
    <row r="138" spans="1:15" s="518" customFormat="1" x14ac:dyDescent="0.25">
      <c r="A138" s="79"/>
      <c r="B138" s="79"/>
      <c r="C138" s="79"/>
      <c r="D138" s="79"/>
      <c r="E138" s="79"/>
      <c r="F138" s="79"/>
      <c r="G138" s="79"/>
      <c r="H138" s="79"/>
      <c r="K138" s="866"/>
      <c r="M138" s="79"/>
      <c r="N138" s="79"/>
      <c r="O138" s="79"/>
    </row>
    <row r="139" spans="1:15" s="518" customFormat="1" x14ac:dyDescent="0.25">
      <c r="A139" s="79"/>
      <c r="B139" s="79"/>
      <c r="C139" s="79"/>
      <c r="D139" s="79"/>
      <c r="E139" s="79"/>
      <c r="F139" s="79"/>
      <c r="G139" s="79"/>
      <c r="H139" s="79"/>
      <c r="I139" s="216"/>
      <c r="J139" s="769"/>
      <c r="K139" s="866"/>
      <c r="M139" s="79"/>
      <c r="N139" s="79"/>
      <c r="O139" s="79"/>
    </row>
    <row r="140" spans="1:15" s="518" customFormat="1" x14ac:dyDescent="0.25">
      <c r="A140" s="79"/>
      <c r="B140" s="79"/>
      <c r="C140" s="79"/>
      <c r="D140" s="79"/>
      <c r="E140" s="79"/>
      <c r="F140" s="79"/>
      <c r="G140" s="216"/>
      <c r="H140" s="79"/>
      <c r="I140" s="216"/>
      <c r="J140" s="769"/>
      <c r="K140" s="868"/>
      <c r="M140" s="79"/>
      <c r="N140" s="79"/>
      <c r="O140" s="79"/>
    </row>
    <row r="141" spans="1:15" s="518" customFormat="1" x14ac:dyDescent="0.25">
      <c r="A141" s="79"/>
      <c r="B141" s="79"/>
      <c r="C141" s="79"/>
      <c r="D141" s="79"/>
      <c r="E141" s="79"/>
      <c r="F141" s="79"/>
      <c r="G141" s="216"/>
      <c r="H141" s="79"/>
      <c r="I141" s="216"/>
      <c r="J141" s="769"/>
      <c r="K141" s="866"/>
      <c r="M141" s="79"/>
      <c r="N141" s="79"/>
      <c r="O141" s="79"/>
    </row>
    <row r="142" spans="1:15" s="518" customFormat="1" x14ac:dyDescent="0.25">
      <c r="A142" s="79"/>
      <c r="B142" s="79"/>
      <c r="C142" s="79"/>
      <c r="D142" s="79"/>
      <c r="E142" s="79"/>
      <c r="F142" s="79"/>
      <c r="G142" s="216"/>
      <c r="H142" s="79"/>
      <c r="I142" s="79"/>
      <c r="J142" s="770"/>
      <c r="K142" s="866"/>
      <c r="M142" s="79"/>
      <c r="N142" s="79"/>
      <c r="O142" s="79"/>
    </row>
    <row r="143" spans="1:15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216"/>
      <c r="J143" s="769"/>
      <c r="K143" s="868"/>
      <c r="M143" s="79"/>
      <c r="N143" s="79"/>
      <c r="O143" s="79"/>
    </row>
    <row r="144" spans="1:15" s="518" customFormat="1" x14ac:dyDescent="0.25">
      <c r="A144" s="79"/>
      <c r="B144" s="79"/>
      <c r="C144" s="85"/>
      <c r="D144" s="85"/>
      <c r="E144" s="85"/>
      <c r="F144" s="89"/>
      <c r="G144" s="79"/>
      <c r="H144" s="79"/>
      <c r="I144" s="79"/>
      <c r="J144" s="769"/>
      <c r="K144" s="866"/>
      <c r="M144" s="79"/>
      <c r="N144" s="79"/>
      <c r="O144" s="79"/>
    </row>
    <row r="145" spans="1:15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629"/>
      <c r="J145" s="769"/>
      <c r="K145" s="866"/>
      <c r="M145" s="79"/>
      <c r="N145" s="79"/>
      <c r="O145" s="79"/>
    </row>
    <row r="146" spans="1:15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M146" s="79"/>
      <c r="N146" s="79"/>
      <c r="O146" s="79"/>
    </row>
    <row r="147" spans="1:15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M148" s="79"/>
      <c r="N148" s="79"/>
      <c r="O148" s="79"/>
    </row>
    <row r="149" spans="1:15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6"/>
      <c r="M151" s="79"/>
      <c r="N151" s="79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8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M156" s="79"/>
      <c r="N156" s="79"/>
      <c r="O156" s="79"/>
    </row>
    <row r="157" spans="1:15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8"/>
      <c r="M162" s="79"/>
      <c r="N162" s="79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79"/>
      <c r="J165" s="769"/>
      <c r="K165" s="868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69"/>
      <c r="K166" s="868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69"/>
      <c r="K167" s="868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223"/>
      <c r="K170" s="629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56"/>
      <c r="K171" s="756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85"/>
      <c r="K176" s="85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85"/>
      <c r="K183" s="85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71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216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216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216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M201" s="79"/>
      <c r="N201" s="79"/>
      <c r="O201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M203" s="79"/>
      <c r="N203" s="79"/>
      <c r="O203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629"/>
      <c r="M205" s="79"/>
      <c r="N205" s="79"/>
      <c r="O205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M214" s="79"/>
      <c r="N214" s="79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</sheetData>
  <autoFilter ref="A2:I128" xr:uid="{00000000-0009-0000-0000-000063000000}"/>
  <mergeCells count="12">
    <mergeCell ref="A108:E108"/>
    <mergeCell ref="A109:E10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Plan110"/>
  <dimension ref="A1:O227"/>
  <sheetViews>
    <sheetView zoomScale="85" zoomScaleNormal="85" workbookViewId="0">
      <pane ySplit="4" topLeftCell="A57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2653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515" t="s">
        <v>8</v>
      </c>
      <c r="G4" s="148" t="s">
        <v>9</v>
      </c>
      <c r="H4" s="1022" t="s">
        <v>8</v>
      </c>
      <c r="I4" s="1013" t="s">
        <v>9</v>
      </c>
      <c r="J4" s="515" t="s">
        <v>8</v>
      </c>
      <c r="K4" s="148" t="s">
        <v>9</v>
      </c>
      <c r="O4" s="948"/>
    </row>
    <row r="5" spans="1:15" x14ac:dyDescent="0.25">
      <c r="A5" s="281">
        <v>43983</v>
      </c>
      <c r="B5" s="369" t="s">
        <v>10</v>
      </c>
      <c r="C5" s="370"/>
      <c r="D5" s="370"/>
      <c r="E5" s="777"/>
      <c r="F5" s="179"/>
      <c r="G5" s="933">
        <f>'Maio-20'!G109</f>
        <v>526.45333333335338</v>
      </c>
      <c r="H5" s="163"/>
      <c r="I5" s="1479">
        <f>'Maio-20'!I109</f>
        <v>1299.9960000000019</v>
      </c>
      <c r="J5" s="179"/>
      <c r="K5" s="933">
        <f>'Maio-20'!K109</f>
        <v>11143.24</v>
      </c>
    </row>
    <row r="6" spans="1:15" s="224" customFormat="1" x14ac:dyDescent="0.25">
      <c r="A6" s="215">
        <v>43983</v>
      </c>
      <c r="B6" s="348" t="s">
        <v>11</v>
      </c>
      <c r="C6" s="351"/>
      <c r="D6" s="351"/>
      <c r="E6" s="673"/>
      <c r="F6" s="538"/>
      <c r="G6" s="1473"/>
      <c r="H6" s="252"/>
      <c r="I6" s="1480"/>
      <c r="J6" s="250"/>
      <c r="K6" s="1473"/>
      <c r="L6" s="518"/>
      <c r="M6" s="89"/>
    </row>
    <row r="7" spans="1:15" s="224" customFormat="1" ht="15" customHeight="1" x14ac:dyDescent="0.25">
      <c r="A7" s="215">
        <v>43983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14</v>
      </c>
      <c r="G7" s="946"/>
      <c r="H7" s="95"/>
      <c r="I7" s="1064"/>
      <c r="J7" s="97"/>
      <c r="K7" s="946"/>
      <c r="L7" s="928"/>
      <c r="M7" s="89"/>
      <c r="N7" s="930"/>
    </row>
    <row r="8" spans="1:15" s="224" customFormat="1" ht="15" customHeight="1" x14ac:dyDescent="0.25">
      <c r="A8" s="215">
        <v>43983</v>
      </c>
      <c r="B8" s="349" t="s">
        <v>14</v>
      </c>
      <c r="C8" s="887" t="s">
        <v>12</v>
      </c>
      <c r="D8" s="879" t="s">
        <v>1486</v>
      </c>
      <c r="E8" s="871" t="s">
        <v>13</v>
      </c>
      <c r="F8" s="780">
        <v>4.03</v>
      </c>
      <c r="G8" s="982"/>
      <c r="H8" s="1008"/>
      <c r="I8" s="1063"/>
      <c r="J8" s="622"/>
      <c r="K8" s="982"/>
      <c r="L8" s="459"/>
    </row>
    <row r="9" spans="1:15" s="224" customFormat="1" ht="15" customHeight="1" x14ac:dyDescent="0.25">
      <c r="A9" s="215">
        <v>43984</v>
      </c>
      <c r="B9" s="364" t="s">
        <v>32</v>
      </c>
      <c r="C9" s="350" t="s">
        <v>12</v>
      </c>
      <c r="D9" s="350" t="s">
        <v>1485</v>
      </c>
      <c r="E9" s="875" t="s">
        <v>13</v>
      </c>
      <c r="F9" s="780">
        <v>14</v>
      </c>
      <c r="G9" s="946"/>
      <c r="H9" s="95"/>
      <c r="I9" s="1064"/>
      <c r="J9" s="97"/>
      <c r="K9" s="946"/>
      <c r="L9" s="928"/>
      <c r="M9" s="89"/>
      <c r="N9" s="930"/>
    </row>
    <row r="10" spans="1:15" s="224" customFormat="1" ht="15" customHeight="1" x14ac:dyDescent="0.25">
      <c r="A10" s="215">
        <v>43984</v>
      </c>
      <c r="B10" s="364" t="s">
        <v>81</v>
      </c>
      <c r="C10" s="350" t="s">
        <v>12</v>
      </c>
      <c r="D10" s="350" t="s">
        <v>1493</v>
      </c>
      <c r="E10" s="875" t="s">
        <v>13</v>
      </c>
      <c r="F10" s="780">
        <v>2</v>
      </c>
      <c r="G10" s="982"/>
      <c r="H10" s="1008"/>
      <c r="I10" s="1063"/>
      <c r="J10" s="622"/>
      <c r="K10" s="982"/>
      <c r="L10" s="459"/>
    </row>
    <row r="11" spans="1:15" s="224" customFormat="1" ht="15" customHeight="1" x14ac:dyDescent="0.25">
      <c r="A11" s="215">
        <v>43984</v>
      </c>
      <c r="B11" s="349" t="s">
        <v>2654</v>
      </c>
      <c r="C11" s="879" t="s">
        <v>12</v>
      </c>
      <c r="D11" s="879" t="s">
        <v>1489</v>
      </c>
      <c r="E11" s="871" t="s">
        <v>13</v>
      </c>
      <c r="F11" s="780">
        <v>13.97</v>
      </c>
      <c r="G11" s="982"/>
      <c r="H11" s="1008"/>
      <c r="I11" s="1063"/>
      <c r="J11" s="622"/>
      <c r="K11" s="982"/>
      <c r="L11" s="459"/>
    </row>
    <row r="12" spans="1:15" s="224" customFormat="1" ht="15" customHeight="1" x14ac:dyDescent="0.25">
      <c r="A12" s="215">
        <v>43984</v>
      </c>
      <c r="B12" s="364" t="s">
        <v>2251</v>
      </c>
      <c r="C12" s="350" t="s">
        <v>12</v>
      </c>
      <c r="D12" s="350" t="s">
        <v>2157</v>
      </c>
      <c r="E12" s="875" t="s">
        <v>13</v>
      </c>
      <c r="F12" s="780">
        <v>40</v>
      </c>
      <c r="G12" s="982"/>
      <c r="H12" s="1008"/>
      <c r="I12" s="1063"/>
      <c r="J12" s="622"/>
      <c r="K12" s="982"/>
      <c r="L12" s="459"/>
    </row>
    <row r="13" spans="1:15" s="224" customFormat="1" ht="15" customHeight="1" x14ac:dyDescent="0.25">
      <c r="A13" s="215">
        <v>43984</v>
      </c>
      <c r="B13" s="349" t="s">
        <v>14</v>
      </c>
      <c r="C13" s="887" t="s">
        <v>12</v>
      </c>
      <c r="D13" s="879" t="s">
        <v>1486</v>
      </c>
      <c r="E13" s="871" t="s">
        <v>13</v>
      </c>
      <c r="F13" s="780">
        <v>4.1500000000000004</v>
      </c>
      <c r="G13" s="982"/>
      <c r="H13" s="1008"/>
      <c r="I13" s="1063"/>
      <c r="J13" s="622"/>
      <c r="K13" s="982"/>
      <c r="L13" s="459"/>
    </row>
    <row r="14" spans="1:15" s="224" customFormat="1" ht="15" customHeight="1" x14ac:dyDescent="0.25">
      <c r="A14" s="215">
        <v>43985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14</v>
      </c>
      <c r="G14" s="946"/>
      <c r="H14" s="95"/>
      <c r="I14" s="1064"/>
      <c r="J14" s="97"/>
      <c r="K14" s="946"/>
      <c r="L14" s="928"/>
      <c r="M14" s="89"/>
      <c r="N14" s="930"/>
    </row>
    <row r="15" spans="1:15" s="224" customFormat="1" ht="15" customHeight="1" x14ac:dyDescent="0.25">
      <c r="A15" s="215">
        <v>43985</v>
      </c>
      <c r="B15" s="349" t="s">
        <v>14</v>
      </c>
      <c r="C15" s="887" t="s">
        <v>12</v>
      </c>
      <c r="D15" s="879" t="s">
        <v>1486</v>
      </c>
      <c r="E15" s="871" t="s">
        <v>13</v>
      </c>
      <c r="F15" s="780">
        <v>8.0500000000000007</v>
      </c>
      <c r="G15" s="982"/>
      <c r="H15" s="1008"/>
      <c r="I15" s="1063"/>
      <c r="J15" s="622"/>
      <c r="K15" s="982"/>
      <c r="L15" s="459"/>
    </row>
    <row r="16" spans="1:15" s="224" customFormat="1" ht="15" customHeight="1" x14ac:dyDescent="0.25">
      <c r="A16" s="215">
        <v>43986</v>
      </c>
      <c r="B16" s="364" t="s">
        <v>32</v>
      </c>
      <c r="C16" s="350" t="s">
        <v>12</v>
      </c>
      <c r="D16" s="350" t="s">
        <v>1485</v>
      </c>
      <c r="E16" s="875" t="s">
        <v>13</v>
      </c>
      <c r="F16" s="780">
        <v>13</v>
      </c>
      <c r="G16" s="946"/>
      <c r="H16" s="95"/>
      <c r="I16" s="1064"/>
      <c r="J16" s="97"/>
      <c r="K16" s="946"/>
      <c r="L16" s="928"/>
      <c r="M16" s="89"/>
      <c r="N16" s="930"/>
    </row>
    <row r="17" spans="1:13" s="224" customFormat="1" ht="15" customHeight="1" x14ac:dyDescent="0.25">
      <c r="A17" s="215">
        <v>43986</v>
      </c>
      <c r="B17" s="364" t="s">
        <v>81</v>
      </c>
      <c r="C17" s="350" t="s">
        <v>12</v>
      </c>
      <c r="D17" s="350" t="s">
        <v>1493</v>
      </c>
      <c r="E17" s="875" t="s">
        <v>13</v>
      </c>
      <c r="F17" s="780">
        <v>10.49</v>
      </c>
      <c r="G17" s="982"/>
      <c r="H17" s="1008"/>
      <c r="I17" s="1063"/>
      <c r="J17" s="622"/>
      <c r="K17" s="982"/>
      <c r="L17" s="459"/>
    </row>
    <row r="18" spans="1:13" s="224" customFormat="1" ht="15" customHeight="1" x14ac:dyDescent="0.25">
      <c r="A18" s="215">
        <v>43986</v>
      </c>
      <c r="B18" s="349" t="s">
        <v>14</v>
      </c>
      <c r="C18" s="887" t="s">
        <v>12</v>
      </c>
      <c r="D18" s="879" t="s">
        <v>1486</v>
      </c>
      <c r="E18" s="871" t="s">
        <v>13</v>
      </c>
      <c r="F18" s="780">
        <v>6.65</v>
      </c>
      <c r="G18" s="982"/>
      <c r="H18" s="1008"/>
      <c r="I18" s="1063"/>
      <c r="J18" s="622"/>
      <c r="K18" s="982"/>
      <c r="L18" s="459"/>
    </row>
    <row r="19" spans="1:13" s="224" customFormat="1" ht="15" customHeight="1" x14ac:dyDescent="0.25">
      <c r="A19" s="215">
        <v>43987</v>
      </c>
      <c r="B19" s="349" t="s">
        <v>260</v>
      </c>
      <c r="C19" s="350" t="s">
        <v>12</v>
      </c>
      <c r="D19" s="350"/>
      <c r="E19" s="480"/>
      <c r="F19" s="780">
        <v>300</v>
      </c>
      <c r="G19" s="946"/>
      <c r="H19" s="95"/>
      <c r="I19" s="1064">
        <v>300</v>
      </c>
      <c r="J19" s="622"/>
      <c r="K19" s="982"/>
      <c r="L19" s="459"/>
    </row>
    <row r="20" spans="1:13" s="224" customFormat="1" ht="15.75" customHeight="1" x14ac:dyDescent="0.25">
      <c r="A20" s="215">
        <v>43987</v>
      </c>
      <c r="B20" s="349" t="s">
        <v>2655</v>
      </c>
      <c r="C20" s="887" t="s">
        <v>12</v>
      </c>
      <c r="D20" s="874"/>
      <c r="E20" s="871" t="s">
        <v>25</v>
      </c>
      <c r="F20" s="780"/>
      <c r="G20" s="1002">
        <v>1753.43</v>
      </c>
      <c r="H20" s="539"/>
      <c r="I20" s="1063"/>
      <c r="J20" s="622"/>
      <c r="K20" s="982"/>
      <c r="L20" s="89"/>
      <c r="M20" s="89"/>
    </row>
    <row r="21" spans="1:13" s="224" customFormat="1" ht="15.75" customHeight="1" x14ac:dyDescent="0.25">
      <c r="A21" s="215">
        <v>43987</v>
      </c>
      <c r="B21" s="349" t="s">
        <v>2656</v>
      </c>
      <c r="C21" s="887" t="s">
        <v>12</v>
      </c>
      <c r="D21" s="1005" t="s">
        <v>1525</v>
      </c>
      <c r="E21" s="887" t="s">
        <v>13</v>
      </c>
      <c r="F21" s="613">
        <v>164.9</v>
      </c>
      <c r="G21" s="982"/>
      <c r="H21" s="539"/>
      <c r="I21" s="1063"/>
      <c r="J21" s="622"/>
      <c r="K21" s="982"/>
      <c r="L21" s="997"/>
      <c r="M21" s="89"/>
    </row>
    <row r="22" spans="1:13" s="224" customFormat="1" x14ac:dyDescent="0.25">
      <c r="A22" s="215">
        <v>43987</v>
      </c>
      <c r="B22" s="349" t="s">
        <v>2656</v>
      </c>
      <c r="C22" s="887" t="s">
        <v>12</v>
      </c>
      <c r="D22" s="1005" t="s">
        <v>1496</v>
      </c>
      <c r="E22" s="887" t="s">
        <v>13</v>
      </c>
      <c r="F22" s="780">
        <v>24</v>
      </c>
      <c r="G22" s="982"/>
      <c r="H22" s="1008"/>
      <c r="I22" s="1063"/>
      <c r="J22" s="780"/>
      <c r="K22" s="614"/>
      <c r="L22" s="518"/>
      <c r="M22" s="89"/>
    </row>
    <row r="23" spans="1:13" s="224" customFormat="1" x14ac:dyDescent="0.25">
      <c r="A23" s="215">
        <v>43987</v>
      </c>
      <c r="B23" s="349" t="s">
        <v>2656</v>
      </c>
      <c r="C23" s="887" t="s">
        <v>12</v>
      </c>
      <c r="D23" s="1005" t="s">
        <v>1496</v>
      </c>
      <c r="E23" s="887" t="s">
        <v>13</v>
      </c>
      <c r="F23" s="780">
        <v>59.67</v>
      </c>
      <c r="G23" s="982"/>
      <c r="H23" s="1008"/>
      <c r="I23" s="1063"/>
      <c r="J23" s="780"/>
      <c r="K23" s="614"/>
      <c r="L23" s="518"/>
      <c r="M23" s="89"/>
    </row>
    <row r="24" spans="1:13" x14ac:dyDescent="0.25">
      <c r="A24" s="215">
        <v>43987</v>
      </c>
      <c r="B24" s="862" t="s">
        <v>2385</v>
      </c>
      <c r="C24" s="879" t="s">
        <v>12</v>
      </c>
      <c r="D24" s="879" t="s">
        <v>1504</v>
      </c>
      <c r="E24" s="871" t="s">
        <v>13</v>
      </c>
      <c r="F24" s="780">
        <v>43.9</v>
      </c>
      <c r="G24" s="982"/>
      <c r="H24" s="1008"/>
      <c r="I24" s="1063"/>
      <c r="J24" s="622"/>
      <c r="K24" s="1002"/>
      <c r="L24" s="997">
        <v>83.9</v>
      </c>
    </row>
    <row r="25" spans="1:13" x14ac:dyDescent="0.25">
      <c r="A25" s="215">
        <v>43987</v>
      </c>
      <c r="B25" s="882" t="s">
        <v>2657</v>
      </c>
      <c r="C25" s="879" t="s">
        <v>12</v>
      </c>
      <c r="D25" s="879"/>
      <c r="E25" s="871" t="s">
        <v>13</v>
      </c>
      <c r="F25" s="780">
        <v>0</v>
      </c>
      <c r="G25" s="982"/>
      <c r="H25" s="1008"/>
      <c r="I25" s="1063"/>
      <c r="J25" s="780"/>
      <c r="K25" s="614"/>
      <c r="L25" s="997" t="s">
        <v>2658</v>
      </c>
      <c r="M25" s="518"/>
    </row>
    <row r="26" spans="1:13" x14ac:dyDescent="0.25">
      <c r="A26" s="215">
        <v>43987</v>
      </c>
      <c r="B26" s="876" t="s">
        <v>52</v>
      </c>
      <c r="C26" s="879" t="s">
        <v>12</v>
      </c>
      <c r="D26" s="879"/>
      <c r="E26" s="871" t="s">
        <v>15</v>
      </c>
      <c r="F26" s="780">
        <v>0</v>
      </c>
      <c r="G26" s="982"/>
      <c r="H26" s="1009"/>
      <c r="I26" s="1063"/>
      <c r="J26" s="622"/>
      <c r="K26" s="982"/>
      <c r="L26" s="997"/>
    </row>
    <row r="27" spans="1:13" s="224" customFormat="1" ht="15" customHeight="1" x14ac:dyDescent="0.25">
      <c r="A27" s="215">
        <v>43987</v>
      </c>
      <c r="B27" s="364" t="s">
        <v>81</v>
      </c>
      <c r="C27" s="350" t="s">
        <v>12</v>
      </c>
      <c r="D27" s="350" t="s">
        <v>1493</v>
      </c>
      <c r="E27" s="480" t="s">
        <v>15</v>
      </c>
      <c r="F27" s="613">
        <v>10</v>
      </c>
      <c r="G27" s="967"/>
      <c r="H27" s="1008"/>
      <c r="I27" s="1063"/>
      <c r="J27" s="622"/>
      <c r="K27" s="982"/>
      <c r="L27" s="459"/>
    </row>
    <row r="28" spans="1:13" s="224" customFormat="1" ht="15" customHeight="1" x14ac:dyDescent="0.25">
      <c r="A28" s="215">
        <v>43987</v>
      </c>
      <c r="B28" s="349" t="s">
        <v>14</v>
      </c>
      <c r="C28" s="887" t="s">
        <v>12</v>
      </c>
      <c r="D28" s="879" t="s">
        <v>1486</v>
      </c>
      <c r="E28" s="871" t="s">
        <v>13</v>
      </c>
      <c r="F28" s="780">
        <v>4.5599999999999996</v>
      </c>
      <c r="G28" s="982"/>
      <c r="H28" s="1008"/>
      <c r="I28" s="1063"/>
      <c r="J28" s="622"/>
      <c r="K28" s="982"/>
      <c r="L28" s="459"/>
    </row>
    <row r="29" spans="1:13" s="224" customFormat="1" ht="15" customHeight="1" x14ac:dyDescent="0.25">
      <c r="A29" s="215">
        <v>43988</v>
      </c>
      <c r="B29" s="364" t="s">
        <v>1396</v>
      </c>
      <c r="C29" s="350" t="s">
        <v>12</v>
      </c>
      <c r="D29" s="350"/>
      <c r="E29" s="480" t="s">
        <v>25</v>
      </c>
      <c r="F29" s="613"/>
      <c r="G29" s="967">
        <v>45</v>
      </c>
      <c r="H29" s="1008"/>
      <c r="I29" s="1063"/>
      <c r="J29" s="622"/>
      <c r="K29" s="982"/>
      <c r="L29" s="459"/>
    </row>
    <row r="30" spans="1:13" s="224" customFormat="1" ht="15" customHeight="1" x14ac:dyDescent="0.25">
      <c r="A30" s="215">
        <v>43988</v>
      </c>
      <c r="B30" s="364" t="s">
        <v>2096</v>
      </c>
      <c r="C30" s="350" t="s">
        <v>12</v>
      </c>
      <c r="D30" s="350" t="s">
        <v>1506</v>
      </c>
      <c r="E30" s="875" t="s">
        <v>15</v>
      </c>
      <c r="F30" s="780">
        <v>40</v>
      </c>
      <c r="G30" s="982"/>
      <c r="H30" s="1008"/>
      <c r="I30" s="1063"/>
      <c r="J30" s="622"/>
      <c r="K30" s="982"/>
      <c r="L30" s="459"/>
    </row>
    <row r="31" spans="1:13" s="224" customFormat="1" ht="15" customHeight="1" x14ac:dyDescent="0.25">
      <c r="A31" s="215">
        <v>43988</v>
      </c>
      <c r="B31" s="364" t="s">
        <v>2251</v>
      </c>
      <c r="C31" s="350" t="s">
        <v>12</v>
      </c>
      <c r="D31" s="350" t="s">
        <v>2157</v>
      </c>
      <c r="E31" s="875" t="s">
        <v>13</v>
      </c>
      <c r="F31" s="780">
        <v>50</v>
      </c>
      <c r="G31" s="982"/>
      <c r="H31" s="1008"/>
      <c r="I31" s="1063"/>
      <c r="J31" s="622"/>
      <c r="K31" s="982"/>
      <c r="L31" s="459"/>
    </row>
    <row r="32" spans="1:13" s="224" customFormat="1" ht="15" customHeight="1" x14ac:dyDescent="0.25">
      <c r="A32" s="215">
        <v>43988</v>
      </c>
      <c r="B32" s="364" t="s">
        <v>2659</v>
      </c>
      <c r="C32" s="350" t="s">
        <v>19</v>
      </c>
      <c r="D32" s="350" t="s">
        <v>1506</v>
      </c>
      <c r="E32" s="875" t="s">
        <v>13</v>
      </c>
      <c r="F32" s="780">
        <v>50</v>
      </c>
      <c r="G32" s="982"/>
      <c r="H32" s="1008"/>
      <c r="I32" s="1063"/>
      <c r="J32" s="622"/>
      <c r="K32" s="982"/>
      <c r="L32" s="459"/>
    </row>
    <row r="33" spans="1:14" s="224" customFormat="1" ht="15" customHeight="1" x14ac:dyDescent="0.25">
      <c r="A33" s="215">
        <v>43988</v>
      </c>
      <c r="B33" s="364" t="s">
        <v>2654</v>
      </c>
      <c r="C33" s="350" t="s">
        <v>19</v>
      </c>
      <c r="D33" s="350" t="s">
        <v>1489</v>
      </c>
      <c r="E33" s="875" t="s">
        <v>13</v>
      </c>
      <c r="F33" s="780">
        <v>104</v>
      </c>
      <c r="G33" s="982"/>
      <c r="H33" s="1008"/>
      <c r="I33" s="1063"/>
      <c r="J33" s="622"/>
      <c r="K33" s="982"/>
      <c r="L33" s="459"/>
    </row>
    <row r="34" spans="1:14" s="224" customFormat="1" ht="15" customHeight="1" x14ac:dyDescent="0.25">
      <c r="A34" s="215">
        <v>43988</v>
      </c>
      <c r="B34" s="349" t="s">
        <v>14</v>
      </c>
      <c r="C34" s="887" t="s">
        <v>12</v>
      </c>
      <c r="D34" s="879" t="s">
        <v>1486</v>
      </c>
      <c r="E34" s="871" t="s">
        <v>13</v>
      </c>
      <c r="F34" s="780">
        <v>7.64</v>
      </c>
      <c r="G34" s="982"/>
      <c r="H34" s="1008"/>
      <c r="I34" s="1063"/>
      <c r="J34" s="622"/>
      <c r="K34" s="982"/>
      <c r="L34" s="459"/>
    </row>
    <row r="35" spans="1:14" s="224" customFormat="1" ht="15" customHeight="1" x14ac:dyDescent="0.25">
      <c r="A35" s="215">
        <v>43988</v>
      </c>
      <c r="B35" s="349" t="s">
        <v>82</v>
      </c>
      <c r="C35" s="887" t="s">
        <v>12</v>
      </c>
      <c r="D35" s="879" t="s">
        <v>1493</v>
      </c>
      <c r="E35" s="871" t="s">
        <v>13</v>
      </c>
      <c r="F35" s="780">
        <v>34.9</v>
      </c>
      <c r="G35" s="982"/>
      <c r="H35" s="1008"/>
      <c r="I35" s="1063"/>
      <c r="J35" s="622"/>
      <c r="K35" s="982"/>
      <c r="L35" s="459"/>
    </row>
    <row r="36" spans="1:14" s="224" customFormat="1" ht="15" customHeight="1" x14ac:dyDescent="0.25">
      <c r="A36" s="215">
        <v>43989</v>
      </c>
      <c r="B36" s="349" t="s">
        <v>14</v>
      </c>
      <c r="C36" s="887" t="s">
        <v>12</v>
      </c>
      <c r="D36" s="879" t="s">
        <v>1486</v>
      </c>
      <c r="E36" s="871" t="s">
        <v>13</v>
      </c>
      <c r="F36" s="780">
        <v>6.1</v>
      </c>
      <c r="G36" s="982"/>
      <c r="H36" s="1008"/>
      <c r="I36" s="1063"/>
      <c r="J36" s="622"/>
      <c r="K36" s="982"/>
      <c r="L36" s="459"/>
    </row>
    <row r="37" spans="1:14" s="224" customFormat="1" ht="15" customHeight="1" x14ac:dyDescent="0.25">
      <c r="A37" s="215">
        <v>43989</v>
      </c>
      <c r="B37" s="364" t="s">
        <v>2660</v>
      </c>
      <c r="C37" s="350" t="s">
        <v>12</v>
      </c>
      <c r="D37" s="350" t="s">
        <v>1485</v>
      </c>
      <c r="E37" s="875" t="s">
        <v>13</v>
      </c>
      <c r="F37" s="780">
        <v>24.9</v>
      </c>
      <c r="G37" s="982"/>
      <c r="H37" s="1008"/>
      <c r="I37" s="1063"/>
      <c r="J37" s="622"/>
      <c r="K37" s="982"/>
      <c r="L37" s="459"/>
    </row>
    <row r="38" spans="1:14" s="224" customFormat="1" ht="15" customHeight="1" x14ac:dyDescent="0.25">
      <c r="A38" s="215">
        <v>43989</v>
      </c>
      <c r="B38" s="349" t="s">
        <v>14</v>
      </c>
      <c r="C38" s="887" t="s">
        <v>12</v>
      </c>
      <c r="D38" s="879" t="s">
        <v>1486</v>
      </c>
      <c r="E38" s="871" t="s">
        <v>13</v>
      </c>
      <c r="F38" s="780">
        <v>4.46</v>
      </c>
      <c r="G38" s="982"/>
      <c r="H38" s="1008"/>
      <c r="I38" s="1063"/>
      <c r="J38" s="622"/>
      <c r="K38" s="982"/>
      <c r="L38" s="459"/>
    </row>
    <row r="39" spans="1:14" s="224" customFormat="1" ht="15" customHeight="1" x14ac:dyDescent="0.25">
      <c r="A39" s="215">
        <v>43989</v>
      </c>
      <c r="B39" s="349" t="s">
        <v>2603</v>
      </c>
      <c r="C39" s="887" t="s">
        <v>12</v>
      </c>
      <c r="D39" s="879" t="s">
        <v>1491</v>
      </c>
      <c r="E39" s="871" t="s">
        <v>15</v>
      </c>
      <c r="F39" s="780">
        <v>100</v>
      </c>
      <c r="G39" s="982"/>
      <c r="H39" s="1008"/>
      <c r="I39" s="1063"/>
      <c r="J39" s="622"/>
      <c r="K39" s="982"/>
      <c r="L39" s="459"/>
    </row>
    <row r="40" spans="1:14" s="224" customFormat="1" ht="15" customHeight="1" x14ac:dyDescent="0.25">
      <c r="A40" s="215">
        <v>43990</v>
      </c>
      <c r="B40" s="364" t="s">
        <v>1241</v>
      </c>
      <c r="C40" s="350" t="s">
        <v>12</v>
      </c>
      <c r="D40" s="350" t="s">
        <v>1504</v>
      </c>
      <c r="E40" s="875" t="s">
        <v>13</v>
      </c>
      <c r="F40" s="780">
        <v>12</v>
      </c>
      <c r="G40" s="982"/>
      <c r="H40" s="1008"/>
      <c r="I40" s="1063"/>
      <c r="J40" s="622"/>
      <c r="K40" s="982"/>
      <c r="L40" s="459"/>
    </row>
    <row r="41" spans="1:14" s="224" customFormat="1" ht="15" customHeight="1" x14ac:dyDescent="0.25">
      <c r="A41" s="215">
        <v>43990</v>
      </c>
      <c r="B41" s="364" t="s">
        <v>32</v>
      </c>
      <c r="C41" s="350" t="s">
        <v>12</v>
      </c>
      <c r="D41" s="350" t="s">
        <v>1485</v>
      </c>
      <c r="E41" s="875" t="s">
        <v>13</v>
      </c>
      <c r="F41" s="780">
        <v>14</v>
      </c>
      <c r="G41" s="982"/>
      <c r="H41" s="1008"/>
      <c r="I41" s="1063"/>
      <c r="J41" s="622"/>
      <c r="K41" s="982"/>
      <c r="L41" s="1016"/>
      <c r="N41" s="930"/>
    </row>
    <row r="42" spans="1:14" s="224" customFormat="1" ht="15" customHeight="1" x14ac:dyDescent="0.25">
      <c r="A42" s="215">
        <v>43991</v>
      </c>
      <c r="B42" s="364" t="s">
        <v>32</v>
      </c>
      <c r="C42" s="350" t="s">
        <v>12</v>
      </c>
      <c r="D42" s="350" t="s">
        <v>1485</v>
      </c>
      <c r="E42" s="875" t="s">
        <v>13</v>
      </c>
      <c r="F42" s="780">
        <v>14</v>
      </c>
      <c r="G42" s="982"/>
      <c r="H42" s="1008"/>
      <c r="I42" s="1063"/>
      <c r="J42" s="622"/>
      <c r="K42" s="982"/>
      <c r="L42" s="1016"/>
      <c r="N42" s="930"/>
    </row>
    <row r="43" spans="1:14" s="224" customFormat="1" ht="15" customHeight="1" x14ac:dyDescent="0.25">
      <c r="A43" s="215">
        <v>43991</v>
      </c>
      <c r="B43" s="364" t="s">
        <v>81</v>
      </c>
      <c r="C43" s="350" t="s">
        <v>12</v>
      </c>
      <c r="D43" s="350" t="s">
        <v>1493</v>
      </c>
      <c r="E43" s="875" t="s">
        <v>13</v>
      </c>
      <c r="F43" s="613">
        <v>2</v>
      </c>
      <c r="G43" s="967"/>
      <c r="H43" s="1008"/>
      <c r="I43" s="1063"/>
      <c r="J43" s="622"/>
      <c r="K43" s="982"/>
      <c r="L43" s="459"/>
    </row>
    <row r="44" spans="1:14" s="224" customFormat="1" ht="15" customHeight="1" x14ac:dyDescent="0.25">
      <c r="A44" s="215">
        <v>43991</v>
      </c>
      <c r="B44" s="349" t="s">
        <v>14</v>
      </c>
      <c r="C44" s="887" t="s">
        <v>12</v>
      </c>
      <c r="D44" s="879" t="s">
        <v>1486</v>
      </c>
      <c r="E44" s="871" t="s">
        <v>13</v>
      </c>
      <c r="F44" s="780">
        <v>4.6500000000000004</v>
      </c>
      <c r="G44" s="982"/>
      <c r="H44" s="1008"/>
      <c r="I44" s="1063"/>
      <c r="J44" s="622"/>
      <c r="K44" s="982"/>
      <c r="L44" s="1016"/>
      <c r="N44" s="930"/>
    </row>
    <row r="45" spans="1:14" s="224" customFormat="1" ht="15" customHeight="1" x14ac:dyDescent="0.25">
      <c r="A45" s="215">
        <v>43992</v>
      </c>
      <c r="B45" s="364" t="s">
        <v>32</v>
      </c>
      <c r="C45" s="350" t="s">
        <v>12</v>
      </c>
      <c r="D45" s="350" t="s">
        <v>1485</v>
      </c>
      <c r="E45" s="875" t="s">
        <v>13</v>
      </c>
      <c r="F45" s="780">
        <v>14</v>
      </c>
      <c r="G45" s="982"/>
      <c r="H45" s="1008"/>
      <c r="I45" s="1063"/>
      <c r="J45" s="622"/>
      <c r="K45" s="982"/>
      <c r="L45" s="1016"/>
      <c r="N45" s="930"/>
    </row>
    <row r="46" spans="1:14" s="224" customFormat="1" ht="15" customHeight="1" x14ac:dyDescent="0.25">
      <c r="A46" s="215">
        <v>43992</v>
      </c>
      <c r="B46" s="349" t="s">
        <v>14</v>
      </c>
      <c r="C46" s="887" t="s">
        <v>12</v>
      </c>
      <c r="D46" s="879" t="s">
        <v>1486</v>
      </c>
      <c r="E46" s="871" t="s">
        <v>13</v>
      </c>
      <c r="F46" s="780">
        <v>4.12</v>
      </c>
      <c r="G46" s="982"/>
      <c r="H46" s="1008"/>
      <c r="I46" s="1063"/>
      <c r="J46" s="622"/>
      <c r="K46" s="982"/>
      <c r="L46" s="459"/>
    </row>
    <row r="47" spans="1:14" s="224" customFormat="1" ht="15" customHeight="1" x14ac:dyDescent="0.25">
      <c r="A47" s="215">
        <v>43992</v>
      </c>
      <c r="B47" s="349" t="s">
        <v>2661</v>
      </c>
      <c r="C47" s="887" t="s">
        <v>12</v>
      </c>
      <c r="D47" s="879"/>
      <c r="E47" s="871" t="s">
        <v>25</v>
      </c>
      <c r="F47" s="780"/>
      <c r="G47" s="982">
        <v>454</v>
      </c>
      <c r="H47" s="1008"/>
      <c r="I47" s="1063"/>
      <c r="J47" s="622"/>
      <c r="K47" s="982"/>
      <c r="L47" s="459"/>
    </row>
    <row r="48" spans="1:14" s="224" customFormat="1" ht="15" customHeight="1" x14ac:dyDescent="0.25">
      <c r="A48" s="215">
        <v>43993</v>
      </c>
      <c r="B48" s="364" t="s">
        <v>32</v>
      </c>
      <c r="C48" s="350" t="s">
        <v>12</v>
      </c>
      <c r="D48" s="350" t="s">
        <v>1485</v>
      </c>
      <c r="E48" s="875" t="s">
        <v>13</v>
      </c>
      <c r="F48" s="780">
        <v>14</v>
      </c>
      <c r="G48" s="982"/>
      <c r="H48" s="1008"/>
      <c r="I48" s="1063"/>
      <c r="J48" s="622"/>
      <c r="K48" s="982"/>
      <c r="L48" s="1016"/>
      <c r="N48" s="930"/>
    </row>
    <row r="49" spans="1:14" s="224" customFormat="1" ht="15" customHeight="1" x14ac:dyDescent="0.25">
      <c r="A49" s="215">
        <v>43993</v>
      </c>
      <c r="B49" s="364" t="s">
        <v>81</v>
      </c>
      <c r="C49" s="350" t="s">
        <v>12</v>
      </c>
      <c r="D49" s="350" t="s">
        <v>1493</v>
      </c>
      <c r="E49" s="875" t="s">
        <v>13</v>
      </c>
      <c r="F49" s="780">
        <v>4</v>
      </c>
      <c r="G49" s="982"/>
      <c r="H49" s="1008"/>
      <c r="I49" s="1063"/>
      <c r="J49" s="622"/>
      <c r="K49" s="982"/>
      <c r="L49" s="459"/>
    </row>
    <row r="50" spans="1:14" s="224" customFormat="1" ht="15" customHeight="1" x14ac:dyDescent="0.25">
      <c r="A50" s="215">
        <v>43993</v>
      </c>
      <c r="B50" s="349" t="s">
        <v>14</v>
      </c>
      <c r="C50" s="887" t="s">
        <v>12</v>
      </c>
      <c r="D50" s="879" t="s">
        <v>1486</v>
      </c>
      <c r="E50" s="871" t="s">
        <v>13</v>
      </c>
      <c r="F50" s="780">
        <v>3.38</v>
      </c>
      <c r="G50" s="982"/>
      <c r="H50" s="1008"/>
      <c r="I50" s="1063"/>
      <c r="J50" s="622"/>
      <c r="K50" s="982"/>
      <c r="L50" s="459"/>
    </row>
    <row r="51" spans="1:14" s="224" customFormat="1" ht="15" customHeight="1" x14ac:dyDescent="0.25">
      <c r="A51" s="215">
        <v>43994</v>
      </c>
      <c r="B51" s="364" t="s">
        <v>2251</v>
      </c>
      <c r="C51" s="350" t="s">
        <v>12</v>
      </c>
      <c r="D51" s="350" t="s">
        <v>2157</v>
      </c>
      <c r="E51" s="875" t="s">
        <v>13</v>
      </c>
      <c r="F51" s="780">
        <v>40</v>
      </c>
      <c r="G51" s="982"/>
      <c r="H51" s="1008"/>
      <c r="I51" s="1063"/>
      <c r="J51" s="622"/>
      <c r="K51" s="982"/>
      <c r="L51" s="459"/>
    </row>
    <row r="52" spans="1:14" s="224" customFormat="1" ht="15" customHeight="1" x14ac:dyDescent="0.25">
      <c r="A52" s="215">
        <v>43994</v>
      </c>
      <c r="B52" s="364" t="s">
        <v>2654</v>
      </c>
      <c r="C52" s="350" t="s">
        <v>19</v>
      </c>
      <c r="D52" s="350" t="s">
        <v>1489</v>
      </c>
      <c r="E52" s="875" t="s">
        <v>13</v>
      </c>
      <c r="F52" s="780">
        <v>59.46</v>
      </c>
      <c r="G52" s="982"/>
      <c r="H52" s="1008"/>
      <c r="I52" s="1063"/>
      <c r="J52" s="622"/>
      <c r="K52" s="982"/>
      <c r="L52" s="459"/>
    </row>
    <row r="53" spans="1:14" s="224" customFormat="1" ht="15" customHeight="1" x14ac:dyDescent="0.25">
      <c r="A53" s="215">
        <v>43994</v>
      </c>
      <c r="B53" s="364" t="s">
        <v>2662</v>
      </c>
      <c r="C53" s="350" t="s">
        <v>12</v>
      </c>
      <c r="D53" s="350" t="s">
        <v>1491</v>
      </c>
      <c r="E53" s="875" t="s">
        <v>13</v>
      </c>
      <c r="F53" s="780">
        <v>34.9</v>
      </c>
      <c r="G53" s="982"/>
      <c r="H53" s="1008"/>
      <c r="I53" s="1063"/>
      <c r="J53" s="622"/>
      <c r="K53" s="982"/>
      <c r="L53" s="459"/>
    </row>
    <row r="54" spans="1:14" s="224" customFormat="1" ht="15" customHeight="1" x14ac:dyDescent="0.25">
      <c r="A54" s="215">
        <v>43994</v>
      </c>
      <c r="B54" s="349" t="s">
        <v>14</v>
      </c>
      <c r="C54" s="887" t="s">
        <v>12</v>
      </c>
      <c r="D54" s="879" t="s">
        <v>1486</v>
      </c>
      <c r="E54" s="871" t="s">
        <v>13</v>
      </c>
      <c r="F54" s="780">
        <v>8.0299999999999994</v>
      </c>
      <c r="G54" s="982"/>
      <c r="H54" s="1008"/>
      <c r="I54" s="1063"/>
      <c r="J54" s="622"/>
      <c r="K54" s="982"/>
      <c r="L54" s="459"/>
    </row>
    <row r="55" spans="1:14" s="224" customFormat="1" ht="15" customHeight="1" x14ac:dyDescent="0.25">
      <c r="A55" s="215">
        <v>43995</v>
      </c>
      <c r="B55" s="349" t="s">
        <v>14</v>
      </c>
      <c r="C55" s="887" t="s">
        <v>12</v>
      </c>
      <c r="D55" s="879" t="s">
        <v>1486</v>
      </c>
      <c r="E55" s="871" t="s">
        <v>13</v>
      </c>
      <c r="F55" s="780">
        <v>10.09</v>
      </c>
      <c r="G55" s="982"/>
      <c r="H55" s="1008"/>
      <c r="I55" s="1063"/>
      <c r="J55" s="622"/>
      <c r="K55" s="982"/>
      <c r="L55" s="459"/>
    </row>
    <row r="56" spans="1:14" s="224" customFormat="1" ht="15" customHeight="1" x14ac:dyDescent="0.25">
      <c r="A56" s="215">
        <v>43995</v>
      </c>
      <c r="B56" s="364" t="s">
        <v>2207</v>
      </c>
      <c r="C56" s="350" t="s">
        <v>12</v>
      </c>
      <c r="D56" s="350" t="s">
        <v>2168</v>
      </c>
      <c r="E56" s="875" t="s">
        <v>13</v>
      </c>
      <c r="F56" s="780">
        <v>30</v>
      </c>
      <c r="G56" s="982"/>
      <c r="H56" s="1008"/>
      <c r="I56" s="1063"/>
      <c r="J56" s="622"/>
      <c r="K56" s="982"/>
      <c r="L56" s="997"/>
      <c r="M56" s="89"/>
      <c r="N56" s="930"/>
    </row>
    <row r="57" spans="1:14" s="224" customFormat="1" ht="15" customHeight="1" x14ac:dyDescent="0.25">
      <c r="A57" s="215">
        <v>43995</v>
      </c>
      <c r="B57" s="364" t="s">
        <v>2663</v>
      </c>
      <c r="C57" s="350" t="s">
        <v>12</v>
      </c>
      <c r="D57" s="350" t="s">
        <v>1523</v>
      </c>
      <c r="E57" s="875" t="s">
        <v>13</v>
      </c>
      <c r="F57" s="780">
        <v>27.5</v>
      </c>
      <c r="G57" s="982"/>
      <c r="H57" s="1008"/>
      <c r="I57" s="1063"/>
      <c r="J57" s="622"/>
      <c r="K57" s="982"/>
      <c r="L57" s="997"/>
      <c r="M57" s="89"/>
      <c r="N57" s="930"/>
    </row>
    <row r="58" spans="1:14" s="224" customFormat="1" ht="15" customHeight="1" x14ac:dyDescent="0.25">
      <c r="A58" s="215">
        <v>43995</v>
      </c>
      <c r="B58" s="364" t="s">
        <v>82</v>
      </c>
      <c r="C58" s="350" t="s">
        <v>12</v>
      </c>
      <c r="D58" s="350" t="s">
        <v>1493</v>
      </c>
      <c r="E58" s="875" t="s">
        <v>13</v>
      </c>
      <c r="F58" s="780">
        <v>24.97</v>
      </c>
      <c r="G58" s="982"/>
      <c r="H58" s="1008"/>
      <c r="I58" s="1063"/>
      <c r="J58" s="622"/>
      <c r="K58" s="982"/>
      <c r="L58" s="997"/>
      <c r="M58" s="89"/>
      <c r="N58" s="930"/>
    </row>
    <row r="59" spans="1:14" s="224" customFormat="1" ht="15" customHeight="1" x14ac:dyDescent="0.25">
      <c r="A59" s="215">
        <v>43996</v>
      </c>
      <c r="B59" s="364" t="s">
        <v>2664</v>
      </c>
      <c r="C59" s="350" t="s">
        <v>12</v>
      </c>
      <c r="D59" s="350" t="s">
        <v>1489</v>
      </c>
      <c r="E59" s="875" t="s">
        <v>15</v>
      </c>
      <c r="F59" s="780">
        <v>123.5</v>
      </c>
      <c r="G59" s="982"/>
      <c r="H59" s="1008"/>
      <c r="I59" s="1063"/>
      <c r="J59" s="622"/>
      <c r="K59" s="982"/>
      <c r="L59" s="997"/>
      <c r="M59" s="89"/>
      <c r="N59" s="930"/>
    </row>
    <row r="60" spans="1:14" s="224" customFormat="1" ht="15" customHeight="1" x14ac:dyDescent="0.25">
      <c r="A60" s="215">
        <v>43996</v>
      </c>
      <c r="B60" s="364" t="s">
        <v>81</v>
      </c>
      <c r="C60" s="350" t="s">
        <v>12</v>
      </c>
      <c r="D60" s="350" t="s">
        <v>1493</v>
      </c>
      <c r="E60" s="875" t="s">
        <v>13</v>
      </c>
      <c r="F60" s="780">
        <v>9.9499999999999993</v>
      </c>
      <c r="G60" s="982"/>
      <c r="H60" s="1008"/>
      <c r="I60" s="1063"/>
      <c r="J60" s="622"/>
      <c r="K60" s="982"/>
      <c r="L60" s="997"/>
      <c r="M60" s="89"/>
      <c r="N60" s="930"/>
    </row>
    <row r="61" spans="1:14" s="224" customFormat="1" ht="15" customHeight="1" x14ac:dyDescent="0.25">
      <c r="A61" s="215">
        <v>43997</v>
      </c>
      <c r="B61" s="364" t="s">
        <v>32</v>
      </c>
      <c r="C61" s="350" t="s">
        <v>12</v>
      </c>
      <c r="D61" s="350" t="s">
        <v>1485</v>
      </c>
      <c r="E61" s="875" t="s">
        <v>15</v>
      </c>
      <c r="F61" s="780">
        <v>14</v>
      </c>
      <c r="G61" s="982"/>
      <c r="H61" s="1008"/>
      <c r="I61" s="1063"/>
      <c r="J61" s="622"/>
      <c r="K61" s="982"/>
      <c r="L61" s="1016"/>
      <c r="N61" s="930"/>
    </row>
    <row r="62" spans="1:14" s="224" customFormat="1" ht="15" customHeight="1" x14ac:dyDescent="0.25">
      <c r="A62" s="215">
        <v>43997</v>
      </c>
      <c r="B62" s="349" t="s">
        <v>14</v>
      </c>
      <c r="C62" s="887" t="s">
        <v>12</v>
      </c>
      <c r="D62" s="879" t="s">
        <v>1486</v>
      </c>
      <c r="E62" s="871" t="s">
        <v>13</v>
      </c>
      <c r="F62" s="780">
        <v>5.07</v>
      </c>
      <c r="G62" s="982"/>
      <c r="H62" s="1008"/>
      <c r="I62" s="1063"/>
      <c r="J62" s="622"/>
      <c r="K62" s="982"/>
      <c r="L62" s="459"/>
    </row>
    <row r="63" spans="1:14" s="224" customFormat="1" ht="15" customHeight="1" x14ac:dyDescent="0.25">
      <c r="A63" s="215">
        <v>43997</v>
      </c>
      <c r="B63" s="364" t="s">
        <v>2603</v>
      </c>
      <c r="C63" s="350" t="s">
        <v>12</v>
      </c>
      <c r="D63" s="350" t="s">
        <v>1491</v>
      </c>
      <c r="E63" s="875" t="s">
        <v>15</v>
      </c>
      <c r="F63" s="780">
        <v>60</v>
      </c>
      <c r="G63" s="982"/>
      <c r="H63" s="1008"/>
      <c r="I63" s="1063"/>
      <c r="J63" s="622"/>
      <c r="K63" s="982"/>
      <c r="L63" s="1016"/>
      <c r="N63" s="930"/>
    </row>
    <row r="64" spans="1:14" s="224" customFormat="1" ht="15" customHeight="1" x14ac:dyDescent="0.25">
      <c r="A64" s="215">
        <v>43998</v>
      </c>
      <c r="B64" s="364" t="s">
        <v>1241</v>
      </c>
      <c r="C64" s="350" t="s">
        <v>12</v>
      </c>
      <c r="D64" s="350" t="s">
        <v>1504</v>
      </c>
      <c r="E64" s="875" t="s">
        <v>13</v>
      </c>
      <c r="F64" s="780">
        <v>12</v>
      </c>
      <c r="G64" s="982"/>
      <c r="H64" s="1008"/>
      <c r="I64" s="1063"/>
      <c r="J64" s="622"/>
      <c r="K64" s="982"/>
      <c r="L64" s="459"/>
    </row>
    <row r="65" spans="1:14" s="224" customFormat="1" ht="15" customHeight="1" x14ac:dyDescent="0.25">
      <c r="A65" s="215">
        <v>43998</v>
      </c>
      <c r="B65" s="882" t="s">
        <v>2665</v>
      </c>
      <c r="C65" s="879" t="s">
        <v>12</v>
      </c>
      <c r="D65" s="879" t="s">
        <v>1499</v>
      </c>
      <c r="E65" s="871" t="s">
        <v>13</v>
      </c>
      <c r="F65" s="780">
        <v>45.24</v>
      </c>
      <c r="G65" s="982"/>
      <c r="H65" s="1008"/>
      <c r="I65" s="1063"/>
      <c r="J65" s="622"/>
      <c r="K65" s="982"/>
      <c r="L65" s="997">
        <v>105.24</v>
      </c>
      <c r="M65" s="89"/>
      <c r="N65" s="930"/>
    </row>
    <row r="66" spans="1:14" s="224" customFormat="1" ht="15" customHeight="1" x14ac:dyDescent="0.25">
      <c r="A66" s="215">
        <v>43998</v>
      </c>
      <c r="B66" s="364" t="s">
        <v>32</v>
      </c>
      <c r="C66" s="350" t="s">
        <v>12</v>
      </c>
      <c r="D66" s="350" t="s">
        <v>1485</v>
      </c>
      <c r="E66" s="875" t="s">
        <v>15</v>
      </c>
      <c r="F66" s="780">
        <v>14</v>
      </c>
      <c r="G66" s="982"/>
      <c r="H66" s="1008"/>
      <c r="I66" s="1063"/>
      <c r="J66" s="622"/>
      <c r="K66" s="982"/>
      <c r="L66" s="1016"/>
      <c r="N66" s="930"/>
    </row>
    <row r="67" spans="1:14" s="224" customFormat="1" ht="15" customHeight="1" x14ac:dyDescent="0.25">
      <c r="A67" s="215">
        <v>43998</v>
      </c>
      <c r="B67" s="349" t="s">
        <v>14</v>
      </c>
      <c r="C67" s="887" t="s">
        <v>12</v>
      </c>
      <c r="D67" s="879" t="s">
        <v>1486</v>
      </c>
      <c r="E67" s="871" t="s">
        <v>13</v>
      </c>
      <c r="F67" s="780">
        <v>4.5999999999999996</v>
      </c>
      <c r="G67" s="982"/>
      <c r="H67" s="1008"/>
      <c r="I67" s="1063"/>
      <c r="J67" s="622"/>
      <c r="K67" s="982"/>
      <c r="L67" s="1016"/>
      <c r="N67" s="930"/>
    </row>
    <row r="68" spans="1:14" s="224" customFormat="1" ht="15" customHeight="1" x14ac:dyDescent="0.25">
      <c r="A68" s="215">
        <v>43967</v>
      </c>
      <c r="B68" s="862" t="s">
        <v>2302</v>
      </c>
      <c r="C68" s="350" t="s">
        <v>12</v>
      </c>
      <c r="D68" s="874" t="s">
        <v>1504</v>
      </c>
      <c r="E68" s="887" t="s">
        <v>13</v>
      </c>
      <c r="F68" s="852">
        <v>68.900000000000006</v>
      </c>
      <c r="G68" s="982"/>
      <c r="H68" s="1009"/>
      <c r="I68" s="1063"/>
      <c r="J68" s="137"/>
      <c r="K68" s="946"/>
      <c r="L68" s="923">
        <v>141.01</v>
      </c>
      <c r="N68" s="930"/>
    </row>
    <row r="69" spans="1:14" s="224" customFormat="1" ht="15" customHeight="1" x14ac:dyDescent="0.25">
      <c r="A69" s="215">
        <v>43999</v>
      </c>
      <c r="B69" s="364" t="s">
        <v>32</v>
      </c>
      <c r="C69" s="350" t="s">
        <v>12</v>
      </c>
      <c r="D69" s="350" t="s">
        <v>1485</v>
      </c>
      <c r="E69" s="875" t="s">
        <v>13</v>
      </c>
      <c r="F69" s="780">
        <v>14</v>
      </c>
      <c r="G69" s="982"/>
      <c r="H69" s="1008"/>
      <c r="I69" s="1063"/>
      <c r="J69" s="622"/>
      <c r="K69" s="982"/>
      <c r="L69" s="1016"/>
      <c r="N69" s="930"/>
    </row>
    <row r="70" spans="1:14" s="224" customFormat="1" ht="15" customHeight="1" x14ac:dyDescent="0.25">
      <c r="A70" s="215">
        <v>43999</v>
      </c>
      <c r="B70" s="364" t="s">
        <v>81</v>
      </c>
      <c r="C70" s="350" t="s">
        <v>12</v>
      </c>
      <c r="D70" s="350" t="s">
        <v>1493</v>
      </c>
      <c r="E70" s="875" t="s">
        <v>13</v>
      </c>
      <c r="F70" s="780">
        <v>2</v>
      </c>
      <c r="G70" s="982"/>
      <c r="H70" s="1008"/>
      <c r="I70" s="1063"/>
      <c r="J70" s="622"/>
      <c r="K70" s="982"/>
      <c r="L70" s="997"/>
      <c r="M70" s="89"/>
      <c r="N70" s="930"/>
    </row>
    <row r="71" spans="1:14" s="224" customFormat="1" ht="15" customHeight="1" x14ac:dyDescent="0.25">
      <c r="A71" s="215">
        <v>43999</v>
      </c>
      <c r="B71" s="349" t="s">
        <v>2666</v>
      </c>
      <c r="C71" s="352" t="s">
        <v>12</v>
      </c>
      <c r="D71" s="874" t="s">
        <v>2131</v>
      </c>
      <c r="E71" s="875" t="s">
        <v>13</v>
      </c>
      <c r="F71" s="852">
        <v>12.3</v>
      </c>
      <c r="G71" s="1064"/>
      <c r="H71" s="97"/>
      <c r="I71" s="982"/>
      <c r="J71" s="622"/>
      <c r="K71" s="982"/>
    </row>
    <row r="72" spans="1:14" s="224" customFormat="1" ht="15" customHeight="1" x14ac:dyDescent="0.25">
      <c r="A72" s="215">
        <v>43999</v>
      </c>
      <c r="B72" s="349" t="s">
        <v>2667</v>
      </c>
      <c r="C72" s="352" t="s">
        <v>12</v>
      </c>
      <c r="D72" s="874" t="s">
        <v>2131</v>
      </c>
      <c r="E72" s="875" t="s">
        <v>13</v>
      </c>
      <c r="F72" s="852">
        <v>93.87</v>
      </c>
      <c r="G72" s="1064"/>
      <c r="H72" s="97"/>
      <c r="I72" s="982"/>
      <c r="J72" s="622"/>
      <c r="K72" s="982"/>
    </row>
    <row r="73" spans="1:14" s="224" customFormat="1" ht="15" customHeight="1" x14ac:dyDescent="0.25">
      <c r="A73" s="215">
        <v>43999</v>
      </c>
      <c r="B73" s="349" t="s">
        <v>14</v>
      </c>
      <c r="C73" s="887" t="s">
        <v>12</v>
      </c>
      <c r="D73" s="879" t="s">
        <v>1486</v>
      </c>
      <c r="E73" s="871" t="s">
        <v>13</v>
      </c>
      <c r="F73" s="780">
        <v>5.04</v>
      </c>
      <c r="G73" s="982"/>
      <c r="H73" s="1008"/>
      <c r="I73" s="1063"/>
      <c r="J73" s="622"/>
      <c r="K73" s="982"/>
      <c r="L73" s="997"/>
      <c r="M73" s="89"/>
      <c r="N73" s="930"/>
    </row>
    <row r="74" spans="1:14" s="224" customFormat="1" ht="15" customHeight="1" x14ac:dyDescent="0.25">
      <c r="A74" s="215">
        <v>44000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14</v>
      </c>
      <c r="G74" s="982"/>
      <c r="H74" s="1008"/>
      <c r="I74" s="1063"/>
      <c r="J74" s="622"/>
      <c r="K74" s="982"/>
      <c r="L74" s="1016"/>
      <c r="N74" s="930"/>
    </row>
    <row r="75" spans="1:14" s="224" customFormat="1" ht="15" customHeight="1" x14ac:dyDescent="0.25">
      <c r="A75" s="215">
        <v>44000</v>
      </c>
      <c r="B75" s="364" t="s">
        <v>134</v>
      </c>
      <c r="C75" s="350" t="s">
        <v>12</v>
      </c>
      <c r="D75" s="350" t="s">
        <v>1493</v>
      </c>
      <c r="E75" s="875" t="s">
        <v>13</v>
      </c>
      <c r="F75" s="780">
        <v>7</v>
      </c>
      <c r="G75" s="982"/>
      <c r="H75" s="1008"/>
      <c r="I75" s="1063"/>
      <c r="J75" s="622"/>
      <c r="K75" s="982"/>
      <c r="L75" s="518"/>
      <c r="M75" s="89"/>
    </row>
    <row r="76" spans="1:14" s="224" customFormat="1" ht="15" customHeight="1" x14ac:dyDescent="0.25">
      <c r="A76" s="215">
        <v>44001</v>
      </c>
      <c r="B76" s="882" t="s">
        <v>2668</v>
      </c>
      <c r="C76" s="350" t="s">
        <v>12</v>
      </c>
      <c r="D76" s="350"/>
      <c r="E76" s="480" t="s">
        <v>25</v>
      </c>
      <c r="F76" s="780"/>
      <c r="G76" s="982">
        <v>1245</v>
      </c>
      <c r="H76" s="1008"/>
      <c r="I76" s="1063"/>
      <c r="J76" s="622"/>
      <c r="K76" s="982"/>
      <c r="L76" s="459"/>
    </row>
    <row r="77" spans="1:14" s="224" customFormat="1" x14ac:dyDescent="0.25">
      <c r="A77" s="215">
        <v>44001</v>
      </c>
      <c r="B77" s="873" t="s">
        <v>2590</v>
      </c>
      <c r="C77" s="879" t="s">
        <v>12</v>
      </c>
      <c r="D77" s="350" t="s">
        <v>1491</v>
      </c>
      <c r="E77" s="871" t="s">
        <v>15</v>
      </c>
      <c r="F77" s="780">
        <v>75</v>
      </c>
      <c r="G77" s="982"/>
      <c r="H77" s="1008"/>
      <c r="I77" s="1063"/>
      <c r="J77" s="622"/>
      <c r="K77" s="982"/>
      <c r="L77" s="984"/>
    </row>
    <row r="78" spans="1:14" s="224" customFormat="1" ht="15" customHeight="1" x14ac:dyDescent="0.25">
      <c r="A78" s="215">
        <v>44001</v>
      </c>
      <c r="B78" s="349" t="s">
        <v>260</v>
      </c>
      <c r="C78" s="350" t="s">
        <v>12</v>
      </c>
      <c r="D78" s="350"/>
      <c r="E78" s="480"/>
      <c r="F78" s="780">
        <v>700</v>
      </c>
      <c r="G78" s="946"/>
      <c r="H78" s="95"/>
      <c r="I78" s="1064">
        <v>700</v>
      </c>
      <c r="J78" s="622"/>
      <c r="K78" s="982"/>
    </row>
    <row r="79" spans="1:14" s="224" customFormat="1" ht="15" customHeight="1" x14ac:dyDescent="0.25">
      <c r="A79" s="215">
        <v>44001</v>
      </c>
      <c r="B79" s="349" t="s">
        <v>14</v>
      </c>
      <c r="C79" s="887" t="s">
        <v>12</v>
      </c>
      <c r="D79" s="879" t="s">
        <v>1486</v>
      </c>
      <c r="E79" s="871" t="s">
        <v>13</v>
      </c>
      <c r="F79" s="780">
        <v>5.95</v>
      </c>
      <c r="G79" s="982"/>
      <c r="H79" s="1008"/>
      <c r="I79" s="1063"/>
      <c r="J79" s="622"/>
      <c r="K79" s="982"/>
      <c r="L79" s="997"/>
      <c r="M79" s="89"/>
      <c r="N79" s="930"/>
    </row>
    <row r="80" spans="1:14" s="224" customFormat="1" ht="15" customHeight="1" x14ac:dyDescent="0.25">
      <c r="A80" s="215">
        <v>44001</v>
      </c>
      <c r="B80" s="349" t="s">
        <v>81</v>
      </c>
      <c r="C80" s="887" t="s">
        <v>12</v>
      </c>
      <c r="D80" s="879" t="s">
        <v>1493</v>
      </c>
      <c r="E80" s="871" t="s">
        <v>13</v>
      </c>
      <c r="F80" s="780">
        <v>7.15</v>
      </c>
      <c r="G80" s="982"/>
      <c r="H80" s="1008"/>
      <c r="I80" s="1063"/>
      <c r="J80" s="622"/>
      <c r="K80" s="982"/>
      <c r="L80" s="997"/>
      <c r="M80" s="89"/>
      <c r="N80" s="930"/>
    </row>
    <row r="81" spans="1:14" s="224" customFormat="1" ht="15" customHeight="1" x14ac:dyDescent="0.25">
      <c r="A81" s="215">
        <v>44002</v>
      </c>
      <c r="B81" s="349" t="s">
        <v>14</v>
      </c>
      <c r="C81" s="887" t="s">
        <v>12</v>
      </c>
      <c r="D81" s="879" t="s">
        <v>1486</v>
      </c>
      <c r="E81" s="871" t="s">
        <v>13</v>
      </c>
      <c r="F81" s="780">
        <v>6.66</v>
      </c>
      <c r="G81" s="982"/>
      <c r="H81" s="1008"/>
      <c r="I81" s="1063"/>
      <c r="J81" s="622"/>
      <c r="K81" s="982"/>
      <c r="L81" s="997"/>
      <c r="M81" s="89"/>
      <c r="N81" s="930"/>
    </row>
    <row r="82" spans="1:14" s="224" customFormat="1" ht="15" customHeight="1" x14ac:dyDescent="0.25">
      <c r="A82" s="215">
        <v>44002</v>
      </c>
      <c r="B82" s="364" t="s">
        <v>2595</v>
      </c>
      <c r="C82" s="350" t="s">
        <v>12</v>
      </c>
      <c r="D82" s="350" t="s">
        <v>1506</v>
      </c>
      <c r="E82" s="875" t="s">
        <v>15</v>
      </c>
      <c r="F82" s="780">
        <v>10</v>
      </c>
      <c r="G82" s="982"/>
      <c r="H82" s="1009"/>
      <c r="I82" s="1063"/>
      <c r="J82" s="853"/>
      <c r="K82" s="982"/>
      <c r="L82" s="997"/>
      <c r="M82" s="89"/>
      <c r="N82" s="930"/>
    </row>
    <row r="83" spans="1:14" s="224" customFormat="1" ht="15" customHeight="1" x14ac:dyDescent="0.25">
      <c r="A83" s="215">
        <v>44002</v>
      </c>
      <c r="B83" s="364" t="s">
        <v>56</v>
      </c>
      <c r="C83" s="350" t="s">
        <v>19</v>
      </c>
      <c r="D83" s="350" t="s">
        <v>1523</v>
      </c>
      <c r="E83" s="875" t="s">
        <v>13</v>
      </c>
      <c r="F83" s="780">
        <v>18.399999999999999</v>
      </c>
      <c r="G83" s="982"/>
      <c r="H83" s="1009"/>
      <c r="I83" s="1063"/>
      <c r="J83" s="853"/>
      <c r="K83" s="982"/>
      <c r="L83" s="997"/>
      <c r="M83" s="89"/>
      <c r="N83" s="930"/>
    </row>
    <row r="84" spans="1:14" s="224" customFormat="1" ht="15" customHeight="1" x14ac:dyDescent="0.25">
      <c r="A84" s="215">
        <v>44002</v>
      </c>
      <c r="B84" s="364" t="s">
        <v>2654</v>
      </c>
      <c r="C84" s="350" t="s">
        <v>19</v>
      </c>
      <c r="D84" s="350" t="s">
        <v>1489</v>
      </c>
      <c r="E84" s="875" t="s">
        <v>13</v>
      </c>
      <c r="F84" s="780">
        <v>83.64</v>
      </c>
      <c r="G84" s="982"/>
      <c r="H84" s="1009"/>
      <c r="I84" s="1063"/>
      <c r="J84" s="853"/>
      <c r="K84" s="982"/>
      <c r="L84" s="997"/>
      <c r="M84" s="89"/>
      <c r="N84" s="930"/>
    </row>
    <row r="85" spans="1:14" s="224" customFormat="1" ht="15" customHeight="1" x14ac:dyDescent="0.25">
      <c r="A85" s="215">
        <v>44002</v>
      </c>
      <c r="B85" s="364" t="s">
        <v>2251</v>
      </c>
      <c r="C85" s="350" t="s">
        <v>12</v>
      </c>
      <c r="D85" s="350" t="s">
        <v>2157</v>
      </c>
      <c r="E85" s="875" t="s">
        <v>13</v>
      </c>
      <c r="F85" s="780">
        <v>40</v>
      </c>
      <c r="G85" s="982"/>
      <c r="H85" s="1008"/>
      <c r="I85" s="1063"/>
      <c r="J85" s="622"/>
      <c r="K85" s="982"/>
      <c r="L85" s="459"/>
    </row>
    <row r="86" spans="1:14" s="224" customFormat="1" ht="15" customHeight="1" x14ac:dyDescent="0.25">
      <c r="A86" s="215">
        <v>44002</v>
      </c>
      <c r="B86" s="349" t="s">
        <v>14</v>
      </c>
      <c r="C86" s="887" t="s">
        <v>12</v>
      </c>
      <c r="D86" s="879" t="s">
        <v>1486</v>
      </c>
      <c r="E86" s="871" t="s">
        <v>13</v>
      </c>
      <c r="F86" s="780">
        <v>5.2</v>
      </c>
      <c r="G86" s="982"/>
      <c r="H86" s="1008"/>
      <c r="I86" s="1063"/>
      <c r="J86" s="622"/>
      <c r="K86" s="982"/>
      <c r="L86" s="997"/>
      <c r="M86" s="89"/>
      <c r="N86" s="930"/>
    </row>
    <row r="87" spans="1:14" s="224" customFormat="1" ht="15" customHeight="1" x14ac:dyDescent="0.25">
      <c r="A87" s="215">
        <v>44003</v>
      </c>
      <c r="B87" s="349" t="s">
        <v>2603</v>
      </c>
      <c r="C87" s="887" t="s">
        <v>12</v>
      </c>
      <c r="D87" s="879" t="s">
        <v>1491</v>
      </c>
      <c r="E87" s="871" t="s">
        <v>15</v>
      </c>
      <c r="F87" s="780">
        <v>45</v>
      </c>
      <c r="G87" s="982"/>
      <c r="H87" s="1008"/>
      <c r="I87" s="1063"/>
      <c r="J87" s="622"/>
      <c r="K87" s="982"/>
      <c r="L87" s="997"/>
      <c r="M87" s="89"/>
      <c r="N87" s="930"/>
    </row>
    <row r="88" spans="1:14" s="224" customFormat="1" ht="15" customHeight="1" x14ac:dyDescent="0.25">
      <c r="A88" s="215">
        <v>44003</v>
      </c>
      <c r="B88" s="349" t="s">
        <v>2669</v>
      </c>
      <c r="C88" s="887" t="s">
        <v>12</v>
      </c>
      <c r="D88" s="879" t="s">
        <v>1489</v>
      </c>
      <c r="E88" s="871" t="s">
        <v>13</v>
      </c>
      <c r="F88" s="780">
        <v>9.81</v>
      </c>
      <c r="G88" s="982"/>
      <c r="H88" s="1008"/>
      <c r="I88" s="1063"/>
      <c r="J88" s="622"/>
      <c r="K88" s="982"/>
      <c r="L88" s="997"/>
      <c r="M88" s="89"/>
      <c r="N88" s="930"/>
    </row>
    <row r="89" spans="1:14" s="224" customFormat="1" ht="15" customHeight="1" x14ac:dyDescent="0.25">
      <c r="A89" s="215">
        <v>44004</v>
      </c>
      <c r="B89" s="364" t="s">
        <v>1241</v>
      </c>
      <c r="C89" s="350" t="s">
        <v>12</v>
      </c>
      <c r="D89" s="350" t="s">
        <v>1504</v>
      </c>
      <c r="E89" s="875" t="s">
        <v>13</v>
      </c>
      <c r="F89" s="780">
        <v>10</v>
      </c>
      <c r="G89" s="982"/>
      <c r="H89" s="1008"/>
      <c r="I89" s="1063"/>
      <c r="J89" s="622"/>
      <c r="K89" s="982"/>
      <c r="L89" s="459"/>
    </row>
    <row r="90" spans="1:14" s="224" customFormat="1" ht="15" customHeight="1" x14ac:dyDescent="0.25">
      <c r="A90" s="215">
        <v>44004</v>
      </c>
      <c r="B90" s="364" t="s">
        <v>32</v>
      </c>
      <c r="C90" s="350" t="s">
        <v>12</v>
      </c>
      <c r="D90" s="350" t="s">
        <v>1485</v>
      </c>
      <c r="E90" s="875" t="s">
        <v>13</v>
      </c>
      <c r="F90" s="780">
        <v>14</v>
      </c>
      <c r="G90" s="982"/>
      <c r="H90" s="1008"/>
      <c r="I90" s="1063"/>
      <c r="J90" s="622"/>
      <c r="K90" s="982"/>
      <c r="L90" s="1016"/>
      <c r="N90" s="930"/>
    </row>
    <row r="91" spans="1:14" s="224" customFormat="1" ht="15" customHeight="1" x14ac:dyDescent="0.25">
      <c r="A91" s="215">
        <v>44004</v>
      </c>
      <c r="B91" s="364" t="s">
        <v>81</v>
      </c>
      <c r="C91" s="350" t="s">
        <v>12</v>
      </c>
      <c r="D91" s="350" t="s">
        <v>1493</v>
      </c>
      <c r="E91" s="875" t="s">
        <v>13</v>
      </c>
      <c r="F91" s="780">
        <v>2.6</v>
      </c>
      <c r="G91" s="982"/>
      <c r="H91" s="1008"/>
      <c r="I91" s="1063"/>
      <c r="J91" s="622"/>
      <c r="K91" s="982"/>
      <c r="L91" s="997"/>
      <c r="M91" s="89"/>
      <c r="N91" s="930"/>
    </row>
    <row r="92" spans="1:14" s="224" customFormat="1" ht="15" customHeight="1" x14ac:dyDescent="0.25">
      <c r="A92" s="215">
        <v>44004</v>
      </c>
      <c r="B92" s="349" t="s">
        <v>14</v>
      </c>
      <c r="C92" s="887" t="s">
        <v>12</v>
      </c>
      <c r="D92" s="879" t="s">
        <v>1486</v>
      </c>
      <c r="E92" s="871" t="s">
        <v>13</v>
      </c>
      <c r="F92" s="852">
        <v>3.76</v>
      </c>
      <c r="G92" s="627"/>
      <c r="H92" s="1011"/>
      <c r="I92" s="248"/>
      <c r="J92" s="672"/>
      <c r="K92" s="627"/>
    </row>
    <row r="93" spans="1:14" s="224" customFormat="1" ht="15" customHeight="1" x14ac:dyDescent="0.25">
      <c r="A93" s="215">
        <v>44005</v>
      </c>
      <c r="B93" s="364" t="s">
        <v>32</v>
      </c>
      <c r="C93" s="350" t="s">
        <v>12</v>
      </c>
      <c r="D93" s="350" t="s">
        <v>1485</v>
      </c>
      <c r="E93" s="875" t="s">
        <v>13</v>
      </c>
      <c r="F93" s="780">
        <v>14</v>
      </c>
      <c r="G93" s="982"/>
      <c r="H93" s="1008"/>
      <c r="I93" s="1063"/>
      <c r="J93" s="622"/>
      <c r="K93" s="982"/>
      <c r="L93" s="1016"/>
      <c r="N93" s="930"/>
    </row>
    <row r="94" spans="1:14" s="224" customFormat="1" ht="15" customHeight="1" x14ac:dyDescent="0.25">
      <c r="A94" s="215">
        <v>44005</v>
      </c>
      <c r="B94" s="364" t="s">
        <v>2670</v>
      </c>
      <c r="C94" s="350" t="s">
        <v>12</v>
      </c>
      <c r="D94" s="350" t="s">
        <v>1496</v>
      </c>
      <c r="E94" s="875" t="s">
        <v>13</v>
      </c>
      <c r="F94" s="780">
        <v>3.6</v>
      </c>
      <c r="G94" s="982"/>
      <c r="H94" s="1008"/>
      <c r="I94" s="1063"/>
      <c r="J94" s="622"/>
      <c r="K94" s="982"/>
      <c r="L94" s="459"/>
    </row>
    <row r="95" spans="1:14" s="224" customFormat="1" ht="15" customHeight="1" x14ac:dyDescent="0.25">
      <c r="A95" s="215">
        <v>44005</v>
      </c>
      <c r="B95" s="349" t="s">
        <v>14</v>
      </c>
      <c r="C95" s="887" t="s">
        <v>12</v>
      </c>
      <c r="D95" s="879" t="s">
        <v>1486</v>
      </c>
      <c r="E95" s="871" t="s">
        <v>13</v>
      </c>
      <c r="F95" s="780">
        <v>4.2699999999999996</v>
      </c>
      <c r="G95" s="982"/>
      <c r="H95" s="1008"/>
      <c r="I95" s="1063"/>
      <c r="J95" s="622"/>
      <c r="K95" s="982"/>
      <c r="L95" s="459"/>
    </row>
    <row r="96" spans="1:14" s="224" customFormat="1" ht="15" customHeight="1" x14ac:dyDescent="0.25">
      <c r="A96" s="215">
        <v>44006</v>
      </c>
      <c r="B96" s="364" t="s">
        <v>32</v>
      </c>
      <c r="C96" s="350" t="s">
        <v>12</v>
      </c>
      <c r="D96" s="350" t="s">
        <v>1485</v>
      </c>
      <c r="E96" s="875" t="s">
        <v>13</v>
      </c>
      <c r="F96" s="780">
        <v>14</v>
      </c>
      <c r="G96" s="982"/>
      <c r="H96" s="1008"/>
      <c r="I96" s="1063"/>
      <c r="J96" s="622"/>
      <c r="K96" s="982"/>
      <c r="L96" s="1016"/>
      <c r="N96" s="930"/>
    </row>
    <row r="97" spans="1:14" s="224" customFormat="1" ht="15" customHeight="1" x14ac:dyDescent="0.25">
      <c r="A97" s="215">
        <v>44006</v>
      </c>
      <c r="B97" s="349" t="s">
        <v>14</v>
      </c>
      <c r="C97" s="887" t="s">
        <v>12</v>
      </c>
      <c r="D97" s="879" t="s">
        <v>1486</v>
      </c>
      <c r="E97" s="871" t="s">
        <v>13</v>
      </c>
      <c r="F97" s="852">
        <v>4.84</v>
      </c>
      <c r="G97" s="982"/>
      <c r="H97" s="1009"/>
      <c r="I97" s="1063"/>
      <c r="J97" s="853"/>
      <c r="K97" s="982"/>
      <c r="L97" s="997"/>
      <c r="M97" s="89"/>
      <c r="N97" s="930"/>
    </row>
    <row r="98" spans="1:14" s="224" customFormat="1" ht="15" customHeight="1" x14ac:dyDescent="0.25">
      <c r="A98" s="215">
        <v>44007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14</v>
      </c>
      <c r="G98" s="982"/>
      <c r="H98" s="1008"/>
      <c r="I98" s="1063"/>
      <c r="J98" s="622"/>
      <c r="K98" s="982"/>
      <c r="L98" s="1016"/>
      <c r="N98" s="930"/>
    </row>
    <row r="99" spans="1:14" s="224" customFormat="1" ht="15" customHeight="1" x14ac:dyDescent="0.25">
      <c r="A99" s="215">
        <v>44007</v>
      </c>
      <c r="B99" s="364" t="s">
        <v>81</v>
      </c>
      <c r="C99" s="350" t="s">
        <v>12</v>
      </c>
      <c r="D99" s="350" t="s">
        <v>1493</v>
      </c>
      <c r="E99" s="875" t="s">
        <v>13</v>
      </c>
      <c r="F99" s="780">
        <v>6.99</v>
      </c>
      <c r="G99" s="982"/>
      <c r="H99" s="1008"/>
      <c r="I99" s="1063"/>
      <c r="J99" s="622"/>
      <c r="K99" s="982"/>
      <c r="L99" s="997"/>
      <c r="M99" s="89"/>
      <c r="N99" s="930"/>
    </row>
    <row r="100" spans="1:14" s="224" customFormat="1" ht="15" customHeight="1" x14ac:dyDescent="0.25">
      <c r="A100" s="215">
        <v>44007</v>
      </c>
      <c r="B100" s="349" t="s">
        <v>14</v>
      </c>
      <c r="C100" s="887" t="s">
        <v>12</v>
      </c>
      <c r="D100" s="879" t="s">
        <v>1486</v>
      </c>
      <c r="E100" s="871" t="s">
        <v>13</v>
      </c>
      <c r="F100" s="852">
        <v>3.55</v>
      </c>
      <c r="G100" s="982"/>
      <c r="H100" s="1009"/>
      <c r="I100" s="1063"/>
      <c r="J100" s="853"/>
      <c r="K100" s="982"/>
      <c r="L100" s="997"/>
      <c r="M100" s="89"/>
      <c r="N100" s="930"/>
    </row>
    <row r="101" spans="1:14" s="224" customFormat="1" ht="15" customHeight="1" x14ac:dyDescent="0.25">
      <c r="A101" s="215">
        <v>44008</v>
      </c>
      <c r="B101" s="349" t="s">
        <v>14</v>
      </c>
      <c r="C101" s="887" t="s">
        <v>12</v>
      </c>
      <c r="D101" s="879" t="s">
        <v>1486</v>
      </c>
      <c r="E101" s="871" t="s">
        <v>13</v>
      </c>
      <c r="F101" s="852">
        <v>3.02</v>
      </c>
      <c r="G101" s="982"/>
      <c r="H101" s="1009"/>
      <c r="I101" s="1063"/>
      <c r="J101" s="853"/>
      <c r="K101" s="982"/>
      <c r="L101" s="997"/>
      <c r="M101" s="89"/>
      <c r="N101" s="930"/>
    </row>
    <row r="102" spans="1:14" s="224" customFormat="1" ht="15" customHeight="1" x14ac:dyDescent="0.25">
      <c r="A102" s="215">
        <v>44008</v>
      </c>
      <c r="B102" s="364" t="s">
        <v>2251</v>
      </c>
      <c r="C102" s="350" t="s">
        <v>12</v>
      </c>
      <c r="D102" s="350" t="s">
        <v>2157</v>
      </c>
      <c r="E102" s="875" t="s">
        <v>15</v>
      </c>
      <c r="F102" s="780">
        <v>50</v>
      </c>
      <c r="G102" s="982"/>
      <c r="H102" s="1008"/>
      <c r="I102" s="1063"/>
      <c r="J102" s="622"/>
      <c r="K102" s="982"/>
      <c r="L102" s="459"/>
    </row>
    <row r="103" spans="1:14" s="224" customFormat="1" ht="15" customHeight="1" x14ac:dyDescent="0.25">
      <c r="A103" s="215">
        <v>44008</v>
      </c>
      <c r="B103" s="349" t="s">
        <v>2603</v>
      </c>
      <c r="C103" s="887" t="s">
        <v>12</v>
      </c>
      <c r="D103" s="879" t="s">
        <v>1491</v>
      </c>
      <c r="E103" s="871" t="s">
        <v>15</v>
      </c>
      <c r="F103" s="780">
        <v>50</v>
      </c>
      <c r="G103" s="982"/>
      <c r="H103" s="1008"/>
      <c r="I103" s="1063"/>
      <c r="J103" s="622"/>
      <c r="K103" s="982"/>
      <c r="L103" s="997"/>
      <c r="M103" s="89"/>
      <c r="N103" s="930"/>
    </row>
    <row r="104" spans="1:14" s="224" customFormat="1" ht="15" customHeight="1" x14ac:dyDescent="0.25">
      <c r="A104" s="215">
        <v>44008</v>
      </c>
      <c r="B104" s="364" t="s">
        <v>32</v>
      </c>
      <c r="C104" s="350" t="s">
        <v>12</v>
      </c>
      <c r="D104" s="350" t="s">
        <v>1485</v>
      </c>
      <c r="E104" s="875" t="s">
        <v>13</v>
      </c>
      <c r="F104" s="780">
        <v>15</v>
      </c>
      <c r="G104" s="982"/>
      <c r="H104" s="1008"/>
      <c r="I104" s="1063"/>
      <c r="J104" s="622"/>
      <c r="K104" s="982"/>
      <c r="L104" s="1016"/>
      <c r="N104" s="930"/>
    </row>
    <row r="105" spans="1:14" s="224" customFormat="1" ht="15" customHeight="1" x14ac:dyDescent="0.25">
      <c r="A105" s="215">
        <v>44008</v>
      </c>
      <c r="B105" s="364" t="s">
        <v>81</v>
      </c>
      <c r="C105" s="350" t="s">
        <v>12</v>
      </c>
      <c r="D105" s="350" t="s">
        <v>1493</v>
      </c>
      <c r="E105" s="875" t="s">
        <v>13</v>
      </c>
      <c r="F105" s="780">
        <v>10.5</v>
      </c>
      <c r="G105" s="982"/>
      <c r="H105" s="1008"/>
      <c r="I105" s="1063"/>
      <c r="J105" s="622"/>
      <c r="K105" s="982"/>
      <c r="L105" s="997"/>
      <c r="M105" s="89"/>
      <c r="N105" s="930"/>
    </row>
    <row r="106" spans="1:14" s="224" customFormat="1" ht="15" customHeight="1" x14ac:dyDescent="0.25">
      <c r="A106" s="215">
        <v>44008</v>
      </c>
      <c r="B106" s="349" t="s">
        <v>14</v>
      </c>
      <c r="C106" s="887" t="s">
        <v>12</v>
      </c>
      <c r="D106" s="879" t="s">
        <v>1486</v>
      </c>
      <c r="E106" s="871" t="s">
        <v>13</v>
      </c>
      <c r="F106" s="852">
        <v>4.41</v>
      </c>
      <c r="G106" s="982"/>
      <c r="H106" s="1009"/>
      <c r="I106" s="1063"/>
      <c r="J106" s="853"/>
      <c r="K106" s="982"/>
      <c r="L106" s="997"/>
      <c r="M106" s="89"/>
      <c r="N106" s="930"/>
    </row>
    <row r="107" spans="1:14" s="224" customFormat="1" ht="15" customHeight="1" x14ac:dyDescent="0.25">
      <c r="A107" s="215">
        <v>44009</v>
      </c>
      <c r="B107" s="349" t="s">
        <v>82</v>
      </c>
      <c r="C107" s="887" t="s">
        <v>12</v>
      </c>
      <c r="D107" s="879" t="s">
        <v>1493</v>
      </c>
      <c r="E107" s="871" t="s">
        <v>13</v>
      </c>
      <c r="F107" s="780">
        <v>42.8</v>
      </c>
      <c r="G107" s="982"/>
      <c r="H107" s="1008"/>
      <c r="I107" s="1063"/>
      <c r="J107" s="622"/>
      <c r="K107" s="982"/>
      <c r="L107" s="997"/>
      <c r="M107" s="89"/>
      <c r="N107" s="930"/>
    </row>
    <row r="108" spans="1:14" s="224" customFormat="1" ht="15" customHeight="1" x14ac:dyDescent="0.25">
      <c r="A108" s="215">
        <v>44010</v>
      </c>
      <c r="B108" s="364" t="s">
        <v>525</v>
      </c>
      <c r="C108" s="350" t="s">
        <v>12</v>
      </c>
      <c r="D108" s="350" t="s">
        <v>1493</v>
      </c>
      <c r="E108" s="875" t="s">
        <v>13</v>
      </c>
      <c r="F108" s="852">
        <v>28.85</v>
      </c>
      <c r="G108" s="982"/>
      <c r="H108" s="1009"/>
      <c r="I108" s="1063"/>
      <c r="J108" s="853"/>
      <c r="K108" s="982"/>
      <c r="L108" s="997"/>
      <c r="M108" s="89"/>
      <c r="N108" s="930"/>
    </row>
    <row r="109" spans="1:14" s="224" customFormat="1" ht="15" customHeight="1" x14ac:dyDescent="0.25">
      <c r="A109" s="215">
        <v>44011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780">
        <v>14</v>
      </c>
      <c r="G109" s="982"/>
      <c r="H109" s="1008"/>
      <c r="I109" s="1063"/>
      <c r="J109" s="622"/>
      <c r="K109" s="982"/>
      <c r="L109" s="1016"/>
      <c r="N109" s="930"/>
    </row>
    <row r="110" spans="1:14" s="224" customFormat="1" ht="15" customHeight="1" x14ac:dyDescent="0.25">
      <c r="A110" s="215">
        <v>44011</v>
      </c>
      <c r="B110" s="364" t="s">
        <v>2671</v>
      </c>
      <c r="C110" s="350" t="s">
        <v>12</v>
      </c>
      <c r="D110" s="350" t="s">
        <v>1491</v>
      </c>
      <c r="E110" s="875" t="s">
        <v>15</v>
      </c>
      <c r="F110" s="780">
        <v>190</v>
      </c>
      <c r="G110" s="982"/>
      <c r="H110" s="1008"/>
      <c r="I110" s="1063"/>
      <c r="J110" s="622"/>
      <c r="K110" s="982"/>
      <c r="L110" s="997"/>
      <c r="M110" s="89"/>
      <c r="N110" s="930"/>
    </row>
    <row r="111" spans="1:14" s="224" customFormat="1" ht="15" customHeight="1" x14ac:dyDescent="0.25">
      <c r="A111" s="215">
        <v>44011</v>
      </c>
      <c r="B111" s="349" t="s">
        <v>14</v>
      </c>
      <c r="C111" s="887" t="s">
        <v>12</v>
      </c>
      <c r="D111" s="879" t="s">
        <v>1486</v>
      </c>
      <c r="E111" s="871" t="s">
        <v>13</v>
      </c>
      <c r="F111" s="852">
        <v>4.6500000000000004</v>
      </c>
      <c r="G111" s="982"/>
      <c r="H111" s="1009"/>
      <c r="I111" s="1063"/>
      <c r="J111" s="853"/>
      <c r="K111" s="982"/>
      <c r="L111" s="997"/>
      <c r="M111" s="89"/>
      <c r="N111" s="930"/>
    </row>
    <row r="112" spans="1:14" s="224" customFormat="1" ht="15" customHeight="1" x14ac:dyDescent="0.25">
      <c r="A112" s="215">
        <v>44012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780">
        <v>14</v>
      </c>
      <c r="G112" s="982"/>
      <c r="H112" s="1008"/>
      <c r="I112" s="1063"/>
      <c r="J112" s="622"/>
      <c r="K112" s="982"/>
      <c r="L112" s="1016"/>
      <c r="N112" s="930"/>
    </row>
    <row r="113" spans="1:14" s="224" customFormat="1" ht="15" customHeight="1" x14ac:dyDescent="0.25">
      <c r="A113" s="215">
        <v>44012</v>
      </c>
      <c r="B113" s="349" t="s">
        <v>14</v>
      </c>
      <c r="C113" s="887" t="s">
        <v>12</v>
      </c>
      <c r="D113" s="879" t="s">
        <v>1486</v>
      </c>
      <c r="E113" s="871" t="s">
        <v>13</v>
      </c>
      <c r="F113" s="780">
        <v>4.7699999999999996</v>
      </c>
      <c r="G113" s="982"/>
      <c r="H113" s="1008"/>
      <c r="I113" s="1063"/>
      <c r="J113" s="622"/>
      <c r="K113" s="982"/>
      <c r="L113" s="1016"/>
      <c r="N113" s="930"/>
    </row>
    <row r="114" spans="1:14" s="224" customFormat="1" x14ac:dyDescent="0.25">
      <c r="A114" s="215">
        <v>44012</v>
      </c>
      <c r="B114" s="862" t="s">
        <v>1666</v>
      </c>
      <c r="C114" s="350" t="s">
        <v>12</v>
      </c>
      <c r="D114" s="1003"/>
      <c r="E114" s="145" t="s">
        <v>25</v>
      </c>
      <c r="F114" s="622"/>
      <c r="G114" s="982"/>
      <c r="H114" s="1008"/>
      <c r="I114" s="1063"/>
      <c r="J114" s="622"/>
      <c r="K114" s="982">
        <v>17.52</v>
      </c>
      <c r="L114" s="459"/>
    </row>
    <row r="115" spans="1:14" s="224" customFormat="1" ht="15" customHeight="1" thickBot="1" x14ac:dyDescent="0.3">
      <c r="A115" s="215">
        <v>44012</v>
      </c>
      <c r="B115" s="862" t="s">
        <v>2593</v>
      </c>
      <c r="C115" s="879" t="s">
        <v>12</v>
      </c>
      <c r="D115" s="879" t="s">
        <v>1504</v>
      </c>
      <c r="E115" s="871" t="s">
        <v>13</v>
      </c>
      <c r="F115" s="416">
        <v>32.9</v>
      </c>
      <c r="G115" s="960"/>
      <c r="H115" s="1012"/>
      <c r="I115" s="1536"/>
      <c r="J115" s="416"/>
      <c r="K115" s="1522"/>
      <c r="L115" s="459"/>
    </row>
    <row r="116" spans="1:14" ht="25.5" customHeight="1" thickBot="1" x14ac:dyDescent="0.3">
      <c r="A116" s="3060"/>
      <c r="B116" s="3061"/>
      <c r="C116" s="3062"/>
      <c r="D116" s="3062"/>
      <c r="E116" s="3062"/>
      <c r="F116" s="1020">
        <f>SUM(F6:F115)</f>
        <v>3567.2599999999998</v>
      </c>
      <c r="G116" s="1534">
        <f>SUM(G5:G115)</f>
        <v>4023.8833333333532</v>
      </c>
      <c r="H116" s="517">
        <f>SUM(H6:H115)</f>
        <v>0</v>
      </c>
      <c r="I116" s="93">
        <f>SUM(I5:I115)</f>
        <v>2299.9960000000019</v>
      </c>
      <c r="J116" s="1023">
        <f>SUM(J6:J115)</f>
        <v>0</v>
      </c>
      <c r="K116" s="93">
        <f>SUM(K5:K115)</f>
        <v>11160.76</v>
      </c>
    </row>
    <row r="117" spans="1:14" ht="25.5" customHeight="1" thickBot="1" x14ac:dyDescent="0.3">
      <c r="A117" s="3117" t="s">
        <v>49</v>
      </c>
      <c r="B117" s="3118"/>
      <c r="C117" s="3118"/>
      <c r="D117" s="3118"/>
      <c r="E117" s="3118"/>
      <c r="F117" s="144" t="s">
        <v>280</v>
      </c>
      <c r="G117" s="519">
        <f>G116-F116</f>
        <v>456.62333333335346</v>
      </c>
      <c r="H117" s="555"/>
      <c r="I117" s="772">
        <f>I116-H116</f>
        <v>2299.9960000000019</v>
      </c>
      <c r="J117" s="593"/>
      <c r="K117" s="772">
        <f>K116-J116</f>
        <v>11160.76</v>
      </c>
    </row>
    <row r="118" spans="1:14" x14ac:dyDescent="0.25">
      <c r="E118" s="79"/>
      <c r="K118" s="518"/>
      <c r="L118" s="79"/>
    </row>
    <row r="119" spans="1:14" x14ac:dyDescent="0.25">
      <c r="B119" s="81" t="s">
        <v>3</v>
      </c>
      <c r="C119" s="193" t="s">
        <v>1484</v>
      </c>
      <c r="D119" s="970" t="s">
        <v>2378</v>
      </c>
      <c r="G119" s="216"/>
      <c r="K119" s="866"/>
    </row>
    <row r="120" spans="1:14" x14ac:dyDescent="0.25">
      <c r="B120" s="79" t="s">
        <v>32</v>
      </c>
      <c r="C120" s="85" t="s">
        <v>1485</v>
      </c>
      <c r="D120" s="475">
        <f>SUMIF($D$7:$D$115,"A",$F$7:$F$115)</f>
        <v>290.89999999999998</v>
      </c>
      <c r="F120" s="79"/>
      <c r="I120" s="769"/>
      <c r="J120" s="868"/>
      <c r="L120" s="79"/>
    </row>
    <row r="121" spans="1:14" x14ac:dyDescent="0.25">
      <c r="B121" s="79" t="s">
        <v>2187</v>
      </c>
      <c r="C121" s="85" t="s">
        <v>2157</v>
      </c>
      <c r="D121" s="475">
        <f>SUMIF($D$8:$D$115,"GAC",$F$8:$F$115)</f>
        <v>220</v>
      </c>
      <c r="G121" s="609"/>
      <c r="J121" s="754"/>
      <c r="K121" s="886"/>
      <c r="L121" s="985"/>
    </row>
    <row r="122" spans="1:14" x14ac:dyDescent="0.25">
      <c r="B122" s="79" t="s">
        <v>2188</v>
      </c>
      <c r="C122" s="85" t="s">
        <v>2168</v>
      </c>
      <c r="D122" s="475">
        <f>SUMIF($D$11:$D$115,"GAM",$F$11:$F$115)</f>
        <v>30</v>
      </c>
      <c r="J122" s="864"/>
      <c r="K122" s="864"/>
      <c r="L122" s="958"/>
    </row>
    <row r="123" spans="1:14" s="85" customFormat="1" x14ac:dyDescent="0.25">
      <c r="A123" s="79"/>
      <c r="B123" s="79" t="s">
        <v>50</v>
      </c>
      <c r="C123" s="85" t="s">
        <v>1493</v>
      </c>
      <c r="D123" s="475">
        <f>SUMIF($D$7:$D$115,"LD",$F$7:$F$115)</f>
        <v>206.20000000000002</v>
      </c>
      <c r="J123" s="864"/>
      <c r="K123" s="864"/>
      <c r="L123" s="958"/>
    </row>
    <row r="124" spans="1:14" s="85" customFormat="1" x14ac:dyDescent="0.25">
      <c r="A124" s="79"/>
      <c r="B124" s="79" t="s">
        <v>14</v>
      </c>
      <c r="C124" s="85" t="s">
        <v>1486</v>
      </c>
      <c r="D124" s="475">
        <f>SUMIF($D$7:$D$115,"C",$F$7:$F$115)</f>
        <v>141.70000000000002</v>
      </c>
      <c r="F124" s="89"/>
      <c r="G124" s="79"/>
      <c r="H124" s="79"/>
      <c r="J124" s="864"/>
      <c r="K124" s="864"/>
      <c r="L124" s="958"/>
    </row>
    <row r="125" spans="1:14" s="85" customFormat="1" x14ac:dyDescent="0.25">
      <c r="A125" s="79"/>
      <c r="B125" s="79" t="s">
        <v>51</v>
      </c>
      <c r="C125" s="864" t="s">
        <v>1499</v>
      </c>
      <c r="D125" s="475">
        <f>SUMIF($D$11:$D$115,"CAL",$F$11:$F$115)</f>
        <v>45.24</v>
      </c>
      <c r="F125" s="89"/>
      <c r="G125" s="79"/>
      <c r="H125" s="79"/>
      <c r="I125" s="79"/>
      <c r="L125" s="958"/>
    </row>
    <row r="126" spans="1:14" s="85" customFormat="1" x14ac:dyDescent="0.25">
      <c r="A126" s="79"/>
      <c r="B126" s="79" t="s">
        <v>2189</v>
      </c>
      <c r="C126" s="864" t="s">
        <v>1496</v>
      </c>
      <c r="D126" s="475">
        <f>SUMIF($D$11:$D$115,"AC",$F$11:$F$115)</f>
        <v>87.27</v>
      </c>
      <c r="F126" s="769"/>
      <c r="G126" s="79"/>
      <c r="L126" s="941"/>
    </row>
    <row r="127" spans="1:14" s="85" customFormat="1" x14ac:dyDescent="0.25">
      <c r="A127" s="79"/>
      <c r="B127" s="867" t="s">
        <v>53</v>
      </c>
      <c r="C127" s="864" t="s">
        <v>1522</v>
      </c>
      <c r="D127" s="475">
        <f>SUMIF($D$11:$D$115,"DC",$F$11:$F$115)</f>
        <v>0</v>
      </c>
      <c r="L127" s="459"/>
    </row>
    <row r="128" spans="1:14" s="85" customFormat="1" x14ac:dyDescent="0.25">
      <c r="A128" s="79"/>
      <c r="B128" s="867" t="s">
        <v>2149</v>
      </c>
      <c r="C128" s="864" t="s">
        <v>2131</v>
      </c>
      <c r="D128" s="475">
        <f>SUMIF($D$11:$D$115,"DM",$F$11:$F$115)</f>
        <v>106.17</v>
      </c>
      <c r="F128" s="769"/>
      <c r="L128" s="459"/>
    </row>
    <row r="129" spans="1:15" s="85" customFormat="1" x14ac:dyDescent="0.25">
      <c r="A129" s="79"/>
      <c r="B129" s="79" t="s">
        <v>2008</v>
      </c>
      <c r="C129" s="864" t="s">
        <v>1523</v>
      </c>
      <c r="D129" s="475">
        <f>SUMIF($D$11:$D$115,"B",$F$11:$F$115)</f>
        <v>45.9</v>
      </c>
      <c r="F129" s="769"/>
      <c r="G129" s="866"/>
      <c r="J129" s="85" t="s">
        <v>280</v>
      </c>
      <c r="L129" s="459"/>
    </row>
    <row r="130" spans="1:15" s="85" customFormat="1" x14ac:dyDescent="0.25">
      <c r="A130" s="79"/>
      <c r="B130" s="79" t="s">
        <v>1686</v>
      </c>
      <c r="C130" s="864" t="s">
        <v>1506</v>
      </c>
      <c r="D130" s="475">
        <f>SUMIF($D$11:$D$115,"R",$F$11:$F$115)</f>
        <v>100</v>
      </c>
      <c r="F130" s="769"/>
      <c r="G130" s="868"/>
      <c r="K130" s="866"/>
      <c r="L130" s="459"/>
    </row>
    <row r="131" spans="1:15" x14ac:dyDescent="0.25">
      <c r="B131" s="79" t="s">
        <v>418</v>
      </c>
      <c r="C131" s="85" t="s">
        <v>1524</v>
      </c>
      <c r="D131" s="475">
        <f>SUMIF($D$11:$D$115,"COM",$F$11:$F$115)</f>
        <v>0</v>
      </c>
      <c r="G131" s="85"/>
      <c r="H131" s="85"/>
      <c r="I131" s="85"/>
      <c r="J131" s="769"/>
      <c r="K131" s="868"/>
    </row>
    <row r="132" spans="1:15" x14ac:dyDescent="0.25">
      <c r="B132" s="79" t="s">
        <v>419</v>
      </c>
      <c r="C132" s="85" t="s">
        <v>1491</v>
      </c>
      <c r="D132" s="475">
        <f>SUMIF($D$11:$D$115,"F",$F$11:$F$115)</f>
        <v>554.9</v>
      </c>
    </row>
    <row r="133" spans="1:15" x14ac:dyDescent="0.25">
      <c r="B133" s="79" t="s">
        <v>911</v>
      </c>
      <c r="C133" s="85" t="s">
        <v>1525</v>
      </c>
      <c r="D133" s="475">
        <f>SUMIF($D$11:$D$115,"FER",$F$11:$F$115)</f>
        <v>164.9</v>
      </c>
      <c r="J133" s="769"/>
      <c r="K133" s="868"/>
    </row>
    <row r="134" spans="1:15" x14ac:dyDescent="0.25">
      <c r="B134" s="79" t="s">
        <v>1526</v>
      </c>
      <c r="C134" s="85" t="s">
        <v>1504</v>
      </c>
      <c r="D134" s="475">
        <f>SUMIF($D$11:$D$115,"I",$F$11:$F$115)</f>
        <v>179.70000000000002</v>
      </c>
      <c r="F134" s="89" t="s">
        <v>280</v>
      </c>
      <c r="J134" s="769"/>
      <c r="K134" s="866"/>
    </row>
    <row r="135" spans="1:15" x14ac:dyDescent="0.25">
      <c r="B135" s="79" t="s">
        <v>2343</v>
      </c>
      <c r="C135" s="85" t="s">
        <v>2315</v>
      </c>
      <c r="D135" s="475">
        <f>SUMIF($D$11:$D$115,"E",$F$11:$F$115)</f>
        <v>0</v>
      </c>
      <c r="J135" s="769"/>
      <c r="K135" s="868"/>
    </row>
    <row r="136" spans="1:15" x14ac:dyDescent="0.25">
      <c r="B136" s="79" t="s">
        <v>1527</v>
      </c>
      <c r="C136" s="85" t="s">
        <v>1489</v>
      </c>
      <c r="D136" s="475">
        <f>SUMIF($D$8:$D$115,"OD",$F$8:$F$115)</f>
        <v>394.38</v>
      </c>
      <c r="J136" s="769"/>
      <c r="K136" s="866"/>
    </row>
    <row r="137" spans="1:15" x14ac:dyDescent="0.25">
      <c r="C137" s="769"/>
      <c r="K137" s="866"/>
    </row>
    <row r="138" spans="1:15" x14ac:dyDescent="0.25">
      <c r="D138" s="459"/>
      <c r="H138" s="769"/>
      <c r="I138" s="518" t="s">
        <v>280</v>
      </c>
      <c r="K138" s="866"/>
    </row>
    <row r="139" spans="1:15" x14ac:dyDescent="0.25">
      <c r="B139" s="79" t="s">
        <v>486</v>
      </c>
      <c r="C139" s="475">
        <f>H139/J139</f>
        <v>85.575333333333347</v>
      </c>
      <c r="E139" s="864"/>
      <c r="F139" s="864" t="s">
        <v>487</v>
      </c>
      <c r="G139" s="867"/>
      <c r="H139" s="865">
        <f>SUM(D120:D136)</f>
        <v>2567.2600000000002</v>
      </c>
      <c r="I139" s="867"/>
      <c r="J139" s="1517">
        <v>30</v>
      </c>
    </row>
    <row r="140" spans="1:15" ht="15.75" customHeight="1" x14ac:dyDescent="0.25">
      <c r="E140" s="769"/>
      <c r="H140" s="629"/>
      <c r="K140" s="868"/>
    </row>
    <row r="141" spans="1:15" x14ac:dyDescent="0.25">
      <c r="E141" s="79"/>
      <c r="F141" s="79"/>
      <c r="H141" s="866"/>
      <c r="J141" s="769"/>
      <c r="K141" s="866"/>
    </row>
    <row r="142" spans="1:15" s="518" customFormat="1" x14ac:dyDescent="0.25">
      <c r="A142" s="79"/>
      <c r="B142" s="79"/>
      <c r="C142" s="85"/>
      <c r="D142" s="79"/>
      <c r="E142" s="79"/>
      <c r="F142" s="89"/>
      <c r="G142" s="79"/>
      <c r="H142" s="79"/>
      <c r="I142" s="79"/>
      <c r="J142" s="769"/>
      <c r="K142" s="866"/>
      <c r="M142" s="79"/>
      <c r="N142" s="79"/>
      <c r="O142" s="79"/>
    </row>
    <row r="143" spans="1:15" s="518" customFormat="1" x14ac:dyDescent="0.25">
      <c r="A143" s="79"/>
      <c r="B143" s="79"/>
      <c r="C143" s="85"/>
      <c r="D143" s="85"/>
      <c r="E143" s="85"/>
      <c r="F143" s="89"/>
      <c r="G143" s="79"/>
      <c r="H143" s="79"/>
      <c r="I143" s="79"/>
      <c r="J143" s="769"/>
      <c r="K143" s="866"/>
      <c r="M143" s="79"/>
      <c r="N143" s="79"/>
      <c r="O143" s="79"/>
    </row>
    <row r="144" spans="1:15" s="518" customFormat="1" x14ac:dyDescent="0.25">
      <c r="A144" s="79"/>
      <c r="B144" s="79"/>
      <c r="C144" s="85"/>
      <c r="D144" s="85"/>
      <c r="E144" s="85"/>
      <c r="F144" s="89"/>
      <c r="G144" s="79"/>
      <c r="H144" s="79"/>
      <c r="I144" s="79"/>
      <c r="J144" s="769"/>
      <c r="K144" s="866"/>
      <c r="M144" s="79"/>
      <c r="N144" s="79"/>
      <c r="O144" s="79"/>
    </row>
    <row r="145" spans="1:15" s="518" customFormat="1" x14ac:dyDescent="0.25">
      <c r="A145" s="79"/>
      <c r="B145" s="79"/>
      <c r="C145" s="85"/>
      <c r="D145" s="85"/>
      <c r="E145" s="85"/>
      <c r="F145" s="89"/>
      <c r="G145" s="79"/>
      <c r="H145" s="79"/>
      <c r="I145" s="216"/>
      <c r="J145" s="769"/>
      <c r="K145" s="866"/>
      <c r="M145" s="79"/>
      <c r="N145" s="79"/>
      <c r="O145" s="79"/>
    </row>
    <row r="146" spans="1:15" s="518" customFormat="1" x14ac:dyDescent="0.25">
      <c r="A146" s="79"/>
      <c r="B146" s="79"/>
      <c r="C146" s="79"/>
      <c r="D146" s="79"/>
      <c r="E146" s="79"/>
      <c r="F146" s="79"/>
      <c r="G146" s="79"/>
      <c r="H146" s="79"/>
      <c r="K146" s="866"/>
      <c r="M146" s="79"/>
      <c r="N146" s="79"/>
      <c r="O146" s="79"/>
    </row>
    <row r="147" spans="1:15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216"/>
      <c r="J147" s="769"/>
      <c r="K147" s="866"/>
      <c r="M147" s="79"/>
      <c r="N147" s="79"/>
      <c r="O147" s="79"/>
    </row>
    <row r="148" spans="1:15" s="518" customFormat="1" x14ac:dyDescent="0.25">
      <c r="A148" s="79"/>
      <c r="B148" s="79"/>
      <c r="C148" s="79"/>
      <c r="D148" s="79"/>
      <c r="E148" s="79"/>
      <c r="F148" s="79"/>
      <c r="G148" s="216"/>
      <c r="H148" s="79"/>
      <c r="I148" s="216"/>
      <c r="J148" s="769"/>
      <c r="K148" s="868"/>
      <c r="M148" s="79"/>
      <c r="N148" s="79"/>
      <c r="O148" s="79"/>
    </row>
    <row r="149" spans="1:15" s="518" customFormat="1" x14ac:dyDescent="0.25">
      <c r="A149" s="79"/>
      <c r="B149" s="79"/>
      <c r="C149" s="79"/>
      <c r="D149" s="79"/>
      <c r="E149" s="79"/>
      <c r="F149" s="79"/>
      <c r="G149" s="216"/>
      <c r="H149" s="79"/>
      <c r="I149" s="216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79"/>
      <c r="D150" s="79"/>
      <c r="E150" s="79"/>
      <c r="F150" s="79"/>
      <c r="G150" s="216"/>
      <c r="H150" s="79"/>
      <c r="I150" s="79"/>
      <c r="J150" s="770"/>
      <c r="K150" s="866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8"/>
      <c r="M151" s="79"/>
      <c r="N151" s="79"/>
      <c r="O151" s="79"/>
    </row>
    <row r="152" spans="1:15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629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M155" s="79"/>
      <c r="N155" s="79"/>
      <c r="O155" s="79"/>
    </row>
    <row r="156" spans="1:15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M157" s="79"/>
      <c r="N157" s="79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6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M163" s="79"/>
      <c r="N163" s="79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8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8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M167" s="79"/>
      <c r="N167" s="79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M168" s="79"/>
      <c r="N168" s="79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8"/>
      <c r="M170" s="79"/>
      <c r="N170" s="79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M171" s="79"/>
      <c r="N171" s="79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69"/>
      <c r="K173" s="868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69"/>
      <c r="K174" s="868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6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223"/>
      <c r="K178" s="629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56"/>
      <c r="K179" s="756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85"/>
      <c r="K184" s="85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85"/>
      <c r="K191" s="85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71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M199" s="79"/>
      <c r="N199" s="79"/>
      <c r="O199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216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216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M209" s="79"/>
      <c r="N209" s="79"/>
      <c r="O209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M211" s="79"/>
      <c r="N211" s="79"/>
      <c r="O211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629"/>
      <c r="M213" s="79"/>
      <c r="N213" s="79"/>
      <c r="O213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M221" s="79"/>
      <c r="N221" s="79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M223" s="79"/>
      <c r="N223" s="79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M224" s="79"/>
      <c r="N224" s="79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M225" s="79"/>
      <c r="N225" s="79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M226" s="79"/>
      <c r="N226" s="79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M227" s="79"/>
      <c r="N227" s="79"/>
      <c r="O227" s="79"/>
    </row>
  </sheetData>
  <autoFilter ref="A2:I117" xr:uid="{00000000-0009-0000-0000-000064000000}"/>
  <mergeCells count="12">
    <mergeCell ref="A116:E116"/>
    <mergeCell ref="A117:E11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Plan119"/>
  <dimension ref="A1:O232"/>
  <sheetViews>
    <sheetView zoomScale="85" zoomScaleNormal="85" workbookViewId="0">
      <pane ySplit="4" topLeftCell="A7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2672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44013</v>
      </c>
      <c r="B5" s="369" t="s">
        <v>10</v>
      </c>
      <c r="C5" s="370"/>
      <c r="D5" s="370"/>
      <c r="E5" s="777"/>
      <c r="F5" s="179"/>
      <c r="G5" s="933">
        <f>'Junho-20'!G117</f>
        <v>456.62333333335346</v>
      </c>
      <c r="H5" s="163"/>
      <c r="I5" s="1479">
        <f>'Junho-20'!I117</f>
        <v>2299.9960000000019</v>
      </c>
      <c r="J5" s="179"/>
      <c r="K5" s="933">
        <f>'Junho-20'!K117</f>
        <v>11160.76</v>
      </c>
    </row>
    <row r="6" spans="1:15" s="224" customFormat="1" x14ac:dyDescent="0.25">
      <c r="A6" s="215">
        <v>44013</v>
      </c>
      <c r="B6" s="348" t="s">
        <v>11</v>
      </c>
      <c r="C6" s="351"/>
      <c r="D6" s="351"/>
      <c r="E6" s="673"/>
      <c r="F6" s="538"/>
      <c r="G6" s="1473"/>
      <c r="H6" s="252"/>
      <c r="I6" s="1480"/>
      <c r="J6" s="250"/>
      <c r="K6" s="1473"/>
      <c r="L6" s="518"/>
      <c r="M6" s="89"/>
    </row>
    <row r="7" spans="1:15" s="224" customFormat="1" ht="15" customHeight="1" x14ac:dyDescent="0.25">
      <c r="A7" s="215">
        <v>44013</v>
      </c>
      <c r="B7" s="364" t="s">
        <v>1241</v>
      </c>
      <c r="C7" s="350" t="s">
        <v>12</v>
      </c>
      <c r="D7" s="350" t="s">
        <v>1504</v>
      </c>
      <c r="E7" s="875" t="s">
        <v>13</v>
      </c>
      <c r="F7" s="780">
        <v>10</v>
      </c>
      <c r="G7" s="946"/>
      <c r="H7" s="95"/>
      <c r="I7" s="1064"/>
      <c r="J7" s="97"/>
      <c r="K7" s="946"/>
      <c r="L7" s="928"/>
      <c r="M7" s="89"/>
      <c r="N7" s="930"/>
    </row>
    <row r="8" spans="1:15" s="224" customFormat="1" ht="15" customHeight="1" x14ac:dyDescent="0.25">
      <c r="A8" s="215">
        <v>44013</v>
      </c>
      <c r="B8" s="364" t="s">
        <v>32</v>
      </c>
      <c r="C8" s="350" t="s">
        <v>12</v>
      </c>
      <c r="D8" s="350" t="s">
        <v>1485</v>
      </c>
      <c r="E8" s="875" t="s">
        <v>13</v>
      </c>
      <c r="F8" s="780">
        <v>13</v>
      </c>
      <c r="G8" s="982"/>
      <c r="H8" s="1008"/>
      <c r="I8" s="1063"/>
      <c r="J8" s="622"/>
      <c r="K8" s="982"/>
      <c r="L8" s="459"/>
    </row>
    <row r="9" spans="1:15" s="224" customFormat="1" ht="15" customHeight="1" x14ac:dyDescent="0.25">
      <c r="A9" s="215">
        <v>44013</v>
      </c>
      <c r="B9" s="364" t="s">
        <v>81</v>
      </c>
      <c r="C9" s="350" t="s">
        <v>12</v>
      </c>
      <c r="D9" s="350" t="s">
        <v>1493</v>
      </c>
      <c r="E9" s="875" t="s">
        <v>13</v>
      </c>
      <c r="F9" s="780">
        <v>2</v>
      </c>
      <c r="G9" s="946"/>
      <c r="H9" s="95"/>
      <c r="I9" s="1064"/>
      <c r="J9" s="97"/>
      <c r="K9" s="946"/>
      <c r="L9" s="928"/>
      <c r="M9" s="89"/>
      <c r="N9" s="930"/>
    </row>
    <row r="10" spans="1:15" s="224" customFormat="1" ht="15" customHeight="1" x14ac:dyDescent="0.25">
      <c r="A10" s="215">
        <v>44014</v>
      </c>
      <c r="B10" s="364" t="s">
        <v>32</v>
      </c>
      <c r="C10" s="350" t="s">
        <v>12</v>
      </c>
      <c r="D10" s="350" t="s">
        <v>1485</v>
      </c>
      <c r="E10" s="875" t="s">
        <v>13</v>
      </c>
      <c r="F10" s="780">
        <v>14</v>
      </c>
      <c r="G10" s="982"/>
      <c r="H10" s="1008"/>
      <c r="I10" s="1063"/>
      <c r="J10" s="622"/>
      <c r="K10" s="982"/>
      <c r="L10" s="459"/>
    </row>
    <row r="11" spans="1:15" s="224" customFormat="1" ht="15" customHeight="1" x14ac:dyDescent="0.25">
      <c r="A11" s="215">
        <v>44014</v>
      </c>
      <c r="B11" s="364" t="s">
        <v>81</v>
      </c>
      <c r="C11" s="350" t="s">
        <v>12</v>
      </c>
      <c r="D11" s="350" t="s">
        <v>1493</v>
      </c>
      <c r="E11" s="875" t="s">
        <v>13</v>
      </c>
      <c r="F11" s="780">
        <v>2</v>
      </c>
      <c r="G11" s="946"/>
      <c r="H11" s="95"/>
      <c r="I11" s="1064"/>
      <c r="J11" s="97"/>
      <c r="K11" s="946"/>
      <c r="L11" s="928"/>
      <c r="M11" s="89"/>
      <c r="N11" s="930"/>
    </row>
    <row r="12" spans="1:15" s="224" customFormat="1" ht="15" customHeight="1" x14ac:dyDescent="0.25">
      <c r="A12" s="215">
        <v>44014</v>
      </c>
      <c r="B12" s="364" t="s">
        <v>134</v>
      </c>
      <c r="C12" s="350" t="s">
        <v>12</v>
      </c>
      <c r="D12" s="350" t="s">
        <v>1493</v>
      </c>
      <c r="E12" s="875" t="s">
        <v>13</v>
      </c>
      <c r="F12" s="780">
        <v>10</v>
      </c>
      <c r="G12" s="982"/>
      <c r="H12" s="1008"/>
      <c r="I12" s="1063"/>
      <c r="J12" s="622"/>
      <c r="K12" s="982"/>
      <c r="L12" s="459"/>
    </row>
    <row r="13" spans="1:15" s="224" customFormat="1" ht="15" customHeight="1" x14ac:dyDescent="0.25">
      <c r="A13" s="215">
        <v>44015</v>
      </c>
      <c r="B13" s="349" t="s">
        <v>14</v>
      </c>
      <c r="C13" s="879" t="s">
        <v>12</v>
      </c>
      <c r="D13" s="879" t="s">
        <v>1486</v>
      </c>
      <c r="E13" s="871" t="s">
        <v>13</v>
      </c>
      <c r="F13" s="780">
        <v>6.43</v>
      </c>
      <c r="G13" s="982"/>
      <c r="H13" s="1008"/>
      <c r="I13" s="1063"/>
      <c r="J13" s="622"/>
      <c r="K13" s="982"/>
      <c r="L13" s="459"/>
    </row>
    <row r="14" spans="1:15" s="224" customFormat="1" ht="15" customHeight="1" x14ac:dyDescent="0.25">
      <c r="A14" s="215">
        <v>44015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15</v>
      </c>
      <c r="G14" s="982"/>
      <c r="H14" s="1008"/>
      <c r="I14" s="1063"/>
      <c r="J14" s="622"/>
      <c r="K14" s="982"/>
      <c r="L14" s="459"/>
    </row>
    <row r="15" spans="1:15" s="224" customFormat="1" ht="15" customHeight="1" x14ac:dyDescent="0.25">
      <c r="A15" s="215">
        <v>44015</v>
      </c>
      <c r="B15" s="364" t="s">
        <v>2096</v>
      </c>
      <c r="C15" s="350" t="s">
        <v>12</v>
      </c>
      <c r="D15" s="350" t="s">
        <v>1506</v>
      </c>
      <c r="E15" s="875" t="s">
        <v>15</v>
      </c>
      <c r="F15" s="780">
        <v>40</v>
      </c>
      <c r="G15" s="982"/>
      <c r="H15" s="1008"/>
      <c r="I15" s="1063"/>
      <c r="J15" s="622"/>
      <c r="K15" s="982"/>
      <c r="L15" s="459"/>
    </row>
    <row r="16" spans="1:15" s="224" customFormat="1" ht="15" customHeight="1" x14ac:dyDescent="0.25">
      <c r="A16" s="215">
        <v>44015</v>
      </c>
      <c r="B16" s="364" t="s">
        <v>82</v>
      </c>
      <c r="C16" s="350" t="s">
        <v>12</v>
      </c>
      <c r="D16" s="350" t="s">
        <v>1493</v>
      </c>
      <c r="E16" s="875" t="s">
        <v>13</v>
      </c>
      <c r="F16" s="780">
        <v>26.25</v>
      </c>
      <c r="G16" s="982"/>
      <c r="H16" s="1008"/>
      <c r="I16" s="1063"/>
      <c r="J16" s="622"/>
      <c r="K16" s="982"/>
      <c r="L16" s="459"/>
    </row>
    <row r="17" spans="1:13" s="224" customFormat="1" ht="15" customHeight="1" x14ac:dyDescent="0.25">
      <c r="A17" s="215">
        <v>44016</v>
      </c>
      <c r="B17" s="364" t="s">
        <v>80</v>
      </c>
      <c r="C17" s="350" t="s">
        <v>19</v>
      </c>
      <c r="D17" s="350" t="s">
        <v>1523</v>
      </c>
      <c r="E17" s="875" t="s">
        <v>13</v>
      </c>
      <c r="F17" s="780">
        <v>18</v>
      </c>
      <c r="G17" s="982"/>
      <c r="H17" s="1008"/>
      <c r="I17" s="1063"/>
      <c r="J17" s="622"/>
      <c r="K17" s="982"/>
      <c r="L17" s="459"/>
    </row>
    <row r="18" spans="1:13" s="224" customFormat="1" ht="15" customHeight="1" x14ac:dyDescent="0.25">
      <c r="A18" s="215">
        <v>44016</v>
      </c>
      <c r="B18" s="364" t="s">
        <v>1438</v>
      </c>
      <c r="C18" s="350" t="s">
        <v>19</v>
      </c>
      <c r="D18" s="350" t="s">
        <v>1489</v>
      </c>
      <c r="E18" s="875" t="s">
        <v>13</v>
      </c>
      <c r="F18" s="780">
        <v>43.24</v>
      </c>
      <c r="G18" s="982"/>
      <c r="H18" s="1008"/>
      <c r="I18" s="1063"/>
      <c r="J18" s="622"/>
      <c r="K18" s="982"/>
      <c r="L18" s="459"/>
    </row>
    <row r="19" spans="1:13" s="224" customFormat="1" ht="15" customHeight="1" x14ac:dyDescent="0.25">
      <c r="A19" s="215">
        <v>44016</v>
      </c>
      <c r="B19" s="364" t="s">
        <v>2251</v>
      </c>
      <c r="C19" s="350" t="s">
        <v>12</v>
      </c>
      <c r="D19" s="350" t="s">
        <v>2157</v>
      </c>
      <c r="E19" s="875" t="s">
        <v>13</v>
      </c>
      <c r="F19" s="780">
        <v>58</v>
      </c>
      <c r="G19" s="982"/>
      <c r="H19" s="1008"/>
      <c r="I19" s="1063"/>
      <c r="J19" s="622"/>
      <c r="K19" s="982"/>
      <c r="L19" s="459"/>
    </row>
    <row r="20" spans="1:13" s="224" customFormat="1" ht="15" customHeight="1" x14ac:dyDescent="0.25">
      <c r="A20" s="215">
        <v>44017</v>
      </c>
      <c r="B20" s="349" t="s">
        <v>14</v>
      </c>
      <c r="C20" s="879" t="s">
        <v>12</v>
      </c>
      <c r="D20" s="879" t="s">
        <v>1486</v>
      </c>
      <c r="E20" s="871" t="s">
        <v>13</v>
      </c>
      <c r="F20" s="780">
        <v>11.52</v>
      </c>
      <c r="G20" s="982"/>
      <c r="H20" s="1008"/>
      <c r="I20" s="1063"/>
      <c r="J20" s="622"/>
      <c r="K20" s="982"/>
      <c r="L20" s="459"/>
    </row>
    <row r="21" spans="1:13" s="224" customFormat="1" ht="15" customHeight="1" x14ac:dyDescent="0.25">
      <c r="A21" s="215">
        <v>44017</v>
      </c>
      <c r="B21" s="364" t="s">
        <v>80</v>
      </c>
      <c r="C21" s="350" t="s">
        <v>19</v>
      </c>
      <c r="D21" s="350" t="s">
        <v>1523</v>
      </c>
      <c r="E21" s="875" t="s">
        <v>13</v>
      </c>
      <c r="F21" s="780">
        <v>32</v>
      </c>
      <c r="G21" s="982"/>
      <c r="H21" s="1008"/>
      <c r="I21" s="1063"/>
      <c r="J21" s="622"/>
      <c r="K21" s="982"/>
      <c r="L21" s="459"/>
    </row>
    <row r="22" spans="1:13" s="224" customFormat="1" ht="15.75" customHeight="1" x14ac:dyDescent="0.25">
      <c r="A22" s="215">
        <v>44018</v>
      </c>
      <c r="B22" s="349" t="s">
        <v>2673</v>
      </c>
      <c r="C22" s="887" t="s">
        <v>12</v>
      </c>
      <c r="D22" s="874"/>
      <c r="E22" s="871" t="s">
        <v>25</v>
      </c>
      <c r="F22" s="1524"/>
      <c r="G22" s="1002">
        <v>1477.92</v>
      </c>
      <c r="H22" s="539"/>
      <c r="I22" s="1063"/>
      <c r="J22" s="622"/>
      <c r="K22" s="982"/>
      <c r="L22" s="89"/>
      <c r="M22" s="89"/>
    </row>
    <row r="23" spans="1:13" s="224" customFormat="1" ht="15.75" customHeight="1" x14ac:dyDescent="0.25">
      <c r="A23" s="215">
        <v>44018</v>
      </c>
      <c r="B23" s="349" t="s">
        <v>2674</v>
      </c>
      <c r="C23" s="887" t="s">
        <v>12</v>
      </c>
      <c r="D23" s="1005" t="s">
        <v>1525</v>
      </c>
      <c r="E23" s="887" t="s">
        <v>13</v>
      </c>
      <c r="F23" s="538">
        <v>164.9</v>
      </c>
      <c r="G23" s="982"/>
      <c r="H23" s="539"/>
      <c r="I23" s="1063"/>
      <c r="J23" s="622"/>
      <c r="K23" s="982"/>
      <c r="L23" s="997"/>
      <c r="M23" s="89"/>
    </row>
    <row r="24" spans="1:13" s="224" customFormat="1" ht="15.75" customHeight="1" x14ac:dyDescent="0.25">
      <c r="A24" s="215">
        <v>44018</v>
      </c>
      <c r="B24" s="349" t="s">
        <v>2674</v>
      </c>
      <c r="C24" s="887" t="s">
        <v>12</v>
      </c>
      <c r="D24" s="1005" t="s">
        <v>1496</v>
      </c>
      <c r="E24" s="887" t="s">
        <v>13</v>
      </c>
      <c r="F24" s="538">
        <v>24</v>
      </c>
      <c r="G24" s="982"/>
      <c r="H24" s="539"/>
      <c r="I24" s="1063"/>
      <c r="J24" s="622"/>
      <c r="K24" s="982"/>
      <c r="L24" s="997"/>
      <c r="M24" s="89"/>
    </row>
    <row r="25" spans="1:13" s="224" customFormat="1" x14ac:dyDescent="0.25">
      <c r="A25" s="215">
        <v>44018</v>
      </c>
      <c r="B25" s="349" t="s">
        <v>2674</v>
      </c>
      <c r="C25" s="887" t="s">
        <v>12</v>
      </c>
      <c r="D25" s="1005" t="s">
        <v>1525</v>
      </c>
      <c r="E25" s="887" t="s">
        <v>13</v>
      </c>
      <c r="F25" s="622">
        <v>38.9</v>
      </c>
      <c r="G25" s="982"/>
      <c r="H25" s="1008"/>
      <c r="I25" s="1063"/>
      <c r="J25" s="780"/>
      <c r="K25" s="614"/>
      <c r="L25" s="518"/>
      <c r="M25" s="89"/>
    </row>
    <row r="26" spans="1:13" s="224" customFormat="1" x14ac:dyDescent="0.25">
      <c r="A26" s="215">
        <v>44018</v>
      </c>
      <c r="B26" s="349" t="s">
        <v>2674</v>
      </c>
      <c r="C26" s="887" t="s">
        <v>12</v>
      </c>
      <c r="D26" s="1005" t="s">
        <v>1489</v>
      </c>
      <c r="E26" s="887" t="s">
        <v>13</v>
      </c>
      <c r="F26" s="622">
        <v>30</v>
      </c>
      <c r="G26" s="982"/>
      <c r="H26" s="1008"/>
      <c r="I26" s="1063"/>
      <c r="J26" s="780"/>
      <c r="K26" s="614"/>
      <c r="L26" s="518"/>
      <c r="M26" s="89"/>
    </row>
    <row r="27" spans="1:13" x14ac:dyDescent="0.25">
      <c r="A27" s="215">
        <v>44018</v>
      </c>
      <c r="B27" s="862" t="s">
        <v>2385</v>
      </c>
      <c r="C27" s="879" t="s">
        <v>12</v>
      </c>
      <c r="D27" s="879" t="s">
        <v>1504</v>
      </c>
      <c r="E27" s="871" t="s">
        <v>13</v>
      </c>
      <c r="F27" s="780">
        <v>90</v>
      </c>
      <c r="G27" s="982"/>
      <c r="H27" s="1008"/>
      <c r="I27" s="1063"/>
      <c r="J27" s="622"/>
      <c r="K27" s="1002"/>
      <c r="L27" s="997"/>
    </row>
    <row r="28" spans="1:13" x14ac:dyDescent="0.25">
      <c r="A28" s="215">
        <v>44018</v>
      </c>
      <c r="B28" s="882" t="s">
        <v>2675</v>
      </c>
      <c r="C28" s="879" t="s">
        <v>12</v>
      </c>
      <c r="D28" s="879"/>
      <c r="E28" s="871" t="s">
        <v>13</v>
      </c>
      <c r="F28" s="780">
        <v>0</v>
      </c>
      <c r="G28" s="982"/>
      <c r="H28" s="1008"/>
      <c r="I28" s="1063"/>
      <c r="J28" s="780"/>
      <c r="K28" s="614"/>
      <c r="L28" s="997" t="s">
        <v>2658</v>
      </c>
      <c r="M28" s="518"/>
    </row>
    <row r="29" spans="1:13" s="224" customFormat="1" ht="15" customHeight="1" x14ac:dyDescent="0.25">
      <c r="A29" s="215">
        <v>44018</v>
      </c>
      <c r="B29" s="364" t="s">
        <v>32</v>
      </c>
      <c r="C29" s="350" t="s">
        <v>12</v>
      </c>
      <c r="D29" s="350" t="s">
        <v>1485</v>
      </c>
      <c r="E29" s="875" t="s">
        <v>13</v>
      </c>
      <c r="F29" s="780">
        <v>13</v>
      </c>
      <c r="G29" s="982"/>
      <c r="H29" s="1008"/>
      <c r="I29" s="1063"/>
      <c r="J29" s="622"/>
      <c r="K29" s="982"/>
      <c r="L29" s="459"/>
    </row>
    <row r="30" spans="1:13" s="224" customFormat="1" ht="15" customHeight="1" x14ac:dyDescent="0.25">
      <c r="A30" s="215">
        <v>44018</v>
      </c>
      <c r="B30" s="349" t="s">
        <v>14</v>
      </c>
      <c r="C30" s="879" t="s">
        <v>12</v>
      </c>
      <c r="D30" s="879" t="s">
        <v>1486</v>
      </c>
      <c r="E30" s="871" t="s">
        <v>13</v>
      </c>
      <c r="F30" s="780">
        <v>4.8499999999999996</v>
      </c>
      <c r="G30" s="982"/>
      <c r="H30" s="1008"/>
      <c r="I30" s="1063"/>
      <c r="J30" s="622"/>
      <c r="K30" s="982"/>
      <c r="L30" s="459"/>
    </row>
    <row r="31" spans="1:13" s="224" customFormat="1" ht="15" customHeight="1" x14ac:dyDescent="0.25">
      <c r="A31" s="215">
        <v>44019</v>
      </c>
      <c r="B31" s="364" t="s">
        <v>32</v>
      </c>
      <c r="C31" s="350" t="s">
        <v>12</v>
      </c>
      <c r="D31" s="350" t="s">
        <v>1485</v>
      </c>
      <c r="E31" s="875" t="s">
        <v>13</v>
      </c>
      <c r="F31" s="780">
        <v>15</v>
      </c>
      <c r="G31" s="982"/>
      <c r="H31" s="1008"/>
      <c r="I31" s="1063"/>
      <c r="J31" s="622"/>
      <c r="K31" s="982"/>
      <c r="L31" s="459"/>
    </row>
    <row r="32" spans="1:13" s="224" customFormat="1" ht="15" customHeight="1" x14ac:dyDescent="0.25">
      <c r="A32" s="215">
        <v>44019</v>
      </c>
      <c r="B32" s="364" t="s">
        <v>2676</v>
      </c>
      <c r="C32" s="350" t="s">
        <v>12</v>
      </c>
      <c r="D32" s="350" t="s">
        <v>1524</v>
      </c>
      <c r="E32" s="480" t="s">
        <v>15</v>
      </c>
      <c r="F32" s="538">
        <v>32</v>
      </c>
      <c r="G32" s="967"/>
      <c r="H32" s="1008"/>
      <c r="I32" s="1063"/>
      <c r="J32" s="622"/>
      <c r="K32" s="982"/>
      <c r="L32" s="459"/>
    </row>
    <row r="33" spans="1:14" s="224" customFormat="1" ht="15" customHeight="1" x14ac:dyDescent="0.25">
      <c r="A33" s="215">
        <v>44019</v>
      </c>
      <c r="B33" s="349" t="s">
        <v>14</v>
      </c>
      <c r="C33" s="879" t="s">
        <v>12</v>
      </c>
      <c r="D33" s="879" t="s">
        <v>1486</v>
      </c>
      <c r="E33" s="871" t="s">
        <v>13</v>
      </c>
      <c r="F33" s="538">
        <v>4.29</v>
      </c>
      <c r="G33" s="967"/>
      <c r="H33" s="1008"/>
      <c r="I33" s="1063"/>
      <c r="J33" s="622"/>
      <c r="K33" s="982"/>
      <c r="L33" s="459"/>
    </row>
    <row r="34" spans="1:14" s="224" customFormat="1" ht="15" customHeight="1" x14ac:dyDescent="0.25">
      <c r="A34" s="215">
        <v>44019</v>
      </c>
      <c r="B34" s="349" t="s">
        <v>2603</v>
      </c>
      <c r="C34" s="879" t="s">
        <v>12</v>
      </c>
      <c r="D34" s="879" t="s">
        <v>1491</v>
      </c>
      <c r="E34" s="871" t="s">
        <v>15</v>
      </c>
      <c r="F34" s="538">
        <v>100</v>
      </c>
      <c r="G34" s="967"/>
      <c r="H34" s="1008"/>
      <c r="I34" s="1063"/>
      <c r="J34" s="622"/>
      <c r="K34" s="982"/>
      <c r="L34" s="459"/>
    </row>
    <row r="35" spans="1:14" s="224" customFormat="1" ht="15" customHeight="1" x14ac:dyDescent="0.25">
      <c r="A35" s="215">
        <v>44020</v>
      </c>
      <c r="B35" s="364" t="s">
        <v>32</v>
      </c>
      <c r="C35" s="350" t="s">
        <v>12</v>
      </c>
      <c r="D35" s="350" t="s">
        <v>1485</v>
      </c>
      <c r="E35" s="875" t="s">
        <v>15</v>
      </c>
      <c r="F35" s="780">
        <v>15</v>
      </c>
      <c r="G35" s="982"/>
      <c r="H35" s="1008"/>
      <c r="I35" s="1063"/>
      <c r="J35" s="622"/>
      <c r="K35" s="982"/>
      <c r="L35" s="459"/>
    </row>
    <row r="36" spans="1:14" s="224" customFormat="1" ht="15" customHeight="1" x14ac:dyDescent="0.25">
      <c r="A36" s="215">
        <v>44020</v>
      </c>
      <c r="B36" s="364" t="s">
        <v>256</v>
      </c>
      <c r="C36" s="350"/>
      <c r="D36" s="350"/>
      <c r="E36" s="875" t="s">
        <v>25</v>
      </c>
      <c r="F36" s="780"/>
      <c r="G36" s="982">
        <v>700</v>
      </c>
      <c r="H36" s="1008">
        <v>700</v>
      </c>
      <c r="I36" s="1063"/>
      <c r="J36" s="622"/>
      <c r="K36" s="982"/>
      <c r="L36" s="459"/>
    </row>
    <row r="37" spans="1:14" s="224" customFormat="1" ht="15.75" customHeight="1" x14ac:dyDescent="0.25">
      <c r="A37" s="215">
        <v>44020</v>
      </c>
      <c r="B37" s="349" t="s">
        <v>2677</v>
      </c>
      <c r="C37" s="887" t="s">
        <v>12</v>
      </c>
      <c r="D37" s="1005" t="s">
        <v>1525</v>
      </c>
      <c r="E37" s="887" t="s">
        <v>13</v>
      </c>
      <c r="F37" s="538">
        <v>164.9</v>
      </c>
      <c r="G37" s="982"/>
      <c r="H37" s="539"/>
      <c r="I37" s="1063"/>
      <c r="J37" s="622"/>
      <c r="K37" s="982"/>
      <c r="L37" s="997"/>
      <c r="M37" s="89"/>
    </row>
    <row r="38" spans="1:14" s="224" customFormat="1" ht="15.75" customHeight="1" x14ac:dyDescent="0.25">
      <c r="A38" s="215">
        <v>44020</v>
      </c>
      <c r="B38" s="349" t="s">
        <v>2677</v>
      </c>
      <c r="C38" s="887" t="s">
        <v>12</v>
      </c>
      <c r="D38" s="1005" t="s">
        <v>1525</v>
      </c>
      <c r="E38" s="887" t="s">
        <v>13</v>
      </c>
      <c r="F38" s="538">
        <v>38.9</v>
      </c>
      <c r="G38" s="982"/>
      <c r="H38" s="539"/>
      <c r="I38" s="1063"/>
      <c r="J38" s="622"/>
      <c r="K38" s="982"/>
      <c r="L38" s="997"/>
      <c r="M38" s="89"/>
    </row>
    <row r="39" spans="1:14" s="224" customFormat="1" x14ac:dyDescent="0.25">
      <c r="A39" s="215">
        <v>44020</v>
      </c>
      <c r="B39" s="349" t="s">
        <v>2677</v>
      </c>
      <c r="C39" s="887" t="s">
        <v>12</v>
      </c>
      <c r="D39" s="1005" t="s">
        <v>2131</v>
      </c>
      <c r="E39" s="887" t="s">
        <v>13</v>
      </c>
      <c r="F39" s="622">
        <v>76.150000000000006</v>
      </c>
      <c r="G39" s="982"/>
      <c r="H39" s="1008"/>
      <c r="I39" s="1063"/>
      <c r="J39" s="780"/>
      <c r="K39" s="614"/>
      <c r="L39" s="518"/>
      <c r="M39" s="89"/>
    </row>
    <row r="40" spans="1:14" s="224" customFormat="1" ht="15" customHeight="1" x14ac:dyDescent="0.25">
      <c r="A40" s="215">
        <v>44020</v>
      </c>
      <c r="B40" s="364" t="s">
        <v>2678</v>
      </c>
      <c r="C40" s="350" t="s">
        <v>12</v>
      </c>
      <c r="D40" s="350" t="s">
        <v>1522</v>
      </c>
      <c r="E40" s="875" t="s">
        <v>13</v>
      </c>
      <c r="F40" s="780">
        <v>746</v>
      </c>
      <c r="G40" s="982"/>
      <c r="H40" s="1008"/>
      <c r="I40" s="1063"/>
      <c r="J40" s="622"/>
      <c r="K40" s="982"/>
      <c r="L40" s="459"/>
    </row>
    <row r="41" spans="1:14" s="224" customFormat="1" ht="15" customHeight="1" x14ac:dyDescent="0.25">
      <c r="A41" s="215">
        <v>44020</v>
      </c>
      <c r="B41" s="349" t="s">
        <v>14</v>
      </c>
      <c r="C41" s="879" t="s">
        <v>12</v>
      </c>
      <c r="D41" s="879" t="s">
        <v>1486</v>
      </c>
      <c r="E41" s="871" t="s">
        <v>13</v>
      </c>
      <c r="F41" s="538">
        <v>3.36</v>
      </c>
      <c r="G41" s="967"/>
      <c r="H41" s="1008"/>
      <c r="I41" s="1063"/>
      <c r="J41" s="622"/>
      <c r="K41" s="982"/>
      <c r="L41" s="459"/>
    </row>
    <row r="42" spans="1:14" s="224" customFormat="1" ht="15" customHeight="1" x14ac:dyDescent="0.25">
      <c r="A42" s="215">
        <v>44021</v>
      </c>
      <c r="B42" s="364" t="s">
        <v>1241</v>
      </c>
      <c r="C42" s="350" t="s">
        <v>12</v>
      </c>
      <c r="D42" s="350" t="s">
        <v>1504</v>
      </c>
      <c r="E42" s="875" t="s">
        <v>13</v>
      </c>
      <c r="F42" s="780">
        <v>10</v>
      </c>
      <c r="G42" s="946"/>
      <c r="H42" s="95"/>
      <c r="I42" s="1064"/>
      <c r="J42" s="97"/>
      <c r="K42" s="946"/>
      <c r="L42" s="928"/>
      <c r="M42" s="89"/>
      <c r="N42" s="930"/>
    </row>
    <row r="43" spans="1:14" s="224" customFormat="1" ht="15" customHeight="1" x14ac:dyDescent="0.25">
      <c r="A43" s="215">
        <v>44021</v>
      </c>
      <c r="B43" s="364" t="s">
        <v>32</v>
      </c>
      <c r="C43" s="350" t="s">
        <v>12</v>
      </c>
      <c r="D43" s="350" t="s">
        <v>1485</v>
      </c>
      <c r="E43" s="875" t="s">
        <v>13</v>
      </c>
      <c r="F43" s="780">
        <v>15</v>
      </c>
      <c r="G43" s="982"/>
      <c r="H43" s="1008"/>
      <c r="I43" s="1063"/>
      <c r="J43" s="622"/>
      <c r="K43" s="982"/>
      <c r="L43" s="459"/>
    </row>
    <row r="44" spans="1:14" s="224" customFormat="1" ht="15" customHeight="1" x14ac:dyDescent="0.25">
      <c r="A44" s="215">
        <v>44021</v>
      </c>
      <c r="B44" s="349" t="s">
        <v>14</v>
      </c>
      <c r="C44" s="879" t="s">
        <v>12</v>
      </c>
      <c r="D44" s="879" t="s">
        <v>1486</v>
      </c>
      <c r="E44" s="871" t="s">
        <v>13</v>
      </c>
      <c r="F44" s="780">
        <v>4.24</v>
      </c>
      <c r="G44" s="982"/>
      <c r="H44" s="1008"/>
      <c r="I44" s="1063"/>
      <c r="J44" s="622"/>
      <c r="K44" s="982"/>
      <c r="L44" s="459"/>
    </row>
    <row r="45" spans="1:14" s="224" customFormat="1" ht="15" customHeight="1" x14ac:dyDescent="0.25">
      <c r="A45" s="215">
        <v>44022</v>
      </c>
      <c r="B45" s="364" t="s">
        <v>2679</v>
      </c>
      <c r="C45" s="350" t="s">
        <v>12</v>
      </c>
      <c r="D45" s="350" t="s">
        <v>1524</v>
      </c>
      <c r="E45" s="875" t="s">
        <v>13</v>
      </c>
      <c r="F45" s="780">
        <v>32.9</v>
      </c>
      <c r="G45" s="982"/>
      <c r="H45" s="1008"/>
      <c r="I45" s="1063"/>
      <c r="J45" s="622"/>
      <c r="K45" s="982"/>
      <c r="L45" s="459"/>
    </row>
    <row r="46" spans="1:14" s="224" customFormat="1" ht="15" customHeight="1" x14ac:dyDescent="0.25">
      <c r="A46" s="215">
        <v>44022</v>
      </c>
      <c r="B46" s="349" t="s">
        <v>14</v>
      </c>
      <c r="C46" s="879" t="s">
        <v>12</v>
      </c>
      <c r="D46" s="879" t="s">
        <v>1486</v>
      </c>
      <c r="E46" s="871" t="s">
        <v>15</v>
      </c>
      <c r="F46" s="780">
        <v>3.67</v>
      </c>
      <c r="G46" s="982"/>
      <c r="H46" s="1008"/>
      <c r="I46" s="1063"/>
      <c r="J46" s="622"/>
      <c r="K46" s="982"/>
      <c r="L46" s="459"/>
    </row>
    <row r="47" spans="1:14" s="224" customFormat="1" ht="15" customHeight="1" x14ac:dyDescent="0.25">
      <c r="A47" s="215">
        <v>44022</v>
      </c>
      <c r="B47" s="364" t="s">
        <v>2251</v>
      </c>
      <c r="C47" s="350" t="s">
        <v>12</v>
      </c>
      <c r="D47" s="350" t="s">
        <v>2157</v>
      </c>
      <c r="E47" s="875" t="s">
        <v>13</v>
      </c>
      <c r="F47" s="780">
        <v>60</v>
      </c>
      <c r="G47" s="982"/>
      <c r="H47" s="1008"/>
      <c r="I47" s="1063"/>
      <c r="J47" s="622"/>
      <c r="K47" s="982"/>
      <c r="L47" s="459"/>
    </row>
    <row r="48" spans="1:14" s="224" customFormat="1" ht="15" customHeight="1" x14ac:dyDescent="0.25">
      <c r="A48" s="215">
        <v>44022</v>
      </c>
      <c r="B48" s="349" t="s">
        <v>81</v>
      </c>
      <c r="C48" s="879" t="s">
        <v>12</v>
      </c>
      <c r="D48" s="879" t="s">
        <v>1486</v>
      </c>
      <c r="E48" s="871" t="s">
        <v>13</v>
      </c>
      <c r="F48" s="780">
        <v>7.05</v>
      </c>
      <c r="G48" s="982"/>
      <c r="H48" s="1008"/>
      <c r="I48" s="1063"/>
      <c r="J48" s="622"/>
      <c r="K48" s="982"/>
      <c r="L48" s="459"/>
    </row>
    <row r="49" spans="1:14" s="224" customFormat="1" ht="15" customHeight="1" x14ac:dyDescent="0.25">
      <c r="A49" s="215">
        <v>44022</v>
      </c>
      <c r="B49" s="349" t="s">
        <v>2680</v>
      </c>
      <c r="C49" s="887" t="s">
        <v>12</v>
      </c>
      <c r="D49" s="879"/>
      <c r="E49" s="871"/>
      <c r="F49" s="780"/>
      <c r="G49" s="982">
        <v>454</v>
      </c>
      <c r="H49" s="1008"/>
      <c r="I49" s="1063"/>
      <c r="J49" s="622"/>
      <c r="K49" s="982"/>
      <c r="L49" s="459"/>
    </row>
    <row r="50" spans="1:14" s="224" customFormat="1" ht="15" customHeight="1" x14ac:dyDescent="0.25">
      <c r="A50" s="215">
        <v>44023</v>
      </c>
      <c r="B50" s="364" t="s">
        <v>43</v>
      </c>
      <c r="C50" s="350" t="s">
        <v>12</v>
      </c>
      <c r="D50" s="350" t="s">
        <v>1493</v>
      </c>
      <c r="E50" s="875" t="s">
        <v>13</v>
      </c>
      <c r="F50" s="780">
        <v>18</v>
      </c>
      <c r="G50" s="982"/>
      <c r="H50" s="1008"/>
      <c r="I50" s="1063"/>
      <c r="J50" s="622"/>
      <c r="K50" s="982"/>
      <c r="L50" s="1016"/>
      <c r="N50" s="930"/>
    </row>
    <row r="51" spans="1:14" s="224" customFormat="1" ht="15" customHeight="1" x14ac:dyDescent="0.25">
      <c r="A51" s="215">
        <v>44023</v>
      </c>
      <c r="B51" s="364" t="s">
        <v>82</v>
      </c>
      <c r="C51" s="350" t="s">
        <v>12</v>
      </c>
      <c r="D51" s="350" t="s">
        <v>1493</v>
      </c>
      <c r="E51" s="875" t="s">
        <v>13</v>
      </c>
      <c r="F51" s="780">
        <v>26.56</v>
      </c>
      <c r="G51" s="982"/>
      <c r="H51" s="1008"/>
      <c r="I51" s="1063"/>
      <c r="J51" s="622"/>
      <c r="K51" s="982"/>
      <c r="L51" s="1016"/>
      <c r="N51" s="930"/>
    </row>
    <row r="52" spans="1:14" s="224" customFormat="1" ht="15" customHeight="1" x14ac:dyDescent="0.25">
      <c r="A52" s="215">
        <v>44024</v>
      </c>
      <c r="B52" s="349" t="s">
        <v>14</v>
      </c>
      <c r="C52" s="879" t="s">
        <v>12</v>
      </c>
      <c r="D52" s="879" t="s">
        <v>1486</v>
      </c>
      <c r="E52" s="871" t="s">
        <v>13</v>
      </c>
      <c r="F52" s="538">
        <v>7.03</v>
      </c>
      <c r="G52" s="967"/>
      <c r="H52" s="1008"/>
      <c r="I52" s="1063"/>
      <c r="J52" s="622"/>
      <c r="K52" s="982"/>
      <c r="L52" s="459"/>
    </row>
    <row r="53" spans="1:14" s="224" customFormat="1" ht="15" customHeight="1" x14ac:dyDescent="0.25">
      <c r="A53" s="215">
        <v>44024</v>
      </c>
      <c r="B53" s="364" t="s">
        <v>80</v>
      </c>
      <c r="C53" s="350" t="s">
        <v>12</v>
      </c>
      <c r="D53" s="350" t="s">
        <v>1523</v>
      </c>
      <c r="E53" s="875" t="s">
        <v>15</v>
      </c>
      <c r="F53" s="780">
        <v>22</v>
      </c>
      <c r="G53" s="982"/>
      <c r="H53" s="1008"/>
      <c r="I53" s="1063"/>
      <c r="J53" s="622"/>
      <c r="K53" s="982"/>
      <c r="L53" s="459"/>
    </row>
    <row r="54" spans="1:14" s="224" customFormat="1" ht="15" customHeight="1" x14ac:dyDescent="0.25">
      <c r="A54" s="215">
        <v>44024</v>
      </c>
      <c r="B54" s="364" t="s">
        <v>134</v>
      </c>
      <c r="C54" s="350" t="s">
        <v>12</v>
      </c>
      <c r="D54" s="350" t="s">
        <v>1493</v>
      </c>
      <c r="E54" s="875" t="s">
        <v>13</v>
      </c>
      <c r="F54" s="780">
        <v>16.190000000000001</v>
      </c>
      <c r="G54" s="982"/>
      <c r="H54" s="1008"/>
      <c r="I54" s="1063"/>
      <c r="J54" s="622"/>
      <c r="K54" s="982"/>
      <c r="L54" s="459"/>
    </row>
    <row r="55" spans="1:14" s="224" customFormat="1" ht="15" customHeight="1" x14ac:dyDescent="0.25">
      <c r="A55" s="215">
        <v>44025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780">
        <v>15</v>
      </c>
      <c r="G55" s="982"/>
      <c r="H55" s="1008"/>
      <c r="I55" s="1063"/>
      <c r="J55" s="622"/>
      <c r="K55" s="982"/>
      <c r="L55" s="459"/>
    </row>
    <row r="56" spans="1:14" s="224" customFormat="1" ht="15" customHeight="1" x14ac:dyDescent="0.25">
      <c r="A56" s="215">
        <v>44025</v>
      </c>
      <c r="B56" s="349" t="s">
        <v>17</v>
      </c>
      <c r="C56" s="879" t="s">
        <v>12</v>
      </c>
      <c r="D56" s="879" t="s">
        <v>1493</v>
      </c>
      <c r="E56" s="871" t="s">
        <v>13</v>
      </c>
      <c r="F56" s="780">
        <v>6</v>
      </c>
      <c r="G56" s="982"/>
      <c r="H56" s="1008"/>
      <c r="I56" s="1063"/>
      <c r="J56" s="622"/>
      <c r="K56" s="982"/>
      <c r="L56" s="459"/>
    </row>
    <row r="57" spans="1:14" s="224" customFormat="1" ht="15" customHeight="1" x14ac:dyDescent="0.25">
      <c r="A57" s="215">
        <v>44025</v>
      </c>
      <c r="B57" s="349" t="s">
        <v>14</v>
      </c>
      <c r="C57" s="879" t="s">
        <v>12</v>
      </c>
      <c r="D57" s="879" t="s">
        <v>1486</v>
      </c>
      <c r="E57" s="871" t="s">
        <v>13</v>
      </c>
      <c r="F57" s="780">
        <v>7.83</v>
      </c>
      <c r="G57" s="982"/>
      <c r="H57" s="1008"/>
      <c r="I57" s="1063"/>
      <c r="J57" s="622"/>
      <c r="K57" s="982"/>
      <c r="L57" s="459"/>
    </row>
    <row r="58" spans="1:14" s="224" customFormat="1" ht="15" customHeight="1" x14ac:dyDescent="0.25">
      <c r="A58" s="215">
        <v>44025</v>
      </c>
      <c r="B58" s="364" t="s">
        <v>1396</v>
      </c>
      <c r="C58" s="350" t="s">
        <v>12</v>
      </c>
      <c r="D58" s="350"/>
      <c r="E58" s="480" t="s">
        <v>25</v>
      </c>
      <c r="F58" s="613"/>
      <c r="G58" s="967">
        <v>45</v>
      </c>
      <c r="H58" s="1008"/>
      <c r="I58" s="1063"/>
      <c r="J58" s="622"/>
      <c r="K58" s="982"/>
      <c r="L58" s="459"/>
    </row>
    <row r="59" spans="1:14" s="224" customFormat="1" ht="15" customHeight="1" x14ac:dyDescent="0.25">
      <c r="A59" s="215">
        <v>44026</v>
      </c>
      <c r="B59" s="364" t="s">
        <v>32</v>
      </c>
      <c r="C59" s="350" t="s">
        <v>12</v>
      </c>
      <c r="D59" s="350" t="s">
        <v>1485</v>
      </c>
      <c r="E59" s="875" t="s">
        <v>13</v>
      </c>
      <c r="F59" s="780">
        <v>15</v>
      </c>
      <c r="G59" s="982"/>
      <c r="H59" s="1008"/>
      <c r="I59" s="1063"/>
      <c r="J59" s="622"/>
      <c r="K59" s="982"/>
      <c r="L59" s="459"/>
    </row>
    <row r="60" spans="1:14" s="224" customFormat="1" ht="15" customHeight="1" x14ac:dyDescent="0.25">
      <c r="A60" s="215">
        <v>44026</v>
      </c>
      <c r="B60" s="349" t="s">
        <v>14</v>
      </c>
      <c r="C60" s="879" t="s">
        <v>12</v>
      </c>
      <c r="D60" s="879" t="s">
        <v>1486</v>
      </c>
      <c r="E60" s="871" t="s">
        <v>13</v>
      </c>
      <c r="F60" s="780">
        <v>8.5</v>
      </c>
      <c r="G60" s="982"/>
      <c r="H60" s="1008"/>
      <c r="I60" s="1063"/>
      <c r="J60" s="622"/>
      <c r="K60" s="982"/>
      <c r="L60" s="459"/>
    </row>
    <row r="61" spans="1:14" s="224" customFormat="1" ht="15" customHeight="1" x14ac:dyDescent="0.25">
      <c r="A61" s="215">
        <v>44027</v>
      </c>
      <c r="B61" s="364" t="s">
        <v>32</v>
      </c>
      <c r="C61" s="350" t="s">
        <v>12</v>
      </c>
      <c r="D61" s="350" t="s">
        <v>1485</v>
      </c>
      <c r="E61" s="875" t="s">
        <v>13</v>
      </c>
      <c r="F61" s="780">
        <v>13</v>
      </c>
      <c r="G61" s="982"/>
      <c r="H61" s="1008"/>
      <c r="I61" s="1063"/>
      <c r="J61" s="622"/>
      <c r="K61" s="982"/>
      <c r="L61" s="459"/>
    </row>
    <row r="62" spans="1:14" s="224" customFormat="1" ht="15" customHeight="1" x14ac:dyDescent="0.25">
      <c r="A62" s="215">
        <v>44027</v>
      </c>
      <c r="B62" s="364" t="s">
        <v>2681</v>
      </c>
      <c r="C62" s="350" t="s">
        <v>12</v>
      </c>
      <c r="D62" s="350" t="s">
        <v>1524</v>
      </c>
      <c r="E62" s="875" t="s">
        <v>13</v>
      </c>
      <c r="F62" s="780">
        <v>13.2</v>
      </c>
      <c r="G62" s="982"/>
      <c r="H62" s="1008"/>
      <c r="I62" s="1063"/>
      <c r="J62" s="622"/>
      <c r="K62" s="982"/>
      <c r="L62" s="459"/>
    </row>
    <row r="63" spans="1:14" s="224" customFormat="1" ht="15" customHeight="1" x14ac:dyDescent="0.25">
      <c r="A63" s="215">
        <v>44027</v>
      </c>
      <c r="B63" s="349" t="s">
        <v>14</v>
      </c>
      <c r="C63" s="879" t="s">
        <v>12</v>
      </c>
      <c r="D63" s="879" t="s">
        <v>1486</v>
      </c>
      <c r="E63" s="871" t="s">
        <v>13</v>
      </c>
      <c r="F63" s="780">
        <v>5.25</v>
      </c>
      <c r="G63" s="982"/>
      <c r="H63" s="1008"/>
      <c r="I63" s="1063"/>
      <c r="J63" s="622"/>
      <c r="K63" s="982"/>
      <c r="L63" s="459"/>
    </row>
    <row r="64" spans="1:14" s="224" customFormat="1" ht="15" customHeight="1" x14ac:dyDescent="0.25">
      <c r="A64" s="215">
        <v>44027</v>
      </c>
      <c r="B64" s="364" t="s">
        <v>477</v>
      </c>
      <c r="C64" s="350" t="s">
        <v>12</v>
      </c>
      <c r="D64" s="350" t="s">
        <v>1489</v>
      </c>
      <c r="E64" s="875" t="s">
        <v>13</v>
      </c>
      <c r="F64" s="780">
        <v>10.87</v>
      </c>
      <c r="G64" s="982"/>
      <c r="H64" s="1008"/>
      <c r="I64" s="1063"/>
      <c r="J64" s="622"/>
      <c r="K64" s="982"/>
      <c r="L64" s="459"/>
    </row>
    <row r="65" spans="1:14" s="224" customFormat="1" ht="15" customHeight="1" x14ac:dyDescent="0.25">
      <c r="A65" s="215">
        <v>44028</v>
      </c>
      <c r="B65" s="882" t="s">
        <v>2682</v>
      </c>
      <c r="C65" s="879" t="s">
        <v>12</v>
      </c>
      <c r="D65" s="879" t="s">
        <v>1499</v>
      </c>
      <c r="E65" s="871" t="s">
        <v>13</v>
      </c>
      <c r="F65" s="780">
        <v>45.24</v>
      </c>
      <c r="G65" s="982"/>
      <c r="H65" s="1008"/>
      <c r="I65" s="1063"/>
      <c r="J65" s="622"/>
      <c r="K65" s="982"/>
      <c r="L65" s="997">
        <v>105.24</v>
      </c>
      <c r="M65" s="89"/>
      <c r="N65" s="930"/>
    </row>
    <row r="66" spans="1:14" s="224" customFormat="1" ht="15" customHeight="1" x14ac:dyDescent="0.25">
      <c r="A66" s="215">
        <v>44028</v>
      </c>
      <c r="B66" s="862" t="s">
        <v>2302</v>
      </c>
      <c r="C66" s="350" t="s">
        <v>12</v>
      </c>
      <c r="D66" s="874" t="s">
        <v>1504</v>
      </c>
      <c r="E66" s="887" t="s">
        <v>13</v>
      </c>
      <c r="F66" s="852">
        <v>68.900000000000006</v>
      </c>
      <c r="G66" s="982"/>
      <c r="H66" s="1009"/>
      <c r="I66" s="1063"/>
      <c r="J66" s="137"/>
      <c r="K66" s="946"/>
      <c r="L66" s="923">
        <v>138.9</v>
      </c>
      <c r="N66" s="930"/>
    </row>
    <row r="67" spans="1:14" s="224" customFormat="1" ht="15" customHeight="1" x14ac:dyDescent="0.25">
      <c r="A67" s="215">
        <v>44028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780">
        <v>15</v>
      </c>
      <c r="G67" s="982"/>
      <c r="H67" s="1008"/>
      <c r="I67" s="1063"/>
      <c r="J67" s="622"/>
      <c r="K67" s="982"/>
      <c r="L67" s="459"/>
    </row>
    <row r="68" spans="1:14" s="224" customFormat="1" ht="15" customHeight="1" x14ac:dyDescent="0.25">
      <c r="A68" s="215">
        <v>44028</v>
      </c>
      <c r="B68" s="364" t="s">
        <v>134</v>
      </c>
      <c r="C68" s="350" t="s">
        <v>12</v>
      </c>
      <c r="D68" s="350" t="s">
        <v>1493</v>
      </c>
      <c r="E68" s="875" t="s">
        <v>13</v>
      </c>
      <c r="F68" s="780">
        <v>6</v>
      </c>
      <c r="G68" s="982"/>
      <c r="H68" s="1008"/>
      <c r="I68" s="1063"/>
      <c r="J68" s="622"/>
      <c r="K68" s="982"/>
      <c r="L68" s="1016"/>
      <c r="N68" s="930"/>
    </row>
    <row r="69" spans="1:14" s="224" customFormat="1" ht="15" customHeight="1" x14ac:dyDescent="0.25">
      <c r="A69" s="215">
        <v>44028</v>
      </c>
      <c r="B69" s="364" t="s">
        <v>2683</v>
      </c>
      <c r="C69" s="350" t="s">
        <v>12</v>
      </c>
      <c r="D69" s="350" t="s">
        <v>1524</v>
      </c>
      <c r="E69" s="875" t="s">
        <v>15</v>
      </c>
      <c r="F69" s="780">
        <v>70</v>
      </c>
      <c r="G69" s="982"/>
      <c r="H69" s="1008"/>
      <c r="I69" s="1063"/>
      <c r="J69" s="622"/>
      <c r="K69" s="982"/>
      <c r="L69" s="1016"/>
      <c r="N69" s="930"/>
    </row>
    <row r="70" spans="1:14" s="224" customFormat="1" ht="15" customHeight="1" x14ac:dyDescent="0.25">
      <c r="A70" s="215">
        <v>44029</v>
      </c>
      <c r="B70" s="364" t="s">
        <v>2684</v>
      </c>
      <c r="C70" s="350" t="s">
        <v>12</v>
      </c>
      <c r="D70" s="350" t="s">
        <v>1489</v>
      </c>
      <c r="E70" s="875" t="s">
        <v>13</v>
      </c>
      <c r="F70" s="780">
        <v>35</v>
      </c>
      <c r="G70" s="982"/>
      <c r="H70" s="1008"/>
      <c r="I70" s="1063"/>
      <c r="J70" s="622"/>
      <c r="K70" s="982"/>
      <c r="L70" s="997"/>
      <c r="M70" s="89"/>
      <c r="N70" s="930"/>
    </row>
    <row r="71" spans="1:14" s="224" customFormat="1" ht="15" customHeight="1" x14ac:dyDescent="0.25">
      <c r="A71" s="215">
        <v>44029</v>
      </c>
      <c r="B71" s="364" t="s">
        <v>82</v>
      </c>
      <c r="C71" s="350" t="s">
        <v>12</v>
      </c>
      <c r="D71" s="350" t="s">
        <v>1493</v>
      </c>
      <c r="E71" s="875" t="s">
        <v>13</v>
      </c>
      <c r="F71" s="780">
        <v>21.4</v>
      </c>
      <c r="G71" s="982"/>
      <c r="H71" s="1008"/>
      <c r="I71" s="1063"/>
      <c r="J71" s="622"/>
      <c r="K71" s="982"/>
      <c r="L71" s="997"/>
      <c r="M71" s="89"/>
      <c r="N71" s="930"/>
    </row>
    <row r="72" spans="1:14" s="224" customFormat="1" ht="15" customHeight="1" x14ac:dyDescent="0.25">
      <c r="A72" s="215">
        <v>44029</v>
      </c>
      <c r="B72" s="364" t="s">
        <v>2685</v>
      </c>
      <c r="C72" s="350" t="s">
        <v>12</v>
      </c>
      <c r="D72" s="350" t="s">
        <v>1523</v>
      </c>
      <c r="E72" s="875" t="s">
        <v>13</v>
      </c>
      <c r="F72" s="780">
        <v>28</v>
      </c>
      <c r="G72" s="982"/>
      <c r="H72" s="1008"/>
      <c r="I72" s="1063"/>
      <c r="J72" s="622"/>
      <c r="K72" s="982"/>
      <c r="L72" s="997"/>
      <c r="M72" s="89"/>
      <c r="N72" s="930"/>
    </row>
    <row r="73" spans="1:14" s="224" customFormat="1" ht="15" customHeight="1" x14ac:dyDescent="0.25">
      <c r="A73" s="215">
        <v>44030</v>
      </c>
      <c r="B73" s="349" t="s">
        <v>2686</v>
      </c>
      <c r="C73" s="352" t="s">
        <v>12</v>
      </c>
      <c r="D73" s="874" t="s">
        <v>1489</v>
      </c>
      <c r="E73" s="875" t="s">
        <v>13</v>
      </c>
      <c r="F73" s="852">
        <v>60</v>
      </c>
      <c r="G73" s="1064"/>
      <c r="H73" s="97"/>
      <c r="I73" s="982"/>
      <c r="J73" s="622"/>
      <c r="K73" s="982"/>
    </row>
    <row r="74" spans="1:14" s="224" customFormat="1" ht="15" customHeight="1" x14ac:dyDescent="0.25">
      <c r="A74" s="215">
        <v>44030</v>
      </c>
      <c r="B74" s="349" t="s">
        <v>1438</v>
      </c>
      <c r="C74" s="352" t="s">
        <v>19</v>
      </c>
      <c r="D74" s="874" t="s">
        <v>1489</v>
      </c>
      <c r="E74" s="875" t="s">
        <v>13</v>
      </c>
      <c r="F74" s="852">
        <v>58.59</v>
      </c>
      <c r="G74" s="1064"/>
      <c r="H74" s="97"/>
      <c r="I74" s="982"/>
      <c r="J74" s="622"/>
      <c r="K74" s="982"/>
    </row>
    <row r="75" spans="1:14" s="224" customFormat="1" ht="15" customHeight="1" x14ac:dyDescent="0.25">
      <c r="A75" s="215">
        <v>44030</v>
      </c>
      <c r="B75" s="364" t="s">
        <v>2251</v>
      </c>
      <c r="C75" s="350" t="s">
        <v>12</v>
      </c>
      <c r="D75" s="350" t="s">
        <v>2157</v>
      </c>
      <c r="E75" s="875" t="s">
        <v>13</v>
      </c>
      <c r="F75" s="780">
        <v>60</v>
      </c>
      <c r="G75" s="1064"/>
      <c r="H75" s="97"/>
      <c r="I75" s="982"/>
      <c r="J75" s="622"/>
      <c r="K75" s="982"/>
    </row>
    <row r="76" spans="1:14" s="224" customFormat="1" ht="15" customHeight="1" x14ac:dyDescent="0.25">
      <c r="A76" s="215">
        <v>44030</v>
      </c>
      <c r="B76" s="349" t="s">
        <v>56</v>
      </c>
      <c r="C76" s="352" t="s">
        <v>19</v>
      </c>
      <c r="D76" s="874" t="s">
        <v>1523</v>
      </c>
      <c r="E76" s="875" t="s">
        <v>13</v>
      </c>
      <c r="F76" s="852">
        <v>14</v>
      </c>
      <c r="G76" s="1064"/>
      <c r="H76" s="97"/>
      <c r="I76" s="982"/>
      <c r="J76" s="622"/>
      <c r="K76" s="982"/>
    </row>
    <row r="77" spans="1:14" s="224" customFormat="1" ht="15" customHeight="1" x14ac:dyDescent="0.25">
      <c r="A77" s="215">
        <v>44031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852">
        <v>5.91</v>
      </c>
      <c r="G77" s="1064"/>
      <c r="H77" s="97"/>
      <c r="I77" s="982"/>
      <c r="J77" s="622"/>
      <c r="K77" s="982"/>
    </row>
    <row r="78" spans="1:14" s="224" customFormat="1" ht="15" customHeight="1" x14ac:dyDescent="0.25">
      <c r="A78" s="215">
        <v>44031</v>
      </c>
      <c r="B78" s="349" t="s">
        <v>81</v>
      </c>
      <c r="C78" s="352" t="s">
        <v>12</v>
      </c>
      <c r="D78" s="874" t="s">
        <v>1493</v>
      </c>
      <c r="E78" s="875" t="s">
        <v>13</v>
      </c>
      <c r="F78" s="852">
        <v>6.55</v>
      </c>
      <c r="G78" s="1064"/>
      <c r="H78" s="97"/>
      <c r="I78" s="982"/>
      <c r="J78" s="622"/>
      <c r="K78" s="982"/>
    </row>
    <row r="79" spans="1:14" s="224" customFormat="1" ht="15" customHeight="1" x14ac:dyDescent="0.25">
      <c r="A79" s="215">
        <v>44032</v>
      </c>
      <c r="B79" s="882" t="s">
        <v>2687</v>
      </c>
      <c r="C79" s="350" t="s">
        <v>12</v>
      </c>
      <c r="D79" s="350"/>
      <c r="E79" s="480" t="s">
        <v>25</v>
      </c>
      <c r="F79" s="622"/>
      <c r="G79" s="982">
        <v>1245</v>
      </c>
      <c r="H79" s="1008"/>
      <c r="I79" s="1063"/>
      <c r="J79" s="622"/>
      <c r="K79" s="982"/>
      <c r="L79" s="459"/>
    </row>
    <row r="80" spans="1:14" s="224" customFormat="1" x14ac:dyDescent="0.25">
      <c r="A80" s="215">
        <v>44032</v>
      </c>
      <c r="B80" s="873" t="s">
        <v>2590</v>
      </c>
      <c r="C80" s="879" t="s">
        <v>12</v>
      </c>
      <c r="D80" s="350" t="s">
        <v>1491</v>
      </c>
      <c r="E80" s="871" t="s">
        <v>15</v>
      </c>
      <c r="F80" s="622">
        <v>75</v>
      </c>
      <c r="G80" s="982"/>
      <c r="H80" s="1008"/>
      <c r="I80" s="1063"/>
      <c r="J80" s="622"/>
      <c r="K80" s="982"/>
      <c r="L80" s="984"/>
    </row>
    <row r="81" spans="1:14" x14ac:dyDescent="0.25">
      <c r="A81" s="215">
        <v>44032</v>
      </c>
      <c r="B81" s="876" t="s">
        <v>52</v>
      </c>
      <c r="C81" s="879" t="s">
        <v>12</v>
      </c>
      <c r="D81" s="879" t="s">
        <v>1496</v>
      </c>
      <c r="E81" s="871" t="s">
        <v>13</v>
      </c>
      <c r="F81" s="780">
        <v>70</v>
      </c>
      <c r="G81" s="982"/>
      <c r="H81" s="1009"/>
      <c r="I81" s="1063"/>
      <c r="J81" s="622"/>
      <c r="K81" s="982"/>
      <c r="L81" s="997"/>
    </row>
    <row r="82" spans="1:14" s="224" customFormat="1" ht="15" customHeight="1" x14ac:dyDescent="0.25">
      <c r="A82" s="215">
        <v>44032</v>
      </c>
      <c r="B82" s="349" t="s">
        <v>1241</v>
      </c>
      <c r="C82" s="350" t="s">
        <v>12</v>
      </c>
      <c r="D82" s="350" t="s">
        <v>1504</v>
      </c>
      <c r="E82" s="480" t="s">
        <v>13</v>
      </c>
      <c r="F82" s="780">
        <v>10</v>
      </c>
      <c r="G82" s="946"/>
      <c r="H82" s="95"/>
      <c r="I82" s="1064"/>
      <c r="J82" s="622"/>
      <c r="K82" s="982"/>
    </row>
    <row r="83" spans="1:14" s="224" customFormat="1" ht="15" customHeight="1" x14ac:dyDescent="0.25">
      <c r="A83" s="215">
        <v>44032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780">
        <v>14</v>
      </c>
      <c r="G83" s="982"/>
      <c r="H83" s="1008"/>
      <c r="I83" s="1063"/>
      <c r="J83" s="622"/>
      <c r="K83" s="982"/>
      <c r="L83" s="459"/>
    </row>
    <row r="84" spans="1:14" s="224" customFormat="1" ht="15" customHeight="1" x14ac:dyDescent="0.25">
      <c r="A84" s="215">
        <v>44032</v>
      </c>
      <c r="B84" s="349" t="s">
        <v>260</v>
      </c>
      <c r="C84" s="350" t="s">
        <v>12</v>
      </c>
      <c r="D84" s="350"/>
      <c r="E84" s="480"/>
      <c r="F84" s="780">
        <v>400</v>
      </c>
      <c r="G84" s="946"/>
      <c r="H84" s="95"/>
      <c r="I84" s="1064">
        <v>400</v>
      </c>
      <c r="J84" s="622"/>
      <c r="K84" s="982"/>
    </row>
    <row r="85" spans="1:14" s="224" customFormat="1" ht="15" customHeight="1" x14ac:dyDescent="0.25">
      <c r="A85" s="215">
        <v>44032</v>
      </c>
      <c r="B85" s="349" t="s">
        <v>14</v>
      </c>
      <c r="C85" s="879" t="s">
        <v>12</v>
      </c>
      <c r="D85" s="879" t="s">
        <v>1486</v>
      </c>
      <c r="E85" s="871" t="s">
        <v>13</v>
      </c>
      <c r="F85" s="780">
        <v>3.5</v>
      </c>
      <c r="G85" s="982"/>
      <c r="H85" s="1008"/>
      <c r="I85" s="1063"/>
      <c r="J85" s="622"/>
      <c r="K85" s="982"/>
      <c r="L85" s="997"/>
      <c r="M85" s="89"/>
      <c r="N85" s="930"/>
    </row>
    <row r="86" spans="1:14" s="224" customFormat="1" ht="15" customHeight="1" x14ac:dyDescent="0.25">
      <c r="A86" s="215">
        <v>44033</v>
      </c>
      <c r="B86" s="364" t="s">
        <v>32</v>
      </c>
      <c r="C86" s="350" t="s">
        <v>12</v>
      </c>
      <c r="D86" s="350" t="s">
        <v>1485</v>
      </c>
      <c r="E86" s="875" t="s">
        <v>13</v>
      </c>
      <c r="F86" s="780">
        <v>15</v>
      </c>
      <c r="G86" s="982"/>
      <c r="H86" s="1008"/>
      <c r="I86" s="1063"/>
      <c r="J86" s="622"/>
      <c r="K86" s="982"/>
      <c r="L86" s="459"/>
    </row>
    <row r="87" spans="1:14" s="224" customFormat="1" ht="15" customHeight="1" x14ac:dyDescent="0.25">
      <c r="A87" s="215">
        <v>44033</v>
      </c>
      <c r="B87" s="349" t="s">
        <v>14</v>
      </c>
      <c r="C87" s="879" t="s">
        <v>12</v>
      </c>
      <c r="D87" s="879" t="s">
        <v>1486</v>
      </c>
      <c r="E87" s="871" t="s">
        <v>13</v>
      </c>
      <c r="F87" s="780">
        <v>4.05</v>
      </c>
      <c r="G87" s="982"/>
      <c r="H87" s="1008"/>
      <c r="I87" s="1063"/>
      <c r="J87" s="622"/>
      <c r="K87" s="982"/>
      <c r="L87" s="997"/>
      <c r="M87" s="89"/>
      <c r="N87" s="930"/>
    </row>
    <row r="88" spans="1:14" s="224" customFormat="1" ht="15" customHeight="1" x14ac:dyDescent="0.25">
      <c r="A88" s="215">
        <v>44033</v>
      </c>
      <c r="B88" s="349" t="s">
        <v>2688</v>
      </c>
      <c r="C88" s="879" t="s">
        <v>12</v>
      </c>
      <c r="D88" s="879" t="s">
        <v>1491</v>
      </c>
      <c r="E88" s="871" t="s">
        <v>15</v>
      </c>
      <c r="F88" s="780">
        <v>165</v>
      </c>
      <c r="G88" s="946"/>
      <c r="H88" s="95"/>
      <c r="I88" s="1064"/>
      <c r="J88" s="622"/>
      <c r="K88" s="982"/>
    </row>
    <row r="89" spans="1:14" s="224" customFormat="1" ht="15" customHeight="1" x14ac:dyDescent="0.25">
      <c r="A89" s="215">
        <v>44034</v>
      </c>
      <c r="B89" s="364" t="s">
        <v>32</v>
      </c>
      <c r="C89" s="350" t="s">
        <v>12</v>
      </c>
      <c r="D89" s="350" t="s">
        <v>1485</v>
      </c>
      <c r="E89" s="875" t="s">
        <v>13</v>
      </c>
      <c r="F89" s="780">
        <v>15</v>
      </c>
      <c r="G89" s="982"/>
      <c r="H89" s="1008"/>
      <c r="I89" s="1063"/>
      <c r="J89" s="622"/>
      <c r="K89" s="982"/>
      <c r="L89" s="459"/>
    </row>
    <row r="90" spans="1:14" s="224" customFormat="1" ht="15" customHeight="1" x14ac:dyDescent="0.25">
      <c r="A90" s="215">
        <v>44034</v>
      </c>
      <c r="B90" s="349" t="s">
        <v>2689</v>
      </c>
      <c r="C90" s="887" t="s">
        <v>12</v>
      </c>
      <c r="D90" s="879" t="s">
        <v>1489</v>
      </c>
      <c r="E90" s="871" t="s">
        <v>13</v>
      </c>
      <c r="F90" s="780">
        <v>14.9</v>
      </c>
      <c r="G90" s="982"/>
      <c r="H90" s="1008"/>
      <c r="I90" s="1063"/>
      <c r="J90" s="622"/>
      <c r="K90" s="982"/>
      <c r="L90" s="997"/>
      <c r="M90" s="89"/>
      <c r="N90" s="930"/>
    </row>
    <row r="91" spans="1:14" s="224" customFormat="1" ht="15" customHeight="1" x14ac:dyDescent="0.25">
      <c r="A91" s="215">
        <v>44034</v>
      </c>
      <c r="B91" s="349" t="s">
        <v>2207</v>
      </c>
      <c r="C91" s="887" t="s">
        <v>12</v>
      </c>
      <c r="D91" s="879" t="s">
        <v>2168</v>
      </c>
      <c r="E91" s="871" t="s">
        <v>13</v>
      </c>
      <c r="F91" s="780">
        <v>26.8</v>
      </c>
      <c r="G91" s="982"/>
      <c r="H91" s="1008"/>
      <c r="I91" s="1063"/>
      <c r="J91" s="622"/>
      <c r="K91" s="982"/>
      <c r="L91" s="997"/>
      <c r="M91" s="89"/>
      <c r="N91" s="930"/>
    </row>
    <row r="92" spans="1:14" s="224" customFormat="1" ht="15" customHeight="1" x14ac:dyDescent="0.25">
      <c r="A92" s="215">
        <v>44034</v>
      </c>
      <c r="B92" s="349" t="s">
        <v>2690</v>
      </c>
      <c r="C92" s="887" t="s">
        <v>12</v>
      </c>
      <c r="D92" s="879" t="s">
        <v>1489</v>
      </c>
      <c r="E92" s="871" t="s">
        <v>13</v>
      </c>
      <c r="F92" s="780">
        <v>9.31</v>
      </c>
      <c r="G92" s="982"/>
      <c r="H92" s="1008"/>
      <c r="I92" s="1063"/>
      <c r="J92" s="622"/>
      <c r="K92" s="982"/>
      <c r="L92" s="997"/>
      <c r="M92" s="89"/>
      <c r="N92" s="930"/>
    </row>
    <row r="93" spans="1:14" s="224" customFormat="1" ht="15" customHeight="1" x14ac:dyDescent="0.25">
      <c r="A93" s="215">
        <v>44035</v>
      </c>
      <c r="B93" s="364" t="s">
        <v>32</v>
      </c>
      <c r="C93" s="350" t="s">
        <v>12</v>
      </c>
      <c r="D93" s="350" t="s">
        <v>1485</v>
      </c>
      <c r="E93" s="875" t="s">
        <v>13</v>
      </c>
      <c r="F93" s="780">
        <v>14</v>
      </c>
      <c r="G93" s="982"/>
      <c r="H93" s="1008"/>
      <c r="I93" s="1063"/>
      <c r="J93" s="622"/>
      <c r="K93" s="982"/>
      <c r="L93" s="459"/>
    </row>
    <row r="94" spans="1:14" s="224" customFormat="1" ht="15" customHeight="1" x14ac:dyDescent="0.25">
      <c r="A94" s="215">
        <v>44035</v>
      </c>
      <c r="B94" s="349" t="s">
        <v>2415</v>
      </c>
      <c r="C94" s="352" t="s">
        <v>12</v>
      </c>
      <c r="D94" s="874" t="s">
        <v>1493</v>
      </c>
      <c r="E94" s="875" t="s">
        <v>13</v>
      </c>
      <c r="F94" s="852">
        <v>6</v>
      </c>
      <c r="G94" s="1064"/>
      <c r="H94" s="97"/>
      <c r="I94" s="982"/>
      <c r="J94" s="622"/>
      <c r="K94" s="982"/>
    </row>
    <row r="95" spans="1:14" s="224" customFormat="1" ht="15" customHeight="1" x14ac:dyDescent="0.25">
      <c r="A95" s="215">
        <v>44035</v>
      </c>
      <c r="B95" s="349" t="s">
        <v>2691</v>
      </c>
      <c r="C95" s="887" t="s">
        <v>12</v>
      </c>
      <c r="D95" s="879" t="s">
        <v>1489</v>
      </c>
      <c r="E95" s="871" t="s">
        <v>13</v>
      </c>
      <c r="F95" s="780">
        <v>2.23</v>
      </c>
      <c r="G95" s="982"/>
      <c r="H95" s="1008"/>
      <c r="I95" s="1063"/>
      <c r="J95" s="622"/>
      <c r="K95" s="982"/>
      <c r="L95" s="997"/>
      <c r="M95" s="89"/>
      <c r="N95" s="930"/>
    </row>
    <row r="96" spans="1:14" s="224" customFormat="1" ht="15" customHeight="1" x14ac:dyDescent="0.25">
      <c r="A96" s="215">
        <v>44036</v>
      </c>
      <c r="B96" s="364" t="s">
        <v>32</v>
      </c>
      <c r="C96" s="350" t="s">
        <v>12</v>
      </c>
      <c r="D96" s="350" t="s">
        <v>1485</v>
      </c>
      <c r="E96" s="875" t="s">
        <v>13</v>
      </c>
      <c r="F96" s="780">
        <v>15</v>
      </c>
      <c r="G96" s="982"/>
      <c r="H96" s="1008"/>
      <c r="I96" s="1063"/>
      <c r="J96" s="622"/>
      <c r="K96" s="982"/>
      <c r="L96" s="459"/>
    </row>
    <row r="97" spans="1:14" s="224" customFormat="1" ht="15" customHeight="1" x14ac:dyDescent="0.25">
      <c r="A97" s="215">
        <v>44036</v>
      </c>
      <c r="B97" s="364" t="s">
        <v>2402</v>
      </c>
      <c r="C97" s="350" t="s">
        <v>12</v>
      </c>
      <c r="D97" s="350" t="s">
        <v>1493</v>
      </c>
      <c r="E97" s="875" t="s">
        <v>13</v>
      </c>
      <c r="F97" s="780">
        <v>18.100000000000001</v>
      </c>
      <c r="G97" s="982"/>
      <c r="H97" s="1009"/>
      <c r="I97" s="1063"/>
      <c r="J97" s="853"/>
      <c r="K97" s="982"/>
      <c r="L97" s="997"/>
      <c r="M97" s="89"/>
      <c r="N97" s="930"/>
    </row>
    <row r="98" spans="1:14" s="224" customFormat="1" ht="15" customHeight="1" x14ac:dyDescent="0.25">
      <c r="A98" s="215">
        <v>44037</v>
      </c>
      <c r="B98" s="364" t="s">
        <v>2692</v>
      </c>
      <c r="C98" s="350" t="s">
        <v>12</v>
      </c>
      <c r="D98" s="350" t="s">
        <v>1489</v>
      </c>
      <c r="E98" s="875" t="s">
        <v>13</v>
      </c>
      <c r="F98" s="780">
        <v>7</v>
      </c>
      <c r="G98" s="982"/>
      <c r="H98" s="1009"/>
      <c r="I98" s="1063"/>
      <c r="J98" s="853"/>
      <c r="K98" s="982"/>
      <c r="L98" s="997"/>
      <c r="M98" s="89"/>
      <c r="N98" s="930"/>
    </row>
    <row r="99" spans="1:14" s="224" customFormat="1" ht="15" customHeight="1" x14ac:dyDescent="0.25">
      <c r="A99" s="215">
        <v>44037</v>
      </c>
      <c r="B99" s="364" t="s">
        <v>2693</v>
      </c>
      <c r="C99" s="350" t="s">
        <v>12</v>
      </c>
      <c r="D99" s="350" t="s">
        <v>1489</v>
      </c>
      <c r="E99" s="875" t="s">
        <v>15</v>
      </c>
      <c r="F99" s="780">
        <v>13</v>
      </c>
      <c r="G99" s="982"/>
      <c r="H99" s="1009"/>
      <c r="I99" s="1063"/>
      <c r="J99" s="853"/>
      <c r="K99" s="982"/>
      <c r="L99" s="997"/>
      <c r="M99" s="89"/>
      <c r="N99" s="930"/>
    </row>
    <row r="100" spans="1:14" s="224" customFormat="1" ht="15" customHeight="1" x14ac:dyDescent="0.25">
      <c r="A100" s="215">
        <v>44037</v>
      </c>
      <c r="B100" s="364" t="s">
        <v>2694</v>
      </c>
      <c r="C100" s="350" t="s">
        <v>12</v>
      </c>
      <c r="D100" s="350" t="s">
        <v>1489</v>
      </c>
      <c r="E100" s="875" t="s">
        <v>13</v>
      </c>
      <c r="F100" s="780">
        <v>70</v>
      </c>
      <c r="G100" s="982"/>
      <c r="H100" s="1009"/>
      <c r="I100" s="1063"/>
      <c r="J100" s="853"/>
      <c r="K100" s="982"/>
      <c r="L100" s="997"/>
      <c r="M100" s="89"/>
      <c r="N100" s="930"/>
    </row>
    <row r="101" spans="1:14" s="224" customFormat="1" ht="15" customHeight="1" x14ac:dyDescent="0.25">
      <c r="A101" s="215">
        <v>44038</v>
      </c>
      <c r="B101" s="364" t="s">
        <v>81</v>
      </c>
      <c r="C101" s="350" t="s">
        <v>12</v>
      </c>
      <c r="D101" s="350" t="s">
        <v>1493</v>
      </c>
      <c r="E101" s="875" t="s">
        <v>13</v>
      </c>
      <c r="F101" s="780">
        <v>7.2</v>
      </c>
      <c r="G101" s="982"/>
      <c r="H101" s="1009"/>
      <c r="I101" s="1063"/>
      <c r="J101" s="853"/>
      <c r="K101" s="982"/>
      <c r="L101" s="997"/>
      <c r="M101" s="89"/>
      <c r="N101" s="930"/>
    </row>
    <row r="102" spans="1:14" s="224" customFormat="1" ht="15" customHeight="1" x14ac:dyDescent="0.25">
      <c r="A102" s="215">
        <v>44038</v>
      </c>
      <c r="B102" s="364" t="s">
        <v>2251</v>
      </c>
      <c r="C102" s="350" t="s">
        <v>12</v>
      </c>
      <c r="D102" s="350" t="s">
        <v>2157</v>
      </c>
      <c r="E102" s="875" t="s">
        <v>15</v>
      </c>
      <c r="F102" s="780">
        <v>50</v>
      </c>
      <c r="G102" s="982"/>
      <c r="H102" s="1009"/>
      <c r="I102" s="1063"/>
      <c r="J102" s="853"/>
      <c r="K102" s="982"/>
      <c r="L102" s="997"/>
      <c r="M102" s="89"/>
      <c r="N102" s="930"/>
    </row>
    <row r="103" spans="1:14" s="224" customFormat="1" ht="15" customHeight="1" x14ac:dyDescent="0.25">
      <c r="A103" s="215">
        <v>44039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15</v>
      </c>
      <c r="G103" s="982"/>
      <c r="H103" s="1008"/>
      <c r="I103" s="1063"/>
      <c r="J103" s="622"/>
      <c r="K103" s="982"/>
      <c r="L103" s="459"/>
    </row>
    <row r="104" spans="1:14" s="224" customFormat="1" ht="15" customHeight="1" x14ac:dyDescent="0.25">
      <c r="A104" s="215">
        <v>44039</v>
      </c>
      <c r="B104" s="349" t="s">
        <v>2690</v>
      </c>
      <c r="C104" s="887" t="s">
        <v>12</v>
      </c>
      <c r="D104" s="879" t="s">
        <v>1489</v>
      </c>
      <c r="E104" s="871" t="s">
        <v>13</v>
      </c>
      <c r="F104" s="780">
        <v>12.9</v>
      </c>
      <c r="G104" s="982"/>
      <c r="H104" s="1008"/>
      <c r="I104" s="1063"/>
      <c r="J104" s="622"/>
      <c r="K104" s="982"/>
      <c r="L104" s="459"/>
    </row>
    <row r="105" spans="1:14" s="224" customFormat="1" ht="15" customHeight="1" x14ac:dyDescent="0.25">
      <c r="A105" s="215">
        <v>44040</v>
      </c>
      <c r="B105" s="349" t="s">
        <v>1241</v>
      </c>
      <c r="C105" s="350" t="s">
        <v>12</v>
      </c>
      <c r="D105" s="350" t="s">
        <v>1504</v>
      </c>
      <c r="E105" s="480" t="s">
        <v>13</v>
      </c>
      <c r="F105" s="780">
        <v>10</v>
      </c>
      <c r="G105" s="946"/>
      <c r="H105" s="95"/>
      <c r="I105" s="1064"/>
      <c r="J105" s="622"/>
      <c r="K105" s="982"/>
    </row>
    <row r="106" spans="1:14" s="224" customFormat="1" ht="15" customHeight="1" x14ac:dyDescent="0.25">
      <c r="A106" s="215">
        <v>44040</v>
      </c>
      <c r="B106" s="364" t="s">
        <v>32</v>
      </c>
      <c r="C106" s="350" t="s">
        <v>12</v>
      </c>
      <c r="D106" s="350" t="s">
        <v>1485</v>
      </c>
      <c r="E106" s="875" t="s">
        <v>13</v>
      </c>
      <c r="F106" s="780">
        <v>15</v>
      </c>
      <c r="G106" s="982"/>
      <c r="H106" s="1008"/>
      <c r="I106" s="1063"/>
      <c r="J106" s="622"/>
      <c r="K106" s="982"/>
      <c r="L106" s="459"/>
    </row>
    <row r="107" spans="1:14" s="224" customFormat="1" ht="15" customHeight="1" x14ac:dyDescent="0.25">
      <c r="A107" s="215">
        <v>44040</v>
      </c>
      <c r="B107" s="349" t="s">
        <v>2695</v>
      </c>
      <c r="C107" s="887" t="s">
        <v>12</v>
      </c>
      <c r="D107" s="879" t="s">
        <v>1489</v>
      </c>
      <c r="E107" s="871" t="s">
        <v>13</v>
      </c>
      <c r="F107" s="780">
        <v>3.98</v>
      </c>
      <c r="G107" s="982"/>
      <c r="H107" s="1008"/>
      <c r="I107" s="1063"/>
      <c r="J107" s="622"/>
      <c r="K107" s="982"/>
      <c r="L107" s="997"/>
      <c r="M107" s="89"/>
      <c r="N107" s="930"/>
    </row>
    <row r="108" spans="1:14" s="224" customFormat="1" ht="15" customHeight="1" x14ac:dyDescent="0.25">
      <c r="A108" s="215">
        <v>44041</v>
      </c>
      <c r="B108" s="862" t="s">
        <v>2593</v>
      </c>
      <c r="C108" s="879" t="s">
        <v>12</v>
      </c>
      <c r="D108" s="879" t="s">
        <v>1504</v>
      </c>
      <c r="E108" s="871" t="s">
        <v>13</v>
      </c>
      <c r="F108" s="780">
        <v>32.9</v>
      </c>
      <c r="G108" s="982"/>
      <c r="H108" s="1008"/>
      <c r="I108" s="1063"/>
      <c r="J108" s="622"/>
      <c r="K108" s="982"/>
      <c r="L108" s="997"/>
      <c r="M108" s="89"/>
      <c r="N108" s="930"/>
    </row>
    <row r="109" spans="1:14" s="224" customFormat="1" ht="15" customHeight="1" x14ac:dyDescent="0.25">
      <c r="A109" s="215">
        <v>44041</v>
      </c>
      <c r="B109" s="349" t="s">
        <v>81</v>
      </c>
      <c r="C109" s="352" t="s">
        <v>12</v>
      </c>
      <c r="D109" s="874" t="s">
        <v>1493</v>
      </c>
      <c r="E109" s="875" t="s">
        <v>13</v>
      </c>
      <c r="F109" s="852">
        <v>2</v>
      </c>
      <c r="G109" s="1064"/>
      <c r="H109" s="97"/>
      <c r="I109" s="982"/>
      <c r="J109" s="622"/>
      <c r="K109" s="982"/>
    </row>
    <row r="110" spans="1:14" s="224" customFormat="1" ht="15" customHeight="1" x14ac:dyDescent="0.25">
      <c r="A110" s="215">
        <v>44041</v>
      </c>
      <c r="B110" s="364" t="s">
        <v>32</v>
      </c>
      <c r="C110" s="350" t="s">
        <v>12</v>
      </c>
      <c r="D110" s="350" t="s">
        <v>1485</v>
      </c>
      <c r="E110" s="875" t="s">
        <v>13</v>
      </c>
      <c r="F110" s="780">
        <v>15</v>
      </c>
      <c r="G110" s="982"/>
      <c r="H110" s="1008"/>
      <c r="I110" s="1063"/>
      <c r="J110" s="622"/>
      <c r="K110" s="982"/>
      <c r="L110" s="459"/>
    </row>
    <row r="111" spans="1:14" s="224" customFormat="1" ht="15" customHeight="1" x14ac:dyDescent="0.25">
      <c r="A111" s="215">
        <v>44042</v>
      </c>
      <c r="B111" s="364" t="s">
        <v>32</v>
      </c>
      <c r="C111" s="350" t="s">
        <v>12</v>
      </c>
      <c r="D111" s="350" t="s">
        <v>1485</v>
      </c>
      <c r="E111" s="875" t="s">
        <v>13</v>
      </c>
      <c r="F111" s="780">
        <v>15</v>
      </c>
      <c r="G111" s="982"/>
      <c r="H111" s="1008"/>
      <c r="I111" s="1063"/>
      <c r="J111" s="622"/>
      <c r="K111" s="982"/>
      <c r="L111" s="459"/>
    </row>
    <row r="112" spans="1:14" s="224" customFormat="1" ht="15" customHeight="1" x14ac:dyDescent="0.25">
      <c r="A112" s="215">
        <v>44042</v>
      </c>
      <c r="B112" s="349" t="s">
        <v>14</v>
      </c>
      <c r="C112" s="879" t="s">
        <v>12</v>
      </c>
      <c r="D112" s="879" t="s">
        <v>1486</v>
      </c>
      <c r="E112" s="871" t="s">
        <v>13</v>
      </c>
      <c r="F112" s="780">
        <v>13.46</v>
      </c>
      <c r="G112" s="982"/>
      <c r="H112" s="1008"/>
      <c r="I112" s="1063"/>
      <c r="J112" s="622"/>
      <c r="K112" s="982"/>
      <c r="L112" s="997"/>
      <c r="M112" s="89"/>
      <c r="N112" s="930"/>
    </row>
    <row r="113" spans="1:14" s="224" customFormat="1" ht="15" customHeight="1" x14ac:dyDescent="0.25">
      <c r="A113" s="215">
        <v>44042</v>
      </c>
      <c r="B113" s="349" t="s">
        <v>2096</v>
      </c>
      <c r="C113" s="879" t="s">
        <v>12</v>
      </c>
      <c r="D113" s="879" t="s">
        <v>1506</v>
      </c>
      <c r="E113" s="871" t="s">
        <v>15</v>
      </c>
      <c r="F113" s="780">
        <v>40</v>
      </c>
      <c r="G113" s="982"/>
      <c r="H113" s="1008"/>
      <c r="I113" s="1063"/>
      <c r="J113" s="622"/>
      <c r="K113" s="982"/>
      <c r="L113" s="997"/>
      <c r="M113" s="89"/>
      <c r="N113" s="930"/>
    </row>
    <row r="114" spans="1:14" s="224" customFormat="1" ht="15" customHeight="1" x14ac:dyDescent="0.25">
      <c r="A114" s="215">
        <v>44042</v>
      </c>
      <c r="B114" s="349" t="s">
        <v>2603</v>
      </c>
      <c r="C114" s="879" t="s">
        <v>12</v>
      </c>
      <c r="D114" s="879" t="s">
        <v>1491</v>
      </c>
      <c r="E114" s="871" t="s">
        <v>15</v>
      </c>
      <c r="F114" s="780">
        <v>60</v>
      </c>
      <c r="G114" s="982"/>
      <c r="H114" s="1008"/>
      <c r="I114" s="1063"/>
      <c r="J114" s="622"/>
      <c r="K114" s="982"/>
      <c r="L114" s="997"/>
      <c r="M114" s="89"/>
      <c r="N114" s="930"/>
    </row>
    <row r="115" spans="1:14" s="224" customFormat="1" ht="15" customHeight="1" x14ac:dyDescent="0.25">
      <c r="A115" s="215">
        <v>44043</v>
      </c>
      <c r="B115" s="364" t="s">
        <v>2696</v>
      </c>
      <c r="C115" s="350"/>
      <c r="D115" s="350"/>
      <c r="E115" s="875" t="s">
        <v>25</v>
      </c>
      <c r="F115" s="780"/>
      <c r="G115" s="982">
        <v>181.01</v>
      </c>
      <c r="H115" s="1008"/>
      <c r="I115" s="1063"/>
      <c r="J115" s="622"/>
      <c r="K115" s="982"/>
      <c r="L115" s="459"/>
    </row>
    <row r="116" spans="1:14" s="224" customFormat="1" ht="15" customHeight="1" x14ac:dyDescent="0.25">
      <c r="A116" s="215">
        <v>44043</v>
      </c>
      <c r="B116" s="364" t="s">
        <v>32</v>
      </c>
      <c r="C116" s="350" t="s">
        <v>12</v>
      </c>
      <c r="D116" s="350" t="s">
        <v>1485</v>
      </c>
      <c r="E116" s="875" t="s">
        <v>13</v>
      </c>
      <c r="F116" s="780">
        <v>15</v>
      </c>
      <c r="G116" s="982"/>
      <c r="H116" s="1008"/>
      <c r="I116" s="1063"/>
      <c r="J116" s="622"/>
      <c r="K116" s="982"/>
      <c r="L116" s="997"/>
      <c r="M116" s="89"/>
      <c r="N116" s="930"/>
    </row>
    <row r="117" spans="1:14" s="224" customFormat="1" ht="15" customHeight="1" x14ac:dyDescent="0.25">
      <c r="A117" s="215">
        <v>44043</v>
      </c>
      <c r="B117" s="364" t="s">
        <v>2697</v>
      </c>
      <c r="C117" s="350" t="s">
        <v>19</v>
      </c>
      <c r="D117" s="350" t="s">
        <v>1506</v>
      </c>
      <c r="E117" s="875" t="s">
        <v>13</v>
      </c>
      <c r="F117" s="780">
        <v>60</v>
      </c>
      <c r="G117" s="982"/>
      <c r="H117" s="1008"/>
      <c r="I117" s="1063"/>
      <c r="J117" s="622"/>
      <c r="K117" s="982"/>
      <c r="L117" s="1016"/>
      <c r="N117" s="930"/>
    </row>
    <row r="118" spans="1:14" s="224" customFormat="1" ht="15" customHeight="1" x14ac:dyDescent="0.25">
      <c r="A118" s="215">
        <v>44043</v>
      </c>
      <c r="B118" s="364" t="s">
        <v>2427</v>
      </c>
      <c r="C118" s="350" t="s">
        <v>19</v>
      </c>
      <c r="D118" s="350" t="s">
        <v>1506</v>
      </c>
      <c r="E118" s="875" t="s">
        <v>13</v>
      </c>
      <c r="F118" s="780">
        <v>29.7</v>
      </c>
      <c r="G118" s="982"/>
      <c r="H118" s="1008"/>
      <c r="I118" s="1063"/>
      <c r="J118" s="622"/>
      <c r="K118" s="982"/>
      <c r="L118" s="1016"/>
      <c r="N118" s="930"/>
    </row>
    <row r="119" spans="1:14" s="224" customFormat="1" ht="15" customHeight="1" x14ac:dyDescent="0.25">
      <c r="A119" s="215">
        <v>44043</v>
      </c>
      <c r="B119" s="349" t="s">
        <v>14</v>
      </c>
      <c r="C119" s="879" t="s">
        <v>12</v>
      </c>
      <c r="D119" s="879" t="s">
        <v>1486</v>
      </c>
      <c r="E119" s="871" t="s">
        <v>13</v>
      </c>
      <c r="F119" s="780">
        <v>16.95</v>
      </c>
      <c r="G119" s="982"/>
      <c r="H119" s="1008"/>
      <c r="I119" s="1063"/>
      <c r="J119" s="622"/>
      <c r="K119" s="982"/>
      <c r="L119" s="997"/>
      <c r="M119" s="89"/>
      <c r="N119" s="930"/>
    </row>
    <row r="120" spans="1:14" s="224" customFormat="1" ht="15.75" thickBot="1" x14ac:dyDescent="0.3">
      <c r="A120" s="215">
        <v>44043</v>
      </c>
      <c r="B120" s="862" t="s">
        <v>1666</v>
      </c>
      <c r="C120" s="350" t="s">
        <v>12</v>
      </c>
      <c r="D120" s="1003"/>
      <c r="E120" s="145" t="s">
        <v>25</v>
      </c>
      <c r="F120" s="622"/>
      <c r="G120" s="982"/>
      <c r="H120" s="1008"/>
      <c r="I120" s="1063"/>
      <c r="J120" s="622"/>
      <c r="K120" s="982">
        <v>29.07</v>
      </c>
      <c r="L120" s="459"/>
    </row>
    <row r="121" spans="1:14" ht="25.5" customHeight="1" thickBot="1" x14ac:dyDescent="0.3">
      <c r="A121" s="3060"/>
      <c r="B121" s="3061"/>
      <c r="C121" s="3062"/>
      <c r="D121" s="3062"/>
      <c r="E121" s="3062"/>
      <c r="F121" s="100">
        <f>SUM(F6:F120)</f>
        <v>4056.55</v>
      </c>
      <c r="G121" s="1534">
        <f>SUM(G5:G120)</f>
        <v>4559.5533333333533</v>
      </c>
      <c r="H121" s="101">
        <f>SUM(H6:H120)</f>
        <v>700</v>
      </c>
      <c r="I121" s="93">
        <f>SUM(I5:I120)</f>
        <v>2699.9960000000019</v>
      </c>
      <c r="J121" s="527">
        <f>SUM(J6:J120)</f>
        <v>0</v>
      </c>
      <c r="K121" s="93">
        <f>SUM(K5:K120)</f>
        <v>11189.83</v>
      </c>
    </row>
    <row r="122" spans="1:14" ht="25.5" customHeight="1" thickBot="1" x14ac:dyDescent="0.3">
      <c r="A122" s="3117" t="s">
        <v>49</v>
      </c>
      <c r="B122" s="3118"/>
      <c r="C122" s="3118"/>
      <c r="D122" s="3118"/>
      <c r="E122" s="3118"/>
      <c r="F122" s="144" t="s">
        <v>280</v>
      </c>
      <c r="G122" s="519">
        <f>G121-F121</f>
        <v>503.00333333335311</v>
      </c>
      <c r="H122" s="555"/>
      <c r="I122" s="772">
        <f>I121-H121</f>
        <v>1999.9960000000019</v>
      </c>
      <c r="J122" s="593"/>
      <c r="K122" s="772">
        <f>K121-J121</f>
        <v>11189.83</v>
      </c>
    </row>
    <row r="123" spans="1:14" x14ac:dyDescent="0.25">
      <c r="E123" s="79"/>
      <c r="K123" s="518"/>
      <c r="L123" s="79"/>
    </row>
    <row r="124" spans="1:14" x14ac:dyDescent="0.25">
      <c r="B124" s="81" t="s">
        <v>3</v>
      </c>
      <c r="C124" s="193" t="s">
        <v>1484</v>
      </c>
      <c r="D124" s="970" t="s">
        <v>2378</v>
      </c>
      <c r="G124" s="216"/>
      <c r="K124" s="866"/>
    </row>
    <row r="125" spans="1:14" x14ac:dyDescent="0.25">
      <c r="B125" s="79" t="s">
        <v>32</v>
      </c>
      <c r="C125" s="85" t="s">
        <v>1485</v>
      </c>
      <c r="D125" s="475">
        <f>SUMIF($D$7:$D$120,"A",$F$7:$F$120)</f>
        <v>306</v>
      </c>
      <c r="F125" s="79"/>
      <c r="I125" s="769"/>
      <c r="J125" s="868"/>
    </row>
    <row r="126" spans="1:14" x14ac:dyDescent="0.25">
      <c r="B126" s="79" t="s">
        <v>2187</v>
      </c>
      <c r="C126" s="85" t="s">
        <v>2157</v>
      </c>
      <c r="D126" s="475">
        <f>SUMIF($D$8:$D$120,"GAC",$F$8:$F$120)</f>
        <v>228</v>
      </c>
      <c r="G126" s="609"/>
      <c r="J126" s="754"/>
      <c r="K126" s="886"/>
      <c r="L126" s="985"/>
    </row>
    <row r="127" spans="1:14" x14ac:dyDescent="0.25">
      <c r="B127" s="79" t="s">
        <v>2188</v>
      </c>
      <c r="C127" s="85" t="s">
        <v>2168</v>
      </c>
      <c r="D127" s="475">
        <f>SUMIF($D$13:$D$120,"GAM",$F$13:$F$120)</f>
        <v>26.8</v>
      </c>
      <c r="J127" s="864"/>
      <c r="K127" s="864"/>
      <c r="L127" s="958"/>
    </row>
    <row r="128" spans="1:14" s="85" customFormat="1" x14ac:dyDescent="0.25">
      <c r="A128" s="79"/>
      <c r="B128" s="79" t="s">
        <v>50</v>
      </c>
      <c r="C128" s="85" t="s">
        <v>1493</v>
      </c>
      <c r="D128" s="475">
        <f>SUMIF($D$7:$D$120,"LD",$F$7:$F$120)</f>
        <v>174.25</v>
      </c>
      <c r="J128" s="864"/>
      <c r="K128" s="864"/>
      <c r="L128" s="958"/>
    </row>
    <row r="129" spans="1:12" s="85" customFormat="1" x14ac:dyDescent="0.25">
      <c r="A129" s="79"/>
      <c r="B129" s="79" t="s">
        <v>14</v>
      </c>
      <c r="C129" s="85" t="s">
        <v>1486</v>
      </c>
      <c r="D129" s="475">
        <f>SUMIF($D$7:$D$120,"C",$F$7:$F$120)</f>
        <v>117.89</v>
      </c>
      <c r="F129" s="89"/>
      <c r="G129" s="79"/>
      <c r="H129" s="79"/>
      <c r="J129" s="864"/>
      <c r="K129" s="864"/>
      <c r="L129" s="958"/>
    </row>
    <row r="130" spans="1:12" s="85" customFormat="1" x14ac:dyDescent="0.25">
      <c r="A130" s="79"/>
      <c r="B130" s="79" t="s">
        <v>51</v>
      </c>
      <c r="C130" s="864" t="s">
        <v>1499</v>
      </c>
      <c r="D130" s="475">
        <f>SUMIF($D$13:$D$120,"CAL",$F$13:$F$120)</f>
        <v>45.24</v>
      </c>
      <c r="F130" s="89"/>
      <c r="G130" s="79"/>
      <c r="H130" s="79"/>
      <c r="I130" s="79"/>
      <c r="L130" s="958"/>
    </row>
    <row r="131" spans="1:12" s="85" customFormat="1" x14ac:dyDescent="0.25">
      <c r="A131" s="79"/>
      <c r="B131" s="79" t="s">
        <v>2189</v>
      </c>
      <c r="C131" s="864" t="s">
        <v>1496</v>
      </c>
      <c r="D131" s="475">
        <f>SUMIF($D$13:$D$120,"AC",$F$13:$F$120)</f>
        <v>94</v>
      </c>
      <c r="F131" s="769"/>
      <c r="G131" s="79"/>
      <c r="L131" s="941"/>
    </row>
    <row r="132" spans="1:12" s="85" customFormat="1" x14ac:dyDescent="0.25">
      <c r="A132" s="79"/>
      <c r="B132" s="867" t="s">
        <v>53</v>
      </c>
      <c r="C132" s="864" t="s">
        <v>1522</v>
      </c>
      <c r="D132" s="475">
        <f>SUMIF($D$13:$D$120,"DC",$F$13:$F$120)</f>
        <v>746</v>
      </c>
      <c r="L132" s="459"/>
    </row>
    <row r="133" spans="1:12" s="85" customFormat="1" x14ac:dyDescent="0.25">
      <c r="A133" s="79"/>
      <c r="B133" s="867" t="s">
        <v>2149</v>
      </c>
      <c r="C133" s="864" t="s">
        <v>2131</v>
      </c>
      <c r="D133" s="475">
        <f>SUMIF($D$13:$D$120,"DM",$F$13:$F$120)</f>
        <v>76.150000000000006</v>
      </c>
      <c r="F133" s="769"/>
      <c r="L133" s="459"/>
    </row>
    <row r="134" spans="1:12" s="85" customFormat="1" x14ac:dyDescent="0.25">
      <c r="A134" s="79"/>
      <c r="B134" s="79" t="s">
        <v>2008</v>
      </c>
      <c r="C134" s="864" t="s">
        <v>1523</v>
      </c>
      <c r="D134" s="475">
        <f>SUMIF($D$13:$D$120,"B",$F$13:$F$120)</f>
        <v>114</v>
      </c>
      <c r="F134" s="769"/>
      <c r="G134" s="866"/>
      <c r="J134" s="85" t="s">
        <v>280</v>
      </c>
      <c r="L134" s="459"/>
    </row>
    <row r="135" spans="1:12" s="85" customFormat="1" x14ac:dyDescent="0.25">
      <c r="A135" s="79"/>
      <c r="B135" s="79" t="s">
        <v>1686</v>
      </c>
      <c r="C135" s="864" t="s">
        <v>1506</v>
      </c>
      <c r="D135" s="475">
        <f>SUMIF($D$13:$D$120,"R",$F$13:$F$120)</f>
        <v>169.7</v>
      </c>
      <c r="F135" s="769"/>
      <c r="G135" s="868"/>
      <c r="K135" s="866"/>
      <c r="L135" s="459"/>
    </row>
    <row r="136" spans="1:12" x14ac:dyDescent="0.25">
      <c r="B136" s="79" t="s">
        <v>418</v>
      </c>
      <c r="C136" s="85" t="s">
        <v>1524</v>
      </c>
      <c r="D136" s="475">
        <f>SUMIF($D$13:$D$120,"COM",$F$13:$F$120)</f>
        <v>148.10000000000002</v>
      </c>
      <c r="G136" s="85"/>
      <c r="H136" s="85"/>
      <c r="I136" s="85"/>
      <c r="J136" s="769"/>
      <c r="K136" s="868"/>
    </row>
    <row r="137" spans="1:12" x14ac:dyDescent="0.25">
      <c r="B137" s="79" t="s">
        <v>419</v>
      </c>
      <c r="C137" s="85" t="s">
        <v>1491</v>
      </c>
      <c r="D137" s="475">
        <f>SUMIF($D$7:$D$120,"F",$F$7:$F$120)</f>
        <v>400</v>
      </c>
    </row>
    <row r="138" spans="1:12" x14ac:dyDescent="0.25">
      <c r="B138" s="79" t="s">
        <v>911</v>
      </c>
      <c r="C138" s="85" t="s">
        <v>1525</v>
      </c>
      <c r="D138" s="475">
        <f>SUMIF($D$13:$D$120,"FER",$F$13:$F$120)</f>
        <v>407.6</v>
      </c>
      <c r="J138" s="769"/>
      <c r="K138" s="868"/>
    </row>
    <row r="139" spans="1:12" x14ac:dyDescent="0.25">
      <c r="B139" s="79" t="s">
        <v>1526</v>
      </c>
      <c r="C139" s="85" t="s">
        <v>1504</v>
      </c>
      <c r="D139" s="475">
        <f>SUMIF($D$7:$D$120,"I",$F$7:$F$120)</f>
        <v>231.8</v>
      </c>
      <c r="F139" s="89" t="s">
        <v>280</v>
      </c>
      <c r="J139" s="769"/>
      <c r="K139" s="866"/>
    </row>
    <row r="140" spans="1:12" x14ac:dyDescent="0.25">
      <c r="B140" s="79" t="s">
        <v>2343</v>
      </c>
      <c r="C140" s="85" t="s">
        <v>2315</v>
      </c>
      <c r="D140" s="475">
        <f>SUMIF($D$13:$D$120,"E",$F$13:$F$120)</f>
        <v>0</v>
      </c>
      <c r="J140" s="769"/>
      <c r="K140" s="868"/>
    </row>
    <row r="141" spans="1:12" x14ac:dyDescent="0.25">
      <c r="B141" s="79" t="s">
        <v>1527</v>
      </c>
      <c r="C141" s="85" t="s">
        <v>1489</v>
      </c>
      <c r="D141" s="475">
        <f>SUMIF($D$8:$D$120,"OD",$F$8:$F$120)</f>
        <v>371.02000000000004</v>
      </c>
      <c r="J141" s="769"/>
      <c r="K141" s="866"/>
    </row>
    <row r="142" spans="1:12" x14ac:dyDescent="0.25">
      <c r="C142" s="769"/>
      <c r="K142" s="866"/>
    </row>
    <row r="143" spans="1:12" x14ac:dyDescent="0.25">
      <c r="D143" s="459"/>
      <c r="H143" s="769"/>
      <c r="I143" s="518" t="s">
        <v>280</v>
      </c>
      <c r="K143" s="866"/>
    </row>
    <row r="144" spans="1:12" x14ac:dyDescent="0.25">
      <c r="B144" s="79" t="s">
        <v>486</v>
      </c>
      <c r="C144" s="475">
        <f>H144/J144</f>
        <v>117.9532258064516</v>
      </c>
      <c r="F144" s="224" t="s">
        <v>487</v>
      </c>
      <c r="H144" s="216">
        <f>SUM(D125:D141)</f>
        <v>3656.5499999999997</v>
      </c>
      <c r="J144" s="1517">
        <v>31</v>
      </c>
    </row>
    <row r="145" spans="1:15" ht="15.75" customHeight="1" x14ac:dyDescent="0.25">
      <c r="E145" s="769"/>
      <c r="H145" s="629"/>
      <c r="K145" s="868"/>
    </row>
    <row r="146" spans="1:15" x14ac:dyDescent="0.25">
      <c r="E146" s="79"/>
      <c r="F146" s="79"/>
      <c r="H146" s="866"/>
      <c r="J146" s="769"/>
      <c r="K146" s="866"/>
    </row>
    <row r="147" spans="1:15" s="518" customFormat="1" x14ac:dyDescent="0.25">
      <c r="A147" s="79"/>
      <c r="B147" s="79"/>
      <c r="C147" s="85"/>
      <c r="D147" s="79"/>
      <c r="E147" s="79"/>
      <c r="F147" s="89"/>
      <c r="G147" s="79"/>
      <c r="H147" s="79"/>
      <c r="I147" s="79"/>
      <c r="J147" s="769"/>
      <c r="K147" s="866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M148" s="79"/>
      <c r="N148" s="79"/>
      <c r="O148" s="79"/>
    </row>
    <row r="149" spans="1:15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216"/>
      <c r="J150" s="769"/>
      <c r="K150" s="866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79"/>
      <c r="H151" s="79"/>
      <c r="K151" s="866"/>
      <c r="M151" s="79"/>
      <c r="N151" s="79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8"/>
      <c r="M153" s="79"/>
      <c r="N153" s="79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79"/>
      <c r="J155" s="770"/>
      <c r="K155" s="866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629"/>
      <c r="J158" s="769"/>
      <c r="K158" s="866"/>
      <c r="M158" s="79"/>
      <c r="N158" s="79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M161" s="79"/>
      <c r="N161" s="79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M162" s="79"/>
      <c r="N162" s="79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M163" s="79"/>
      <c r="N163" s="79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M172" s="79"/>
      <c r="N172" s="79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M173" s="79"/>
      <c r="N173" s="79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M174" s="79"/>
      <c r="N174" s="79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8"/>
      <c r="M175" s="79"/>
      <c r="N175" s="79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M176" s="79"/>
      <c r="N176" s="79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6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223"/>
      <c r="K183" s="629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56"/>
      <c r="K184" s="756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85"/>
      <c r="K189" s="85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71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M204" s="79"/>
      <c r="N204" s="79"/>
      <c r="O204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M214" s="79"/>
      <c r="N214" s="79"/>
      <c r="O214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629"/>
      <c r="M218" s="79"/>
      <c r="N218" s="79"/>
      <c r="O218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M224" s="79"/>
      <c r="N224" s="79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M225" s="79"/>
      <c r="N225" s="79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M226" s="79"/>
      <c r="N226" s="79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M227" s="79"/>
      <c r="N227" s="79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M228" s="79"/>
      <c r="N228" s="79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M229" s="79"/>
      <c r="N229" s="79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M230" s="79"/>
      <c r="N230" s="79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M231" s="79"/>
      <c r="N231" s="79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M232" s="79"/>
      <c r="N232" s="79"/>
      <c r="O232" s="79"/>
    </row>
  </sheetData>
  <autoFilter ref="A2:I122" xr:uid="{00000000-0009-0000-0000-000065000000}"/>
  <mergeCells count="12">
    <mergeCell ref="A121:E121"/>
    <mergeCell ref="A122:E12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Plan120"/>
  <dimension ref="A1:O223"/>
  <sheetViews>
    <sheetView zoomScale="85" zoomScaleNormal="85" workbookViewId="0">
      <pane ySplit="4" topLeftCell="A6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0" style="518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2698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44044</v>
      </c>
      <c r="B5" s="369" t="s">
        <v>10</v>
      </c>
      <c r="C5" s="370"/>
      <c r="D5" s="370"/>
      <c r="E5" s="777"/>
      <c r="F5" s="179"/>
      <c r="G5" s="933">
        <f>'Julho-20'!G122</f>
        <v>503.00333333335311</v>
      </c>
      <c r="H5" s="163"/>
      <c r="I5" s="1479">
        <f>'Julho-20'!I122</f>
        <v>1999.9960000000019</v>
      </c>
      <c r="J5" s="179"/>
      <c r="K5" s="933">
        <f>'Julho-20'!K122</f>
        <v>11189.83</v>
      </c>
    </row>
    <row r="6" spans="1:15" s="224" customFormat="1" x14ac:dyDescent="0.25">
      <c r="A6" s="215">
        <v>44044</v>
      </c>
      <c r="B6" s="348" t="s">
        <v>11</v>
      </c>
      <c r="C6" s="351"/>
      <c r="D6" s="351"/>
      <c r="E6" s="673"/>
      <c r="F6" s="538">
        <v>4</v>
      </c>
      <c r="G6" s="1473"/>
      <c r="H6" s="252"/>
      <c r="I6" s="1480"/>
      <c r="J6" s="250"/>
      <c r="K6" s="1473"/>
      <c r="L6" s="518"/>
      <c r="M6" s="89"/>
    </row>
    <row r="7" spans="1:15" s="224" customFormat="1" ht="15" customHeight="1" x14ac:dyDescent="0.25">
      <c r="A7" s="215">
        <v>44044</v>
      </c>
      <c r="B7" s="364" t="s">
        <v>2251</v>
      </c>
      <c r="C7" s="350" t="s">
        <v>12</v>
      </c>
      <c r="D7" s="350" t="s">
        <v>2157</v>
      </c>
      <c r="E7" s="875" t="s">
        <v>13</v>
      </c>
      <c r="F7" s="780">
        <v>80</v>
      </c>
      <c r="G7" s="946"/>
      <c r="H7" s="95"/>
      <c r="I7" s="1064"/>
      <c r="J7" s="97"/>
      <c r="K7" s="946"/>
      <c r="L7" s="928"/>
      <c r="M7" s="89"/>
      <c r="N7" s="930"/>
    </row>
    <row r="8" spans="1:15" s="224" customFormat="1" ht="15" customHeight="1" x14ac:dyDescent="0.25">
      <c r="A8" s="215">
        <v>44044</v>
      </c>
      <c r="B8" s="364" t="s">
        <v>2629</v>
      </c>
      <c r="C8" s="350" t="s">
        <v>19</v>
      </c>
      <c r="D8" s="350" t="s">
        <v>1489</v>
      </c>
      <c r="E8" s="875" t="s">
        <v>13</v>
      </c>
      <c r="F8" s="780">
        <v>83.67</v>
      </c>
      <c r="G8" s="982"/>
      <c r="H8" s="1008"/>
      <c r="I8" s="1063"/>
      <c r="J8" s="622"/>
      <c r="K8" s="982"/>
      <c r="L8" s="459"/>
    </row>
    <row r="9" spans="1:15" s="224" customFormat="1" ht="15" customHeight="1" x14ac:dyDescent="0.25">
      <c r="A9" s="215">
        <v>44044</v>
      </c>
      <c r="B9" s="364" t="s">
        <v>80</v>
      </c>
      <c r="C9" s="350" t="s">
        <v>19</v>
      </c>
      <c r="D9" s="350" t="s">
        <v>1489</v>
      </c>
      <c r="E9" s="875" t="s">
        <v>13</v>
      </c>
      <c r="F9" s="780">
        <v>17.600000000000001</v>
      </c>
      <c r="G9" s="982"/>
      <c r="H9" s="1008"/>
      <c r="I9" s="1063"/>
      <c r="J9" s="622"/>
      <c r="K9" s="982"/>
      <c r="L9" s="459"/>
    </row>
    <row r="10" spans="1:15" s="224" customFormat="1" ht="15" customHeight="1" x14ac:dyDescent="0.25">
      <c r="A10" s="215">
        <v>44044</v>
      </c>
      <c r="B10" s="349" t="s">
        <v>14</v>
      </c>
      <c r="C10" s="879" t="s">
        <v>12</v>
      </c>
      <c r="D10" s="879" t="s">
        <v>1486</v>
      </c>
      <c r="E10" s="871" t="s">
        <v>13</v>
      </c>
      <c r="F10" s="780">
        <v>4.03</v>
      </c>
      <c r="G10" s="982"/>
      <c r="H10" s="1008"/>
      <c r="I10" s="1063"/>
      <c r="J10" s="622"/>
      <c r="K10" s="982"/>
      <c r="L10" s="459"/>
    </row>
    <row r="11" spans="1:15" s="224" customFormat="1" ht="15" customHeight="1" x14ac:dyDescent="0.25">
      <c r="A11" s="215">
        <v>44045</v>
      </c>
      <c r="B11" s="349" t="s">
        <v>14</v>
      </c>
      <c r="C11" s="879" t="s">
        <v>12</v>
      </c>
      <c r="D11" s="879" t="s">
        <v>1486</v>
      </c>
      <c r="E11" s="871" t="s">
        <v>13</v>
      </c>
      <c r="F11" s="780">
        <v>6.07</v>
      </c>
      <c r="G11" s="982"/>
      <c r="H11" s="1008"/>
      <c r="I11" s="1063"/>
      <c r="J11" s="622"/>
      <c r="K11" s="982"/>
      <c r="L11" s="459"/>
    </row>
    <row r="12" spans="1:15" s="224" customFormat="1" ht="15" customHeight="1" x14ac:dyDescent="0.25">
      <c r="A12" s="215">
        <v>44045</v>
      </c>
      <c r="B12" s="349" t="s">
        <v>14</v>
      </c>
      <c r="C12" s="879" t="s">
        <v>12</v>
      </c>
      <c r="D12" s="879" t="s">
        <v>1486</v>
      </c>
      <c r="E12" s="871" t="s">
        <v>13</v>
      </c>
      <c r="F12" s="780">
        <v>8.3000000000000007</v>
      </c>
      <c r="G12" s="982"/>
      <c r="H12" s="1008"/>
      <c r="I12" s="1063"/>
      <c r="J12" s="622"/>
      <c r="K12" s="982"/>
      <c r="L12" s="459"/>
    </row>
    <row r="13" spans="1:15" s="224" customFormat="1" ht="15" customHeight="1" x14ac:dyDescent="0.25">
      <c r="A13" s="215">
        <v>44046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780">
        <v>15</v>
      </c>
      <c r="G13" s="982"/>
      <c r="H13" s="1008"/>
      <c r="I13" s="1063"/>
      <c r="J13" s="622"/>
      <c r="K13" s="982"/>
      <c r="L13" s="459"/>
    </row>
    <row r="14" spans="1:15" s="224" customFormat="1" ht="15" customHeight="1" x14ac:dyDescent="0.25">
      <c r="A14" s="215">
        <v>44046</v>
      </c>
      <c r="B14" s="349" t="s">
        <v>14</v>
      </c>
      <c r="C14" s="879" t="s">
        <v>12</v>
      </c>
      <c r="D14" s="879" t="s">
        <v>1486</v>
      </c>
      <c r="E14" s="871" t="s">
        <v>13</v>
      </c>
      <c r="F14" s="780">
        <v>8.59</v>
      </c>
      <c r="G14" s="982"/>
      <c r="H14" s="1008"/>
      <c r="I14" s="1063"/>
      <c r="J14" s="622"/>
      <c r="K14" s="982"/>
      <c r="L14" s="459"/>
    </row>
    <row r="15" spans="1:15" s="224" customFormat="1" ht="15" customHeight="1" x14ac:dyDescent="0.25">
      <c r="A15" s="215">
        <v>44047</v>
      </c>
      <c r="B15" s="364" t="s">
        <v>256</v>
      </c>
      <c r="C15" s="350"/>
      <c r="D15" s="350"/>
      <c r="E15" s="875" t="s">
        <v>25</v>
      </c>
      <c r="F15" s="780"/>
      <c r="G15" s="982">
        <v>100</v>
      </c>
      <c r="H15" s="1008">
        <v>100</v>
      </c>
      <c r="I15" s="1063"/>
      <c r="J15" s="622"/>
      <c r="K15" s="982"/>
      <c r="L15" s="459"/>
    </row>
    <row r="16" spans="1:15" s="224" customFormat="1" ht="15" customHeight="1" x14ac:dyDescent="0.25">
      <c r="A16" s="215">
        <v>44047</v>
      </c>
      <c r="B16" s="364" t="s">
        <v>32</v>
      </c>
      <c r="C16" s="350" t="s">
        <v>12</v>
      </c>
      <c r="D16" s="350" t="s">
        <v>1485</v>
      </c>
      <c r="E16" s="875" t="s">
        <v>13</v>
      </c>
      <c r="F16" s="780">
        <v>15</v>
      </c>
      <c r="G16" s="982"/>
      <c r="H16" s="1008"/>
      <c r="I16" s="1063"/>
      <c r="J16" s="622"/>
      <c r="K16" s="982"/>
      <c r="L16" s="459"/>
    </row>
    <row r="17" spans="1:14" s="224" customFormat="1" ht="15" customHeight="1" x14ac:dyDescent="0.25">
      <c r="A17" s="215">
        <v>44047</v>
      </c>
      <c r="B17" s="349" t="s">
        <v>14</v>
      </c>
      <c r="C17" s="879" t="s">
        <v>12</v>
      </c>
      <c r="D17" s="879" t="s">
        <v>1486</v>
      </c>
      <c r="E17" s="871" t="s">
        <v>13</v>
      </c>
      <c r="F17" s="780">
        <v>7.75</v>
      </c>
      <c r="G17" s="982"/>
      <c r="H17" s="1008"/>
      <c r="I17" s="1063"/>
      <c r="J17" s="622"/>
      <c r="K17" s="982"/>
      <c r="L17" s="459"/>
    </row>
    <row r="18" spans="1:14" s="224" customFormat="1" ht="15" customHeight="1" x14ac:dyDescent="0.25">
      <c r="A18" s="215">
        <v>44048</v>
      </c>
      <c r="B18" s="364" t="s">
        <v>32</v>
      </c>
      <c r="C18" s="350" t="s">
        <v>12</v>
      </c>
      <c r="D18" s="350" t="s">
        <v>1485</v>
      </c>
      <c r="E18" s="875" t="s">
        <v>13</v>
      </c>
      <c r="F18" s="780">
        <v>15</v>
      </c>
      <c r="G18" s="982"/>
      <c r="H18" s="1008"/>
      <c r="I18" s="1063"/>
      <c r="J18" s="622"/>
      <c r="K18" s="982"/>
      <c r="L18" s="459"/>
    </row>
    <row r="19" spans="1:14" s="224" customFormat="1" ht="15" customHeight="1" x14ac:dyDescent="0.25">
      <c r="A19" s="215">
        <v>44048</v>
      </c>
      <c r="B19" s="364" t="s">
        <v>1241</v>
      </c>
      <c r="C19" s="350" t="s">
        <v>12</v>
      </c>
      <c r="D19" s="350" t="s">
        <v>1504</v>
      </c>
      <c r="E19" s="875" t="s">
        <v>15</v>
      </c>
      <c r="F19" s="780">
        <v>10</v>
      </c>
      <c r="G19" s="982"/>
      <c r="H19" s="1008"/>
      <c r="I19" s="1063"/>
      <c r="J19" s="622"/>
      <c r="K19" s="982"/>
      <c r="L19" s="459"/>
    </row>
    <row r="20" spans="1:14" s="224" customFormat="1" ht="15.75" customHeight="1" x14ac:dyDescent="0.25">
      <c r="A20" s="215">
        <v>44049</v>
      </c>
      <c r="B20" s="349" t="s">
        <v>2699</v>
      </c>
      <c r="C20" s="887" t="s">
        <v>12</v>
      </c>
      <c r="D20" s="874"/>
      <c r="E20" s="871" t="s">
        <v>25</v>
      </c>
      <c r="F20" s="1524"/>
      <c r="G20" s="1002">
        <v>1780.95</v>
      </c>
      <c r="H20" s="539"/>
      <c r="I20" s="1063"/>
      <c r="J20" s="622"/>
      <c r="K20" s="982"/>
      <c r="L20" s="89"/>
      <c r="M20" s="89"/>
    </row>
    <row r="21" spans="1:14" s="224" customFormat="1" ht="15" customHeight="1" x14ac:dyDescent="0.25">
      <c r="A21" s="215">
        <v>44049</v>
      </c>
      <c r="B21" s="349" t="s">
        <v>2700</v>
      </c>
      <c r="C21" s="887" t="s">
        <v>12</v>
      </c>
      <c r="D21" s="1005" t="s">
        <v>1525</v>
      </c>
      <c r="E21" s="887" t="s">
        <v>13</v>
      </c>
      <c r="F21" s="780">
        <v>172.06874999999999</v>
      </c>
      <c r="G21" s="982"/>
      <c r="H21" s="1008"/>
      <c r="I21" s="1063"/>
      <c r="J21" s="622"/>
      <c r="K21" s="982"/>
      <c r="L21" s="767">
        <v>344.13749999999999</v>
      </c>
    </row>
    <row r="22" spans="1:14" s="224" customFormat="1" ht="15" customHeight="1" x14ac:dyDescent="0.25">
      <c r="A22" s="215">
        <v>44049</v>
      </c>
      <c r="B22" s="349" t="s">
        <v>2700</v>
      </c>
      <c r="C22" s="887" t="s">
        <v>12</v>
      </c>
      <c r="D22" s="1005" t="s">
        <v>1524</v>
      </c>
      <c r="E22" s="887" t="s">
        <v>13</v>
      </c>
      <c r="F22" s="780">
        <v>162.5</v>
      </c>
      <c r="G22" s="982"/>
      <c r="H22" s="1008"/>
      <c r="I22" s="1063"/>
      <c r="J22" s="622"/>
      <c r="K22" s="982"/>
      <c r="L22" s="1025">
        <v>325</v>
      </c>
      <c r="N22" s="930"/>
    </row>
    <row r="23" spans="1:14" s="224" customFormat="1" ht="15" customHeight="1" x14ac:dyDescent="0.25">
      <c r="A23" s="215">
        <v>44049</v>
      </c>
      <c r="B23" s="349" t="s">
        <v>2700</v>
      </c>
      <c r="C23" s="887" t="s">
        <v>12</v>
      </c>
      <c r="D23" s="1005" t="s">
        <v>1524</v>
      </c>
      <c r="E23" s="887" t="s">
        <v>13</v>
      </c>
      <c r="F23" s="780">
        <v>33</v>
      </c>
      <c r="G23" s="982"/>
      <c r="H23" s="1008"/>
      <c r="I23" s="1063"/>
      <c r="J23" s="622"/>
      <c r="K23" s="982"/>
      <c r="L23" s="1025">
        <v>66</v>
      </c>
      <c r="N23" s="930"/>
    </row>
    <row r="24" spans="1:14" s="224" customFormat="1" ht="15" customHeight="1" x14ac:dyDescent="0.25">
      <c r="A24" s="215">
        <v>44049</v>
      </c>
      <c r="B24" s="349" t="s">
        <v>2700</v>
      </c>
      <c r="C24" s="887" t="s">
        <v>12</v>
      </c>
      <c r="D24" s="1005" t="s">
        <v>1522</v>
      </c>
      <c r="E24" s="887" t="s">
        <v>13</v>
      </c>
      <c r="F24" s="780">
        <v>166.66666666666666</v>
      </c>
      <c r="G24" s="982"/>
      <c r="H24" s="1008"/>
      <c r="I24" s="1063"/>
      <c r="J24" s="622"/>
      <c r="K24" s="982"/>
      <c r="L24" s="459"/>
    </row>
    <row r="25" spans="1:14" s="224" customFormat="1" ht="15" customHeight="1" x14ac:dyDescent="0.25">
      <c r="A25" s="215">
        <v>44049</v>
      </c>
      <c r="B25" s="349" t="s">
        <v>2700</v>
      </c>
      <c r="C25" s="887" t="s">
        <v>12</v>
      </c>
      <c r="D25" s="1005" t="s">
        <v>1489</v>
      </c>
      <c r="E25" s="887" t="s">
        <v>13</v>
      </c>
      <c r="F25" s="780">
        <v>79</v>
      </c>
      <c r="G25" s="967"/>
      <c r="H25" s="1008"/>
      <c r="I25" s="1063"/>
      <c r="J25" s="622"/>
      <c r="K25" s="982"/>
      <c r="L25" s="459"/>
    </row>
    <row r="26" spans="1:14" s="224" customFormat="1" ht="15" customHeight="1" x14ac:dyDescent="0.25">
      <c r="A26" s="215">
        <v>44049</v>
      </c>
      <c r="B26" s="862" t="s">
        <v>2385</v>
      </c>
      <c r="C26" s="879" t="s">
        <v>12</v>
      </c>
      <c r="D26" s="879" t="s">
        <v>1504</v>
      </c>
      <c r="E26" s="871" t="s">
        <v>13</v>
      </c>
      <c r="F26" s="780">
        <v>50</v>
      </c>
      <c r="G26" s="982"/>
      <c r="H26" s="1008"/>
      <c r="I26" s="1063"/>
      <c r="J26" s="622"/>
      <c r="K26" s="982"/>
      <c r="L26" s="1024">
        <v>90</v>
      </c>
      <c r="N26" s="930"/>
    </row>
    <row r="27" spans="1:14" s="224" customFormat="1" ht="15" customHeight="1" x14ac:dyDescent="0.25">
      <c r="A27" s="215">
        <v>44049</v>
      </c>
      <c r="B27" s="882" t="s">
        <v>2701</v>
      </c>
      <c r="C27" s="879" t="s">
        <v>12</v>
      </c>
      <c r="D27" s="879" t="s">
        <v>1499</v>
      </c>
      <c r="E27" s="871" t="s">
        <v>13</v>
      </c>
      <c r="F27" s="780">
        <v>120</v>
      </c>
      <c r="G27" s="982"/>
      <c r="H27" s="1008"/>
      <c r="I27" s="1063"/>
      <c r="J27" s="622"/>
      <c r="K27" s="982"/>
      <c r="L27" s="767">
        <v>320</v>
      </c>
    </row>
    <row r="28" spans="1:14" s="224" customFormat="1" ht="15" customHeight="1" x14ac:dyDescent="0.25">
      <c r="A28" s="215">
        <v>44049</v>
      </c>
      <c r="B28" s="364" t="s">
        <v>32</v>
      </c>
      <c r="C28" s="350" t="s">
        <v>12</v>
      </c>
      <c r="D28" s="350" t="s">
        <v>1485</v>
      </c>
      <c r="E28" s="875" t="s">
        <v>13</v>
      </c>
      <c r="F28" s="780">
        <v>15</v>
      </c>
      <c r="G28" s="982"/>
      <c r="H28" s="1008"/>
      <c r="I28" s="1063"/>
      <c r="J28" s="622"/>
      <c r="K28" s="982"/>
      <c r="L28" s="459"/>
    </row>
    <row r="29" spans="1:14" s="224" customFormat="1" ht="15" customHeight="1" x14ac:dyDescent="0.25">
      <c r="A29" s="215">
        <v>44050</v>
      </c>
      <c r="B29" s="364" t="s">
        <v>32</v>
      </c>
      <c r="C29" s="350" t="s">
        <v>12</v>
      </c>
      <c r="D29" s="350" t="s">
        <v>1485</v>
      </c>
      <c r="E29" s="875" t="s">
        <v>13</v>
      </c>
      <c r="F29" s="780">
        <v>14</v>
      </c>
      <c r="G29" s="982"/>
      <c r="H29" s="1008"/>
      <c r="I29" s="1063"/>
      <c r="J29" s="622"/>
      <c r="K29" s="982"/>
      <c r="L29" s="459"/>
    </row>
    <row r="30" spans="1:14" s="224" customFormat="1" ht="15" customHeight="1" x14ac:dyDescent="0.25">
      <c r="A30" s="215">
        <v>44050</v>
      </c>
      <c r="B30" s="364" t="s">
        <v>2702</v>
      </c>
      <c r="C30" s="350" t="s">
        <v>12</v>
      </c>
      <c r="D30" s="350" t="s">
        <v>1489</v>
      </c>
      <c r="E30" s="875" t="s">
        <v>13</v>
      </c>
      <c r="F30" s="780">
        <v>57</v>
      </c>
      <c r="G30" s="982"/>
      <c r="H30" s="1008"/>
      <c r="I30" s="1063"/>
      <c r="J30" s="622"/>
      <c r="K30" s="982"/>
      <c r="L30" s="459"/>
    </row>
    <row r="31" spans="1:14" s="224" customFormat="1" ht="15" customHeight="1" x14ac:dyDescent="0.25">
      <c r="A31" s="215">
        <v>44050</v>
      </c>
      <c r="B31" s="349" t="s">
        <v>2603</v>
      </c>
      <c r="C31" s="879" t="s">
        <v>12</v>
      </c>
      <c r="D31" s="879" t="s">
        <v>1491</v>
      </c>
      <c r="E31" s="871" t="s">
        <v>15</v>
      </c>
      <c r="F31" s="780">
        <v>100</v>
      </c>
      <c r="G31" s="982"/>
      <c r="H31" s="1008"/>
      <c r="I31" s="1063"/>
      <c r="J31" s="622"/>
      <c r="K31" s="982"/>
      <c r="L31" s="459"/>
    </row>
    <row r="32" spans="1:14" s="224" customFormat="1" ht="15" customHeight="1" x14ac:dyDescent="0.25">
      <c r="A32" s="215">
        <v>44050</v>
      </c>
      <c r="B32" s="349" t="s">
        <v>2703</v>
      </c>
      <c r="C32" s="887" t="s">
        <v>12</v>
      </c>
      <c r="D32" s="879" t="s">
        <v>1489</v>
      </c>
      <c r="E32" s="871" t="s">
        <v>13</v>
      </c>
      <c r="F32" s="780">
        <v>18.68</v>
      </c>
      <c r="G32" s="982"/>
      <c r="H32" s="1008"/>
      <c r="I32" s="1063"/>
      <c r="J32" s="622"/>
      <c r="K32" s="982"/>
      <c r="L32" s="459"/>
    </row>
    <row r="33" spans="1:14" s="224" customFormat="1" ht="15" customHeight="1" x14ac:dyDescent="0.25">
      <c r="A33" s="215">
        <v>44051</v>
      </c>
      <c r="B33" s="349" t="s">
        <v>14</v>
      </c>
      <c r="C33" s="879" t="s">
        <v>12</v>
      </c>
      <c r="D33" s="879" t="s">
        <v>1486</v>
      </c>
      <c r="E33" s="871" t="s">
        <v>13</v>
      </c>
      <c r="F33" s="780">
        <v>7.38</v>
      </c>
      <c r="G33" s="982"/>
      <c r="H33" s="1008"/>
      <c r="I33" s="1063"/>
      <c r="J33" s="622"/>
      <c r="K33" s="982"/>
      <c r="L33" s="459"/>
    </row>
    <row r="34" spans="1:14" s="224" customFormat="1" ht="15" customHeight="1" x14ac:dyDescent="0.25">
      <c r="A34" s="215">
        <v>44051</v>
      </c>
      <c r="B34" s="349" t="s">
        <v>2595</v>
      </c>
      <c r="C34" s="879" t="s">
        <v>12</v>
      </c>
      <c r="D34" s="879" t="s">
        <v>1506</v>
      </c>
      <c r="E34" s="871" t="s">
        <v>15</v>
      </c>
      <c r="F34" s="780">
        <v>10</v>
      </c>
      <c r="G34" s="982"/>
      <c r="H34" s="1008"/>
      <c r="I34" s="1063"/>
      <c r="J34" s="622"/>
      <c r="K34" s="982"/>
      <c r="L34" s="459"/>
    </row>
    <row r="35" spans="1:14" s="224" customFormat="1" ht="15" customHeight="1" x14ac:dyDescent="0.25">
      <c r="A35" s="215">
        <v>44051</v>
      </c>
      <c r="B35" s="349" t="s">
        <v>80</v>
      </c>
      <c r="C35" s="879" t="s">
        <v>12</v>
      </c>
      <c r="D35" s="879" t="s">
        <v>1523</v>
      </c>
      <c r="E35" s="871" t="s">
        <v>13</v>
      </c>
      <c r="F35" s="780">
        <v>28</v>
      </c>
      <c r="G35" s="982"/>
      <c r="H35" s="1008"/>
      <c r="I35" s="1063"/>
      <c r="J35" s="622"/>
      <c r="K35" s="982"/>
      <c r="L35" s="459"/>
    </row>
    <row r="36" spans="1:14" s="224" customFormat="1" ht="15" customHeight="1" x14ac:dyDescent="0.25">
      <c r="A36" s="215">
        <v>44051</v>
      </c>
      <c r="B36" s="349" t="s">
        <v>82</v>
      </c>
      <c r="C36" s="879" t="s">
        <v>12</v>
      </c>
      <c r="D36" s="879" t="s">
        <v>1493</v>
      </c>
      <c r="E36" s="871" t="s">
        <v>13</v>
      </c>
      <c r="F36" s="780">
        <v>36</v>
      </c>
      <c r="G36" s="982"/>
      <c r="H36" s="1008"/>
      <c r="I36" s="1063"/>
      <c r="J36" s="622"/>
      <c r="K36" s="982"/>
      <c r="L36" s="459"/>
    </row>
    <row r="37" spans="1:14" s="224" customFormat="1" ht="15" customHeight="1" x14ac:dyDescent="0.25">
      <c r="A37" s="215">
        <v>44052</v>
      </c>
      <c r="B37" s="364" t="s">
        <v>2704</v>
      </c>
      <c r="C37" s="350" t="s">
        <v>19</v>
      </c>
      <c r="D37" s="350" t="s">
        <v>1485</v>
      </c>
      <c r="E37" s="875" t="s">
        <v>13</v>
      </c>
      <c r="F37" s="780">
        <v>43.11</v>
      </c>
      <c r="G37" s="982"/>
      <c r="H37" s="1008"/>
      <c r="I37" s="1063"/>
      <c r="J37" s="622"/>
      <c r="K37" s="982"/>
      <c r="L37" s="459"/>
      <c r="M37" s="927"/>
    </row>
    <row r="38" spans="1:14" s="224" customFormat="1" ht="15" customHeight="1" x14ac:dyDescent="0.25">
      <c r="A38" s="215">
        <v>44052</v>
      </c>
      <c r="B38" s="364" t="s">
        <v>2705</v>
      </c>
      <c r="C38" s="350" t="s">
        <v>19</v>
      </c>
      <c r="D38" s="350" t="s">
        <v>1493</v>
      </c>
      <c r="E38" s="875" t="s">
        <v>13</v>
      </c>
      <c r="F38" s="780">
        <v>12</v>
      </c>
      <c r="G38" s="982"/>
      <c r="H38" s="1008"/>
      <c r="I38" s="1063"/>
      <c r="J38" s="622"/>
      <c r="K38" s="982"/>
      <c r="L38" s="459"/>
      <c r="M38" s="927"/>
    </row>
    <row r="39" spans="1:14" s="224" customFormat="1" ht="15" customHeight="1" x14ac:dyDescent="0.25">
      <c r="A39" s="215">
        <v>44052</v>
      </c>
      <c r="B39" s="349" t="s">
        <v>14</v>
      </c>
      <c r="C39" s="879" t="s">
        <v>12</v>
      </c>
      <c r="D39" s="879" t="s">
        <v>1486</v>
      </c>
      <c r="E39" s="871" t="s">
        <v>13</v>
      </c>
      <c r="F39" s="780">
        <v>5.82</v>
      </c>
      <c r="G39" s="982"/>
      <c r="H39" s="1008"/>
      <c r="I39" s="1063"/>
      <c r="J39" s="622"/>
      <c r="K39" s="982"/>
      <c r="L39" s="459"/>
    </row>
    <row r="40" spans="1:14" s="224" customFormat="1" ht="15" customHeight="1" x14ac:dyDescent="0.25">
      <c r="A40" s="215">
        <v>44052</v>
      </c>
      <c r="B40" s="364" t="s">
        <v>2251</v>
      </c>
      <c r="C40" s="350" t="s">
        <v>12</v>
      </c>
      <c r="D40" s="350" t="s">
        <v>2157</v>
      </c>
      <c r="E40" s="875" t="s">
        <v>15</v>
      </c>
      <c r="F40" s="780">
        <v>50</v>
      </c>
      <c r="G40" s="946"/>
      <c r="H40" s="95"/>
      <c r="I40" s="1064"/>
      <c r="J40" s="97"/>
      <c r="K40" s="946"/>
      <c r="L40" s="928"/>
      <c r="M40" s="89"/>
      <c r="N40" s="930"/>
    </row>
    <row r="41" spans="1:14" s="224" customFormat="1" ht="15" customHeight="1" x14ac:dyDescent="0.25">
      <c r="A41" s="215">
        <v>44052</v>
      </c>
      <c r="B41" s="349" t="s">
        <v>81</v>
      </c>
      <c r="C41" s="879" t="s">
        <v>12</v>
      </c>
      <c r="D41" s="879" t="s">
        <v>1493</v>
      </c>
      <c r="E41" s="871" t="s">
        <v>13</v>
      </c>
      <c r="F41" s="780">
        <v>7.7</v>
      </c>
      <c r="G41" s="982"/>
      <c r="H41" s="1008"/>
      <c r="I41" s="1063"/>
      <c r="J41" s="622"/>
      <c r="K41" s="982"/>
      <c r="L41" s="459"/>
    </row>
    <row r="42" spans="1:14" s="224" customFormat="1" ht="15" customHeight="1" x14ac:dyDescent="0.25">
      <c r="A42" s="215">
        <v>44053</v>
      </c>
      <c r="B42" s="364" t="s">
        <v>1396</v>
      </c>
      <c r="C42" s="350" t="s">
        <v>12</v>
      </c>
      <c r="D42" s="350"/>
      <c r="E42" s="480" t="s">
        <v>25</v>
      </c>
      <c r="F42" s="613"/>
      <c r="G42" s="967">
        <v>45</v>
      </c>
      <c r="H42" s="1008"/>
      <c r="I42" s="1063"/>
      <c r="J42" s="622"/>
      <c r="K42" s="982"/>
      <c r="L42" s="459"/>
    </row>
    <row r="43" spans="1:14" s="224" customFormat="1" ht="15" customHeight="1" x14ac:dyDescent="0.25">
      <c r="A43" s="215">
        <v>44053</v>
      </c>
      <c r="B43" s="364" t="s">
        <v>32</v>
      </c>
      <c r="C43" s="350" t="s">
        <v>12</v>
      </c>
      <c r="D43" s="350" t="s">
        <v>1485</v>
      </c>
      <c r="E43" s="875" t="s">
        <v>13</v>
      </c>
      <c r="F43" s="780">
        <v>14</v>
      </c>
      <c r="G43" s="982"/>
      <c r="H43" s="1008"/>
      <c r="I43" s="1063"/>
      <c r="J43" s="622"/>
      <c r="K43" s="982"/>
      <c r="L43" s="459"/>
    </row>
    <row r="44" spans="1:14" s="224" customFormat="1" ht="15" customHeight="1" x14ac:dyDescent="0.25">
      <c r="A44" s="215">
        <v>44053</v>
      </c>
      <c r="B44" s="349" t="s">
        <v>2706</v>
      </c>
      <c r="C44" s="879" t="s">
        <v>12</v>
      </c>
      <c r="D44" s="879" t="s">
        <v>1489</v>
      </c>
      <c r="E44" s="871" t="s">
        <v>13</v>
      </c>
      <c r="F44" s="780">
        <v>11</v>
      </c>
      <c r="G44" s="982"/>
      <c r="H44" s="1008"/>
      <c r="I44" s="1063"/>
      <c r="J44" s="622"/>
      <c r="K44" s="982"/>
      <c r="L44" s="459"/>
    </row>
    <row r="45" spans="1:14" s="224" customFormat="1" ht="15" customHeight="1" x14ac:dyDescent="0.25">
      <c r="A45" s="215">
        <v>44054</v>
      </c>
      <c r="B45" s="364" t="s">
        <v>2707</v>
      </c>
      <c r="C45" s="350" t="s">
        <v>12</v>
      </c>
      <c r="D45" s="350"/>
      <c r="E45" s="875" t="s">
        <v>25</v>
      </c>
      <c r="F45" s="780"/>
      <c r="G45" s="982">
        <v>152</v>
      </c>
      <c r="H45" s="1008"/>
      <c r="I45" s="1063"/>
      <c r="J45" s="622"/>
      <c r="K45" s="982"/>
      <c r="L45" s="459"/>
    </row>
    <row r="46" spans="1:14" s="224" customFormat="1" ht="15" customHeight="1" x14ac:dyDescent="0.25">
      <c r="A46" s="215">
        <v>44054</v>
      </c>
      <c r="B46" s="364" t="s">
        <v>1241</v>
      </c>
      <c r="C46" s="350" t="s">
        <v>12</v>
      </c>
      <c r="D46" s="350" t="s">
        <v>1504</v>
      </c>
      <c r="E46" s="875" t="s">
        <v>15</v>
      </c>
      <c r="F46" s="780">
        <v>10</v>
      </c>
      <c r="G46" s="982"/>
      <c r="H46" s="1008"/>
      <c r="I46" s="1063"/>
      <c r="J46" s="622"/>
      <c r="K46" s="982"/>
      <c r="L46" s="459"/>
    </row>
    <row r="47" spans="1:14" s="224" customFormat="1" ht="15" customHeight="1" x14ac:dyDescent="0.25">
      <c r="A47" s="215">
        <v>44054</v>
      </c>
      <c r="B47" s="364" t="s">
        <v>2708</v>
      </c>
      <c r="C47" s="350" t="s">
        <v>12</v>
      </c>
      <c r="D47" s="350" t="s">
        <v>1489</v>
      </c>
      <c r="E47" s="875" t="s">
        <v>13</v>
      </c>
      <c r="F47" s="780">
        <v>35</v>
      </c>
      <c r="G47" s="982"/>
      <c r="H47" s="1008"/>
      <c r="I47" s="1063"/>
      <c r="J47" s="622"/>
      <c r="K47" s="982"/>
      <c r="L47" s="459"/>
    </row>
    <row r="48" spans="1:14" s="224" customFormat="1" ht="15" customHeight="1" x14ac:dyDescent="0.25">
      <c r="A48" s="215">
        <v>44055</v>
      </c>
      <c r="B48" s="364" t="s">
        <v>32</v>
      </c>
      <c r="C48" s="350" t="s">
        <v>12</v>
      </c>
      <c r="D48" s="350" t="s">
        <v>1485</v>
      </c>
      <c r="E48" s="875" t="s">
        <v>13</v>
      </c>
      <c r="F48" s="780">
        <v>14</v>
      </c>
      <c r="G48" s="982"/>
      <c r="H48" s="1008"/>
      <c r="I48" s="1063"/>
      <c r="J48" s="622"/>
      <c r="K48" s="982"/>
      <c r="L48" s="459"/>
    </row>
    <row r="49" spans="1:14" s="224" customFormat="1" ht="15" customHeight="1" x14ac:dyDescent="0.25">
      <c r="A49" s="215">
        <v>44056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15</v>
      </c>
      <c r="G49" s="982"/>
      <c r="H49" s="1008"/>
      <c r="I49" s="1063"/>
      <c r="J49" s="622"/>
      <c r="K49" s="982"/>
      <c r="L49" s="459"/>
    </row>
    <row r="50" spans="1:14" s="224" customFormat="1" ht="15" customHeight="1" x14ac:dyDescent="0.25">
      <c r="A50" s="215">
        <v>44056</v>
      </c>
      <c r="B50" s="364" t="s">
        <v>2415</v>
      </c>
      <c r="C50" s="350" t="s">
        <v>12</v>
      </c>
      <c r="D50" s="350" t="s">
        <v>1493</v>
      </c>
      <c r="E50" s="875" t="s">
        <v>13</v>
      </c>
      <c r="F50" s="780">
        <v>5.5</v>
      </c>
      <c r="G50" s="982"/>
      <c r="H50" s="1008"/>
      <c r="I50" s="1063"/>
      <c r="J50" s="622"/>
      <c r="K50" s="982"/>
      <c r="L50" s="459"/>
      <c r="M50" s="927"/>
    </row>
    <row r="51" spans="1:14" s="224" customFormat="1" ht="15" customHeight="1" x14ac:dyDescent="0.25">
      <c r="A51" s="215">
        <v>44056</v>
      </c>
      <c r="B51" s="349" t="s">
        <v>14</v>
      </c>
      <c r="C51" s="879" t="s">
        <v>12</v>
      </c>
      <c r="D51" s="879" t="s">
        <v>1486</v>
      </c>
      <c r="E51" s="871" t="s">
        <v>13</v>
      </c>
      <c r="F51" s="780">
        <v>11.25</v>
      </c>
      <c r="G51" s="982"/>
      <c r="H51" s="1008"/>
      <c r="I51" s="1063"/>
      <c r="J51" s="622"/>
      <c r="K51" s="982"/>
      <c r="L51" s="459"/>
    </row>
    <row r="52" spans="1:14" s="224" customFormat="1" ht="15" customHeight="1" x14ac:dyDescent="0.25">
      <c r="A52" s="215">
        <v>44057</v>
      </c>
      <c r="B52" s="364" t="s">
        <v>32</v>
      </c>
      <c r="C52" s="350" t="s">
        <v>12</v>
      </c>
      <c r="D52" s="350" t="s">
        <v>1485</v>
      </c>
      <c r="E52" s="875" t="s">
        <v>13</v>
      </c>
      <c r="F52" s="780">
        <v>15</v>
      </c>
      <c r="G52" s="982"/>
      <c r="H52" s="1008"/>
      <c r="I52" s="1063"/>
      <c r="J52" s="622"/>
      <c r="K52" s="982"/>
      <c r="L52" s="459"/>
    </row>
    <row r="53" spans="1:14" s="224" customFormat="1" ht="15" customHeight="1" x14ac:dyDescent="0.25">
      <c r="A53" s="215">
        <v>44057</v>
      </c>
      <c r="B53" s="364" t="s">
        <v>82</v>
      </c>
      <c r="C53" s="350" t="s">
        <v>12</v>
      </c>
      <c r="D53" s="350" t="s">
        <v>1493</v>
      </c>
      <c r="E53" s="875" t="s">
        <v>13</v>
      </c>
      <c r="F53" s="780">
        <v>21.4</v>
      </c>
      <c r="G53" s="982"/>
      <c r="H53" s="1008"/>
      <c r="I53" s="1063"/>
      <c r="J53" s="622"/>
      <c r="K53" s="982"/>
      <c r="L53" s="459"/>
    </row>
    <row r="54" spans="1:14" s="224" customFormat="1" ht="15" customHeight="1" x14ac:dyDescent="0.25">
      <c r="A54" s="215">
        <v>44058</v>
      </c>
      <c r="B54" s="364" t="s">
        <v>2709</v>
      </c>
      <c r="C54" s="350" t="s">
        <v>12</v>
      </c>
      <c r="D54" s="350" t="s">
        <v>1489</v>
      </c>
      <c r="E54" s="875" t="s">
        <v>15</v>
      </c>
      <c r="F54" s="780">
        <v>90</v>
      </c>
      <c r="G54" s="982"/>
      <c r="H54" s="1008"/>
      <c r="I54" s="1063"/>
      <c r="J54" s="622"/>
      <c r="K54" s="982"/>
      <c r="L54" s="459"/>
    </row>
    <row r="55" spans="1:14" s="224" customFormat="1" ht="15" customHeight="1" x14ac:dyDescent="0.25">
      <c r="A55" s="215">
        <v>44058</v>
      </c>
      <c r="B55" s="364" t="s">
        <v>80</v>
      </c>
      <c r="C55" s="350" t="s">
        <v>19</v>
      </c>
      <c r="D55" s="350" t="s">
        <v>1523</v>
      </c>
      <c r="E55" s="875" t="s">
        <v>13</v>
      </c>
      <c r="F55" s="780">
        <v>28.35</v>
      </c>
      <c r="G55" s="982"/>
      <c r="H55" s="1008"/>
      <c r="I55" s="1063"/>
      <c r="J55" s="622"/>
      <c r="K55" s="982"/>
      <c r="L55" s="459"/>
    </row>
    <row r="56" spans="1:14" s="224" customFormat="1" ht="15" customHeight="1" x14ac:dyDescent="0.25">
      <c r="A56" s="215">
        <v>44058</v>
      </c>
      <c r="B56" s="364" t="s">
        <v>2629</v>
      </c>
      <c r="C56" s="350" t="s">
        <v>19</v>
      </c>
      <c r="D56" s="350" t="s">
        <v>1489</v>
      </c>
      <c r="E56" s="875" t="s">
        <v>13</v>
      </c>
      <c r="F56" s="780">
        <v>56.24</v>
      </c>
      <c r="G56" s="982"/>
      <c r="H56" s="1008"/>
      <c r="I56" s="1063"/>
      <c r="J56" s="622"/>
      <c r="K56" s="982"/>
      <c r="L56" s="459"/>
    </row>
    <row r="57" spans="1:14" s="224" customFormat="1" ht="15" customHeight="1" x14ac:dyDescent="0.25">
      <c r="A57" s="215">
        <v>44058</v>
      </c>
      <c r="B57" s="364" t="s">
        <v>2251</v>
      </c>
      <c r="C57" s="350" t="s">
        <v>12</v>
      </c>
      <c r="D57" s="350" t="s">
        <v>2157</v>
      </c>
      <c r="E57" s="875" t="s">
        <v>15</v>
      </c>
      <c r="F57" s="780">
        <v>60</v>
      </c>
      <c r="G57" s="982"/>
      <c r="H57" s="1008"/>
      <c r="I57" s="1063"/>
      <c r="J57" s="622"/>
      <c r="K57" s="982"/>
      <c r="L57" s="459"/>
    </row>
    <row r="58" spans="1:14" s="224" customFormat="1" ht="15" customHeight="1" x14ac:dyDescent="0.25">
      <c r="A58" s="215">
        <v>44059</v>
      </c>
      <c r="B58" s="364" t="s">
        <v>2417</v>
      </c>
      <c r="C58" s="350" t="s">
        <v>12</v>
      </c>
      <c r="D58" s="350" t="s">
        <v>1491</v>
      </c>
      <c r="E58" s="875" t="s">
        <v>15</v>
      </c>
      <c r="F58" s="780">
        <v>30</v>
      </c>
      <c r="G58" s="982"/>
      <c r="H58" s="1008"/>
      <c r="I58" s="1063"/>
      <c r="J58" s="622"/>
      <c r="K58" s="982"/>
      <c r="L58" s="1016"/>
      <c r="N58" s="930"/>
    </row>
    <row r="59" spans="1:14" s="224" customFormat="1" ht="15" customHeight="1" x14ac:dyDescent="0.25">
      <c r="A59" s="215">
        <v>44059</v>
      </c>
      <c r="B59" s="364" t="s">
        <v>2603</v>
      </c>
      <c r="C59" s="350" t="s">
        <v>12</v>
      </c>
      <c r="D59" s="350" t="s">
        <v>1491</v>
      </c>
      <c r="E59" s="875" t="s">
        <v>15</v>
      </c>
      <c r="F59" s="780">
        <v>90</v>
      </c>
      <c r="G59" s="982"/>
      <c r="H59" s="1008"/>
      <c r="I59" s="1063"/>
      <c r="J59" s="622"/>
      <c r="K59" s="982"/>
      <c r="L59" s="1016"/>
      <c r="N59" s="930"/>
    </row>
    <row r="60" spans="1:14" s="224" customFormat="1" ht="15" customHeight="1" x14ac:dyDescent="0.25">
      <c r="A60" s="215">
        <v>44060</v>
      </c>
      <c r="B60" s="364" t="s">
        <v>32</v>
      </c>
      <c r="C60" s="350" t="s">
        <v>12</v>
      </c>
      <c r="D60" s="350" t="s">
        <v>1485</v>
      </c>
      <c r="E60" s="875" t="s">
        <v>13</v>
      </c>
      <c r="F60" s="780">
        <v>14</v>
      </c>
      <c r="G60" s="982"/>
      <c r="H60" s="1008"/>
      <c r="I60" s="1063"/>
      <c r="J60" s="622"/>
      <c r="K60" s="982"/>
      <c r="L60" s="459"/>
    </row>
    <row r="61" spans="1:14" s="224" customFormat="1" ht="15" customHeight="1" x14ac:dyDescent="0.25">
      <c r="A61" s="215">
        <v>44060</v>
      </c>
      <c r="B61" s="349" t="s">
        <v>14</v>
      </c>
      <c r="C61" s="879" t="s">
        <v>12</v>
      </c>
      <c r="D61" s="879" t="s">
        <v>1486</v>
      </c>
      <c r="E61" s="871" t="s">
        <v>13</v>
      </c>
      <c r="F61" s="780">
        <v>4.75</v>
      </c>
      <c r="G61" s="982"/>
      <c r="H61" s="1008"/>
      <c r="I61" s="1063"/>
      <c r="J61" s="622"/>
      <c r="K61" s="982"/>
      <c r="L61" s="997"/>
      <c r="M61" s="89"/>
      <c r="N61" s="930"/>
    </row>
    <row r="62" spans="1:14" s="224" customFormat="1" ht="15" customHeight="1" x14ac:dyDescent="0.25">
      <c r="A62" s="215">
        <v>44061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14</v>
      </c>
      <c r="G62" s="982"/>
      <c r="H62" s="1008"/>
      <c r="I62" s="1063"/>
      <c r="J62" s="622"/>
      <c r="K62" s="982"/>
      <c r="L62" s="459"/>
    </row>
    <row r="63" spans="1:14" s="224" customFormat="1" ht="15" customHeight="1" x14ac:dyDescent="0.25">
      <c r="A63" s="215">
        <v>44061</v>
      </c>
      <c r="B63" s="349" t="s">
        <v>14</v>
      </c>
      <c r="C63" s="879" t="s">
        <v>12</v>
      </c>
      <c r="D63" s="879" t="s">
        <v>1486</v>
      </c>
      <c r="E63" s="871" t="s">
        <v>13</v>
      </c>
      <c r="F63" s="852">
        <v>15.32</v>
      </c>
      <c r="G63" s="1064"/>
      <c r="H63" s="97"/>
      <c r="I63" s="982"/>
      <c r="J63" s="622"/>
      <c r="K63" s="982"/>
    </row>
    <row r="64" spans="1:14" s="224" customFormat="1" ht="15" customHeight="1" x14ac:dyDescent="0.25">
      <c r="A64" s="215">
        <v>44062</v>
      </c>
      <c r="B64" s="349" t="s">
        <v>2710</v>
      </c>
      <c r="C64" s="352" t="s">
        <v>12</v>
      </c>
      <c r="D64" s="874" t="s">
        <v>1506</v>
      </c>
      <c r="E64" s="875" t="s">
        <v>15</v>
      </c>
      <c r="F64" s="852">
        <v>100</v>
      </c>
      <c r="G64" s="1064"/>
      <c r="H64" s="97"/>
      <c r="I64" s="982"/>
      <c r="J64" s="622"/>
      <c r="K64" s="982"/>
    </row>
    <row r="65" spans="1:14" s="224" customFormat="1" ht="15" customHeight="1" x14ac:dyDescent="0.25">
      <c r="A65" s="215">
        <v>44062</v>
      </c>
      <c r="B65" s="364" t="s">
        <v>32</v>
      </c>
      <c r="C65" s="350" t="s">
        <v>12</v>
      </c>
      <c r="D65" s="350" t="s">
        <v>1485</v>
      </c>
      <c r="E65" s="875" t="s">
        <v>13</v>
      </c>
      <c r="F65" s="780">
        <v>14</v>
      </c>
      <c r="G65" s="982"/>
      <c r="H65" s="1008"/>
      <c r="I65" s="1063"/>
      <c r="J65" s="622"/>
      <c r="K65" s="982"/>
      <c r="L65" s="459"/>
    </row>
    <row r="66" spans="1:14" s="224" customFormat="1" ht="15" customHeight="1" x14ac:dyDescent="0.25">
      <c r="A66" s="215">
        <v>44063</v>
      </c>
      <c r="B66" s="882" t="s">
        <v>2711</v>
      </c>
      <c r="C66" s="350" t="s">
        <v>12</v>
      </c>
      <c r="D66" s="350"/>
      <c r="E66" s="480" t="s">
        <v>25</v>
      </c>
      <c r="F66" s="622"/>
      <c r="G66" s="982">
        <v>1660</v>
      </c>
      <c r="H66" s="1008"/>
      <c r="I66" s="1063"/>
      <c r="J66" s="622"/>
      <c r="K66" s="982"/>
      <c r="L66" s="459"/>
    </row>
    <row r="67" spans="1:14" s="224" customFormat="1" x14ac:dyDescent="0.25">
      <c r="A67" s="215">
        <v>44063</v>
      </c>
      <c r="B67" s="873" t="s">
        <v>2590</v>
      </c>
      <c r="C67" s="879" t="s">
        <v>12</v>
      </c>
      <c r="D67" s="350" t="s">
        <v>1491</v>
      </c>
      <c r="E67" s="871" t="s">
        <v>15</v>
      </c>
      <c r="F67" s="622">
        <v>75</v>
      </c>
      <c r="G67" s="982"/>
      <c r="H67" s="1008"/>
      <c r="I67" s="1063"/>
      <c r="J67" s="622"/>
      <c r="K67" s="982"/>
      <c r="L67" s="984"/>
    </row>
    <row r="68" spans="1:14" x14ac:dyDescent="0.25">
      <c r="A68" s="215">
        <v>44063</v>
      </c>
      <c r="B68" s="876" t="s">
        <v>2712</v>
      </c>
      <c r="C68" s="879" t="s">
        <v>12</v>
      </c>
      <c r="D68" s="879" t="s">
        <v>1496</v>
      </c>
      <c r="E68" s="871" t="s">
        <v>15</v>
      </c>
      <c r="F68" s="780">
        <v>70</v>
      </c>
      <c r="G68" s="982"/>
      <c r="H68" s="1009"/>
      <c r="I68" s="1063"/>
      <c r="J68" s="622"/>
      <c r="K68" s="982"/>
      <c r="L68" s="997"/>
    </row>
    <row r="69" spans="1:14" s="224" customFormat="1" ht="15" customHeight="1" x14ac:dyDescent="0.25">
      <c r="A69" s="215">
        <v>44063</v>
      </c>
      <c r="B69" s="882" t="s">
        <v>2713</v>
      </c>
      <c r="C69" s="879" t="s">
        <v>12</v>
      </c>
      <c r="D69" s="879" t="s">
        <v>1499</v>
      </c>
      <c r="E69" s="871" t="s">
        <v>13</v>
      </c>
      <c r="F69" s="780">
        <v>50.24</v>
      </c>
      <c r="G69" s="982"/>
      <c r="H69" s="1008"/>
      <c r="I69" s="1063"/>
      <c r="J69" s="622"/>
      <c r="K69" s="982"/>
      <c r="L69" s="997">
        <v>105.24</v>
      </c>
      <c r="M69" s="89"/>
      <c r="N69" s="930"/>
    </row>
    <row r="70" spans="1:14" s="224" customFormat="1" ht="15" customHeight="1" x14ac:dyDescent="0.25">
      <c r="A70" s="215">
        <v>44063</v>
      </c>
      <c r="B70" s="862" t="s">
        <v>2302</v>
      </c>
      <c r="C70" s="350" t="s">
        <v>12</v>
      </c>
      <c r="D70" s="874" t="s">
        <v>1504</v>
      </c>
      <c r="E70" s="887" t="s">
        <v>13</v>
      </c>
      <c r="F70" s="852">
        <v>70</v>
      </c>
      <c r="G70" s="982"/>
      <c r="H70" s="1009"/>
      <c r="I70" s="1063"/>
      <c r="J70" s="137"/>
      <c r="K70" s="946"/>
      <c r="L70" s="923">
        <v>138.9</v>
      </c>
      <c r="N70" s="930"/>
    </row>
    <row r="71" spans="1:14" s="224" customFormat="1" ht="15" customHeight="1" x14ac:dyDescent="0.25">
      <c r="A71" s="215">
        <v>44063</v>
      </c>
      <c r="B71" s="364" t="s">
        <v>32</v>
      </c>
      <c r="C71" s="350" t="s">
        <v>12</v>
      </c>
      <c r="D71" s="350" t="s">
        <v>1485</v>
      </c>
      <c r="E71" s="875" t="s">
        <v>13</v>
      </c>
      <c r="F71" s="780">
        <v>14</v>
      </c>
      <c r="G71" s="982"/>
      <c r="H71" s="1008"/>
      <c r="I71" s="1063"/>
      <c r="J71" s="622"/>
      <c r="K71" s="982"/>
      <c r="L71" s="459"/>
    </row>
    <row r="72" spans="1:14" s="224" customFormat="1" ht="15" customHeight="1" x14ac:dyDescent="0.25">
      <c r="A72" s="215">
        <v>44063</v>
      </c>
      <c r="B72" s="349" t="s">
        <v>260</v>
      </c>
      <c r="C72" s="350" t="s">
        <v>12</v>
      </c>
      <c r="D72" s="350"/>
      <c r="E72" s="480"/>
      <c r="F72" s="780">
        <v>500</v>
      </c>
      <c r="G72" s="946"/>
      <c r="H72" s="95"/>
      <c r="I72" s="1064">
        <v>500</v>
      </c>
      <c r="J72" s="622"/>
      <c r="K72" s="982"/>
    </row>
    <row r="73" spans="1:14" s="224" customFormat="1" ht="15" customHeight="1" x14ac:dyDescent="0.25">
      <c r="A73" s="215">
        <v>44063</v>
      </c>
      <c r="B73" s="349" t="s">
        <v>14</v>
      </c>
      <c r="C73" s="879" t="s">
        <v>12</v>
      </c>
      <c r="D73" s="879" t="s">
        <v>1486</v>
      </c>
      <c r="E73" s="871" t="s">
        <v>13</v>
      </c>
      <c r="F73" s="780">
        <v>3.21</v>
      </c>
      <c r="G73" s="946"/>
      <c r="H73" s="95"/>
      <c r="I73" s="1064"/>
      <c r="J73" s="622"/>
      <c r="K73" s="982"/>
    </row>
    <row r="74" spans="1:14" s="224" customFormat="1" ht="15" customHeight="1" x14ac:dyDescent="0.25">
      <c r="A74" s="215">
        <v>44064</v>
      </c>
      <c r="B74" s="364" t="s">
        <v>1241</v>
      </c>
      <c r="C74" s="350" t="s">
        <v>12</v>
      </c>
      <c r="D74" s="350" t="s">
        <v>1504</v>
      </c>
      <c r="E74" s="875" t="s">
        <v>13</v>
      </c>
      <c r="F74" s="780">
        <v>10</v>
      </c>
      <c r="G74" s="982"/>
      <c r="H74" s="1008"/>
      <c r="I74" s="1063"/>
      <c r="J74" s="622"/>
      <c r="K74" s="982"/>
      <c r="L74" s="459"/>
    </row>
    <row r="75" spans="1:14" s="224" customFormat="1" ht="15" customHeight="1" x14ac:dyDescent="0.25">
      <c r="A75" s="215">
        <v>44064</v>
      </c>
      <c r="B75" s="364" t="s">
        <v>32</v>
      </c>
      <c r="C75" s="350" t="s">
        <v>12</v>
      </c>
      <c r="D75" s="350" t="s">
        <v>1485</v>
      </c>
      <c r="E75" s="875" t="s">
        <v>13</v>
      </c>
      <c r="F75" s="780">
        <v>15</v>
      </c>
      <c r="G75" s="982"/>
      <c r="H75" s="1008"/>
      <c r="I75" s="1063"/>
      <c r="J75" s="622"/>
      <c r="K75" s="982"/>
      <c r="L75" s="459"/>
    </row>
    <row r="76" spans="1:14" s="224" customFormat="1" ht="15" customHeight="1" x14ac:dyDescent="0.25">
      <c r="A76" s="215">
        <v>44064</v>
      </c>
      <c r="B76" s="364" t="s">
        <v>81</v>
      </c>
      <c r="C76" s="350" t="s">
        <v>12</v>
      </c>
      <c r="D76" s="350" t="s">
        <v>1493</v>
      </c>
      <c r="E76" s="875" t="s">
        <v>13</v>
      </c>
      <c r="F76" s="780">
        <v>4.5</v>
      </c>
      <c r="G76" s="982"/>
      <c r="H76" s="1008"/>
      <c r="I76" s="1063"/>
      <c r="J76" s="622"/>
      <c r="K76" s="982"/>
      <c r="L76" s="459"/>
    </row>
    <row r="77" spans="1:14" s="224" customFormat="1" ht="15" customHeight="1" x14ac:dyDescent="0.25">
      <c r="A77" s="215">
        <v>44064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780">
        <v>10.49</v>
      </c>
      <c r="G77" s="946"/>
      <c r="H77" s="95"/>
      <c r="I77" s="1064"/>
      <c r="J77" s="622"/>
      <c r="K77" s="982"/>
    </row>
    <row r="78" spans="1:14" s="224" customFormat="1" ht="15" customHeight="1" x14ac:dyDescent="0.25">
      <c r="A78" s="215">
        <v>44064</v>
      </c>
      <c r="B78" s="364" t="s">
        <v>2603</v>
      </c>
      <c r="C78" s="350" t="s">
        <v>12</v>
      </c>
      <c r="D78" s="350" t="s">
        <v>1491</v>
      </c>
      <c r="E78" s="875" t="s">
        <v>15</v>
      </c>
      <c r="F78" s="780">
        <v>45</v>
      </c>
      <c r="G78" s="982"/>
      <c r="H78" s="1008"/>
      <c r="I78" s="1063"/>
      <c r="J78" s="622"/>
      <c r="K78" s="982"/>
      <c r="L78" s="1016"/>
      <c r="N78" s="930"/>
    </row>
    <row r="79" spans="1:14" s="224" customFormat="1" ht="15" customHeight="1" x14ac:dyDescent="0.25">
      <c r="A79" s="215">
        <v>44064</v>
      </c>
      <c r="B79" s="364" t="s">
        <v>2251</v>
      </c>
      <c r="C79" s="350" t="s">
        <v>12</v>
      </c>
      <c r="D79" s="350" t="s">
        <v>2157</v>
      </c>
      <c r="E79" s="875" t="s">
        <v>15</v>
      </c>
      <c r="F79" s="780">
        <v>60</v>
      </c>
      <c r="G79" s="946"/>
      <c r="H79" s="95"/>
      <c r="I79" s="1064"/>
      <c r="J79" s="97"/>
      <c r="K79" s="946"/>
      <c r="L79" s="928"/>
      <c r="M79" s="89"/>
      <c r="N79" s="930"/>
    </row>
    <row r="80" spans="1:14" s="224" customFormat="1" ht="15" customHeight="1" x14ac:dyDescent="0.25">
      <c r="A80" s="215">
        <v>44065</v>
      </c>
      <c r="B80" s="364" t="s">
        <v>32</v>
      </c>
      <c r="C80" s="350" t="s">
        <v>12</v>
      </c>
      <c r="D80" s="350" t="s">
        <v>1485</v>
      </c>
      <c r="E80" s="875" t="s">
        <v>13</v>
      </c>
      <c r="F80" s="780">
        <v>15</v>
      </c>
      <c r="G80" s="982"/>
      <c r="H80" s="1008"/>
      <c r="I80" s="1063"/>
      <c r="J80" s="622"/>
      <c r="K80" s="982"/>
      <c r="L80" s="997"/>
      <c r="M80" s="89"/>
      <c r="N80" s="930"/>
    </row>
    <row r="81" spans="1:14" s="224" customFormat="1" ht="15" customHeight="1" x14ac:dyDescent="0.25">
      <c r="A81" s="215">
        <v>44065</v>
      </c>
      <c r="B81" s="349" t="s">
        <v>82</v>
      </c>
      <c r="C81" s="887" t="s">
        <v>12</v>
      </c>
      <c r="D81" s="879" t="s">
        <v>1493</v>
      </c>
      <c r="E81" s="871" t="s">
        <v>13</v>
      </c>
      <c r="F81" s="780">
        <v>47.8</v>
      </c>
      <c r="G81" s="982"/>
      <c r="H81" s="1008"/>
      <c r="I81" s="1063"/>
      <c r="J81" s="622"/>
      <c r="K81" s="982"/>
      <c r="L81" s="997"/>
      <c r="M81" s="89"/>
      <c r="N81" s="930"/>
    </row>
    <row r="82" spans="1:14" s="224" customFormat="1" ht="15" customHeight="1" x14ac:dyDescent="0.25">
      <c r="A82" s="215">
        <v>44066</v>
      </c>
      <c r="B82" s="364" t="s">
        <v>32</v>
      </c>
      <c r="C82" s="350" t="s">
        <v>12</v>
      </c>
      <c r="D82" s="350" t="s">
        <v>1485</v>
      </c>
      <c r="E82" s="875" t="s">
        <v>13</v>
      </c>
      <c r="F82" s="780">
        <v>30.72</v>
      </c>
      <c r="G82" s="982"/>
      <c r="H82" s="1008"/>
      <c r="I82" s="1063"/>
      <c r="J82" s="622"/>
      <c r="K82" s="982"/>
      <c r="L82" s="997"/>
      <c r="M82" s="89"/>
      <c r="N82" s="930"/>
    </row>
    <row r="83" spans="1:14" s="224" customFormat="1" ht="15" customHeight="1" x14ac:dyDescent="0.25">
      <c r="A83" s="215">
        <v>44066</v>
      </c>
      <c r="B83" s="364" t="s">
        <v>525</v>
      </c>
      <c r="C83" s="350" t="s">
        <v>12</v>
      </c>
      <c r="D83" s="350" t="s">
        <v>1493</v>
      </c>
      <c r="E83" s="875" t="s">
        <v>13</v>
      </c>
      <c r="F83" s="780">
        <v>22.9</v>
      </c>
      <c r="G83" s="982"/>
      <c r="H83" s="1008"/>
      <c r="I83" s="1063"/>
      <c r="J83" s="622"/>
      <c r="K83" s="982"/>
      <c r="L83" s="997"/>
      <c r="M83" s="89"/>
      <c r="N83" s="930"/>
    </row>
    <row r="84" spans="1:14" s="224" customFormat="1" ht="15" customHeight="1" x14ac:dyDescent="0.25">
      <c r="A84" s="215">
        <v>44067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14</v>
      </c>
      <c r="G84" s="982"/>
      <c r="H84" s="1008"/>
      <c r="I84" s="1063"/>
      <c r="J84" s="622"/>
      <c r="K84" s="982"/>
      <c r="L84" s="459"/>
    </row>
    <row r="85" spans="1:14" s="224" customFormat="1" ht="15" customHeight="1" x14ac:dyDescent="0.25">
      <c r="A85" s="215">
        <v>44067</v>
      </c>
      <c r="B85" s="349" t="s">
        <v>14</v>
      </c>
      <c r="C85" s="879" t="s">
        <v>12</v>
      </c>
      <c r="D85" s="879" t="s">
        <v>1486</v>
      </c>
      <c r="E85" s="871" t="s">
        <v>13</v>
      </c>
      <c r="F85" s="780">
        <v>8.44</v>
      </c>
      <c r="G85" s="982"/>
      <c r="H85" s="1009"/>
      <c r="I85" s="1063"/>
      <c r="J85" s="853"/>
      <c r="K85" s="982"/>
      <c r="L85" s="997"/>
      <c r="M85" s="89"/>
      <c r="N85" s="930"/>
    </row>
    <row r="86" spans="1:14" s="224" customFormat="1" ht="15" customHeight="1" x14ac:dyDescent="0.25">
      <c r="A86" s="215">
        <v>44068</v>
      </c>
      <c r="B86" s="364" t="s">
        <v>32</v>
      </c>
      <c r="C86" s="350" t="s">
        <v>12</v>
      </c>
      <c r="D86" s="350" t="s">
        <v>1485</v>
      </c>
      <c r="E86" s="875" t="s">
        <v>13</v>
      </c>
      <c r="F86" s="780">
        <v>15</v>
      </c>
      <c r="G86" s="982"/>
      <c r="H86" s="1008"/>
      <c r="I86" s="1063"/>
      <c r="J86" s="622"/>
      <c r="K86" s="982"/>
      <c r="L86" s="459"/>
    </row>
    <row r="87" spans="1:14" s="224" customFormat="1" ht="15" customHeight="1" x14ac:dyDescent="0.25">
      <c r="A87" s="215">
        <v>44068</v>
      </c>
      <c r="B87" s="349" t="s">
        <v>14</v>
      </c>
      <c r="C87" s="879" t="s">
        <v>12</v>
      </c>
      <c r="D87" s="879" t="s">
        <v>1486</v>
      </c>
      <c r="E87" s="871" t="s">
        <v>13</v>
      </c>
      <c r="F87" s="780">
        <v>6.32</v>
      </c>
      <c r="G87" s="982"/>
      <c r="H87" s="1009"/>
      <c r="I87" s="1063"/>
      <c r="J87" s="853"/>
      <c r="K87" s="982"/>
      <c r="L87" s="997"/>
      <c r="M87" s="89"/>
      <c r="N87" s="930"/>
    </row>
    <row r="88" spans="1:14" s="224" customFormat="1" ht="15" customHeight="1" x14ac:dyDescent="0.25">
      <c r="A88" s="215">
        <v>44069</v>
      </c>
      <c r="B88" s="364" t="s">
        <v>32</v>
      </c>
      <c r="C88" s="350" t="s">
        <v>12</v>
      </c>
      <c r="D88" s="350" t="s">
        <v>1485</v>
      </c>
      <c r="E88" s="875" t="s">
        <v>13</v>
      </c>
      <c r="F88" s="780">
        <v>15</v>
      </c>
      <c r="G88" s="982"/>
      <c r="H88" s="1008"/>
      <c r="I88" s="1063"/>
      <c r="J88" s="622"/>
      <c r="K88" s="982"/>
      <c r="L88" s="997"/>
      <c r="M88" s="89"/>
      <c r="N88" s="930"/>
    </row>
    <row r="89" spans="1:14" s="224" customFormat="1" ht="15" customHeight="1" x14ac:dyDescent="0.25">
      <c r="A89" s="215">
        <v>44069</v>
      </c>
      <c r="B89" s="364" t="s">
        <v>2251</v>
      </c>
      <c r="C89" s="350" t="s">
        <v>12</v>
      </c>
      <c r="D89" s="350" t="s">
        <v>2157</v>
      </c>
      <c r="E89" s="875" t="s">
        <v>15</v>
      </c>
      <c r="F89" s="780">
        <v>50</v>
      </c>
      <c r="G89" s="946"/>
      <c r="H89" s="95"/>
      <c r="I89" s="1064"/>
      <c r="J89" s="97"/>
      <c r="K89" s="946"/>
      <c r="L89" s="928"/>
      <c r="M89" s="89"/>
      <c r="N89" s="930"/>
    </row>
    <row r="90" spans="1:14" s="224" customFormat="1" ht="15" customHeight="1" x14ac:dyDescent="0.25">
      <c r="A90" s="215">
        <v>44069</v>
      </c>
      <c r="B90" s="349" t="s">
        <v>14</v>
      </c>
      <c r="C90" s="879" t="s">
        <v>12</v>
      </c>
      <c r="D90" s="879" t="s">
        <v>1486</v>
      </c>
      <c r="E90" s="871" t="s">
        <v>13</v>
      </c>
      <c r="F90" s="780">
        <v>3.38</v>
      </c>
      <c r="G90" s="982"/>
      <c r="H90" s="1009"/>
      <c r="I90" s="1063"/>
      <c r="J90" s="853"/>
      <c r="K90" s="982"/>
      <c r="L90" s="997"/>
      <c r="M90" s="89"/>
      <c r="N90" s="930"/>
    </row>
    <row r="91" spans="1:14" s="224" customFormat="1" ht="15" customHeight="1" x14ac:dyDescent="0.25">
      <c r="A91" s="215">
        <v>44070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780">
        <v>15</v>
      </c>
      <c r="G91" s="982"/>
      <c r="H91" s="1008"/>
      <c r="I91" s="1063"/>
      <c r="J91" s="622"/>
      <c r="K91" s="982"/>
      <c r="L91" s="997"/>
      <c r="M91" s="89"/>
      <c r="N91" s="930"/>
    </row>
    <row r="92" spans="1:14" s="224" customFormat="1" ht="15" customHeight="1" x14ac:dyDescent="0.25">
      <c r="A92" s="215">
        <v>44070</v>
      </c>
      <c r="B92" s="364" t="s">
        <v>2629</v>
      </c>
      <c r="C92" s="350" t="s">
        <v>12</v>
      </c>
      <c r="D92" s="350" t="s">
        <v>1489</v>
      </c>
      <c r="E92" s="875" t="s">
        <v>13</v>
      </c>
      <c r="F92" s="780">
        <v>19</v>
      </c>
      <c r="G92" s="982"/>
      <c r="H92" s="1008"/>
      <c r="I92" s="1063"/>
      <c r="J92" s="622"/>
      <c r="K92" s="982"/>
      <c r="L92" s="459"/>
    </row>
    <row r="93" spans="1:14" s="224" customFormat="1" ht="15" customHeight="1" x14ac:dyDescent="0.25">
      <c r="A93" s="215">
        <v>44070</v>
      </c>
      <c r="B93" s="349" t="s">
        <v>14</v>
      </c>
      <c r="C93" s="879" t="s">
        <v>12</v>
      </c>
      <c r="D93" s="879" t="s">
        <v>1486</v>
      </c>
      <c r="E93" s="871" t="s">
        <v>13</v>
      </c>
      <c r="F93" s="780">
        <v>3.38</v>
      </c>
      <c r="G93" s="982"/>
      <c r="H93" s="1008"/>
      <c r="I93" s="1063"/>
      <c r="J93" s="622"/>
      <c r="K93" s="982"/>
      <c r="L93" s="459"/>
    </row>
    <row r="94" spans="1:14" s="224" customFormat="1" ht="15" customHeight="1" x14ac:dyDescent="0.25">
      <c r="A94" s="215">
        <v>44071</v>
      </c>
      <c r="B94" s="349" t="s">
        <v>2207</v>
      </c>
      <c r="C94" s="887" t="s">
        <v>12</v>
      </c>
      <c r="D94" s="879" t="s">
        <v>2168</v>
      </c>
      <c r="E94" s="871" t="s">
        <v>13</v>
      </c>
      <c r="F94" s="622">
        <v>20</v>
      </c>
      <c r="G94" s="982"/>
      <c r="H94" s="1008"/>
      <c r="I94" s="1063"/>
      <c r="J94" s="622"/>
      <c r="K94" s="982"/>
      <c r="L94" s="997"/>
      <c r="M94" s="89"/>
      <c r="N94" s="930"/>
    </row>
    <row r="95" spans="1:14" s="224" customFormat="1" ht="15" customHeight="1" x14ac:dyDescent="0.25">
      <c r="A95" s="215">
        <v>44071</v>
      </c>
      <c r="B95" s="876" t="s">
        <v>2593</v>
      </c>
      <c r="C95" s="879" t="s">
        <v>12</v>
      </c>
      <c r="D95" s="879" t="s">
        <v>1504</v>
      </c>
      <c r="E95" s="871" t="s">
        <v>13</v>
      </c>
      <c r="F95" s="622">
        <v>32.9</v>
      </c>
      <c r="G95" s="982"/>
      <c r="H95" s="1008"/>
      <c r="I95" s="1063"/>
      <c r="J95" s="622"/>
      <c r="K95" s="982"/>
      <c r="L95" s="997"/>
      <c r="M95" s="89"/>
      <c r="N95" s="930"/>
    </row>
    <row r="96" spans="1:14" s="224" customFormat="1" ht="15" customHeight="1" x14ac:dyDescent="0.25">
      <c r="A96" s="215">
        <v>44071</v>
      </c>
      <c r="B96" s="364" t="s">
        <v>2714</v>
      </c>
      <c r="C96" s="350" t="s">
        <v>12</v>
      </c>
      <c r="D96" s="350" t="s">
        <v>1493</v>
      </c>
      <c r="E96" s="875" t="s">
        <v>15</v>
      </c>
      <c r="F96" s="780">
        <v>17</v>
      </c>
      <c r="G96" s="982"/>
      <c r="H96" s="1008"/>
      <c r="I96" s="1063"/>
      <c r="J96" s="622"/>
      <c r="K96" s="982"/>
      <c r="L96" s="459"/>
    </row>
    <row r="97" spans="1:14" s="224" customFormat="1" ht="15" customHeight="1" x14ac:dyDescent="0.25">
      <c r="A97" s="215">
        <v>44071</v>
      </c>
      <c r="B97" s="364" t="s">
        <v>1241</v>
      </c>
      <c r="C97" s="350" t="s">
        <v>12</v>
      </c>
      <c r="D97" s="350" t="s">
        <v>1504</v>
      </c>
      <c r="E97" s="875" t="s">
        <v>13</v>
      </c>
      <c r="F97" s="780">
        <v>10</v>
      </c>
      <c r="G97" s="982"/>
      <c r="H97" s="1008"/>
      <c r="I97" s="1063"/>
      <c r="J97" s="622"/>
      <c r="K97" s="982"/>
      <c r="L97" s="459"/>
    </row>
    <row r="98" spans="1:14" s="224" customFormat="1" ht="15" customHeight="1" x14ac:dyDescent="0.25">
      <c r="A98" s="215">
        <v>44071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15</v>
      </c>
      <c r="G98" s="982"/>
      <c r="H98" s="1008"/>
      <c r="I98" s="1063"/>
      <c r="J98" s="622"/>
      <c r="K98" s="982"/>
      <c r="L98" s="997"/>
    </row>
    <row r="99" spans="1:14" s="224" customFormat="1" ht="15" customHeight="1" x14ac:dyDescent="0.25">
      <c r="A99" s="215">
        <v>44071</v>
      </c>
      <c r="B99" s="349" t="s">
        <v>14</v>
      </c>
      <c r="C99" s="879" t="s">
        <v>12</v>
      </c>
      <c r="D99" s="879" t="s">
        <v>1486</v>
      </c>
      <c r="E99" s="871" t="s">
        <v>13</v>
      </c>
      <c r="F99" s="780">
        <v>6.68</v>
      </c>
      <c r="G99" s="982"/>
      <c r="H99" s="1008"/>
      <c r="I99" s="1063"/>
      <c r="J99" s="622"/>
      <c r="K99" s="982"/>
      <c r="L99" s="459"/>
    </row>
    <row r="100" spans="1:14" s="224" customFormat="1" ht="15" customHeight="1" x14ac:dyDescent="0.25">
      <c r="A100" s="215">
        <v>44072</v>
      </c>
      <c r="B100" s="349" t="s">
        <v>14</v>
      </c>
      <c r="C100" s="879" t="s">
        <v>12</v>
      </c>
      <c r="D100" s="879" t="s">
        <v>1486</v>
      </c>
      <c r="E100" s="871" t="s">
        <v>13</v>
      </c>
      <c r="F100" s="850">
        <v>6.52</v>
      </c>
      <c r="G100" s="1033"/>
      <c r="H100" s="1031"/>
      <c r="I100" s="1525"/>
      <c r="J100" s="880"/>
      <c r="K100" s="1033"/>
      <c r="L100" s="997"/>
      <c r="M100" s="89"/>
      <c r="N100" s="930"/>
    </row>
    <row r="101" spans="1:14" s="224" customFormat="1" ht="15" customHeight="1" x14ac:dyDescent="0.25">
      <c r="A101" s="215">
        <v>44072</v>
      </c>
      <c r="B101" s="349" t="s">
        <v>2629</v>
      </c>
      <c r="C101" s="879" t="s">
        <v>12</v>
      </c>
      <c r="D101" s="879" t="s">
        <v>1489</v>
      </c>
      <c r="E101" s="871" t="s">
        <v>13</v>
      </c>
      <c r="F101" s="850">
        <v>48</v>
      </c>
      <c r="G101" s="1033"/>
      <c r="H101" s="1031"/>
      <c r="I101" s="1525"/>
      <c r="J101" s="880"/>
      <c r="K101" s="1033"/>
      <c r="L101" s="997"/>
      <c r="M101" s="89"/>
      <c r="N101" s="930"/>
    </row>
    <row r="102" spans="1:14" s="224" customFormat="1" ht="15" customHeight="1" x14ac:dyDescent="0.25">
      <c r="A102" s="215">
        <v>44072</v>
      </c>
      <c r="B102" s="349" t="s">
        <v>80</v>
      </c>
      <c r="C102" s="879" t="s">
        <v>12</v>
      </c>
      <c r="D102" s="879" t="s">
        <v>1523</v>
      </c>
      <c r="E102" s="871" t="s">
        <v>13</v>
      </c>
      <c r="F102" s="850">
        <v>28</v>
      </c>
      <c r="G102" s="1033"/>
      <c r="H102" s="1031"/>
      <c r="I102" s="1525"/>
      <c r="J102" s="880"/>
      <c r="K102" s="1033"/>
      <c r="L102" s="997"/>
      <c r="M102" s="89"/>
      <c r="N102" s="930"/>
    </row>
    <row r="103" spans="1:14" s="224" customFormat="1" ht="15" customHeight="1" x14ac:dyDescent="0.25">
      <c r="A103" s="215">
        <v>44072</v>
      </c>
      <c r="B103" s="349" t="s">
        <v>2715</v>
      </c>
      <c r="C103" s="879" t="s">
        <v>12</v>
      </c>
      <c r="D103" s="879" t="s">
        <v>1489</v>
      </c>
      <c r="E103" s="871" t="s">
        <v>13</v>
      </c>
      <c r="F103" s="850">
        <v>22</v>
      </c>
      <c r="G103" s="1033"/>
      <c r="H103" s="1031"/>
      <c r="I103" s="1525"/>
      <c r="J103" s="880"/>
      <c r="K103" s="1033"/>
      <c r="L103" s="997"/>
      <c r="M103" s="89"/>
      <c r="N103" s="930"/>
    </row>
    <row r="104" spans="1:14" s="224" customFormat="1" ht="15" customHeight="1" x14ac:dyDescent="0.25">
      <c r="A104" s="215">
        <v>44073</v>
      </c>
      <c r="B104" s="349" t="s">
        <v>14</v>
      </c>
      <c r="C104" s="879" t="s">
        <v>12</v>
      </c>
      <c r="D104" s="879" t="s">
        <v>1486</v>
      </c>
      <c r="E104" s="871" t="s">
        <v>13</v>
      </c>
      <c r="F104" s="850">
        <v>5.73</v>
      </c>
      <c r="G104" s="1033"/>
      <c r="H104" s="1031"/>
      <c r="I104" s="1525"/>
      <c r="J104" s="880"/>
      <c r="K104" s="1033"/>
      <c r="L104" s="997"/>
      <c r="M104" s="89"/>
      <c r="N104" s="930"/>
    </row>
    <row r="105" spans="1:14" s="224" customFormat="1" ht="15" customHeight="1" x14ac:dyDescent="0.25">
      <c r="A105" s="215">
        <v>44073</v>
      </c>
      <c r="B105" s="364" t="s">
        <v>2417</v>
      </c>
      <c r="C105" s="350" t="s">
        <v>12</v>
      </c>
      <c r="D105" s="350" t="s">
        <v>1491</v>
      </c>
      <c r="E105" s="875" t="s">
        <v>15</v>
      </c>
      <c r="F105" s="780">
        <v>70</v>
      </c>
      <c r="G105" s="982"/>
      <c r="H105" s="1008"/>
      <c r="I105" s="1063"/>
      <c r="J105" s="622"/>
      <c r="K105" s="982"/>
      <c r="L105" s="1016"/>
      <c r="N105" s="930"/>
    </row>
    <row r="106" spans="1:14" s="224" customFormat="1" ht="15" customHeight="1" x14ac:dyDescent="0.25">
      <c r="A106" s="215">
        <v>44073</v>
      </c>
      <c r="B106" s="364" t="s">
        <v>2603</v>
      </c>
      <c r="C106" s="350" t="s">
        <v>12</v>
      </c>
      <c r="D106" s="350" t="s">
        <v>1491</v>
      </c>
      <c r="E106" s="875" t="s">
        <v>15</v>
      </c>
      <c r="F106" s="780">
        <v>50</v>
      </c>
      <c r="G106" s="982"/>
      <c r="H106" s="1008"/>
      <c r="I106" s="1063"/>
      <c r="J106" s="622"/>
      <c r="K106" s="982"/>
      <c r="L106" s="1016"/>
      <c r="N106" s="930"/>
    </row>
    <row r="107" spans="1:14" s="224" customFormat="1" ht="15" customHeight="1" x14ac:dyDescent="0.25">
      <c r="A107" s="215">
        <v>44073</v>
      </c>
      <c r="B107" s="349" t="s">
        <v>81</v>
      </c>
      <c r="C107" s="887" t="s">
        <v>12</v>
      </c>
      <c r="D107" s="879" t="s">
        <v>1493</v>
      </c>
      <c r="E107" s="871" t="s">
        <v>13</v>
      </c>
      <c r="F107" s="780">
        <v>9.25</v>
      </c>
      <c r="G107" s="982"/>
      <c r="H107" s="1008"/>
      <c r="I107" s="1063"/>
      <c r="J107" s="622"/>
      <c r="K107" s="982"/>
      <c r="L107" s="997"/>
      <c r="M107" s="89"/>
      <c r="N107" s="930"/>
    </row>
    <row r="108" spans="1:14" s="224" customFormat="1" ht="15" customHeight="1" x14ac:dyDescent="0.25">
      <c r="A108" s="215">
        <v>44074</v>
      </c>
      <c r="B108" s="364" t="s">
        <v>32</v>
      </c>
      <c r="C108" s="350" t="s">
        <v>12</v>
      </c>
      <c r="D108" s="350" t="s">
        <v>1485</v>
      </c>
      <c r="E108" s="875" t="s">
        <v>13</v>
      </c>
      <c r="F108" s="780">
        <v>15</v>
      </c>
      <c r="G108" s="982"/>
      <c r="H108" s="1008"/>
      <c r="I108" s="1063"/>
      <c r="J108" s="622"/>
      <c r="K108" s="982"/>
      <c r="L108" s="459"/>
    </row>
    <row r="109" spans="1:14" s="224" customFormat="1" ht="15" customHeight="1" x14ac:dyDescent="0.25">
      <c r="A109" s="215">
        <v>44074</v>
      </c>
      <c r="B109" s="349" t="s">
        <v>14</v>
      </c>
      <c r="C109" s="879" t="s">
        <v>12</v>
      </c>
      <c r="D109" s="879" t="s">
        <v>1486</v>
      </c>
      <c r="E109" s="871" t="s">
        <v>13</v>
      </c>
      <c r="F109" s="780">
        <v>5.95</v>
      </c>
      <c r="G109" s="982"/>
      <c r="H109" s="1008"/>
      <c r="I109" s="1063"/>
      <c r="J109" s="622"/>
      <c r="K109" s="982"/>
      <c r="L109" s="997"/>
      <c r="M109" s="1027"/>
      <c r="N109" s="930"/>
    </row>
    <row r="110" spans="1:14" s="224" customFormat="1" ht="15" customHeight="1" x14ac:dyDescent="0.25">
      <c r="A110" s="215">
        <v>44074</v>
      </c>
      <c r="B110" s="349" t="s">
        <v>1822</v>
      </c>
      <c r="C110" s="879" t="s">
        <v>12</v>
      </c>
      <c r="D110" s="879" t="s">
        <v>1489</v>
      </c>
      <c r="E110" s="871" t="s">
        <v>13</v>
      </c>
      <c r="F110" s="780">
        <v>6</v>
      </c>
      <c r="G110" s="982"/>
      <c r="H110" s="1008"/>
      <c r="I110" s="1063"/>
      <c r="J110" s="622"/>
      <c r="K110" s="982"/>
      <c r="L110" s="997"/>
      <c r="M110" s="1027"/>
      <c r="N110" s="930"/>
    </row>
    <row r="111" spans="1:14" s="224" customFormat="1" ht="15.75" thickBot="1" x14ac:dyDescent="0.3">
      <c r="A111" s="215">
        <v>44074</v>
      </c>
      <c r="B111" s="862" t="s">
        <v>1666</v>
      </c>
      <c r="C111" s="350" t="s">
        <v>12</v>
      </c>
      <c r="D111" s="1003"/>
      <c r="E111" s="145" t="s">
        <v>25</v>
      </c>
      <c r="F111" s="622"/>
      <c r="G111" s="982"/>
      <c r="H111" s="1008"/>
      <c r="I111" s="1063"/>
      <c r="J111" s="622"/>
      <c r="K111" s="982">
        <v>17.05</v>
      </c>
      <c r="L111" s="459"/>
    </row>
    <row r="112" spans="1:14" ht="25.5" customHeight="1" thickBot="1" x14ac:dyDescent="0.3">
      <c r="A112" s="3060"/>
      <c r="B112" s="3061"/>
      <c r="C112" s="3062"/>
      <c r="D112" s="3062"/>
      <c r="E112" s="3062"/>
      <c r="F112" s="100">
        <f>SUM(F6:F111)</f>
        <v>3693.1554166666665</v>
      </c>
      <c r="G112" s="1534">
        <f>SUM(G5:G111)</f>
        <v>4240.9533333333529</v>
      </c>
      <c r="H112" s="101">
        <f>SUM(H6:H111)</f>
        <v>100</v>
      </c>
      <c r="I112" s="93">
        <f>SUM(I5:I111)</f>
        <v>2499.9960000000019</v>
      </c>
      <c r="J112" s="527">
        <f>SUM(J6:J111)</f>
        <v>0</v>
      </c>
      <c r="K112" s="93">
        <f>SUM(K5:K111)</f>
        <v>11206.88</v>
      </c>
    </row>
    <row r="113" spans="1:12" ht="25.5" customHeight="1" thickBot="1" x14ac:dyDescent="0.3">
      <c r="A113" s="3117" t="s">
        <v>49</v>
      </c>
      <c r="B113" s="3118"/>
      <c r="C113" s="3118"/>
      <c r="D113" s="3118"/>
      <c r="E113" s="3118"/>
      <c r="F113" s="144" t="s">
        <v>280</v>
      </c>
      <c r="G113" s="519">
        <f>G112-F112</f>
        <v>547.79791666668643</v>
      </c>
      <c r="H113" s="555"/>
      <c r="I113" s="772">
        <f>I112-H112</f>
        <v>2399.9960000000019</v>
      </c>
      <c r="J113" s="593"/>
      <c r="K113" s="772">
        <f>K112-J112</f>
        <v>11206.88</v>
      </c>
    </row>
    <row r="114" spans="1:12" x14ac:dyDescent="0.25">
      <c r="E114" s="79"/>
      <c r="K114" s="518"/>
      <c r="L114" s="79"/>
    </row>
    <row r="115" spans="1:12" x14ac:dyDescent="0.25">
      <c r="B115" s="81" t="s">
        <v>3</v>
      </c>
      <c r="C115" s="193" t="s">
        <v>1484</v>
      </c>
      <c r="D115" s="970" t="s">
        <v>2378</v>
      </c>
      <c r="G115" s="216"/>
      <c r="K115" s="866"/>
    </row>
    <row r="116" spans="1:12" x14ac:dyDescent="0.25">
      <c r="B116" s="79" t="s">
        <v>32</v>
      </c>
      <c r="C116" s="85" t="s">
        <v>1485</v>
      </c>
      <c r="D116" s="475">
        <f>SUMIF($D$7:$D$111,"A",$F$7:$F$111)</f>
        <v>380.83000000000004</v>
      </c>
      <c r="F116" s="79"/>
      <c r="I116" s="769"/>
      <c r="J116" s="868"/>
    </row>
    <row r="117" spans="1:12" x14ac:dyDescent="0.25">
      <c r="B117" s="79" t="s">
        <v>2187</v>
      </c>
      <c r="C117" s="85" t="s">
        <v>2157</v>
      </c>
      <c r="D117" s="475">
        <f>SUMIF($D$7:$D$111,"GAC",$F$7:$F$111)</f>
        <v>300</v>
      </c>
      <c r="G117" s="609"/>
      <c r="J117" s="754"/>
      <c r="K117" s="886"/>
      <c r="L117" s="985"/>
    </row>
    <row r="118" spans="1:12" x14ac:dyDescent="0.25">
      <c r="B118" s="79" t="s">
        <v>2188</v>
      </c>
      <c r="C118" s="85" t="s">
        <v>2168</v>
      </c>
      <c r="D118" s="475">
        <f>SUMIF($D$11:$D$111,"GAM",$F$11:$F$111)</f>
        <v>20</v>
      </c>
      <c r="J118" s="864"/>
      <c r="K118" s="864"/>
      <c r="L118" s="958"/>
    </row>
    <row r="119" spans="1:12" s="85" customFormat="1" x14ac:dyDescent="0.25">
      <c r="A119" s="79"/>
      <c r="B119" s="79" t="s">
        <v>50</v>
      </c>
      <c r="C119" s="85" t="s">
        <v>1493</v>
      </c>
      <c r="D119" s="475">
        <f>SUMIF($D$7:$D$111,"LD",$F$7:$F$111)</f>
        <v>184.04999999999998</v>
      </c>
      <c r="J119" s="864"/>
      <c r="K119" s="864"/>
      <c r="L119" s="958"/>
    </row>
    <row r="120" spans="1:12" s="85" customFormat="1" x14ac:dyDescent="0.25">
      <c r="A120" s="79"/>
      <c r="B120" s="79" t="s">
        <v>14</v>
      </c>
      <c r="C120" s="85" t="s">
        <v>1486</v>
      </c>
      <c r="D120" s="475">
        <f>SUMIF($D$7:$D$111,"C",$F$7:$F$111)</f>
        <v>139.35999999999999</v>
      </c>
      <c r="F120" s="89"/>
      <c r="G120" s="79"/>
      <c r="H120" s="79"/>
      <c r="J120" s="864"/>
      <c r="K120" s="864"/>
      <c r="L120" s="958"/>
    </row>
    <row r="121" spans="1:12" s="85" customFormat="1" x14ac:dyDescent="0.25">
      <c r="A121" s="79"/>
      <c r="B121" s="79" t="s">
        <v>51</v>
      </c>
      <c r="C121" s="864" t="s">
        <v>1499</v>
      </c>
      <c r="D121" s="475">
        <f>SUMIF($D$11:$D$111,"CAL",$F$11:$F$111)</f>
        <v>170.24</v>
      </c>
      <c r="F121" s="89"/>
      <c r="G121" s="79"/>
      <c r="H121" s="79"/>
      <c r="I121" s="79"/>
      <c r="L121" s="958"/>
    </row>
    <row r="122" spans="1:12" s="85" customFormat="1" x14ac:dyDescent="0.25">
      <c r="A122" s="79"/>
      <c r="B122" s="79" t="s">
        <v>2189</v>
      </c>
      <c r="C122" s="864" t="s">
        <v>1496</v>
      </c>
      <c r="D122" s="475">
        <f>SUMIF($D$11:$D$111,"AC",$F$11:$F$111)</f>
        <v>70</v>
      </c>
      <c r="F122" s="769"/>
      <c r="G122" s="79"/>
      <c r="L122" s="941"/>
    </row>
    <row r="123" spans="1:12" s="85" customFormat="1" x14ac:dyDescent="0.25">
      <c r="A123" s="79"/>
      <c r="B123" s="867" t="s">
        <v>53</v>
      </c>
      <c r="C123" s="864" t="s">
        <v>1522</v>
      </c>
      <c r="D123" s="475">
        <f>SUMIF($D$11:$D$111,"DC",$F$11:$F$111)</f>
        <v>166.66666666666666</v>
      </c>
      <c r="L123" s="459"/>
    </row>
    <row r="124" spans="1:12" s="85" customFormat="1" x14ac:dyDescent="0.25">
      <c r="A124" s="79"/>
      <c r="B124" s="867" t="s">
        <v>2149</v>
      </c>
      <c r="C124" s="864" t="s">
        <v>2131</v>
      </c>
      <c r="D124" s="475">
        <f>SUMIF($D$11:$D$111,"DM",$F$11:$F$111)</f>
        <v>0</v>
      </c>
      <c r="F124" s="769"/>
      <c r="L124" s="459"/>
    </row>
    <row r="125" spans="1:12" s="85" customFormat="1" x14ac:dyDescent="0.25">
      <c r="A125" s="79"/>
      <c r="B125" s="79" t="s">
        <v>2008</v>
      </c>
      <c r="C125" s="864" t="s">
        <v>1523</v>
      </c>
      <c r="D125" s="475">
        <f>SUMIF($D$11:$D$111,"B",$F$11:$F$111)</f>
        <v>84.35</v>
      </c>
      <c r="F125" s="769"/>
      <c r="G125" s="866"/>
      <c r="J125" s="85" t="s">
        <v>280</v>
      </c>
      <c r="L125" s="459"/>
    </row>
    <row r="126" spans="1:12" s="85" customFormat="1" x14ac:dyDescent="0.25">
      <c r="A126" s="79"/>
      <c r="B126" s="79" t="s">
        <v>1686</v>
      </c>
      <c r="C126" s="864" t="s">
        <v>1506</v>
      </c>
      <c r="D126" s="475">
        <f>SUMIF($D$11:$D$111,"R",$F$11:$F$111)</f>
        <v>110</v>
      </c>
      <c r="F126" s="769"/>
      <c r="G126" s="868"/>
      <c r="K126" s="866"/>
      <c r="L126" s="459"/>
    </row>
    <row r="127" spans="1:12" x14ac:dyDescent="0.25">
      <c r="B127" s="79" t="s">
        <v>418</v>
      </c>
      <c r="C127" s="85" t="s">
        <v>1524</v>
      </c>
      <c r="D127" s="475">
        <f>SUMIF($D$11:$D$111,"COM",$F$11:$F$111)</f>
        <v>195.5</v>
      </c>
      <c r="G127" s="85"/>
      <c r="H127" s="85"/>
      <c r="I127" s="85"/>
      <c r="J127" s="769"/>
      <c r="K127" s="868"/>
    </row>
    <row r="128" spans="1:12" x14ac:dyDescent="0.25">
      <c r="B128" s="79" t="s">
        <v>419</v>
      </c>
      <c r="C128" s="85" t="s">
        <v>1491</v>
      </c>
      <c r="D128" s="475">
        <f>SUMIF($D$7:$D$111,"F",$F$7:$F$111)</f>
        <v>460</v>
      </c>
    </row>
    <row r="129" spans="1:15" x14ac:dyDescent="0.25">
      <c r="B129" s="79" t="s">
        <v>911</v>
      </c>
      <c r="C129" s="85" t="s">
        <v>1525</v>
      </c>
      <c r="D129" s="475">
        <f>SUMIF($D$11:$D$111,"FER",$F$11:$F$111)</f>
        <v>172.06874999999999</v>
      </c>
      <c r="J129" s="769"/>
      <c r="K129" s="868"/>
    </row>
    <row r="130" spans="1:15" x14ac:dyDescent="0.25">
      <c r="B130" s="79" t="s">
        <v>1526</v>
      </c>
      <c r="C130" s="85" t="s">
        <v>1504</v>
      </c>
      <c r="D130" s="475">
        <f>SUMIF($D$7:$D$111,"I",$F$7:$F$111)</f>
        <v>192.9</v>
      </c>
      <c r="F130" s="89" t="s">
        <v>280</v>
      </c>
      <c r="J130" s="769"/>
      <c r="K130" s="866"/>
    </row>
    <row r="131" spans="1:15" x14ac:dyDescent="0.25">
      <c r="B131" s="79" t="s">
        <v>2343</v>
      </c>
      <c r="C131" s="85" t="s">
        <v>2315</v>
      </c>
      <c r="D131" s="475">
        <f>SUMIF($D$11:$D$111,"E",$F$11:$F$111)</f>
        <v>0</v>
      </c>
      <c r="J131" s="769"/>
      <c r="K131" s="868"/>
    </row>
    <row r="132" spans="1:15" x14ac:dyDescent="0.25">
      <c r="B132" s="79" t="s">
        <v>1527</v>
      </c>
      <c r="C132" s="85" t="s">
        <v>1489</v>
      </c>
      <c r="D132" s="475">
        <f>SUMIF($D$7:$D$111,"OD",$F$7:$F$111)</f>
        <v>543.19000000000005</v>
      </c>
      <c r="J132" s="769"/>
      <c r="K132" s="866"/>
    </row>
    <row r="133" spans="1:15" x14ac:dyDescent="0.25">
      <c r="C133" s="769"/>
      <c r="K133" s="866"/>
    </row>
    <row r="134" spans="1:15" x14ac:dyDescent="0.25">
      <c r="D134" s="459"/>
      <c r="H134" s="769"/>
      <c r="I134" s="518" t="s">
        <v>280</v>
      </c>
      <c r="K134" s="866"/>
    </row>
    <row r="135" spans="1:15" x14ac:dyDescent="0.25">
      <c r="B135" s="79" t="s">
        <v>486</v>
      </c>
      <c r="C135" s="475">
        <f>H135/J135</f>
        <v>102.87598118279571</v>
      </c>
      <c r="F135" s="224" t="s">
        <v>487</v>
      </c>
      <c r="H135" s="216">
        <f>SUM(D116:D132)</f>
        <v>3189.155416666667</v>
      </c>
      <c r="J135" s="1517">
        <v>31</v>
      </c>
    </row>
    <row r="136" spans="1:15" ht="15.75" customHeight="1" x14ac:dyDescent="0.25">
      <c r="E136" s="769"/>
      <c r="H136" s="629"/>
      <c r="K136" s="868"/>
    </row>
    <row r="137" spans="1:15" x14ac:dyDescent="0.25">
      <c r="E137" s="79"/>
      <c r="F137" s="79"/>
      <c r="H137" s="866"/>
      <c r="J137" s="769"/>
      <c r="K137" s="866"/>
    </row>
    <row r="138" spans="1:15" s="518" customFormat="1" x14ac:dyDescent="0.25">
      <c r="A138" s="79"/>
      <c r="B138" s="79"/>
      <c r="C138" s="85"/>
      <c r="D138" s="79"/>
      <c r="E138" s="79"/>
      <c r="F138" s="89"/>
      <c r="G138" s="79"/>
      <c r="H138" s="79"/>
      <c r="I138" s="79"/>
      <c r="J138" s="769"/>
      <c r="K138" s="866"/>
      <c r="M138" s="79"/>
      <c r="N138" s="79"/>
      <c r="O138" s="79"/>
    </row>
    <row r="139" spans="1:15" s="518" customFormat="1" x14ac:dyDescent="0.25">
      <c r="A139" s="79"/>
      <c r="B139" s="79"/>
      <c r="C139" s="85"/>
      <c r="D139" s="85"/>
      <c r="E139" s="85"/>
      <c r="F139" s="89"/>
      <c r="G139" s="79"/>
      <c r="H139" s="79"/>
      <c r="I139" s="79"/>
      <c r="J139" s="769"/>
      <c r="K139" s="866"/>
      <c r="M139" s="79"/>
      <c r="N139" s="79"/>
      <c r="O139" s="79"/>
    </row>
    <row r="140" spans="1:15" s="518" customFormat="1" x14ac:dyDescent="0.25">
      <c r="A140" s="79"/>
      <c r="B140" s="79"/>
      <c r="C140" s="85"/>
      <c r="D140" s="85"/>
      <c r="E140" s="85"/>
      <c r="F140" s="89"/>
      <c r="G140" s="79"/>
      <c r="H140" s="79"/>
      <c r="I140" s="79"/>
      <c r="J140" s="769"/>
      <c r="K140" s="866"/>
      <c r="M140" s="79"/>
      <c r="N140" s="79"/>
      <c r="O140" s="79"/>
    </row>
    <row r="141" spans="1:15" s="518" customFormat="1" x14ac:dyDescent="0.25">
      <c r="A141" s="79"/>
      <c r="B141" s="79"/>
      <c r="C141" s="85"/>
      <c r="D141" s="85"/>
      <c r="E141" s="85"/>
      <c r="F141" s="89"/>
      <c r="G141" s="79"/>
      <c r="H141" s="79"/>
      <c r="I141" s="216"/>
      <c r="J141" s="769"/>
      <c r="K141" s="866"/>
      <c r="M141" s="79"/>
      <c r="N141" s="79"/>
      <c r="O141" s="79"/>
    </row>
    <row r="142" spans="1:15" s="518" customFormat="1" x14ac:dyDescent="0.25">
      <c r="A142" s="79"/>
      <c r="B142" s="79"/>
      <c r="C142" s="79"/>
      <c r="D142" s="79"/>
      <c r="E142" s="79"/>
      <c r="F142" s="79"/>
      <c r="G142" s="79"/>
      <c r="H142" s="79"/>
      <c r="K142" s="866"/>
      <c r="M142" s="79"/>
      <c r="N142" s="79"/>
      <c r="O142" s="79"/>
    </row>
    <row r="143" spans="1:15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216"/>
      <c r="J143" s="769"/>
      <c r="K143" s="866"/>
      <c r="M143" s="79"/>
      <c r="N143" s="79"/>
      <c r="O143" s="79"/>
    </row>
    <row r="144" spans="1:15" s="518" customFormat="1" x14ac:dyDescent="0.25">
      <c r="A144" s="79"/>
      <c r="B144" s="79"/>
      <c r="C144" s="79"/>
      <c r="D144" s="79"/>
      <c r="E144" s="79"/>
      <c r="F144" s="79"/>
      <c r="G144" s="216"/>
      <c r="H144" s="79"/>
      <c r="I144" s="216"/>
      <c r="J144" s="769"/>
      <c r="K144" s="868"/>
      <c r="M144" s="79"/>
      <c r="N144" s="79"/>
      <c r="O144" s="79"/>
    </row>
    <row r="145" spans="1:15" s="518" customFormat="1" x14ac:dyDescent="0.25">
      <c r="A145" s="79"/>
      <c r="B145" s="79"/>
      <c r="C145" s="79"/>
      <c r="D145" s="79"/>
      <c r="E145" s="79"/>
      <c r="F145" s="79"/>
      <c r="G145" s="216"/>
      <c r="H145" s="79"/>
      <c r="I145" s="216"/>
      <c r="J145" s="769"/>
      <c r="K145" s="866"/>
      <c r="M145" s="79"/>
      <c r="N145" s="79"/>
      <c r="O145" s="79"/>
    </row>
    <row r="146" spans="1:15" s="518" customFormat="1" x14ac:dyDescent="0.25">
      <c r="A146" s="79"/>
      <c r="B146" s="79"/>
      <c r="C146" s="79"/>
      <c r="D146" s="79"/>
      <c r="E146" s="79"/>
      <c r="F146" s="79"/>
      <c r="G146" s="216"/>
      <c r="H146" s="79"/>
      <c r="I146" s="79"/>
      <c r="J146" s="770"/>
      <c r="K146" s="866"/>
      <c r="M146" s="79"/>
      <c r="N146" s="79"/>
      <c r="O146" s="79"/>
    </row>
    <row r="147" spans="1:15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216"/>
      <c r="J147" s="769"/>
      <c r="K147" s="868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M148" s="79"/>
      <c r="N148" s="79"/>
      <c r="O148" s="79"/>
    </row>
    <row r="149" spans="1:15" s="518" customFormat="1" x14ac:dyDescent="0.25">
      <c r="A149" s="79"/>
      <c r="B149" s="79"/>
      <c r="C149" s="79"/>
      <c r="D149" s="79"/>
      <c r="E149" s="79"/>
      <c r="F149" s="79"/>
      <c r="G149" s="79"/>
      <c r="H149" s="79"/>
      <c r="I149" s="629"/>
      <c r="J149" s="769"/>
      <c r="K149" s="866"/>
      <c r="M149" s="79"/>
      <c r="N149" s="79"/>
      <c r="O149" s="79"/>
    </row>
    <row r="150" spans="1:15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M150" s="79"/>
      <c r="N150" s="79"/>
      <c r="O150" s="79"/>
    </row>
    <row r="151" spans="1:15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M151" s="79"/>
      <c r="N151" s="79"/>
      <c r="O151" s="79"/>
    </row>
    <row r="152" spans="1:15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M152" s="79"/>
      <c r="N152" s="79"/>
      <c r="O152" s="79"/>
    </row>
    <row r="153" spans="1:15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M153" s="79"/>
      <c r="N153" s="79"/>
      <c r="O153" s="79"/>
    </row>
    <row r="154" spans="1:15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6"/>
      <c r="M154" s="79"/>
      <c r="N154" s="79"/>
      <c r="O154" s="79"/>
    </row>
    <row r="155" spans="1:15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M156" s="79"/>
      <c r="N156" s="79"/>
      <c r="O156" s="79"/>
    </row>
    <row r="157" spans="1:15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6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6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8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8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M164" s="79"/>
      <c r="N164" s="79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M165" s="79"/>
      <c r="N165" s="79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8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M167" s="79"/>
      <c r="N167" s="79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8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8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69"/>
      <c r="K171" s="868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69"/>
      <c r="K172" s="868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69"/>
      <c r="K173" s="866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223"/>
      <c r="K174" s="629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56"/>
      <c r="K175" s="756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85"/>
      <c r="K180" s="85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71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M195" s="79"/>
      <c r="N195" s="79"/>
      <c r="O195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216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216"/>
      <c r="M205" s="79"/>
      <c r="N205" s="79"/>
      <c r="O205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216"/>
      <c r="M207" s="79"/>
      <c r="N207" s="79"/>
      <c r="O207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629"/>
      <c r="M209" s="79"/>
      <c r="N209" s="79"/>
      <c r="O209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M215" s="79"/>
      <c r="N215" s="79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M216" s="79"/>
      <c r="N216" s="79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M217" s="79"/>
      <c r="N217" s="79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M221" s="79"/>
      <c r="N221" s="79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M223" s="79"/>
      <c r="N223" s="79"/>
      <c r="O223" s="79"/>
    </row>
  </sheetData>
  <autoFilter ref="A2:I113" xr:uid="{00000000-0009-0000-0000-000066000000}"/>
  <mergeCells count="12">
    <mergeCell ref="A112:E112"/>
    <mergeCell ref="A113:E113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Plan121"/>
  <dimension ref="A1:O239"/>
  <sheetViews>
    <sheetView zoomScale="85" zoomScaleNormal="85" workbookViewId="0">
      <pane ySplit="4" topLeftCell="A49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1.285156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12.7109375" style="484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2716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44075</v>
      </c>
      <c r="B5" s="369" t="s">
        <v>10</v>
      </c>
      <c r="C5" s="370"/>
      <c r="D5" s="370"/>
      <c r="E5" s="777"/>
      <c r="F5" s="179"/>
      <c r="G5" s="933">
        <f>'Agosto-20'!G113</f>
        <v>547.79791666668643</v>
      </c>
      <c r="H5" s="163"/>
      <c r="I5" s="1479">
        <f>'Agosto-20'!I113</f>
        <v>2399.9960000000019</v>
      </c>
      <c r="J5" s="179"/>
      <c r="K5" s="933">
        <f>'Agosto-20'!K113</f>
        <v>11206.88</v>
      </c>
    </row>
    <row r="6" spans="1:15" s="224" customFormat="1" x14ac:dyDescent="0.25">
      <c r="A6" s="215">
        <v>44075</v>
      </c>
      <c r="B6" s="348" t="s">
        <v>11</v>
      </c>
      <c r="C6" s="351"/>
      <c r="D6" s="351"/>
      <c r="E6" s="673"/>
      <c r="F6" s="538"/>
      <c r="G6" s="1473"/>
      <c r="H6" s="252"/>
      <c r="I6" s="1480"/>
      <c r="J6" s="250"/>
      <c r="K6" s="1473"/>
      <c r="L6" s="1026"/>
      <c r="M6" s="89"/>
    </row>
    <row r="7" spans="1:15" s="224" customFormat="1" ht="15" customHeight="1" x14ac:dyDescent="0.25">
      <c r="A7" s="215">
        <v>44075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14</v>
      </c>
      <c r="G7" s="946"/>
      <c r="H7" s="95"/>
      <c r="I7" s="1064"/>
      <c r="J7" s="97"/>
      <c r="K7" s="946"/>
      <c r="L7" s="926"/>
      <c r="M7" s="89"/>
      <c r="N7" s="930"/>
    </row>
    <row r="8" spans="1:15" s="224" customFormat="1" ht="15" customHeight="1" x14ac:dyDescent="0.25">
      <c r="A8" s="215">
        <v>44075</v>
      </c>
      <c r="B8" s="349" t="s">
        <v>14</v>
      </c>
      <c r="C8" s="879" t="s">
        <v>12</v>
      </c>
      <c r="D8" s="879" t="s">
        <v>1486</v>
      </c>
      <c r="E8" s="871" t="s">
        <v>13</v>
      </c>
      <c r="F8" s="780">
        <v>3.36</v>
      </c>
      <c r="G8" s="982"/>
      <c r="H8" s="1008"/>
      <c r="I8" s="1063"/>
      <c r="J8" s="622"/>
      <c r="K8" s="982"/>
      <c r="L8" s="861"/>
    </row>
    <row r="9" spans="1:15" s="224" customFormat="1" ht="15" customHeight="1" x14ac:dyDescent="0.25">
      <c r="A9" s="215">
        <v>44075</v>
      </c>
      <c r="B9" s="364" t="s">
        <v>2251</v>
      </c>
      <c r="C9" s="350" t="s">
        <v>12</v>
      </c>
      <c r="D9" s="350" t="s">
        <v>2157</v>
      </c>
      <c r="E9" s="875" t="s">
        <v>15</v>
      </c>
      <c r="F9" s="780">
        <v>40</v>
      </c>
      <c r="G9" s="982"/>
      <c r="H9" s="1008"/>
      <c r="I9" s="1063"/>
      <c r="J9" s="622"/>
      <c r="K9" s="982"/>
      <c r="L9" s="861"/>
    </row>
    <row r="10" spans="1:15" s="224" customFormat="1" ht="15" customHeight="1" x14ac:dyDescent="0.25">
      <c r="A10" s="215">
        <v>44076</v>
      </c>
      <c r="B10" s="364" t="s">
        <v>32</v>
      </c>
      <c r="C10" s="350" t="s">
        <v>12</v>
      </c>
      <c r="D10" s="350" t="s">
        <v>1485</v>
      </c>
      <c r="E10" s="875" t="s">
        <v>13</v>
      </c>
      <c r="F10" s="780">
        <v>14</v>
      </c>
      <c r="G10" s="946"/>
      <c r="H10" s="95"/>
      <c r="I10" s="1064"/>
      <c r="J10" s="97"/>
      <c r="K10" s="946"/>
      <c r="L10" s="926"/>
      <c r="M10" s="89"/>
      <c r="N10" s="930"/>
    </row>
    <row r="11" spans="1:15" s="224" customFormat="1" ht="15" customHeight="1" x14ac:dyDescent="0.25">
      <c r="A11" s="215">
        <v>44076</v>
      </c>
      <c r="B11" s="364" t="s">
        <v>2717</v>
      </c>
      <c r="C11" s="350" t="s">
        <v>12</v>
      </c>
      <c r="D11" s="350" t="s">
        <v>1489</v>
      </c>
      <c r="E11" s="875" t="s">
        <v>13</v>
      </c>
      <c r="F11" s="780">
        <v>5</v>
      </c>
      <c r="G11" s="982"/>
      <c r="H11" s="1008"/>
      <c r="I11" s="1063"/>
      <c r="J11" s="622"/>
      <c r="K11" s="982"/>
      <c r="L11" s="861"/>
    </row>
    <row r="12" spans="1:15" s="224" customFormat="1" ht="15" customHeight="1" x14ac:dyDescent="0.25">
      <c r="A12" s="215">
        <v>44076</v>
      </c>
      <c r="B12" s="349" t="s">
        <v>14</v>
      </c>
      <c r="C12" s="879" t="s">
        <v>12</v>
      </c>
      <c r="D12" s="879" t="s">
        <v>1486</v>
      </c>
      <c r="E12" s="871" t="s">
        <v>13</v>
      </c>
      <c r="F12" s="780">
        <v>4</v>
      </c>
      <c r="G12" s="982"/>
      <c r="H12" s="1008"/>
      <c r="I12" s="1063"/>
      <c r="J12" s="622"/>
      <c r="K12" s="982"/>
      <c r="L12" s="861"/>
    </row>
    <row r="13" spans="1:15" s="224" customFormat="1" ht="15" customHeight="1" x14ac:dyDescent="0.25">
      <c r="A13" s="215">
        <v>44077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780">
        <v>15</v>
      </c>
      <c r="G13" s="946"/>
      <c r="H13" s="95"/>
      <c r="I13" s="1064"/>
      <c r="J13" s="97"/>
      <c r="K13" s="946"/>
      <c r="L13" s="926"/>
      <c r="M13" s="89"/>
      <c r="N13" s="930"/>
    </row>
    <row r="14" spans="1:15" s="224" customFormat="1" ht="15" customHeight="1" x14ac:dyDescent="0.25">
      <c r="A14" s="215">
        <v>44078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15</v>
      </c>
      <c r="G14" s="946"/>
      <c r="H14" s="95"/>
      <c r="I14" s="1064"/>
      <c r="J14" s="97"/>
      <c r="K14" s="946"/>
      <c r="L14" s="926"/>
      <c r="M14" s="89"/>
      <c r="N14" s="930"/>
    </row>
    <row r="15" spans="1:15" s="224" customFormat="1" ht="15" customHeight="1" x14ac:dyDescent="0.25">
      <c r="A15" s="215">
        <v>44078</v>
      </c>
      <c r="B15" s="349" t="s">
        <v>2415</v>
      </c>
      <c r="C15" s="879" t="s">
        <v>12</v>
      </c>
      <c r="D15" s="879" t="s">
        <v>1493</v>
      </c>
      <c r="E15" s="871" t="s">
        <v>13</v>
      </c>
      <c r="F15" s="780">
        <v>4</v>
      </c>
      <c r="G15" s="982"/>
      <c r="H15" s="1008"/>
      <c r="I15" s="1063"/>
      <c r="J15" s="622"/>
      <c r="K15" s="982"/>
      <c r="L15" s="861"/>
    </row>
    <row r="16" spans="1:15" s="224" customFormat="1" ht="15" customHeight="1" x14ac:dyDescent="0.25">
      <c r="A16" s="215">
        <v>44078</v>
      </c>
      <c r="B16" s="349" t="s">
        <v>2603</v>
      </c>
      <c r="C16" s="879" t="s">
        <v>12</v>
      </c>
      <c r="D16" s="879" t="s">
        <v>1491</v>
      </c>
      <c r="E16" s="871" t="s">
        <v>15</v>
      </c>
      <c r="F16" s="780">
        <v>110</v>
      </c>
      <c r="G16" s="982"/>
      <c r="H16" s="1008"/>
      <c r="I16" s="1063"/>
      <c r="J16" s="622"/>
      <c r="K16" s="982"/>
      <c r="L16" s="861"/>
    </row>
    <row r="17" spans="1:14" s="224" customFormat="1" ht="15.75" customHeight="1" x14ac:dyDescent="0.25">
      <c r="A17" s="215">
        <v>44078</v>
      </c>
      <c r="B17" s="349" t="s">
        <v>2718</v>
      </c>
      <c r="C17" s="887" t="s">
        <v>12</v>
      </c>
      <c r="D17" s="874"/>
      <c r="E17" s="871" t="s">
        <v>25</v>
      </c>
      <c r="F17" s="1524"/>
      <c r="G17" s="1002">
        <v>1843.5</v>
      </c>
      <c r="H17" s="539"/>
      <c r="I17" s="1063"/>
      <c r="J17" s="622"/>
      <c r="K17" s="982"/>
      <c r="L17" s="1027"/>
      <c r="M17" s="89"/>
    </row>
    <row r="18" spans="1:14" s="224" customFormat="1" ht="15" customHeight="1" x14ac:dyDescent="0.25">
      <c r="A18" s="215">
        <v>44078</v>
      </c>
      <c r="B18" s="349" t="s">
        <v>2719</v>
      </c>
      <c r="C18" s="887" t="s">
        <v>12</v>
      </c>
      <c r="D18" s="1005" t="s">
        <v>1525</v>
      </c>
      <c r="E18" s="887" t="s">
        <v>13</v>
      </c>
      <c r="F18" s="780">
        <v>172.13</v>
      </c>
      <c r="G18" s="982"/>
      <c r="H18" s="861"/>
      <c r="I18" s="1063"/>
      <c r="J18" s="622"/>
      <c r="K18" s="982"/>
      <c r="L18" s="178">
        <v>344.13</v>
      </c>
      <c r="M18" s="999"/>
    </row>
    <row r="19" spans="1:14" s="224" customFormat="1" ht="15" customHeight="1" x14ac:dyDescent="0.25">
      <c r="A19" s="215">
        <v>44078</v>
      </c>
      <c r="B19" s="349" t="s">
        <v>2719</v>
      </c>
      <c r="C19" s="887" t="s">
        <v>12</v>
      </c>
      <c r="D19" s="1005" t="s">
        <v>1524</v>
      </c>
      <c r="E19" s="887" t="s">
        <v>13</v>
      </c>
      <c r="F19" s="780">
        <v>165</v>
      </c>
      <c r="G19" s="982"/>
      <c r="H19" s="1008"/>
      <c r="I19" s="1063"/>
      <c r="J19" s="622"/>
      <c r="K19" s="982"/>
      <c r="L19" s="1029">
        <v>325</v>
      </c>
      <c r="M19" s="999"/>
      <c r="N19" s="930"/>
    </row>
    <row r="20" spans="1:14" s="224" customFormat="1" ht="15" customHeight="1" x14ac:dyDescent="0.25">
      <c r="A20" s="215">
        <v>44078</v>
      </c>
      <c r="B20" s="349" t="s">
        <v>2719</v>
      </c>
      <c r="C20" s="887" t="s">
        <v>12</v>
      </c>
      <c r="D20" s="1005" t="s">
        <v>1522</v>
      </c>
      <c r="E20" s="887" t="s">
        <v>13</v>
      </c>
      <c r="F20" s="780">
        <v>166.66666666666666</v>
      </c>
      <c r="G20" s="982"/>
      <c r="H20" s="1008"/>
      <c r="I20" s="1063"/>
      <c r="J20" s="622"/>
      <c r="K20" s="982"/>
      <c r="L20" s="861"/>
      <c r="N20" s="930"/>
    </row>
    <row r="21" spans="1:14" s="224" customFormat="1" ht="15" customHeight="1" x14ac:dyDescent="0.25">
      <c r="A21" s="215">
        <v>44078</v>
      </c>
      <c r="B21" s="349" t="s">
        <v>2719</v>
      </c>
      <c r="C21" s="887" t="s">
        <v>12</v>
      </c>
      <c r="D21" s="1005" t="s">
        <v>1489</v>
      </c>
      <c r="E21" s="887" t="s">
        <v>13</v>
      </c>
      <c r="F21" s="780">
        <v>79</v>
      </c>
      <c r="G21" s="982"/>
      <c r="H21" s="1008"/>
      <c r="I21" s="1063"/>
      <c r="J21" s="622"/>
      <c r="K21" s="982"/>
      <c r="L21" s="861"/>
    </row>
    <row r="22" spans="1:14" s="224" customFormat="1" ht="15" customHeight="1" x14ac:dyDescent="0.25">
      <c r="A22" s="215">
        <v>44078</v>
      </c>
      <c r="B22" s="349" t="s">
        <v>2719</v>
      </c>
      <c r="C22" s="887" t="s">
        <v>12</v>
      </c>
      <c r="D22" s="1005" t="s">
        <v>2315</v>
      </c>
      <c r="E22" s="887" t="s">
        <v>13</v>
      </c>
      <c r="F22" s="780">
        <v>118.2</v>
      </c>
      <c r="G22" s="967"/>
      <c r="H22" s="1008"/>
      <c r="I22" s="1063"/>
      <c r="J22" s="622"/>
      <c r="K22" s="982"/>
      <c r="L22" s="861"/>
    </row>
    <row r="23" spans="1:14" s="224" customFormat="1" ht="15" customHeight="1" x14ac:dyDescent="0.25">
      <c r="A23" s="215">
        <v>44078</v>
      </c>
      <c r="B23" s="349" t="s">
        <v>2719</v>
      </c>
      <c r="C23" s="887" t="s">
        <v>12</v>
      </c>
      <c r="D23" s="1005" t="s">
        <v>1496</v>
      </c>
      <c r="E23" s="887" t="s">
        <v>13</v>
      </c>
      <c r="F23" s="780">
        <v>105.9</v>
      </c>
      <c r="G23" s="982"/>
      <c r="H23" s="1008"/>
      <c r="I23" s="1063"/>
      <c r="J23" s="622"/>
      <c r="K23" s="982"/>
      <c r="L23" s="861"/>
    </row>
    <row r="24" spans="1:14" s="224" customFormat="1" ht="15" customHeight="1" x14ac:dyDescent="0.25">
      <c r="A24" s="215">
        <v>44078</v>
      </c>
      <c r="B24" s="862" t="s">
        <v>2385</v>
      </c>
      <c r="C24" s="879" t="s">
        <v>12</v>
      </c>
      <c r="D24" s="879" t="s">
        <v>1504</v>
      </c>
      <c r="E24" s="871" t="s">
        <v>13</v>
      </c>
      <c r="F24" s="780">
        <v>50</v>
      </c>
      <c r="G24" s="982"/>
      <c r="H24" s="1008"/>
      <c r="I24" s="1063"/>
      <c r="J24" s="622"/>
      <c r="K24" s="982"/>
      <c r="L24" s="1028">
        <v>90</v>
      </c>
      <c r="M24" s="999"/>
      <c r="N24" s="930"/>
    </row>
    <row r="25" spans="1:14" s="224" customFormat="1" ht="15" customHeight="1" x14ac:dyDescent="0.25">
      <c r="A25" s="215">
        <v>44078</v>
      </c>
      <c r="B25" s="882" t="s">
        <v>2720</v>
      </c>
      <c r="C25" s="879" t="s">
        <v>12</v>
      </c>
      <c r="D25" s="879" t="s">
        <v>1499</v>
      </c>
      <c r="E25" s="871" t="s">
        <v>13</v>
      </c>
      <c r="F25" s="780">
        <v>43.66</v>
      </c>
      <c r="G25" s="982"/>
      <c r="H25" s="1008"/>
      <c r="I25" s="1063"/>
      <c r="J25" s="622"/>
      <c r="K25" s="982"/>
      <c r="L25" s="861">
        <v>113.66</v>
      </c>
      <c r="M25" s="999"/>
    </row>
    <row r="26" spans="1:14" s="224" customFormat="1" ht="15" customHeight="1" x14ac:dyDescent="0.25">
      <c r="A26" s="215">
        <v>44078</v>
      </c>
      <c r="B26" s="349" t="s">
        <v>2721</v>
      </c>
      <c r="C26" s="352" t="s">
        <v>12</v>
      </c>
      <c r="D26" s="874" t="s">
        <v>1506</v>
      </c>
      <c r="E26" s="875" t="s">
        <v>15</v>
      </c>
      <c r="F26" s="852">
        <v>40</v>
      </c>
      <c r="G26" s="982"/>
      <c r="H26" s="1008"/>
      <c r="I26" s="1063"/>
      <c r="J26" s="622"/>
      <c r="K26" s="982"/>
      <c r="L26" s="861"/>
      <c r="M26" s="999"/>
    </row>
    <row r="27" spans="1:14" s="224" customFormat="1" ht="15" customHeight="1" x14ac:dyDescent="0.25">
      <c r="A27" s="215">
        <v>44078</v>
      </c>
      <c r="B27" s="349" t="s">
        <v>2722</v>
      </c>
      <c r="C27" s="352" t="s">
        <v>12</v>
      </c>
      <c r="D27" s="874" t="s">
        <v>1524</v>
      </c>
      <c r="E27" s="875" t="s">
        <v>15</v>
      </c>
      <c r="F27" s="852">
        <v>45</v>
      </c>
      <c r="G27" s="982"/>
      <c r="H27" s="1008"/>
      <c r="I27" s="1063"/>
      <c r="J27" s="622"/>
      <c r="K27" s="982"/>
      <c r="L27" s="861">
        <v>95</v>
      </c>
      <c r="M27" s="999"/>
    </row>
    <row r="28" spans="1:14" s="224" customFormat="1" ht="15" customHeight="1" x14ac:dyDescent="0.25">
      <c r="A28" s="215">
        <v>44078</v>
      </c>
      <c r="B28" s="349" t="s">
        <v>443</v>
      </c>
      <c r="C28" s="352" t="s">
        <v>12</v>
      </c>
      <c r="D28" s="874" t="s">
        <v>1493</v>
      </c>
      <c r="E28" s="875" t="s">
        <v>13</v>
      </c>
      <c r="F28" s="852">
        <v>14.85</v>
      </c>
      <c r="G28" s="982"/>
      <c r="H28" s="1008"/>
      <c r="I28" s="1063"/>
      <c r="J28" s="622"/>
      <c r="K28" s="982"/>
      <c r="L28" s="861"/>
    </row>
    <row r="29" spans="1:14" s="224" customFormat="1" ht="15" customHeight="1" x14ac:dyDescent="0.25">
      <c r="A29" s="215">
        <v>44079</v>
      </c>
      <c r="B29" s="349" t="s">
        <v>2096</v>
      </c>
      <c r="C29" s="879" t="s">
        <v>12</v>
      </c>
      <c r="D29" s="879" t="s">
        <v>1506</v>
      </c>
      <c r="E29" s="871" t="s">
        <v>15</v>
      </c>
      <c r="F29" s="780">
        <v>40</v>
      </c>
      <c r="G29" s="982"/>
      <c r="H29" s="1008"/>
      <c r="I29" s="1063"/>
      <c r="J29" s="622"/>
      <c r="K29" s="982"/>
      <c r="L29" s="861"/>
    </row>
    <row r="30" spans="1:14" s="224" customFormat="1" ht="15" customHeight="1" x14ac:dyDescent="0.25">
      <c r="A30" s="215">
        <v>44079</v>
      </c>
      <c r="B30" s="364" t="s">
        <v>14</v>
      </c>
      <c r="C30" s="350" t="s">
        <v>12</v>
      </c>
      <c r="D30" s="350" t="s">
        <v>1486</v>
      </c>
      <c r="E30" s="875" t="s">
        <v>13</v>
      </c>
      <c r="F30" s="780">
        <v>6.69</v>
      </c>
      <c r="G30" s="982"/>
      <c r="H30" s="1008"/>
      <c r="I30" s="1063"/>
      <c r="J30" s="622"/>
      <c r="K30" s="982"/>
      <c r="L30" s="861"/>
    </row>
    <row r="31" spans="1:14" s="224" customFormat="1" ht="15" customHeight="1" x14ac:dyDescent="0.25">
      <c r="A31" s="215">
        <v>44079</v>
      </c>
      <c r="B31" s="364" t="s">
        <v>82</v>
      </c>
      <c r="C31" s="350" t="s">
        <v>12</v>
      </c>
      <c r="D31" s="350" t="s">
        <v>1493</v>
      </c>
      <c r="E31" s="875" t="s">
        <v>13</v>
      </c>
      <c r="F31" s="780">
        <v>45.4</v>
      </c>
      <c r="G31" s="982"/>
      <c r="H31" s="1008"/>
      <c r="I31" s="1063"/>
      <c r="J31" s="622"/>
      <c r="K31" s="982"/>
      <c r="L31" s="861"/>
    </row>
    <row r="32" spans="1:14" s="224" customFormat="1" ht="15" customHeight="1" x14ac:dyDescent="0.25">
      <c r="A32" s="215">
        <v>44080</v>
      </c>
      <c r="B32" s="364" t="s">
        <v>81</v>
      </c>
      <c r="C32" s="350" t="s">
        <v>12</v>
      </c>
      <c r="D32" s="350" t="s">
        <v>1493</v>
      </c>
      <c r="E32" s="875" t="s">
        <v>13</v>
      </c>
      <c r="F32" s="780">
        <v>14.58</v>
      </c>
      <c r="G32" s="982"/>
      <c r="H32" s="1008"/>
      <c r="I32" s="1063"/>
      <c r="J32" s="622"/>
      <c r="K32" s="982"/>
      <c r="L32" s="861"/>
    </row>
    <row r="33" spans="1:14" s="224" customFormat="1" ht="15" customHeight="1" x14ac:dyDescent="0.25">
      <c r="A33" s="215">
        <v>44080</v>
      </c>
      <c r="B33" s="364" t="s">
        <v>80</v>
      </c>
      <c r="C33" s="350" t="s">
        <v>12</v>
      </c>
      <c r="D33" s="350" t="s">
        <v>1523</v>
      </c>
      <c r="E33" s="875" t="s">
        <v>15</v>
      </c>
      <c r="F33" s="780">
        <v>30</v>
      </c>
      <c r="G33" s="982"/>
      <c r="H33" s="1008"/>
      <c r="I33" s="1063"/>
      <c r="J33" s="622"/>
      <c r="K33" s="982"/>
      <c r="L33" s="861"/>
    </row>
    <row r="34" spans="1:14" s="224" customFormat="1" ht="15" customHeight="1" x14ac:dyDescent="0.25">
      <c r="A34" s="215">
        <v>44081</v>
      </c>
      <c r="B34" s="364" t="s">
        <v>14</v>
      </c>
      <c r="C34" s="350" t="s">
        <v>12</v>
      </c>
      <c r="D34" s="350" t="s">
        <v>1486</v>
      </c>
      <c r="E34" s="875" t="s">
        <v>13</v>
      </c>
      <c r="F34" s="780">
        <v>6.63</v>
      </c>
      <c r="G34" s="982"/>
      <c r="H34" s="1008"/>
      <c r="I34" s="1063"/>
      <c r="J34" s="622"/>
      <c r="K34" s="982"/>
      <c r="L34" s="861"/>
    </row>
    <row r="35" spans="1:14" s="224" customFormat="1" ht="15" customHeight="1" x14ac:dyDescent="0.25">
      <c r="A35" s="215">
        <v>44081</v>
      </c>
      <c r="B35" s="364" t="s">
        <v>2251</v>
      </c>
      <c r="C35" s="350" t="s">
        <v>12</v>
      </c>
      <c r="D35" s="350" t="s">
        <v>2157</v>
      </c>
      <c r="E35" s="875" t="s">
        <v>15</v>
      </c>
      <c r="F35" s="780">
        <v>50</v>
      </c>
      <c r="G35" s="982"/>
      <c r="H35" s="1008"/>
      <c r="I35" s="1063"/>
      <c r="J35" s="622"/>
      <c r="K35" s="982"/>
      <c r="L35" s="861"/>
    </row>
    <row r="36" spans="1:14" s="224" customFormat="1" ht="15" customHeight="1" x14ac:dyDescent="0.25">
      <c r="A36" s="215">
        <v>44081</v>
      </c>
      <c r="B36" s="364" t="s">
        <v>2629</v>
      </c>
      <c r="C36" s="350" t="s">
        <v>19</v>
      </c>
      <c r="D36" s="350" t="s">
        <v>1489</v>
      </c>
      <c r="E36" s="875" t="s">
        <v>13</v>
      </c>
      <c r="F36" s="780">
        <v>44.27</v>
      </c>
      <c r="G36" s="982"/>
      <c r="H36" s="1008"/>
      <c r="I36" s="1063"/>
      <c r="J36" s="622"/>
      <c r="K36" s="982"/>
      <c r="L36" s="861"/>
    </row>
    <row r="37" spans="1:14" s="224" customFormat="1" ht="15" customHeight="1" x14ac:dyDescent="0.25">
      <c r="A37" s="215">
        <v>44082</v>
      </c>
      <c r="B37" s="364" t="s">
        <v>1241</v>
      </c>
      <c r="C37" s="350" t="s">
        <v>12</v>
      </c>
      <c r="D37" s="350" t="s">
        <v>1504</v>
      </c>
      <c r="E37" s="875" t="s">
        <v>13</v>
      </c>
      <c r="F37" s="780">
        <v>10</v>
      </c>
      <c r="G37" s="982"/>
      <c r="H37" s="1008"/>
      <c r="I37" s="1063"/>
      <c r="J37" s="622"/>
      <c r="K37" s="982"/>
      <c r="L37" s="861"/>
    </row>
    <row r="38" spans="1:14" s="224" customFormat="1" ht="15" customHeight="1" x14ac:dyDescent="0.25">
      <c r="A38" s="215">
        <v>44082</v>
      </c>
      <c r="B38" s="364" t="s">
        <v>32</v>
      </c>
      <c r="C38" s="350" t="s">
        <v>12</v>
      </c>
      <c r="D38" s="350" t="s">
        <v>1485</v>
      </c>
      <c r="E38" s="875" t="s">
        <v>13</v>
      </c>
      <c r="F38" s="780">
        <v>15</v>
      </c>
      <c r="G38" s="946"/>
      <c r="H38" s="95"/>
      <c r="I38" s="1064"/>
      <c r="J38" s="97"/>
      <c r="K38" s="946"/>
      <c r="L38" s="926"/>
      <c r="M38" s="89"/>
      <c r="N38" s="930"/>
    </row>
    <row r="39" spans="1:14" s="224" customFormat="1" ht="15" customHeight="1" x14ac:dyDescent="0.25">
      <c r="A39" s="215">
        <v>44083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780">
        <v>14</v>
      </c>
      <c r="G39" s="982"/>
      <c r="H39" s="1008"/>
      <c r="I39" s="1063"/>
      <c r="J39" s="622"/>
      <c r="K39" s="982"/>
      <c r="L39" s="861"/>
    </row>
    <row r="40" spans="1:14" s="224" customFormat="1" ht="15" customHeight="1" x14ac:dyDescent="0.25">
      <c r="A40" s="215">
        <v>44083</v>
      </c>
      <c r="B40" s="349" t="s">
        <v>2451</v>
      </c>
      <c r="C40" s="879" t="s">
        <v>12</v>
      </c>
      <c r="D40" s="879" t="s">
        <v>1506</v>
      </c>
      <c r="E40" s="871" t="s">
        <v>13</v>
      </c>
      <c r="F40" s="780">
        <v>22</v>
      </c>
      <c r="G40" s="982"/>
      <c r="H40" s="1008"/>
      <c r="I40" s="1063"/>
      <c r="J40" s="622"/>
      <c r="K40" s="982"/>
      <c r="L40" s="861"/>
    </row>
    <row r="41" spans="1:14" s="224" customFormat="1" ht="15" customHeight="1" x14ac:dyDescent="0.25">
      <c r="A41" s="215">
        <v>44083</v>
      </c>
      <c r="B41" s="364" t="s">
        <v>14</v>
      </c>
      <c r="C41" s="350" t="s">
        <v>12</v>
      </c>
      <c r="D41" s="350" t="s">
        <v>1486</v>
      </c>
      <c r="E41" s="875" t="s">
        <v>13</v>
      </c>
      <c r="F41" s="780">
        <v>6.03</v>
      </c>
      <c r="G41" s="982"/>
      <c r="H41" s="1008"/>
      <c r="I41" s="1063"/>
      <c r="J41" s="622"/>
      <c r="K41" s="982"/>
      <c r="L41" s="861"/>
    </row>
    <row r="42" spans="1:14" s="224" customFormat="1" ht="15" customHeight="1" x14ac:dyDescent="0.25">
      <c r="A42" s="215">
        <v>44084</v>
      </c>
      <c r="B42" s="349" t="s">
        <v>2723</v>
      </c>
      <c r="C42" s="879"/>
      <c r="D42" s="879"/>
      <c r="E42" s="871" t="s">
        <v>25</v>
      </c>
      <c r="F42" s="780"/>
      <c r="G42" s="982">
        <v>1045</v>
      </c>
      <c r="H42" s="1008"/>
      <c r="I42" s="1063"/>
      <c r="J42" s="622"/>
      <c r="K42" s="982"/>
      <c r="L42" s="861"/>
    </row>
    <row r="43" spans="1:14" s="224" customFormat="1" ht="15" customHeight="1" x14ac:dyDescent="0.25">
      <c r="A43" s="215">
        <v>44084</v>
      </c>
      <c r="B43" s="349" t="s">
        <v>260</v>
      </c>
      <c r="C43" s="350" t="s">
        <v>12</v>
      </c>
      <c r="D43" s="350"/>
      <c r="E43" s="480"/>
      <c r="F43" s="780">
        <v>700</v>
      </c>
      <c r="G43" s="946"/>
      <c r="H43" s="95"/>
      <c r="I43" s="1064">
        <v>700</v>
      </c>
      <c r="J43" s="622"/>
      <c r="K43" s="982"/>
      <c r="L43" s="861"/>
    </row>
    <row r="44" spans="1:14" s="224" customFormat="1" ht="15" customHeight="1" x14ac:dyDescent="0.25">
      <c r="A44" s="215">
        <v>44084</v>
      </c>
      <c r="B44" s="364" t="s">
        <v>32</v>
      </c>
      <c r="C44" s="350" t="s">
        <v>12</v>
      </c>
      <c r="D44" s="350" t="s">
        <v>1485</v>
      </c>
      <c r="E44" s="875" t="s">
        <v>13</v>
      </c>
      <c r="F44" s="780">
        <v>15</v>
      </c>
      <c r="G44" s="982"/>
      <c r="H44" s="1008"/>
      <c r="I44" s="1063"/>
      <c r="J44" s="622"/>
      <c r="K44" s="982"/>
      <c r="L44" s="861"/>
    </row>
    <row r="45" spans="1:14" s="224" customFormat="1" ht="15" customHeight="1" x14ac:dyDescent="0.25">
      <c r="A45" s="215">
        <v>44084</v>
      </c>
      <c r="B45" s="364" t="s">
        <v>14</v>
      </c>
      <c r="C45" s="350" t="s">
        <v>12</v>
      </c>
      <c r="D45" s="350" t="s">
        <v>1486</v>
      </c>
      <c r="E45" s="875" t="s">
        <v>13</v>
      </c>
      <c r="F45" s="780">
        <v>3.26</v>
      </c>
      <c r="G45" s="982"/>
      <c r="H45" s="1008"/>
      <c r="I45" s="1063"/>
      <c r="J45" s="622"/>
      <c r="K45" s="982"/>
      <c r="L45" s="861"/>
    </row>
    <row r="46" spans="1:14" s="224" customFormat="1" ht="15" customHeight="1" x14ac:dyDescent="0.25">
      <c r="A46" s="215">
        <v>44085</v>
      </c>
      <c r="B46" s="364" t="s">
        <v>1396</v>
      </c>
      <c r="C46" s="350" t="s">
        <v>12</v>
      </c>
      <c r="D46" s="350"/>
      <c r="E46" s="480" t="s">
        <v>25</v>
      </c>
      <c r="F46" s="613"/>
      <c r="G46" s="967">
        <v>45</v>
      </c>
      <c r="H46" s="1008"/>
      <c r="I46" s="1063"/>
      <c r="J46" s="622"/>
      <c r="K46" s="982"/>
      <c r="L46" s="861"/>
    </row>
    <row r="47" spans="1:14" s="224" customFormat="1" ht="15" customHeight="1" x14ac:dyDescent="0.25">
      <c r="A47" s="215">
        <v>44085</v>
      </c>
      <c r="B47" s="364" t="s">
        <v>32</v>
      </c>
      <c r="C47" s="350" t="s">
        <v>12</v>
      </c>
      <c r="D47" s="350" t="s">
        <v>1485</v>
      </c>
      <c r="E47" s="875" t="s">
        <v>13</v>
      </c>
      <c r="F47" s="780">
        <v>14</v>
      </c>
      <c r="G47" s="982"/>
      <c r="H47" s="1008"/>
      <c r="I47" s="1063"/>
      <c r="J47" s="622"/>
      <c r="K47" s="982"/>
      <c r="L47" s="861"/>
    </row>
    <row r="48" spans="1:14" s="224" customFormat="1" ht="15" customHeight="1" x14ac:dyDescent="0.25">
      <c r="A48" s="215">
        <v>44085</v>
      </c>
      <c r="B48" s="364" t="s">
        <v>14</v>
      </c>
      <c r="C48" s="350" t="s">
        <v>12</v>
      </c>
      <c r="D48" s="350" t="s">
        <v>1486</v>
      </c>
      <c r="E48" s="875" t="s">
        <v>13</v>
      </c>
      <c r="F48" s="780">
        <v>5</v>
      </c>
      <c r="G48" s="982"/>
      <c r="H48" s="1008"/>
      <c r="I48" s="1063"/>
      <c r="J48" s="622"/>
      <c r="K48" s="982"/>
      <c r="L48" s="861"/>
    </row>
    <row r="49" spans="1:13" s="224" customFormat="1" ht="15" customHeight="1" x14ac:dyDescent="0.25">
      <c r="A49" s="215">
        <v>44085</v>
      </c>
      <c r="B49" s="349" t="s">
        <v>82</v>
      </c>
      <c r="C49" s="879" t="s">
        <v>12</v>
      </c>
      <c r="D49" s="879" t="s">
        <v>1493</v>
      </c>
      <c r="E49" s="871" t="s">
        <v>13</v>
      </c>
      <c r="F49" s="780">
        <v>47.8</v>
      </c>
      <c r="G49" s="982"/>
      <c r="H49" s="1008"/>
      <c r="I49" s="1063"/>
      <c r="J49" s="622"/>
      <c r="K49" s="982"/>
      <c r="L49" s="861"/>
    </row>
    <row r="50" spans="1:13" s="224" customFormat="1" ht="15" customHeight="1" x14ac:dyDescent="0.25">
      <c r="A50" s="215">
        <v>44085</v>
      </c>
      <c r="B50" s="364" t="s">
        <v>14</v>
      </c>
      <c r="C50" s="350" t="s">
        <v>12</v>
      </c>
      <c r="D50" s="350" t="s">
        <v>1486</v>
      </c>
      <c r="E50" s="875" t="s">
        <v>13</v>
      </c>
      <c r="F50" s="780">
        <v>3.3</v>
      </c>
      <c r="G50" s="982"/>
      <c r="H50" s="1008"/>
      <c r="I50" s="1063"/>
      <c r="J50" s="622"/>
      <c r="K50" s="982"/>
      <c r="L50" s="861"/>
    </row>
    <row r="51" spans="1:13" s="224" customFormat="1" ht="15" customHeight="1" x14ac:dyDescent="0.25">
      <c r="A51" s="215">
        <v>44086</v>
      </c>
      <c r="B51" s="364" t="s">
        <v>14</v>
      </c>
      <c r="C51" s="350" t="s">
        <v>12</v>
      </c>
      <c r="D51" s="350" t="s">
        <v>1486</v>
      </c>
      <c r="E51" s="875" t="s">
        <v>13</v>
      </c>
      <c r="F51" s="780">
        <v>7.22</v>
      </c>
      <c r="G51" s="982"/>
      <c r="H51" s="1008"/>
      <c r="I51" s="1063"/>
      <c r="J51" s="622"/>
      <c r="K51" s="982"/>
      <c r="L51" s="861"/>
    </row>
    <row r="52" spans="1:13" s="224" customFormat="1" ht="15" customHeight="1" x14ac:dyDescent="0.25">
      <c r="A52" s="215">
        <v>44086</v>
      </c>
      <c r="B52" s="349" t="s">
        <v>2375</v>
      </c>
      <c r="C52" s="879" t="s">
        <v>12</v>
      </c>
      <c r="D52" s="879" t="s">
        <v>1506</v>
      </c>
      <c r="E52" s="871" t="s">
        <v>15</v>
      </c>
      <c r="F52" s="780">
        <v>10</v>
      </c>
      <c r="G52" s="982"/>
      <c r="H52" s="1008"/>
      <c r="I52" s="1063"/>
      <c r="J52" s="622"/>
      <c r="K52" s="982"/>
      <c r="L52" s="861"/>
    </row>
    <row r="53" spans="1:13" s="224" customFormat="1" ht="15" customHeight="1" x14ac:dyDescent="0.25">
      <c r="A53" s="215">
        <v>44086</v>
      </c>
      <c r="B53" s="349" t="s">
        <v>56</v>
      </c>
      <c r="C53" s="879" t="s">
        <v>19</v>
      </c>
      <c r="D53" s="879" t="s">
        <v>1523</v>
      </c>
      <c r="E53" s="871" t="s">
        <v>13</v>
      </c>
      <c r="F53" s="780">
        <v>23</v>
      </c>
      <c r="G53" s="982"/>
      <c r="H53" s="1008"/>
      <c r="I53" s="1063"/>
      <c r="J53" s="622"/>
      <c r="K53" s="982"/>
      <c r="L53" s="861"/>
    </row>
    <row r="54" spans="1:13" s="224" customFormat="1" ht="15" customHeight="1" x14ac:dyDescent="0.25">
      <c r="A54" s="215">
        <v>44086</v>
      </c>
      <c r="B54" s="349" t="s">
        <v>2629</v>
      </c>
      <c r="C54" s="879" t="s">
        <v>19</v>
      </c>
      <c r="D54" s="879" t="s">
        <v>1489</v>
      </c>
      <c r="E54" s="871" t="s">
        <v>13</v>
      </c>
      <c r="F54" s="780">
        <v>59.35</v>
      </c>
      <c r="G54" s="982"/>
      <c r="H54" s="1008"/>
      <c r="I54" s="1063"/>
      <c r="J54" s="622"/>
      <c r="K54" s="982"/>
      <c r="L54" s="861"/>
    </row>
    <row r="55" spans="1:13" s="224" customFormat="1" ht="15" customHeight="1" x14ac:dyDescent="0.25">
      <c r="A55" s="215">
        <v>44086</v>
      </c>
      <c r="B55" s="364" t="s">
        <v>2251</v>
      </c>
      <c r="C55" s="350" t="s">
        <v>12</v>
      </c>
      <c r="D55" s="350" t="s">
        <v>2157</v>
      </c>
      <c r="E55" s="875" t="s">
        <v>13</v>
      </c>
      <c r="F55" s="780">
        <v>50</v>
      </c>
      <c r="G55" s="982"/>
      <c r="H55" s="1008"/>
      <c r="I55" s="1063"/>
      <c r="J55" s="622"/>
      <c r="K55" s="982"/>
      <c r="L55" s="861"/>
    </row>
    <row r="56" spans="1:13" s="224" customFormat="1" ht="15" customHeight="1" x14ac:dyDescent="0.25">
      <c r="A56" s="215">
        <v>44086</v>
      </c>
      <c r="B56" s="364" t="s">
        <v>32</v>
      </c>
      <c r="C56" s="350" t="s">
        <v>12</v>
      </c>
      <c r="D56" s="350" t="s">
        <v>1485</v>
      </c>
      <c r="E56" s="875" t="s">
        <v>13</v>
      </c>
      <c r="F56" s="780">
        <v>16</v>
      </c>
      <c r="G56" s="982"/>
      <c r="H56" s="1008"/>
      <c r="I56" s="1063"/>
      <c r="J56" s="622"/>
      <c r="K56" s="982"/>
      <c r="L56" s="861"/>
    </row>
    <row r="57" spans="1:13" s="224" customFormat="1" ht="15" customHeight="1" x14ac:dyDescent="0.25">
      <c r="A57" s="215">
        <v>44086</v>
      </c>
      <c r="B57" s="349" t="s">
        <v>82</v>
      </c>
      <c r="C57" s="879" t="s">
        <v>12</v>
      </c>
      <c r="D57" s="879" t="s">
        <v>1493</v>
      </c>
      <c r="E57" s="871" t="s">
        <v>13</v>
      </c>
      <c r="F57" s="780">
        <v>19</v>
      </c>
      <c r="G57" s="982"/>
      <c r="H57" s="1008"/>
      <c r="I57" s="1063"/>
      <c r="J57" s="622"/>
      <c r="K57" s="982"/>
      <c r="L57" s="861"/>
    </row>
    <row r="58" spans="1:13" s="224" customFormat="1" ht="15" customHeight="1" x14ac:dyDescent="0.25">
      <c r="A58" s="215">
        <v>44087</v>
      </c>
      <c r="B58" s="364" t="s">
        <v>14</v>
      </c>
      <c r="C58" s="350" t="s">
        <v>12</v>
      </c>
      <c r="D58" s="350" t="s">
        <v>1486</v>
      </c>
      <c r="E58" s="875" t="s">
        <v>13</v>
      </c>
      <c r="F58" s="780">
        <v>8.57</v>
      </c>
      <c r="G58" s="982"/>
      <c r="H58" s="1008"/>
      <c r="I58" s="1063"/>
      <c r="J58" s="622"/>
      <c r="K58" s="982"/>
      <c r="L58" s="861"/>
    </row>
    <row r="59" spans="1:13" s="224" customFormat="1" ht="15" customHeight="1" x14ac:dyDescent="0.25">
      <c r="A59" s="215">
        <v>44087</v>
      </c>
      <c r="B59" s="349" t="s">
        <v>2603</v>
      </c>
      <c r="C59" s="879" t="s">
        <v>12</v>
      </c>
      <c r="D59" s="879" t="s">
        <v>1491</v>
      </c>
      <c r="E59" s="871" t="s">
        <v>15</v>
      </c>
      <c r="F59" s="780">
        <v>80</v>
      </c>
      <c r="G59" s="982"/>
      <c r="H59" s="1008"/>
      <c r="I59" s="1063"/>
      <c r="J59" s="622"/>
      <c r="K59" s="982"/>
      <c r="L59" s="861"/>
      <c r="M59" s="927"/>
    </row>
    <row r="60" spans="1:13" s="224" customFormat="1" ht="15" customHeight="1" x14ac:dyDescent="0.25">
      <c r="A60" s="215">
        <v>44088</v>
      </c>
      <c r="B60" s="364" t="s">
        <v>2724</v>
      </c>
      <c r="C60" s="350" t="s">
        <v>12</v>
      </c>
      <c r="D60" s="350" t="s">
        <v>1491</v>
      </c>
      <c r="E60" s="875" t="s">
        <v>13</v>
      </c>
      <c r="F60" s="780">
        <v>83</v>
      </c>
      <c r="G60" s="982"/>
      <c r="H60" s="1008"/>
      <c r="I60" s="1063"/>
      <c r="J60" s="622"/>
      <c r="K60" s="982"/>
      <c r="L60" s="861"/>
      <c r="M60" s="927"/>
    </row>
    <row r="61" spans="1:13" s="224" customFormat="1" ht="15" customHeight="1" x14ac:dyDescent="0.25">
      <c r="A61" s="215">
        <v>44088</v>
      </c>
      <c r="B61" s="364" t="s">
        <v>32</v>
      </c>
      <c r="C61" s="350" t="s">
        <v>12</v>
      </c>
      <c r="D61" s="350" t="s">
        <v>1485</v>
      </c>
      <c r="E61" s="875" t="s">
        <v>13</v>
      </c>
      <c r="F61" s="780">
        <v>15</v>
      </c>
      <c r="G61" s="982"/>
      <c r="H61" s="1008"/>
      <c r="I61" s="1063"/>
      <c r="J61" s="622"/>
      <c r="K61" s="982"/>
      <c r="L61" s="861"/>
    </row>
    <row r="62" spans="1:13" s="224" customFormat="1" ht="15" customHeight="1" x14ac:dyDescent="0.25">
      <c r="A62" s="215">
        <v>44088</v>
      </c>
      <c r="B62" s="364" t="s">
        <v>2415</v>
      </c>
      <c r="C62" s="350" t="s">
        <v>12</v>
      </c>
      <c r="D62" s="350" t="s">
        <v>1493</v>
      </c>
      <c r="E62" s="875" t="s">
        <v>13</v>
      </c>
      <c r="F62" s="780">
        <v>5</v>
      </c>
      <c r="G62" s="982"/>
      <c r="H62" s="1008"/>
      <c r="I62" s="1063"/>
      <c r="J62" s="622"/>
      <c r="K62" s="982"/>
      <c r="L62" s="861"/>
      <c r="M62" s="927"/>
    </row>
    <row r="63" spans="1:13" s="224" customFormat="1" ht="15" customHeight="1" x14ac:dyDescent="0.25">
      <c r="A63" s="215">
        <v>44089</v>
      </c>
      <c r="B63" s="364" t="s">
        <v>1241</v>
      </c>
      <c r="C63" s="350" t="s">
        <v>12</v>
      </c>
      <c r="D63" s="350" t="s">
        <v>1504</v>
      </c>
      <c r="E63" s="875" t="s">
        <v>13</v>
      </c>
      <c r="F63" s="780">
        <v>10</v>
      </c>
      <c r="G63" s="982"/>
      <c r="H63" s="1008"/>
      <c r="I63" s="1063"/>
      <c r="J63" s="622"/>
      <c r="K63" s="982"/>
      <c r="L63" s="861"/>
    </row>
    <row r="64" spans="1:13" s="224" customFormat="1" ht="15" customHeight="1" x14ac:dyDescent="0.25">
      <c r="A64" s="215">
        <v>44089</v>
      </c>
      <c r="B64" s="364" t="s">
        <v>32</v>
      </c>
      <c r="C64" s="350" t="s">
        <v>12</v>
      </c>
      <c r="D64" s="350" t="s">
        <v>1485</v>
      </c>
      <c r="E64" s="875" t="s">
        <v>13</v>
      </c>
      <c r="F64" s="780">
        <v>14</v>
      </c>
      <c r="G64" s="982"/>
      <c r="H64" s="1008"/>
      <c r="I64" s="1063"/>
      <c r="J64" s="622"/>
      <c r="K64" s="982"/>
      <c r="L64" s="861"/>
    </row>
    <row r="65" spans="1:14" s="224" customFormat="1" ht="15" customHeight="1" x14ac:dyDescent="0.25">
      <c r="A65" s="215">
        <v>44089</v>
      </c>
      <c r="B65" s="349" t="s">
        <v>2725</v>
      </c>
      <c r="C65" s="879" t="s">
        <v>12</v>
      </c>
      <c r="D65" s="879" t="s">
        <v>1491</v>
      </c>
      <c r="E65" s="871" t="s">
        <v>13</v>
      </c>
      <c r="F65" s="780">
        <v>4.5</v>
      </c>
      <c r="G65" s="982"/>
      <c r="H65" s="1008"/>
      <c r="I65" s="1063"/>
      <c r="J65" s="622"/>
      <c r="K65" s="982"/>
      <c r="L65" s="861"/>
    </row>
    <row r="66" spans="1:14" s="224" customFormat="1" ht="15" customHeight="1" x14ac:dyDescent="0.25">
      <c r="A66" s="215">
        <v>44089</v>
      </c>
      <c r="B66" s="364" t="s">
        <v>14</v>
      </c>
      <c r="C66" s="350" t="s">
        <v>12</v>
      </c>
      <c r="D66" s="350" t="s">
        <v>1486</v>
      </c>
      <c r="E66" s="875" t="s">
        <v>13</v>
      </c>
      <c r="F66" s="780">
        <v>4.8899999999999997</v>
      </c>
      <c r="G66" s="982"/>
      <c r="H66" s="1008"/>
      <c r="I66" s="1063"/>
      <c r="J66" s="622"/>
      <c r="K66" s="982"/>
      <c r="L66" s="861"/>
      <c r="M66" s="927"/>
    </row>
    <row r="67" spans="1:14" s="224" customFormat="1" ht="15" customHeight="1" x14ac:dyDescent="0.25">
      <c r="A67" s="215">
        <v>44090</v>
      </c>
      <c r="B67" s="882" t="s">
        <v>2726</v>
      </c>
      <c r="C67" s="879" t="s">
        <v>12</v>
      </c>
      <c r="D67" s="879" t="s">
        <v>1499</v>
      </c>
      <c r="E67" s="871" t="s">
        <v>13</v>
      </c>
      <c r="F67" s="780">
        <v>72.08</v>
      </c>
      <c r="G67" s="982"/>
      <c r="H67" s="1008"/>
      <c r="I67" s="1063"/>
      <c r="J67" s="622"/>
      <c r="K67" s="982"/>
      <c r="L67" s="1029">
        <v>152.08000000000001</v>
      </c>
      <c r="M67" s="1027"/>
      <c r="N67" s="930"/>
    </row>
    <row r="68" spans="1:14" s="224" customFormat="1" ht="15" customHeight="1" x14ac:dyDescent="0.25">
      <c r="A68" s="215">
        <v>44090</v>
      </c>
      <c r="B68" s="862" t="s">
        <v>2302</v>
      </c>
      <c r="C68" s="350" t="s">
        <v>12</v>
      </c>
      <c r="D68" s="874" t="s">
        <v>1504</v>
      </c>
      <c r="E68" s="887" t="s">
        <v>13</v>
      </c>
      <c r="F68" s="852">
        <v>76.98</v>
      </c>
      <c r="G68" s="982"/>
      <c r="H68" s="1009"/>
      <c r="I68" s="1063"/>
      <c r="J68" s="137"/>
      <c r="K68" s="946"/>
      <c r="L68" s="861">
        <v>156.97999999999999</v>
      </c>
      <c r="M68" s="178"/>
      <c r="N68" s="930"/>
    </row>
    <row r="69" spans="1:14" s="224" customFormat="1" ht="15" customHeight="1" x14ac:dyDescent="0.25">
      <c r="A69" s="215">
        <v>44090</v>
      </c>
      <c r="B69" s="364" t="s">
        <v>2727</v>
      </c>
      <c r="C69" s="350" t="s">
        <v>12</v>
      </c>
      <c r="D69" s="350" t="s">
        <v>1506</v>
      </c>
      <c r="E69" s="875" t="s">
        <v>13</v>
      </c>
      <c r="F69" s="780">
        <v>36</v>
      </c>
      <c r="G69" s="982"/>
      <c r="H69" s="1008"/>
      <c r="I69" s="1063"/>
      <c r="J69" s="622"/>
      <c r="K69" s="982"/>
      <c r="L69" s="861"/>
      <c r="N69" s="930"/>
    </row>
    <row r="70" spans="1:14" s="224" customFormat="1" ht="15" customHeight="1" x14ac:dyDescent="0.25">
      <c r="A70" s="215">
        <v>44090</v>
      </c>
      <c r="B70" s="364" t="s">
        <v>32</v>
      </c>
      <c r="C70" s="350" t="s">
        <v>12</v>
      </c>
      <c r="D70" s="350" t="s">
        <v>1485</v>
      </c>
      <c r="E70" s="875" t="s">
        <v>13</v>
      </c>
      <c r="F70" s="780">
        <v>14</v>
      </c>
      <c r="G70" s="982"/>
      <c r="H70" s="1008"/>
      <c r="I70" s="1063"/>
      <c r="J70" s="622"/>
      <c r="K70" s="982"/>
      <c r="L70" s="861"/>
      <c r="N70" s="930"/>
    </row>
    <row r="71" spans="1:14" s="224" customFormat="1" ht="15" customHeight="1" x14ac:dyDescent="0.25">
      <c r="A71" s="215">
        <v>44090</v>
      </c>
      <c r="B71" s="364" t="s">
        <v>2728</v>
      </c>
      <c r="C71" s="350" t="s">
        <v>12</v>
      </c>
      <c r="D71" s="350" t="s">
        <v>1489</v>
      </c>
      <c r="E71" s="875" t="s">
        <v>13</v>
      </c>
      <c r="F71" s="780">
        <v>40</v>
      </c>
      <c r="G71" s="982"/>
      <c r="H71" s="1008"/>
      <c r="I71" s="1063"/>
      <c r="J71" s="622"/>
      <c r="K71" s="982"/>
      <c r="L71" s="861"/>
      <c r="N71" s="930"/>
    </row>
    <row r="72" spans="1:14" s="224" customFormat="1" ht="15" customHeight="1" x14ac:dyDescent="0.25">
      <c r="A72" s="215">
        <v>44090</v>
      </c>
      <c r="B72" s="364" t="s">
        <v>14</v>
      </c>
      <c r="C72" s="350" t="s">
        <v>12</v>
      </c>
      <c r="D72" s="350" t="s">
        <v>1486</v>
      </c>
      <c r="E72" s="875" t="s">
        <v>13</v>
      </c>
      <c r="F72" s="780">
        <v>6.14</v>
      </c>
      <c r="G72" s="982"/>
      <c r="H72" s="1008"/>
      <c r="I72" s="1063"/>
      <c r="J72" s="622"/>
      <c r="K72" s="982"/>
      <c r="L72" s="861"/>
      <c r="M72" s="927"/>
    </row>
    <row r="73" spans="1:14" s="224" customFormat="1" ht="15" customHeight="1" x14ac:dyDescent="0.25">
      <c r="A73" s="215">
        <v>44091</v>
      </c>
      <c r="B73" s="364" t="s">
        <v>32</v>
      </c>
      <c r="C73" s="350" t="s">
        <v>12</v>
      </c>
      <c r="D73" s="350" t="s">
        <v>1485</v>
      </c>
      <c r="E73" s="875" t="s">
        <v>13</v>
      </c>
      <c r="F73" s="780">
        <v>15</v>
      </c>
      <c r="G73" s="982"/>
      <c r="H73" s="1008"/>
      <c r="I73" s="1063"/>
      <c r="J73" s="622"/>
      <c r="K73" s="982"/>
      <c r="L73" s="861"/>
    </row>
    <row r="74" spans="1:14" s="224" customFormat="1" ht="15" customHeight="1" x14ac:dyDescent="0.25">
      <c r="A74" s="215">
        <v>44091</v>
      </c>
      <c r="B74" s="364" t="s">
        <v>2415</v>
      </c>
      <c r="C74" s="350" t="s">
        <v>12</v>
      </c>
      <c r="D74" s="350" t="s">
        <v>1493</v>
      </c>
      <c r="E74" s="875" t="s">
        <v>13</v>
      </c>
      <c r="F74" s="780">
        <v>4.5</v>
      </c>
      <c r="G74" s="982"/>
      <c r="H74" s="1008"/>
      <c r="I74" s="1063"/>
      <c r="J74" s="622"/>
      <c r="K74" s="982"/>
      <c r="L74" s="861"/>
    </row>
    <row r="75" spans="1:14" s="224" customFormat="1" ht="15" customHeight="1" x14ac:dyDescent="0.25">
      <c r="A75" s="215">
        <v>44091</v>
      </c>
      <c r="B75" s="364" t="s">
        <v>2729</v>
      </c>
      <c r="C75" s="350" t="s">
        <v>19</v>
      </c>
      <c r="D75" s="350" t="s">
        <v>1491</v>
      </c>
      <c r="E75" s="875" t="s">
        <v>13</v>
      </c>
      <c r="F75" s="780">
        <v>33.9</v>
      </c>
      <c r="G75" s="982"/>
      <c r="H75" s="1008"/>
      <c r="I75" s="1063"/>
      <c r="J75" s="622"/>
      <c r="K75" s="982"/>
      <c r="L75" s="1029"/>
      <c r="M75" s="89"/>
      <c r="N75" s="930"/>
    </row>
    <row r="76" spans="1:14" s="224" customFormat="1" ht="15" customHeight="1" x14ac:dyDescent="0.25">
      <c r="A76" s="215">
        <v>44091</v>
      </c>
      <c r="B76" s="364" t="s">
        <v>2452</v>
      </c>
      <c r="C76" s="350" t="s">
        <v>12</v>
      </c>
      <c r="D76" s="350" t="s">
        <v>2168</v>
      </c>
      <c r="E76" s="875" t="s">
        <v>15</v>
      </c>
      <c r="F76" s="780">
        <v>20</v>
      </c>
      <c r="G76" s="982"/>
      <c r="H76" s="1008"/>
      <c r="I76" s="1063"/>
      <c r="J76" s="622"/>
      <c r="K76" s="982"/>
      <c r="L76" s="1029"/>
      <c r="M76" s="89"/>
      <c r="N76" s="930"/>
    </row>
    <row r="77" spans="1:14" s="224" customFormat="1" ht="15" customHeight="1" x14ac:dyDescent="0.25">
      <c r="A77" s="215">
        <v>44091</v>
      </c>
      <c r="B77" s="364" t="s">
        <v>14</v>
      </c>
      <c r="C77" s="350" t="s">
        <v>12</v>
      </c>
      <c r="D77" s="350" t="s">
        <v>1486</v>
      </c>
      <c r="E77" s="875" t="s">
        <v>13</v>
      </c>
      <c r="F77" s="780">
        <v>12</v>
      </c>
      <c r="G77" s="982"/>
      <c r="H77" s="1008"/>
      <c r="I77" s="1063"/>
      <c r="J77" s="622"/>
      <c r="K77" s="982"/>
      <c r="L77" s="1029"/>
      <c r="M77" s="89"/>
      <c r="N77" s="930"/>
    </row>
    <row r="78" spans="1:14" s="224" customFormat="1" ht="15" customHeight="1" x14ac:dyDescent="0.25">
      <c r="A78" s="215">
        <v>44092</v>
      </c>
      <c r="B78" s="882" t="s">
        <v>2730</v>
      </c>
      <c r="C78" s="350" t="s">
        <v>12</v>
      </c>
      <c r="D78" s="350"/>
      <c r="E78" s="480" t="s">
        <v>25</v>
      </c>
      <c r="F78" s="622"/>
      <c r="G78" s="982">
        <v>1660</v>
      </c>
      <c r="H78" s="1008"/>
      <c r="I78" s="1063"/>
      <c r="J78" s="622"/>
      <c r="K78" s="982"/>
      <c r="L78" s="861"/>
    </row>
    <row r="79" spans="1:14" s="224" customFormat="1" x14ac:dyDescent="0.25">
      <c r="A79" s="215">
        <v>44092</v>
      </c>
      <c r="B79" s="873" t="s">
        <v>2590</v>
      </c>
      <c r="C79" s="879" t="s">
        <v>12</v>
      </c>
      <c r="D79" s="350" t="s">
        <v>1491</v>
      </c>
      <c r="E79" s="871" t="s">
        <v>15</v>
      </c>
      <c r="F79" s="622">
        <v>75</v>
      </c>
      <c r="G79" s="982"/>
      <c r="H79" s="1008"/>
      <c r="I79" s="1063"/>
      <c r="J79" s="622"/>
      <c r="K79" s="982"/>
      <c r="L79" s="1028"/>
    </row>
    <row r="80" spans="1:14" x14ac:dyDescent="0.25">
      <c r="A80" s="215">
        <v>44092</v>
      </c>
      <c r="B80" s="876" t="s">
        <v>2712</v>
      </c>
      <c r="C80" s="879" t="s">
        <v>12</v>
      </c>
      <c r="D80" s="879" t="s">
        <v>1496</v>
      </c>
      <c r="E80" s="871" t="s">
        <v>15</v>
      </c>
      <c r="F80" s="780">
        <v>70</v>
      </c>
      <c r="G80" s="982"/>
      <c r="H80" s="1009"/>
      <c r="I80" s="1063"/>
      <c r="J80" s="622"/>
      <c r="K80" s="982"/>
      <c r="L80" s="1029"/>
    </row>
    <row r="81" spans="1:14" s="224" customFormat="1" ht="15" customHeight="1" x14ac:dyDescent="0.25">
      <c r="A81" s="215">
        <v>44092</v>
      </c>
      <c r="B81" s="349" t="s">
        <v>1661</v>
      </c>
      <c r="C81" s="352" t="s">
        <v>12</v>
      </c>
      <c r="D81" s="874"/>
      <c r="E81" s="875" t="s">
        <v>13</v>
      </c>
      <c r="F81" s="852">
        <v>1386.4</v>
      </c>
      <c r="G81" s="957"/>
      <c r="H81" s="622"/>
      <c r="I81" s="982"/>
      <c r="J81" s="622"/>
      <c r="K81" s="982">
        <v>1386.4</v>
      </c>
      <c r="L81" s="178"/>
    </row>
    <row r="82" spans="1:14" s="224" customFormat="1" ht="15" customHeight="1" x14ac:dyDescent="0.25">
      <c r="A82" s="215">
        <v>44092</v>
      </c>
      <c r="B82" s="349" t="s">
        <v>2532</v>
      </c>
      <c r="C82" s="352" t="s">
        <v>12</v>
      </c>
      <c r="D82" s="874" t="s">
        <v>1489</v>
      </c>
      <c r="E82" s="875" t="s">
        <v>13</v>
      </c>
      <c r="F82" s="852">
        <v>13.55</v>
      </c>
      <c r="G82" s="957"/>
      <c r="H82" s="622"/>
      <c r="I82" s="982"/>
      <c r="J82" s="622"/>
      <c r="K82" s="982"/>
      <c r="L82" s="178"/>
    </row>
    <row r="83" spans="1:14" s="224" customFormat="1" ht="15" customHeight="1" x14ac:dyDescent="0.25">
      <c r="A83" s="215">
        <v>44092</v>
      </c>
      <c r="B83" s="364" t="s">
        <v>256</v>
      </c>
      <c r="C83" s="350"/>
      <c r="D83" s="350"/>
      <c r="E83" s="875" t="s">
        <v>25</v>
      </c>
      <c r="F83" s="780"/>
      <c r="G83" s="1064">
        <v>900</v>
      </c>
      <c r="H83" s="97">
        <v>900</v>
      </c>
      <c r="I83" s="982"/>
      <c r="J83" s="622"/>
      <c r="K83" s="982"/>
      <c r="L83" s="178"/>
    </row>
    <row r="84" spans="1:14" s="224" customFormat="1" ht="15" customHeight="1" x14ac:dyDescent="0.25">
      <c r="A84" s="215">
        <v>44092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14</v>
      </c>
      <c r="G84" s="982"/>
      <c r="H84" s="1008"/>
      <c r="I84" s="1063"/>
      <c r="J84" s="622"/>
      <c r="K84" s="982"/>
      <c r="L84" s="861"/>
    </row>
    <row r="85" spans="1:14" s="224" customFormat="1" ht="15" customHeight="1" x14ac:dyDescent="0.25">
      <c r="A85" s="215">
        <v>44092</v>
      </c>
      <c r="B85" s="364" t="s">
        <v>2415</v>
      </c>
      <c r="C85" s="350" t="s">
        <v>12</v>
      </c>
      <c r="D85" s="350" t="s">
        <v>1493</v>
      </c>
      <c r="E85" s="875" t="s">
        <v>13</v>
      </c>
      <c r="F85" s="780">
        <v>4</v>
      </c>
      <c r="G85" s="982"/>
      <c r="H85" s="1008"/>
      <c r="I85" s="1063"/>
      <c r="J85" s="622"/>
      <c r="K85" s="982"/>
      <c r="L85" s="861"/>
    </row>
    <row r="86" spans="1:14" s="224" customFormat="1" ht="15" customHeight="1" x14ac:dyDescent="0.25">
      <c r="A86" s="215">
        <v>44093</v>
      </c>
      <c r="B86" s="349" t="s">
        <v>2731</v>
      </c>
      <c r="C86" s="352" t="s">
        <v>19</v>
      </c>
      <c r="D86" s="874" t="s">
        <v>1506</v>
      </c>
      <c r="E86" s="875" t="s">
        <v>13</v>
      </c>
      <c r="F86" s="852">
        <v>20</v>
      </c>
      <c r="G86" s="1064"/>
      <c r="H86" s="97"/>
      <c r="I86" s="982"/>
      <c r="J86" s="622"/>
      <c r="K86" s="982"/>
      <c r="L86" s="178"/>
    </row>
    <row r="87" spans="1:14" s="224" customFormat="1" ht="15" customHeight="1" x14ac:dyDescent="0.25">
      <c r="A87" s="215">
        <v>44093</v>
      </c>
      <c r="B87" s="349" t="s">
        <v>2732</v>
      </c>
      <c r="C87" s="352" t="s">
        <v>19</v>
      </c>
      <c r="D87" s="874" t="s">
        <v>1491</v>
      </c>
      <c r="E87" s="875" t="s">
        <v>13</v>
      </c>
      <c r="F87" s="852">
        <v>170.3</v>
      </c>
      <c r="G87" s="1064"/>
      <c r="H87" s="97"/>
      <c r="I87" s="982"/>
      <c r="J87" s="622"/>
      <c r="K87" s="982"/>
      <c r="L87" s="178"/>
    </row>
    <row r="88" spans="1:14" s="224" customFormat="1" ht="15" customHeight="1" x14ac:dyDescent="0.25">
      <c r="A88" s="215">
        <v>44093</v>
      </c>
      <c r="B88" s="349" t="s">
        <v>2733</v>
      </c>
      <c r="C88" s="352" t="s">
        <v>12</v>
      </c>
      <c r="D88" s="874" t="s">
        <v>1491</v>
      </c>
      <c r="E88" s="875" t="s">
        <v>13</v>
      </c>
      <c r="F88" s="852">
        <v>170</v>
      </c>
      <c r="G88" s="1064"/>
      <c r="H88" s="97"/>
      <c r="I88" s="982"/>
      <c r="J88" s="622"/>
      <c r="K88" s="982"/>
      <c r="L88" s="178"/>
    </row>
    <row r="89" spans="1:14" s="224" customFormat="1" ht="15" customHeight="1" x14ac:dyDescent="0.25">
      <c r="A89" s="215">
        <v>44093</v>
      </c>
      <c r="B89" s="349" t="s">
        <v>2734</v>
      </c>
      <c r="C89" s="352" t="s">
        <v>12</v>
      </c>
      <c r="D89" s="874" t="s">
        <v>1491</v>
      </c>
      <c r="E89" s="875" t="s">
        <v>13</v>
      </c>
      <c r="F89" s="852">
        <v>110</v>
      </c>
      <c r="G89" s="1064"/>
      <c r="H89" s="97"/>
      <c r="I89" s="982"/>
      <c r="J89" s="622"/>
      <c r="K89" s="982"/>
      <c r="L89" s="178"/>
    </row>
    <row r="90" spans="1:14" s="224" customFormat="1" ht="15" customHeight="1" x14ac:dyDescent="0.25">
      <c r="A90" s="215">
        <v>44093</v>
      </c>
      <c r="B90" s="349" t="s">
        <v>2735</v>
      </c>
      <c r="C90" s="352" t="s">
        <v>12</v>
      </c>
      <c r="D90" s="874" t="s">
        <v>1491</v>
      </c>
      <c r="E90" s="875" t="s">
        <v>13</v>
      </c>
      <c r="F90" s="852">
        <v>45</v>
      </c>
      <c r="G90" s="1064"/>
      <c r="H90" s="97"/>
      <c r="I90" s="982"/>
      <c r="J90" s="622"/>
      <c r="K90" s="982"/>
      <c r="L90" s="178"/>
    </row>
    <row r="91" spans="1:14" s="224" customFormat="1" ht="15" customHeight="1" x14ac:dyDescent="0.25">
      <c r="A91" s="215">
        <v>44093</v>
      </c>
      <c r="B91" s="349" t="s">
        <v>2736</v>
      </c>
      <c r="C91" s="352" t="s">
        <v>12</v>
      </c>
      <c r="D91" s="874" t="s">
        <v>1491</v>
      </c>
      <c r="E91" s="875" t="s">
        <v>15</v>
      </c>
      <c r="F91" s="852">
        <v>5</v>
      </c>
      <c r="G91" s="1064"/>
      <c r="H91" s="97"/>
      <c r="I91" s="982"/>
      <c r="J91" s="622"/>
      <c r="K91" s="982"/>
      <c r="L91" s="178"/>
    </row>
    <row r="92" spans="1:14" s="224" customFormat="1" ht="15" customHeight="1" x14ac:dyDescent="0.25">
      <c r="A92" s="215">
        <v>44094</v>
      </c>
      <c r="B92" s="364" t="s">
        <v>2251</v>
      </c>
      <c r="C92" s="350" t="s">
        <v>12</v>
      </c>
      <c r="D92" s="350" t="s">
        <v>2157</v>
      </c>
      <c r="E92" s="875" t="s">
        <v>15</v>
      </c>
      <c r="F92" s="780">
        <v>50</v>
      </c>
      <c r="G92" s="982"/>
      <c r="H92" s="1008"/>
      <c r="I92" s="1063"/>
      <c r="J92" s="622"/>
      <c r="K92" s="982"/>
      <c r="L92" s="861"/>
    </row>
    <row r="93" spans="1:14" s="224" customFormat="1" ht="15" customHeight="1" x14ac:dyDescent="0.25">
      <c r="A93" s="215">
        <v>44094</v>
      </c>
      <c r="B93" s="349" t="s">
        <v>443</v>
      </c>
      <c r="C93" s="350" t="s">
        <v>12</v>
      </c>
      <c r="D93" s="350" t="s">
        <v>1493</v>
      </c>
      <c r="E93" s="480" t="s">
        <v>15</v>
      </c>
      <c r="F93" s="780">
        <v>10</v>
      </c>
      <c r="G93" s="946"/>
      <c r="H93" s="95"/>
      <c r="I93" s="1064"/>
      <c r="J93" s="622"/>
      <c r="K93" s="982"/>
      <c r="L93" s="178"/>
    </row>
    <row r="94" spans="1:14" s="224" customFormat="1" ht="15" customHeight="1" x14ac:dyDescent="0.25">
      <c r="A94" s="215">
        <v>44095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780">
        <v>15</v>
      </c>
      <c r="G94" s="982"/>
      <c r="H94" s="1008"/>
      <c r="I94" s="1063"/>
      <c r="J94" s="622"/>
      <c r="K94" s="982"/>
      <c r="L94" s="861"/>
    </row>
    <row r="95" spans="1:14" s="224" customFormat="1" ht="15" customHeight="1" x14ac:dyDescent="0.25">
      <c r="A95" s="215">
        <v>44095</v>
      </c>
      <c r="B95" s="364" t="s">
        <v>14</v>
      </c>
      <c r="C95" s="350" t="s">
        <v>12</v>
      </c>
      <c r="D95" s="350" t="s">
        <v>1486</v>
      </c>
      <c r="E95" s="875" t="s">
        <v>13</v>
      </c>
      <c r="F95" s="780">
        <v>11.55</v>
      </c>
      <c r="G95" s="982"/>
      <c r="H95" s="1008"/>
      <c r="I95" s="1063"/>
      <c r="J95" s="622"/>
      <c r="K95" s="982"/>
      <c r="L95" s="1029"/>
      <c r="M95" s="89"/>
      <c r="N95" s="930"/>
    </row>
    <row r="96" spans="1:14" s="224" customFormat="1" ht="15" customHeight="1" x14ac:dyDescent="0.25">
      <c r="A96" s="215">
        <v>44096</v>
      </c>
      <c r="B96" s="862" t="s">
        <v>1685</v>
      </c>
      <c r="C96" s="879"/>
      <c r="D96" s="879"/>
      <c r="E96" s="871"/>
      <c r="F96" s="97"/>
      <c r="G96" s="1064">
        <v>104.68</v>
      </c>
      <c r="H96" s="97"/>
      <c r="I96" s="982"/>
      <c r="J96" s="622">
        <v>104.68</v>
      </c>
      <c r="K96" s="982"/>
      <c r="L96" s="1029"/>
      <c r="M96" s="89"/>
      <c r="N96" s="930"/>
    </row>
    <row r="97" spans="1:14" s="224" customFormat="1" ht="15" customHeight="1" x14ac:dyDescent="0.25">
      <c r="A97" s="215">
        <v>44096</v>
      </c>
      <c r="B97" s="364" t="s">
        <v>1241</v>
      </c>
      <c r="C97" s="350" t="s">
        <v>12</v>
      </c>
      <c r="D97" s="350" t="s">
        <v>1504</v>
      </c>
      <c r="E97" s="875" t="s">
        <v>13</v>
      </c>
      <c r="F97" s="780">
        <v>10</v>
      </c>
      <c r="G97" s="982"/>
      <c r="H97" s="1008"/>
      <c r="I97" s="1063"/>
      <c r="J97" s="622"/>
      <c r="K97" s="982"/>
      <c r="L97" s="861"/>
    </row>
    <row r="98" spans="1:14" s="224" customFormat="1" ht="15" customHeight="1" x14ac:dyDescent="0.25">
      <c r="A98" s="215">
        <v>44096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14</v>
      </c>
      <c r="G98" s="982"/>
      <c r="H98" s="1008"/>
      <c r="I98" s="1063"/>
      <c r="J98" s="622"/>
      <c r="K98" s="982"/>
      <c r="L98" s="861"/>
    </row>
    <row r="99" spans="1:14" s="224" customFormat="1" ht="15" customHeight="1" x14ac:dyDescent="0.25">
      <c r="A99" s="215">
        <v>44096</v>
      </c>
      <c r="B99" s="364" t="s">
        <v>14</v>
      </c>
      <c r="C99" s="350" t="s">
        <v>12</v>
      </c>
      <c r="D99" s="350" t="s">
        <v>1486</v>
      </c>
      <c r="E99" s="875" t="s">
        <v>13</v>
      </c>
      <c r="F99" s="780">
        <v>7.26</v>
      </c>
      <c r="G99" s="982"/>
      <c r="H99" s="1008"/>
      <c r="I99" s="1063"/>
      <c r="J99" s="622"/>
      <c r="K99" s="982"/>
      <c r="L99" s="1029"/>
      <c r="M99" s="89"/>
      <c r="N99" s="930"/>
    </row>
    <row r="100" spans="1:14" s="224" customFormat="1" ht="15" customHeight="1" x14ac:dyDescent="0.25">
      <c r="A100" s="215">
        <v>44096</v>
      </c>
      <c r="B100" s="349" t="s">
        <v>2603</v>
      </c>
      <c r="C100" s="879" t="s">
        <v>12</v>
      </c>
      <c r="D100" s="879" t="s">
        <v>1491</v>
      </c>
      <c r="E100" s="871" t="s">
        <v>15</v>
      </c>
      <c r="F100" s="780">
        <v>25</v>
      </c>
      <c r="G100" s="982"/>
      <c r="H100" s="1008"/>
      <c r="I100" s="1063"/>
      <c r="J100" s="622"/>
      <c r="K100" s="982"/>
      <c r="L100" s="861"/>
      <c r="M100" s="927"/>
    </row>
    <row r="101" spans="1:14" s="224" customFormat="1" ht="15" customHeight="1" x14ac:dyDescent="0.25">
      <c r="A101" s="215">
        <v>44097</v>
      </c>
      <c r="B101" s="364" t="s">
        <v>32</v>
      </c>
      <c r="C101" s="350" t="s">
        <v>12</v>
      </c>
      <c r="D101" s="350" t="s">
        <v>1485</v>
      </c>
      <c r="E101" s="875" t="s">
        <v>13</v>
      </c>
      <c r="F101" s="780">
        <v>15</v>
      </c>
      <c r="G101" s="982"/>
      <c r="H101" s="1008"/>
      <c r="I101" s="1063"/>
      <c r="J101" s="622"/>
      <c r="K101" s="982"/>
      <c r="L101" s="861"/>
    </row>
    <row r="102" spans="1:14" s="224" customFormat="1" ht="15" customHeight="1" x14ac:dyDescent="0.25">
      <c r="A102" s="215">
        <v>44097</v>
      </c>
      <c r="B102" s="364" t="s">
        <v>14</v>
      </c>
      <c r="C102" s="350" t="s">
        <v>12</v>
      </c>
      <c r="D102" s="350" t="s">
        <v>1486</v>
      </c>
      <c r="E102" s="875" t="s">
        <v>13</v>
      </c>
      <c r="F102" s="780">
        <v>5.9</v>
      </c>
      <c r="G102" s="982"/>
      <c r="H102" s="1008"/>
      <c r="I102" s="1063"/>
      <c r="J102" s="622"/>
      <c r="K102" s="982"/>
      <c r="L102" s="1029"/>
      <c r="M102" s="89"/>
      <c r="N102" s="930"/>
    </row>
    <row r="103" spans="1:14" s="224" customFormat="1" ht="15" customHeight="1" x14ac:dyDescent="0.25">
      <c r="A103" s="215">
        <v>44098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14</v>
      </c>
      <c r="G103" s="982"/>
      <c r="H103" s="1008"/>
      <c r="I103" s="1063"/>
      <c r="J103" s="622"/>
      <c r="K103" s="982"/>
      <c r="L103" s="861"/>
    </row>
    <row r="104" spans="1:14" s="224" customFormat="1" ht="15" customHeight="1" x14ac:dyDescent="0.25">
      <c r="A104" s="215">
        <v>44098</v>
      </c>
      <c r="B104" s="364" t="s">
        <v>14</v>
      </c>
      <c r="C104" s="350" t="s">
        <v>12</v>
      </c>
      <c r="D104" s="350" t="s">
        <v>1486</v>
      </c>
      <c r="E104" s="875" t="s">
        <v>13</v>
      </c>
      <c r="F104" s="780">
        <v>8</v>
      </c>
      <c r="G104" s="982"/>
      <c r="H104" s="1008"/>
      <c r="I104" s="1063"/>
      <c r="J104" s="622"/>
      <c r="K104" s="982"/>
      <c r="L104" s="1029"/>
      <c r="M104" s="89"/>
      <c r="N104" s="930"/>
    </row>
    <row r="105" spans="1:14" s="224" customFormat="1" ht="15" customHeight="1" x14ac:dyDescent="0.25">
      <c r="A105" s="215">
        <v>44099</v>
      </c>
      <c r="B105" s="364" t="s">
        <v>32</v>
      </c>
      <c r="C105" s="350" t="s">
        <v>12</v>
      </c>
      <c r="D105" s="350" t="s">
        <v>1485</v>
      </c>
      <c r="E105" s="875" t="s">
        <v>13</v>
      </c>
      <c r="F105" s="780">
        <v>15</v>
      </c>
      <c r="G105" s="982"/>
      <c r="H105" s="1008"/>
      <c r="I105" s="1063"/>
      <c r="J105" s="622"/>
      <c r="K105" s="982"/>
      <c r="L105" s="861"/>
    </row>
    <row r="106" spans="1:14" s="224" customFormat="1" ht="15" customHeight="1" x14ac:dyDescent="0.25">
      <c r="A106" s="215">
        <v>44099</v>
      </c>
      <c r="B106" s="349" t="s">
        <v>2736</v>
      </c>
      <c r="C106" s="352" t="s">
        <v>12</v>
      </c>
      <c r="D106" s="874" t="s">
        <v>1491</v>
      </c>
      <c r="E106" s="875" t="s">
        <v>15</v>
      </c>
      <c r="F106" s="852">
        <v>5</v>
      </c>
      <c r="G106" s="1064"/>
      <c r="H106" s="97"/>
      <c r="I106" s="982"/>
      <c r="J106" s="622"/>
      <c r="K106" s="982"/>
      <c r="L106" s="178"/>
    </row>
    <row r="107" spans="1:14" s="224" customFormat="1" ht="15" customHeight="1" x14ac:dyDescent="0.25">
      <c r="A107" s="215">
        <v>44099</v>
      </c>
      <c r="B107" s="349" t="s">
        <v>2603</v>
      </c>
      <c r="C107" s="879" t="s">
        <v>12</v>
      </c>
      <c r="D107" s="879" t="s">
        <v>1491</v>
      </c>
      <c r="E107" s="871" t="s">
        <v>15</v>
      </c>
      <c r="F107" s="780">
        <v>80</v>
      </c>
      <c r="G107" s="982"/>
      <c r="H107" s="1008"/>
      <c r="I107" s="1063"/>
      <c r="J107" s="622"/>
      <c r="K107" s="982"/>
      <c r="L107" s="861"/>
      <c r="M107" s="927"/>
    </row>
    <row r="108" spans="1:14" s="224" customFormat="1" ht="15" customHeight="1" x14ac:dyDescent="0.25">
      <c r="A108" s="215">
        <v>44099</v>
      </c>
      <c r="B108" s="364" t="s">
        <v>2251</v>
      </c>
      <c r="C108" s="350" t="s">
        <v>19</v>
      </c>
      <c r="D108" s="350" t="s">
        <v>2157</v>
      </c>
      <c r="E108" s="875" t="s">
        <v>13</v>
      </c>
      <c r="F108" s="780">
        <v>80</v>
      </c>
      <c r="G108" s="982"/>
      <c r="H108" s="1008"/>
      <c r="I108" s="1063"/>
      <c r="J108" s="622"/>
      <c r="K108" s="982"/>
      <c r="L108" s="861"/>
    </row>
    <row r="109" spans="1:14" s="224" customFormat="1" ht="15" customHeight="1" x14ac:dyDescent="0.25">
      <c r="A109" s="215">
        <v>44099</v>
      </c>
      <c r="B109" s="364" t="s">
        <v>2737</v>
      </c>
      <c r="C109" s="350" t="s">
        <v>19</v>
      </c>
      <c r="D109" s="350" t="s">
        <v>1506</v>
      </c>
      <c r="E109" s="875" t="s">
        <v>13</v>
      </c>
      <c r="F109" s="780">
        <v>50</v>
      </c>
      <c r="G109" s="982"/>
      <c r="H109" s="1009"/>
      <c r="I109" s="1063"/>
      <c r="J109" s="853"/>
      <c r="K109" s="982"/>
      <c r="L109" s="1029"/>
      <c r="M109" s="89"/>
      <c r="N109" s="930"/>
    </row>
    <row r="110" spans="1:14" s="224" customFormat="1" ht="15" customHeight="1" x14ac:dyDescent="0.25">
      <c r="A110" s="215">
        <v>44099</v>
      </c>
      <c r="B110" s="364" t="s">
        <v>1967</v>
      </c>
      <c r="C110" s="350" t="s">
        <v>12</v>
      </c>
      <c r="D110" s="350" t="s">
        <v>1493</v>
      </c>
      <c r="E110" s="875" t="s">
        <v>13</v>
      </c>
      <c r="F110" s="780">
        <v>42.8</v>
      </c>
      <c r="G110" s="982"/>
      <c r="H110" s="1009"/>
      <c r="I110" s="1063"/>
      <c r="J110" s="853"/>
      <c r="K110" s="982"/>
      <c r="L110" s="1029"/>
      <c r="M110" s="89"/>
      <c r="N110" s="930"/>
    </row>
    <row r="111" spans="1:14" s="224" customFormat="1" ht="15" customHeight="1" x14ac:dyDescent="0.25">
      <c r="A111" s="215">
        <v>44100</v>
      </c>
      <c r="B111" s="349" t="s">
        <v>80</v>
      </c>
      <c r="C111" s="879" t="s">
        <v>12</v>
      </c>
      <c r="D111" s="879" t="s">
        <v>1523</v>
      </c>
      <c r="E111" s="871" t="s">
        <v>13</v>
      </c>
      <c r="F111" s="780">
        <v>28</v>
      </c>
      <c r="G111" s="982"/>
      <c r="H111" s="1009"/>
      <c r="I111" s="1063"/>
      <c r="J111" s="853"/>
      <c r="K111" s="982"/>
      <c r="L111" s="1029"/>
      <c r="M111" s="89"/>
      <c r="N111" s="930"/>
    </row>
    <row r="112" spans="1:14" s="224" customFormat="1" ht="15" customHeight="1" x14ac:dyDescent="0.25">
      <c r="A112" s="215">
        <v>44100</v>
      </c>
      <c r="B112" s="364" t="s">
        <v>14</v>
      </c>
      <c r="C112" s="350" t="s">
        <v>12</v>
      </c>
      <c r="D112" s="350" t="s">
        <v>1486</v>
      </c>
      <c r="E112" s="875" t="s">
        <v>13</v>
      </c>
      <c r="F112" s="780">
        <v>11.55</v>
      </c>
      <c r="G112" s="982"/>
      <c r="H112" s="1008"/>
      <c r="I112" s="1063"/>
      <c r="J112" s="622"/>
      <c r="K112" s="982"/>
      <c r="L112" s="1029"/>
      <c r="M112" s="89"/>
      <c r="N112" s="930"/>
    </row>
    <row r="113" spans="1:14" s="224" customFormat="1" ht="15" customHeight="1" x14ac:dyDescent="0.25">
      <c r="A113" s="215">
        <v>44101</v>
      </c>
      <c r="B113" s="364" t="s">
        <v>14</v>
      </c>
      <c r="C113" s="350" t="s">
        <v>12</v>
      </c>
      <c r="D113" s="350" t="s">
        <v>1486</v>
      </c>
      <c r="E113" s="875" t="s">
        <v>13</v>
      </c>
      <c r="F113" s="780">
        <v>7.52</v>
      </c>
      <c r="G113" s="982"/>
      <c r="H113" s="1009"/>
      <c r="I113" s="1063"/>
      <c r="J113" s="853"/>
      <c r="K113" s="982"/>
      <c r="L113" s="1029"/>
      <c r="M113" s="89"/>
      <c r="N113" s="930"/>
    </row>
    <row r="114" spans="1:14" s="224" customFormat="1" ht="15" customHeight="1" x14ac:dyDescent="0.25">
      <c r="A114" s="215">
        <v>44101</v>
      </c>
      <c r="B114" s="364" t="s">
        <v>14</v>
      </c>
      <c r="C114" s="350" t="s">
        <v>12</v>
      </c>
      <c r="D114" s="350" t="s">
        <v>1486</v>
      </c>
      <c r="E114" s="875" t="s">
        <v>13</v>
      </c>
      <c r="F114" s="780">
        <v>5.83</v>
      </c>
      <c r="G114" s="982"/>
      <c r="H114" s="1009"/>
      <c r="I114" s="1063"/>
      <c r="J114" s="853"/>
      <c r="K114" s="982"/>
      <c r="L114" s="1029"/>
      <c r="M114" s="89"/>
      <c r="N114" s="930"/>
    </row>
    <row r="115" spans="1:14" s="224" customFormat="1" ht="15" customHeight="1" x14ac:dyDescent="0.25">
      <c r="A115" s="215">
        <v>44102</v>
      </c>
      <c r="B115" s="364" t="s">
        <v>32</v>
      </c>
      <c r="C115" s="350" t="s">
        <v>12</v>
      </c>
      <c r="D115" s="350" t="s">
        <v>1485</v>
      </c>
      <c r="E115" s="875" t="s">
        <v>13</v>
      </c>
      <c r="F115" s="780">
        <v>15</v>
      </c>
      <c r="G115" s="982"/>
      <c r="H115" s="1008"/>
      <c r="I115" s="1063"/>
      <c r="J115" s="622"/>
      <c r="K115" s="982"/>
      <c r="L115" s="861"/>
    </row>
    <row r="116" spans="1:14" s="224" customFormat="1" ht="15" customHeight="1" x14ac:dyDescent="0.25">
      <c r="A116" s="215">
        <v>44102</v>
      </c>
      <c r="B116" s="364" t="s">
        <v>14</v>
      </c>
      <c r="C116" s="350" t="s">
        <v>12</v>
      </c>
      <c r="D116" s="350" t="s">
        <v>1486</v>
      </c>
      <c r="E116" s="875" t="s">
        <v>13</v>
      </c>
      <c r="F116" s="780">
        <v>15.89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ht="15" customHeight="1" x14ac:dyDescent="0.25">
      <c r="A117" s="215">
        <v>44102</v>
      </c>
      <c r="B117" s="364" t="s">
        <v>1241</v>
      </c>
      <c r="C117" s="350" t="s">
        <v>12</v>
      </c>
      <c r="D117" s="350" t="s">
        <v>1504</v>
      </c>
      <c r="E117" s="875" t="s">
        <v>13</v>
      </c>
      <c r="F117" s="780">
        <v>10</v>
      </c>
      <c r="G117" s="982"/>
      <c r="H117" s="1008"/>
      <c r="I117" s="1063"/>
      <c r="J117" s="622"/>
      <c r="K117" s="982"/>
      <c r="L117" s="861"/>
    </row>
    <row r="118" spans="1:14" s="224" customFormat="1" ht="15" customHeight="1" x14ac:dyDescent="0.25">
      <c r="A118" s="215">
        <v>44103</v>
      </c>
      <c r="B118" s="364" t="s">
        <v>32</v>
      </c>
      <c r="C118" s="350" t="s">
        <v>12</v>
      </c>
      <c r="D118" s="350" t="s">
        <v>1485</v>
      </c>
      <c r="E118" s="875" t="s">
        <v>13</v>
      </c>
      <c r="F118" s="780">
        <v>15</v>
      </c>
      <c r="G118" s="982"/>
      <c r="H118" s="1008"/>
      <c r="I118" s="1063"/>
      <c r="J118" s="622"/>
      <c r="K118" s="982"/>
      <c r="L118" s="861"/>
    </row>
    <row r="119" spans="1:14" s="224" customFormat="1" ht="15" customHeight="1" x14ac:dyDescent="0.25">
      <c r="A119" s="215">
        <v>44103</v>
      </c>
      <c r="B119" s="349" t="s">
        <v>2415</v>
      </c>
      <c r="C119" s="887" t="s">
        <v>12</v>
      </c>
      <c r="D119" s="879" t="s">
        <v>1493</v>
      </c>
      <c r="E119" s="871" t="s">
        <v>13</v>
      </c>
      <c r="F119" s="780">
        <v>5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4" s="224" customFormat="1" ht="15" customHeight="1" x14ac:dyDescent="0.25">
      <c r="A120" s="215">
        <v>44103</v>
      </c>
      <c r="B120" s="364" t="s">
        <v>256</v>
      </c>
      <c r="C120" s="350"/>
      <c r="D120" s="350"/>
      <c r="E120" s="875" t="s">
        <v>25</v>
      </c>
      <c r="F120" s="780"/>
      <c r="G120" s="1064">
        <v>200</v>
      </c>
      <c r="H120" s="97">
        <v>200</v>
      </c>
      <c r="I120" s="1063"/>
      <c r="J120" s="622"/>
      <c r="K120" s="982"/>
      <c r="L120" s="1029"/>
      <c r="M120" s="89"/>
      <c r="N120" s="930"/>
    </row>
    <row r="121" spans="1:14" s="224" customFormat="1" ht="15" customHeight="1" x14ac:dyDescent="0.25">
      <c r="A121" s="215">
        <v>44103</v>
      </c>
      <c r="B121" s="364" t="s">
        <v>14</v>
      </c>
      <c r="C121" s="350" t="s">
        <v>12</v>
      </c>
      <c r="D121" s="350" t="s">
        <v>1486</v>
      </c>
      <c r="E121" s="875" t="s">
        <v>13</v>
      </c>
      <c r="F121" s="780">
        <v>6.45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4" s="224" customFormat="1" ht="15" customHeight="1" x14ac:dyDescent="0.25">
      <c r="A122" s="215">
        <v>44103</v>
      </c>
      <c r="B122" s="349" t="s">
        <v>2738</v>
      </c>
      <c r="C122" s="887" t="s">
        <v>12</v>
      </c>
      <c r="D122" s="879" t="s">
        <v>1489</v>
      </c>
      <c r="E122" s="871" t="s">
        <v>13</v>
      </c>
      <c r="F122" s="780">
        <v>70</v>
      </c>
      <c r="G122" s="982"/>
      <c r="H122" s="1008"/>
      <c r="I122" s="1063"/>
      <c r="J122" s="622"/>
      <c r="K122" s="982"/>
      <c r="L122" s="1029" t="s">
        <v>2739</v>
      </c>
      <c r="M122" s="89"/>
      <c r="N122" s="930"/>
    </row>
    <row r="123" spans="1:14" s="224" customFormat="1" ht="15" customHeight="1" x14ac:dyDescent="0.25">
      <c r="A123" s="215">
        <v>44103</v>
      </c>
      <c r="B123" s="349" t="s">
        <v>2740</v>
      </c>
      <c r="C123" s="887" t="s">
        <v>12</v>
      </c>
      <c r="D123" s="879" t="s">
        <v>1489</v>
      </c>
      <c r="E123" s="871" t="s">
        <v>13</v>
      </c>
      <c r="F123" s="780">
        <v>10.65</v>
      </c>
      <c r="G123" s="982"/>
      <c r="H123" s="1008"/>
      <c r="I123" s="1063"/>
      <c r="J123" s="622"/>
      <c r="K123" s="982"/>
      <c r="L123" s="1029"/>
      <c r="M123" s="89"/>
      <c r="N123" s="930"/>
    </row>
    <row r="124" spans="1:14" s="224" customFormat="1" ht="15" customHeight="1" x14ac:dyDescent="0.25">
      <c r="A124" s="215">
        <v>44104</v>
      </c>
      <c r="B124" s="364" t="s">
        <v>32</v>
      </c>
      <c r="C124" s="350" t="s">
        <v>12</v>
      </c>
      <c r="D124" s="350" t="s">
        <v>1485</v>
      </c>
      <c r="E124" s="875" t="s">
        <v>13</v>
      </c>
      <c r="F124" s="780">
        <v>15</v>
      </c>
      <c r="G124" s="982"/>
      <c r="H124" s="1008"/>
      <c r="I124" s="1063"/>
      <c r="J124" s="622"/>
      <c r="K124" s="982"/>
      <c r="L124" s="861"/>
    </row>
    <row r="125" spans="1:14" s="224" customFormat="1" ht="15" customHeight="1" x14ac:dyDescent="0.25">
      <c r="A125" s="215">
        <v>44104</v>
      </c>
      <c r="B125" s="364" t="s">
        <v>14</v>
      </c>
      <c r="C125" s="350" t="s">
        <v>12</v>
      </c>
      <c r="D125" s="350" t="s">
        <v>1486</v>
      </c>
      <c r="E125" s="875" t="s">
        <v>13</v>
      </c>
      <c r="F125" s="780">
        <v>6.94</v>
      </c>
      <c r="G125" s="982"/>
      <c r="H125" s="1008"/>
      <c r="I125" s="1063"/>
      <c r="J125" s="622"/>
      <c r="K125" s="982"/>
      <c r="L125" s="1029"/>
      <c r="M125" s="89"/>
      <c r="N125" s="930"/>
    </row>
    <row r="126" spans="1:14" s="224" customFormat="1" x14ac:dyDescent="0.25">
      <c r="A126" s="215">
        <v>44104</v>
      </c>
      <c r="B126" s="862" t="s">
        <v>2741</v>
      </c>
      <c r="C126" s="350" t="s">
        <v>12</v>
      </c>
      <c r="D126" s="1003"/>
      <c r="E126" s="145" t="s">
        <v>25</v>
      </c>
      <c r="F126" s="622"/>
      <c r="G126" s="982"/>
      <c r="H126" s="1008"/>
      <c r="I126" s="1063"/>
      <c r="J126" s="622">
        <v>22.22</v>
      </c>
      <c r="K126" s="982"/>
      <c r="L126" s="475"/>
    </row>
    <row r="127" spans="1:14" s="224" customFormat="1" ht="15" customHeight="1" thickBot="1" x14ac:dyDescent="0.3">
      <c r="A127" s="215">
        <v>44104</v>
      </c>
      <c r="B127" s="862" t="s">
        <v>2593</v>
      </c>
      <c r="C127" s="879" t="s">
        <v>12</v>
      </c>
      <c r="D127" s="879" t="s">
        <v>1504</v>
      </c>
      <c r="E127" s="871" t="s">
        <v>13</v>
      </c>
      <c r="F127" s="416">
        <v>32.9</v>
      </c>
      <c r="G127" s="960"/>
      <c r="H127" s="1012"/>
      <c r="I127" s="1536"/>
      <c r="J127" s="416"/>
      <c r="K127" s="1522"/>
      <c r="L127" s="475"/>
    </row>
    <row r="128" spans="1:14" ht="25.5" customHeight="1" thickBot="1" x14ac:dyDescent="0.3">
      <c r="A128" s="3060"/>
      <c r="B128" s="3061"/>
      <c r="C128" s="3062"/>
      <c r="D128" s="3062"/>
      <c r="E128" s="3062"/>
      <c r="F128" s="100">
        <f>SUM(F6:F127)</f>
        <v>5855.3466666666673</v>
      </c>
      <c r="G128" s="1534">
        <f>SUM(G5:G127)</f>
        <v>6345.9779166666867</v>
      </c>
      <c r="H128" s="101">
        <f>SUM(H6:H127)</f>
        <v>1100</v>
      </c>
      <c r="I128" s="93">
        <f>SUM(I5:I127)</f>
        <v>3099.9960000000019</v>
      </c>
      <c r="J128" s="527">
        <f>SUM(J6:J127)</f>
        <v>126.9</v>
      </c>
      <c r="K128" s="93">
        <f>SUM(K5:K127)</f>
        <v>12593.279999999999</v>
      </c>
    </row>
    <row r="129" spans="1:12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490.63125000001946</v>
      </c>
      <c r="H129" s="555"/>
      <c r="I129" s="772">
        <f>I128-H128</f>
        <v>1999.9960000000019</v>
      </c>
      <c r="J129" s="593"/>
      <c r="K129" s="772">
        <f>K128-J128</f>
        <v>12466.38</v>
      </c>
    </row>
    <row r="130" spans="1:12" x14ac:dyDescent="0.25">
      <c r="E130" s="79"/>
      <c r="K130" s="518"/>
      <c r="L130" s="216"/>
    </row>
    <row r="131" spans="1:12" x14ac:dyDescent="0.25">
      <c r="B131" s="81" t="s">
        <v>3</v>
      </c>
      <c r="C131" s="193" t="s">
        <v>1484</v>
      </c>
      <c r="D131" s="970" t="s">
        <v>2378</v>
      </c>
      <c r="G131" s="216"/>
      <c r="K131" s="866"/>
    </row>
    <row r="132" spans="1:12" x14ac:dyDescent="0.25">
      <c r="B132" s="79" t="s">
        <v>32</v>
      </c>
      <c r="C132" s="85" t="s">
        <v>1485</v>
      </c>
      <c r="D132" s="475">
        <f>SUMIF($D$7:$D$127,"A",$F$7:$F$127)</f>
        <v>322</v>
      </c>
      <c r="F132" s="79"/>
      <c r="I132" s="769"/>
      <c r="J132" s="868"/>
    </row>
    <row r="133" spans="1:12" x14ac:dyDescent="0.25">
      <c r="B133" s="79" t="s">
        <v>2187</v>
      </c>
      <c r="C133" s="85" t="s">
        <v>2157</v>
      </c>
      <c r="D133" s="475">
        <f>SUMIF($D$7:$D$127,"GAC",$F$7:$F$127)</f>
        <v>270</v>
      </c>
      <c r="G133" s="609"/>
      <c r="J133" s="754"/>
      <c r="K133" s="886"/>
      <c r="L133" s="1030"/>
    </row>
    <row r="134" spans="1:12" x14ac:dyDescent="0.25">
      <c r="B134" s="79" t="s">
        <v>2188</v>
      </c>
      <c r="C134" s="85" t="s">
        <v>2168</v>
      </c>
      <c r="D134" s="475">
        <f>SUMIF($D$17:$D$127,"GAM",$F$17:$F$127)</f>
        <v>20</v>
      </c>
      <c r="J134" s="864"/>
      <c r="K134" s="864"/>
      <c r="L134" s="958"/>
    </row>
    <row r="135" spans="1:12" s="85" customFormat="1" x14ac:dyDescent="0.25">
      <c r="A135" s="79"/>
      <c r="B135" s="79" t="s">
        <v>50</v>
      </c>
      <c r="C135" s="85" t="s">
        <v>1493</v>
      </c>
      <c r="D135" s="475">
        <f>SUMIF($D$7:$D$127,"LD",$F$7:$F$127)</f>
        <v>216.93</v>
      </c>
      <c r="J135" s="864"/>
      <c r="K135" s="1032"/>
      <c r="L135" s="958"/>
    </row>
    <row r="136" spans="1:12" s="85" customFormat="1" x14ac:dyDescent="0.25">
      <c r="A136" s="79"/>
      <c r="B136" s="79" t="s">
        <v>14</v>
      </c>
      <c r="C136" s="85" t="s">
        <v>1486</v>
      </c>
      <c r="D136" s="475">
        <f>SUMIF($D$7:$D$127,"C",$F$7:$F$127)</f>
        <v>163.98000000000002</v>
      </c>
      <c r="F136" s="89"/>
      <c r="G136" s="79"/>
      <c r="H136" s="79"/>
      <c r="J136" s="864"/>
      <c r="K136" s="1032"/>
      <c r="L136" s="958"/>
    </row>
    <row r="137" spans="1:12" s="85" customFormat="1" x14ac:dyDescent="0.25">
      <c r="A137" s="79"/>
      <c r="B137" s="79" t="s">
        <v>51</v>
      </c>
      <c r="C137" s="864" t="s">
        <v>1499</v>
      </c>
      <c r="D137" s="475">
        <f>SUMIF($D$17:$D$127,"CAL",$F$17:$F$127)</f>
        <v>115.74</v>
      </c>
      <c r="F137" s="89"/>
      <c r="G137" s="79"/>
      <c r="H137" s="79"/>
      <c r="I137" s="79"/>
      <c r="K137" s="795"/>
      <c r="L137" s="958"/>
    </row>
    <row r="138" spans="1:12" s="85" customFormat="1" x14ac:dyDescent="0.25">
      <c r="A138" s="79"/>
      <c r="B138" s="79" t="s">
        <v>2189</v>
      </c>
      <c r="C138" s="864" t="s">
        <v>1496</v>
      </c>
      <c r="D138" s="475">
        <f>SUMIF($D$17:$D$127,"AC",$F$17:$F$127)</f>
        <v>175.9</v>
      </c>
      <c r="F138" s="769"/>
      <c r="G138" s="79"/>
      <c r="K138" s="177"/>
      <c r="L138" s="941"/>
    </row>
    <row r="139" spans="1:12" s="85" customFormat="1" x14ac:dyDescent="0.25">
      <c r="A139" s="79"/>
      <c r="B139" s="867" t="s">
        <v>53</v>
      </c>
      <c r="C139" s="864" t="s">
        <v>1522</v>
      </c>
      <c r="D139" s="475">
        <f>SUMIF($D$17:$D$127,"DC",$F$17:$F$127)</f>
        <v>166.66666666666666</v>
      </c>
      <c r="K139" s="177"/>
      <c r="L139" s="475"/>
    </row>
    <row r="140" spans="1:12" s="85" customFormat="1" x14ac:dyDescent="0.25">
      <c r="A140" s="79"/>
      <c r="B140" s="867" t="s">
        <v>2149</v>
      </c>
      <c r="C140" s="864" t="s">
        <v>2131</v>
      </c>
      <c r="D140" s="475">
        <f>SUMIF($D$17:$D$127,"DM",$F$17:$F$127)</f>
        <v>0</v>
      </c>
      <c r="F140" s="769"/>
      <c r="K140" s="177"/>
      <c r="L140" s="475"/>
    </row>
    <row r="141" spans="1:12" s="85" customFormat="1" x14ac:dyDescent="0.25">
      <c r="A141" s="79"/>
      <c r="B141" s="79" t="s">
        <v>2008</v>
      </c>
      <c r="C141" s="864" t="s">
        <v>1523</v>
      </c>
      <c r="D141" s="475">
        <f>SUMIF($D$17:$D$127,"B",$F$17:$F$127)</f>
        <v>81</v>
      </c>
      <c r="F141" s="769"/>
      <c r="G141" s="866"/>
      <c r="K141" s="177"/>
      <c r="L141" s="475"/>
    </row>
    <row r="142" spans="1:12" s="85" customFormat="1" x14ac:dyDescent="0.25">
      <c r="A142" s="79"/>
      <c r="B142" s="79" t="s">
        <v>1686</v>
      </c>
      <c r="C142" s="864" t="s">
        <v>1506</v>
      </c>
      <c r="D142" s="475">
        <f>SUMIF($D$17:$D$127,"R",$F$17:$F$127)</f>
        <v>218</v>
      </c>
      <c r="F142" s="769"/>
      <c r="G142" s="868"/>
      <c r="K142" s="866"/>
      <c r="L142" s="475"/>
    </row>
    <row r="143" spans="1:12" x14ac:dyDescent="0.25">
      <c r="B143" s="79" t="s">
        <v>418</v>
      </c>
      <c r="C143" s="85" t="s">
        <v>1524</v>
      </c>
      <c r="D143" s="475">
        <f>SUMIF($D$17:$D$127,"COM",$F$17:$F$127)</f>
        <v>210</v>
      </c>
      <c r="G143" s="85"/>
      <c r="H143" s="85"/>
      <c r="I143" s="85"/>
      <c r="J143" s="769"/>
      <c r="K143" s="216"/>
    </row>
    <row r="144" spans="1:12" x14ac:dyDescent="0.25">
      <c r="B144" s="79" t="s">
        <v>419</v>
      </c>
      <c r="C144" s="85" t="s">
        <v>1491</v>
      </c>
      <c r="D144" s="475">
        <f>SUMIF($D$7:$D$127,"F",$F$7:$F$127)</f>
        <v>996.7</v>
      </c>
      <c r="I144" s="85"/>
      <c r="K144" s="216"/>
    </row>
    <row r="145" spans="1:15" x14ac:dyDescent="0.25">
      <c r="B145" s="79" t="s">
        <v>911</v>
      </c>
      <c r="C145" s="85" t="s">
        <v>1525</v>
      </c>
      <c r="D145" s="475">
        <f>SUMIF($D$17:$D$127,"FER",$F$17:$F$127)</f>
        <v>172.13</v>
      </c>
      <c r="J145" s="769"/>
      <c r="K145" s="868"/>
    </row>
    <row r="146" spans="1:15" x14ac:dyDescent="0.25">
      <c r="B146" s="79" t="s">
        <v>1526</v>
      </c>
      <c r="C146" s="85" t="s">
        <v>1504</v>
      </c>
      <c r="D146" s="475">
        <f>SUMIF($D$7:$D$127,"I",$F$7:$F$127)</f>
        <v>199.88000000000002</v>
      </c>
      <c r="F146" s="89" t="s">
        <v>280</v>
      </c>
      <c r="J146" s="769"/>
      <c r="K146" s="868"/>
    </row>
    <row r="147" spans="1:15" x14ac:dyDescent="0.25">
      <c r="B147" s="79" t="s">
        <v>2343</v>
      </c>
      <c r="C147" s="85" t="s">
        <v>2315</v>
      </c>
      <c r="D147" s="475">
        <f>SUMIF($D$17:$D$127,"E",$F$17:$F$127)</f>
        <v>118.2</v>
      </c>
      <c r="J147" s="769"/>
      <c r="K147" s="868"/>
    </row>
    <row r="148" spans="1:15" x14ac:dyDescent="0.25">
      <c r="B148" s="79" t="s">
        <v>1527</v>
      </c>
      <c r="C148" s="85" t="s">
        <v>1489</v>
      </c>
      <c r="D148" s="475">
        <f>SUMIF($D$7:$D$127,"OD",$F$7:$F$127)</f>
        <v>321.82</v>
      </c>
      <c r="J148" s="769"/>
    </row>
    <row r="149" spans="1:15" x14ac:dyDescent="0.25">
      <c r="C149" s="769"/>
      <c r="K149" s="866"/>
    </row>
    <row r="150" spans="1:15" x14ac:dyDescent="0.25">
      <c r="D150" s="459"/>
      <c r="H150" s="769"/>
      <c r="I150" s="518" t="s">
        <v>280</v>
      </c>
      <c r="K150" s="866"/>
    </row>
    <row r="151" spans="1:15" x14ac:dyDescent="0.25">
      <c r="B151" s="79" t="s">
        <v>486</v>
      </c>
      <c r="C151" s="475">
        <f>H151/J151</f>
        <v>125.63155555555558</v>
      </c>
      <c r="F151" s="224" t="s">
        <v>487</v>
      </c>
      <c r="H151" s="216">
        <f>SUM(D132:D148)</f>
        <v>3768.9466666666672</v>
      </c>
      <c r="J151" s="1517">
        <v>30</v>
      </c>
    </row>
    <row r="152" spans="1:15" ht="15.75" customHeight="1" x14ac:dyDescent="0.25">
      <c r="E152" s="769"/>
      <c r="H152" s="629"/>
      <c r="K152" s="868"/>
    </row>
    <row r="153" spans="1:15" x14ac:dyDescent="0.25">
      <c r="E153" s="79"/>
      <c r="F153" s="79"/>
      <c r="H153" s="866"/>
      <c r="J153" s="769"/>
      <c r="K153" s="866"/>
    </row>
    <row r="154" spans="1:15" s="518" customFormat="1" x14ac:dyDescent="0.25">
      <c r="A154" s="79"/>
      <c r="B154" s="79"/>
      <c r="C154" s="85"/>
      <c r="D154" s="79"/>
      <c r="E154" s="79"/>
      <c r="F154" s="89"/>
      <c r="G154" s="79"/>
      <c r="H154" s="79"/>
      <c r="I154" s="79"/>
      <c r="J154" s="769"/>
      <c r="K154" s="866"/>
      <c r="L154" s="484"/>
      <c r="M154" s="79"/>
      <c r="N154" s="79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79"/>
      <c r="O155" s="79"/>
    </row>
    <row r="156" spans="1:15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484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L157" s="484"/>
      <c r="M157" s="79"/>
      <c r="N157" s="79"/>
      <c r="O157" s="79"/>
    </row>
    <row r="158" spans="1:15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L158" s="484"/>
      <c r="M158" s="79"/>
      <c r="N158" s="79"/>
      <c r="O158" s="79"/>
    </row>
    <row r="159" spans="1:15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484"/>
      <c r="M159" s="79"/>
      <c r="N159" s="79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L160" s="484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L161" s="484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L162" s="484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484"/>
      <c r="M163" s="79"/>
      <c r="N163" s="79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L165" s="484"/>
      <c r="M165" s="79"/>
      <c r="N165" s="79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79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484"/>
      <c r="M168" s="79"/>
      <c r="N168" s="79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79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484"/>
      <c r="M171" s="79"/>
      <c r="N171" s="79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484"/>
      <c r="M172" s="79"/>
      <c r="N172" s="79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484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484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484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79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79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79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484"/>
      <c r="M182" s="79"/>
      <c r="N182" s="79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79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484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484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484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484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L190" s="484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L191" s="484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484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484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L210" s="484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79"/>
      <c r="O211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484"/>
      <c r="M218" s="79"/>
      <c r="N218" s="79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79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484"/>
      <c r="M220" s="79"/>
      <c r="N220" s="79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79"/>
      <c r="O221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79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L225" s="484"/>
      <c r="M225" s="79"/>
      <c r="N225" s="79"/>
      <c r="O225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79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79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79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79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79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79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79"/>
      <c r="O239" s="79"/>
    </row>
  </sheetData>
  <autoFilter ref="A2:I129" xr:uid="{00000000-0009-0000-0000-000067000000}"/>
  <mergeCells count="12">
    <mergeCell ref="A128:E128"/>
    <mergeCell ref="A129:E12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Plan2"/>
  <dimension ref="A1:O242"/>
  <sheetViews>
    <sheetView zoomScale="85" zoomScaleNormal="85" workbookViewId="0">
      <pane ySplit="4" topLeftCell="A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2742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44105</v>
      </c>
      <c r="B5" s="369" t="s">
        <v>10</v>
      </c>
      <c r="C5" s="370"/>
      <c r="D5" s="370"/>
      <c r="E5" s="777"/>
      <c r="F5" s="179"/>
      <c r="G5" s="933">
        <f>'Setembro-20'!G129</f>
        <v>490.63125000001946</v>
      </c>
      <c r="H5" s="163"/>
      <c r="I5" s="1479">
        <f>'Setembro-20'!I129</f>
        <v>1999.9960000000019</v>
      </c>
      <c r="J5" s="179"/>
      <c r="K5" s="933">
        <f>'Setembro-20'!K129</f>
        <v>12466.38</v>
      </c>
    </row>
    <row r="6" spans="1:15" s="224" customFormat="1" x14ac:dyDescent="0.25">
      <c r="A6" s="215">
        <v>44105</v>
      </c>
      <c r="B6" s="348" t="s">
        <v>11</v>
      </c>
      <c r="C6" s="351"/>
      <c r="D6" s="351"/>
      <c r="E6" s="673"/>
      <c r="F6" s="538">
        <v>20</v>
      </c>
      <c r="G6" s="1473"/>
      <c r="H6" s="252"/>
      <c r="I6" s="1480"/>
      <c r="J6" s="250"/>
      <c r="K6" s="1473"/>
      <c r="L6" s="1026"/>
      <c r="M6" s="89"/>
    </row>
    <row r="7" spans="1:15" s="224" customFormat="1" ht="15" customHeight="1" x14ac:dyDescent="0.25">
      <c r="A7" s="215">
        <v>44105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15</v>
      </c>
      <c r="G7" s="946"/>
      <c r="H7" s="95"/>
      <c r="I7" s="1064"/>
      <c r="J7" s="97"/>
      <c r="K7" s="946"/>
      <c r="L7" s="926"/>
      <c r="M7" s="89"/>
      <c r="N7" s="930"/>
    </row>
    <row r="8" spans="1:15" s="224" customFormat="1" ht="15" customHeight="1" x14ac:dyDescent="0.25">
      <c r="A8" s="215">
        <v>44105</v>
      </c>
      <c r="B8" s="364" t="s">
        <v>14</v>
      </c>
      <c r="C8" s="350" t="s">
        <v>12</v>
      </c>
      <c r="D8" s="350" t="s">
        <v>1486</v>
      </c>
      <c r="E8" s="875" t="s">
        <v>13</v>
      </c>
      <c r="F8" s="780">
        <v>5.31</v>
      </c>
      <c r="G8" s="982"/>
      <c r="H8" s="1008"/>
      <c r="I8" s="1063"/>
      <c r="J8" s="622"/>
      <c r="K8" s="982"/>
      <c r="L8" s="861"/>
    </row>
    <row r="9" spans="1:15" s="224" customFormat="1" ht="15" customHeight="1" x14ac:dyDescent="0.25">
      <c r="A9" s="215">
        <v>44106</v>
      </c>
      <c r="B9" s="364" t="s">
        <v>32</v>
      </c>
      <c r="C9" s="350" t="s">
        <v>12</v>
      </c>
      <c r="D9" s="350" t="s">
        <v>1485</v>
      </c>
      <c r="E9" s="875" t="s">
        <v>13</v>
      </c>
      <c r="F9" s="780">
        <v>15</v>
      </c>
      <c r="G9" s="946"/>
      <c r="H9" s="95"/>
      <c r="I9" s="1064"/>
      <c r="J9" s="97"/>
      <c r="K9" s="946"/>
      <c r="L9" s="926"/>
      <c r="M9" s="89"/>
      <c r="N9" s="930"/>
    </row>
    <row r="10" spans="1:15" s="224" customFormat="1" ht="15" customHeight="1" x14ac:dyDescent="0.25">
      <c r="A10" s="215">
        <v>44106</v>
      </c>
      <c r="B10" s="364" t="s">
        <v>17</v>
      </c>
      <c r="C10" s="350" t="s">
        <v>12</v>
      </c>
      <c r="D10" s="350" t="s">
        <v>1493</v>
      </c>
      <c r="E10" s="875" t="s">
        <v>13</v>
      </c>
      <c r="F10" s="780">
        <v>11</v>
      </c>
      <c r="G10" s="982"/>
      <c r="H10" s="1008"/>
      <c r="I10" s="1063"/>
      <c r="J10" s="622"/>
      <c r="K10" s="982"/>
      <c r="L10" s="861"/>
    </row>
    <row r="11" spans="1:15" s="224" customFormat="1" ht="15" customHeight="1" x14ac:dyDescent="0.25">
      <c r="A11" s="215">
        <v>44106</v>
      </c>
      <c r="B11" s="364" t="s">
        <v>1906</v>
      </c>
      <c r="C11" s="350" t="s">
        <v>12</v>
      </c>
      <c r="D11" s="350" t="s">
        <v>1493</v>
      </c>
      <c r="E11" s="875" t="s">
        <v>13</v>
      </c>
      <c r="F11" s="780">
        <v>12</v>
      </c>
      <c r="G11" s="946"/>
      <c r="H11" s="95"/>
      <c r="I11" s="1064"/>
      <c r="J11" s="97"/>
      <c r="K11" s="946"/>
      <c r="L11" s="926"/>
      <c r="M11" s="89"/>
      <c r="N11" s="930"/>
    </row>
    <row r="12" spans="1:15" s="224" customFormat="1" ht="15" customHeight="1" x14ac:dyDescent="0.25">
      <c r="A12" s="215">
        <v>44107</v>
      </c>
      <c r="B12" s="364" t="s">
        <v>14</v>
      </c>
      <c r="C12" s="350" t="s">
        <v>12</v>
      </c>
      <c r="D12" s="350" t="s">
        <v>1486</v>
      </c>
      <c r="E12" s="875" t="s">
        <v>13</v>
      </c>
      <c r="F12" s="780">
        <v>6.7</v>
      </c>
      <c r="G12" s="982"/>
      <c r="H12" s="1008"/>
      <c r="I12" s="1063"/>
      <c r="J12" s="622"/>
      <c r="K12" s="982"/>
      <c r="L12" s="861"/>
    </row>
    <row r="13" spans="1:15" s="224" customFormat="1" ht="15" customHeight="1" x14ac:dyDescent="0.25">
      <c r="A13" s="215">
        <v>44107</v>
      </c>
      <c r="B13" s="364" t="s">
        <v>2096</v>
      </c>
      <c r="C13" s="350" t="s">
        <v>12</v>
      </c>
      <c r="D13" s="350" t="s">
        <v>1506</v>
      </c>
      <c r="E13" s="875" t="s">
        <v>15</v>
      </c>
      <c r="F13" s="780">
        <v>40</v>
      </c>
      <c r="G13" s="982"/>
      <c r="H13" s="1008"/>
      <c r="I13" s="1063"/>
      <c r="J13" s="622"/>
      <c r="K13" s="982"/>
      <c r="L13" s="861"/>
    </row>
    <row r="14" spans="1:15" s="224" customFormat="1" ht="15" customHeight="1" x14ac:dyDescent="0.25">
      <c r="A14" s="215">
        <v>44107</v>
      </c>
      <c r="B14" s="364" t="s">
        <v>1438</v>
      </c>
      <c r="C14" s="350" t="s">
        <v>19</v>
      </c>
      <c r="D14" s="350" t="s">
        <v>1489</v>
      </c>
      <c r="E14" s="875" t="s">
        <v>13</v>
      </c>
      <c r="F14" s="780">
        <v>74.930000000000007</v>
      </c>
      <c r="G14" s="982"/>
      <c r="H14" s="1008"/>
      <c r="I14" s="1063"/>
      <c r="J14" s="622"/>
      <c r="K14" s="982"/>
      <c r="L14" s="861"/>
    </row>
    <row r="15" spans="1:15" s="224" customFormat="1" ht="15" customHeight="1" x14ac:dyDescent="0.25">
      <c r="A15" s="215">
        <v>44107</v>
      </c>
      <c r="B15" s="364" t="s">
        <v>80</v>
      </c>
      <c r="C15" s="350" t="s">
        <v>19</v>
      </c>
      <c r="D15" s="350" t="s">
        <v>1523</v>
      </c>
      <c r="E15" s="875" t="s">
        <v>13</v>
      </c>
      <c r="F15" s="780">
        <v>30</v>
      </c>
      <c r="G15" s="982"/>
      <c r="H15" s="1008"/>
      <c r="I15" s="1063"/>
      <c r="J15" s="622"/>
      <c r="K15" s="982"/>
      <c r="L15" s="861"/>
    </row>
    <row r="16" spans="1:15" s="224" customFormat="1" ht="15" customHeight="1" x14ac:dyDescent="0.25">
      <c r="A16" s="215">
        <v>44107</v>
      </c>
      <c r="B16" s="364" t="s">
        <v>14</v>
      </c>
      <c r="C16" s="350" t="s">
        <v>12</v>
      </c>
      <c r="D16" s="350" t="s">
        <v>1486</v>
      </c>
      <c r="E16" s="875" t="s">
        <v>13</v>
      </c>
      <c r="F16" s="780">
        <v>7.6</v>
      </c>
      <c r="G16" s="982"/>
      <c r="H16" s="1008"/>
      <c r="I16" s="1063"/>
      <c r="J16" s="622"/>
      <c r="K16" s="982"/>
      <c r="L16" s="861"/>
    </row>
    <row r="17" spans="1:14" s="224" customFormat="1" ht="15" customHeight="1" x14ac:dyDescent="0.25">
      <c r="A17" s="215">
        <v>44108</v>
      </c>
      <c r="B17" s="349" t="s">
        <v>2603</v>
      </c>
      <c r="C17" s="879" t="s">
        <v>12</v>
      </c>
      <c r="D17" s="879" t="s">
        <v>1491</v>
      </c>
      <c r="E17" s="871" t="s">
        <v>15</v>
      </c>
      <c r="F17" s="780">
        <v>100</v>
      </c>
      <c r="G17" s="982"/>
      <c r="H17" s="1008"/>
      <c r="I17" s="1063"/>
      <c r="J17" s="622"/>
      <c r="K17" s="982"/>
      <c r="L17" s="861"/>
    </row>
    <row r="18" spans="1:14" s="224" customFormat="1" ht="15" customHeight="1" x14ac:dyDescent="0.25">
      <c r="A18" s="215">
        <v>44108</v>
      </c>
      <c r="B18" s="349" t="s">
        <v>82</v>
      </c>
      <c r="C18" s="879" t="s">
        <v>12</v>
      </c>
      <c r="D18" s="879" t="s">
        <v>1493</v>
      </c>
      <c r="E18" s="871" t="s">
        <v>13</v>
      </c>
      <c r="F18" s="780">
        <v>29.34</v>
      </c>
      <c r="G18" s="982"/>
      <c r="H18" s="1008"/>
      <c r="I18" s="1063"/>
      <c r="J18" s="622"/>
      <c r="K18" s="982"/>
      <c r="L18" s="861"/>
    </row>
    <row r="19" spans="1:14" s="224" customFormat="1" ht="15" customHeight="1" x14ac:dyDescent="0.25">
      <c r="A19" s="215">
        <v>44109</v>
      </c>
      <c r="B19" s="364" t="s">
        <v>32</v>
      </c>
      <c r="C19" s="350" t="s">
        <v>12</v>
      </c>
      <c r="D19" s="350" t="s">
        <v>1485</v>
      </c>
      <c r="E19" s="875" t="s">
        <v>13</v>
      </c>
      <c r="F19" s="780">
        <v>15</v>
      </c>
      <c r="G19" s="946"/>
      <c r="H19" s="95"/>
      <c r="I19" s="1064"/>
      <c r="J19" s="97"/>
      <c r="K19" s="946"/>
      <c r="L19" s="926"/>
      <c r="M19" s="89"/>
      <c r="N19" s="930"/>
    </row>
    <row r="20" spans="1:14" s="224" customFormat="1" ht="15" customHeight="1" x14ac:dyDescent="0.25">
      <c r="A20" s="215">
        <v>44109</v>
      </c>
      <c r="B20" s="364" t="s">
        <v>14</v>
      </c>
      <c r="C20" s="350" t="s">
        <v>12</v>
      </c>
      <c r="D20" s="350" t="s">
        <v>1486</v>
      </c>
      <c r="E20" s="875" t="s">
        <v>13</v>
      </c>
      <c r="F20" s="780">
        <v>6.67</v>
      </c>
      <c r="G20" s="946"/>
      <c r="H20" s="95"/>
      <c r="I20" s="1064"/>
      <c r="J20" s="97"/>
      <c r="K20" s="946"/>
      <c r="L20" s="926"/>
      <c r="M20" s="89"/>
      <c r="N20" s="930"/>
    </row>
    <row r="21" spans="1:14" s="224" customFormat="1" ht="15" customHeight="1" x14ac:dyDescent="0.25">
      <c r="A21" s="215">
        <v>44109</v>
      </c>
      <c r="B21" s="364" t="s">
        <v>2251</v>
      </c>
      <c r="C21" s="350" t="s">
        <v>19</v>
      </c>
      <c r="D21" s="350" t="s">
        <v>2157</v>
      </c>
      <c r="E21" s="875" t="s">
        <v>15</v>
      </c>
      <c r="F21" s="780">
        <v>20</v>
      </c>
      <c r="G21" s="946"/>
      <c r="H21" s="95"/>
      <c r="I21" s="1064"/>
      <c r="J21" s="97"/>
      <c r="K21" s="946"/>
      <c r="L21" s="926"/>
      <c r="M21" s="89"/>
      <c r="N21" s="930"/>
    </row>
    <row r="22" spans="1:14" s="224" customFormat="1" ht="15.75" customHeight="1" x14ac:dyDescent="0.25">
      <c r="A22" s="215">
        <v>44110</v>
      </c>
      <c r="B22" s="349" t="s">
        <v>2743</v>
      </c>
      <c r="C22" s="887" t="s">
        <v>12</v>
      </c>
      <c r="D22" s="874"/>
      <c r="E22" s="871" t="s">
        <v>25</v>
      </c>
      <c r="F22" s="1524"/>
      <c r="G22" s="1002">
        <v>1850.84</v>
      </c>
      <c r="H22" s="539"/>
      <c r="I22" s="1063"/>
      <c r="J22" s="622"/>
      <c r="K22" s="982"/>
      <c r="L22" s="1027"/>
      <c r="M22" s="89"/>
    </row>
    <row r="23" spans="1:14" s="224" customFormat="1" ht="15" customHeight="1" x14ac:dyDescent="0.25">
      <c r="A23" s="215">
        <v>44110</v>
      </c>
      <c r="B23" s="349" t="s">
        <v>2744</v>
      </c>
      <c r="C23" s="887" t="s">
        <v>12</v>
      </c>
      <c r="D23" s="1005" t="s">
        <v>1525</v>
      </c>
      <c r="E23" s="887" t="s">
        <v>13</v>
      </c>
      <c r="F23" s="780">
        <v>172.07</v>
      </c>
      <c r="G23" s="982"/>
      <c r="H23" s="861"/>
      <c r="I23" s="1063"/>
      <c r="J23" s="622"/>
      <c r="K23" s="982"/>
      <c r="L23" s="927">
        <v>344.14</v>
      </c>
      <c r="M23" s="999"/>
    </row>
    <row r="24" spans="1:14" s="224" customFormat="1" ht="15" customHeight="1" x14ac:dyDescent="0.25">
      <c r="A24" s="215">
        <v>44110</v>
      </c>
      <c r="B24" s="349" t="s">
        <v>2744</v>
      </c>
      <c r="C24" s="887" t="s">
        <v>12</v>
      </c>
      <c r="D24" s="1005" t="s">
        <v>1522</v>
      </c>
      <c r="E24" s="887" t="s">
        <v>13</v>
      </c>
      <c r="F24" s="780">
        <v>166.66666666666666</v>
      </c>
      <c r="G24" s="982"/>
      <c r="H24" s="1008"/>
      <c r="I24" s="1063"/>
      <c r="J24" s="622"/>
      <c r="K24" s="982"/>
      <c r="L24" s="1029"/>
      <c r="M24" s="999"/>
      <c r="N24" s="930"/>
    </row>
    <row r="25" spans="1:14" s="224" customFormat="1" ht="15" customHeight="1" x14ac:dyDescent="0.25">
      <c r="A25" s="215">
        <v>44110</v>
      </c>
      <c r="B25" s="349" t="s">
        <v>2744</v>
      </c>
      <c r="C25" s="887" t="s">
        <v>12</v>
      </c>
      <c r="D25" s="1005" t="s">
        <v>1491</v>
      </c>
      <c r="E25" s="887" t="s">
        <v>13</v>
      </c>
      <c r="F25" s="780">
        <v>96.9</v>
      </c>
      <c r="G25" s="982"/>
      <c r="H25" s="1008"/>
      <c r="I25" s="1063"/>
      <c r="J25" s="622"/>
      <c r="K25" s="982"/>
      <c r="L25" s="861"/>
      <c r="N25" s="930"/>
    </row>
    <row r="26" spans="1:14" s="224" customFormat="1" ht="15" customHeight="1" x14ac:dyDescent="0.25">
      <c r="A26" s="215">
        <v>44110</v>
      </c>
      <c r="B26" s="349" t="s">
        <v>2744</v>
      </c>
      <c r="C26" s="887" t="s">
        <v>12</v>
      </c>
      <c r="D26" s="1005" t="s">
        <v>1491</v>
      </c>
      <c r="E26" s="887" t="s">
        <v>13</v>
      </c>
      <c r="F26" s="780">
        <v>85.81</v>
      </c>
      <c r="G26" s="982"/>
      <c r="H26" s="1008"/>
      <c r="I26" s="1063"/>
      <c r="J26" s="622"/>
      <c r="K26" s="982"/>
      <c r="L26" s="861"/>
    </row>
    <row r="27" spans="1:14" s="224" customFormat="1" ht="15" customHeight="1" x14ac:dyDescent="0.25">
      <c r="A27" s="215">
        <v>44110</v>
      </c>
      <c r="B27" s="349" t="s">
        <v>2744</v>
      </c>
      <c r="C27" s="887" t="s">
        <v>12</v>
      </c>
      <c r="D27" s="1005" t="s">
        <v>1506</v>
      </c>
      <c r="E27" s="887" t="s">
        <v>13</v>
      </c>
      <c r="F27" s="780">
        <v>25.4</v>
      </c>
      <c r="G27" s="967"/>
      <c r="H27" s="1008"/>
      <c r="I27" s="1063"/>
      <c r="J27" s="622"/>
      <c r="K27" s="982"/>
      <c r="L27" s="861"/>
    </row>
    <row r="28" spans="1:14" s="224" customFormat="1" ht="15" customHeight="1" x14ac:dyDescent="0.25">
      <c r="A28" s="215">
        <v>44110</v>
      </c>
      <c r="B28" s="349" t="s">
        <v>2744</v>
      </c>
      <c r="C28" s="887" t="s">
        <v>12</v>
      </c>
      <c r="D28" s="1005" t="s">
        <v>1491</v>
      </c>
      <c r="E28" s="887" t="s">
        <v>13</v>
      </c>
      <c r="F28" s="780">
        <v>17.5</v>
      </c>
      <c r="G28" s="982"/>
      <c r="H28" s="1008"/>
      <c r="I28" s="1063"/>
      <c r="J28" s="622"/>
      <c r="K28" s="982"/>
      <c r="L28" s="861"/>
    </row>
    <row r="29" spans="1:14" s="224" customFormat="1" ht="15" customHeight="1" x14ac:dyDescent="0.25">
      <c r="A29" s="215">
        <v>44110</v>
      </c>
      <c r="B29" s="349" t="s">
        <v>2744</v>
      </c>
      <c r="C29" s="887" t="s">
        <v>12</v>
      </c>
      <c r="D29" s="1005" t="s">
        <v>1506</v>
      </c>
      <c r="E29" s="887" t="s">
        <v>13</v>
      </c>
      <c r="F29" s="780">
        <v>24.5</v>
      </c>
      <c r="G29" s="982"/>
      <c r="H29" s="1008"/>
      <c r="I29" s="1063"/>
      <c r="J29" s="622"/>
      <c r="K29" s="982"/>
      <c r="L29" s="861"/>
    </row>
    <row r="30" spans="1:14" s="224" customFormat="1" ht="15" customHeight="1" x14ac:dyDescent="0.25">
      <c r="A30" s="215">
        <v>44110</v>
      </c>
      <c r="B30" s="862" t="s">
        <v>2385</v>
      </c>
      <c r="C30" s="879" t="s">
        <v>12</v>
      </c>
      <c r="D30" s="879" t="s">
        <v>1504</v>
      </c>
      <c r="E30" s="871" t="s">
        <v>13</v>
      </c>
      <c r="F30" s="780">
        <v>50</v>
      </c>
      <c r="G30" s="982"/>
      <c r="H30" s="1008"/>
      <c r="I30" s="1063"/>
      <c r="J30" s="622"/>
      <c r="K30" s="982"/>
      <c r="L30" s="1028">
        <v>90</v>
      </c>
      <c r="M30" s="999"/>
      <c r="N30" s="930"/>
    </row>
    <row r="31" spans="1:14" s="224" customFormat="1" ht="15" customHeight="1" x14ac:dyDescent="0.25">
      <c r="A31" s="215">
        <v>44110</v>
      </c>
      <c r="B31" s="882" t="s">
        <v>2745</v>
      </c>
      <c r="C31" s="879" t="s">
        <v>12</v>
      </c>
      <c r="D31" s="879" t="s">
        <v>1499</v>
      </c>
      <c r="E31" s="871" t="s">
        <v>13</v>
      </c>
      <c r="F31" s="780">
        <v>80</v>
      </c>
      <c r="G31" s="982"/>
      <c r="H31" s="1008"/>
      <c r="I31" s="1063"/>
      <c r="J31" s="622"/>
      <c r="K31" s="982"/>
      <c r="L31" s="861">
        <v>261.17</v>
      </c>
      <c r="M31" s="999"/>
    </row>
    <row r="32" spans="1:14" s="224" customFormat="1" ht="15" customHeight="1" x14ac:dyDescent="0.25">
      <c r="A32" s="215">
        <v>44110</v>
      </c>
      <c r="B32" s="349" t="s">
        <v>2746</v>
      </c>
      <c r="C32" s="352" t="s">
        <v>12</v>
      </c>
      <c r="D32" s="874" t="s">
        <v>1524</v>
      </c>
      <c r="E32" s="875" t="s">
        <v>15</v>
      </c>
      <c r="F32" s="852">
        <v>45</v>
      </c>
      <c r="G32" s="982"/>
      <c r="H32" s="1008"/>
      <c r="I32" s="1063"/>
      <c r="J32" s="622"/>
      <c r="K32" s="982"/>
      <c r="L32" s="861">
        <v>90</v>
      </c>
      <c r="M32" s="999"/>
    </row>
    <row r="33" spans="1:14" s="224" customFormat="1" ht="15" customHeight="1" x14ac:dyDescent="0.25">
      <c r="A33" s="215">
        <v>44110</v>
      </c>
      <c r="B33" s="364" t="s">
        <v>32</v>
      </c>
      <c r="C33" s="350" t="s">
        <v>12</v>
      </c>
      <c r="D33" s="350" t="s">
        <v>1485</v>
      </c>
      <c r="E33" s="875" t="s">
        <v>13</v>
      </c>
      <c r="F33" s="780">
        <v>15</v>
      </c>
      <c r="G33" s="946"/>
      <c r="H33" s="95"/>
      <c r="I33" s="1064"/>
      <c r="J33" s="97"/>
      <c r="K33" s="946"/>
      <c r="L33" s="926"/>
      <c r="M33" s="89"/>
      <c r="N33" s="930"/>
    </row>
    <row r="34" spans="1:14" s="224" customFormat="1" ht="15" customHeight="1" x14ac:dyDescent="0.25">
      <c r="A34" s="215">
        <v>44110</v>
      </c>
      <c r="B34" s="364" t="s">
        <v>14</v>
      </c>
      <c r="C34" s="350" t="s">
        <v>12</v>
      </c>
      <c r="D34" s="350" t="s">
        <v>1486</v>
      </c>
      <c r="E34" s="875" t="s">
        <v>13</v>
      </c>
      <c r="F34" s="852">
        <v>5.69</v>
      </c>
      <c r="G34" s="982"/>
      <c r="H34" s="1008"/>
      <c r="I34" s="1063"/>
      <c r="J34" s="622"/>
      <c r="K34" s="982"/>
      <c r="L34" s="861"/>
    </row>
    <row r="35" spans="1:14" s="224" customFormat="1" ht="15" customHeight="1" x14ac:dyDescent="0.25">
      <c r="A35" s="215">
        <v>44111</v>
      </c>
      <c r="B35" s="364" t="s">
        <v>1241</v>
      </c>
      <c r="C35" s="350" t="s">
        <v>12</v>
      </c>
      <c r="D35" s="350" t="s">
        <v>1504</v>
      </c>
      <c r="E35" s="875" t="s">
        <v>13</v>
      </c>
      <c r="F35" s="780">
        <v>10</v>
      </c>
      <c r="G35" s="982"/>
      <c r="H35" s="1008"/>
      <c r="I35" s="1063"/>
      <c r="J35" s="622"/>
      <c r="K35" s="982"/>
      <c r="L35" s="861"/>
    </row>
    <row r="36" spans="1:14" s="224" customFormat="1" ht="15" customHeight="1" x14ac:dyDescent="0.25">
      <c r="A36" s="215">
        <v>44111</v>
      </c>
      <c r="B36" s="364" t="s">
        <v>32</v>
      </c>
      <c r="C36" s="350" t="s">
        <v>12</v>
      </c>
      <c r="D36" s="350" t="s">
        <v>1485</v>
      </c>
      <c r="E36" s="875" t="s">
        <v>13</v>
      </c>
      <c r="F36" s="780">
        <v>15</v>
      </c>
      <c r="G36" s="946"/>
      <c r="H36" s="95"/>
      <c r="I36" s="1064"/>
      <c r="J36" s="97"/>
      <c r="K36" s="946"/>
      <c r="L36" s="926"/>
      <c r="M36" s="89"/>
      <c r="N36" s="930"/>
    </row>
    <row r="37" spans="1:14" s="224" customFormat="1" ht="15" customHeight="1" x14ac:dyDescent="0.25">
      <c r="A37" s="215">
        <v>44111</v>
      </c>
      <c r="B37" s="364" t="s">
        <v>14</v>
      </c>
      <c r="C37" s="350" t="s">
        <v>12</v>
      </c>
      <c r="D37" s="350" t="s">
        <v>1486</v>
      </c>
      <c r="E37" s="875" t="s">
        <v>13</v>
      </c>
      <c r="F37" s="780">
        <v>5.13</v>
      </c>
      <c r="G37" s="982"/>
      <c r="H37" s="1008"/>
      <c r="I37" s="1063"/>
      <c r="J37" s="622"/>
      <c r="K37" s="982"/>
      <c r="L37" s="861"/>
    </row>
    <row r="38" spans="1:14" s="224" customFormat="1" ht="15" customHeight="1" x14ac:dyDescent="0.25">
      <c r="A38" s="215">
        <v>44111</v>
      </c>
      <c r="B38" s="364" t="s">
        <v>2747</v>
      </c>
      <c r="C38" s="350" t="s">
        <v>19</v>
      </c>
      <c r="D38" s="350" t="s">
        <v>1506</v>
      </c>
      <c r="E38" s="875" t="s">
        <v>13</v>
      </c>
      <c r="F38" s="780">
        <v>10</v>
      </c>
      <c r="G38" s="982"/>
      <c r="H38" s="1008"/>
      <c r="I38" s="1063"/>
      <c r="J38" s="622"/>
      <c r="K38" s="982"/>
      <c r="L38" s="861"/>
    </row>
    <row r="39" spans="1:14" s="224" customFormat="1" ht="15" customHeight="1" x14ac:dyDescent="0.25">
      <c r="A39" s="215">
        <v>44111</v>
      </c>
      <c r="B39" s="364" t="s">
        <v>2748</v>
      </c>
      <c r="C39" s="350" t="s">
        <v>19</v>
      </c>
      <c r="D39" s="350" t="s">
        <v>1506</v>
      </c>
      <c r="E39" s="875" t="s">
        <v>13</v>
      </c>
      <c r="F39" s="780">
        <v>59.8</v>
      </c>
      <c r="G39" s="982"/>
      <c r="H39" s="1008"/>
      <c r="I39" s="1063"/>
      <c r="J39" s="622"/>
      <c r="K39" s="982"/>
      <c r="L39" s="861"/>
    </row>
    <row r="40" spans="1:14" s="224" customFormat="1" ht="15" customHeight="1" x14ac:dyDescent="0.25">
      <c r="A40" s="215">
        <v>44111</v>
      </c>
      <c r="B40" s="364" t="s">
        <v>2251</v>
      </c>
      <c r="C40" s="350" t="s">
        <v>19</v>
      </c>
      <c r="D40" s="350" t="s">
        <v>2157</v>
      </c>
      <c r="E40" s="875" t="s">
        <v>13</v>
      </c>
      <c r="F40" s="780">
        <v>80</v>
      </c>
      <c r="G40" s="982"/>
      <c r="H40" s="1008"/>
      <c r="I40" s="1063"/>
      <c r="J40" s="622"/>
      <c r="K40" s="982"/>
      <c r="L40" s="861"/>
    </row>
    <row r="41" spans="1:14" s="224" customFormat="1" ht="15" customHeight="1" x14ac:dyDescent="0.25">
      <c r="A41" s="215">
        <v>44111</v>
      </c>
      <c r="B41" s="349" t="s">
        <v>2749</v>
      </c>
      <c r="C41" s="887" t="s">
        <v>12</v>
      </c>
      <c r="D41" s="879" t="s">
        <v>1489</v>
      </c>
      <c r="E41" s="871" t="s">
        <v>13</v>
      </c>
      <c r="F41" s="780">
        <v>70</v>
      </c>
      <c r="G41" s="982"/>
      <c r="H41" s="1008"/>
      <c r="I41" s="1063"/>
      <c r="J41" s="622"/>
      <c r="K41" s="982"/>
      <c r="L41" s="1029" t="s">
        <v>2739</v>
      </c>
    </row>
    <row r="42" spans="1:14" s="224" customFormat="1" ht="15" customHeight="1" x14ac:dyDescent="0.25">
      <c r="A42" s="215">
        <v>44112</v>
      </c>
      <c r="B42" s="364" t="s">
        <v>32</v>
      </c>
      <c r="C42" s="350" t="s">
        <v>12</v>
      </c>
      <c r="D42" s="350" t="s">
        <v>1485</v>
      </c>
      <c r="E42" s="875" t="s">
        <v>13</v>
      </c>
      <c r="F42" s="780">
        <v>15</v>
      </c>
      <c r="G42" s="946"/>
      <c r="H42" s="95"/>
      <c r="I42" s="1064"/>
      <c r="J42" s="97"/>
      <c r="K42" s="946"/>
      <c r="L42" s="926"/>
      <c r="M42" s="89"/>
      <c r="N42" s="930"/>
    </row>
    <row r="43" spans="1:14" s="224" customFormat="1" ht="15" customHeight="1" x14ac:dyDescent="0.25">
      <c r="A43" s="215">
        <v>44112</v>
      </c>
      <c r="B43" s="364" t="s">
        <v>17</v>
      </c>
      <c r="C43" s="350" t="s">
        <v>12</v>
      </c>
      <c r="D43" s="350" t="s">
        <v>1493</v>
      </c>
      <c r="E43" s="875" t="s">
        <v>13</v>
      </c>
      <c r="F43" s="780">
        <v>5</v>
      </c>
      <c r="G43" s="982"/>
      <c r="H43" s="1008"/>
      <c r="I43" s="1063"/>
      <c r="J43" s="622"/>
      <c r="K43" s="982"/>
      <c r="L43" s="861"/>
    </row>
    <row r="44" spans="1:14" s="224" customFormat="1" ht="15" customHeight="1" x14ac:dyDescent="0.25">
      <c r="A44" s="215">
        <v>44112</v>
      </c>
      <c r="B44" s="364" t="s">
        <v>14</v>
      </c>
      <c r="C44" s="350" t="s">
        <v>12</v>
      </c>
      <c r="D44" s="350" t="s">
        <v>1486</v>
      </c>
      <c r="E44" s="875" t="s">
        <v>13</v>
      </c>
      <c r="F44" s="780">
        <v>10.76</v>
      </c>
      <c r="G44" s="982"/>
      <c r="H44" s="1008"/>
      <c r="I44" s="1063"/>
      <c r="J44" s="622"/>
      <c r="K44" s="982"/>
      <c r="L44" s="861"/>
    </row>
    <row r="45" spans="1:14" s="224" customFormat="1" ht="15" customHeight="1" x14ac:dyDescent="0.25">
      <c r="A45" s="215">
        <v>44113</v>
      </c>
      <c r="B45" s="364" t="s">
        <v>32</v>
      </c>
      <c r="C45" s="350" t="s">
        <v>12</v>
      </c>
      <c r="D45" s="350" t="s">
        <v>1485</v>
      </c>
      <c r="E45" s="875" t="s">
        <v>13</v>
      </c>
      <c r="F45" s="780">
        <v>15</v>
      </c>
      <c r="G45" s="946"/>
      <c r="H45" s="95"/>
      <c r="I45" s="1064"/>
      <c r="J45" s="97"/>
      <c r="K45" s="946"/>
      <c r="L45" s="926"/>
      <c r="M45" s="89"/>
      <c r="N45" s="930"/>
    </row>
    <row r="46" spans="1:14" s="224" customFormat="1" ht="15" customHeight="1" x14ac:dyDescent="0.25">
      <c r="A46" s="215">
        <v>44113</v>
      </c>
      <c r="B46" s="364" t="s">
        <v>2750</v>
      </c>
      <c r="C46" s="350" t="s">
        <v>12</v>
      </c>
      <c r="D46" s="350" t="s">
        <v>1493</v>
      </c>
      <c r="E46" s="875" t="s">
        <v>13</v>
      </c>
      <c r="F46" s="780">
        <v>38.94</v>
      </c>
      <c r="G46" s="982"/>
      <c r="H46" s="1008"/>
      <c r="I46" s="1063"/>
      <c r="J46" s="622"/>
      <c r="K46" s="982"/>
      <c r="L46" s="861"/>
    </row>
    <row r="47" spans="1:14" s="224" customFormat="1" ht="15" customHeight="1" x14ac:dyDescent="0.25">
      <c r="A47" s="215">
        <v>44113</v>
      </c>
      <c r="B47" s="364" t="s">
        <v>2751</v>
      </c>
      <c r="C47" s="350" t="s">
        <v>12</v>
      </c>
      <c r="D47" s="350" t="s">
        <v>1506</v>
      </c>
      <c r="E47" s="875" t="s">
        <v>13</v>
      </c>
      <c r="F47" s="780">
        <v>40</v>
      </c>
      <c r="G47" s="982"/>
      <c r="H47" s="1008"/>
      <c r="I47" s="1063"/>
      <c r="J47" s="622"/>
      <c r="K47" s="982"/>
      <c r="L47" s="861"/>
    </row>
    <row r="48" spans="1:14" s="224" customFormat="1" ht="15" customHeight="1" x14ac:dyDescent="0.25">
      <c r="A48" s="215">
        <v>44113</v>
      </c>
      <c r="B48" s="364" t="s">
        <v>256</v>
      </c>
      <c r="C48" s="350"/>
      <c r="D48" s="350"/>
      <c r="E48" s="875" t="s">
        <v>25</v>
      </c>
      <c r="F48" s="780"/>
      <c r="G48" s="1064">
        <v>300</v>
      </c>
      <c r="H48" s="97">
        <v>300</v>
      </c>
      <c r="I48" s="1063"/>
      <c r="J48" s="622"/>
      <c r="K48" s="982"/>
      <c r="L48" s="861"/>
    </row>
    <row r="49" spans="1:14" s="224" customFormat="1" ht="15" customHeight="1" x14ac:dyDescent="0.25">
      <c r="A49" s="215">
        <v>44113</v>
      </c>
      <c r="B49" s="364" t="s">
        <v>1597</v>
      </c>
      <c r="C49" s="350" t="s">
        <v>12</v>
      </c>
      <c r="D49" s="350" t="s">
        <v>1491</v>
      </c>
      <c r="E49" s="875" t="s">
        <v>15</v>
      </c>
      <c r="F49" s="780">
        <v>100</v>
      </c>
      <c r="G49" s="982"/>
      <c r="H49" s="1008"/>
      <c r="I49" s="1063"/>
      <c r="J49" s="622"/>
      <c r="K49" s="982"/>
      <c r="L49" s="861"/>
    </row>
    <row r="50" spans="1:14" s="224" customFormat="1" ht="15" customHeight="1" x14ac:dyDescent="0.25">
      <c r="A50" s="215">
        <v>44113</v>
      </c>
      <c r="B50" s="364" t="s">
        <v>14</v>
      </c>
      <c r="C50" s="350" t="s">
        <v>12</v>
      </c>
      <c r="D50" s="350" t="s">
        <v>1486</v>
      </c>
      <c r="E50" s="875" t="s">
        <v>13</v>
      </c>
      <c r="F50" s="780">
        <v>10.76</v>
      </c>
      <c r="G50" s="982"/>
      <c r="H50" s="1008"/>
      <c r="I50" s="1063"/>
      <c r="J50" s="622"/>
      <c r="K50" s="982"/>
      <c r="L50" s="861"/>
    </row>
    <row r="51" spans="1:14" s="224" customFormat="1" ht="15" customHeight="1" x14ac:dyDescent="0.25">
      <c r="A51" s="215">
        <v>44113</v>
      </c>
      <c r="B51" s="364" t="s">
        <v>2251</v>
      </c>
      <c r="C51" s="350" t="s">
        <v>19</v>
      </c>
      <c r="D51" s="350" t="s">
        <v>2157</v>
      </c>
      <c r="E51" s="875" t="s">
        <v>13</v>
      </c>
      <c r="F51" s="780">
        <v>40</v>
      </c>
      <c r="G51" s="982"/>
      <c r="H51" s="1008"/>
      <c r="I51" s="1063"/>
      <c r="J51" s="622"/>
      <c r="K51" s="982"/>
      <c r="L51" s="861"/>
    </row>
    <row r="52" spans="1:14" s="224" customFormat="1" ht="15" customHeight="1" x14ac:dyDescent="0.25">
      <c r="A52" s="215">
        <v>44113</v>
      </c>
      <c r="B52" s="364" t="s">
        <v>2750</v>
      </c>
      <c r="C52" s="350" t="s">
        <v>12</v>
      </c>
      <c r="D52" s="350" t="s">
        <v>1493</v>
      </c>
      <c r="E52" s="875" t="s">
        <v>13</v>
      </c>
      <c r="F52" s="780">
        <v>26.59</v>
      </c>
      <c r="G52" s="982"/>
      <c r="H52" s="1008"/>
      <c r="I52" s="1063"/>
      <c r="J52" s="622"/>
      <c r="K52" s="982"/>
      <c r="L52" s="861"/>
    </row>
    <row r="53" spans="1:14" s="224" customFormat="1" ht="15" customHeight="1" x14ac:dyDescent="0.25">
      <c r="A53" s="215">
        <v>44114</v>
      </c>
      <c r="B53" s="364" t="s">
        <v>14</v>
      </c>
      <c r="C53" s="350" t="s">
        <v>12</v>
      </c>
      <c r="D53" s="350" t="s">
        <v>1486</v>
      </c>
      <c r="E53" s="875" t="s">
        <v>13</v>
      </c>
      <c r="F53" s="780">
        <v>9.76</v>
      </c>
      <c r="G53" s="982"/>
      <c r="H53" s="1008"/>
      <c r="I53" s="1063"/>
      <c r="J53" s="622"/>
      <c r="K53" s="982"/>
      <c r="L53" s="861"/>
    </row>
    <row r="54" spans="1:14" s="224" customFormat="1" ht="15" customHeight="1" x14ac:dyDescent="0.25">
      <c r="A54" s="215">
        <v>44115</v>
      </c>
      <c r="B54" s="364" t="s">
        <v>2251</v>
      </c>
      <c r="C54" s="350" t="s">
        <v>19</v>
      </c>
      <c r="D54" s="350" t="s">
        <v>2157</v>
      </c>
      <c r="E54" s="875" t="s">
        <v>13</v>
      </c>
      <c r="F54" s="780">
        <v>60</v>
      </c>
      <c r="G54" s="982"/>
      <c r="H54" s="1008"/>
      <c r="I54" s="1063"/>
      <c r="J54" s="622"/>
      <c r="K54" s="982"/>
      <c r="L54" s="861"/>
    </row>
    <row r="55" spans="1:14" s="224" customFormat="1" ht="15" customHeight="1" x14ac:dyDescent="0.25">
      <c r="A55" s="215">
        <v>44115</v>
      </c>
      <c r="B55" s="364" t="s">
        <v>32</v>
      </c>
      <c r="C55" s="350" t="s">
        <v>12</v>
      </c>
      <c r="D55" s="350" t="s">
        <v>1485</v>
      </c>
      <c r="E55" s="875" t="s">
        <v>13</v>
      </c>
      <c r="F55" s="780">
        <v>53</v>
      </c>
      <c r="G55" s="946"/>
      <c r="H55" s="95"/>
      <c r="I55" s="1064"/>
      <c r="J55" s="97"/>
      <c r="K55" s="946"/>
      <c r="L55" s="926"/>
      <c r="M55" s="89"/>
      <c r="N55" s="930"/>
    </row>
    <row r="56" spans="1:14" s="224" customFormat="1" ht="15" customHeight="1" x14ac:dyDescent="0.25">
      <c r="A56" s="215">
        <v>44115</v>
      </c>
      <c r="B56" s="364" t="s">
        <v>2752</v>
      </c>
      <c r="C56" s="350" t="s">
        <v>12</v>
      </c>
      <c r="D56" s="350" t="s">
        <v>1493</v>
      </c>
      <c r="E56" s="875" t="s">
        <v>13</v>
      </c>
      <c r="F56" s="780">
        <v>29.95</v>
      </c>
      <c r="G56" s="982"/>
      <c r="H56" s="1008"/>
      <c r="I56" s="1063"/>
      <c r="J56" s="622"/>
      <c r="K56" s="982"/>
      <c r="L56" s="861"/>
    </row>
    <row r="57" spans="1:14" s="224" customFormat="1" ht="15" customHeight="1" x14ac:dyDescent="0.25">
      <c r="A57" s="215">
        <v>44116</v>
      </c>
      <c r="B57" s="364" t="s">
        <v>1241</v>
      </c>
      <c r="C57" s="350" t="s">
        <v>12</v>
      </c>
      <c r="D57" s="350" t="s">
        <v>1504</v>
      </c>
      <c r="E57" s="875" t="s">
        <v>13</v>
      </c>
      <c r="F57" s="780">
        <v>10</v>
      </c>
      <c r="G57" s="982"/>
      <c r="H57" s="1008"/>
      <c r="I57" s="1063"/>
      <c r="J57" s="622"/>
      <c r="K57" s="982"/>
      <c r="L57" s="861"/>
    </row>
    <row r="58" spans="1:14" s="224" customFormat="1" ht="15" customHeight="1" x14ac:dyDescent="0.25">
      <c r="A58" s="215">
        <v>44116</v>
      </c>
      <c r="B58" s="364" t="s">
        <v>17</v>
      </c>
      <c r="C58" s="350" t="s">
        <v>12</v>
      </c>
      <c r="D58" s="350" t="s">
        <v>1493</v>
      </c>
      <c r="E58" s="875" t="s">
        <v>13</v>
      </c>
      <c r="F58" s="780">
        <v>16</v>
      </c>
      <c r="G58" s="982"/>
      <c r="H58" s="1008"/>
      <c r="I58" s="1063"/>
      <c r="J58" s="622"/>
      <c r="K58" s="982"/>
      <c r="L58" s="861"/>
    </row>
    <row r="59" spans="1:14" s="224" customFormat="1" ht="15" customHeight="1" x14ac:dyDescent="0.25">
      <c r="A59" s="215">
        <v>44116</v>
      </c>
      <c r="B59" s="364" t="s">
        <v>2753</v>
      </c>
      <c r="C59" s="350" t="s">
        <v>12</v>
      </c>
      <c r="D59" s="350" t="s">
        <v>1506</v>
      </c>
      <c r="E59" s="875" t="s">
        <v>15</v>
      </c>
      <c r="F59" s="780">
        <v>30</v>
      </c>
      <c r="G59" s="982"/>
      <c r="H59" s="1008"/>
      <c r="I59" s="1063"/>
      <c r="J59" s="622"/>
      <c r="K59" s="982"/>
      <c r="L59" s="861"/>
    </row>
    <row r="60" spans="1:14" s="224" customFormat="1" ht="15" customHeight="1" x14ac:dyDescent="0.25">
      <c r="A60" s="215">
        <v>44116</v>
      </c>
      <c r="B60" s="364" t="s">
        <v>2754</v>
      </c>
      <c r="C60" s="350" t="s">
        <v>12</v>
      </c>
      <c r="D60" s="350" t="s">
        <v>1489</v>
      </c>
      <c r="E60" s="875" t="s">
        <v>15</v>
      </c>
      <c r="F60" s="780">
        <v>20</v>
      </c>
      <c r="G60" s="982"/>
      <c r="H60" s="1008"/>
      <c r="I60" s="1063"/>
      <c r="J60" s="622"/>
      <c r="K60" s="982"/>
      <c r="L60" s="861"/>
    </row>
    <row r="61" spans="1:14" s="224" customFormat="1" ht="15" customHeight="1" x14ac:dyDescent="0.25">
      <c r="A61" s="215">
        <v>44116</v>
      </c>
      <c r="B61" s="364" t="s">
        <v>2251</v>
      </c>
      <c r="C61" s="350" t="s">
        <v>12</v>
      </c>
      <c r="D61" s="350" t="s">
        <v>2157</v>
      </c>
      <c r="E61" s="875" t="s">
        <v>13</v>
      </c>
      <c r="F61" s="780">
        <v>120</v>
      </c>
      <c r="G61" s="982"/>
      <c r="H61" s="1008"/>
      <c r="I61" s="1063"/>
      <c r="J61" s="622"/>
      <c r="K61" s="982"/>
      <c r="L61" s="861"/>
    </row>
    <row r="62" spans="1:14" s="224" customFormat="1" ht="15" customHeight="1" x14ac:dyDescent="0.25">
      <c r="A62" s="215">
        <v>44117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15</v>
      </c>
      <c r="G62" s="946"/>
      <c r="H62" s="95"/>
      <c r="I62" s="1064"/>
      <c r="J62" s="97"/>
      <c r="K62" s="946"/>
      <c r="L62" s="926"/>
      <c r="M62" s="89"/>
      <c r="N62" s="930"/>
    </row>
    <row r="63" spans="1:14" s="224" customFormat="1" ht="15" customHeight="1" x14ac:dyDescent="0.25">
      <c r="A63" s="215">
        <v>44117</v>
      </c>
      <c r="B63" s="364" t="s">
        <v>2755</v>
      </c>
      <c r="C63" s="350" t="s">
        <v>12</v>
      </c>
      <c r="D63" s="350" t="s">
        <v>1491</v>
      </c>
      <c r="E63" s="875" t="s">
        <v>15</v>
      </c>
      <c r="F63" s="780">
        <v>70</v>
      </c>
      <c r="G63" s="982"/>
      <c r="H63" s="1008"/>
      <c r="I63" s="1063"/>
      <c r="J63" s="622"/>
      <c r="K63" s="982"/>
      <c r="L63" s="861"/>
    </row>
    <row r="64" spans="1:14" s="224" customFormat="1" ht="15" customHeight="1" x14ac:dyDescent="0.25">
      <c r="A64" s="215">
        <v>44116</v>
      </c>
      <c r="B64" s="364" t="s">
        <v>2251</v>
      </c>
      <c r="C64" s="350" t="s">
        <v>12</v>
      </c>
      <c r="D64" s="350" t="s">
        <v>2157</v>
      </c>
      <c r="E64" s="875" t="s">
        <v>15</v>
      </c>
      <c r="F64" s="780">
        <v>40</v>
      </c>
      <c r="G64" s="982"/>
      <c r="H64" s="1008"/>
      <c r="I64" s="1063"/>
      <c r="J64" s="622"/>
      <c r="K64" s="982"/>
      <c r="L64" s="861"/>
    </row>
    <row r="65" spans="1:14" s="224" customFormat="1" ht="15" customHeight="1" x14ac:dyDescent="0.25">
      <c r="A65" s="215">
        <v>44117</v>
      </c>
      <c r="B65" s="364" t="s">
        <v>2756</v>
      </c>
      <c r="C65" s="350" t="s">
        <v>12</v>
      </c>
      <c r="D65" s="350" t="s">
        <v>1489</v>
      </c>
      <c r="E65" s="875" t="s">
        <v>15</v>
      </c>
      <c r="F65" s="780">
        <v>13.4</v>
      </c>
      <c r="G65" s="982"/>
      <c r="H65" s="1008"/>
      <c r="I65" s="1063"/>
      <c r="J65" s="622"/>
      <c r="K65" s="982"/>
      <c r="L65" s="861"/>
    </row>
    <row r="66" spans="1:14" s="224" customFormat="1" ht="15" customHeight="1" x14ac:dyDescent="0.25">
      <c r="A66" s="215">
        <v>44117</v>
      </c>
      <c r="B66" s="364" t="s">
        <v>2757</v>
      </c>
      <c r="C66" s="350" t="s">
        <v>12</v>
      </c>
      <c r="D66" s="350" t="s">
        <v>1489</v>
      </c>
      <c r="E66" s="875" t="s">
        <v>13</v>
      </c>
      <c r="F66" s="780">
        <v>15.9</v>
      </c>
      <c r="G66" s="982"/>
      <c r="H66" s="1008"/>
      <c r="I66" s="1063"/>
      <c r="J66" s="622"/>
      <c r="K66" s="982"/>
      <c r="L66" s="861"/>
    </row>
    <row r="67" spans="1:14" s="224" customFormat="1" ht="15" customHeight="1" x14ac:dyDescent="0.25">
      <c r="A67" s="215">
        <v>44118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780">
        <v>14</v>
      </c>
      <c r="G67" s="946"/>
      <c r="H67" s="95"/>
      <c r="I67" s="1064"/>
      <c r="J67" s="97"/>
      <c r="K67" s="946"/>
      <c r="L67" s="926"/>
      <c r="M67" s="89"/>
      <c r="N67" s="930"/>
    </row>
    <row r="68" spans="1:14" s="224" customFormat="1" ht="15" customHeight="1" x14ac:dyDescent="0.25">
      <c r="A68" s="215">
        <v>44118</v>
      </c>
      <c r="B68" s="364" t="s">
        <v>14</v>
      </c>
      <c r="C68" s="350" t="s">
        <v>12</v>
      </c>
      <c r="D68" s="350" t="s">
        <v>1486</v>
      </c>
      <c r="E68" s="875" t="s">
        <v>13</v>
      </c>
      <c r="F68" s="780">
        <v>4.97</v>
      </c>
      <c r="G68" s="982"/>
      <c r="H68" s="1008"/>
      <c r="I68" s="1063"/>
      <c r="J68" s="622"/>
      <c r="K68" s="982"/>
      <c r="L68" s="861"/>
    </row>
    <row r="69" spans="1:14" s="224" customFormat="1" ht="15" customHeight="1" x14ac:dyDescent="0.25">
      <c r="A69" s="215">
        <v>44118</v>
      </c>
      <c r="B69" s="364" t="s">
        <v>1396</v>
      </c>
      <c r="C69" s="350" t="s">
        <v>12</v>
      </c>
      <c r="D69" s="350"/>
      <c r="E69" s="480" t="s">
        <v>25</v>
      </c>
      <c r="F69" s="613"/>
      <c r="G69" s="967">
        <v>45</v>
      </c>
      <c r="H69" s="1008"/>
      <c r="I69" s="1063"/>
      <c r="J69" s="622"/>
      <c r="K69" s="982"/>
      <c r="L69" s="861"/>
    </row>
    <row r="70" spans="1:14" s="224" customFormat="1" ht="15" customHeight="1" x14ac:dyDescent="0.25">
      <c r="A70" s="215">
        <v>44119</v>
      </c>
      <c r="B70" s="364" t="s">
        <v>32</v>
      </c>
      <c r="C70" s="350" t="s">
        <v>12</v>
      </c>
      <c r="D70" s="350" t="s">
        <v>1485</v>
      </c>
      <c r="E70" s="875" t="s">
        <v>13</v>
      </c>
      <c r="F70" s="780">
        <v>15</v>
      </c>
      <c r="G70" s="946"/>
      <c r="H70" s="95"/>
      <c r="I70" s="1064"/>
      <c r="J70" s="97"/>
      <c r="K70" s="946"/>
      <c r="L70" s="926"/>
      <c r="M70" s="89"/>
      <c r="N70" s="930"/>
    </row>
    <row r="71" spans="1:14" s="224" customFormat="1" ht="15" customHeight="1" x14ac:dyDescent="0.25">
      <c r="A71" s="215">
        <v>44119</v>
      </c>
      <c r="B71" s="364" t="s">
        <v>2251</v>
      </c>
      <c r="C71" s="350" t="s">
        <v>12</v>
      </c>
      <c r="D71" s="350" t="s">
        <v>2157</v>
      </c>
      <c r="E71" s="875" t="s">
        <v>15</v>
      </c>
      <c r="F71" s="780">
        <v>50</v>
      </c>
      <c r="G71" s="982"/>
      <c r="H71" s="1008"/>
      <c r="I71" s="1063"/>
      <c r="J71" s="622"/>
      <c r="K71" s="982"/>
      <c r="L71" s="861"/>
    </row>
    <row r="72" spans="1:14" s="224" customFormat="1" ht="15" customHeight="1" x14ac:dyDescent="0.25">
      <c r="A72" s="215">
        <v>44119</v>
      </c>
      <c r="B72" s="364" t="s">
        <v>2758</v>
      </c>
      <c r="C72" s="350" t="s">
        <v>19</v>
      </c>
      <c r="D72" s="350" t="s">
        <v>1489</v>
      </c>
      <c r="E72" s="875" t="s">
        <v>13</v>
      </c>
      <c r="F72" s="780">
        <v>40</v>
      </c>
      <c r="G72" s="946"/>
      <c r="H72" s="95"/>
      <c r="I72" s="1064"/>
      <c r="J72" s="97"/>
      <c r="K72" s="946"/>
      <c r="L72" s="926"/>
      <c r="M72" s="89"/>
      <c r="N72" s="930"/>
    </row>
    <row r="73" spans="1:14" s="224" customFormat="1" ht="15" customHeight="1" x14ac:dyDescent="0.25">
      <c r="A73" s="215">
        <v>44119</v>
      </c>
      <c r="B73" s="364" t="s">
        <v>1438</v>
      </c>
      <c r="C73" s="350" t="s">
        <v>19</v>
      </c>
      <c r="D73" s="350" t="s">
        <v>1489</v>
      </c>
      <c r="E73" s="875" t="s">
        <v>13</v>
      </c>
      <c r="F73" s="780">
        <v>77</v>
      </c>
      <c r="G73" s="982"/>
      <c r="H73" s="1008"/>
      <c r="I73" s="1063"/>
      <c r="J73" s="622"/>
      <c r="K73" s="982"/>
      <c r="L73" s="861"/>
    </row>
    <row r="74" spans="1:14" s="224" customFormat="1" ht="15" customHeight="1" x14ac:dyDescent="0.25">
      <c r="A74" s="215">
        <v>44119</v>
      </c>
      <c r="B74" s="364" t="s">
        <v>256</v>
      </c>
      <c r="C74" s="350"/>
      <c r="D74" s="350"/>
      <c r="E74" s="875" t="s">
        <v>25</v>
      </c>
      <c r="F74" s="780"/>
      <c r="G74" s="1064">
        <v>300</v>
      </c>
      <c r="H74" s="97">
        <v>300</v>
      </c>
      <c r="I74" s="1063"/>
      <c r="J74" s="622"/>
      <c r="K74" s="982"/>
      <c r="L74" s="861"/>
    </row>
    <row r="75" spans="1:14" s="224" customFormat="1" ht="15" customHeight="1" x14ac:dyDescent="0.25">
      <c r="A75" s="215">
        <v>44120</v>
      </c>
      <c r="B75" s="882" t="s">
        <v>2759</v>
      </c>
      <c r="C75" s="879" t="s">
        <v>12</v>
      </c>
      <c r="D75" s="879" t="s">
        <v>1499</v>
      </c>
      <c r="E75" s="871" t="s">
        <v>13</v>
      </c>
      <c r="F75" s="780">
        <v>60</v>
      </c>
      <c r="G75" s="982"/>
      <c r="H75" s="1008"/>
      <c r="I75" s="1063"/>
      <c r="J75" s="622"/>
      <c r="K75" s="982"/>
      <c r="L75" s="1029">
        <v>159</v>
      </c>
      <c r="M75" s="1027"/>
      <c r="N75" s="930"/>
    </row>
    <row r="76" spans="1:14" s="224" customFormat="1" ht="15" customHeight="1" x14ac:dyDescent="0.25">
      <c r="A76" s="215">
        <v>44120</v>
      </c>
      <c r="B76" s="862" t="s">
        <v>2302</v>
      </c>
      <c r="C76" s="350" t="s">
        <v>12</v>
      </c>
      <c r="D76" s="874" t="s">
        <v>1504</v>
      </c>
      <c r="E76" s="887" t="s">
        <v>13</v>
      </c>
      <c r="F76" s="852">
        <v>77</v>
      </c>
      <c r="G76" s="982"/>
      <c r="H76" s="1009"/>
      <c r="I76" s="1063"/>
      <c r="J76" s="853"/>
      <c r="K76" s="982"/>
      <c r="L76" s="861">
        <v>156.97999999999999</v>
      </c>
      <c r="M76" s="927"/>
      <c r="N76" s="930"/>
    </row>
    <row r="77" spans="1:14" s="224" customFormat="1" ht="15" customHeight="1" x14ac:dyDescent="0.25">
      <c r="A77" s="215">
        <v>44120</v>
      </c>
      <c r="B77" s="364" t="s">
        <v>2760</v>
      </c>
      <c r="C77" s="350" t="s">
        <v>12</v>
      </c>
      <c r="D77" s="350" t="s">
        <v>1489</v>
      </c>
      <c r="E77" s="875" t="s">
        <v>13</v>
      </c>
      <c r="F77" s="780">
        <v>3.5</v>
      </c>
      <c r="G77" s="982"/>
      <c r="H77" s="1008"/>
      <c r="I77" s="1063"/>
      <c r="J77" s="622"/>
      <c r="K77" s="982"/>
      <c r="L77" s="861"/>
      <c r="N77" s="930"/>
    </row>
    <row r="78" spans="1:14" s="224" customFormat="1" ht="15" customHeight="1" x14ac:dyDescent="0.25">
      <c r="A78" s="215">
        <v>44120</v>
      </c>
      <c r="B78" s="364" t="s">
        <v>14</v>
      </c>
      <c r="C78" s="350" t="s">
        <v>12</v>
      </c>
      <c r="D78" s="350" t="s">
        <v>1486</v>
      </c>
      <c r="E78" s="875" t="s">
        <v>13</v>
      </c>
      <c r="F78" s="780">
        <v>8.9700000000000006</v>
      </c>
      <c r="G78" s="982"/>
      <c r="H78" s="1008"/>
      <c r="I78" s="1063"/>
      <c r="J78" s="622"/>
      <c r="K78" s="982"/>
      <c r="L78" s="861"/>
      <c r="N78" s="930"/>
    </row>
    <row r="79" spans="1:14" s="224" customFormat="1" ht="15" customHeight="1" x14ac:dyDescent="0.25">
      <c r="A79" s="215">
        <v>44121</v>
      </c>
      <c r="B79" s="364" t="s">
        <v>82</v>
      </c>
      <c r="C79" s="350" t="s">
        <v>12</v>
      </c>
      <c r="D79" s="350" t="s">
        <v>1493</v>
      </c>
      <c r="E79" s="875" t="s">
        <v>13</v>
      </c>
      <c r="F79" s="780">
        <v>36.9</v>
      </c>
      <c r="G79" s="982"/>
      <c r="H79" s="1008"/>
      <c r="I79" s="1063"/>
      <c r="J79" s="622"/>
      <c r="K79" s="982"/>
      <c r="L79" s="861"/>
      <c r="N79" s="930"/>
    </row>
    <row r="80" spans="1:14" s="224" customFormat="1" ht="15" customHeight="1" x14ac:dyDescent="0.25">
      <c r="A80" s="215">
        <v>44122</v>
      </c>
      <c r="B80" s="364" t="s">
        <v>14</v>
      </c>
      <c r="C80" s="350" t="s">
        <v>12</v>
      </c>
      <c r="D80" s="350" t="s">
        <v>1486</v>
      </c>
      <c r="E80" s="875" t="s">
        <v>13</v>
      </c>
      <c r="F80" s="780">
        <v>7.71</v>
      </c>
      <c r="G80" s="982"/>
      <c r="H80" s="1008"/>
      <c r="I80" s="1063"/>
      <c r="J80" s="622"/>
      <c r="K80" s="982"/>
      <c r="L80" s="861"/>
      <c r="N80" s="930"/>
    </row>
    <row r="81" spans="1:14" s="224" customFormat="1" ht="15" customHeight="1" x14ac:dyDescent="0.25">
      <c r="A81" s="215">
        <v>44122</v>
      </c>
      <c r="B81" s="364" t="s">
        <v>2564</v>
      </c>
      <c r="C81" s="350" t="s">
        <v>12</v>
      </c>
      <c r="D81" s="350" t="s">
        <v>1485</v>
      </c>
      <c r="E81" s="875" t="s">
        <v>13</v>
      </c>
      <c r="F81" s="780">
        <v>38</v>
      </c>
      <c r="G81" s="982"/>
      <c r="H81" s="1008"/>
      <c r="I81" s="1063"/>
      <c r="J81" s="622"/>
      <c r="K81" s="982"/>
      <c r="L81" s="861"/>
      <c r="N81" s="930"/>
    </row>
    <row r="82" spans="1:14" s="224" customFormat="1" ht="15" customHeight="1" x14ac:dyDescent="0.25">
      <c r="A82" s="215">
        <v>44123</v>
      </c>
      <c r="B82" s="364" t="s">
        <v>2761</v>
      </c>
      <c r="C82" s="350" t="s">
        <v>19</v>
      </c>
      <c r="D82" s="350" t="s">
        <v>1506</v>
      </c>
      <c r="E82" s="875" t="s">
        <v>13</v>
      </c>
      <c r="F82" s="780">
        <v>70</v>
      </c>
      <c r="G82" s="982"/>
      <c r="H82" s="1008"/>
      <c r="I82" s="1063"/>
      <c r="J82" s="622"/>
      <c r="K82" s="982"/>
      <c r="L82" s="861"/>
      <c r="M82" s="927"/>
    </row>
    <row r="83" spans="1:14" s="224" customFormat="1" ht="15" customHeight="1" x14ac:dyDescent="0.25">
      <c r="A83" s="215">
        <v>44123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780">
        <v>15</v>
      </c>
      <c r="G83" s="946"/>
      <c r="H83" s="95"/>
      <c r="I83" s="1064"/>
      <c r="J83" s="97"/>
      <c r="K83" s="946"/>
      <c r="L83" s="926"/>
      <c r="M83" s="89"/>
      <c r="N83" s="930"/>
    </row>
    <row r="84" spans="1:14" s="224" customFormat="1" ht="15" customHeight="1" x14ac:dyDescent="0.25">
      <c r="A84" s="215">
        <v>44124</v>
      </c>
      <c r="B84" s="882" t="s">
        <v>2762</v>
      </c>
      <c r="C84" s="350" t="s">
        <v>12</v>
      </c>
      <c r="D84" s="350"/>
      <c r="E84" s="480" t="s">
        <v>25</v>
      </c>
      <c r="F84" s="622"/>
      <c r="G84" s="982">
        <v>1660</v>
      </c>
      <c r="H84" s="1008"/>
      <c r="I84" s="1063"/>
      <c r="J84" s="622"/>
      <c r="K84" s="982"/>
      <c r="L84" s="861"/>
    </row>
    <row r="85" spans="1:14" s="224" customFormat="1" x14ac:dyDescent="0.25">
      <c r="A85" s="215">
        <v>44124</v>
      </c>
      <c r="B85" s="873" t="s">
        <v>2590</v>
      </c>
      <c r="C85" s="879" t="s">
        <v>12</v>
      </c>
      <c r="D85" s="350" t="s">
        <v>1491</v>
      </c>
      <c r="E85" s="871" t="s">
        <v>15</v>
      </c>
      <c r="F85" s="622">
        <v>75</v>
      </c>
      <c r="G85" s="982"/>
      <c r="H85" s="1008"/>
      <c r="I85" s="1063"/>
      <c r="J85" s="622"/>
      <c r="K85" s="982"/>
      <c r="L85" s="1028"/>
    </row>
    <row r="86" spans="1:14" x14ac:dyDescent="0.25">
      <c r="A86" s="215">
        <v>44124</v>
      </c>
      <c r="B86" s="876" t="s">
        <v>2712</v>
      </c>
      <c r="C86" s="879" t="s">
        <v>12</v>
      </c>
      <c r="D86" s="879" t="s">
        <v>1496</v>
      </c>
      <c r="E86" s="871" t="s">
        <v>15</v>
      </c>
      <c r="F86" s="780">
        <v>70</v>
      </c>
      <c r="G86" s="982"/>
      <c r="H86" s="1009"/>
      <c r="I86" s="1063"/>
      <c r="J86" s="622"/>
      <c r="K86" s="982"/>
      <c r="L86" s="1029"/>
    </row>
    <row r="87" spans="1:14" s="224" customFormat="1" ht="15" customHeight="1" x14ac:dyDescent="0.25">
      <c r="A87" s="215">
        <v>44124</v>
      </c>
      <c r="B87" s="364" t="s">
        <v>1241</v>
      </c>
      <c r="C87" s="350" t="s">
        <v>12</v>
      </c>
      <c r="D87" s="350" t="s">
        <v>1504</v>
      </c>
      <c r="E87" s="875" t="s">
        <v>15</v>
      </c>
      <c r="F87" s="780">
        <v>10</v>
      </c>
      <c r="G87" s="982"/>
      <c r="H87" s="1008"/>
      <c r="I87" s="1063"/>
      <c r="J87" s="622"/>
      <c r="K87" s="982"/>
      <c r="L87" s="861"/>
    </row>
    <row r="88" spans="1:14" s="224" customFormat="1" ht="15" customHeight="1" x14ac:dyDescent="0.25">
      <c r="A88" s="215">
        <v>44124</v>
      </c>
      <c r="B88" s="364" t="s">
        <v>32</v>
      </c>
      <c r="C88" s="350" t="s">
        <v>12</v>
      </c>
      <c r="D88" s="350" t="s">
        <v>1485</v>
      </c>
      <c r="E88" s="875" t="s">
        <v>13</v>
      </c>
      <c r="F88" s="780">
        <v>15</v>
      </c>
      <c r="G88" s="946"/>
      <c r="H88" s="95"/>
      <c r="I88" s="1064"/>
      <c r="J88" s="97"/>
      <c r="K88" s="946"/>
      <c r="L88" s="926"/>
      <c r="M88" s="89"/>
      <c r="N88" s="930"/>
    </row>
    <row r="89" spans="1:14" s="224" customFormat="1" ht="15" customHeight="1" x14ac:dyDescent="0.25">
      <c r="A89" s="215">
        <v>44124</v>
      </c>
      <c r="B89" s="349" t="s">
        <v>260</v>
      </c>
      <c r="C89" s="350" t="s">
        <v>12</v>
      </c>
      <c r="D89" s="350"/>
      <c r="E89" s="480"/>
      <c r="F89" s="780">
        <v>400</v>
      </c>
      <c r="G89" s="946"/>
      <c r="H89" s="95"/>
      <c r="I89" s="1064">
        <v>400</v>
      </c>
      <c r="J89" s="622"/>
      <c r="K89" s="982"/>
      <c r="L89" s="861"/>
    </row>
    <row r="90" spans="1:14" s="224" customFormat="1" ht="15" customHeight="1" x14ac:dyDescent="0.25">
      <c r="A90" s="215">
        <v>44124</v>
      </c>
      <c r="B90" s="364" t="s">
        <v>14</v>
      </c>
      <c r="C90" s="350" t="s">
        <v>12</v>
      </c>
      <c r="D90" s="350" t="s">
        <v>1486</v>
      </c>
      <c r="E90" s="875" t="s">
        <v>13</v>
      </c>
      <c r="F90" s="852">
        <v>5.7</v>
      </c>
      <c r="G90" s="957"/>
      <c r="H90" s="622"/>
      <c r="I90" s="982"/>
      <c r="J90" s="622"/>
      <c r="K90" s="982"/>
      <c r="L90" s="927"/>
    </row>
    <row r="91" spans="1:14" s="224" customFormat="1" ht="15" customHeight="1" x14ac:dyDescent="0.25">
      <c r="A91" s="215">
        <v>44124</v>
      </c>
      <c r="B91" s="349" t="s">
        <v>2603</v>
      </c>
      <c r="C91" s="879" t="s">
        <v>12</v>
      </c>
      <c r="D91" s="879" t="s">
        <v>1491</v>
      </c>
      <c r="E91" s="871" t="s">
        <v>15</v>
      </c>
      <c r="F91" s="852">
        <v>75</v>
      </c>
      <c r="G91" s="957"/>
      <c r="H91" s="622"/>
      <c r="I91" s="982"/>
      <c r="J91" s="622"/>
      <c r="K91" s="982"/>
      <c r="L91" s="927"/>
    </row>
    <row r="92" spans="1:14" s="224" customFormat="1" ht="15" customHeight="1" x14ac:dyDescent="0.25">
      <c r="A92" s="215">
        <v>44125</v>
      </c>
      <c r="B92" s="364" t="s">
        <v>32</v>
      </c>
      <c r="C92" s="350" t="s">
        <v>12</v>
      </c>
      <c r="D92" s="350" t="s">
        <v>1485</v>
      </c>
      <c r="E92" s="875" t="s">
        <v>13</v>
      </c>
      <c r="F92" s="780">
        <v>15</v>
      </c>
      <c r="G92" s="946"/>
      <c r="H92" s="95"/>
      <c r="I92" s="1064"/>
      <c r="J92" s="97"/>
      <c r="K92" s="946"/>
      <c r="L92" s="926"/>
      <c r="M92" s="89"/>
      <c r="N92" s="930"/>
    </row>
    <row r="93" spans="1:14" s="224" customFormat="1" ht="15" customHeight="1" x14ac:dyDescent="0.25">
      <c r="A93" s="215">
        <v>44125</v>
      </c>
      <c r="B93" s="364" t="s">
        <v>2452</v>
      </c>
      <c r="C93" s="350" t="s">
        <v>12</v>
      </c>
      <c r="D93" s="350" t="s">
        <v>2168</v>
      </c>
      <c r="E93" s="875" t="s">
        <v>15</v>
      </c>
      <c r="F93" s="780">
        <v>29.2</v>
      </c>
      <c r="G93" s="1063"/>
      <c r="H93" s="622"/>
      <c r="I93" s="982"/>
      <c r="J93" s="622"/>
      <c r="K93" s="982"/>
      <c r="L93" s="927"/>
    </row>
    <row r="94" spans="1:14" s="224" customFormat="1" ht="15" customHeight="1" x14ac:dyDescent="0.25">
      <c r="A94" s="215">
        <v>44125</v>
      </c>
      <c r="B94" s="364" t="s">
        <v>14</v>
      </c>
      <c r="C94" s="350" t="s">
        <v>12</v>
      </c>
      <c r="D94" s="350" t="s">
        <v>1486</v>
      </c>
      <c r="E94" s="875" t="s">
        <v>13</v>
      </c>
      <c r="F94" s="780">
        <v>4.0199999999999996</v>
      </c>
      <c r="G94" s="1063"/>
      <c r="H94" s="622"/>
      <c r="I94" s="982"/>
      <c r="J94" s="622"/>
      <c r="K94" s="982"/>
      <c r="L94" s="927"/>
    </row>
    <row r="95" spans="1:14" s="224" customFormat="1" ht="15" customHeight="1" x14ac:dyDescent="0.25">
      <c r="A95" s="215">
        <v>44126</v>
      </c>
      <c r="B95" s="364" t="s">
        <v>32</v>
      </c>
      <c r="C95" s="350" t="s">
        <v>12</v>
      </c>
      <c r="D95" s="350" t="s">
        <v>1485</v>
      </c>
      <c r="E95" s="875" t="s">
        <v>15</v>
      </c>
      <c r="F95" s="780">
        <v>15</v>
      </c>
      <c r="G95" s="946"/>
      <c r="H95" s="95"/>
      <c r="I95" s="1064"/>
      <c r="J95" s="97"/>
      <c r="K95" s="946"/>
      <c r="L95" s="926"/>
      <c r="M95" s="89"/>
      <c r="N95" s="930"/>
    </row>
    <row r="96" spans="1:14" s="224" customFormat="1" ht="15" customHeight="1" x14ac:dyDescent="0.25">
      <c r="A96" s="215">
        <v>44126</v>
      </c>
      <c r="B96" s="364" t="s">
        <v>17</v>
      </c>
      <c r="C96" s="350" t="s">
        <v>12</v>
      </c>
      <c r="D96" s="350" t="s">
        <v>1493</v>
      </c>
      <c r="E96" s="875" t="s">
        <v>15</v>
      </c>
      <c r="F96" s="780">
        <v>6</v>
      </c>
      <c r="G96" s="982"/>
      <c r="H96" s="1008"/>
      <c r="I96" s="1063"/>
      <c r="J96" s="622"/>
      <c r="K96" s="982"/>
      <c r="L96" s="861"/>
    </row>
    <row r="97" spans="1:14" s="224" customFormat="1" ht="15" customHeight="1" x14ac:dyDescent="0.25">
      <c r="A97" s="215">
        <v>44126</v>
      </c>
      <c r="B97" s="364" t="s">
        <v>2251</v>
      </c>
      <c r="C97" s="350" t="s">
        <v>19</v>
      </c>
      <c r="D97" s="350" t="s">
        <v>2157</v>
      </c>
      <c r="E97" s="875" t="s">
        <v>13</v>
      </c>
      <c r="F97" s="780">
        <v>75</v>
      </c>
      <c r="G97" s="982"/>
      <c r="H97" s="1008"/>
      <c r="I97" s="1063"/>
      <c r="J97" s="622"/>
      <c r="K97" s="982"/>
      <c r="L97" s="861"/>
    </row>
    <row r="98" spans="1:14" s="224" customFormat="1" ht="15" customHeight="1" x14ac:dyDescent="0.25">
      <c r="A98" s="215">
        <v>44126</v>
      </c>
      <c r="B98" s="364" t="s">
        <v>2763</v>
      </c>
      <c r="C98" s="350" t="s">
        <v>19</v>
      </c>
      <c r="D98" s="350" t="s">
        <v>1506</v>
      </c>
      <c r="E98" s="875" t="s">
        <v>13</v>
      </c>
      <c r="F98" s="780">
        <v>29.98</v>
      </c>
      <c r="G98" s="982"/>
      <c r="H98" s="1008"/>
      <c r="I98" s="1063"/>
      <c r="J98" s="622"/>
      <c r="K98" s="982"/>
      <c r="L98" s="861"/>
    </row>
    <row r="99" spans="1:14" s="224" customFormat="1" ht="15" customHeight="1" x14ac:dyDescent="0.25">
      <c r="A99" s="215">
        <v>44126</v>
      </c>
      <c r="B99" s="364" t="s">
        <v>2764</v>
      </c>
      <c r="C99" s="350" t="s">
        <v>19</v>
      </c>
      <c r="D99" s="350" t="s">
        <v>1506</v>
      </c>
      <c r="E99" s="875" t="s">
        <v>13</v>
      </c>
      <c r="F99" s="780">
        <v>50</v>
      </c>
      <c r="G99" s="982"/>
      <c r="H99" s="1008"/>
      <c r="I99" s="1063"/>
      <c r="J99" s="622"/>
      <c r="K99" s="982"/>
      <c r="L99" s="861"/>
    </row>
    <row r="100" spans="1:14" s="224" customFormat="1" ht="15" customHeight="1" x14ac:dyDescent="0.25">
      <c r="A100" s="215">
        <v>44126</v>
      </c>
      <c r="B100" s="364" t="s">
        <v>2765</v>
      </c>
      <c r="C100" s="350" t="s">
        <v>19</v>
      </c>
      <c r="D100" s="350" t="s">
        <v>1506</v>
      </c>
      <c r="E100" s="875" t="s">
        <v>13</v>
      </c>
      <c r="F100" s="780">
        <v>99.9</v>
      </c>
      <c r="G100" s="982"/>
      <c r="H100" s="1008"/>
      <c r="I100" s="1063"/>
      <c r="J100" s="622"/>
      <c r="K100" s="982"/>
      <c r="L100" s="861"/>
    </row>
    <row r="101" spans="1:14" s="224" customFormat="1" ht="15" customHeight="1" x14ac:dyDescent="0.25">
      <c r="A101" s="215">
        <v>44126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5.54</v>
      </c>
      <c r="G101" s="957"/>
      <c r="H101" s="622"/>
      <c r="I101" s="982"/>
      <c r="J101" s="622"/>
      <c r="K101" s="982"/>
      <c r="L101" s="927"/>
    </row>
    <row r="102" spans="1:14" s="224" customFormat="1" ht="15" customHeight="1" x14ac:dyDescent="0.25">
      <c r="A102" s="215">
        <v>44127</v>
      </c>
      <c r="B102" s="364" t="s">
        <v>32</v>
      </c>
      <c r="C102" s="350" t="s">
        <v>12</v>
      </c>
      <c r="D102" s="350" t="s">
        <v>1485</v>
      </c>
      <c r="E102" s="875" t="s">
        <v>13</v>
      </c>
      <c r="F102" s="780">
        <v>15</v>
      </c>
      <c r="G102" s="946"/>
      <c r="H102" s="95"/>
      <c r="I102" s="1064"/>
      <c r="J102" s="97"/>
      <c r="K102" s="946"/>
      <c r="L102" s="926"/>
      <c r="M102" s="89"/>
      <c r="N102" s="930"/>
    </row>
    <row r="103" spans="1:14" s="224" customFormat="1" ht="15" customHeight="1" x14ac:dyDescent="0.25">
      <c r="A103" s="215">
        <v>44127</v>
      </c>
      <c r="B103" s="364" t="s">
        <v>1597</v>
      </c>
      <c r="C103" s="350" t="s">
        <v>12</v>
      </c>
      <c r="D103" s="350" t="s">
        <v>1491</v>
      </c>
      <c r="E103" s="875" t="s">
        <v>15</v>
      </c>
      <c r="F103" s="780">
        <v>80</v>
      </c>
      <c r="G103" s="982"/>
      <c r="H103" s="1008"/>
      <c r="I103" s="1063"/>
      <c r="J103" s="622"/>
      <c r="K103" s="982"/>
      <c r="L103" s="861"/>
    </row>
    <row r="104" spans="1:14" s="224" customFormat="1" ht="15" customHeight="1" x14ac:dyDescent="0.25">
      <c r="A104" s="215">
        <v>44127</v>
      </c>
      <c r="B104" s="349" t="s">
        <v>443</v>
      </c>
      <c r="C104" s="352" t="s">
        <v>12</v>
      </c>
      <c r="D104" s="874" t="s">
        <v>1493</v>
      </c>
      <c r="E104" s="875" t="s">
        <v>13</v>
      </c>
      <c r="F104" s="852">
        <v>17.12</v>
      </c>
      <c r="G104" s="1063"/>
      <c r="H104" s="622"/>
      <c r="I104" s="982"/>
      <c r="J104" s="622"/>
      <c r="K104" s="982"/>
      <c r="L104" s="878"/>
    </row>
    <row r="105" spans="1:14" s="224" customFormat="1" ht="15" customHeight="1" x14ac:dyDescent="0.25">
      <c r="A105" s="215">
        <v>44128</v>
      </c>
      <c r="B105" s="364" t="s">
        <v>14</v>
      </c>
      <c r="C105" s="350" t="s">
        <v>12</v>
      </c>
      <c r="D105" s="350" t="s">
        <v>1486</v>
      </c>
      <c r="E105" s="875" t="s">
        <v>13</v>
      </c>
      <c r="F105" s="852">
        <v>4.88</v>
      </c>
      <c r="G105" s="957"/>
      <c r="H105" s="622"/>
      <c r="I105" s="982"/>
      <c r="J105" s="622"/>
      <c r="K105" s="982"/>
      <c r="L105" s="927"/>
    </row>
    <row r="106" spans="1:14" s="224" customFormat="1" ht="15" customHeight="1" x14ac:dyDescent="0.25">
      <c r="A106" s="215">
        <v>44128</v>
      </c>
      <c r="B106" s="349" t="s">
        <v>82</v>
      </c>
      <c r="C106" s="352" t="s">
        <v>12</v>
      </c>
      <c r="D106" s="874" t="s">
        <v>1493</v>
      </c>
      <c r="E106" s="875" t="s">
        <v>13</v>
      </c>
      <c r="F106" s="852">
        <v>31.38</v>
      </c>
      <c r="G106" s="1063"/>
      <c r="H106" s="622"/>
      <c r="I106" s="982"/>
      <c r="J106" s="622"/>
      <c r="K106" s="982"/>
      <c r="L106" s="927"/>
    </row>
    <row r="107" spans="1:14" s="224" customFormat="1" ht="15" customHeight="1" x14ac:dyDescent="0.25">
      <c r="A107" s="215">
        <v>44129</v>
      </c>
      <c r="B107" s="349" t="s">
        <v>1438</v>
      </c>
      <c r="C107" s="352" t="s">
        <v>12</v>
      </c>
      <c r="D107" s="874" t="s">
        <v>1489</v>
      </c>
      <c r="E107" s="875" t="s">
        <v>13</v>
      </c>
      <c r="F107" s="852">
        <v>10.68</v>
      </c>
      <c r="G107" s="1063"/>
      <c r="H107" s="622"/>
      <c r="I107" s="982"/>
      <c r="J107" s="622"/>
      <c r="K107" s="982"/>
      <c r="L107" s="927"/>
    </row>
    <row r="108" spans="1:14" s="224" customFormat="1" ht="15" customHeight="1" x14ac:dyDescent="0.25">
      <c r="A108" s="215">
        <v>44129</v>
      </c>
      <c r="B108" s="349" t="s">
        <v>525</v>
      </c>
      <c r="C108" s="352" t="s">
        <v>19</v>
      </c>
      <c r="D108" s="874" t="s">
        <v>1493</v>
      </c>
      <c r="E108" s="875" t="s">
        <v>13</v>
      </c>
      <c r="F108" s="852">
        <v>28.9</v>
      </c>
      <c r="G108" s="1063"/>
      <c r="H108" s="622"/>
      <c r="I108" s="982"/>
      <c r="J108" s="622"/>
      <c r="K108" s="982"/>
      <c r="L108" s="878"/>
    </row>
    <row r="109" spans="1:14" s="224" customFormat="1" ht="15" customHeight="1" x14ac:dyDescent="0.25">
      <c r="A109" s="215">
        <v>44130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780">
        <v>15</v>
      </c>
      <c r="G109" s="946"/>
      <c r="H109" s="95"/>
      <c r="I109" s="1064"/>
      <c r="J109" s="97"/>
      <c r="K109" s="946"/>
      <c r="L109" s="926"/>
      <c r="M109" s="89"/>
      <c r="N109" s="930"/>
    </row>
    <row r="110" spans="1:14" s="224" customFormat="1" ht="15" customHeight="1" x14ac:dyDescent="0.25">
      <c r="A110" s="215">
        <v>44130</v>
      </c>
      <c r="B110" s="364" t="s">
        <v>17</v>
      </c>
      <c r="C110" s="350" t="s">
        <v>12</v>
      </c>
      <c r="D110" s="350" t="s">
        <v>1493</v>
      </c>
      <c r="E110" s="875" t="s">
        <v>13</v>
      </c>
      <c r="F110" s="780">
        <v>5</v>
      </c>
      <c r="G110" s="982"/>
      <c r="H110" s="1008"/>
      <c r="I110" s="1063"/>
      <c r="J110" s="622"/>
      <c r="K110" s="982"/>
      <c r="L110" s="861"/>
    </row>
    <row r="111" spans="1:14" s="224" customFormat="1" ht="15" customHeight="1" x14ac:dyDescent="0.25">
      <c r="A111" s="215">
        <v>44130</v>
      </c>
      <c r="B111" s="364" t="s">
        <v>14</v>
      </c>
      <c r="C111" s="350" t="s">
        <v>12</v>
      </c>
      <c r="D111" s="350" t="s">
        <v>1486</v>
      </c>
      <c r="E111" s="875" t="s">
        <v>13</v>
      </c>
      <c r="F111" s="852">
        <v>5.8</v>
      </c>
      <c r="G111" s="1063"/>
      <c r="H111" s="622"/>
      <c r="I111" s="982"/>
      <c r="J111" s="622"/>
      <c r="K111" s="982"/>
      <c r="L111" s="927"/>
    </row>
    <row r="112" spans="1:14" s="224" customFormat="1" ht="15" customHeight="1" x14ac:dyDescent="0.25">
      <c r="A112" s="215">
        <v>44131</v>
      </c>
      <c r="B112" s="364" t="s">
        <v>32</v>
      </c>
      <c r="C112" s="350" t="s">
        <v>12</v>
      </c>
      <c r="D112" s="350" t="s">
        <v>1485</v>
      </c>
      <c r="E112" s="875" t="s">
        <v>15</v>
      </c>
      <c r="F112" s="780">
        <v>15</v>
      </c>
      <c r="G112" s="946"/>
      <c r="H112" s="95"/>
      <c r="I112" s="1064"/>
      <c r="J112" s="97"/>
      <c r="K112" s="946"/>
      <c r="L112" s="926"/>
      <c r="M112" s="89"/>
      <c r="N112" s="930"/>
    </row>
    <row r="113" spans="1:14" s="224" customFormat="1" ht="15" customHeight="1" x14ac:dyDescent="0.25">
      <c r="A113" s="215">
        <v>44131</v>
      </c>
      <c r="B113" s="364" t="s">
        <v>1241</v>
      </c>
      <c r="C113" s="350" t="s">
        <v>12</v>
      </c>
      <c r="D113" s="350" t="s">
        <v>1504</v>
      </c>
      <c r="E113" s="875" t="s">
        <v>15</v>
      </c>
      <c r="F113" s="780">
        <v>10</v>
      </c>
      <c r="G113" s="982"/>
      <c r="H113" s="1008"/>
      <c r="I113" s="1063"/>
      <c r="J113" s="622"/>
      <c r="K113" s="982"/>
      <c r="L113" s="861"/>
    </row>
    <row r="114" spans="1:14" s="224" customFormat="1" ht="15" customHeight="1" x14ac:dyDescent="0.25">
      <c r="A114" s="215">
        <v>44131</v>
      </c>
      <c r="B114" s="364" t="s">
        <v>14</v>
      </c>
      <c r="C114" s="350" t="s">
        <v>12</v>
      </c>
      <c r="D114" s="350" t="s">
        <v>1486</v>
      </c>
      <c r="E114" s="875" t="s">
        <v>13</v>
      </c>
      <c r="F114" s="852">
        <v>11.12</v>
      </c>
      <c r="G114" s="1063"/>
      <c r="H114" s="622"/>
      <c r="I114" s="982"/>
      <c r="J114" s="622"/>
      <c r="K114" s="982"/>
      <c r="L114" s="927"/>
    </row>
    <row r="115" spans="1:14" s="224" customFormat="1" ht="15" customHeight="1" x14ac:dyDescent="0.25">
      <c r="A115" s="215">
        <v>44132</v>
      </c>
      <c r="B115" s="364" t="s">
        <v>32</v>
      </c>
      <c r="C115" s="350" t="s">
        <v>12</v>
      </c>
      <c r="D115" s="350" t="s">
        <v>1485</v>
      </c>
      <c r="E115" s="875" t="s">
        <v>13</v>
      </c>
      <c r="F115" s="780">
        <v>15</v>
      </c>
      <c r="G115" s="946"/>
      <c r="H115" s="95"/>
      <c r="I115" s="1064"/>
      <c r="J115" s="97"/>
      <c r="K115" s="946"/>
      <c r="L115" s="926"/>
      <c r="M115" s="89"/>
      <c r="N115" s="930"/>
    </row>
    <row r="116" spans="1:14" s="224" customFormat="1" ht="15" customHeight="1" x14ac:dyDescent="0.25">
      <c r="A116" s="215">
        <v>44132</v>
      </c>
      <c r="B116" s="364" t="s">
        <v>14</v>
      </c>
      <c r="C116" s="350" t="s">
        <v>12</v>
      </c>
      <c r="D116" s="350" t="s">
        <v>1486</v>
      </c>
      <c r="E116" s="875" t="s">
        <v>13</v>
      </c>
      <c r="F116" s="852">
        <v>5.77</v>
      </c>
      <c r="G116" s="1063"/>
      <c r="H116" s="622"/>
      <c r="I116" s="982"/>
      <c r="J116" s="622"/>
      <c r="K116" s="982"/>
      <c r="L116" s="927"/>
    </row>
    <row r="117" spans="1:14" s="224" customFormat="1" ht="15" customHeight="1" x14ac:dyDescent="0.25">
      <c r="A117" s="215">
        <v>44132</v>
      </c>
      <c r="B117" s="364" t="s">
        <v>17</v>
      </c>
      <c r="C117" s="350" t="s">
        <v>12</v>
      </c>
      <c r="D117" s="350" t="s">
        <v>1493</v>
      </c>
      <c r="E117" s="875" t="s">
        <v>13</v>
      </c>
      <c r="F117" s="780">
        <v>5</v>
      </c>
      <c r="G117" s="982"/>
      <c r="H117" s="1008"/>
      <c r="I117" s="1063"/>
      <c r="J117" s="622"/>
      <c r="K117" s="982"/>
      <c r="L117" s="861"/>
    </row>
    <row r="118" spans="1:14" s="224" customFormat="1" ht="15" customHeight="1" x14ac:dyDescent="0.25">
      <c r="A118" s="215">
        <v>44132</v>
      </c>
      <c r="B118" s="364" t="s">
        <v>2766</v>
      </c>
      <c r="C118" s="350" t="s">
        <v>19</v>
      </c>
      <c r="D118" s="350" t="s">
        <v>2157</v>
      </c>
      <c r="E118" s="875" t="s">
        <v>13</v>
      </c>
      <c r="F118" s="780">
        <v>75</v>
      </c>
      <c r="G118" s="982"/>
      <c r="H118" s="1008"/>
      <c r="I118" s="1063"/>
      <c r="J118" s="622"/>
      <c r="K118" s="982"/>
      <c r="L118" s="861"/>
    </row>
    <row r="119" spans="1:14" s="224" customFormat="1" ht="15" customHeight="1" x14ac:dyDescent="0.25">
      <c r="A119" s="215">
        <v>44132</v>
      </c>
      <c r="B119" s="349" t="s">
        <v>2767</v>
      </c>
      <c r="C119" s="350" t="s">
        <v>19</v>
      </c>
      <c r="D119" s="874" t="s">
        <v>1489</v>
      </c>
      <c r="E119" s="875" t="s">
        <v>13</v>
      </c>
      <c r="F119" s="852">
        <v>20</v>
      </c>
      <c r="G119" s="1063"/>
      <c r="H119" s="622"/>
      <c r="I119" s="982"/>
      <c r="J119" s="622"/>
      <c r="K119" s="982"/>
      <c r="L119" s="927"/>
    </row>
    <row r="120" spans="1:14" s="224" customFormat="1" ht="15" customHeight="1" x14ac:dyDescent="0.25">
      <c r="A120" s="215">
        <v>44132</v>
      </c>
      <c r="B120" s="349" t="s">
        <v>2768</v>
      </c>
      <c r="C120" s="352" t="s">
        <v>12</v>
      </c>
      <c r="D120" s="874" t="s">
        <v>1489</v>
      </c>
      <c r="E120" s="875" t="s">
        <v>13</v>
      </c>
      <c r="F120" s="852">
        <v>50</v>
      </c>
      <c r="G120" s="1063"/>
      <c r="H120" s="622"/>
      <c r="I120" s="982"/>
      <c r="J120" s="622"/>
      <c r="K120" s="982"/>
      <c r="L120" s="927"/>
    </row>
    <row r="121" spans="1:14" s="224" customFormat="1" ht="15" customHeight="1" x14ac:dyDescent="0.25">
      <c r="A121" s="215">
        <v>44132</v>
      </c>
      <c r="B121" s="364" t="s">
        <v>17</v>
      </c>
      <c r="C121" s="350" t="s">
        <v>12</v>
      </c>
      <c r="D121" s="350" t="s">
        <v>1493</v>
      </c>
      <c r="E121" s="875" t="s">
        <v>13</v>
      </c>
      <c r="F121" s="780">
        <v>5</v>
      </c>
      <c r="G121" s="982"/>
      <c r="H121" s="1008"/>
      <c r="I121" s="1063"/>
      <c r="J121" s="622"/>
      <c r="K121" s="982"/>
      <c r="L121" s="861"/>
    </row>
    <row r="122" spans="1:14" s="224" customFormat="1" ht="15" customHeight="1" x14ac:dyDescent="0.25">
      <c r="A122" s="215">
        <v>44133</v>
      </c>
      <c r="B122" s="364" t="s">
        <v>32</v>
      </c>
      <c r="C122" s="350" t="s">
        <v>12</v>
      </c>
      <c r="D122" s="350" t="s">
        <v>1485</v>
      </c>
      <c r="E122" s="875" t="s">
        <v>13</v>
      </c>
      <c r="F122" s="780">
        <v>15</v>
      </c>
      <c r="G122" s="946"/>
      <c r="H122" s="95"/>
      <c r="I122" s="1064"/>
      <c r="J122" s="97"/>
      <c r="K122" s="946"/>
      <c r="L122" s="926"/>
      <c r="M122" s="89"/>
      <c r="N122" s="930"/>
    </row>
    <row r="123" spans="1:14" s="224" customFormat="1" ht="15" customHeight="1" x14ac:dyDescent="0.25">
      <c r="A123" s="215">
        <v>44134</v>
      </c>
      <c r="B123" s="364" t="s">
        <v>2769</v>
      </c>
      <c r="C123" s="350" t="s">
        <v>12</v>
      </c>
      <c r="D123" s="350" t="s">
        <v>1486</v>
      </c>
      <c r="E123" s="875" t="s">
        <v>13</v>
      </c>
      <c r="F123" s="780">
        <v>5.3</v>
      </c>
      <c r="G123" s="982"/>
      <c r="H123" s="1008"/>
      <c r="I123" s="1063"/>
      <c r="J123" s="622"/>
      <c r="K123" s="982"/>
      <c r="L123" s="861"/>
    </row>
    <row r="124" spans="1:14" s="224" customFormat="1" ht="15" customHeight="1" x14ac:dyDescent="0.25">
      <c r="A124" s="215">
        <v>44134</v>
      </c>
      <c r="B124" s="364" t="s">
        <v>2770</v>
      </c>
      <c r="C124" s="350" t="s">
        <v>12</v>
      </c>
      <c r="D124" s="350" t="s">
        <v>1493</v>
      </c>
      <c r="E124" s="875" t="s">
        <v>15</v>
      </c>
      <c r="F124" s="780">
        <v>15</v>
      </c>
      <c r="G124" s="982"/>
      <c r="H124" s="1008"/>
      <c r="I124" s="1063"/>
      <c r="J124" s="622"/>
      <c r="K124" s="982"/>
      <c r="L124" s="861"/>
    </row>
    <row r="125" spans="1:14" s="224" customFormat="1" ht="15" customHeight="1" x14ac:dyDescent="0.25">
      <c r="A125" s="215">
        <v>44134</v>
      </c>
      <c r="B125" s="349" t="s">
        <v>2771</v>
      </c>
      <c r="C125" s="350" t="s">
        <v>12</v>
      </c>
      <c r="D125" s="350" t="s">
        <v>1493</v>
      </c>
      <c r="E125" s="480" t="s">
        <v>13</v>
      </c>
      <c r="F125" s="780">
        <v>27</v>
      </c>
      <c r="G125" s="982"/>
      <c r="H125" s="1008"/>
      <c r="I125" s="1063"/>
      <c r="J125" s="622"/>
      <c r="K125" s="982"/>
      <c r="L125" s="927"/>
      <c r="M125" s="927"/>
    </row>
    <row r="126" spans="1:14" s="224" customFormat="1" ht="15" customHeight="1" x14ac:dyDescent="0.25">
      <c r="A126" s="215">
        <v>44135</v>
      </c>
      <c r="B126" s="349" t="s">
        <v>1438</v>
      </c>
      <c r="C126" s="350" t="s">
        <v>12</v>
      </c>
      <c r="D126" s="350" t="s">
        <v>1489</v>
      </c>
      <c r="E126" s="480" t="s">
        <v>13</v>
      </c>
      <c r="F126" s="780">
        <v>32.36</v>
      </c>
      <c r="G126" s="982"/>
      <c r="H126" s="1008"/>
      <c r="I126" s="1063"/>
      <c r="J126" s="622"/>
      <c r="K126" s="982"/>
      <c r="L126" s="927"/>
    </row>
    <row r="127" spans="1:14" s="224" customFormat="1" ht="15" customHeight="1" x14ac:dyDescent="0.25">
      <c r="A127" s="215">
        <v>44135</v>
      </c>
      <c r="B127" s="349" t="s">
        <v>82</v>
      </c>
      <c r="C127" s="350" t="s">
        <v>12</v>
      </c>
      <c r="D127" s="350" t="s">
        <v>1493</v>
      </c>
      <c r="E127" s="480" t="s">
        <v>13</v>
      </c>
      <c r="F127" s="780">
        <v>18.45</v>
      </c>
      <c r="G127" s="982"/>
      <c r="H127" s="1008"/>
      <c r="I127" s="1063"/>
      <c r="J127" s="622"/>
      <c r="K127" s="982"/>
      <c r="L127" s="1029"/>
      <c r="M127" s="89"/>
      <c r="N127" s="930"/>
    </row>
    <row r="128" spans="1:14" s="224" customFormat="1" ht="15" customHeight="1" x14ac:dyDescent="0.25">
      <c r="A128" s="215">
        <v>44135</v>
      </c>
      <c r="B128" s="364" t="s">
        <v>256</v>
      </c>
      <c r="C128" s="350"/>
      <c r="D128" s="350"/>
      <c r="E128" s="875" t="s">
        <v>25</v>
      </c>
      <c r="F128" s="780"/>
      <c r="G128" s="1064">
        <v>300</v>
      </c>
      <c r="H128" s="97">
        <v>300</v>
      </c>
      <c r="I128" s="1063"/>
      <c r="J128" s="622"/>
      <c r="K128" s="982"/>
      <c r="L128" s="861"/>
    </row>
    <row r="129" spans="1:12" s="224" customFormat="1" x14ac:dyDescent="0.25">
      <c r="A129" s="215">
        <v>44135</v>
      </c>
      <c r="B129" s="862" t="s">
        <v>1666</v>
      </c>
      <c r="C129" s="350" t="s">
        <v>12</v>
      </c>
      <c r="D129" s="1003"/>
      <c r="E129" s="145" t="s">
        <v>25</v>
      </c>
      <c r="F129" s="622"/>
      <c r="G129" s="982"/>
      <c r="H129" s="1008"/>
      <c r="I129" s="1063"/>
      <c r="J129" s="622"/>
      <c r="K129" s="982">
        <v>11.33</v>
      </c>
      <c r="L129" s="475"/>
    </row>
    <row r="130" spans="1:12" s="224" customFormat="1" ht="15" customHeight="1" thickBot="1" x14ac:dyDescent="0.3">
      <c r="A130" s="215">
        <v>44135</v>
      </c>
      <c r="B130" s="862" t="s">
        <v>2593</v>
      </c>
      <c r="C130" s="879" t="s">
        <v>12</v>
      </c>
      <c r="D130" s="879" t="s">
        <v>1504</v>
      </c>
      <c r="E130" s="871" t="s">
        <v>13</v>
      </c>
      <c r="F130" s="416">
        <v>32.9</v>
      </c>
      <c r="G130" s="960"/>
      <c r="H130" s="1012"/>
      <c r="I130" s="1536"/>
      <c r="J130" s="416"/>
      <c r="K130" s="1522"/>
      <c r="L130" s="475"/>
    </row>
    <row r="131" spans="1:12" ht="25.5" customHeight="1" thickBot="1" x14ac:dyDescent="0.3">
      <c r="A131" s="3060"/>
      <c r="B131" s="3061"/>
      <c r="C131" s="3062"/>
      <c r="D131" s="3062"/>
      <c r="E131" s="3062"/>
      <c r="F131" s="1020">
        <f>SUM(F6:F130)</f>
        <v>4318.1266666666661</v>
      </c>
      <c r="G131" s="1534">
        <f>SUM(G5:G130)</f>
        <v>4946.4712500000196</v>
      </c>
      <c r="H131" s="517">
        <f>SUM(H6:H130)</f>
        <v>900</v>
      </c>
      <c r="I131" s="93">
        <f>SUM(I5:I130)</f>
        <v>2399.9960000000019</v>
      </c>
      <c r="J131" s="1023">
        <f>SUM(J6:J130)</f>
        <v>0</v>
      </c>
      <c r="K131" s="93">
        <f>SUM(K5:K130)</f>
        <v>12477.71</v>
      </c>
    </row>
    <row r="132" spans="1:12" ht="25.5" customHeight="1" thickBot="1" x14ac:dyDescent="0.3">
      <c r="A132" s="3117" t="s">
        <v>49</v>
      </c>
      <c r="B132" s="3118"/>
      <c r="C132" s="3118"/>
      <c r="D132" s="3118"/>
      <c r="E132" s="3118"/>
      <c r="F132" s="144" t="s">
        <v>280</v>
      </c>
      <c r="G132" s="519">
        <f>G131-F131</f>
        <v>628.34458333335351</v>
      </c>
      <c r="H132" s="555"/>
      <c r="I132" s="772">
        <f>I131-H131</f>
        <v>1499.9960000000019</v>
      </c>
      <c r="J132" s="593"/>
      <c r="K132" s="772">
        <f>K131-J131</f>
        <v>12477.71</v>
      </c>
    </row>
    <row r="133" spans="1:12" x14ac:dyDescent="0.25">
      <c r="E133" s="79"/>
      <c r="K133" s="518"/>
      <c r="L133" s="216"/>
    </row>
    <row r="134" spans="1:12" x14ac:dyDescent="0.25">
      <c r="B134" s="81" t="s">
        <v>3</v>
      </c>
      <c r="C134" s="193" t="s">
        <v>1484</v>
      </c>
      <c r="D134" s="970" t="s">
        <v>2378</v>
      </c>
      <c r="G134" s="216"/>
      <c r="K134" s="866"/>
    </row>
    <row r="135" spans="1:12" x14ac:dyDescent="0.25">
      <c r="B135" s="79" t="s">
        <v>32</v>
      </c>
      <c r="C135" s="85" t="s">
        <v>1485</v>
      </c>
      <c r="D135" s="475">
        <f>SUMIF($D$7:$D$130,"A",$F$7:$F$130)</f>
        <v>375</v>
      </c>
      <c r="F135" s="79"/>
      <c r="I135" s="769"/>
      <c r="J135" s="868"/>
    </row>
    <row r="136" spans="1:12" x14ac:dyDescent="0.25">
      <c r="B136" s="79" t="s">
        <v>2187</v>
      </c>
      <c r="C136" s="85" t="s">
        <v>2157</v>
      </c>
      <c r="D136" s="475">
        <f>SUMIF($D$7:$D$130,"GAC",$F$7:$F$130)</f>
        <v>560</v>
      </c>
      <c r="G136" s="609"/>
      <c r="J136" s="754"/>
      <c r="K136" s="886"/>
      <c r="L136" s="1030"/>
    </row>
    <row r="137" spans="1:12" x14ac:dyDescent="0.25">
      <c r="B137" s="79" t="s">
        <v>2188</v>
      </c>
      <c r="C137" s="85" t="s">
        <v>2168</v>
      </c>
      <c r="D137" s="475">
        <f>SUMIF($D$22:$D$130,"GAM",$F$22:$F$130)</f>
        <v>29.2</v>
      </c>
      <c r="J137" s="864"/>
      <c r="K137" s="864"/>
      <c r="L137" s="958"/>
    </row>
    <row r="138" spans="1:12" s="85" customFormat="1" x14ac:dyDescent="0.25">
      <c r="A138" s="79"/>
      <c r="B138" s="79" t="s">
        <v>50</v>
      </c>
      <c r="C138" s="85" t="s">
        <v>1493</v>
      </c>
      <c r="D138" s="475">
        <f>SUMIF($D$7:$D$130,"LD",$F$7:$F$130)</f>
        <v>364.57</v>
      </c>
      <c r="J138" s="864"/>
      <c r="K138" s="1032"/>
      <c r="L138" s="958"/>
    </row>
    <row r="139" spans="1:12" s="85" customFormat="1" x14ac:dyDescent="0.25">
      <c r="A139" s="79"/>
      <c r="B139" s="79" t="s">
        <v>14</v>
      </c>
      <c r="C139" s="85" t="s">
        <v>1486</v>
      </c>
      <c r="D139" s="475">
        <f>SUMIF($D$7:$D$130,"C",$F$7:$F$130)</f>
        <v>138.16</v>
      </c>
      <c r="F139" s="89"/>
      <c r="G139" s="79"/>
      <c r="H139" s="79"/>
      <c r="J139" s="864"/>
      <c r="K139" s="1032"/>
      <c r="L139" s="958"/>
    </row>
    <row r="140" spans="1:12" s="85" customFormat="1" x14ac:dyDescent="0.25">
      <c r="A140" s="79"/>
      <c r="B140" s="79" t="s">
        <v>51</v>
      </c>
      <c r="C140" s="864" t="s">
        <v>1499</v>
      </c>
      <c r="D140" s="475">
        <f>SUMIF($D$22:$D$130,"CAL",$F$22:$F$130)</f>
        <v>140</v>
      </c>
      <c r="F140" s="89"/>
      <c r="G140" s="79"/>
      <c r="H140" s="79"/>
      <c r="I140" s="79"/>
      <c r="K140" s="795"/>
      <c r="L140" s="958"/>
    </row>
    <row r="141" spans="1:12" s="85" customFormat="1" x14ac:dyDescent="0.25">
      <c r="A141" s="79"/>
      <c r="B141" s="79" t="s">
        <v>2189</v>
      </c>
      <c r="C141" s="864" t="s">
        <v>1496</v>
      </c>
      <c r="D141" s="475">
        <f>SUMIF($D$22:$D$130,"AC",$F$22:$F$130)</f>
        <v>70</v>
      </c>
      <c r="F141" s="769"/>
      <c r="G141" s="79"/>
      <c r="K141" s="177"/>
      <c r="L141" s="941"/>
    </row>
    <row r="142" spans="1:12" s="85" customFormat="1" x14ac:dyDescent="0.25">
      <c r="A142" s="79"/>
      <c r="B142" s="867" t="s">
        <v>53</v>
      </c>
      <c r="C142" s="864" t="s">
        <v>1522</v>
      </c>
      <c r="D142" s="475">
        <f>SUMIF($D$22:$D$130,"DC",$F$22:$F$130)</f>
        <v>166.66666666666666</v>
      </c>
      <c r="K142" s="177"/>
      <c r="L142" s="475"/>
    </row>
    <row r="143" spans="1:12" s="85" customFormat="1" x14ac:dyDescent="0.25">
      <c r="A143" s="79"/>
      <c r="B143" s="867" t="s">
        <v>2149</v>
      </c>
      <c r="C143" s="864" t="s">
        <v>2131</v>
      </c>
      <c r="D143" s="475">
        <f>SUMIF($D$22:$D$130,"DM",$F$22:$F$130)</f>
        <v>0</v>
      </c>
      <c r="F143" s="769"/>
      <c r="K143" s="177"/>
      <c r="L143" s="475"/>
    </row>
    <row r="144" spans="1:12" s="85" customFormat="1" x14ac:dyDescent="0.25">
      <c r="A144" s="79"/>
      <c r="B144" s="79" t="s">
        <v>2008</v>
      </c>
      <c r="C144" s="864" t="s">
        <v>1523</v>
      </c>
      <c r="D144" s="475">
        <f>SUMIF($D$7:$D$130,"B",$F$7:$F$130)</f>
        <v>30</v>
      </c>
      <c r="F144" s="769"/>
      <c r="G144" s="866"/>
      <c r="K144" s="177"/>
      <c r="L144" s="475"/>
    </row>
    <row r="145" spans="1:15" s="85" customFormat="1" x14ac:dyDescent="0.25">
      <c r="A145" s="79"/>
      <c r="B145" s="79" t="s">
        <v>1686</v>
      </c>
      <c r="C145" s="864" t="s">
        <v>1506</v>
      </c>
      <c r="D145" s="475">
        <f>SUMIF($D$7:$D$130,"R",$F$7:$F$130)</f>
        <v>479.58000000000004</v>
      </c>
      <c r="F145" s="769"/>
      <c r="G145" s="868"/>
      <c r="K145" s="866"/>
      <c r="L145" s="475"/>
    </row>
    <row r="146" spans="1:15" x14ac:dyDescent="0.25">
      <c r="B146" s="79" t="s">
        <v>418</v>
      </c>
      <c r="C146" s="85" t="s">
        <v>1524</v>
      </c>
      <c r="D146" s="475">
        <f>SUMIF($D$22:$D$130,"COM",$F$22:$F$130)</f>
        <v>45</v>
      </c>
      <c r="G146" s="85"/>
      <c r="H146" s="85"/>
      <c r="I146" s="85"/>
      <c r="J146" s="769"/>
      <c r="K146" s="216"/>
    </row>
    <row r="147" spans="1:15" x14ac:dyDescent="0.25">
      <c r="B147" s="79" t="s">
        <v>419</v>
      </c>
      <c r="C147" s="85" t="s">
        <v>1491</v>
      </c>
      <c r="D147" s="475">
        <f>SUMIF($D$7:$D$130,"F",$F$7:$F$130)</f>
        <v>700.21</v>
      </c>
      <c r="I147" s="85"/>
      <c r="K147" s="216"/>
    </row>
    <row r="148" spans="1:15" x14ac:dyDescent="0.25">
      <c r="B148" s="79" t="s">
        <v>911</v>
      </c>
      <c r="C148" s="85" t="s">
        <v>1525</v>
      </c>
      <c r="D148" s="475">
        <f>SUMIF($D$22:$D$130,"FER",$F$22:$F$130)</f>
        <v>172.07</v>
      </c>
      <c r="J148" s="769"/>
      <c r="K148" s="868"/>
    </row>
    <row r="149" spans="1:15" x14ac:dyDescent="0.25">
      <c r="B149" s="79" t="s">
        <v>1526</v>
      </c>
      <c r="C149" s="85" t="s">
        <v>1504</v>
      </c>
      <c r="D149" s="475">
        <f>SUMIF($D$7:$D$130,"I",$F$7:$F$130)</f>
        <v>199.9</v>
      </c>
      <c r="F149" s="89" t="s">
        <v>280</v>
      </c>
      <c r="J149" s="769"/>
      <c r="K149" s="868"/>
    </row>
    <row r="150" spans="1:15" x14ac:dyDescent="0.25">
      <c r="B150" s="79" t="s">
        <v>2343</v>
      </c>
      <c r="C150" s="85" t="s">
        <v>2315</v>
      </c>
      <c r="D150" s="475">
        <f>SUMIF($D$22:$D$130,"E",$F$22:$F$130)</f>
        <v>0</v>
      </c>
      <c r="J150" s="769"/>
      <c r="K150" s="868"/>
    </row>
    <row r="151" spans="1:15" x14ac:dyDescent="0.25">
      <c r="B151" s="79" t="s">
        <v>1527</v>
      </c>
      <c r="C151" s="85" t="s">
        <v>1489</v>
      </c>
      <c r="D151" s="475">
        <f>SUMIF($D$7:$D$130,"OD",$F$7:$F$130)</f>
        <v>427.77000000000004</v>
      </c>
      <c r="J151" s="769"/>
    </row>
    <row r="152" spans="1:15" x14ac:dyDescent="0.25">
      <c r="C152" s="769"/>
      <c r="K152" s="866"/>
    </row>
    <row r="153" spans="1:15" x14ac:dyDescent="0.25">
      <c r="D153" s="459"/>
      <c r="H153" s="769"/>
      <c r="I153" s="518" t="s">
        <v>280</v>
      </c>
      <c r="K153" s="866"/>
    </row>
    <row r="154" spans="1:15" x14ac:dyDescent="0.25">
      <c r="B154" s="79" t="s">
        <v>486</v>
      </c>
      <c r="C154" s="475">
        <f>H154/J154</f>
        <v>125.74602150537636</v>
      </c>
      <c r="F154" s="459" t="s">
        <v>487</v>
      </c>
      <c r="H154" s="216">
        <f>SUM(D135:D151)</f>
        <v>3898.126666666667</v>
      </c>
      <c r="J154" s="1517">
        <v>31</v>
      </c>
    </row>
    <row r="155" spans="1:15" ht="15.75" customHeight="1" x14ac:dyDescent="0.25">
      <c r="E155" s="769"/>
      <c r="H155" s="629"/>
      <c r="K155" s="868"/>
    </row>
    <row r="156" spans="1:15" x14ac:dyDescent="0.25">
      <c r="E156" s="79"/>
      <c r="F156" s="79"/>
      <c r="H156" s="866"/>
      <c r="J156" s="769"/>
      <c r="K156" s="866"/>
    </row>
    <row r="157" spans="1:15" s="518" customFormat="1" x14ac:dyDescent="0.25">
      <c r="A157" s="79"/>
      <c r="B157" s="79"/>
      <c r="C157" s="85"/>
      <c r="D157" s="79"/>
      <c r="E157" s="79"/>
      <c r="F157" s="89"/>
      <c r="G157" s="79"/>
      <c r="H157" s="79"/>
      <c r="I157" s="79"/>
      <c r="J157" s="769"/>
      <c r="K157" s="866"/>
      <c r="L157" s="484"/>
      <c r="M157" s="79"/>
      <c r="N157" s="79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79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216"/>
      <c r="J160" s="769"/>
      <c r="K160" s="866"/>
      <c r="L160" s="484"/>
      <c r="M160" s="79"/>
      <c r="N160" s="79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K161" s="866"/>
      <c r="L161" s="484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484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216"/>
      <c r="J163" s="769"/>
      <c r="K163" s="868"/>
      <c r="L163" s="484"/>
      <c r="M163" s="79"/>
      <c r="N163" s="79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216"/>
      <c r="J164" s="769"/>
      <c r="K164" s="866"/>
      <c r="L164" s="484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216"/>
      <c r="H165" s="79"/>
      <c r="I165" s="79"/>
      <c r="J165" s="770"/>
      <c r="K165" s="866"/>
      <c r="L165" s="484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484"/>
      <c r="M166" s="79"/>
      <c r="N166" s="79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629"/>
      <c r="J168" s="769"/>
      <c r="K168" s="866"/>
      <c r="L168" s="484"/>
      <c r="M168" s="79"/>
      <c r="N168" s="79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79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79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79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79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484"/>
      <c r="M173" s="79"/>
      <c r="N173" s="79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79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484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6"/>
      <c r="L176" s="484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484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484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484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484"/>
      <c r="M182" s="79"/>
      <c r="N182" s="79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79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79"/>
      <c r="O184" s="79"/>
    </row>
    <row r="185" spans="1:15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8"/>
      <c r="L185" s="484"/>
      <c r="M185" s="79"/>
      <c r="N185" s="79"/>
      <c r="O185" s="79"/>
    </row>
    <row r="186" spans="1:15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484"/>
      <c r="M186" s="79"/>
      <c r="N186" s="79"/>
      <c r="O186" s="79"/>
    </row>
    <row r="187" spans="1:15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484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484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8"/>
      <c r="L190" s="484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484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6"/>
      <c r="L192" s="484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223"/>
      <c r="K193" s="629"/>
      <c r="L193" s="484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56"/>
      <c r="K194" s="756"/>
      <c r="L194" s="484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85"/>
      <c r="K199" s="85"/>
      <c r="L199" s="484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79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79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79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79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85"/>
      <c r="K206" s="85"/>
      <c r="L206" s="484"/>
      <c r="M206" s="79"/>
      <c r="N206" s="79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79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79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79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71"/>
      <c r="L213" s="484"/>
      <c r="M213" s="79"/>
      <c r="N213" s="79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79"/>
      <c r="O214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79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79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  <c r="M224" s="79"/>
      <c r="N224" s="79"/>
      <c r="O224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79"/>
      <c r="O226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629"/>
      <c r="L228" s="484"/>
      <c r="M228" s="79"/>
      <c r="N228" s="79"/>
      <c r="O228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79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79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79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79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79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79"/>
      <c r="O239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79"/>
      <c r="O240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79"/>
      <c r="O241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79"/>
      <c r="O242" s="79"/>
    </row>
  </sheetData>
  <autoFilter ref="A2:I132" xr:uid="{00000000-0009-0000-0000-000068000000}"/>
  <mergeCells count="12">
    <mergeCell ref="A131:E131"/>
    <mergeCell ref="A132:E13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Plan111"/>
  <dimension ref="A1:O230"/>
  <sheetViews>
    <sheetView zoomScale="85" zoomScaleNormal="85" workbookViewId="0">
      <pane ySplit="4" topLeftCell="A98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4" style="79" customWidth="1"/>
    <col min="14" max="14" width="11.5703125" style="79" bestFit="1" customWidth="1"/>
    <col min="15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2772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44136</v>
      </c>
      <c r="B5" s="369" t="s">
        <v>10</v>
      </c>
      <c r="C5" s="370"/>
      <c r="D5" s="370"/>
      <c r="E5" s="777"/>
      <c r="F5" s="179"/>
      <c r="G5" s="933">
        <f>'Outubro-20'!G132</f>
        <v>628.34458333335351</v>
      </c>
      <c r="H5" s="163"/>
      <c r="I5" s="1479">
        <f>'Outubro-20'!I132</f>
        <v>1499.9960000000019</v>
      </c>
      <c r="J5" s="179"/>
      <c r="K5" s="933">
        <f>'Outubro-20'!K132</f>
        <v>12477.71</v>
      </c>
    </row>
    <row r="6" spans="1:15" s="224" customFormat="1" x14ac:dyDescent="0.25">
      <c r="A6" s="215">
        <v>44136</v>
      </c>
      <c r="B6" s="348" t="s">
        <v>11</v>
      </c>
      <c r="C6" s="351"/>
      <c r="D6" s="351"/>
      <c r="E6" s="673"/>
      <c r="F6" s="538">
        <v>40</v>
      </c>
      <c r="G6" s="1473"/>
      <c r="H6" s="252"/>
      <c r="I6" s="1480"/>
      <c r="J6" s="250"/>
      <c r="K6" s="1473"/>
      <c r="L6" s="1026"/>
      <c r="M6" s="89"/>
    </row>
    <row r="7" spans="1:15" s="224" customFormat="1" ht="15" customHeight="1" x14ac:dyDescent="0.25">
      <c r="A7" s="215">
        <v>44136</v>
      </c>
      <c r="B7" s="349" t="s">
        <v>2096</v>
      </c>
      <c r="C7" s="879" t="s">
        <v>12</v>
      </c>
      <c r="D7" s="879" t="s">
        <v>1506</v>
      </c>
      <c r="E7" s="871" t="s">
        <v>15</v>
      </c>
      <c r="F7" s="780">
        <v>40</v>
      </c>
      <c r="G7" s="946"/>
      <c r="H7" s="95"/>
      <c r="I7" s="1064"/>
      <c r="J7" s="97"/>
      <c r="K7" s="946"/>
      <c r="L7" s="926"/>
      <c r="M7" s="89"/>
      <c r="N7" s="930"/>
    </row>
    <row r="8" spans="1:15" s="224" customFormat="1" ht="15" customHeight="1" x14ac:dyDescent="0.25">
      <c r="A8" s="215">
        <v>44136</v>
      </c>
      <c r="B8" s="364" t="s">
        <v>14</v>
      </c>
      <c r="C8" s="350" t="s">
        <v>12</v>
      </c>
      <c r="D8" s="350" t="s">
        <v>1486</v>
      </c>
      <c r="E8" s="875" t="s">
        <v>13</v>
      </c>
      <c r="F8" s="852">
        <v>10</v>
      </c>
      <c r="G8" s="982"/>
      <c r="H8" s="1008"/>
      <c r="I8" s="1063"/>
      <c r="J8" s="622"/>
      <c r="K8" s="982"/>
      <c r="L8" s="861"/>
    </row>
    <row r="9" spans="1:15" s="224" customFormat="1" ht="15" customHeight="1" x14ac:dyDescent="0.25">
      <c r="A9" s="215">
        <v>44136</v>
      </c>
      <c r="B9" s="364" t="s">
        <v>14</v>
      </c>
      <c r="C9" s="350" t="s">
        <v>12</v>
      </c>
      <c r="D9" s="350" t="s">
        <v>1486</v>
      </c>
      <c r="E9" s="875" t="s">
        <v>13</v>
      </c>
      <c r="F9" s="780">
        <v>4.41</v>
      </c>
      <c r="G9" s="946"/>
      <c r="H9" s="95"/>
      <c r="I9" s="1064"/>
      <c r="J9" s="97"/>
      <c r="K9" s="946"/>
      <c r="L9" s="926"/>
      <c r="M9" s="89"/>
      <c r="N9" s="930"/>
    </row>
    <row r="10" spans="1:15" s="224" customFormat="1" ht="15" customHeight="1" x14ac:dyDescent="0.25">
      <c r="A10" s="215">
        <v>44137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780">
        <v>12.82</v>
      </c>
      <c r="G10" s="982"/>
      <c r="H10" s="1008"/>
      <c r="I10" s="1063"/>
      <c r="J10" s="622"/>
      <c r="K10" s="982"/>
      <c r="L10" s="861"/>
    </row>
    <row r="11" spans="1:15" s="224" customFormat="1" ht="15" customHeight="1" x14ac:dyDescent="0.25">
      <c r="A11" s="215">
        <v>44137</v>
      </c>
      <c r="B11" s="364" t="s">
        <v>134</v>
      </c>
      <c r="C11" s="350" t="s">
        <v>12</v>
      </c>
      <c r="D11" s="350" t="s">
        <v>1493</v>
      </c>
      <c r="E11" s="875" t="s">
        <v>13</v>
      </c>
      <c r="F11" s="780">
        <v>12.31</v>
      </c>
      <c r="G11" s="982"/>
      <c r="H11" s="1008"/>
      <c r="I11" s="1063"/>
      <c r="J11" s="622"/>
      <c r="K11" s="982"/>
      <c r="L11" s="861"/>
    </row>
    <row r="12" spans="1:15" s="224" customFormat="1" ht="15" customHeight="1" x14ac:dyDescent="0.25">
      <c r="A12" s="215">
        <v>44138</v>
      </c>
      <c r="B12" s="364" t="s">
        <v>32</v>
      </c>
      <c r="C12" s="350" t="s">
        <v>12</v>
      </c>
      <c r="D12" s="350" t="s">
        <v>1485</v>
      </c>
      <c r="E12" s="875" t="s">
        <v>15</v>
      </c>
      <c r="F12" s="780">
        <v>15</v>
      </c>
      <c r="G12" s="946"/>
      <c r="H12" s="95"/>
      <c r="I12" s="1064"/>
      <c r="J12" s="97"/>
      <c r="K12" s="946"/>
      <c r="L12" s="926"/>
      <c r="M12" s="89"/>
      <c r="N12" s="930"/>
    </row>
    <row r="13" spans="1:15" s="224" customFormat="1" ht="15" customHeight="1" x14ac:dyDescent="0.25">
      <c r="A13" s="215">
        <v>44138</v>
      </c>
      <c r="B13" s="364" t="s">
        <v>14</v>
      </c>
      <c r="C13" s="350" t="s">
        <v>12</v>
      </c>
      <c r="D13" s="350" t="s">
        <v>1486</v>
      </c>
      <c r="E13" s="875" t="s">
        <v>13</v>
      </c>
      <c r="F13" s="780">
        <v>10</v>
      </c>
      <c r="G13" s="982"/>
      <c r="H13" s="1008"/>
      <c r="I13" s="1063"/>
      <c r="J13" s="622"/>
      <c r="K13" s="982"/>
      <c r="L13" s="861"/>
    </row>
    <row r="14" spans="1:15" s="224" customFormat="1" ht="15" customHeight="1" x14ac:dyDescent="0.25">
      <c r="A14" s="215">
        <v>44139</v>
      </c>
      <c r="B14" s="364" t="s">
        <v>32</v>
      </c>
      <c r="C14" s="350" t="s">
        <v>12</v>
      </c>
      <c r="D14" s="350" t="s">
        <v>1485</v>
      </c>
      <c r="E14" s="875" t="s">
        <v>15</v>
      </c>
      <c r="F14" s="780">
        <v>15</v>
      </c>
      <c r="G14" s="946"/>
      <c r="H14" s="95"/>
      <c r="I14" s="1064"/>
      <c r="J14" s="97"/>
      <c r="K14" s="946"/>
      <c r="L14" s="926"/>
      <c r="M14" s="89"/>
      <c r="N14" s="930"/>
    </row>
    <row r="15" spans="1:15" s="224" customFormat="1" ht="15" customHeight="1" x14ac:dyDescent="0.25">
      <c r="A15" s="215">
        <v>44139</v>
      </c>
      <c r="B15" s="349" t="s">
        <v>2773</v>
      </c>
      <c r="C15" s="879" t="s">
        <v>12</v>
      </c>
      <c r="D15" s="879" t="s">
        <v>1491</v>
      </c>
      <c r="E15" s="871" t="s">
        <v>13</v>
      </c>
      <c r="F15" s="780">
        <v>150</v>
      </c>
      <c r="G15" s="982"/>
      <c r="H15" s="1008"/>
      <c r="I15" s="1063"/>
      <c r="J15" s="622"/>
      <c r="K15" s="982"/>
      <c r="L15" s="861"/>
    </row>
    <row r="16" spans="1:15" s="224" customFormat="1" ht="15" customHeight="1" x14ac:dyDescent="0.25">
      <c r="A16" s="215">
        <v>44139</v>
      </c>
      <c r="B16" s="364" t="s">
        <v>14</v>
      </c>
      <c r="C16" s="350" t="s">
        <v>12</v>
      </c>
      <c r="D16" s="350" t="s">
        <v>1486</v>
      </c>
      <c r="E16" s="875" t="s">
        <v>13</v>
      </c>
      <c r="F16" s="780">
        <v>4.5</v>
      </c>
      <c r="G16" s="982"/>
      <c r="H16" s="1008"/>
      <c r="I16" s="1063"/>
      <c r="J16" s="622"/>
      <c r="K16" s="982"/>
      <c r="L16" s="861"/>
    </row>
    <row r="17" spans="1:14" s="224" customFormat="1" ht="15" customHeight="1" x14ac:dyDescent="0.25">
      <c r="A17" s="215">
        <v>44140</v>
      </c>
      <c r="B17" s="364" t="s">
        <v>32</v>
      </c>
      <c r="C17" s="350" t="s">
        <v>12</v>
      </c>
      <c r="D17" s="350" t="s">
        <v>1485</v>
      </c>
      <c r="E17" s="875" t="s">
        <v>15</v>
      </c>
      <c r="F17" s="780">
        <v>15</v>
      </c>
      <c r="G17" s="982"/>
      <c r="H17" s="1008"/>
      <c r="I17" s="1063"/>
      <c r="J17" s="622"/>
      <c r="K17" s="982"/>
      <c r="L17" s="861"/>
    </row>
    <row r="18" spans="1:14" s="224" customFormat="1" ht="15" customHeight="1" x14ac:dyDescent="0.25">
      <c r="A18" s="215">
        <v>44140</v>
      </c>
      <c r="B18" s="364" t="s">
        <v>14</v>
      </c>
      <c r="C18" s="350" t="s">
        <v>12</v>
      </c>
      <c r="D18" s="350" t="s">
        <v>1486</v>
      </c>
      <c r="E18" s="875" t="s">
        <v>13</v>
      </c>
      <c r="F18" s="780">
        <v>3.24</v>
      </c>
      <c r="G18" s="982"/>
      <c r="H18" s="1008"/>
      <c r="I18" s="1063"/>
      <c r="J18" s="622"/>
      <c r="K18" s="982"/>
      <c r="L18" s="861"/>
    </row>
    <row r="19" spans="1:14" s="224" customFormat="1" ht="15.75" customHeight="1" x14ac:dyDescent="0.25">
      <c r="A19" s="215">
        <v>44141</v>
      </c>
      <c r="B19" s="349" t="s">
        <v>2774</v>
      </c>
      <c r="C19" s="887" t="s">
        <v>12</v>
      </c>
      <c r="D19" s="874"/>
      <c r="E19" s="871" t="s">
        <v>25</v>
      </c>
      <c r="F19" s="1524"/>
      <c r="G19" s="1002">
        <v>1850.84</v>
      </c>
      <c r="H19" s="539"/>
      <c r="I19" s="1063"/>
      <c r="J19" s="622"/>
      <c r="K19" s="982"/>
      <c r="L19" s="1027"/>
      <c r="M19" s="89"/>
    </row>
    <row r="20" spans="1:14" s="224" customFormat="1" ht="15" customHeight="1" x14ac:dyDescent="0.25">
      <c r="A20" s="215">
        <v>44141</v>
      </c>
      <c r="B20" s="349" t="s">
        <v>2775</v>
      </c>
      <c r="C20" s="887" t="s">
        <v>12</v>
      </c>
      <c r="D20" s="1005" t="s">
        <v>1525</v>
      </c>
      <c r="E20" s="887" t="s">
        <v>13</v>
      </c>
      <c r="F20" s="780">
        <v>172</v>
      </c>
      <c r="G20" s="982"/>
      <c r="H20" s="861"/>
      <c r="I20" s="1063"/>
      <c r="J20" s="622"/>
      <c r="K20" s="982"/>
      <c r="L20" s="927">
        <v>344.14</v>
      </c>
      <c r="M20" s="999"/>
    </row>
    <row r="21" spans="1:14" s="224" customFormat="1" ht="15" customHeight="1" x14ac:dyDescent="0.25">
      <c r="A21" s="215">
        <v>44141</v>
      </c>
      <c r="B21" s="349" t="s">
        <v>2775</v>
      </c>
      <c r="C21" s="887" t="s">
        <v>12</v>
      </c>
      <c r="D21" s="1005" t="s">
        <v>1491</v>
      </c>
      <c r="E21" s="887" t="s">
        <v>13</v>
      </c>
      <c r="F21" s="780">
        <v>17.5</v>
      </c>
      <c r="G21" s="982"/>
      <c r="H21" s="1008"/>
      <c r="I21" s="1063"/>
      <c r="J21" s="622"/>
      <c r="K21" s="982"/>
      <c r="L21" s="1029"/>
      <c r="M21" s="999"/>
      <c r="N21" s="930"/>
    </row>
    <row r="22" spans="1:14" s="224" customFormat="1" ht="15" customHeight="1" x14ac:dyDescent="0.25">
      <c r="A22" s="215">
        <v>44141</v>
      </c>
      <c r="B22" s="349" t="s">
        <v>2775</v>
      </c>
      <c r="C22" s="887" t="s">
        <v>12</v>
      </c>
      <c r="D22" s="1005" t="s">
        <v>1506</v>
      </c>
      <c r="E22" s="887" t="s">
        <v>13</v>
      </c>
      <c r="F22" s="780">
        <v>24.5</v>
      </c>
      <c r="G22" s="982"/>
      <c r="H22" s="1008"/>
      <c r="I22" s="1063"/>
      <c r="J22" s="622"/>
      <c r="K22" s="982"/>
      <c r="L22" s="861"/>
      <c r="N22" s="930"/>
    </row>
    <row r="23" spans="1:14" s="224" customFormat="1" ht="15" customHeight="1" x14ac:dyDescent="0.25">
      <c r="A23" s="215">
        <v>44141</v>
      </c>
      <c r="B23" s="349" t="s">
        <v>2775</v>
      </c>
      <c r="C23" s="887" t="s">
        <v>12</v>
      </c>
      <c r="D23" s="1005" t="s">
        <v>1506</v>
      </c>
      <c r="E23" s="887" t="s">
        <v>13</v>
      </c>
      <c r="F23" s="780">
        <v>71.98</v>
      </c>
      <c r="G23" s="982"/>
      <c r="H23" s="1008"/>
      <c r="I23" s="1063"/>
      <c r="J23" s="622"/>
      <c r="K23" s="982"/>
      <c r="L23" s="861"/>
    </row>
    <row r="24" spans="1:14" s="224" customFormat="1" ht="15" customHeight="1" x14ac:dyDescent="0.25">
      <c r="A24" s="215">
        <v>44141</v>
      </c>
      <c r="B24" s="349" t="s">
        <v>2775</v>
      </c>
      <c r="C24" s="887" t="s">
        <v>12</v>
      </c>
      <c r="D24" s="1005" t="s">
        <v>1506</v>
      </c>
      <c r="E24" s="887" t="s">
        <v>13</v>
      </c>
      <c r="F24" s="780">
        <v>40</v>
      </c>
      <c r="G24" s="967"/>
      <c r="H24" s="1008"/>
      <c r="I24" s="1063"/>
      <c r="J24" s="622"/>
      <c r="K24" s="982"/>
      <c r="L24" s="861"/>
    </row>
    <row r="25" spans="1:14" s="224" customFormat="1" ht="15" customHeight="1" x14ac:dyDescent="0.25">
      <c r="A25" s="215">
        <v>44141</v>
      </c>
      <c r="B25" s="349" t="s">
        <v>2775</v>
      </c>
      <c r="C25" s="887" t="s">
        <v>12</v>
      </c>
      <c r="D25" s="1005" t="s">
        <v>1506</v>
      </c>
      <c r="E25" s="887" t="s">
        <v>13</v>
      </c>
      <c r="F25" s="780">
        <v>60</v>
      </c>
      <c r="G25" s="982"/>
      <c r="H25" s="1008"/>
      <c r="I25" s="1063"/>
      <c r="J25" s="622"/>
      <c r="K25" s="982"/>
      <c r="L25" s="861"/>
    </row>
    <row r="26" spans="1:14" s="224" customFormat="1" ht="15" customHeight="1" x14ac:dyDescent="0.25">
      <c r="A26" s="215">
        <v>44141</v>
      </c>
      <c r="B26" s="349" t="s">
        <v>2775</v>
      </c>
      <c r="C26" s="887" t="s">
        <v>12</v>
      </c>
      <c r="D26" s="1005" t="s">
        <v>1506</v>
      </c>
      <c r="E26" s="887" t="s">
        <v>13</v>
      </c>
      <c r="F26" s="780">
        <v>40</v>
      </c>
      <c r="G26" s="982"/>
      <c r="H26" s="1008"/>
      <c r="I26" s="1063"/>
      <c r="J26" s="622"/>
      <c r="K26" s="982"/>
      <c r="L26" s="861"/>
    </row>
    <row r="27" spans="1:14" s="224" customFormat="1" ht="15" customHeight="1" x14ac:dyDescent="0.25">
      <c r="A27" s="215">
        <v>44141</v>
      </c>
      <c r="B27" s="862" t="s">
        <v>2385</v>
      </c>
      <c r="C27" s="879" t="s">
        <v>12</v>
      </c>
      <c r="D27" s="879" t="s">
        <v>1504</v>
      </c>
      <c r="E27" s="871" t="s">
        <v>13</v>
      </c>
      <c r="F27" s="780">
        <v>90</v>
      </c>
      <c r="G27" s="982"/>
      <c r="H27" s="1008"/>
      <c r="I27" s="1063"/>
      <c r="J27" s="622"/>
      <c r="K27" s="982"/>
      <c r="L27" s="1028" t="s">
        <v>2776</v>
      </c>
      <c r="M27" s="999"/>
      <c r="N27" s="930"/>
    </row>
    <row r="28" spans="1:14" s="224" customFormat="1" ht="15" customHeight="1" x14ac:dyDescent="0.25">
      <c r="A28" s="215">
        <v>44141</v>
      </c>
      <c r="B28" s="882" t="s">
        <v>2777</v>
      </c>
      <c r="C28" s="879" t="s">
        <v>12</v>
      </c>
      <c r="D28" s="879" t="s">
        <v>1499</v>
      </c>
      <c r="E28" s="871" t="s">
        <v>13</v>
      </c>
      <c r="F28" s="780">
        <v>52.83</v>
      </c>
      <c r="G28" s="982"/>
      <c r="H28" s="1008"/>
      <c r="I28" s="1063"/>
      <c r="J28" s="622"/>
      <c r="K28" s="982"/>
      <c r="L28" s="861">
        <v>132.83000000000001</v>
      </c>
      <c r="M28" s="999"/>
    </row>
    <row r="29" spans="1:14" s="224" customFormat="1" ht="15" customHeight="1" x14ac:dyDescent="0.25">
      <c r="A29" s="215">
        <v>44141</v>
      </c>
      <c r="B29" s="364" t="s">
        <v>32</v>
      </c>
      <c r="C29" s="350" t="s">
        <v>12</v>
      </c>
      <c r="D29" s="350" t="s">
        <v>1485</v>
      </c>
      <c r="E29" s="875" t="s">
        <v>15</v>
      </c>
      <c r="F29" s="780">
        <v>15</v>
      </c>
      <c r="G29" s="982"/>
      <c r="H29" s="1008"/>
      <c r="I29" s="1063"/>
      <c r="J29" s="622"/>
      <c r="K29" s="982"/>
      <c r="L29" s="861"/>
    </row>
    <row r="30" spans="1:14" s="224" customFormat="1" ht="15" customHeight="1" x14ac:dyDescent="0.25">
      <c r="A30" s="215">
        <v>44141</v>
      </c>
      <c r="B30" s="364" t="s">
        <v>17</v>
      </c>
      <c r="C30" s="350" t="s">
        <v>12</v>
      </c>
      <c r="D30" s="350" t="s">
        <v>1493</v>
      </c>
      <c r="E30" s="875" t="s">
        <v>15</v>
      </c>
      <c r="F30" s="780">
        <v>5</v>
      </c>
      <c r="G30" s="982"/>
      <c r="H30" s="1008"/>
      <c r="I30" s="1063"/>
      <c r="J30" s="622"/>
      <c r="K30" s="982"/>
      <c r="L30" s="861"/>
    </row>
    <row r="31" spans="1:14" s="224" customFormat="1" ht="15" customHeight="1" x14ac:dyDescent="0.25">
      <c r="A31" s="215">
        <v>44141</v>
      </c>
      <c r="B31" s="364" t="s">
        <v>2778</v>
      </c>
      <c r="C31" s="350" t="s">
        <v>12</v>
      </c>
      <c r="D31" s="350" t="s">
        <v>2157</v>
      </c>
      <c r="E31" s="875" t="s">
        <v>15</v>
      </c>
      <c r="F31" s="780">
        <v>80</v>
      </c>
      <c r="G31" s="982"/>
      <c r="H31" s="1008"/>
      <c r="I31" s="1063"/>
      <c r="J31" s="622"/>
      <c r="K31" s="982"/>
      <c r="L31" s="926"/>
      <c r="M31" s="89"/>
      <c r="N31" s="930"/>
    </row>
    <row r="32" spans="1:14" s="224" customFormat="1" ht="15" customHeight="1" x14ac:dyDescent="0.25">
      <c r="A32" s="215">
        <v>44141</v>
      </c>
      <c r="B32" s="364" t="s">
        <v>443</v>
      </c>
      <c r="C32" s="350" t="s">
        <v>12</v>
      </c>
      <c r="D32" s="350" t="s">
        <v>1493</v>
      </c>
      <c r="E32" s="875" t="s">
        <v>13</v>
      </c>
      <c r="F32" s="780">
        <v>20.58</v>
      </c>
      <c r="G32" s="982"/>
      <c r="H32" s="1008"/>
      <c r="I32" s="1063"/>
      <c r="J32" s="622"/>
      <c r="K32" s="982"/>
      <c r="L32" s="926"/>
      <c r="M32" s="89"/>
      <c r="N32" s="930"/>
    </row>
    <row r="33" spans="1:14" s="224" customFormat="1" ht="15" customHeight="1" x14ac:dyDescent="0.25">
      <c r="A33" s="215">
        <v>44141</v>
      </c>
      <c r="B33" s="364" t="s">
        <v>249</v>
      </c>
      <c r="C33" s="350" t="s">
        <v>12</v>
      </c>
      <c r="D33" s="350" t="s">
        <v>1493</v>
      </c>
      <c r="E33" s="875" t="s">
        <v>13</v>
      </c>
      <c r="F33" s="780">
        <v>6</v>
      </c>
      <c r="G33" s="982"/>
      <c r="H33" s="1008"/>
      <c r="I33" s="1063"/>
      <c r="J33" s="622"/>
      <c r="K33" s="982"/>
      <c r="L33" s="926"/>
      <c r="M33" s="89"/>
      <c r="N33" s="930"/>
    </row>
    <row r="34" spans="1:14" s="224" customFormat="1" ht="15" customHeight="1" x14ac:dyDescent="0.25">
      <c r="A34" s="215">
        <v>44142</v>
      </c>
      <c r="B34" s="364" t="s">
        <v>32</v>
      </c>
      <c r="C34" s="350" t="s">
        <v>12</v>
      </c>
      <c r="D34" s="350" t="s">
        <v>1485</v>
      </c>
      <c r="E34" s="875" t="s">
        <v>13</v>
      </c>
      <c r="F34" s="780">
        <v>20</v>
      </c>
      <c r="G34" s="982"/>
      <c r="H34" s="1008"/>
      <c r="I34" s="1063"/>
      <c r="J34" s="622"/>
      <c r="K34" s="982"/>
      <c r="L34" s="861"/>
    </row>
    <row r="35" spans="1:14" s="224" customFormat="1" ht="15" customHeight="1" x14ac:dyDescent="0.25">
      <c r="A35" s="215">
        <v>44142</v>
      </c>
      <c r="B35" s="364" t="s">
        <v>1241</v>
      </c>
      <c r="C35" s="350" t="s">
        <v>12</v>
      </c>
      <c r="D35" s="350" t="s">
        <v>1504</v>
      </c>
      <c r="E35" s="875" t="s">
        <v>15</v>
      </c>
      <c r="F35" s="780">
        <v>10</v>
      </c>
      <c r="G35" s="982"/>
      <c r="H35" s="1008"/>
      <c r="I35" s="1063"/>
      <c r="J35" s="622"/>
      <c r="K35" s="982"/>
      <c r="L35" s="861"/>
    </row>
    <row r="36" spans="1:14" s="224" customFormat="1" ht="15" customHeight="1" x14ac:dyDescent="0.25">
      <c r="A36" s="215">
        <v>44142</v>
      </c>
      <c r="B36" s="364" t="s">
        <v>249</v>
      </c>
      <c r="C36" s="350" t="s">
        <v>12</v>
      </c>
      <c r="D36" s="350" t="s">
        <v>1493</v>
      </c>
      <c r="E36" s="875" t="s">
        <v>13</v>
      </c>
      <c r="F36" s="852">
        <v>6</v>
      </c>
      <c r="G36" s="982"/>
      <c r="H36" s="1008"/>
      <c r="I36" s="1063"/>
      <c r="J36" s="622"/>
      <c r="K36" s="982"/>
      <c r="L36" s="861"/>
    </row>
    <row r="37" spans="1:14" s="224" customFormat="1" ht="15" customHeight="1" x14ac:dyDescent="0.25">
      <c r="A37" s="215">
        <v>44142</v>
      </c>
      <c r="B37" s="364" t="s">
        <v>134</v>
      </c>
      <c r="C37" s="350" t="s">
        <v>12</v>
      </c>
      <c r="D37" s="350" t="s">
        <v>1493</v>
      </c>
      <c r="E37" s="875" t="s">
        <v>13</v>
      </c>
      <c r="F37" s="852">
        <v>22.48</v>
      </c>
      <c r="G37" s="982"/>
      <c r="H37" s="1008"/>
      <c r="I37" s="1063"/>
      <c r="J37" s="622"/>
      <c r="K37" s="982"/>
      <c r="L37" s="861"/>
    </row>
    <row r="38" spans="1:14" s="224" customFormat="1" ht="15" customHeight="1" x14ac:dyDescent="0.25">
      <c r="A38" s="215">
        <v>44143</v>
      </c>
      <c r="B38" s="364" t="s">
        <v>14</v>
      </c>
      <c r="C38" s="350" t="s">
        <v>12</v>
      </c>
      <c r="D38" s="350" t="s">
        <v>1486</v>
      </c>
      <c r="E38" s="875" t="s">
        <v>13</v>
      </c>
      <c r="F38" s="780">
        <v>7.94</v>
      </c>
      <c r="G38" s="982"/>
      <c r="H38" s="1008"/>
      <c r="I38" s="1063"/>
      <c r="J38" s="622"/>
      <c r="K38" s="982"/>
      <c r="L38" s="861"/>
    </row>
    <row r="39" spans="1:14" s="224" customFormat="1" ht="15" customHeight="1" x14ac:dyDescent="0.25">
      <c r="A39" s="215">
        <v>44143</v>
      </c>
      <c r="B39" s="364" t="s">
        <v>43</v>
      </c>
      <c r="C39" s="350" t="s">
        <v>12</v>
      </c>
      <c r="D39" s="350" t="s">
        <v>1493</v>
      </c>
      <c r="E39" s="875" t="s">
        <v>13</v>
      </c>
      <c r="F39" s="780">
        <v>12</v>
      </c>
      <c r="G39" s="982"/>
      <c r="H39" s="1008"/>
      <c r="I39" s="1063"/>
      <c r="J39" s="622"/>
      <c r="K39" s="982"/>
      <c r="L39" s="861"/>
    </row>
    <row r="40" spans="1:14" s="224" customFormat="1" ht="15" customHeight="1" x14ac:dyDescent="0.25">
      <c r="A40" s="215">
        <v>44143</v>
      </c>
      <c r="B40" s="364" t="s">
        <v>421</v>
      </c>
      <c r="C40" s="350" t="s">
        <v>12</v>
      </c>
      <c r="D40" s="350" t="s">
        <v>1493</v>
      </c>
      <c r="E40" s="875" t="s">
        <v>13</v>
      </c>
      <c r="F40" s="780">
        <v>24.45</v>
      </c>
      <c r="G40" s="982"/>
      <c r="H40" s="1008"/>
      <c r="I40" s="1063"/>
      <c r="J40" s="622"/>
      <c r="K40" s="982"/>
      <c r="L40" s="861"/>
    </row>
    <row r="41" spans="1:14" s="224" customFormat="1" ht="15" customHeight="1" x14ac:dyDescent="0.25">
      <c r="A41" s="215">
        <v>44144</v>
      </c>
      <c r="B41" s="364" t="s">
        <v>2779</v>
      </c>
      <c r="C41" s="350" t="s">
        <v>12</v>
      </c>
      <c r="D41" s="350" t="s">
        <v>1489</v>
      </c>
      <c r="E41" s="875" t="s">
        <v>13</v>
      </c>
      <c r="F41" s="780">
        <v>150</v>
      </c>
      <c r="G41" s="982"/>
      <c r="H41" s="1008"/>
      <c r="I41" s="1063"/>
      <c r="J41" s="622"/>
      <c r="K41" s="982"/>
      <c r="L41" s="926"/>
      <c r="M41" s="89"/>
      <c r="N41" s="930"/>
    </row>
    <row r="42" spans="1:14" s="224" customFormat="1" ht="15" customHeight="1" x14ac:dyDescent="0.25">
      <c r="A42" s="215">
        <v>44144</v>
      </c>
      <c r="B42" s="364" t="s">
        <v>32</v>
      </c>
      <c r="C42" s="350" t="s">
        <v>12</v>
      </c>
      <c r="D42" s="350" t="s">
        <v>1485</v>
      </c>
      <c r="E42" s="875" t="s">
        <v>15</v>
      </c>
      <c r="F42" s="780">
        <v>15</v>
      </c>
      <c r="G42" s="982"/>
      <c r="H42" s="1008"/>
      <c r="I42" s="1063"/>
      <c r="J42" s="622"/>
      <c r="K42" s="982"/>
      <c r="L42" s="861"/>
    </row>
    <row r="43" spans="1:14" s="224" customFormat="1" ht="15" customHeight="1" x14ac:dyDescent="0.25">
      <c r="A43" s="215">
        <v>44144</v>
      </c>
      <c r="B43" s="364" t="s">
        <v>14</v>
      </c>
      <c r="C43" s="350" t="s">
        <v>12</v>
      </c>
      <c r="D43" s="350" t="s">
        <v>1486</v>
      </c>
      <c r="E43" s="875" t="s">
        <v>13</v>
      </c>
      <c r="F43" s="780">
        <v>3.57</v>
      </c>
      <c r="G43" s="982"/>
      <c r="H43" s="1008"/>
      <c r="I43" s="1063"/>
      <c r="J43" s="622"/>
      <c r="K43" s="982"/>
      <c r="L43" s="926"/>
      <c r="M43" s="89"/>
      <c r="N43" s="930"/>
    </row>
    <row r="44" spans="1:14" s="224" customFormat="1" ht="15" customHeight="1" x14ac:dyDescent="0.25">
      <c r="A44" s="215">
        <v>44144</v>
      </c>
      <c r="B44" s="364" t="s">
        <v>2780</v>
      </c>
      <c r="C44" s="350" t="s">
        <v>12</v>
      </c>
      <c r="D44" s="350" t="s">
        <v>1491</v>
      </c>
      <c r="E44" s="875" t="s">
        <v>15</v>
      </c>
      <c r="F44" s="780">
        <v>50</v>
      </c>
      <c r="G44" s="982"/>
      <c r="H44" s="1008"/>
      <c r="I44" s="1063"/>
      <c r="J44" s="622"/>
      <c r="K44" s="982"/>
      <c r="L44" s="861"/>
    </row>
    <row r="45" spans="1:14" s="224" customFormat="1" ht="15" customHeight="1" x14ac:dyDescent="0.25">
      <c r="A45" s="215">
        <v>44144</v>
      </c>
      <c r="B45" s="349" t="s">
        <v>260</v>
      </c>
      <c r="C45" s="350" t="s">
        <v>12</v>
      </c>
      <c r="D45" s="350"/>
      <c r="E45" s="480"/>
      <c r="F45" s="780">
        <v>200</v>
      </c>
      <c r="G45" s="946"/>
      <c r="H45" s="95"/>
      <c r="I45" s="1064">
        <v>200</v>
      </c>
      <c r="J45" s="622"/>
      <c r="K45" s="982"/>
      <c r="L45" s="861"/>
    </row>
    <row r="46" spans="1:14" s="224" customFormat="1" ht="15" customHeight="1" x14ac:dyDescent="0.25">
      <c r="A46" s="215">
        <v>44145</v>
      </c>
      <c r="B46" s="364" t="s">
        <v>32</v>
      </c>
      <c r="C46" s="350" t="s">
        <v>12</v>
      </c>
      <c r="D46" s="350" t="s">
        <v>1485</v>
      </c>
      <c r="E46" s="875" t="s">
        <v>13</v>
      </c>
      <c r="F46" s="780">
        <v>15</v>
      </c>
      <c r="G46" s="982"/>
      <c r="H46" s="1008"/>
      <c r="I46" s="1063"/>
      <c r="J46" s="622"/>
      <c r="K46" s="982"/>
      <c r="L46" s="861"/>
    </row>
    <row r="47" spans="1:14" s="224" customFormat="1" ht="15" customHeight="1" x14ac:dyDescent="0.25">
      <c r="A47" s="215">
        <v>44145</v>
      </c>
      <c r="B47" s="364" t="s">
        <v>17</v>
      </c>
      <c r="C47" s="350" t="s">
        <v>12</v>
      </c>
      <c r="D47" s="350" t="s">
        <v>1493</v>
      </c>
      <c r="E47" s="875" t="s">
        <v>13</v>
      </c>
      <c r="F47" s="780">
        <v>5</v>
      </c>
      <c r="G47" s="982"/>
      <c r="H47" s="1008"/>
      <c r="I47" s="1063"/>
      <c r="J47" s="622"/>
      <c r="K47" s="982"/>
      <c r="L47" s="861"/>
    </row>
    <row r="48" spans="1:14" s="224" customFormat="1" ht="15" customHeight="1" x14ac:dyDescent="0.25">
      <c r="A48" s="215">
        <v>44145</v>
      </c>
      <c r="B48" s="364" t="s">
        <v>14</v>
      </c>
      <c r="C48" s="350" t="s">
        <v>12</v>
      </c>
      <c r="D48" s="350" t="s">
        <v>1486</v>
      </c>
      <c r="E48" s="875" t="s">
        <v>13</v>
      </c>
      <c r="F48" s="780">
        <v>3.88</v>
      </c>
      <c r="G48" s="982"/>
      <c r="H48" s="1008"/>
      <c r="I48" s="1063"/>
      <c r="J48" s="622"/>
      <c r="K48" s="982"/>
      <c r="L48" s="861"/>
    </row>
    <row r="49" spans="1:14" s="224" customFormat="1" ht="15" customHeight="1" x14ac:dyDescent="0.25">
      <c r="A49" s="215">
        <v>44145</v>
      </c>
      <c r="B49" s="364" t="s">
        <v>1396</v>
      </c>
      <c r="C49" s="350" t="s">
        <v>12</v>
      </c>
      <c r="D49" s="350"/>
      <c r="E49" s="480" t="s">
        <v>25</v>
      </c>
      <c r="F49" s="613"/>
      <c r="G49" s="967">
        <v>45</v>
      </c>
      <c r="H49" s="1008"/>
      <c r="I49" s="1063"/>
      <c r="J49" s="622"/>
      <c r="K49" s="982"/>
      <c r="L49" s="861"/>
    </row>
    <row r="50" spans="1:14" s="224" customFormat="1" ht="15" customHeight="1" x14ac:dyDescent="0.25">
      <c r="A50" s="215">
        <v>44146</v>
      </c>
      <c r="B50" s="364" t="s">
        <v>32</v>
      </c>
      <c r="C50" s="350" t="s">
        <v>12</v>
      </c>
      <c r="D50" s="350" t="s">
        <v>1485</v>
      </c>
      <c r="E50" s="875" t="s">
        <v>13</v>
      </c>
      <c r="F50" s="780">
        <v>15</v>
      </c>
      <c r="G50" s="982"/>
      <c r="H50" s="1008"/>
      <c r="I50" s="1063"/>
      <c r="J50" s="622"/>
      <c r="K50" s="982"/>
      <c r="L50" s="861"/>
    </row>
    <row r="51" spans="1:14" s="224" customFormat="1" ht="15" customHeight="1" x14ac:dyDescent="0.25">
      <c r="A51" s="215">
        <v>44146</v>
      </c>
      <c r="B51" s="364" t="s">
        <v>2778</v>
      </c>
      <c r="C51" s="350" t="s">
        <v>12</v>
      </c>
      <c r="D51" s="350" t="s">
        <v>2157</v>
      </c>
      <c r="E51" s="875" t="s">
        <v>13</v>
      </c>
      <c r="F51" s="780">
        <v>60</v>
      </c>
      <c r="G51" s="982"/>
      <c r="H51" s="1008"/>
      <c r="I51" s="1063"/>
      <c r="J51" s="622"/>
      <c r="K51" s="982"/>
      <c r="L51" s="926"/>
      <c r="M51" s="89"/>
      <c r="N51" s="930"/>
    </row>
    <row r="52" spans="1:14" s="224" customFormat="1" ht="15" customHeight="1" x14ac:dyDescent="0.25">
      <c r="A52" s="215">
        <v>44146</v>
      </c>
      <c r="B52" s="364" t="s">
        <v>14</v>
      </c>
      <c r="C52" s="350" t="s">
        <v>12</v>
      </c>
      <c r="D52" s="350" t="s">
        <v>1486</v>
      </c>
      <c r="E52" s="875" t="s">
        <v>13</v>
      </c>
      <c r="F52" s="780">
        <v>3.07</v>
      </c>
      <c r="G52" s="982"/>
      <c r="H52" s="1008"/>
      <c r="I52" s="1063"/>
      <c r="J52" s="622"/>
      <c r="K52" s="982"/>
      <c r="L52" s="861"/>
    </row>
    <row r="53" spans="1:14" s="224" customFormat="1" ht="15" customHeight="1" x14ac:dyDescent="0.25">
      <c r="A53" s="215">
        <v>44147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780">
        <v>15</v>
      </c>
      <c r="G53" s="982"/>
      <c r="H53" s="1008"/>
      <c r="I53" s="1063"/>
      <c r="J53" s="622"/>
      <c r="K53" s="982"/>
      <c r="L53" s="861"/>
    </row>
    <row r="54" spans="1:14" s="224" customFormat="1" ht="15" customHeight="1" x14ac:dyDescent="0.25">
      <c r="A54" s="215">
        <v>44147</v>
      </c>
      <c r="B54" s="364" t="s">
        <v>17</v>
      </c>
      <c r="C54" s="350" t="s">
        <v>12</v>
      </c>
      <c r="D54" s="350" t="s">
        <v>1493</v>
      </c>
      <c r="E54" s="875" t="s">
        <v>13</v>
      </c>
      <c r="F54" s="780">
        <v>5</v>
      </c>
      <c r="G54" s="982"/>
      <c r="H54" s="1008"/>
      <c r="I54" s="1063"/>
      <c r="J54" s="622"/>
      <c r="K54" s="982"/>
      <c r="L54" s="861"/>
    </row>
    <row r="55" spans="1:14" s="224" customFormat="1" ht="15" customHeight="1" x14ac:dyDescent="0.25">
      <c r="A55" s="215">
        <v>44147</v>
      </c>
      <c r="B55" s="364" t="s">
        <v>14</v>
      </c>
      <c r="C55" s="350" t="s">
        <v>12</v>
      </c>
      <c r="D55" s="350" t="s">
        <v>1486</v>
      </c>
      <c r="E55" s="875" t="s">
        <v>13</v>
      </c>
      <c r="F55" s="780">
        <v>10</v>
      </c>
      <c r="G55" s="982"/>
      <c r="H55" s="1008"/>
      <c r="I55" s="1063"/>
      <c r="J55" s="622"/>
      <c r="K55" s="982"/>
      <c r="L55" s="861"/>
    </row>
    <row r="56" spans="1:14" s="224" customFormat="1" ht="15" customHeight="1" x14ac:dyDescent="0.25">
      <c r="A56" s="215">
        <v>44148</v>
      </c>
      <c r="B56" s="364" t="s">
        <v>32</v>
      </c>
      <c r="C56" s="350" t="s">
        <v>12</v>
      </c>
      <c r="D56" s="350" t="s">
        <v>1485</v>
      </c>
      <c r="E56" s="875" t="s">
        <v>13</v>
      </c>
      <c r="F56" s="780">
        <v>15</v>
      </c>
      <c r="G56" s="982"/>
      <c r="H56" s="1008"/>
      <c r="I56" s="1063"/>
      <c r="J56" s="622"/>
      <c r="K56" s="982"/>
      <c r="L56" s="861"/>
    </row>
    <row r="57" spans="1:14" s="224" customFormat="1" ht="15" customHeight="1" x14ac:dyDescent="0.25">
      <c r="A57" s="215">
        <v>44148</v>
      </c>
      <c r="B57" s="364" t="s">
        <v>82</v>
      </c>
      <c r="C57" s="350" t="s">
        <v>12</v>
      </c>
      <c r="D57" s="350" t="s">
        <v>1493</v>
      </c>
      <c r="E57" s="875" t="s">
        <v>13</v>
      </c>
      <c r="F57" s="780">
        <v>33.880000000000003</v>
      </c>
      <c r="G57" s="982"/>
      <c r="H57" s="1008"/>
      <c r="I57" s="1063"/>
      <c r="J57" s="622"/>
      <c r="K57" s="982"/>
      <c r="L57" s="861"/>
    </row>
    <row r="58" spans="1:14" s="224" customFormat="1" ht="15" customHeight="1" x14ac:dyDescent="0.25">
      <c r="A58" s="215">
        <v>44149</v>
      </c>
      <c r="B58" s="364" t="s">
        <v>14</v>
      </c>
      <c r="C58" s="350" t="s">
        <v>12</v>
      </c>
      <c r="D58" s="350" t="s">
        <v>1486</v>
      </c>
      <c r="E58" s="875" t="s">
        <v>13</v>
      </c>
      <c r="F58" s="780">
        <v>2.04</v>
      </c>
      <c r="G58" s="982"/>
      <c r="H58" s="1008"/>
      <c r="I58" s="1063"/>
      <c r="J58" s="622"/>
      <c r="K58" s="982"/>
      <c r="L58" s="861"/>
    </row>
    <row r="59" spans="1:14" s="224" customFormat="1" ht="15" customHeight="1" x14ac:dyDescent="0.25">
      <c r="A59" s="215">
        <v>44149</v>
      </c>
      <c r="B59" s="349" t="s">
        <v>56</v>
      </c>
      <c r="C59" s="887" t="s">
        <v>19</v>
      </c>
      <c r="D59" s="879" t="s">
        <v>1523</v>
      </c>
      <c r="E59" s="871" t="s">
        <v>13</v>
      </c>
      <c r="F59" s="780">
        <v>20</v>
      </c>
      <c r="G59" s="982"/>
      <c r="H59" s="1008"/>
      <c r="I59" s="1063"/>
      <c r="J59" s="622"/>
      <c r="K59" s="982"/>
      <c r="L59" s="1029"/>
    </row>
    <row r="60" spans="1:14" s="224" customFormat="1" ht="15" customHeight="1" x14ac:dyDescent="0.25">
      <c r="A60" s="215">
        <v>44149</v>
      </c>
      <c r="B60" s="349" t="s">
        <v>2654</v>
      </c>
      <c r="C60" s="887" t="s">
        <v>19</v>
      </c>
      <c r="D60" s="879" t="s">
        <v>1489</v>
      </c>
      <c r="E60" s="871" t="s">
        <v>13</v>
      </c>
      <c r="F60" s="780">
        <v>75.180000000000007</v>
      </c>
      <c r="G60" s="982"/>
      <c r="H60" s="1008"/>
      <c r="I60" s="1063"/>
      <c r="J60" s="622"/>
      <c r="K60" s="982"/>
      <c r="L60" s="1029"/>
    </row>
    <row r="61" spans="1:14" s="224" customFormat="1" ht="15" customHeight="1" x14ac:dyDescent="0.25">
      <c r="A61" s="215">
        <v>44149</v>
      </c>
      <c r="B61" s="364" t="s">
        <v>2778</v>
      </c>
      <c r="C61" s="350" t="s">
        <v>12</v>
      </c>
      <c r="D61" s="350" t="s">
        <v>2157</v>
      </c>
      <c r="E61" s="875" t="s">
        <v>13</v>
      </c>
      <c r="F61" s="780">
        <v>60</v>
      </c>
      <c r="G61" s="982"/>
      <c r="H61" s="1008"/>
      <c r="I61" s="1063"/>
      <c r="J61" s="622"/>
      <c r="K61" s="982"/>
      <c r="L61" s="926"/>
      <c r="M61" s="89"/>
      <c r="N61" s="930"/>
    </row>
    <row r="62" spans="1:14" s="224" customFormat="1" ht="15" customHeight="1" x14ac:dyDescent="0.25">
      <c r="A62" s="215">
        <v>44149</v>
      </c>
      <c r="B62" s="349" t="s">
        <v>56</v>
      </c>
      <c r="C62" s="887" t="s">
        <v>12</v>
      </c>
      <c r="D62" s="879" t="s">
        <v>1523</v>
      </c>
      <c r="E62" s="871" t="s">
        <v>15</v>
      </c>
      <c r="F62" s="780">
        <v>15</v>
      </c>
      <c r="G62" s="982"/>
      <c r="H62" s="1008"/>
      <c r="I62" s="1063"/>
      <c r="J62" s="622"/>
      <c r="K62" s="982"/>
      <c r="L62" s="1029"/>
    </row>
    <row r="63" spans="1:14" s="224" customFormat="1" ht="15" customHeight="1" x14ac:dyDescent="0.25">
      <c r="A63" s="215">
        <v>44150</v>
      </c>
      <c r="B63" s="364" t="s">
        <v>14</v>
      </c>
      <c r="C63" s="350" t="s">
        <v>12</v>
      </c>
      <c r="D63" s="350" t="s">
        <v>1486</v>
      </c>
      <c r="E63" s="875" t="s">
        <v>13</v>
      </c>
      <c r="F63" s="780">
        <v>6.86</v>
      </c>
      <c r="G63" s="982"/>
      <c r="H63" s="1008"/>
      <c r="I63" s="1063"/>
      <c r="J63" s="622"/>
      <c r="K63" s="982"/>
      <c r="L63" s="861"/>
    </row>
    <row r="64" spans="1:14" s="224" customFormat="1" ht="15" customHeight="1" x14ac:dyDescent="0.25">
      <c r="A64" s="215">
        <v>44150</v>
      </c>
      <c r="B64" s="364" t="s">
        <v>2781</v>
      </c>
      <c r="C64" s="350" t="s">
        <v>12</v>
      </c>
      <c r="D64" s="350" t="s">
        <v>1491</v>
      </c>
      <c r="E64" s="875" t="s">
        <v>15</v>
      </c>
      <c r="F64" s="780">
        <v>100</v>
      </c>
      <c r="G64" s="982"/>
      <c r="H64" s="1008"/>
      <c r="I64" s="1063"/>
      <c r="J64" s="622"/>
      <c r="K64" s="982"/>
      <c r="L64" s="926"/>
      <c r="M64" s="89"/>
      <c r="N64" s="930"/>
    </row>
    <row r="65" spans="1:14" s="224" customFormat="1" ht="15" customHeight="1" x14ac:dyDescent="0.25">
      <c r="A65" s="215">
        <v>44150</v>
      </c>
      <c r="B65" s="364" t="s">
        <v>14</v>
      </c>
      <c r="C65" s="350" t="s">
        <v>12</v>
      </c>
      <c r="D65" s="350" t="s">
        <v>1486</v>
      </c>
      <c r="E65" s="875" t="s">
        <v>13</v>
      </c>
      <c r="F65" s="780">
        <v>14.52</v>
      </c>
      <c r="G65" s="982"/>
      <c r="H65" s="1008"/>
      <c r="I65" s="1063"/>
      <c r="J65" s="622"/>
      <c r="K65" s="982"/>
      <c r="L65" s="861"/>
    </row>
    <row r="66" spans="1:14" s="224" customFormat="1" ht="15" customHeight="1" x14ac:dyDescent="0.25">
      <c r="A66" s="215">
        <v>44151</v>
      </c>
      <c r="B66" s="364" t="s">
        <v>32</v>
      </c>
      <c r="C66" s="350" t="s">
        <v>12</v>
      </c>
      <c r="D66" s="350" t="s">
        <v>1485</v>
      </c>
      <c r="E66" s="875" t="s">
        <v>13</v>
      </c>
      <c r="F66" s="780">
        <v>15</v>
      </c>
      <c r="G66" s="982"/>
      <c r="H66" s="1008"/>
      <c r="I66" s="1063"/>
      <c r="J66" s="622"/>
      <c r="K66" s="982"/>
      <c r="L66" s="861"/>
    </row>
    <row r="67" spans="1:14" s="224" customFormat="1" ht="15" customHeight="1" x14ac:dyDescent="0.25">
      <c r="A67" s="215">
        <v>44151</v>
      </c>
      <c r="B67" s="364" t="s">
        <v>14</v>
      </c>
      <c r="C67" s="350" t="s">
        <v>12</v>
      </c>
      <c r="D67" s="350" t="s">
        <v>1486</v>
      </c>
      <c r="E67" s="875" t="s">
        <v>13</v>
      </c>
      <c r="F67" s="780">
        <v>6</v>
      </c>
      <c r="G67" s="982"/>
      <c r="H67" s="1008"/>
      <c r="I67" s="1063"/>
      <c r="J67" s="622"/>
      <c r="K67" s="982"/>
      <c r="L67" s="861"/>
    </row>
    <row r="68" spans="1:14" s="224" customFormat="1" ht="15" customHeight="1" x14ac:dyDescent="0.25">
      <c r="A68" s="215">
        <v>44152</v>
      </c>
      <c r="B68" s="882" t="s">
        <v>2782</v>
      </c>
      <c r="C68" s="879" t="s">
        <v>12</v>
      </c>
      <c r="D68" s="879" t="s">
        <v>1499</v>
      </c>
      <c r="E68" s="871" t="s">
        <v>13</v>
      </c>
      <c r="F68" s="780">
        <v>48.83</v>
      </c>
      <c r="G68" s="982"/>
      <c r="H68" s="1008"/>
      <c r="I68" s="1063"/>
      <c r="J68" s="622"/>
      <c r="K68" s="982"/>
      <c r="L68" s="1029">
        <v>108.83</v>
      </c>
      <c r="M68" s="1027"/>
      <c r="N68" s="930"/>
    </row>
    <row r="69" spans="1:14" s="224" customFormat="1" ht="15" customHeight="1" x14ac:dyDescent="0.25">
      <c r="A69" s="215">
        <v>44152</v>
      </c>
      <c r="B69" s="364" t="s">
        <v>256</v>
      </c>
      <c r="C69" s="350"/>
      <c r="D69" s="350"/>
      <c r="E69" s="875" t="s">
        <v>25</v>
      </c>
      <c r="F69" s="780"/>
      <c r="G69" s="1064">
        <v>250</v>
      </c>
      <c r="H69" s="97">
        <v>250</v>
      </c>
      <c r="I69" s="1063"/>
      <c r="J69" s="622"/>
      <c r="K69" s="982"/>
      <c r="L69" s="861"/>
      <c r="N69" s="930"/>
    </row>
    <row r="70" spans="1:14" s="224" customFormat="1" ht="15" customHeight="1" x14ac:dyDescent="0.25">
      <c r="A70" s="215">
        <v>44152</v>
      </c>
      <c r="B70" s="364" t="s">
        <v>2783</v>
      </c>
      <c r="C70" s="350" t="s">
        <v>19</v>
      </c>
      <c r="D70" s="350" t="s">
        <v>1525</v>
      </c>
      <c r="E70" s="875" t="s">
        <v>13</v>
      </c>
      <c r="F70" s="780">
        <v>71.89</v>
      </c>
      <c r="G70" s="982"/>
      <c r="H70" s="1008"/>
      <c r="I70" s="1063"/>
      <c r="J70" s="622"/>
      <c r="K70" s="982"/>
      <c r="L70" s="861"/>
    </row>
    <row r="71" spans="1:14" s="224" customFormat="1" ht="15" customHeight="1" x14ac:dyDescent="0.25">
      <c r="A71" s="215">
        <v>44152</v>
      </c>
      <c r="B71" s="364" t="s">
        <v>2784</v>
      </c>
      <c r="C71" s="350" t="s">
        <v>19</v>
      </c>
      <c r="D71" s="350" t="s">
        <v>1525</v>
      </c>
      <c r="E71" s="875" t="s">
        <v>13</v>
      </c>
      <c r="F71" s="780">
        <v>100</v>
      </c>
      <c r="G71" s="982"/>
      <c r="H71" s="1008"/>
      <c r="I71" s="1063"/>
      <c r="J71" s="622"/>
      <c r="K71" s="982"/>
      <c r="L71" s="861"/>
    </row>
    <row r="72" spans="1:14" s="224" customFormat="1" ht="15" customHeight="1" x14ac:dyDescent="0.25">
      <c r="A72" s="215">
        <v>44152</v>
      </c>
      <c r="B72" s="364" t="s">
        <v>32</v>
      </c>
      <c r="C72" s="350" t="s">
        <v>12</v>
      </c>
      <c r="D72" s="350" t="s">
        <v>1485</v>
      </c>
      <c r="E72" s="875" t="s">
        <v>13</v>
      </c>
      <c r="F72" s="780">
        <v>15</v>
      </c>
      <c r="G72" s="982"/>
      <c r="H72" s="1008"/>
      <c r="I72" s="1063"/>
      <c r="J72" s="622"/>
      <c r="K72" s="982"/>
      <c r="L72" s="861"/>
    </row>
    <row r="73" spans="1:14" s="224" customFormat="1" ht="15" customHeight="1" x14ac:dyDescent="0.25">
      <c r="A73" s="215">
        <v>44152</v>
      </c>
      <c r="B73" s="364" t="s">
        <v>14</v>
      </c>
      <c r="C73" s="350" t="s">
        <v>12</v>
      </c>
      <c r="D73" s="350" t="s">
        <v>1486</v>
      </c>
      <c r="E73" s="875" t="s">
        <v>13</v>
      </c>
      <c r="F73" s="780">
        <v>9.5</v>
      </c>
      <c r="G73" s="982"/>
      <c r="H73" s="1008"/>
      <c r="I73" s="1063"/>
      <c r="J73" s="622"/>
      <c r="K73" s="982"/>
      <c r="L73" s="861"/>
      <c r="N73" s="930"/>
    </row>
    <row r="74" spans="1:14" s="224" customFormat="1" ht="15" customHeight="1" x14ac:dyDescent="0.25">
      <c r="A74" s="215">
        <v>44153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15</v>
      </c>
      <c r="G74" s="982"/>
      <c r="H74" s="1008"/>
      <c r="I74" s="1063"/>
      <c r="J74" s="622"/>
      <c r="K74" s="982"/>
      <c r="L74" s="861"/>
    </row>
    <row r="75" spans="1:14" s="224" customFormat="1" ht="15" customHeight="1" x14ac:dyDescent="0.25">
      <c r="A75" s="215">
        <v>44153</v>
      </c>
      <c r="B75" s="364" t="s">
        <v>14</v>
      </c>
      <c r="C75" s="350" t="s">
        <v>12</v>
      </c>
      <c r="D75" s="350" t="s">
        <v>1486</v>
      </c>
      <c r="E75" s="875" t="s">
        <v>13</v>
      </c>
      <c r="F75" s="780">
        <v>10</v>
      </c>
      <c r="G75" s="982"/>
      <c r="H75" s="1008"/>
      <c r="I75" s="1063"/>
      <c r="J75" s="622"/>
      <c r="K75" s="982"/>
      <c r="L75" s="861"/>
      <c r="N75" s="930"/>
    </row>
    <row r="76" spans="1:14" s="224" customFormat="1" ht="15" customHeight="1" x14ac:dyDescent="0.25">
      <c r="A76" s="215">
        <v>44154</v>
      </c>
      <c r="B76" s="364" t="s">
        <v>32</v>
      </c>
      <c r="C76" s="350" t="s">
        <v>12</v>
      </c>
      <c r="D76" s="350" t="s">
        <v>1485</v>
      </c>
      <c r="E76" s="875" t="s">
        <v>15</v>
      </c>
      <c r="F76" s="780">
        <v>15</v>
      </c>
      <c r="G76" s="982"/>
      <c r="H76" s="1008"/>
      <c r="I76" s="1063"/>
      <c r="J76" s="622"/>
      <c r="K76" s="982"/>
      <c r="L76" s="861"/>
      <c r="N76" s="930"/>
    </row>
    <row r="77" spans="1:14" s="224" customFormat="1" ht="15" customHeight="1" x14ac:dyDescent="0.25">
      <c r="A77" s="215">
        <v>44155</v>
      </c>
      <c r="B77" s="882" t="s">
        <v>2785</v>
      </c>
      <c r="C77" s="350" t="s">
        <v>12</v>
      </c>
      <c r="D77" s="350"/>
      <c r="E77" s="480" t="s">
        <v>25</v>
      </c>
      <c r="F77" s="622"/>
      <c r="G77" s="982">
        <v>1660</v>
      </c>
      <c r="H77" s="1008"/>
      <c r="I77" s="1063"/>
      <c r="J77" s="622"/>
      <c r="K77" s="982"/>
      <c r="L77" s="861"/>
    </row>
    <row r="78" spans="1:14" s="224" customFormat="1" x14ac:dyDescent="0.25">
      <c r="A78" s="215">
        <v>44155</v>
      </c>
      <c r="B78" s="873" t="s">
        <v>2590</v>
      </c>
      <c r="C78" s="879" t="s">
        <v>12</v>
      </c>
      <c r="D78" s="350" t="s">
        <v>1491</v>
      </c>
      <c r="E78" s="871" t="s">
        <v>15</v>
      </c>
      <c r="F78" s="622">
        <v>75</v>
      </c>
      <c r="G78" s="982"/>
      <c r="H78" s="1008"/>
      <c r="I78" s="1063"/>
      <c r="J78" s="622"/>
      <c r="K78" s="982"/>
      <c r="L78" s="1028"/>
    </row>
    <row r="79" spans="1:14" x14ac:dyDescent="0.25">
      <c r="A79" s="215">
        <v>44155</v>
      </c>
      <c r="B79" s="876" t="s">
        <v>2712</v>
      </c>
      <c r="C79" s="879" t="s">
        <v>12</v>
      </c>
      <c r="D79" s="879" t="s">
        <v>1496</v>
      </c>
      <c r="E79" s="871" t="s">
        <v>15</v>
      </c>
      <c r="F79" s="780">
        <v>70</v>
      </c>
      <c r="G79" s="982"/>
      <c r="H79" s="1009"/>
      <c r="I79" s="1063"/>
      <c r="J79" s="622"/>
      <c r="K79" s="982"/>
      <c r="L79" s="1029"/>
    </row>
    <row r="80" spans="1:14" s="224" customFormat="1" ht="15" customHeight="1" x14ac:dyDescent="0.25">
      <c r="A80" s="215">
        <v>44155</v>
      </c>
      <c r="B80" s="862" t="s">
        <v>2302</v>
      </c>
      <c r="C80" s="350" t="s">
        <v>12</v>
      </c>
      <c r="D80" s="874" t="s">
        <v>1504</v>
      </c>
      <c r="E80" s="887" t="s">
        <v>13</v>
      </c>
      <c r="F80" s="852">
        <v>78.98</v>
      </c>
      <c r="G80" s="982"/>
      <c r="H80" s="1009"/>
      <c r="I80" s="1063"/>
      <c r="J80" s="853"/>
      <c r="K80" s="982"/>
      <c r="L80" s="861">
        <v>156.97999999999999</v>
      </c>
      <c r="M80" s="927"/>
      <c r="N80" s="930"/>
    </row>
    <row r="81" spans="1:14" s="224" customFormat="1" ht="15" customHeight="1" x14ac:dyDescent="0.25">
      <c r="A81" s="215">
        <v>44155</v>
      </c>
      <c r="B81" s="349" t="s">
        <v>260</v>
      </c>
      <c r="C81" s="350" t="s">
        <v>12</v>
      </c>
      <c r="D81" s="350"/>
      <c r="E81" s="480"/>
      <c r="F81" s="780">
        <v>650</v>
      </c>
      <c r="G81" s="946"/>
      <c r="H81" s="95"/>
      <c r="I81" s="1064">
        <v>650</v>
      </c>
      <c r="J81" s="622"/>
      <c r="K81" s="982"/>
      <c r="L81" s="861"/>
    </row>
    <row r="82" spans="1:14" s="224" customFormat="1" ht="15" customHeight="1" x14ac:dyDescent="0.25">
      <c r="A82" s="215">
        <v>44155</v>
      </c>
      <c r="B82" s="364" t="s">
        <v>32</v>
      </c>
      <c r="C82" s="350" t="s">
        <v>12</v>
      </c>
      <c r="D82" s="350" t="s">
        <v>1485</v>
      </c>
      <c r="E82" s="875" t="s">
        <v>13</v>
      </c>
      <c r="F82" s="780">
        <v>16</v>
      </c>
      <c r="G82" s="982"/>
      <c r="H82" s="1008"/>
      <c r="I82" s="1063"/>
      <c r="J82" s="622"/>
      <c r="K82" s="982"/>
      <c r="L82" s="861"/>
      <c r="N82" s="930"/>
    </row>
    <row r="83" spans="1:14" s="224" customFormat="1" ht="15" customHeight="1" x14ac:dyDescent="0.25">
      <c r="A83" s="215">
        <v>44155</v>
      </c>
      <c r="B83" s="364" t="s">
        <v>17</v>
      </c>
      <c r="C83" s="350" t="s">
        <v>12</v>
      </c>
      <c r="D83" s="350" t="s">
        <v>1493</v>
      </c>
      <c r="E83" s="875" t="s">
        <v>13</v>
      </c>
      <c r="F83" s="780">
        <v>6</v>
      </c>
      <c r="G83" s="982"/>
      <c r="H83" s="1008"/>
      <c r="I83" s="1063"/>
      <c r="J83" s="622"/>
      <c r="K83" s="982"/>
      <c r="L83" s="861"/>
    </row>
    <row r="84" spans="1:14" s="224" customFormat="1" ht="15" customHeight="1" x14ac:dyDescent="0.25">
      <c r="A84" s="215">
        <v>44155</v>
      </c>
      <c r="B84" s="364" t="s">
        <v>2778</v>
      </c>
      <c r="C84" s="350" t="s">
        <v>19</v>
      </c>
      <c r="D84" s="350" t="s">
        <v>2157</v>
      </c>
      <c r="E84" s="875" t="s">
        <v>13</v>
      </c>
      <c r="F84" s="780">
        <v>80</v>
      </c>
      <c r="G84" s="982"/>
      <c r="H84" s="1008"/>
      <c r="I84" s="1063"/>
      <c r="J84" s="622"/>
      <c r="K84" s="982"/>
      <c r="L84" s="926"/>
      <c r="M84" s="89"/>
      <c r="N84" s="930"/>
    </row>
    <row r="85" spans="1:14" s="224" customFormat="1" ht="15" customHeight="1" x14ac:dyDescent="0.25">
      <c r="A85" s="215">
        <v>44155</v>
      </c>
      <c r="B85" s="364" t="s">
        <v>2786</v>
      </c>
      <c r="C85" s="350" t="s">
        <v>12</v>
      </c>
      <c r="D85" s="350" t="s">
        <v>1491</v>
      </c>
      <c r="E85" s="875" t="s">
        <v>13</v>
      </c>
      <c r="F85" s="780">
        <v>37</v>
      </c>
      <c r="G85" s="982"/>
      <c r="H85" s="1008"/>
      <c r="I85" s="1063"/>
      <c r="J85" s="622"/>
      <c r="K85" s="982"/>
      <c r="L85" s="926"/>
      <c r="M85" s="89"/>
      <c r="N85" s="930"/>
    </row>
    <row r="86" spans="1:14" s="224" customFormat="1" ht="15" customHeight="1" x14ac:dyDescent="0.25">
      <c r="A86" s="215">
        <v>44155</v>
      </c>
      <c r="B86" s="364" t="s">
        <v>2441</v>
      </c>
      <c r="C86" s="350" t="s">
        <v>12</v>
      </c>
      <c r="D86" s="350" t="s">
        <v>1493</v>
      </c>
      <c r="E86" s="875" t="s">
        <v>13</v>
      </c>
      <c r="F86" s="780">
        <v>42.8</v>
      </c>
      <c r="G86" s="982"/>
      <c r="H86" s="1008"/>
      <c r="I86" s="1063"/>
      <c r="J86" s="622"/>
      <c r="K86" s="982"/>
      <c r="L86" s="926"/>
      <c r="M86" s="89"/>
      <c r="N86" s="930"/>
    </row>
    <row r="87" spans="1:14" s="224" customFormat="1" ht="15" customHeight="1" x14ac:dyDescent="0.25">
      <c r="A87" s="215">
        <v>44155</v>
      </c>
      <c r="B87" s="364" t="s">
        <v>103</v>
      </c>
      <c r="C87" s="350" t="s">
        <v>12</v>
      </c>
      <c r="D87" s="350" t="s">
        <v>1489</v>
      </c>
      <c r="E87" s="875" t="s">
        <v>13</v>
      </c>
      <c r="F87" s="780">
        <v>2</v>
      </c>
      <c r="G87" s="982"/>
      <c r="H87" s="1008"/>
      <c r="I87" s="1063"/>
      <c r="J87" s="622"/>
      <c r="K87" s="982"/>
      <c r="L87" s="926"/>
      <c r="M87" s="89"/>
      <c r="N87" s="930"/>
    </row>
    <row r="88" spans="1:14" s="224" customFormat="1" ht="15" customHeight="1" x14ac:dyDescent="0.25">
      <c r="A88" s="215">
        <v>44156</v>
      </c>
      <c r="B88" s="364" t="s">
        <v>14</v>
      </c>
      <c r="C88" s="350" t="s">
        <v>12</v>
      </c>
      <c r="D88" s="350" t="s">
        <v>1486</v>
      </c>
      <c r="E88" s="875" t="s">
        <v>13</v>
      </c>
      <c r="F88" s="780">
        <v>2.21</v>
      </c>
      <c r="G88" s="982"/>
      <c r="H88" s="1008"/>
      <c r="I88" s="1063"/>
      <c r="J88" s="622"/>
      <c r="K88" s="982"/>
      <c r="L88" s="861"/>
      <c r="N88" s="930"/>
    </row>
    <row r="89" spans="1:14" s="224" customFormat="1" ht="15" customHeight="1" x14ac:dyDescent="0.25">
      <c r="A89" s="215">
        <v>44156</v>
      </c>
      <c r="B89" s="349" t="s">
        <v>2787</v>
      </c>
      <c r="C89" s="879" t="s">
        <v>12</v>
      </c>
      <c r="D89" s="879" t="s">
        <v>1522</v>
      </c>
      <c r="E89" s="871" t="s">
        <v>13</v>
      </c>
      <c r="F89" s="852">
        <v>40</v>
      </c>
      <c r="G89" s="957"/>
      <c r="H89" s="622"/>
      <c r="I89" s="982"/>
      <c r="J89" s="622"/>
      <c r="K89" s="982"/>
      <c r="L89" s="927"/>
    </row>
    <row r="90" spans="1:14" s="224" customFormat="1" ht="15" customHeight="1" x14ac:dyDescent="0.25">
      <c r="A90" s="215">
        <v>44156</v>
      </c>
      <c r="B90" s="364" t="s">
        <v>32</v>
      </c>
      <c r="C90" s="350" t="s">
        <v>12</v>
      </c>
      <c r="D90" s="350" t="s">
        <v>1485</v>
      </c>
      <c r="E90" s="875" t="s">
        <v>13</v>
      </c>
      <c r="F90" s="780">
        <v>30</v>
      </c>
      <c r="G90" s="982"/>
      <c r="H90" s="1008"/>
      <c r="I90" s="1063"/>
      <c r="J90" s="622"/>
      <c r="K90" s="982"/>
      <c r="L90" s="861"/>
      <c r="N90" s="930"/>
    </row>
    <row r="91" spans="1:14" s="224" customFormat="1" ht="15" customHeight="1" x14ac:dyDescent="0.25">
      <c r="A91" s="215">
        <v>44156</v>
      </c>
      <c r="B91" s="349" t="s">
        <v>2788</v>
      </c>
      <c r="C91" s="879" t="s">
        <v>12</v>
      </c>
      <c r="D91" s="879" t="s">
        <v>1493</v>
      </c>
      <c r="E91" s="871" t="s">
        <v>13</v>
      </c>
      <c r="F91" s="852">
        <v>18.5</v>
      </c>
      <c r="G91" s="957"/>
      <c r="H91" s="622"/>
      <c r="I91" s="982"/>
      <c r="J91" s="622"/>
      <c r="K91" s="982"/>
      <c r="L91" s="927"/>
    </row>
    <row r="92" spans="1:14" s="224" customFormat="1" ht="15" customHeight="1" x14ac:dyDescent="0.25">
      <c r="A92" s="215">
        <v>44156</v>
      </c>
      <c r="B92" s="349" t="s">
        <v>82</v>
      </c>
      <c r="C92" s="879" t="s">
        <v>12</v>
      </c>
      <c r="D92" s="879" t="s">
        <v>1493</v>
      </c>
      <c r="E92" s="871" t="s">
        <v>13</v>
      </c>
      <c r="F92" s="852">
        <v>29.14</v>
      </c>
      <c r="G92" s="957"/>
      <c r="H92" s="622"/>
      <c r="I92" s="982"/>
      <c r="J92" s="622"/>
      <c r="K92" s="982"/>
      <c r="L92" s="927"/>
    </row>
    <row r="93" spans="1:14" s="224" customFormat="1" ht="15" customHeight="1" x14ac:dyDescent="0.25">
      <c r="A93" s="215">
        <v>44157</v>
      </c>
      <c r="B93" s="349" t="s">
        <v>421</v>
      </c>
      <c r="C93" s="879" t="s">
        <v>12</v>
      </c>
      <c r="D93" s="879" t="s">
        <v>1493</v>
      </c>
      <c r="E93" s="871" t="s">
        <v>13</v>
      </c>
      <c r="F93" s="852">
        <v>27.8</v>
      </c>
      <c r="G93" s="957"/>
      <c r="H93" s="622"/>
      <c r="I93" s="982"/>
      <c r="J93" s="622"/>
      <c r="K93" s="982"/>
      <c r="L93" s="927"/>
    </row>
    <row r="94" spans="1:14" s="224" customFormat="1" ht="15" customHeight="1" x14ac:dyDescent="0.25">
      <c r="A94" s="215">
        <v>44158</v>
      </c>
      <c r="B94" s="364" t="s">
        <v>2789</v>
      </c>
      <c r="C94" s="350" t="s">
        <v>12</v>
      </c>
      <c r="D94" s="350" t="s">
        <v>1485</v>
      </c>
      <c r="E94" s="875" t="s">
        <v>13</v>
      </c>
      <c r="F94" s="780">
        <v>6.5</v>
      </c>
      <c r="G94" s="1063"/>
      <c r="H94" s="622"/>
      <c r="I94" s="982"/>
      <c r="J94" s="622"/>
      <c r="K94" s="982"/>
      <c r="L94" s="927"/>
    </row>
    <row r="95" spans="1:14" s="224" customFormat="1" ht="15" customHeight="1" x14ac:dyDescent="0.25">
      <c r="A95" s="215">
        <v>44158</v>
      </c>
      <c r="B95" s="364" t="s">
        <v>14</v>
      </c>
      <c r="C95" s="350" t="s">
        <v>12</v>
      </c>
      <c r="D95" s="350" t="s">
        <v>1486</v>
      </c>
      <c r="E95" s="875" t="s">
        <v>13</v>
      </c>
      <c r="F95" s="780">
        <v>6.89</v>
      </c>
      <c r="G95" s="982"/>
      <c r="H95" s="1008"/>
      <c r="I95" s="1063"/>
      <c r="J95" s="622"/>
      <c r="K95" s="982"/>
      <c r="L95" s="861"/>
    </row>
    <row r="96" spans="1:14" s="224" customFormat="1" ht="15" customHeight="1" x14ac:dyDescent="0.25">
      <c r="A96" s="215">
        <v>44158</v>
      </c>
      <c r="B96" s="364" t="s">
        <v>2781</v>
      </c>
      <c r="C96" s="350" t="s">
        <v>12</v>
      </c>
      <c r="D96" s="350" t="s">
        <v>1491</v>
      </c>
      <c r="E96" s="875" t="s">
        <v>15</v>
      </c>
      <c r="F96" s="780">
        <v>75</v>
      </c>
      <c r="G96" s="982"/>
      <c r="H96" s="1008"/>
      <c r="I96" s="1063"/>
      <c r="J96" s="622"/>
      <c r="K96" s="982"/>
      <c r="L96" s="926"/>
      <c r="M96" s="89"/>
      <c r="N96" s="930"/>
    </row>
    <row r="97" spans="1:14" s="224" customFormat="1" ht="15" customHeight="1" x14ac:dyDescent="0.25">
      <c r="A97" s="215">
        <v>44159</v>
      </c>
      <c r="B97" s="364" t="s">
        <v>151</v>
      </c>
      <c r="C97" s="350" t="s">
        <v>12</v>
      </c>
      <c r="D97" s="350" t="s">
        <v>1485</v>
      </c>
      <c r="E97" s="875" t="s">
        <v>13</v>
      </c>
      <c r="F97" s="780">
        <v>16</v>
      </c>
      <c r="G97" s="1063"/>
      <c r="H97" s="622"/>
      <c r="I97" s="982"/>
      <c r="J97" s="622"/>
      <c r="K97" s="982"/>
      <c r="L97" s="927"/>
    </row>
    <row r="98" spans="1:14" s="224" customFormat="1" ht="15" customHeight="1" x14ac:dyDescent="0.25">
      <c r="A98" s="215">
        <v>44159</v>
      </c>
      <c r="B98" s="364" t="s">
        <v>14</v>
      </c>
      <c r="C98" s="350" t="s">
        <v>12</v>
      </c>
      <c r="D98" s="350" t="s">
        <v>1486</v>
      </c>
      <c r="E98" s="875" t="s">
        <v>13</v>
      </c>
      <c r="F98" s="780">
        <v>3.38</v>
      </c>
      <c r="G98" s="982"/>
      <c r="H98" s="1008"/>
      <c r="I98" s="1063"/>
      <c r="J98" s="622"/>
      <c r="K98" s="982"/>
      <c r="L98" s="861"/>
    </row>
    <row r="99" spans="1:14" s="224" customFormat="1" ht="15" customHeight="1" x14ac:dyDescent="0.25">
      <c r="A99" s="215">
        <v>44160</v>
      </c>
      <c r="B99" s="364" t="s">
        <v>151</v>
      </c>
      <c r="C99" s="350" t="s">
        <v>12</v>
      </c>
      <c r="D99" s="350" t="s">
        <v>1485</v>
      </c>
      <c r="E99" s="875" t="s">
        <v>13</v>
      </c>
      <c r="F99" s="780">
        <v>16</v>
      </c>
      <c r="G99" s="1063"/>
      <c r="H99" s="622"/>
      <c r="I99" s="982"/>
      <c r="J99" s="622"/>
      <c r="K99" s="982"/>
      <c r="L99" s="927"/>
    </row>
    <row r="100" spans="1:14" s="224" customFormat="1" ht="15" customHeight="1" x14ac:dyDescent="0.25">
      <c r="A100" s="215">
        <v>44160</v>
      </c>
      <c r="B100" s="364" t="s">
        <v>17</v>
      </c>
      <c r="C100" s="350" t="s">
        <v>12</v>
      </c>
      <c r="D100" s="350" t="s">
        <v>1493</v>
      </c>
      <c r="E100" s="875" t="s">
        <v>13</v>
      </c>
      <c r="F100" s="780">
        <v>6</v>
      </c>
      <c r="G100" s="982"/>
      <c r="H100" s="1008"/>
      <c r="I100" s="1063"/>
      <c r="J100" s="622"/>
      <c r="K100" s="982"/>
      <c r="L100" s="861"/>
    </row>
    <row r="101" spans="1:14" s="224" customFormat="1" ht="15" customHeight="1" x14ac:dyDescent="0.25">
      <c r="A101" s="215">
        <v>44160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852">
        <v>3.33</v>
      </c>
      <c r="G101" s="1063"/>
      <c r="H101" s="622"/>
      <c r="I101" s="982"/>
      <c r="J101" s="622"/>
      <c r="K101" s="982"/>
      <c r="L101" s="927"/>
    </row>
    <row r="102" spans="1:14" s="224" customFormat="1" ht="15" customHeight="1" x14ac:dyDescent="0.25">
      <c r="A102" s="215">
        <v>44161</v>
      </c>
      <c r="B102" s="364" t="s">
        <v>151</v>
      </c>
      <c r="C102" s="350" t="s">
        <v>12</v>
      </c>
      <c r="D102" s="350" t="s">
        <v>1485</v>
      </c>
      <c r="E102" s="875" t="s">
        <v>13</v>
      </c>
      <c r="F102" s="780">
        <v>15</v>
      </c>
      <c r="G102" s="1063"/>
      <c r="H102" s="622"/>
      <c r="I102" s="982"/>
      <c r="J102" s="622"/>
      <c r="K102" s="982"/>
      <c r="L102" s="927"/>
    </row>
    <row r="103" spans="1:14" s="224" customFormat="1" ht="15" customHeight="1" x14ac:dyDescent="0.25">
      <c r="A103" s="215">
        <v>44161</v>
      </c>
      <c r="B103" s="364" t="s">
        <v>14</v>
      </c>
      <c r="C103" s="350" t="s">
        <v>12</v>
      </c>
      <c r="D103" s="350" t="s">
        <v>1486</v>
      </c>
      <c r="E103" s="875" t="s">
        <v>13</v>
      </c>
      <c r="F103" s="852">
        <v>10</v>
      </c>
      <c r="G103" s="1063"/>
      <c r="H103" s="622"/>
      <c r="I103" s="982"/>
      <c r="J103" s="622"/>
      <c r="K103" s="982"/>
      <c r="L103" s="927"/>
    </row>
    <row r="104" spans="1:14" s="224" customFormat="1" ht="15" customHeight="1" x14ac:dyDescent="0.25">
      <c r="A104" s="215">
        <v>44162</v>
      </c>
      <c r="B104" s="364" t="s">
        <v>151</v>
      </c>
      <c r="C104" s="350" t="s">
        <v>12</v>
      </c>
      <c r="D104" s="350" t="s">
        <v>1485</v>
      </c>
      <c r="E104" s="875" t="s">
        <v>13</v>
      </c>
      <c r="F104" s="780">
        <v>16</v>
      </c>
      <c r="G104" s="1063"/>
      <c r="H104" s="622"/>
      <c r="I104" s="982"/>
      <c r="J104" s="622"/>
      <c r="K104" s="982"/>
      <c r="L104" s="927"/>
    </row>
    <row r="105" spans="1:14" s="224" customFormat="1" ht="15" customHeight="1" x14ac:dyDescent="0.25">
      <c r="A105" s="215">
        <v>44162</v>
      </c>
      <c r="B105" s="349" t="s">
        <v>82</v>
      </c>
      <c r="C105" s="352" t="s">
        <v>12</v>
      </c>
      <c r="D105" s="874" t="s">
        <v>1493</v>
      </c>
      <c r="E105" s="875" t="s">
        <v>13</v>
      </c>
      <c r="F105" s="852">
        <v>27.21</v>
      </c>
      <c r="G105" s="1063"/>
      <c r="H105" s="622"/>
      <c r="I105" s="982"/>
      <c r="J105" s="622"/>
      <c r="K105" s="982"/>
      <c r="L105" s="927"/>
    </row>
    <row r="106" spans="1:14" s="224" customFormat="1" ht="15" customHeight="1" x14ac:dyDescent="0.25">
      <c r="A106" s="215">
        <v>44163</v>
      </c>
      <c r="B106" s="364" t="s">
        <v>14</v>
      </c>
      <c r="C106" s="350" t="s">
        <v>12</v>
      </c>
      <c r="D106" s="350" t="s">
        <v>1486</v>
      </c>
      <c r="E106" s="875" t="s">
        <v>13</v>
      </c>
      <c r="F106" s="852">
        <v>3.36</v>
      </c>
      <c r="G106" s="1063"/>
      <c r="H106" s="622"/>
      <c r="I106" s="982"/>
      <c r="J106" s="622"/>
      <c r="K106" s="982"/>
      <c r="L106" s="927"/>
    </row>
    <row r="107" spans="1:14" s="224" customFormat="1" ht="15" customHeight="1" x14ac:dyDescent="0.25">
      <c r="A107" s="215">
        <v>44163</v>
      </c>
      <c r="B107" s="364" t="s">
        <v>2790</v>
      </c>
      <c r="C107" s="350" t="s">
        <v>12</v>
      </c>
      <c r="D107" s="350" t="s">
        <v>1489</v>
      </c>
      <c r="E107" s="875" t="s">
        <v>15</v>
      </c>
      <c r="F107" s="780">
        <v>5</v>
      </c>
      <c r="G107" s="1063"/>
      <c r="H107" s="622"/>
      <c r="I107" s="982"/>
      <c r="J107" s="622"/>
      <c r="K107" s="982"/>
      <c r="L107" s="927"/>
    </row>
    <row r="108" spans="1:14" s="224" customFormat="1" ht="15" customHeight="1" x14ac:dyDescent="0.25">
      <c r="A108" s="215">
        <v>44163</v>
      </c>
      <c r="B108" s="364" t="s">
        <v>2791</v>
      </c>
      <c r="C108" s="350" t="s">
        <v>12</v>
      </c>
      <c r="D108" s="350" t="s">
        <v>1485</v>
      </c>
      <c r="E108" s="875" t="s">
        <v>13</v>
      </c>
      <c r="F108" s="780">
        <v>28</v>
      </c>
      <c r="G108" s="1063"/>
      <c r="H108" s="622"/>
      <c r="I108" s="982"/>
      <c r="J108" s="622"/>
      <c r="K108" s="982"/>
      <c r="L108" s="927"/>
    </row>
    <row r="109" spans="1:14" s="224" customFormat="1" ht="15" customHeight="1" x14ac:dyDescent="0.25">
      <c r="A109" s="215">
        <v>44163</v>
      </c>
      <c r="B109" s="349" t="s">
        <v>2792</v>
      </c>
      <c r="C109" s="352" t="s">
        <v>12</v>
      </c>
      <c r="D109" s="874" t="s">
        <v>1493</v>
      </c>
      <c r="E109" s="875" t="s">
        <v>13</v>
      </c>
      <c r="F109" s="852">
        <v>18</v>
      </c>
      <c r="G109" s="1063"/>
      <c r="H109" s="622"/>
      <c r="I109" s="982"/>
      <c r="J109" s="622"/>
      <c r="K109" s="982"/>
      <c r="L109" s="927"/>
    </row>
    <row r="110" spans="1:14" s="224" customFormat="1" ht="15" customHeight="1" x14ac:dyDescent="0.25">
      <c r="A110" s="215">
        <v>44163</v>
      </c>
      <c r="B110" s="364" t="s">
        <v>2778</v>
      </c>
      <c r="C110" s="350" t="s">
        <v>12</v>
      </c>
      <c r="D110" s="350" t="s">
        <v>2157</v>
      </c>
      <c r="E110" s="875" t="s">
        <v>13</v>
      </c>
      <c r="F110" s="780">
        <v>70</v>
      </c>
      <c r="G110" s="982"/>
      <c r="H110" s="1008"/>
      <c r="I110" s="1063"/>
      <c r="J110" s="622"/>
      <c r="K110" s="982"/>
      <c r="L110" s="926"/>
      <c r="M110" s="89"/>
      <c r="N110" s="930"/>
    </row>
    <row r="111" spans="1:14" s="224" customFormat="1" ht="15" customHeight="1" x14ac:dyDescent="0.25">
      <c r="A111" s="215">
        <v>44163</v>
      </c>
      <c r="B111" s="364" t="s">
        <v>2654</v>
      </c>
      <c r="C111" s="350" t="s">
        <v>19</v>
      </c>
      <c r="D111" s="350" t="s">
        <v>1489</v>
      </c>
      <c r="E111" s="875" t="s">
        <v>13</v>
      </c>
      <c r="F111" s="780">
        <v>77.63</v>
      </c>
      <c r="G111" s="982"/>
      <c r="H111" s="1008"/>
      <c r="I111" s="1063"/>
      <c r="J111" s="622"/>
      <c r="K111" s="982"/>
      <c r="L111" s="926"/>
      <c r="M111" s="89"/>
      <c r="N111" s="930"/>
    </row>
    <row r="112" spans="1:14" s="224" customFormat="1" ht="15" customHeight="1" x14ac:dyDescent="0.25">
      <c r="A112" s="215">
        <v>44164</v>
      </c>
      <c r="B112" s="364" t="s">
        <v>1241</v>
      </c>
      <c r="C112" s="350" t="s">
        <v>12</v>
      </c>
      <c r="D112" s="350" t="s">
        <v>1504</v>
      </c>
      <c r="E112" s="875" t="s">
        <v>15</v>
      </c>
      <c r="F112" s="780">
        <v>10</v>
      </c>
      <c r="G112" s="982"/>
      <c r="H112" s="1008"/>
      <c r="I112" s="1063"/>
      <c r="J112" s="622"/>
      <c r="K112" s="982"/>
      <c r="L112" s="861"/>
    </row>
    <row r="113" spans="1:14" s="224" customFormat="1" ht="15" customHeight="1" x14ac:dyDescent="0.25">
      <c r="A113" s="215">
        <v>44164</v>
      </c>
      <c r="B113" s="862" t="s">
        <v>2593</v>
      </c>
      <c r="C113" s="879" t="s">
        <v>12</v>
      </c>
      <c r="D113" s="879" t="s">
        <v>1504</v>
      </c>
      <c r="E113" s="871" t="s">
        <v>13</v>
      </c>
      <c r="F113" s="622">
        <v>32.9</v>
      </c>
      <c r="G113" s="1034"/>
      <c r="H113" s="1008"/>
      <c r="I113" s="1063"/>
      <c r="J113" s="622"/>
      <c r="K113" s="982"/>
      <c r="L113" s="475"/>
    </row>
    <row r="114" spans="1:14" s="224" customFormat="1" ht="15" customHeight="1" x14ac:dyDescent="0.25">
      <c r="A114" s="215">
        <v>44164</v>
      </c>
      <c r="B114" s="364" t="s">
        <v>2631</v>
      </c>
      <c r="C114" s="350" t="s">
        <v>12</v>
      </c>
      <c r="D114" s="350" t="s">
        <v>1489</v>
      </c>
      <c r="E114" s="875" t="s">
        <v>15</v>
      </c>
      <c r="F114" s="850">
        <v>3.5</v>
      </c>
      <c r="G114" s="1033"/>
      <c r="H114" s="1031"/>
      <c r="I114" s="1525"/>
      <c r="J114" s="880"/>
      <c r="K114" s="1033"/>
      <c r="L114" s="861"/>
    </row>
    <row r="115" spans="1:14" s="224" customFormat="1" ht="15" customHeight="1" x14ac:dyDescent="0.25">
      <c r="A115" s="215">
        <v>44165</v>
      </c>
      <c r="B115" s="364" t="s">
        <v>151</v>
      </c>
      <c r="C115" s="350" t="s">
        <v>12</v>
      </c>
      <c r="D115" s="350" t="s">
        <v>1485</v>
      </c>
      <c r="E115" s="875" t="s">
        <v>13</v>
      </c>
      <c r="F115" s="780">
        <v>15</v>
      </c>
      <c r="G115" s="982"/>
      <c r="H115" s="1008"/>
      <c r="I115" s="1063"/>
      <c r="J115" s="622"/>
      <c r="K115" s="982"/>
      <c r="L115" s="927"/>
    </row>
    <row r="116" spans="1:14" s="224" customFormat="1" ht="15" customHeight="1" x14ac:dyDescent="0.25">
      <c r="A116" s="215">
        <v>44165</v>
      </c>
      <c r="B116" s="364" t="s">
        <v>14</v>
      </c>
      <c r="C116" s="350" t="s">
        <v>12</v>
      </c>
      <c r="D116" s="350" t="s">
        <v>1486</v>
      </c>
      <c r="E116" s="875" t="s">
        <v>13</v>
      </c>
      <c r="F116" s="852">
        <v>5.74</v>
      </c>
      <c r="G116" s="982"/>
      <c r="H116" s="1008"/>
      <c r="I116" s="1063"/>
      <c r="J116" s="622"/>
      <c r="K116" s="982"/>
      <c r="L116" s="861"/>
      <c r="M116" s="999"/>
    </row>
    <row r="117" spans="1:14" s="224" customFormat="1" ht="15" customHeight="1" x14ac:dyDescent="0.25">
      <c r="A117" s="215">
        <v>44165</v>
      </c>
      <c r="B117" s="364" t="s">
        <v>2793</v>
      </c>
      <c r="C117" s="350" t="s">
        <v>12</v>
      </c>
      <c r="D117" s="350"/>
      <c r="E117" s="480" t="s">
        <v>25</v>
      </c>
      <c r="F117" s="780"/>
      <c r="G117" s="982">
        <v>2075</v>
      </c>
      <c r="H117" s="1008"/>
      <c r="I117" s="1063"/>
      <c r="J117" s="622"/>
      <c r="K117" s="982"/>
      <c r="L117" s="1029"/>
      <c r="M117" s="89"/>
      <c r="N117" s="930"/>
    </row>
    <row r="118" spans="1:14" s="224" customFormat="1" ht="15.75" thickBot="1" x14ac:dyDescent="0.3">
      <c r="A118" s="215">
        <v>44165</v>
      </c>
      <c r="B118" s="862" t="s">
        <v>1666</v>
      </c>
      <c r="C118" s="350" t="s">
        <v>12</v>
      </c>
      <c r="D118" s="1003"/>
      <c r="E118" s="145" t="s">
        <v>25</v>
      </c>
      <c r="F118" s="622"/>
      <c r="G118" s="982"/>
      <c r="H118" s="1008"/>
      <c r="I118" s="1063"/>
      <c r="J118" s="622"/>
      <c r="K118" s="982">
        <v>6.83</v>
      </c>
      <c r="L118" s="475"/>
    </row>
    <row r="119" spans="1:14" ht="25.5" customHeight="1" thickBot="1" x14ac:dyDescent="0.3">
      <c r="A119" s="3060"/>
      <c r="B119" s="3061"/>
      <c r="C119" s="3062"/>
      <c r="D119" s="3062"/>
      <c r="E119" s="3062"/>
      <c r="F119" s="1020">
        <f>SUM(F6:F118)</f>
        <v>4005.6300000000006</v>
      </c>
      <c r="G119" s="1534">
        <f>SUM(G5:G118)</f>
        <v>6509.1845833333537</v>
      </c>
      <c r="H119" s="517">
        <f>SUM(H6:H118)</f>
        <v>250</v>
      </c>
      <c r="I119" s="93">
        <f>SUM(I5:I118)</f>
        <v>2349.9960000000019</v>
      </c>
      <c r="J119" s="1023">
        <f>SUM(J6:J118)</f>
        <v>0</v>
      </c>
      <c r="K119" s="93">
        <f>SUM(K5:K118)</f>
        <v>12484.539999999999</v>
      </c>
    </row>
    <row r="120" spans="1:14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2503.5545833333531</v>
      </c>
      <c r="H120" s="555"/>
      <c r="I120" s="772">
        <f>I119-H119</f>
        <v>2099.9960000000019</v>
      </c>
      <c r="J120" s="593"/>
      <c r="K120" s="772">
        <f>K119-J119</f>
        <v>12484.539999999999</v>
      </c>
    </row>
    <row r="121" spans="1:14" x14ac:dyDescent="0.25">
      <c r="E121" s="79"/>
      <c r="K121" s="518"/>
      <c r="L121" s="216"/>
    </row>
    <row r="122" spans="1:14" x14ac:dyDescent="0.25">
      <c r="B122" s="81" t="s">
        <v>3</v>
      </c>
      <c r="C122" s="193" t="s">
        <v>1484</v>
      </c>
      <c r="D122" s="970" t="s">
        <v>2378</v>
      </c>
      <c r="G122" s="216"/>
      <c r="K122" s="866"/>
    </row>
    <row r="123" spans="1:14" x14ac:dyDescent="0.25">
      <c r="B123" s="79" t="s">
        <v>32</v>
      </c>
      <c r="C123" s="85" t="s">
        <v>1485</v>
      </c>
      <c r="D123" s="475">
        <f>SUMIF($D$7:$D$118,"A",$F$7:$F$118)</f>
        <v>373.5</v>
      </c>
      <c r="F123" s="79"/>
      <c r="I123" s="769"/>
      <c r="J123" s="868"/>
    </row>
    <row r="124" spans="1:14" x14ac:dyDescent="0.25">
      <c r="B124" s="79" t="s">
        <v>2187</v>
      </c>
      <c r="C124" s="85" t="s">
        <v>2157</v>
      </c>
      <c r="D124" s="475">
        <f>SUMIF($D$7:$D$118,"GAC",$F$7:$F$118)</f>
        <v>350</v>
      </c>
      <c r="G124" s="609"/>
      <c r="J124" s="754"/>
      <c r="K124" s="886"/>
      <c r="L124" s="1030"/>
    </row>
    <row r="125" spans="1:14" x14ac:dyDescent="0.25">
      <c r="B125" s="79" t="s">
        <v>2188</v>
      </c>
      <c r="C125" s="85" t="s">
        <v>2168</v>
      </c>
      <c r="D125" s="475">
        <f>SUMIF($D$19:$D$118,"GAM",$F$19:$F$118)</f>
        <v>0</v>
      </c>
      <c r="J125" s="864"/>
      <c r="K125" s="864"/>
      <c r="L125" s="958"/>
    </row>
    <row r="126" spans="1:14" s="85" customFormat="1" x14ac:dyDescent="0.25">
      <c r="A126" s="79"/>
      <c r="B126" s="79" t="s">
        <v>50</v>
      </c>
      <c r="C126" s="85" t="s">
        <v>1493</v>
      </c>
      <c r="D126" s="475">
        <f>SUMIF($D$7:$D$118,"LD",$F$7:$F$118)</f>
        <v>328.15</v>
      </c>
      <c r="J126" s="864"/>
      <c r="K126" s="1032"/>
      <c r="L126" s="958"/>
    </row>
    <row r="127" spans="1:14" s="85" customFormat="1" x14ac:dyDescent="0.25">
      <c r="A127" s="79"/>
      <c r="B127" s="79" t="s">
        <v>14</v>
      </c>
      <c r="C127" s="85" t="s">
        <v>1486</v>
      </c>
      <c r="D127" s="475">
        <f>SUMIF($D$7:$D$118,"C",$F$7:$F$118)</f>
        <v>157.26000000000002</v>
      </c>
      <c r="F127" s="89"/>
      <c r="G127" s="79"/>
      <c r="H127" s="79"/>
      <c r="J127" s="864"/>
      <c r="K127" s="1032"/>
      <c r="L127" s="958"/>
    </row>
    <row r="128" spans="1:14" s="85" customFormat="1" x14ac:dyDescent="0.25">
      <c r="A128" s="79"/>
      <c r="B128" s="79" t="s">
        <v>51</v>
      </c>
      <c r="C128" s="864" t="s">
        <v>1499</v>
      </c>
      <c r="D128" s="475">
        <f>SUMIF($D$19:$D$118,"CAL",$F$19:$F$118)</f>
        <v>101.66</v>
      </c>
      <c r="F128" s="89"/>
      <c r="G128" s="79"/>
      <c r="H128" s="79"/>
      <c r="I128" s="79"/>
      <c r="K128" s="795"/>
      <c r="L128" s="958"/>
    </row>
    <row r="129" spans="1:12" s="85" customFormat="1" x14ac:dyDescent="0.25">
      <c r="A129" s="79"/>
      <c r="B129" s="79" t="s">
        <v>2189</v>
      </c>
      <c r="C129" s="864" t="s">
        <v>1496</v>
      </c>
      <c r="D129" s="475">
        <f>SUMIF($D$19:$D$118,"AC",$F$19:$F$118)</f>
        <v>70</v>
      </c>
      <c r="F129" s="769"/>
      <c r="G129" s="79"/>
      <c r="K129" s="177"/>
      <c r="L129" s="941"/>
    </row>
    <row r="130" spans="1:12" s="85" customFormat="1" x14ac:dyDescent="0.25">
      <c r="A130" s="79"/>
      <c r="B130" s="867" t="s">
        <v>53</v>
      </c>
      <c r="C130" s="864" t="s">
        <v>1522</v>
      </c>
      <c r="D130" s="475">
        <f>SUMIF($D$19:$D$118,"DC",$F$19:$F$118)</f>
        <v>40</v>
      </c>
      <c r="K130" s="177"/>
      <c r="L130" s="475"/>
    </row>
    <row r="131" spans="1:12" s="85" customFormat="1" x14ac:dyDescent="0.25">
      <c r="A131" s="79"/>
      <c r="B131" s="867" t="s">
        <v>2149</v>
      </c>
      <c r="C131" s="864" t="s">
        <v>2131</v>
      </c>
      <c r="D131" s="475">
        <f>SUMIF($D$19:$D$118,"DM",$F$19:$F$118)</f>
        <v>0</v>
      </c>
      <c r="F131" s="769"/>
      <c r="K131" s="177" t="s">
        <v>280</v>
      </c>
      <c r="L131" s="475"/>
    </row>
    <row r="132" spans="1:12" s="85" customFormat="1" x14ac:dyDescent="0.25">
      <c r="A132" s="79"/>
      <c r="B132" s="79" t="s">
        <v>2008</v>
      </c>
      <c r="C132" s="864" t="s">
        <v>1523</v>
      </c>
      <c r="D132" s="475">
        <f>SUMIF($D$7:$D$118,"B",$F$7:$F$118)</f>
        <v>35</v>
      </c>
      <c r="F132" s="769"/>
      <c r="G132" s="866"/>
      <c r="K132" s="177"/>
      <c r="L132" s="475"/>
    </row>
    <row r="133" spans="1:12" s="85" customFormat="1" x14ac:dyDescent="0.25">
      <c r="A133" s="79"/>
      <c r="B133" s="79" t="s">
        <v>1686</v>
      </c>
      <c r="C133" s="864" t="s">
        <v>1506</v>
      </c>
      <c r="D133" s="475">
        <f>SUMIF($D$7:$D$118,"R",$F$7:$F$118)</f>
        <v>276.48</v>
      </c>
      <c r="F133" s="769"/>
      <c r="G133" s="868"/>
      <c r="K133" s="866"/>
      <c r="L133" s="475"/>
    </row>
    <row r="134" spans="1:12" x14ac:dyDescent="0.25">
      <c r="B134" s="79" t="s">
        <v>418</v>
      </c>
      <c r="C134" s="85" t="s">
        <v>1524</v>
      </c>
      <c r="D134" s="475">
        <f>SUMIF($D$19:$D$118,"COM",$F$19:$F$118)</f>
        <v>0</v>
      </c>
      <c r="G134" s="85"/>
      <c r="H134" s="85"/>
      <c r="I134" s="85"/>
      <c r="J134" s="769"/>
      <c r="K134" s="216"/>
    </row>
    <row r="135" spans="1:12" x14ac:dyDescent="0.25">
      <c r="B135" s="79" t="s">
        <v>419</v>
      </c>
      <c r="C135" s="85" t="s">
        <v>1491</v>
      </c>
      <c r="D135" s="475">
        <f>SUMIF($D$7:$D$118,"F",$F$7:$F$118)</f>
        <v>504.5</v>
      </c>
      <c r="I135" s="85"/>
      <c r="K135" s="216"/>
    </row>
    <row r="136" spans="1:12" x14ac:dyDescent="0.25">
      <c r="B136" s="79" t="s">
        <v>911</v>
      </c>
      <c r="C136" s="85" t="s">
        <v>1525</v>
      </c>
      <c r="D136" s="475">
        <f>SUMIF($D$19:$D$118,"FER",$F$19:$F$118)</f>
        <v>343.89</v>
      </c>
      <c r="J136" s="769"/>
      <c r="K136" s="868"/>
    </row>
    <row r="137" spans="1:12" x14ac:dyDescent="0.25">
      <c r="B137" s="79" t="s">
        <v>1526</v>
      </c>
      <c r="C137" s="85" t="s">
        <v>1504</v>
      </c>
      <c r="D137" s="475">
        <f>SUMIF($D$7:$D$118,"I",$F$7:$F$118)</f>
        <v>221.88000000000002</v>
      </c>
      <c r="F137" s="89" t="s">
        <v>280</v>
      </c>
      <c r="J137" s="769"/>
      <c r="K137" s="868"/>
    </row>
    <row r="138" spans="1:12" x14ac:dyDescent="0.25">
      <c r="B138" s="79" t="s">
        <v>2343</v>
      </c>
      <c r="C138" s="85" t="s">
        <v>2315</v>
      </c>
      <c r="D138" s="475">
        <f>SUMIF($D$19:$D$118,"E",$F$19:$F$118)</f>
        <v>0</v>
      </c>
      <c r="J138" s="769"/>
      <c r="K138" s="868"/>
    </row>
    <row r="139" spans="1:12" x14ac:dyDescent="0.25">
      <c r="B139" s="79" t="s">
        <v>1527</v>
      </c>
      <c r="C139" s="85" t="s">
        <v>1489</v>
      </c>
      <c r="D139" s="475">
        <f>SUMIF($D$7:$D$118,"OD",$F$7:$F$118)</f>
        <v>313.31</v>
      </c>
      <c r="J139" s="769"/>
    </row>
    <row r="140" spans="1:12" x14ac:dyDescent="0.25">
      <c r="C140" s="769"/>
      <c r="K140" s="866"/>
    </row>
    <row r="141" spans="1:12" x14ac:dyDescent="0.25">
      <c r="D141" s="459"/>
      <c r="H141" s="769"/>
      <c r="I141" s="518" t="s">
        <v>280</v>
      </c>
      <c r="K141" s="866"/>
    </row>
    <row r="142" spans="1:12" x14ac:dyDescent="0.25">
      <c r="B142" s="79" t="s">
        <v>486</v>
      </c>
      <c r="C142" s="475">
        <f>H142/J142</f>
        <v>103.85433333333334</v>
      </c>
      <c r="F142" s="459" t="s">
        <v>487</v>
      </c>
      <c r="H142" s="216">
        <f>SUM(D123:D139)</f>
        <v>3115.63</v>
      </c>
      <c r="J142" s="1517">
        <v>30</v>
      </c>
    </row>
    <row r="143" spans="1:12" ht="15.75" customHeight="1" x14ac:dyDescent="0.25">
      <c r="E143" s="769"/>
      <c r="H143" s="629"/>
      <c r="K143" s="868"/>
    </row>
    <row r="144" spans="1:12" x14ac:dyDescent="0.25">
      <c r="E144" s="79"/>
      <c r="F144" s="79"/>
      <c r="H144" s="866"/>
      <c r="J144" s="769"/>
      <c r="K144" s="866"/>
    </row>
    <row r="145" spans="1:15" s="518" customFormat="1" x14ac:dyDescent="0.25">
      <c r="A145" s="79"/>
      <c r="B145" s="79"/>
      <c r="C145" s="85"/>
      <c r="D145" s="79"/>
      <c r="E145" s="79"/>
      <c r="F145" s="89"/>
      <c r="G145" s="79"/>
      <c r="H145" s="79"/>
      <c r="I145" s="79"/>
      <c r="J145" s="769"/>
      <c r="K145" s="866"/>
      <c r="L145" s="484"/>
      <c r="M145" s="79"/>
      <c r="N145" s="79"/>
      <c r="O145" s="79"/>
    </row>
    <row r="146" spans="1:15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L146" s="484"/>
      <c r="M146" s="79"/>
      <c r="N146" s="79"/>
      <c r="O146" s="79"/>
    </row>
    <row r="147" spans="1:15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484"/>
      <c r="M147" s="79"/>
      <c r="N147" s="79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484"/>
      <c r="M148" s="79"/>
      <c r="N148" s="79"/>
      <c r="O148" s="79"/>
    </row>
    <row r="149" spans="1:15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L149" s="484"/>
      <c r="M149" s="79"/>
      <c r="N149" s="79"/>
      <c r="O149" s="79"/>
    </row>
    <row r="150" spans="1:15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484"/>
      <c r="M150" s="79"/>
      <c r="N150" s="79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484"/>
      <c r="M151" s="79"/>
      <c r="N151" s="79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484"/>
      <c r="M152" s="79"/>
      <c r="N152" s="79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484"/>
      <c r="M153" s="79"/>
      <c r="N153" s="79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484"/>
      <c r="M154" s="79"/>
      <c r="N154" s="79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79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484"/>
      <c r="M156" s="79"/>
      <c r="N156" s="79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484"/>
      <c r="M157" s="79"/>
      <c r="N157" s="79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79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  <c r="M159" s="79"/>
      <c r="N159" s="79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  <c r="M160" s="79"/>
      <c r="N160" s="79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484"/>
      <c r="M161" s="79"/>
      <c r="N161" s="79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484"/>
      <c r="M162" s="79"/>
      <c r="N162" s="79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484"/>
      <c r="M163" s="79"/>
      <c r="N163" s="79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484"/>
      <c r="M164" s="79"/>
      <c r="N164" s="79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484"/>
      <c r="M165" s="79"/>
      <c r="N165" s="79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484"/>
      <c r="M166" s="79"/>
      <c r="N166" s="79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484"/>
      <c r="M167" s="79"/>
      <c r="N167" s="79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484"/>
      <c r="M168" s="79"/>
      <c r="N168" s="79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484"/>
      <c r="M169" s="79"/>
      <c r="N169" s="79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484"/>
      <c r="M170" s="79"/>
      <c r="N170" s="79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79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79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484"/>
      <c r="M173" s="79"/>
      <c r="N173" s="79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79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79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484"/>
      <c r="M176" s="79"/>
      <c r="N176" s="79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484"/>
      <c r="M177" s="79"/>
      <c r="N177" s="79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484"/>
      <c r="M178" s="79"/>
      <c r="N178" s="79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484"/>
      <c r="M179" s="79"/>
      <c r="N179" s="79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484"/>
      <c r="M180" s="79"/>
      <c r="N180" s="79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484"/>
      <c r="M181" s="79"/>
      <c r="N181" s="79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484"/>
      <c r="M182" s="79"/>
      <c r="N182" s="79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484"/>
      <c r="M183" s="79"/>
      <c r="N183" s="79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484"/>
      <c r="M184" s="79"/>
      <c r="N184" s="79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484"/>
      <c r="M185" s="79"/>
      <c r="N185" s="79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484"/>
      <c r="M186" s="79"/>
      <c r="N186" s="79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484"/>
      <c r="M187" s="79"/>
      <c r="N187" s="79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  <c r="M188" s="79"/>
      <c r="N188" s="79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484"/>
      <c r="M189" s="79"/>
      <c r="N189" s="79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  <c r="M190" s="79"/>
      <c r="N190" s="79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  <c r="M191" s="79"/>
      <c r="N191" s="79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79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79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484"/>
      <c r="M194" s="79"/>
      <c r="N194" s="79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79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79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79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79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79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79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484"/>
      <c r="M201" s="79"/>
      <c r="N201" s="79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79"/>
      <c r="O202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484"/>
      <c r="M209" s="79"/>
      <c r="N209" s="79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484"/>
      <c r="M210" s="79"/>
      <c r="N210" s="79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484"/>
      <c r="M211" s="79"/>
      <c r="N211" s="79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484"/>
      <c r="M212" s="79"/>
      <c r="N212" s="79"/>
      <c r="O212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  <c r="M214" s="79"/>
      <c r="N214" s="79"/>
      <c r="O214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484"/>
      <c r="M216" s="79"/>
      <c r="N216" s="79"/>
      <c r="O216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79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79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  <c r="M224" s="79"/>
      <c r="N224" s="79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  <c r="M225" s="79"/>
      <c r="N225" s="79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79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79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79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79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79"/>
      <c r="O230" s="79"/>
    </row>
  </sheetData>
  <autoFilter ref="A2:I120" xr:uid="{00000000-0009-0000-0000-000069000000}"/>
  <mergeCells count="12">
    <mergeCell ref="A119:E119"/>
    <mergeCell ref="A120:E12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Plan122"/>
  <dimension ref="A1:Q249"/>
  <sheetViews>
    <sheetView zoomScale="85" zoomScaleNormal="85" workbookViewId="0">
      <pane ySplit="4" topLeftCell="A95" activePane="bottomLeft" state="frozen"/>
      <selection activeCell="C44" sqref="C44"/>
      <selection pane="bottomLeft" activeCell="B113" sqref="B11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2794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44166</v>
      </c>
      <c r="B5" s="369" t="s">
        <v>10</v>
      </c>
      <c r="C5" s="370"/>
      <c r="D5" s="370"/>
      <c r="E5" s="777"/>
      <c r="F5" s="179"/>
      <c r="G5" s="933">
        <f>'Novembro-20'!G120</f>
        <v>2503.5545833333531</v>
      </c>
      <c r="H5" s="163"/>
      <c r="I5" s="1479">
        <f>'Novembro-20'!I120</f>
        <v>2099.9960000000019</v>
      </c>
      <c r="J5" s="179"/>
      <c r="K5" s="933">
        <f>'Novembro-20'!K120</f>
        <v>12484.539999999999</v>
      </c>
    </row>
    <row r="6" spans="1:15" s="224" customFormat="1" x14ac:dyDescent="0.25">
      <c r="A6" s="215">
        <v>44166</v>
      </c>
      <c r="B6" s="348" t="s">
        <v>11</v>
      </c>
      <c r="C6" s="351"/>
      <c r="D6" s="351"/>
      <c r="E6" s="673"/>
      <c r="F6" s="538">
        <v>24</v>
      </c>
      <c r="G6" s="1473"/>
      <c r="H6" s="252"/>
      <c r="I6" s="1480"/>
      <c r="J6" s="250"/>
      <c r="K6" s="1473"/>
      <c r="L6" s="1026"/>
      <c r="M6" s="89"/>
      <c r="N6" s="878"/>
    </row>
    <row r="7" spans="1:15" s="224" customFormat="1" ht="15" customHeight="1" x14ac:dyDescent="0.25">
      <c r="A7" s="215">
        <v>44166</v>
      </c>
      <c r="B7" s="349" t="s">
        <v>260</v>
      </c>
      <c r="C7" s="350" t="s">
        <v>12</v>
      </c>
      <c r="D7" s="350"/>
      <c r="E7" s="480"/>
      <c r="F7" s="780">
        <v>1100</v>
      </c>
      <c r="G7" s="946"/>
      <c r="H7" s="95"/>
      <c r="I7" s="1064">
        <v>1100</v>
      </c>
      <c r="J7" s="97"/>
      <c r="K7" s="946"/>
      <c r="L7" s="926"/>
      <c r="M7" s="89"/>
      <c r="N7" s="1035"/>
    </row>
    <row r="8" spans="1:15" s="224" customFormat="1" ht="15" customHeight="1" x14ac:dyDescent="0.25">
      <c r="A8" s="215">
        <v>44166</v>
      </c>
      <c r="B8" s="364" t="s">
        <v>32</v>
      </c>
      <c r="C8" s="350" t="s">
        <v>12</v>
      </c>
      <c r="D8" s="350" t="s">
        <v>1485</v>
      </c>
      <c r="E8" s="875" t="s">
        <v>15</v>
      </c>
      <c r="F8" s="780">
        <v>18</v>
      </c>
      <c r="G8" s="982"/>
      <c r="H8" s="1008"/>
      <c r="I8" s="1063"/>
      <c r="J8" s="622"/>
      <c r="K8" s="982"/>
      <c r="L8" s="861"/>
      <c r="N8" s="878"/>
    </row>
    <row r="9" spans="1:15" s="224" customFormat="1" ht="15" customHeight="1" x14ac:dyDescent="0.25">
      <c r="A9" s="215">
        <v>44166</v>
      </c>
      <c r="B9" s="364" t="s">
        <v>14</v>
      </c>
      <c r="C9" s="350" t="s">
        <v>12</v>
      </c>
      <c r="D9" s="350" t="s">
        <v>1486</v>
      </c>
      <c r="E9" s="875" t="s">
        <v>13</v>
      </c>
      <c r="F9" s="780">
        <v>3.78</v>
      </c>
      <c r="G9" s="982"/>
      <c r="H9" s="1008"/>
      <c r="I9" s="1063"/>
      <c r="J9" s="622"/>
      <c r="K9" s="982"/>
      <c r="L9" s="861"/>
      <c r="N9" s="878"/>
    </row>
    <row r="10" spans="1:15" s="224" customFormat="1" ht="15" customHeight="1" x14ac:dyDescent="0.25">
      <c r="A10" s="215">
        <v>44166</v>
      </c>
      <c r="B10" s="364" t="s">
        <v>2781</v>
      </c>
      <c r="C10" s="350" t="s">
        <v>12</v>
      </c>
      <c r="D10" s="350" t="s">
        <v>1491</v>
      </c>
      <c r="E10" s="875" t="s">
        <v>15</v>
      </c>
      <c r="F10" s="780">
        <v>100</v>
      </c>
      <c r="G10" s="982"/>
      <c r="H10" s="1008"/>
      <c r="I10" s="1063"/>
      <c r="J10" s="622"/>
      <c r="K10" s="982"/>
      <c r="L10" s="926"/>
      <c r="M10" s="89"/>
      <c r="N10" s="930"/>
    </row>
    <row r="11" spans="1:15" s="224" customFormat="1" ht="15" customHeight="1" x14ac:dyDescent="0.25">
      <c r="A11" s="215">
        <v>44167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3.49</v>
      </c>
      <c r="G11" s="982"/>
      <c r="H11" s="1008"/>
      <c r="I11" s="1063"/>
      <c r="J11" s="622"/>
      <c r="K11" s="982"/>
      <c r="L11" s="861"/>
      <c r="M11" s="216"/>
      <c r="N11" s="877"/>
    </row>
    <row r="12" spans="1:15" s="224" customFormat="1" ht="15" customHeight="1" x14ac:dyDescent="0.25">
      <c r="A12" s="215">
        <v>44167</v>
      </c>
      <c r="B12" s="364" t="s">
        <v>32</v>
      </c>
      <c r="C12" s="350" t="s">
        <v>12</v>
      </c>
      <c r="D12" s="350" t="s">
        <v>1485</v>
      </c>
      <c r="E12" s="875" t="s">
        <v>15</v>
      </c>
      <c r="F12" s="780">
        <v>15</v>
      </c>
      <c r="G12" s="946"/>
      <c r="H12" s="95"/>
      <c r="I12" s="1064"/>
      <c r="J12" s="97"/>
      <c r="K12" s="946"/>
      <c r="L12" s="926"/>
      <c r="M12" s="216"/>
      <c r="N12" s="877"/>
    </row>
    <row r="13" spans="1:15" s="224" customFormat="1" ht="15" customHeight="1" x14ac:dyDescent="0.25">
      <c r="A13" s="215">
        <v>44167</v>
      </c>
      <c r="B13" s="364" t="s">
        <v>17</v>
      </c>
      <c r="C13" s="350" t="s">
        <v>12</v>
      </c>
      <c r="D13" s="350" t="s">
        <v>1493</v>
      </c>
      <c r="E13" s="875" t="s">
        <v>15</v>
      </c>
      <c r="F13" s="780">
        <v>5</v>
      </c>
      <c r="G13" s="982"/>
      <c r="H13" s="1008"/>
      <c r="I13" s="1063"/>
      <c r="J13" s="622"/>
      <c r="K13" s="982"/>
      <c r="L13" s="861"/>
      <c r="M13" s="1027"/>
      <c r="N13" s="878"/>
    </row>
    <row r="14" spans="1:15" s="224" customFormat="1" ht="15" customHeight="1" x14ac:dyDescent="0.25">
      <c r="A14" s="215">
        <v>44168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15</v>
      </c>
      <c r="G14" s="946"/>
      <c r="H14" s="95"/>
      <c r="I14" s="1064"/>
      <c r="J14" s="97"/>
      <c r="K14" s="946"/>
      <c r="L14" s="926"/>
      <c r="M14" s="89"/>
      <c r="N14" s="1035"/>
    </row>
    <row r="15" spans="1:15" s="224" customFormat="1" ht="15" customHeight="1" x14ac:dyDescent="0.25">
      <c r="A15" s="215">
        <v>44168</v>
      </c>
      <c r="B15" s="364" t="s">
        <v>14</v>
      </c>
      <c r="C15" s="350" t="s">
        <v>12</v>
      </c>
      <c r="D15" s="350" t="s">
        <v>1486</v>
      </c>
      <c r="E15" s="875" t="s">
        <v>13</v>
      </c>
      <c r="F15" s="852">
        <v>8.4600000000000009</v>
      </c>
      <c r="G15" s="982"/>
      <c r="H15" s="1008"/>
      <c r="I15" s="1063"/>
      <c r="J15" s="622"/>
      <c r="K15" s="982"/>
      <c r="L15" s="861"/>
    </row>
    <row r="16" spans="1:15" s="224" customFormat="1" ht="15.75" customHeight="1" x14ac:dyDescent="0.25">
      <c r="A16" s="215">
        <v>44169</v>
      </c>
      <c r="B16" s="349" t="s">
        <v>2795</v>
      </c>
      <c r="C16" s="887" t="s">
        <v>12</v>
      </c>
      <c r="D16" s="874"/>
      <c r="E16" s="871" t="s">
        <v>25</v>
      </c>
      <c r="F16" s="1524"/>
      <c r="G16" s="1002">
        <v>1850.84</v>
      </c>
      <c r="H16" s="539"/>
      <c r="I16" s="1063"/>
      <c r="J16" s="622"/>
      <c r="K16" s="982"/>
      <c r="L16" s="1027"/>
    </row>
    <row r="17" spans="1:14" s="224" customFormat="1" ht="15" customHeight="1" x14ac:dyDescent="0.25">
      <c r="A17" s="215">
        <v>44169</v>
      </c>
      <c r="B17" s="349" t="s">
        <v>2796</v>
      </c>
      <c r="C17" s="887" t="s">
        <v>12</v>
      </c>
      <c r="D17" s="1005" t="s">
        <v>1506</v>
      </c>
      <c r="E17" s="887" t="s">
        <v>13</v>
      </c>
      <c r="F17" s="456">
        <v>40</v>
      </c>
      <c r="G17" s="982"/>
      <c r="H17" s="861"/>
      <c r="I17" s="1063"/>
      <c r="J17" s="622"/>
      <c r="K17" s="982"/>
      <c r="L17" s="927"/>
      <c r="M17" s="999"/>
      <c r="N17" s="878"/>
    </row>
    <row r="18" spans="1:14" s="224" customFormat="1" ht="15" customHeight="1" x14ac:dyDescent="0.25">
      <c r="A18" s="215">
        <v>44169</v>
      </c>
      <c r="B18" s="349" t="s">
        <v>2796</v>
      </c>
      <c r="C18" s="887" t="s">
        <v>12</v>
      </c>
      <c r="D18" s="1005" t="s">
        <v>1506</v>
      </c>
      <c r="E18" s="887" t="s">
        <v>13</v>
      </c>
      <c r="F18" s="456">
        <v>60</v>
      </c>
      <c r="G18" s="982"/>
      <c r="H18" s="1008"/>
      <c r="I18" s="1063"/>
      <c r="J18" s="622"/>
      <c r="K18" s="982"/>
      <c r="L18" s="1029"/>
      <c r="M18" s="999"/>
      <c r="N18" s="1035"/>
    </row>
    <row r="19" spans="1:14" s="224" customFormat="1" ht="15" customHeight="1" x14ac:dyDescent="0.25">
      <c r="A19" s="215">
        <v>44169</v>
      </c>
      <c r="B19" s="349" t="s">
        <v>2796</v>
      </c>
      <c r="C19" s="887" t="s">
        <v>12</v>
      </c>
      <c r="D19" s="1005" t="s">
        <v>1506</v>
      </c>
      <c r="E19" s="887" t="s">
        <v>13</v>
      </c>
      <c r="F19" s="456">
        <v>40</v>
      </c>
      <c r="G19" s="982"/>
      <c r="H19" s="1008"/>
      <c r="I19" s="1063"/>
      <c r="J19" s="622"/>
      <c r="K19" s="982"/>
      <c r="L19" s="861"/>
      <c r="N19" s="1035"/>
    </row>
    <row r="20" spans="1:14" s="224" customFormat="1" ht="15" customHeight="1" x14ac:dyDescent="0.25">
      <c r="A20" s="215">
        <v>44169</v>
      </c>
      <c r="B20" s="349" t="s">
        <v>2796</v>
      </c>
      <c r="C20" s="887" t="s">
        <v>12</v>
      </c>
      <c r="D20" s="1005" t="s">
        <v>1489</v>
      </c>
      <c r="E20" s="887" t="s">
        <v>13</v>
      </c>
      <c r="F20" s="456">
        <v>50</v>
      </c>
      <c r="G20" s="982"/>
      <c r="H20" s="1008"/>
      <c r="I20" s="1063"/>
      <c r="J20" s="622"/>
      <c r="K20" s="982"/>
      <c r="L20" s="861"/>
      <c r="N20" s="878"/>
    </row>
    <row r="21" spans="1:14" s="224" customFormat="1" ht="15" customHeight="1" x14ac:dyDescent="0.25">
      <c r="A21" s="215">
        <v>44169</v>
      </c>
      <c r="B21" s="349" t="s">
        <v>2796</v>
      </c>
      <c r="C21" s="887" t="s">
        <v>12</v>
      </c>
      <c r="D21" s="1005" t="s">
        <v>1525</v>
      </c>
      <c r="E21" s="887" t="s">
        <v>13</v>
      </c>
      <c r="F21" s="613">
        <v>139.4</v>
      </c>
      <c r="G21" s="967"/>
      <c r="H21" s="1008"/>
      <c r="I21" s="1063"/>
      <c r="J21" s="622"/>
      <c r="K21" s="982"/>
      <c r="L21" s="861"/>
      <c r="N21" s="878"/>
    </row>
    <row r="22" spans="1:14" s="224" customFormat="1" ht="15" customHeight="1" x14ac:dyDescent="0.25">
      <c r="A22" s="215">
        <v>44169</v>
      </c>
      <c r="B22" s="862" t="s">
        <v>2385</v>
      </c>
      <c r="C22" s="879" t="s">
        <v>12</v>
      </c>
      <c r="D22" s="879" t="s">
        <v>1504</v>
      </c>
      <c r="E22" s="871" t="s">
        <v>13</v>
      </c>
      <c r="F22" s="780">
        <v>50</v>
      </c>
      <c r="G22" s="982"/>
      <c r="H22" s="1008"/>
      <c r="I22" s="1063"/>
      <c r="J22" s="622"/>
      <c r="K22" s="982"/>
      <c r="L22" s="1028">
        <v>90</v>
      </c>
      <c r="M22" s="999"/>
      <c r="N22" s="1035"/>
    </row>
    <row r="23" spans="1:14" s="224" customFormat="1" ht="15" customHeight="1" x14ac:dyDescent="0.25">
      <c r="A23" s="215">
        <v>44169</v>
      </c>
      <c r="B23" s="882" t="s">
        <v>2797</v>
      </c>
      <c r="C23" s="879" t="s">
        <v>12</v>
      </c>
      <c r="D23" s="879" t="s">
        <v>1499</v>
      </c>
      <c r="E23" s="871" t="s">
        <v>13</v>
      </c>
      <c r="F23" s="780">
        <v>50</v>
      </c>
      <c r="G23" s="982"/>
      <c r="H23" s="1008"/>
      <c r="I23" s="1063"/>
      <c r="J23" s="622"/>
      <c r="K23" s="982"/>
      <c r="L23" s="861">
        <v>129.01</v>
      </c>
      <c r="M23" s="999"/>
      <c r="N23" s="878"/>
    </row>
    <row r="24" spans="1:14" s="224" customFormat="1" ht="15" customHeight="1" x14ac:dyDescent="0.25">
      <c r="A24" s="215">
        <v>44169</v>
      </c>
      <c r="B24" s="364" t="s">
        <v>32</v>
      </c>
      <c r="C24" s="350" t="s">
        <v>12</v>
      </c>
      <c r="D24" s="350" t="s">
        <v>1485</v>
      </c>
      <c r="E24" s="871" t="s">
        <v>13</v>
      </c>
      <c r="F24" s="780">
        <v>16</v>
      </c>
      <c r="G24" s="946"/>
      <c r="H24" s="95"/>
      <c r="I24" s="1064"/>
      <c r="J24" s="97"/>
      <c r="K24" s="946"/>
      <c r="L24" s="926"/>
      <c r="M24" s="216"/>
      <c r="N24" s="877"/>
    </row>
    <row r="25" spans="1:14" s="224" customFormat="1" ht="15" customHeight="1" x14ac:dyDescent="0.25">
      <c r="A25" s="215">
        <v>44169</v>
      </c>
      <c r="B25" s="364" t="s">
        <v>17</v>
      </c>
      <c r="C25" s="350" t="s">
        <v>12</v>
      </c>
      <c r="D25" s="350" t="s">
        <v>1493</v>
      </c>
      <c r="E25" s="871" t="s">
        <v>13</v>
      </c>
      <c r="F25" s="780">
        <v>5</v>
      </c>
      <c r="G25" s="982"/>
      <c r="H25" s="1008"/>
      <c r="I25" s="1063"/>
      <c r="J25" s="622"/>
      <c r="K25" s="982"/>
      <c r="L25" s="861"/>
      <c r="M25" s="1027"/>
      <c r="N25" s="878"/>
    </row>
    <row r="26" spans="1:14" s="224" customFormat="1" ht="15" customHeight="1" x14ac:dyDescent="0.25">
      <c r="A26" s="215">
        <v>44169</v>
      </c>
      <c r="B26" s="349" t="s">
        <v>260</v>
      </c>
      <c r="C26" s="350" t="s">
        <v>12</v>
      </c>
      <c r="D26" s="350"/>
      <c r="E26" s="480"/>
      <c r="F26" s="780">
        <v>1000</v>
      </c>
      <c r="G26" s="946"/>
      <c r="H26" s="95"/>
      <c r="I26" s="1064">
        <v>1000</v>
      </c>
      <c r="J26" s="622"/>
      <c r="K26" s="982"/>
      <c r="L26" s="861"/>
    </row>
    <row r="27" spans="1:14" s="224" customFormat="1" ht="15" customHeight="1" x14ac:dyDescent="0.25">
      <c r="A27" s="215">
        <v>44169</v>
      </c>
      <c r="B27" s="364" t="s">
        <v>2778</v>
      </c>
      <c r="C27" s="350" t="s">
        <v>12</v>
      </c>
      <c r="D27" s="350" t="s">
        <v>2157</v>
      </c>
      <c r="E27" s="875" t="s">
        <v>13</v>
      </c>
      <c r="F27" s="780">
        <v>70</v>
      </c>
      <c r="G27" s="982"/>
      <c r="H27" s="1008"/>
      <c r="I27" s="1063"/>
      <c r="J27" s="622"/>
      <c r="K27" s="982"/>
      <c r="L27" s="861"/>
      <c r="N27" s="878"/>
    </row>
    <row r="28" spans="1:14" s="224" customFormat="1" ht="15" customHeight="1" x14ac:dyDescent="0.25">
      <c r="A28" s="215">
        <v>44169</v>
      </c>
      <c r="B28" s="364" t="s">
        <v>14</v>
      </c>
      <c r="C28" s="350" t="s">
        <v>12</v>
      </c>
      <c r="D28" s="350" t="s">
        <v>1486</v>
      </c>
      <c r="E28" s="875" t="s">
        <v>13</v>
      </c>
      <c r="F28" s="852">
        <v>4.5</v>
      </c>
      <c r="G28" s="982"/>
      <c r="H28" s="1008"/>
      <c r="I28" s="1063"/>
      <c r="J28" s="622"/>
      <c r="K28" s="982"/>
      <c r="L28" s="861"/>
    </row>
    <row r="29" spans="1:14" s="224" customFormat="1" ht="15" customHeight="1" x14ac:dyDescent="0.25">
      <c r="A29" s="215">
        <v>44169</v>
      </c>
      <c r="B29" s="364" t="s">
        <v>2417</v>
      </c>
      <c r="C29" s="350" t="s">
        <v>12</v>
      </c>
      <c r="D29" s="350" t="s">
        <v>1491</v>
      </c>
      <c r="E29" s="875" t="s">
        <v>15</v>
      </c>
      <c r="F29" s="780">
        <v>60</v>
      </c>
      <c r="G29" s="982"/>
      <c r="H29" s="1008"/>
      <c r="I29" s="1063"/>
      <c r="J29" s="622"/>
      <c r="K29" s="982"/>
      <c r="L29" s="926"/>
      <c r="M29" s="89"/>
      <c r="N29" s="930"/>
    </row>
    <row r="30" spans="1:14" s="224" customFormat="1" ht="15" customHeight="1" x14ac:dyDescent="0.25">
      <c r="A30" s="215">
        <v>44170</v>
      </c>
      <c r="B30" s="349" t="s">
        <v>2096</v>
      </c>
      <c r="C30" s="879" t="s">
        <v>12</v>
      </c>
      <c r="D30" s="879" t="s">
        <v>1506</v>
      </c>
      <c r="E30" s="871" t="s">
        <v>15</v>
      </c>
      <c r="F30" s="780">
        <v>60</v>
      </c>
      <c r="G30" s="982"/>
      <c r="H30" s="1008"/>
      <c r="I30" s="1063"/>
      <c r="J30" s="622"/>
      <c r="K30" s="982"/>
      <c r="L30" s="861"/>
      <c r="N30" s="878"/>
    </row>
    <row r="31" spans="1:14" s="224" customFormat="1" ht="15" customHeight="1" x14ac:dyDescent="0.25">
      <c r="A31" s="215">
        <v>44170</v>
      </c>
      <c r="B31" s="349" t="s">
        <v>2375</v>
      </c>
      <c r="C31" s="879" t="s">
        <v>12</v>
      </c>
      <c r="D31" s="879" t="s">
        <v>1506</v>
      </c>
      <c r="E31" s="871" t="s">
        <v>15</v>
      </c>
      <c r="F31" s="780">
        <v>10</v>
      </c>
      <c r="G31" s="982"/>
      <c r="H31" s="1008"/>
      <c r="I31" s="1063"/>
      <c r="J31" s="622"/>
      <c r="K31" s="982"/>
      <c r="L31" s="861"/>
      <c r="N31" s="878"/>
    </row>
    <row r="32" spans="1:14" s="224" customFormat="1" ht="15" customHeight="1" x14ac:dyDescent="0.25">
      <c r="A32" s="215">
        <v>44170</v>
      </c>
      <c r="B32" s="364" t="s">
        <v>2798</v>
      </c>
      <c r="C32" s="350" t="s">
        <v>12</v>
      </c>
      <c r="D32" s="350" t="s">
        <v>1524</v>
      </c>
      <c r="E32" s="875" t="s">
        <v>13</v>
      </c>
      <c r="F32" s="780">
        <v>38</v>
      </c>
      <c r="G32" s="982"/>
      <c r="H32" s="1008"/>
      <c r="I32" s="1063"/>
      <c r="J32" s="622"/>
      <c r="K32" s="982"/>
      <c r="L32" s="861">
        <v>76</v>
      </c>
      <c r="N32" s="878"/>
    </row>
    <row r="33" spans="1:14" s="224" customFormat="1" ht="15" customHeight="1" x14ac:dyDescent="0.25">
      <c r="A33" s="215">
        <v>44170</v>
      </c>
      <c r="B33" s="364" t="s">
        <v>32</v>
      </c>
      <c r="C33" s="350" t="s">
        <v>12</v>
      </c>
      <c r="D33" s="350" t="s">
        <v>1485</v>
      </c>
      <c r="E33" s="875" t="s">
        <v>13</v>
      </c>
      <c r="F33" s="780">
        <v>15</v>
      </c>
      <c r="G33" s="946"/>
      <c r="H33" s="95"/>
      <c r="I33" s="1064"/>
      <c r="J33" s="97"/>
      <c r="K33" s="946"/>
      <c r="L33" s="926"/>
      <c r="M33" s="216"/>
      <c r="N33" s="877"/>
    </row>
    <row r="34" spans="1:14" s="224" customFormat="1" ht="15" customHeight="1" x14ac:dyDescent="0.25">
      <c r="A34" s="215">
        <v>44170</v>
      </c>
      <c r="B34" s="349" t="s">
        <v>82</v>
      </c>
      <c r="C34" s="352" t="s">
        <v>12</v>
      </c>
      <c r="D34" s="874" t="s">
        <v>1493</v>
      </c>
      <c r="E34" s="875" t="s">
        <v>13</v>
      </c>
      <c r="F34" s="852">
        <v>38.9</v>
      </c>
      <c r="G34" s="982"/>
      <c r="H34" s="1008"/>
      <c r="I34" s="1063"/>
      <c r="J34" s="622"/>
      <c r="K34" s="982"/>
      <c r="L34" s="861"/>
      <c r="N34" s="878"/>
    </row>
    <row r="35" spans="1:14" s="224" customFormat="1" ht="15" customHeight="1" x14ac:dyDescent="0.25">
      <c r="A35" s="215">
        <v>44171</v>
      </c>
      <c r="B35" s="364" t="s">
        <v>81</v>
      </c>
      <c r="C35" s="350" t="s">
        <v>12</v>
      </c>
      <c r="D35" s="350" t="s">
        <v>1493</v>
      </c>
      <c r="E35" s="875" t="s">
        <v>13</v>
      </c>
      <c r="F35" s="780">
        <v>11.42</v>
      </c>
      <c r="G35" s="982"/>
      <c r="H35" s="1008"/>
      <c r="I35" s="1063"/>
      <c r="J35" s="622"/>
      <c r="K35" s="982"/>
      <c r="L35" s="926"/>
      <c r="M35" s="89"/>
      <c r="N35" s="1035"/>
    </row>
    <row r="36" spans="1:14" s="224" customFormat="1" ht="15" customHeight="1" x14ac:dyDescent="0.25">
      <c r="A36" s="215">
        <v>44172</v>
      </c>
      <c r="B36" s="364" t="s">
        <v>32</v>
      </c>
      <c r="C36" s="350" t="s">
        <v>12</v>
      </c>
      <c r="D36" s="350" t="s">
        <v>1485</v>
      </c>
      <c r="E36" s="875" t="s">
        <v>13</v>
      </c>
      <c r="F36" s="780">
        <v>15</v>
      </c>
      <c r="G36" s="946"/>
      <c r="H36" s="95"/>
      <c r="I36" s="1064"/>
      <c r="J36" s="97"/>
      <c r="K36" s="946"/>
      <c r="L36" s="926"/>
      <c r="M36" s="216"/>
      <c r="N36" s="877"/>
    </row>
    <row r="37" spans="1:14" s="224" customFormat="1" ht="15" customHeight="1" x14ac:dyDescent="0.25">
      <c r="A37" s="215">
        <v>44172</v>
      </c>
      <c r="B37" s="364" t="s">
        <v>14</v>
      </c>
      <c r="C37" s="350" t="s">
        <v>12</v>
      </c>
      <c r="D37" s="350" t="s">
        <v>1486</v>
      </c>
      <c r="E37" s="875" t="s">
        <v>13</v>
      </c>
      <c r="F37" s="780">
        <v>5.28</v>
      </c>
      <c r="G37" s="982"/>
      <c r="H37" s="1008"/>
      <c r="I37" s="1063"/>
      <c r="J37" s="622"/>
      <c r="K37" s="982"/>
      <c r="L37" s="926"/>
      <c r="M37" s="89"/>
      <c r="N37" s="1035"/>
    </row>
    <row r="38" spans="1:14" s="224" customFormat="1" ht="15" customHeight="1" x14ac:dyDescent="0.25">
      <c r="A38" s="215">
        <v>44172</v>
      </c>
      <c r="B38" s="364" t="s">
        <v>2798</v>
      </c>
      <c r="C38" s="350" t="s">
        <v>12</v>
      </c>
      <c r="D38" s="350" t="s">
        <v>1524</v>
      </c>
      <c r="E38" s="875" t="s">
        <v>13</v>
      </c>
      <c r="F38" s="780">
        <v>89</v>
      </c>
      <c r="G38" s="982"/>
      <c r="H38" s="1008"/>
      <c r="I38" s="1063"/>
      <c r="J38" s="622"/>
      <c r="K38" s="982"/>
      <c r="L38" s="861">
        <v>178</v>
      </c>
      <c r="N38" s="878"/>
    </row>
    <row r="39" spans="1:14" s="224" customFormat="1" ht="15" customHeight="1" x14ac:dyDescent="0.25">
      <c r="A39" s="215">
        <v>44173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780">
        <v>15</v>
      </c>
      <c r="G39" s="982"/>
      <c r="H39" s="1008"/>
      <c r="I39" s="1063"/>
      <c r="J39" s="622"/>
      <c r="K39" s="982"/>
      <c r="L39" s="926"/>
      <c r="M39" s="89"/>
      <c r="N39" s="1035"/>
    </row>
    <row r="40" spans="1:14" s="224" customFormat="1" ht="15" customHeight="1" x14ac:dyDescent="0.25">
      <c r="A40" s="215">
        <v>44174</v>
      </c>
      <c r="B40" s="364" t="s">
        <v>32</v>
      </c>
      <c r="C40" s="350" t="s">
        <v>12</v>
      </c>
      <c r="D40" s="350" t="s">
        <v>1485</v>
      </c>
      <c r="E40" s="875" t="s">
        <v>13</v>
      </c>
      <c r="F40" s="780">
        <v>15</v>
      </c>
      <c r="G40" s="982"/>
      <c r="H40" s="1008"/>
      <c r="I40" s="1063"/>
      <c r="J40" s="622"/>
      <c r="K40" s="982"/>
      <c r="L40" s="926"/>
      <c r="M40" s="89"/>
      <c r="N40" s="1035"/>
    </row>
    <row r="41" spans="1:14" s="224" customFormat="1" ht="15" customHeight="1" x14ac:dyDescent="0.25">
      <c r="A41" s="215">
        <v>44174</v>
      </c>
      <c r="B41" s="364" t="s">
        <v>14</v>
      </c>
      <c r="C41" s="350" t="s">
        <v>12</v>
      </c>
      <c r="D41" s="350" t="s">
        <v>1486</v>
      </c>
      <c r="E41" s="875" t="s">
        <v>13</v>
      </c>
      <c r="F41" s="780">
        <v>4.72</v>
      </c>
      <c r="G41" s="982"/>
      <c r="H41" s="1008"/>
      <c r="I41" s="1063"/>
      <c r="J41" s="622"/>
      <c r="K41" s="982"/>
      <c r="L41" s="926"/>
      <c r="M41" s="89"/>
      <c r="N41" s="1035"/>
    </row>
    <row r="42" spans="1:14" s="224" customFormat="1" ht="15" customHeight="1" x14ac:dyDescent="0.25">
      <c r="A42" s="215">
        <v>44174</v>
      </c>
      <c r="B42" s="364" t="s">
        <v>2781</v>
      </c>
      <c r="C42" s="350" t="s">
        <v>12</v>
      </c>
      <c r="D42" s="350" t="s">
        <v>1491</v>
      </c>
      <c r="E42" s="875" t="s">
        <v>15</v>
      </c>
      <c r="F42" s="780">
        <v>80</v>
      </c>
      <c r="G42" s="982"/>
      <c r="H42" s="1008"/>
      <c r="I42" s="1063"/>
      <c r="J42" s="622"/>
      <c r="K42" s="982"/>
      <c r="L42" s="861"/>
      <c r="N42" s="878"/>
    </row>
    <row r="43" spans="1:14" s="224" customFormat="1" ht="15" customHeight="1" x14ac:dyDescent="0.25">
      <c r="A43" s="215">
        <v>44175</v>
      </c>
      <c r="B43" s="364" t="s">
        <v>1396</v>
      </c>
      <c r="C43" s="350" t="s">
        <v>12</v>
      </c>
      <c r="D43" s="350"/>
      <c r="E43" s="480" t="s">
        <v>25</v>
      </c>
      <c r="F43" s="613"/>
      <c r="G43" s="967">
        <v>45</v>
      </c>
      <c r="H43" s="1008"/>
      <c r="I43" s="1063"/>
      <c r="J43" s="622"/>
      <c r="K43" s="982"/>
      <c r="L43" s="861"/>
    </row>
    <row r="44" spans="1:14" s="224" customFormat="1" ht="15" customHeight="1" x14ac:dyDescent="0.25">
      <c r="A44" s="215">
        <v>44175</v>
      </c>
      <c r="B44" s="364" t="s">
        <v>32</v>
      </c>
      <c r="C44" s="350" t="s">
        <v>12</v>
      </c>
      <c r="D44" s="350" t="s">
        <v>1485</v>
      </c>
      <c r="E44" s="875" t="s">
        <v>15</v>
      </c>
      <c r="F44" s="780">
        <v>15</v>
      </c>
      <c r="G44" s="946"/>
      <c r="H44" s="95"/>
      <c r="I44" s="1064"/>
      <c r="J44" s="97"/>
      <c r="K44" s="946"/>
      <c r="L44" s="926"/>
      <c r="M44" s="216"/>
      <c r="N44" s="877"/>
    </row>
    <row r="45" spans="1:14" s="224" customFormat="1" ht="15" customHeight="1" x14ac:dyDescent="0.25">
      <c r="A45" s="215">
        <v>44175</v>
      </c>
      <c r="B45" s="364" t="s">
        <v>17</v>
      </c>
      <c r="C45" s="350" t="s">
        <v>12</v>
      </c>
      <c r="D45" s="350" t="s">
        <v>1493</v>
      </c>
      <c r="E45" s="875" t="s">
        <v>15</v>
      </c>
      <c r="F45" s="780">
        <v>5</v>
      </c>
      <c r="G45" s="982"/>
      <c r="H45" s="1008"/>
      <c r="I45" s="1063"/>
      <c r="J45" s="622"/>
      <c r="K45" s="982"/>
      <c r="L45" s="861"/>
      <c r="M45" s="1027"/>
      <c r="N45" s="878"/>
    </row>
    <row r="46" spans="1:14" s="224" customFormat="1" ht="15" customHeight="1" x14ac:dyDescent="0.25">
      <c r="A46" s="215">
        <v>44175</v>
      </c>
      <c r="B46" s="364" t="s">
        <v>2799</v>
      </c>
      <c r="C46" s="350" t="s">
        <v>12</v>
      </c>
      <c r="D46" s="350" t="s">
        <v>1489</v>
      </c>
      <c r="E46" s="875" t="s">
        <v>13</v>
      </c>
      <c r="F46" s="780">
        <v>150</v>
      </c>
      <c r="G46" s="982"/>
      <c r="H46" s="1008"/>
      <c r="I46" s="1063"/>
      <c r="J46" s="622"/>
      <c r="K46" s="982"/>
      <c r="L46" s="926"/>
      <c r="M46" s="89"/>
      <c r="N46" s="930"/>
    </row>
    <row r="47" spans="1:14" s="224" customFormat="1" ht="15" customHeight="1" x14ac:dyDescent="0.25">
      <c r="A47" s="215">
        <v>44175</v>
      </c>
      <c r="B47" s="364" t="s">
        <v>14</v>
      </c>
      <c r="C47" s="350" t="s">
        <v>12</v>
      </c>
      <c r="D47" s="350" t="s">
        <v>1486</v>
      </c>
      <c r="E47" s="875" t="s">
        <v>13</v>
      </c>
      <c r="F47" s="780">
        <v>5.24</v>
      </c>
      <c r="G47" s="982"/>
      <c r="H47" s="1008"/>
      <c r="I47" s="1063"/>
      <c r="J47" s="622"/>
      <c r="K47" s="982"/>
      <c r="L47" s="861"/>
      <c r="N47" s="878"/>
    </row>
    <row r="48" spans="1:14" s="224" customFormat="1" ht="15" customHeight="1" x14ac:dyDescent="0.25">
      <c r="A48" s="215">
        <v>44176</v>
      </c>
      <c r="B48" s="364" t="s">
        <v>2800</v>
      </c>
      <c r="C48" s="350" t="s">
        <v>12</v>
      </c>
      <c r="D48" s="350" t="s">
        <v>1524</v>
      </c>
      <c r="E48" s="875" t="s">
        <v>13</v>
      </c>
      <c r="F48" s="780">
        <v>31.5</v>
      </c>
      <c r="G48" s="982"/>
      <c r="H48" s="1008"/>
      <c r="I48" s="1063"/>
      <c r="J48" s="622"/>
      <c r="K48" s="982"/>
      <c r="L48" s="861">
        <v>63</v>
      </c>
      <c r="N48" s="878"/>
    </row>
    <row r="49" spans="1:16" s="224" customFormat="1" ht="15" customHeight="1" x14ac:dyDescent="0.25">
      <c r="A49" s="215">
        <v>44176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15</v>
      </c>
      <c r="G49" s="946"/>
      <c r="H49" s="95"/>
      <c r="I49" s="1064"/>
      <c r="J49" s="97"/>
      <c r="K49" s="946"/>
      <c r="L49" s="926"/>
      <c r="M49" s="216"/>
      <c r="N49" s="877"/>
    </row>
    <row r="50" spans="1:16" s="224" customFormat="1" ht="15" customHeight="1" x14ac:dyDescent="0.25">
      <c r="A50" s="215">
        <v>44176</v>
      </c>
      <c r="B50" s="349" t="s">
        <v>82</v>
      </c>
      <c r="C50" s="352" t="s">
        <v>12</v>
      </c>
      <c r="D50" s="874" t="s">
        <v>1493</v>
      </c>
      <c r="E50" s="875" t="s">
        <v>13</v>
      </c>
      <c r="F50" s="852">
        <v>34.53</v>
      </c>
      <c r="G50" s="982"/>
      <c r="H50" s="1008"/>
      <c r="I50" s="1063"/>
      <c r="J50" s="622"/>
      <c r="K50" s="982"/>
      <c r="L50" s="861"/>
      <c r="N50" s="878"/>
    </row>
    <row r="51" spans="1:16" s="224" customFormat="1" ht="15" customHeight="1" x14ac:dyDescent="0.25">
      <c r="A51" s="215">
        <v>44177</v>
      </c>
      <c r="B51" s="364" t="s">
        <v>2778</v>
      </c>
      <c r="C51" s="350" t="s">
        <v>12</v>
      </c>
      <c r="D51" s="350" t="s">
        <v>2157</v>
      </c>
      <c r="E51" s="875" t="s">
        <v>13</v>
      </c>
      <c r="F51" s="780">
        <v>70</v>
      </c>
      <c r="G51" s="982"/>
      <c r="H51" s="1008"/>
      <c r="I51" s="1063"/>
      <c r="J51" s="622"/>
      <c r="K51" s="982"/>
      <c r="L51" s="861"/>
      <c r="N51" s="878"/>
    </row>
    <row r="52" spans="1:16" s="224" customFormat="1" ht="15" customHeight="1" x14ac:dyDescent="0.25">
      <c r="A52" s="215">
        <v>44177</v>
      </c>
      <c r="B52" s="364" t="s">
        <v>2629</v>
      </c>
      <c r="C52" s="350" t="s">
        <v>19</v>
      </c>
      <c r="D52" s="350" t="s">
        <v>1489</v>
      </c>
      <c r="E52" s="875" t="s">
        <v>13</v>
      </c>
      <c r="F52" s="852">
        <v>75.930000000000007</v>
      </c>
      <c r="G52" s="982"/>
      <c r="H52" s="1008"/>
      <c r="I52" s="1063"/>
      <c r="J52" s="622"/>
      <c r="K52" s="982"/>
      <c r="L52" s="861"/>
      <c r="N52" s="878"/>
    </row>
    <row r="53" spans="1:16" s="224" customFormat="1" ht="15" customHeight="1" x14ac:dyDescent="0.25">
      <c r="A53" s="215">
        <v>44177</v>
      </c>
      <c r="B53" s="364" t="s">
        <v>2801</v>
      </c>
      <c r="C53" s="350" t="s">
        <v>12</v>
      </c>
      <c r="D53" s="350" t="s">
        <v>1523</v>
      </c>
      <c r="E53" s="875" t="s">
        <v>13</v>
      </c>
      <c r="F53" s="852">
        <v>74.11</v>
      </c>
      <c r="G53" s="982"/>
      <c r="H53" s="1008"/>
      <c r="I53" s="1063"/>
      <c r="J53" s="622"/>
      <c r="K53" s="982"/>
      <c r="L53" s="861">
        <v>208.22</v>
      </c>
      <c r="N53" s="878"/>
    </row>
    <row r="54" spans="1:16" s="224" customFormat="1" ht="15" customHeight="1" x14ac:dyDescent="0.25">
      <c r="A54" s="215">
        <v>44178</v>
      </c>
      <c r="B54" s="364" t="s">
        <v>14</v>
      </c>
      <c r="C54" s="350" t="s">
        <v>12</v>
      </c>
      <c r="D54" s="350" t="s">
        <v>1486</v>
      </c>
      <c r="E54" s="875" t="s">
        <v>13</v>
      </c>
      <c r="F54" s="780">
        <v>5.45</v>
      </c>
      <c r="G54" s="982"/>
      <c r="H54" s="1008"/>
      <c r="I54" s="1063"/>
      <c r="J54" s="622"/>
      <c r="K54" s="982"/>
      <c r="L54" s="861"/>
      <c r="N54" s="878"/>
    </row>
    <row r="55" spans="1:16" s="224" customFormat="1" ht="15" customHeight="1" x14ac:dyDescent="0.25">
      <c r="A55" s="215">
        <v>44178</v>
      </c>
      <c r="B55" s="364" t="s">
        <v>2802</v>
      </c>
      <c r="C55" s="350" t="s">
        <v>12</v>
      </c>
      <c r="D55" s="350" t="s">
        <v>1524</v>
      </c>
      <c r="E55" s="875" t="s">
        <v>15</v>
      </c>
      <c r="F55" s="780">
        <v>150</v>
      </c>
      <c r="G55" s="982"/>
      <c r="H55" s="1008"/>
      <c r="I55" s="1063"/>
      <c r="J55" s="622"/>
      <c r="K55" s="982"/>
      <c r="L55" s="861">
        <v>76</v>
      </c>
      <c r="N55" s="878"/>
    </row>
    <row r="56" spans="1:16" s="224" customFormat="1" ht="15" customHeight="1" x14ac:dyDescent="0.25">
      <c r="A56" s="215">
        <v>44178</v>
      </c>
      <c r="B56" s="364" t="s">
        <v>2452</v>
      </c>
      <c r="C56" s="350" t="s">
        <v>12</v>
      </c>
      <c r="D56" s="350" t="s">
        <v>2168</v>
      </c>
      <c r="E56" s="875" t="s">
        <v>13</v>
      </c>
      <c r="F56" s="780">
        <v>29.6</v>
      </c>
      <c r="G56" s="1063"/>
      <c r="H56" s="622"/>
      <c r="I56" s="982"/>
      <c r="J56" s="622"/>
      <c r="K56" s="982"/>
      <c r="L56" s="927"/>
    </row>
    <row r="57" spans="1:16" s="224" customFormat="1" ht="15" customHeight="1" x14ac:dyDescent="0.25">
      <c r="A57" s="215">
        <v>44178</v>
      </c>
      <c r="B57" s="364" t="s">
        <v>81</v>
      </c>
      <c r="C57" s="350" t="s">
        <v>12</v>
      </c>
      <c r="D57" s="350" t="s">
        <v>1493</v>
      </c>
      <c r="E57" s="875" t="s">
        <v>13</v>
      </c>
      <c r="F57" s="780">
        <v>6.18</v>
      </c>
      <c r="G57" s="982"/>
      <c r="H57" s="1008"/>
      <c r="I57" s="1063"/>
      <c r="J57" s="622"/>
      <c r="K57" s="982"/>
      <c r="L57" s="861"/>
      <c r="N57" s="878"/>
    </row>
    <row r="58" spans="1:16" s="224" customFormat="1" ht="15" customHeight="1" x14ac:dyDescent="0.25">
      <c r="A58" s="215">
        <v>44179</v>
      </c>
      <c r="B58" s="364" t="s">
        <v>32</v>
      </c>
      <c r="C58" s="350" t="s">
        <v>12</v>
      </c>
      <c r="D58" s="350" t="s">
        <v>1485</v>
      </c>
      <c r="E58" s="875" t="s">
        <v>13</v>
      </c>
      <c r="F58" s="780">
        <v>15</v>
      </c>
      <c r="G58" s="946"/>
      <c r="H58" s="95"/>
      <c r="I58" s="1064"/>
      <c r="J58" s="97"/>
      <c r="K58" s="946"/>
      <c r="L58" s="926"/>
      <c r="M58" s="216"/>
      <c r="N58" s="877"/>
    </row>
    <row r="59" spans="1:16" s="224" customFormat="1" ht="15" customHeight="1" x14ac:dyDescent="0.25">
      <c r="A59" s="215">
        <v>44179</v>
      </c>
      <c r="B59" s="364" t="s">
        <v>17</v>
      </c>
      <c r="C59" s="350" t="s">
        <v>12</v>
      </c>
      <c r="D59" s="350" t="s">
        <v>1493</v>
      </c>
      <c r="E59" s="875" t="s">
        <v>13</v>
      </c>
      <c r="F59" s="780">
        <v>5</v>
      </c>
      <c r="G59" s="982"/>
      <c r="H59" s="1008"/>
      <c r="I59" s="1063"/>
      <c r="J59" s="622"/>
      <c r="K59" s="982"/>
      <c r="L59" s="861"/>
      <c r="M59" s="1027"/>
      <c r="N59" s="878"/>
    </row>
    <row r="60" spans="1:16" s="224" customFormat="1" ht="15" customHeight="1" x14ac:dyDescent="0.25">
      <c r="A60" s="215">
        <v>44179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780">
        <v>5.74</v>
      </c>
      <c r="G60" s="982"/>
      <c r="H60" s="1008"/>
      <c r="I60" s="1063"/>
      <c r="J60" s="622"/>
      <c r="K60" s="982"/>
      <c r="L60" s="861"/>
      <c r="N60" s="878"/>
    </row>
    <row r="61" spans="1:16" s="224" customFormat="1" ht="15" customHeight="1" x14ac:dyDescent="0.25">
      <c r="A61" s="215">
        <v>44180</v>
      </c>
      <c r="B61" s="364" t="s">
        <v>2803</v>
      </c>
      <c r="C61" s="350" t="s">
        <v>12</v>
      </c>
      <c r="D61" s="350" t="s">
        <v>1493</v>
      </c>
      <c r="E61" s="875" t="s">
        <v>13</v>
      </c>
      <c r="F61" s="780">
        <v>16</v>
      </c>
      <c r="G61" s="982"/>
      <c r="H61" s="1008"/>
      <c r="I61" s="1063"/>
      <c r="J61" s="622"/>
      <c r="K61" s="982"/>
      <c r="L61" s="861"/>
      <c r="N61" s="877"/>
      <c r="P61" s="932"/>
    </row>
    <row r="62" spans="1:16" s="224" customFormat="1" ht="15" customHeight="1" x14ac:dyDescent="0.25">
      <c r="A62" s="215">
        <v>44180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15</v>
      </c>
      <c r="G62" s="982"/>
      <c r="H62" s="1008"/>
      <c r="I62" s="1063"/>
      <c r="J62" s="622"/>
      <c r="K62" s="982"/>
      <c r="L62" s="1029"/>
      <c r="M62" s="216"/>
    </row>
    <row r="63" spans="1:16" s="224" customFormat="1" ht="15" customHeight="1" x14ac:dyDescent="0.25">
      <c r="A63" s="215">
        <v>44180</v>
      </c>
      <c r="B63" s="364" t="s">
        <v>14</v>
      </c>
      <c r="C63" s="350" t="s">
        <v>12</v>
      </c>
      <c r="D63" s="350" t="s">
        <v>1486</v>
      </c>
      <c r="E63" s="875" t="s">
        <v>13</v>
      </c>
      <c r="F63" s="780">
        <v>4.3499999999999996</v>
      </c>
      <c r="G63" s="982"/>
      <c r="H63" s="1008"/>
      <c r="I63" s="1063"/>
      <c r="J63" s="622"/>
      <c r="K63" s="982"/>
      <c r="L63" s="861"/>
      <c r="N63" s="878"/>
    </row>
    <row r="64" spans="1:16" s="224" customFormat="1" ht="15" customHeight="1" x14ac:dyDescent="0.25">
      <c r="A64" s="215">
        <v>44180</v>
      </c>
      <c r="B64" s="364" t="s">
        <v>2804</v>
      </c>
      <c r="C64" s="350" t="s">
        <v>12</v>
      </c>
      <c r="D64" s="350" t="s">
        <v>1522</v>
      </c>
      <c r="E64" s="875" t="s">
        <v>13</v>
      </c>
      <c r="F64" s="780">
        <v>20</v>
      </c>
      <c r="G64" s="982"/>
      <c r="H64" s="1008"/>
      <c r="I64" s="1063"/>
      <c r="J64" s="622"/>
      <c r="K64" s="982"/>
      <c r="L64" s="861"/>
      <c r="N64" s="878"/>
    </row>
    <row r="65" spans="1:14" s="224" customFormat="1" ht="15" customHeight="1" x14ac:dyDescent="0.25">
      <c r="A65" s="215">
        <v>44180</v>
      </c>
      <c r="B65" s="364" t="s">
        <v>2781</v>
      </c>
      <c r="C65" s="350" t="s">
        <v>12</v>
      </c>
      <c r="D65" s="350" t="s">
        <v>1491</v>
      </c>
      <c r="E65" s="875" t="s">
        <v>15</v>
      </c>
      <c r="F65" s="780">
        <v>50</v>
      </c>
      <c r="G65" s="982"/>
      <c r="H65" s="1008"/>
      <c r="I65" s="1063"/>
      <c r="J65" s="622"/>
      <c r="K65" s="982"/>
      <c r="L65" s="861"/>
      <c r="N65" s="878"/>
    </row>
    <row r="66" spans="1:14" s="224" customFormat="1" ht="15" customHeight="1" x14ac:dyDescent="0.25">
      <c r="A66" s="215">
        <v>44181</v>
      </c>
      <c r="B66" s="882" t="s">
        <v>2805</v>
      </c>
      <c r="C66" s="879" t="s">
        <v>12</v>
      </c>
      <c r="D66" s="879" t="s">
        <v>1499</v>
      </c>
      <c r="E66" s="871" t="s">
        <v>13</v>
      </c>
      <c r="F66" s="780">
        <v>45.87</v>
      </c>
      <c r="G66" s="982"/>
      <c r="H66" s="1008"/>
      <c r="I66" s="1063"/>
      <c r="J66" s="622"/>
      <c r="K66" s="982"/>
      <c r="L66" s="1029">
        <v>125.87</v>
      </c>
      <c r="M66" s="1027"/>
      <c r="N66" s="1035"/>
    </row>
    <row r="67" spans="1:14" s="224" customFormat="1" ht="15" customHeight="1" x14ac:dyDescent="0.25">
      <c r="A67" s="215">
        <v>44181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780">
        <v>15</v>
      </c>
      <c r="G67" s="982"/>
      <c r="H67" s="1008"/>
      <c r="I67" s="1063"/>
      <c r="J67" s="622"/>
      <c r="K67" s="982"/>
      <c r="L67" s="926"/>
      <c r="M67" s="89"/>
      <c r="N67" s="1035"/>
    </row>
    <row r="68" spans="1:14" s="224" customFormat="1" ht="15" customHeight="1" x14ac:dyDescent="0.25">
      <c r="A68" s="215">
        <v>44181</v>
      </c>
      <c r="B68" s="364" t="s">
        <v>2778</v>
      </c>
      <c r="C68" s="350" t="s">
        <v>12</v>
      </c>
      <c r="D68" s="350" t="s">
        <v>2157</v>
      </c>
      <c r="E68" s="875" t="s">
        <v>15</v>
      </c>
      <c r="F68" s="780">
        <v>20</v>
      </c>
      <c r="G68" s="982"/>
      <c r="H68" s="1008"/>
      <c r="I68" s="1063"/>
      <c r="J68" s="622"/>
      <c r="K68" s="982"/>
      <c r="L68" s="861"/>
      <c r="N68" s="878"/>
    </row>
    <row r="69" spans="1:14" s="224" customFormat="1" ht="15" customHeight="1" x14ac:dyDescent="0.25">
      <c r="A69" s="215">
        <v>44182</v>
      </c>
      <c r="B69" s="364" t="s">
        <v>32</v>
      </c>
      <c r="C69" s="350" t="s">
        <v>12</v>
      </c>
      <c r="D69" s="350" t="s">
        <v>1485</v>
      </c>
      <c r="E69" s="875" t="s">
        <v>13</v>
      </c>
      <c r="F69" s="780">
        <v>15</v>
      </c>
      <c r="G69" s="946"/>
      <c r="H69" s="95"/>
      <c r="I69" s="1064"/>
      <c r="J69" s="97"/>
      <c r="K69" s="946"/>
      <c r="L69" s="926"/>
      <c r="M69" s="216"/>
      <c r="N69" s="877"/>
    </row>
    <row r="70" spans="1:14" s="224" customFormat="1" ht="15" customHeight="1" x14ac:dyDescent="0.25">
      <c r="A70" s="215">
        <v>44182</v>
      </c>
      <c r="B70" s="364" t="s">
        <v>17</v>
      </c>
      <c r="C70" s="350" t="s">
        <v>12</v>
      </c>
      <c r="D70" s="350" t="s">
        <v>1493</v>
      </c>
      <c r="E70" s="875" t="s">
        <v>13</v>
      </c>
      <c r="F70" s="780">
        <v>5</v>
      </c>
      <c r="G70" s="982"/>
      <c r="H70" s="1008"/>
      <c r="I70" s="1063"/>
      <c r="J70" s="622"/>
      <c r="K70" s="982"/>
      <c r="L70" s="861"/>
      <c r="M70" s="1027"/>
      <c r="N70" s="878"/>
    </row>
    <row r="71" spans="1:14" s="224" customFormat="1" ht="15" customHeight="1" x14ac:dyDescent="0.25">
      <c r="A71" s="215">
        <v>44182</v>
      </c>
      <c r="B71" s="364" t="s">
        <v>14</v>
      </c>
      <c r="C71" s="350" t="s">
        <v>12</v>
      </c>
      <c r="D71" s="350" t="s">
        <v>1486</v>
      </c>
      <c r="E71" s="875" t="s">
        <v>13</v>
      </c>
      <c r="F71" s="780">
        <v>10</v>
      </c>
      <c r="G71" s="982"/>
      <c r="H71" s="1008"/>
      <c r="I71" s="1063"/>
      <c r="J71" s="622"/>
      <c r="K71" s="982"/>
      <c r="L71" s="1029"/>
      <c r="M71" s="1027"/>
      <c r="N71" s="1035"/>
    </row>
    <row r="72" spans="1:14" s="224" customFormat="1" ht="15" customHeight="1" x14ac:dyDescent="0.25">
      <c r="A72" s="215">
        <v>44183</v>
      </c>
      <c r="B72" s="364" t="s">
        <v>2806</v>
      </c>
      <c r="C72" s="350" t="s">
        <v>12</v>
      </c>
      <c r="D72" s="350"/>
      <c r="E72" s="480" t="s">
        <v>25</v>
      </c>
      <c r="F72" s="622"/>
      <c r="G72" s="982">
        <v>1490.24</v>
      </c>
      <c r="H72" s="1008"/>
      <c r="I72" s="1063"/>
      <c r="J72" s="622"/>
      <c r="K72" s="982"/>
      <c r="L72" s="861"/>
      <c r="M72" s="1038"/>
      <c r="N72" s="878"/>
    </row>
    <row r="73" spans="1:14" s="224" customFormat="1" ht="15" customHeight="1" x14ac:dyDescent="0.25">
      <c r="A73" s="215">
        <v>44183</v>
      </c>
      <c r="B73" s="862" t="s">
        <v>2807</v>
      </c>
      <c r="C73" s="879" t="s">
        <v>12</v>
      </c>
      <c r="D73" s="879"/>
      <c r="E73" s="778" t="s">
        <v>25</v>
      </c>
      <c r="F73" s="137"/>
      <c r="G73" s="982">
        <v>4528.04</v>
      </c>
      <c r="H73" s="1008"/>
      <c r="I73" s="1063"/>
      <c r="J73" s="622"/>
      <c r="K73" s="982"/>
      <c r="L73" s="861"/>
      <c r="M73" s="1038"/>
      <c r="N73" s="878"/>
    </row>
    <row r="74" spans="1:14" s="224" customFormat="1" ht="15" customHeight="1" x14ac:dyDescent="0.25">
      <c r="A74" s="215">
        <v>44183</v>
      </c>
      <c r="B74" s="349" t="s">
        <v>260</v>
      </c>
      <c r="C74" s="350" t="s">
        <v>12</v>
      </c>
      <c r="D74" s="350"/>
      <c r="E74" s="480"/>
      <c r="F74" s="780">
        <v>2300</v>
      </c>
      <c r="G74" s="946"/>
      <c r="H74" s="95"/>
      <c r="I74" s="1064">
        <v>2300</v>
      </c>
      <c r="J74" s="622"/>
      <c r="K74" s="982"/>
      <c r="L74" s="861"/>
    </row>
    <row r="75" spans="1:14" s="224" customFormat="1" x14ac:dyDescent="0.25">
      <c r="A75" s="215">
        <v>44183</v>
      </c>
      <c r="B75" s="873" t="s">
        <v>2590</v>
      </c>
      <c r="C75" s="879" t="s">
        <v>12</v>
      </c>
      <c r="D75" s="350" t="s">
        <v>1491</v>
      </c>
      <c r="E75" s="871" t="s">
        <v>15</v>
      </c>
      <c r="F75" s="622">
        <v>70</v>
      </c>
      <c r="G75" s="982"/>
      <c r="H75" s="1008"/>
      <c r="I75" s="1063"/>
      <c r="J75" s="622"/>
      <c r="K75" s="982"/>
      <c r="L75" s="1028"/>
      <c r="N75" s="878"/>
    </row>
    <row r="76" spans="1:14" x14ac:dyDescent="0.25">
      <c r="A76" s="215">
        <v>44183</v>
      </c>
      <c r="B76" s="876" t="s">
        <v>2712</v>
      </c>
      <c r="C76" s="879" t="s">
        <v>12</v>
      </c>
      <c r="D76" s="879" t="s">
        <v>1496</v>
      </c>
      <c r="E76" s="871" t="s">
        <v>15</v>
      </c>
      <c r="F76" s="780">
        <v>70</v>
      </c>
      <c r="G76" s="982"/>
      <c r="H76" s="1009"/>
      <c r="I76" s="1063"/>
      <c r="J76" s="622"/>
      <c r="K76" s="982"/>
      <c r="L76" s="1029"/>
    </row>
    <row r="77" spans="1:14" s="224" customFormat="1" ht="15" customHeight="1" x14ac:dyDescent="0.25">
      <c r="A77" s="215">
        <v>44183</v>
      </c>
      <c r="B77" s="862" t="s">
        <v>2302</v>
      </c>
      <c r="C77" s="350" t="s">
        <v>12</v>
      </c>
      <c r="D77" s="874" t="s">
        <v>1504</v>
      </c>
      <c r="E77" s="887" t="s">
        <v>13</v>
      </c>
      <c r="F77" s="852">
        <v>76.98</v>
      </c>
      <c r="G77" s="982"/>
      <c r="H77" s="1009"/>
      <c r="I77" s="1063"/>
      <c r="J77" s="853"/>
      <c r="K77" s="982"/>
      <c r="L77" s="861">
        <v>156.97999999999999</v>
      </c>
      <c r="M77" s="927"/>
      <c r="N77" s="1035"/>
    </row>
    <row r="78" spans="1:14" s="224" customFormat="1" ht="15" customHeight="1" x14ac:dyDescent="0.25">
      <c r="A78" s="215">
        <v>44183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780">
        <v>40</v>
      </c>
      <c r="G78" s="946"/>
      <c r="H78" s="95"/>
      <c r="I78" s="1064"/>
      <c r="J78" s="97"/>
      <c r="K78" s="946"/>
      <c r="L78" s="926"/>
      <c r="M78" s="216"/>
      <c r="N78" s="877"/>
    </row>
    <row r="79" spans="1:14" s="224" customFormat="1" ht="15" customHeight="1" x14ac:dyDescent="0.25">
      <c r="A79" s="215">
        <v>44183</v>
      </c>
      <c r="B79" s="364" t="s">
        <v>2808</v>
      </c>
      <c r="C79" s="350" t="s">
        <v>12</v>
      </c>
      <c r="D79" s="350" t="s">
        <v>1489</v>
      </c>
      <c r="E79" s="875" t="s">
        <v>13</v>
      </c>
      <c r="F79" s="780">
        <v>200</v>
      </c>
      <c r="G79" s="982"/>
      <c r="H79" s="1008"/>
      <c r="I79" s="1063"/>
      <c r="J79" s="622"/>
      <c r="K79" s="982"/>
      <c r="L79" s="926"/>
      <c r="M79" s="89"/>
      <c r="N79" s="930"/>
    </row>
    <row r="80" spans="1:14" s="224" customFormat="1" ht="15" customHeight="1" x14ac:dyDescent="0.25">
      <c r="A80" s="215">
        <v>44183</v>
      </c>
      <c r="B80" s="364" t="s">
        <v>2809</v>
      </c>
      <c r="C80" s="350" t="s">
        <v>12</v>
      </c>
      <c r="D80" s="350" t="s">
        <v>1491</v>
      </c>
      <c r="E80" s="875" t="s">
        <v>15</v>
      </c>
      <c r="F80" s="780">
        <v>100</v>
      </c>
      <c r="G80" s="982"/>
      <c r="H80" s="1008"/>
      <c r="I80" s="1063"/>
      <c r="J80" s="622"/>
      <c r="K80" s="982"/>
      <c r="L80" s="926"/>
      <c r="M80" s="89"/>
      <c r="N80" s="930"/>
    </row>
    <row r="81" spans="1:14" s="224" customFormat="1" ht="15" customHeight="1" x14ac:dyDescent="0.25">
      <c r="A81" s="215">
        <v>44184</v>
      </c>
      <c r="B81" s="364" t="s">
        <v>14</v>
      </c>
      <c r="C81" s="350" t="s">
        <v>12</v>
      </c>
      <c r="D81" s="350" t="s">
        <v>1486</v>
      </c>
      <c r="E81" s="875" t="s">
        <v>13</v>
      </c>
      <c r="F81" s="780">
        <v>5.95</v>
      </c>
      <c r="G81" s="982"/>
      <c r="H81" s="1008"/>
      <c r="I81" s="1063"/>
      <c r="J81" s="622"/>
      <c r="K81" s="982"/>
      <c r="L81" s="861"/>
      <c r="N81" s="878"/>
    </row>
    <row r="82" spans="1:14" s="224" customFormat="1" ht="15" customHeight="1" x14ac:dyDescent="0.25">
      <c r="A82" s="215">
        <v>44184</v>
      </c>
      <c r="B82" s="364" t="s">
        <v>2600</v>
      </c>
      <c r="C82" s="350" t="s">
        <v>12</v>
      </c>
      <c r="D82" s="350" t="s">
        <v>1493</v>
      </c>
      <c r="E82" s="875" t="s">
        <v>13</v>
      </c>
      <c r="F82" s="780">
        <v>36</v>
      </c>
      <c r="G82" s="982"/>
      <c r="H82" s="1008"/>
      <c r="I82" s="1063"/>
      <c r="J82" s="622"/>
      <c r="K82" s="982"/>
      <c r="L82" s="861"/>
      <c r="N82" s="878"/>
    </row>
    <row r="83" spans="1:14" s="224" customFormat="1" ht="15" customHeight="1" x14ac:dyDescent="0.25">
      <c r="A83" s="215">
        <v>44184</v>
      </c>
      <c r="B83" s="364" t="s">
        <v>2778</v>
      </c>
      <c r="C83" s="350" t="s">
        <v>12</v>
      </c>
      <c r="D83" s="350" t="s">
        <v>2157</v>
      </c>
      <c r="E83" s="875" t="s">
        <v>15</v>
      </c>
      <c r="F83" s="780">
        <v>30</v>
      </c>
      <c r="G83" s="982"/>
      <c r="H83" s="1008"/>
      <c r="I83" s="1063"/>
      <c r="J83" s="622"/>
      <c r="K83" s="982"/>
      <c r="L83" s="861"/>
      <c r="N83" s="878"/>
    </row>
    <row r="84" spans="1:14" s="224" customFormat="1" ht="15" customHeight="1" x14ac:dyDescent="0.25">
      <c r="A84" s="215">
        <v>44184</v>
      </c>
      <c r="B84" s="364" t="s">
        <v>2810</v>
      </c>
      <c r="C84" s="350" t="s">
        <v>12</v>
      </c>
      <c r="D84" s="350" t="s">
        <v>1489</v>
      </c>
      <c r="E84" s="875" t="s">
        <v>13</v>
      </c>
      <c r="F84" s="780">
        <v>153.80000000000001</v>
      </c>
      <c r="G84" s="982"/>
      <c r="H84" s="1008"/>
      <c r="I84" s="1063"/>
      <c r="J84" s="622"/>
      <c r="K84" s="982"/>
      <c r="L84" s="861"/>
      <c r="N84" s="878"/>
    </row>
    <row r="85" spans="1:14" s="224" customFormat="1" ht="15" customHeight="1" x14ac:dyDescent="0.25">
      <c r="A85" s="215">
        <v>44185</v>
      </c>
      <c r="B85" s="364" t="s">
        <v>2811</v>
      </c>
      <c r="C85" s="350" t="s">
        <v>12</v>
      </c>
      <c r="D85" s="350" t="s">
        <v>1491</v>
      </c>
      <c r="E85" s="875" t="s">
        <v>13</v>
      </c>
      <c r="F85" s="780">
        <v>119.7</v>
      </c>
      <c r="G85" s="982"/>
      <c r="H85" s="1008"/>
      <c r="I85" s="1063"/>
      <c r="J85" s="622"/>
      <c r="K85" s="982"/>
      <c r="L85" s="926"/>
      <c r="M85" s="89"/>
      <c r="N85" s="1035"/>
    </row>
    <row r="86" spans="1:14" s="224" customFormat="1" ht="15" customHeight="1" x14ac:dyDescent="0.25">
      <c r="A86" s="215">
        <v>44185</v>
      </c>
      <c r="B86" s="364" t="s">
        <v>81</v>
      </c>
      <c r="C86" s="350" t="s">
        <v>12</v>
      </c>
      <c r="D86" s="350" t="s">
        <v>1493</v>
      </c>
      <c r="E86" s="875" t="s">
        <v>13</v>
      </c>
      <c r="F86" s="780">
        <v>9.43</v>
      </c>
      <c r="G86" s="982"/>
      <c r="H86" s="1008"/>
      <c r="I86" s="1063"/>
      <c r="J86" s="622"/>
      <c r="K86" s="982"/>
      <c r="L86" s="926"/>
      <c r="M86" s="89"/>
      <c r="N86" s="1035"/>
    </row>
    <row r="87" spans="1:14" s="224" customFormat="1" ht="15" customHeight="1" x14ac:dyDescent="0.25">
      <c r="A87" s="215">
        <v>44186</v>
      </c>
      <c r="B87" s="364" t="s">
        <v>14</v>
      </c>
      <c r="C87" s="350" t="s">
        <v>12</v>
      </c>
      <c r="D87" s="350" t="s">
        <v>1486</v>
      </c>
      <c r="E87" s="875" t="s">
        <v>13</v>
      </c>
      <c r="F87" s="780">
        <v>4.53</v>
      </c>
      <c r="G87" s="982"/>
      <c r="H87" s="1008"/>
      <c r="I87" s="1063"/>
      <c r="J87" s="622"/>
      <c r="K87" s="982"/>
      <c r="L87" s="861"/>
      <c r="N87" s="878"/>
    </row>
    <row r="88" spans="1:14" s="224" customFormat="1" ht="15" customHeight="1" x14ac:dyDescent="0.25">
      <c r="A88" s="215">
        <v>44186</v>
      </c>
      <c r="B88" s="364" t="s">
        <v>2812</v>
      </c>
      <c r="C88" s="350" t="s">
        <v>12</v>
      </c>
      <c r="D88" s="350" t="s">
        <v>2131</v>
      </c>
      <c r="E88" s="875" t="s">
        <v>13</v>
      </c>
      <c r="F88" s="780">
        <v>57.5</v>
      </c>
      <c r="G88" s="982"/>
      <c r="H88" s="1008"/>
      <c r="I88" s="1063"/>
      <c r="J88" s="622"/>
      <c r="K88" s="982"/>
      <c r="L88" s="926"/>
      <c r="M88" s="89"/>
      <c r="N88" s="1035"/>
    </row>
    <row r="89" spans="1:14" s="224" customFormat="1" ht="15" customHeight="1" x14ac:dyDescent="0.25">
      <c r="A89" s="215">
        <v>44186</v>
      </c>
      <c r="B89" s="364" t="s">
        <v>2813</v>
      </c>
      <c r="C89" s="350" t="s">
        <v>12</v>
      </c>
      <c r="D89" s="350" t="s">
        <v>1489</v>
      </c>
      <c r="E89" s="875" t="s">
        <v>15</v>
      </c>
      <c r="F89" s="780">
        <v>9</v>
      </c>
      <c r="G89" s="982"/>
      <c r="H89" s="1008"/>
      <c r="I89" s="1063"/>
      <c r="J89" s="622"/>
      <c r="K89" s="982"/>
      <c r="L89" s="926"/>
      <c r="M89" s="89"/>
      <c r="N89" s="1035"/>
    </row>
    <row r="90" spans="1:14" s="224" customFormat="1" ht="15" customHeight="1" x14ac:dyDescent="0.25">
      <c r="A90" s="215">
        <v>44186</v>
      </c>
      <c r="B90" s="364" t="s">
        <v>14</v>
      </c>
      <c r="C90" s="350" t="s">
        <v>12</v>
      </c>
      <c r="D90" s="350" t="s">
        <v>1486</v>
      </c>
      <c r="E90" s="875" t="s">
        <v>13</v>
      </c>
      <c r="F90" s="780">
        <v>6.57</v>
      </c>
      <c r="G90" s="982"/>
      <c r="H90" s="1008"/>
      <c r="I90" s="1063"/>
      <c r="J90" s="622"/>
      <c r="K90" s="982"/>
      <c r="L90" s="861"/>
      <c r="N90" s="878"/>
    </row>
    <row r="91" spans="1:14" s="224" customFormat="1" ht="15" customHeight="1" x14ac:dyDescent="0.25">
      <c r="A91" s="215">
        <v>44187</v>
      </c>
      <c r="B91" s="364" t="s">
        <v>2814</v>
      </c>
      <c r="C91" s="350" t="s">
        <v>12</v>
      </c>
      <c r="D91" s="350" t="s">
        <v>1522</v>
      </c>
      <c r="E91" s="875" t="s">
        <v>13</v>
      </c>
      <c r="F91" s="780">
        <v>150</v>
      </c>
      <c r="G91" s="982"/>
      <c r="H91" s="1008"/>
      <c r="I91" s="1063"/>
      <c r="J91" s="622"/>
      <c r="K91" s="982"/>
      <c r="L91" s="926"/>
      <c r="M91" s="89"/>
      <c r="N91" s="1035"/>
    </row>
    <row r="92" spans="1:14" s="224" customFormat="1" ht="15" customHeight="1" x14ac:dyDescent="0.25">
      <c r="A92" s="215">
        <v>44187</v>
      </c>
      <c r="B92" s="364" t="s">
        <v>2815</v>
      </c>
      <c r="C92" s="350" t="s">
        <v>12</v>
      </c>
      <c r="D92" s="350" t="s">
        <v>1522</v>
      </c>
      <c r="E92" s="875" t="s">
        <v>13</v>
      </c>
      <c r="F92" s="780">
        <v>30</v>
      </c>
      <c r="G92" s="982"/>
      <c r="H92" s="1008"/>
      <c r="I92" s="1063"/>
      <c r="J92" s="622"/>
      <c r="K92" s="982"/>
      <c r="L92" s="926"/>
      <c r="M92" s="89"/>
      <c r="N92" s="1035"/>
    </row>
    <row r="93" spans="1:14" s="224" customFormat="1" ht="15" customHeight="1" x14ac:dyDescent="0.25">
      <c r="A93" s="215">
        <v>44187</v>
      </c>
      <c r="B93" s="364" t="s">
        <v>2654</v>
      </c>
      <c r="C93" s="350" t="s">
        <v>19</v>
      </c>
      <c r="D93" s="350" t="s">
        <v>1489</v>
      </c>
      <c r="E93" s="875" t="s">
        <v>13</v>
      </c>
      <c r="F93" s="780">
        <v>55.6</v>
      </c>
      <c r="G93" s="982"/>
      <c r="H93" s="1008"/>
      <c r="I93" s="1063"/>
      <c r="J93" s="622"/>
      <c r="K93" s="982"/>
      <c r="L93" s="926"/>
      <c r="M93" s="89"/>
      <c r="N93" s="1035"/>
    </row>
    <row r="94" spans="1:14" s="224" customFormat="1" ht="15" customHeight="1" x14ac:dyDescent="0.25">
      <c r="A94" s="215">
        <v>44187</v>
      </c>
      <c r="B94" s="364" t="s">
        <v>2778</v>
      </c>
      <c r="C94" s="350" t="s">
        <v>12</v>
      </c>
      <c r="D94" s="350" t="s">
        <v>2157</v>
      </c>
      <c r="E94" s="875" t="s">
        <v>13</v>
      </c>
      <c r="F94" s="780">
        <v>40</v>
      </c>
      <c r="G94" s="982"/>
      <c r="H94" s="1008"/>
      <c r="I94" s="1063"/>
      <c r="J94" s="622"/>
      <c r="K94" s="982"/>
      <c r="L94" s="861"/>
      <c r="N94" s="878"/>
    </row>
    <row r="95" spans="1:14" s="224" customFormat="1" ht="15" customHeight="1" x14ac:dyDescent="0.25">
      <c r="A95" s="215">
        <v>44187</v>
      </c>
      <c r="B95" s="364" t="s">
        <v>443</v>
      </c>
      <c r="C95" s="350" t="s">
        <v>12</v>
      </c>
      <c r="D95" s="350" t="s">
        <v>1493</v>
      </c>
      <c r="E95" s="875" t="s">
        <v>13</v>
      </c>
      <c r="F95" s="780">
        <v>21.12</v>
      </c>
      <c r="G95" s="982"/>
      <c r="H95" s="1008"/>
      <c r="I95" s="1063"/>
      <c r="J95" s="622"/>
      <c r="K95" s="982"/>
      <c r="L95" s="861"/>
      <c r="N95" s="878"/>
    </row>
    <row r="96" spans="1:14" s="224" customFormat="1" ht="15" customHeight="1" x14ac:dyDescent="0.25">
      <c r="A96" s="215">
        <v>44188</v>
      </c>
      <c r="B96" s="349" t="s">
        <v>2816</v>
      </c>
      <c r="C96" s="350" t="s">
        <v>12</v>
      </c>
      <c r="D96" s="350" t="s">
        <v>1489</v>
      </c>
      <c r="E96" s="480" t="s">
        <v>15</v>
      </c>
      <c r="F96" s="780">
        <v>243</v>
      </c>
      <c r="G96" s="946"/>
      <c r="H96" s="95"/>
      <c r="I96" s="1064"/>
      <c r="J96" s="622"/>
      <c r="K96" s="982"/>
      <c r="L96" s="861"/>
      <c r="N96" s="878"/>
    </row>
    <row r="97" spans="1:14" s="224" customFormat="1" ht="15" customHeight="1" x14ac:dyDescent="0.25">
      <c r="A97" s="215">
        <v>44188</v>
      </c>
      <c r="B97" s="364" t="s">
        <v>2813</v>
      </c>
      <c r="C97" s="350" t="s">
        <v>12</v>
      </c>
      <c r="D97" s="350" t="s">
        <v>1489</v>
      </c>
      <c r="E97" s="875" t="s">
        <v>15</v>
      </c>
      <c r="F97" s="780">
        <v>9</v>
      </c>
      <c r="G97" s="982"/>
      <c r="H97" s="1008"/>
      <c r="I97" s="1063"/>
      <c r="J97" s="622"/>
      <c r="K97" s="982"/>
      <c r="L97" s="926"/>
      <c r="M97" s="89"/>
      <c r="N97" s="1035"/>
    </row>
    <row r="98" spans="1:14" s="224" customFormat="1" ht="15" customHeight="1" x14ac:dyDescent="0.25">
      <c r="A98" s="215">
        <v>44188</v>
      </c>
      <c r="B98" s="364" t="s">
        <v>2817</v>
      </c>
      <c r="C98" s="350" t="s">
        <v>19</v>
      </c>
      <c r="D98" s="350" t="s">
        <v>1523</v>
      </c>
      <c r="E98" s="875" t="s">
        <v>13</v>
      </c>
      <c r="F98" s="780">
        <v>102.01</v>
      </c>
      <c r="G98" s="982"/>
      <c r="H98" s="1008"/>
      <c r="I98" s="1063"/>
      <c r="J98" s="622"/>
      <c r="K98" s="982"/>
      <c r="L98" s="926" t="s">
        <v>2818</v>
      </c>
      <c r="M98" s="89"/>
      <c r="N98" s="1035"/>
    </row>
    <row r="99" spans="1:14" s="224" customFormat="1" ht="15" customHeight="1" x14ac:dyDescent="0.25">
      <c r="A99" s="215">
        <v>44188</v>
      </c>
      <c r="B99" s="364" t="s">
        <v>2819</v>
      </c>
      <c r="C99" s="350" t="s">
        <v>19</v>
      </c>
      <c r="D99" s="350" t="s">
        <v>1523</v>
      </c>
      <c r="E99" s="875" t="s">
        <v>13</v>
      </c>
      <c r="F99" s="780">
        <v>53.96</v>
      </c>
      <c r="G99" s="982"/>
      <c r="H99" s="1008"/>
      <c r="I99" s="1063"/>
      <c r="J99" s="622"/>
      <c r="K99" s="982"/>
      <c r="L99" s="926" t="s">
        <v>2818</v>
      </c>
      <c r="M99" s="89"/>
      <c r="N99" s="1035"/>
    </row>
    <row r="100" spans="1:14" s="224" customFormat="1" ht="15" customHeight="1" x14ac:dyDescent="0.25">
      <c r="A100" s="215">
        <v>44189</v>
      </c>
      <c r="B100" s="364" t="s">
        <v>14</v>
      </c>
      <c r="C100" s="350" t="s">
        <v>12</v>
      </c>
      <c r="D100" s="350" t="s">
        <v>1486</v>
      </c>
      <c r="E100" s="875" t="s">
        <v>13</v>
      </c>
      <c r="F100" s="780">
        <v>6.36</v>
      </c>
      <c r="G100" s="982"/>
      <c r="H100" s="1008"/>
      <c r="I100" s="1063"/>
      <c r="J100" s="622"/>
      <c r="K100" s="982"/>
      <c r="L100" s="861"/>
      <c r="N100" s="1035"/>
    </row>
    <row r="101" spans="1:14" s="224" customFormat="1" ht="15" customHeight="1" x14ac:dyDescent="0.25">
      <c r="A101" s="215">
        <v>44189</v>
      </c>
      <c r="B101" s="364" t="s">
        <v>2820</v>
      </c>
      <c r="C101" s="350" t="s">
        <v>12</v>
      </c>
      <c r="D101" s="350" t="s">
        <v>1523</v>
      </c>
      <c r="E101" s="875" t="s">
        <v>15</v>
      </c>
      <c r="F101" s="780">
        <v>19</v>
      </c>
      <c r="G101" s="982"/>
      <c r="H101" s="1008"/>
      <c r="I101" s="1063"/>
      <c r="J101" s="622"/>
      <c r="K101" s="982"/>
      <c r="L101" s="861"/>
      <c r="N101" s="1035"/>
    </row>
    <row r="102" spans="1:14" s="224" customFormat="1" ht="15" customHeight="1" x14ac:dyDescent="0.25">
      <c r="A102" s="215">
        <v>44190</v>
      </c>
      <c r="B102" s="349"/>
      <c r="C102" s="879"/>
      <c r="D102" s="879"/>
      <c r="E102" s="871"/>
      <c r="F102" s="852"/>
      <c r="G102" s="957"/>
      <c r="H102" s="622"/>
      <c r="I102" s="982"/>
      <c r="J102" s="622"/>
      <c r="K102" s="982"/>
      <c r="L102" s="927"/>
      <c r="N102" s="878"/>
    </row>
    <row r="103" spans="1:14" s="224" customFormat="1" ht="15" customHeight="1" x14ac:dyDescent="0.25">
      <c r="A103" s="215">
        <v>44191</v>
      </c>
      <c r="B103" s="364" t="s">
        <v>2778</v>
      </c>
      <c r="C103" s="350" t="s">
        <v>12</v>
      </c>
      <c r="D103" s="350" t="s">
        <v>2157</v>
      </c>
      <c r="E103" s="875" t="s">
        <v>15</v>
      </c>
      <c r="F103" s="780">
        <v>50</v>
      </c>
      <c r="G103" s="982"/>
      <c r="H103" s="1008"/>
      <c r="I103" s="1063"/>
      <c r="J103" s="622"/>
      <c r="K103" s="982"/>
      <c r="L103" s="861"/>
      <c r="N103" s="1035"/>
    </row>
    <row r="104" spans="1:14" s="224" customFormat="1" ht="15" customHeight="1" x14ac:dyDescent="0.25">
      <c r="A104" s="215">
        <v>44191</v>
      </c>
      <c r="B104" s="364" t="s">
        <v>14</v>
      </c>
      <c r="C104" s="350" t="s">
        <v>12</v>
      </c>
      <c r="D104" s="350" t="s">
        <v>1486</v>
      </c>
      <c r="E104" s="875" t="s">
        <v>13</v>
      </c>
      <c r="F104" s="780">
        <v>7.21</v>
      </c>
      <c r="G104" s="982"/>
      <c r="H104" s="1008"/>
      <c r="I104" s="1063"/>
      <c r="J104" s="622"/>
      <c r="K104" s="982"/>
      <c r="L104" s="861"/>
      <c r="N104" s="1035"/>
    </row>
    <row r="105" spans="1:14" s="224" customFormat="1" ht="15" customHeight="1" x14ac:dyDescent="0.25">
      <c r="A105" s="215">
        <v>44191</v>
      </c>
      <c r="B105" s="364" t="s">
        <v>2821</v>
      </c>
      <c r="C105" s="350" t="s">
        <v>12</v>
      </c>
      <c r="D105" s="350" t="s">
        <v>1523</v>
      </c>
      <c r="E105" s="875" t="s">
        <v>13</v>
      </c>
      <c r="F105" s="780">
        <v>53</v>
      </c>
      <c r="G105" s="982"/>
      <c r="H105" s="1008"/>
      <c r="I105" s="1063"/>
      <c r="J105" s="622"/>
      <c r="K105" s="982"/>
      <c r="L105" s="861"/>
      <c r="N105" s="1035"/>
    </row>
    <row r="106" spans="1:14" s="224" customFormat="1" ht="15" customHeight="1" x14ac:dyDescent="0.25">
      <c r="A106" s="215">
        <v>44191</v>
      </c>
      <c r="B106" s="364" t="s">
        <v>14</v>
      </c>
      <c r="C106" s="350" t="s">
        <v>12</v>
      </c>
      <c r="D106" s="350" t="s">
        <v>1486</v>
      </c>
      <c r="E106" s="875" t="s">
        <v>13</v>
      </c>
      <c r="F106" s="780">
        <v>7.86</v>
      </c>
      <c r="G106" s="982"/>
      <c r="H106" s="1008"/>
      <c r="I106" s="1063"/>
      <c r="J106" s="622"/>
      <c r="K106" s="982"/>
      <c r="L106" s="861"/>
      <c r="N106" s="1035"/>
    </row>
    <row r="107" spans="1:14" s="224" customFormat="1" ht="15" customHeight="1" x14ac:dyDescent="0.25">
      <c r="A107" s="215">
        <v>44192</v>
      </c>
      <c r="B107" s="349"/>
      <c r="C107" s="879"/>
      <c r="D107" s="879"/>
      <c r="E107" s="871"/>
      <c r="F107" s="852"/>
      <c r="G107" s="957"/>
      <c r="H107" s="622"/>
      <c r="I107" s="982"/>
      <c r="J107" s="622"/>
      <c r="K107" s="982"/>
      <c r="L107" s="927"/>
      <c r="N107" s="878"/>
    </row>
    <row r="108" spans="1:14" s="224" customFormat="1" ht="15" customHeight="1" x14ac:dyDescent="0.25">
      <c r="A108" s="215">
        <v>44193</v>
      </c>
      <c r="B108" s="349" t="s">
        <v>2822</v>
      </c>
      <c r="C108" s="879" t="s">
        <v>12</v>
      </c>
      <c r="D108" s="879" t="s">
        <v>2131</v>
      </c>
      <c r="E108" s="871" t="s">
        <v>13</v>
      </c>
      <c r="F108" s="852">
        <v>8</v>
      </c>
      <c r="G108" s="957"/>
      <c r="H108" s="622"/>
      <c r="I108" s="982"/>
      <c r="J108" s="622"/>
      <c r="K108" s="982"/>
      <c r="L108" s="927"/>
      <c r="N108" s="878"/>
    </row>
    <row r="109" spans="1:14" s="224" customFormat="1" ht="15" customHeight="1" x14ac:dyDescent="0.25">
      <c r="A109" s="215">
        <v>44193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780">
        <v>16</v>
      </c>
      <c r="G109" s="946"/>
      <c r="H109" s="95"/>
      <c r="I109" s="1064"/>
      <c r="J109" s="97"/>
      <c r="K109" s="946"/>
      <c r="L109" s="926"/>
      <c r="M109" s="216"/>
      <c r="N109" s="877"/>
    </row>
    <row r="110" spans="1:14" s="224" customFormat="1" ht="15" customHeight="1" x14ac:dyDescent="0.25">
      <c r="A110" s="215">
        <v>44193</v>
      </c>
      <c r="B110" s="364" t="s">
        <v>2823</v>
      </c>
      <c r="C110" s="350" t="s">
        <v>19</v>
      </c>
      <c r="D110" s="350" t="s">
        <v>2157</v>
      </c>
      <c r="E110" s="875" t="s">
        <v>13</v>
      </c>
      <c r="F110" s="780">
        <v>75</v>
      </c>
      <c r="G110" s="982"/>
      <c r="H110" s="1008"/>
      <c r="I110" s="1063"/>
      <c r="J110" s="622"/>
      <c r="K110" s="982"/>
      <c r="L110" s="861"/>
      <c r="N110" s="1035"/>
    </row>
    <row r="111" spans="1:14" s="224" customFormat="1" ht="15" customHeight="1" x14ac:dyDescent="0.25">
      <c r="A111" s="215">
        <v>44193</v>
      </c>
      <c r="B111" s="349" t="s">
        <v>2824</v>
      </c>
      <c r="C111" s="879" t="s">
        <v>19</v>
      </c>
      <c r="D111" s="879" t="s">
        <v>1506</v>
      </c>
      <c r="E111" s="871" t="s">
        <v>13</v>
      </c>
      <c r="F111" s="852">
        <v>20</v>
      </c>
      <c r="G111" s="957"/>
      <c r="H111" s="622"/>
      <c r="I111" s="982"/>
      <c r="J111" s="622"/>
      <c r="K111" s="982"/>
      <c r="L111" s="927"/>
      <c r="N111" s="878"/>
    </row>
    <row r="112" spans="1:14" s="224" customFormat="1" ht="15" customHeight="1" x14ac:dyDescent="0.25">
      <c r="A112" s="215">
        <v>44193</v>
      </c>
      <c r="B112" s="349" t="s">
        <v>2825</v>
      </c>
      <c r="C112" s="879" t="s">
        <v>19</v>
      </c>
      <c r="D112" s="879" t="s">
        <v>1506</v>
      </c>
      <c r="E112" s="871" t="s">
        <v>13</v>
      </c>
      <c r="F112" s="852">
        <v>20</v>
      </c>
      <c r="G112" s="957"/>
      <c r="H112" s="622"/>
      <c r="I112" s="982"/>
      <c r="J112" s="622"/>
      <c r="K112" s="982"/>
      <c r="L112" s="927"/>
      <c r="N112" s="878"/>
    </row>
    <row r="113" spans="1:17" s="224" customFormat="1" ht="15" customHeight="1" x14ac:dyDescent="0.25">
      <c r="A113" s="215">
        <v>44193</v>
      </c>
      <c r="B113" s="349" t="s">
        <v>2826</v>
      </c>
      <c r="C113" s="879" t="s">
        <v>19</v>
      </c>
      <c r="D113" s="879" t="s">
        <v>1506</v>
      </c>
      <c r="E113" s="871" t="s">
        <v>13</v>
      </c>
      <c r="F113" s="852">
        <v>25</v>
      </c>
      <c r="G113" s="957"/>
      <c r="H113" s="622"/>
      <c r="I113" s="982"/>
      <c r="J113" s="622"/>
      <c r="K113" s="982"/>
      <c r="L113" s="927"/>
      <c r="N113" s="878"/>
    </row>
    <row r="114" spans="1:17" s="224" customFormat="1" ht="15" customHeight="1" x14ac:dyDescent="0.25">
      <c r="A114" s="215">
        <v>44193</v>
      </c>
      <c r="B114" s="349" t="s">
        <v>2827</v>
      </c>
      <c r="C114" s="879" t="s">
        <v>19</v>
      </c>
      <c r="D114" s="879" t="s">
        <v>1506</v>
      </c>
      <c r="E114" s="871" t="s">
        <v>13</v>
      </c>
      <c r="F114" s="852">
        <v>110</v>
      </c>
      <c r="G114" s="957"/>
      <c r="H114" s="622"/>
      <c r="I114" s="982"/>
      <c r="J114" s="622"/>
      <c r="K114" s="982"/>
      <c r="L114" s="927"/>
      <c r="N114" s="878"/>
    </row>
    <row r="115" spans="1:17" s="224" customFormat="1" ht="15" customHeight="1" x14ac:dyDescent="0.25">
      <c r="A115" s="215">
        <v>44193</v>
      </c>
      <c r="B115" s="349" t="s">
        <v>2828</v>
      </c>
      <c r="C115" s="879" t="s">
        <v>19</v>
      </c>
      <c r="D115" s="879" t="s">
        <v>1506</v>
      </c>
      <c r="E115" s="871" t="s">
        <v>13</v>
      </c>
      <c r="F115" s="852">
        <v>79.989999999999995</v>
      </c>
      <c r="G115" s="957"/>
      <c r="H115" s="622"/>
      <c r="I115" s="982"/>
      <c r="J115" s="622"/>
      <c r="K115" s="982"/>
      <c r="L115" s="927"/>
      <c r="N115" s="878"/>
    </row>
    <row r="116" spans="1:17" s="224" customFormat="1" ht="15" customHeight="1" x14ac:dyDescent="0.25">
      <c r="A116" s="215">
        <v>44193</v>
      </c>
      <c r="B116" s="349" t="s">
        <v>2829</v>
      </c>
      <c r="C116" s="879" t="s">
        <v>19</v>
      </c>
      <c r="D116" s="879" t="s">
        <v>1506</v>
      </c>
      <c r="E116" s="871" t="s">
        <v>13</v>
      </c>
      <c r="F116" s="852">
        <v>99.99</v>
      </c>
      <c r="G116" s="957"/>
      <c r="H116" s="622"/>
      <c r="I116" s="982"/>
      <c r="J116" s="622"/>
      <c r="K116" s="982"/>
      <c r="L116" s="927"/>
      <c r="N116" s="878"/>
    </row>
    <row r="117" spans="1:17" s="224" customFormat="1" ht="15" customHeight="1" x14ac:dyDescent="0.25">
      <c r="A117" s="215">
        <v>44193</v>
      </c>
      <c r="B117" s="349" t="s">
        <v>2830</v>
      </c>
      <c r="C117" s="879" t="s">
        <v>19</v>
      </c>
      <c r="D117" s="879" t="s">
        <v>1506</v>
      </c>
      <c r="E117" s="871" t="s">
        <v>13</v>
      </c>
      <c r="F117" s="852">
        <v>69.989999999999995</v>
      </c>
      <c r="G117" s="957"/>
      <c r="H117" s="622"/>
      <c r="I117" s="982"/>
      <c r="J117" s="622"/>
      <c r="K117" s="982"/>
      <c r="L117" s="927"/>
      <c r="N117" s="878"/>
    </row>
    <row r="118" spans="1:17" s="224" customFormat="1" ht="15" customHeight="1" x14ac:dyDescent="0.25">
      <c r="A118" s="215">
        <v>44193</v>
      </c>
      <c r="B118" s="349" t="s">
        <v>2831</v>
      </c>
      <c r="C118" s="879" t="s">
        <v>19</v>
      </c>
      <c r="D118" s="879" t="s">
        <v>1489</v>
      </c>
      <c r="E118" s="871" t="s">
        <v>13</v>
      </c>
      <c r="F118" s="852">
        <v>65</v>
      </c>
      <c r="G118" s="957"/>
      <c r="H118" s="622"/>
      <c r="I118" s="982"/>
      <c r="J118" s="622"/>
      <c r="K118" s="982"/>
      <c r="L118" s="927"/>
      <c r="N118" s="878"/>
    </row>
    <row r="119" spans="1:17" s="224" customFormat="1" ht="15" customHeight="1" x14ac:dyDescent="0.25">
      <c r="A119" s="215">
        <v>44193</v>
      </c>
      <c r="B119" s="349" t="s">
        <v>103</v>
      </c>
      <c r="C119" s="879" t="s">
        <v>12</v>
      </c>
      <c r="D119" s="879" t="s">
        <v>1489</v>
      </c>
      <c r="E119" s="871" t="s">
        <v>13</v>
      </c>
      <c r="F119" s="852">
        <v>4</v>
      </c>
      <c r="G119" s="957"/>
      <c r="H119" s="622"/>
      <c r="I119" s="982"/>
      <c r="J119" s="622"/>
      <c r="K119" s="982"/>
      <c r="L119" s="927"/>
      <c r="N119" s="878"/>
    </row>
    <row r="120" spans="1:17" s="224" customFormat="1" ht="15" customHeight="1" x14ac:dyDescent="0.25">
      <c r="A120" s="215">
        <v>44194</v>
      </c>
      <c r="B120" s="349" t="s">
        <v>2832</v>
      </c>
      <c r="C120" s="879" t="s">
        <v>12</v>
      </c>
      <c r="D120" s="879" t="s">
        <v>1491</v>
      </c>
      <c r="E120" s="871" t="s">
        <v>13</v>
      </c>
      <c r="F120" s="852">
        <v>12.9</v>
      </c>
      <c r="G120" s="957"/>
      <c r="H120" s="622"/>
      <c r="I120" s="982"/>
      <c r="J120" s="622"/>
      <c r="K120" s="982"/>
      <c r="L120" s="927"/>
      <c r="N120" s="878"/>
    </row>
    <row r="121" spans="1:17" s="224" customFormat="1" ht="15" customHeight="1" x14ac:dyDescent="0.25">
      <c r="A121" s="215">
        <v>44194</v>
      </c>
      <c r="B121" s="364" t="s">
        <v>32</v>
      </c>
      <c r="C121" s="350" t="s">
        <v>12</v>
      </c>
      <c r="D121" s="350" t="s">
        <v>1485</v>
      </c>
      <c r="E121" s="875" t="s">
        <v>13</v>
      </c>
      <c r="F121" s="780">
        <v>16</v>
      </c>
      <c r="G121" s="946"/>
      <c r="H121" s="95"/>
      <c r="I121" s="1064"/>
      <c r="J121" s="97"/>
      <c r="K121" s="946"/>
      <c r="L121" s="926"/>
      <c r="M121" s="216"/>
      <c r="N121" s="877"/>
    </row>
    <row r="122" spans="1:17" s="224" customFormat="1" ht="15" customHeight="1" x14ac:dyDescent="0.25">
      <c r="A122" s="215">
        <v>44194</v>
      </c>
      <c r="B122" s="349" t="s">
        <v>2833</v>
      </c>
      <c r="C122" s="879" t="s">
        <v>12</v>
      </c>
      <c r="D122" s="879" t="s">
        <v>1525</v>
      </c>
      <c r="E122" s="871" t="s">
        <v>13</v>
      </c>
      <c r="F122" s="852">
        <v>10</v>
      </c>
      <c r="G122" s="957"/>
      <c r="H122" s="622"/>
      <c r="I122" s="982"/>
      <c r="J122" s="622"/>
      <c r="K122" s="982"/>
      <c r="L122" s="3146" t="s">
        <v>2834</v>
      </c>
      <c r="M122" s="3147"/>
      <c r="N122" s="3147"/>
      <c r="O122" s="3147"/>
      <c r="P122" s="3147"/>
      <c r="Q122" s="3147"/>
    </row>
    <row r="123" spans="1:17" s="224" customFormat="1" ht="15" customHeight="1" x14ac:dyDescent="0.25">
      <c r="A123" s="215">
        <v>44194</v>
      </c>
      <c r="B123" s="349" t="s">
        <v>2835</v>
      </c>
      <c r="C123" s="879" t="s">
        <v>19</v>
      </c>
      <c r="D123" s="879" t="s">
        <v>1506</v>
      </c>
      <c r="E123" s="871" t="s">
        <v>13</v>
      </c>
      <c r="F123" s="852">
        <v>50</v>
      </c>
      <c r="G123" s="957"/>
      <c r="H123" s="622"/>
      <c r="I123" s="982"/>
      <c r="J123" s="622"/>
      <c r="K123" s="982"/>
      <c r="L123" s="927"/>
      <c r="N123" s="878"/>
    </row>
    <row r="124" spans="1:17" s="224" customFormat="1" ht="15" customHeight="1" x14ac:dyDescent="0.25">
      <c r="A124" s="215">
        <v>44194</v>
      </c>
      <c r="B124" s="349" t="s">
        <v>2836</v>
      </c>
      <c r="C124" s="879" t="s">
        <v>19</v>
      </c>
      <c r="D124" s="879" t="s">
        <v>1506</v>
      </c>
      <c r="E124" s="871" t="s">
        <v>13</v>
      </c>
      <c r="F124" s="852">
        <v>90</v>
      </c>
      <c r="G124" s="957"/>
      <c r="H124" s="622"/>
      <c r="I124" s="982"/>
      <c r="J124" s="622"/>
      <c r="K124" s="982"/>
      <c r="L124" s="927"/>
      <c r="N124" s="878"/>
    </row>
    <row r="125" spans="1:17" s="224" customFormat="1" ht="15" customHeight="1" x14ac:dyDescent="0.25">
      <c r="A125" s="215">
        <v>44194</v>
      </c>
      <c r="B125" s="349" t="s">
        <v>103</v>
      </c>
      <c r="C125" s="879" t="s">
        <v>12</v>
      </c>
      <c r="D125" s="879" t="s">
        <v>1489</v>
      </c>
      <c r="E125" s="871" t="s">
        <v>13</v>
      </c>
      <c r="F125" s="852">
        <v>11</v>
      </c>
      <c r="G125" s="957"/>
      <c r="H125" s="622"/>
      <c r="I125" s="982"/>
      <c r="J125" s="622"/>
      <c r="K125" s="982"/>
      <c r="L125" s="927"/>
      <c r="N125" s="878"/>
    </row>
    <row r="126" spans="1:17" s="224" customFormat="1" ht="15" customHeight="1" x14ac:dyDescent="0.25">
      <c r="A126" s="215">
        <v>44194</v>
      </c>
      <c r="B126" s="349" t="s">
        <v>81</v>
      </c>
      <c r="C126" s="879" t="s">
        <v>12</v>
      </c>
      <c r="D126" s="879" t="s">
        <v>1493</v>
      </c>
      <c r="E126" s="871" t="s">
        <v>13</v>
      </c>
      <c r="F126" s="852">
        <v>13.41</v>
      </c>
      <c r="G126" s="957"/>
      <c r="H126" s="622"/>
      <c r="I126" s="982"/>
      <c r="J126" s="622"/>
      <c r="K126" s="982"/>
      <c r="L126" s="927"/>
      <c r="N126" s="878"/>
    </row>
    <row r="127" spans="1:17" s="224" customFormat="1" ht="15" customHeight="1" x14ac:dyDescent="0.25">
      <c r="A127" s="215">
        <v>44195</v>
      </c>
      <c r="B127" s="862" t="s">
        <v>2593</v>
      </c>
      <c r="C127" s="879" t="s">
        <v>12</v>
      </c>
      <c r="D127" s="879" t="s">
        <v>1504</v>
      </c>
      <c r="E127" s="871" t="s">
        <v>13</v>
      </c>
      <c r="F127" s="622">
        <v>32.9</v>
      </c>
      <c r="G127" s="1034"/>
      <c r="H127" s="1008"/>
      <c r="I127" s="1063"/>
      <c r="J127" s="622"/>
      <c r="K127" s="982"/>
      <c r="L127" s="475"/>
      <c r="N127" s="878"/>
    </row>
    <row r="128" spans="1:17" s="224" customFormat="1" ht="15" customHeight="1" x14ac:dyDescent="0.25">
      <c r="A128" s="215">
        <v>44195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780">
        <v>19</v>
      </c>
      <c r="G128" s="946"/>
      <c r="H128" s="95"/>
      <c r="I128" s="1064"/>
      <c r="J128" s="97"/>
      <c r="K128" s="946"/>
      <c r="L128" s="926"/>
      <c r="M128" s="216"/>
      <c r="N128" s="877"/>
    </row>
    <row r="129" spans="1:14" s="224" customFormat="1" ht="15" customHeight="1" x14ac:dyDescent="0.25">
      <c r="A129" s="215">
        <v>44195</v>
      </c>
      <c r="B129" s="364" t="s">
        <v>1241</v>
      </c>
      <c r="C129" s="350" t="s">
        <v>12</v>
      </c>
      <c r="D129" s="350" t="s">
        <v>1504</v>
      </c>
      <c r="E129" s="875" t="s">
        <v>13</v>
      </c>
      <c r="F129" s="780">
        <v>15</v>
      </c>
      <c r="G129" s="946"/>
      <c r="H129" s="95"/>
      <c r="I129" s="1064"/>
      <c r="J129" s="97"/>
      <c r="K129" s="946"/>
      <c r="L129" s="926"/>
      <c r="M129" s="216"/>
      <c r="N129" s="877"/>
    </row>
    <row r="130" spans="1:14" s="224" customFormat="1" ht="15" customHeight="1" x14ac:dyDescent="0.25">
      <c r="A130" s="215">
        <v>44195</v>
      </c>
      <c r="B130" s="364" t="s">
        <v>2300</v>
      </c>
      <c r="C130" s="350" t="s">
        <v>12</v>
      </c>
      <c r="D130" s="350" t="s">
        <v>1493</v>
      </c>
      <c r="E130" s="875" t="s">
        <v>13</v>
      </c>
      <c r="F130" s="780">
        <v>10.68</v>
      </c>
      <c r="G130" s="982"/>
      <c r="H130" s="622"/>
      <c r="I130" s="982"/>
      <c r="J130" s="622"/>
      <c r="K130" s="982"/>
      <c r="L130" s="927"/>
      <c r="N130" s="878"/>
    </row>
    <row r="131" spans="1:14" s="224" customFormat="1" ht="15" customHeight="1" x14ac:dyDescent="0.25">
      <c r="A131" s="215">
        <v>44195</v>
      </c>
      <c r="B131" s="364" t="s">
        <v>2837</v>
      </c>
      <c r="C131" s="350" t="s">
        <v>12</v>
      </c>
      <c r="D131" s="350" t="s">
        <v>1491</v>
      </c>
      <c r="E131" s="875" t="s">
        <v>13</v>
      </c>
      <c r="F131" s="780">
        <v>80</v>
      </c>
      <c r="G131" s="982"/>
      <c r="H131" s="1008"/>
      <c r="I131" s="1063"/>
      <c r="J131" s="622"/>
      <c r="K131" s="982"/>
      <c r="L131" s="861"/>
      <c r="N131" s="1035"/>
    </row>
    <row r="132" spans="1:14" s="224" customFormat="1" ht="15" customHeight="1" x14ac:dyDescent="0.25">
      <c r="A132" s="215">
        <v>44195</v>
      </c>
      <c r="B132" s="364" t="s">
        <v>2838</v>
      </c>
      <c r="C132" s="350" t="s">
        <v>12</v>
      </c>
      <c r="D132" s="350" t="s">
        <v>1491</v>
      </c>
      <c r="E132" s="875" t="s">
        <v>13</v>
      </c>
      <c r="F132" s="780">
        <v>80</v>
      </c>
      <c r="G132" s="982"/>
      <c r="H132" s="1008"/>
      <c r="I132" s="1063"/>
      <c r="J132" s="622"/>
      <c r="K132" s="982"/>
      <c r="L132" s="861"/>
      <c r="N132" s="1035"/>
    </row>
    <row r="133" spans="1:14" s="224" customFormat="1" ht="15" customHeight="1" x14ac:dyDescent="0.25">
      <c r="A133" s="215">
        <v>44195</v>
      </c>
      <c r="B133" s="364" t="s">
        <v>2823</v>
      </c>
      <c r="C133" s="350" t="s">
        <v>12</v>
      </c>
      <c r="D133" s="350" t="s">
        <v>2157</v>
      </c>
      <c r="E133" s="875" t="s">
        <v>13</v>
      </c>
      <c r="F133" s="780">
        <v>30</v>
      </c>
      <c r="G133" s="982"/>
      <c r="H133" s="1008"/>
      <c r="I133" s="1063"/>
      <c r="J133" s="622"/>
      <c r="K133" s="982"/>
      <c r="L133" s="861"/>
      <c r="N133" s="1035"/>
    </row>
    <row r="134" spans="1:14" s="224" customFormat="1" ht="15" customHeight="1" x14ac:dyDescent="0.25">
      <c r="A134" s="215">
        <v>44195</v>
      </c>
      <c r="B134" s="364" t="s">
        <v>2823</v>
      </c>
      <c r="C134" s="350" t="s">
        <v>12</v>
      </c>
      <c r="D134" s="350" t="s">
        <v>2157</v>
      </c>
      <c r="E134" s="875" t="s">
        <v>13</v>
      </c>
      <c r="F134" s="780">
        <v>50</v>
      </c>
      <c r="G134" s="982"/>
      <c r="H134" s="1008"/>
      <c r="I134" s="1063"/>
      <c r="J134" s="622"/>
      <c r="K134" s="982"/>
      <c r="L134" s="861"/>
      <c r="N134" s="1035"/>
    </row>
    <row r="135" spans="1:14" s="224" customFormat="1" ht="15" customHeight="1" x14ac:dyDescent="0.25">
      <c r="A135" s="215">
        <v>44196</v>
      </c>
      <c r="B135" s="364" t="s">
        <v>2839</v>
      </c>
      <c r="C135" s="350" t="s">
        <v>12</v>
      </c>
      <c r="D135" s="350" t="s">
        <v>1523</v>
      </c>
      <c r="E135" s="875" t="s">
        <v>13</v>
      </c>
      <c r="F135" s="780">
        <v>11</v>
      </c>
      <c r="G135" s="982"/>
      <c r="H135" s="622"/>
      <c r="I135" s="982"/>
      <c r="J135" s="622"/>
      <c r="K135" s="982"/>
      <c r="L135" s="927"/>
      <c r="N135" s="878"/>
    </row>
    <row r="136" spans="1:14" s="224" customFormat="1" ht="15" customHeight="1" x14ac:dyDescent="0.25">
      <c r="A136" s="215">
        <v>44196</v>
      </c>
      <c r="B136" s="349" t="s">
        <v>2840</v>
      </c>
      <c r="C136" s="350" t="s">
        <v>12</v>
      </c>
      <c r="D136" s="350" t="s">
        <v>1491</v>
      </c>
      <c r="E136" s="480" t="s">
        <v>15</v>
      </c>
      <c r="F136" s="780">
        <v>20</v>
      </c>
      <c r="G136" s="982"/>
      <c r="H136" s="1008"/>
      <c r="I136" s="1063"/>
      <c r="J136" s="622"/>
      <c r="K136" s="982"/>
      <c r="L136" s="861"/>
      <c r="M136" s="999"/>
      <c r="N136" s="878"/>
    </row>
    <row r="137" spans="1:14" s="224" customFormat="1" ht="15.75" thickBot="1" x14ac:dyDescent="0.3">
      <c r="A137" s="215">
        <v>44196</v>
      </c>
      <c r="B137" s="862" t="s">
        <v>1666</v>
      </c>
      <c r="C137" s="350" t="s">
        <v>12</v>
      </c>
      <c r="D137" s="1003"/>
      <c r="E137" s="145" t="s">
        <v>25</v>
      </c>
      <c r="F137" s="1036"/>
      <c r="G137" s="1535"/>
      <c r="H137" s="1008"/>
      <c r="I137" s="1063"/>
      <c r="J137" s="622"/>
      <c r="K137" s="982">
        <v>35</v>
      </c>
      <c r="L137" s="475"/>
      <c r="N137" s="878"/>
    </row>
    <row r="138" spans="1:14" ht="25.5" customHeight="1" thickBot="1" x14ac:dyDescent="0.3">
      <c r="A138" s="3060"/>
      <c r="B138" s="3061"/>
      <c r="C138" s="3062"/>
      <c r="D138" s="3062"/>
      <c r="E138" s="3062"/>
      <c r="F138" s="1020">
        <f>SUM(F6:F137)</f>
        <v>9466.8899999999976</v>
      </c>
      <c r="G138" s="1534">
        <f>SUM(G5:G137)</f>
        <v>10417.674583333352</v>
      </c>
      <c r="H138" s="517">
        <f>SUM(H6:H137)</f>
        <v>0</v>
      </c>
      <c r="I138" s="93">
        <f>SUM(I5:I137)</f>
        <v>6499.9960000000019</v>
      </c>
      <c r="J138" s="1023">
        <f>SUM(J6:J137)</f>
        <v>0</v>
      </c>
      <c r="K138" s="93">
        <f>SUM(K5:K137)</f>
        <v>12519.539999999999</v>
      </c>
      <c r="M138" s="216"/>
    </row>
    <row r="139" spans="1:14" ht="25.5" customHeight="1" thickBot="1" x14ac:dyDescent="0.3">
      <c r="A139" s="3117" t="s">
        <v>49</v>
      </c>
      <c r="B139" s="3118"/>
      <c r="C139" s="3118"/>
      <c r="D139" s="3118"/>
      <c r="E139" s="3118"/>
      <c r="F139" s="144" t="s">
        <v>280</v>
      </c>
      <c r="G139" s="519">
        <f>G138-F138</f>
        <v>950.78458333335402</v>
      </c>
      <c r="H139" s="555"/>
      <c r="I139" s="772">
        <f>I138-H138</f>
        <v>6499.9960000000019</v>
      </c>
      <c r="J139" s="593"/>
      <c r="K139" s="772">
        <f>K138-J138</f>
        <v>12519.539999999999</v>
      </c>
    </row>
    <row r="140" spans="1:14" x14ac:dyDescent="0.25">
      <c r="E140" s="79"/>
      <c r="K140" s="518"/>
      <c r="L140" s="216"/>
    </row>
    <row r="141" spans="1:14" x14ac:dyDescent="0.25">
      <c r="B141" s="81" t="s">
        <v>3</v>
      </c>
      <c r="C141" s="193" t="s">
        <v>1484</v>
      </c>
      <c r="D141" s="970" t="s">
        <v>2378</v>
      </c>
      <c r="G141" s="216"/>
      <c r="K141" s="866"/>
    </row>
    <row r="142" spans="1:14" x14ac:dyDescent="0.25">
      <c r="B142" s="79" t="s">
        <v>32</v>
      </c>
      <c r="C142" s="85" t="s">
        <v>1485</v>
      </c>
      <c r="D142" s="475">
        <f>SUMIF($D$8:$D$137,"A",$F$8:$F$137)</f>
        <v>305</v>
      </c>
      <c r="F142" s="79"/>
      <c r="G142" s="800"/>
      <c r="I142" s="769"/>
      <c r="J142" s="868"/>
    </row>
    <row r="143" spans="1:14" x14ac:dyDescent="0.25">
      <c r="B143" s="79" t="s">
        <v>2187</v>
      </c>
      <c r="C143" s="85" t="s">
        <v>2157</v>
      </c>
      <c r="D143" s="475">
        <f>SUMIF($D$12:$D$137,"GAC",$F$12:$F$137)</f>
        <v>435</v>
      </c>
      <c r="G143" s="609"/>
      <c r="J143" s="754"/>
      <c r="K143" s="886"/>
      <c r="L143" s="1030"/>
    </row>
    <row r="144" spans="1:14" x14ac:dyDescent="0.25">
      <c r="B144" s="79" t="s">
        <v>2188</v>
      </c>
      <c r="C144" s="85" t="s">
        <v>2168</v>
      </c>
      <c r="D144" s="475">
        <f>SUMIF($D$16:$D$137,"GAM",$F$16:$F$137)</f>
        <v>29.6</v>
      </c>
      <c r="J144" s="864"/>
      <c r="K144" s="864"/>
      <c r="L144" s="958"/>
    </row>
    <row r="145" spans="1:14" s="85" customFormat="1" x14ac:dyDescent="0.25">
      <c r="A145" s="79"/>
      <c r="B145" s="79" t="s">
        <v>50</v>
      </c>
      <c r="C145" s="85" t="s">
        <v>1493</v>
      </c>
      <c r="D145" s="475">
        <f>SUMIF($D$12:$D$137,"LD",$F$12:$F$137)</f>
        <v>222.67000000000002</v>
      </c>
      <c r="J145" s="864"/>
      <c r="K145" s="1032"/>
      <c r="L145" s="958"/>
      <c r="N145" s="877"/>
    </row>
    <row r="146" spans="1:14" s="85" customFormat="1" x14ac:dyDescent="0.25">
      <c r="A146" s="79"/>
      <c r="B146" s="79" t="s">
        <v>14</v>
      </c>
      <c r="C146" s="85" t="s">
        <v>1486</v>
      </c>
      <c r="D146" s="475">
        <f>SUMIF($D$8:$D$137,"C",$F$8:$F$137)</f>
        <v>99.49</v>
      </c>
      <c r="F146" s="89"/>
      <c r="G146" s="79"/>
      <c r="H146" s="79"/>
      <c r="J146" s="864"/>
      <c r="K146" s="1032"/>
      <c r="L146" s="958"/>
      <c r="N146" s="877"/>
    </row>
    <row r="147" spans="1:14" s="85" customFormat="1" x14ac:dyDescent="0.25">
      <c r="A147" s="79"/>
      <c r="B147" s="79" t="s">
        <v>51</v>
      </c>
      <c r="C147" s="864" t="s">
        <v>1499</v>
      </c>
      <c r="D147" s="475">
        <f>SUMIF($D$16:$D$137,"CAL",$F$16:$F$137)</f>
        <v>95.87</v>
      </c>
      <c r="F147" s="89"/>
      <c r="G147" s="79"/>
      <c r="H147" s="79"/>
      <c r="I147" s="79"/>
      <c r="K147" s="795"/>
      <c r="L147" s="958"/>
      <c r="N147" s="877"/>
    </row>
    <row r="148" spans="1:14" s="85" customFormat="1" x14ac:dyDescent="0.25">
      <c r="A148" s="79"/>
      <c r="B148" s="79" t="s">
        <v>2189</v>
      </c>
      <c r="C148" s="864" t="s">
        <v>1496</v>
      </c>
      <c r="D148" s="475">
        <f>SUMIF($D$16:$D$137,"AC",$F$16:$F$137)</f>
        <v>70</v>
      </c>
      <c r="F148" s="769"/>
      <c r="G148" s="79"/>
      <c r="K148" s="177"/>
      <c r="L148" s="941"/>
      <c r="N148" s="877"/>
    </row>
    <row r="149" spans="1:14" s="85" customFormat="1" x14ac:dyDescent="0.25">
      <c r="A149" s="79"/>
      <c r="B149" s="867" t="s">
        <v>53</v>
      </c>
      <c r="C149" s="864" t="s">
        <v>1522</v>
      </c>
      <c r="D149" s="475">
        <f>SUMIF($D$16:$D$137,"DC",$F$16:$F$137)</f>
        <v>200</v>
      </c>
      <c r="K149" s="177"/>
      <c r="L149" s="475"/>
      <c r="N149" s="877"/>
    </row>
    <row r="150" spans="1:14" s="85" customFormat="1" x14ac:dyDescent="0.25">
      <c r="A150" s="79"/>
      <c r="B150" s="867" t="s">
        <v>2149</v>
      </c>
      <c r="C150" s="864" t="s">
        <v>2131</v>
      </c>
      <c r="D150" s="475">
        <f>SUMIF($D$16:$D$137,"DM",$F$16:$F$137)</f>
        <v>65.5</v>
      </c>
      <c r="F150" s="769"/>
      <c r="K150" s="177" t="s">
        <v>280</v>
      </c>
      <c r="L150" s="475"/>
      <c r="N150" s="877"/>
    </row>
    <row r="151" spans="1:14" s="85" customFormat="1" x14ac:dyDescent="0.25">
      <c r="A151" s="79"/>
      <c r="B151" s="79" t="s">
        <v>2008</v>
      </c>
      <c r="C151" s="864" t="s">
        <v>1523</v>
      </c>
      <c r="D151" s="475">
        <f>SUMIF($D$12:$D$137,"B",$F$12:$F$137)</f>
        <v>313.08000000000004</v>
      </c>
      <c r="F151" s="769"/>
      <c r="G151" s="866"/>
      <c r="K151" s="177"/>
      <c r="L151" s="475"/>
      <c r="N151" s="877"/>
    </row>
    <row r="152" spans="1:14" s="85" customFormat="1" x14ac:dyDescent="0.25">
      <c r="A152" s="79"/>
      <c r="B152" s="79" t="s">
        <v>1686</v>
      </c>
      <c r="C152" s="864" t="s">
        <v>1506</v>
      </c>
      <c r="D152" s="475">
        <f>SUMIF($D$12:$D$137,"R",$F$12:$F$137)</f>
        <v>774.97</v>
      </c>
      <c r="F152" s="769"/>
      <c r="G152" s="868"/>
      <c r="K152" s="866"/>
      <c r="L152" s="475"/>
      <c r="N152" s="877"/>
    </row>
    <row r="153" spans="1:14" x14ac:dyDescent="0.25">
      <c r="B153" s="79" t="s">
        <v>418</v>
      </c>
      <c r="C153" s="85" t="s">
        <v>1524</v>
      </c>
      <c r="D153" s="475">
        <f>SUMIF($D$16:$D$137,"COM",$F$16:$F$137)</f>
        <v>308.5</v>
      </c>
      <c r="G153" s="85"/>
      <c r="H153" s="85"/>
      <c r="I153" s="85"/>
      <c r="J153" s="769"/>
      <c r="K153" s="216"/>
    </row>
    <row r="154" spans="1:14" x14ac:dyDescent="0.25">
      <c r="B154" s="79" t="s">
        <v>419</v>
      </c>
      <c r="C154" s="85" t="s">
        <v>1491</v>
      </c>
      <c r="D154" s="475">
        <f>SUMIF($D$8:$D$137,"F",$F$8:$F$137)</f>
        <v>772.6</v>
      </c>
      <c r="I154" s="85"/>
      <c r="K154" s="216"/>
    </row>
    <row r="155" spans="1:14" x14ac:dyDescent="0.25">
      <c r="B155" s="79" t="s">
        <v>911</v>
      </c>
      <c r="C155" s="85" t="s">
        <v>1525</v>
      </c>
      <c r="D155" s="475">
        <f>SUMIF($D$16:$D$137,"FER",$F$16:$F$137)</f>
        <v>149.4</v>
      </c>
      <c r="J155" s="769"/>
      <c r="K155" s="868"/>
    </row>
    <row r="156" spans="1:14" x14ac:dyDescent="0.25">
      <c r="B156" s="79" t="s">
        <v>1526</v>
      </c>
      <c r="C156" s="85" t="s">
        <v>1504</v>
      </c>
      <c r="D156" s="475">
        <f>SUMIF($D$12:$D$137,"I",$F$12:$F$137)</f>
        <v>174.88</v>
      </c>
      <c r="F156" s="89" t="s">
        <v>280</v>
      </c>
      <c r="J156" s="769"/>
      <c r="K156" s="868"/>
    </row>
    <row r="157" spans="1:14" x14ac:dyDescent="0.25">
      <c r="B157" s="79" t="s">
        <v>2343</v>
      </c>
      <c r="C157" s="85" t="s">
        <v>2315</v>
      </c>
      <c r="D157" s="475">
        <f>SUMIF($D$16:$D$137,"E",$F$16:$F$137)</f>
        <v>0</v>
      </c>
      <c r="J157" s="769"/>
      <c r="K157" s="868"/>
    </row>
    <row r="158" spans="1:14" x14ac:dyDescent="0.25">
      <c r="B158" s="79" t="s">
        <v>1527</v>
      </c>
      <c r="C158" s="85" t="s">
        <v>1489</v>
      </c>
      <c r="D158" s="475">
        <f>SUMIF($D$12:$D$137,"OD",$F$12:$F$137)</f>
        <v>1026.33</v>
      </c>
      <c r="J158" s="769"/>
    </row>
    <row r="159" spans="1:14" x14ac:dyDescent="0.25">
      <c r="C159" s="769"/>
      <c r="K159" s="866"/>
    </row>
    <row r="160" spans="1:14" x14ac:dyDescent="0.25">
      <c r="D160" s="459"/>
      <c r="H160" s="769"/>
      <c r="I160" s="518" t="s">
        <v>280</v>
      </c>
      <c r="K160" s="866"/>
    </row>
    <row r="161" spans="1:15" x14ac:dyDescent="0.25">
      <c r="B161" s="79" t="s">
        <v>486</v>
      </c>
      <c r="C161" s="475">
        <f>H161/J161</f>
        <v>162.67387096774195</v>
      </c>
      <c r="F161" s="459" t="s">
        <v>487</v>
      </c>
      <c r="H161" s="216">
        <f>SUM(D142:D158)</f>
        <v>5042.8900000000003</v>
      </c>
      <c r="J161" s="1517">
        <v>31</v>
      </c>
    </row>
    <row r="162" spans="1:15" ht="15.75" customHeight="1" x14ac:dyDescent="0.25">
      <c r="E162" s="769"/>
      <c r="H162" s="629"/>
      <c r="K162" s="868"/>
    </row>
    <row r="163" spans="1:15" x14ac:dyDescent="0.25">
      <c r="E163" s="79"/>
      <c r="F163" s="79"/>
      <c r="H163" s="866"/>
      <c r="J163" s="769"/>
      <c r="K163" s="866"/>
    </row>
    <row r="164" spans="1:15" s="518" customFormat="1" x14ac:dyDescent="0.25">
      <c r="A164" s="79"/>
      <c r="B164" s="79"/>
      <c r="C164" s="85"/>
      <c r="D164" s="79"/>
      <c r="E164" s="79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216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216"/>
      <c r="H170" s="79"/>
      <c r="I170" s="216"/>
      <c r="J170" s="769"/>
      <c r="K170" s="868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216"/>
      <c r="H171" s="79"/>
      <c r="I171" s="216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216"/>
      <c r="H172" s="79"/>
      <c r="I172" s="79"/>
      <c r="J172" s="770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484"/>
      <c r="M173" s="79"/>
      <c r="N173" s="877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629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484"/>
      <c r="M190" s="79"/>
      <c r="N190" s="877"/>
      <c r="O190" s="79"/>
    </row>
    <row r="191" spans="1:15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69"/>
      <c r="K192" s="868"/>
      <c r="L192" s="484"/>
      <c r="M192" s="79"/>
      <c r="N192" s="877"/>
      <c r="O192" s="79"/>
    </row>
    <row r="193" spans="1:15" s="518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69"/>
      <c r="K193" s="866"/>
      <c r="L193" s="484"/>
      <c r="M193" s="79"/>
      <c r="N193" s="877"/>
      <c r="O193" s="79"/>
    </row>
    <row r="194" spans="1:15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J194" s="769"/>
      <c r="K194" s="866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8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8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8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69"/>
      <c r="K198" s="868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6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223"/>
      <c r="K200" s="62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56"/>
      <c r="K201" s="756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85"/>
      <c r="K206" s="85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85"/>
      <c r="K213" s="85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484"/>
      <c r="M217" s="79"/>
      <c r="N217" s="877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71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484"/>
      <c r="M221" s="79"/>
      <c r="N221" s="877"/>
      <c r="O221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629"/>
      <c r="L235" s="484"/>
      <c r="M235" s="79"/>
      <c r="N235" s="877"/>
      <c r="O235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  <c r="O241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  <row r="243" spans="1:15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  <c r="O243" s="79"/>
    </row>
    <row r="244" spans="1:15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  <c r="O244" s="79"/>
    </row>
    <row r="245" spans="1:15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  <c r="O245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484"/>
      <c r="M247" s="79"/>
      <c r="N247" s="877"/>
      <c r="O247" s="79"/>
    </row>
    <row r="248" spans="1:15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L248" s="484"/>
      <c r="M248" s="79"/>
      <c r="N248" s="877"/>
      <c r="O248" s="79"/>
    </row>
    <row r="249" spans="1:15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L249" s="484"/>
      <c r="M249" s="79"/>
      <c r="N249" s="877"/>
      <c r="O249" s="79"/>
    </row>
  </sheetData>
  <autoFilter ref="A2:I139" xr:uid="{00000000-0009-0000-0000-00006A000000}"/>
  <mergeCells count="13">
    <mergeCell ref="L122:Q122"/>
    <mergeCell ref="A138:E138"/>
    <mergeCell ref="A139:E13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Plan117"/>
  <dimension ref="A1:Q66"/>
  <sheetViews>
    <sheetView zoomScale="85" zoomScaleNormal="85" workbookViewId="0">
      <selection activeCell="D20" sqref="D20:H20"/>
    </sheetView>
  </sheetViews>
  <sheetFormatPr defaultColWidth="9.140625" defaultRowHeight="15" x14ac:dyDescent="0.25"/>
  <cols>
    <col min="1" max="1" width="34.5703125" style="79" customWidth="1"/>
    <col min="2" max="2" width="21.28515625" style="79" customWidth="1"/>
    <col min="3" max="3" width="15.140625" style="89" customWidth="1"/>
    <col min="4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bestFit="1" customWidth="1"/>
    <col min="9" max="9" width="13.85546875" style="79" bestFit="1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2841</v>
      </c>
      <c r="B2" s="334" t="s">
        <v>344</v>
      </c>
      <c r="C2" s="335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336.85083333333336</v>
      </c>
      <c r="C3" s="332">
        <f t="shared" ref="C3:C9" si="0">D3+E3+F3+G3+H3+I3+J3+K3+L3+M3+N3+O3</f>
        <v>4042.21</v>
      </c>
      <c r="D3" s="588">
        <f>'Janeiro-20'!D147</f>
        <v>300</v>
      </c>
      <c r="E3" s="547">
        <f>'Fevereiro-20'!D132</f>
        <v>353.48</v>
      </c>
      <c r="F3" s="549">
        <f>'Março-20'!D129</f>
        <v>442.1</v>
      </c>
      <c r="G3" s="588">
        <f>'Abril-20'!D112</f>
        <v>325.5</v>
      </c>
      <c r="H3" s="588">
        <f>'Maio-20'!D112</f>
        <v>267.89999999999998</v>
      </c>
      <c r="I3" s="549">
        <f>'Junho-20'!D120</f>
        <v>290.89999999999998</v>
      </c>
      <c r="J3" s="549">
        <f>'Julho-20'!D125</f>
        <v>306</v>
      </c>
      <c r="K3" s="549">
        <f>'Agosto-20'!D116</f>
        <v>380.83000000000004</v>
      </c>
      <c r="L3" s="588">
        <f>'Setembro-20'!D132</f>
        <v>322</v>
      </c>
      <c r="M3" s="561">
        <f>'Outubro-20'!D135</f>
        <v>375</v>
      </c>
      <c r="N3" s="565">
        <f>'Novembro-20'!D123</f>
        <v>373.5</v>
      </c>
      <c r="O3" s="565">
        <f>'Dezembro-20'!D142</f>
        <v>305</v>
      </c>
      <c r="P3" s="329"/>
    </row>
    <row r="4" spans="1:16" x14ac:dyDescent="0.25">
      <c r="A4" s="329" t="s">
        <v>2187</v>
      </c>
      <c r="B4" s="336">
        <f t="shared" ref="B4:B19" si="1">C4/12</f>
        <v>329.74666666666667</v>
      </c>
      <c r="C4" s="332">
        <f t="shared" si="0"/>
        <v>3956.96</v>
      </c>
      <c r="D4" s="549">
        <f>'Janeiro-20'!D148</f>
        <v>513.96</v>
      </c>
      <c r="E4" s="587">
        <f>'Fevereiro-20'!D133</f>
        <v>330</v>
      </c>
      <c r="F4" s="588">
        <f>'Março-20'!D130</f>
        <v>320</v>
      </c>
      <c r="G4" s="588">
        <f>'Abril-20'!D113</f>
        <v>210</v>
      </c>
      <c r="H4" s="549">
        <f>'Maio-20'!D113</f>
        <v>220</v>
      </c>
      <c r="I4" s="588">
        <f>'Junho-20'!D121</f>
        <v>220</v>
      </c>
      <c r="J4" s="549">
        <f>'Julho-20'!D126</f>
        <v>228</v>
      </c>
      <c r="K4" s="549">
        <f>'Agosto-20'!D117</f>
        <v>300</v>
      </c>
      <c r="L4" s="588">
        <f>'Setembro-20'!D133</f>
        <v>270</v>
      </c>
      <c r="M4" s="561">
        <f>'Outubro-20'!D136</f>
        <v>560</v>
      </c>
      <c r="N4" s="565">
        <f>'Novembro-20'!D124</f>
        <v>350</v>
      </c>
      <c r="O4" s="561">
        <f>'Dezembro-20'!D143</f>
        <v>435</v>
      </c>
      <c r="P4" s="329"/>
    </row>
    <row r="5" spans="1:16" x14ac:dyDescent="0.25">
      <c r="A5" s="329" t="s">
        <v>2188</v>
      </c>
      <c r="B5" s="336">
        <f t="shared" si="1"/>
        <v>25.111666666666668</v>
      </c>
      <c r="C5" s="332">
        <f t="shared" si="0"/>
        <v>301.34000000000003</v>
      </c>
      <c r="D5" s="588">
        <f>'Janeiro-20'!D149</f>
        <v>30.78</v>
      </c>
      <c r="E5" s="587">
        <f>'Fevereiro-20'!D134</f>
        <v>0</v>
      </c>
      <c r="F5" s="549">
        <f>'Março-20'!D131</f>
        <v>50.260000000000005</v>
      </c>
      <c r="G5" s="588">
        <f>'Abril-20'!D114</f>
        <v>46.1</v>
      </c>
      <c r="H5" s="588">
        <f>'Maio-20'!D114</f>
        <v>18.600000000000001</v>
      </c>
      <c r="I5" s="549">
        <f>'Junho-20'!D122</f>
        <v>30</v>
      </c>
      <c r="J5" s="588">
        <f>'Julho-20'!D127</f>
        <v>26.8</v>
      </c>
      <c r="K5" s="588">
        <f>'Agosto-20'!D118</f>
        <v>20</v>
      </c>
      <c r="L5" s="588">
        <f>'Setembro-20'!D134</f>
        <v>20</v>
      </c>
      <c r="M5" s="561">
        <f>'Outubro-20'!D137</f>
        <v>29.2</v>
      </c>
      <c r="N5" s="565">
        <f>'Novembro-20'!D125</f>
        <v>0</v>
      </c>
      <c r="O5" s="561">
        <f>'Dezembro-20'!D144</f>
        <v>29.6</v>
      </c>
      <c r="P5" s="329"/>
    </row>
    <row r="6" spans="1:16" x14ac:dyDescent="0.25">
      <c r="A6" s="329" t="s">
        <v>50</v>
      </c>
      <c r="B6" s="336">
        <f t="shared" si="1"/>
        <v>265.83833333333337</v>
      </c>
      <c r="C6" s="332">
        <f t="shared" si="0"/>
        <v>3190.0600000000004</v>
      </c>
      <c r="D6" s="549">
        <f>'Janeiro-20'!D150</f>
        <v>354.31</v>
      </c>
      <c r="E6" s="587">
        <f>'Fevereiro-20'!D135</f>
        <v>336.92</v>
      </c>
      <c r="F6" s="588">
        <f>'Março-20'!D132</f>
        <v>243.93</v>
      </c>
      <c r="G6" s="549">
        <f>'Abril-20'!D115</f>
        <v>264.51</v>
      </c>
      <c r="H6" s="549">
        <f>'Maio-20'!D115</f>
        <v>293.57</v>
      </c>
      <c r="I6" s="588">
        <f>'Junho-20'!D123</f>
        <v>206.20000000000002</v>
      </c>
      <c r="J6" s="588">
        <f>'Julho-20'!D128</f>
        <v>174.25</v>
      </c>
      <c r="K6" s="549">
        <f>'Agosto-20'!D119</f>
        <v>184.04999999999998</v>
      </c>
      <c r="L6" s="549">
        <f>'Setembro-20'!D135</f>
        <v>216.93</v>
      </c>
      <c r="M6" s="561">
        <f>'Outubro-20'!D138</f>
        <v>364.57</v>
      </c>
      <c r="N6" s="565">
        <f>'Novembro-20'!D126</f>
        <v>328.15</v>
      </c>
      <c r="O6" s="565">
        <f>'Dezembro-20'!D145</f>
        <v>222.67000000000002</v>
      </c>
      <c r="P6" s="329"/>
    </row>
    <row r="7" spans="1:16" x14ac:dyDescent="0.25">
      <c r="A7" s="329" t="s">
        <v>14</v>
      </c>
      <c r="B7" s="336">
        <f t="shared" si="1"/>
        <v>137.26416666666668</v>
      </c>
      <c r="C7" s="332">
        <f t="shared" si="0"/>
        <v>1647.17</v>
      </c>
      <c r="D7" s="549">
        <f>'Janeiro-20'!D151</f>
        <v>127.11</v>
      </c>
      <c r="E7" s="587">
        <f>'Fevereiro-20'!D136</f>
        <v>122.38999999999999</v>
      </c>
      <c r="F7" s="549">
        <f>'Março-20'!D133</f>
        <v>160.02000000000001</v>
      </c>
      <c r="G7" s="588">
        <f>'Abril-20'!D116</f>
        <v>123.2</v>
      </c>
      <c r="H7" s="549">
        <f>'Maio-20'!D116</f>
        <v>156.60999999999999</v>
      </c>
      <c r="I7" s="588">
        <f>'Junho-20'!D124</f>
        <v>141.70000000000002</v>
      </c>
      <c r="J7" s="588">
        <f>'Julho-20'!D129</f>
        <v>117.89</v>
      </c>
      <c r="K7" s="549">
        <f>'Agosto-20'!D120</f>
        <v>139.35999999999999</v>
      </c>
      <c r="L7" s="549">
        <f>'Setembro-20'!D136</f>
        <v>163.98000000000002</v>
      </c>
      <c r="M7" s="565">
        <f>'Outubro-20'!D139</f>
        <v>138.16</v>
      </c>
      <c r="N7" s="561">
        <f>'Novembro-20'!D127</f>
        <v>157.26000000000002</v>
      </c>
      <c r="O7" s="565">
        <f>'Dezembro-20'!D146</f>
        <v>99.49</v>
      </c>
      <c r="P7" s="329"/>
    </row>
    <row r="8" spans="1:16" x14ac:dyDescent="0.25">
      <c r="A8" s="329" t="s">
        <v>358</v>
      </c>
      <c r="B8" s="336">
        <f t="shared" si="1"/>
        <v>101.86750000000002</v>
      </c>
      <c r="C8" s="332">
        <f t="shared" si="0"/>
        <v>1222.4100000000003</v>
      </c>
      <c r="D8" s="549">
        <f>'Janeiro-20'!D152</f>
        <v>161.04</v>
      </c>
      <c r="E8" s="587">
        <f>'Fevereiro-20'!D137</f>
        <v>94.740000000000009</v>
      </c>
      <c r="F8" s="588">
        <f>'Março-20'!D134</f>
        <v>82.45</v>
      </c>
      <c r="G8" s="549">
        <f>'Abril-20'!D117</f>
        <v>117.00999999999999</v>
      </c>
      <c r="H8" s="588">
        <f>'Maio-20'!D117</f>
        <v>53.18</v>
      </c>
      <c r="I8" s="588">
        <f>'Junho-20'!D125</f>
        <v>45.24</v>
      </c>
      <c r="J8" s="588">
        <f>'Julho-20'!D130</f>
        <v>45.24</v>
      </c>
      <c r="K8" s="549">
        <f>'Agosto-20'!D121</f>
        <v>170.24</v>
      </c>
      <c r="L8" s="588">
        <f>'Setembro-20'!D137</f>
        <v>115.74</v>
      </c>
      <c r="M8" s="561">
        <f>'Outubro-20'!D140</f>
        <v>140</v>
      </c>
      <c r="N8" s="565">
        <f>'Novembro-20'!D128</f>
        <v>101.66</v>
      </c>
      <c r="O8" s="565">
        <f>'Dezembro-20'!D147</f>
        <v>95.87</v>
      </c>
      <c r="P8" s="329"/>
    </row>
    <row r="9" spans="1:16" x14ac:dyDescent="0.25">
      <c r="A9" s="329" t="s">
        <v>2189</v>
      </c>
      <c r="B9" s="336">
        <f t="shared" si="1"/>
        <v>90.950277777777771</v>
      </c>
      <c r="C9" s="332">
        <f t="shared" si="0"/>
        <v>1091.4033333333332</v>
      </c>
      <c r="D9" s="549">
        <f>'Janeiro-20'!D153</f>
        <v>166.9</v>
      </c>
      <c r="E9" s="587">
        <f>'Fevereiro-20'!D138</f>
        <v>60</v>
      </c>
      <c r="F9" s="549">
        <f>'Março-20'!D135</f>
        <v>60</v>
      </c>
      <c r="G9" s="549">
        <f>'Abril-20'!D118</f>
        <v>83.666666666666657</v>
      </c>
      <c r="H9" s="588">
        <f>'Maio-20'!D118</f>
        <v>83.666666666666657</v>
      </c>
      <c r="I9" s="549">
        <f>'Junho-20'!D126</f>
        <v>87.27</v>
      </c>
      <c r="J9" s="549">
        <f>'Julho-20'!D131</f>
        <v>94</v>
      </c>
      <c r="K9" s="588">
        <f>'Agosto-20'!D122</f>
        <v>70</v>
      </c>
      <c r="L9" s="549">
        <f>'Setembro-20'!D138</f>
        <v>175.9</v>
      </c>
      <c r="M9" s="565">
        <f>'Outubro-20'!D141</f>
        <v>70</v>
      </c>
      <c r="N9" s="565">
        <f>'Novembro-20'!D129</f>
        <v>70</v>
      </c>
      <c r="O9" s="565">
        <f>'Dezembro-20'!D148</f>
        <v>70</v>
      </c>
      <c r="P9" s="329"/>
    </row>
    <row r="10" spans="1:16" x14ac:dyDescent="0.25">
      <c r="A10" s="329" t="s">
        <v>53</v>
      </c>
      <c r="B10" s="336">
        <f t="shared" si="1"/>
        <v>273.30583333333328</v>
      </c>
      <c r="C10" s="332">
        <f t="shared" ref="C10:C18" si="2">D10+E10+F10+G10+H10+I10+J10+K10+L10+M10+N10+O10</f>
        <v>3279.6699999999996</v>
      </c>
      <c r="D10" s="588">
        <f>'Janeiro-20'!D154</f>
        <v>927.57</v>
      </c>
      <c r="E10" s="587">
        <f>'Fevereiro-20'!D139</f>
        <v>100</v>
      </c>
      <c r="F10" s="549">
        <f>'Março-20'!D136</f>
        <v>305.66666666666663</v>
      </c>
      <c r="G10" s="588">
        <f>'Abril-20'!D119</f>
        <v>315.76666666666665</v>
      </c>
      <c r="H10" s="588">
        <f>'Maio-20'!D119</f>
        <v>144.66666666666666</v>
      </c>
      <c r="I10" s="588">
        <f>'Junho-20'!D127</f>
        <v>0</v>
      </c>
      <c r="J10" s="549">
        <f>'Julho-20'!D132</f>
        <v>746</v>
      </c>
      <c r="K10" s="588">
        <f>'Agosto-20'!D123</f>
        <v>166.66666666666666</v>
      </c>
      <c r="L10" s="588">
        <f>'Setembro-20'!D139</f>
        <v>166.66666666666666</v>
      </c>
      <c r="M10" s="565">
        <f>'Outubro-20'!D142</f>
        <v>166.66666666666666</v>
      </c>
      <c r="N10" s="565">
        <f>'Novembro-20'!D130</f>
        <v>40</v>
      </c>
      <c r="O10" s="561">
        <f>'Dezembro-20'!D149</f>
        <v>200</v>
      </c>
      <c r="P10" s="329"/>
    </row>
    <row r="11" spans="1:16" x14ac:dyDescent="0.25">
      <c r="A11" s="906" t="s">
        <v>2149</v>
      </c>
      <c r="B11" s="336">
        <f t="shared" si="1"/>
        <v>61.919999999999995</v>
      </c>
      <c r="C11" s="332">
        <f t="shared" si="2"/>
        <v>743.04</v>
      </c>
      <c r="D11" s="549">
        <f>'Janeiro-20'!D155</f>
        <v>236.32</v>
      </c>
      <c r="E11" s="587">
        <f>'Fevereiro-20'!D140</f>
        <v>69.25</v>
      </c>
      <c r="F11" s="588">
        <f>'Março-20'!D137</f>
        <v>54.25</v>
      </c>
      <c r="G11" s="588">
        <f>'Abril-20'!D120</f>
        <v>54.25</v>
      </c>
      <c r="H11" s="549">
        <f>'Maio-20'!D120</f>
        <v>81.150000000000006</v>
      </c>
      <c r="I11" s="549">
        <f>'Junho-20'!D128</f>
        <v>106.17</v>
      </c>
      <c r="J11" s="588">
        <f>'Julho-20'!D133</f>
        <v>76.150000000000006</v>
      </c>
      <c r="K11" s="588">
        <f>'Agosto-20'!D124</f>
        <v>0</v>
      </c>
      <c r="L11" s="588">
        <f>'Setembro-20'!D140</f>
        <v>0</v>
      </c>
      <c r="M11" s="565">
        <f>'Outubro-20'!D143</f>
        <v>0</v>
      </c>
      <c r="N11" s="565">
        <f>'Novembro-20'!D131</f>
        <v>0</v>
      </c>
      <c r="O11" s="561">
        <f>'Dezembro-20'!D150</f>
        <v>65.5</v>
      </c>
      <c r="P11" s="329"/>
    </row>
    <row r="12" spans="1:16" x14ac:dyDescent="0.25">
      <c r="A12" s="329" t="s">
        <v>2504</v>
      </c>
      <c r="B12" s="336">
        <f t="shared" si="1"/>
        <v>113.90749999999998</v>
      </c>
      <c r="C12" s="332">
        <f t="shared" si="2"/>
        <v>1366.8899999999999</v>
      </c>
      <c r="D12" s="588">
        <f>'Janeiro-20'!D156</f>
        <v>231.5</v>
      </c>
      <c r="E12" s="547">
        <f>'Fevereiro-20'!D141</f>
        <v>319.05</v>
      </c>
      <c r="F12" s="588">
        <f>'Março-20'!D138</f>
        <v>42</v>
      </c>
      <c r="G12" s="588">
        <f>'Abril-20'!D121</f>
        <v>30</v>
      </c>
      <c r="H12" s="549">
        <f>'Maio-20'!D121</f>
        <v>41.010000000000005</v>
      </c>
      <c r="I12" s="549">
        <f>'Junho-20'!D129</f>
        <v>45.9</v>
      </c>
      <c r="J12" s="549">
        <f>'Julho-20'!D134</f>
        <v>114</v>
      </c>
      <c r="K12" s="588">
        <f>'Agosto-20'!D125</f>
        <v>84.35</v>
      </c>
      <c r="L12" s="588">
        <f>'Setembro-20'!D141</f>
        <v>81</v>
      </c>
      <c r="M12" s="565">
        <f>'Outubro-20'!D144</f>
        <v>30</v>
      </c>
      <c r="N12" s="561">
        <f>'Novembro-20'!D132</f>
        <v>35</v>
      </c>
      <c r="O12" s="561">
        <f>'Dezembro-20'!D151</f>
        <v>313.08000000000004</v>
      </c>
      <c r="P12" s="329"/>
    </row>
    <row r="13" spans="1:16" x14ac:dyDescent="0.25">
      <c r="A13" s="329" t="s">
        <v>1686</v>
      </c>
      <c r="B13" s="336">
        <f t="shared" si="1"/>
        <v>337.82750000000004</v>
      </c>
      <c r="C13" s="332">
        <f t="shared" si="2"/>
        <v>4053.9300000000003</v>
      </c>
      <c r="D13" s="588">
        <f>'Janeiro-20'!D157</f>
        <v>281.89999999999998</v>
      </c>
      <c r="E13" s="587">
        <f>'Fevereiro-20'!D142</f>
        <v>278.20000000000005</v>
      </c>
      <c r="F13" s="588">
        <f>'Março-20'!D139</f>
        <v>163.20000000000002</v>
      </c>
      <c r="G13" s="549">
        <f>'Abril-20'!D122</f>
        <v>693.33</v>
      </c>
      <c r="H13" s="588">
        <f>'Maio-20'!D122</f>
        <v>508.57</v>
      </c>
      <c r="I13" s="588">
        <f>'Junho-20'!D130</f>
        <v>100</v>
      </c>
      <c r="J13" s="549">
        <f>'Julho-20'!D135</f>
        <v>169.7</v>
      </c>
      <c r="K13" s="588">
        <f>'Agosto-20'!D126</f>
        <v>110</v>
      </c>
      <c r="L13" s="549">
        <f>'Setembro-20'!D142</f>
        <v>218</v>
      </c>
      <c r="M13" s="561">
        <f>'Outubro-20'!D145</f>
        <v>479.58000000000004</v>
      </c>
      <c r="N13" s="565">
        <f>'Novembro-20'!D133</f>
        <v>276.48</v>
      </c>
      <c r="O13" s="565">
        <f>'Dezembro-20'!D152</f>
        <v>774.97</v>
      </c>
    </row>
    <row r="14" spans="1:16" x14ac:dyDescent="0.25">
      <c r="A14" s="329" t="s">
        <v>418</v>
      </c>
      <c r="B14" s="336">
        <f t="shared" si="1"/>
        <v>107.91333333333334</v>
      </c>
      <c r="C14" s="332">
        <f t="shared" si="2"/>
        <v>1294.96</v>
      </c>
      <c r="D14" s="588">
        <f>'Janeiro-20'!D158</f>
        <v>11</v>
      </c>
      <c r="E14" s="547">
        <f>'Fevereiro-20'!D143</f>
        <v>52.7</v>
      </c>
      <c r="F14" s="549">
        <f>'Março-20'!D140</f>
        <v>179.16</v>
      </c>
      <c r="G14" s="588">
        <f>'Abril-20'!D123</f>
        <v>145</v>
      </c>
      <c r="H14" s="588">
        <f>'Maio-20'!D123</f>
        <v>0</v>
      </c>
      <c r="I14" s="588">
        <f>'Junho-20'!D131</f>
        <v>0</v>
      </c>
      <c r="J14" s="549">
        <f>'Julho-20'!D136</f>
        <v>148.10000000000002</v>
      </c>
      <c r="K14" s="549">
        <f>'Agosto-20'!D127</f>
        <v>195.5</v>
      </c>
      <c r="L14" s="549">
        <f>'Setembro-20'!D143</f>
        <v>210</v>
      </c>
      <c r="M14" s="565">
        <f>'Outubro-20'!D146</f>
        <v>45</v>
      </c>
      <c r="N14" s="565">
        <f>'Novembro-20'!D134</f>
        <v>0</v>
      </c>
      <c r="O14" s="561">
        <f>'Dezembro-20'!D153</f>
        <v>308.5</v>
      </c>
    </row>
    <row r="15" spans="1:16" x14ac:dyDescent="0.25">
      <c r="A15" s="329" t="s">
        <v>419</v>
      </c>
      <c r="B15" s="336">
        <f t="shared" si="1"/>
        <v>581.54666666666674</v>
      </c>
      <c r="C15" s="332">
        <f t="shared" si="2"/>
        <v>6978.56</v>
      </c>
      <c r="D15" s="588">
        <f>'Janeiro-20'!D159</f>
        <v>679.05</v>
      </c>
      <c r="E15" s="587">
        <f>'Fevereiro-20'!D144</f>
        <v>540</v>
      </c>
      <c r="F15" s="588">
        <f>'Março-20'!D141</f>
        <v>469.76</v>
      </c>
      <c r="G15" s="588">
        <f>'Abril-20'!D124</f>
        <v>450</v>
      </c>
      <c r="H15" s="588">
        <f>'Maio-20'!D124</f>
        <v>450.84</v>
      </c>
      <c r="I15" s="549">
        <f>'Junho-20'!D132</f>
        <v>554.9</v>
      </c>
      <c r="J15" s="588">
        <f>'Julho-20'!D137</f>
        <v>400</v>
      </c>
      <c r="K15" s="588">
        <f>'Agosto-20'!D128</f>
        <v>460</v>
      </c>
      <c r="L15" s="549">
        <f>'Setembro-20'!D144</f>
        <v>996.7</v>
      </c>
      <c r="M15" s="565">
        <f>'Outubro-20'!D147</f>
        <v>700.21</v>
      </c>
      <c r="N15" s="565">
        <f>'Novembro-20'!D135</f>
        <v>504.5</v>
      </c>
      <c r="O15" s="561">
        <f>'Dezembro-20'!D154</f>
        <v>772.6</v>
      </c>
    </row>
    <row r="16" spans="1:16" x14ac:dyDescent="0.25">
      <c r="A16" s="329" t="s">
        <v>911</v>
      </c>
      <c r="B16" s="336">
        <f t="shared" si="1"/>
        <v>390.51572916666669</v>
      </c>
      <c r="C16" s="332">
        <f t="shared" si="2"/>
        <v>4686.1887500000003</v>
      </c>
      <c r="D16" s="549">
        <f>'Janeiro-20'!D160</f>
        <v>2137.63</v>
      </c>
      <c r="E16" s="587">
        <f>'Fevereiro-20'!D145</f>
        <v>246.8</v>
      </c>
      <c r="F16" s="588">
        <f>'Março-20'!D142</f>
        <v>239.9</v>
      </c>
      <c r="G16" s="588">
        <f>'Abril-20'!D125</f>
        <v>239.9</v>
      </c>
      <c r="H16" s="588">
        <f>'Maio-20'!D125</f>
        <v>239.9</v>
      </c>
      <c r="I16" s="588">
        <f>'Junho-20'!D133</f>
        <v>164.9</v>
      </c>
      <c r="J16" s="549">
        <f>'Julho-20'!D138</f>
        <v>407.6</v>
      </c>
      <c r="K16" s="588">
        <f>'Agosto-20'!D129</f>
        <v>172.06874999999999</v>
      </c>
      <c r="L16" s="588">
        <f>'Setembro-20'!D145</f>
        <v>172.13</v>
      </c>
      <c r="M16" s="565">
        <f>'Outubro-20'!D148</f>
        <v>172.07</v>
      </c>
      <c r="N16" s="561">
        <f>'Novembro-20'!D136</f>
        <v>343.89</v>
      </c>
      <c r="O16" s="565">
        <f>'Dezembro-20'!D155</f>
        <v>149.4</v>
      </c>
    </row>
    <row r="17" spans="1:17" x14ac:dyDescent="0.25">
      <c r="A17" s="329" t="s">
        <v>1526</v>
      </c>
      <c r="B17" s="336">
        <f t="shared" si="1"/>
        <v>190.97583333333333</v>
      </c>
      <c r="C17" s="332">
        <f>D17+E17+F17+G17+H17+I17+J17+K17+L17+M17+N17+O17</f>
        <v>2291.71</v>
      </c>
      <c r="D17" s="549">
        <f>'Janeiro-20'!D161</f>
        <v>197.69</v>
      </c>
      <c r="E17" s="587">
        <f>'Fevereiro-20'!D146</f>
        <v>175.69</v>
      </c>
      <c r="F17" s="588">
        <f>'Março-20'!D143</f>
        <v>159.69</v>
      </c>
      <c r="G17" s="549">
        <f>'Abril-20'!D126</f>
        <v>207.8</v>
      </c>
      <c r="H17" s="588">
        <f>'Maio-20'!D126</f>
        <v>149.9</v>
      </c>
      <c r="I17" s="549">
        <f>'Junho-20'!D134</f>
        <v>179.70000000000002</v>
      </c>
      <c r="J17" s="549">
        <f>'Julho-20'!D139</f>
        <v>231.8</v>
      </c>
      <c r="K17" s="588">
        <f>'Agosto-20'!D130</f>
        <v>192.9</v>
      </c>
      <c r="L17" s="549">
        <f>'Setembro-20'!D146</f>
        <v>199.88000000000002</v>
      </c>
      <c r="M17" s="561">
        <f>'Outubro-20'!D149</f>
        <v>199.9</v>
      </c>
      <c r="N17" s="561">
        <f>'Novembro-20'!D137</f>
        <v>221.88000000000002</v>
      </c>
      <c r="O17" s="565">
        <f>'Dezembro-20'!D156</f>
        <v>174.88</v>
      </c>
    </row>
    <row r="18" spans="1:17" x14ac:dyDescent="0.25">
      <c r="A18" s="329" t="s">
        <v>2343</v>
      </c>
      <c r="B18" s="336">
        <f>C18/12</f>
        <v>9.85</v>
      </c>
      <c r="C18" s="947">
        <f t="shared" si="2"/>
        <v>118.2</v>
      </c>
      <c r="D18" s="588">
        <f>'Janeiro-20'!D162</f>
        <v>0</v>
      </c>
      <c r="E18" s="587">
        <f>'Fevereiro-20'!D147</f>
        <v>0</v>
      </c>
      <c r="F18" s="588">
        <f>'Março-20'!D144</f>
        <v>0</v>
      </c>
      <c r="G18" s="588">
        <f>'Abril-20'!D127</f>
        <v>0</v>
      </c>
      <c r="H18" s="588">
        <f>'Maio-20'!D127</f>
        <v>0</v>
      </c>
      <c r="I18" s="588">
        <f>'Junho-20'!D135</f>
        <v>0</v>
      </c>
      <c r="J18" s="588">
        <f>'Julho-20'!D140</f>
        <v>0</v>
      </c>
      <c r="K18" s="588">
        <f>'Agosto-20'!D131</f>
        <v>0</v>
      </c>
      <c r="L18" s="549">
        <f>'Setembro-20'!D147</f>
        <v>118.2</v>
      </c>
      <c r="M18" s="565">
        <f>'Outubro-20'!D150</f>
        <v>0</v>
      </c>
      <c r="N18" s="565">
        <f>'Novembro-20'!D138</f>
        <v>0</v>
      </c>
      <c r="O18" s="565">
        <f>'Dezembro-20'!D157</f>
        <v>0</v>
      </c>
    </row>
    <row r="19" spans="1:17" x14ac:dyDescent="0.25">
      <c r="A19" s="329" t="s">
        <v>1527</v>
      </c>
      <c r="B19" s="336">
        <f t="shared" si="1"/>
        <v>427.4233333333334</v>
      </c>
      <c r="C19" s="332">
        <f>D19+E19+F19+G19+H19+I19+J19+K19+L19+M19+N19+O19</f>
        <v>5129.0800000000008</v>
      </c>
      <c r="D19" s="549">
        <f>'Janeiro-20'!D163</f>
        <v>463.16999999999996</v>
      </c>
      <c r="E19" s="587">
        <f>'Fevereiro-20'!D148</f>
        <v>381.10999999999996</v>
      </c>
      <c r="F19" s="588">
        <f>'Março-20'!D145</f>
        <v>205.19</v>
      </c>
      <c r="G19" s="588">
        <f>'Abril-20'!D128</f>
        <v>297.89</v>
      </c>
      <c r="H19" s="549">
        <f>'Maio-20'!D128</f>
        <v>383.9</v>
      </c>
      <c r="I19" s="549">
        <f>'Junho-20'!D136</f>
        <v>394.38</v>
      </c>
      <c r="J19" s="588">
        <f>'Julho-20'!D141</f>
        <v>371.02000000000004</v>
      </c>
      <c r="K19" s="549">
        <f>'Agosto-20'!D132</f>
        <v>543.19000000000005</v>
      </c>
      <c r="L19" s="588">
        <f>'Setembro-20'!D148</f>
        <v>321.82</v>
      </c>
      <c r="M19" s="561">
        <f>'Outubro-20'!D151</f>
        <v>427.77000000000004</v>
      </c>
      <c r="N19" s="565">
        <f>'Novembro-20'!D139</f>
        <v>313.31</v>
      </c>
      <c r="O19" s="561">
        <f>'Dezembro-20'!D158</f>
        <v>1026.33</v>
      </c>
    </row>
    <row r="20" spans="1:17" ht="15.75" x14ac:dyDescent="0.25">
      <c r="A20" s="389" t="s">
        <v>361</v>
      </c>
      <c r="B20" s="551">
        <f>SUM(B3:B19)</f>
        <v>3782.8151736111113</v>
      </c>
      <c r="C20" s="552">
        <f>SUM(C3:C19)</f>
        <v>45393.782083333332</v>
      </c>
      <c r="D20" s="391">
        <f>SUM(D3:D19)</f>
        <v>6819.93</v>
      </c>
      <c r="E20" s="391">
        <f t="shared" ref="E20:O20" si="3">SUM(E3:E19)</f>
        <v>3460.33</v>
      </c>
      <c r="F20" s="391">
        <f t="shared" si="3"/>
        <v>3177.5766666666673</v>
      </c>
      <c r="G20" s="391">
        <f t="shared" si="3"/>
        <v>3603.9233333333336</v>
      </c>
      <c r="H20" s="391">
        <f>SUM(H3:H19)</f>
        <v>3093.4633333333336</v>
      </c>
      <c r="I20" s="391">
        <f>SUM(I3:I19)</f>
        <v>2567.2600000000002</v>
      </c>
      <c r="J20" s="391">
        <f t="shared" si="3"/>
        <v>3656.5499999999997</v>
      </c>
      <c r="K20" s="391">
        <f t="shared" si="3"/>
        <v>3189.155416666667</v>
      </c>
      <c r="L20" s="391">
        <f t="shared" si="3"/>
        <v>3768.9466666666672</v>
      </c>
      <c r="M20" s="391">
        <f t="shared" si="3"/>
        <v>3898.126666666667</v>
      </c>
      <c r="N20" s="391">
        <f t="shared" si="3"/>
        <v>3115.63</v>
      </c>
      <c r="O20" s="391">
        <f t="shared" si="3"/>
        <v>5042.8900000000003</v>
      </c>
    </row>
    <row r="22" spans="1:17" x14ac:dyDescent="0.25">
      <c r="F22" s="79"/>
    </row>
    <row r="23" spans="1:17" x14ac:dyDescent="0.25">
      <c r="F23" s="79"/>
    </row>
    <row r="24" spans="1:17" x14ac:dyDescent="0.25">
      <c r="F24" s="79"/>
    </row>
    <row r="25" spans="1:17" x14ac:dyDescent="0.25">
      <c r="F25" s="79"/>
    </row>
    <row r="26" spans="1:17" x14ac:dyDescent="0.25">
      <c r="B26" s="867"/>
      <c r="C26" s="867"/>
      <c r="F26" s="79"/>
    </row>
    <row r="27" spans="1:17" s="200" customFormat="1" ht="18" customHeight="1" x14ac:dyDescent="0.3">
      <c r="A27" s="198" t="s">
        <v>362</v>
      </c>
      <c r="B27" s="846">
        <v>4150</v>
      </c>
      <c r="D27" s="196"/>
      <c r="E27" s="196"/>
      <c r="F27" s="79"/>
      <c r="G27" s="79"/>
      <c r="H27" s="79"/>
      <c r="K27" s="196"/>
      <c r="L27" s="196"/>
      <c r="M27" s="196"/>
    </row>
    <row r="28" spans="1:17" s="200" customFormat="1" ht="17.25" customHeight="1" x14ac:dyDescent="0.3">
      <c r="A28" s="198"/>
      <c r="C28" s="196"/>
      <c r="D28" s="196"/>
      <c r="E28" s="196"/>
      <c r="F28" s="196"/>
      <c r="G28" s="196"/>
      <c r="H28" s="196"/>
      <c r="I28" s="196"/>
      <c r="J28" s="196"/>
      <c r="K28" s="196"/>
      <c r="L28" s="196"/>
      <c r="M28" s="196"/>
      <c r="N28" s="196"/>
    </row>
    <row r="29" spans="1:17" ht="15.75" x14ac:dyDescent="0.25">
      <c r="A29" s="197" t="s">
        <v>2842</v>
      </c>
      <c r="B29" s="278" t="s">
        <v>345</v>
      </c>
      <c r="C29" s="193" t="s">
        <v>346</v>
      </c>
      <c r="D29" s="195" t="s">
        <v>347</v>
      </c>
      <c r="E29" s="195" t="s">
        <v>348</v>
      </c>
      <c r="F29" s="195" t="s">
        <v>349</v>
      </c>
      <c r="G29" s="195" t="s">
        <v>364</v>
      </c>
      <c r="H29" s="195" t="s">
        <v>351</v>
      </c>
      <c r="I29" s="195" t="s">
        <v>352</v>
      </c>
      <c r="J29" s="193" t="s">
        <v>353</v>
      </c>
      <c r="K29" s="193" t="s">
        <v>354</v>
      </c>
      <c r="L29" s="193" t="s">
        <v>355</v>
      </c>
      <c r="M29" s="193" t="s">
        <v>365</v>
      </c>
      <c r="N29" s="193" t="s">
        <v>357</v>
      </c>
      <c r="O29" s="193"/>
      <c r="P29" s="193"/>
      <c r="Q29" s="193"/>
    </row>
    <row r="30" spans="1:17" x14ac:dyDescent="0.25">
      <c r="A30" s="79" t="s">
        <v>366</v>
      </c>
      <c r="B30" s="633">
        <f>C30+D30+E30+F30+G30+H30+I30+J30+K30+L30+M30+N30</f>
        <v>16849</v>
      </c>
      <c r="C30" s="865">
        <v>1494</v>
      </c>
      <c r="D30" s="865">
        <v>1660</v>
      </c>
      <c r="E30" s="865">
        <v>1660</v>
      </c>
      <c r="F30" s="865">
        <v>1660</v>
      </c>
      <c r="G30" s="865">
        <v>1245</v>
      </c>
      <c r="H30" s="865">
        <v>1245</v>
      </c>
      <c r="I30" s="865">
        <v>1245</v>
      </c>
      <c r="J30" s="865">
        <v>1660</v>
      </c>
      <c r="K30" s="865">
        <v>1660</v>
      </c>
      <c r="L30" s="865">
        <v>1660</v>
      </c>
      <c r="M30" s="865">
        <v>1660</v>
      </c>
      <c r="N30" s="865"/>
      <c r="Q30" s="629"/>
    </row>
    <row r="31" spans="1:17" x14ac:dyDescent="0.25">
      <c r="A31" s="79" t="s">
        <v>367</v>
      </c>
      <c r="B31" s="633">
        <f t="shared" ref="B31:B36" si="4">C31+D31+E31+F31+G31+H31+I31+J31+K31+L31+M31+N31</f>
        <v>21870.190000000002</v>
      </c>
      <c r="C31" s="865">
        <v>1644.87</v>
      </c>
      <c r="D31" s="865">
        <v>1836.76</v>
      </c>
      <c r="E31" s="865">
        <v>1850.84</v>
      </c>
      <c r="F31" s="865">
        <v>1850.84</v>
      </c>
      <c r="G31" s="865">
        <v>1753.43</v>
      </c>
      <c r="H31" s="865">
        <v>1477.92</v>
      </c>
      <c r="I31" s="865">
        <v>1780.95</v>
      </c>
      <c r="J31" s="865">
        <v>1843.5</v>
      </c>
      <c r="K31" s="865">
        <v>1850.84</v>
      </c>
      <c r="L31" s="865">
        <v>1850.84</v>
      </c>
      <c r="M31" s="865">
        <v>1850.84</v>
      </c>
      <c r="N31" s="865">
        <v>2278.56</v>
      </c>
      <c r="O31" s="216"/>
      <c r="P31" s="216"/>
      <c r="Q31" s="216"/>
    </row>
    <row r="32" spans="1:17" x14ac:dyDescent="0.25">
      <c r="A32" s="79" t="s">
        <v>2506</v>
      </c>
      <c r="B32" s="633">
        <f t="shared" si="4"/>
        <v>540</v>
      </c>
      <c r="C32" s="865">
        <v>45</v>
      </c>
      <c r="D32" s="865">
        <v>45</v>
      </c>
      <c r="E32" s="865">
        <v>45</v>
      </c>
      <c r="F32" s="865">
        <v>45</v>
      </c>
      <c r="G32" s="865">
        <v>45</v>
      </c>
      <c r="H32" s="865">
        <v>45</v>
      </c>
      <c r="I32" s="865">
        <v>45</v>
      </c>
      <c r="J32" s="865">
        <v>45</v>
      </c>
      <c r="K32" s="865">
        <v>45</v>
      </c>
      <c r="L32" s="865">
        <v>45</v>
      </c>
      <c r="M32" s="865">
        <v>45</v>
      </c>
      <c r="N32" s="865">
        <v>45</v>
      </c>
      <c r="O32" s="216"/>
      <c r="P32" s="216"/>
      <c r="Q32" s="216"/>
    </row>
    <row r="33" spans="1:17" x14ac:dyDescent="0.25">
      <c r="A33" s="79" t="s">
        <v>368</v>
      </c>
      <c r="B33" s="633">
        <f t="shared" si="4"/>
        <v>4528.04</v>
      </c>
      <c r="C33" s="865"/>
      <c r="D33" s="865"/>
      <c r="E33" s="865"/>
      <c r="F33" s="865"/>
      <c r="G33" s="865"/>
      <c r="H33" s="865"/>
      <c r="I33" s="865"/>
      <c r="J33" s="865"/>
      <c r="K33" s="865"/>
      <c r="L33" s="800"/>
      <c r="M33" s="800"/>
      <c r="N33" s="800">
        <v>4528.04</v>
      </c>
      <c r="O33" s="216"/>
      <c r="P33" s="216"/>
      <c r="Q33" s="216"/>
    </row>
    <row r="34" spans="1:17" x14ac:dyDescent="0.25">
      <c r="A34" s="79" t="s">
        <v>369</v>
      </c>
      <c r="B34" s="633">
        <f t="shared" si="4"/>
        <v>3565.24</v>
      </c>
      <c r="C34" s="865"/>
      <c r="D34" s="865"/>
      <c r="E34" s="865"/>
      <c r="F34" s="865"/>
      <c r="G34" s="865"/>
      <c r="H34" s="865"/>
      <c r="I34" s="865"/>
      <c r="J34" s="865"/>
      <c r="K34" s="865"/>
      <c r="L34" s="800"/>
      <c r="M34" s="866">
        <v>2075</v>
      </c>
      <c r="N34" s="800">
        <v>1490.24</v>
      </c>
      <c r="O34" s="216"/>
      <c r="P34" s="216"/>
      <c r="Q34" s="216"/>
    </row>
    <row r="35" spans="1:17" x14ac:dyDescent="0.25">
      <c r="A35" s="79" t="s">
        <v>2843</v>
      </c>
      <c r="B35" s="633">
        <f>C35+D35+E35+F35+G35+H35+I35+J35+K35+L35+M35+N35</f>
        <v>1058</v>
      </c>
      <c r="C35" s="865"/>
      <c r="D35" s="865"/>
      <c r="E35" s="865"/>
      <c r="F35" s="865"/>
      <c r="G35" s="865">
        <v>454</v>
      </c>
      <c r="H35" s="865">
        <v>454</v>
      </c>
      <c r="I35" s="865">
        <v>150</v>
      </c>
      <c r="J35" s="865"/>
      <c r="K35" s="865"/>
      <c r="L35" s="800"/>
      <c r="M35" s="800"/>
      <c r="N35" s="800"/>
      <c r="O35" s="216"/>
      <c r="P35" s="216"/>
      <c r="Q35" s="216"/>
    </row>
    <row r="36" spans="1:17" x14ac:dyDescent="0.25">
      <c r="A36" s="79" t="s">
        <v>2844</v>
      </c>
      <c r="B36" s="633">
        <f t="shared" si="4"/>
        <v>1045</v>
      </c>
      <c r="C36" s="865"/>
      <c r="D36" s="865"/>
      <c r="E36" s="865"/>
      <c r="F36" s="865"/>
      <c r="G36" s="865"/>
      <c r="H36" s="865"/>
      <c r="I36" s="865"/>
      <c r="J36" s="865"/>
      <c r="K36" s="865">
        <v>1045</v>
      </c>
      <c r="L36" s="800"/>
      <c r="M36" s="800"/>
      <c r="N36" s="800"/>
      <c r="O36" s="216"/>
      <c r="P36" s="216"/>
      <c r="Q36" s="216"/>
    </row>
    <row r="37" spans="1:17" ht="15.75" x14ac:dyDescent="0.25">
      <c r="A37" s="280" t="s">
        <v>361</v>
      </c>
      <c r="B37" s="206">
        <f>SUM(B30:B36)</f>
        <v>49455.47</v>
      </c>
      <c r="C37" s="206">
        <f>SUM(C30:C36)</f>
        <v>3183.87</v>
      </c>
      <c r="D37" s="206">
        <f>SUM(D30:D31)</f>
        <v>3496.76</v>
      </c>
      <c r="E37" s="206">
        <f>SUM(E30:E31)</f>
        <v>3510.84</v>
      </c>
      <c r="F37" s="206">
        <f>SUM(F30:F31)</f>
        <v>3510.84</v>
      </c>
      <c r="G37" s="206">
        <f t="shared" ref="G37:N37" si="5">SUM(G30:G36)</f>
        <v>3497.4300000000003</v>
      </c>
      <c r="H37" s="206">
        <f t="shared" si="5"/>
        <v>3221.92</v>
      </c>
      <c r="I37" s="206">
        <f t="shared" si="5"/>
        <v>3220.95</v>
      </c>
      <c r="J37" s="206">
        <f t="shared" si="5"/>
        <v>3548.5</v>
      </c>
      <c r="K37" s="206">
        <f t="shared" si="5"/>
        <v>4600.84</v>
      </c>
      <c r="L37" s="206">
        <f t="shared" si="5"/>
        <v>3555.84</v>
      </c>
      <c r="M37" s="206">
        <f t="shared" si="5"/>
        <v>5630.84</v>
      </c>
      <c r="N37" s="206">
        <f t="shared" si="5"/>
        <v>8341.84</v>
      </c>
      <c r="O37" s="206"/>
      <c r="P37" s="633"/>
      <c r="Q37" s="633"/>
    </row>
    <row r="38" spans="1:17" ht="15.75" x14ac:dyDescent="0.25">
      <c r="A38" s="280"/>
      <c r="B38" s="206"/>
      <c r="C38" s="206"/>
      <c r="D38" s="206"/>
      <c r="E38" s="206"/>
      <c r="F38" s="206"/>
      <c r="G38" s="206"/>
      <c r="I38" s="206"/>
      <c r="J38" s="206"/>
      <c r="K38" s="206"/>
      <c r="L38" s="206"/>
      <c r="M38" s="206"/>
      <c r="O38" s="216"/>
      <c r="P38" s="216"/>
      <c r="Q38" s="216"/>
    </row>
    <row r="39" spans="1:17" x14ac:dyDescent="0.25">
      <c r="B39" s="206"/>
      <c r="C39" s="865"/>
      <c r="D39" s="865"/>
      <c r="E39" s="865"/>
      <c r="F39" s="865"/>
      <c r="G39" s="865"/>
      <c r="H39" s="865"/>
      <c r="I39" s="865"/>
      <c r="M39" s="216"/>
      <c r="N39" s="206"/>
      <c r="O39" s="216"/>
      <c r="P39" s="216"/>
      <c r="Q39" s="216"/>
    </row>
    <row r="40" spans="1:17" x14ac:dyDescent="0.25">
      <c r="A40" s="81" t="s">
        <v>371</v>
      </c>
      <c r="B40" s="206">
        <f>SUM(C40:N40)</f>
        <v>0</v>
      </c>
      <c r="C40" s="177"/>
      <c r="D40" s="177"/>
      <c r="E40" s="177"/>
      <c r="F40" s="177"/>
      <c r="G40" s="177"/>
      <c r="H40" s="177"/>
      <c r="I40" s="216"/>
      <c r="J40" s="177"/>
      <c r="K40" s="177"/>
      <c r="L40" s="177"/>
      <c r="M40" s="177"/>
      <c r="N40" s="216"/>
      <c r="O40" s="216"/>
      <c r="P40" s="216"/>
      <c r="Q40" s="216"/>
    </row>
    <row r="41" spans="1:17" x14ac:dyDescent="0.25">
      <c r="A41" s="81" t="s">
        <v>372</v>
      </c>
      <c r="B41" s="206">
        <f>C41+D41+E41+F41+G41+H41+I41+J41+K41+M41+L41+N41+O41+P41</f>
        <v>0</v>
      </c>
      <c r="C41" s="177"/>
      <c r="D41" s="177"/>
      <c r="E41" s="177"/>
      <c r="F41" s="177"/>
      <c r="H41" s="177"/>
      <c r="I41" s="177"/>
      <c r="J41" s="177"/>
      <c r="K41" s="177"/>
      <c r="L41" s="177"/>
      <c r="M41" s="177"/>
      <c r="N41" s="177"/>
      <c r="O41" s="216"/>
      <c r="P41" s="216"/>
      <c r="Q41" s="216"/>
    </row>
    <row r="42" spans="1:17" x14ac:dyDescent="0.25">
      <c r="A42" s="81" t="s">
        <v>373</v>
      </c>
      <c r="B42" s="206">
        <f>C42+D42+E42+F42+G42+H42+I42+J42+K42+M42+L42+N42+O42+P42</f>
        <v>0</v>
      </c>
      <c r="C42" s="177"/>
      <c r="D42" s="177"/>
      <c r="E42" s="177"/>
      <c r="F42" s="177"/>
      <c r="G42" s="177"/>
      <c r="H42" s="177"/>
      <c r="I42" s="177"/>
      <c r="J42" s="177"/>
      <c r="K42" s="177"/>
      <c r="L42" s="177"/>
      <c r="M42" s="177"/>
      <c r="N42" s="177"/>
      <c r="O42" s="216"/>
      <c r="P42" s="216"/>
      <c r="Q42" s="216"/>
    </row>
    <row r="43" spans="1:17" ht="15.75" x14ac:dyDescent="0.25">
      <c r="A43" s="280" t="s">
        <v>361</v>
      </c>
      <c r="B43" s="206">
        <f t="shared" ref="B43:N43" si="6">SUM(B40:B42)</f>
        <v>0</v>
      </c>
      <c r="C43" s="206">
        <f>SUM(C40:C42)</f>
        <v>0</v>
      </c>
      <c r="D43" s="206">
        <f t="shared" si="6"/>
        <v>0</v>
      </c>
      <c r="E43" s="206">
        <f t="shared" si="6"/>
        <v>0</v>
      </c>
      <c r="F43" s="206">
        <f>SUM(F40:F42)</f>
        <v>0</v>
      </c>
      <c r="G43" s="206">
        <f>SUM(G40:G42)</f>
        <v>0</v>
      </c>
      <c r="H43" s="206">
        <f t="shared" si="6"/>
        <v>0</v>
      </c>
      <c r="I43" s="206">
        <f>SUM(I40:I42)</f>
        <v>0</v>
      </c>
      <c r="J43" s="206">
        <f>SUM(J40:J42)</f>
        <v>0</v>
      </c>
      <c r="K43" s="206">
        <f>SUM(K40:K42)</f>
        <v>0</v>
      </c>
      <c r="L43" s="206">
        <f>SUM(L40:L42)</f>
        <v>0</v>
      </c>
      <c r="M43" s="206">
        <f>SUM(M40:M42)</f>
        <v>0</v>
      </c>
      <c r="N43" s="633">
        <f t="shared" si="6"/>
        <v>0</v>
      </c>
      <c r="O43" s="633"/>
      <c r="P43" s="633"/>
      <c r="Q43" s="216"/>
    </row>
    <row r="44" spans="1:17" ht="15.75" x14ac:dyDescent="0.25">
      <c r="A44" s="280"/>
      <c r="B44" s="206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6"/>
    </row>
    <row r="45" spans="1:17" x14ac:dyDescent="0.25">
      <c r="A45" s="81"/>
      <c r="B45" s="206"/>
      <c r="C45" s="177"/>
      <c r="D45" s="177"/>
      <c r="E45" s="177"/>
      <c r="F45" s="177"/>
      <c r="G45" s="177"/>
      <c r="H45" s="177"/>
      <c r="I45" s="177"/>
      <c r="J45" s="177"/>
      <c r="K45" s="177"/>
      <c r="L45" s="177"/>
      <c r="M45" s="177"/>
    </row>
    <row r="46" spans="1:17" x14ac:dyDescent="0.25">
      <c r="B46" s="194"/>
      <c r="C46" s="865"/>
      <c r="D46" s="865"/>
      <c r="E46" s="865"/>
      <c r="F46" s="865"/>
      <c r="G46" s="865"/>
      <c r="H46" s="865"/>
      <c r="I46" s="865"/>
    </row>
    <row r="47" spans="1:17" ht="18.75" x14ac:dyDescent="0.3">
      <c r="A47" s="353" t="s">
        <v>2845</v>
      </c>
      <c r="B47" s="200" t="s">
        <v>381</v>
      </c>
      <c r="C47" s="354" t="s">
        <v>382</v>
      </c>
      <c r="D47" s="355" t="s">
        <v>383</v>
      </c>
    </row>
    <row r="48" spans="1:17" ht="18.75" x14ac:dyDescent="0.3">
      <c r="A48" s="353">
        <f>B37/12</f>
        <v>4121.2891666666665</v>
      </c>
      <c r="B48" s="329" t="s">
        <v>32</v>
      </c>
      <c r="C48" s="336">
        <f>B3</f>
        <v>336.85083333333336</v>
      </c>
      <c r="D48" s="225">
        <f>C48/A48</f>
        <v>8.1734335959197241E-2</v>
      </c>
      <c r="F48" s="801"/>
      <c r="G48" s="629"/>
      <c r="I48" s="629"/>
    </row>
    <row r="49" spans="2:9" x14ac:dyDescent="0.25">
      <c r="B49" s="329" t="s">
        <v>2187</v>
      </c>
      <c r="C49" s="336">
        <f t="shared" ref="C49:C64" si="7">B4</f>
        <v>329.74666666666667</v>
      </c>
      <c r="D49" s="225">
        <f>C49/A48</f>
        <v>8.0010563037819685E-2</v>
      </c>
      <c r="E49" s="177"/>
      <c r="F49" s="801"/>
      <c r="G49" s="629"/>
      <c r="I49" s="629"/>
    </row>
    <row r="50" spans="2:9" x14ac:dyDescent="0.25">
      <c r="B50" s="329" t="s">
        <v>2188</v>
      </c>
      <c r="C50" s="336">
        <f t="shared" si="7"/>
        <v>25.111666666666668</v>
      </c>
      <c r="D50" s="225">
        <f>C50/A48</f>
        <v>6.0931581481280033E-3</v>
      </c>
      <c r="E50" s="177"/>
      <c r="F50" s="801"/>
      <c r="G50" s="629"/>
      <c r="I50" s="629"/>
    </row>
    <row r="51" spans="2:9" x14ac:dyDescent="0.25">
      <c r="B51" s="329" t="s">
        <v>50</v>
      </c>
      <c r="C51" s="336">
        <f t="shared" si="7"/>
        <v>265.83833333333337</v>
      </c>
      <c r="D51" s="225">
        <f>C51/A48</f>
        <v>6.4503683818999208E-2</v>
      </c>
      <c r="E51" s="177"/>
      <c r="F51" s="801"/>
      <c r="G51" s="629"/>
      <c r="I51" s="629"/>
    </row>
    <row r="52" spans="2:9" x14ac:dyDescent="0.25">
      <c r="B52" s="329" t="s">
        <v>14</v>
      </c>
      <c r="C52" s="336">
        <f t="shared" si="7"/>
        <v>137.26416666666668</v>
      </c>
      <c r="D52" s="225">
        <f>C52/A48</f>
        <v>3.3306123670445359E-2</v>
      </c>
      <c r="E52" s="177"/>
      <c r="F52" s="801"/>
      <c r="G52" s="629"/>
      <c r="I52" s="629"/>
    </row>
    <row r="53" spans="2:9" x14ac:dyDescent="0.25">
      <c r="B53" s="329" t="s">
        <v>358</v>
      </c>
      <c r="C53" s="336">
        <f t="shared" si="7"/>
        <v>101.86750000000002</v>
      </c>
      <c r="D53" s="225">
        <f>C53/A48</f>
        <v>2.4717387176787529E-2</v>
      </c>
      <c r="E53" s="177"/>
      <c r="F53" s="801"/>
      <c r="G53" s="629"/>
      <c r="I53" s="629"/>
    </row>
    <row r="54" spans="2:9" x14ac:dyDescent="0.25">
      <c r="B54" s="329" t="s">
        <v>2189</v>
      </c>
      <c r="C54" s="336">
        <f t="shared" si="7"/>
        <v>90.950277777777771</v>
      </c>
      <c r="D54" s="225">
        <f>C54/A48</f>
        <v>2.206840483637772E-2</v>
      </c>
      <c r="E54" s="177"/>
      <c r="F54" s="801"/>
      <c r="G54" s="629"/>
      <c r="I54" s="629"/>
    </row>
    <row r="55" spans="2:9" x14ac:dyDescent="0.25">
      <c r="B55" s="329" t="s">
        <v>53</v>
      </c>
      <c r="C55" s="336">
        <f t="shared" si="7"/>
        <v>273.30583333333328</v>
      </c>
      <c r="D55" s="225">
        <f>C55/A48</f>
        <v>6.6315616856942206E-2</v>
      </c>
      <c r="E55" s="177"/>
      <c r="F55" s="801"/>
      <c r="G55" s="629"/>
      <c r="I55" s="629"/>
    </row>
    <row r="56" spans="2:9" x14ac:dyDescent="0.25">
      <c r="B56" s="906" t="s">
        <v>2149</v>
      </c>
      <c r="C56" s="336">
        <f t="shared" si="7"/>
        <v>61.919999999999995</v>
      </c>
      <c r="D56" s="225">
        <f>C56/A48</f>
        <v>1.5024425002936985E-2</v>
      </c>
      <c r="E56" s="177"/>
      <c r="F56" s="801"/>
      <c r="G56" s="629"/>
      <c r="I56" s="629"/>
    </row>
    <row r="57" spans="2:9" x14ac:dyDescent="0.25">
      <c r="B57" s="329" t="s">
        <v>56</v>
      </c>
      <c r="C57" s="336">
        <f t="shared" si="7"/>
        <v>113.90749999999998</v>
      </c>
      <c r="D57" s="225">
        <f>C57/A48</f>
        <v>2.7638803149580823E-2</v>
      </c>
      <c r="E57" s="177"/>
      <c r="F57" s="801"/>
      <c r="G57" s="629"/>
      <c r="I57" s="629"/>
    </row>
    <row r="58" spans="2:9" ht="14.25" customHeight="1" x14ac:dyDescent="0.25">
      <c r="B58" s="329" t="s">
        <v>1686</v>
      </c>
      <c r="C58" s="336">
        <f t="shared" si="7"/>
        <v>337.82750000000004</v>
      </c>
      <c r="D58" s="225">
        <f>C58/A48</f>
        <v>8.1971316822992496E-2</v>
      </c>
      <c r="F58" s="801"/>
      <c r="G58" s="629"/>
      <c r="I58" s="629"/>
    </row>
    <row r="59" spans="2:9" x14ac:dyDescent="0.25">
      <c r="B59" s="329" t="s">
        <v>418</v>
      </c>
      <c r="C59" s="336">
        <f t="shared" si="7"/>
        <v>107.91333333333334</v>
      </c>
      <c r="D59" s="225">
        <f>C59/A48</f>
        <v>2.6184363428352824E-2</v>
      </c>
      <c r="F59" s="801"/>
      <c r="G59" s="629"/>
      <c r="I59" s="629"/>
    </row>
    <row r="60" spans="2:9" x14ac:dyDescent="0.25">
      <c r="B60" s="329" t="s">
        <v>419</v>
      </c>
      <c r="C60" s="336">
        <f t="shared" si="7"/>
        <v>581.54666666666674</v>
      </c>
      <c r="D60" s="225">
        <f>C60/A48</f>
        <v>0.14110795024291553</v>
      </c>
      <c r="F60" s="801"/>
    </row>
    <row r="61" spans="2:9" x14ac:dyDescent="0.25">
      <c r="B61" s="329" t="s">
        <v>911</v>
      </c>
      <c r="C61" s="336">
        <f t="shared" si="7"/>
        <v>390.51572916666669</v>
      </c>
      <c r="D61" s="225">
        <f>C61/A48</f>
        <v>9.475572166233584E-2</v>
      </c>
    </row>
    <row r="62" spans="2:9" x14ac:dyDescent="0.25">
      <c r="B62" s="329" t="s">
        <v>1526</v>
      </c>
      <c r="C62" s="336">
        <f t="shared" si="7"/>
        <v>190.97583333333333</v>
      </c>
      <c r="D62" s="225">
        <f>C62/A48</f>
        <v>4.6338857966570737E-2</v>
      </c>
      <c r="E62" s="85" t="s">
        <v>280</v>
      </c>
    </row>
    <row r="63" spans="2:9" x14ac:dyDescent="0.25">
      <c r="B63" s="329" t="s">
        <v>2343</v>
      </c>
      <c r="C63" s="336">
        <f t="shared" si="7"/>
        <v>9.85</v>
      </c>
      <c r="D63" s="225">
        <f>C63/A48</f>
        <v>2.3900288481739228E-3</v>
      </c>
    </row>
    <row r="64" spans="2:9" x14ac:dyDescent="0.25">
      <c r="B64" s="329" t="s">
        <v>1527</v>
      </c>
      <c r="C64" s="336">
        <f t="shared" si="7"/>
        <v>427.4233333333334</v>
      </c>
      <c r="D64" s="225">
        <f>C64/A48</f>
        <v>0.10371107584257112</v>
      </c>
    </row>
    <row r="66" spans="2:4" ht="18.75" x14ac:dyDescent="0.3">
      <c r="B66" s="200" t="s">
        <v>388</v>
      </c>
      <c r="C66" s="623">
        <f>SUM(C48:C64)</f>
        <v>3782.8151736111113</v>
      </c>
      <c r="D66" s="624">
        <f>SUM(D48:D64)</f>
        <v>0.91787181647112737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Plan123"/>
  <dimension ref="A1:P250"/>
  <sheetViews>
    <sheetView zoomScale="85" zoomScaleNormal="85" workbookViewId="0">
      <pane ySplit="4" topLeftCell="A122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2846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44197</v>
      </c>
      <c r="B5" s="369" t="s">
        <v>10</v>
      </c>
      <c r="C5" s="370"/>
      <c r="D5" s="370"/>
      <c r="E5" s="777"/>
      <c r="F5" s="179"/>
      <c r="G5" s="933">
        <f>'Dezembro-20'!G139</f>
        <v>950.78458333335402</v>
      </c>
      <c r="H5" s="163"/>
      <c r="I5" s="1479">
        <f>'Dezembro-20'!I139</f>
        <v>6499.9960000000019</v>
      </c>
      <c r="J5" s="179"/>
      <c r="K5" s="933">
        <f>'Dezembro-20'!K139</f>
        <v>12519.539999999999</v>
      </c>
    </row>
    <row r="6" spans="1:15" s="224" customFormat="1" x14ac:dyDescent="0.25">
      <c r="A6" s="215">
        <v>44197</v>
      </c>
      <c r="B6" s="348" t="s">
        <v>11</v>
      </c>
      <c r="C6" s="351"/>
      <c r="D6" s="351"/>
      <c r="E6" s="673"/>
      <c r="F6" s="538">
        <v>9</v>
      </c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44197</v>
      </c>
      <c r="B7" s="349" t="s">
        <v>2847</v>
      </c>
      <c r="C7" s="350" t="s">
        <v>12</v>
      </c>
      <c r="D7" s="350" t="s">
        <v>1493</v>
      </c>
      <c r="E7" s="480" t="s">
        <v>13</v>
      </c>
      <c r="F7" s="780">
        <v>35</v>
      </c>
      <c r="G7" s="982"/>
      <c r="H7" s="1008"/>
      <c r="I7" s="1063"/>
      <c r="J7" s="622"/>
      <c r="K7" s="982"/>
      <c r="L7" s="1029"/>
      <c r="M7" s="89"/>
      <c r="N7" s="1035"/>
    </row>
    <row r="8" spans="1:15" s="224" customFormat="1" ht="15" customHeight="1" x14ac:dyDescent="0.25">
      <c r="A8" s="215">
        <v>44197</v>
      </c>
      <c r="B8" s="364" t="s">
        <v>2848</v>
      </c>
      <c r="C8" s="350" t="s">
        <v>19</v>
      </c>
      <c r="D8" s="350" t="s">
        <v>1489</v>
      </c>
      <c r="E8" s="875" t="s">
        <v>13</v>
      </c>
      <c r="F8" s="780">
        <v>36.72</v>
      </c>
      <c r="G8" s="982"/>
      <c r="H8" s="1008"/>
      <c r="I8" s="1063"/>
      <c r="J8" s="622"/>
      <c r="K8" s="982"/>
      <c r="L8" s="861"/>
      <c r="N8" s="878"/>
    </row>
    <row r="9" spans="1:15" s="224" customFormat="1" ht="15" customHeight="1" x14ac:dyDescent="0.25">
      <c r="A9" s="215">
        <v>44197</v>
      </c>
      <c r="B9" s="364" t="s">
        <v>2848</v>
      </c>
      <c r="C9" s="350" t="s">
        <v>19</v>
      </c>
      <c r="D9" s="350" t="s">
        <v>1489</v>
      </c>
      <c r="E9" s="875" t="s">
        <v>13</v>
      </c>
      <c r="F9" s="780">
        <v>59</v>
      </c>
      <c r="G9" s="982"/>
      <c r="H9" s="1008"/>
      <c r="I9" s="1063"/>
      <c r="J9" s="622"/>
      <c r="K9" s="982"/>
      <c r="L9" s="861"/>
      <c r="N9" s="878"/>
    </row>
    <row r="10" spans="1:15" s="224" customFormat="1" ht="15" customHeight="1" x14ac:dyDescent="0.25">
      <c r="A10" s="215">
        <v>44197</v>
      </c>
      <c r="B10" s="364" t="s">
        <v>2849</v>
      </c>
      <c r="C10" s="350" t="s">
        <v>12</v>
      </c>
      <c r="D10" s="350" t="s">
        <v>1491</v>
      </c>
      <c r="E10" s="875" t="s">
        <v>13</v>
      </c>
      <c r="F10" s="780">
        <v>6.5</v>
      </c>
      <c r="G10" s="982"/>
      <c r="H10" s="1008"/>
      <c r="I10" s="1063"/>
      <c r="J10" s="622"/>
      <c r="K10" s="982"/>
      <c r="L10" s="861"/>
      <c r="N10" s="878"/>
    </row>
    <row r="11" spans="1:15" s="224" customFormat="1" ht="15" customHeight="1" x14ac:dyDescent="0.25">
      <c r="A11" s="215">
        <v>44198</v>
      </c>
      <c r="B11" s="364" t="s">
        <v>82</v>
      </c>
      <c r="C11" s="350" t="s">
        <v>12</v>
      </c>
      <c r="D11" s="350" t="s">
        <v>1493</v>
      </c>
      <c r="E11" s="875" t="s">
        <v>13</v>
      </c>
      <c r="F11" s="780">
        <v>22</v>
      </c>
      <c r="G11" s="982"/>
      <c r="H11" s="1008"/>
      <c r="I11" s="1063"/>
      <c r="J11" s="622"/>
      <c r="K11" s="982"/>
      <c r="L11" s="861"/>
      <c r="N11" s="878"/>
    </row>
    <row r="12" spans="1:15" s="224" customFormat="1" ht="15" customHeight="1" x14ac:dyDescent="0.25">
      <c r="A12" s="215">
        <v>44198</v>
      </c>
      <c r="B12" s="364" t="s">
        <v>2849</v>
      </c>
      <c r="C12" s="350" t="s">
        <v>12</v>
      </c>
      <c r="D12" s="350" t="s">
        <v>1491</v>
      </c>
      <c r="E12" s="875" t="s">
        <v>13</v>
      </c>
      <c r="F12" s="780">
        <v>6</v>
      </c>
      <c r="G12" s="982"/>
      <c r="H12" s="1008"/>
      <c r="I12" s="1063"/>
      <c r="J12" s="622"/>
      <c r="K12" s="982"/>
      <c r="L12" s="861"/>
      <c r="N12" s="878"/>
    </row>
    <row r="13" spans="1:15" s="224" customFormat="1" ht="15" customHeight="1" x14ac:dyDescent="0.25">
      <c r="A13" s="215">
        <v>43832</v>
      </c>
      <c r="B13" s="364" t="s">
        <v>32</v>
      </c>
      <c r="C13" s="350" t="s">
        <v>12</v>
      </c>
      <c r="D13" s="350" t="s">
        <v>1485</v>
      </c>
      <c r="E13" s="875" t="s">
        <v>13</v>
      </c>
      <c r="F13" s="780">
        <v>25</v>
      </c>
      <c r="G13" s="946"/>
      <c r="H13" s="95"/>
      <c r="I13" s="1064"/>
      <c r="J13" s="97"/>
      <c r="K13" s="946"/>
      <c r="L13" s="926"/>
      <c r="M13" s="216"/>
      <c r="N13" s="877"/>
    </row>
    <row r="14" spans="1:15" s="224" customFormat="1" ht="15" customHeight="1" x14ac:dyDescent="0.25">
      <c r="A14" s="215">
        <v>43832</v>
      </c>
      <c r="B14" s="364" t="s">
        <v>2850</v>
      </c>
      <c r="C14" s="350" t="s">
        <v>12</v>
      </c>
      <c r="D14" s="350" t="s">
        <v>1493</v>
      </c>
      <c r="E14" s="875" t="s">
        <v>13</v>
      </c>
      <c r="F14" s="780">
        <v>25</v>
      </c>
      <c r="G14" s="946"/>
      <c r="H14" s="95"/>
      <c r="I14" s="1064"/>
      <c r="J14" s="97"/>
      <c r="K14" s="946"/>
      <c r="L14" s="926"/>
      <c r="M14" s="216"/>
      <c r="N14" s="877"/>
    </row>
    <row r="15" spans="1:15" s="224" customFormat="1" ht="15" customHeight="1" x14ac:dyDescent="0.25">
      <c r="A15" s="215">
        <v>43832</v>
      </c>
      <c r="B15" s="364" t="s">
        <v>2851</v>
      </c>
      <c r="C15" s="350" t="s">
        <v>12</v>
      </c>
      <c r="D15" s="350" t="s">
        <v>1493</v>
      </c>
      <c r="E15" s="875" t="s">
        <v>13</v>
      </c>
      <c r="F15" s="780">
        <v>8.2799999999999994</v>
      </c>
      <c r="G15" s="946"/>
      <c r="H15" s="95"/>
      <c r="I15" s="1064"/>
      <c r="J15" s="97"/>
      <c r="K15" s="946"/>
      <c r="L15" s="926"/>
      <c r="M15" s="216"/>
      <c r="N15" s="877"/>
    </row>
    <row r="16" spans="1:15" s="224" customFormat="1" ht="15" customHeight="1" x14ac:dyDescent="0.25">
      <c r="A16" s="215">
        <v>44199</v>
      </c>
      <c r="B16" s="364" t="s">
        <v>2849</v>
      </c>
      <c r="C16" s="350" t="s">
        <v>12</v>
      </c>
      <c r="D16" s="350" t="s">
        <v>1491</v>
      </c>
      <c r="E16" s="875" t="s">
        <v>13</v>
      </c>
      <c r="F16" s="780">
        <v>6</v>
      </c>
      <c r="G16" s="982"/>
      <c r="H16" s="1008"/>
      <c r="I16" s="1063"/>
      <c r="J16" s="622"/>
      <c r="K16" s="982"/>
      <c r="L16" s="861"/>
      <c r="N16" s="878"/>
    </row>
    <row r="17" spans="1:14" s="224" customFormat="1" ht="15" customHeight="1" x14ac:dyDescent="0.25">
      <c r="A17" s="215">
        <v>43833</v>
      </c>
      <c r="B17" s="364" t="s">
        <v>32</v>
      </c>
      <c r="C17" s="350" t="s">
        <v>12</v>
      </c>
      <c r="D17" s="350" t="s">
        <v>1485</v>
      </c>
      <c r="E17" s="875" t="s">
        <v>13</v>
      </c>
      <c r="F17" s="780">
        <v>25</v>
      </c>
      <c r="G17" s="946"/>
      <c r="H17" s="95"/>
      <c r="I17" s="1064"/>
      <c r="J17" s="97"/>
      <c r="K17" s="946"/>
      <c r="L17" s="926"/>
      <c r="M17" s="216"/>
      <c r="N17" s="877"/>
    </row>
    <row r="18" spans="1:14" s="224" customFormat="1" ht="15" customHeight="1" x14ac:dyDescent="0.25">
      <c r="A18" s="215">
        <v>43833</v>
      </c>
      <c r="B18" s="364" t="s">
        <v>2852</v>
      </c>
      <c r="C18" s="350" t="s">
        <v>12</v>
      </c>
      <c r="D18" s="350" t="s">
        <v>1493</v>
      </c>
      <c r="E18" s="875" t="s">
        <v>13</v>
      </c>
      <c r="F18" s="780">
        <v>27.5</v>
      </c>
      <c r="G18" s="946"/>
      <c r="H18" s="95"/>
      <c r="I18" s="1064"/>
      <c r="J18" s="97"/>
      <c r="K18" s="946"/>
      <c r="L18" s="926"/>
      <c r="M18" s="216"/>
      <c r="N18" s="877"/>
    </row>
    <row r="19" spans="1:14" s="224" customFormat="1" ht="15" customHeight="1" x14ac:dyDescent="0.25">
      <c r="A19" s="215">
        <v>44199</v>
      </c>
      <c r="B19" s="364" t="s">
        <v>2251</v>
      </c>
      <c r="C19" s="350" t="s">
        <v>12</v>
      </c>
      <c r="D19" s="350" t="s">
        <v>2157</v>
      </c>
      <c r="E19" s="875" t="s">
        <v>13</v>
      </c>
      <c r="F19" s="780">
        <v>60</v>
      </c>
      <c r="G19" s="982"/>
      <c r="H19" s="1008"/>
      <c r="I19" s="1063"/>
      <c r="J19" s="622"/>
      <c r="K19" s="982"/>
      <c r="L19" s="1029"/>
      <c r="M19" s="89"/>
      <c r="N19" s="930"/>
    </row>
    <row r="20" spans="1:14" s="224" customFormat="1" ht="15" customHeight="1" x14ac:dyDescent="0.25">
      <c r="A20" s="215">
        <v>44199</v>
      </c>
      <c r="B20" s="364" t="s">
        <v>2251</v>
      </c>
      <c r="C20" s="350" t="s">
        <v>12</v>
      </c>
      <c r="D20" s="350" t="s">
        <v>2157</v>
      </c>
      <c r="E20" s="875" t="s">
        <v>13</v>
      </c>
      <c r="F20" s="780">
        <v>50</v>
      </c>
      <c r="G20" s="982"/>
      <c r="H20" s="1008"/>
      <c r="I20" s="1063"/>
      <c r="J20" s="622"/>
      <c r="K20" s="982"/>
      <c r="L20" s="1029"/>
      <c r="M20" s="89"/>
      <c r="N20" s="930"/>
    </row>
    <row r="21" spans="1:14" s="224" customFormat="1" ht="15" customHeight="1" x14ac:dyDescent="0.25">
      <c r="A21" s="215">
        <v>43834</v>
      </c>
      <c r="B21" s="364" t="s">
        <v>32</v>
      </c>
      <c r="C21" s="350" t="s">
        <v>12</v>
      </c>
      <c r="D21" s="350" t="s">
        <v>1485</v>
      </c>
      <c r="E21" s="875" t="s">
        <v>13</v>
      </c>
      <c r="F21" s="780">
        <v>15</v>
      </c>
      <c r="G21" s="946"/>
      <c r="H21" s="95"/>
      <c r="I21" s="1064"/>
      <c r="J21" s="97"/>
      <c r="K21" s="946"/>
      <c r="L21" s="926"/>
      <c r="M21" s="216"/>
      <c r="N21" s="877"/>
    </row>
    <row r="22" spans="1:14" s="224" customFormat="1" ht="15" customHeight="1" x14ac:dyDescent="0.25">
      <c r="A22" s="215">
        <v>44200</v>
      </c>
      <c r="B22" s="364" t="s">
        <v>14</v>
      </c>
      <c r="C22" s="350" t="s">
        <v>12</v>
      </c>
      <c r="D22" s="350" t="s">
        <v>1486</v>
      </c>
      <c r="E22" s="875" t="s">
        <v>13</v>
      </c>
      <c r="F22" s="780">
        <v>4.08</v>
      </c>
      <c r="G22" s="982"/>
      <c r="H22" s="1008"/>
      <c r="I22" s="1063"/>
      <c r="J22" s="622"/>
      <c r="K22" s="982"/>
      <c r="L22" s="861"/>
      <c r="M22" s="881"/>
      <c r="N22" s="877"/>
    </row>
    <row r="23" spans="1:14" s="224" customFormat="1" ht="15" customHeight="1" x14ac:dyDescent="0.25">
      <c r="A23" s="215">
        <v>44201</v>
      </c>
      <c r="B23" s="364" t="s">
        <v>256</v>
      </c>
      <c r="C23" s="350"/>
      <c r="D23" s="350"/>
      <c r="E23" s="875" t="s">
        <v>25</v>
      </c>
      <c r="F23" s="780"/>
      <c r="G23" s="1064">
        <v>4400</v>
      </c>
      <c r="H23" s="97">
        <v>4400</v>
      </c>
      <c r="I23" s="1063"/>
      <c r="J23" s="622"/>
      <c r="K23" s="982"/>
      <c r="L23" s="861"/>
      <c r="N23" s="930"/>
    </row>
    <row r="24" spans="1:14" s="224" customFormat="1" ht="15" customHeight="1" x14ac:dyDescent="0.25">
      <c r="A24" s="215">
        <v>44201</v>
      </c>
      <c r="B24" s="349" t="s">
        <v>1661</v>
      </c>
      <c r="C24" s="352" t="s">
        <v>12</v>
      </c>
      <c r="D24" s="874"/>
      <c r="E24" s="875" t="s">
        <v>13</v>
      </c>
      <c r="F24" s="852">
        <v>4386.62</v>
      </c>
      <c r="G24" s="957"/>
      <c r="H24" s="622"/>
      <c r="I24" s="982"/>
      <c r="J24" s="622"/>
      <c r="K24" s="982">
        <f>F24</f>
        <v>4386.62</v>
      </c>
      <c r="L24" s="178"/>
    </row>
    <row r="25" spans="1:14" s="224" customFormat="1" ht="15" customHeight="1" x14ac:dyDescent="0.25">
      <c r="A25" s="215">
        <v>43835</v>
      </c>
      <c r="B25" s="364" t="s">
        <v>32</v>
      </c>
      <c r="C25" s="350" t="s">
        <v>12</v>
      </c>
      <c r="D25" s="350" t="s">
        <v>1485</v>
      </c>
      <c r="E25" s="875" t="s">
        <v>13</v>
      </c>
      <c r="F25" s="780">
        <v>15</v>
      </c>
      <c r="G25" s="946"/>
      <c r="H25" s="95"/>
      <c r="I25" s="1064"/>
      <c r="J25" s="97"/>
      <c r="K25" s="946"/>
      <c r="L25" s="926"/>
      <c r="M25" s="216"/>
      <c r="N25" s="877"/>
    </row>
    <row r="26" spans="1:14" s="224" customFormat="1" ht="15" customHeight="1" x14ac:dyDescent="0.25">
      <c r="A26" s="215">
        <v>44201</v>
      </c>
      <c r="B26" s="364" t="s">
        <v>14</v>
      </c>
      <c r="C26" s="350" t="s">
        <v>12</v>
      </c>
      <c r="D26" s="350" t="s">
        <v>1486</v>
      </c>
      <c r="E26" s="875" t="s">
        <v>13</v>
      </c>
      <c r="F26" s="780">
        <v>3.45</v>
      </c>
      <c r="G26" s="982"/>
      <c r="H26" s="1008"/>
      <c r="I26" s="1063"/>
      <c r="J26" s="622"/>
      <c r="K26" s="982"/>
      <c r="L26" s="1029"/>
      <c r="M26" s="881"/>
      <c r="N26" s="877"/>
    </row>
    <row r="27" spans="1:14" s="224" customFormat="1" ht="15" customHeight="1" x14ac:dyDescent="0.25">
      <c r="A27" s="215">
        <v>44201</v>
      </c>
      <c r="B27" s="364" t="s">
        <v>2251</v>
      </c>
      <c r="C27" s="350" t="s">
        <v>12</v>
      </c>
      <c r="D27" s="350" t="s">
        <v>2157</v>
      </c>
      <c r="E27" s="875" t="s">
        <v>13</v>
      </c>
      <c r="F27" s="780">
        <v>50</v>
      </c>
      <c r="G27" s="982"/>
      <c r="H27" s="1008"/>
      <c r="I27" s="1063"/>
      <c r="J27" s="622"/>
      <c r="K27" s="982"/>
      <c r="L27" s="1029"/>
      <c r="M27" s="89"/>
      <c r="N27" s="930"/>
    </row>
    <row r="28" spans="1:14" s="224" customFormat="1" ht="15" customHeight="1" x14ac:dyDescent="0.25">
      <c r="A28" s="215">
        <v>43836</v>
      </c>
      <c r="B28" s="364" t="s">
        <v>32</v>
      </c>
      <c r="C28" s="350" t="s">
        <v>12</v>
      </c>
      <c r="D28" s="350" t="s">
        <v>1485</v>
      </c>
      <c r="E28" s="875" t="s">
        <v>13</v>
      </c>
      <c r="F28" s="780">
        <v>15</v>
      </c>
      <c r="G28" s="946"/>
      <c r="H28" s="95"/>
      <c r="I28" s="1064"/>
      <c r="J28" s="97"/>
      <c r="K28" s="946"/>
      <c r="L28" s="926"/>
      <c r="M28" s="216"/>
      <c r="N28" s="877"/>
    </row>
    <row r="29" spans="1:14" s="224" customFormat="1" ht="15" customHeight="1" x14ac:dyDescent="0.25">
      <c r="A29" s="215">
        <v>44202</v>
      </c>
      <c r="B29" s="364" t="s">
        <v>2853</v>
      </c>
      <c r="C29" s="350" t="s">
        <v>12</v>
      </c>
      <c r="D29" s="350" t="s">
        <v>1489</v>
      </c>
      <c r="E29" s="875" t="s">
        <v>13</v>
      </c>
      <c r="F29" s="780">
        <v>30</v>
      </c>
      <c r="G29" s="982"/>
      <c r="H29" s="1008"/>
      <c r="I29" s="1063"/>
      <c r="J29" s="622"/>
      <c r="K29" s="982"/>
      <c r="L29" s="861"/>
      <c r="M29" s="1027"/>
      <c r="N29" s="878"/>
    </row>
    <row r="30" spans="1:14" s="224" customFormat="1" ht="15" customHeight="1" x14ac:dyDescent="0.25">
      <c r="A30" s="215">
        <v>44202</v>
      </c>
      <c r="B30" s="364" t="s">
        <v>14</v>
      </c>
      <c r="C30" s="350" t="s">
        <v>12</v>
      </c>
      <c r="D30" s="350" t="s">
        <v>1486</v>
      </c>
      <c r="E30" s="875" t="s">
        <v>13</v>
      </c>
      <c r="F30" s="780">
        <v>5.56</v>
      </c>
      <c r="G30" s="982"/>
      <c r="H30" s="1008"/>
      <c r="I30" s="1063"/>
      <c r="J30" s="622"/>
      <c r="K30" s="982"/>
      <c r="L30" s="861"/>
      <c r="M30" s="1027"/>
      <c r="N30" s="878"/>
    </row>
    <row r="31" spans="1:14" s="224" customFormat="1" ht="15.75" customHeight="1" x14ac:dyDescent="0.25">
      <c r="A31" s="215">
        <v>44203</v>
      </c>
      <c r="B31" s="349" t="s">
        <v>2854</v>
      </c>
      <c r="C31" s="879" t="s">
        <v>12</v>
      </c>
      <c r="D31" s="874"/>
      <c r="E31" s="871" t="s">
        <v>25</v>
      </c>
      <c r="F31" s="1514"/>
      <c r="G31" s="1002">
        <v>64.56</v>
      </c>
      <c r="H31" s="250"/>
      <c r="I31" s="946"/>
      <c r="J31" s="97"/>
      <c r="K31" s="946"/>
    </row>
    <row r="32" spans="1:14" s="224" customFormat="1" ht="15.75" customHeight="1" x14ac:dyDescent="0.25">
      <c r="A32" s="215">
        <v>44203</v>
      </c>
      <c r="B32" s="349" t="s">
        <v>2855</v>
      </c>
      <c r="C32" s="879" t="s">
        <v>12</v>
      </c>
      <c r="D32" s="874"/>
      <c r="E32" s="871" t="s">
        <v>25</v>
      </c>
      <c r="F32" s="1514"/>
      <c r="G32" s="1002">
        <v>2214</v>
      </c>
      <c r="H32" s="250"/>
      <c r="I32" s="946"/>
      <c r="J32" s="97"/>
      <c r="K32" s="946"/>
    </row>
    <row r="33" spans="1:14" s="224" customFormat="1" ht="15" customHeight="1" x14ac:dyDescent="0.25">
      <c r="A33" s="215">
        <v>44203</v>
      </c>
      <c r="B33" s="349" t="s">
        <v>2856</v>
      </c>
      <c r="C33" s="887" t="s">
        <v>12</v>
      </c>
      <c r="D33" s="1005" t="s">
        <v>1506</v>
      </c>
      <c r="E33" s="887" t="s">
        <v>13</v>
      </c>
      <c r="F33" s="613">
        <v>40</v>
      </c>
      <c r="G33" s="982"/>
      <c r="H33" s="861"/>
      <c r="I33" s="1063"/>
      <c r="J33" s="622"/>
      <c r="K33" s="982"/>
      <c r="L33" s="927"/>
      <c r="M33" s="999"/>
      <c r="N33" s="878"/>
    </row>
    <row r="34" spans="1:14" s="224" customFormat="1" ht="15" customHeight="1" x14ac:dyDescent="0.25">
      <c r="A34" s="215">
        <v>44203</v>
      </c>
      <c r="B34" s="349" t="s">
        <v>2856</v>
      </c>
      <c r="C34" s="887" t="s">
        <v>12</v>
      </c>
      <c r="D34" s="1005" t="s">
        <v>1506</v>
      </c>
      <c r="E34" s="887" t="s">
        <v>13</v>
      </c>
      <c r="F34" s="613">
        <v>60</v>
      </c>
      <c r="G34" s="982"/>
      <c r="H34" s="1008"/>
      <c r="I34" s="1063"/>
      <c r="J34" s="622"/>
      <c r="K34" s="982"/>
      <c r="L34" s="1029"/>
      <c r="M34" s="999"/>
      <c r="N34" s="1035"/>
    </row>
    <row r="35" spans="1:14" s="224" customFormat="1" ht="15" customHeight="1" x14ac:dyDescent="0.25">
      <c r="A35" s="215">
        <v>44203</v>
      </c>
      <c r="B35" s="349" t="s">
        <v>2856</v>
      </c>
      <c r="C35" s="887" t="s">
        <v>12</v>
      </c>
      <c r="D35" s="1005" t="s">
        <v>1506</v>
      </c>
      <c r="E35" s="887" t="s">
        <v>13</v>
      </c>
      <c r="F35" s="613">
        <v>40</v>
      </c>
      <c r="G35" s="982"/>
      <c r="H35" s="861"/>
      <c r="I35" s="1063"/>
      <c r="J35" s="622"/>
      <c r="K35" s="982"/>
      <c r="L35" s="927"/>
      <c r="M35" s="999"/>
      <c r="N35" s="878"/>
    </row>
    <row r="36" spans="1:14" s="224" customFormat="1" ht="15" customHeight="1" x14ac:dyDescent="0.25">
      <c r="A36" s="215">
        <v>44203</v>
      </c>
      <c r="B36" s="349" t="s">
        <v>2856</v>
      </c>
      <c r="C36" s="887" t="s">
        <v>12</v>
      </c>
      <c r="D36" s="1005" t="s">
        <v>1489</v>
      </c>
      <c r="E36" s="887" t="s">
        <v>13</v>
      </c>
      <c r="F36" s="613">
        <v>50</v>
      </c>
      <c r="G36" s="982"/>
      <c r="H36" s="1008"/>
      <c r="I36" s="1063"/>
      <c r="J36" s="622"/>
      <c r="K36" s="982"/>
      <c r="L36" s="1029"/>
      <c r="M36" s="999"/>
      <c r="N36" s="1035"/>
    </row>
    <row r="37" spans="1:14" s="224" customFormat="1" ht="15" customHeight="1" x14ac:dyDescent="0.25">
      <c r="A37" s="215">
        <v>44203</v>
      </c>
      <c r="B37" s="349" t="s">
        <v>2856</v>
      </c>
      <c r="C37" s="887" t="s">
        <v>12</v>
      </c>
      <c r="D37" s="1005" t="s">
        <v>1496</v>
      </c>
      <c r="E37" s="887" t="s">
        <v>13</v>
      </c>
      <c r="F37" s="613">
        <v>50</v>
      </c>
      <c r="G37" s="982"/>
      <c r="H37" s="1008"/>
      <c r="I37" s="1063"/>
      <c r="J37" s="622"/>
      <c r="K37" s="982"/>
      <c r="L37" s="861"/>
      <c r="N37" s="1035"/>
    </row>
    <row r="38" spans="1:14" s="224" customFormat="1" ht="15" customHeight="1" x14ac:dyDescent="0.25">
      <c r="A38" s="215">
        <v>44203</v>
      </c>
      <c r="B38" s="349" t="s">
        <v>2856</v>
      </c>
      <c r="C38" s="887" t="s">
        <v>12</v>
      </c>
      <c r="D38" s="1005" t="s">
        <v>1524</v>
      </c>
      <c r="E38" s="887" t="s">
        <v>13</v>
      </c>
      <c r="F38" s="613">
        <v>92</v>
      </c>
      <c r="G38" s="982"/>
      <c r="H38" s="1008"/>
      <c r="I38" s="1063"/>
      <c r="J38" s="622"/>
      <c r="K38" s="982"/>
      <c r="L38" s="3148" t="s">
        <v>2857</v>
      </c>
      <c r="M38" s="3149"/>
      <c r="N38" s="878"/>
    </row>
    <row r="39" spans="1:14" s="224" customFormat="1" ht="15" customHeight="1" x14ac:dyDescent="0.25">
      <c r="A39" s="215">
        <v>44203</v>
      </c>
      <c r="B39" s="349" t="s">
        <v>2856</v>
      </c>
      <c r="C39" s="887" t="s">
        <v>12</v>
      </c>
      <c r="D39" s="1005" t="s">
        <v>1522</v>
      </c>
      <c r="E39" s="887" t="s">
        <v>13</v>
      </c>
      <c r="F39" s="613">
        <v>70</v>
      </c>
      <c r="G39" s="967"/>
      <c r="H39" s="1008"/>
      <c r="I39" s="1063"/>
      <c r="J39" s="622"/>
      <c r="K39" s="982"/>
      <c r="L39" s="861"/>
      <c r="N39" s="878"/>
    </row>
    <row r="40" spans="1:14" s="224" customFormat="1" ht="15" customHeight="1" x14ac:dyDescent="0.25">
      <c r="A40" s="215">
        <v>44203</v>
      </c>
      <c r="B40" s="349" t="s">
        <v>2856</v>
      </c>
      <c r="C40" s="887" t="s">
        <v>12</v>
      </c>
      <c r="D40" s="1005" t="s">
        <v>1522</v>
      </c>
      <c r="E40" s="887" t="s">
        <v>13</v>
      </c>
      <c r="F40" s="613">
        <v>23.195</v>
      </c>
      <c r="G40" s="982"/>
      <c r="H40" s="1008"/>
      <c r="I40" s="1063"/>
      <c r="J40" s="622"/>
      <c r="K40" s="982"/>
      <c r="L40" s="861"/>
      <c r="N40" s="1035"/>
    </row>
    <row r="41" spans="1:14" s="224" customFormat="1" ht="15" customHeight="1" x14ac:dyDescent="0.25">
      <c r="A41" s="215">
        <v>44203</v>
      </c>
      <c r="B41" s="349" t="s">
        <v>2856</v>
      </c>
      <c r="C41" s="887" t="s">
        <v>12</v>
      </c>
      <c r="D41" s="1005" t="s">
        <v>1525</v>
      </c>
      <c r="E41" s="887" t="s">
        <v>13</v>
      </c>
      <c r="F41" s="613">
        <v>42.94</v>
      </c>
      <c r="G41" s="982"/>
      <c r="H41" s="1008"/>
      <c r="I41" s="1063"/>
      <c r="J41" s="622"/>
      <c r="K41" s="982"/>
      <c r="L41" s="861"/>
      <c r="N41" s="1035"/>
    </row>
    <row r="42" spans="1:14" s="224" customFormat="1" ht="15" customHeight="1" x14ac:dyDescent="0.25">
      <c r="A42" s="215">
        <v>44203</v>
      </c>
      <c r="B42" s="349" t="s">
        <v>2856</v>
      </c>
      <c r="C42" s="887" t="s">
        <v>12</v>
      </c>
      <c r="D42" s="1005" t="s">
        <v>1525</v>
      </c>
      <c r="E42" s="887" t="s">
        <v>13</v>
      </c>
      <c r="F42" s="613">
        <v>33.4</v>
      </c>
      <c r="G42" s="982"/>
      <c r="H42" s="1008"/>
      <c r="I42" s="1063"/>
      <c r="J42" s="622"/>
      <c r="K42" s="982"/>
      <c r="L42" s="861"/>
      <c r="N42" s="878"/>
    </row>
    <row r="43" spans="1:14" s="224" customFormat="1" ht="15" customHeight="1" x14ac:dyDescent="0.25">
      <c r="A43" s="215">
        <v>44203</v>
      </c>
      <c r="B43" s="349" t="s">
        <v>2856</v>
      </c>
      <c r="C43" s="887" t="s">
        <v>12</v>
      </c>
      <c r="D43" s="1005" t="s">
        <v>1506</v>
      </c>
      <c r="E43" s="887" t="s">
        <v>13</v>
      </c>
      <c r="F43" s="613">
        <v>59.9</v>
      </c>
      <c r="G43" s="967"/>
      <c r="H43" s="1008"/>
      <c r="I43" s="1063"/>
      <c r="J43" s="622"/>
      <c r="K43" s="982"/>
      <c r="L43" s="861"/>
      <c r="N43" s="878"/>
    </row>
    <row r="44" spans="1:14" s="224" customFormat="1" ht="15" customHeight="1" x14ac:dyDescent="0.25">
      <c r="A44" s="215">
        <v>44203</v>
      </c>
      <c r="B44" s="349" t="s">
        <v>2856</v>
      </c>
      <c r="C44" s="887" t="s">
        <v>12</v>
      </c>
      <c r="D44" s="1005" t="s">
        <v>1489</v>
      </c>
      <c r="E44" s="887" t="s">
        <v>13</v>
      </c>
      <c r="F44" s="613">
        <v>50</v>
      </c>
      <c r="G44" s="982"/>
      <c r="H44" s="1008"/>
      <c r="I44" s="1063"/>
      <c r="J44" s="622"/>
      <c r="K44" s="982"/>
      <c r="L44" s="861"/>
      <c r="N44" s="1035"/>
    </row>
    <row r="45" spans="1:14" s="224" customFormat="1" ht="15" customHeight="1" x14ac:dyDescent="0.25">
      <c r="A45" s="215">
        <v>44203</v>
      </c>
      <c r="B45" s="349" t="s">
        <v>2856</v>
      </c>
      <c r="C45" s="887" t="s">
        <v>12</v>
      </c>
      <c r="D45" s="1005" t="s">
        <v>1489</v>
      </c>
      <c r="E45" s="887" t="s">
        <v>13</v>
      </c>
      <c r="F45" s="613">
        <v>43</v>
      </c>
      <c r="G45" s="982"/>
      <c r="H45" s="1008"/>
      <c r="I45" s="1063"/>
      <c r="J45" s="622"/>
      <c r="K45" s="982"/>
      <c r="L45" s="861"/>
      <c r="N45" s="878"/>
    </row>
    <row r="46" spans="1:14" s="224" customFormat="1" ht="15" customHeight="1" x14ac:dyDescent="0.25">
      <c r="A46" s="215">
        <v>44203</v>
      </c>
      <c r="B46" s="862" t="s">
        <v>2385</v>
      </c>
      <c r="C46" s="879" t="s">
        <v>12</v>
      </c>
      <c r="D46" s="879" t="s">
        <v>1504</v>
      </c>
      <c r="E46" s="871" t="s">
        <v>13</v>
      </c>
      <c r="F46" s="780">
        <v>50</v>
      </c>
      <c r="G46" s="982"/>
      <c r="H46" s="1008"/>
      <c r="I46" s="1063"/>
      <c r="J46" s="622"/>
      <c r="K46" s="982"/>
      <c r="L46" s="1028">
        <v>90</v>
      </c>
      <c r="M46" s="999"/>
      <c r="N46" s="1035"/>
    </row>
    <row r="47" spans="1:14" s="224" customFormat="1" ht="15.75" customHeight="1" x14ac:dyDescent="0.25">
      <c r="A47" s="215">
        <v>44203</v>
      </c>
      <c r="B47" s="882" t="s">
        <v>2858</v>
      </c>
      <c r="C47" s="879" t="s">
        <v>12</v>
      </c>
      <c r="D47" s="879" t="s">
        <v>1499</v>
      </c>
      <c r="E47" s="871" t="s">
        <v>13</v>
      </c>
      <c r="F47" s="780">
        <v>52</v>
      </c>
      <c r="G47" s="982"/>
      <c r="H47" s="1008"/>
      <c r="I47" s="1063"/>
      <c r="J47" s="622"/>
      <c r="K47" s="982"/>
      <c r="L47" s="1028">
        <v>142</v>
      </c>
      <c r="M47" s="999"/>
      <c r="N47" s="878"/>
    </row>
    <row r="48" spans="1:14" s="224" customFormat="1" ht="15" customHeight="1" x14ac:dyDescent="0.25">
      <c r="A48" s="215">
        <v>44203</v>
      </c>
      <c r="B48" s="364" t="s">
        <v>32</v>
      </c>
      <c r="C48" s="350" t="s">
        <v>12</v>
      </c>
      <c r="D48" s="350" t="s">
        <v>1485</v>
      </c>
      <c r="E48" s="875" t="s">
        <v>15</v>
      </c>
      <c r="F48" s="780">
        <v>15</v>
      </c>
      <c r="G48" s="946"/>
      <c r="H48" s="95"/>
      <c r="I48" s="1064"/>
      <c r="J48" s="97"/>
      <c r="K48" s="946"/>
      <c r="L48" s="926"/>
      <c r="M48" s="216"/>
      <c r="N48" s="877"/>
    </row>
    <row r="49" spans="1:16" s="224" customFormat="1" ht="15" customHeight="1" x14ac:dyDescent="0.25">
      <c r="A49" s="215">
        <v>44203</v>
      </c>
      <c r="B49" s="364" t="s">
        <v>2415</v>
      </c>
      <c r="C49" s="350" t="s">
        <v>12</v>
      </c>
      <c r="D49" s="350" t="s">
        <v>1493</v>
      </c>
      <c r="E49" s="875" t="s">
        <v>15</v>
      </c>
      <c r="F49" s="780">
        <v>5</v>
      </c>
      <c r="G49" s="982"/>
      <c r="H49" s="1008"/>
      <c r="I49" s="1063"/>
      <c r="J49" s="622"/>
      <c r="K49" s="982"/>
      <c r="L49" s="861"/>
      <c r="N49" s="878"/>
    </row>
    <row r="50" spans="1:16" s="224" customFormat="1" ht="15" customHeight="1" x14ac:dyDescent="0.25">
      <c r="A50" s="215">
        <v>44203</v>
      </c>
      <c r="B50" s="364" t="s">
        <v>2859</v>
      </c>
      <c r="C50" s="350" t="s">
        <v>12</v>
      </c>
      <c r="D50" s="350" t="s">
        <v>1522</v>
      </c>
      <c r="E50" s="871" t="s">
        <v>13</v>
      </c>
      <c r="F50" s="780">
        <v>207.66</v>
      </c>
      <c r="G50" s="982"/>
      <c r="H50" s="1008"/>
      <c r="I50" s="1063"/>
      <c r="J50" s="622"/>
      <c r="K50" s="982"/>
      <c r="L50" s="1029"/>
      <c r="M50" s="881"/>
      <c r="N50" s="877"/>
    </row>
    <row r="51" spans="1:16" s="224" customFormat="1" ht="15" customHeight="1" x14ac:dyDescent="0.25">
      <c r="A51" s="215">
        <v>44203</v>
      </c>
      <c r="B51" s="364" t="s">
        <v>2860</v>
      </c>
      <c r="C51" s="350" t="s">
        <v>12</v>
      </c>
      <c r="D51" s="350" t="s">
        <v>2131</v>
      </c>
      <c r="E51" s="871" t="s">
        <v>13</v>
      </c>
      <c r="F51" s="780">
        <v>73.83</v>
      </c>
      <c r="G51" s="982"/>
      <c r="H51" s="1008"/>
      <c r="I51" s="1063"/>
      <c r="J51" s="622"/>
      <c r="K51" s="982"/>
      <c r="L51" s="1029"/>
      <c r="M51" s="881"/>
      <c r="N51" s="877"/>
    </row>
    <row r="52" spans="1:16" s="224" customFormat="1" ht="15" customHeight="1" x14ac:dyDescent="0.25">
      <c r="A52" s="215">
        <v>44204</v>
      </c>
      <c r="B52" s="364" t="s">
        <v>32</v>
      </c>
      <c r="C52" s="350" t="s">
        <v>12</v>
      </c>
      <c r="D52" s="350" t="s">
        <v>1485</v>
      </c>
      <c r="E52" s="875" t="s">
        <v>15</v>
      </c>
      <c r="F52" s="780">
        <v>15</v>
      </c>
      <c r="G52" s="946"/>
      <c r="H52" s="95"/>
      <c r="I52" s="1064"/>
      <c r="J52" s="97"/>
      <c r="K52" s="946"/>
      <c r="L52" s="926"/>
      <c r="M52" s="216"/>
      <c r="N52" s="877"/>
    </row>
    <row r="53" spans="1:16" s="224" customFormat="1" ht="15" customHeight="1" x14ac:dyDescent="0.25">
      <c r="A53" s="215">
        <v>44204</v>
      </c>
      <c r="B53" s="364" t="s">
        <v>2415</v>
      </c>
      <c r="C53" s="350" t="s">
        <v>12</v>
      </c>
      <c r="D53" s="350" t="s">
        <v>1493</v>
      </c>
      <c r="E53" s="875" t="s">
        <v>15</v>
      </c>
      <c r="F53" s="780">
        <v>5</v>
      </c>
      <c r="G53" s="982"/>
      <c r="H53" s="1008"/>
      <c r="I53" s="1063"/>
      <c r="J53" s="622"/>
      <c r="K53" s="982"/>
      <c r="L53" s="861"/>
      <c r="N53" s="878"/>
    </row>
    <row r="54" spans="1:16" s="224" customFormat="1" ht="15" customHeight="1" x14ac:dyDescent="0.25">
      <c r="A54" s="215">
        <v>44204</v>
      </c>
      <c r="B54" s="364" t="s">
        <v>2603</v>
      </c>
      <c r="C54" s="350" t="s">
        <v>12</v>
      </c>
      <c r="D54" s="350" t="s">
        <v>1491</v>
      </c>
      <c r="E54" s="871" t="s">
        <v>15</v>
      </c>
      <c r="F54" s="780">
        <v>100</v>
      </c>
      <c r="G54" s="982"/>
      <c r="H54" s="1008"/>
      <c r="I54" s="1063"/>
      <c r="J54" s="622"/>
      <c r="K54" s="982"/>
      <c r="L54" s="1029"/>
      <c r="M54" s="881"/>
      <c r="N54" s="877"/>
    </row>
    <row r="55" spans="1:16" s="224" customFormat="1" ht="15" customHeight="1" x14ac:dyDescent="0.25">
      <c r="A55" s="215">
        <v>44204</v>
      </c>
      <c r="B55" s="364" t="s">
        <v>14</v>
      </c>
      <c r="C55" s="350" t="s">
        <v>12</v>
      </c>
      <c r="D55" s="350" t="s">
        <v>1486</v>
      </c>
      <c r="E55" s="875" t="s">
        <v>13</v>
      </c>
      <c r="F55" s="780">
        <v>17.760000000000002</v>
      </c>
      <c r="G55" s="982"/>
      <c r="H55" s="1008"/>
      <c r="I55" s="1063"/>
      <c r="J55" s="622"/>
      <c r="K55" s="982"/>
      <c r="L55" s="861"/>
      <c r="N55" s="877"/>
      <c r="P55" s="931"/>
    </row>
    <row r="56" spans="1:16" s="224" customFormat="1" ht="15" customHeight="1" x14ac:dyDescent="0.25">
      <c r="A56" s="215">
        <v>44205</v>
      </c>
      <c r="B56" s="364" t="s">
        <v>14</v>
      </c>
      <c r="C56" s="350" t="s">
        <v>12</v>
      </c>
      <c r="D56" s="350" t="s">
        <v>1486</v>
      </c>
      <c r="E56" s="875" t="s">
        <v>13</v>
      </c>
      <c r="F56" s="780">
        <v>3.24</v>
      </c>
      <c r="G56" s="982"/>
      <c r="H56" s="1008"/>
      <c r="I56" s="1063"/>
      <c r="J56" s="622"/>
      <c r="K56" s="982"/>
      <c r="L56" s="861"/>
      <c r="N56" s="877"/>
      <c r="P56" s="931"/>
    </row>
    <row r="57" spans="1:16" s="224" customFormat="1" ht="15" customHeight="1" x14ac:dyDescent="0.25">
      <c r="A57" s="215">
        <v>44205</v>
      </c>
      <c r="B57" s="349" t="s">
        <v>147</v>
      </c>
      <c r="C57" s="879" t="s">
        <v>12</v>
      </c>
      <c r="D57" s="879" t="s">
        <v>1506</v>
      </c>
      <c r="E57" s="871" t="s">
        <v>15</v>
      </c>
      <c r="F57" s="780">
        <v>10</v>
      </c>
      <c r="G57" s="982"/>
      <c r="H57" s="1008"/>
      <c r="I57" s="1063"/>
      <c r="J57" s="622"/>
      <c r="K57" s="982"/>
      <c r="L57" s="861"/>
      <c r="N57" s="878"/>
    </row>
    <row r="58" spans="1:16" s="224" customFormat="1" ht="15" customHeight="1" x14ac:dyDescent="0.25">
      <c r="A58" s="215">
        <v>44205</v>
      </c>
      <c r="B58" s="349" t="s">
        <v>2375</v>
      </c>
      <c r="C58" s="879" t="s">
        <v>12</v>
      </c>
      <c r="D58" s="879" t="s">
        <v>1506</v>
      </c>
      <c r="E58" s="871" t="s">
        <v>15</v>
      </c>
      <c r="F58" s="780">
        <v>10</v>
      </c>
      <c r="G58" s="982"/>
      <c r="H58" s="1008"/>
      <c r="I58" s="1063"/>
      <c r="J58" s="622"/>
      <c r="K58" s="982"/>
      <c r="L58" s="861"/>
      <c r="N58" s="878"/>
    </row>
    <row r="59" spans="1:16" s="224" customFormat="1" ht="15" customHeight="1" x14ac:dyDescent="0.25">
      <c r="A59" s="215">
        <v>44205</v>
      </c>
      <c r="B59" s="364" t="s">
        <v>81</v>
      </c>
      <c r="C59" s="350" t="s">
        <v>12</v>
      </c>
      <c r="D59" s="350" t="s">
        <v>1493</v>
      </c>
      <c r="E59" s="875" t="s">
        <v>13</v>
      </c>
      <c r="F59" s="780">
        <v>5.63</v>
      </c>
      <c r="G59" s="982"/>
      <c r="H59" s="1008"/>
      <c r="I59" s="1063"/>
      <c r="J59" s="622"/>
      <c r="K59" s="982"/>
      <c r="L59" s="1029"/>
      <c r="M59" s="881"/>
    </row>
    <row r="60" spans="1:16" s="224" customFormat="1" ht="15" customHeight="1" x14ac:dyDescent="0.25">
      <c r="A60" s="215">
        <v>44206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780">
        <v>9.4499999999999993</v>
      </c>
      <c r="G60" s="982"/>
      <c r="H60" s="1008"/>
      <c r="I60" s="1063"/>
      <c r="J60" s="622"/>
      <c r="K60" s="982"/>
      <c r="L60" s="861"/>
      <c r="N60" s="877"/>
      <c r="P60" s="931"/>
    </row>
    <row r="61" spans="1:16" s="224" customFormat="1" ht="15" customHeight="1" x14ac:dyDescent="0.25">
      <c r="A61" s="215">
        <v>44206</v>
      </c>
      <c r="B61" s="364" t="s">
        <v>81</v>
      </c>
      <c r="C61" s="350" t="s">
        <v>12</v>
      </c>
      <c r="D61" s="350" t="s">
        <v>1493</v>
      </c>
      <c r="E61" s="875" t="s">
        <v>13</v>
      </c>
      <c r="F61" s="780">
        <v>9.15</v>
      </c>
      <c r="G61" s="982"/>
      <c r="H61" s="1008"/>
      <c r="I61" s="1063"/>
      <c r="J61" s="622"/>
      <c r="K61" s="982"/>
      <c r="L61" s="861"/>
      <c r="N61" s="878"/>
    </row>
    <row r="62" spans="1:16" s="224" customFormat="1" ht="15" customHeight="1" x14ac:dyDescent="0.25">
      <c r="A62" s="215">
        <v>44207</v>
      </c>
      <c r="B62" s="364" t="s">
        <v>32</v>
      </c>
      <c r="C62" s="350" t="s">
        <v>12</v>
      </c>
      <c r="D62" s="350" t="s">
        <v>1485</v>
      </c>
      <c r="E62" s="875" t="s">
        <v>15</v>
      </c>
      <c r="F62" s="780">
        <v>15</v>
      </c>
      <c r="G62" s="946"/>
      <c r="H62" s="95"/>
      <c r="I62" s="1064"/>
      <c r="J62" s="97"/>
      <c r="K62" s="946"/>
      <c r="L62" s="926"/>
      <c r="M62" s="216"/>
      <c r="N62" s="877"/>
    </row>
    <row r="63" spans="1:16" s="224" customFormat="1" ht="15" customHeight="1" x14ac:dyDescent="0.25">
      <c r="A63" s="215">
        <v>44207</v>
      </c>
      <c r="B63" s="364" t="s">
        <v>2861</v>
      </c>
      <c r="C63" s="350" t="s">
        <v>19</v>
      </c>
      <c r="D63" s="350" t="s">
        <v>1525</v>
      </c>
      <c r="E63" s="875" t="s">
        <v>13</v>
      </c>
      <c r="F63" s="780">
        <v>160</v>
      </c>
      <c r="G63" s="982"/>
      <c r="H63" s="1008"/>
      <c r="I63" s="1063"/>
      <c r="J63" s="622"/>
      <c r="K63" s="982"/>
      <c r="L63" s="861"/>
      <c r="N63" s="878"/>
    </row>
    <row r="64" spans="1:16" s="224" customFormat="1" ht="15" customHeight="1" x14ac:dyDescent="0.25">
      <c r="A64" s="215">
        <v>44207</v>
      </c>
      <c r="B64" s="364" t="s">
        <v>2251</v>
      </c>
      <c r="C64" s="350" t="s">
        <v>12</v>
      </c>
      <c r="D64" s="350" t="s">
        <v>2157</v>
      </c>
      <c r="E64" s="875" t="s">
        <v>15</v>
      </c>
      <c r="F64" s="780">
        <v>50</v>
      </c>
      <c r="G64" s="982"/>
      <c r="H64" s="1008"/>
      <c r="I64" s="1063"/>
      <c r="J64" s="622"/>
      <c r="K64" s="982"/>
      <c r="L64" s="1029"/>
      <c r="M64" s="89"/>
      <c r="N64" s="930"/>
    </row>
    <row r="65" spans="1:14" s="224" customFormat="1" ht="15" customHeight="1" x14ac:dyDescent="0.25">
      <c r="A65" s="215">
        <v>44207</v>
      </c>
      <c r="B65" s="364" t="s">
        <v>14</v>
      </c>
      <c r="C65" s="350" t="s">
        <v>12</v>
      </c>
      <c r="D65" s="350" t="s">
        <v>1486</v>
      </c>
      <c r="E65" s="875" t="s">
        <v>13</v>
      </c>
      <c r="F65" s="780">
        <v>4.51</v>
      </c>
      <c r="G65" s="982"/>
      <c r="H65" s="1008"/>
      <c r="I65" s="1063"/>
      <c r="J65" s="622"/>
      <c r="K65" s="982"/>
      <c r="L65" s="861"/>
      <c r="N65" s="878"/>
    </row>
    <row r="66" spans="1:14" s="224" customFormat="1" ht="15" customHeight="1" x14ac:dyDescent="0.25">
      <c r="A66" s="215">
        <v>44208</v>
      </c>
      <c r="B66" s="364" t="s">
        <v>1396</v>
      </c>
      <c r="C66" s="350" t="s">
        <v>12</v>
      </c>
      <c r="D66" s="350"/>
      <c r="E66" s="480" t="s">
        <v>25</v>
      </c>
      <c r="F66" s="613"/>
      <c r="G66" s="967">
        <v>45</v>
      </c>
      <c r="H66" s="1008"/>
      <c r="I66" s="1063"/>
      <c r="J66" s="622"/>
      <c r="K66" s="982"/>
      <c r="L66" s="861"/>
    </row>
    <row r="67" spans="1:14" s="224" customFormat="1" x14ac:dyDescent="0.25">
      <c r="A67" s="215">
        <v>44208</v>
      </c>
      <c r="B67" s="364" t="s">
        <v>2415</v>
      </c>
      <c r="C67" s="350" t="s">
        <v>12</v>
      </c>
      <c r="D67" s="350" t="s">
        <v>1493</v>
      </c>
      <c r="E67" s="875" t="s">
        <v>13</v>
      </c>
      <c r="F67" s="780">
        <v>5</v>
      </c>
      <c r="G67" s="982"/>
      <c r="H67" s="1008"/>
      <c r="I67" s="1063"/>
      <c r="J67" s="622"/>
      <c r="K67" s="982"/>
      <c r="L67" s="861"/>
      <c r="N67" s="878"/>
    </row>
    <row r="68" spans="1:14" s="224" customFormat="1" ht="15" customHeight="1" x14ac:dyDescent="0.25">
      <c r="A68" s="215">
        <v>44208</v>
      </c>
      <c r="B68" s="364" t="s">
        <v>14</v>
      </c>
      <c r="C68" s="350" t="s">
        <v>12</v>
      </c>
      <c r="D68" s="350" t="s">
        <v>1486</v>
      </c>
      <c r="E68" s="875" t="s">
        <v>13</v>
      </c>
      <c r="F68" s="780">
        <v>5.92</v>
      </c>
      <c r="G68" s="982"/>
      <c r="H68" s="1008"/>
      <c r="I68" s="1063"/>
      <c r="J68" s="622"/>
      <c r="K68" s="982"/>
      <c r="L68" s="861"/>
      <c r="N68" s="878"/>
    </row>
    <row r="69" spans="1:14" s="224" customFormat="1" ht="15" customHeight="1" x14ac:dyDescent="0.25">
      <c r="A69" s="215">
        <v>44209</v>
      </c>
      <c r="B69" s="364" t="s">
        <v>32</v>
      </c>
      <c r="C69" s="350" t="s">
        <v>12</v>
      </c>
      <c r="D69" s="350" t="s">
        <v>1485</v>
      </c>
      <c r="E69" s="875" t="s">
        <v>15</v>
      </c>
      <c r="F69" s="780">
        <v>15</v>
      </c>
      <c r="G69" s="946"/>
      <c r="H69" s="95"/>
      <c r="I69" s="1064"/>
      <c r="J69" s="97"/>
      <c r="K69" s="946"/>
      <c r="L69" s="926"/>
      <c r="M69" s="216"/>
      <c r="N69" s="877"/>
    </row>
    <row r="70" spans="1:14" s="224" customFormat="1" ht="15" customHeight="1" x14ac:dyDescent="0.25">
      <c r="A70" s="215">
        <v>44209</v>
      </c>
      <c r="B70" s="364" t="s">
        <v>14</v>
      </c>
      <c r="C70" s="350" t="s">
        <v>12</v>
      </c>
      <c r="D70" s="350" t="s">
        <v>1486</v>
      </c>
      <c r="E70" s="875" t="s">
        <v>13</v>
      </c>
      <c r="F70" s="780">
        <v>3.6</v>
      </c>
      <c r="G70" s="982"/>
      <c r="H70" s="1008"/>
      <c r="I70" s="1063"/>
      <c r="J70" s="622"/>
      <c r="K70" s="982"/>
      <c r="L70" s="1029"/>
      <c r="M70" s="89"/>
      <c r="N70" s="1035"/>
    </row>
    <row r="71" spans="1:14" s="224" customFormat="1" ht="15" customHeight="1" x14ac:dyDescent="0.25">
      <c r="A71" s="215">
        <v>44209</v>
      </c>
      <c r="B71" s="364" t="s">
        <v>2251</v>
      </c>
      <c r="C71" s="350" t="s">
        <v>12</v>
      </c>
      <c r="D71" s="350" t="s">
        <v>2157</v>
      </c>
      <c r="E71" s="875" t="s">
        <v>13</v>
      </c>
      <c r="F71" s="780">
        <v>41.29</v>
      </c>
      <c r="G71" s="982"/>
      <c r="H71" s="1008"/>
      <c r="I71" s="1063"/>
      <c r="J71" s="622"/>
      <c r="K71" s="982"/>
      <c r="L71" s="1029"/>
      <c r="M71" s="89"/>
      <c r="N71" s="930"/>
    </row>
    <row r="72" spans="1:14" s="224" customFormat="1" ht="15" customHeight="1" x14ac:dyDescent="0.25">
      <c r="A72" s="215">
        <v>44209</v>
      </c>
      <c r="B72" s="364" t="s">
        <v>2603</v>
      </c>
      <c r="C72" s="350" t="s">
        <v>12</v>
      </c>
      <c r="D72" s="350" t="s">
        <v>1491</v>
      </c>
      <c r="E72" s="871" t="s">
        <v>13</v>
      </c>
      <c r="F72" s="780">
        <v>100</v>
      </c>
      <c r="G72" s="982"/>
      <c r="H72" s="1008"/>
      <c r="I72" s="1063"/>
      <c r="J72" s="622"/>
      <c r="K72" s="982"/>
      <c r="L72" s="1029"/>
      <c r="M72" s="881"/>
      <c r="N72" s="877"/>
    </row>
    <row r="73" spans="1:14" s="224" customFormat="1" ht="15" customHeight="1" x14ac:dyDescent="0.25">
      <c r="A73" s="215">
        <v>44210</v>
      </c>
      <c r="B73" s="364" t="s">
        <v>32</v>
      </c>
      <c r="C73" s="350" t="s">
        <v>12</v>
      </c>
      <c r="D73" s="350" t="s">
        <v>1485</v>
      </c>
      <c r="E73" s="875" t="s">
        <v>13</v>
      </c>
      <c r="F73" s="780">
        <v>15</v>
      </c>
      <c r="G73" s="946"/>
      <c r="H73" s="95"/>
      <c r="I73" s="1064"/>
      <c r="J73" s="97"/>
      <c r="K73" s="946"/>
      <c r="L73" s="926"/>
      <c r="M73" s="216"/>
      <c r="N73" s="877"/>
    </row>
    <row r="74" spans="1:14" s="224" customFormat="1" ht="15" customHeight="1" x14ac:dyDescent="0.25">
      <c r="A74" s="215">
        <v>44210</v>
      </c>
      <c r="B74" s="364" t="s">
        <v>2862</v>
      </c>
      <c r="C74" s="350" t="s">
        <v>12</v>
      </c>
      <c r="D74" s="350" t="s">
        <v>1496</v>
      </c>
      <c r="E74" s="875" t="s">
        <v>13</v>
      </c>
      <c r="F74" s="780">
        <v>7</v>
      </c>
      <c r="G74" s="982"/>
      <c r="H74" s="1008"/>
      <c r="I74" s="1063"/>
      <c r="J74" s="622"/>
      <c r="K74" s="982"/>
      <c r="L74" s="861"/>
      <c r="N74" s="878"/>
    </row>
    <row r="75" spans="1:14" s="224" customFormat="1" ht="15" customHeight="1" x14ac:dyDescent="0.25">
      <c r="A75" s="215">
        <v>44211</v>
      </c>
      <c r="B75" s="364" t="s">
        <v>32</v>
      </c>
      <c r="C75" s="350" t="s">
        <v>12</v>
      </c>
      <c r="D75" s="350" t="s">
        <v>1485</v>
      </c>
      <c r="E75" s="875" t="s">
        <v>13</v>
      </c>
      <c r="F75" s="780">
        <v>15</v>
      </c>
      <c r="G75" s="946"/>
      <c r="H75" s="95"/>
      <c r="I75" s="1064"/>
      <c r="J75" s="97"/>
      <c r="K75" s="946"/>
      <c r="L75" s="926"/>
      <c r="M75" s="216"/>
      <c r="N75" s="877"/>
    </row>
    <row r="76" spans="1:14" s="224" customFormat="1" ht="15" customHeight="1" x14ac:dyDescent="0.25">
      <c r="A76" s="215">
        <v>44211</v>
      </c>
      <c r="B76" s="364" t="s">
        <v>2415</v>
      </c>
      <c r="C76" s="350" t="s">
        <v>12</v>
      </c>
      <c r="D76" s="350" t="s">
        <v>1493</v>
      </c>
      <c r="E76" s="875" t="s">
        <v>13</v>
      </c>
      <c r="F76" s="780">
        <v>5</v>
      </c>
      <c r="G76" s="982"/>
      <c r="H76" s="1008"/>
      <c r="I76" s="1063"/>
      <c r="J76" s="622"/>
      <c r="K76" s="982"/>
      <c r="L76" s="861"/>
      <c r="N76" s="878"/>
    </row>
    <row r="77" spans="1:14" s="224" customFormat="1" ht="15" customHeight="1" x14ac:dyDescent="0.25">
      <c r="A77" s="215">
        <v>44211</v>
      </c>
      <c r="B77" s="364" t="s">
        <v>82</v>
      </c>
      <c r="C77" s="350" t="s">
        <v>12</v>
      </c>
      <c r="D77" s="350" t="s">
        <v>1493</v>
      </c>
      <c r="E77" s="875" t="s">
        <v>13</v>
      </c>
      <c r="F77" s="780">
        <v>33</v>
      </c>
      <c r="G77" s="982"/>
      <c r="H77" s="1008"/>
      <c r="I77" s="1063"/>
      <c r="J77" s="622"/>
      <c r="K77" s="982"/>
      <c r="L77" s="861"/>
      <c r="N77" s="878"/>
    </row>
    <row r="78" spans="1:14" s="224" customFormat="1" x14ac:dyDescent="0.25">
      <c r="A78" s="215">
        <v>44212</v>
      </c>
      <c r="B78" s="364" t="s">
        <v>1241</v>
      </c>
      <c r="C78" s="350" t="s">
        <v>12</v>
      </c>
      <c r="D78" s="350" t="s">
        <v>1504</v>
      </c>
      <c r="E78" s="875" t="s">
        <v>13</v>
      </c>
      <c r="F78" s="780">
        <v>10</v>
      </c>
      <c r="G78" s="982"/>
      <c r="H78" s="1008"/>
      <c r="I78" s="1063"/>
      <c r="J78" s="622"/>
      <c r="K78" s="982"/>
      <c r="L78" s="861"/>
      <c r="N78" s="878"/>
    </row>
    <row r="79" spans="1:14" s="224" customFormat="1" x14ac:dyDescent="0.25">
      <c r="A79" s="215">
        <v>44212</v>
      </c>
      <c r="B79" s="349" t="s">
        <v>147</v>
      </c>
      <c r="C79" s="879" t="s">
        <v>12</v>
      </c>
      <c r="D79" s="879" t="s">
        <v>1506</v>
      </c>
      <c r="E79" s="871" t="s">
        <v>15</v>
      </c>
      <c r="F79" s="780">
        <v>10</v>
      </c>
      <c r="G79" s="982"/>
      <c r="H79" s="1008"/>
      <c r="I79" s="1063"/>
      <c r="J79" s="622"/>
      <c r="K79" s="982"/>
      <c r="L79" s="861"/>
      <c r="N79" s="878"/>
    </row>
    <row r="80" spans="1:14" s="224" customFormat="1" ht="15" customHeight="1" x14ac:dyDescent="0.25">
      <c r="A80" s="215">
        <v>44212</v>
      </c>
      <c r="B80" s="364" t="s">
        <v>14</v>
      </c>
      <c r="C80" s="350" t="s">
        <v>12</v>
      </c>
      <c r="D80" s="350" t="s">
        <v>1486</v>
      </c>
      <c r="E80" s="875" t="s">
        <v>13</v>
      </c>
      <c r="F80" s="780">
        <v>1.73</v>
      </c>
      <c r="G80" s="982"/>
      <c r="H80" s="1008"/>
      <c r="I80" s="1063"/>
      <c r="J80" s="622"/>
      <c r="K80" s="982"/>
      <c r="L80" s="1029"/>
      <c r="M80" s="89"/>
      <c r="N80" s="1035"/>
    </row>
    <row r="81" spans="1:14" s="224" customFormat="1" ht="15" customHeight="1" x14ac:dyDescent="0.25">
      <c r="A81" s="215">
        <v>44212</v>
      </c>
      <c r="B81" s="364" t="s">
        <v>2863</v>
      </c>
      <c r="C81" s="350" t="s">
        <v>12</v>
      </c>
      <c r="D81" s="350" t="s">
        <v>1523</v>
      </c>
      <c r="E81" s="875" t="s">
        <v>13</v>
      </c>
      <c r="F81" s="780">
        <v>40</v>
      </c>
      <c r="G81" s="982"/>
      <c r="H81" s="1008"/>
      <c r="I81" s="1063"/>
      <c r="J81" s="622"/>
      <c r="K81" s="982"/>
      <c r="L81" s="1029"/>
      <c r="M81" s="89"/>
      <c r="N81" s="1035"/>
    </row>
    <row r="82" spans="1:14" s="224" customFormat="1" ht="15" customHeight="1" x14ac:dyDescent="0.25">
      <c r="A82" s="215">
        <v>44213</v>
      </c>
      <c r="B82" s="364" t="s">
        <v>14</v>
      </c>
      <c r="C82" s="350" t="s">
        <v>12</v>
      </c>
      <c r="D82" s="350" t="s">
        <v>1486</v>
      </c>
      <c r="E82" s="875" t="s">
        <v>13</v>
      </c>
      <c r="F82" s="780">
        <v>4.4800000000000004</v>
      </c>
      <c r="G82" s="982"/>
      <c r="H82" s="1008"/>
      <c r="I82" s="1063"/>
      <c r="J82" s="622"/>
      <c r="K82" s="982"/>
      <c r="L82" s="1029"/>
      <c r="M82" s="89"/>
      <c r="N82" s="1035"/>
    </row>
    <row r="83" spans="1:14" s="224" customFormat="1" ht="15" customHeight="1" x14ac:dyDescent="0.25">
      <c r="A83" s="215">
        <v>44213</v>
      </c>
      <c r="B83" s="364" t="s">
        <v>2629</v>
      </c>
      <c r="C83" s="350" t="s">
        <v>12</v>
      </c>
      <c r="D83" s="350" t="s">
        <v>1489</v>
      </c>
      <c r="E83" s="875" t="s">
        <v>13</v>
      </c>
      <c r="F83" s="780">
        <v>36.549999999999997</v>
      </c>
      <c r="G83" s="982"/>
      <c r="H83" s="1008"/>
      <c r="I83" s="1063"/>
      <c r="J83" s="622"/>
      <c r="K83" s="982"/>
      <c r="L83" s="1029"/>
      <c r="M83" s="89"/>
      <c r="N83" s="1035"/>
    </row>
    <row r="84" spans="1:14" s="224" customFormat="1" ht="15" customHeight="1" x14ac:dyDescent="0.25">
      <c r="A84" s="215">
        <v>44214</v>
      </c>
      <c r="B84" s="364" t="s">
        <v>14</v>
      </c>
      <c r="C84" s="350" t="s">
        <v>12</v>
      </c>
      <c r="D84" s="350" t="s">
        <v>1486</v>
      </c>
      <c r="E84" s="875" t="s">
        <v>13</v>
      </c>
      <c r="F84" s="780">
        <v>3.26</v>
      </c>
      <c r="G84" s="982"/>
      <c r="H84" s="1008"/>
      <c r="I84" s="1063"/>
      <c r="J84" s="622"/>
      <c r="K84" s="982"/>
      <c r="L84" s="1029"/>
      <c r="M84" s="89"/>
      <c r="N84" s="1035"/>
    </row>
    <row r="85" spans="1:14" s="224" customFormat="1" ht="15" customHeight="1" x14ac:dyDescent="0.25">
      <c r="A85" s="215">
        <v>44214</v>
      </c>
      <c r="B85" s="364" t="s">
        <v>2864</v>
      </c>
      <c r="C85" s="350" t="s">
        <v>12</v>
      </c>
      <c r="D85" s="350" t="s">
        <v>1489</v>
      </c>
      <c r="E85" s="875" t="s">
        <v>13</v>
      </c>
      <c r="F85" s="780">
        <v>33</v>
      </c>
      <c r="G85" s="982"/>
      <c r="H85" s="1008"/>
      <c r="I85" s="1063"/>
      <c r="J85" s="622"/>
      <c r="K85" s="982"/>
      <c r="L85" s="861"/>
      <c r="N85" s="878"/>
    </row>
    <row r="86" spans="1:14" s="224" customFormat="1" ht="15" customHeight="1" x14ac:dyDescent="0.25">
      <c r="A86" s="215">
        <v>44214</v>
      </c>
      <c r="B86" s="882" t="s">
        <v>2865</v>
      </c>
      <c r="C86" s="879" t="s">
        <v>12</v>
      </c>
      <c r="D86" s="879" t="s">
        <v>1499</v>
      </c>
      <c r="E86" s="871" t="s">
        <v>13</v>
      </c>
      <c r="F86" s="780">
        <v>38.83</v>
      </c>
      <c r="G86" s="982"/>
      <c r="H86" s="1008"/>
      <c r="I86" s="1063"/>
      <c r="J86" s="622"/>
      <c r="K86" s="982"/>
      <c r="L86" s="1029">
        <v>108.83</v>
      </c>
      <c r="M86" s="1027"/>
      <c r="N86" s="1035"/>
    </row>
    <row r="87" spans="1:14" s="224" customFormat="1" ht="15" customHeight="1" x14ac:dyDescent="0.25">
      <c r="A87" s="215">
        <v>44214</v>
      </c>
      <c r="B87" s="364" t="s">
        <v>32</v>
      </c>
      <c r="C87" s="350" t="s">
        <v>12</v>
      </c>
      <c r="D87" s="350" t="s">
        <v>1485</v>
      </c>
      <c r="E87" s="875" t="s">
        <v>13</v>
      </c>
      <c r="F87" s="780">
        <v>15</v>
      </c>
      <c r="G87" s="946"/>
      <c r="H87" s="95"/>
      <c r="I87" s="1064"/>
      <c r="J87" s="97"/>
      <c r="K87" s="946"/>
      <c r="L87" s="926"/>
      <c r="M87" s="216"/>
      <c r="N87" s="877"/>
    </row>
    <row r="88" spans="1:14" s="224" customFormat="1" ht="15" customHeight="1" x14ac:dyDescent="0.25">
      <c r="A88" s="215">
        <v>44214</v>
      </c>
      <c r="B88" s="364" t="s">
        <v>2415</v>
      </c>
      <c r="C88" s="350" t="s">
        <v>12</v>
      </c>
      <c r="D88" s="350" t="s">
        <v>1493</v>
      </c>
      <c r="E88" s="875" t="s">
        <v>13</v>
      </c>
      <c r="F88" s="780">
        <v>5</v>
      </c>
      <c r="G88" s="982"/>
      <c r="H88" s="1008"/>
      <c r="I88" s="1063"/>
      <c r="J88" s="622"/>
      <c r="K88" s="982"/>
      <c r="L88" s="861"/>
      <c r="N88" s="878"/>
    </row>
    <row r="89" spans="1:14" s="224" customFormat="1" ht="15" customHeight="1" x14ac:dyDescent="0.25">
      <c r="A89" s="215">
        <v>44214</v>
      </c>
      <c r="B89" s="364" t="s">
        <v>2866</v>
      </c>
      <c r="C89" s="350" t="s">
        <v>12</v>
      </c>
      <c r="D89" s="350" t="s">
        <v>1491</v>
      </c>
      <c r="E89" s="875" t="s">
        <v>13</v>
      </c>
      <c r="F89" s="780">
        <v>150</v>
      </c>
      <c r="G89" s="982"/>
      <c r="H89" s="1008"/>
      <c r="I89" s="1063"/>
      <c r="J89" s="622"/>
      <c r="K89" s="982"/>
      <c r="L89" s="861"/>
      <c r="N89" s="878"/>
    </row>
    <row r="90" spans="1:14" s="224" customFormat="1" ht="15" customHeight="1" x14ac:dyDescent="0.25">
      <c r="A90" s="215">
        <v>44215</v>
      </c>
      <c r="B90" s="364" t="s">
        <v>32</v>
      </c>
      <c r="C90" s="350" t="s">
        <v>12</v>
      </c>
      <c r="D90" s="350" t="s">
        <v>1485</v>
      </c>
      <c r="E90" s="875" t="s">
        <v>13</v>
      </c>
      <c r="F90" s="780">
        <v>15</v>
      </c>
      <c r="G90" s="982"/>
      <c r="H90" s="1008"/>
      <c r="I90" s="1063"/>
      <c r="J90" s="622"/>
      <c r="K90" s="982"/>
      <c r="L90" s="861"/>
      <c r="N90" s="878"/>
    </row>
    <row r="91" spans="1:14" x14ac:dyDescent="0.25">
      <c r="A91" s="215">
        <v>44215</v>
      </c>
      <c r="B91" s="862" t="s">
        <v>2867</v>
      </c>
      <c r="C91" s="350" t="s">
        <v>12</v>
      </c>
      <c r="D91" s="874" t="s">
        <v>1504</v>
      </c>
      <c r="E91" s="887" t="s">
        <v>13</v>
      </c>
      <c r="F91" s="852">
        <v>30</v>
      </c>
      <c r="G91" s="982"/>
      <c r="H91" s="1009"/>
      <c r="I91" s="1063"/>
      <c r="J91" s="853"/>
      <c r="K91" s="982"/>
    </row>
    <row r="92" spans="1:14" s="224" customFormat="1" ht="15" customHeight="1" x14ac:dyDescent="0.25">
      <c r="A92" s="215">
        <v>44215</v>
      </c>
      <c r="B92" s="364" t="s">
        <v>14</v>
      </c>
      <c r="C92" s="350" t="s">
        <v>12</v>
      </c>
      <c r="D92" s="350" t="s">
        <v>1486</v>
      </c>
      <c r="E92" s="875" t="s">
        <v>13</v>
      </c>
      <c r="F92" s="780">
        <v>3.26</v>
      </c>
      <c r="G92" s="982"/>
      <c r="H92" s="1008"/>
      <c r="I92" s="1063"/>
      <c r="J92" s="622"/>
      <c r="K92" s="982"/>
      <c r="L92" s="1029"/>
      <c r="M92" s="89"/>
      <c r="N92" s="1035"/>
    </row>
    <row r="93" spans="1:14" s="224" customFormat="1" ht="15" customHeight="1" x14ac:dyDescent="0.25">
      <c r="A93" s="215">
        <v>44215</v>
      </c>
      <c r="B93" s="364" t="s">
        <v>2251</v>
      </c>
      <c r="C93" s="350" t="s">
        <v>12</v>
      </c>
      <c r="D93" s="350" t="s">
        <v>2157</v>
      </c>
      <c r="E93" s="875" t="s">
        <v>15</v>
      </c>
      <c r="F93" s="780">
        <v>50</v>
      </c>
      <c r="G93" s="982"/>
      <c r="H93" s="1008"/>
      <c r="I93" s="1063"/>
      <c r="J93" s="622"/>
      <c r="K93" s="982"/>
      <c r="L93" s="1029"/>
      <c r="M93" s="1027"/>
      <c r="N93" s="1035"/>
    </row>
    <row r="94" spans="1:14" s="224" customFormat="1" ht="15" customHeight="1" x14ac:dyDescent="0.25">
      <c r="A94" s="215">
        <v>44216</v>
      </c>
      <c r="B94" s="882" t="s">
        <v>2868</v>
      </c>
      <c r="C94" s="350" t="s">
        <v>12</v>
      </c>
      <c r="D94" s="350"/>
      <c r="E94" s="480" t="s">
        <v>25</v>
      </c>
      <c r="F94" s="622"/>
      <c r="G94" s="982">
        <v>1604.67</v>
      </c>
      <c r="H94" s="1008"/>
      <c r="I94" s="1063"/>
      <c r="J94" s="622"/>
      <c r="K94" s="982"/>
      <c r="L94" s="861"/>
    </row>
    <row r="95" spans="1:14" s="224" customFormat="1" x14ac:dyDescent="0.25">
      <c r="A95" s="215">
        <v>44216</v>
      </c>
      <c r="B95" s="873" t="s">
        <v>2590</v>
      </c>
      <c r="C95" s="879" t="s">
        <v>12</v>
      </c>
      <c r="D95" s="350" t="s">
        <v>1491</v>
      </c>
      <c r="E95" s="871" t="s">
        <v>15</v>
      </c>
      <c r="F95" s="780">
        <v>70</v>
      </c>
      <c r="G95" s="982"/>
      <c r="H95" s="1008"/>
      <c r="I95" s="1063"/>
      <c r="J95" s="622"/>
      <c r="K95" s="982"/>
      <c r="L95" s="1028"/>
      <c r="N95" s="878"/>
    </row>
    <row r="96" spans="1:14" x14ac:dyDescent="0.25">
      <c r="A96" s="215">
        <v>44216</v>
      </c>
      <c r="B96" s="876" t="s">
        <v>2712</v>
      </c>
      <c r="C96" s="879" t="s">
        <v>12</v>
      </c>
      <c r="D96" s="879" t="s">
        <v>1496</v>
      </c>
      <c r="E96" s="871" t="s">
        <v>15</v>
      </c>
      <c r="F96" s="780">
        <v>70</v>
      </c>
      <c r="G96" s="982"/>
      <c r="H96" s="1009"/>
      <c r="I96" s="1063"/>
      <c r="J96" s="622"/>
      <c r="K96" s="982"/>
      <c r="L96" s="1029"/>
    </row>
    <row r="97" spans="1:14" s="224" customFormat="1" ht="15" customHeight="1" x14ac:dyDescent="0.25">
      <c r="A97" s="215">
        <v>44216</v>
      </c>
      <c r="B97" s="862" t="s">
        <v>2302</v>
      </c>
      <c r="C97" s="350" t="s">
        <v>12</v>
      </c>
      <c r="D97" s="874" t="s">
        <v>1504</v>
      </c>
      <c r="E97" s="887" t="s">
        <v>13</v>
      </c>
      <c r="F97" s="852">
        <v>81.760000000000005</v>
      </c>
      <c r="G97" s="982"/>
      <c r="H97" s="1009"/>
      <c r="I97" s="1063"/>
      <c r="J97" s="853"/>
      <c r="K97" s="982"/>
      <c r="L97" s="861">
        <v>161.76</v>
      </c>
      <c r="M97" s="927"/>
      <c r="N97" s="1035"/>
    </row>
    <row r="98" spans="1:14" s="224" customFormat="1" ht="15" customHeight="1" x14ac:dyDescent="0.25">
      <c r="A98" s="215">
        <v>44216</v>
      </c>
      <c r="B98" s="364" t="s">
        <v>32</v>
      </c>
      <c r="C98" s="350" t="s">
        <v>12</v>
      </c>
      <c r="D98" s="350" t="s">
        <v>1485</v>
      </c>
      <c r="E98" s="875" t="s">
        <v>13</v>
      </c>
      <c r="F98" s="780">
        <v>15</v>
      </c>
      <c r="G98" s="946"/>
      <c r="H98" s="95"/>
      <c r="I98" s="1064"/>
      <c r="J98" s="97"/>
      <c r="K98" s="946"/>
      <c r="L98" s="926"/>
      <c r="M98" s="216"/>
      <c r="N98" s="877"/>
    </row>
    <row r="99" spans="1:14" s="224" customFormat="1" ht="15" customHeight="1" x14ac:dyDescent="0.25">
      <c r="A99" s="215">
        <v>44216</v>
      </c>
      <c r="B99" s="364" t="s">
        <v>2415</v>
      </c>
      <c r="C99" s="350" t="s">
        <v>12</v>
      </c>
      <c r="D99" s="350" t="s">
        <v>1493</v>
      </c>
      <c r="E99" s="875" t="s">
        <v>13</v>
      </c>
      <c r="F99" s="780">
        <v>5</v>
      </c>
      <c r="G99" s="982"/>
      <c r="H99" s="1008"/>
      <c r="I99" s="1063"/>
      <c r="J99" s="622"/>
      <c r="K99" s="982"/>
      <c r="L99" s="861"/>
      <c r="N99" s="878"/>
    </row>
    <row r="100" spans="1:14" s="224" customFormat="1" ht="15" customHeight="1" x14ac:dyDescent="0.25">
      <c r="A100" s="215">
        <v>44216</v>
      </c>
      <c r="B100" s="364" t="s">
        <v>256</v>
      </c>
      <c r="C100" s="350"/>
      <c r="D100" s="350"/>
      <c r="E100" s="875" t="s">
        <v>25</v>
      </c>
      <c r="F100" s="780"/>
      <c r="G100" s="1064">
        <v>400</v>
      </c>
      <c r="H100" s="523">
        <v>400</v>
      </c>
      <c r="I100" s="1063"/>
      <c r="J100" s="622"/>
      <c r="K100" s="982"/>
      <c r="L100" s="861"/>
    </row>
    <row r="101" spans="1:14" s="224" customFormat="1" ht="15" customHeight="1" x14ac:dyDescent="0.25">
      <c r="A101" s="215">
        <v>44216</v>
      </c>
      <c r="B101" s="349" t="s">
        <v>1661</v>
      </c>
      <c r="C101" s="352" t="s">
        <v>12</v>
      </c>
      <c r="D101" s="874"/>
      <c r="E101" s="875" t="s">
        <v>13</v>
      </c>
      <c r="F101" s="852">
        <v>1071.19</v>
      </c>
      <c r="G101" s="957"/>
      <c r="H101" s="622"/>
      <c r="I101" s="982"/>
      <c r="J101" s="622"/>
      <c r="K101" s="982">
        <v>1071.19</v>
      </c>
      <c r="L101" s="178"/>
    </row>
    <row r="102" spans="1:14" s="224" customFormat="1" ht="15" customHeight="1" x14ac:dyDescent="0.25">
      <c r="A102" s="215">
        <v>44217</v>
      </c>
      <c r="B102" s="364" t="s">
        <v>32</v>
      </c>
      <c r="C102" s="350" t="s">
        <v>12</v>
      </c>
      <c r="D102" s="350" t="s">
        <v>1485</v>
      </c>
      <c r="E102" s="875" t="s">
        <v>13</v>
      </c>
      <c r="F102" s="780">
        <v>15</v>
      </c>
      <c r="G102" s="946"/>
      <c r="H102" s="95"/>
      <c r="I102" s="1064"/>
      <c r="J102" s="97"/>
      <c r="K102" s="946"/>
      <c r="L102" s="926"/>
      <c r="M102" s="216"/>
      <c r="N102" s="877"/>
    </row>
    <row r="103" spans="1:14" s="224" customFormat="1" ht="15" customHeight="1" x14ac:dyDescent="0.25">
      <c r="A103" s="215">
        <v>44217</v>
      </c>
      <c r="B103" s="364" t="s">
        <v>2415</v>
      </c>
      <c r="C103" s="350" t="s">
        <v>12</v>
      </c>
      <c r="D103" s="350" t="s">
        <v>1493</v>
      </c>
      <c r="E103" s="875" t="s">
        <v>13</v>
      </c>
      <c r="F103" s="780">
        <v>5</v>
      </c>
      <c r="G103" s="982"/>
      <c r="H103" s="1008"/>
      <c r="I103" s="1063"/>
      <c r="J103" s="622"/>
      <c r="K103" s="982"/>
      <c r="L103" s="861"/>
      <c r="N103" s="878"/>
    </row>
    <row r="104" spans="1:14" s="224" customFormat="1" ht="15" customHeight="1" x14ac:dyDescent="0.25">
      <c r="A104" s="215">
        <v>44218</v>
      </c>
      <c r="B104" s="364" t="s">
        <v>32</v>
      </c>
      <c r="C104" s="350" t="s">
        <v>12</v>
      </c>
      <c r="D104" s="350" t="s">
        <v>1485</v>
      </c>
      <c r="E104" s="875" t="s">
        <v>13</v>
      </c>
      <c r="F104" s="780">
        <v>15</v>
      </c>
      <c r="G104" s="946"/>
      <c r="H104" s="95"/>
      <c r="I104" s="1064"/>
      <c r="J104" s="97"/>
      <c r="K104" s="946"/>
      <c r="L104" s="926"/>
      <c r="M104" s="216"/>
      <c r="N104" s="877"/>
    </row>
    <row r="105" spans="1:14" s="224" customFormat="1" ht="15" customHeight="1" x14ac:dyDescent="0.25">
      <c r="A105" s="215">
        <v>44218</v>
      </c>
      <c r="B105" s="364" t="s">
        <v>2415</v>
      </c>
      <c r="C105" s="350" t="s">
        <v>12</v>
      </c>
      <c r="D105" s="350" t="s">
        <v>1493</v>
      </c>
      <c r="E105" s="875" t="s">
        <v>13</v>
      </c>
      <c r="F105" s="780">
        <v>5</v>
      </c>
      <c r="G105" s="982"/>
      <c r="H105" s="1008"/>
      <c r="I105" s="1063"/>
      <c r="J105" s="622"/>
      <c r="K105" s="982"/>
      <c r="L105" s="861"/>
      <c r="N105" s="878"/>
    </row>
    <row r="106" spans="1:14" s="224" customFormat="1" ht="15" customHeight="1" x14ac:dyDescent="0.25">
      <c r="A106" s="215">
        <v>44218</v>
      </c>
      <c r="B106" s="364" t="s">
        <v>2603</v>
      </c>
      <c r="C106" s="350" t="s">
        <v>12</v>
      </c>
      <c r="D106" s="350" t="s">
        <v>1491</v>
      </c>
      <c r="E106" s="871" t="s">
        <v>15</v>
      </c>
      <c r="F106" s="780">
        <v>80</v>
      </c>
      <c r="G106" s="982"/>
      <c r="H106" s="1008"/>
      <c r="I106" s="1063"/>
      <c r="J106" s="622"/>
      <c r="K106" s="982"/>
      <c r="L106" s="1029"/>
      <c r="M106" s="881"/>
      <c r="N106" s="877"/>
    </row>
    <row r="107" spans="1:14" s="224" customFormat="1" ht="15" customHeight="1" x14ac:dyDescent="0.25">
      <c r="A107" s="215">
        <v>44218</v>
      </c>
      <c r="B107" s="364" t="s">
        <v>2251</v>
      </c>
      <c r="C107" s="350" t="s">
        <v>12</v>
      </c>
      <c r="D107" s="350" t="s">
        <v>2157</v>
      </c>
      <c r="E107" s="875" t="s">
        <v>15</v>
      </c>
      <c r="F107" s="780">
        <v>50</v>
      </c>
      <c r="G107" s="982"/>
      <c r="H107" s="1008"/>
      <c r="I107" s="1063"/>
      <c r="J107" s="622"/>
      <c r="K107" s="982"/>
      <c r="L107" s="1029"/>
      <c r="M107" s="1027"/>
      <c r="N107" s="1035"/>
    </row>
    <row r="108" spans="1:14" s="224" customFormat="1" ht="15" customHeight="1" x14ac:dyDescent="0.25">
      <c r="A108" s="215">
        <v>44218</v>
      </c>
      <c r="B108" s="364" t="s">
        <v>443</v>
      </c>
      <c r="C108" s="350" t="s">
        <v>12</v>
      </c>
      <c r="D108" s="350" t="s">
        <v>1493</v>
      </c>
      <c r="E108" s="875" t="s">
        <v>13</v>
      </c>
      <c r="F108" s="780">
        <v>16.62</v>
      </c>
      <c r="G108" s="982"/>
      <c r="H108" s="1008"/>
      <c r="I108" s="1063"/>
      <c r="J108" s="622"/>
      <c r="K108" s="982"/>
      <c r="L108" s="1029"/>
      <c r="M108" s="89"/>
      <c r="N108" s="1035"/>
    </row>
    <row r="109" spans="1:14" s="224" customFormat="1" ht="15" customHeight="1" x14ac:dyDescent="0.25">
      <c r="A109" s="215">
        <v>44127</v>
      </c>
      <c r="B109" s="364" t="s">
        <v>2452</v>
      </c>
      <c r="C109" s="350" t="s">
        <v>12</v>
      </c>
      <c r="D109" s="350" t="s">
        <v>2168</v>
      </c>
      <c r="E109" s="875" t="s">
        <v>13</v>
      </c>
      <c r="F109" s="780">
        <v>6</v>
      </c>
      <c r="G109" s="1063"/>
      <c r="H109" s="622"/>
      <c r="I109" s="982"/>
      <c r="J109" s="622"/>
      <c r="K109" s="982"/>
      <c r="L109" s="927"/>
    </row>
    <row r="110" spans="1:14" s="224" customFormat="1" ht="15" customHeight="1" x14ac:dyDescent="0.25">
      <c r="A110" s="215">
        <v>44219</v>
      </c>
      <c r="B110" s="349" t="s">
        <v>147</v>
      </c>
      <c r="C110" s="879" t="s">
        <v>12</v>
      </c>
      <c r="D110" s="879" t="s">
        <v>1506</v>
      </c>
      <c r="E110" s="871" t="s">
        <v>15</v>
      </c>
      <c r="F110" s="780">
        <v>10</v>
      </c>
      <c r="G110" s="982"/>
      <c r="H110" s="1008"/>
      <c r="I110" s="1063"/>
      <c r="J110" s="622"/>
      <c r="K110" s="982"/>
      <c r="L110" s="861"/>
      <c r="N110" s="878"/>
    </row>
    <row r="111" spans="1:14" s="224" customFormat="1" ht="15" customHeight="1" x14ac:dyDescent="0.25">
      <c r="A111" s="215">
        <v>44219</v>
      </c>
      <c r="B111" s="364" t="s">
        <v>2869</v>
      </c>
      <c r="C111" s="350" t="s">
        <v>12</v>
      </c>
      <c r="D111" s="350" t="s">
        <v>1523</v>
      </c>
      <c r="E111" s="875" t="s">
        <v>13</v>
      </c>
      <c r="F111" s="780">
        <v>36</v>
      </c>
      <c r="G111" s="982"/>
      <c r="H111" s="1008"/>
      <c r="I111" s="1063"/>
      <c r="J111" s="622"/>
      <c r="K111" s="982"/>
      <c r="L111" s="1029"/>
      <c r="M111" s="89"/>
      <c r="N111" s="1035"/>
    </row>
    <row r="112" spans="1:14" s="224" customFormat="1" ht="15" customHeight="1" x14ac:dyDescent="0.25">
      <c r="A112" s="215">
        <v>44219</v>
      </c>
      <c r="B112" s="364" t="s">
        <v>82</v>
      </c>
      <c r="C112" s="350" t="s">
        <v>12</v>
      </c>
      <c r="D112" s="350" t="s">
        <v>1493</v>
      </c>
      <c r="E112" s="875" t="s">
        <v>13</v>
      </c>
      <c r="F112" s="780">
        <v>32.25</v>
      </c>
      <c r="G112" s="982"/>
      <c r="H112" s="1008"/>
      <c r="I112" s="1063"/>
      <c r="J112" s="622"/>
      <c r="K112" s="982"/>
      <c r="L112" s="1029"/>
      <c r="M112" s="89"/>
      <c r="N112" s="1035"/>
    </row>
    <row r="113" spans="1:14" s="224" customFormat="1" ht="15" customHeight="1" x14ac:dyDescent="0.25">
      <c r="A113" s="215">
        <v>44220</v>
      </c>
      <c r="B113" s="364" t="s">
        <v>14</v>
      </c>
      <c r="C113" s="350" t="s">
        <v>12</v>
      </c>
      <c r="D113" s="350" t="s">
        <v>1486</v>
      </c>
      <c r="E113" s="875" t="s">
        <v>13</v>
      </c>
      <c r="F113" s="780">
        <v>4.6500000000000004</v>
      </c>
      <c r="G113" s="982"/>
      <c r="H113" s="1008"/>
      <c r="I113" s="1063"/>
      <c r="J113" s="622"/>
      <c r="K113" s="982"/>
      <c r="L113" s="1029"/>
      <c r="M113" s="89"/>
      <c r="N113" s="1035"/>
    </row>
    <row r="114" spans="1:14" s="224" customFormat="1" ht="15" customHeight="1" x14ac:dyDescent="0.25">
      <c r="A114" s="215">
        <v>44220</v>
      </c>
      <c r="B114" s="364" t="s">
        <v>32</v>
      </c>
      <c r="C114" s="350" t="s">
        <v>12</v>
      </c>
      <c r="D114" s="350" t="s">
        <v>1485</v>
      </c>
      <c r="E114" s="875" t="s">
        <v>13</v>
      </c>
      <c r="F114" s="780">
        <v>43.8</v>
      </c>
      <c r="G114" s="982"/>
      <c r="H114" s="1008"/>
      <c r="I114" s="1063"/>
      <c r="J114" s="622"/>
      <c r="K114" s="982"/>
      <c r="L114" s="861"/>
      <c r="N114" s="878"/>
    </row>
    <row r="115" spans="1:14" s="224" customFormat="1" ht="15" customHeight="1" x14ac:dyDescent="0.25">
      <c r="A115" s="215">
        <v>44220</v>
      </c>
      <c r="B115" s="364" t="s">
        <v>2870</v>
      </c>
      <c r="C115" s="350" t="s">
        <v>12</v>
      </c>
      <c r="D115" s="350" t="s">
        <v>1489</v>
      </c>
      <c r="E115" s="875" t="s">
        <v>13</v>
      </c>
      <c r="F115" s="780">
        <v>24</v>
      </c>
      <c r="G115" s="982"/>
      <c r="H115" s="1008"/>
      <c r="I115" s="1063"/>
      <c r="J115" s="622"/>
      <c r="K115" s="982"/>
      <c r="L115" s="861"/>
      <c r="N115" s="878"/>
    </row>
    <row r="116" spans="1:14" s="224" customFormat="1" ht="15" customHeight="1" x14ac:dyDescent="0.25">
      <c r="A116" s="215">
        <v>44220</v>
      </c>
      <c r="B116" s="364" t="s">
        <v>43</v>
      </c>
      <c r="C116" s="350" t="s">
        <v>12</v>
      </c>
      <c r="D116" s="350" t="s">
        <v>1493</v>
      </c>
      <c r="E116" s="875" t="s">
        <v>13</v>
      </c>
      <c r="F116" s="780">
        <v>20.11</v>
      </c>
      <c r="G116" s="982"/>
      <c r="H116" s="1008"/>
      <c r="I116" s="1063"/>
      <c r="J116" s="622"/>
      <c r="K116" s="982"/>
      <c r="L116" s="1029"/>
      <c r="M116" s="89"/>
      <c r="N116" s="1035"/>
    </row>
    <row r="117" spans="1:14" s="224" customFormat="1" ht="15" customHeight="1" x14ac:dyDescent="0.25">
      <c r="A117" s="215">
        <v>44221</v>
      </c>
      <c r="B117" s="364" t="s">
        <v>32</v>
      </c>
      <c r="C117" s="350" t="s">
        <v>12</v>
      </c>
      <c r="D117" s="350" t="s">
        <v>1485</v>
      </c>
      <c r="E117" s="875" t="s">
        <v>13</v>
      </c>
      <c r="F117" s="780">
        <v>15</v>
      </c>
      <c r="G117" s="946"/>
      <c r="H117" s="95"/>
      <c r="I117" s="1064"/>
      <c r="J117" s="97"/>
      <c r="K117" s="946"/>
      <c r="L117" s="926"/>
      <c r="M117" s="881"/>
      <c r="N117" s="877"/>
    </row>
    <row r="118" spans="1:14" s="224" customFormat="1" ht="15" customHeight="1" x14ac:dyDescent="0.25">
      <c r="A118" s="215">
        <v>44221</v>
      </c>
      <c r="B118" s="364" t="s">
        <v>14</v>
      </c>
      <c r="C118" s="350" t="s">
        <v>12</v>
      </c>
      <c r="D118" s="350" t="s">
        <v>1486</v>
      </c>
      <c r="E118" s="875" t="s">
        <v>13</v>
      </c>
      <c r="F118" s="780">
        <v>21.77</v>
      </c>
      <c r="G118" s="982"/>
      <c r="H118" s="1008"/>
      <c r="I118" s="1063"/>
      <c r="J118" s="622"/>
      <c r="K118" s="982"/>
      <c r="L118" s="1029"/>
      <c r="M118" s="518"/>
      <c r="N118" s="1040"/>
    </row>
    <row r="119" spans="1:14" s="224" customFormat="1" ht="15" customHeight="1" x14ac:dyDescent="0.25">
      <c r="A119" s="215">
        <v>44222</v>
      </c>
      <c r="B119" s="364" t="s">
        <v>32</v>
      </c>
      <c r="C119" s="350" t="s">
        <v>12</v>
      </c>
      <c r="D119" s="350" t="s">
        <v>1485</v>
      </c>
      <c r="E119" s="875" t="s">
        <v>13</v>
      </c>
      <c r="F119" s="780">
        <v>15</v>
      </c>
      <c r="G119" s="982"/>
      <c r="H119" s="1008"/>
      <c r="I119" s="1063"/>
      <c r="J119" s="622"/>
      <c r="K119" s="982"/>
      <c r="L119" s="861"/>
      <c r="N119" s="1035"/>
    </row>
    <row r="120" spans="1:14" s="224" customFormat="1" ht="15" customHeight="1" x14ac:dyDescent="0.25">
      <c r="A120" s="215">
        <v>44222</v>
      </c>
      <c r="B120" s="364" t="s">
        <v>2452</v>
      </c>
      <c r="C120" s="350" t="s">
        <v>12</v>
      </c>
      <c r="D120" s="350" t="s">
        <v>2168</v>
      </c>
      <c r="E120" s="875" t="s">
        <v>13</v>
      </c>
      <c r="F120" s="780">
        <v>22.8</v>
      </c>
      <c r="G120" s="1063"/>
      <c r="H120" s="622"/>
      <c r="I120" s="982"/>
      <c r="J120" s="622"/>
      <c r="K120" s="982"/>
      <c r="L120" s="927"/>
    </row>
    <row r="121" spans="1:14" s="224" customFormat="1" ht="15" customHeight="1" x14ac:dyDescent="0.25">
      <c r="A121" s="215">
        <v>44223</v>
      </c>
      <c r="B121" s="364" t="s">
        <v>32</v>
      </c>
      <c r="C121" s="350" t="s">
        <v>12</v>
      </c>
      <c r="D121" s="350" t="s">
        <v>1485</v>
      </c>
      <c r="E121" s="875" t="s">
        <v>15</v>
      </c>
      <c r="F121" s="780">
        <v>15</v>
      </c>
      <c r="G121" s="946"/>
      <c r="H121" s="95"/>
      <c r="I121" s="1064"/>
      <c r="J121" s="97"/>
      <c r="K121" s="946"/>
      <c r="L121" s="926"/>
      <c r="M121" s="216"/>
      <c r="N121" s="877"/>
    </row>
    <row r="122" spans="1:14" s="224" customFormat="1" ht="15" customHeight="1" x14ac:dyDescent="0.25">
      <c r="A122" s="215">
        <v>44223</v>
      </c>
      <c r="B122" s="364" t="s">
        <v>2415</v>
      </c>
      <c r="C122" s="350" t="s">
        <v>12</v>
      </c>
      <c r="D122" s="350" t="s">
        <v>1493</v>
      </c>
      <c r="E122" s="875" t="s">
        <v>15</v>
      </c>
      <c r="F122" s="780">
        <v>5</v>
      </c>
      <c r="G122" s="982"/>
      <c r="H122" s="1008"/>
      <c r="I122" s="1063"/>
      <c r="J122" s="622"/>
      <c r="K122" s="982"/>
      <c r="L122" s="861"/>
      <c r="N122" s="878"/>
    </row>
    <row r="123" spans="1:14" s="224" customFormat="1" ht="15" customHeight="1" x14ac:dyDescent="0.25">
      <c r="A123" s="215">
        <v>44223</v>
      </c>
      <c r="B123" s="364" t="s">
        <v>2251</v>
      </c>
      <c r="C123" s="350" t="s">
        <v>12</v>
      </c>
      <c r="D123" s="350" t="s">
        <v>2157</v>
      </c>
      <c r="E123" s="875" t="s">
        <v>15</v>
      </c>
      <c r="F123" s="780">
        <v>50</v>
      </c>
      <c r="G123" s="982"/>
      <c r="H123" s="1008"/>
      <c r="I123" s="1063"/>
      <c r="J123" s="622"/>
      <c r="K123" s="982"/>
      <c r="L123" s="1029"/>
      <c r="M123" s="1027"/>
      <c r="N123" s="1035"/>
    </row>
    <row r="124" spans="1:14" s="224" customFormat="1" ht="15" customHeight="1" x14ac:dyDescent="0.25">
      <c r="A124" s="215">
        <v>44223</v>
      </c>
      <c r="B124" s="364" t="s">
        <v>2871</v>
      </c>
      <c r="C124" s="350" t="s">
        <v>12</v>
      </c>
      <c r="D124" s="350" t="s">
        <v>1489</v>
      </c>
      <c r="E124" s="875" t="s">
        <v>13</v>
      </c>
      <c r="F124" s="852">
        <v>53.81</v>
      </c>
      <c r="G124" s="957"/>
      <c r="H124" s="622"/>
      <c r="I124" s="982"/>
      <c r="J124" s="622"/>
      <c r="K124" s="982"/>
      <c r="L124" s="927"/>
      <c r="N124" s="878"/>
    </row>
    <row r="125" spans="1:14" s="224" customFormat="1" ht="15" customHeight="1" x14ac:dyDescent="0.25">
      <c r="A125" s="215">
        <v>44223</v>
      </c>
      <c r="B125" s="364" t="s">
        <v>14</v>
      </c>
      <c r="C125" s="350" t="s">
        <v>12</v>
      </c>
      <c r="D125" s="350" t="s">
        <v>1486</v>
      </c>
      <c r="E125" s="875" t="s">
        <v>13</v>
      </c>
      <c r="F125" s="852">
        <v>3.33</v>
      </c>
      <c r="G125" s="957"/>
      <c r="H125" s="622"/>
      <c r="I125" s="982"/>
      <c r="J125" s="622"/>
      <c r="K125" s="982"/>
      <c r="L125" s="927"/>
      <c r="N125" s="878"/>
    </row>
    <row r="126" spans="1:14" s="224" customFormat="1" ht="15" customHeight="1" x14ac:dyDescent="0.25">
      <c r="A126" s="215">
        <v>44224</v>
      </c>
      <c r="B126" s="862" t="s">
        <v>2593</v>
      </c>
      <c r="C126" s="879" t="s">
        <v>12</v>
      </c>
      <c r="D126" s="879" t="s">
        <v>1504</v>
      </c>
      <c r="E126" s="871" t="s">
        <v>13</v>
      </c>
      <c r="F126" s="780">
        <v>32.9</v>
      </c>
      <c r="G126" s="1034"/>
      <c r="H126" s="1008"/>
      <c r="I126" s="1063"/>
      <c r="J126" s="622"/>
      <c r="K126" s="982"/>
      <c r="L126" s="475"/>
      <c r="N126" s="878"/>
    </row>
    <row r="127" spans="1:14" s="224" customFormat="1" ht="15" customHeight="1" x14ac:dyDescent="0.25">
      <c r="A127" s="215">
        <v>44224</v>
      </c>
      <c r="B127" s="364" t="s">
        <v>32</v>
      </c>
      <c r="C127" s="350" t="s">
        <v>12</v>
      </c>
      <c r="D127" s="350" t="s">
        <v>1485</v>
      </c>
      <c r="E127" s="875" t="s">
        <v>13</v>
      </c>
      <c r="F127" s="780">
        <v>15</v>
      </c>
      <c r="G127" s="982"/>
      <c r="H127" s="1008"/>
      <c r="I127" s="1063"/>
      <c r="J127" s="622"/>
      <c r="K127" s="982"/>
      <c r="L127" s="861"/>
      <c r="N127" s="1035"/>
    </row>
    <row r="128" spans="1:14" s="224" customFormat="1" ht="15" customHeight="1" x14ac:dyDescent="0.25">
      <c r="A128" s="215">
        <v>44225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780">
        <v>15</v>
      </c>
      <c r="G128" s="957"/>
      <c r="H128" s="622"/>
      <c r="I128" s="982"/>
      <c r="J128" s="622"/>
      <c r="K128" s="982"/>
      <c r="L128" s="927"/>
      <c r="N128" s="878"/>
    </row>
    <row r="129" spans="1:14" s="224" customFormat="1" ht="15" customHeight="1" x14ac:dyDescent="0.25">
      <c r="A129" s="215">
        <v>44225</v>
      </c>
      <c r="B129" s="364" t="s">
        <v>82</v>
      </c>
      <c r="C129" s="350" t="s">
        <v>12</v>
      </c>
      <c r="D129" s="350" t="s">
        <v>1493</v>
      </c>
      <c r="E129" s="875" t="s">
        <v>13</v>
      </c>
      <c r="F129" s="780">
        <v>26.4</v>
      </c>
      <c r="G129" s="982"/>
      <c r="H129" s="1008"/>
      <c r="I129" s="1063"/>
      <c r="J129" s="622"/>
      <c r="K129" s="982"/>
      <c r="L129" s="1029"/>
      <c r="M129" s="89"/>
      <c r="N129" s="1035"/>
    </row>
    <row r="130" spans="1:14" s="224" customFormat="1" ht="15" customHeight="1" x14ac:dyDescent="0.25">
      <c r="A130" s="215">
        <v>44226</v>
      </c>
      <c r="B130" s="349" t="s">
        <v>2790</v>
      </c>
      <c r="C130" s="879" t="s">
        <v>12</v>
      </c>
      <c r="D130" s="879" t="s">
        <v>1489</v>
      </c>
      <c r="E130" s="871" t="s">
        <v>15</v>
      </c>
      <c r="F130" s="780">
        <v>6.5</v>
      </c>
      <c r="G130" s="982"/>
      <c r="H130" s="1008"/>
      <c r="I130" s="1063"/>
      <c r="J130" s="622"/>
      <c r="K130" s="982"/>
      <c r="L130" s="861"/>
      <c r="N130" s="878"/>
    </row>
    <row r="131" spans="1:14" s="224" customFormat="1" ht="15" customHeight="1" x14ac:dyDescent="0.25">
      <c r="A131" s="215">
        <v>44226</v>
      </c>
      <c r="B131" s="349" t="s">
        <v>147</v>
      </c>
      <c r="C131" s="879" t="s">
        <v>12</v>
      </c>
      <c r="D131" s="879" t="s">
        <v>1506</v>
      </c>
      <c r="E131" s="871" t="s">
        <v>15</v>
      </c>
      <c r="F131" s="780">
        <v>10</v>
      </c>
      <c r="G131" s="982"/>
      <c r="H131" s="1008"/>
      <c r="I131" s="1063"/>
      <c r="J131" s="622"/>
      <c r="K131" s="982"/>
      <c r="L131" s="861"/>
      <c r="N131" s="878"/>
    </row>
    <row r="132" spans="1:14" s="224" customFormat="1" ht="15" customHeight="1" x14ac:dyDescent="0.25">
      <c r="A132" s="215">
        <v>44226</v>
      </c>
      <c r="B132" s="364" t="s">
        <v>80</v>
      </c>
      <c r="C132" s="350" t="s">
        <v>19</v>
      </c>
      <c r="D132" s="350" t="s">
        <v>1523</v>
      </c>
      <c r="E132" s="875" t="s">
        <v>13</v>
      </c>
      <c r="F132" s="780">
        <v>34</v>
      </c>
      <c r="G132" s="957"/>
      <c r="H132" s="622"/>
      <c r="I132" s="982"/>
      <c r="J132" s="622"/>
      <c r="K132" s="982"/>
      <c r="L132" s="927"/>
      <c r="N132" s="878"/>
    </row>
    <row r="133" spans="1:14" s="224" customFormat="1" ht="15" customHeight="1" x14ac:dyDescent="0.25">
      <c r="A133" s="215">
        <v>44226</v>
      </c>
      <c r="B133" s="349" t="s">
        <v>2629</v>
      </c>
      <c r="C133" s="879" t="s">
        <v>19</v>
      </c>
      <c r="D133" s="879" t="s">
        <v>1489</v>
      </c>
      <c r="E133" s="871" t="s">
        <v>13</v>
      </c>
      <c r="F133" s="852">
        <v>63.43</v>
      </c>
      <c r="G133" s="957"/>
      <c r="H133" s="622"/>
      <c r="I133" s="982"/>
      <c r="J133" s="622"/>
      <c r="K133" s="982"/>
      <c r="L133" s="927"/>
      <c r="N133" s="878"/>
    </row>
    <row r="134" spans="1:14" s="224" customFormat="1" ht="15" customHeight="1" x14ac:dyDescent="0.25">
      <c r="A134" s="215">
        <v>44226</v>
      </c>
      <c r="B134" s="364" t="s">
        <v>80</v>
      </c>
      <c r="C134" s="350" t="s">
        <v>12</v>
      </c>
      <c r="D134" s="350" t="s">
        <v>1523</v>
      </c>
      <c r="E134" s="875" t="s">
        <v>13</v>
      </c>
      <c r="F134" s="780">
        <v>20.16</v>
      </c>
      <c r="G134" s="957"/>
      <c r="H134" s="622"/>
      <c r="I134" s="982"/>
      <c r="J134" s="622"/>
      <c r="K134" s="982"/>
      <c r="L134" s="927"/>
      <c r="N134" s="878"/>
    </row>
    <row r="135" spans="1:14" s="224" customFormat="1" ht="15" customHeight="1" x14ac:dyDescent="0.25">
      <c r="A135" s="215">
        <v>44227</v>
      </c>
      <c r="B135" s="364" t="s">
        <v>14</v>
      </c>
      <c r="C135" s="350" t="s">
        <v>12</v>
      </c>
      <c r="D135" s="350" t="s">
        <v>1486</v>
      </c>
      <c r="E135" s="875" t="s">
        <v>13</v>
      </c>
      <c r="F135" s="780">
        <v>5.7</v>
      </c>
      <c r="G135" s="982"/>
      <c r="H135" s="622"/>
      <c r="I135" s="982"/>
      <c r="J135" s="622"/>
      <c r="K135" s="982"/>
      <c r="L135" s="927"/>
      <c r="N135" s="878"/>
    </row>
    <row r="136" spans="1:14" s="224" customFormat="1" ht="15" customHeight="1" x14ac:dyDescent="0.25">
      <c r="A136" s="215">
        <v>44227</v>
      </c>
      <c r="B136" s="364" t="s">
        <v>2603</v>
      </c>
      <c r="C136" s="350" t="s">
        <v>12</v>
      </c>
      <c r="D136" s="350" t="s">
        <v>1491</v>
      </c>
      <c r="E136" s="871" t="s">
        <v>15</v>
      </c>
      <c r="F136" s="780">
        <v>80</v>
      </c>
      <c r="G136" s="982"/>
      <c r="H136" s="1008"/>
      <c r="I136" s="1063"/>
      <c r="J136" s="622"/>
      <c r="K136" s="982"/>
      <c r="L136" s="1029"/>
      <c r="M136" s="881"/>
      <c r="N136" s="877"/>
    </row>
    <row r="137" spans="1:14" s="224" customFormat="1" ht="15" customHeight="1" x14ac:dyDescent="0.25">
      <c r="A137" s="215">
        <v>44227</v>
      </c>
      <c r="B137" s="349" t="s">
        <v>81</v>
      </c>
      <c r="C137" s="350" t="s">
        <v>12</v>
      </c>
      <c r="D137" s="350" t="s">
        <v>1493</v>
      </c>
      <c r="E137" s="480" t="s">
        <v>13</v>
      </c>
      <c r="F137" s="780">
        <v>6.07</v>
      </c>
      <c r="G137" s="982"/>
      <c r="H137" s="1008"/>
      <c r="I137" s="1063"/>
      <c r="J137" s="622"/>
      <c r="K137" s="982"/>
      <c r="L137" s="861"/>
      <c r="M137" s="999"/>
      <c r="N137" s="878"/>
    </row>
    <row r="138" spans="1:14" s="224" customFormat="1" ht="15.75" thickBot="1" x14ac:dyDescent="0.3">
      <c r="A138" s="215">
        <v>44227</v>
      </c>
      <c r="B138" s="862" t="s">
        <v>1666</v>
      </c>
      <c r="C138" s="350" t="s">
        <v>12</v>
      </c>
      <c r="D138" s="1003"/>
      <c r="E138" s="145" t="s">
        <v>25</v>
      </c>
      <c r="F138" s="1036"/>
      <c r="G138" s="1535"/>
      <c r="H138" s="1008"/>
      <c r="I138" s="1063"/>
      <c r="J138" s="622"/>
      <c r="K138" s="982">
        <v>36.03</v>
      </c>
      <c r="L138" s="475"/>
      <c r="N138" s="878"/>
    </row>
    <row r="139" spans="1:14" ht="25.5" customHeight="1" thickBot="1" x14ac:dyDescent="0.3">
      <c r="A139" s="3060"/>
      <c r="B139" s="3061"/>
      <c r="C139" s="3062"/>
      <c r="D139" s="3062"/>
      <c r="E139" s="3062"/>
      <c r="F139" s="1020">
        <f>SUM(F6:F138)</f>
        <v>9283.5449999999983</v>
      </c>
      <c r="G139" s="1534">
        <f>SUM(G5:G138)</f>
        <v>9679.0145833333554</v>
      </c>
      <c r="H139" s="517">
        <f>SUM(H6:H138)</f>
        <v>4800</v>
      </c>
      <c r="I139" s="93">
        <f>SUM(I5:I138)</f>
        <v>6499.9960000000019</v>
      </c>
      <c r="J139" s="1023">
        <f>SUM(J6:J138)</f>
        <v>0</v>
      </c>
      <c r="K139" s="93">
        <f>SUM(K5:K138)</f>
        <v>18013.379999999997</v>
      </c>
      <c r="M139" s="216"/>
    </row>
    <row r="140" spans="1:14" ht="25.5" customHeight="1" thickBot="1" x14ac:dyDescent="0.3">
      <c r="A140" s="3117" t="s">
        <v>49</v>
      </c>
      <c r="B140" s="3118"/>
      <c r="C140" s="3118"/>
      <c r="D140" s="3118"/>
      <c r="E140" s="3118"/>
      <c r="F140" s="144" t="s">
        <v>280</v>
      </c>
      <c r="G140" s="519">
        <f>G139-F139</f>
        <v>395.46958333335715</v>
      </c>
      <c r="H140" s="555"/>
      <c r="I140" s="772">
        <f>I139-H139</f>
        <v>1699.9960000000019</v>
      </c>
      <c r="J140" s="593"/>
      <c r="K140" s="772">
        <f>K139-J139</f>
        <v>18013.379999999997</v>
      </c>
    </row>
    <row r="141" spans="1:14" x14ac:dyDescent="0.25">
      <c r="E141" s="79"/>
      <c r="K141" s="518"/>
      <c r="L141" s="216"/>
    </row>
    <row r="142" spans="1:14" x14ac:dyDescent="0.25">
      <c r="B142" s="81" t="s">
        <v>3</v>
      </c>
      <c r="C142" s="193" t="s">
        <v>1484</v>
      </c>
      <c r="D142" s="970" t="s">
        <v>2378</v>
      </c>
      <c r="G142" s="216"/>
      <c r="K142" s="866"/>
    </row>
    <row r="143" spans="1:14" x14ac:dyDescent="0.25">
      <c r="B143" s="79" t="s">
        <v>32</v>
      </c>
      <c r="C143" s="85" t="s">
        <v>1485</v>
      </c>
      <c r="D143" s="475">
        <f>SUMIF($D$7:$D$138,"A",$F$7:$F$138)</f>
        <v>378.8</v>
      </c>
      <c r="F143" s="79"/>
      <c r="G143" s="800"/>
      <c r="I143" s="769"/>
      <c r="J143" s="868"/>
    </row>
    <row r="144" spans="1:14" x14ac:dyDescent="0.25">
      <c r="B144" s="79" t="s">
        <v>2187</v>
      </c>
      <c r="C144" s="85" t="s">
        <v>2157</v>
      </c>
      <c r="D144" s="475">
        <f>SUMIF($D$7:$D$138,"GAC",$F$7:$F$138)</f>
        <v>401.28999999999996</v>
      </c>
      <c r="G144" s="609"/>
      <c r="J144" s="754"/>
      <c r="K144" s="886"/>
      <c r="L144" s="1030"/>
    </row>
    <row r="145" spans="1:14" x14ac:dyDescent="0.25">
      <c r="B145" s="79" t="s">
        <v>2188</v>
      </c>
      <c r="C145" s="85" t="s">
        <v>2168</v>
      </c>
      <c r="D145" s="475">
        <f>SUMIF($D$7:$D$138,"GAM",$F$7:$F$138)</f>
        <v>28.8</v>
      </c>
      <c r="J145" s="864"/>
      <c r="K145" s="864"/>
      <c r="L145" s="958"/>
    </row>
    <row r="146" spans="1:14" s="85" customFormat="1" x14ac:dyDescent="0.25">
      <c r="A146" s="79"/>
      <c r="B146" s="79" t="s">
        <v>50</v>
      </c>
      <c r="C146" s="85" t="s">
        <v>1493</v>
      </c>
      <c r="D146" s="475">
        <f>SUMIF($D$7:$D$138,"LD",$F$7:$F$138)</f>
        <v>312.01</v>
      </c>
      <c r="J146" s="864"/>
      <c r="K146" s="1032"/>
      <c r="L146" s="958"/>
      <c r="N146" s="877"/>
    </row>
    <row r="147" spans="1:14" s="85" customFormat="1" x14ac:dyDescent="0.25">
      <c r="A147" s="79"/>
      <c r="B147" s="79" t="s">
        <v>14</v>
      </c>
      <c r="C147" s="85" t="s">
        <v>1486</v>
      </c>
      <c r="D147" s="475">
        <f>SUMIF($D$7:$D$138,"C",$F$7:$F$138)</f>
        <v>105.75000000000001</v>
      </c>
      <c r="F147" s="89"/>
      <c r="G147" s="79"/>
      <c r="H147" s="79"/>
      <c r="J147" s="864"/>
      <c r="K147" s="1032"/>
      <c r="L147" s="958"/>
      <c r="N147" s="877"/>
    </row>
    <row r="148" spans="1:14" s="85" customFormat="1" x14ac:dyDescent="0.25">
      <c r="A148" s="79"/>
      <c r="B148" s="79" t="s">
        <v>51</v>
      </c>
      <c r="C148" s="864" t="s">
        <v>1499</v>
      </c>
      <c r="D148" s="475">
        <f>SUMIF($D$31:$D$138,"CAL",$F$31:$F$138)</f>
        <v>90.83</v>
      </c>
      <c r="F148" s="89"/>
      <c r="G148" s="79"/>
      <c r="H148" s="79"/>
      <c r="I148" s="79"/>
      <c r="K148" s="795"/>
      <c r="L148" s="958"/>
      <c r="N148" s="877"/>
    </row>
    <row r="149" spans="1:14" s="85" customFormat="1" x14ac:dyDescent="0.25">
      <c r="A149" s="79"/>
      <c r="B149" s="79" t="s">
        <v>2189</v>
      </c>
      <c r="C149" s="864" t="s">
        <v>1496</v>
      </c>
      <c r="D149" s="475">
        <f>SUMIF($D$31:$D$138,"AC",$F$31:$F$138)</f>
        <v>127</v>
      </c>
      <c r="F149" s="769"/>
      <c r="G149" s="79"/>
      <c r="K149" s="177"/>
      <c r="L149" s="941"/>
      <c r="N149" s="877"/>
    </row>
    <row r="150" spans="1:14" s="85" customFormat="1" x14ac:dyDescent="0.25">
      <c r="A150" s="79"/>
      <c r="B150" s="867" t="s">
        <v>53</v>
      </c>
      <c r="C150" s="864" t="s">
        <v>1522</v>
      </c>
      <c r="D150" s="475">
        <f>SUMIF($D$31:$D$138,"DC",$F$31:$F$138)</f>
        <v>300.85500000000002</v>
      </c>
      <c r="K150" s="177"/>
      <c r="L150" s="475"/>
      <c r="N150" s="877"/>
    </row>
    <row r="151" spans="1:14" s="85" customFormat="1" x14ac:dyDescent="0.25">
      <c r="A151" s="79"/>
      <c r="B151" s="867" t="s">
        <v>2149</v>
      </c>
      <c r="C151" s="864" t="s">
        <v>2131</v>
      </c>
      <c r="D151" s="475">
        <f>SUMIF($D$31:$D$138,"DM",$F$31:$F$138)</f>
        <v>73.83</v>
      </c>
      <c r="F151" s="769"/>
      <c r="K151" s="177" t="s">
        <v>280</v>
      </c>
      <c r="L151" s="475"/>
      <c r="N151" s="877"/>
    </row>
    <row r="152" spans="1:14" s="85" customFormat="1" x14ac:dyDescent="0.25">
      <c r="A152" s="79"/>
      <c r="B152" s="79" t="s">
        <v>2008</v>
      </c>
      <c r="C152" s="864" t="s">
        <v>1523</v>
      </c>
      <c r="D152" s="475">
        <f>SUMIF($D$26:$D$138,"B",$F$26:$F$138)</f>
        <v>130.16</v>
      </c>
      <c r="F152" s="769"/>
      <c r="G152" s="866"/>
      <c r="K152" s="177"/>
      <c r="L152" s="475"/>
      <c r="N152" s="877"/>
    </row>
    <row r="153" spans="1:14" s="85" customFormat="1" x14ac:dyDescent="0.25">
      <c r="A153" s="79"/>
      <c r="B153" s="79" t="s">
        <v>1686</v>
      </c>
      <c r="C153" s="864" t="s">
        <v>1506</v>
      </c>
      <c r="D153" s="475">
        <f>SUMIF($D$26:$D$138,"R",$F$26:$F$138)</f>
        <v>249.9</v>
      </c>
      <c r="F153" s="769"/>
      <c r="G153" s="868"/>
      <c r="K153" s="866"/>
      <c r="L153" s="475"/>
      <c r="N153" s="877"/>
    </row>
    <row r="154" spans="1:14" x14ac:dyDescent="0.25">
      <c r="B154" s="79" t="s">
        <v>418</v>
      </c>
      <c r="C154" s="85" t="s">
        <v>1524</v>
      </c>
      <c r="D154" s="475">
        <f>SUMIF($D$31:$D$138,"COM",$F$31:$F$138)</f>
        <v>92</v>
      </c>
      <c r="G154" s="85"/>
      <c r="H154" s="85"/>
      <c r="I154" s="85"/>
      <c r="J154" s="769"/>
      <c r="K154" s="216"/>
    </row>
    <row r="155" spans="1:14" x14ac:dyDescent="0.25">
      <c r="B155" s="79" t="s">
        <v>419</v>
      </c>
      <c r="C155" s="85" t="s">
        <v>1491</v>
      </c>
      <c r="D155" s="475">
        <f>SUMIF($D$10:$D$138,"F",$F$10:$F$138)</f>
        <v>598.5</v>
      </c>
      <c r="I155" s="85"/>
      <c r="K155" s="216"/>
    </row>
    <row r="156" spans="1:14" x14ac:dyDescent="0.25">
      <c r="B156" s="79" t="s">
        <v>911</v>
      </c>
      <c r="C156" s="85" t="s">
        <v>1525</v>
      </c>
      <c r="D156" s="475">
        <f>SUMIF($D$31:$D$138,"FER",$F$31:$F$138)</f>
        <v>236.34</v>
      </c>
      <c r="J156" s="769"/>
      <c r="K156" s="868"/>
    </row>
    <row r="157" spans="1:14" x14ac:dyDescent="0.25">
      <c r="B157" s="79" t="s">
        <v>1526</v>
      </c>
      <c r="C157" s="85" t="s">
        <v>1504</v>
      </c>
      <c r="D157" s="475">
        <f>SUMIF($D$7:$D$138,"I",$F$7:$F$138)</f>
        <v>204.66</v>
      </c>
      <c r="F157" s="89" t="s">
        <v>280</v>
      </c>
      <c r="J157" s="769"/>
      <c r="K157" s="868"/>
    </row>
    <row r="158" spans="1:14" x14ac:dyDescent="0.25">
      <c r="B158" s="79" t="s">
        <v>2343</v>
      </c>
      <c r="C158" s="85" t="s">
        <v>2315</v>
      </c>
      <c r="D158" s="475">
        <f>SUMIF($D$31:$D$138,"E",$F$31:$F$138)</f>
        <v>0</v>
      </c>
      <c r="J158" s="769"/>
      <c r="K158" s="868"/>
    </row>
    <row r="159" spans="1:14" x14ac:dyDescent="0.25">
      <c r="B159" s="79" t="s">
        <v>1527</v>
      </c>
      <c r="C159" s="85" t="s">
        <v>1489</v>
      </c>
      <c r="D159" s="475">
        <f>SUMIF($D$7:$D$138,"OD",$F$7:$F$138)</f>
        <v>486.01000000000005</v>
      </c>
      <c r="J159" s="769"/>
    </row>
    <row r="160" spans="1:14" x14ac:dyDescent="0.25">
      <c r="C160" s="769"/>
      <c r="K160" s="866"/>
    </row>
    <row r="161" spans="1:15" x14ac:dyDescent="0.25">
      <c r="D161" s="459"/>
      <c r="H161" s="769"/>
      <c r="I161" s="518" t="s">
        <v>280</v>
      </c>
      <c r="K161" s="866"/>
    </row>
    <row r="162" spans="1:15" x14ac:dyDescent="0.25">
      <c r="B162" s="79" t="s">
        <v>486</v>
      </c>
      <c r="C162" s="475">
        <f>H162/J162</f>
        <v>123.12048387096775</v>
      </c>
      <c r="F162" s="459" t="s">
        <v>487</v>
      </c>
      <c r="H162" s="216">
        <f>SUM(D143:D159)</f>
        <v>3816.7350000000001</v>
      </c>
      <c r="J162" s="1517">
        <v>31</v>
      </c>
    </row>
    <row r="163" spans="1:15" ht="15.75" customHeight="1" x14ac:dyDescent="0.25">
      <c r="E163" s="769"/>
      <c r="H163" s="85"/>
      <c r="K163" s="868"/>
    </row>
    <row r="164" spans="1:15" x14ac:dyDescent="0.25">
      <c r="E164" s="79"/>
      <c r="F164" s="79"/>
      <c r="H164" s="866"/>
      <c r="J164" s="769"/>
      <c r="K164" s="866"/>
    </row>
    <row r="165" spans="1:15" s="518" customFormat="1" x14ac:dyDescent="0.25">
      <c r="A165" s="79"/>
      <c r="B165" s="79"/>
      <c r="C165" s="85"/>
      <c r="D165" s="79"/>
      <c r="E165" s="79"/>
      <c r="F165" s="89"/>
      <c r="G165" s="79"/>
      <c r="H165" s="79"/>
      <c r="I165" s="7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216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216"/>
      <c r="H171" s="79"/>
      <c r="I171" s="216"/>
      <c r="J171" s="769"/>
      <c r="K171" s="868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216"/>
      <c r="H172" s="79"/>
      <c r="I172" s="216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216"/>
      <c r="H173" s="79"/>
      <c r="I173" s="79"/>
      <c r="J173" s="770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484"/>
      <c r="M174" s="79"/>
      <c r="N174" s="877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62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69"/>
      <c r="K192" s="866"/>
      <c r="L192" s="484"/>
      <c r="M192" s="79"/>
      <c r="N192" s="877"/>
      <c r="O192" s="79"/>
    </row>
    <row r="193" spans="1:15" s="518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69"/>
      <c r="K193" s="868"/>
      <c r="L193" s="484"/>
      <c r="M193" s="79"/>
      <c r="N193" s="877"/>
      <c r="O193" s="79"/>
    </row>
    <row r="194" spans="1:15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J194" s="769"/>
      <c r="K194" s="866"/>
      <c r="L194" s="484"/>
      <c r="M194" s="79"/>
      <c r="N194" s="877"/>
      <c r="O194" s="79"/>
    </row>
    <row r="195" spans="1:15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866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8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8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69"/>
      <c r="K198" s="868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8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6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223"/>
      <c r="K201" s="62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56"/>
      <c r="K202" s="756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85"/>
      <c r="K207" s="85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85"/>
      <c r="K214" s="85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484"/>
      <c r="M217" s="79"/>
      <c r="N217" s="877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71"/>
      <c r="L221" s="484"/>
      <c r="M221" s="79"/>
      <c r="N221" s="877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484"/>
      <c r="M222" s="79"/>
      <c r="N222" s="877"/>
      <c r="O222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629"/>
      <c r="L236" s="484"/>
      <c r="M236" s="79"/>
      <c r="N236" s="877"/>
      <c r="O236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  <row r="243" spans="1:15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  <c r="O243" s="79"/>
    </row>
    <row r="244" spans="1:15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  <c r="O244" s="79"/>
    </row>
    <row r="245" spans="1:15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  <c r="O245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484"/>
      <c r="M247" s="79"/>
      <c r="N247" s="877"/>
      <c r="O247" s="79"/>
    </row>
    <row r="248" spans="1:15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L248" s="484"/>
      <c r="M248" s="79"/>
      <c r="N248" s="877"/>
      <c r="O248" s="79"/>
    </row>
    <row r="249" spans="1:15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L249" s="484"/>
      <c r="M249" s="79"/>
      <c r="N249" s="877"/>
      <c r="O249" s="79"/>
    </row>
    <row r="250" spans="1:15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216"/>
      <c r="L250" s="484"/>
      <c r="M250" s="79"/>
      <c r="N250" s="877"/>
      <c r="O250" s="79"/>
    </row>
  </sheetData>
  <autoFilter ref="A2:I140" xr:uid="{00000000-0009-0000-0000-00006C000000}"/>
  <mergeCells count="13">
    <mergeCell ref="L38:M38"/>
    <mergeCell ref="A139:E139"/>
    <mergeCell ref="A140:E14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Plan124"/>
  <dimension ref="A1:P230"/>
  <sheetViews>
    <sheetView zoomScale="85" zoomScaleNormal="85" workbookViewId="0">
      <pane ySplit="4" topLeftCell="A95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4257812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2872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44228</v>
      </c>
      <c r="B5" s="369" t="s">
        <v>10</v>
      </c>
      <c r="C5" s="370"/>
      <c r="D5" s="370"/>
      <c r="E5" s="777"/>
      <c r="F5" s="179"/>
      <c r="G5" s="933">
        <f>'Janeiro-21'!G140</f>
        <v>395.46958333335715</v>
      </c>
      <c r="H5" s="163"/>
      <c r="I5" s="1479">
        <f>'Janeiro-21'!I140</f>
        <v>1699.9960000000019</v>
      </c>
      <c r="J5" s="179"/>
      <c r="K5" s="933">
        <f>'Janeiro-21'!K140</f>
        <v>18013.379999999997</v>
      </c>
    </row>
    <row r="6" spans="1:15" s="224" customFormat="1" x14ac:dyDescent="0.25">
      <c r="A6" s="215">
        <v>44228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44228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15</v>
      </c>
      <c r="G7" s="982"/>
      <c r="H7" s="1008"/>
      <c r="I7" s="1063"/>
      <c r="J7" s="622"/>
      <c r="K7" s="982"/>
      <c r="L7" s="861"/>
      <c r="N7" s="1035"/>
    </row>
    <row r="8" spans="1:15" s="224" customFormat="1" ht="15" customHeight="1" x14ac:dyDescent="0.25">
      <c r="A8" s="215">
        <v>44229</v>
      </c>
      <c r="B8" s="364" t="s">
        <v>32</v>
      </c>
      <c r="C8" s="350" t="s">
        <v>12</v>
      </c>
      <c r="D8" s="350" t="s">
        <v>1485</v>
      </c>
      <c r="E8" s="875" t="s">
        <v>13</v>
      </c>
      <c r="F8" s="780">
        <v>15</v>
      </c>
      <c r="G8" s="982"/>
      <c r="H8" s="1008"/>
      <c r="I8" s="1063"/>
      <c r="J8" s="622"/>
      <c r="K8" s="982"/>
      <c r="L8" s="861"/>
      <c r="N8" s="1035"/>
    </row>
    <row r="9" spans="1:15" s="224" customFormat="1" ht="15" customHeight="1" x14ac:dyDescent="0.25">
      <c r="A9" s="215">
        <v>44229</v>
      </c>
      <c r="B9" s="349" t="s">
        <v>2873</v>
      </c>
      <c r="C9" s="350" t="s">
        <v>12</v>
      </c>
      <c r="D9" s="350" t="s">
        <v>1496</v>
      </c>
      <c r="E9" s="480" t="s">
        <v>13</v>
      </c>
      <c r="F9" s="780">
        <v>7</v>
      </c>
      <c r="G9" s="982"/>
      <c r="H9" s="1008"/>
      <c r="I9" s="1063"/>
      <c r="J9" s="622"/>
      <c r="K9" s="982"/>
      <c r="L9" s="1029"/>
      <c r="M9" s="89"/>
      <c r="N9" s="1035"/>
    </row>
    <row r="10" spans="1:15" s="224" customFormat="1" ht="15" customHeight="1" x14ac:dyDescent="0.25">
      <c r="A10" s="215">
        <v>44229</v>
      </c>
      <c r="B10" s="364" t="s">
        <v>2251</v>
      </c>
      <c r="C10" s="350" t="s">
        <v>12</v>
      </c>
      <c r="D10" s="350" t="s">
        <v>2157</v>
      </c>
      <c r="E10" s="875" t="s">
        <v>13</v>
      </c>
      <c r="F10" s="780">
        <v>60</v>
      </c>
      <c r="G10" s="982"/>
      <c r="H10" s="1008"/>
      <c r="I10" s="1063"/>
      <c r="J10" s="622"/>
      <c r="K10" s="982"/>
      <c r="L10" s="1029"/>
      <c r="M10" s="1027"/>
      <c r="N10" s="1035"/>
    </row>
    <row r="11" spans="1:15" s="224" customFormat="1" ht="15" customHeight="1" x14ac:dyDescent="0.25">
      <c r="A11" s="215">
        <v>44229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3.12</v>
      </c>
      <c r="G11" s="982"/>
      <c r="H11" s="1008"/>
      <c r="I11" s="1063"/>
      <c r="J11" s="622"/>
      <c r="K11" s="982"/>
      <c r="L11" s="861"/>
      <c r="N11" s="878"/>
    </row>
    <row r="12" spans="1:15" s="224" customFormat="1" ht="15" customHeight="1" x14ac:dyDescent="0.25">
      <c r="A12" s="215">
        <v>44230</v>
      </c>
      <c r="B12" s="364" t="s">
        <v>32</v>
      </c>
      <c r="C12" s="350" t="s">
        <v>12</v>
      </c>
      <c r="D12" s="350" t="s">
        <v>1485</v>
      </c>
      <c r="E12" s="875" t="s">
        <v>15</v>
      </c>
      <c r="F12" s="780">
        <v>16</v>
      </c>
      <c r="G12" s="946"/>
      <c r="H12" s="95"/>
      <c r="I12" s="1064"/>
      <c r="J12" s="97"/>
      <c r="K12" s="946"/>
      <c r="L12" s="926"/>
      <c r="M12" s="216"/>
      <c r="N12" s="877"/>
    </row>
    <row r="13" spans="1:15" s="224" customFormat="1" ht="15" customHeight="1" x14ac:dyDescent="0.25">
      <c r="A13" s="215">
        <v>44230</v>
      </c>
      <c r="B13" s="364" t="s">
        <v>2415</v>
      </c>
      <c r="C13" s="350" t="s">
        <v>12</v>
      </c>
      <c r="D13" s="350" t="s">
        <v>1493</v>
      </c>
      <c r="E13" s="875" t="s">
        <v>15</v>
      </c>
      <c r="F13" s="780">
        <v>5</v>
      </c>
      <c r="G13" s="982"/>
      <c r="H13" s="1008"/>
      <c r="I13" s="1063"/>
      <c r="J13" s="622"/>
      <c r="K13" s="982"/>
      <c r="L13" s="861"/>
      <c r="N13" s="878"/>
    </row>
    <row r="14" spans="1:15" s="224" customFormat="1" ht="15" customHeight="1" x14ac:dyDescent="0.25">
      <c r="A14" s="215">
        <v>44230</v>
      </c>
      <c r="B14" s="364" t="s">
        <v>14</v>
      </c>
      <c r="C14" s="350" t="s">
        <v>12</v>
      </c>
      <c r="D14" s="350" t="s">
        <v>1486</v>
      </c>
      <c r="E14" s="875" t="s">
        <v>13</v>
      </c>
      <c r="F14" s="780">
        <v>6</v>
      </c>
      <c r="G14" s="982"/>
      <c r="H14" s="1008"/>
      <c r="I14" s="1063"/>
      <c r="J14" s="622"/>
      <c r="K14" s="982"/>
      <c r="L14" s="861"/>
      <c r="N14" s="878"/>
    </row>
    <row r="15" spans="1:15" s="224" customFormat="1" ht="15" customHeight="1" x14ac:dyDescent="0.25">
      <c r="A15" s="215">
        <v>44231</v>
      </c>
      <c r="B15" s="364" t="s">
        <v>32</v>
      </c>
      <c r="C15" s="350" t="s">
        <v>12</v>
      </c>
      <c r="D15" s="350" t="s">
        <v>1485</v>
      </c>
      <c r="E15" s="875" t="s">
        <v>13</v>
      </c>
      <c r="F15" s="780">
        <v>16</v>
      </c>
      <c r="G15" s="946"/>
      <c r="H15" s="95"/>
      <c r="I15" s="1064"/>
      <c r="J15" s="97"/>
      <c r="K15" s="946"/>
      <c r="L15" s="926"/>
      <c r="M15" s="216"/>
      <c r="N15" s="877"/>
    </row>
    <row r="16" spans="1:15" s="224" customFormat="1" ht="15" customHeight="1" x14ac:dyDescent="0.25">
      <c r="A16" s="215">
        <v>44231</v>
      </c>
      <c r="B16" s="364" t="s">
        <v>14</v>
      </c>
      <c r="C16" s="350" t="s">
        <v>12</v>
      </c>
      <c r="D16" s="350" t="s">
        <v>1486</v>
      </c>
      <c r="E16" s="875" t="s">
        <v>13</v>
      </c>
      <c r="F16" s="780">
        <v>6</v>
      </c>
      <c r="G16" s="946"/>
      <c r="H16" s="95"/>
      <c r="I16" s="1064"/>
      <c r="J16" s="97"/>
      <c r="K16" s="946"/>
      <c r="L16" s="926"/>
      <c r="M16" s="216"/>
      <c r="N16" s="877"/>
    </row>
    <row r="17" spans="1:14" s="224" customFormat="1" ht="15.75" customHeight="1" x14ac:dyDescent="0.25">
      <c r="A17" s="215">
        <v>44232</v>
      </c>
      <c r="B17" s="349" t="s">
        <v>2874</v>
      </c>
      <c r="C17" s="879" t="s">
        <v>12</v>
      </c>
      <c r="D17" s="874"/>
      <c r="E17" s="871" t="s">
        <v>25</v>
      </c>
      <c r="F17" s="1514"/>
      <c r="G17" s="1002">
        <v>1801.37</v>
      </c>
      <c r="H17" s="250"/>
      <c r="I17" s="946"/>
      <c r="J17" s="97"/>
      <c r="K17" s="946"/>
    </row>
    <row r="18" spans="1:14" s="224" customFormat="1" ht="15" customHeight="1" x14ac:dyDescent="0.25">
      <c r="A18" s="215">
        <v>44232</v>
      </c>
      <c r="B18" s="349" t="s">
        <v>2875</v>
      </c>
      <c r="C18" s="887" t="s">
        <v>12</v>
      </c>
      <c r="D18" s="1005" t="s">
        <v>1496</v>
      </c>
      <c r="E18" s="887" t="s">
        <v>13</v>
      </c>
      <c r="F18" s="613">
        <v>50</v>
      </c>
      <c r="G18" s="982"/>
      <c r="H18" s="861"/>
      <c r="I18" s="1063"/>
      <c r="J18" s="622"/>
      <c r="K18" s="982"/>
      <c r="L18" s="927"/>
      <c r="M18" s="999"/>
      <c r="N18" s="878"/>
    </row>
    <row r="19" spans="1:14" s="224" customFormat="1" ht="15" customHeight="1" x14ac:dyDescent="0.25">
      <c r="A19" s="215">
        <v>44232</v>
      </c>
      <c r="B19" s="349" t="s">
        <v>2875</v>
      </c>
      <c r="C19" s="887" t="s">
        <v>12</v>
      </c>
      <c r="D19" s="1005" t="s">
        <v>1522</v>
      </c>
      <c r="E19" s="887" t="s">
        <v>13</v>
      </c>
      <c r="F19" s="613">
        <v>70</v>
      </c>
      <c r="G19" s="982"/>
      <c r="H19" s="1008"/>
      <c r="I19" s="1063"/>
      <c r="J19" s="622"/>
      <c r="K19" s="982"/>
      <c r="L19" s="1029"/>
      <c r="M19" s="999"/>
      <c r="N19" s="1035"/>
    </row>
    <row r="20" spans="1:14" s="224" customFormat="1" ht="15" customHeight="1" x14ac:dyDescent="0.25">
      <c r="A20" s="215">
        <v>44232</v>
      </c>
      <c r="B20" s="349" t="s">
        <v>2875</v>
      </c>
      <c r="C20" s="887" t="s">
        <v>12</v>
      </c>
      <c r="D20" s="1005" t="s">
        <v>1522</v>
      </c>
      <c r="E20" s="887" t="s">
        <v>13</v>
      </c>
      <c r="F20" s="613">
        <v>23.195</v>
      </c>
      <c r="G20" s="982"/>
      <c r="H20" s="861"/>
      <c r="I20" s="1063"/>
      <c r="J20" s="622"/>
      <c r="K20" s="982"/>
      <c r="L20" s="927"/>
      <c r="M20" s="999"/>
      <c r="N20" s="878"/>
    </row>
    <row r="21" spans="1:14" s="224" customFormat="1" ht="15" customHeight="1" x14ac:dyDescent="0.25">
      <c r="A21" s="215">
        <v>44232</v>
      </c>
      <c r="B21" s="349" t="s">
        <v>2875</v>
      </c>
      <c r="C21" s="887" t="s">
        <v>12</v>
      </c>
      <c r="D21" s="1005" t="s">
        <v>1525</v>
      </c>
      <c r="E21" s="887" t="s">
        <v>13</v>
      </c>
      <c r="F21" s="613">
        <v>42.94</v>
      </c>
      <c r="G21" s="982"/>
      <c r="H21" s="1008"/>
      <c r="I21" s="1063"/>
      <c r="J21" s="622"/>
      <c r="K21" s="982"/>
      <c r="L21" s="1029"/>
      <c r="M21" s="999"/>
      <c r="N21" s="1035"/>
    </row>
    <row r="22" spans="1:14" s="224" customFormat="1" ht="15" customHeight="1" x14ac:dyDescent="0.25">
      <c r="A22" s="215">
        <v>44232</v>
      </c>
      <c r="B22" s="349" t="s">
        <v>2875</v>
      </c>
      <c r="C22" s="887" t="s">
        <v>12</v>
      </c>
      <c r="D22" s="1005" t="s">
        <v>1525</v>
      </c>
      <c r="E22" s="887" t="s">
        <v>13</v>
      </c>
      <c r="F22" s="613">
        <v>33.4</v>
      </c>
      <c r="G22" s="982"/>
      <c r="H22" s="1008"/>
      <c r="I22" s="1063"/>
      <c r="J22" s="622"/>
      <c r="K22" s="982"/>
      <c r="L22" s="861"/>
      <c r="N22" s="1035"/>
    </row>
    <row r="23" spans="1:14" s="224" customFormat="1" ht="15" customHeight="1" x14ac:dyDescent="0.25">
      <c r="A23" s="215">
        <v>44232</v>
      </c>
      <c r="B23" s="349" t="s">
        <v>2875</v>
      </c>
      <c r="C23" s="887" t="s">
        <v>12</v>
      </c>
      <c r="D23" s="1005" t="s">
        <v>1506</v>
      </c>
      <c r="E23" s="887" t="s">
        <v>13</v>
      </c>
      <c r="F23" s="613">
        <v>50</v>
      </c>
      <c r="G23" s="982"/>
      <c r="H23" s="1008"/>
      <c r="I23" s="1063"/>
      <c r="J23" s="622"/>
      <c r="K23" s="982"/>
      <c r="L23" s="3148"/>
      <c r="M23" s="3149"/>
      <c r="N23" s="878"/>
    </row>
    <row r="24" spans="1:14" s="224" customFormat="1" ht="15" customHeight="1" x14ac:dyDescent="0.25">
      <c r="A24" s="215">
        <v>44232</v>
      </c>
      <c r="B24" s="349" t="s">
        <v>2875</v>
      </c>
      <c r="C24" s="887" t="s">
        <v>12</v>
      </c>
      <c r="D24" s="1005" t="s">
        <v>1506</v>
      </c>
      <c r="E24" s="887" t="s">
        <v>13</v>
      </c>
      <c r="F24" s="613">
        <v>43</v>
      </c>
      <c r="G24" s="967"/>
      <c r="H24" s="1008"/>
      <c r="I24" s="1063"/>
      <c r="J24" s="622"/>
      <c r="K24" s="982"/>
      <c r="L24" s="861"/>
      <c r="N24" s="878"/>
    </row>
    <row r="25" spans="1:14" s="224" customFormat="1" ht="15" customHeight="1" x14ac:dyDescent="0.25">
      <c r="A25" s="215">
        <v>44232</v>
      </c>
      <c r="B25" s="349" t="s">
        <v>2875</v>
      </c>
      <c r="C25" s="887" t="s">
        <v>12</v>
      </c>
      <c r="D25" s="1005" t="s">
        <v>1525</v>
      </c>
      <c r="E25" s="887" t="s">
        <v>13</v>
      </c>
      <c r="F25" s="613">
        <v>100</v>
      </c>
      <c r="G25" s="982"/>
      <c r="H25" s="1008"/>
      <c r="I25" s="1063"/>
      <c r="J25" s="622"/>
      <c r="K25" s="982"/>
      <c r="L25" s="861"/>
      <c r="N25" s="1035"/>
    </row>
    <row r="26" spans="1:14" s="224" customFormat="1" ht="15" customHeight="1" x14ac:dyDescent="0.25">
      <c r="A26" s="215">
        <v>44232</v>
      </c>
      <c r="B26" s="349" t="s">
        <v>2875</v>
      </c>
      <c r="C26" s="887" t="s">
        <v>12</v>
      </c>
      <c r="D26" s="1005" t="s">
        <v>1525</v>
      </c>
      <c r="E26" s="887" t="s">
        <v>13</v>
      </c>
      <c r="F26" s="613">
        <v>99.81</v>
      </c>
      <c r="G26" s="982"/>
      <c r="H26" s="1008"/>
      <c r="I26" s="1063"/>
      <c r="J26" s="622"/>
      <c r="K26" s="982"/>
      <c r="L26" s="861"/>
      <c r="N26" s="1035"/>
    </row>
    <row r="27" spans="1:14" s="224" customFormat="1" ht="15" customHeight="1" x14ac:dyDescent="0.25">
      <c r="A27" s="215">
        <v>44232</v>
      </c>
      <c r="B27" s="349" t="s">
        <v>2875</v>
      </c>
      <c r="C27" s="887" t="s">
        <v>12</v>
      </c>
      <c r="D27" s="1005" t="s">
        <v>1525</v>
      </c>
      <c r="E27" s="887" t="s">
        <v>13</v>
      </c>
      <c r="F27" s="613">
        <v>28.9</v>
      </c>
      <c r="G27" s="982"/>
      <c r="H27" s="1008"/>
      <c r="I27" s="1063"/>
      <c r="J27" s="622"/>
      <c r="K27" s="982"/>
      <c r="L27" s="861"/>
      <c r="N27" s="878"/>
    </row>
    <row r="28" spans="1:14" s="224" customFormat="1" ht="15" customHeight="1" x14ac:dyDescent="0.25">
      <c r="A28" s="215">
        <v>44232</v>
      </c>
      <c r="B28" s="349" t="s">
        <v>2875</v>
      </c>
      <c r="C28" s="887" t="s">
        <v>12</v>
      </c>
      <c r="D28" s="1005" t="s">
        <v>1496</v>
      </c>
      <c r="E28" s="887" t="s">
        <v>13</v>
      </c>
      <c r="F28" s="613">
        <v>79</v>
      </c>
      <c r="G28" s="967"/>
      <c r="H28" s="1008"/>
      <c r="I28" s="1063"/>
      <c r="J28" s="622"/>
      <c r="K28" s="982"/>
      <c r="L28" s="861"/>
      <c r="N28" s="878"/>
    </row>
    <row r="29" spans="1:14" s="224" customFormat="1" ht="15" customHeight="1" x14ac:dyDescent="0.25">
      <c r="A29" s="215">
        <v>44232</v>
      </c>
      <c r="B29" s="349" t="s">
        <v>2875</v>
      </c>
      <c r="C29" s="887" t="s">
        <v>12</v>
      </c>
      <c r="D29" s="1005" t="s">
        <v>1489</v>
      </c>
      <c r="E29" s="887" t="s">
        <v>13</v>
      </c>
      <c r="F29" s="613">
        <v>1.99</v>
      </c>
      <c r="G29" s="982"/>
      <c r="H29" s="1008"/>
      <c r="I29" s="1063"/>
      <c r="J29" s="622"/>
      <c r="K29" s="982"/>
      <c r="L29" s="861"/>
      <c r="N29" s="1035"/>
    </row>
    <row r="30" spans="1:14" s="224" customFormat="1" ht="15" customHeight="1" x14ac:dyDescent="0.25">
      <c r="A30" s="215">
        <v>44232</v>
      </c>
      <c r="B30" s="862" t="s">
        <v>2385</v>
      </c>
      <c r="C30" s="879" t="s">
        <v>12</v>
      </c>
      <c r="D30" s="879" t="s">
        <v>1504</v>
      </c>
      <c r="E30" s="871" t="s">
        <v>13</v>
      </c>
      <c r="F30" s="780">
        <v>50</v>
      </c>
      <c r="G30" s="982"/>
      <c r="H30" s="1008"/>
      <c r="I30" s="1063"/>
      <c r="J30" s="622"/>
      <c r="K30" s="982"/>
      <c r="L30" s="1028">
        <v>90</v>
      </c>
      <c r="M30" s="999"/>
      <c r="N30" s="1035"/>
    </row>
    <row r="31" spans="1:14" s="224" customFormat="1" ht="15" customHeight="1" x14ac:dyDescent="0.25">
      <c r="A31" s="215">
        <v>44232</v>
      </c>
      <c r="B31" s="882" t="s">
        <v>2876</v>
      </c>
      <c r="C31" s="879" t="s">
        <v>12</v>
      </c>
      <c r="D31" s="879" t="s">
        <v>1499</v>
      </c>
      <c r="E31" s="871" t="s">
        <v>13</v>
      </c>
      <c r="F31" s="780">
        <v>59.92</v>
      </c>
      <c r="G31" s="982"/>
      <c r="H31" s="1008"/>
      <c r="I31" s="1063"/>
      <c r="J31" s="622"/>
      <c r="K31" s="982"/>
      <c r="L31" s="1028">
        <v>139.91999999999999</v>
      </c>
      <c r="M31" s="999"/>
      <c r="N31" s="878"/>
    </row>
    <row r="32" spans="1:14" s="224" customFormat="1" ht="15" customHeight="1" x14ac:dyDescent="0.25">
      <c r="A32" s="215">
        <v>44232</v>
      </c>
      <c r="B32" s="364" t="s">
        <v>2877</v>
      </c>
      <c r="C32" s="350" t="s">
        <v>12</v>
      </c>
      <c r="D32" s="350" t="s">
        <v>1523</v>
      </c>
      <c r="E32" s="875" t="s">
        <v>13</v>
      </c>
      <c r="F32" s="780">
        <v>80</v>
      </c>
      <c r="G32" s="946"/>
      <c r="H32" s="95"/>
      <c r="I32" s="1064"/>
      <c r="J32" s="97"/>
      <c r="K32" s="946"/>
      <c r="L32" s="926"/>
      <c r="M32" s="216"/>
      <c r="N32" s="877"/>
    </row>
    <row r="33" spans="1:16" s="224" customFormat="1" ht="15" customHeight="1" x14ac:dyDescent="0.25">
      <c r="A33" s="215">
        <v>44232</v>
      </c>
      <c r="B33" s="364" t="s">
        <v>2878</v>
      </c>
      <c r="C33" s="350" t="s">
        <v>12</v>
      </c>
      <c r="D33" s="350" t="s">
        <v>1522</v>
      </c>
      <c r="E33" s="871" t="s">
        <v>13</v>
      </c>
      <c r="F33" s="780">
        <v>207.66</v>
      </c>
      <c r="G33" s="982"/>
      <c r="H33" s="1008"/>
      <c r="I33" s="1063"/>
      <c r="J33" s="622"/>
      <c r="K33" s="982"/>
      <c r="L33" s="1029"/>
      <c r="M33" s="881"/>
      <c r="N33" s="877"/>
    </row>
    <row r="34" spans="1:16" s="224" customFormat="1" ht="15" customHeight="1" x14ac:dyDescent="0.25">
      <c r="A34" s="215">
        <v>44232</v>
      </c>
      <c r="B34" s="364" t="s">
        <v>2879</v>
      </c>
      <c r="C34" s="350" t="s">
        <v>12</v>
      </c>
      <c r="D34" s="350" t="s">
        <v>2131</v>
      </c>
      <c r="E34" s="871" t="s">
        <v>13</v>
      </c>
      <c r="F34" s="780">
        <v>73.83</v>
      </c>
      <c r="G34" s="982"/>
      <c r="H34" s="1008"/>
      <c r="I34" s="1063"/>
      <c r="J34" s="622"/>
      <c r="K34" s="982"/>
      <c r="L34" s="1029"/>
      <c r="M34" s="881"/>
      <c r="N34" s="877"/>
    </row>
    <row r="35" spans="1:16" s="224" customFormat="1" ht="15" customHeight="1" x14ac:dyDescent="0.25">
      <c r="A35" s="215">
        <v>44232</v>
      </c>
      <c r="B35" s="364" t="s">
        <v>32</v>
      </c>
      <c r="C35" s="350" t="s">
        <v>12</v>
      </c>
      <c r="D35" s="350" t="s">
        <v>1485</v>
      </c>
      <c r="E35" s="875" t="s">
        <v>13</v>
      </c>
      <c r="F35" s="780">
        <v>16</v>
      </c>
      <c r="G35" s="946"/>
      <c r="H35" s="95"/>
      <c r="I35" s="1064"/>
      <c r="J35" s="97"/>
      <c r="K35" s="946"/>
      <c r="L35" s="926"/>
      <c r="M35" s="216"/>
      <c r="N35" s="877"/>
    </row>
    <row r="36" spans="1:16" s="224" customFormat="1" ht="15" customHeight="1" x14ac:dyDescent="0.25">
      <c r="A36" s="215">
        <v>44232</v>
      </c>
      <c r="B36" s="364" t="s">
        <v>14</v>
      </c>
      <c r="C36" s="350" t="s">
        <v>12</v>
      </c>
      <c r="D36" s="350" t="s">
        <v>1486</v>
      </c>
      <c r="E36" s="875" t="s">
        <v>13</v>
      </c>
      <c r="F36" s="780">
        <v>11.1</v>
      </c>
      <c r="G36" s="946"/>
      <c r="H36" s="95"/>
      <c r="I36" s="1064"/>
      <c r="J36" s="97"/>
      <c r="K36" s="946"/>
      <c r="L36" s="926"/>
      <c r="M36" s="216"/>
      <c r="N36" s="877"/>
    </row>
    <row r="37" spans="1:16" s="224" customFormat="1" ht="15" customHeight="1" x14ac:dyDescent="0.25">
      <c r="A37" s="215">
        <v>44232</v>
      </c>
      <c r="B37" s="364" t="s">
        <v>2417</v>
      </c>
      <c r="C37" s="350" t="s">
        <v>12</v>
      </c>
      <c r="D37" s="350" t="s">
        <v>1491</v>
      </c>
      <c r="E37" s="871" t="s">
        <v>15</v>
      </c>
      <c r="F37" s="780">
        <v>100</v>
      </c>
      <c r="G37" s="982"/>
      <c r="H37" s="1008"/>
      <c r="I37" s="1063"/>
      <c r="J37" s="622"/>
      <c r="K37" s="982"/>
      <c r="L37" s="1029"/>
      <c r="M37" s="881"/>
      <c r="N37" s="877"/>
    </row>
    <row r="38" spans="1:16" s="224" customFormat="1" ht="15" customHeight="1" x14ac:dyDescent="0.25">
      <c r="A38" s="215">
        <v>44233</v>
      </c>
      <c r="B38" s="349" t="s">
        <v>147</v>
      </c>
      <c r="C38" s="879" t="s">
        <v>12</v>
      </c>
      <c r="D38" s="879" t="s">
        <v>1506</v>
      </c>
      <c r="E38" s="871" t="s">
        <v>15</v>
      </c>
      <c r="F38" s="780">
        <v>10</v>
      </c>
      <c r="G38" s="982"/>
      <c r="H38" s="1008"/>
      <c r="I38" s="1063"/>
      <c r="J38" s="622"/>
      <c r="K38" s="982"/>
      <c r="L38" s="861"/>
      <c r="N38" s="878"/>
    </row>
    <row r="39" spans="1:16" s="224" customFormat="1" ht="15" customHeight="1" x14ac:dyDescent="0.25">
      <c r="A39" s="215">
        <v>44233</v>
      </c>
      <c r="B39" s="364" t="s">
        <v>43</v>
      </c>
      <c r="C39" s="350" t="s">
        <v>12</v>
      </c>
      <c r="D39" s="350" t="s">
        <v>1493</v>
      </c>
      <c r="E39" s="875" t="s">
        <v>13</v>
      </c>
      <c r="F39" s="780">
        <v>21.63</v>
      </c>
      <c r="G39" s="982"/>
      <c r="H39" s="1008"/>
      <c r="I39" s="1063"/>
      <c r="J39" s="622"/>
      <c r="K39" s="982"/>
      <c r="L39" s="861"/>
      <c r="N39" s="878"/>
    </row>
    <row r="40" spans="1:16" s="224" customFormat="1" ht="15" customHeight="1" x14ac:dyDescent="0.25">
      <c r="A40" s="215">
        <v>44233</v>
      </c>
      <c r="B40" s="364" t="s">
        <v>82</v>
      </c>
      <c r="C40" s="350" t="s">
        <v>12</v>
      </c>
      <c r="D40" s="350" t="s">
        <v>1493</v>
      </c>
      <c r="E40" s="875" t="s">
        <v>13</v>
      </c>
      <c r="F40" s="780">
        <v>30.05</v>
      </c>
      <c r="G40" s="982"/>
      <c r="H40" s="1008"/>
      <c r="I40" s="1063"/>
      <c r="J40" s="622"/>
      <c r="K40" s="982"/>
      <c r="L40" s="861"/>
      <c r="N40" s="878"/>
    </row>
    <row r="41" spans="1:16" s="224" customFormat="1" ht="15" customHeight="1" x14ac:dyDescent="0.25">
      <c r="A41" s="215">
        <v>44234</v>
      </c>
      <c r="B41" s="364" t="s">
        <v>32</v>
      </c>
      <c r="C41" s="350" t="s">
        <v>12</v>
      </c>
      <c r="D41" s="350" t="s">
        <v>1485</v>
      </c>
      <c r="E41" s="875" t="s">
        <v>13</v>
      </c>
      <c r="F41" s="780">
        <v>39.08</v>
      </c>
      <c r="G41" s="982"/>
      <c r="H41" s="1008"/>
      <c r="I41" s="1063"/>
      <c r="J41" s="622"/>
      <c r="K41" s="982"/>
      <c r="L41" s="1029"/>
      <c r="M41" s="881"/>
      <c r="N41" s="877"/>
    </row>
    <row r="42" spans="1:16" s="224" customFormat="1" ht="15" customHeight="1" x14ac:dyDescent="0.25">
      <c r="A42" s="215">
        <v>44235</v>
      </c>
      <c r="B42" s="364" t="s">
        <v>2251</v>
      </c>
      <c r="C42" s="350" t="s">
        <v>12</v>
      </c>
      <c r="D42" s="350" t="s">
        <v>2157</v>
      </c>
      <c r="E42" s="875" t="s">
        <v>15</v>
      </c>
      <c r="F42" s="780">
        <v>60</v>
      </c>
      <c r="G42" s="982"/>
      <c r="H42" s="1008"/>
      <c r="I42" s="1063"/>
      <c r="J42" s="622"/>
      <c r="K42" s="982"/>
      <c r="L42" s="861"/>
      <c r="N42" s="877"/>
      <c r="P42" s="931"/>
    </row>
    <row r="43" spans="1:16" s="224" customFormat="1" ht="15" customHeight="1" x14ac:dyDescent="0.25">
      <c r="A43" s="215">
        <v>44235</v>
      </c>
      <c r="B43" s="364" t="s">
        <v>32</v>
      </c>
      <c r="C43" s="350" t="s">
        <v>12</v>
      </c>
      <c r="D43" s="350" t="s">
        <v>1485</v>
      </c>
      <c r="E43" s="875" t="s">
        <v>13</v>
      </c>
      <c r="F43" s="780">
        <v>16</v>
      </c>
      <c r="G43" s="946"/>
      <c r="H43" s="95"/>
      <c r="I43" s="1064"/>
      <c r="J43" s="97"/>
      <c r="K43" s="946"/>
      <c r="L43" s="926"/>
      <c r="M43" s="216"/>
      <c r="N43" s="877"/>
    </row>
    <row r="44" spans="1:16" s="224" customFormat="1" ht="15" customHeight="1" x14ac:dyDescent="0.25">
      <c r="A44" s="215">
        <v>44235</v>
      </c>
      <c r="B44" s="364" t="s">
        <v>2415</v>
      </c>
      <c r="C44" s="350" t="s">
        <v>12</v>
      </c>
      <c r="D44" s="350" t="s">
        <v>1493</v>
      </c>
      <c r="E44" s="875" t="s">
        <v>13</v>
      </c>
      <c r="F44" s="780">
        <v>5</v>
      </c>
      <c r="G44" s="982"/>
      <c r="H44" s="1008"/>
      <c r="I44" s="1063"/>
      <c r="J44" s="622"/>
      <c r="K44" s="982"/>
      <c r="L44" s="861"/>
      <c r="N44" s="878"/>
    </row>
    <row r="45" spans="1:16" s="224" customFormat="1" ht="15" customHeight="1" x14ac:dyDescent="0.25">
      <c r="A45" s="215">
        <v>44235</v>
      </c>
      <c r="B45" s="364" t="s">
        <v>14</v>
      </c>
      <c r="C45" s="350" t="s">
        <v>12</v>
      </c>
      <c r="D45" s="350" t="s">
        <v>1486</v>
      </c>
      <c r="E45" s="875" t="s">
        <v>13</v>
      </c>
      <c r="F45" s="780">
        <v>4.4400000000000004</v>
      </c>
      <c r="G45" s="982"/>
      <c r="H45" s="1008"/>
      <c r="I45" s="1063"/>
      <c r="J45" s="622"/>
      <c r="K45" s="982"/>
      <c r="L45" s="861"/>
      <c r="N45" s="877"/>
      <c r="P45" s="931"/>
    </row>
    <row r="46" spans="1:16" s="224" customFormat="1" ht="15" customHeight="1" x14ac:dyDescent="0.25">
      <c r="A46" s="215">
        <v>44236</v>
      </c>
      <c r="B46" s="364" t="s">
        <v>32</v>
      </c>
      <c r="C46" s="350" t="s">
        <v>12</v>
      </c>
      <c r="D46" s="350" t="s">
        <v>1485</v>
      </c>
      <c r="E46" s="875" t="s">
        <v>13</v>
      </c>
      <c r="F46" s="780">
        <v>16</v>
      </c>
      <c r="G46" s="946"/>
      <c r="H46" s="95"/>
      <c r="I46" s="1064"/>
      <c r="J46" s="97"/>
      <c r="K46" s="946"/>
      <c r="L46" s="926"/>
      <c r="M46" s="216"/>
      <c r="N46" s="877"/>
    </row>
    <row r="47" spans="1:16" s="224" customFormat="1" ht="15" customHeight="1" x14ac:dyDescent="0.25">
      <c r="A47" s="215">
        <v>44236</v>
      </c>
      <c r="B47" s="364" t="s">
        <v>14</v>
      </c>
      <c r="C47" s="350" t="s">
        <v>12</v>
      </c>
      <c r="D47" s="350" t="s">
        <v>1486</v>
      </c>
      <c r="E47" s="875" t="s">
        <v>13</v>
      </c>
      <c r="F47" s="780">
        <v>6.78</v>
      </c>
      <c r="G47" s="982"/>
      <c r="H47" s="1008"/>
      <c r="I47" s="1063"/>
      <c r="J47" s="622"/>
      <c r="K47" s="982"/>
      <c r="L47" s="861"/>
      <c r="N47" s="877"/>
      <c r="P47" s="931"/>
    </row>
    <row r="48" spans="1:16" s="224" customFormat="1" ht="15" customHeight="1" x14ac:dyDescent="0.25">
      <c r="A48" s="215">
        <v>44237</v>
      </c>
      <c r="B48" s="364" t="s">
        <v>1396</v>
      </c>
      <c r="C48" s="350" t="s">
        <v>12</v>
      </c>
      <c r="D48" s="350"/>
      <c r="E48" s="480" t="s">
        <v>25</v>
      </c>
      <c r="F48" s="613"/>
      <c r="G48" s="967">
        <v>45</v>
      </c>
      <c r="H48" s="1008"/>
      <c r="I48" s="1063"/>
      <c r="J48" s="622"/>
      <c r="K48" s="982"/>
      <c r="L48" s="861"/>
    </row>
    <row r="49" spans="1:16" s="224" customFormat="1" ht="15" customHeight="1" x14ac:dyDescent="0.25">
      <c r="A49" s="215">
        <v>44237</v>
      </c>
      <c r="B49" s="364" t="s">
        <v>32</v>
      </c>
      <c r="C49" s="350" t="s">
        <v>12</v>
      </c>
      <c r="D49" s="350" t="s">
        <v>1485</v>
      </c>
      <c r="E49" s="875" t="s">
        <v>15</v>
      </c>
      <c r="F49" s="780">
        <v>16</v>
      </c>
      <c r="G49" s="946"/>
      <c r="H49" s="95"/>
      <c r="I49" s="1064"/>
      <c r="J49" s="97"/>
      <c r="K49" s="946"/>
      <c r="L49" s="926"/>
      <c r="M49" s="216"/>
      <c r="N49" s="877"/>
    </row>
    <row r="50" spans="1:16" s="224" customFormat="1" ht="15" customHeight="1" x14ac:dyDescent="0.25">
      <c r="A50" s="215">
        <v>44237</v>
      </c>
      <c r="B50" s="364" t="s">
        <v>2415</v>
      </c>
      <c r="C50" s="350" t="s">
        <v>12</v>
      </c>
      <c r="D50" s="350" t="s">
        <v>1493</v>
      </c>
      <c r="E50" s="875" t="s">
        <v>15</v>
      </c>
      <c r="F50" s="780">
        <v>5</v>
      </c>
      <c r="G50" s="982"/>
      <c r="H50" s="1008"/>
      <c r="I50" s="1063"/>
      <c r="J50" s="622"/>
      <c r="K50" s="982"/>
      <c r="L50" s="861"/>
      <c r="N50" s="878"/>
    </row>
    <row r="51" spans="1:16" s="224" customFormat="1" ht="15" customHeight="1" x14ac:dyDescent="0.25">
      <c r="A51" s="215">
        <v>44237</v>
      </c>
      <c r="B51" s="364" t="s">
        <v>2603</v>
      </c>
      <c r="C51" s="350" t="s">
        <v>12</v>
      </c>
      <c r="D51" s="350" t="s">
        <v>1491</v>
      </c>
      <c r="E51" s="871" t="s">
        <v>13</v>
      </c>
      <c r="F51" s="780">
        <v>100</v>
      </c>
      <c r="G51" s="982"/>
      <c r="H51" s="1008"/>
      <c r="I51" s="1063"/>
      <c r="J51" s="622"/>
      <c r="K51" s="982"/>
      <c r="L51" s="1029"/>
      <c r="M51" s="881"/>
      <c r="N51" s="877"/>
    </row>
    <row r="52" spans="1:16" s="224" customFormat="1" ht="15" customHeight="1" x14ac:dyDescent="0.25">
      <c r="A52" s="215">
        <v>44237</v>
      </c>
      <c r="B52" s="364" t="s">
        <v>14</v>
      </c>
      <c r="C52" s="350" t="s">
        <v>12</v>
      </c>
      <c r="D52" s="350" t="s">
        <v>1486</v>
      </c>
      <c r="E52" s="875" t="s">
        <v>13</v>
      </c>
      <c r="F52" s="780">
        <v>3.19</v>
      </c>
      <c r="G52" s="982"/>
      <c r="H52" s="1008"/>
      <c r="I52" s="1063"/>
      <c r="J52" s="622"/>
      <c r="K52" s="982"/>
      <c r="L52" s="861"/>
      <c r="N52" s="878"/>
    </row>
    <row r="53" spans="1:16" s="224" customFormat="1" ht="15" customHeight="1" x14ac:dyDescent="0.25">
      <c r="A53" s="215">
        <v>44238</v>
      </c>
      <c r="B53" s="364" t="s">
        <v>32</v>
      </c>
      <c r="C53" s="350" t="s">
        <v>12</v>
      </c>
      <c r="D53" s="350" t="s">
        <v>1485</v>
      </c>
      <c r="E53" s="875" t="s">
        <v>15</v>
      </c>
      <c r="F53" s="780">
        <v>16</v>
      </c>
      <c r="G53" s="946"/>
      <c r="H53" s="95"/>
      <c r="I53" s="1064"/>
      <c r="J53" s="97"/>
      <c r="K53" s="946"/>
      <c r="L53" s="926"/>
      <c r="M53" s="216"/>
      <c r="N53" s="877"/>
    </row>
    <row r="54" spans="1:16" s="224" customFormat="1" ht="15" customHeight="1" x14ac:dyDescent="0.25">
      <c r="A54" s="215">
        <v>44238</v>
      </c>
      <c r="B54" s="349" t="s">
        <v>14</v>
      </c>
      <c r="C54" s="879" t="s">
        <v>12</v>
      </c>
      <c r="D54" s="879" t="s">
        <v>1486</v>
      </c>
      <c r="E54" s="871" t="s">
        <v>13</v>
      </c>
      <c r="F54" s="780">
        <v>10</v>
      </c>
      <c r="G54" s="982"/>
      <c r="H54" s="1008"/>
      <c r="I54" s="1063"/>
      <c r="J54" s="622"/>
      <c r="K54" s="982"/>
      <c r="L54" s="861"/>
      <c r="N54" s="878"/>
    </row>
    <row r="55" spans="1:16" s="224" customFormat="1" ht="15" customHeight="1" x14ac:dyDescent="0.25">
      <c r="A55" s="215">
        <v>44238</v>
      </c>
      <c r="B55" s="364" t="s">
        <v>2251</v>
      </c>
      <c r="C55" s="350" t="s">
        <v>12</v>
      </c>
      <c r="D55" s="350" t="s">
        <v>2157</v>
      </c>
      <c r="E55" s="875" t="s">
        <v>15</v>
      </c>
      <c r="F55" s="780">
        <v>20</v>
      </c>
      <c r="G55" s="982"/>
      <c r="H55" s="1008"/>
      <c r="I55" s="1063"/>
      <c r="J55" s="622"/>
      <c r="K55" s="982"/>
      <c r="L55" s="861"/>
      <c r="N55" s="877"/>
      <c r="P55" s="931"/>
    </row>
    <row r="56" spans="1:16" s="224" customFormat="1" ht="15" customHeight="1" x14ac:dyDescent="0.25">
      <c r="A56" s="215">
        <v>44239</v>
      </c>
      <c r="B56" s="364" t="s">
        <v>32</v>
      </c>
      <c r="C56" s="350" t="s">
        <v>12</v>
      </c>
      <c r="D56" s="350" t="s">
        <v>1485</v>
      </c>
      <c r="E56" s="875" t="s">
        <v>13</v>
      </c>
      <c r="F56" s="780">
        <v>16</v>
      </c>
      <c r="G56" s="946"/>
      <c r="H56" s="95"/>
      <c r="I56" s="1064"/>
      <c r="J56" s="97"/>
      <c r="K56" s="946"/>
      <c r="L56" s="926"/>
      <c r="M56" s="216"/>
      <c r="N56" s="877"/>
    </row>
    <row r="57" spans="1:16" s="224" customFormat="1" ht="15" customHeight="1" x14ac:dyDescent="0.25">
      <c r="A57" s="215">
        <v>44239</v>
      </c>
      <c r="B57" s="364" t="s">
        <v>2415</v>
      </c>
      <c r="C57" s="350" t="s">
        <v>12</v>
      </c>
      <c r="D57" s="350" t="s">
        <v>1493</v>
      </c>
      <c r="E57" s="875" t="s">
        <v>13</v>
      </c>
      <c r="F57" s="780">
        <v>5</v>
      </c>
      <c r="G57" s="982"/>
      <c r="H57" s="1008"/>
      <c r="I57" s="1063"/>
      <c r="J57" s="622"/>
      <c r="K57" s="982"/>
      <c r="L57" s="861"/>
      <c r="N57" s="878"/>
    </row>
    <row r="58" spans="1:16" s="224" customFormat="1" ht="15" customHeight="1" x14ac:dyDescent="0.25">
      <c r="A58" s="215">
        <v>44240</v>
      </c>
      <c r="B58" s="364" t="s">
        <v>2251</v>
      </c>
      <c r="C58" s="350" t="s">
        <v>12</v>
      </c>
      <c r="D58" s="350" t="s">
        <v>2157</v>
      </c>
      <c r="E58" s="875" t="s">
        <v>15</v>
      </c>
      <c r="F58" s="780">
        <v>30</v>
      </c>
      <c r="G58" s="982"/>
      <c r="H58" s="1008"/>
      <c r="I58" s="1063"/>
      <c r="J58" s="622"/>
      <c r="K58" s="982"/>
      <c r="L58" s="861"/>
      <c r="N58" s="877"/>
      <c r="P58" s="931"/>
    </row>
    <row r="59" spans="1:16" s="224" customFormat="1" ht="15" customHeight="1" x14ac:dyDescent="0.25">
      <c r="A59" s="215">
        <v>44240</v>
      </c>
      <c r="B59" s="364" t="s">
        <v>80</v>
      </c>
      <c r="C59" s="350" t="s">
        <v>19</v>
      </c>
      <c r="D59" s="350" t="s">
        <v>1523</v>
      </c>
      <c r="E59" s="875" t="s">
        <v>13</v>
      </c>
      <c r="F59" s="780">
        <v>26.4</v>
      </c>
      <c r="G59" s="982"/>
      <c r="H59" s="1008"/>
      <c r="I59" s="1063"/>
      <c r="J59" s="622"/>
      <c r="K59" s="982"/>
      <c r="L59" s="1029"/>
      <c r="M59" s="881"/>
    </row>
    <row r="60" spans="1:16" s="224" customFormat="1" ht="15" customHeight="1" x14ac:dyDescent="0.25">
      <c r="A60" s="215">
        <v>44240</v>
      </c>
      <c r="B60" s="349" t="s">
        <v>2629</v>
      </c>
      <c r="C60" s="879" t="s">
        <v>19</v>
      </c>
      <c r="D60" s="879" t="s">
        <v>1489</v>
      </c>
      <c r="E60" s="871" t="s">
        <v>13</v>
      </c>
      <c r="F60" s="780">
        <v>55.31</v>
      </c>
      <c r="G60" s="982"/>
      <c r="H60" s="1008"/>
      <c r="I60" s="1063"/>
      <c r="J60" s="622"/>
      <c r="K60" s="982"/>
      <c r="L60" s="861"/>
      <c r="N60" s="877"/>
      <c r="P60" s="931"/>
    </row>
    <row r="61" spans="1:16" s="224" customFormat="1" ht="15" customHeight="1" x14ac:dyDescent="0.25">
      <c r="A61" s="215">
        <v>44240</v>
      </c>
      <c r="B61" s="349" t="s">
        <v>443</v>
      </c>
      <c r="C61" s="879" t="s">
        <v>12</v>
      </c>
      <c r="D61" s="879" t="s">
        <v>1493</v>
      </c>
      <c r="E61" s="871" t="s">
        <v>13</v>
      </c>
      <c r="F61" s="780">
        <v>14.85</v>
      </c>
      <c r="G61" s="982"/>
      <c r="H61" s="1008"/>
      <c r="I61" s="1063"/>
      <c r="J61" s="622"/>
      <c r="K61" s="982"/>
      <c r="L61" s="861"/>
      <c r="N61" s="877"/>
      <c r="P61" s="931"/>
    </row>
    <row r="62" spans="1:16" s="224" customFormat="1" ht="15" customHeight="1" x14ac:dyDescent="0.25">
      <c r="A62" s="215">
        <v>44241</v>
      </c>
      <c r="B62" s="364" t="s">
        <v>256</v>
      </c>
      <c r="C62" s="350"/>
      <c r="D62" s="350"/>
      <c r="E62" s="875" t="s">
        <v>25</v>
      </c>
      <c r="F62" s="780"/>
      <c r="G62" s="982">
        <v>200</v>
      </c>
      <c r="H62" s="1008">
        <v>200</v>
      </c>
      <c r="I62" s="1063"/>
      <c r="J62" s="622"/>
      <c r="K62" s="982"/>
      <c r="L62" s="861"/>
      <c r="N62" s="878"/>
    </row>
    <row r="63" spans="1:16" s="224" customFormat="1" ht="15" customHeight="1" x14ac:dyDescent="0.25">
      <c r="A63" s="215">
        <v>44241</v>
      </c>
      <c r="B63" s="349" t="s">
        <v>14</v>
      </c>
      <c r="C63" s="879" t="s">
        <v>12</v>
      </c>
      <c r="D63" s="879" t="s">
        <v>1486</v>
      </c>
      <c r="E63" s="871" t="s">
        <v>13</v>
      </c>
      <c r="F63" s="780">
        <v>5.71</v>
      </c>
      <c r="G63" s="982"/>
      <c r="H63" s="1008"/>
      <c r="I63" s="1063"/>
      <c r="J63" s="622"/>
      <c r="K63" s="982"/>
      <c r="L63" s="861"/>
      <c r="N63" s="878"/>
    </row>
    <row r="64" spans="1:16" s="224" customFormat="1" ht="15" customHeight="1" x14ac:dyDescent="0.25">
      <c r="A64" s="215">
        <v>44241</v>
      </c>
      <c r="B64" s="349" t="s">
        <v>147</v>
      </c>
      <c r="C64" s="879" t="s">
        <v>12</v>
      </c>
      <c r="D64" s="879" t="s">
        <v>1506</v>
      </c>
      <c r="E64" s="871" t="s">
        <v>15</v>
      </c>
      <c r="F64" s="780">
        <v>10</v>
      </c>
      <c r="G64" s="982"/>
      <c r="H64" s="1008"/>
      <c r="I64" s="1063"/>
      <c r="J64" s="622"/>
      <c r="K64" s="982"/>
      <c r="L64" s="861"/>
      <c r="N64" s="878"/>
    </row>
    <row r="65" spans="1:16" s="224" customFormat="1" ht="15" customHeight="1" x14ac:dyDescent="0.25">
      <c r="A65" s="215">
        <v>44241</v>
      </c>
      <c r="B65" s="349" t="s">
        <v>82</v>
      </c>
      <c r="C65" s="879" t="s">
        <v>12</v>
      </c>
      <c r="D65" s="879" t="s">
        <v>1493</v>
      </c>
      <c r="E65" s="871" t="s">
        <v>13</v>
      </c>
      <c r="F65" s="780">
        <v>36.380000000000003</v>
      </c>
      <c r="G65" s="982"/>
      <c r="H65" s="1008"/>
      <c r="I65" s="1063"/>
      <c r="J65" s="622"/>
      <c r="K65" s="982"/>
      <c r="L65" s="861"/>
      <c r="N65" s="878"/>
    </row>
    <row r="66" spans="1:16" s="224" customFormat="1" ht="15" customHeight="1" x14ac:dyDescent="0.25">
      <c r="A66" s="215">
        <v>44242</v>
      </c>
      <c r="B66" s="364" t="s">
        <v>2880</v>
      </c>
      <c r="C66" s="350" t="s">
        <v>19</v>
      </c>
      <c r="D66" s="350" t="s">
        <v>1506</v>
      </c>
      <c r="E66" s="875" t="s">
        <v>13</v>
      </c>
      <c r="F66" s="780">
        <v>99.9</v>
      </c>
      <c r="G66" s="946"/>
      <c r="H66" s="95"/>
      <c r="I66" s="1064"/>
      <c r="J66" s="97"/>
      <c r="K66" s="946"/>
      <c r="L66" s="926"/>
      <c r="M66" s="216"/>
      <c r="N66" s="877"/>
    </row>
    <row r="67" spans="1:16" s="224" customFormat="1" ht="15" customHeight="1" x14ac:dyDescent="0.25">
      <c r="A67" s="215">
        <v>44242</v>
      </c>
      <c r="B67" s="364" t="s">
        <v>103</v>
      </c>
      <c r="C67" s="350" t="s">
        <v>12</v>
      </c>
      <c r="D67" s="350" t="s">
        <v>1489</v>
      </c>
      <c r="E67" s="875" t="s">
        <v>13</v>
      </c>
      <c r="F67" s="780">
        <v>9</v>
      </c>
      <c r="G67" s="946"/>
      <c r="H67" s="95"/>
      <c r="I67" s="1064"/>
      <c r="J67" s="97"/>
      <c r="K67" s="946"/>
      <c r="L67" s="926"/>
      <c r="M67" s="216"/>
      <c r="N67" s="877"/>
    </row>
    <row r="68" spans="1:16" s="224" customFormat="1" ht="15" customHeight="1" x14ac:dyDescent="0.25">
      <c r="A68" s="215">
        <v>44242</v>
      </c>
      <c r="B68" s="364" t="s">
        <v>43</v>
      </c>
      <c r="C68" s="350" t="s">
        <v>12</v>
      </c>
      <c r="D68" s="350" t="s">
        <v>1493</v>
      </c>
      <c r="E68" s="875" t="s">
        <v>13</v>
      </c>
      <c r="F68" s="780">
        <v>19.16</v>
      </c>
      <c r="G68" s="946"/>
      <c r="H68" s="95"/>
      <c r="I68" s="1064"/>
      <c r="J68" s="97"/>
      <c r="K68" s="946"/>
      <c r="L68" s="926"/>
      <c r="M68" s="216"/>
      <c r="N68" s="877"/>
    </row>
    <row r="69" spans="1:16" s="224" customFormat="1" ht="15" customHeight="1" x14ac:dyDescent="0.25">
      <c r="A69" s="215">
        <v>44242</v>
      </c>
      <c r="B69" s="364" t="s">
        <v>2881</v>
      </c>
      <c r="C69" s="350" t="s">
        <v>12</v>
      </c>
      <c r="D69" s="350" t="s">
        <v>1493</v>
      </c>
      <c r="E69" s="875" t="s">
        <v>13</v>
      </c>
      <c r="F69" s="780">
        <v>19</v>
      </c>
      <c r="G69" s="982"/>
      <c r="H69" s="1008"/>
      <c r="I69" s="1063"/>
      <c r="J69" s="622"/>
      <c r="K69" s="982"/>
      <c r="L69" s="861"/>
      <c r="N69" s="878"/>
    </row>
    <row r="70" spans="1:16" s="224" customFormat="1" ht="15" customHeight="1" x14ac:dyDescent="0.25">
      <c r="A70" s="215">
        <v>44243</v>
      </c>
      <c r="B70" s="364" t="s">
        <v>32</v>
      </c>
      <c r="C70" s="350" t="s">
        <v>12</v>
      </c>
      <c r="D70" s="350" t="s">
        <v>1485</v>
      </c>
      <c r="E70" s="875" t="s">
        <v>13</v>
      </c>
      <c r="F70" s="780">
        <v>16</v>
      </c>
      <c r="G70" s="946"/>
      <c r="H70" s="95"/>
      <c r="I70" s="1064"/>
      <c r="J70" s="97"/>
      <c r="K70" s="946"/>
      <c r="L70" s="926"/>
      <c r="M70" s="216"/>
      <c r="N70" s="877"/>
    </row>
    <row r="71" spans="1:16" s="224" customFormat="1" ht="15" customHeight="1" x14ac:dyDescent="0.25">
      <c r="A71" s="215">
        <v>44243</v>
      </c>
      <c r="B71" s="364" t="s">
        <v>2251</v>
      </c>
      <c r="C71" s="350" t="s">
        <v>12</v>
      </c>
      <c r="D71" s="350" t="s">
        <v>2157</v>
      </c>
      <c r="E71" s="875" t="s">
        <v>15</v>
      </c>
      <c r="F71" s="780">
        <v>40</v>
      </c>
      <c r="G71" s="982"/>
      <c r="H71" s="1008"/>
      <c r="I71" s="1063"/>
      <c r="J71" s="622"/>
      <c r="K71" s="982"/>
      <c r="L71" s="861"/>
      <c r="N71" s="877"/>
      <c r="P71" s="931"/>
    </row>
    <row r="72" spans="1:16" s="224" customFormat="1" ht="15" customHeight="1" x14ac:dyDescent="0.25">
      <c r="A72" s="215">
        <v>44243</v>
      </c>
      <c r="B72" s="349" t="s">
        <v>14</v>
      </c>
      <c r="C72" s="879" t="s">
        <v>12</v>
      </c>
      <c r="D72" s="879" t="s">
        <v>1486</v>
      </c>
      <c r="E72" s="871" t="s">
        <v>13</v>
      </c>
      <c r="F72" s="780">
        <v>4.66</v>
      </c>
      <c r="G72" s="982"/>
      <c r="H72" s="1008"/>
      <c r="I72" s="1063"/>
      <c r="J72" s="622"/>
      <c r="K72" s="982"/>
      <c r="L72" s="861"/>
      <c r="N72" s="878"/>
    </row>
    <row r="73" spans="1:16" s="224" customFormat="1" ht="15" customHeight="1" x14ac:dyDescent="0.25">
      <c r="A73" s="215">
        <v>44244</v>
      </c>
      <c r="B73" s="882" t="s">
        <v>2882</v>
      </c>
      <c r="C73" s="879" t="s">
        <v>12</v>
      </c>
      <c r="D73" s="879" t="s">
        <v>1499</v>
      </c>
      <c r="E73" s="871" t="s">
        <v>13</v>
      </c>
      <c r="F73" s="780">
        <v>54.38</v>
      </c>
      <c r="G73" s="982"/>
      <c r="H73" s="1008"/>
      <c r="I73" s="1063"/>
      <c r="J73" s="622"/>
      <c r="K73" s="982"/>
      <c r="L73" s="861">
        <v>134.38</v>
      </c>
      <c r="N73" s="878"/>
    </row>
    <row r="74" spans="1:16" s="224" customFormat="1" ht="15" customHeight="1" x14ac:dyDescent="0.25">
      <c r="A74" s="215">
        <v>44244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16</v>
      </c>
      <c r="G74" s="982"/>
      <c r="H74" s="1008"/>
      <c r="I74" s="1063"/>
      <c r="J74" s="622"/>
      <c r="K74" s="982"/>
      <c r="L74" s="1029"/>
      <c r="M74" s="89"/>
      <c r="N74" s="930"/>
    </row>
    <row r="75" spans="1:16" s="224" customFormat="1" ht="15" customHeight="1" x14ac:dyDescent="0.25">
      <c r="A75" s="215">
        <v>44245</v>
      </c>
      <c r="B75" s="364" t="s">
        <v>32</v>
      </c>
      <c r="C75" s="350" t="s">
        <v>12</v>
      </c>
      <c r="D75" s="350" t="s">
        <v>1485</v>
      </c>
      <c r="E75" s="875" t="s">
        <v>13</v>
      </c>
      <c r="F75" s="780">
        <v>16</v>
      </c>
      <c r="G75" s="982"/>
      <c r="H75" s="1008"/>
      <c r="I75" s="1063"/>
      <c r="J75" s="622"/>
      <c r="K75" s="982"/>
      <c r="L75" s="1029"/>
      <c r="M75" s="89"/>
      <c r="N75" s="930"/>
    </row>
    <row r="76" spans="1:16" s="224" customFormat="1" ht="15" customHeight="1" x14ac:dyDescent="0.25">
      <c r="A76" s="215">
        <v>44245</v>
      </c>
      <c r="B76" s="364" t="s">
        <v>2415</v>
      </c>
      <c r="C76" s="350" t="s">
        <v>12</v>
      </c>
      <c r="D76" s="350" t="s">
        <v>1493</v>
      </c>
      <c r="E76" s="875" t="s">
        <v>13</v>
      </c>
      <c r="F76" s="780">
        <v>5</v>
      </c>
      <c r="G76" s="982"/>
      <c r="H76" s="1008"/>
      <c r="I76" s="1063"/>
      <c r="J76" s="622"/>
      <c r="K76" s="982"/>
      <c r="L76" s="1029"/>
      <c r="M76" s="89"/>
      <c r="N76" s="930"/>
    </row>
    <row r="77" spans="1:16" s="224" customFormat="1" ht="15" customHeight="1" x14ac:dyDescent="0.25">
      <c r="A77" s="215">
        <v>44245</v>
      </c>
      <c r="B77" s="349" t="s">
        <v>14</v>
      </c>
      <c r="C77" s="879" t="s">
        <v>12</v>
      </c>
      <c r="D77" s="879" t="s">
        <v>1486</v>
      </c>
      <c r="E77" s="871" t="s">
        <v>13</v>
      </c>
      <c r="F77" s="780">
        <v>7.13</v>
      </c>
      <c r="G77" s="982"/>
      <c r="H77" s="1008"/>
      <c r="I77" s="1063"/>
      <c r="J77" s="622"/>
      <c r="K77" s="982"/>
      <c r="L77" s="1029"/>
      <c r="M77" s="89"/>
      <c r="N77" s="930"/>
    </row>
    <row r="78" spans="1:16" s="224" customFormat="1" ht="15" customHeight="1" x14ac:dyDescent="0.25">
      <c r="A78" s="215">
        <v>44246</v>
      </c>
      <c r="B78" s="882" t="s">
        <v>2883</v>
      </c>
      <c r="C78" s="350" t="s">
        <v>12</v>
      </c>
      <c r="D78" s="350"/>
      <c r="E78" s="480" t="s">
        <v>25</v>
      </c>
      <c r="F78" s="622"/>
      <c r="G78" s="982">
        <v>1660</v>
      </c>
      <c r="H78" s="1008"/>
      <c r="I78" s="1063"/>
      <c r="J78" s="622"/>
      <c r="K78" s="982"/>
      <c r="L78" s="861"/>
    </row>
    <row r="79" spans="1:16" s="224" customFormat="1" x14ac:dyDescent="0.25">
      <c r="A79" s="215">
        <v>44246</v>
      </c>
      <c r="B79" s="873" t="s">
        <v>2590</v>
      </c>
      <c r="C79" s="879" t="s">
        <v>12</v>
      </c>
      <c r="D79" s="350" t="s">
        <v>1491</v>
      </c>
      <c r="E79" s="871" t="s">
        <v>15</v>
      </c>
      <c r="F79" s="622"/>
      <c r="G79" s="982"/>
      <c r="H79" s="1008"/>
      <c r="I79" s="1063"/>
      <c r="J79" s="622"/>
      <c r="K79" s="982"/>
      <c r="L79" s="1028" t="s">
        <v>2884</v>
      </c>
      <c r="N79" s="878"/>
    </row>
    <row r="80" spans="1:16" x14ac:dyDescent="0.25">
      <c r="A80" s="215">
        <v>44246</v>
      </c>
      <c r="B80" s="876" t="s">
        <v>2712</v>
      </c>
      <c r="C80" s="879" t="s">
        <v>12</v>
      </c>
      <c r="D80" s="879" t="s">
        <v>1496</v>
      </c>
      <c r="E80" s="871" t="s">
        <v>15</v>
      </c>
      <c r="F80" s="780">
        <v>70</v>
      </c>
      <c r="G80" s="982"/>
      <c r="H80" s="1009"/>
      <c r="I80" s="1063"/>
      <c r="J80" s="622"/>
      <c r="K80" s="982"/>
      <c r="L80" s="1029"/>
    </row>
    <row r="81" spans="1:14" s="224" customFormat="1" ht="15" customHeight="1" x14ac:dyDescent="0.25">
      <c r="A81" s="215">
        <v>44246</v>
      </c>
      <c r="B81" s="862" t="s">
        <v>2867</v>
      </c>
      <c r="C81" s="350" t="s">
        <v>12</v>
      </c>
      <c r="D81" s="874" t="s">
        <v>1504</v>
      </c>
      <c r="E81" s="887" t="s">
        <v>13</v>
      </c>
      <c r="F81" s="852">
        <v>30</v>
      </c>
      <c r="G81" s="982"/>
      <c r="H81" s="1009"/>
      <c r="I81" s="1063"/>
      <c r="J81" s="853"/>
      <c r="K81" s="982"/>
      <c r="L81" s="861"/>
      <c r="M81" s="927"/>
      <c r="N81" s="1035"/>
    </row>
    <row r="82" spans="1:14" s="224" customFormat="1" ht="15" customHeight="1" x14ac:dyDescent="0.25">
      <c r="A82" s="215">
        <v>44246</v>
      </c>
      <c r="B82" s="364" t="s">
        <v>2885</v>
      </c>
      <c r="C82" s="350" t="s">
        <v>12</v>
      </c>
      <c r="D82" s="350" t="s">
        <v>1489</v>
      </c>
      <c r="E82" s="875" t="s">
        <v>15</v>
      </c>
      <c r="F82" s="780">
        <v>42</v>
      </c>
      <c r="G82" s="982"/>
      <c r="H82" s="1008"/>
      <c r="I82" s="1063"/>
      <c r="J82" s="622"/>
      <c r="K82" s="982"/>
      <c r="L82" s="861"/>
      <c r="N82" s="1035"/>
    </row>
    <row r="83" spans="1:14" s="224" customFormat="1" ht="15" customHeight="1" x14ac:dyDescent="0.25">
      <c r="A83" s="215">
        <v>44246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780">
        <v>16</v>
      </c>
      <c r="G83" s="982"/>
      <c r="H83" s="1008"/>
      <c r="I83" s="1063"/>
      <c r="J83" s="622"/>
      <c r="K83" s="982"/>
      <c r="L83" s="1029"/>
      <c r="M83" s="89"/>
      <c r="N83" s="930"/>
    </row>
    <row r="84" spans="1:14" s="224" customFormat="1" ht="15" customHeight="1" x14ac:dyDescent="0.25">
      <c r="A84" s="215">
        <v>44246</v>
      </c>
      <c r="B84" s="364" t="s">
        <v>2417</v>
      </c>
      <c r="C84" s="350" t="s">
        <v>12</v>
      </c>
      <c r="D84" s="350" t="s">
        <v>1491</v>
      </c>
      <c r="E84" s="871" t="s">
        <v>15</v>
      </c>
      <c r="F84" s="780">
        <v>150</v>
      </c>
      <c r="G84" s="982"/>
      <c r="H84" s="1008"/>
      <c r="I84" s="1063"/>
      <c r="J84" s="622"/>
      <c r="K84" s="982"/>
      <c r="L84" s="1029"/>
      <c r="M84" s="881"/>
      <c r="N84" s="877"/>
    </row>
    <row r="85" spans="1:14" s="224" customFormat="1" ht="15" customHeight="1" x14ac:dyDescent="0.25">
      <c r="A85" s="215">
        <v>44246</v>
      </c>
      <c r="B85" s="349" t="s">
        <v>443</v>
      </c>
      <c r="C85" s="879" t="s">
        <v>12</v>
      </c>
      <c r="D85" s="879" t="s">
        <v>1493</v>
      </c>
      <c r="E85" s="871" t="s">
        <v>13</v>
      </c>
      <c r="F85" s="780">
        <v>12.87</v>
      </c>
      <c r="G85" s="982"/>
      <c r="H85" s="1008"/>
      <c r="I85" s="1063"/>
      <c r="J85" s="622"/>
      <c r="K85" s="982"/>
      <c r="L85" s="1029"/>
      <c r="M85" s="89"/>
      <c r="N85" s="930"/>
    </row>
    <row r="86" spans="1:14" s="224" customFormat="1" ht="15" customHeight="1" x14ac:dyDescent="0.25">
      <c r="A86" s="215">
        <v>44246</v>
      </c>
      <c r="B86" s="364" t="s">
        <v>2251</v>
      </c>
      <c r="C86" s="350" t="s">
        <v>12</v>
      </c>
      <c r="D86" s="350" t="s">
        <v>2157</v>
      </c>
      <c r="E86" s="875" t="s">
        <v>15</v>
      </c>
      <c r="F86" s="780">
        <v>40</v>
      </c>
      <c r="G86" s="982"/>
      <c r="H86" s="1008"/>
      <c r="I86" s="1063"/>
      <c r="J86" s="622"/>
      <c r="K86" s="982"/>
      <c r="L86" s="861"/>
      <c r="N86" s="1035"/>
    </row>
    <row r="87" spans="1:14" s="224" customFormat="1" ht="15" customHeight="1" x14ac:dyDescent="0.25">
      <c r="A87" s="215">
        <v>44247</v>
      </c>
      <c r="B87" s="349" t="s">
        <v>147</v>
      </c>
      <c r="C87" s="879" t="s">
        <v>12</v>
      </c>
      <c r="D87" s="879" t="s">
        <v>1506</v>
      </c>
      <c r="E87" s="871" t="s">
        <v>15</v>
      </c>
      <c r="F87" s="780">
        <v>10</v>
      </c>
      <c r="G87" s="982"/>
      <c r="H87" s="1008"/>
      <c r="I87" s="1063"/>
      <c r="J87" s="622"/>
      <c r="K87" s="982"/>
      <c r="L87" s="861"/>
      <c r="N87" s="878"/>
    </row>
    <row r="88" spans="1:14" s="224" customFormat="1" ht="15" customHeight="1" x14ac:dyDescent="0.25">
      <c r="A88" s="215">
        <v>44247</v>
      </c>
      <c r="B88" s="349" t="s">
        <v>82</v>
      </c>
      <c r="C88" s="879" t="s">
        <v>12</v>
      </c>
      <c r="D88" s="879" t="s">
        <v>1493</v>
      </c>
      <c r="E88" s="871" t="s">
        <v>13</v>
      </c>
      <c r="F88" s="780">
        <v>32.130000000000003</v>
      </c>
      <c r="G88" s="982"/>
      <c r="H88" s="1008"/>
      <c r="I88" s="1063"/>
      <c r="J88" s="622"/>
      <c r="K88" s="982"/>
      <c r="L88" s="861"/>
      <c r="N88" s="878"/>
    </row>
    <row r="89" spans="1:14" s="224" customFormat="1" ht="15" customHeight="1" x14ac:dyDescent="0.25">
      <c r="A89" s="215">
        <v>44248</v>
      </c>
      <c r="B89" s="349" t="s">
        <v>14</v>
      </c>
      <c r="C89" s="879" t="s">
        <v>12</v>
      </c>
      <c r="D89" s="879" t="s">
        <v>1486</v>
      </c>
      <c r="E89" s="871" t="s">
        <v>13</v>
      </c>
      <c r="F89" s="780">
        <v>6.92</v>
      </c>
      <c r="G89" s="982"/>
      <c r="H89" s="1008"/>
      <c r="I89" s="1063"/>
      <c r="J89" s="622"/>
      <c r="K89" s="982"/>
      <c r="L89" s="1029"/>
      <c r="M89" s="89"/>
      <c r="N89" s="1035"/>
    </row>
    <row r="90" spans="1:14" s="224" customFormat="1" ht="15" customHeight="1" x14ac:dyDescent="0.25">
      <c r="A90" s="215">
        <v>44248</v>
      </c>
      <c r="B90" s="364" t="s">
        <v>81</v>
      </c>
      <c r="C90" s="350" t="s">
        <v>12</v>
      </c>
      <c r="D90" s="350" t="s">
        <v>1493</v>
      </c>
      <c r="E90" s="875" t="s">
        <v>15</v>
      </c>
      <c r="F90" s="780">
        <v>2</v>
      </c>
      <c r="G90" s="982"/>
      <c r="H90" s="1008"/>
      <c r="I90" s="1063"/>
      <c r="J90" s="622"/>
      <c r="K90" s="982"/>
      <c r="L90" s="861"/>
      <c r="N90" s="1035"/>
    </row>
    <row r="91" spans="1:14" s="224" customFormat="1" ht="15" customHeight="1" x14ac:dyDescent="0.25">
      <c r="A91" s="215">
        <v>44248</v>
      </c>
      <c r="B91" s="364" t="s">
        <v>2251</v>
      </c>
      <c r="C91" s="350" t="s">
        <v>12</v>
      </c>
      <c r="D91" s="350" t="s">
        <v>2157</v>
      </c>
      <c r="E91" s="875" t="s">
        <v>13</v>
      </c>
      <c r="F91" s="780">
        <v>80</v>
      </c>
      <c r="G91" s="982"/>
      <c r="H91" s="1008"/>
      <c r="I91" s="1063"/>
      <c r="J91" s="622"/>
      <c r="K91" s="982"/>
      <c r="L91" s="861"/>
      <c r="N91" s="1035"/>
    </row>
    <row r="92" spans="1:14" s="224" customFormat="1" ht="15" customHeight="1" x14ac:dyDescent="0.25">
      <c r="A92" s="215">
        <v>44248</v>
      </c>
      <c r="B92" s="349" t="s">
        <v>2886</v>
      </c>
      <c r="C92" s="879" t="s">
        <v>12</v>
      </c>
      <c r="D92" s="879" t="s">
        <v>1491</v>
      </c>
      <c r="E92" s="871" t="s">
        <v>15</v>
      </c>
      <c r="F92" s="780">
        <v>50</v>
      </c>
      <c r="G92" s="982"/>
      <c r="H92" s="1008"/>
      <c r="I92" s="1063"/>
      <c r="J92" s="622"/>
      <c r="K92" s="982"/>
      <c r="L92" s="1029"/>
      <c r="M92" s="89"/>
      <c r="N92" s="1035"/>
    </row>
    <row r="93" spans="1:14" s="224" customFormat="1" ht="15" customHeight="1" x14ac:dyDescent="0.25">
      <c r="A93" s="215">
        <v>44248</v>
      </c>
      <c r="B93" s="349" t="s">
        <v>2887</v>
      </c>
      <c r="C93" s="879" t="s">
        <v>12</v>
      </c>
      <c r="D93" s="879" t="s">
        <v>1489</v>
      </c>
      <c r="E93" s="871" t="s">
        <v>15</v>
      </c>
      <c r="F93" s="780">
        <v>7</v>
      </c>
      <c r="G93" s="982"/>
      <c r="H93" s="1008"/>
      <c r="I93" s="1063"/>
      <c r="J93" s="622"/>
      <c r="K93" s="982"/>
      <c r="L93" s="1029"/>
      <c r="M93" s="89"/>
      <c r="N93" s="1035"/>
    </row>
    <row r="94" spans="1:14" s="224" customFormat="1" ht="15" customHeight="1" x14ac:dyDescent="0.25">
      <c r="A94" s="215">
        <v>44248</v>
      </c>
      <c r="B94" s="349" t="s">
        <v>14</v>
      </c>
      <c r="C94" s="879" t="s">
        <v>12</v>
      </c>
      <c r="D94" s="879" t="s">
        <v>1486</v>
      </c>
      <c r="E94" s="871" t="s">
        <v>13</v>
      </c>
      <c r="F94" s="780">
        <v>22.75</v>
      </c>
      <c r="G94" s="982"/>
      <c r="H94" s="1008"/>
      <c r="I94" s="1063"/>
      <c r="J94" s="622"/>
      <c r="K94" s="982"/>
      <c r="L94" s="1029"/>
      <c r="M94" s="89"/>
      <c r="N94" s="1035"/>
    </row>
    <row r="95" spans="1:14" s="224" customFormat="1" ht="15" customHeight="1" x14ac:dyDescent="0.25">
      <c r="A95" s="215">
        <v>44249</v>
      </c>
      <c r="B95" s="364" t="s">
        <v>2888</v>
      </c>
      <c r="C95" s="350" t="s">
        <v>12</v>
      </c>
      <c r="D95" s="350" t="s">
        <v>1489</v>
      </c>
      <c r="E95" s="875" t="s">
        <v>13</v>
      </c>
      <c r="F95" s="780">
        <v>90</v>
      </c>
      <c r="G95" s="982"/>
      <c r="H95" s="1008"/>
      <c r="I95" s="1063"/>
      <c r="J95" s="622"/>
      <c r="K95" s="982"/>
      <c r="L95" s="861">
        <v>270</v>
      </c>
      <c r="N95" s="1035"/>
    </row>
    <row r="96" spans="1:14" s="224" customFormat="1" ht="15" customHeight="1" x14ac:dyDescent="0.25">
      <c r="A96" s="215">
        <v>44249</v>
      </c>
      <c r="B96" s="364" t="s">
        <v>32</v>
      </c>
      <c r="C96" s="350" t="s">
        <v>12</v>
      </c>
      <c r="D96" s="350" t="s">
        <v>1485</v>
      </c>
      <c r="E96" s="875" t="s">
        <v>13</v>
      </c>
      <c r="F96" s="780">
        <v>16</v>
      </c>
      <c r="G96" s="982"/>
      <c r="H96" s="1008"/>
      <c r="I96" s="1063"/>
      <c r="J96" s="622"/>
      <c r="K96" s="982"/>
      <c r="L96" s="1029"/>
      <c r="M96" s="89"/>
      <c r="N96" s="930"/>
    </row>
    <row r="97" spans="1:14" s="224" customFormat="1" ht="15" customHeight="1" x14ac:dyDescent="0.25">
      <c r="A97" s="215">
        <v>44249</v>
      </c>
      <c r="B97" s="364" t="s">
        <v>2889</v>
      </c>
      <c r="C97" s="350" t="s">
        <v>12</v>
      </c>
      <c r="D97" s="350" t="s">
        <v>2131</v>
      </c>
      <c r="E97" s="875" t="s">
        <v>13</v>
      </c>
      <c r="F97" s="780">
        <v>20</v>
      </c>
      <c r="G97" s="982"/>
      <c r="H97" s="1008"/>
      <c r="I97" s="1063"/>
      <c r="J97" s="622"/>
      <c r="K97" s="982"/>
      <c r="L97" s="1029"/>
      <c r="M97" s="89"/>
      <c r="N97" s="1035"/>
    </row>
    <row r="98" spans="1:14" s="224" customFormat="1" ht="15" customHeight="1" x14ac:dyDescent="0.25">
      <c r="A98" s="215">
        <v>44218</v>
      </c>
      <c r="B98" s="364" t="s">
        <v>2452</v>
      </c>
      <c r="C98" s="350" t="s">
        <v>12</v>
      </c>
      <c r="D98" s="350" t="s">
        <v>2168</v>
      </c>
      <c r="E98" s="875" t="s">
        <v>13</v>
      </c>
      <c r="F98" s="780">
        <v>20.3</v>
      </c>
      <c r="G98" s="1063"/>
      <c r="H98" s="622"/>
      <c r="I98" s="982"/>
      <c r="J98" s="622"/>
      <c r="K98" s="982"/>
      <c r="L98" s="927"/>
    </row>
    <row r="99" spans="1:14" s="224" customFormat="1" ht="15" customHeight="1" x14ac:dyDescent="0.25">
      <c r="A99" s="215">
        <v>44249</v>
      </c>
      <c r="B99" s="349" t="s">
        <v>14</v>
      </c>
      <c r="C99" s="879" t="s">
        <v>12</v>
      </c>
      <c r="D99" s="879" t="s">
        <v>1486</v>
      </c>
      <c r="E99" s="871" t="s">
        <v>13</v>
      </c>
      <c r="F99" s="780">
        <v>4.7699999999999996</v>
      </c>
      <c r="G99" s="982"/>
      <c r="H99" s="1008"/>
      <c r="I99" s="1063"/>
      <c r="J99" s="622"/>
      <c r="K99" s="982"/>
      <c r="L99" s="1029"/>
      <c r="M99" s="89"/>
      <c r="N99" s="1035"/>
    </row>
    <row r="100" spans="1:14" s="224" customFormat="1" ht="15" customHeight="1" x14ac:dyDescent="0.25">
      <c r="A100" s="215">
        <v>44250</v>
      </c>
      <c r="B100" s="364" t="s">
        <v>32</v>
      </c>
      <c r="C100" s="350" t="s">
        <v>12</v>
      </c>
      <c r="D100" s="350" t="s">
        <v>1485</v>
      </c>
      <c r="E100" s="875" t="s">
        <v>13</v>
      </c>
      <c r="F100" s="780">
        <v>16</v>
      </c>
      <c r="G100" s="982"/>
      <c r="H100" s="1008"/>
      <c r="I100" s="1063"/>
      <c r="J100" s="622"/>
      <c r="K100" s="982"/>
      <c r="L100" s="1029"/>
      <c r="M100" s="89"/>
      <c r="N100" s="930"/>
    </row>
    <row r="101" spans="1:14" s="224" customFormat="1" ht="15" customHeight="1" x14ac:dyDescent="0.25">
      <c r="A101" s="215">
        <v>44250</v>
      </c>
      <c r="B101" s="364" t="s">
        <v>2415</v>
      </c>
      <c r="C101" s="350" t="s">
        <v>12</v>
      </c>
      <c r="D101" s="350" t="s">
        <v>1493</v>
      </c>
      <c r="E101" s="875" t="s">
        <v>13</v>
      </c>
      <c r="F101" s="780">
        <v>5</v>
      </c>
      <c r="G101" s="982"/>
      <c r="H101" s="1008"/>
      <c r="I101" s="1063"/>
      <c r="J101" s="622"/>
      <c r="K101" s="982"/>
      <c r="L101" s="1029"/>
      <c r="M101" s="89"/>
      <c r="N101" s="930"/>
    </row>
    <row r="102" spans="1:14" s="224" customFormat="1" ht="15" customHeight="1" x14ac:dyDescent="0.25">
      <c r="A102" s="215">
        <v>44250</v>
      </c>
      <c r="B102" s="364" t="s">
        <v>2890</v>
      </c>
      <c r="C102" s="350" t="s">
        <v>12</v>
      </c>
      <c r="D102" s="350" t="s">
        <v>1523</v>
      </c>
      <c r="E102" s="875" t="s">
        <v>13</v>
      </c>
      <c r="F102" s="780">
        <v>33</v>
      </c>
      <c r="G102" s="982"/>
      <c r="H102" s="1008"/>
      <c r="I102" s="1063"/>
      <c r="J102" s="622"/>
      <c r="K102" s="982"/>
      <c r="L102" s="1029"/>
      <c r="M102" s="89"/>
      <c r="N102" s="1035"/>
    </row>
    <row r="103" spans="1:14" s="224" customFormat="1" ht="15" customHeight="1" x14ac:dyDescent="0.25">
      <c r="A103" s="215">
        <v>44251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16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4" s="224" customFormat="1" ht="15" customHeight="1" x14ac:dyDescent="0.25">
      <c r="A104" s="215">
        <v>44252</v>
      </c>
      <c r="B104" s="364" t="s">
        <v>32</v>
      </c>
      <c r="C104" s="350" t="s">
        <v>12</v>
      </c>
      <c r="D104" s="350" t="s">
        <v>1485</v>
      </c>
      <c r="E104" s="875" t="s">
        <v>13</v>
      </c>
      <c r="F104" s="780">
        <v>16</v>
      </c>
      <c r="G104" s="982"/>
      <c r="H104" s="1008"/>
      <c r="I104" s="1063"/>
      <c r="J104" s="622"/>
      <c r="K104" s="982"/>
      <c r="L104" s="1029"/>
      <c r="M104" s="89"/>
      <c r="N104" s="930"/>
    </row>
    <row r="105" spans="1:14" s="224" customFormat="1" ht="15" customHeight="1" x14ac:dyDescent="0.25">
      <c r="A105" s="215">
        <v>44252</v>
      </c>
      <c r="B105" s="364" t="s">
        <v>2415</v>
      </c>
      <c r="C105" s="350" t="s">
        <v>12</v>
      </c>
      <c r="D105" s="350" t="s">
        <v>1493</v>
      </c>
      <c r="E105" s="875" t="s">
        <v>13</v>
      </c>
      <c r="F105" s="780">
        <v>5</v>
      </c>
      <c r="G105" s="982"/>
      <c r="H105" s="1008"/>
      <c r="I105" s="1063"/>
      <c r="J105" s="622"/>
      <c r="K105" s="982"/>
      <c r="L105" s="1029"/>
      <c r="M105" s="89"/>
      <c r="N105" s="930"/>
    </row>
    <row r="106" spans="1:14" s="224" customFormat="1" ht="15" customHeight="1" x14ac:dyDescent="0.25">
      <c r="A106" s="215">
        <v>44252</v>
      </c>
      <c r="B106" s="349" t="s">
        <v>14</v>
      </c>
      <c r="C106" s="879" t="s">
        <v>12</v>
      </c>
      <c r="D106" s="879" t="s">
        <v>1486</v>
      </c>
      <c r="E106" s="871" t="s">
        <v>13</v>
      </c>
      <c r="F106" s="780">
        <v>5.38</v>
      </c>
      <c r="G106" s="982"/>
      <c r="H106" s="1008"/>
      <c r="I106" s="1063"/>
      <c r="J106" s="622"/>
      <c r="K106" s="982"/>
      <c r="L106" s="1029"/>
      <c r="M106" s="89"/>
      <c r="N106" s="1035"/>
    </row>
    <row r="107" spans="1:14" s="224" customFormat="1" ht="15" customHeight="1" x14ac:dyDescent="0.25">
      <c r="A107" s="215">
        <v>44253</v>
      </c>
      <c r="B107" s="364" t="s">
        <v>32</v>
      </c>
      <c r="C107" s="350" t="s">
        <v>12</v>
      </c>
      <c r="D107" s="350" t="s">
        <v>1485</v>
      </c>
      <c r="E107" s="875" t="s">
        <v>15</v>
      </c>
      <c r="F107" s="780">
        <v>16</v>
      </c>
      <c r="G107" s="982"/>
      <c r="H107" s="1008"/>
      <c r="I107" s="1063"/>
      <c r="J107" s="622"/>
      <c r="K107" s="982"/>
      <c r="L107" s="861"/>
      <c r="N107" s="1035"/>
    </row>
    <row r="108" spans="1:14" s="224" customFormat="1" ht="15" customHeight="1" x14ac:dyDescent="0.25">
      <c r="A108" s="215">
        <v>44254</v>
      </c>
      <c r="B108" s="364" t="s">
        <v>2891</v>
      </c>
      <c r="C108" s="350" t="s">
        <v>12</v>
      </c>
      <c r="D108" s="350" t="s">
        <v>1485</v>
      </c>
      <c r="E108" s="875" t="s">
        <v>13</v>
      </c>
      <c r="F108" s="780">
        <v>26.83</v>
      </c>
      <c r="G108" s="982"/>
      <c r="H108" s="1008"/>
      <c r="I108" s="1063"/>
      <c r="J108" s="622"/>
      <c r="K108" s="982"/>
      <c r="L108" s="1029"/>
      <c r="M108" s="89"/>
      <c r="N108" s="930"/>
    </row>
    <row r="109" spans="1:14" s="224" customFormat="1" x14ac:dyDescent="0.25">
      <c r="A109" s="215">
        <v>44223</v>
      </c>
      <c r="B109" s="364" t="s">
        <v>1241</v>
      </c>
      <c r="C109" s="350" t="s">
        <v>12</v>
      </c>
      <c r="D109" s="350" t="s">
        <v>1504</v>
      </c>
      <c r="E109" s="875" t="s">
        <v>13</v>
      </c>
      <c r="F109" s="780">
        <v>10</v>
      </c>
      <c r="G109" s="982"/>
      <c r="H109" s="1008"/>
      <c r="I109" s="1063"/>
      <c r="J109" s="622"/>
      <c r="K109" s="982"/>
      <c r="L109" s="861"/>
      <c r="N109" s="878"/>
    </row>
    <row r="110" spans="1:14" s="224" customFormat="1" ht="15" customHeight="1" x14ac:dyDescent="0.25">
      <c r="A110" s="215">
        <v>44254</v>
      </c>
      <c r="B110" s="349" t="s">
        <v>147</v>
      </c>
      <c r="C110" s="879" t="s">
        <v>12</v>
      </c>
      <c r="D110" s="879" t="s">
        <v>1506</v>
      </c>
      <c r="E110" s="871" t="s">
        <v>15</v>
      </c>
      <c r="F110" s="780">
        <v>10</v>
      </c>
      <c r="G110" s="982"/>
      <c r="H110" s="1008"/>
      <c r="I110" s="1063"/>
      <c r="J110" s="622"/>
      <c r="K110" s="982"/>
      <c r="L110" s="861"/>
      <c r="N110" s="1035"/>
    </row>
    <row r="111" spans="1:14" s="224" customFormat="1" ht="15" customHeight="1" x14ac:dyDescent="0.25">
      <c r="A111" s="215">
        <v>44254</v>
      </c>
      <c r="B111" s="364" t="s">
        <v>81</v>
      </c>
      <c r="C111" s="350" t="s">
        <v>12</v>
      </c>
      <c r="D111" s="350" t="s">
        <v>1493</v>
      </c>
      <c r="E111" s="875" t="s">
        <v>13</v>
      </c>
      <c r="F111" s="780">
        <v>12.57</v>
      </c>
      <c r="G111" s="982"/>
      <c r="H111" s="622"/>
      <c r="I111" s="982"/>
      <c r="J111" s="622"/>
      <c r="K111" s="982"/>
      <c r="L111" s="927"/>
      <c r="N111" s="878"/>
    </row>
    <row r="112" spans="1:14" s="224" customFormat="1" ht="15" customHeight="1" x14ac:dyDescent="0.25">
      <c r="A112" s="215">
        <v>44255</v>
      </c>
      <c r="B112" s="364" t="s">
        <v>2251</v>
      </c>
      <c r="C112" s="350" t="s">
        <v>12</v>
      </c>
      <c r="D112" s="350" t="s">
        <v>2157</v>
      </c>
      <c r="E112" s="875" t="s">
        <v>15</v>
      </c>
      <c r="F112" s="780">
        <v>90</v>
      </c>
      <c r="G112" s="982"/>
      <c r="H112" s="1008"/>
      <c r="I112" s="1063"/>
      <c r="J112" s="622"/>
      <c r="K112" s="982"/>
      <c r="L112" s="861"/>
      <c r="N112" s="1035"/>
    </row>
    <row r="113" spans="1:14" s="224" customFormat="1" ht="15" customHeight="1" x14ac:dyDescent="0.25">
      <c r="A113" s="215">
        <v>44255</v>
      </c>
      <c r="B113" s="349" t="s">
        <v>2886</v>
      </c>
      <c r="C113" s="879" t="s">
        <v>12</v>
      </c>
      <c r="D113" s="879" t="s">
        <v>1491</v>
      </c>
      <c r="E113" s="871" t="s">
        <v>15</v>
      </c>
      <c r="F113" s="780">
        <v>50</v>
      </c>
      <c r="G113" s="982"/>
      <c r="H113" s="1008"/>
      <c r="I113" s="1063"/>
      <c r="J113" s="622"/>
      <c r="K113" s="982"/>
      <c r="L113" s="1029"/>
      <c r="M113" s="89"/>
      <c r="N113" s="1035"/>
    </row>
    <row r="114" spans="1:14" s="224" customFormat="1" ht="15" customHeight="1" x14ac:dyDescent="0.25">
      <c r="A114" s="215">
        <v>44255</v>
      </c>
      <c r="B114" s="349" t="s">
        <v>2887</v>
      </c>
      <c r="C114" s="879" t="s">
        <v>12</v>
      </c>
      <c r="D114" s="879" t="s">
        <v>1489</v>
      </c>
      <c r="E114" s="871" t="s">
        <v>15</v>
      </c>
      <c r="F114" s="780">
        <v>3.6</v>
      </c>
      <c r="G114" s="982"/>
      <c r="H114" s="1008"/>
      <c r="I114" s="1063"/>
      <c r="J114" s="622"/>
      <c r="K114" s="982"/>
      <c r="L114" s="1029"/>
      <c r="M114" s="89"/>
      <c r="N114" s="1035"/>
    </row>
    <row r="115" spans="1:14" s="224" customFormat="1" ht="15" customHeight="1" x14ac:dyDescent="0.25">
      <c r="A115" s="215">
        <v>44255</v>
      </c>
      <c r="B115" s="349" t="s">
        <v>14</v>
      </c>
      <c r="C115" s="879" t="s">
        <v>12</v>
      </c>
      <c r="D115" s="879" t="s">
        <v>1486</v>
      </c>
      <c r="E115" s="871" t="s">
        <v>13</v>
      </c>
      <c r="F115" s="780">
        <v>6.21</v>
      </c>
      <c r="G115" s="957"/>
      <c r="H115" s="622"/>
      <c r="I115" s="982"/>
      <c r="J115" s="622"/>
      <c r="K115" s="982"/>
      <c r="L115" s="927"/>
      <c r="N115" s="878"/>
    </row>
    <row r="116" spans="1:14" s="224" customFormat="1" ht="15" customHeight="1" x14ac:dyDescent="0.25">
      <c r="A116" s="215">
        <v>44255</v>
      </c>
      <c r="B116" s="364" t="s">
        <v>81</v>
      </c>
      <c r="C116" s="350" t="s">
        <v>12</v>
      </c>
      <c r="D116" s="350" t="s">
        <v>1493</v>
      </c>
      <c r="E116" s="875" t="s">
        <v>13</v>
      </c>
      <c r="F116" s="780">
        <v>9.91</v>
      </c>
      <c r="G116" s="982"/>
      <c r="H116" s="622"/>
      <c r="I116" s="982"/>
      <c r="J116" s="622"/>
      <c r="K116" s="982"/>
      <c r="L116" s="927"/>
      <c r="N116" s="878"/>
    </row>
    <row r="117" spans="1:14" s="224" customFormat="1" ht="15" customHeight="1" x14ac:dyDescent="0.25">
      <c r="A117" s="215">
        <v>44255</v>
      </c>
      <c r="B117" s="862" t="s">
        <v>2593</v>
      </c>
      <c r="C117" s="879" t="s">
        <v>12</v>
      </c>
      <c r="D117" s="879" t="s">
        <v>1504</v>
      </c>
      <c r="E117" s="871" t="s">
        <v>13</v>
      </c>
      <c r="F117" s="622">
        <v>21.9</v>
      </c>
      <c r="G117" s="1034"/>
      <c r="H117" s="1008"/>
      <c r="I117" s="1063"/>
      <c r="J117" s="622"/>
      <c r="K117" s="982"/>
      <c r="L117" s="475"/>
      <c r="N117" s="878"/>
    </row>
    <row r="118" spans="1:14" s="224" customFormat="1" ht="15.75" thickBot="1" x14ac:dyDescent="0.3">
      <c r="A118" s="215">
        <v>44255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622"/>
      <c r="K118" s="982">
        <v>4.4400000000000004</v>
      </c>
      <c r="L118" s="475"/>
      <c r="N118" s="878"/>
    </row>
    <row r="119" spans="1:14" ht="25.5" customHeight="1" thickBot="1" x14ac:dyDescent="0.3">
      <c r="A119" s="3060"/>
      <c r="B119" s="3061"/>
      <c r="C119" s="3062"/>
      <c r="D119" s="3062"/>
      <c r="E119" s="3062"/>
      <c r="F119" s="1020">
        <f>SUM(F6:F118)</f>
        <v>3331.0550000000003</v>
      </c>
      <c r="G119" s="1534">
        <f>SUM(G5:G118)</f>
        <v>4101.839583333357</v>
      </c>
      <c r="H119" s="517">
        <f>SUM(H6:H118)</f>
        <v>200</v>
      </c>
      <c r="I119" s="93">
        <f>SUM(I5:I118)</f>
        <v>1699.9960000000019</v>
      </c>
      <c r="J119" s="1023">
        <f>SUM(J6:J118)</f>
        <v>0</v>
      </c>
      <c r="K119" s="93">
        <f>SUM(K5:K118)</f>
        <v>18017.819999999996</v>
      </c>
      <c r="M119" s="216"/>
    </row>
    <row r="120" spans="1:14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770.78458333335675</v>
      </c>
      <c r="H120" s="555"/>
      <c r="I120" s="772">
        <f>I119-H119</f>
        <v>1499.9960000000019</v>
      </c>
      <c r="J120" s="593"/>
      <c r="K120" s="772">
        <f>K119-J119</f>
        <v>18017.819999999996</v>
      </c>
    </row>
    <row r="121" spans="1:14" x14ac:dyDescent="0.25">
      <c r="E121" s="79"/>
      <c r="K121" s="518"/>
      <c r="L121" s="216"/>
    </row>
    <row r="122" spans="1:14" x14ac:dyDescent="0.25">
      <c r="B122" s="81" t="s">
        <v>3</v>
      </c>
      <c r="C122" s="193" t="s">
        <v>1484</v>
      </c>
      <c r="D122" s="970" t="s">
        <v>2378</v>
      </c>
      <c r="G122" s="216"/>
      <c r="K122" s="866"/>
    </row>
    <row r="123" spans="1:14" x14ac:dyDescent="0.25">
      <c r="B123" s="79" t="s">
        <v>32</v>
      </c>
      <c r="C123" s="85" t="s">
        <v>1485</v>
      </c>
      <c r="D123" s="475">
        <f>SUMIF($D$7:$D$118,"A",$F$7:$F$118)</f>
        <v>367.90999999999997</v>
      </c>
      <c r="F123" s="79"/>
      <c r="G123" s="800"/>
      <c r="I123" s="769"/>
      <c r="J123" s="868"/>
    </row>
    <row r="124" spans="1:14" x14ac:dyDescent="0.25">
      <c r="B124" s="79" t="s">
        <v>2187</v>
      </c>
      <c r="C124" s="85" t="s">
        <v>2157</v>
      </c>
      <c r="D124" s="475">
        <f>SUMIF($D$9:$D$118,"GAC",$F$9:$F$118)</f>
        <v>420</v>
      </c>
      <c r="G124" s="609"/>
      <c r="J124" s="754"/>
      <c r="K124" s="886"/>
      <c r="L124" s="1030"/>
    </row>
    <row r="125" spans="1:14" x14ac:dyDescent="0.25">
      <c r="B125" s="79" t="s">
        <v>2188</v>
      </c>
      <c r="C125" s="85" t="s">
        <v>2168</v>
      </c>
      <c r="D125" s="475">
        <f>SUMIF($D$9:$D$118,"GAM",$F$9:$F$118)</f>
        <v>20.3</v>
      </c>
      <c r="J125" s="864"/>
      <c r="K125" s="864"/>
      <c r="L125" s="958"/>
    </row>
    <row r="126" spans="1:14" s="85" customFormat="1" x14ac:dyDescent="0.25">
      <c r="A126" s="79"/>
      <c r="B126" s="79" t="s">
        <v>50</v>
      </c>
      <c r="C126" s="85" t="s">
        <v>1493</v>
      </c>
      <c r="D126" s="475">
        <f>SUMIF($D$9:$D$118,"LD",$F$9:$F$118)</f>
        <v>245.54999999999998</v>
      </c>
      <c r="J126" s="864"/>
      <c r="K126" s="1032"/>
      <c r="L126" s="958"/>
      <c r="N126" s="877"/>
    </row>
    <row r="127" spans="1:14" s="85" customFormat="1" x14ac:dyDescent="0.25">
      <c r="A127" s="79"/>
      <c r="B127" s="79" t="s">
        <v>14</v>
      </c>
      <c r="C127" s="85" t="s">
        <v>1486</v>
      </c>
      <c r="D127" s="475">
        <f>SUMIF($D$9:$D$118,"C",$F$9:$F$118)</f>
        <v>114.15999999999998</v>
      </c>
      <c r="F127" s="89"/>
      <c r="G127" s="79"/>
      <c r="H127" s="79"/>
      <c r="J127" s="864"/>
      <c r="K127" s="1032"/>
      <c r="L127" s="958"/>
      <c r="N127" s="877"/>
    </row>
    <row r="128" spans="1:14" s="85" customFormat="1" x14ac:dyDescent="0.25">
      <c r="A128" s="79"/>
      <c r="B128" s="79" t="s">
        <v>51</v>
      </c>
      <c r="C128" s="864" t="s">
        <v>1499</v>
      </c>
      <c r="D128" s="475">
        <f>SUMIF($D$17:$D$118,"CAL",$F$17:$F$118)</f>
        <v>114.30000000000001</v>
      </c>
      <c r="F128" s="89"/>
      <c r="G128" s="79"/>
      <c r="H128" s="79"/>
      <c r="I128" s="79"/>
      <c r="K128" s="795"/>
      <c r="L128" s="958"/>
      <c r="N128" s="877"/>
    </row>
    <row r="129" spans="1:14" s="85" customFormat="1" x14ac:dyDescent="0.25">
      <c r="A129" s="79"/>
      <c r="B129" s="79" t="s">
        <v>2189</v>
      </c>
      <c r="C129" s="864" t="s">
        <v>1496</v>
      </c>
      <c r="D129" s="475">
        <f>SUMIF($D$7:$D$118,"AC",$F$7:$F$118)</f>
        <v>206</v>
      </c>
      <c r="F129" s="769"/>
      <c r="G129" s="79"/>
      <c r="K129" s="177"/>
      <c r="L129" s="941"/>
      <c r="N129" s="877"/>
    </row>
    <row r="130" spans="1:14" s="85" customFormat="1" x14ac:dyDescent="0.25">
      <c r="A130" s="79"/>
      <c r="B130" s="867" t="s">
        <v>53</v>
      </c>
      <c r="C130" s="864" t="s">
        <v>1522</v>
      </c>
      <c r="D130" s="475">
        <f>SUMIF($D$17:$D$118,"DC",$F$17:$F$118)</f>
        <v>300.85500000000002</v>
      </c>
      <c r="K130" s="177"/>
      <c r="L130" s="475"/>
      <c r="N130" s="877"/>
    </row>
    <row r="131" spans="1:14" s="85" customFormat="1" x14ac:dyDescent="0.25">
      <c r="A131" s="79"/>
      <c r="B131" s="867" t="s">
        <v>2149</v>
      </c>
      <c r="C131" s="864" t="s">
        <v>2131</v>
      </c>
      <c r="D131" s="475">
        <f>SUMIF($D$17:$D$118,"DM",$F$17:$F$118)</f>
        <v>93.83</v>
      </c>
      <c r="F131" s="769"/>
      <c r="K131" s="177" t="s">
        <v>280</v>
      </c>
      <c r="L131" s="475"/>
      <c r="N131" s="877"/>
    </row>
    <row r="132" spans="1:14" s="85" customFormat="1" x14ac:dyDescent="0.25">
      <c r="A132" s="79"/>
      <c r="B132" s="79" t="s">
        <v>2008</v>
      </c>
      <c r="C132" s="864" t="s">
        <v>1523</v>
      </c>
      <c r="D132" s="475">
        <f>SUMIF($D$17:$D$118,"B",$F$17:$F$118)</f>
        <v>139.4</v>
      </c>
      <c r="F132" s="769"/>
      <c r="G132" s="866"/>
      <c r="K132" s="177"/>
      <c r="L132" s="475"/>
      <c r="N132" s="877"/>
    </row>
    <row r="133" spans="1:14" s="85" customFormat="1" x14ac:dyDescent="0.25">
      <c r="A133" s="79"/>
      <c r="B133" s="79" t="s">
        <v>1686</v>
      </c>
      <c r="C133" s="864" t="s">
        <v>1506</v>
      </c>
      <c r="D133" s="475">
        <f>SUMIF($D$17:$D$118,"R",$F$17:$F$118)</f>
        <v>232.9</v>
      </c>
      <c r="F133" s="769"/>
      <c r="G133" s="868"/>
      <c r="K133" s="866"/>
      <c r="L133" s="475"/>
      <c r="N133" s="877"/>
    </row>
    <row r="134" spans="1:14" x14ac:dyDescent="0.25">
      <c r="B134" s="79" t="s">
        <v>418</v>
      </c>
      <c r="C134" s="85" t="s">
        <v>1524</v>
      </c>
      <c r="D134" s="475">
        <f>SUMIF($D$17:$D$118,"COM",$F$17:$F$118)</f>
        <v>0</v>
      </c>
      <c r="G134" s="85"/>
      <c r="H134" s="85"/>
      <c r="I134" s="85"/>
      <c r="J134" s="769"/>
      <c r="K134" s="216"/>
    </row>
    <row r="135" spans="1:14" x14ac:dyDescent="0.25">
      <c r="B135" s="79" t="s">
        <v>419</v>
      </c>
      <c r="C135" s="85" t="s">
        <v>1491</v>
      </c>
      <c r="D135" s="475">
        <f>SUMIF($D$14:$D$118,"F",$F$14:$F$118)</f>
        <v>450</v>
      </c>
      <c r="I135" s="85"/>
      <c r="K135" s="216"/>
    </row>
    <row r="136" spans="1:14" x14ac:dyDescent="0.25">
      <c r="B136" s="79" t="s">
        <v>911</v>
      </c>
      <c r="C136" s="85" t="s">
        <v>1525</v>
      </c>
      <c r="D136" s="475">
        <f>SUMIF($D$17:$D$118,"FER",$F$17:$F$118)</f>
        <v>305.04999999999995</v>
      </c>
      <c r="J136" s="769"/>
      <c r="K136" s="868"/>
    </row>
    <row r="137" spans="1:14" x14ac:dyDescent="0.25">
      <c r="B137" s="79" t="s">
        <v>1526</v>
      </c>
      <c r="C137" s="85" t="s">
        <v>1504</v>
      </c>
      <c r="D137" s="475">
        <f>SUMIF($D$9:$D$118,"I",$F$9:$F$118)</f>
        <v>111.9</v>
      </c>
      <c r="F137" s="89" t="s">
        <v>280</v>
      </c>
      <c r="J137" s="769"/>
      <c r="K137" s="868"/>
    </row>
    <row r="138" spans="1:14" x14ac:dyDescent="0.25">
      <c r="B138" s="79" t="s">
        <v>2343</v>
      </c>
      <c r="C138" s="85" t="s">
        <v>2315</v>
      </c>
      <c r="D138" s="475">
        <f>SUMIF($D$17:$D$118,"E",$F$17:$F$118)</f>
        <v>0</v>
      </c>
      <c r="J138" s="769"/>
      <c r="K138" s="868"/>
    </row>
    <row r="139" spans="1:14" x14ac:dyDescent="0.25">
      <c r="B139" s="79" t="s">
        <v>1527</v>
      </c>
      <c r="C139" s="85" t="s">
        <v>1489</v>
      </c>
      <c r="D139" s="475">
        <f>SUMIF($D$9:$D$118,"OD",$F$9:$F$118)</f>
        <v>208.9</v>
      </c>
      <c r="J139" s="769"/>
    </row>
    <row r="140" spans="1:14" x14ac:dyDescent="0.25">
      <c r="C140" s="769"/>
      <c r="K140" s="866"/>
    </row>
    <row r="141" spans="1:14" x14ac:dyDescent="0.25">
      <c r="D141" s="459"/>
      <c r="H141" s="769"/>
      <c r="I141" s="518" t="s">
        <v>280</v>
      </c>
      <c r="K141" s="866"/>
    </row>
    <row r="142" spans="1:14" x14ac:dyDescent="0.25">
      <c r="B142" s="79" t="s">
        <v>486</v>
      </c>
      <c r="C142" s="475">
        <f>H142/J142</f>
        <v>118.96625000000002</v>
      </c>
      <c r="F142" s="459" t="s">
        <v>487</v>
      </c>
      <c r="H142" s="216">
        <f>SUM(D123:D139)</f>
        <v>3331.0550000000003</v>
      </c>
      <c r="J142" s="1517">
        <v>28</v>
      </c>
    </row>
    <row r="143" spans="1:14" ht="15.75" customHeight="1" x14ac:dyDescent="0.25">
      <c r="E143" s="769"/>
      <c r="H143" s="85"/>
      <c r="K143" s="868"/>
    </row>
    <row r="144" spans="1:14" x14ac:dyDescent="0.25">
      <c r="E144" s="79"/>
      <c r="F144" s="79"/>
      <c r="H144" s="866"/>
      <c r="J144" s="769"/>
      <c r="K144" s="866"/>
    </row>
    <row r="145" spans="1:15" s="518" customFormat="1" x14ac:dyDescent="0.25">
      <c r="A145" s="79"/>
      <c r="B145" s="79"/>
      <c r="C145" s="85"/>
      <c r="D145" s="79"/>
      <c r="E145" s="79"/>
      <c r="F145" s="89"/>
      <c r="G145" s="79"/>
      <c r="H145" s="79"/>
      <c r="I145" s="79"/>
      <c r="J145" s="769"/>
      <c r="K145" s="866"/>
      <c r="L145" s="484"/>
      <c r="M145" s="79"/>
      <c r="N145" s="877"/>
      <c r="O145" s="79"/>
    </row>
    <row r="146" spans="1:15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L146" s="484"/>
      <c r="M146" s="79"/>
      <c r="N146" s="877"/>
      <c r="O146" s="79"/>
    </row>
    <row r="147" spans="1:15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484"/>
      <c r="M147" s="79"/>
      <c r="N147" s="877"/>
      <c r="O147" s="79"/>
    </row>
    <row r="148" spans="1:15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484"/>
      <c r="M148" s="79"/>
      <c r="N148" s="877"/>
      <c r="O148" s="79"/>
    </row>
    <row r="149" spans="1:15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L149" s="484"/>
      <c r="M149" s="79"/>
      <c r="N149" s="877"/>
      <c r="O149" s="79"/>
    </row>
    <row r="150" spans="1:15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484"/>
      <c r="M150" s="79"/>
      <c r="N150" s="877"/>
      <c r="O150" s="79"/>
    </row>
    <row r="151" spans="1:15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484"/>
      <c r="M151" s="79"/>
      <c r="N151" s="877"/>
      <c r="O151" s="79"/>
    </row>
    <row r="152" spans="1:15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484"/>
      <c r="M152" s="79"/>
      <c r="N152" s="877"/>
      <c r="O152" s="79"/>
    </row>
    <row r="153" spans="1:15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484"/>
      <c r="M153" s="79"/>
      <c r="N153" s="877"/>
      <c r="O153" s="79"/>
    </row>
    <row r="154" spans="1:15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484"/>
      <c r="M154" s="79"/>
      <c r="N154" s="877"/>
      <c r="O154" s="79"/>
    </row>
    <row r="155" spans="1:15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877"/>
      <c r="O155" s="79"/>
    </row>
    <row r="156" spans="1:15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484"/>
      <c r="M156" s="79"/>
      <c r="N156" s="877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484"/>
      <c r="M157" s="79"/>
      <c r="N157" s="877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877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  <c r="M159" s="79"/>
      <c r="N159" s="877"/>
      <c r="O159" s="79"/>
    </row>
    <row r="160" spans="1:15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484"/>
      <c r="M170" s="79"/>
      <c r="N170" s="877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484"/>
      <c r="M173" s="79"/>
      <c r="N173" s="877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484"/>
      <c r="M212" s="79"/>
      <c r="N212" s="877"/>
      <c r="O212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  <c r="M214" s="79"/>
      <c r="N214" s="877"/>
      <c r="O214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484"/>
      <c r="M216" s="79"/>
      <c r="N216" s="877"/>
      <c r="O216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877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  <c r="M224" s="79"/>
      <c r="N224" s="877"/>
      <c r="O224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  <c r="M225" s="79"/>
      <c r="N225" s="877"/>
      <c r="O225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877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</sheetData>
  <autoFilter ref="A2:I120" xr:uid="{00000000-0009-0000-0000-00006D000000}"/>
  <mergeCells count="13">
    <mergeCell ref="L23:M23"/>
    <mergeCell ref="A119:E119"/>
    <mergeCell ref="A120:E12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Plan125"/>
  <dimension ref="A1:P247"/>
  <sheetViews>
    <sheetView zoomScale="85" zoomScaleNormal="85" workbookViewId="0">
      <pane ySplit="4" topLeftCell="A13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710937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2892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44256</v>
      </c>
      <c r="B5" s="369" t="s">
        <v>10</v>
      </c>
      <c r="C5" s="370"/>
      <c r="D5" s="370"/>
      <c r="E5" s="777"/>
      <c r="F5" s="179"/>
      <c r="G5" s="933">
        <f>'Fevereiro-21'!G120</f>
        <v>770.78458333335675</v>
      </c>
      <c r="H5" s="163"/>
      <c r="I5" s="1479">
        <f>'Fevereiro-21'!I120</f>
        <v>1499.9960000000019</v>
      </c>
      <c r="J5" s="179"/>
      <c r="K5" s="933">
        <f>'Fevereiro-21'!K120</f>
        <v>18017.819999999996</v>
      </c>
    </row>
    <row r="6" spans="1:15" s="224" customFormat="1" x14ac:dyDescent="0.25">
      <c r="A6" s="215">
        <v>44256</v>
      </c>
      <c r="B6" s="348" t="s">
        <v>11</v>
      </c>
      <c r="C6" s="351"/>
      <c r="D6" s="351"/>
      <c r="E6" s="673"/>
      <c r="F6" s="538">
        <v>19</v>
      </c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44256</v>
      </c>
      <c r="B7" s="364" t="s">
        <v>32</v>
      </c>
      <c r="C7" s="350" t="s">
        <v>12</v>
      </c>
      <c r="D7" s="350" t="s">
        <v>1485</v>
      </c>
      <c r="E7" s="875" t="s">
        <v>13</v>
      </c>
      <c r="F7" s="780">
        <v>7.5</v>
      </c>
      <c r="G7" s="982"/>
      <c r="H7" s="1008"/>
      <c r="I7" s="1063"/>
      <c r="J7" s="622"/>
      <c r="K7" s="982"/>
      <c r="L7" s="861"/>
      <c r="N7" s="1035"/>
    </row>
    <row r="8" spans="1:15" s="224" customFormat="1" ht="15" customHeight="1" x14ac:dyDescent="0.25">
      <c r="A8" s="215">
        <v>44256</v>
      </c>
      <c r="B8" s="349" t="s">
        <v>2893</v>
      </c>
      <c r="C8" s="350" t="s">
        <v>12</v>
      </c>
      <c r="D8" s="350"/>
      <c r="E8" s="480" t="s">
        <v>25</v>
      </c>
      <c r="F8" s="852"/>
      <c r="G8" s="1527"/>
      <c r="H8" s="97"/>
      <c r="I8" s="946">
        <v>12000</v>
      </c>
      <c r="J8" s="97"/>
      <c r="K8" s="946"/>
    </row>
    <row r="9" spans="1:15" s="224" customFormat="1" ht="15" customHeight="1" x14ac:dyDescent="0.25">
      <c r="A9" s="215">
        <v>44256</v>
      </c>
      <c r="B9" s="349" t="s">
        <v>2133</v>
      </c>
      <c r="C9" s="350" t="s">
        <v>12</v>
      </c>
      <c r="D9" s="350" t="s">
        <v>2131</v>
      </c>
      <c r="E9" s="480" t="s">
        <v>13</v>
      </c>
      <c r="F9" s="852">
        <v>17.41</v>
      </c>
      <c r="G9" s="1527"/>
      <c r="H9" s="97"/>
      <c r="I9" s="946"/>
      <c r="J9" s="97"/>
      <c r="K9" s="946"/>
    </row>
    <row r="10" spans="1:15" s="224" customFormat="1" ht="15" customHeight="1" x14ac:dyDescent="0.25">
      <c r="A10" s="215">
        <v>44256</v>
      </c>
      <c r="B10" s="364" t="s">
        <v>2894</v>
      </c>
      <c r="C10" s="350" t="s">
        <v>12</v>
      </c>
      <c r="D10" s="350" t="s">
        <v>2131</v>
      </c>
      <c r="E10" s="871" t="s">
        <v>13</v>
      </c>
      <c r="F10" s="780">
        <v>73.83</v>
      </c>
      <c r="G10" s="982"/>
      <c r="H10" s="1008"/>
      <c r="I10" s="1063"/>
      <c r="J10" s="622"/>
      <c r="K10" s="982"/>
      <c r="L10" s="1029"/>
      <c r="M10" s="881"/>
      <c r="N10" s="877"/>
    </row>
    <row r="11" spans="1:15" s="224" customFormat="1" ht="15" customHeight="1" x14ac:dyDescent="0.25">
      <c r="A11" s="215">
        <v>44256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5.2</v>
      </c>
      <c r="G11" s="982"/>
      <c r="H11" s="1008"/>
      <c r="I11" s="1063"/>
      <c r="J11" s="622"/>
      <c r="K11" s="982"/>
      <c r="L11" s="861"/>
      <c r="N11" s="1035"/>
    </row>
    <row r="12" spans="1:15" s="224" customFormat="1" ht="15" customHeight="1" x14ac:dyDescent="0.25">
      <c r="A12" s="215">
        <v>44257</v>
      </c>
      <c r="B12" s="364" t="s">
        <v>32</v>
      </c>
      <c r="C12" s="350" t="s">
        <v>12</v>
      </c>
      <c r="D12" s="350" t="s">
        <v>1485</v>
      </c>
      <c r="E12" s="875" t="s">
        <v>13</v>
      </c>
      <c r="F12" s="780">
        <v>16</v>
      </c>
      <c r="G12" s="982"/>
      <c r="H12" s="1008"/>
      <c r="I12" s="1063"/>
      <c r="J12" s="622"/>
      <c r="K12" s="982"/>
      <c r="L12" s="1029"/>
      <c r="M12" s="89"/>
      <c r="N12" s="930"/>
    </row>
    <row r="13" spans="1:15" s="224" customFormat="1" ht="15" customHeight="1" x14ac:dyDescent="0.25">
      <c r="A13" s="215">
        <v>44257</v>
      </c>
      <c r="B13" s="364" t="s">
        <v>2415</v>
      </c>
      <c r="C13" s="350" t="s">
        <v>12</v>
      </c>
      <c r="D13" s="350" t="s">
        <v>1493</v>
      </c>
      <c r="E13" s="875" t="s">
        <v>13</v>
      </c>
      <c r="F13" s="780">
        <v>5</v>
      </c>
      <c r="G13" s="982"/>
      <c r="H13" s="1008"/>
      <c r="I13" s="1063"/>
      <c r="J13" s="622"/>
      <c r="K13" s="982"/>
      <c r="L13" s="1029"/>
      <c r="M13" s="89"/>
      <c r="N13" s="930"/>
    </row>
    <row r="14" spans="1:15" s="224" customFormat="1" ht="15" customHeight="1" x14ac:dyDescent="0.25">
      <c r="A14" s="215">
        <v>44257</v>
      </c>
      <c r="B14" s="349" t="s">
        <v>2873</v>
      </c>
      <c r="C14" s="350" t="s">
        <v>12</v>
      </c>
      <c r="D14" s="350" t="s">
        <v>1496</v>
      </c>
      <c r="E14" s="480" t="s">
        <v>13</v>
      </c>
      <c r="F14" s="780">
        <v>8</v>
      </c>
      <c r="G14" s="982"/>
      <c r="H14" s="1008"/>
      <c r="I14" s="1063"/>
      <c r="J14" s="622"/>
      <c r="K14" s="982"/>
      <c r="L14" s="1029"/>
      <c r="M14" s="89"/>
      <c r="N14" s="1035"/>
    </row>
    <row r="15" spans="1:15" s="224" customFormat="1" ht="15" customHeight="1" x14ac:dyDescent="0.25">
      <c r="A15" s="215">
        <v>44257</v>
      </c>
      <c r="B15" s="364" t="s">
        <v>14</v>
      </c>
      <c r="C15" s="350" t="s">
        <v>12</v>
      </c>
      <c r="D15" s="350" t="s">
        <v>1486</v>
      </c>
      <c r="E15" s="875" t="s">
        <v>13</v>
      </c>
      <c r="F15" s="780">
        <v>7.23</v>
      </c>
      <c r="G15" s="982"/>
      <c r="H15" s="1008"/>
      <c r="I15" s="1063"/>
      <c r="J15" s="622"/>
      <c r="K15" s="982"/>
      <c r="L15" s="861"/>
      <c r="N15" s="1035"/>
    </row>
    <row r="16" spans="1:15" s="224" customFormat="1" ht="15" customHeight="1" x14ac:dyDescent="0.25">
      <c r="A16" s="215">
        <v>44258</v>
      </c>
      <c r="B16" s="364" t="s">
        <v>32</v>
      </c>
      <c r="C16" s="350" t="s">
        <v>12</v>
      </c>
      <c r="D16" s="350" t="s">
        <v>1485</v>
      </c>
      <c r="E16" s="875" t="s">
        <v>13</v>
      </c>
      <c r="F16" s="780">
        <v>16</v>
      </c>
      <c r="G16" s="982"/>
      <c r="H16" s="1008"/>
      <c r="I16" s="1063"/>
      <c r="J16" s="622"/>
      <c r="K16" s="982"/>
      <c r="L16" s="1029"/>
      <c r="M16" s="89"/>
      <c r="N16" s="930"/>
    </row>
    <row r="17" spans="1:14" s="224" customFormat="1" ht="15" customHeight="1" x14ac:dyDescent="0.25">
      <c r="A17" s="215">
        <v>44258</v>
      </c>
      <c r="B17" s="364" t="s">
        <v>2415</v>
      </c>
      <c r="C17" s="350" t="s">
        <v>12</v>
      </c>
      <c r="D17" s="350" t="s">
        <v>1493</v>
      </c>
      <c r="E17" s="875" t="s">
        <v>13</v>
      </c>
      <c r="F17" s="780">
        <v>5</v>
      </c>
      <c r="G17" s="982"/>
      <c r="H17" s="1008"/>
      <c r="I17" s="1063"/>
      <c r="J17" s="622"/>
      <c r="K17" s="982"/>
      <c r="L17" s="1029"/>
      <c r="M17" s="89"/>
      <c r="N17" s="930"/>
    </row>
    <row r="18" spans="1:14" s="224" customFormat="1" ht="15" customHeight="1" x14ac:dyDescent="0.25">
      <c r="A18" s="215">
        <v>44258</v>
      </c>
      <c r="B18" s="364" t="s">
        <v>2895</v>
      </c>
      <c r="C18" s="350" t="s">
        <v>12</v>
      </c>
      <c r="D18" s="350" t="s">
        <v>1506</v>
      </c>
      <c r="E18" s="875" t="s">
        <v>13</v>
      </c>
      <c r="F18" s="780">
        <v>20</v>
      </c>
      <c r="G18" s="982"/>
      <c r="H18" s="1008"/>
      <c r="I18" s="1063"/>
      <c r="J18" s="622"/>
      <c r="K18" s="982"/>
      <c r="L18" s="1029"/>
      <c r="M18" s="1027"/>
      <c r="N18" s="1035"/>
    </row>
    <row r="19" spans="1:14" s="224" customFormat="1" ht="15" customHeight="1" x14ac:dyDescent="0.25">
      <c r="A19" s="215">
        <v>44258</v>
      </c>
      <c r="B19" s="364" t="s">
        <v>14</v>
      </c>
      <c r="C19" s="350" t="s">
        <v>12</v>
      </c>
      <c r="D19" s="350" t="s">
        <v>1486</v>
      </c>
      <c r="E19" s="875" t="s">
        <v>13</v>
      </c>
      <c r="F19" s="780">
        <v>6.94</v>
      </c>
      <c r="G19" s="982"/>
      <c r="H19" s="1008"/>
      <c r="I19" s="1063"/>
      <c r="J19" s="622"/>
      <c r="K19" s="982"/>
      <c r="L19" s="1029"/>
      <c r="M19" s="1027"/>
      <c r="N19" s="1035"/>
    </row>
    <row r="20" spans="1:14" s="224" customFormat="1" ht="15" customHeight="1" x14ac:dyDescent="0.25">
      <c r="A20" s="215">
        <v>44259</v>
      </c>
      <c r="B20" s="862" t="s">
        <v>1685</v>
      </c>
      <c r="C20" s="879"/>
      <c r="D20" s="879"/>
      <c r="E20" s="871"/>
      <c r="F20" s="97"/>
      <c r="G20" s="1064"/>
      <c r="H20" s="97"/>
      <c r="I20" s="982">
        <v>6899.94</v>
      </c>
      <c r="J20" s="622">
        <v>6899.94</v>
      </c>
      <c r="K20" s="982"/>
    </row>
    <row r="21" spans="1:14" s="224" customFormat="1" ht="15" customHeight="1" x14ac:dyDescent="0.25">
      <c r="A21" s="215">
        <v>44259</v>
      </c>
      <c r="B21" s="364" t="s">
        <v>32</v>
      </c>
      <c r="C21" s="350" t="s">
        <v>12</v>
      </c>
      <c r="D21" s="350" t="s">
        <v>1485</v>
      </c>
      <c r="E21" s="875" t="s">
        <v>13</v>
      </c>
      <c r="F21" s="780">
        <v>16</v>
      </c>
      <c r="G21" s="982"/>
      <c r="H21" s="1008"/>
      <c r="I21" s="1063"/>
      <c r="J21" s="622"/>
      <c r="K21" s="982"/>
      <c r="L21" s="1029"/>
      <c r="M21" s="89"/>
      <c r="N21" s="930"/>
    </row>
    <row r="22" spans="1:14" s="224" customFormat="1" ht="15" customHeight="1" x14ac:dyDescent="0.25">
      <c r="A22" s="215">
        <v>44259</v>
      </c>
      <c r="B22" s="364" t="s">
        <v>14</v>
      </c>
      <c r="C22" s="350" t="s">
        <v>12</v>
      </c>
      <c r="D22" s="350" t="s">
        <v>1486</v>
      </c>
      <c r="E22" s="875" t="s">
        <v>13</v>
      </c>
      <c r="F22" s="780">
        <v>6</v>
      </c>
      <c r="G22" s="982"/>
      <c r="H22" s="1008"/>
      <c r="I22" s="1063"/>
      <c r="J22" s="622"/>
      <c r="K22" s="982"/>
      <c r="L22" s="861"/>
      <c r="N22" s="878"/>
    </row>
    <row r="23" spans="1:14" s="224" customFormat="1" ht="15" customHeight="1" x14ac:dyDescent="0.25">
      <c r="A23" s="215">
        <v>44260</v>
      </c>
      <c r="B23" s="364" t="s">
        <v>32</v>
      </c>
      <c r="C23" s="350" t="s">
        <v>12</v>
      </c>
      <c r="D23" s="350" t="s">
        <v>1485</v>
      </c>
      <c r="E23" s="875" t="s">
        <v>13</v>
      </c>
      <c r="F23" s="780">
        <v>16</v>
      </c>
      <c r="G23" s="946"/>
      <c r="H23" s="95"/>
      <c r="I23" s="1064"/>
      <c r="J23" s="97"/>
      <c r="K23" s="946"/>
      <c r="L23" s="926"/>
      <c r="M23" s="216"/>
      <c r="N23" s="877"/>
    </row>
    <row r="24" spans="1:14" s="224" customFormat="1" ht="15.75" customHeight="1" x14ac:dyDescent="0.25">
      <c r="A24" s="215">
        <v>44260</v>
      </c>
      <c r="B24" s="349" t="s">
        <v>2896</v>
      </c>
      <c r="C24" s="879" t="s">
        <v>12</v>
      </c>
      <c r="D24" s="874"/>
      <c r="E24" s="871" t="s">
        <v>25</v>
      </c>
      <c r="F24" s="1514"/>
      <c r="G24" s="1002">
        <v>1857.49</v>
      </c>
      <c r="H24" s="250"/>
      <c r="I24" s="946"/>
      <c r="J24" s="97"/>
      <c r="K24" s="946"/>
    </row>
    <row r="25" spans="1:14" s="224" customFormat="1" ht="15" customHeight="1" x14ac:dyDescent="0.25">
      <c r="A25" s="215">
        <v>44260</v>
      </c>
      <c r="B25" s="349" t="s">
        <v>2897</v>
      </c>
      <c r="C25" s="887" t="s">
        <v>12</v>
      </c>
      <c r="D25" s="1005" t="s">
        <v>1496</v>
      </c>
      <c r="E25" s="887" t="s">
        <v>13</v>
      </c>
      <c r="F25" s="613">
        <v>50</v>
      </c>
      <c r="G25" s="982"/>
      <c r="H25" s="861"/>
      <c r="I25" s="1063"/>
      <c r="J25" s="622"/>
      <c r="K25" s="982"/>
      <c r="L25" s="927"/>
      <c r="M25" s="999"/>
      <c r="N25" s="878"/>
    </row>
    <row r="26" spans="1:14" s="224" customFormat="1" ht="15" customHeight="1" x14ac:dyDescent="0.25">
      <c r="A26" s="215">
        <v>44260</v>
      </c>
      <c r="B26" s="349" t="s">
        <v>2897</v>
      </c>
      <c r="C26" s="887" t="s">
        <v>12</v>
      </c>
      <c r="D26" s="1005" t="s">
        <v>1489</v>
      </c>
      <c r="E26" s="887" t="s">
        <v>13</v>
      </c>
      <c r="F26" s="613">
        <v>43</v>
      </c>
      <c r="G26" s="982"/>
      <c r="H26" s="1008"/>
      <c r="I26" s="1063"/>
      <c r="J26" s="622"/>
      <c r="K26" s="982"/>
      <c r="L26" s="1029"/>
      <c r="M26" s="999"/>
      <c r="N26" s="1035"/>
    </row>
    <row r="27" spans="1:14" s="224" customFormat="1" ht="15" customHeight="1" x14ac:dyDescent="0.25">
      <c r="A27" s="215">
        <v>44260</v>
      </c>
      <c r="B27" s="349" t="s">
        <v>2897</v>
      </c>
      <c r="C27" s="887" t="s">
        <v>12</v>
      </c>
      <c r="D27" s="1005" t="s">
        <v>1491</v>
      </c>
      <c r="E27" s="887" t="s">
        <v>13</v>
      </c>
      <c r="F27" s="613">
        <v>150</v>
      </c>
      <c r="G27" s="982"/>
      <c r="H27" s="861"/>
      <c r="I27" s="1063"/>
      <c r="J27" s="622"/>
      <c r="K27" s="982"/>
      <c r="L27" s="927"/>
      <c r="M27" s="999"/>
      <c r="N27" s="878"/>
    </row>
    <row r="28" spans="1:14" s="224" customFormat="1" ht="15" customHeight="1" x14ac:dyDescent="0.25">
      <c r="A28" s="215">
        <v>44260</v>
      </c>
      <c r="B28" s="349" t="s">
        <v>2897</v>
      </c>
      <c r="C28" s="887" t="s">
        <v>12</v>
      </c>
      <c r="D28" s="1005" t="s">
        <v>1489</v>
      </c>
      <c r="E28" s="887" t="s">
        <v>13</v>
      </c>
      <c r="F28" s="613">
        <v>100.81</v>
      </c>
      <c r="G28" s="982"/>
      <c r="H28" s="1008"/>
      <c r="I28" s="1063"/>
      <c r="J28" s="622"/>
      <c r="K28" s="982"/>
      <c r="L28" s="1029"/>
      <c r="M28" s="999"/>
      <c r="N28" s="1035"/>
    </row>
    <row r="29" spans="1:14" s="224" customFormat="1" ht="15" customHeight="1" x14ac:dyDescent="0.25">
      <c r="A29" s="215">
        <v>44260</v>
      </c>
      <c r="B29" s="349" t="s">
        <v>2897</v>
      </c>
      <c r="C29" s="887" t="s">
        <v>12</v>
      </c>
      <c r="D29" s="1005" t="s">
        <v>1506</v>
      </c>
      <c r="E29" s="887" t="s">
        <v>13</v>
      </c>
      <c r="F29" s="613">
        <v>33.300000000000004</v>
      </c>
      <c r="G29" s="982"/>
      <c r="H29" s="1008"/>
      <c r="I29" s="1063"/>
      <c r="J29" s="622"/>
      <c r="K29" s="982"/>
      <c r="L29" s="861"/>
      <c r="N29" s="1035"/>
    </row>
    <row r="30" spans="1:14" s="224" customFormat="1" ht="15" customHeight="1" x14ac:dyDescent="0.25">
      <c r="A30" s="215">
        <v>44260</v>
      </c>
      <c r="B30" s="349" t="s">
        <v>2897</v>
      </c>
      <c r="C30" s="887" t="s">
        <v>12</v>
      </c>
      <c r="D30" s="1005" t="s">
        <v>1506</v>
      </c>
      <c r="E30" s="887" t="s">
        <v>13</v>
      </c>
      <c r="F30" s="613">
        <v>33.300000000000004</v>
      </c>
      <c r="G30" s="982"/>
      <c r="H30" s="1008"/>
      <c r="I30" s="1063"/>
      <c r="J30" s="622"/>
      <c r="K30" s="982"/>
      <c r="L30" s="3148"/>
      <c r="M30" s="3149"/>
      <c r="N30" s="878"/>
    </row>
    <row r="31" spans="1:14" s="224" customFormat="1" ht="15" customHeight="1" x14ac:dyDescent="0.25">
      <c r="A31" s="215">
        <v>44260</v>
      </c>
      <c r="B31" s="349" t="s">
        <v>2897</v>
      </c>
      <c r="C31" s="887" t="s">
        <v>12</v>
      </c>
      <c r="D31" s="1005" t="s">
        <v>2131</v>
      </c>
      <c r="E31" s="887" t="s">
        <v>13</v>
      </c>
      <c r="F31" s="613">
        <v>25.746666666666666</v>
      </c>
      <c r="G31" s="967"/>
      <c r="H31" s="1008"/>
      <c r="I31" s="1063"/>
      <c r="J31" s="622"/>
      <c r="K31" s="982"/>
      <c r="L31" s="861"/>
      <c r="N31" s="878"/>
    </row>
    <row r="32" spans="1:14" s="224" customFormat="1" ht="15" customHeight="1" x14ac:dyDescent="0.25">
      <c r="A32" s="215">
        <v>44260</v>
      </c>
      <c r="B32" s="349" t="s">
        <v>2897</v>
      </c>
      <c r="C32" s="887" t="s">
        <v>12</v>
      </c>
      <c r="D32" s="1005" t="s">
        <v>2131</v>
      </c>
      <c r="E32" s="887" t="s">
        <v>13</v>
      </c>
      <c r="F32" s="613">
        <v>77.5</v>
      </c>
      <c r="G32" s="982"/>
      <c r="H32" s="1008"/>
      <c r="I32" s="1063"/>
      <c r="J32" s="622"/>
      <c r="K32" s="982"/>
      <c r="L32" s="861"/>
      <c r="N32" s="1035"/>
    </row>
    <row r="33" spans="1:14" s="224" customFormat="1" ht="15" customHeight="1" x14ac:dyDescent="0.25">
      <c r="A33" s="215">
        <v>44260</v>
      </c>
      <c r="B33" s="862" t="s">
        <v>2385</v>
      </c>
      <c r="C33" s="879" t="s">
        <v>12</v>
      </c>
      <c r="D33" s="879" t="s">
        <v>1504</v>
      </c>
      <c r="E33" s="871" t="s">
        <v>13</v>
      </c>
      <c r="F33" s="780">
        <v>50</v>
      </c>
      <c r="G33" s="982"/>
      <c r="H33" s="1008"/>
      <c r="I33" s="1063"/>
      <c r="J33" s="622"/>
      <c r="K33" s="982"/>
      <c r="L33" s="1028">
        <v>90</v>
      </c>
      <c r="M33" s="999"/>
      <c r="N33" s="1035"/>
    </row>
    <row r="34" spans="1:14" s="224" customFormat="1" ht="15" customHeight="1" x14ac:dyDescent="0.25">
      <c r="A34" s="215">
        <v>44260</v>
      </c>
      <c r="B34" s="882" t="s">
        <v>2898</v>
      </c>
      <c r="C34" s="879" t="s">
        <v>12</v>
      </c>
      <c r="D34" s="879" t="s">
        <v>1499</v>
      </c>
      <c r="E34" s="871" t="s">
        <v>13</v>
      </c>
      <c r="F34" s="780">
        <v>50</v>
      </c>
      <c r="G34" s="982"/>
      <c r="H34" s="1008"/>
      <c r="I34" s="1063"/>
      <c r="J34" s="622"/>
      <c r="K34" s="982"/>
      <c r="L34" s="1028">
        <v>76.83</v>
      </c>
      <c r="M34" s="999"/>
      <c r="N34" s="878"/>
    </row>
    <row r="35" spans="1:14" s="224" customFormat="1" ht="15" customHeight="1" x14ac:dyDescent="0.25">
      <c r="A35" s="215">
        <v>44260</v>
      </c>
      <c r="B35" s="364" t="s">
        <v>2899</v>
      </c>
      <c r="C35" s="350" t="s">
        <v>12</v>
      </c>
      <c r="D35" s="350" t="s">
        <v>1522</v>
      </c>
      <c r="E35" s="871" t="s">
        <v>13</v>
      </c>
      <c r="F35" s="780">
        <v>207.66</v>
      </c>
      <c r="G35" s="982"/>
      <c r="H35" s="1008"/>
      <c r="I35" s="1063"/>
      <c r="J35" s="622"/>
      <c r="K35" s="982"/>
      <c r="L35" s="1029"/>
      <c r="M35" s="881"/>
      <c r="N35" s="877"/>
    </row>
    <row r="36" spans="1:14" s="224" customFormat="1" ht="15" customHeight="1" x14ac:dyDescent="0.25">
      <c r="A36" s="215">
        <v>44260</v>
      </c>
      <c r="B36" s="364" t="s">
        <v>2900</v>
      </c>
      <c r="C36" s="350" t="s">
        <v>12</v>
      </c>
      <c r="D36" s="350" t="s">
        <v>1491</v>
      </c>
      <c r="E36" s="875" t="s">
        <v>13</v>
      </c>
      <c r="F36" s="780">
        <v>310</v>
      </c>
      <c r="G36" s="946"/>
      <c r="H36" s="95"/>
      <c r="I36" s="1064"/>
      <c r="J36" s="97"/>
      <c r="K36" s="946"/>
      <c r="L36" s="926" t="s">
        <v>2901</v>
      </c>
      <c r="M36" s="216"/>
      <c r="N36" s="877"/>
    </row>
    <row r="37" spans="1:14" s="224" customFormat="1" ht="15" customHeight="1" x14ac:dyDescent="0.25">
      <c r="A37" s="215">
        <v>44260</v>
      </c>
      <c r="B37" s="364" t="s">
        <v>2902</v>
      </c>
      <c r="C37" s="350" t="s">
        <v>12</v>
      </c>
      <c r="D37" s="350" t="s">
        <v>1491</v>
      </c>
      <c r="E37" s="875" t="s">
        <v>13</v>
      </c>
      <c r="F37" s="780">
        <v>50</v>
      </c>
      <c r="G37" s="946"/>
      <c r="H37" s="95"/>
      <c r="I37" s="1064"/>
      <c r="J37" s="97"/>
      <c r="K37" s="946"/>
      <c r="L37" s="926" t="s">
        <v>2903</v>
      </c>
      <c r="M37" s="216"/>
      <c r="N37" s="877"/>
    </row>
    <row r="38" spans="1:14" s="224" customFormat="1" ht="15" customHeight="1" x14ac:dyDescent="0.25">
      <c r="A38" s="215">
        <v>44260</v>
      </c>
      <c r="B38" s="364" t="s">
        <v>2251</v>
      </c>
      <c r="C38" s="350" t="s">
        <v>12</v>
      </c>
      <c r="D38" s="350" t="s">
        <v>2157</v>
      </c>
      <c r="E38" s="875" t="s">
        <v>15</v>
      </c>
      <c r="F38" s="780">
        <v>70</v>
      </c>
      <c r="G38" s="982"/>
      <c r="H38" s="1008"/>
      <c r="I38" s="1063"/>
      <c r="J38" s="622"/>
      <c r="K38" s="982"/>
      <c r="L38" s="861"/>
      <c r="N38" s="1035"/>
    </row>
    <row r="39" spans="1:14" s="224" customFormat="1" ht="15" customHeight="1" x14ac:dyDescent="0.25">
      <c r="A39" s="215">
        <v>44260</v>
      </c>
      <c r="B39" s="364" t="s">
        <v>14</v>
      </c>
      <c r="C39" s="350" t="s">
        <v>12</v>
      </c>
      <c r="D39" s="350" t="s">
        <v>1486</v>
      </c>
      <c r="E39" s="875" t="s">
        <v>13</v>
      </c>
      <c r="F39" s="780">
        <v>16.149999999999999</v>
      </c>
      <c r="G39" s="982"/>
      <c r="H39" s="1008"/>
      <c r="I39" s="1063"/>
      <c r="J39" s="622"/>
      <c r="K39" s="982"/>
      <c r="L39" s="861"/>
      <c r="N39" s="878"/>
    </row>
    <row r="40" spans="1:14" s="224" customFormat="1" ht="15" customHeight="1" x14ac:dyDescent="0.25">
      <c r="A40" s="215">
        <v>44261</v>
      </c>
      <c r="B40" s="349" t="s">
        <v>2096</v>
      </c>
      <c r="C40" s="879" t="s">
        <v>12</v>
      </c>
      <c r="D40" s="879" t="s">
        <v>1506</v>
      </c>
      <c r="E40" s="871" t="s">
        <v>15</v>
      </c>
      <c r="F40" s="780">
        <v>40</v>
      </c>
      <c r="G40" s="946"/>
      <c r="H40" s="95"/>
      <c r="I40" s="1064"/>
      <c r="J40" s="97"/>
      <c r="K40" s="946"/>
      <c r="L40" s="926"/>
      <c r="M40" s="89"/>
      <c r="N40" s="930"/>
    </row>
    <row r="41" spans="1:14" s="224" customFormat="1" ht="15" customHeight="1" x14ac:dyDescent="0.25">
      <c r="A41" s="215">
        <v>44261</v>
      </c>
      <c r="B41" s="349" t="s">
        <v>2375</v>
      </c>
      <c r="C41" s="879" t="s">
        <v>12</v>
      </c>
      <c r="D41" s="879" t="s">
        <v>1506</v>
      </c>
      <c r="E41" s="871" t="s">
        <v>15</v>
      </c>
      <c r="F41" s="780">
        <v>10</v>
      </c>
      <c r="G41" s="946"/>
      <c r="H41" s="95"/>
      <c r="I41" s="1064"/>
      <c r="J41" s="97"/>
      <c r="K41" s="946"/>
      <c r="L41" s="926"/>
      <c r="M41" s="89"/>
      <c r="N41" s="930"/>
    </row>
    <row r="42" spans="1:14" s="224" customFormat="1" ht="15" customHeight="1" x14ac:dyDescent="0.25">
      <c r="A42" s="215">
        <v>44261</v>
      </c>
      <c r="B42" s="364" t="s">
        <v>14</v>
      </c>
      <c r="C42" s="350" t="s">
        <v>12</v>
      </c>
      <c r="D42" s="350" t="s">
        <v>1486</v>
      </c>
      <c r="E42" s="875" t="s">
        <v>13</v>
      </c>
      <c r="F42" s="780">
        <v>5.35</v>
      </c>
      <c r="G42" s="982"/>
      <c r="H42" s="1008"/>
      <c r="I42" s="1063"/>
      <c r="J42" s="622"/>
      <c r="K42" s="982"/>
      <c r="L42" s="1029"/>
      <c r="M42" s="881"/>
      <c r="N42" s="877"/>
    </row>
    <row r="43" spans="1:14" s="224" customFormat="1" ht="15" customHeight="1" x14ac:dyDescent="0.25">
      <c r="A43" s="215">
        <v>44261</v>
      </c>
      <c r="B43" s="364" t="s">
        <v>82</v>
      </c>
      <c r="C43" s="350" t="s">
        <v>12</v>
      </c>
      <c r="D43" s="350" t="s">
        <v>1493</v>
      </c>
      <c r="E43" s="875" t="s">
        <v>13</v>
      </c>
      <c r="F43" s="780">
        <v>35.5</v>
      </c>
      <c r="G43" s="982"/>
      <c r="H43" s="1008"/>
      <c r="I43" s="1063"/>
      <c r="J43" s="622"/>
      <c r="K43" s="982"/>
      <c r="L43" s="1029"/>
      <c r="M43" s="881"/>
      <c r="N43" s="877"/>
    </row>
    <row r="44" spans="1:14" s="224" customFormat="1" ht="15" customHeight="1" x14ac:dyDescent="0.25">
      <c r="A44" s="215">
        <v>44262</v>
      </c>
      <c r="B44" s="364" t="s">
        <v>32</v>
      </c>
      <c r="C44" s="350" t="s">
        <v>12</v>
      </c>
      <c r="D44" s="350" t="s">
        <v>1485</v>
      </c>
      <c r="E44" s="875" t="s">
        <v>13</v>
      </c>
      <c r="F44" s="780">
        <v>32</v>
      </c>
      <c r="G44" s="946"/>
      <c r="H44" s="95"/>
      <c r="I44" s="1064"/>
      <c r="J44" s="97"/>
      <c r="K44" s="946"/>
      <c r="L44" s="926"/>
      <c r="M44" s="216"/>
      <c r="N44" s="877"/>
    </row>
    <row r="45" spans="1:14" s="224" customFormat="1" ht="15" customHeight="1" x14ac:dyDescent="0.25">
      <c r="A45" s="215">
        <v>44262</v>
      </c>
      <c r="B45" s="364" t="s">
        <v>199</v>
      </c>
      <c r="C45" s="350" t="s">
        <v>12</v>
      </c>
      <c r="D45" s="350" t="s">
        <v>1522</v>
      </c>
      <c r="E45" s="875" t="s">
        <v>13</v>
      </c>
      <c r="F45" s="780">
        <v>25</v>
      </c>
      <c r="G45" s="982"/>
      <c r="H45" s="1008"/>
      <c r="I45" s="1063"/>
      <c r="J45" s="622"/>
      <c r="K45" s="982"/>
      <c r="L45" s="861"/>
      <c r="N45" s="1035"/>
    </row>
    <row r="46" spans="1:14" s="224" customFormat="1" ht="15" customHeight="1" x14ac:dyDescent="0.25">
      <c r="A46" s="215">
        <v>44262</v>
      </c>
      <c r="B46" s="364" t="s">
        <v>2251</v>
      </c>
      <c r="C46" s="350" t="s">
        <v>12</v>
      </c>
      <c r="D46" s="350" t="s">
        <v>2157</v>
      </c>
      <c r="E46" s="875" t="s">
        <v>13</v>
      </c>
      <c r="F46" s="780">
        <v>60</v>
      </c>
      <c r="G46" s="982"/>
      <c r="H46" s="1008"/>
      <c r="I46" s="1063"/>
      <c r="J46" s="622"/>
      <c r="K46" s="982"/>
      <c r="L46" s="861"/>
      <c r="N46" s="1035"/>
    </row>
    <row r="47" spans="1:14" s="224" customFormat="1" ht="15" customHeight="1" x14ac:dyDescent="0.25">
      <c r="A47" s="215">
        <v>44262</v>
      </c>
      <c r="B47" s="349" t="s">
        <v>81</v>
      </c>
      <c r="C47" s="879" t="s">
        <v>12</v>
      </c>
      <c r="D47" s="879" t="s">
        <v>1493</v>
      </c>
      <c r="E47" s="871" t="s">
        <v>13</v>
      </c>
      <c r="F47" s="780">
        <v>9.2899999999999991</v>
      </c>
      <c r="G47" s="982"/>
      <c r="H47" s="1008"/>
      <c r="I47" s="1063"/>
      <c r="J47" s="622"/>
      <c r="K47" s="982"/>
      <c r="L47" s="861"/>
      <c r="N47" s="878"/>
    </row>
    <row r="48" spans="1:14" s="224" customFormat="1" ht="15" customHeight="1" x14ac:dyDescent="0.25">
      <c r="A48" s="215">
        <v>44263</v>
      </c>
      <c r="B48" s="364" t="s">
        <v>256</v>
      </c>
      <c r="C48" s="350"/>
      <c r="D48" s="350"/>
      <c r="E48" s="875" t="s">
        <v>25</v>
      </c>
      <c r="F48" s="780"/>
      <c r="G48" s="982">
        <v>19200</v>
      </c>
      <c r="H48" s="1008">
        <v>19200</v>
      </c>
      <c r="I48" s="1063"/>
      <c r="J48" s="622"/>
      <c r="K48" s="982"/>
      <c r="L48" s="861"/>
      <c r="N48" s="878"/>
    </row>
    <row r="49" spans="1:14" s="224" customFormat="1" x14ac:dyDescent="0.25">
      <c r="A49" s="215">
        <v>44263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16</v>
      </c>
      <c r="G49" s="982"/>
      <c r="H49" s="1008"/>
      <c r="I49" s="1063"/>
      <c r="J49" s="622"/>
      <c r="K49" s="982"/>
      <c r="L49" s="1029"/>
      <c r="M49" s="89"/>
      <c r="N49" s="930"/>
    </row>
    <row r="50" spans="1:14" s="224" customFormat="1" x14ac:dyDescent="0.25">
      <c r="A50" s="215">
        <v>44263</v>
      </c>
      <c r="B50" s="364" t="s">
        <v>2415</v>
      </c>
      <c r="C50" s="350" t="s">
        <v>12</v>
      </c>
      <c r="D50" s="350" t="s">
        <v>1493</v>
      </c>
      <c r="E50" s="875" t="s">
        <v>13</v>
      </c>
      <c r="F50" s="1047">
        <v>5</v>
      </c>
      <c r="G50" s="982"/>
      <c r="H50" s="1008"/>
      <c r="I50" s="1063"/>
      <c r="J50" s="622"/>
      <c r="K50" s="982"/>
      <c r="L50" s="861"/>
      <c r="N50" s="878"/>
    </row>
    <row r="51" spans="1:14" s="224" customFormat="1" x14ac:dyDescent="0.25">
      <c r="A51" s="215">
        <v>44263</v>
      </c>
      <c r="B51" s="1044" t="s">
        <v>2629</v>
      </c>
      <c r="C51" s="1045" t="s">
        <v>12</v>
      </c>
      <c r="D51" s="1045" t="s">
        <v>1489</v>
      </c>
      <c r="E51" s="1046" t="s">
        <v>13</v>
      </c>
      <c r="F51" s="1047">
        <v>26.49</v>
      </c>
      <c r="G51" s="982"/>
      <c r="H51" s="1008"/>
      <c r="I51" s="1063"/>
      <c r="J51" s="622"/>
      <c r="K51" s="982"/>
      <c r="L51" s="1029"/>
      <c r="M51" s="89"/>
      <c r="N51" s="930"/>
    </row>
    <row r="52" spans="1:14" s="224" customFormat="1" ht="15" customHeight="1" x14ac:dyDescent="0.25">
      <c r="A52" s="215">
        <v>44263</v>
      </c>
      <c r="B52" s="364" t="s">
        <v>14</v>
      </c>
      <c r="C52" s="350" t="s">
        <v>12</v>
      </c>
      <c r="D52" s="350" t="s">
        <v>1486</v>
      </c>
      <c r="E52" s="875" t="s">
        <v>13</v>
      </c>
      <c r="F52" s="1047">
        <v>3.67</v>
      </c>
      <c r="G52" s="982"/>
      <c r="H52" s="1008"/>
      <c r="I52" s="1063"/>
      <c r="J52" s="622"/>
      <c r="K52" s="982"/>
      <c r="L52" s="1029"/>
      <c r="M52" s="881"/>
      <c r="N52" s="877"/>
    </row>
    <row r="53" spans="1:14" s="224" customFormat="1" x14ac:dyDescent="0.25">
      <c r="A53" s="215">
        <v>44264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1047">
        <v>16</v>
      </c>
      <c r="G53" s="982"/>
      <c r="H53" s="1008"/>
      <c r="I53" s="1063"/>
      <c r="J53" s="622"/>
      <c r="K53" s="982"/>
      <c r="L53" s="1029"/>
      <c r="M53" s="89"/>
      <c r="N53" s="930"/>
    </row>
    <row r="54" spans="1:14" s="224" customFormat="1" x14ac:dyDescent="0.25">
      <c r="A54" s="215">
        <v>44264</v>
      </c>
      <c r="B54" s="364" t="s">
        <v>2415</v>
      </c>
      <c r="C54" s="350" t="s">
        <v>12</v>
      </c>
      <c r="D54" s="350" t="s">
        <v>1493</v>
      </c>
      <c r="E54" s="875" t="s">
        <v>13</v>
      </c>
      <c r="F54" s="1047">
        <v>5</v>
      </c>
      <c r="G54" s="982"/>
      <c r="H54" s="1008"/>
      <c r="I54" s="1063"/>
      <c r="J54" s="622"/>
      <c r="K54" s="982"/>
      <c r="L54" s="861"/>
      <c r="N54" s="878"/>
    </row>
    <row r="55" spans="1:14" s="224" customFormat="1" ht="15" customHeight="1" x14ac:dyDescent="0.25">
      <c r="A55" s="215">
        <v>44264</v>
      </c>
      <c r="B55" s="364" t="s">
        <v>14</v>
      </c>
      <c r="C55" s="350" t="s">
        <v>12</v>
      </c>
      <c r="D55" s="350" t="s">
        <v>1486</v>
      </c>
      <c r="E55" s="875" t="s">
        <v>13</v>
      </c>
      <c r="F55" s="1047">
        <v>7.3</v>
      </c>
      <c r="G55" s="982"/>
      <c r="H55" s="1008"/>
      <c r="I55" s="1063"/>
      <c r="J55" s="622"/>
      <c r="K55" s="982"/>
      <c r="L55" s="861"/>
      <c r="N55" s="878"/>
    </row>
    <row r="56" spans="1:14" s="224" customFormat="1" ht="15" customHeight="1" x14ac:dyDescent="0.25">
      <c r="A56" s="215">
        <v>44264</v>
      </c>
      <c r="B56" s="364" t="s">
        <v>2251</v>
      </c>
      <c r="C56" s="350" t="s">
        <v>12</v>
      </c>
      <c r="D56" s="350" t="s">
        <v>2157</v>
      </c>
      <c r="E56" s="875" t="s">
        <v>15</v>
      </c>
      <c r="F56" s="780">
        <v>50</v>
      </c>
      <c r="G56" s="982"/>
      <c r="H56" s="1008"/>
      <c r="I56" s="1063"/>
      <c r="J56" s="622"/>
      <c r="K56" s="982"/>
      <c r="L56" s="861"/>
      <c r="N56" s="1035"/>
    </row>
    <row r="57" spans="1:14" s="224" customFormat="1" x14ac:dyDescent="0.25">
      <c r="A57" s="215">
        <v>44264</v>
      </c>
      <c r="B57" s="364" t="s">
        <v>1241</v>
      </c>
      <c r="C57" s="350" t="s">
        <v>12</v>
      </c>
      <c r="D57" s="350" t="s">
        <v>1504</v>
      </c>
      <c r="E57" s="875" t="s">
        <v>13</v>
      </c>
      <c r="F57" s="780">
        <v>10</v>
      </c>
      <c r="G57" s="982"/>
      <c r="H57" s="1008"/>
      <c r="I57" s="1063"/>
      <c r="J57" s="622"/>
      <c r="K57" s="982"/>
      <c r="L57" s="861"/>
      <c r="N57" s="878"/>
    </row>
    <row r="58" spans="1:14" s="224" customFormat="1" ht="15" customHeight="1" x14ac:dyDescent="0.25">
      <c r="A58" s="215">
        <v>44265</v>
      </c>
      <c r="B58" s="364" t="s">
        <v>1396</v>
      </c>
      <c r="C58" s="350" t="s">
        <v>12</v>
      </c>
      <c r="D58" s="350"/>
      <c r="E58" s="480" t="s">
        <v>25</v>
      </c>
      <c r="F58" s="613"/>
      <c r="G58" s="967">
        <v>45</v>
      </c>
      <c r="H58" s="1008"/>
      <c r="I58" s="1063"/>
      <c r="J58" s="622"/>
      <c r="K58" s="982"/>
      <c r="L58" s="861"/>
    </row>
    <row r="59" spans="1:14" s="224" customFormat="1" ht="15" customHeight="1" x14ac:dyDescent="0.25">
      <c r="A59" s="215">
        <v>44265</v>
      </c>
      <c r="B59" s="364" t="s">
        <v>14</v>
      </c>
      <c r="C59" s="350" t="s">
        <v>12</v>
      </c>
      <c r="D59" s="350" t="s">
        <v>1486</v>
      </c>
      <c r="E59" s="875" t="s">
        <v>13</v>
      </c>
      <c r="F59" s="1047">
        <v>3.45</v>
      </c>
      <c r="G59" s="982"/>
      <c r="H59" s="1008"/>
      <c r="I59" s="1063"/>
      <c r="J59" s="622"/>
      <c r="K59" s="982"/>
      <c r="L59" s="861"/>
      <c r="N59" s="878"/>
    </row>
    <row r="60" spans="1:14" s="224" customFormat="1" ht="15" customHeight="1" x14ac:dyDescent="0.25">
      <c r="A60" s="215">
        <v>44265</v>
      </c>
      <c r="B60" s="349" t="s">
        <v>2904</v>
      </c>
      <c r="C60" s="350" t="s">
        <v>12</v>
      </c>
      <c r="D60" s="350"/>
      <c r="E60" s="480" t="s">
        <v>13</v>
      </c>
      <c r="F60" s="852">
        <v>18900</v>
      </c>
      <c r="G60" s="1527"/>
      <c r="H60" s="97"/>
      <c r="I60" s="946"/>
      <c r="J60" s="97"/>
      <c r="K60" s="946"/>
    </row>
    <row r="61" spans="1:14" s="224" customFormat="1" ht="15" customHeight="1" x14ac:dyDescent="0.25">
      <c r="A61" s="215">
        <v>44265</v>
      </c>
      <c r="B61" s="364" t="s">
        <v>2905</v>
      </c>
      <c r="C61" s="350" t="s">
        <v>12</v>
      </c>
      <c r="D61" s="350" t="s">
        <v>2131</v>
      </c>
      <c r="E61" s="875" t="s">
        <v>13</v>
      </c>
      <c r="F61" s="780">
        <v>18.190000000000001</v>
      </c>
      <c r="G61" s="982"/>
      <c r="H61" s="1008"/>
      <c r="I61" s="1063"/>
      <c r="J61" s="622"/>
      <c r="K61" s="982"/>
      <c r="L61" s="1029"/>
      <c r="M61" s="881"/>
      <c r="N61" s="877"/>
    </row>
    <row r="62" spans="1:14" s="224" customFormat="1" ht="15" customHeight="1" x14ac:dyDescent="0.25">
      <c r="A62" s="215">
        <v>44265</v>
      </c>
      <c r="B62" s="364" t="s">
        <v>2452</v>
      </c>
      <c r="C62" s="350" t="s">
        <v>12</v>
      </c>
      <c r="D62" s="350" t="s">
        <v>2168</v>
      </c>
      <c r="E62" s="875" t="s">
        <v>13</v>
      </c>
      <c r="F62" s="780">
        <v>30</v>
      </c>
      <c r="G62" s="1063"/>
      <c r="H62" s="622"/>
      <c r="I62" s="982"/>
      <c r="J62" s="622"/>
      <c r="K62" s="982"/>
      <c r="L62" s="927"/>
    </row>
    <row r="63" spans="1:14" s="224" customFormat="1" x14ac:dyDescent="0.25">
      <c r="A63" s="215">
        <v>44265</v>
      </c>
      <c r="B63" s="364" t="s">
        <v>32</v>
      </c>
      <c r="C63" s="350" t="s">
        <v>12</v>
      </c>
      <c r="D63" s="350" t="s">
        <v>1485</v>
      </c>
      <c r="E63" s="875" t="s">
        <v>13</v>
      </c>
      <c r="F63" s="1047">
        <v>16</v>
      </c>
      <c r="G63" s="982"/>
      <c r="H63" s="1008"/>
      <c r="I63" s="1063"/>
      <c r="J63" s="622"/>
      <c r="K63" s="982"/>
      <c r="L63" s="1029"/>
      <c r="M63" s="89"/>
      <c r="N63" s="930"/>
    </row>
    <row r="64" spans="1:14" s="224" customFormat="1" ht="15" customHeight="1" x14ac:dyDescent="0.25">
      <c r="A64" s="215">
        <v>44265</v>
      </c>
      <c r="B64" s="364" t="s">
        <v>14</v>
      </c>
      <c r="C64" s="350" t="s">
        <v>12</v>
      </c>
      <c r="D64" s="350" t="s">
        <v>1486</v>
      </c>
      <c r="E64" s="875" t="s">
        <v>13</v>
      </c>
      <c r="F64" s="1047">
        <v>3.12</v>
      </c>
      <c r="G64" s="982"/>
      <c r="H64" s="1008"/>
      <c r="I64" s="1063"/>
      <c r="J64" s="622"/>
      <c r="K64" s="982"/>
      <c r="L64" s="861"/>
      <c r="N64" s="878"/>
    </row>
    <row r="65" spans="1:16" s="224" customFormat="1" x14ac:dyDescent="0.25">
      <c r="A65" s="215">
        <v>44266</v>
      </c>
      <c r="B65" s="364" t="s">
        <v>32</v>
      </c>
      <c r="C65" s="350" t="s">
        <v>12</v>
      </c>
      <c r="D65" s="350" t="s">
        <v>1485</v>
      </c>
      <c r="E65" s="875" t="s">
        <v>13</v>
      </c>
      <c r="F65" s="1047">
        <v>16</v>
      </c>
      <c r="G65" s="982"/>
      <c r="H65" s="1008"/>
      <c r="I65" s="1063"/>
      <c r="J65" s="622"/>
      <c r="K65" s="982"/>
      <c r="L65" s="1029"/>
      <c r="M65" s="89"/>
      <c r="N65" s="930"/>
    </row>
    <row r="66" spans="1:16" s="224" customFormat="1" ht="15" customHeight="1" x14ac:dyDescent="0.25">
      <c r="A66" s="215">
        <v>44266</v>
      </c>
      <c r="B66" s="364" t="s">
        <v>14</v>
      </c>
      <c r="C66" s="350" t="s">
        <v>12</v>
      </c>
      <c r="D66" s="350" t="s">
        <v>1486</v>
      </c>
      <c r="E66" s="875" t="s">
        <v>13</v>
      </c>
      <c r="F66" s="1047">
        <v>3.09</v>
      </c>
      <c r="G66" s="982"/>
      <c r="H66" s="1008"/>
      <c r="I66" s="1063"/>
      <c r="J66" s="622"/>
      <c r="K66" s="982"/>
      <c r="L66" s="861"/>
      <c r="N66" s="878"/>
    </row>
    <row r="67" spans="1:16" s="224" customFormat="1" ht="15" customHeight="1" x14ac:dyDescent="0.25">
      <c r="A67" s="215">
        <v>44267</v>
      </c>
      <c r="B67" s="364" t="s">
        <v>32</v>
      </c>
      <c r="C67" s="350" t="s">
        <v>12</v>
      </c>
      <c r="D67" s="350" t="s">
        <v>1485</v>
      </c>
      <c r="E67" s="875" t="s">
        <v>13</v>
      </c>
      <c r="F67" s="1047">
        <v>16</v>
      </c>
      <c r="G67" s="982"/>
      <c r="H67" s="1008"/>
      <c r="I67" s="1063"/>
      <c r="J67" s="622"/>
      <c r="K67" s="982"/>
      <c r="L67" s="861"/>
      <c r="N67" s="877"/>
      <c r="P67" s="931"/>
    </row>
    <row r="68" spans="1:16" s="224" customFormat="1" x14ac:dyDescent="0.25">
      <c r="A68" s="215">
        <v>44267</v>
      </c>
      <c r="B68" s="364" t="s">
        <v>2415</v>
      </c>
      <c r="C68" s="350" t="s">
        <v>12</v>
      </c>
      <c r="D68" s="350" t="s">
        <v>1493</v>
      </c>
      <c r="E68" s="875" t="s">
        <v>13</v>
      </c>
      <c r="F68" s="1047">
        <v>5</v>
      </c>
      <c r="G68" s="982"/>
      <c r="H68" s="1008"/>
      <c r="I68" s="1063"/>
      <c r="J68" s="622"/>
      <c r="K68" s="982"/>
      <c r="L68" s="861"/>
      <c r="N68" s="878"/>
    </row>
    <row r="69" spans="1:16" s="224" customFormat="1" ht="15" customHeight="1" x14ac:dyDescent="0.25">
      <c r="A69" s="215">
        <v>44267</v>
      </c>
      <c r="B69" s="364" t="s">
        <v>2197</v>
      </c>
      <c r="C69" s="350" t="s">
        <v>12</v>
      </c>
      <c r="D69" s="350" t="s">
        <v>2168</v>
      </c>
      <c r="E69" s="875" t="s">
        <v>13</v>
      </c>
      <c r="F69" s="780">
        <v>20</v>
      </c>
      <c r="G69" s="1063"/>
      <c r="H69" s="622"/>
      <c r="I69" s="982"/>
      <c r="J69" s="622"/>
      <c r="K69" s="982"/>
      <c r="L69" s="927"/>
    </row>
    <row r="70" spans="1:16" s="224" customFormat="1" ht="15" customHeight="1" x14ac:dyDescent="0.25">
      <c r="A70" s="215">
        <v>44267</v>
      </c>
      <c r="B70" s="364" t="s">
        <v>134</v>
      </c>
      <c r="C70" s="350" t="s">
        <v>12</v>
      </c>
      <c r="D70" s="350" t="s">
        <v>1493</v>
      </c>
      <c r="E70" s="875" t="s">
        <v>13</v>
      </c>
      <c r="F70" s="780">
        <v>12</v>
      </c>
      <c r="G70" s="946"/>
      <c r="H70" s="95"/>
      <c r="I70" s="1064"/>
      <c r="J70" s="97"/>
      <c r="K70" s="946"/>
      <c r="L70" s="926"/>
      <c r="M70" s="216"/>
      <c r="N70" s="877"/>
    </row>
    <row r="71" spans="1:16" s="224" customFormat="1" ht="15" customHeight="1" x14ac:dyDescent="0.25">
      <c r="A71" s="215">
        <v>44267</v>
      </c>
      <c r="B71" s="364" t="s">
        <v>81</v>
      </c>
      <c r="C71" s="350" t="s">
        <v>12</v>
      </c>
      <c r="D71" s="350" t="s">
        <v>1493</v>
      </c>
      <c r="E71" s="875" t="s">
        <v>13</v>
      </c>
      <c r="F71" s="780">
        <v>8.68</v>
      </c>
      <c r="G71" s="946"/>
      <c r="H71" s="95"/>
      <c r="I71" s="1064"/>
      <c r="J71" s="97"/>
      <c r="K71" s="946"/>
      <c r="L71" s="926"/>
      <c r="M71" s="216"/>
      <c r="N71" s="877"/>
    </row>
    <row r="72" spans="1:16" s="224" customFormat="1" ht="15" customHeight="1" x14ac:dyDescent="0.25">
      <c r="A72" s="215">
        <v>44268</v>
      </c>
      <c r="B72" s="364" t="s">
        <v>2906</v>
      </c>
      <c r="C72" s="350" t="s">
        <v>12</v>
      </c>
      <c r="D72" s="350" t="s">
        <v>2131</v>
      </c>
      <c r="E72" s="875" t="s">
        <v>13</v>
      </c>
      <c r="F72" s="780">
        <v>99</v>
      </c>
      <c r="G72" s="982"/>
      <c r="H72" s="1008"/>
      <c r="I72" s="1063"/>
      <c r="J72" s="622"/>
      <c r="K72" s="982"/>
      <c r="L72" s="861"/>
      <c r="N72" s="878"/>
    </row>
    <row r="73" spans="1:16" s="224" customFormat="1" ht="15" customHeight="1" x14ac:dyDescent="0.25">
      <c r="A73" s="215">
        <v>44268</v>
      </c>
      <c r="B73" s="364" t="s">
        <v>56</v>
      </c>
      <c r="C73" s="350" t="s">
        <v>19</v>
      </c>
      <c r="D73" s="350" t="s">
        <v>1523</v>
      </c>
      <c r="E73" s="875" t="s">
        <v>13</v>
      </c>
      <c r="F73" s="780">
        <v>50</v>
      </c>
      <c r="G73" s="982"/>
      <c r="H73" s="1008"/>
      <c r="I73" s="1063"/>
      <c r="J73" s="622"/>
      <c r="K73" s="982"/>
      <c r="L73" s="861"/>
      <c r="N73" s="878"/>
    </row>
    <row r="74" spans="1:16" s="224" customFormat="1" ht="15" customHeight="1" x14ac:dyDescent="0.25">
      <c r="A74" s="215">
        <v>44268</v>
      </c>
      <c r="B74" s="364" t="s">
        <v>2629</v>
      </c>
      <c r="C74" s="350" t="s">
        <v>19</v>
      </c>
      <c r="D74" s="350" t="s">
        <v>1489</v>
      </c>
      <c r="E74" s="875" t="s">
        <v>13</v>
      </c>
      <c r="F74" s="780">
        <v>76.91</v>
      </c>
      <c r="G74" s="982"/>
      <c r="H74" s="1008"/>
      <c r="I74" s="1063"/>
      <c r="J74" s="622"/>
      <c r="K74" s="982"/>
      <c r="L74" s="861"/>
      <c r="N74" s="878"/>
    </row>
    <row r="75" spans="1:16" s="224" customFormat="1" ht="15" customHeight="1" x14ac:dyDescent="0.25">
      <c r="A75" s="215">
        <v>44268</v>
      </c>
      <c r="B75" s="364" t="s">
        <v>2251</v>
      </c>
      <c r="C75" s="350" t="s">
        <v>12</v>
      </c>
      <c r="D75" s="350" t="s">
        <v>2157</v>
      </c>
      <c r="E75" s="875" t="s">
        <v>15</v>
      </c>
      <c r="F75" s="780">
        <v>40</v>
      </c>
      <c r="G75" s="982"/>
      <c r="H75" s="1008"/>
      <c r="I75" s="1063"/>
      <c r="J75" s="622"/>
      <c r="K75" s="982"/>
      <c r="L75" s="861"/>
      <c r="N75" s="1035"/>
    </row>
    <row r="76" spans="1:16" s="224" customFormat="1" ht="15" customHeight="1" x14ac:dyDescent="0.25">
      <c r="A76" s="215">
        <v>44269</v>
      </c>
      <c r="B76" s="364" t="s">
        <v>32</v>
      </c>
      <c r="C76" s="350" t="s">
        <v>12</v>
      </c>
      <c r="D76" s="350" t="s">
        <v>1485</v>
      </c>
      <c r="E76" s="875" t="s">
        <v>13</v>
      </c>
      <c r="F76" s="1047">
        <v>17</v>
      </c>
      <c r="G76" s="982"/>
      <c r="H76" s="1008"/>
      <c r="I76" s="1063"/>
      <c r="J76" s="622"/>
      <c r="K76" s="982"/>
      <c r="L76" s="861"/>
      <c r="N76" s="877"/>
      <c r="P76" s="931"/>
    </row>
    <row r="77" spans="1:16" s="224" customFormat="1" ht="15" customHeight="1" x14ac:dyDescent="0.25">
      <c r="A77" s="215">
        <v>44270</v>
      </c>
      <c r="B77" s="364" t="s">
        <v>14</v>
      </c>
      <c r="C77" s="350" t="s">
        <v>12</v>
      </c>
      <c r="D77" s="350" t="s">
        <v>1486</v>
      </c>
      <c r="E77" s="875" t="s">
        <v>13</v>
      </c>
      <c r="F77" s="1047">
        <v>7.15</v>
      </c>
      <c r="G77" s="982"/>
      <c r="H77" s="1008"/>
      <c r="I77" s="1063"/>
      <c r="J77" s="622"/>
      <c r="K77" s="982"/>
      <c r="L77" s="861"/>
      <c r="N77" s="878"/>
    </row>
    <row r="78" spans="1:16" s="224" customFormat="1" x14ac:dyDescent="0.25">
      <c r="A78" s="215">
        <v>44270</v>
      </c>
      <c r="B78" s="364" t="s">
        <v>1241</v>
      </c>
      <c r="C78" s="350" t="s">
        <v>12</v>
      </c>
      <c r="D78" s="350" t="s">
        <v>1504</v>
      </c>
      <c r="E78" s="875" t="s">
        <v>13</v>
      </c>
      <c r="F78" s="780">
        <v>10</v>
      </c>
      <c r="G78" s="982"/>
      <c r="H78" s="1008"/>
      <c r="I78" s="1063"/>
      <c r="J78" s="622"/>
      <c r="K78" s="982"/>
      <c r="L78" s="861"/>
      <c r="N78" s="878"/>
    </row>
    <row r="79" spans="1:16" s="224" customFormat="1" ht="15" customHeight="1" x14ac:dyDescent="0.25">
      <c r="A79" s="215">
        <v>44270</v>
      </c>
      <c r="B79" s="349" t="s">
        <v>2907</v>
      </c>
      <c r="C79" s="352" t="s">
        <v>12</v>
      </c>
      <c r="D79" s="874" t="s">
        <v>2131</v>
      </c>
      <c r="E79" s="875" t="s">
        <v>13</v>
      </c>
      <c r="F79" s="852">
        <v>91</v>
      </c>
      <c r="G79" s="1064"/>
      <c r="H79" s="97"/>
      <c r="I79" s="982"/>
      <c r="J79" s="622"/>
      <c r="K79" s="982"/>
    </row>
    <row r="80" spans="1:16" s="224" customFormat="1" ht="15" customHeight="1" x14ac:dyDescent="0.25">
      <c r="A80" s="215">
        <v>44270</v>
      </c>
      <c r="B80" s="349" t="s">
        <v>2908</v>
      </c>
      <c r="C80" s="352" t="s">
        <v>12</v>
      </c>
      <c r="D80" s="874" t="s">
        <v>2131</v>
      </c>
      <c r="E80" s="875" t="s">
        <v>13</v>
      </c>
      <c r="F80" s="852">
        <v>232.33</v>
      </c>
      <c r="G80" s="1064"/>
      <c r="H80" s="97"/>
      <c r="I80" s="982"/>
      <c r="J80" s="622"/>
      <c r="K80" s="982"/>
    </row>
    <row r="81" spans="1:16" s="224" customFormat="1" ht="15" customHeight="1" x14ac:dyDescent="0.25">
      <c r="A81" s="215">
        <v>44270</v>
      </c>
      <c r="B81" s="364" t="s">
        <v>134</v>
      </c>
      <c r="C81" s="350" t="s">
        <v>12</v>
      </c>
      <c r="D81" s="350" t="s">
        <v>1493</v>
      </c>
      <c r="E81" s="875" t="s">
        <v>13</v>
      </c>
      <c r="F81" s="1047">
        <v>9.5299999999999994</v>
      </c>
      <c r="G81" s="982"/>
      <c r="H81" s="1008"/>
      <c r="I81" s="1063"/>
      <c r="J81" s="622"/>
      <c r="K81" s="982"/>
      <c r="L81" s="861"/>
      <c r="N81" s="878"/>
    </row>
    <row r="82" spans="1:16" s="224" customFormat="1" ht="15" customHeight="1" x14ac:dyDescent="0.25">
      <c r="A82" s="215">
        <v>44270</v>
      </c>
      <c r="B82" s="364" t="s">
        <v>256</v>
      </c>
      <c r="C82" s="350"/>
      <c r="D82" s="350"/>
      <c r="E82" s="875" t="s">
        <v>25</v>
      </c>
      <c r="F82" s="780"/>
      <c r="G82" s="982">
        <v>500</v>
      </c>
      <c r="H82" s="1008">
        <v>499.94</v>
      </c>
      <c r="I82" s="1063"/>
      <c r="J82" s="622"/>
      <c r="K82" s="982"/>
      <c r="L82" s="861"/>
      <c r="N82" s="878"/>
    </row>
    <row r="83" spans="1:16" s="224" customFormat="1" ht="15" customHeight="1" x14ac:dyDescent="0.25">
      <c r="A83" s="215">
        <v>44270</v>
      </c>
      <c r="B83" s="364" t="s">
        <v>32</v>
      </c>
      <c r="C83" s="350" t="s">
        <v>12</v>
      </c>
      <c r="D83" s="350" t="s">
        <v>1485</v>
      </c>
      <c r="E83" s="875" t="s">
        <v>13</v>
      </c>
      <c r="F83" s="1047">
        <v>16</v>
      </c>
      <c r="G83" s="982"/>
      <c r="H83" s="1008"/>
      <c r="I83" s="1063"/>
      <c r="J83" s="622"/>
      <c r="K83" s="982"/>
      <c r="L83" s="861"/>
      <c r="N83" s="877"/>
      <c r="P83" s="931"/>
    </row>
    <row r="84" spans="1:16" s="224" customFormat="1" ht="15" customHeight="1" x14ac:dyDescent="0.25">
      <c r="A84" s="215">
        <v>44270</v>
      </c>
      <c r="B84" s="364" t="s">
        <v>14</v>
      </c>
      <c r="C84" s="350" t="s">
        <v>12</v>
      </c>
      <c r="D84" s="350" t="s">
        <v>1486</v>
      </c>
      <c r="E84" s="875" t="s">
        <v>13</v>
      </c>
      <c r="F84" s="780">
        <v>3.64</v>
      </c>
      <c r="G84" s="982"/>
      <c r="H84" s="1008"/>
      <c r="I84" s="1063"/>
      <c r="J84" s="622"/>
      <c r="K84" s="982"/>
      <c r="L84" s="861"/>
      <c r="N84" s="877"/>
      <c r="P84" s="931"/>
    </row>
    <row r="85" spans="1:16" s="224" customFormat="1" ht="15" customHeight="1" x14ac:dyDescent="0.25">
      <c r="A85" s="215">
        <v>44271</v>
      </c>
      <c r="B85" s="364" t="s">
        <v>32</v>
      </c>
      <c r="C85" s="350" t="s">
        <v>12</v>
      </c>
      <c r="D85" s="350" t="s">
        <v>1485</v>
      </c>
      <c r="E85" s="875" t="s">
        <v>13</v>
      </c>
      <c r="F85" s="780">
        <v>16</v>
      </c>
      <c r="G85" s="982"/>
      <c r="H85" s="1008"/>
      <c r="I85" s="1063"/>
      <c r="J85" s="622"/>
      <c r="K85" s="982"/>
      <c r="L85" s="861"/>
      <c r="N85" s="877"/>
      <c r="P85" s="931"/>
    </row>
    <row r="86" spans="1:16" s="224" customFormat="1" ht="15" customHeight="1" x14ac:dyDescent="0.25">
      <c r="A86" s="215">
        <v>44271</v>
      </c>
      <c r="B86" s="364" t="s">
        <v>14</v>
      </c>
      <c r="C86" s="350" t="s">
        <v>12</v>
      </c>
      <c r="D86" s="350" t="s">
        <v>1486</v>
      </c>
      <c r="E86" s="875" t="s">
        <v>13</v>
      </c>
      <c r="F86" s="780">
        <v>6.89</v>
      </c>
      <c r="G86" s="982"/>
      <c r="H86" s="1008"/>
      <c r="I86" s="1063"/>
      <c r="J86" s="622"/>
      <c r="K86" s="982"/>
      <c r="L86" s="861"/>
      <c r="N86" s="877"/>
      <c r="P86" s="931"/>
    </row>
    <row r="87" spans="1:16" s="224" customFormat="1" ht="15" customHeight="1" x14ac:dyDescent="0.25">
      <c r="A87" s="215">
        <v>44272</v>
      </c>
      <c r="B87" s="364" t="s">
        <v>32</v>
      </c>
      <c r="C87" s="350" t="s">
        <v>12</v>
      </c>
      <c r="D87" s="350" t="s">
        <v>1485</v>
      </c>
      <c r="E87" s="875" t="s">
        <v>13</v>
      </c>
      <c r="F87" s="1047">
        <v>16</v>
      </c>
      <c r="G87" s="982"/>
      <c r="H87" s="1008"/>
      <c r="I87" s="1063"/>
      <c r="J87" s="622"/>
      <c r="K87" s="982"/>
      <c r="L87" s="861"/>
      <c r="N87" s="877"/>
      <c r="P87" s="931"/>
    </row>
    <row r="88" spans="1:16" s="224" customFormat="1" ht="15" customHeight="1" x14ac:dyDescent="0.25">
      <c r="A88" s="215">
        <v>44272</v>
      </c>
      <c r="B88" s="882" t="s">
        <v>2909</v>
      </c>
      <c r="C88" s="879" t="s">
        <v>12</v>
      </c>
      <c r="D88" s="879" t="s">
        <v>1499</v>
      </c>
      <c r="E88" s="871" t="s">
        <v>13</v>
      </c>
      <c r="F88" s="780">
        <v>38.83</v>
      </c>
      <c r="G88" s="982"/>
      <c r="H88" s="1008"/>
      <c r="I88" s="1063"/>
      <c r="J88" s="622"/>
      <c r="K88" s="982"/>
      <c r="L88" s="861">
        <v>108.83</v>
      </c>
      <c r="N88" s="878"/>
    </row>
    <row r="89" spans="1:16" s="224" customFormat="1" ht="15" customHeight="1" x14ac:dyDescent="0.25">
      <c r="A89" s="215">
        <v>44272</v>
      </c>
      <c r="B89" s="364" t="s">
        <v>2197</v>
      </c>
      <c r="C89" s="350" t="s">
        <v>12</v>
      </c>
      <c r="D89" s="350" t="s">
        <v>2168</v>
      </c>
      <c r="E89" s="875" t="s">
        <v>13</v>
      </c>
      <c r="F89" s="780">
        <v>20</v>
      </c>
      <c r="G89" s="1063"/>
      <c r="H89" s="622"/>
      <c r="I89" s="982"/>
      <c r="J89" s="622"/>
      <c r="K89" s="982"/>
      <c r="L89" s="927"/>
    </row>
    <row r="90" spans="1:16" s="224" customFormat="1" x14ac:dyDescent="0.25">
      <c r="A90" s="215">
        <v>44273</v>
      </c>
      <c r="B90" s="364" t="s">
        <v>32</v>
      </c>
      <c r="C90" s="350" t="s">
        <v>12</v>
      </c>
      <c r="D90" s="350" t="s">
        <v>1485</v>
      </c>
      <c r="E90" s="875" t="s">
        <v>13</v>
      </c>
      <c r="F90" s="1047">
        <v>16</v>
      </c>
      <c r="G90" s="982"/>
      <c r="H90" s="1008"/>
      <c r="I90" s="1063"/>
      <c r="J90" s="622"/>
      <c r="K90" s="982"/>
      <c r="L90" s="1029"/>
      <c r="M90" s="89"/>
      <c r="N90" s="930"/>
    </row>
    <row r="91" spans="1:16" s="224" customFormat="1" ht="15" customHeight="1" x14ac:dyDescent="0.25">
      <c r="A91" s="215">
        <v>44274</v>
      </c>
      <c r="B91" s="882" t="s">
        <v>2910</v>
      </c>
      <c r="C91" s="350" t="s">
        <v>12</v>
      </c>
      <c r="D91" s="350"/>
      <c r="E91" s="480" t="s">
        <v>25</v>
      </c>
      <c r="F91" s="622"/>
      <c r="G91" s="982">
        <v>1660</v>
      </c>
      <c r="H91" s="1008"/>
      <c r="I91" s="1063"/>
      <c r="J91" s="622"/>
      <c r="K91" s="982"/>
      <c r="L91" s="861"/>
    </row>
    <row r="92" spans="1:16" x14ac:dyDescent="0.25">
      <c r="A92" s="215">
        <v>44274</v>
      </c>
      <c r="B92" s="876" t="s">
        <v>2712</v>
      </c>
      <c r="C92" s="879" t="s">
        <v>12</v>
      </c>
      <c r="D92" s="879" t="s">
        <v>1496</v>
      </c>
      <c r="E92" s="871" t="s">
        <v>15</v>
      </c>
      <c r="F92" s="780"/>
      <c r="G92" s="982"/>
      <c r="H92" s="1009"/>
      <c r="I92" s="1063"/>
      <c r="J92" s="622"/>
      <c r="K92" s="982"/>
      <c r="L92" s="1029" t="s">
        <v>2911</v>
      </c>
    </row>
    <row r="93" spans="1:16" s="224" customFormat="1" ht="15" customHeight="1" x14ac:dyDescent="0.25">
      <c r="A93" s="215">
        <v>44274</v>
      </c>
      <c r="B93" s="862" t="s">
        <v>2867</v>
      </c>
      <c r="C93" s="350" t="s">
        <v>12</v>
      </c>
      <c r="D93" s="874" t="s">
        <v>1504</v>
      </c>
      <c r="E93" s="887" t="s">
        <v>13</v>
      </c>
      <c r="F93" s="852">
        <v>30</v>
      </c>
      <c r="G93" s="982"/>
      <c r="H93" s="1009"/>
      <c r="I93" s="1063"/>
      <c r="J93" s="853"/>
      <c r="K93" s="982"/>
      <c r="L93" s="861"/>
      <c r="M93" s="927"/>
      <c r="N93" s="1035"/>
    </row>
    <row r="94" spans="1:16" s="224" customFormat="1" x14ac:dyDescent="0.25">
      <c r="A94" s="215">
        <v>44274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1047">
        <v>16</v>
      </c>
      <c r="G94" s="982"/>
      <c r="H94" s="1008"/>
      <c r="I94" s="1063"/>
      <c r="J94" s="622"/>
      <c r="K94" s="982"/>
      <c r="L94" s="1029"/>
      <c r="M94" s="89"/>
      <c r="N94" s="930"/>
    </row>
    <row r="95" spans="1:16" s="224" customFormat="1" x14ac:dyDescent="0.25">
      <c r="A95" s="215">
        <v>44274</v>
      </c>
      <c r="B95" s="364" t="s">
        <v>2415</v>
      </c>
      <c r="C95" s="350" t="s">
        <v>12</v>
      </c>
      <c r="D95" s="350" t="s">
        <v>1493</v>
      </c>
      <c r="E95" s="875" t="s">
        <v>13</v>
      </c>
      <c r="F95" s="780">
        <v>5</v>
      </c>
      <c r="G95" s="982"/>
      <c r="H95" s="1008"/>
      <c r="I95" s="1063"/>
      <c r="J95" s="622"/>
      <c r="K95" s="982"/>
      <c r="L95" s="861"/>
      <c r="N95" s="878"/>
    </row>
    <row r="96" spans="1:16" s="224" customFormat="1" ht="15" customHeight="1" x14ac:dyDescent="0.25">
      <c r="A96" s="215">
        <v>44274</v>
      </c>
      <c r="B96" s="349" t="s">
        <v>260</v>
      </c>
      <c r="C96" s="350" t="s">
        <v>12</v>
      </c>
      <c r="D96" s="350"/>
      <c r="E96" s="480"/>
      <c r="F96" s="780">
        <v>800</v>
      </c>
      <c r="G96" s="946"/>
      <c r="H96" s="95"/>
      <c r="I96" s="1064">
        <v>800</v>
      </c>
      <c r="J96" s="622"/>
      <c r="K96" s="982"/>
      <c r="L96" s="861"/>
    </row>
    <row r="97" spans="1:16" s="224" customFormat="1" ht="15" customHeight="1" x14ac:dyDescent="0.25">
      <c r="A97" s="215">
        <v>44274</v>
      </c>
      <c r="B97" s="364" t="s">
        <v>2251</v>
      </c>
      <c r="C97" s="350" t="s">
        <v>12</v>
      </c>
      <c r="D97" s="350" t="s">
        <v>2157</v>
      </c>
      <c r="E97" s="875" t="s">
        <v>13</v>
      </c>
      <c r="F97" s="780">
        <v>50</v>
      </c>
      <c r="G97" s="982"/>
      <c r="H97" s="1008"/>
      <c r="I97" s="1063"/>
      <c r="J97" s="622"/>
      <c r="K97" s="982"/>
      <c r="L97" s="861"/>
      <c r="N97" s="1035"/>
    </row>
    <row r="98" spans="1:16" s="224" customFormat="1" ht="15" customHeight="1" x14ac:dyDescent="0.25">
      <c r="A98" s="215">
        <v>44274</v>
      </c>
      <c r="B98" s="364" t="s">
        <v>443</v>
      </c>
      <c r="C98" s="350" t="s">
        <v>12</v>
      </c>
      <c r="D98" s="350" t="s">
        <v>1493</v>
      </c>
      <c r="E98" s="875" t="s">
        <v>13</v>
      </c>
      <c r="F98" s="780">
        <v>18.22</v>
      </c>
      <c r="G98" s="982"/>
      <c r="H98" s="1008"/>
      <c r="I98" s="1063"/>
      <c r="J98" s="622"/>
      <c r="K98" s="982"/>
      <c r="L98" s="861"/>
      <c r="N98" s="1035"/>
    </row>
    <row r="99" spans="1:16" s="224" customFormat="1" ht="15" customHeight="1" x14ac:dyDescent="0.25">
      <c r="A99" s="215">
        <v>44275</v>
      </c>
      <c r="B99" s="364" t="s">
        <v>2912</v>
      </c>
      <c r="C99" s="350" t="s">
        <v>12</v>
      </c>
      <c r="D99" s="350" t="s">
        <v>2131</v>
      </c>
      <c r="E99" s="875" t="s">
        <v>13</v>
      </c>
      <c r="F99" s="780">
        <v>26</v>
      </c>
      <c r="G99" s="982"/>
      <c r="H99" s="1008"/>
      <c r="I99" s="1063"/>
      <c r="J99" s="622"/>
      <c r="K99" s="982"/>
      <c r="L99" s="1029"/>
      <c r="M99" s="89"/>
      <c r="N99" s="930"/>
    </row>
    <row r="100" spans="1:16" s="224" customFormat="1" ht="15" customHeight="1" x14ac:dyDescent="0.25">
      <c r="A100" s="215">
        <v>44275</v>
      </c>
      <c r="B100" s="364" t="s">
        <v>2913</v>
      </c>
      <c r="C100" s="350" t="s">
        <v>12</v>
      </c>
      <c r="D100" s="350" t="s">
        <v>2131</v>
      </c>
      <c r="E100" s="875" t="s">
        <v>13</v>
      </c>
      <c r="F100" s="780">
        <v>4</v>
      </c>
      <c r="G100" s="982"/>
      <c r="H100" s="1008"/>
      <c r="I100" s="1063"/>
      <c r="J100" s="622"/>
      <c r="K100" s="982"/>
      <c r="L100" s="1029"/>
      <c r="M100" s="89"/>
      <c r="N100" s="930"/>
    </row>
    <row r="101" spans="1:16" s="224" customFormat="1" ht="15" customHeight="1" x14ac:dyDescent="0.25">
      <c r="A101" s="215">
        <v>44275</v>
      </c>
      <c r="B101" s="364" t="s">
        <v>80</v>
      </c>
      <c r="C101" s="350" t="s">
        <v>19</v>
      </c>
      <c r="D101" s="350" t="s">
        <v>1523</v>
      </c>
      <c r="E101" s="875" t="s">
        <v>13</v>
      </c>
      <c r="F101" s="780">
        <v>23</v>
      </c>
      <c r="G101" s="982"/>
      <c r="H101" s="1008"/>
      <c r="I101" s="1063"/>
      <c r="J101" s="622"/>
      <c r="K101" s="982"/>
      <c r="L101" s="1029"/>
      <c r="M101" s="89"/>
      <c r="N101" s="930"/>
    </row>
    <row r="102" spans="1:16" s="224" customFormat="1" ht="15" customHeight="1" x14ac:dyDescent="0.25">
      <c r="A102" s="215">
        <v>44275</v>
      </c>
      <c r="B102" s="364" t="s">
        <v>2629</v>
      </c>
      <c r="C102" s="350" t="s">
        <v>19</v>
      </c>
      <c r="D102" s="350" t="s">
        <v>1489</v>
      </c>
      <c r="E102" s="875" t="s">
        <v>13</v>
      </c>
      <c r="F102" s="780">
        <v>24.2</v>
      </c>
      <c r="G102" s="982"/>
      <c r="H102" s="1008"/>
      <c r="I102" s="1063"/>
      <c r="J102" s="622"/>
      <c r="K102" s="982"/>
      <c r="L102" s="1029"/>
      <c r="M102" s="89"/>
      <c r="N102" s="930"/>
    </row>
    <row r="103" spans="1:16" s="224" customFormat="1" x14ac:dyDescent="0.25">
      <c r="A103" s="215">
        <v>44275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1047">
        <v>15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6" s="224" customFormat="1" ht="15" customHeight="1" x14ac:dyDescent="0.25">
      <c r="A104" s="215">
        <v>44275</v>
      </c>
      <c r="B104" s="364" t="s">
        <v>2914</v>
      </c>
      <c r="C104" s="350" t="s">
        <v>12</v>
      </c>
      <c r="D104" s="350" t="s">
        <v>1491</v>
      </c>
      <c r="E104" s="871" t="s">
        <v>13</v>
      </c>
      <c r="F104" s="780">
        <v>100</v>
      </c>
      <c r="G104" s="982"/>
      <c r="H104" s="1008"/>
      <c r="I104" s="1063"/>
      <c r="J104" s="622"/>
      <c r="K104" s="982"/>
      <c r="L104" s="1029"/>
      <c r="M104" s="881"/>
      <c r="N104" s="877"/>
    </row>
    <row r="105" spans="1:16" s="224" customFormat="1" ht="15" customHeight="1" x14ac:dyDescent="0.25">
      <c r="A105" s="215">
        <v>44275</v>
      </c>
      <c r="B105" s="364" t="s">
        <v>1820</v>
      </c>
      <c r="C105" s="350" t="s">
        <v>12</v>
      </c>
      <c r="D105" s="350" t="s">
        <v>1489</v>
      </c>
      <c r="E105" s="875" t="s">
        <v>13</v>
      </c>
      <c r="F105" s="780">
        <v>16</v>
      </c>
      <c r="G105" s="982"/>
      <c r="H105" s="1008"/>
      <c r="I105" s="1063"/>
      <c r="J105" s="622"/>
      <c r="K105" s="982"/>
      <c r="L105" s="1029"/>
      <c r="M105" s="89"/>
      <c r="N105" s="930"/>
    </row>
    <row r="106" spans="1:16" s="224" customFormat="1" ht="15" customHeight="1" x14ac:dyDescent="0.25">
      <c r="A106" s="215">
        <v>44275</v>
      </c>
      <c r="B106" s="364" t="s">
        <v>81</v>
      </c>
      <c r="C106" s="350" t="s">
        <v>12</v>
      </c>
      <c r="D106" s="350" t="s">
        <v>1493</v>
      </c>
      <c r="E106" s="875" t="s">
        <v>13</v>
      </c>
      <c r="F106" s="780">
        <v>9.2899999999999991</v>
      </c>
      <c r="G106" s="982"/>
      <c r="H106" s="1008"/>
      <c r="I106" s="1063"/>
      <c r="J106" s="622"/>
      <c r="K106" s="982"/>
      <c r="L106" s="1029"/>
      <c r="M106" s="89"/>
      <c r="N106" s="930"/>
    </row>
    <row r="107" spans="1:16" s="224" customFormat="1" ht="15" customHeight="1" x14ac:dyDescent="0.25">
      <c r="A107" s="215">
        <v>44276</v>
      </c>
      <c r="B107" s="364" t="s">
        <v>14</v>
      </c>
      <c r="C107" s="350" t="s">
        <v>12</v>
      </c>
      <c r="D107" s="350" t="s">
        <v>1486</v>
      </c>
      <c r="E107" s="875" t="s">
        <v>13</v>
      </c>
      <c r="F107" s="780">
        <v>6.05</v>
      </c>
      <c r="G107" s="982"/>
      <c r="H107" s="1008"/>
      <c r="I107" s="1063"/>
      <c r="J107" s="622"/>
      <c r="K107" s="982"/>
      <c r="L107" s="861"/>
      <c r="N107" s="877"/>
      <c r="P107" s="931"/>
    </row>
    <row r="108" spans="1:16" s="224" customFormat="1" ht="15" customHeight="1" x14ac:dyDescent="0.25">
      <c r="A108" s="215">
        <v>44277</v>
      </c>
      <c r="B108" s="364" t="s">
        <v>32</v>
      </c>
      <c r="C108" s="350" t="s">
        <v>12</v>
      </c>
      <c r="D108" s="350" t="s">
        <v>1485</v>
      </c>
      <c r="E108" s="875" t="s">
        <v>13</v>
      </c>
      <c r="F108" s="1047">
        <v>16</v>
      </c>
      <c r="G108" s="982"/>
      <c r="H108" s="1008"/>
      <c r="I108" s="1063"/>
      <c r="J108" s="622"/>
      <c r="K108" s="982"/>
      <c r="L108" s="1029"/>
      <c r="M108" s="881"/>
      <c r="N108" s="877"/>
    </row>
    <row r="109" spans="1:16" s="224" customFormat="1" ht="15" customHeight="1" x14ac:dyDescent="0.25">
      <c r="A109" s="215">
        <v>44278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1047">
        <v>16</v>
      </c>
      <c r="G109" s="982"/>
      <c r="H109" s="1008"/>
      <c r="I109" s="1063"/>
      <c r="J109" s="622"/>
      <c r="K109" s="982"/>
      <c r="L109" s="1029"/>
      <c r="M109" s="89"/>
      <c r="N109" s="930"/>
    </row>
    <row r="110" spans="1:16" s="224" customFormat="1" ht="15" customHeight="1" x14ac:dyDescent="0.25">
      <c r="A110" s="215">
        <v>44278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780">
        <v>8.77</v>
      </c>
      <c r="G110" s="982"/>
      <c r="H110" s="1008"/>
      <c r="I110" s="1063"/>
      <c r="J110" s="622"/>
      <c r="K110" s="982"/>
      <c r="L110" s="861"/>
      <c r="N110" s="1035"/>
    </row>
    <row r="111" spans="1:16" s="224" customFormat="1" x14ac:dyDescent="0.25">
      <c r="A111" s="215">
        <v>44279</v>
      </c>
      <c r="B111" s="364" t="s">
        <v>32</v>
      </c>
      <c r="C111" s="350" t="s">
        <v>12</v>
      </c>
      <c r="D111" s="350" t="s">
        <v>1485</v>
      </c>
      <c r="E111" s="875" t="s">
        <v>13</v>
      </c>
      <c r="F111" s="1047">
        <v>16</v>
      </c>
      <c r="G111" s="982"/>
      <c r="H111" s="1008"/>
      <c r="I111" s="1063"/>
      <c r="J111" s="622"/>
      <c r="K111" s="982"/>
      <c r="L111" s="1029"/>
      <c r="M111" s="89"/>
      <c r="N111" s="930"/>
    </row>
    <row r="112" spans="1:16" s="224" customFormat="1" x14ac:dyDescent="0.25">
      <c r="A112" s="215">
        <v>44279</v>
      </c>
      <c r="B112" s="364" t="s">
        <v>2415</v>
      </c>
      <c r="C112" s="350" t="s">
        <v>12</v>
      </c>
      <c r="D112" s="350" t="s">
        <v>1493</v>
      </c>
      <c r="E112" s="875" t="s">
        <v>13</v>
      </c>
      <c r="F112" s="1047">
        <v>5</v>
      </c>
      <c r="G112" s="982"/>
      <c r="H112" s="1008"/>
      <c r="I112" s="1063"/>
      <c r="J112" s="622"/>
      <c r="K112" s="982"/>
      <c r="L112" s="861"/>
      <c r="N112" s="878"/>
    </row>
    <row r="113" spans="1:14" s="224" customFormat="1" ht="15" customHeight="1" x14ac:dyDescent="0.25">
      <c r="A113" s="215">
        <v>44279</v>
      </c>
      <c r="B113" s="364" t="s">
        <v>2914</v>
      </c>
      <c r="C113" s="350" t="s">
        <v>12</v>
      </c>
      <c r="D113" s="350" t="s">
        <v>1491</v>
      </c>
      <c r="E113" s="871" t="s">
        <v>13</v>
      </c>
      <c r="F113" s="780">
        <v>125</v>
      </c>
      <c r="G113" s="982"/>
      <c r="H113" s="1008"/>
      <c r="I113" s="1063"/>
      <c r="J113" s="622"/>
      <c r="K113" s="982"/>
      <c r="L113" s="1029"/>
      <c r="M113" s="881"/>
      <c r="N113" s="877"/>
    </row>
    <row r="114" spans="1:14" s="224" customFormat="1" ht="15" customHeight="1" x14ac:dyDescent="0.25">
      <c r="A114" s="215">
        <v>44279</v>
      </c>
      <c r="B114" s="364" t="s">
        <v>14</v>
      </c>
      <c r="C114" s="350" t="s">
        <v>12</v>
      </c>
      <c r="D114" s="350" t="s">
        <v>1486</v>
      </c>
      <c r="E114" s="875" t="s">
        <v>13</v>
      </c>
      <c r="F114" s="780">
        <v>4.05</v>
      </c>
      <c r="G114" s="982"/>
      <c r="H114" s="1008"/>
      <c r="I114" s="1063"/>
      <c r="J114" s="622"/>
      <c r="K114" s="982"/>
      <c r="L114" s="861"/>
      <c r="N114" s="878"/>
    </row>
    <row r="115" spans="1:14" s="224" customFormat="1" ht="15" customHeight="1" x14ac:dyDescent="0.25">
      <c r="A115" s="215">
        <v>44280</v>
      </c>
      <c r="B115" s="364" t="s">
        <v>2197</v>
      </c>
      <c r="C115" s="350" t="s">
        <v>12</v>
      </c>
      <c r="D115" s="350" t="s">
        <v>2168</v>
      </c>
      <c r="E115" s="875" t="s">
        <v>15</v>
      </c>
      <c r="F115" s="780">
        <v>25</v>
      </c>
      <c r="G115" s="1063"/>
      <c r="H115" s="622"/>
      <c r="I115" s="982"/>
      <c r="J115" s="622"/>
      <c r="K115" s="982"/>
      <c r="L115" s="927"/>
    </row>
    <row r="116" spans="1:14" s="224" customFormat="1" x14ac:dyDescent="0.25">
      <c r="A116" s="215">
        <v>44280</v>
      </c>
      <c r="B116" s="364" t="s">
        <v>32</v>
      </c>
      <c r="C116" s="350" t="s">
        <v>12</v>
      </c>
      <c r="D116" s="350" t="s">
        <v>1485</v>
      </c>
      <c r="E116" s="875" t="s">
        <v>13</v>
      </c>
      <c r="F116" s="1047">
        <v>16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x14ac:dyDescent="0.25">
      <c r="A117" s="215">
        <v>44280</v>
      </c>
      <c r="B117" s="364" t="s">
        <v>2915</v>
      </c>
      <c r="C117" s="350" t="s">
        <v>12</v>
      </c>
      <c r="D117" s="350" t="s">
        <v>1491</v>
      </c>
      <c r="E117" s="875" t="s">
        <v>13</v>
      </c>
      <c r="F117" s="1047">
        <v>20</v>
      </c>
      <c r="G117" s="982"/>
      <c r="H117" s="1008"/>
      <c r="I117" s="1063"/>
      <c r="J117" s="622"/>
      <c r="K117" s="982"/>
      <c r="L117" s="1029"/>
      <c r="M117" s="89"/>
      <c r="N117" s="930"/>
    </row>
    <row r="118" spans="1:14" s="224" customFormat="1" x14ac:dyDescent="0.25">
      <c r="A118" s="215">
        <v>44281</v>
      </c>
      <c r="B118" s="364" t="s">
        <v>32</v>
      </c>
      <c r="C118" s="350" t="s">
        <v>12</v>
      </c>
      <c r="D118" s="350" t="s">
        <v>1485</v>
      </c>
      <c r="E118" s="875" t="s">
        <v>13</v>
      </c>
      <c r="F118" s="1047">
        <v>16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4" s="224" customFormat="1" ht="15" customHeight="1" x14ac:dyDescent="0.25">
      <c r="A119" s="215">
        <v>44281</v>
      </c>
      <c r="B119" s="349" t="s">
        <v>2916</v>
      </c>
      <c r="C119" s="350" t="s">
        <v>12</v>
      </c>
      <c r="D119" s="879" t="s">
        <v>1489</v>
      </c>
      <c r="E119" s="871" t="s">
        <v>13</v>
      </c>
      <c r="F119" s="780">
        <v>11.9</v>
      </c>
      <c r="G119" s="982"/>
      <c r="H119" s="1008"/>
      <c r="I119" s="1063"/>
      <c r="J119" s="622"/>
      <c r="K119" s="982"/>
      <c r="L119" s="861"/>
      <c r="N119" s="878"/>
    </row>
    <row r="120" spans="1:14" s="224" customFormat="1" ht="15" customHeight="1" x14ac:dyDescent="0.25">
      <c r="A120" s="215">
        <v>44281</v>
      </c>
      <c r="B120" s="349" t="s">
        <v>115</v>
      </c>
      <c r="C120" s="350" t="s">
        <v>12</v>
      </c>
      <c r="D120" s="879" t="s">
        <v>1489</v>
      </c>
      <c r="E120" s="871" t="s">
        <v>13</v>
      </c>
      <c r="F120" s="780">
        <v>6.15</v>
      </c>
      <c r="G120" s="982"/>
      <c r="H120" s="1008"/>
      <c r="I120" s="1063"/>
      <c r="J120" s="622"/>
      <c r="K120" s="982"/>
      <c r="L120" s="1029"/>
      <c r="M120" s="89"/>
      <c r="N120" s="1035"/>
    </row>
    <row r="121" spans="1:14" s="224" customFormat="1" ht="15" customHeight="1" x14ac:dyDescent="0.25">
      <c r="A121" s="215">
        <v>44281</v>
      </c>
      <c r="B121" s="349" t="s">
        <v>82</v>
      </c>
      <c r="C121" s="879" t="s">
        <v>12</v>
      </c>
      <c r="D121" s="879" t="s">
        <v>1493</v>
      </c>
      <c r="E121" s="871" t="s">
        <v>13</v>
      </c>
      <c r="F121" s="780">
        <v>44.9</v>
      </c>
      <c r="G121" s="982"/>
      <c r="H121" s="1008"/>
      <c r="I121" s="1063"/>
      <c r="J121" s="622"/>
      <c r="K121" s="982"/>
      <c r="L121" s="861"/>
      <c r="N121" s="878"/>
    </row>
    <row r="122" spans="1:14" s="224" customFormat="1" ht="15" customHeight="1" x14ac:dyDescent="0.25">
      <c r="A122" s="215">
        <v>44282</v>
      </c>
      <c r="B122" s="364" t="s">
        <v>56</v>
      </c>
      <c r="C122" s="350" t="s">
        <v>19</v>
      </c>
      <c r="D122" s="350" t="s">
        <v>1523</v>
      </c>
      <c r="E122" s="875" t="s">
        <v>13</v>
      </c>
      <c r="F122" s="780">
        <v>38</v>
      </c>
      <c r="G122" s="982"/>
      <c r="H122" s="1008"/>
      <c r="I122" s="1063"/>
      <c r="J122" s="622"/>
      <c r="K122" s="982"/>
      <c r="L122" s="861"/>
      <c r="N122" s="878"/>
    </row>
    <row r="123" spans="1:14" s="224" customFormat="1" ht="15" customHeight="1" x14ac:dyDescent="0.25">
      <c r="A123" s="215">
        <v>44282</v>
      </c>
      <c r="B123" s="364" t="s">
        <v>2917</v>
      </c>
      <c r="C123" s="350" t="s">
        <v>19</v>
      </c>
      <c r="D123" s="350" t="s">
        <v>1523</v>
      </c>
      <c r="E123" s="875" t="s">
        <v>13</v>
      </c>
      <c r="F123" s="780">
        <v>40</v>
      </c>
      <c r="G123" s="982"/>
      <c r="H123" s="1008"/>
      <c r="I123" s="1063"/>
      <c r="J123" s="622"/>
      <c r="K123" s="982"/>
      <c r="L123" s="861"/>
      <c r="N123" s="878"/>
    </row>
    <row r="124" spans="1:14" s="224" customFormat="1" ht="15" customHeight="1" x14ac:dyDescent="0.25">
      <c r="A124" s="215">
        <v>44282</v>
      </c>
      <c r="B124" s="364" t="s">
        <v>2629</v>
      </c>
      <c r="C124" s="350" t="s">
        <v>19</v>
      </c>
      <c r="D124" s="350" t="s">
        <v>1489</v>
      </c>
      <c r="E124" s="875" t="s">
        <v>13</v>
      </c>
      <c r="F124" s="780">
        <v>47.74</v>
      </c>
      <c r="G124" s="982"/>
      <c r="H124" s="1008"/>
      <c r="I124" s="1063"/>
      <c r="J124" s="622"/>
      <c r="K124" s="982"/>
      <c r="L124" s="861"/>
      <c r="N124" s="878"/>
    </row>
    <row r="125" spans="1:14" s="224" customFormat="1" ht="15" customHeight="1" x14ac:dyDescent="0.25">
      <c r="A125" s="215">
        <v>44282</v>
      </c>
      <c r="B125" s="364" t="s">
        <v>2251</v>
      </c>
      <c r="C125" s="350" t="s">
        <v>12</v>
      </c>
      <c r="D125" s="350" t="s">
        <v>2157</v>
      </c>
      <c r="E125" s="875" t="s">
        <v>15</v>
      </c>
      <c r="F125" s="780">
        <v>50</v>
      </c>
      <c r="G125" s="982"/>
      <c r="H125" s="1008"/>
      <c r="I125" s="1063"/>
      <c r="J125" s="622"/>
      <c r="K125" s="982"/>
      <c r="L125" s="861"/>
      <c r="N125" s="1035"/>
    </row>
    <row r="126" spans="1:14" s="224" customFormat="1" ht="15" customHeight="1" x14ac:dyDescent="0.25">
      <c r="A126" s="215">
        <v>44283</v>
      </c>
      <c r="B126" s="364" t="s">
        <v>14</v>
      </c>
      <c r="C126" s="350" t="s">
        <v>12</v>
      </c>
      <c r="D126" s="350" t="s">
        <v>1486</v>
      </c>
      <c r="E126" s="875" t="s">
        <v>13</v>
      </c>
      <c r="F126" s="780">
        <v>11.71</v>
      </c>
      <c r="G126" s="982"/>
      <c r="H126" s="1008"/>
      <c r="I126" s="1063"/>
      <c r="J126" s="622"/>
      <c r="K126" s="982"/>
      <c r="L126" s="861"/>
      <c r="N126" s="878"/>
    </row>
    <row r="127" spans="1:14" s="224" customFormat="1" ht="15" customHeight="1" x14ac:dyDescent="0.25">
      <c r="A127" s="215">
        <v>44283</v>
      </c>
      <c r="B127" s="364" t="s">
        <v>81</v>
      </c>
      <c r="C127" s="350" t="s">
        <v>12</v>
      </c>
      <c r="D127" s="350" t="s">
        <v>1493</v>
      </c>
      <c r="E127" s="875" t="s">
        <v>13</v>
      </c>
      <c r="F127" s="780">
        <v>8.92</v>
      </c>
      <c r="G127" s="982"/>
      <c r="H127" s="1008"/>
      <c r="I127" s="1063"/>
      <c r="J127" s="622"/>
      <c r="K127" s="982"/>
      <c r="L127" s="861"/>
      <c r="N127" s="1035"/>
    </row>
    <row r="128" spans="1:14" s="224" customFormat="1" x14ac:dyDescent="0.25">
      <c r="A128" s="215">
        <v>44284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1047">
        <v>16</v>
      </c>
      <c r="G128" s="982"/>
      <c r="H128" s="1008"/>
      <c r="I128" s="1063"/>
      <c r="J128" s="622"/>
      <c r="K128" s="982"/>
      <c r="L128" s="1029"/>
      <c r="M128" s="89"/>
      <c r="N128" s="930"/>
    </row>
    <row r="129" spans="1:14" s="224" customFormat="1" ht="15" customHeight="1" x14ac:dyDescent="0.25">
      <c r="A129" s="215">
        <v>44285</v>
      </c>
      <c r="B129" s="349" t="s">
        <v>2918</v>
      </c>
      <c r="C129" s="879" t="s">
        <v>12</v>
      </c>
      <c r="D129" s="879" t="s">
        <v>1522</v>
      </c>
      <c r="E129" s="871" t="s">
        <v>13</v>
      </c>
      <c r="F129" s="780">
        <v>104.12</v>
      </c>
      <c r="G129" s="982"/>
      <c r="H129" s="1008"/>
      <c r="I129" s="1063"/>
      <c r="J129" s="622"/>
      <c r="K129" s="982"/>
      <c r="L129" s="1029"/>
      <c r="M129" s="89"/>
      <c r="N129" s="1035"/>
    </row>
    <row r="130" spans="1:14" s="224" customFormat="1" x14ac:dyDescent="0.25">
      <c r="A130" s="215">
        <v>44285</v>
      </c>
      <c r="B130" s="364" t="s">
        <v>32</v>
      </c>
      <c r="C130" s="350" t="s">
        <v>12</v>
      </c>
      <c r="D130" s="350" t="s">
        <v>1485</v>
      </c>
      <c r="E130" s="875" t="s">
        <v>13</v>
      </c>
      <c r="F130" s="1047">
        <v>16</v>
      </c>
      <c r="G130" s="982"/>
      <c r="H130" s="1008"/>
      <c r="I130" s="1063"/>
      <c r="J130" s="622"/>
      <c r="K130" s="982"/>
      <c r="L130" s="1029"/>
      <c r="M130" s="89"/>
      <c r="N130" s="930"/>
    </row>
    <row r="131" spans="1:14" s="224" customFormat="1" x14ac:dyDescent="0.25">
      <c r="A131" s="215">
        <v>44285</v>
      </c>
      <c r="B131" s="364" t="s">
        <v>2415</v>
      </c>
      <c r="C131" s="350" t="s">
        <v>12</v>
      </c>
      <c r="D131" s="350" t="s">
        <v>1493</v>
      </c>
      <c r="E131" s="875" t="s">
        <v>13</v>
      </c>
      <c r="F131" s="1047">
        <v>5</v>
      </c>
      <c r="G131" s="982"/>
      <c r="H131" s="1008"/>
      <c r="I131" s="1063"/>
      <c r="J131" s="622"/>
      <c r="K131" s="982"/>
      <c r="L131" s="861"/>
      <c r="N131" s="878"/>
    </row>
    <row r="132" spans="1:14" s="224" customFormat="1" ht="15" customHeight="1" x14ac:dyDescent="0.25">
      <c r="A132" s="215">
        <v>44286</v>
      </c>
      <c r="B132" s="364" t="s">
        <v>32</v>
      </c>
      <c r="C132" s="350" t="s">
        <v>12</v>
      </c>
      <c r="D132" s="350" t="s">
        <v>1485</v>
      </c>
      <c r="E132" s="875" t="s">
        <v>13</v>
      </c>
      <c r="F132" s="1047">
        <v>16</v>
      </c>
      <c r="G132" s="982"/>
      <c r="H132" s="1008"/>
      <c r="I132" s="1063"/>
      <c r="J132" s="622"/>
      <c r="K132" s="982"/>
      <c r="L132" s="1029"/>
      <c r="M132" s="89"/>
      <c r="N132" s="1035"/>
    </row>
    <row r="133" spans="1:14" s="224" customFormat="1" ht="15" customHeight="1" x14ac:dyDescent="0.25">
      <c r="A133" s="215">
        <v>44286</v>
      </c>
      <c r="B133" s="349" t="s">
        <v>134</v>
      </c>
      <c r="C133" s="350" t="s">
        <v>12</v>
      </c>
      <c r="D133" s="350" t="s">
        <v>1493</v>
      </c>
      <c r="E133" s="480" t="s">
        <v>13</v>
      </c>
      <c r="F133" s="780">
        <v>12</v>
      </c>
      <c r="G133" s="982"/>
      <c r="H133" s="1008"/>
      <c r="I133" s="1063"/>
      <c r="J133" s="622"/>
      <c r="K133" s="982"/>
      <c r="L133" s="861"/>
      <c r="M133" s="999"/>
      <c r="N133" s="878"/>
    </row>
    <row r="134" spans="1:14" s="224" customFormat="1" ht="15" customHeight="1" x14ac:dyDescent="0.25">
      <c r="A134" s="215">
        <v>44286</v>
      </c>
      <c r="B134" s="862" t="s">
        <v>2919</v>
      </c>
      <c r="C134" s="879" t="s">
        <v>12</v>
      </c>
      <c r="D134" s="879" t="s">
        <v>1504</v>
      </c>
      <c r="E134" s="871" t="s">
        <v>13</v>
      </c>
      <c r="F134" s="622">
        <v>21.9</v>
      </c>
      <c r="G134" s="1034"/>
      <c r="H134" s="1008"/>
      <c r="I134" s="1063"/>
      <c r="J134" s="622"/>
      <c r="K134" s="982"/>
      <c r="L134" s="475"/>
      <c r="N134" s="878"/>
    </row>
    <row r="135" spans="1:14" s="224" customFormat="1" ht="15.75" thickBot="1" x14ac:dyDescent="0.3">
      <c r="A135" s="215">
        <v>44286</v>
      </c>
      <c r="B135" s="862" t="s">
        <v>1666</v>
      </c>
      <c r="C135" s="350" t="s">
        <v>12</v>
      </c>
      <c r="D135" s="1003"/>
      <c r="E135" s="145" t="s">
        <v>25</v>
      </c>
      <c r="F135" s="1036"/>
      <c r="G135" s="1535"/>
      <c r="H135" s="1008"/>
      <c r="I135" s="1063"/>
      <c r="J135" s="622"/>
      <c r="K135" s="982"/>
      <c r="L135" s="475"/>
      <c r="N135" s="878"/>
    </row>
    <row r="136" spans="1:14" ht="25.5" customHeight="1" thickBot="1" x14ac:dyDescent="0.3">
      <c r="A136" s="3060"/>
      <c r="B136" s="3061"/>
      <c r="C136" s="3062"/>
      <c r="D136" s="3062"/>
      <c r="E136" s="3062"/>
      <c r="F136" s="1020">
        <f>SUM(F6:F135)</f>
        <v>23547.906666666673</v>
      </c>
      <c r="G136" s="1534">
        <f>SUM(G5:G135)</f>
        <v>24033.274583333357</v>
      </c>
      <c r="H136" s="517">
        <f>SUM(H6:H135)</f>
        <v>19699.939999999999</v>
      </c>
      <c r="I136" s="93">
        <f>SUM(I5:I135)</f>
        <v>21199.936000000002</v>
      </c>
      <c r="J136" s="1023">
        <f>SUM(J6:J135)</f>
        <v>6899.94</v>
      </c>
      <c r="K136" s="93">
        <f>SUM(K5:K135)</f>
        <v>18017.819999999996</v>
      </c>
      <c r="M136" s="216"/>
    </row>
    <row r="137" spans="1:14" ht="25.5" customHeight="1" thickBot="1" x14ac:dyDescent="0.3">
      <c r="A137" s="3117" t="s">
        <v>49</v>
      </c>
      <c r="B137" s="3118"/>
      <c r="C137" s="3118"/>
      <c r="D137" s="3118"/>
      <c r="E137" s="3118"/>
      <c r="F137" s="144" t="s">
        <v>280</v>
      </c>
      <c r="G137" s="519">
        <f>G136-F136</f>
        <v>485.36791666668432</v>
      </c>
      <c r="H137" s="555"/>
      <c r="I137" s="772">
        <f>I136-H136</f>
        <v>1499.9960000000028</v>
      </c>
      <c r="J137" s="593"/>
      <c r="K137" s="772">
        <f>K136-J136</f>
        <v>11117.879999999997</v>
      </c>
    </row>
    <row r="138" spans="1:14" x14ac:dyDescent="0.25">
      <c r="E138" s="79"/>
      <c r="K138" s="518"/>
      <c r="L138" s="216"/>
    </row>
    <row r="139" spans="1:14" x14ac:dyDescent="0.25">
      <c r="B139" s="81" t="s">
        <v>3</v>
      </c>
      <c r="C139" s="193" t="s">
        <v>1484</v>
      </c>
      <c r="D139" s="970" t="s">
        <v>2378</v>
      </c>
      <c r="G139" s="216"/>
      <c r="K139" s="866"/>
    </row>
    <row r="140" spans="1:14" x14ac:dyDescent="0.25">
      <c r="B140" s="79" t="s">
        <v>32</v>
      </c>
      <c r="C140" s="85" t="s">
        <v>1485</v>
      </c>
      <c r="D140" s="475">
        <f>SUMIF($D$7:$D$135,"A",$F$7:$F$135)</f>
        <v>423.5</v>
      </c>
      <c r="F140" s="79"/>
      <c r="G140" s="800"/>
      <c r="I140" s="769"/>
      <c r="J140" s="868"/>
    </row>
    <row r="141" spans="1:14" x14ac:dyDescent="0.25">
      <c r="B141" s="79" t="s">
        <v>2187</v>
      </c>
      <c r="C141" s="85" t="s">
        <v>2157</v>
      </c>
      <c r="D141" s="475">
        <f>SUMIF($D$14:$D$135,"GAC",$F$14:$F$135)</f>
        <v>320</v>
      </c>
      <c r="G141" s="609"/>
      <c r="J141" s="754"/>
      <c r="K141" s="886"/>
      <c r="L141" s="1030"/>
    </row>
    <row r="142" spans="1:14" x14ac:dyDescent="0.25">
      <c r="B142" s="79" t="s">
        <v>2188</v>
      </c>
      <c r="C142" s="85" t="s">
        <v>2168</v>
      </c>
      <c r="D142" s="475">
        <f>SUMIF($D$14:$D$135,"GAM",$F$14:$F$135)</f>
        <v>95</v>
      </c>
      <c r="J142" s="864"/>
      <c r="K142" s="864"/>
      <c r="L142" s="958"/>
    </row>
    <row r="143" spans="1:14" s="85" customFormat="1" x14ac:dyDescent="0.25">
      <c r="A143" s="79"/>
      <c r="B143" s="79" t="s">
        <v>50</v>
      </c>
      <c r="C143" s="85" t="s">
        <v>1493</v>
      </c>
      <c r="D143" s="475">
        <f>SUMIF($D$7:$D$135,"LD",$F$7:$F$135)</f>
        <v>208.32999999999998</v>
      </c>
      <c r="J143" s="864"/>
      <c r="K143" s="1032"/>
      <c r="L143" s="958"/>
      <c r="N143" s="877"/>
    </row>
    <row r="144" spans="1:14" s="85" customFormat="1" x14ac:dyDescent="0.25">
      <c r="A144" s="79"/>
      <c r="B144" s="79" t="s">
        <v>14</v>
      </c>
      <c r="C144" s="85" t="s">
        <v>1486</v>
      </c>
      <c r="D144" s="475">
        <f>SUMIF($D$7:$D$135,"C",$F$7:$F$135)</f>
        <v>115.75999999999999</v>
      </c>
      <c r="F144" s="89"/>
      <c r="G144" s="79"/>
      <c r="H144" s="79"/>
      <c r="J144" s="864"/>
      <c r="K144" s="1032"/>
      <c r="L144" s="958"/>
      <c r="N144" s="877"/>
    </row>
    <row r="145" spans="1:14" s="85" customFormat="1" x14ac:dyDescent="0.25">
      <c r="A145" s="79"/>
      <c r="B145" s="79" t="s">
        <v>51</v>
      </c>
      <c r="C145" s="864" t="s">
        <v>1499</v>
      </c>
      <c r="D145" s="475">
        <f>SUMIF($D$24:$D$135,"CAL",$F$24:$F$135)</f>
        <v>88.83</v>
      </c>
      <c r="F145" s="89"/>
      <c r="G145" s="79"/>
      <c r="H145" s="79"/>
      <c r="I145" s="79"/>
      <c r="K145" s="795"/>
      <c r="L145" s="958"/>
      <c r="N145" s="877"/>
    </row>
    <row r="146" spans="1:14" s="85" customFormat="1" x14ac:dyDescent="0.25">
      <c r="A146" s="79"/>
      <c r="B146" s="79" t="s">
        <v>2189</v>
      </c>
      <c r="C146" s="864" t="s">
        <v>1496</v>
      </c>
      <c r="D146" s="475">
        <f>SUMIF($D$7:$D$135,"AC",$F$7:$F$135)</f>
        <v>58</v>
      </c>
      <c r="F146" s="769"/>
      <c r="G146" s="79"/>
      <c r="K146" s="177"/>
      <c r="L146" s="941"/>
      <c r="N146" s="877"/>
    </row>
    <row r="147" spans="1:14" s="85" customFormat="1" x14ac:dyDescent="0.25">
      <c r="A147" s="79"/>
      <c r="B147" s="867" t="s">
        <v>53</v>
      </c>
      <c r="C147" s="864" t="s">
        <v>1522</v>
      </c>
      <c r="D147" s="475">
        <f>SUMIF($D$24:$D$135,"DC",$F$24:$F$135)</f>
        <v>336.78</v>
      </c>
      <c r="K147" s="177"/>
      <c r="L147" s="475"/>
      <c r="N147" s="877"/>
    </row>
    <row r="148" spans="1:14" s="85" customFormat="1" x14ac:dyDescent="0.25">
      <c r="A148" s="79"/>
      <c r="B148" s="867" t="s">
        <v>2149</v>
      </c>
      <c r="C148" s="864" t="s">
        <v>2131</v>
      </c>
      <c r="D148" s="475">
        <f>SUMIF($D$6:$D$135,"DM",$F$6:$F$135)</f>
        <v>665.00666666666666</v>
      </c>
      <c r="F148" s="769"/>
      <c r="K148" s="177" t="s">
        <v>280</v>
      </c>
      <c r="L148" s="475"/>
      <c r="N148" s="877"/>
    </row>
    <row r="149" spans="1:14" s="85" customFormat="1" x14ac:dyDescent="0.25">
      <c r="A149" s="79"/>
      <c r="B149" s="79" t="s">
        <v>2008</v>
      </c>
      <c r="C149" s="864" t="s">
        <v>1523</v>
      </c>
      <c r="D149" s="475">
        <f>SUMIF($D$24:$D$135,"B",$F$24:$F$135)</f>
        <v>151</v>
      </c>
      <c r="F149" s="769"/>
      <c r="G149" s="866"/>
      <c r="K149" s="177"/>
      <c r="L149" s="475"/>
      <c r="N149" s="877"/>
    </row>
    <row r="150" spans="1:14" s="85" customFormat="1" x14ac:dyDescent="0.25">
      <c r="A150" s="79"/>
      <c r="B150" s="79" t="s">
        <v>1686</v>
      </c>
      <c r="C150" s="864" t="s">
        <v>1506</v>
      </c>
      <c r="D150" s="475">
        <f>SUMIF($D$7:$D$135,"R",$F$7:$F$135)</f>
        <v>136.60000000000002</v>
      </c>
      <c r="F150" s="769"/>
      <c r="G150" s="868"/>
      <c r="K150" s="866"/>
      <c r="L150" s="475"/>
      <c r="N150" s="877"/>
    </row>
    <row r="151" spans="1:14" x14ac:dyDescent="0.25">
      <c r="B151" s="79" t="s">
        <v>418</v>
      </c>
      <c r="C151" s="85" t="s">
        <v>1524</v>
      </c>
      <c r="D151" s="475">
        <f>SUMIF($D$24:$D$135,"COM",$F$24:$F$135)</f>
        <v>0</v>
      </c>
      <c r="G151" s="85"/>
      <c r="H151" s="85"/>
      <c r="I151" s="85"/>
      <c r="J151" s="769"/>
      <c r="K151" s="216"/>
    </row>
    <row r="152" spans="1:14" x14ac:dyDescent="0.25">
      <c r="B152" s="79" t="s">
        <v>419</v>
      </c>
      <c r="C152" s="85" t="s">
        <v>1491</v>
      </c>
      <c r="D152" s="475">
        <f>SUMIF($D$24:$D$135,"F",$F$24:$F$135)</f>
        <v>755</v>
      </c>
      <c r="I152" s="85"/>
      <c r="K152" s="216"/>
    </row>
    <row r="153" spans="1:14" x14ac:dyDescent="0.25">
      <c r="B153" s="79" t="s">
        <v>911</v>
      </c>
      <c r="C153" s="85" t="s">
        <v>1525</v>
      </c>
      <c r="D153" s="475">
        <f>SUMIF($D$24:$D$135,"FER",$F$24:$F$135)</f>
        <v>0</v>
      </c>
      <c r="J153" s="769"/>
      <c r="K153" s="868"/>
    </row>
    <row r="154" spans="1:14" x14ac:dyDescent="0.25">
      <c r="B154" s="79" t="s">
        <v>1526</v>
      </c>
      <c r="C154" s="85" t="s">
        <v>1504</v>
      </c>
      <c r="D154" s="475">
        <f>SUMIF($D$14:$D$135,"I",$F$14:$F$135)</f>
        <v>121.9</v>
      </c>
      <c r="F154" s="89" t="s">
        <v>280</v>
      </c>
      <c r="J154" s="769"/>
      <c r="K154" s="868"/>
    </row>
    <row r="155" spans="1:14" x14ac:dyDescent="0.25">
      <c r="B155" s="79" t="s">
        <v>2343</v>
      </c>
      <c r="C155" s="85" t="s">
        <v>2315</v>
      </c>
      <c r="D155" s="475">
        <f>SUMIF($D$24:$D$135,"E",$F$24:$F$135)</f>
        <v>0</v>
      </c>
      <c r="J155" s="769"/>
      <c r="K155" s="868"/>
    </row>
    <row r="156" spans="1:14" x14ac:dyDescent="0.25">
      <c r="B156" s="79" t="s">
        <v>1527</v>
      </c>
      <c r="C156" s="85" t="s">
        <v>1489</v>
      </c>
      <c r="D156" s="475">
        <f>SUMIF($D$14:$D$135,"OD",$F$14:$F$135)</f>
        <v>353.2</v>
      </c>
      <c r="J156" s="769"/>
    </row>
    <row r="157" spans="1:14" x14ac:dyDescent="0.25">
      <c r="C157" s="769"/>
      <c r="K157" s="866"/>
    </row>
    <row r="158" spans="1:14" x14ac:dyDescent="0.25">
      <c r="D158" s="459"/>
      <c r="H158" s="769"/>
      <c r="I158" s="518" t="s">
        <v>280</v>
      </c>
      <c r="K158" s="866"/>
    </row>
    <row r="159" spans="1:14" x14ac:dyDescent="0.25">
      <c r="B159" s="79" t="s">
        <v>486</v>
      </c>
      <c r="C159" s="475">
        <f>H159/J159</f>
        <v>123.51311827956988</v>
      </c>
      <c r="F159" s="459" t="s">
        <v>487</v>
      </c>
      <c r="H159" s="216">
        <f>SUM(D140:D156)</f>
        <v>3828.9066666666663</v>
      </c>
      <c r="J159" s="1517">
        <v>31</v>
      </c>
    </row>
    <row r="160" spans="1:14" ht="15.75" customHeight="1" x14ac:dyDescent="0.25">
      <c r="E160" s="769"/>
      <c r="H160" s="85"/>
      <c r="K160" s="868"/>
    </row>
    <row r="161" spans="1:15" x14ac:dyDescent="0.25">
      <c r="E161" s="79"/>
      <c r="F161" s="79"/>
      <c r="H161" s="866"/>
      <c r="J161" s="769"/>
      <c r="K161" s="866"/>
    </row>
    <row r="162" spans="1:15" s="518" customFormat="1" x14ac:dyDescent="0.25">
      <c r="A162" s="79"/>
      <c r="B162" s="79"/>
      <c r="C162" s="85"/>
      <c r="D162" s="79"/>
      <c r="E162" s="79"/>
      <c r="F162" s="89"/>
      <c r="G162" s="79"/>
      <c r="H162" s="79"/>
      <c r="I162" s="79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216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216"/>
      <c r="J168" s="769"/>
      <c r="K168" s="868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216"/>
      <c r="H169" s="79"/>
      <c r="I169" s="216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216"/>
      <c r="H170" s="79"/>
      <c r="I170" s="79"/>
      <c r="J170" s="770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484"/>
      <c r="M171" s="79"/>
      <c r="N171" s="877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629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6"/>
      <c r="L188" s="484"/>
      <c r="M188" s="79"/>
      <c r="N188" s="877"/>
      <c r="O188" s="79"/>
    </row>
    <row r="189" spans="1:15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6"/>
      <c r="L189" s="484"/>
      <c r="M189" s="79"/>
      <c r="N189" s="877"/>
      <c r="O189" s="79"/>
    </row>
    <row r="190" spans="1:15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69"/>
      <c r="K192" s="866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8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8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6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223"/>
      <c r="K198" s="62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56"/>
      <c r="K199" s="756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85"/>
      <c r="K204" s="85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85"/>
      <c r="K211" s="85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484"/>
      <c r="M217" s="79"/>
      <c r="N217" s="877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71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484"/>
      <c r="M219" s="79"/>
      <c r="N219" s="877"/>
      <c r="O219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877"/>
      <c r="O226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629"/>
      <c r="L233" s="484"/>
      <c r="M233" s="79"/>
      <c r="N233" s="877"/>
      <c r="O233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877"/>
      <c r="O240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  <c r="O241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  <row r="243" spans="1:15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  <c r="O243" s="79"/>
    </row>
    <row r="244" spans="1:15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  <c r="O244" s="79"/>
    </row>
    <row r="245" spans="1:15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  <c r="O245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484"/>
      <c r="M247" s="79"/>
      <c r="N247" s="877"/>
      <c r="O247" s="79"/>
    </row>
  </sheetData>
  <autoFilter ref="A2:I137" xr:uid="{00000000-0009-0000-0000-00006E000000}"/>
  <mergeCells count="13">
    <mergeCell ref="L30:M30"/>
    <mergeCell ref="A136:E136"/>
    <mergeCell ref="A137:E137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Plan126"/>
  <dimension ref="A1:O241"/>
  <sheetViews>
    <sheetView zoomScale="85" zoomScaleNormal="85" workbookViewId="0">
      <pane ySplit="4" topLeftCell="A93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7" width="13.7109375" style="79" bestFit="1" customWidth="1"/>
    <col min="8" max="8" width="12.7109375" style="79" bestFit="1" customWidth="1"/>
    <col min="9" max="9" width="13.85546875" style="79" customWidth="1"/>
    <col min="10" max="10" width="12.42578125" style="79" bestFit="1" customWidth="1"/>
    <col min="11" max="11" width="13.8554687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150" t="s">
        <v>0</v>
      </c>
      <c r="B1" s="3151"/>
      <c r="C1" s="3152"/>
      <c r="D1" s="3152"/>
      <c r="E1" s="3153"/>
      <c r="F1" s="3154" t="s">
        <v>2920</v>
      </c>
      <c r="G1" s="3155"/>
      <c r="H1" s="3155"/>
      <c r="I1" s="3155"/>
      <c r="J1" s="3155"/>
      <c r="K1" s="3156"/>
    </row>
    <row r="2" spans="1:15" ht="13.5" customHeight="1" x14ac:dyDescent="0.25">
      <c r="A2" s="3157" t="s">
        <v>2</v>
      </c>
      <c r="B2" s="3157" t="s">
        <v>3</v>
      </c>
      <c r="C2" s="3160" t="s">
        <v>4</v>
      </c>
      <c r="D2" s="3157" t="s">
        <v>1484</v>
      </c>
      <c r="E2" s="3157" t="s">
        <v>5</v>
      </c>
      <c r="F2" s="3069" t="s">
        <v>6</v>
      </c>
      <c r="G2" s="3070"/>
      <c r="H2" s="3069" t="s">
        <v>7</v>
      </c>
      <c r="I2" s="3070"/>
      <c r="J2" s="3069" t="s">
        <v>1637</v>
      </c>
      <c r="K2" s="3070"/>
    </row>
    <row r="3" spans="1:15" ht="13.5" customHeight="1" thickBot="1" x14ac:dyDescent="0.3">
      <c r="A3" s="3158"/>
      <c r="B3" s="3158"/>
      <c r="C3" s="3161"/>
      <c r="D3" s="3158"/>
      <c r="E3" s="3158"/>
      <c r="F3" s="3071"/>
      <c r="G3" s="3072"/>
      <c r="H3" s="3071"/>
      <c r="I3" s="3072"/>
      <c r="J3" s="3071"/>
      <c r="K3" s="3072"/>
      <c r="O3" s="948"/>
    </row>
    <row r="4" spans="1:15" ht="13.5" customHeight="1" thickBot="1" x14ac:dyDescent="0.3">
      <c r="A4" s="3159"/>
      <c r="B4" s="3159"/>
      <c r="C4" s="3162"/>
      <c r="D4" s="3159"/>
      <c r="E4" s="3163"/>
      <c r="F4" s="515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1054">
        <v>44287</v>
      </c>
      <c r="B5" s="1055" t="s">
        <v>10</v>
      </c>
      <c r="C5" s="1056"/>
      <c r="D5" s="1056"/>
      <c r="E5" s="1057"/>
      <c r="F5" s="179"/>
      <c r="G5" s="933">
        <f>'Março-21'!G137</f>
        <v>485.36791666668432</v>
      </c>
      <c r="H5" s="163"/>
      <c r="I5" s="1479">
        <f>'Março-21'!I137</f>
        <v>1499.9960000000028</v>
      </c>
      <c r="J5" s="179"/>
      <c r="K5" s="933">
        <f>'Março-21'!K137</f>
        <v>11117.879999999997</v>
      </c>
    </row>
    <row r="6" spans="1:15" s="224" customFormat="1" x14ac:dyDescent="0.25">
      <c r="A6" s="1052">
        <v>44287</v>
      </c>
      <c r="B6" s="862" t="s">
        <v>11</v>
      </c>
      <c r="C6" s="879"/>
      <c r="D6" s="879"/>
      <c r="E6" s="871"/>
      <c r="F6" s="538">
        <v>10</v>
      </c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1052">
        <v>44287</v>
      </c>
      <c r="B7" s="882" t="s">
        <v>2197</v>
      </c>
      <c r="C7" s="879" t="s">
        <v>12</v>
      </c>
      <c r="D7" s="879" t="s">
        <v>2168</v>
      </c>
      <c r="E7" s="875" t="s">
        <v>13</v>
      </c>
      <c r="F7" s="780">
        <v>30</v>
      </c>
      <c r="G7" s="982"/>
      <c r="H7" s="622"/>
      <c r="I7" s="982"/>
      <c r="J7" s="622"/>
      <c r="K7" s="982"/>
      <c r="L7" s="927"/>
      <c r="N7" s="878"/>
    </row>
    <row r="8" spans="1:15" s="224" customFormat="1" ht="15" customHeight="1" x14ac:dyDescent="0.25">
      <c r="A8" s="1052">
        <v>44287</v>
      </c>
      <c r="B8" s="882" t="s">
        <v>14</v>
      </c>
      <c r="C8" s="879" t="s">
        <v>12</v>
      </c>
      <c r="D8" s="879" t="s">
        <v>1486</v>
      </c>
      <c r="E8" s="875" t="s">
        <v>13</v>
      </c>
      <c r="F8" s="780">
        <v>2.66</v>
      </c>
      <c r="G8" s="982"/>
      <c r="H8" s="1008"/>
      <c r="I8" s="1063"/>
      <c r="J8" s="622"/>
      <c r="K8" s="982"/>
      <c r="L8" s="861"/>
      <c r="N8" s="878"/>
    </row>
    <row r="9" spans="1:15" s="224" customFormat="1" ht="15" customHeight="1" x14ac:dyDescent="0.25">
      <c r="A9" s="1052">
        <v>44287</v>
      </c>
      <c r="B9" s="882" t="s">
        <v>2629</v>
      </c>
      <c r="C9" s="879" t="s">
        <v>12</v>
      </c>
      <c r="D9" s="879" t="s">
        <v>1489</v>
      </c>
      <c r="E9" s="875" t="s">
        <v>13</v>
      </c>
      <c r="F9" s="780">
        <v>35.270000000000003</v>
      </c>
      <c r="G9" s="982"/>
      <c r="H9" s="1008"/>
      <c r="I9" s="1063"/>
      <c r="J9" s="622"/>
      <c r="K9" s="982"/>
      <c r="L9" s="1029"/>
      <c r="M9" s="89"/>
      <c r="N9" s="1035"/>
    </row>
    <row r="10" spans="1:15" s="224" customFormat="1" ht="15" customHeight="1" x14ac:dyDescent="0.25">
      <c r="A10" s="1052">
        <v>44287</v>
      </c>
      <c r="B10" s="873" t="s">
        <v>2921</v>
      </c>
      <c r="C10" s="879" t="s">
        <v>12</v>
      </c>
      <c r="D10" s="879" t="s">
        <v>1491</v>
      </c>
      <c r="E10" s="871" t="s">
        <v>13</v>
      </c>
      <c r="F10" s="852">
        <v>50</v>
      </c>
      <c r="G10" s="1527"/>
      <c r="H10" s="97"/>
      <c r="I10" s="946"/>
      <c r="J10" s="97"/>
      <c r="K10" s="946"/>
    </row>
    <row r="11" spans="1:15" s="224" customFormat="1" ht="15" customHeight="1" x14ac:dyDescent="0.25">
      <c r="A11" s="1052">
        <v>44287</v>
      </c>
      <c r="B11" s="873" t="s">
        <v>2922</v>
      </c>
      <c r="C11" s="879" t="s">
        <v>12</v>
      </c>
      <c r="D11" s="879" t="s">
        <v>1489</v>
      </c>
      <c r="E11" s="871" t="s">
        <v>13</v>
      </c>
      <c r="F11" s="852">
        <v>70</v>
      </c>
      <c r="G11" s="1527"/>
      <c r="H11" s="97"/>
      <c r="I11" s="946"/>
      <c r="J11" s="97"/>
      <c r="K11" s="946"/>
    </row>
    <row r="12" spans="1:15" s="224" customFormat="1" ht="15" customHeight="1" x14ac:dyDescent="0.25">
      <c r="A12" s="1052">
        <v>44287</v>
      </c>
      <c r="B12" s="873" t="s">
        <v>134</v>
      </c>
      <c r="C12" s="879" t="s">
        <v>12</v>
      </c>
      <c r="D12" s="879" t="s">
        <v>1493</v>
      </c>
      <c r="E12" s="871" t="s">
        <v>13</v>
      </c>
      <c r="F12" s="852">
        <v>19.940000000000001</v>
      </c>
      <c r="G12" s="1527"/>
      <c r="H12" s="97"/>
      <c r="I12" s="946"/>
      <c r="J12" s="97"/>
      <c r="K12" s="946"/>
    </row>
    <row r="13" spans="1:15" s="224" customFormat="1" ht="15" customHeight="1" x14ac:dyDescent="0.25">
      <c r="A13" s="1052">
        <v>44288</v>
      </c>
      <c r="B13" s="882" t="s">
        <v>14</v>
      </c>
      <c r="C13" s="879" t="s">
        <v>12</v>
      </c>
      <c r="D13" s="879" t="s">
        <v>1486</v>
      </c>
      <c r="E13" s="875" t="s">
        <v>13</v>
      </c>
      <c r="F13" s="780">
        <v>5.37</v>
      </c>
      <c r="G13" s="982"/>
      <c r="H13" s="1008"/>
      <c r="I13" s="1063"/>
      <c r="J13" s="622"/>
      <c r="K13" s="982"/>
      <c r="L13" s="861"/>
      <c r="N13" s="878"/>
    </row>
    <row r="14" spans="1:15" s="224" customFormat="1" ht="15" customHeight="1" x14ac:dyDescent="0.25">
      <c r="A14" s="1052">
        <v>44288</v>
      </c>
      <c r="B14" s="882" t="s">
        <v>2923</v>
      </c>
      <c r="C14" s="879" t="s">
        <v>12</v>
      </c>
      <c r="D14" s="879" t="s">
        <v>2157</v>
      </c>
      <c r="E14" s="875" t="s">
        <v>15</v>
      </c>
      <c r="F14" s="780">
        <v>50</v>
      </c>
      <c r="G14" s="982"/>
      <c r="H14" s="622"/>
      <c r="I14" s="982"/>
      <c r="J14" s="622"/>
      <c r="K14" s="982"/>
      <c r="L14" s="927"/>
      <c r="N14" s="878"/>
    </row>
    <row r="15" spans="1:15" s="224" customFormat="1" ht="15" customHeight="1" x14ac:dyDescent="0.25">
      <c r="A15" s="1052">
        <v>44288</v>
      </c>
      <c r="B15" s="882" t="s">
        <v>81</v>
      </c>
      <c r="C15" s="879" t="s">
        <v>12</v>
      </c>
      <c r="D15" s="879" t="s">
        <v>1493</v>
      </c>
      <c r="E15" s="871" t="s">
        <v>13</v>
      </c>
      <c r="F15" s="780">
        <v>8.73</v>
      </c>
      <c r="G15" s="982"/>
      <c r="H15" s="1008"/>
      <c r="I15" s="1063"/>
      <c r="J15" s="622"/>
      <c r="K15" s="982"/>
      <c r="L15" s="1029"/>
      <c r="M15" s="881"/>
      <c r="N15" s="877"/>
    </row>
    <row r="16" spans="1:15" s="224" customFormat="1" ht="15" customHeight="1" x14ac:dyDescent="0.25">
      <c r="A16" s="1052">
        <v>44289</v>
      </c>
      <c r="B16" s="882" t="s">
        <v>80</v>
      </c>
      <c r="C16" s="879" t="s">
        <v>12</v>
      </c>
      <c r="D16" s="879" t="s">
        <v>1523</v>
      </c>
      <c r="E16" s="875" t="s">
        <v>13</v>
      </c>
      <c r="F16" s="780">
        <v>38</v>
      </c>
      <c r="G16" s="982"/>
      <c r="H16" s="1008"/>
      <c r="I16" s="1063"/>
      <c r="J16" s="622"/>
      <c r="K16" s="982"/>
      <c r="L16" s="861"/>
      <c r="N16" s="1035"/>
    </row>
    <row r="17" spans="1:14" s="224" customFormat="1" ht="15" customHeight="1" x14ac:dyDescent="0.25">
      <c r="A17" s="1052">
        <v>44258</v>
      </c>
      <c r="B17" s="873" t="s">
        <v>82</v>
      </c>
      <c r="C17" s="879" t="s">
        <v>12</v>
      </c>
      <c r="D17" s="879" t="s">
        <v>1493</v>
      </c>
      <c r="E17" s="871" t="s">
        <v>13</v>
      </c>
      <c r="F17" s="780">
        <v>23.8</v>
      </c>
      <c r="G17" s="982"/>
      <c r="H17" s="1008"/>
      <c r="I17" s="1063"/>
      <c r="J17" s="622"/>
      <c r="K17" s="982"/>
      <c r="L17" s="861"/>
      <c r="N17" s="878"/>
    </row>
    <row r="18" spans="1:14" s="224" customFormat="1" ht="15" customHeight="1" x14ac:dyDescent="0.25">
      <c r="A18" s="1052">
        <v>44290</v>
      </c>
      <c r="B18" s="882" t="s">
        <v>14</v>
      </c>
      <c r="C18" s="879" t="s">
        <v>12</v>
      </c>
      <c r="D18" s="879" t="s">
        <v>1486</v>
      </c>
      <c r="E18" s="875" t="s">
        <v>13</v>
      </c>
      <c r="F18" s="780">
        <v>7.3</v>
      </c>
      <c r="G18" s="982"/>
      <c r="H18" s="1008"/>
      <c r="I18" s="1063"/>
      <c r="J18" s="622"/>
      <c r="K18" s="982"/>
      <c r="L18" s="1029"/>
      <c r="M18" s="89"/>
      <c r="N18" s="930"/>
    </row>
    <row r="19" spans="1:14" s="224" customFormat="1" ht="15" customHeight="1" x14ac:dyDescent="0.25">
      <c r="A19" s="1052">
        <v>44291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9</v>
      </c>
      <c r="G19" s="946"/>
      <c r="H19" s="95"/>
      <c r="I19" s="1064"/>
      <c r="J19" s="97"/>
      <c r="K19" s="946"/>
      <c r="L19" s="926"/>
      <c r="M19" s="216"/>
      <c r="N19" s="877"/>
    </row>
    <row r="20" spans="1:14" s="224" customFormat="1" ht="15" customHeight="1" x14ac:dyDescent="0.25">
      <c r="A20" s="1052">
        <v>44291</v>
      </c>
      <c r="B20" s="882" t="s">
        <v>2415</v>
      </c>
      <c r="C20" s="879" t="s">
        <v>12</v>
      </c>
      <c r="D20" s="879" t="s">
        <v>1493</v>
      </c>
      <c r="E20" s="875" t="s">
        <v>13</v>
      </c>
      <c r="F20" s="780">
        <v>5</v>
      </c>
      <c r="G20" s="982"/>
      <c r="H20" s="1008"/>
      <c r="I20" s="1063"/>
      <c r="J20" s="622"/>
      <c r="K20" s="982"/>
      <c r="L20" s="1029"/>
      <c r="M20" s="89"/>
      <c r="N20" s="930"/>
    </row>
    <row r="21" spans="1:14" s="224" customFormat="1" ht="15" customHeight="1" x14ac:dyDescent="0.25">
      <c r="A21" s="1052">
        <v>44291</v>
      </c>
      <c r="B21" s="882" t="s">
        <v>2873</v>
      </c>
      <c r="C21" s="879" t="s">
        <v>12</v>
      </c>
      <c r="D21" s="879" t="s">
        <v>1496</v>
      </c>
      <c r="E21" s="875" t="s">
        <v>13</v>
      </c>
      <c r="F21" s="780">
        <v>7</v>
      </c>
      <c r="G21" s="982"/>
      <c r="H21" s="1008"/>
      <c r="I21" s="1063"/>
      <c r="J21" s="622"/>
      <c r="K21" s="982"/>
      <c r="L21" s="1029"/>
      <c r="M21" s="89"/>
      <c r="N21" s="930"/>
    </row>
    <row r="22" spans="1:14" s="224" customFormat="1" ht="15" customHeight="1" x14ac:dyDescent="0.25">
      <c r="A22" s="1052">
        <v>44291</v>
      </c>
      <c r="B22" s="882" t="s">
        <v>14</v>
      </c>
      <c r="C22" s="879" t="s">
        <v>12</v>
      </c>
      <c r="D22" s="879" t="s">
        <v>1486</v>
      </c>
      <c r="E22" s="875" t="s">
        <v>13</v>
      </c>
      <c r="F22" s="780">
        <v>4.1500000000000004</v>
      </c>
      <c r="G22" s="982"/>
      <c r="H22" s="1008"/>
      <c r="I22" s="1063"/>
      <c r="J22" s="622"/>
      <c r="K22" s="982"/>
      <c r="L22" s="1029"/>
      <c r="M22" s="89"/>
      <c r="N22" s="930"/>
    </row>
    <row r="23" spans="1:14" s="224" customFormat="1" ht="15" customHeight="1" x14ac:dyDescent="0.25">
      <c r="A23" s="1052">
        <v>44292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16</v>
      </c>
      <c r="G23" s="982"/>
      <c r="H23" s="1008"/>
      <c r="I23" s="1063"/>
      <c r="J23" s="622"/>
      <c r="K23" s="982"/>
      <c r="L23" s="1029"/>
      <c r="M23" s="89"/>
      <c r="N23" s="1035"/>
    </row>
    <row r="24" spans="1:14" s="224" customFormat="1" ht="15" customHeight="1" x14ac:dyDescent="0.25">
      <c r="A24" s="1052">
        <v>44292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16.29</v>
      </c>
      <c r="G24" s="982"/>
      <c r="H24" s="1008"/>
      <c r="I24" s="1063"/>
      <c r="J24" s="622"/>
      <c r="K24" s="982"/>
      <c r="L24" s="861"/>
      <c r="N24" s="1035"/>
    </row>
    <row r="25" spans="1:14" s="224" customFormat="1" ht="15.75" customHeight="1" x14ac:dyDescent="0.25">
      <c r="A25" s="1052">
        <v>44293</v>
      </c>
      <c r="B25" s="873" t="s">
        <v>2924</v>
      </c>
      <c r="C25" s="879" t="s">
        <v>12</v>
      </c>
      <c r="D25" s="874"/>
      <c r="E25" s="871" t="s">
        <v>25</v>
      </c>
      <c r="F25" s="1514"/>
      <c r="G25" s="1002">
        <v>1857.49</v>
      </c>
      <c r="H25" s="250"/>
      <c r="I25" s="946"/>
      <c r="J25" s="97"/>
      <c r="K25" s="946"/>
    </row>
    <row r="26" spans="1:14" s="224" customFormat="1" ht="15" customHeight="1" x14ac:dyDescent="0.25">
      <c r="A26" s="1052">
        <v>44293</v>
      </c>
      <c r="B26" s="873" t="s">
        <v>2925</v>
      </c>
      <c r="C26" s="887" t="s">
        <v>12</v>
      </c>
      <c r="D26" s="1005" t="s">
        <v>1489</v>
      </c>
      <c r="E26" s="887" t="s">
        <v>13</v>
      </c>
      <c r="F26" s="613">
        <v>100.81</v>
      </c>
      <c r="G26" s="982"/>
      <c r="H26" s="861"/>
      <c r="I26" s="1063"/>
      <c r="J26" s="622"/>
      <c r="K26" s="982"/>
      <c r="L26" s="927"/>
      <c r="M26" s="999"/>
      <c r="N26" s="878"/>
    </row>
    <row r="27" spans="1:14" s="224" customFormat="1" ht="15" customHeight="1" x14ac:dyDescent="0.25">
      <c r="A27" s="1052">
        <v>44293</v>
      </c>
      <c r="B27" s="873" t="s">
        <v>2925</v>
      </c>
      <c r="C27" s="887" t="s">
        <v>12</v>
      </c>
      <c r="D27" s="1005" t="s">
        <v>1506</v>
      </c>
      <c r="E27" s="887" t="s">
        <v>13</v>
      </c>
      <c r="F27" s="613">
        <v>33.300000000000004</v>
      </c>
      <c r="G27" s="982"/>
      <c r="H27" s="1008"/>
      <c r="I27" s="1063"/>
      <c r="J27" s="622"/>
      <c r="K27" s="982"/>
      <c r="L27" s="1029"/>
      <c r="M27" s="999"/>
      <c r="N27" s="1035"/>
    </row>
    <row r="28" spans="1:14" s="224" customFormat="1" ht="15" customHeight="1" x14ac:dyDescent="0.25">
      <c r="A28" s="1052">
        <v>44293</v>
      </c>
      <c r="B28" s="873" t="s">
        <v>2925</v>
      </c>
      <c r="C28" s="887" t="s">
        <v>12</v>
      </c>
      <c r="D28" s="1005" t="s">
        <v>1506</v>
      </c>
      <c r="E28" s="887" t="s">
        <v>13</v>
      </c>
      <c r="F28" s="613">
        <v>33.300000000000004</v>
      </c>
      <c r="G28" s="982"/>
      <c r="H28" s="861"/>
      <c r="I28" s="1063"/>
      <c r="J28" s="622"/>
      <c r="K28" s="982"/>
      <c r="L28" s="927"/>
      <c r="M28" s="999"/>
      <c r="N28" s="878"/>
    </row>
    <row r="29" spans="1:14" s="224" customFormat="1" ht="15" customHeight="1" x14ac:dyDescent="0.25">
      <c r="A29" s="1052">
        <v>44293</v>
      </c>
      <c r="B29" s="873" t="s">
        <v>2925</v>
      </c>
      <c r="C29" s="887" t="s">
        <v>12</v>
      </c>
      <c r="D29" s="1005" t="s">
        <v>2131</v>
      </c>
      <c r="E29" s="887" t="s">
        <v>13</v>
      </c>
      <c r="F29" s="613">
        <v>25.746666666666666</v>
      </c>
      <c r="G29" s="982"/>
      <c r="H29" s="1008"/>
      <c r="I29" s="1063"/>
      <c r="J29" s="622"/>
      <c r="K29" s="982"/>
      <c r="L29" s="1029"/>
      <c r="M29" s="999"/>
      <c r="N29" s="1035"/>
    </row>
    <row r="30" spans="1:14" s="224" customFormat="1" ht="15" customHeight="1" x14ac:dyDescent="0.25">
      <c r="A30" s="1052">
        <v>44293</v>
      </c>
      <c r="B30" s="873" t="s">
        <v>2925</v>
      </c>
      <c r="C30" s="887" t="s">
        <v>12</v>
      </c>
      <c r="D30" s="1005" t="s">
        <v>2131</v>
      </c>
      <c r="E30" s="887" t="s">
        <v>13</v>
      </c>
      <c r="F30" s="613">
        <v>77.5</v>
      </c>
      <c r="G30" s="982"/>
      <c r="H30" s="1008"/>
      <c r="I30" s="1063"/>
      <c r="J30" s="622"/>
      <c r="K30" s="982"/>
      <c r="L30" s="861"/>
      <c r="N30" s="1035"/>
    </row>
    <row r="31" spans="1:14" s="224" customFormat="1" ht="15" customHeight="1" x14ac:dyDescent="0.25">
      <c r="A31" s="1052">
        <v>44293</v>
      </c>
      <c r="B31" s="873" t="s">
        <v>2925</v>
      </c>
      <c r="C31" s="887" t="s">
        <v>12</v>
      </c>
      <c r="D31" s="1005" t="s">
        <v>2131</v>
      </c>
      <c r="E31" s="887" t="s">
        <v>13</v>
      </c>
      <c r="F31" s="613">
        <v>33.300000000000004</v>
      </c>
      <c r="G31" s="982"/>
      <c r="H31" s="1008"/>
      <c r="I31" s="1063"/>
      <c r="J31" s="622"/>
      <c r="K31" s="982"/>
      <c r="L31" s="1051"/>
      <c r="M31" s="1029"/>
      <c r="N31" s="878"/>
    </row>
    <row r="32" spans="1:14" s="224" customFormat="1" ht="15" customHeight="1" x14ac:dyDescent="0.25">
      <c r="A32" s="1052">
        <v>44293</v>
      </c>
      <c r="B32" s="873" t="s">
        <v>2925</v>
      </c>
      <c r="C32" s="887" t="s">
        <v>12</v>
      </c>
      <c r="D32" s="1005" t="s">
        <v>2131</v>
      </c>
      <c r="E32" s="887" t="s">
        <v>13</v>
      </c>
      <c r="F32" s="613">
        <v>40</v>
      </c>
      <c r="G32" s="967"/>
      <c r="H32" s="1008"/>
      <c r="I32" s="1063"/>
      <c r="J32" s="622"/>
      <c r="K32" s="982"/>
      <c r="L32" s="861"/>
      <c r="N32" s="878"/>
    </row>
    <row r="33" spans="1:14" s="224" customFormat="1" ht="15" customHeight="1" x14ac:dyDescent="0.25">
      <c r="A33" s="1052">
        <v>44293</v>
      </c>
      <c r="B33" s="873" t="s">
        <v>2925</v>
      </c>
      <c r="C33" s="887" t="s">
        <v>12</v>
      </c>
      <c r="D33" s="1005" t="s">
        <v>2131</v>
      </c>
      <c r="E33" s="887" t="s">
        <v>13</v>
      </c>
      <c r="F33" s="613">
        <v>79</v>
      </c>
      <c r="G33" s="982"/>
      <c r="H33" s="1008"/>
      <c r="I33" s="1063"/>
      <c r="J33" s="622"/>
      <c r="K33" s="982"/>
      <c r="L33" s="861"/>
      <c r="N33" s="1035"/>
    </row>
    <row r="34" spans="1:14" s="224" customFormat="1" ht="15" customHeight="1" x14ac:dyDescent="0.25">
      <c r="A34" s="1052">
        <v>44293</v>
      </c>
      <c r="B34" s="873" t="s">
        <v>2925</v>
      </c>
      <c r="C34" s="887" t="s">
        <v>12</v>
      </c>
      <c r="D34" s="1005" t="s">
        <v>1522</v>
      </c>
      <c r="E34" s="887" t="s">
        <v>13</v>
      </c>
      <c r="F34" s="613">
        <v>13.07</v>
      </c>
      <c r="G34" s="967"/>
      <c r="H34" s="1008"/>
      <c r="I34" s="1063"/>
      <c r="J34" s="622"/>
      <c r="K34" s="982"/>
      <c r="L34" s="861"/>
      <c r="N34" s="878"/>
    </row>
    <row r="35" spans="1:14" s="224" customFormat="1" ht="15" customHeight="1" x14ac:dyDescent="0.25">
      <c r="A35" s="1052">
        <v>44293</v>
      </c>
      <c r="B35" s="862" t="s">
        <v>2385</v>
      </c>
      <c r="C35" s="879" t="s">
        <v>12</v>
      </c>
      <c r="D35" s="879" t="s">
        <v>1504</v>
      </c>
      <c r="E35" s="871" t="s">
        <v>13</v>
      </c>
      <c r="F35" s="780">
        <v>50</v>
      </c>
      <c r="G35" s="982"/>
      <c r="H35" s="1008"/>
      <c r="I35" s="1063"/>
      <c r="J35" s="622"/>
      <c r="K35" s="982"/>
      <c r="L35" s="1028">
        <v>90</v>
      </c>
      <c r="M35" s="999"/>
      <c r="N35" s="1035"/>
    </row>
    <row r="36" spans="1:14" s="224" customFormat="1" ht="15" customHeight="1" x14ac:dyDescent="0.25">
      <c r="A36" s="1052">
        <v>44293</v>
      </c>
      <c r="B36" s="882" t="s">
        <v>2926</v>
      </c>
      <c r="C36" s="879" t="s">
        <v>12</v>
      </c>
      <c r="D36" s="879" t="s">
        <v>1499</v>
      </c>
      <c r="E36" s="871" t="s">
        <v>13</v>
      </c>
      <c r="F36" s="780">
        <v>64.27</v>
      </c>
      <c r="G36" s="982"/>
      <c r="H36" s="1008"/>
      <c r="I36" s="1063"/>
      <c r="J36" s="622"/>
      <c r="K36" s="982"/>
      <c r="L36" s="1028">
        <v>144.27000000000001</v>
      </c>
      <c r="M36" s="999"/>
      <c r="N36" s="878"/>
    </row>
    <row r="37" spans="1:14" s="224" customFormat="1" ht="15" customHeight="1" x14ac:dyDescent="0.25">
      <c r="A37" s="1052">
        <v>44293</v>
      </c>
      <c r="B37" s="882" t="s">
        <v>687</v>
      </c>
      <c r="C37" s="879" t="s">
        <v>12</v>
      </c>
      <c r="D37" s="879" t="s">
        <v>1491</v>
      </c>
      <c r="E37" s="875" t="s">
        <v>13</v>
      </c>
      <c r="F37" s="780">
        <v>80</v>
      </c>
      <c r="G37" s="982"/>
      <c r="H37" s="1008"/>
      <c r="I37" s="1063"/>
      <c r="J37" s="622"/>
      <c r="K37" s="982"/>
      <c r="L37" s="861"/>
      <c r="N37" s="1035"/>
    </row>
    <row r="38" spans="1:14" s="224" customFormat="1" ht="15" customHeight="1" x14ac:dyDescent="0.25">
      <c r="A38" s="1052">
        <v>44293</v>
      </c>
      <c r="B38" s="882" t="s">
        <v>2781</v>
      </c>
      <c r="C38" s="879" t="s">
        <v>12</v>
      </c>
      <c r="D38" s="879" t="s">
        <v>1491</v>
      </c>
      <c r="E38" s="875" t="s">
        <v>13</v>
      </c>
      <c r="F38" s="780">
        <v>170</v>
      </c>
      <c r="G38" s="982"/>
      <c r="H38" s="1008"/>
      <c r="I38" s="1063"/>
      <c r="J38" s="622"/>
      <c r="K38" s="982"/>
      <c r="L38" s="861"/>
      <c r="N38" s="1035"/>
    </row>
    <row r="39" spans="1:14" s="224" customFormat="1" ht="15" customHeight="1" x14ac:dyDescent="0.25">
      <c r="A39" s="1052">
        <v>44293</v>
      </c>
      <c r="B39" s="873" t="s">
        <v>2927</v>
      </c>
      <c r="C39" s="874" t="s">
        <v>12</v>
      </c>
      <c r="D39" s="874" t="s">
        <v>1522</v>
      </c>
      <c r="E39" s="875" t="s">
        <v>13</v>
      </c>
      <c r="F39" s="852">
        <v>98.91</v>
      </c>
      <c r="G39" s="1064"/>
      <c r="H39" s="97"/>
      <c r="I39" s="982"/>
      <c r="J39" s="622"/>
      <c r="K39" s="982"/>
    </row>
    <row r="40" spans="1:14" s="224" customFormat="1" ht="15" customHeight="1" x14ac:dyDescent="0.25">
      <c r="A40" s="1052">
        <v>44293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16</v>
      </c>
      <c r="G40" s="982"/>
      <c r="H40" s="1008"/>
      <c r="I40" s="1063"/>
      <c r="J40" s="622"/>
      <c r="K40" s="982"/>
      <c r="L40" s="1029"/>
      <c r="M40" s="89"/>
      <c r="N40" s="1035"/>
    </row>
    <row r="41" spans="1:14" s="224" customFormat="1" ht="15" customHeight="1" x14ac:dyDescent="0.25">
      <c r="A41" s="1052">
        <v>44294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16</v>
      </c>
      <c r="G41" s="982"/>
      <c r="H41" s="1008"/>
      <c r="I41" s="1063"/>
      <c r="J41" s="622"/>
      <c r="K41" s="982"/>
      <c r="L41" s="1029"/>
      <c r="M41" s="89"/>
      <c r="N41" s="1035"/>
    </row>
    <row r="42" spans="1:14" s="224" customFormat="1" ht="15" customHeight="1" x14ac:dyDescent="0.25">
      <c r="A42" s="1052">
        <v>44294</v>
      </c>
      <c r="B42" s="882" t="s">
        <v>2415</v>
      </c>
      <c r="C42" s="879" t="s">
        <v>12</v>
      </c>
      <c r="D42" s="879" t="s">
        <v>1493</v>
      </c>
      <c r="E42" s="875" t="s">
        <v>13</v>
      </c>
      <c r="F42" s="780">
        <v>5</v>
      </c>
      <c r="G42" s="982"/>
      <c r="H42" s="1008"/>
      <c r="I42" s="1063"/>
      <c r="J42" s="622"/>
      <c r="K42" s="982"/>
      <c r="L42" s="1029"/>
      <c r="M42" s="89"/>
      <c r="N42" s="930"/>
    </row>
    <row r="43" spans="1:14" s="224" customFormat="1" ht="15" customHeight="1" x14ac:dyDescent="0.25">
      <c r="A43" s="1052">
        <v>44294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6.39</v>
      </c>
      <c r="G43" s="982"/>
      <c r="H43" s="1008"/>
      <c r="I43" s="1063"/>
      <c r="J43" s="622"/>
      <c r="K43" s="982"/>
      <c r="L43" s="861"/>
      <c r="N43" s="1035"/>
    </row>
    <row r="44" spans="1:14" s="224" customFormat="1" ht="15" customHeight="1" x14ac:dyDescent="0.25">
      <c r="A44" s="1052">
        <v>44294</v>
      </c>
      <c r="B44" s="882" t="s">
        <v>2197</v>
      </c>
      <c r="C44" s="879" t="s">
        <v>12</v>
      </c>
      <c r="D44" s="879" t="s">
        <v>2168</v>
      </c>
      <c r="E44" s="875" t="s">
        <v>13</v>
      </c>
      <c r="F44" s="780">
        <v>30</v>
      </c>
      <c r="G44" s="982"/>
      <c r="H44" s="622"/>
      <c r="I44" s="982"/>
      <c r="J44" s="622"/>
      <c r="K44" s="982"/>
      <c r="L44" s="927"/>
      <c r="N44" s="878"/>
    </row>
    <row r="45" spans="1:14" s="224" customFormat="1" ht="15" customHeight="1" x14ac:dyDescent="0.25">
      <c r="A45" s="1052">
        <v>44295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16</v>
      </c>
      <c r="G45" s="982"/>
      <c r="H45" s="1008"/>
      <c r="I45" s="1063"/>
      <c r="J45" s="622"/>
      <c r="K45" s="982"/>
      <c r="L45" s="1029"/>
      <c r="M45" s="89"/>
      <c r="N45" s="1035"/>
    </row>
    <row r="46" spans="1:14" s="224" customFormat="1" ht="15" customHeight="1" x14ac:dyDescent="0.25">
      <c r="A46" s="1052">
        <v>44295</v>
      </c>
      <c r="B46" s="882" t="s">
        <v>2415</v>
      </c>
      <c r="C46" s="879" t="s">
        <v>12</v>
      </c>
      <c r="D46" s="879" t="s">
        <v>1493</v>
      </c>
      <c r="E46" s="875" t="s">
        <v>13</v>
      </c>
      <c r="F46" s="780">
        <v>5</v>
      </c>
      <c r="G46" s="982"/>
      <c r="H46" s="1008"/>
      <c r="I46" s="1063"/>
      <c r="J46" s="622"/>
      <c r="K46" s="982"/>
      <c r="L46" s="1029"/>
      <c r="M46" s="89"/>
      <c r="N46" s="930"/>
    </row>
    <row r="47" spans="1:14" s="224" customFormat="1" ht="15" customHeight="1" x14ac:dyDescent="0.25">
      <c r="A47" s="1052">
        <v>44295</v>
      </c>
      <c r="B47" s="873" t="s">
        <v>82</v>
      </c>
      <c r="C47" s="879" t="s">
        <v>12</v>
      </c>
      <c r="D47" s="879" t="s">
        <v>1493</v>
      </c>
      <c r="E47" s="871" t="s">
        <v>13</v>
      </c>
      <c r="F47" s="780">
        <v>29.82</v>
      </c>
      <c r="G47" s="982"/>
      <c r="H47" s="1008"/>
      <c r="I47" s="1063"/>
      <c r="J47" s="622"/>
      <c r="K47" s="982"/>
      <c r="L47" s="861"/>
      <c r="N47" s="878"/>
    </row>
    <row r="48" spans="1:14" s="224" customFormat="1" x14ac:dyDescent="0.25">
      <c r="A48" s="1052">
        <v>44296</v>
      </c>
      <c r="B48" s="882" t="s">
        <v>2629</v>
      </c>
      <c r="C48" s="879" t="s">
        <v>12</v>
      </c>
      <c r="D48" s="879" t="s">
        <v>1489</v>
      </c>
      <c r="E48" s="875" t="s">
        <v>13</v>
      </c>
      <c r="F48" s="780">
        <v>20.420000000000002</v>
      </c>
      <c r="G48" s="982"/>
      <c r="H48" s="1008"/>
      <c r="I48" s="1063"/>
      <c r="J48" s="622"/>
      <c r="K48" s="982"/>
      <c r="L48" s="1029"/>
      <c r="M48" s="89"/>
      <c r="N48" s="930"/>
    </row>
    <row r="49" spans="1:14" s="224" customFormat="1" x14ac:dyDescent="0.25">
      <c r="A49" s="1052">
        <v>44296</v>
      </c>
      <c r="B49" s="882" t="s">
        <v>80</v>
      </c>
      <c r="C49" s="879" t="s">
        <v>12</v>
      </c>
      <c r="D49" s="879" t="s">
        <v>1523</v>
      </c>
      <c r="E49" s="875" t="s">
        <v>13</v>
      </c>
      <c r="F49" s="780">
        <v>38</v>
      </c>
      <c r="G49" s="982"/>
      <c r="H49" s="1008"/>
      <c r="I49" s="1063"/>
      <c r="J49" s="622"/>
      <c r="K49" s="982"/>
      <c r="L49" s="1029"/>
      <c r="M49" s="89"/>
      <c r="N49" s="930"/>
    </row>
    <row r="50" spans="1:14" s="224" customFormat="1" ht="15" customHeight="1" x14ac:dyDescent="0.25">
      <c r="A50" s="1052">
        <v>44296</v>
      </c>
      <c r="B50" s="873" t="s">
        <v>82</v>
      </c>
      <c r="C50" s="879" t="s">
        <v>12</v>
      </c>
      <c r="D50" s="879" t="s">
        <v>1493</v>
      </c>
      <c r="E50" s="871" t="s">
        <v>13</v>
      </c>
      <c r="F50" s="780">
        <v>29.9</v>
      </c>
      <c r="G50" s="982"/>
      <c r="H50" s="1008"/>
      <c r="I50" s="1063"/>
      <c r="J50" s="622"/>
      <c r="K50" s="982"/>
      <c r="L50" s="861"/>
      <c r="N50" s="878"/>
    </row>
    <row r="51" spans="1:14" s="224" customFormat="1" ht="15" customHeight="1" x14ac:dyDescent="0.25">
      <c r="A51" s="1052">
        <v>44297</v>
      </c>
      <c r="B51" s="882" t="s">
        <v>14</v>
      </c>
      <c r="C51" s="879" t="s">
        <v>12</v>
      </c>
      <c r="D51" s="879" t="s">
        <v>1486</v>
      </c>
      <c r="E51" s="875" t="s">
        <v>13</v>
      </c>
      <c r="F51" s="780">
        <v>10.66</v>
      </c>
      <c r="G51" s="982"/>
      <c r="H51" s="1008"/>
      <c r="I51" s="1063"/>
      <c r="J51" s="622"/>
      <c r="K51" s="982"/>
      <c r="L51" s="861"/>
      <c r="N51" s="1035"/>
    </row>
    <row r="52" spans="1:14" s="224" customFormat="1" ht="15" customHeight="1" x14ac:dyDescent="0.25">
      <c r="A52" s="1052">
        <v>44297</v>
      </c>
      <c r="B52" s="873" t="s">
        <v>2096</v>
      </c>
      <c r="C52" s="879" t="s">
        <v>12</v>
      </c>
      <c r="D52" s="879" t="s">
        <v>1506</v>
      </c>
      <c r="E52" s="871" t="s">
        <v>15</v>
      </c>
      <c r="F52" s="780">
        <v>40</v>
      </c>
      <c r="G52" s="946"/>
      <c r="H52" s="95"/>
      <c r="I52" s="1064"/>
      <c r="J52" s="97"/>
      <c r="K52" s="946"/>
      <c r="L52" s="926"/>
      <c r="M52" s="89"/>
      <c r="N52" s="930"/>
    </row>
    <row r="53" spans="1:14" s="224" customFormat="1" ht="15" customHeight="1" x14ac:dyDescent="0.25">
      <c r="A53" s="1052">
        <v>44297</v>
      </c>
      <c r="B53" s="882" t="s">
        <v>32</v>
      </c>
      <c r="C53" s="879" t="s">
        <v>12</v>
      </c>
      <c r="D53" s="879" t="s">
        <v>1485</v>
      </c>
      <c r="E53" s="875" t="s">
        <v>13</v>
      </c>
      <c r="F53" s="780">
        <v>35.700000000000003</v>
      </c>
      <c r="G53" s="982"/>
      <c r="H53" s="1008"/>
      <c r="I53" s="1063"/>
      <c r="J53" s="622"/>
      <c r="K53" s="982"/>
      <c r="L53" s="1029"/>
      <c r="M53" s="89"/>
      <c r="N53" s="1035"/>
    </row>
    <row r="54" spans="1:14" s="224" customFormat="1" x14ac:dyDescent="0.25">
      <c r="A54" s="1052">
        <v>44297</v>
      </c>
      <c r="B54" s="882" t="s">
        <v>81</v>
      </c>
      <c r="C54" s="879" t="s">
        <v>12</v>
      </c>
      <c r="D54" s="879" t="s">
        <v>1493</v>
      </c>
      <c r="E54" s="875" t="s">
        <v>13</v>
      </c>
      <c r="F54" s="1047">
        <v>8.92</v>
      </c>
      <c r="G54" s="982"/>
      <c r="H54" s="1008"/>
      <c r="I54" s="1063"/>
      <c r="J54" s="622"/>
      <c r="K54" s="982"/>
      <c r="L54" s="861"/>
      <c r="N54" s="878"/>
    </row>
    <row r="55" spans="1:14" s="224" customFormat="1" ht="15" customHeight="1" x14ac:dyDescent="0.25">
      <c r="A55" s="1052">
        <v>44297</v>
      </c>
      <c r="B55" s="882" t="s">
        <v>2923</v>
      </c>
      <c r="C55" s="879" t="s">
        <v>12</v>
      </c>
      <c r="D55" s="879" t="s">
        <v>2157</v>
      </c>
      <c r="E55" s="875" t="s">
        <v>15</v>
      </c>
      <c r="F55" s="780">
        <v>50</v>
      </c>
      <c r="G55" s="982"/>
      <c r="H55" s="622"/>
      <c r="I55" s="982"/>
      <c r="J55" s="622"/>
      <c r="K55" s="982"/>
      <c r="L55" s="927"/>
      <c r="N55" s="878"/>
    </row>
    <row r="56" spans="1:14" s="224" customFormat="1" ht="15" customHeight="1" x14ac:dyDescent="0.25">
      <c r="A56" s="1052">
        <v>44298</v>
      </c>
      <c r="B56" s="873" t="s">
        <v>260</v>
      </c>
      <c r="C56" s="879" t="s">
        <v>12</v>
      </c>
      <c r="D56" s="879"/>
      <c r="E56" s="871"/>
      <c r="F56" s="780">
        <v>130</v>
      </c>
      <c r="G56" s="946"/>
      <c r="H56" s="95"/>
      <c r="I56" s="1064">
        <v>130</v>
      </c>
      <c r="J56" s="622"/>
      <c r="K56" s="982"/>
      <c r="L56" s="861"/>
    </row>
    <row r="57" spans="1:14" s="224" customFormat="1" ht="15" customHeight="1" x14ac:dyDescent="0.25">
      <c r="A57" s="1052">
        <v>44298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16</v>
      </c>
      <c r="G57" s="982"/>
      <c r="H57" s="1008"/>
      <c r="I57" s="1063"/>
      <c r="J57" s="622"/>
      <c r="K57" s="982"/>
      <c r="L57" s="1029"/>
      <c r="M57" s="89"/>
      <c r="N57" s="1035"/>
    </row>
    <row r="58" spans="1:14" s="224" customFormat="1" x14ac:dyDescent="0.25">
      <c r="A58" s="1052">
        <v>44298</v>
      </c>
      <c r="B58" s="1058" t="s">
        <v>2928</v>
      </c>
      <c r="C58" s="1059" t="s">
        <v>12</v>
      </c>
      <c r="D58" s="1059" t="s">
        <v>1506</v>
      </c>
      <c r="E58" s="1046" t="s">
        <v>13</v>
      </c>
      <c r="F58" s="1047">
        <v>15</v>
      </c>
      <c r="G58" s="982"/>
      <c r="H58" s="1008"/>
      <c r="I58" s="1063"/>
      <c r="J58" s="622"/>
      <c r="K58" s="982"/>
      <c r="L58" s="1029"/>
      <c r="M58" s="89"/>
      <c r="N58" s="930"/>
    </row>
    <row r="59" spans="1:14" s="224" customFormat="1" ht="15" customHeight="1" x14ac:dyDescent="0.25">
      <c r="A59" s="1052">
        <v>44298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6.32</v>
      </c>
      <c r="G59" s="982"/>
      <c r="H59" s="1008"/>
      <c r="I59" s="1063"/>
      <c r="J59" s="622"/>
      <c r="K59" s="982"/>
      <c r="L59" s="861"/>
      <c r="N59" s="1035"/>
    </row>
    <row r="60" spans="1:14" s="224" customFormat="1" ht="15" customHeight="1" x14ac:dyDescent="0.25">
      <c r="A60" s="215">
        <v>44298</v>
      </c>
      <c r="B60" s="364" t="s">
        <v>1396</v>
      </c>
      <c r="C60" s="350" t="s">
        <v>12</v>
      </c>
      <c r="D60" s="350"/>
      <c r="E60" s="480" t="s">
        <v>25</v>
      </c>
      <c r="F60" s="613"/>
      <c r="G60" s="967">
        <v>70</v>
      </c>
      <c r="H60" s="1008"/>
      <c r="I60" s="1063"/>
      <c r="J60" s="622"/>
      <c r="K60" s="982"/>
      <c r="L60" s="861"/>
    </row>
    <row r="61" spans="1:14" s="224" customFormat="1" ht="15" customHeight="1" x14ac:dyDescent="0.25">
      <c r="A61" s="1052">
        <v>44299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16</v>
      </c>
      <c r="G61" s="982"/>
      <c r="H61" s="1008"/>
      <c r="I61" s="1063"/>
      <c r="J61" s="622"/>
      <c r="K61" s="982"/>
      <c r="L61" s="1029"/>
      <c r="M61" s="89"/>
      <c r="N61" s="1035"/>
    </row>
    <row r="62" spans="1:14" s="224" customFormat="1" ht="15" customHeight="1" x14ac:dyDescent="0.25">
      <c r="A62" s="1052">
        <v>44299</v>
      </c>
      <c r="B62" s="882" t="s">
        <v>14</v>
      </c>
      <c r="C62" s="879" t="s">
        <v>12</v>
      </c>
      <c r="D62" s="879" t="s">
        <v>1486</v>
      </c>
      <c r="E62" s="875" t="s">
        <v>13</v>
      </c>
      <c r="F62" s="1047">
        <v>13.29</v>
      </c>
      <c r="G62" s="982"/>
      <c r="H62" s="1008"/>
      <c r="I62" s="1063"/>
      <c r="J62" s="622"/>
      <c r="K62" s="982"/>
      <c r="L62" s="1029"/>
      <c r="M62" s="881"/>
      <c r="N62" s="877"/>
    </row>
    <row r="63" spans="1:14" s="224" customFormat="1" ht="15" customHeight="1" x14ac:dyDescent="0.25">
      <c r="A63" s="1052">
        <v>44300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16</v>
      </c>
      <c r="G63" s="982"/>
      <c r="H63" s="1008"/>
      <c r="I63" s="1063"/>
      <c r="J63" s="622"/>
      <c r="K63" s="982"/>
      <c r="L63" s="1029"/>
      <c r="M63" s="89"/>
      <c r="N63" s="1035"/>
    </row>
    <row r="64" spans="1:14" s="224" customFormat="1" ht="15" customHeight="1" x14ac:dyDescent="0.25">
      <c r="A64" s="1052">
        <v>44300</v>
      </c>
      <c r="B64" s="882" t="s">
        <v>2415</v>
      </c>
      <c r="C64" s="879" t="s">
        <v>12</v>
      </c>
      <c r="D64" s="879" t="s">
        <v>1493</v>
      </c>
      <c r="E64" s="875" t="s">
        <v>13</v>
      </c>
      <c r="F64" s="780">
        <v>5</v>
      </c>
      <c r="G64" s="982"/>
      <c r="H64" s="1008"/>
      <c r="I64" s="1063"/>
      <c r="J64" s="622"/>
      <c r="K64" s="982"/>
      <c r="L64" s="1029"/>
      <c r="M64" s="89"/>
      <c r="N64" s="930"/>
    </row>
    <row r="65" spans="1:14" s="224" customFormat="1" x14ac:dyDescent="0.25">
      <c r="A65" s="1052">
        <v>44300</v>
      </c>
      <c r="B65" s="882" t="s">
        <v>2929</v>
      </c>
      <c r="C65" s="879" t="s">
        <v>19</v>
      </c>
      <c r="D65" s="879" t="s">
        <v>1491</v>
      </c>
      <c r="E65" s="875" t="s">
        <v>13</v>
      </c>
      <c r="F65" s="1047">
        <v>59.8</v>
      </c>
      <c r="G65" s="982"/>
      <c r="H65" s="1008"/>
      <c r="I65" s="1063"/>
      <c r="J65" s="622"/>
      <c r="K65" s="982"/>
      <c r="L65" s="1029"/>
      <c r="M65" s="89"/>
      <c r="N65" s="930"/>
    </row>
    <row r="66" spans="1:14" s="224" customFormat="1" x14ac:dyDescent="0.25">
      <c r="A66" s="1052">
        <v>44300</v>
      </c>
      <c r="B66" s="882" t="s">
        <v>2930</v>
      </c>
      <c r="C66" s="879" t="s">
        <v>19</v>
      </c>
      <c r="D66" s="879" t="s">
        <v>1489</v>
      </c>
      <c r="E66" s="875" t="s">
        <v>13</v>
      </c>
      <c r="F66" s="1047">
        <v>38</v>
      </c>
      <c r="G66" s="982"/>
      <c r="H66" s="1008"/>
      <c r="I66" s="1063"/>
      <c r="J66" s="622"/>
      <c r="K66" s="982"/>
      <c r="L66" s="1029"/>
      <c r="M66" s="89"/>
      <c r="N66" s="930"/>
    </row>
    <row r="67" spans="1:14" s="224" customFormat="1" ht="15" customHeight="1" x14ac:dyDescent="0.25">
      <c r="A67" s="1052">
        <v>44300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1047">
        <v>4.49</v>
      </c>
      <c r="G67" s="982"/>
      <c r="H67" s="1008"/>
      <c r="I67" s="1063"/>
      <c r="J67" s="622"/>
      <c r="K67" s="982"/>
      <c r="L67" s="1029"/>
      <c r="M67" s="881"/>
      <c r="N67" s="877"/>
    </row>
    <row r="68" spans="1:14" s="224" customFormat="1" ht="15" customHeight="1" x14ac:dyDescent="0.25">
      <c r="A68" s="1052">
        <v>44301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16</v>
      </c>
      <c r="G68" s="982"/>
      <c r="H68" s="1008"/>
      <c r="I68" s="1063"/>
      <c r="J68" s="622"/>
      <c r="K68" s="982"/>
      <c r="L68" s="1029"/>
      <c r="M68" s="89"/>
      <c r="N68" s="1035"/>
    </row>
    <row r="69" spans="1:14" s="224" customFormat="1" ht="15" customHeight="1" x14ac:dyDescent="0.25">
      <c r="A69" s="1052">
        <v>44301</v>
      </c>
      <c r="B69" s="882" t="s">
        <v>2923</v>
      </c>
      <c r="C69" s="879" t="s">
        <v>12</v>
      </c>
      <c r="D69" s="879" t="s">
        <v>2157</v>
      </c>
      <c r="E69" s="875" t="s">
        <v>13</v>
      </c>
      <c r="F69" s="780">
        <v>63.8</v>
      </c>
      <c r="G69" s="982"/>
      <c r="H69" s="622"/>
      <c r="I69" s="982"/>
      <c r="J69" s="622"/>
      <c r="K69" s="982"/>
      <c r="L69" s="927"/>
      <c r="N69" s="878"/>
    </row>
    <row r="70" spans="1:14" s="224" customFormat="1" ht="15" customHeight="1" x14ac:dyDescent="0.25">
      <c r="A70" s="1052">
        <v>44301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1047">
        <v>14.62</v>
      </c>
      <c r="G70" s="982"/>
      <c r="H70" s="1008"/>
      <c r="I70" s="1063"/>
      <c r="J70" s="622"/>
      <c r="K70" s="982"/>
      <c r="L70" s="1029"/>
      <c r="M70" s="881"/>
      <c r="N70" s="877"/>
    </row>
    <row r="71" spans="1:14" s="224" customFormat="1" ht="15" customHeight="1" x14ac:dyDescent="0.25">
      <c r="A71" s="1052">
        <v>44302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16</v>
      </c>
      <c r="G71" s="982"/>
      <c r="H71" s="1008"/>
      <c r="I71" s="1063"/>
      <c r="J71" s="622"/>
      <c r="K71" s="982"/>
      <c r="L71" s="1029"/>
      <c r="M71" s="89"/>
      <c r="N71" s="1035"/>
    </row>
    <row r="72" spans="1:14" s="224" customFormat="1" ht="15" customHeight="1" x14ac:dyDescent="0.25">
      <c r="A72" s="1052">
        <v>44302</v>
      </c>
      <c r="B72" s="882" t="s">
        <v>2415</v>
      </c>
      <c r="C72" s="879" t="s">
        <v>12</v>
      </c>
      <c r="D72" s="879" t="s">
        <v>1493</v>
      </c>
      <c r="E72" s="875" t="s">
        <v>13</v>
      </c>
      <c r="F72" s="780">
        <v>5</v>
      </c>
      <c r="G72" s="982"/>
      <c r="H72" s="1008"/>
      <c r="I72" s="1063"/>
      <c r="J72" s="622"/>
      <c r="K72" s="982"/>
      <c r="L72" s="1029"/>
      <c r="M72" s="89"/>
      <c r="N72" s="930"/>
    </row>
    <row r="73" spans="1:14" s="224" customFormat="1" ht="15" customHeight="1" x14ac:dyDescent="0.25">
      <c r="A73" s="1052">
        <v>44302</v>
      </c>
      <c r="B73" s="882" t="s">
        <v>256</v>
      </c>
      <c r="C73" s="879"/>
      <c r="D73" s="879"/>
      <c r="E73" s="875" t="s">
        <v>25</v>
      </c>
      <c r="F73" s="780"/>
      <c r="G73" s="982">
        <v>380</v>
      </c>
      <c r="H73" s="1060">
        <v>380</v>
      </c>
      <c r="I73" s="1063"/>
      <c r="J73" s="622"/>
      <c r="K73" s="982"/>
      <c r="L73" s="861"/>
      <c r="N73" s="878"/>
    </row>
    <row r="74" spans="1:14" s="224" customFormat="1" ht="15" customHeight="1" x14ac:dyDescent="0.25">
      <c r="A74" s="1052">
        <v>44302</v>
      </c>
      <c r="B74" s="882" t="s">
        <v>2931</v>
      </c>
      <c r="C74" s="879" t="s">
        <v>12</v>
      </c>
      <c r="D74" s="879" t="s">
        <v>1499</v>
      </c>
      <c r="E74" s="871" t="s">
        <v>13</v>
      </c>
      <c r="F74" s="780">
        <v>61.43</v>
      </c>
      <c r="G74" s="982"/>
      <c r="H74" s="1008"/>
      <c r="I74" s="1063"/>
      <c r="J74" s="622"/>
      <c r="K74" s="982"/>
      <c r="L74" s="861">
        <v>151.43</v>
      </c>
      <c r="N74" s="878"/>
    </row>
    <row r="75" spans="1:14" s="224" customFormat="1" ht="15" customHeight="1" x14ac:dyDescent="0.25">
      <c r="A75" s="1052">
        <v>44302</v>
      </c>
      <c r="B75" s="882" t="s">
        <v>2197</v>
      </c>
      <c r="C75" s="879" t="s">
        <v>12</v>
      </c>
      <c r="D75" s="879" t="s">
        <v>2168</v>
      </c>
      <c r="E75" s="875" t="s">
        <v>13</v>
      </c>
      <c r="F75" s="780">
        <v>40</v>
      </c>
      <c r="G75" s="982"/>
      <c r="H75" s="622"/>
      <c r="I75" s="982"/>
      <c r="J75" s="622"/>
      <c r="K75" s="982"/>
      <c r="L75" s="927"/>
      <c r="N75" s="878"/>
    </row>
    <row r="76" spans="1:14" s="224" customFormat="1" x14ac:dyDescent="0.25">
      <c r="A76" s="1052">
        <v>44302</v>
      </c>
      <c r="B76" s="882" t="s">
        <v>14</v>
      </c>
      <c r="C76" s="879" t="s">
        <v>12</v>
      </c>
      <c r="D76" s="879" t="s">
        <v>1486</v>
      </c>
      <c r="E76" s="875" t="s">
        <v>13</v>
      </c>
      <c r="F76" s="780">
        <v>5.09</v>
      </c>
      <c r="G76" s="982"/>
      <c r="H76" s="1008"/>
      <c r="I76" s="1063"/>
      <c r="J76" s="622"/>
      <c r="K76" s="982"/>
      <c r="N76" s="878"/>
    </row>
    <row r="77" spans="1:14" s="224" customFormat="1" x14ac:dyDescent="0.25">
      <c r="A77" s="1052">
        <v>44303</v>
      </c>
      <c r="B77" s="882" t="s">
        <v>14</v>
      </c>
      <c r="C77" s="879" t="s">
        <v>12</v>
      </c>
      <c r="D77" s="879" t="s">
        <v>1486</v>
      </c>
      <c r="E77" s="875" t="s">
        <v>13</v>
      </c>
      <c r="F77" s="780">
        <v>4.33</v>
      </c>
      <c r="G77" s="982"/>
      <c r="H77" s="1008"/>
      <c r="I77" s="1063"/>
      <c r="J77" s="622"/>
      <c r="K77" s="982"/>
      <c r="N77" s="878"/>
    </row>
    <row r="78" spans="1:14" s="224" customFormat="1" x14ac:dyDescent="0.25">
      <c r="A78" s="1052">
        <v>44303</v>
      </c>
      <c r="B78" s="882" t="s">
        <v>2932</v>
      </c>
      <c r="C78" s="879" t="s">
        <v>12</v>
      </c>
      <c r="D78" s="879" t="s">
        <v>2131</v>
      </c>
      <c r="E78" s="875" t="s">
        <v>13</v>
      </c>
      <c r="F78" s="780">
        <v>80</v>
      </c>
      <c r="G78" s="982"/>
      <c r="H78" s="1008"/>
      <c r="I78" s="1063"/>
      <c r="J78" s="622"/>
      <c r="K78" s="982"/>
      <c r="N78" s="878"/>
    </row>
    <row r="79" spans="1:14" s="224" customFormat="1" ht="15" customHeight="1" x14ac:dyDescent="0.25">
      <c r="A79" s="1052">
        <v>44303</v>
      </c>
      <c r="B79" s="882" t="s">
        <v>81</v>
      </c>
      <c r="C79" s="879" t="s">
        <v>12</v>
      </c>
      <c r="D79" s="879" t="s">
        <v>1493</v>
      </c>
      <c r="E79" s="875" t="s">
        <v>15</v>
      </c>
      <c r="F79" s="780">
        <v>6</v>
      </c>
      <c r="G79" s="1063"/>
      <c r="H79" s="622"/>
      <c r="I79" s="982"/>
      <c r="J79" s="622"/>
      <c r="K79" s="982"/>
      <c r="L79" s="927"/>
    </row>
    <row r="80" spans="1:14" s="224" customFormat="1" ht="15" customHeight="1" x14ac:dyDescent="0.25">
      <c r="A80" s="1052">
        <v>44303</v>
      </c>
      <c r="B80" s="882" t="s">
        <v>81</v>
      </c>
      <c r="C80" s="879" t="s">
        <v>12</v>
      </c>
      <c r="D80" s="879" t="s">
        <v>1493</v>
      </c>
      <c r="E80" s="875" t="s">
        <v>13</v>
      </c>
      <c r="F80" s="780">
        <v>10</v>
      </c>
      <c r="G80" s="1063"/>
      <c r="H80" s="622"/>
      <c r="I80" s="982"/>
      <c r="J80" s="622"/>
      <c r="K80" s="982"/>
      <c r="L80" s="927"/>
    </row>
    <row r="81" spans="1:14" s="224" customFormat="1" ht="15" customHeight="1" x14ac:dyDescent="0.25">
      <c r="A81" s="1052">
        <v>44303</v>
      </c>
      <c r="B81" s="882" t="s">
        <v>2933</v>
      </c>
      <c r="C81" s="879" t="s">
        <v>12</v>
      </c>
      <c r="D81" s="879" t="s">
        <v>1523</v>
      </c>
      <c r="E81" s="875" t="s">
        <v>13</v>
      </c>
      <c r="F81" s="780">
        <v>24</v>
      </c>
      <c r="G81" s="1063"/>
      <c r="H81" s="622"/>
      <c r="I81" s="982"/>
      <c r="J81" s="622"/>
      <c r="K81" s="982"/>
      <c r="L81" s="927"/>
    </row>
    <row r="82" spans="1:14" s="224" customFormat="1" ht="15" customHeight="1" x14ac:dyDescent="0.25">
      <c r="A82" s="1052">
        <v>44303</v>
      </c>
      <c r="B82" s="882" t="s">
        <v>82</v>
      </c>
      <c r="C82" s="879" t="s">
        <v>12</v>
      </c>
      <c r="D82" s="879" t="s">
        <v>1493</v>
      </c>
      <c r="E82" s="875" t="s">
        <v>13</v>
      </c>
      <c r="F82" s="780">
        <v>19.399999999999999</v>
      </c>
      <c r="G82" s="1063"/>
      <c r="H82" s="622"/>
      <c r="I82" s="982"/>
      <c r="J82" s="622"/>
      <c r="K82" s="982"/>
      <c r="L82" s="927"/>
    </row>
    <row r="83" spans="1:14" s="224" customFormat="1" ht="15" customHeight="1" x14ac:dyDescent="0.25">
      <c r="A83" s="1052">
        <v>44304</v>
      </c>
      <c r="B83" s="882" t="s">
        <v>2934</v>
      </c>
      <c r="C83" s="879" t="s">
        <v>12</v>
      </c>
      <c r="D83" s="879" t="s">
        <v>1523</v>
      </c>
      <c r="E83" s="875" t="s">
        <v>13</v>
      </c>
      <c r="F83" s="1047">
        <v>87.85</v>
      </c>
      <c r="G83" s="982"/>
      <c r="H83" s="1008"/>
      <c r="I83" s="1063"/>
      <c r="J83" s="622"/>
      <c r="K83" s="982"/>
      <c r="L83" s="861"/>
      <c r="N83" s="878"/>
    </row>
    <row r="84" spans="1:14" s="224" customFormat="1" ht="15" customHeight="1" x14ac:dyDescent="0.25">
      <c r="A84" s="1052">
        <v>44304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20</v>
      </c>
      <c r="G84" s="982"/>
      <c r="H84" s="1008"/>
      <c r="I84" s="1063"/>
      <c r="J84" s="622"/>
      <c r="K84" s="982"/>
      <c r="L84" s="1029"/>
      <c r="M84" s="89"/>
      <c r="N84" s="1035"/>
    </row>
    <row r="85" spans="1:14" s="224" customFormat="1" x14ac:dyDescent="0.25">
      <c r="A85" s="1052">
        <v>44304</v>
      </c>
      <c r="B85" s="882" t="s">
        <v>14</v>
      </c>
      <c r="C85" s="879" t="s">
        <v>12</v>
      </c>
      <c r="D85" s="879" t="s">
        <v>1486</v>
      </c>
      <c r="E85" s="875" t="s">
        <v>13</v>
      </c>
      <c r="F85" s="780">
        <v>20.51</v>
      </c>
      <c r="G85" s="982"/>
      <c r="H85" s="1008"/>
      <c r="I85" s="1063"/>
      <c r="J85" s="622"/>
      <c r="K85" s="982"/>
      <c r="N85" s="878"/>
    </row>
    <row r="86" spans="1:14" s="224" customFormat="1" ht="15" customHeight="1" x14ac:dyDescent="0.25">
      <c r="A86" s="1052">
        <v>44305</v>
      </c>
      <c r="B86" s="882" t="s">
        <v>32</v>
      </c>
      <c r="C86" s="879" t="s">
        <v>12</v>
      </c>
      <c r="D86" s="879" t="s">
        <v>1485</v>
      </c>
      <c r="E86" s="875" t="s">
        <v>15</v>
      </c>
      <c r="F86" s="780">
        <v>16</v>
      </c>
      <c r="G86" s="982"/>
      <c r="H86" s="1008"/>
      <c r="I86" s="1063"/>
      <c r="J86" s="622"/>
      <c r="K86" s="982"/>
      <c r="L86" s="1029"/>
      <c r="M86" s="89"/>
      <c r="N86" s="1035"/>
    </row>
    <row r="87" spans="1:14" s="224" customFormat="1" ht="15" customHeight="1" x14ac:dyDescent="0.25">
      <c r="A87" s="1052">
        <v>44305</v>
      </c>
      <c r="B87" s="882" t="s">
        <v>14</v>
      </c>
      <c r="C87" s="879" t="s">
        <v>12</v>
      </c>
      <c r="D87" s="879" t="s">
        <v>1486</v>
      </c>
      <c r="E87" s="875" t="s">
        <v>13</v>
      </c>
      <c r="F87" s="1047">
        <v>12.82</v>
      </c>
      <c r="G87" s="982"/>
      <c r="H87" s="1008"/>
      <c r="I87" s="1063"/>
      <c r="J87" s="622"/>
      <c r="K87" s="982"/>
      <c r="L87" s="861"/>
      <c r="N87" s="878"/>
    </row>
    <row r="88" spans="1:14" s="224" customFormat="1" ht="15" customHeight="1" x14ac:dyDescent="0.25">
      <c r="A88" s="1052">
        <v>44306</v>
      </c>
      <c r="B88" s="882" t="s">
        <v>2935</v>
      </c>
      <c r="C88" s="879" t="s">
        <v>12</v>
      </c>
      <c r="D88" s="879"/>
      <c r="E88" s="871" t="s">
        <v>25</v>
      </c>
      <c r="F88" s="622"/>
      <c r="G88" s="982">
        <v>1660</v>
      </c>
      <c r="H88" s="1008"/>
      <c r="I88" s="1063"/>
      <c r="J88" s="622"/>
      <c r="K88" s="982"/>
      <c r="L88" s="861"/>
    </row>
    <row r="89" spans="1:14" x14ac:dyDescent="0.25">
      <c r="A89" s="1052">
        <v>44306</v>
      </c>
      <c r="B89" s="876" t="s">
        <v>2712</v>
      </c>
      <c r="C89" s="879" t="s">
        <v>12</v>
      </c>
      <c r="D89" s="879" t="s">
        <v>1496</v>
      </c>
      <c r="E89" s="871" t="s">
        <v>15</v>
      </c>
      <c r="F89" s="780"/>
      <c r="G89" s="982"/>
      <c r="H89" s="1009"/>
      <c r="I89" s="1063"/>
      <c r="J89" s="622"/>
      <c r="K89" s="982"/>
      <c r="L89" s="1029" t="s">
        <v>2936</v>
      </c>
    </row>
    <row r="90" spans="1:14" s="224" customFormat="1" ht="15" customHeight="1" x14ac:dyDescent="0.25">
      <c r="A90" s="1052">
        <v>44306</v>
      </c>
      <c r="B90" s="862" t="s">
        <v>2867</v>
      </c>
      <c r="C90" s="879" t="s">
        <v>12</v>
      </c>
      <c r="D90" s="874" t="s">
        <v>1504</v>
      </c>
      <c r="E90" s="887" t="s">
        <v>13</v>
      </c>
      <c r="F90" s="852">
        <v>30</v>
      </c>
      <c r="G90" s="982"/>
      <c r="H90" s="1009"/>
      <c r="I90" s="1063"/>
      <c r="J90" s="853"/>
      <c r="K90" s="982"/>
      <c r="L90" s="861"/>
      <c r="M90" s="927"/>
      <c r="N90" s="1035"/>
    </row>
    <row r="91" spans="1:14" s="224" customFormat="1" ht="15" customHeight="1" x14ac:dyDescent="0.25">
      <c r="A91" s="1052">
        <v>44306</v>
      </c>
      <c r="B91" s="873" t="s">
        <v>2937</v>
      </c>
      <c r="C91" s="879" t="s">
        <v>12</v>
      </c>
      <c r="D91" s="879" t="s">
        <v>1522</v>
      </c>
      <c r="E91" s="871" t="s">
        <v>13</v>
      </c>
      <c r="F91" s="780">
        <v>104.12</v>
      </c>
      <c r="G91" s="982"/>
      <c r="H91" s="1008"/>
      <c r="I91" s="1063"/>
      <c r="J91" s="622"/>
      <c r="K91" s="982"/>
      <c r="L91" s="1029"/>
      <c r="M91" s="89"/>
      <c r="N91" s="1035"/>
    </row>
    <row r="92" spans="1:14" s="224" customFormat="1" ht="15" customHeight="1" x14ac:dyDescent="0.25">
      <c r="A92" s="1052">
        <v>44306</v>
      </c>
      <c r="B92" s="882" t="s">
        <v>2781</v>
      </c>
      <c r="C92" s="879" t="s">
        <v>12</v>
      </c>
      <c r="D92" s="879" t="s">
        <v>1491</v>
      </c>
      <c r="E92" s="875" t="s">
        <v>13</v>
      </c>
      <c r="F92" s="780">
        <v>150</v>
      </c>
      <c r="G92" s="982"/>
      <c r="H92" s="1008"/>
      <c r="I92" s="1063"/>
      <c r="J92" s="622"/>
      <c r="K92" s="982"/>
      <c r="L92" s="861"/>
      <c r="N92" s="1035"/>
    </row>
    <row r="93" spans="1:14" s="224" customFormat="1" ht="15" customHeight="1" x14ac:dyDescent="0.25">
      <c r="A93" s="1052">
        <v>44306</v>
      </c>
      <c r="B93" s="882" t="s">
        <v>32</v>
      </c>
      <c r="C93" s="879" t="s">
        <v>12</v>
      </c>
      <c r="D93" s="879" t="s">
        <v>1485</v>
      </c>
      <c r="E93" s="875" t="s">
        <v>15</v>
      </c>
      <c r="F93" s="780">
        <v>16</v>
      </c>
      <c r="G93" s="982"/>
      <c r="H93" s="1008"/>
      <c r="I93" s="1063"/>
      <c r="J93" s="622"/>
      <c r="K93" s="982"/>
      <c r="L93" s="1029"/>
      <c r="M93" s="89"/>
      <c r="N93" s="1035"/>
    </row>
    <row r="94" spans="1:14" s="224" customFormat="1" ht="15" customHeight="1" x14ac:dyDescent="0.25">
      <c r="A94" s="1052">
        <v>44306</v>
      </c>
      <c r="B94" s="882" t="s">
        <v>2415</v>
      </c>
      <c r="C94" s="879" t="s">
        <v>12</v>
      </c>
      <c r="D94" s="879" t="s">
        <v>1493</v>
      </c>
      <c r="E94" s="875" t="s">
        <v>15</v>
      </c>
      <c r="F94" s="780">
        <v>5</v>
      </c>
      <c r="G94" s="982"/>
      <c r="H94" s="1008"/>
      <c r="I94" s="1063"/>
      <c r="J94" s="622"/>
      <c r="K94" s="982"/>
      <c r="L94" s="1029"/>
      <c r="M94" s="89"/>
      <c r="N94" s="930"/>
    </row>
    <row r="95" spans="1:14" s="224" customFormat="1" x14ac:dyDescent="0.25">
      <c r="A95" s="1052">
        <v>44306</v>
      </c>
      <c r="B95" s="882" t="s">
        <v>2938</v>
      </c>
      <c r="C95" s="879" t="s">
        <v>12</v>
      </c>
      <c r="D95" s="879"/>
      <c r="E95" s="875" t="s">
        <v>25</v>
      </c>
      <c r="F95" s="1047"/>
      <c r="G95" s="982">
        <v>200</v>
      </c>
      <c r="H95" s="1008"/>
      <c r="I95" s="1063"/>
      <c r="J95" s="622"/>
      <c r="K95" s="982"/>
      <c r="L95" s="1029"/>
      <c r="M95" s="89"/>
      <c r="N95" s="930"/>
    </row>
    <row r="96" spans="1:14" s="224" customFormat="1" ht="15" customHeight="1" x14ac:dyDescent="0.25">
      <c r="A96" s="1052">
        <v>44306</v>
      </c>
      <c r="B96" s="349" t="s">
        <v>260</v>
      </c>
      <c r="C96" s="350" t="s">
        <v>12</v>
      </c>
      <c r="D96" s="350"/>
      <c r="E96" s="480"/>
      <c r="F96" s="780">
        <v>500</v>
      </c>
      <c r="G96" s="946"/>
      <c r="H96" s="95"/>
      <c r="I96" s="1064">
        <v>500</v>
      </c>
      <c r="J96" s="622"/>
      <c r="K96" s="982"/>
      <c r="L96" s="861"/>
    </row>
    <row r="97" spans="1:14" s="224" customFormat="1" x14ac:dyDescent="0.25">
      <c r="A97" s="1052">
        <v>44306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1047">
        <v>7.79</v>
      </c>
      <c r="G97" s="982"/>
      <c r="H97" s="1008"/>
      <c r="I97" s="1063"/>
      <c r="J97" s="622"/>
      <c r="K97" s="982"/>
      <c r="L97" s="1029"/>
      <c r="M97" s="89"/>
      <c r="N97" s="930"/>
    </row>
    <row r="98" spans="1:14" s="224" customFormat="1" ht="15" customHeight="1" x14ac:dyDescent="0.25">
      <c r="A98" s="1052">
        <v>44307</v>
      </c>
      <c r="B98" s="882" t="s">
        <v>32</v>
      </c>
      <c r="C98" s="879" t="s">
        <v>12</v>
      </c>
      <c r="D98" s="879" t="s">
        <v>1485</v>
      </c>
      <c r="E98" s="875" t="s">
        <v>13</v>
      </c>
      <c r="F98" s="780">
        <v>16</v>
      </c>
      <c r="G98" s="982"/>
      <c r="H98" s="1008"/>
      <c r="I98" s="1063"/>
      <c r="J98" s="622"/>
      <c r="K98" s="982"/>
      <c r="L98" s="1029"/>
      <c r="M98" s="89"/>
      <c r="N98" s="1035"/>
    </row>
    <row r="99" spans="1:14" s="224" customFormat="1" x14ac:dyDescent="0.25">
      <c r="A99" s="1052">
        <v>44307</v>
      </c>
      <c r="B99" s="882" t="s">
        <v>14</v>
      </c>
      <c r="C99" s="879" t="s">
        <v>12</v>
      </c>
      <c r="D99" s="879" t="s">
        <v>1486</v>
      </c>
      <c r="E99" s="875" t="s">
        <v>13</v>
      </c>
      <c r="F99" s="1047">
        <v>7</v>
      </c>
      <c r="G99" s="982"/>
      <c r="H99" s="1008"/>
      <c r="I99" s="1063"/>
      <c r="J99" s="622"/>
      <c r="K99" s="982"/>
      <c r="L99" s="1029"/>
      <c r="M99" s="89"/>
      <c r="N99" s="930"/>
    </row>
    <row r="100" spans="1:14" s="224" customFormat="1" x14ac:dyDescent="0.25">
      <c r="A100" s="1052">
        <v>44308</v>
      </c>
      <c r="B100" s="882" t="s">
        <v>2939</v>
      </c>
      <c r="C100" s="879" t="s">
        <v>12</v>
      </c>
      <c r="D100" s="879" t="s">
        <v>1489</v>
      </c>
      <c r="E100" s="875" t="s">
        <v>13</v>
      </c>
      <c r="F100" s="780">
        <v>130</v>
      </c>
      <c r="G100" s="982"/>
      <c r="H100" s="1008"/>
      <c r="I100" s="1063"/>
      <c r="J100" s="622"/>
      <c r="K100" s="982"/>
      <c r="L100" s="861"/>
      <c r="N100" s="878"/>
    </row>
    <row r="101" spans="1:14" s="224" customFormat="1" x14ac:dyDescent="0.25">
      <c r="A101" s="1052">
        <v>44308</v>
      </c>
      <c r="B101" s="882" t="s">
        <v>2940</v>
      </c>
      <c r="C101" s="879" t="s">
        <v>12</v>
      </c>
      <c r="D101" s="879" t="s">
        <v>1489</v>
      </c>
      <c r="E101" s="875" t="s">
        <v>13</v>
      </c>
      <c r="F101" s="780">
        <v>50</v>
      </c>
      <c r="G101" s="982"/>
      <c r="H101" s="1008"/>
      <c r="I101" s="1063"/>
      <c r="J101" s="622"/>
      <c r="K101" s="982"/>
      <c r="L101" s="861"/>
      <c r="N101" s="878"/>
    </row>
    <row r="102" spans="1:14" s="224" customFormat="1" ht="15" customHeight="1" x14ac:dyDescent="0.25">
      <c r="A102" s="1052">
        <v>44308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16</v>
      </c>
      <c r="G102" s="982"/>
      <c r="H102" s="1008"/>
      <c r="I102" s="1063"/>
      <c r="J102" s="622"/>
      <c r="K102" s="982"/>
      <c r="L102" s="1029"/>
      <c r="M102" s="89"/>
      <c r="N102" s="1035"/>
    </row>
    <row r="103" spans="1:14" s="224" customFormat="1" ht="15" customHeight="1" x14ac:dyDescent="0.25">
      <c r="A103" s="1052">
        <v>44308</v>
      </c>
      <c r="B103" s="882" t="s">
        <v>2415</v>
      </c>
      <c r="C103" s="879" t="s">
        <v>12</v>
      </c>
      <c r="D103" s="879" t="s">
        <v>1493</v>
      </c>
      <c r="E103" s="875" t="s">
        <v>13</v>
      </c>
      <c r="F103" s="780">
        <v>5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4" s="224" customFormat="1" ht="15" customHeight="1" x14ac:dyDescent="0.25">
      <c r="A104" s="1052">
        <v>44308</v>
      </c>
      <c r="B104" s="873" t="s">
        <v>2873</v>
      </c>
      <c r="C104" s="879" t="s">
        <v>12</v>
      </c>
      <c r="D104" s="879" t="s">
        <v>1496</v>
      </c>
      <c r="E104" s="871" t="s">
        <v>13</v>
      </c>
      <c r="F104" s="780">
        <v>8</v>
      </c>
      <c r="G104" s="946"/>
      <c r="H104" s="95"/>
      <c r="I104" s="1064"/>
      <c r="J104" s="622"/>
      <c r="K104" s="982"/>
      <c r="L104" s="861"/>
    </row>
    <row r="105" spans="1:14" s="224" customFormat="1" x14ac:dyDescent="0.25">
      <c r="A105" s="1052">
        <v>44308</v>
      </c>
      <c r="B105" s="882" t="s">
        <v>14</v>
      </c>
      <c r="C105" s="879" t="s">
        <v>12</v>
      </c>
      <c r="D105" s="879" t="s">
        <v>1486</v>
      </c>
      <c r="E105" s="875" t="s">
        <v>13</v>
      </c>
      <c r="F105" s="1047">
        <v>13.64</v>
      </c>
      <c r="G105" s="982"/>
      <c r="H105" s="1008"/>
      <c r="I105" s="1063"/>
      <c r="J105" s="622"/>
      <c r="K105" s="982"/>
      <c r="L105" s="1029"/>
      <c r="M105" s="89"/>
      <c r="N105" s="930"/>
    </row>
    <row r="106" spans="1:14" s="224" customFormat="1" ht="15" customHeight="1" x14ac:dyDescent="0.25">
      <c r="A106" s="1052">
        <v>44309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16</v>
      </c>
      <c r="G106" s="982"/>
      <c r="H106" s="1008"/>
      <c r="I106" s="1063"/>
      <c r="J106" s="622"/>
      <c r="K106" s="982"/>
      <c r="L106" s="1029"/>
      <c r="M106" s="89"/>
      <c r="N106" s="1035"/>
    </row>
    <row r="107" spans="1:14" s="224" customFormat="1" ht="15" customHeight="1" x14ac:dyDescent="0.25">
      <c r="A107" s="1052">
        <v>44309</v>
      </c>
      <c r="B107" s="882" t="s">
        <v>2923</v>
      </c>
      <c r="C107" s="879" t="s">
        <v>12</v>
      </c>
      <c r="D107" s="879" t="s">
        <v>2157</v>
      </c>
      <c r="E107" s="875" t="s">
        <v>15</v>
      </c>
      <c r="F107" s="780">
        <v>80</v>
      </c>
      <c r="G107" s="982"/>
      <c r="H107" s="622"/>
      <c r="I107" s="982"/>
      <c r="J107" s="622"/>
      <c r="K107" s="982"/>
      <c r="L107" s="927"/>
      <c r="N107" s="878"/>
    </row>
    <row r="108" spans="1:14" s="224" customFormat="1" ht="15" customHeight="1" x14ac:dyDescent="0.25">
      <c r="A108" s="1052">
        <v>44309</v>
      </c>
      <c r="B108" s="882" t="s">
        <v>2631</v>
      </c>
      <c r="C108" s="879" t="s">
        <v>12</v>
      </c>
      <c r="D108" s="879" t="s">
        <v>1489</v>
      </c>
      <c r="E108" s="875" t="s">
        <v>15</v>
      </c>
      <c r="F108" s="780">
        <v>3.6</v>
      </c>
      <c r="G108" s="982"/>
      <c r="H108" s="622"/>
      <c r="I108" s="982"/>
      <c r="J108" s="622"/>
      <c r="K108" s="982"/>
      <c r="L108" s="927"/>
      <c r="N108" s="878"/>
    </row>
    <row r="109" spans="1:14" s="224" customFormat="1" ht="15" customHeight="1" x14ac:dyDescent="0.25">
      <c r="A109" s="1052">
        <v>44310</v>
      </c>
      <c r="B109" s="882" t="s">
        <v>2629</v>
      </c>
      <c r="C109" s="879" t="s">
        <v>19</v>
      </c>
      <c r="D109" s="879" t="s">
        <v>1489</v>
      </c>
      <c r="E109" s="875" t="s">
        <v>13</v>
      </c>
      <c r="F109" s="780">
        <v>35.22</v>
      </c>
      <c r="G109" s="982"/>
      <c r="H109" s="1008"/>
      <c r="I109" s="1063"/>
      <c r="J109" s="622"/>
      <c r="K109" s="982"/>
      <c r="L109" s="861"/>
      <c r="N109" s="1035"/>
    </row>
    <row r="110" spans="1:14" s="224" customFormat="1" ht="15" customHeight="1" x14ac:dyDescent="0.25">
      <c r="A110" s="1052">
        <v>44310</v>
      </c>
      <c r="B110" s="882" t="s">
        <v>2941</v>
      </c>
      <c r="C110" s="879" t="s">
        <v>12</v>
      </c>
      <c r="D110" s="879" t="s">
        <v>1523</v>
      </c>
      <c r="E110" s="875" t="s">
        <v>13</v>
      </c>
      <c r="F110" s="780">
        <v>60</v>
      </c>
      <c r="G110" s="982"/>
      <c r="H110" s="1008"/>
      <c r="I110" s="1063"/>
      <c r="J110" s="622"/>
      <c r="K110" s="982"/>
      <c r="L110" s="861"/>
      <c r="N110" s="1035"/>
    </row>
    <row r="111" spans="1:14" s="224" customFormat="1" ht="15" customHeight="1" x14ac:dyDescent="0.25">
      <c r="A111" s="1052">
        <v>44310</v>
      </c>
      <c r="B111" s="882" t="s">
        <v>2942</v>
      </c>
      <c r="C111" s="879" t="s">
        <v>12</v>
      </c>
      <c r="D111" s="879" t="s">
        <v>1489</v>
      </c>
      <c r="E111" s="875" t="s">
        <v>13</v>
      </c>
      <c r="F111" s="780">
        <v>40</v>
      </c>
      <c r="G111" s="982"/>
      <c r="H111" s="1008"/>
      <c r="I111" s="1063"/>
      <c r="J111" s="622"/>
      <c r="K111" s="982"/>
      <c r="L111" s="861"/>
      <c r="N111" s="1035"/>
    </row>
    <row r="112" spans="1:14" s="224" customFormat="1" ht="15" customHeight="1" x14ac:dyDescent="0.25">
      <c r="A112" s="1052">
        <v>44311</v>
      </c>
      <c r="B112" s="882" t="s">
        <v>82</v>
      </c>
      <c r="C112" s="879" t="s">
        <v>12</v>
      </c>
      <c r="D112" s="879" t="s">
        <v>1493</v>
      </c>
      <c r="E112" s="875" t="s">
        <v>13</v>
      </c>
      <c r="F112" s="780">
        <v>30</v>
      </c>
      <c r="G112" s="982"/>
      <c r="H112" s="1008"/>
      <c r="I112" s="1063"/>
      <c r="J112" s="622"/>
      <c r="K112" s="982"/>
      <c r="L112" s="861"/>
      <c r="N112" s="1035"/>
    </row>
    <row r="113" spans="1:14" s="224" customFormat="1" ht="15" customHeight="1" x14ac:dyDescent="0.25">
      <c r="A113" s="1052">
        <v>44312</v>
      </c>
      <c r="B113" s="882" t="s">
        <v>32</v>
      </c>
      <c r="C113" s="879" t="s">
        <v>12</v>
      </c>
      <c r="D113" s="879" t="s">
        <v>1485</v>
      </c>
      <c r="E113" s="875" t="s">
        <v>15</v>
      </c>
      <c r="F113" s="780">
        <v>16</v>
      </c>
      <c r="G113" s="982"/>
      <c r="H113" s="1008"/>
      <c r="I113" s="1063"/>
      <c r="J113" s="622"/>
      <c r="K113" s="982"/>
      <c r="L113" s="1029"/>
      <c r="M113" s="89"/>
      <c r="N113" s="1035"/>
    </row>
    <row r="114" spans="1:14" s="224" customFormat="1" ht="15" customHeight="1" x14ac:dyDescent="0.25">
      <c r="A114" s="1052">
        <v>44312</v>
      </c>
      <c r="B114" s="882" t="s">
        <v>14</v>
      </c>
      <c r="C114" s="879" t="s">
        <v>12</v>
      </c>
      <c r="D114" s="879" t="s">
        <v>1486</v>
      </c>
      <c r="E114" s="875" t="s">
        <v>13</v>
      </c>
      <c r="F114" s="780">
        <v>3.52</v>
      </c>
      <c r="G114" s="982"/>
      <c r="H114" s="1008"/>
      <c r="I114" s="1063"/>
      <c r="J114" s="622"/>
      <c r="K114" s="982"/>
      <c r="L114" s="1029"/>
      <c r="M114" s="89"/>
      <c r="N114" s="930"/>
    </row>
    <row r="115" spans="1:14" s="224" customFormat="1" ht="15" customHeight="1" x14ac:dyDescent="0.25">
      <c r="A115" s="1052">
        <v>44313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16</v>
      </c>
      <c r="G115" s="982"/>
      <c r="H115" s="1008"/>
      <c r="I115" s="1063"/>
      <c r="J115" s="622"/>
      <c r="K115" s="982"/>
      <c r="L115" s="1029"/>
      <c r="M115" s="89"/>
      <c r="N115" s="1035"/>
    </row>
    <row r="116" spans="1:14" s="224" customFormat="1" ht="15" customHeight="1" x14ac:dyDescent="0.25">
      <c r="A116" s="1052">
        <v>44313</v>
      </c>
      <c r="B116" s="882" t="s">
        <v>2415</v>
      </c>
      <c r="C116" s="879" t="s">
        <v>12</v>
      </c>
      <c r="D116" s="879" t="s">
        <v>1493</v>
      </c>
      <c r="E116" s="875" t="s">
        <v>13</v>
      </c>
      <c r="F116" s="780">
        <v>5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ht="15" customHeight="1" x14ac:dyDescent="0.25">
      <c r="A117" s="1052">
        <v>44313</v>
      </c>
      <c r="B117" s="882" t="s">
        <v>2923</v>
      </c>
      <c r="C117" s="879" t="s">
        <v>12</v>
      </c>
      <c r="D117" s="879" t="s">
        <v>2157</v>
      </c>
      <c r="E117" s="875" t="s">
        <v>15</v>
      </c>
      <c r="F117" s="780">
        <v>50</v>
      </c>
      <c r="G117" s="982"/>
      <c r="H117" s="622"/>
      <c r="I117" s="982"/>
      <c r="J117" s="622"/>
      <c r="K117" s="982"/>
      <c r="L117" s="927"/>
      <c r="N117" s="878"/>
    </row>
    <row r="118" spans="1:14" s="224" customFormat="1" ht="15" customHeight="1" x14ac:dyDescent="0.25">
      <c r="A118" s="1052">
        <v>44313</v>
      </c>
      <c r="B118" s="882" t="s">
        <v>14</v>
      </c>
      <c r="C118" s="879" t="s">
        <v>12</v>
      </c>
      <c r="D118" s="879" t="s">
        <v>1486</v>
      </c>
      <c r="E118" s="875" t="s">
        <v>13</v>
      </c>
      <c r="F118" s="780">
        <v>3.29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4" s="224" customFormat="1" ht="15" customHeight="1" x14ac:dyDescent="0.25">
      <c r="A119" s="1052">
        <v>44314</v>
      </c>
      <c r="B119" s="862" t="s">
        <v>2919</v>
      </c>
      <c r="C119" s="879" t="s">
        <v>12</v>
      </c>
      <c r="D119" s="879" t="s">
        <v>1504</v>
      </c>
      <c r="E119" s="871" t="s">
        <v>13</v>
      </c>
      <c r="F119" s="780">
        <v>21.9</v>
      </c>
      <c r="G119" s="982"/>
      <c r="H119" s="1008"/>
      <c r="I119" s="1063"/>
      <c r="J119" s="622"/>
      <c r="K119" s="982"/>
      <c r="L119" s="861"/>
      <c r="M119" s="999"/>
      <c r="N119" s="878"/>
    </row>
    <row r="120" spans="1:14" s="224" customFormat="1" ht="15" customHeight="1" x14ac:dyDescent="0.25">
      <c r="A120" s="1052">
        <v>44314</v>
      </c>
      <c r="B120" s="882" t="s">
        <v>32</v>
      </c>
      <c r="C120" s="879" t="s">
        <v>12</v>
      </c>
      <c r="D120" s="879" t="s">
        <v>1485</v>
      </c>
      <c r="E120" s="875" t="s">
        <v>13</v>
      </c>
      <c r="F120" s="780">
        <v>16</v>
      </c>
      <c r="G120" s="982"/>
      <c r="H120" s="1008"/>
      <c r="I120" s="1063"/>
      <c r="J120" s="622"/>
      <c r="K120" s="982"/>
      <c r="L120" s="1029"/>
      <c r="M120" s="89"/>
      <c r="N120" s="1035"/>
    </row>
    <row r="121" spans="1:14" s="224" customFormat="1" ht="15" customHeight="1" x14ac:dyDescent="0.25">
      <c r="A121" s="1052">
        <v>44314</v>
      </c>
      <c r="B121" s="882" t="s">
        <v>81</v>
      </c>
      <c r="C121" s="879" t="s">
        <v>12</v>
      </c>
      <c r="D121" s="879" t="s">
        <v>1493</v>
      </c>
      <c r="E121" s="875" t="s">
        <v>13</v>
      </c>
      <c r="F121" s="780">
        <v>4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4" s="224" customFormat="1" ht="15" customHeight="1" x14ac:dyDescent="0.25">
      <c r="A122" s="1052">
        <v>44315</v>
      </c>
      <c r="B122" s="882" t="s">
        <v>32</v>
      </c>
      <c r="C122" s="879" t="s">
        <v>12</v>
      </c>
      <c r="D122" s="879" t="s">
        <v>1485</v>
      </c>
      <c r="E122" s="875" t="s">
        <v>13</v>
      </c>
      <c r="F122" s="780">
        <v>16</v>
      </c>
      <c r="G122" s="982"/>
      <c r="H122" s="1008"/>
      <c r="I122" s="1063"/>
      <c r="J122" s="622"/>
      <c r="K122" s="982"/>
      <c r="L122" s="1029"/>
      <c r="M122" s="89"/>
      <c r="N122" s="1035"/>
    </row>
    <row r="123" spans="1:14" s="224" customFormat="1" ht="15" customHeight="1" x14ac:dyDescent="0.25">
      <c r="A123" s="1052">
        <v>44315</v>
      </c>
      <c r="B123" s="882" t="s">
        <v>2415</v>
      </c>
      <c r="C123" s="879" t="s">
        <v>12</v>
      </c>
      <c r="D123" s="879" t="s">
        <v>1493</v>
      </c>
      <c r="E123" s="875" t="s">
        <v>13</v>
      </c>
      <c r="F123" s="780">
        <v>5</v>
      </c>
      <c r="G123" s="982"/>
      <c r="H123" s="1008"/>
      <c r="I123" s="1063"/>
      <c r="J123" s="622"/>
      <c r="K123" s="982"/>
      <c r="L123" s="1029"/>
      <c r="M123" s="89"/>
      <c r="N123" s="930"/>
    </row>
    <row r="124" spans="1:14" s="224" customFormat="1" ht="15" customHeight="1" x14ac:dyDescent="0.25">
      <c r="A124" s="1052">
        <v>44315</v>
      </c>
      <c r="B124" s="882" t="s">
        <v>2197</v>
      </c>
      <c r="C124" s="879" t="s">
        <v>12</v>
      </c>
      <c r="D124" s="879" t="s">
        <v>2168</v>
      </c>
      <c r="E124" s="875" t="s">
        <v>13</v>
      </c>
      <c r="F124" s="780">
        <v>30</v>
      </c>
      <c r="G124" s="982"/>
      <c r="H124" s="622"/>
      <c r="I124" s="982"/>
      <c r="J124" s="622"/>
      <c r="K124" s="982"/>
      <c r="L124" s="927"/>
      <c r="N124" s="878"/>
    </row>
    <row r="125" spans="1:14" s="224" customFormat="1" x14ac:dyDescent="0.25">
      <c r="A125" s="1052">
        <v>44315</v>
      </c>
      <c r="B125" s="882" t="s">
        <v>14</v>
      </c>
      <c r="C125" s="879" t="s">
        <v>12</v>
      </c>
      <c r="D125" s="879" t="s">
        <v>1486</v>
      </c>
      <c r="E125" s="875" t="s">
        <v>13</v>
      </c>
      <c r="F125" s="1047">
        <v>8</v>
      </c>
      <c r="G125" s="982"/>
      <c r="H125" s="1008"/>
      <c r="I125" s="1063"/>
      <c r="J125" s="622"/>
      <c r="K125" s="982"/>
      <c r="L125" s="1029"/>
      <c r="M125" s="89"/>
      <c r="N125" s="930"/>
    </row>
    <row r="126" spans="1:14" s="224" customFormat="1" ht="15" customHeight="1" x14ac:dyDescent="0.25">
      <c r="A126" s="1052">
        <v>44316</v>
      </c>
      <c r="B126" s="882" t="s">
        <v>32</v>
      </c>
      <c r="C126" s="879" t="s">
        <v>12</v>
      </c>
      <c r="D126" s="879" t="s">
        <v>1485</v>
      </c>
      <c r="E126" s="875" t="s">
        <v>13</v>
      </c>
      <c r="F126" s="780">
        <v>16</v>
      </c>
      <c r="G126" s="982"/>
      <c r="H126" s="1008"/>
      <c r="I126" s="1063"/>
      <c r="J126" s="622"/>
      <c r="K126" s="982"/>
      <c r="L126" s="1029"/>
      <c r="M126" s="89"/>
      <c r="N126" s="1035"/>
    </row>
    <row r="127" spans="1:14" s="224" customFormat="1" x14ac:dyDescent="0.25">
      <c r="A127" s="1052">
        <v>44316</v>
      </c>
      <c r="B127" s="882" t="s">
        <v>14</v>
      </c>
      <c r="C127" s="879" t="s">
        <v>12</v>
      </c>
      <c r="D127" s="879" t="s">
        <v>1486</v>
      </c>
      <c r="E127" s="875" t="s">
        <v>13</v>
      </c>
      <c r="F127" s="1047">
        <v>10</v>
      </c>
      <c r="G127" s="982"/>
      <c r="H127" s="1008"/>
      <c r="I127" s="1063"/>
      <c r="J127" s="622"/>
      <c r="K127" s="982"/>
      <c r="L127" s="1029"/>
      <c r="M127" s="89"/>
      <c r="N127" s="930"/>
    </row>
    <row r="128" spans="1:14" s="224" customFormat="1" ht="15" customHeight="1" x14ac:dyDescent="0.25">
      <c r="A128" s="1052">
        <v>44316</v>
      </c>
      <c r="B128" s="882" t="s">
        <v>2781</v>
      </c>
      <c r="C128" s="879" t="s">
        <v>12</v>
      </c>
      <c r="D128" s="879" t="s">
        <v>1491</v>
      </c>
      <c r="E128" s="875" t="s">
        <v>13</v>
      </c>
      <c r="F128" s="780">
        <v>80</v>
      </c>
      <c r="G128" s="982"/>
      <c r="H128" s="1008"/>
      <c r="I128" s="1063"/>
      <c r="J128" s="622"/>
      <c r="K128" s="982"/>
      <c r="L128" s="861"/>
      <c r="N128" s="1035"/>
    </row>
    <row r="129" spans="1:14" s="224" customFormat="1" ht="15.75" thickBot="1" x14ac:dyDescent="0.3">
      <c r="A129" s="1052">
        <v>44316</v>
      </c>
      <c r="B129" s="862" t="s">
        <v>1666</v>
      </c>
      <c r="C129" s="879" t="s">
        <v>12</v>
      </c>
      <c r="D129" s="1053"/>
      <c r="E129" s="887" t="s">
        <v>25</v>
      </c>
      <c r="F129" s="1036"/>
      <c r="G129" s="1535"/>
      <c r="H129" s="1008"/>
      <c r="I129" s="1063"/>
      <c r="J129" s="622"/>
      <c r="K129" s="982"/>
      <c r="L129" s="475"/>
      <c r="N129" s="878"/>
    </row>
    <row r="130" spans="1:14" ht="25.5" customHeight="1" thickBot="1" x14ac:dyDescent="0.3">
      <c r="A130" s="3060"/>
      <c r="B130" s="3061"/>
      <c r="C130" s="3062"/>
      <c r="D130" s="3062"/>
      <c r="E130" s="3062"/>
      <c r="F130" s="1020">
        <f>SUM(F6:F129)</f>
        <v>4132.3566666666666</v>
      </c>
      <c r="G130" s="1534">
        <f>SUM(G5:G129)</f>
        <v>4652.8579166666841</v>
      </c>
      <c r="H130" s="517">
        <f>SUM(H6:H129)</f>
        <v>380</v>
      </c>
      <c r="I130" s="1065">
        <f>SUM(I5:I129)</f>
        <v>2129.9960000000028</v>
      </c>
      <c r="J130" s="1023">
        <f>SUM(J6:J129)</f>
        <v>0</v>
      </c>
      <c r="K130" s="1065">
        <f>SUM(K5:K129)</f>
        <v>11117.879999999997</v>
      </c>
      <c r="M130" s="216"/>
    </row>
    <row r="131" spans="1:14" ht="25.5" customHeight="1" thickBot="1" x14ac:dyDescent="0.3">
      <c r="A131" s="3117" t="s">
        <v>49</v>
      </c>
      <c r="B131" s="3118"/>
      <c r="C131" s="3118"/>
      <c r="D131" s="3118"/>
      <c r="E131" s="3118"/>
      <c r="F131" s="144" t="s">
        <v>280</v>
      </c>
      <c r="G131" s="519">
        <f>G130-F130</f>
        <v>520.50125000001754</v>
      </c>
      <c r="H131" s="520"/>
      <c r="I131" s="1066">
        <f>I130-H130</f>
        <v>1749.9960000000028</v>
      </c>
      <c r="J131" s="1062"/>
      <c r="K131" s="1066">
        <f>K130-J130</f>
        <v>11117.879999999997</v>
      </c>
    </row>
    <row r="132" spans="1:14" x14ac:dyDescent="0.25">
      <c r="B132" s="867"/>
      <c r="C132" s="864"/>
      <c r="D132" s="864"/>
      <c r="E132" s="867"/>
      <c r="K132" s="518"/>
      <c r="L132" s="216"/>
    </row>
    <row r="133" spans="1:14" x14ac:dyDescent="0.25">
      <c r="B133" s="1061" t="s">
        <v>3</v>
      </c>
      <c r="C133" s="195" t="s">
        <v>1484</v>
      </c>
      <c r="D133" s="195" t="s">
        <v>2378</v>
      </c>
      <c r="E133" s="864"/>
      <c r="G133" s="216"/>
      <c r="K133" s="866"/>
    </row>
    <row r="134" spans="1:14" x14ac:dyDescent="0.25">
      <c r="B134" s="867" t="s">
        <v>32</v>
      </c>
      <c r="C134" s="85" t="s">
        <v>1485</v>
      </c>
      <c r="D134" s="475">
        <f>SUMIF($D$8:$D$129,"A",$F$8:$F$129)</f>
        <v>368.7</v>
      </c>
      <c r="F134" s="79"/>
      <c r="G134" s="800"/>
      <c r="I134" s="769"/>
      <c r="J134" s="868"/>
    </row>
    <row r="135" spans="1:14" x14ac:dyDescent="0.25">
      <c r="B135" s="867" t="s">
        <v>2187</v>
      </c>
      <c r="C135" s="85" t="s">
        <v>2157</v>
      </c>
      <c r="D135" s="475">
        <f>SUMIF($D$7:$D$129,"GAC",$F$7:$F$129)</f>
        <v>293.8</v>
      </c>
      <c r="G135" s="609"/>
      <c r="J135" s="754"/>
      <c r="K135" s="886"/>
      <c r="L135" s="1030"/>
    </row>
    <row r="136" spans="1:14" x14ac:dyDescent="0.25">
      <c r="B136" s="867" t="s">
        <v>2188</v>
      </c>
      <c r="C136" s="85" t="s">
        <v>2168</v>
      </c>
      <c r="D136" s="475">
        <f>SUMIF($D$7:$D$129,"GAM",$F$7:$F$129)</f>
        <v>130</v>
      </c>
      <c r="J136" s="864"/>
      <c r="K136" s="864"/>
      <c r="L136" s="958"/>
    </row>
    <row r="137" spans="1:14" s="85" customFormat="1" x14ac:dyDescent="0.25">
      <c r="A137" s="79"/>
      <c r="B137" s="867" t="s">
        <v>50</v>
      </c>
      <c r="C137" s="85" t="s">
        <v>1493</v>
      </c>
      <c r="D137" s="475">
        <f>SUMIF($D$8:$D$129,"LD",$F$8:$F$129)</f>
        <v>235.51</v>
      </c>
      <c r="J137" s="864"/>
      <c r="K137" s="1032"/>
      <c r="L137" s="958"/>
      <c r="N137" s="877"/>
    </row>
    <row r="138" spans="1:14" s="85" customFormat="1" x14ac:dyDescent="0.25">
      <c r="A138" s="79"/>
      <c r="B138" s="867" t="s">
        <v>14</v>
      </c>
      <c r="C138" s="85" t="s">
        <v>1486</v>
      </c>
      <c r="D138" s="475">
        <f>SUMIF($D$8:$D$129,"C",$F$8:$F$129)</f>
        <v>187.53000000000003</v>
      </c>
      <c r="F138" s="89"/>
      <c r="G138" s="79"/>
      <c r="H138" s="79"/>
      <c r="J138" s="864"/>
      <c r="K138" s="1032"/>
      <c r="L138" s="958"/>
      <c r="N138" s="877"/>
    </row>
    <row r="139" spans="1:14" s="85" customFormat="1" x14ac:dyDescent="0.25">
      <c r="A139" s="79"/>
      <c r="B139" s="867" t="s">
        <v>51</v>
      </c>
      <c r="C139" s="864" t="s">
        <v>1499</v>
      </c>
      <c r="D139" s="475">
        <f>SUMIF($D$25:$D$129,"CAL",$F$25:$F$129)</f>
        <v>125.69999999999999</v>
      </c>
      <c r="F139" s="89"/>
      <c r="G139" s="79"/>
      <c r="H139" s="79"/>
      <c r="I139" s="79"/>
      <c r="K139" s="795"/>
      <c r="L139" s="958"/>
      <c r="N139" s="877"/>
    </row>
    <row r="140" spans="1:14" s="85" customFormat="1" x14ac:dyDescent="0.25">
      <c r="A140" s="79"/>
      <c r="B140" s="867" t="s">
        <v>2189</v>
      </c>
      <c r="C140" s="864" t="s">
        <v>1496</v>
      </c>
      <c r="D140" s="475">
        <f>SUMIF($D$8:$D$129,"AC",$F$8:$F$129)</f>
        <v>15</v>
      </c>
      <c r="F140" s="769"/>
      <c r="G140" s="79"/>
      <c r="K140" s="177"/>
      <c r="L140" s="941"/>
      <c r="N140" s="877"/>
    </row>
    <row r="141" spans="1:14" s="85" customFormat="1" x14ac:dyDescent="0.25">
      <c r="A141" s="79"/>
      <c r="B141" s="867" t="s">
        <v>53</v>
      </c>
      <c r="C141" s="864" t="s">
        <v>1522</v>
      </c>
      <c r="D141" s="475">
        <f>SUMIF($D$25:$D$129,"DC",$F$25:$F$129)</f>
        <v>216.1</v>
      </c>
      <c r="K141" s="177"/>
      <c r="L141" s="475"/>
      <c r="N141" s="877"/>
    </row>
    <row r="142" spans="1:14" s="85" customFormat="1" x14ac:dyDescent="0.25">
      <c r="A142" s="79"/>
      <c r="B142" s="867" t="s">
        <v>2149</v>
      </c>
      <c r="C142" s="864" t="s">
        <v>2131</v>
      </c>
      <c r="D142" s="475">
        <f>SUMIF($D$6:$D$129,"DM",$F$6:$F$129)</f>
        <v>335.54666666666668</v>
      </c>
      <c r="F142" s="769"/>
      <c r="K142" s="177" t="s">
        <v>280</v>
      </c>
      <c r="L142" s="475"/>
      <c r="N142" s="877"/>
    </row>
    <row r="143" spans="1:14" s="85" customFormat="1" x14ac:dyDescent="0.25">
      <c r="A143" s="79"/>
      <c r="B143" s="867" t="s">
        <v>2008</v>
      </c>
      <c r="C143" s="864" t="s">
        <v>1523</v>
      </c>
      <c r="D143" s="475">
        <f>SUMIF($D$7:$D$129,"B",$F$7:$F$129)</f>
        <v>247.85</v>
      </c>
      <c r="F143" s="769"/>
      <c r="G143" s="866"/>
      <c r="K143" s="177"/>
      <c r="L143" s="475"/>
      <c r="N143" s="877"/>
    </row>
    <row r="144" spans="1:14" s="85" customFormat="1" x14ac:dyDescent="0.25">
      <c r="A144" s="79"/>
      <c r="B144" s="867" t="s">
        <v>1686</v>
      </c>
      <c r="C144" s="864" t="s">
        <v>1506</v>
      </c>
      <c r="D144" s="475">
        <f>SUMIF($D$8:$D$129,"R",$F$8:$F$129)</f>
        <v>121.60000000000001</v>
      </c>
      <c r="F144" s="769"/>
      <c r="G144" s="868"/>
      <c r="K144" s="866"/>
      <c r="L144" s="475"/>
      <c r="N144" s="877"/>
    </row>
    <row r="145" spans="1:15" x14ac:dyDescent="0.25">
      <c r="B145" s="867" t="s">
        <v>418</v>
      </c>
      <c r="C145" s="85" t="s">
        <v>1524</v>
      </c>
      <c r="D145" s="475">
        <f>SUMIF($D$25:$D$129,"COM",$F$25:$F$129)</f>
        <v>0</v>
      </c>
      <c r="G145" s="85"/>
      <c r="H145" s="85"/>
      <c r="I145" s="85"/>
      <c r="J145" s="769"/>
      <c r="K145" s="216"/>
    </row>
    <row r="146" spans="1:15" x14ac:dyDescent="0.25">
      <c r="B146" s="867" t="s">
        <v>419</v>
      </c>
      <c r="C146" s="85" t="s">
        <v>1491</v>
      </c>
      <c r="D146" s="475">
        <f>SUMIF($D$7:$D$129,"F",$F$7:$F$129)</f>
        <v>589.79999999999995</v>
      </c>
      <c r="I146" s="85"/>
      <c r="K146" s="216"/>
    </row>
    <row r="147" spans="1:15" x14ac:dyDescent="0.25">
      <c r="B147" s="867" t="s">
        <v>911</v>
      </c>
      <c r="C147" s="85" t="s">
        <v>1525</v>
      </c>
      <c r="D147" s="475">
        <f>SUMIF($D$25:$D$129,"FER",$F$25:$F$129)</f>
        <v>0</v>
      </c>
      <c r="J147" s="769"/>
      <c r="K147" s="868"/>
    </row>
    <row r="148" spans="1:15" x14ac:dyDescent="0.25">
      <c r="B148" s="867" t="s">
        <v>1526</v>
      </c>
      <c r="C148" s="85" t="s">
        <v>1504</v>
      </c>
      <c r="D148" s="475">
        <f>SUMIF($D$23:$D$129,"I",$F$23:$F$129)</f>
        <v>101.9</v>
      </c>
      <c r="F148" s="89" t="s">
        <v>280</v>
      </c>
      <c r="J148" s="769"/>
      <c r="K148" s="868"/>
    </row>
    <row r="149" spans="1:15" x14ac:dyDescent="0.25">
      <c r="B149" s="867" t="s">
        <v>2343</v>
      </c>
      <c r="C149" s="85" t="s">
        <v>2315</v>
      </c>
      <c r="D149" s="475">
        <f>SUMIF($D$25:$D$129,"E",$F$25:$F$129)</f>
        <v>0</v>
      </c>
      <c r="J149" s="769"/>
      <c r="K149" s="868"/>
    </row>
    <row r="150" spans="1:15" x14ac:dyDescent="0.25">
      <c r="B150" s="867" t="s">
        <v>1527</v>
      </c>
      <c r="C150" s="85" t="s">
        <v>1489</v>
      </c>
      <c r="D150" s="475">
        <f>SUMIF($D$7:$D$129,"OD",$F$7:$F$129)</f>
        <v>523.32000000000005</v>
      </c>
      <c r="J150" s="769"/>
    </row>
    <row r="151" spans="1:15" x14ac:dyDescent="0.25">
      <c r="C151" s="769"/>
      <c r="K151" s="866"/>
    </row>
    <row r="152" spans="1:15" x14ac:dyDescent="0.25">
      <c r="D152" s="459"/>
      <c r="H152" s="769"/>
      <c r="I152" s="518" t="s">
        <v>280</v>
      </c>
      <c r="K152" s="866"/>
    </row>
    <row r="153" spans="1:15" x14ac:dyDescent="0.25">
      <c r="B153" s="79" t="s">
        <v>486</v>
      </c>
      <c r="C153" s="475">
        <f>H153/J153</f>
        <v>116.41188888888888</v>
      </c>
      <c r="F153" s="459" t="s">
        <v>487</v>
      </c>
      <c r="H153" s="216">
        <f>SUM(D134:D150)</f>
        <v>3492.3566666666666</v>
      </c>
      <c r="J153" s="1517">
        <v>30</v>
      </c>
    </row>
    <row r="154" spans="1:15" ht="15.75" customHeight="1" x14ac:dyDescent="0.25">
      <c r="E154" s="769"/>
      <c r="H154" s="85"/>
      <c r="K154" s="868"/>
    </row>
    <row r="155" spans="1:15" x14ac:dyDescent="0.25">
      <c r="E155" s="79"/>
      <c r="F155" s="79"/>
      <c r="H155" s="866"/>
      <c r="J155" s="769"/>
      <c r="K155" s="866"/>
    </row>
    <row r="156" spans="1:15" s="518" customFormat="1" x14ac:dyDescent="0.25">
      <c r="A156" s="79"/>
      <c r="B156" s="79"/>
      <c r="C156" s="85"/>
      <c r="D156" s="79"/>
      <c r="E156" s="79"/>
      <c r="F156" s="89"/>
      <c r="G156" s="79"/>
      <c r="H156" s="79"/>
      <c r="I156" s="79"/>
      <c r="J156" s="769"/>
      <c r="K156" s="866"/>
      <c r="L156" s="484"/>
      <c r="M156" s="79"/>
      <c r="N156" s="877"/>
      <c r="O156" s="79"/>
    </row>
    <row r="157" spans="1:15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484"/>
      <c r="M157" s="79"/>
      <c r="N157" s="877"/>
      <c r="O157" s="79"/>
    </row>
    <row r="158" spans="1:15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877"/>
      <c r="O158" s="79"/>
    </row>
    <row r="159" spans="1:15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216"/>
      <c r="J159" s="769"/>
      <c r="K159" s="866"/>
      <c r="L159" s="484"/>
      <c r="M159" s="79"/>
      <c r="N159" s="877"/>
      <c r="O159" s="79"/>
    </row>
    <row r="160" spans="1:15" s="518" customFormat="1" x14ac:dyDescent="0.25">
      <c r="A160" s="79"/>
      <c r="B160" s="79"/>
      <c r="C160" s="79"/>
      <c r="D160" s="79"/>
      <c r="E160" s="79"/>
      <c r="F160" s="79"/>
      <c r="G160" s="79"/>
      <c r="H160" s="7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216"/>
      <c r="J162" s="769"/>
      <c r="K162" s="868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216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79"/>
      <c r="J164" s="770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8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62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484"/>
      <c r="M181" s="79"/>
      <c r="N181" s="877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8"/>
      <c r="L184" s="484"/>
      <c r="M184" s="79"/>
      <c r="N184" s="877"/>
      <c r="O184" s="79"/>
    </row>
    <row r="185" spans="1:15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223"/>
      <c r="K192" s="629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56"/>
      <c r="K193" s="756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85"/>
      <c r="K198" s="85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85"/>
      <c r="K205" s="85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71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  <c r="O213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877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877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  <c r="M225" s="79"/>
      <c r="N225" s="877"/>
      <c r="O225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629"/>
      <c r="L227" s="484"/>
      <c r="M227" s="79"/>
      <c r="N227" s="877"/>
      <c r="O227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877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877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877"/>
      <c r="O240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  <c r="O241" s="79"/>
    </row>
  </sheetData>
  <autoFilter ref="A2:I131" xr:uid="{00000000-0009-0000-0000-00006F000000}"/>
  <mergeCells count="12">
    <mergeCell ref="A130:E130"/>
    <mergeCell ref="A131:E131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Plan127"/>
  <dimension ref="A1:R239"/>
  <sheetViews>
    <sheetView zoomScale="85" zoomScaleNormal="85" workbookViewId="0">
      <pane ySplit="4" topLeftCell="A107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2943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44317</v>
      </c>
      <c r="B5" s="369" t="s">
        <v>10</v>
      </c>
      <c r="C5" s="370"/>
      <c r="D5" s="370"/>
      <c r="E5" s="777"/>
      <c r="F5" s="179"/>
      <c r="G5" s="933">
        <f>'Abril-21'!G131</f>
        <v>520.50125000001754</v>
      </c>
      <c r="H5" s="163"/>
      <c r="I5" s="1479">
        <f>'Abril-21'!I131</f>
        <v>1749.9960000000028</v>
      </c>
      <c r="J5" s="179"/>
      <c r="K5" s="933">
        <f>'Abril-21'!K131</f>
        <v>11117.879999999997</v>
      </c>
    </row>
    <row r="6" spans="1:15" s="224" customFormat="1" x14ac:dyDescent="0.25">
      <c r="A6" s="215">
        <v>44317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44317</v>
      </c>
      <c r="B7" s="882" t="s">
        <v>14</v>
      </c>
      <c r="C7" s="879" t="s">
        <v>12</v>
      </c>
      <c r="D7" s="879" t="s">
        <v>1486</v>
      </c>
      <c r="E7" s="875" t="s">
        <v>13</v>
      </c>
      <c r="F7" s="1047">
        <v>6</v>
      </c>
      <c r="G7" s="982"/>
      <c r="H7" s="622"/>
      <c r="I7" s="982"/>
      <c r="J7" s="622"/>
      <c r="K7" s="982"/>
      <c r="L7" s="927"/>
      <c r="N7" s="878"/>
    </row>
    <row r="8" spans="1:15" s="224" customFormat="1" ht="15" customHeight="1" x14ac:dyDescent="0.25">
      <c r="A8" s="215">
        <v>44317</v>
      </c>
      <c r="B8" s="882" t="s">
        <v>82</v>
      </c>
      <c r="C8" s="879" t="s">
        <v>12</v>
      </c>
      <c r="D8" s="879" t="s">
        <v>1493</v>
      </c>
      <c r="E8" s="875" t="s">
        <v>13</v>
      </c>
      <c r="F8" s="1047">
        <v>25.25</v>
      </c>
      <c r="G8" s="982"/>
      <c r="H8" s="622"/>
      <c r="I8" s="982"/>
      <c r="J8" s="622"/>
      <c r="K8" s="982"/>
      <c r="L8" s="927"/>
      <c r="N8" s="878"/>
    </row>
    <row r="9" spans="1:15" s="224" customFormat="1" ht="15" customHeight="1" x14ac:dyDescent="0.25">
      <c r="A9" s="215">
        <v>44318</v>
      </c>
      <c r="B9" s="882" t="s">
        <v>2923</v>
      </c>
      <c r="C9" s="879" t="s">
        <v>12</v>
      </c>
      <c r="D9" s="879" t="s">
        <v>2157</v>
      </c>
      <c r="E9" s="875" t="s">
        <v>15</v>
      </c>
      <c r="F9" s="780">
        <v>80</v>
      </c>
      <c r="G9" s="982"/>
      <c r="H9" s="1008"/>
      <c r="I9" s="1063"/>
      <c r="J9" s="622"/>
      <c r="K9" s="982"/>
      <c r="L9" s="861"/>
      <c r="N9" s="878"/>
    </row>
    <row r="10" spans="1:15" s="224" customFormat="1" ht="15" customHeight="1" x14ac:dyDescent="0.25">
      <c r="A10" s="215">
        <v>44318</v>
      </c>
      <c r="B10" s="364" t="s">
        <v>2944</v>
      </c>
      <c r="C10" s="350" t="s">
        <v>19</v>
      </c>
      <c r="D10" s="350" t="s">
        <v>1506</v>
      </c>
      <c r="E10" s="875" t="s">
        <v>13</v>
      </c>
      <c r="F10" s="780">
        <v>80</v>
      </c>
      <c r="G10" s="982"/>
      <c r="H10" s="1008"/>
      <c r="I10" s="1063"/>
      <c r="J10" s="622"/>
      <c r="K10" s="982"/>
      <c r="L10" s="861"/>
      <c r="N10" s="878"/>
    </row>
    <row r="11" spans="1:15" s="224" customFormat="1" ht="15" customHeight="1" x14ac:dyDescent="0.25">
      <c r="A11" s="215">
        <v>44318</v>
      </c>
      <c r="B11" s="364" t="s">
        <v>134</v>
      </c>
      <c r="C11" s="350" t="s">
        <v>12</v>
      </c>
      <c r="D11" s="350" t="s">
        <v>1493</v>
      </c>
      <c r="E11" s="875" t="s">
        <v>13</v>
      </c>
      <c r="F11" s="780">
        <v>26</v>
      </c>
      <c r="G11" s="982"/>
      <c r="H11" s="1008"/>
      <c r="I11" s="1063"/>
      <c r="J11" s="622"/>
      <c r="K11" s="982"/>
      <c r="L11" s="861"/>
      <c r="N11" s="878"/>
    </row>
    <row r="12" spans="1:15" s="224" customFormat="1" ht="15" customHeight="1" x14ac:dyDescent="0.25">
      <c r="A12" s="215">
        <v>44318</v>
      </c>
      <c r="B12" s="349" t="s">
        <v>103</v>
      </c>
      <c r="C12" s="350" t="s">
        <v>12</v>
      </c>
      <c r="D12" s="350" t="s">
        <v>1489</v>
      </c>
      <c r="E12" s="480" t="s">
        <v>13</v>
      </c>
      <c r="F12" s="780">
        <v>2</v>
      </c>
      <c r="G12" s="946"/>
      <c r="H12" s="97"/>
      <c r="I12" s="946"/>
      <c r="J12" s="97"/>
      <c r="K12" s="946"/>
    </row>
    <row r="13" spans="1:15" s="224" customFormat="1" ht="15" customHeight="1" x14ac:dyDescent="0.25">
      <c r="A13" s="215">
        <v>44318</v>
      </c>
      <c r="B13" s="364" t="s">
        <v>134</v>
      </c>
      <c r="C13" s="350" t="s">
        <v>12</v>
      </c>
      <c r="D13" s="350" t="s">
        <v>1493</v>
      </c>
      <c r="E13" s="875" t="s">
        <v>13</v>
      </c>
      <c r="F13" s="780">
        <v>25</v>
      </c>
      <c r="G13" s="946"/>
      <c r="H13" s="97"/>
      <c r="I13" s="946"/>
      <c r="J13" s="97"/>
      <c r="K13" s="946"/>
    </row>
    <row r="14" spans="1:15" s="224" customFormat="1" ht="15" customHeight="1" x14ac:dyDescent="0.25">
      <c r="A14" s="215">
        <v>44319</v>
      </c>
      <c r="B14" s="882" t="s">
        <v>32</v>
      </c>
      <c r="C14" s="879" t="s">
        <v>12</v>
      </c>
      <c r="D14" s="879" t="s">
        <v>1485</v>
      </c>
      <c r="E14" s="875" t="s">
        <v>13</v>
      </c>
      <c r="F14" s="780">
        <v>16</v>
      </c>
      <c r="G14" s="982"/>
      <c r="H14" s="1008"/>
      <c r="I14" s="1063"/>
      <c r="J14" s="622"/>
      <c r="K14" s="982"/>
      <c r="L14" s="1029"/>
      <c r="M14" s="89"/>
      <c r="N14" s="1035"/>
    </row>
    <row r="15" spans="1:15" s="224" customFormat="1" ht="15" customHeight="1" x14ac:dyDescent="0.25">
      <c r="A15" s="215">
        <v>44319</v>
      </c>
      <c r="B15" s="882" t="s">
        <v>2415</v>
      </c>
      <c r="C15" s="879" t="s">
        <v>12</v>
      </c>
      <c r="D15" s="879" t="s">
        <v>1493</v>
      </c>
      <c r="E15" s="875" t="s">
        <v>13</v>
      </c>
      <c r="F15" s="780">
        <v>5</v>
      </c>
      <c r="G15" s="982"/>
      <c r="H15" s="1008"/>
      <c r="I15" s="1063"/>
      <c r="J15" s="622"/>
      <c r="K15" s="982"/>
      <c r="L15" s="1029"/>
      <c r="M15" s="89"/>
      <c r="N15" s="930"/>
    </row>
    <row r="16" spans="1:15" s="224" customFormat="1" ht="15" customHeight="1" x14ac:dyDescent="0.25">
      <c r="A16" s="215">
        <v>44319</v>
      </c>
      <c r="B16" s="882" t="s">
        <v>14</v>
      </c>
      <c r="C16" s="879" t="s">
        <v>12</v>
      </c>
      <c r="D16" s="879" t="s">
        <v>1486</v>
      </c>
      <c r="E16" s="875" t="s">
        <v>13</v>
      </c>
      <c r="F16" s="1047">
        <v>9.1199999999999992</v>
      </c>
      <c r="G16" s="982"/>
      <c r="H16" s="1008"/>
      <c r="I16" s="1063"/>
      <c r="J16" s="622"/>
      <c r="K16" s="982"/>
      <c r="L16" s="861"/>
      <c r="N16" s="878"/>
    </row>
    <row r="17" spans="1:14" s="224" customFormat="1" ht="15" customHeight="1" x14ac:dyDescent="0.25">
      <c r="A17" s="1052">
        <v>44320</v>
      </c>
      <c r="B17" s="882" t="s">
        <v>256</v>
      </c>
      <c r="C17" s="879"/>
      <c r="D17" s="879"/>
      <c r="E17" s="875" t="s">
        <v>25</v>
      </c>
      <c r="F17" s="780"/>
      <c r="G17" s="982">
        <v>150</v>
      </c>
      <c r="H17" s="1060">
        <v>150</v>
      </c>
      <c r="I17" s="1063"/>
      <c r="J17" s="622"/>
      <c r="K17" s="982"/>
      <c r="L17" s="861"/>
      <c r="N17" s="878"/>
    </row>
    <row r="18" spans="1:14" s="224" customFormat="1" ht="15" customHeight="1" x14ac:dyDescent="0.25">
      <c r="A18" s="215">
        <v>44320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16</v>
      </c>
      <c r="G18" s="982"/>
      <c r="H18" s="1008"/>
      <c r="I18" s="1063"/>
      <c r="J18" s="622"/>
      <c r="K18" s="982"/>
      <c r="L18" s="1029"/>
      <c r="M18" s="89"/>
      <c r="N18" s="1035"/>
    </row>
    <row r="19" spans="1:14" s="224" customFormat="1" ht="15" customHeight="1" x14ac:dyDescent="0.25">
      <c r="A19" s="215">
        <v>44320</v>
      </c>
      <c r="B19" s="882" t="s">
        <v>14</v>
      </c>
      <c r="C19" s="879" t="s">
        <v>12</v>
      </c>
      <c r="D19" s="879" t="s">
        <v>1486</v>
      </c>
      <c r="E19" s="875" t="s">
        <v>13</v>
      </c>
      <c r="F19" s="780">
        <v>8</v>
      </c>
      <c r="G19" s="982"/>
      <c r="H19" s="622"/>
      <c r="I19" s="982"/>
      <c r="J19" s="622"/>
      <c r="K19" s="982"/>
      <c r="L19" s="927"/>
      <c r="N19" s="878"/>
    </row>
    <row r="20" spans="1:14" s="224" customFormat="1" ht="15" customHeight="1" x14ac:dyDescent="0.25">
      <c r="A20" s="215">
        <v>44321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780">
        <v>16</v>
      </c>
      <c r="G20" s="982"/>
      <c r="H20" s="1008"/>
      <c r="I20" s="1063"/>
      <c r="J20" s="622"/>
      <c r="K20" s="982"/>
      <c r="L20" s="1029"/>
      <c r="M20" s="89"/>
      <c r="N20" s="1035"/>
    </row>
    <row r="21" spans="1:14" s="224" customFormat="1" ht="15" customHeight="1" x14ac:dyDescent="0.25">
      <c r="A21" s="215">
        <v>44321</v>
      </c>
      <c r="B21" s="882" t="s">
        <v>2415</v>
      </c>
      <c r="C21" s="879" t="s">
        <v>12</v>
      </c>
      <c r="D21" s="879" t="s">
        <v>1493</v>
      </c>
      <c r="E21" s="875" t="s">
        <v>13</v>
      </c>
      <c r="F21" s="780">
        <v>5</v>
      </c>
      <c r="G21" s="982"/>
      <c r="H21" s="1008"/>
      <c r="I21" s="1063"/>
      <c r="J21" s="622"/>
      <c r="K21" s="982"/>
      <c r="L21" s="1029"/>
      <c r="M21" s="89"/>
      <c r="N21" s="930"/>
    </row>
    <row r="22" spans="1:14" s="224" customFormat="1" ht="15" customHeight="1" x14ac:dyDescent="0.25">
      <c r="A22" s="215">
        <v>44321</v>
      </c>
      <c r="B22" s="882" t="s">
        <v>14</v>
      </c>
      <c r="C22" s="879" t="s">
        <v>12</v>
      </c>
      <c r="D22" s="879" t="s">
        <v>1486</v>
      </c>
      <c r="E22" s="875" t="s">
        <v>13</v>
      </c>
      <c r="F22" s="780">
        <v>12.19</v>
      </c>
      <c r="G22" s="982"/>
      <c r="H22" s="1008"/>
      <c r="I22" s="1063"/>
      <c r="J22" s="622"/>
      <c r="K22" s="982"/>
      <c r="L22" s="1029"/>
      <c r="M22" s="881"/>
      <c r="N22" s="877"/>
    </row>
    <row r="23" spans="1:14" s="224" customFormat="1" ht="15" customHeight="1" x14ac:dyDescent="0.25">
      <c r="A23" s="215">
        <v>44322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16</v>
      </c>
      <c r="G23" s="982"/>
      <c r="H23" s="1008"/>
      <c r="I23" s="1063"/>
      <c r="J23" s="622"/>
      <c r="K23" s="982"/>
      <c r="L23" s="1029"/>
      <c r="M23" s="89"/>
      <c r="N23" s="1035"/>
    </row>
    <row r="24" spans="1:14" s="224" customFormat="1" ht="15" customHeight="1" x14ac:dyDescent="0.25">
      <c r="A24" s="215">
        <v>44322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8</v>
      </c>
      <c r="G24" s="982"/>
      <c r="H24" s="1008"/>
      <c r="I24" s="1063"/>
      <c r="J24" s="622"/>
      <c r="K24" s="982"/>
      <c r="L24" s="861"/>
      <c r="N24" s="1035"/>
    </row>
    <row r="25" spans="1:14" s="224" customFormat="1" ht="15.75" customHeight="1" x14ac:dyDescent="0.25">
      <c r="A25" s="1052">
        <v>44323</v>
      </c>
      <c r="B25" s="873" t="s">
        <v>2945</v>
      </c>
      <c r="C25" s="879" t="s">
        <v>12</v>
      </c>
      <c r="D25" s="874"/>
      <c r="E25" s="871" t="s">
        <v>25</v>
      </c>
      <c r="F25" s="1514"/>
      <c r="G25" s="1002">
        <v>1857.49</v>
      </c>
      <c r="H25" s="250"/>
      <c r="I25" s="946"/>
      <c r="J25" s="97"/>
      <c r="K25" s="946"/>
    </row>
    <row r="26" spans="1:14" s="224" customFormat="1" ht="15" customHeight="1" x14ac:dyDescent="0.25">
      <c r="A26" s="215">
        <v>44323</v>
      </c>
      <c r="B26" s="349" t="s">
        <v>2946</v>
      </c>
      <c r="C26" s="887" t="s">
        <v>12</v>
      </c>
      <c r="D26" s="1005" t="s">
        <v>1489</v>
      </c>
      <c r="E26" s="887" t="s">
        <v>13</v>
      </c>
      <c r="F26" s="613">
        <v>100.81</v>
      </c>
      <c r="G26" s="982"/>
      <c r="H26" s="861"/>
      <c r="I26" s="1063"/>
      <c r="J26" s="622"/>
      <c r="K26" s="982"/>
      <c r="L26" s="927"/>
      <c r="M26" s="999"/>
      <c r="N26" s="878"/>
    </row>
    <row r="27" spans="1:14" s="224" customFormat="1" ht="15" customHeight="1" x14ac:dyDescent="0.25">
      <c r="A27" s="215">
        <v>44323</v>
      </c>
      <c r="B27" s="349" t="s">
        <v>2946</v>
      </c>
      <c r="C27" s="887" t="s">
        <v>12</v>
      </c>
      <c r="D27" s="1005" t="s">
        <v>1506</v>
      </c>
      <c r="E27" s="887" t="s">
        <v>13</v>
      </c>
      <c r="F27" s="613">
        <v>33.300000000000004</v>
      </c>
      <c r="G27" s="982"/>
      <c r="H27" s="1008"/>
      <c r="I27" s="1063"/>
      <c r="J27" s="622"/>
      <c r="K27" s="982"/>
      <c r="L27" s="1029"/>
      <c r="M27" s="999"/>
      <c r="N27" s="1035"/>
    </row>
    <row r="28" spans="1:14" s="224" customFormat="1" ht="15" customHeight="1" x14ac:dyDescent="0.25">
      <c r="A28" s="215">
        <v>44323</v>
      </c>
      <c r="B28" s="349" t="s">
        <v>2946</v>
      </c>
      <c r="C28" s="887" t="s">
        <v>12</v>
      </c>
      <c r="D28" s="1005" t="s">
        <v>1506</v>
      </c>
      <c r="E28" s="887" t="s">
        <v>13</v>
      </c>
      <c r="F28" s="613">
        <v>33.300000000000004</v>
      </c>
      <c r="G28" s="982"/>
      <c r="H28" s="861"/>
      <c r="I28" s="1063"/>
      <c r="J28" s="622"/>
      <c r="K28" s="982"/>
      <c r="L28" s="927"/>
      <c r="M28" s="999"/>
      <c r="N28" s="878"/>
    </row>
    <row r="29" spans="1:14" s="224" customFormat="1" ht="15" customHeight="1" x14ac:dyDescent="0.25">
      <c r="A29" s="215">
        <v>44323</v>
      </c>
      <c r="B29" s="349" t="s">
        <v>2946</v>
      </c>
      <c r="C29" s="887" t="s">
        <v>12</v>
      </c>
      <c r="D29" s="1005" t="s">
        <v>2131</v>
      </c>
      <c r="E29" s="887" t="s">
        <v>13</v>
      </c>
      <c r="F29" s="613">
        <v>25.746666666666666</v>
      </c>
      <c r="G29" s="982"/>
      <c r="H29" s="1008"/>
      <c r="I29" s="1063"/>
      <c r="J29" s="622"/>
      <c r="K29" s="982"/>
      <c r="L29" s="1029"/>
      <c r="M29" s="999"/>
      <c r="N29" s="1035"/>
    </row>
    <row r="30" spans="1:14" s="224" customFormat="1" ht="15" customHeight="1" x14ac:dyDescent="0.25">
      <c r="A30" s="215">
        <v>44323</v>
      </c>
      <c r="B30" s="349" t="s">
        <v>2946</v>
      </c>
      <c r="C30" s="887" t="s">
        <v>12</v>
      </c>
      <c r="D30" s="1005" t="s">
        <v>2131</v>
      </c>
      <c r="E30" s="887" t="s">
        <v>13</v>
      </c>
      <c r="F30" s="613">
        <v>77.5</v>
      </c>
      <c r="G30" s="982"/>
      <c r="H30" s="1008"/>
      <c r="I30" s="1063"/>
      <c r="J30" s="622"/>
      <c r="K30" s="982"/>
      <c r="L30" s="861"/>
      <c r="N30" s="1035"/>
    </row>
    <row r="31" spans="1:14" s="224" customFormat="1" ht="15" customHeight="1" x14ac:dyDescent="0.25">
      <c r="A31" s="215">
        <v>44323</v>
      </c>
      <c r="B31" s="349" t="s">
        <v>2946</v>
      </c>
      <c r="C31" s="887" t="s">
        <v>12</v>
      </c>
      <c r="D31" s="1005" t="s">
        <v>2131</v>
      </c>
      <c r="E31" s="887" t="s">
        <v>13</v>
      </c>
      <c r="F31" s="613">
        <v>33.300000000000004</v>
      </c>
      <c r="G31" s="982"/>
      <c r="H31" s="1008"/>
      <c r="I31" s="1063"/>
      <c r="J31" s="622"/>
      <c r="K31" s="982"/>
      <c r="L31" s="1051"/>
      <c r="M31" s="1029"/>
      <c r="N31" s="878"/>
    </row>
    <row r="32" spans="1:14" s="224" customFormat="1" ht="15" customHeight="1" x14ac:dyDescent="0.25">
      <c r="A32" s="215">
        <v>44323</v>
      </c>
      <c r="B32" s="349" t="s">
        <v>2946</v>
      </c>
      <c r="C32" s="887" t="s">
        <v>12</v>
      </c>
      <c r="D32" s="1005" t="s">
        <v>1522</v>
      </c>
      <c r="E32" s="887" t="s">
        <v>13</v>
      </c>
      <c r="F32" s="613">
        <v>45.96</v>
      </c>
      <c r="G32" s="967"/>
      <c r="H32" s="1008"/>
      <c r="I32" s="1063"/>
      <c r="J32" s="622"/>
      <c r="K32" s="982"/>
      <c r="L32" s="861"/>
      <c r="N32" s="878"/>
    </row>
    <row r="33" spans="1:14" s="224" customFormat="1" ht="15" customHeight="1" x14ac:dyDescent="0.25">
      <c r="A33" s="215">
        <v>44323</v>
      </c>
      <c r="B33" s="349" t="s">
        <v>2946</v>
      </c>
      <c r="C33" s="887" t="s">
        <v>12</v>
      </c>
      <c r="D33" s="1005" t="s">
        <v>1491</v>
      </c>
      <c r="E33" s="887" t="s">
        <v>13</v>
      </c>
      <c r="F33" s="613">
        <v>55</v>
      </c>
      <c r="G33" s="982"/>
      <c r="H33" s="1008"/>
      <c r="I33" s="1063"/>
      <c r="J33" s="622"/>
      <c r="K33" s="982"/>
      <c r="L33" s="861"/>
      <c r="N33" s="1035"/>
    </row>
    <row r="34" spans="1:14" s="224" customFormat="1" ht="15" customHeight="1" x14ac:dyDescent="0.25">
      <c r="A34" s="215">
        <v>44323</v>
      </c>
      <c r="B34" s="349" t="s">
        <v>2946</v>
      </c>
      <c r="C34" s="887" t="s">
        <v>12</v>
      </c>
      <c r="D34" s="1005" t="s">
        <v>1506</v>
      </c>
      <c r="E34" s="887" t="s">
        <v>13</v>
      </c>
      <c r="F34" s="613">
        <v>29.5</v>
      </c>
      <c r="G34" s="967"/>
      <c r="H34" s="1008"/>
      <c r="I34" s="1063"/>
      <c r="J34" s="622"/>
      <c r="K34" s="982"/>
      <c r="L34" s="861"/>
      <c r="N34" s="878"/>
    </row>
    <row r="35" spans="1:14" s="224" customFormat="1" ht="15" customHeight="1" x14ac:dyDescent="0.25">
      <c r="A35" s="215">
        <v>44323</v>
      </c>
      <c r="B35" s="349" t="s">
        <v>2946</v>
      </c>
      <c r="C35" s="887" t="s">
        <v>12</v>
      </c>
      <c r="D35" s="1005" t="s">
        <v>1506</v>
      </c>
      <c r="E35" s="887" t="s">
        <v>13</v>
      </c>
      <c r="F35" s="613">
        <v>42.373333333333335</v>
      </c>
      <c r="G35" s="982"/>
      <c r="H35" s="1008"/>
      <c r="I35" s="1063"/>
      <c r="J35" s="622"/>
      <c r="K35" s="982"/>
      <c r="L35" s="861"/>
      <c r="N35" s="1035"/>
    </row>
    <row r="36" spans="1:14" s="224" customFormat="1" ht="15" customHeight="1" x14ac:dyDescent="0.25">
      <c r="A36" s="215">
        <v>44323</v>
      </c>
      <c r="B36" s="349" t="s">
        <v>2946</v>
      </c>
      <c r="C36" s="887" t="s">
        <v>12</v>
      </c>
      <c r="D36" s="1005" t="s">
        <v>1489</v>
      </c>
      <c r="E36" s="887" t="s">
        <v>13</v>
      </c>
      <c r="F36" s="613">
        <v>10</v>
      </c>
      <c r="G36" s="967"/>
      <c r="H36" s="1008"/>
      <c r="I36" s="1063"/>
      <c r="J36" s="622"/>
      <c r="K36" s="982"/>
      <c r="L36" s="861"/>
      <c r="N36" s="878"/>
    </row>
    <row r="37" spans="1:14" s="224" customFormat="1" ht="15" customHeight="1" x14ac:dyDescent="0.25">
      <c r="A37" s="215">
        <v>44323</v>
      </c>
      <c r="B37" s="862" t="s">
        <v>2385</v>
      </c>
      <c r="C37" s="879" t="s">
        <v>12</v>
      </c>
      <c r="D37" s="879" t="s">
        <v>1504</v>
      </c>
      <c r="E37" s="871" t="s">
        <v>13</v>
      </c>
      <c r="F37" s="780">
        <v>57.81</v>
      </c>
      <c r="G37" s="982"/>
      <c r="H37" s="1008"/>
      <c r="I37" s="1063"/>
      <c r="J37" s="622"/>
      <c r="K37" s="982"/>
      <c r="L37" s="1028">
        <v>90</v>
      </c>
      <c r="M37" s="999"/>
      <c r="N37" s="1035"/>
    </row>
    <row r="38" spans="1:14" s="224" customFormat="1" ht="15" customHeight="1" x14ac:dyDescent="0.25">
      <c r="A38" s="215">
        <v>44323</v>
      </c>
      <c r="B38" s="882" t="s">
        <v>2947</v>
      </c>
      <c r="C38" s="879" t="s">
        <v>12</v>
      </c>
      <c r="D38" s="879" t="s">
        <v>1499</v>
      </c>
      <c r="E38" s="871" t="s">
        <v>13</v>
      </c>
      <c r="F38" s="780">
        <v>46.31</v>
      </c>
      <c r="G38" s="982"/>
      <c r="H38" s="1008"/>
      <c r="I38" s="1063"/>
      <c r="J38" s="622"/>
      <c r="K38" s="982"/>
      <c r="L38" s="1028">
        <v>116.31</v>
      </c>
      <c r="M38" s="999"/>
      <c r="N38" s="878"/>
    </row>
    <row r="39" spans="1:14" s="224" customFormat="1" ht="15" customHeight="1" x14ac:dyDescent="0.25">
      <c r="A39" s="215">
        <v>44323</v>
      </c>
      <c r="B39" s="364" t="s">
        <v>2948</v>
      </c>
      <c r="C39" s="350" t="s">
        <v>12</v>
      </c>
      <c r="D39" s="350" t="s">
        <v>1491</v>
      </c>
      <c r="E39" s="875" t="s">
        <v>13</v>
      </c>
      <c r="F39" s="780">
        <v>250</v>
      </c>
      <c r="G39" s="982"/>
      <c r="H39" s="1008"/>
      <c r="I39" s="1063"/>
      <c r="J39" s="622"/>
      <c r="K39" s="982"/>
      <c r="L39" s="861"/>
      <c r="N39" s="1035"/>
    </row>
    <row r="40" spans="1:14" s="224" customFormat="1" ht="15" customHeight="1" x14ac:dyDescent="0.25">
      <c r="A40" s="215">
        <v>44323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16</v>
      </c>
      <c r="G40" s="982"/>
      <c r="H40" s="1008"/>
      <c r="I40" s="1063"/>
      <c r="J40" s="622"/>
      <c r="K40" s="982"/>
      <c r="L40" s="1029"/>
      <c r="M40" s="89"/>
      <c r="N40" s="1035"/>
    </row>
    <row r="41" spans="1:14" s="224" customFormat="1" ht="15" customHeight="1" x14ac:dyDescent="0.25">
      <c r="A41" s="215">
        <v>44323</v>
      </c>
      <c r="B41" s="364" t="s">
        <v>134</v>
      </c>
      <c r="C41" s="350" t="s">
        <v>12</v>
      </c>
      <c r="D41" s="350" t="s">
        <v>1493</v>
      </c>
      <c r="E41" s="875" t="s">
        <v>13</v>
      </c>
      <c r="F41" s="780">
        <v>30.8</v>
      </c>
      <c r="G41" s="982"/>
      <c r="H41" s="1008"/>
      <c r="I41" s="1063"/>
      <c r="J41" s="622"/>
      <c r="K41" s="982"/>
      <c r="L41" s="861"/>
      <c r="N41" s="878"/>
    </row>
    <row r="42" spans="1:14" s="224" customFormat="1" ht="15" customHeight="1" x14ac:dyDescent="0.25">
      <c r="A42" s="215">
        <v>44323</v>
      </c>
      <c r="B42" s="364" t="s">
        <v>1396</v>
      </c>
      <c r="C42" s="350" t="s">
        <v>12</v>
      </c>
      <c r="D42" s="350"/>
      <c r="E42" s="480" t="s">
        <v>25</v>
      </c>
      <c r="F42" s="613"/>
      <c r="G42" s="967">
        <v>70</v>
      </c>
      <c r="H42" s="1008"/>
      <c r="I42" s="1063"/>
      <c r="J42" s="622"/>
      <c r="K42" s="982"/>
      <c r="L42" s="861"/>
    </row>
    <row r="43" spans="1:14" s="224" customFormat="1" ht="15" customHeight="1" x14ac:dyDescent="0.25">
      <c r="A43" s="215">
        <v>44324</v>
      </c>
      <c r="B43" s="882" t="s">
        <v>2923</v>
      </c>
      <c r="C43" s="879" t="s">
        <v>12</v>
      </c>
      <c r="D43" s="879" t="s">
        <v>2157</v>
      </c>
      <c r="E43" s="875" t="s">
        <v>15</v>
      </c>
      <c r="F43" s="780">
        <v>80</v>
      </c>
      <c r="G43" s="982"/>
      <c r="H43" s="1008"/>
      <c r="I43" s="1063"/>
      <c r="J43" s="622"/>
      <c r="K43" s="982"/>
      <c r="L43" s="861"/>
      <c r="N43" s="878"/>
    </row>
    <row r="44" spans="1:14" s="224" customFormat="1" ht="15" customHeight="1" x14ac:dyDescent="0.25">
      <c r="A44" s="215">
        <v>44324</v>
      </c>
      <c r="B44" s="882" t="s">
        <v>2629</v>
      </c>
      <c r="C44" s="879" t="s">
        <v>12</v>
      </c>
      <c r="D44" s="879" t="s">
        <v>1489</v>
      </c>
      <c r="E44" s="875" t="s">
        <v>13</v>
      </c>
      <c r="F44" s="780">
        <v>86.74</v>
      </c>
      <c r="G44" s="982"/>
      <c r="H44" s="1008"/>
      <c r="I44" s="1063"/>
      <c r="J44" s="622"/>
      <c r="K44" s="982"/>
      <c r="L44" s="861"/>
      <c r="N44" s="878"/>
    </row>
    <row r="45" spans="1:14" s="224" customFormat="1" ht="15" customHeight="1" x14ac:dyDescent="0.25">
      <c r="A45" s="215">
        <v>44324</v>
      </c>
      <c r="B45" s="364" t="s">
        <v>82</v>
      </c>
      <c r="C45" s="350" t="s">
        <v>12</v>
      </c>
      <c r="D45" s="350" t="s">
        <v>1493</v>
      </c>
      <c r="E45" s="875" t="s">
        <v>13</v>
      </c>
      <c r="F45" s="780">
        <v>20</v>
      </c>
      <c r="G45" s="982"/>
      <c r="H45" s="1008"/>
      <c r="I45" s="1063"/>
      <c r="J45" s="622"/>
      <c r="K45" s="982"/>
      <c r="L45" s="861"/>
      <c r="N45" s="1035"/>
    </row>
    <row r="46" spans="1:14" s="224" customFormat="1" ht="15" customHeight="1" x14ac:dyDescent="0.25">
      <c r="A46" s="215">
        <v>44325</v>
      </c>
      <c r="B46" s="882" t="s">
        <v>2949</v>
      </c>
      <c r="C46" s="879" t="s">
        <v>12</v>
      </c>
      <c r="D46" s="879" t="s">
        <v>1489</v>
      </c>
      <c r="E46" s="875" t="s">
        <v>15</v>
      </c>
      <c r="F46" s="780">
        <v>100</v>
      </c>
      <c r="G46" s="982"/>
      <c r="H46" s="1008"/>
      <c r="I46" s="1063"/>
      <c r="J46" s="622"/>
      <c r="K46" s="982"/>
      <c r="L46" s="861"/>
      <c r="N46" s="878"/>
    </row>
    <row r="47" spans="1:14" s="224" customFormat="1" ht="15" customHeight="1" x14ac:dyDescent="0.25">
      <c r="A47" s="1052">
        <v>44325</v>
      </c>
      <c r="B47" s="873" t="s">
        <v>2096</v>
      </c>
      <c r="C47" s="879" t="s">
        <v>12</v>
      </c>
      <c r="D47" s="879" t="s">
        <v>1506</v>
      </c>
      <c r="E47" s="871" t="s">
        <v>15</v>
      </c>
      <c r="F47" s="780">
        <v>40</v>
      </c>
      <c r="G47" s="946"/>
      <c r="H47" s="95"/>
      <c r="I47" s="1064"/>
      <c r="J47" s="97"/>
      <c r="K47" s="946"/>
      <c r="L47" s="926"/>
      <c r="M47" s="89"/>
      <c r="N47" s="930"/>
    </row>
    <row r="48" spans="1:14" s="224" customFormat="1" ht="15" customHeight="1" x14ac:dyDescent="0.25">
      <c r="A48" s="215">
        <v>44325</v>
      </c>
      <c r="B48" s="882" t="s">
        <v>14</v>
      </c>
      <c r="C48" s="879" t="s">
        <v>12</v>
      </c>
      <c r="D48" s="879" t="s">
        <v>1486</v>
      </c>
      <c r="E48" s="875" t="s">
        <v>13</v>
      </c>
      <c r="F48" s="780">
        <v>10.06</v>
      </c>
      <c r="G48" s="982"/>
      <c r="H48" s="1008"/>
      <c r="I48" s="1063"/>
      <c r="J48" s="622"/>
      <c r="K48" s="982"/>
      <c r="L48" s="861"/>
      <c r="N48" s="1035"/>
    </row>
    <row r="49" spans="1:14" s="224" customFormat="1" ht="15" customHeight="1" x14ac:dyDescent="0.25">
      <c r="A49" s="215">
        <v>44325</v>
      </c>
      <c r="B49" s="349" t="s">
        <v>2950</v>
      </c>
      <c r="C49" s="352" t="s">
        <v>12</v>
      </c>
      <c r="D49" s="874" t="s">
        <v>1523</v>
      </c>
      <c r="E49" s="875" t="s">
        <v>13</v>
      </c>
      <c r="F49" s="852">
        <v>6</v>
      </c>
      <c r="G49" s="1064"/>
      <c r="H49" s="97"/>
      <c r="I49" s="982"/>
      <c r="J49" s="622"/>
      <c r="K49" s="982"/>
    </row>
    <row r="50" spans="1:14" s="224" customFormat="1" ht="15" customHeight="1" x14ac:dyDescent="0.25">
      <c r="A50" s="215">
        <v>44325</v>
      </c>
      <c r="B50" s="349" t="s">
        <v>2951</v>
      </c>
      <c r="C50" s="352" t="s">
        <v>12</v>
      </c>
      <c r="D50" s="874" t="s">
        <v>1493</v>
      </c>
      <c r="E50" s="875" t="s">
        <v>13</v>
      </c>
      <c r="F50" s="852">
        <v>10.5</v>
      </c>
      <c r="G50" s="1064"/>
      <c r="H50" s="97"/>
      <c r="I50" s="982"/>
      <c r="J50" s="622"/>
      <c r="K50" s="982"/>
    </row>
    <row r="51" spans="1:14" s="224" customFormat="1" ht="15" customHeight="1" x14ac:dyDescent="0.25">
      <c r="A51" s="215">
        <v>44325</v>
      </c>
      <c r="B51" s="882" t="s">
        <v>81</v>
      </c>
      <c r="C51" s="879" t="s">
        <v>12</v>
      </c>
      <c r="D51" s="879" t="s">
        <v>1493</v>
      </c>
      <c r="E51" s="875" t="s">
        <v>13</v>
      </c>
      <c r="F51" s="780">
        <v>6.26</v>
      </c>
      <c r="G51" s="982"/>
      <c r="H51" s="1008"/>
      <c r="I51" s="1063"/>
      <c r="J51" s="622"/>
      <c r="K51" s="982"/>
      <c r="L51" s="861"/>
      <c r="N51" s="1035"/>
    </row>
    <row r="52" spans="1:14" s="224" customFormat="1" ht="15" customHeight="1" x14ac:dyDescent="0.25">
      <c r="A52" s="215">
        <v>44326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16</v>
      </c>
      <c r="G52" s="982"/>
      <c r="H52" s="1008"/>
      <c r="I52" s="1063"/>
      <c r="J52" s="622"/>
      <c r="K52" s="982"/>
      <c r="L52" s="1029"/>
      <c r="M52" s="89"/>
      <c r="N52" s="1035"/>
    </row>
    <row r="53" spans="1:14" s="224" customFormat="1" x14ac:dyDescent="0.25">
      <c r="A53" s="215">
        <v>44326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1047">
        <v>11.98</v>
      </c>
      <c r="G53" s="982"/>
      <c r="H53" s="1008"/>
      <c r="I53" s="1063"/>
      <c r="J53" s="622"/>
      <c r="K53" s="982"/>
      <c r="L53" s="1029"/>
      <c r="M53" s="89"/>
      <c r="N53" s="930"/>
    </row>
    <row r="54" spans="1:14" x14ac:dyDescent="0.25">
      <c r="A54" s="215">
        <v>44326</v>
      </c>
      <c r="B54" s="876" t="s">
        <v>2712</v>
      </c>
      <c r="C54" s="879" t="s">
        <v>12</v>
      </c>
      <c r="D54" s="879" t="s">
        <v>1496</v>
      </c>
      <c r="E54" s="871" t="s">
        <v>13</v>
      </c>
      <c r="F54" s="780">
        <v>70</v>
      </c>
      <c r="G54" s="982"/>
      <c r="H54" s="1009"/>
      <c r="I54" s="1063"/>
      <c r="J54" s="622"/>
      <c r="K54" s="982"/>
      <c r="L54" s="1029"/>
    </row>
    <row r="55" spans="1:14" s="224" customFormat="1" ht="15" customHeight="1" x14ac:dyDescent="0.25">
      <c r="A55" s="215">
        <v>44327</v>
      </c>
      <c r="B55" s="882" t="s">
        <v>2415</v>
      </c>
      <c r="C55" s="879" t="s">
        <v>12</v>
      </c>
      <c r="D55" s="879" t="s">
        <v>1493</v>
      </c>
      <c r="E55" s="875" t="s">
        <v>13</v>
      </c>
      <c r="F55" s="780">
        <v>7.5</v>
      </c>
      <c r="G55" s="982"/>
      <c r="H55" s="1008"/>
      <c r="I55" s="1063"/>
      <c r="J55" s="622"/>
      <c r="K55" s="982"/>
      <c r="L55" s="1029"/>
      <c r="M55" s="89"/>
      <c r="N55" s="930"/>
    </row>
    <row r="56" spans="1:14" s="224" customFormat="1" ht="15" customHeight="1" x14ac:dyDescent="0.25">
      <c r="A56" s="1052">
        <v>44327</v>
      </c>
      <c r="B56" s="882" t="s">
        <v>2197</v>
      </c>
      <c r="C56" s="879" t="s">
        <v>12</v>
      </c>
      <c r="D56" s="879" t="s">
        <v>2168</v>
      </c>
      <c r="E56" s="875" t="s">
        <v>15</v>
      </c>
      <c r="F56" s="780">
        <v>30</v>
      </c>
      <c r="G56" s="982"/>
      <c r="H56" s="622"/>
      <c r="I56" s="982"/>
      <c r="J56" s="622"/>
      <c r="K56" s="982"/>
      <c r="L56" s="927"/>
      <c r="N56" s="878"/>
    </row>
    <row r="57" spans="1:14" s="224" customFormat="1" ht="15" customHeight="1" x14ac:dyDescent="0.25">
      <c r="A57" s="1052">
        <v>44328</v>
      </c>
      <c r="B57" s="349" t="s">
        <v>260</v>
      </c>
      <c r="C57" s="350" t="s">
        <v>12</v>
      </c>
      <c r="D57" s="350"/>
      <c r="E57" s="480"/>
      <c r="F57" s="780">
        <v>200</v>
      </c>
      <c r="G57" s="946"/>
      <c r="H57" s="95"/>
      <c r="I57" s="1064">
        <v>200</v>
      </c>
      <c r="J57" s="622"/>
      <c r="K57" s="982"/>
      <c r="L57" s="861"/>
    </row>
    <row r="58" spans="1:14" s="224" customFormat="1" ht="15" customHeight="1" x14ac:dyDescent="0.25">
      <c r="A58" s="215">
        <v>44328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16</v>
      </c>
      <c r="G58" s="982"/>
      <c r="H58" s="1008"/>
      <c r="I58" s="1063"/>
      <c r="J58" s="622"/>
      <c r="K58" s="982"/>
      <c r="L58" s="1029"/>
      <c r="M58" s="89"/>
      <c r="N58" s="1035"/>
    </row>
    <row r="59" spans="1:14" s="224" customFormat="1" ht="15" customHeight="1" x14ac:dyDescent="0.25">
      <c r="A59" s="215">
        <v>44328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6</v>
      </c>
      <c r="G59" s="982"/>
      <c r="H59" s="1008"/>
      <c r="I59" s="1063"/>
      <c r="J59" s="622"/>
      <c r="K59" s="982"/>
      <c r="L59" s="1029"/>
      <c r="M59" s="89"/>
      <c r="N59" s="1035"/>
    </row>
    <row r="60" spans="1:14" s="224" customFormat="1" ht="15" customHeight="1" x14ac:dyDescent="0.25">
      <c r="A60" s="215">
        <v>44329</v>
      </c>
      <c r="B60" s="882" t="s">
        <v>32</v>
      </c>
      <c r="C60" s="879" t="s">
        <v>12</v>
      </c>
      <c r="D60" s="879" t="s">
        <v>1485</v>
      </c>
      <c r="E60" s="875" t="s">
        <v>13</v>
      </c>
      <c r="F60" s="780">
        <v>16</v>
      </c>
      <c r="G60" s="982"/>
      <c r="H60" s="1008"/>
      <c r="I60" s="1063"/>
      <c r="J60" s="622"/>
      <c r="K60" s="982"/>
      <c r="L60" s="1029"/>
      <c r="M60" s="881"/>
      <c r="N60" s="877"/>
    </row>
    <row r="61" spans="1:14" s="224" customFormat="1" ht="15" customHeight="1" x14ac:dyDescent="0.25">
      <c r="A61" s="215">
        <v>44330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16</v>
      </c>
      <c r="G61" s="982"/>
      <c r="H61" s="1008"/>
      <c r="I61" s="1063"/>
      <c r="J61" s="622"/>
      <c r="K61" s="982"/>
      <c r="L61" s="1029"/>
      <c r="M61" s="881"/>
      <c r="N61" s="877"/>
    </row>
    <row r="62" spans="1:14" s="224" customFormat="1" ht="15" customHeight="1" x14ac:dyDescent="0.25">
      <c r="A62" s="215">
        <v>44330</v>
      </c>
      <c r="B62" s="882" t="s">
        <v>2923</v>
      </c>
      <c r="C62" s="879" t="s">
        <v>12</v>
      </c>
      <c r="D62" s="879" t="s">
        <v>2157</v>
      </c>
      <c r="E62" s="875" t="s">
        <v>15</v>
      </c>
      <c r="F62" s="780">
        <v>50</v>
      </c>
      <c r="G62" s="982"/>
      <c r="H62" s="1008"/>
      <c r="I62" s="1063"/>
      <c r="J62" s="622"/>
      <c r="K62" s="982"/>
      <c r="L62" s="861"/>
      <c r="N62" s="878"/>
    </row>
    <row r="63" spans="1:14" s="224" customFormat="1" ht="15" customHeight="1" x14ac:dyDescent="0.25">
      <c r="A63" s="215">
        <v>44330</v>
      </c>
      <c r="B63" s="364" t="s">
        <v>443</v>
      </c>
      <c r="C63" s="350" t="s">
        <v>12</v>
      </c>
      <c r="D63" s="350" t="s">
        <v>1493</v>
      </c>
      <c r="E63" s="875" t="s">
        <v>13</v>
      </c>
      <c r="F63" s="780">
        <v>23.42</v>
      </c>
      <c r="G63" s="982"/>
      <c r="H63" s="1008"/>
      <c r="I63" s="1063"/>
      <c r="J63" s="622"/>
      <c r="K63" s="982"/>
      <c r="L63" s="1029"/>
      <c r="M63" s="89"/>
      <c r="N63" s="1035"/>
    </row>
    <row r="64" spans="1:14" s="224" customFormat="1" ht="15" customHeight="1" x14ac:dyDescent="0.25">
      <c r="A64" s="215">
        <v>44331</v>
      </c>
      <c r="B64" s="882" t="s">
        <v>14</v>
      </c>
      <c r="C64" s="879" t="s">
        <v>12</v>
      </c>
      <c r="D64" s="879" t="s">
        <v>1486</v>
      </c>
      <c r="E64" s="875" t="s">
        <v>13</v>
      </c>
      <c r="F64" s="780">
        <v>4.32</v>
      </c>
      <c r="G64" s="982"/>
      <c r="H64" s="1008"/>
      <c r="I64" s="1063"/>
      <c r="J64" s="622"/>
      <c r="K64" s="982"/>
      <c r="L64" s="1029"/>
      <c r="M64" s="89"/>
      <c r="N64" s="1035"/>
    </row>
    <row r="65" spans="1:14" s="224" customFormat="1" ht="15" customHeight="1" x14ac:dyDescent="0.25">
      <c r="A65" s="215">
        <v>44331</v>
      </c>
      <c r="B65" s="364" t="s">
        <v>2952</v>
      </c>
      <c r="C65" s="350" t="s">
        <v>12</v>
      </c>
      <c r="D65" s="350" t="s">
        <v>1489</v>
      </c>
      <c r="E65" s="875" t="s">
        <v>13</v>
      </c>
      <c r="F65" s="780">
        <v>100</v>
      </c>
      <c r="G65" s="982"/>
      <c r="H65" s="1008"/>
      <c r="I65" s="1063"/>
      <c r="J65" s="622"/>
      <c r="K65" s="982"/>
      <c r="L65" s="1029"/>
      <c r="M65" s="89"/>
      <c r="N65" s="930"/>
    </row>
    <row r="66" spans="1:14" s="224" customFormat="1" ht="15" customHeight="1" x14ac:dyDescent="0.25">
      <c r="A66" s="215">
        <v>44331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17</v>
      </c>
      <c r="G66" s="982"/>
      <c r="H66" s="1008"/>
      <c r="I66" s="1063"/>
      <c r="J66" s="622"/>
      <c r="K66" s="982"/>
      <c r="L66" s="1029"/>
      <c r="M66" s="881"/>
      <c r="N66" s="877"/>
    </row>
    <row r="67" spans="1:14" s="224" customFormat="1" ht="15" customHeight="1" x14ac:dyDescent="0.25">
      <c r="A67" s="215">
        <v>44331</v>
      </c>
      <c r="B67" s="364" t="s">
        <v>82</v>
      </c>
      <c r="C67" s="350" t="s">
        <v>12</v>
      </c>
      <c r="D67" s="350" t="s">
        <v>1493</v>
      </c>
      <c r="E67" s="875" t="s">
        <v>13</v>
      </c>
      <c r="F67" s="780">
        <v>31.8</v>
      </c>
      <c r="G67" s="982"/>
      <c r="H67" s="1008"/>
      <c r="I67" s="1063"/>
      <c r="J67" s="622"/>
      <c r="K67" s="982"/>
      <c r="L67" s="1029"/>
      <c r="M67" s="89"/>
      <c r="N67" s="930"/>
    </row>
    <row r="68" spans="1:14" s="224" customFormat="1" x14ac:dyDescent="0.25">
      <c r="A68" s="215">
        <v>44332</v>
      </c>
      <c r="B68" s="364" t="s">
        <v>2953</v>
      </c>
      <c r="C68" s="350" t="s">
        <v>19</v>
      </c>
      <c r="D68" s="350" t="s">
        <v>1506</v>
      </c>
      <c r="E68" s="875" t="s">
        <v>13</v>
      </c>
      <c r="F68" s="1047">
        <v>22</v>
      </c>
      <c r="G68" s="982"/>
      <c r="H68" s="1008"/>
      <c r="I68" s="1063"/>
      <c r="J68" s="622"/>
      <c r="K68" s="982"/>
      <c r="L68" s="1029"/>
      <c r="M68" s="89"/>
      <c r="N68" s="930"/>
    </row>
    <row r="69" spans="1:14" s="224" customFormat="1" x14ac:dyDescent="0.25">
      <c r="A69" s="215">
        <v>44332</v>
      </c>
      <c r="B69" s="364" t="s">
        <v>2954</v>
      </c>
      <c r="C69" s="350" t="s">
        <v>19</v>
      </c>
      <c r="D69" s="350" t="s">
        <v>1506</v>
      </c>
      <c r="E69" s="875" t="s">
        <v>13</v>
      </c>
      <c r="F69" s="1047">
        <v>20</v>
      </c>
      <c r="G69" s="982"/>
      <c r="H69" s="1008"/>
      <c r="I69" s="1063"/>
      <c r="J69" s="622"/>
      <c r="K69" s="982"/>
      <c r="L69" s="1029"/>
      <c r="M69" s="89"/>
      <c r="N69" s="930"/>
    </row>
    <row r="70" spans="1:14" s="224" customFormat="1" x14ac:dyDescent="0.25">
      <c r="A70" s="215">
        <v>44332</v>
      </c>
      <c r="B70" s="364" t="s">
        <v>17</v>
      </c>
      <c r="C70" s="350" t="s">
        <v>12</v>
      </c>
      <c r="D70" s="350" t="s">
        <v>1493</v>
      </c>
      <c r="E70" s="875" t="s">
        <v>13</v>
      </c>
      <c r="F70" s="1047">
        <v>19.8</v>
      </c>
      <c r="G70" s="982"/>
      <c r="H70" s="1008"/>
      <c r="I70" s="1063"/>
      <c r="J70" s="622"/>
      <c r="K70" s="982"/>
      <c r="L70" s="1029"/>
      <c r="M70" s="89"/>
      <c r="N70" s="930"/>
    </row>
    <row r="71" spans="1:14" s="224" customFormat="1" x14ac:dyDescent="0.25">
      <c r="A71" s="215">
        <v>44332</v>
      </c>
      <c r="B71" s="364" t="s">
        <v>103</v>
      </c>
      <c r="C71" s="350" t="s">
        <v>12</v>
      </c>
      <c r="D71" s="350" t="s">
        <v>1489</v>
      </c>
      <c r="E71" s="875" t="s">
        <v>13</v>
      </c>
      <c r="F71" s="1047">
        <v>9</v>
      </c>
      <c r="G71" s="982"/>
      <c r="H71" s="1008"/>
      <c r="I71" s="1063"/>
      <c r="J71" s="622"/>
      <c r="K71" s="982"/>
      <c r="L71" s="1029"/>
      <c r="M71" s="89"/>
      <c r="N71" s="930"/>
    </row>
    <row r="72" spans="1:14" s="224" customFormat="1" ht="15" customHeight="1" x14ac:dyDescent="0.25">
      <c r="A72" s="215">
        <v>44332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22</v>
      </c>
      <c r="G72" s="982"/>
      <c r="H72" s="1008"/>
      <c r="I72" s="1063"/>
      <c r="J72" s="622"/>
      <c r="K72" s="982"/>
      <c r="L72" s="1029"/>
      <c r="M72" s="881"/>
      <c r="N72" s="877"/>
    </row>
    <row r="73" spans="1:14" s="224" customFormat="1" ht="15" customHeight="1" x14ac:dyDescent="0.25">
      <c r="A73" s="215">
        <v>44332</v>
      </c>
      <c r="B73" s="882" t="s">
        <v>134</v>
      </c>
      <c r="C73" s="879" t="s">
        <v>12</v>
      </c>
      <c r="D73" s="879" t="s">
        <v>1493</v>
      </c>
      <c r="E73" s="875" t="s">
        <v>13</v>
      </c>
      <c r="F73" s="780">
        <v>16.309999999999999</v>
      </c>
      <c r="G73" s="982"/>
      <c r="H73" s="1008"/>
      <c r="I73" s="1063"/>
      <c r="J73" s="622"/>
      <c r="K73" s="982"/>
      <c r="L73" s="1029"/>
      <c r="M73" s="881"/>
      <c r="N73" s="877"/>
    </row>
    <row r="74" spans="1:14" s="224" customFormat="1" ht="15" customHeight="1" x14ac:dyDescent="0.25">
      <c r="A74" s="1052">
        <v>44303</v>
      </c>
      <c r="B74" s="882" t="s">
        <v>2955</v>
      </c>
      <c r="C74" s="879" t="s">
        <v>12</v>
      </c>
      <c r="D74" s="879" t="s">
        <v>1499</v>
      </c>
      <c r="E74" s="871" t="s">
        <v>13</v>
      </c>
      <c r="F74" s="780">
        <v>38.83</v>
      </c>
      <c r="G74" s="982"/>
      <c r="H74" s="1008"/>
      <c r="I74" s="1063"/>
      <c r="J74" s="622"/>
      <c r="K74" s="982"/>
      <c r="L74" s="861">
        <v>108.83</v>
      </c>
      <c r="N74" s="878"/>
    </row>
    <row r="75" spans="1:14" s="224" customFormat="1" ht="15" customHeight="1" x14ac:dyDescent="0.25">
      <c r="A75" s="215">
        <v>44333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16</v>
      </c>
      <c r="G75" s="982"/>
      <c r="H75" s="1008"/>
      <c r="I75" s="1063"/>
      <c r="J75" s="622"/>
      <c r="K75" s="982"/>
      <c r="L75" s="1029"/>
      <c r="M75" s="881"/>
      <c r="N75" s="877"/>
    </row>
    <row r="76" spans="1:14" s="224" customFormat="1" ht="15" customHeight="1" x14ac:dyDescent="0.25">
      <c r="A76" s="1052">
        <v>44333</v>
      </c>
      <c r="B76" s="882" t="s">
        <v>2781</v>
      </c>
      <c r="C76" s="879" t="s">
        <v>12</v>
      </c>
      <c r="D76" s="879" t="s">
        <v>1491</v>
      </c>
      <c r="E76" s="875" t="s">
        <v>13</v>
      </c>
      <c r="F76" s="780">
        <v>50</v>
      </c>
      <c r="G76" s="982"/>
      <c r="H76" s="1008"/>
      <c r="I76" s="1063"/>
      <c r="J76" s="622"/>
      <c r="K76" s="982"/>
      <c r="L76" s="861"/>
      <c r="N76" s="1035"/>
    </row>
    <row r="77" spans="1:14" s="224" customFormat="1" x14ac:dyDescent="0.25">
      <c r="A77" s="215">
        <v>44334</v>
      </c>
      <c r="B77" s="882" t="s">
        <v>32</v>
      </c>
      <c r="C77" s="879" t="s">
        <v>12</v>
      </c>
      <c r="D77" s="879" t="s">
        <v>1485</v>
      </c>
      <c r="E77" s="875" t="s">
        <v>13</v>
      </c>
      <c r="F77" s="1047">
        <v>16</v>
      </c>
      <c r="G77" s="982"/>
      <c r="H77" s="1008"/>
      <c r="I77" s="1063"/>
      <c r="J77" s="622"/>
      <c r="K77" s="982"/>
      <c r="L77" s="1029"/>
      <c r="M77" s="89"/>
      <c r="N77" s="930"/>
    </row>
    <row r="78" spans="1:14" s="224" customFormat="1" ht="15" customHeight="1" x14ac:dyDescent="0.25">
      <c r="A78" s="215">
        <v>44334</v>
      </c>
      <c r="B78" s="882" t="s">
        <v>14</v>
      </c>
      <c r="C78" s="879" t="s">
        <v>12</v>
      </c>
      <c r="D78" s="879" t="s">
        <v>1486</v>
      </c>
      <c r="E78" s="875" t="s">
        <v>13</v>
      </c>
      <c r="F78" s="1047">
        <v>10.98</v>
      </c>
      <c r="G78" s="982"/>
      <c r="H78" s="1008"/>
      <c r="I78" s="1063"/>
      <c r="J78" s="622"/>
      <c r="K78" s="982"/>
      <c r="L78" s="1029"/>
      <c r="M78" s="881"/>
      <c r="N78" s="877"/>
    </row>
    <row r="79" spans="1:14" s="224" customFormat="1" ht="15" customHeight="1" x14ac:dyDescent="0.25">
      <c r="A79" s="215">
        <v>44335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16</v>
      </c>
      <c r="G79" s="982"/>
      <c r="H79" s="1008"/>
      <c r="I79" s="1063"/>
      <c r="J79" s="622"/>
      <c r="K79" s="982"/>
      <c r="L79" s="1029"/>
      <c r="M79" s="89"/>
      <c r="N79" s="1035"/>
    </row>
    <row r="80" spans="1:14" s="224" customFormat="1" ht="15" customHeight="1" x14ac:dyDescent="0.25">
      <c r="A80" s="215">
        <v>44335</v>
      </c>
      <c r="B80" s="882" t="s">
        <v>2415</v>
      </c>
      <c r="C80" s="879" t="s">
        <v>12</v>
      </c>
      <c r="D80" s="879" t="s">
        <v>1493</v>
      </c>
      <c r="E80" s="875" t="s">
        <v>13</v>
      </c>
      <c r="F80" s="780">
        <v>5</v>
      </c>
      <c r="G80" s="982"/>
      <c r="H80" s="1008"/>
      <c r="I80" s="1063"/>
      <c r="J80" s="622"/>
      <c r="K80" s="982"/>
      <c r="L80" s="1029"/>
      <c r="M80" s="89"/>
      <c r="N80" s="930"/>
    </row>
    <row r="81" spans="1:14" s="224" customFormat="1" ht="15" customHeight="1" x14ac:dyDescent="0.25">
      <c r="A81" s="215">
        <v>44335</v>
      </c>
      <c r="B81" s="882" t="s">
        <v>2766</v>
      </c>
      <c r="C81" s="879" t="s">
        <v>12</v>
      </c>
      <c r="D81" s="879" t="s">
        <v>2157</v>
      </c>
      <c r="E81" s="875" t="s">
        <v>15</v>
      </c>
      <c r="F81" s="780">
        <v>60</v>
      </c>
      <c r="G81" s="982"/>
      <c r="H81" s="1008"/>
      <c r="I81" s="1063"/>
      <c r="J81" s="622"/>
      <c r="K81" s="982"/>
      <c r="L81" s="861"/>
      <c r="N81" s="878"/>
    </row>
    <row r="82" spans="1:14" s="224" customFormat="1" ht="15" customHeight="1" x14ac:dyDescent="0.25">
      <c r="A82" s="215">
        <v>44335</v>
      </c>
      <c r="B82" s="882" t="s">
        <v>14</v>
      </c>
      <c r="C82" s="879" t="s">
        <v>12</v>
      </c>
      <c r="D82" s="879" t="s">
        <v>1486</v>
      </c>
      <c r="E82" s="875" t="s">
        <v>13</v>
      </c>
      <c r="F82" s="780">
        <v>8.02</v>
      </c>
      <c r="G82" s="982"/>
      <c r="H82" s="1008"/>
      <c r="I82" s="1063"/>
      <c r="J82" s="622"/>
      <c r="K82" s="982"/>
      <c r="L82" s="1029"/>
      <c r="M82" s="89"/>
      <c r="N82" s="1035"/>
    </row>
    <row r="83" spans="1:14" s="224" customFormat="1" ht="15" customHeight="1" x14ac:dyDescent="0.25">
      <c r="A83" s="215">
        <v>44336</v>
      </c>
      <c r="B83" s="882" t="s">
        <v>2956</v>
      </c>
      <c r="C83" s="350" t="s">
        <v>12</v>
      </c>
      <c r="D83" s="350"/>
      <c r="E83" s="480" t="s">
        <v>25</v>
      </c>
      <c r="F83" s="622"/>
      <c r="G83" s="982">
        <v>1660</v>
      </c>
      <c r="H83" s="1008"/>
      <c r="I83" s="1063"/>
      <c r="J83" s="622"/>
      <c r="K83" s="982"/>
      <c r="L83" s="861"/>
    </row>
    <row r="84" spans="1:14" s="224" customFormat="1" ht="15" customHeight="1" x14ac:dyDescent="0.25">
      <c r="A84" s="215">
        <v>44336</v>
      </c>
      <c r="B84" s="862" t="s">
        <v>2867</v>
      </c>
      <c r="C84" s="350" t="s">
        <v>12</v>
      </c>
      <c r="D84" s="874" t="s">
        <v>1504</v>
      </c>
      <c r="E84" s="887" t="s">
        <v>13</v>
      </c>
      <c r="F84" s="852">
        <v>30</v>
      </c>
      <c r="G84" s="982"/>
      <c r="H84" s="1009"/>
      <c r="I84" s="1063"/>
      <c r="J84" s="853"/>
      <c r="K84" s="982"/>
      <c r="L84" s="861"/>
      <c r="M84" s="927"/>
      <c r="N84" s="1035"/>
    </row>
    <row r="85" spans="1:14" s="224" customFormat="1" ht="15" customHeight="1" x14ac:dyDescent="0.25">
      <c r="A85" s="1052">
        <v>44336</v>
      </c>
      <c r="B85" s="882" t="s">
        <v>2781</v>
      </c>
      <c r="C85" s="879" t="s">
        <v>12</v>
      </c>
      <c r="D85" s="879" t="s">
        <v>1491</v>
      </c>
      <c r="E85" s="875" t="s">
        <v>13</v>
      </c>
      <c r="F85" s="780">
        <v>100</v>
      </c>
      <c r="G85" s="982"/>
      <c r="H85" s="1008"/>
      <c r="I85" s="1063"/>
      <c r="J85" s="622"/>
      <c r="K85" s="982"/>
      <c r="L85" s="861"/>
      <c r="N85" s="1035"/>
    </row>
    <row r="86" spans="1:14" s="224" customFormat="1" ht="15" customHeight="1" x14ac:dyDescent="0.25">
      <c r="A86" s="1052">
        <v>44336</v>
      </c>
      <c r="B86" s="349" t="s">
        <v>260</v>
      </c>
      <c r="C86" s="350" t="s">
        <v>12</v>
      </c>
      <c r="D86" s="350"/>
      <c r="E86" s="480"/>
      <c r="F86" s="780">
        <v>500</v>
      </c>
      <c r="G86" s="946"/>
      <c r="H86" s="95"/>
      <c r="I86" s="1064">
        <v>500</v>
      </c>
      <c r="J86" s="622"/>
      <c r="K86" s="982"/>
      <c r="L86" s="861"/>
    </row>
    <row r="87" spans="1:14" s="224" customFormat="1" ht="15" customHeight="1" x14ac:dyDescent="0.25">
      <c r="A87" s="1052">
        <v>44336</v>
      </c>
      <c r="B87" s="882" t="s">
        <v>32</v>
      </c>
      <c r="C87" s="879" t="s">
        <v>12</v>
      </c>
      <c r="D87" s="879" t="s">
        <v>1485</v>
      </c>
      <c r="E87" s="875" t="s">
        <v>13</v>
      </c>
      <c r="F87" s="780">
        <v>16</v>
      </c>
      <c r="G87" s="982"/>
      <c r="H87" s="1008"/>
      <c r="I87" s="1063"/>
      <c r="J87" s="622"/>
      <c r="K87" s="982"/>
      <c r="L87" s="1029"/>
      <c r="M87" s="89"/>
      <c r="N87" s="1035"/>
    </row>
    <row r="88" spans="1:14" s="224" customFormat="1" ht="15" customHeight="1" x14ac:dyDescent="0.25">
      <c r="A88" s="1052">
        <v>44336</v>
      </c>
      <c r="B88" s="882" t="s">
        <v>2415</v>
      </c>
      <c r="C88" s="879" t="s">
        <v>12</v>
      </c>
      <c r="D88" s="879" t="s">
        <v>1493</v>
      </c>
      <c r="E88" s="875" t="s">
        <v>13</v>
      </c>
      <c r="F88" s="780">
        <v>5</v>
      </c>
      <c r="G88" s="982"/>
      <c r="H88" s="1008"/>
      <c r="I88" s="1063"/>
      <c r="J88" s="622"/>
      <c r="K88" s="982"/>
      <c r="L88" s="1029"/>
      <c r="M88" s="89"/>
      <c r="N88" s="930"/>
    </row>
    <row r="89" spans="1:14" s="224" customFormat="1" ht="15" customHeight="1" x14ac:dyDescent="0.25">
      <c r="A89" s="215">
        <v>44337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16</v>
      </c>
      <c r="G89" s="982"/>
      <c r="H89" s="1008"/>
      <c r="I89" s="1063"/>
      <c r="J89" s="622"/>
      <c r="K89" s="982"/>
      <c r="L89" s="1029"/>
      <c r="M89" s="89"/>
      <c r="N89" s="1035"/>
    </row>
    <row r="90" spans="1:14" s="224" customFormat="1" x14ac:dyDescent="0.25">
      <c r="A90" s="215">
        <v>44337</v>
      </c>
      <c r="B90" s="882" t="s">
        <v>2415</v>
      </c>
      <c r="C90" s="879" t="s">
        <v>12</v>
      </c>
      <c r="D90" s="879" t="s">
        <v>1493</v>
      </c>
      <c r="E90" s="875" t="s">
        <v>13</v>
      </c>
      <c r="F90" s="780">
        <v>5</v>
      </c>
      <c r="G90" s="982"/>
      <c r="H90" s="1008"/>
      <c r="I90" s="1063"/>
      <c r="J90" s="622"/>
      <c r="K90" s="982"/>
      <c r="L90" s="1029"/>
      <c r="M90" s="89"/>
      <c r="N90" s="930"/>
    </row>
    <row r="91" spans="1:14" s="224" customFormat="1" ht="15" customHeight="1" x14ac:dyDescent="0.25">
      <c r="A91" s="1052">
        <v>44337</v>
      </c>
      <c r="B91" s="882" t="s">
        <v>2197</v>
      </c>
      <c r="C91" s="879" t="s">
        <v>12</v>
      </c>
      <c r="D91" s="879" t="s">
        <v>2168</v>
      </c>
      <c r="E91" s="875" t="s">
        <v>13</v>
      </c>
      <c r="F91" s="780">
        <v>30</v>
      </c>
      <c r="G91" s="982"/>
      <c r="H91" s="622"/>
      <c r="I91" s="982"/>
      <c r="J91" s="622"/>
      <c r="K91" s="982"/>
      <c r="L91" s="927"/>
      <c r="N91" s="878"/>
    </row>
    <row r="92" spans="1:14" s="224" customFormat="1" x14ac:dyDescent="0.25">
      <c r="A92" s="215">
        <v>44337</v>
      </c>
      <c r="B92" s="364" t="s">
        <v>82</v>
      </c>
      <c r="C92" s="350" t="s">
        <v>12</v>
      </c>
      <c r="D92" s="350" t="s">
        <v>1493</v>
      </c>
      <c r="E92" s="875" t="s">
        <v>13</v>
      </c>
      <c r="F92" s="780">
        <v>26.46</v>
      </c>
      <c r="G92" s="982"/>
      <c r="H92" s="1008"/>
      <c r="I92" s="1063"/>
      <c r="J92" s="622"/>
      <c r="K92" s="982"/>
      <c r="L92" s="861"/>
      <c r="N92" s="878"/>
    </row>
    <row r="93" spans="1:14" s="224" customFormat="1" x14ac:dyDescent="0.25">
      <c r="A93" s="215">
        <v>44338</v>
      </c>
      <c r="B93" s="364" t="s">
        <v>1241</v>
      </c>
      <c r="C93" s="350" t="s">
        <v>12</v>
      </c>
      <c r="D93" s="350" t="s">
        <v>1504</v>
      </c>
      <c r="E93" s="875" t="s">
        <v>13</v>
      </c>
      <c r="F93" s="780">
        <v>10</v>
      </c>
      <c r="G93" s="982"/>
      <c r="H93" s="1008"/>
      <c r="I93" s="1063"/>
      <c r="J93" s="622"/>
      <c r="K93" s="982"/>
      <c r="L93" s="861"/>
      <c r="N93" s="878"/>
    </row>
    <row r="94" spans="1:14" s="224" customFormat="1" ht="15" customHeight="1" x14ac:dyDescent="0.25">
      <c r="A94" s="215">
        <v>44338</v>
      </c>
      <c r="B94" s="349" t="s">
        <v>2629</v>
      </c>
      <c r="C94" s="350" t="s">
        <v>19</v>
      </c>
      <c r="D94" s="350" t="s">
        <v>1489</v>
      </c>
      <c r="E94" s="480" t="s">
        <v>13</v>
      </c>
      <c r="F94" s="780">
        <v>66.34</v>
      </c>
      <c r="G94" s="946"/>
      <c r="H94" s="95"/>
      <c r="I94" s="1064"/>
      <c r="J94" s="622"/>
      <c r="K94" s="982"/>
      <c r="L94" s="861"/>
    </row>
    <row r="95" spans="1:14" s="224" customFormat="1" ht="15" customHeight="1" x14ac:dyDescent="0.25">
      <c r="A95" s="215">
        <v>44338</v>
      </c>
      <c r="B95" s="349" t="s">
        <v>619</v>
      </c>
      <c r="C95" s="350" t="s">
        <v>19</v>
      </c>
      <c r="D95" s="350" t="s">
        <v>1491</v>
      </c>
      <c r="E95" s="480" t="s">
        <v>13</v>
      </c>
      <c r="F95" s="780">
        <v>82.88</v>
      </c>
      <c r="G95" s="946"/>
      <c r="H95" s="95"/>
      <c r="I95" s="1064"/>
      <c r="J95" s="622"/>
      <c r="K95" s="982"/>
      <c r="L95" s="861"/>
    </row>
    <row r="96" spans="1:14" s="224" customFormat="1" ht="15" customHeight="1" x14ac:dyDescent="0.25">
      <c r="A96" s="1052">
        <v>44338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17</v>
      </c>
      <c r="G96" s="982"/>
      <c r="H96" s="1008"/>
      <c r="I96" s="1063"/>
      <c r="J96" s="622"/>
      <c r="K96" s="982"/>
      <c r="L96" s="1029"/>
      <c r="M96" s="89"/>
      <c r="N96" s="1035"/>
    </row>
    <row r="97" spans="1:14" s="224" customFormat="1" ht="15" customHeight="1" x14ac:dyDescent="0.25">
      <c r="A97" s="215">
        <v>44339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1047">
        <v>11.02</v>
      </c>
      <c r="G97" s="982"/>
      <c r="H97" s="1008"/>
      <c r="I97" s="1063"/>
      <c r="J97" s="622"/>
      <c r="K97" s="982"/>
      <c r="L97" s="1029"/>
      <c r="M97" s="881"/>
      <c r="N97" s="877"/>
    </row>
    <row r="98" spans="1:14" s="224" customFormat="1" ht="15" customHeight="1" x14ac:dyDescent="0.25">
      <c r="A98" s="215">
        <v>44339</v>
      </c>
      <c r="B98" s="882" t="s">
        <v>2595</v>
      </c>
      <c r="C98" s="879" t="s">
        <v>12</v>
      </c>
      <c r="D98" s="879" t="s">
        <v>1506</v>
      </c>
      <c r="E98" s="875" t="s">
        <v>13</v>
      </c>
      <c r="F98" s="780">
        <v>10</v>
      </c>
      <c r="G98" s="982"/>
      <c r="H98" s="1008"/>
      <c r="I98" s="1063"/>
      <c r="J98" s="622"/>
      <c r="K98" s="982"/>
      <c r="L98" s="861"/>
      <c r="N98" s="878"/>
    </row>
    <row r="99" spans="1:14" s="224" customFormat="1" ht="15" customHeight="1" x14ac:dyDescent="0.25">
      <c r="A99" s="215">
        <v>44339</v>
      </c>
      <c r="B99" s="882" t="s">
        <v>2766</v>
      </c>
      <c r="C99" s="879" t="s">
        <v>12</v>
      </c>
      <c r="D99" s="879" t="s">
        <v>2157</v>
      </c>
      <c r="E99" s="875" t="s">
        <v>15</v>
      </c>
      <c r="F99" s="780">
        <v>50</v>
      </c>
      <c r="G99" s="982"/>
      <c r="H99" s="1008"/>
      <c r="I99" s="1063"/>
      <c r="J99" s="622"/>
      <c r="K99" s="982"/>
      <c r="L99" s="861"/>
      <c r="N99" s="878"/>
    </row>
    <row r="100" spans="1:14" s="224" customFormat="1" ht="15" customHeight="1" x14ac:dyDescent="0.25">
      <c r="A100" s="1052">
        <v>44339</v>
      </c>
      <c r="B100" s="882" t="s">
        <v>32</v>
      </c>
      <c r="C100" s="879" t="s">
        <v>12</v>
      </c>
      <c r="D100" s="879" t="s">
        <v>1485</v>
      </c>
      <c r="E100" s="875" t="s">
        <v>13</v>
      </c>
      <c r="F100" s="780">
        <v>16</v>
      </c>
      <c r="G100" s="982"/>
      <c r="H100" s="1008"/>
      <c r="I100" s="1063"/>
      <c r="J100" s="622"/>
      <c r="K100" s="982"/>
      <c r="L100" s="1029"/>
      <c r="M100" s="89"/>
      <c r="N100" s="1035"/>
    </row>
    <row r="101" spans="1:14" s="224" customFormat="1" ht="15" customHeight="1" x14ac:dyDescent="0.25">
      <c r="A101" s="215">
        <v>44339</v>
      </c>
      <c r="B101" s="364" t="s">
        <v>134</v>
      </c>
      <c r="C101" s="350" t="s">
        <v>12</v>
      </c>
      <c r="D101" s="350" t="s">
        <v>1493</v>
      </c>
      <c r="E101" s="875" t="s">
        <v>13</v>
      </c>
      <c r="F101" s="780">
        <v>9.9</v>
      </c>
      <c r="G101" s="982"/>
      <c r="H101" s="1008"/>
      <c r="I101" s="1063"/>
      <c r="J101" s="622"/>
      <c r="K101" s="982"/>
      <c r="L101" s="861"/>
      <c r="N101" s="1035"/>
    </row>
    <row r="102" spans="1:14" s="224" customFormat="1" ht="15" customHeight="1" x14ac:dyDescent="0.25">
      <c r="A102" s="215">
        <v>44340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16</v>
      </c>
      <c r="G102" s="982"/>
      <c r="H102" s="1008"/>
      <c r="I102" s="1063"/>
      <c r="J102" s="622"/>
      <c r="K102" s="982"/>
      <c r="L102" s="1029"/>
      <c r="M102" s="89"/>
      <c r="N102" s="1035"/>
    </row>
    <row r="103" spans="1:14" s="224" customFormat="1" x14ac:dyDescent="0.25">
      <c r="A103" s="215">
        <v>44340</v>
      </c>
      <c r="B103" s="882" t="s">
        <v>2415</v>
      </c>
      <c r="C103" s="879" t="s">
        <v>12</v>
      </c>
      <c r="D103" s="879" t="s">
        <v>1493</v>
      </c>
      <c r="E103" s="875" t="s">
        <v>13</v>
      </c>
      <c r="F103" s="780">
        <v>5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4" s="224" customFormat="1" ht="15" customHeight="1" x14ac:dyDescent="0.25">
      <c r="A104" s="215">
        <v>44341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16</v>
      </c>
      <c r="G104" s="982"/>
      <c r="H104" s="1008"/>
      <c r="I104" s="1063"/>
      <c r="J104" s="622"/>
      <c r="K104" s="982"/>
      <c r="L104" s="861"/>
      <c r="N104" s="1035"/>
    </row>
    <row r="105" spans="1:14" s="224" customFormat="1" ht="15" customHeight="1" x14ac:dyDescent="0.25">
      <c r="A105" s="215">
        <v>44342</v>
      </c>
      <c r="B105" s="882" t="s">
        <v>32</v>
      </c>
      <c r="C105" s="879" t="s">
        <v>12</v>
      </c>
      <c r="D105" s="879" t="s">
        <v>1485</v>
      </c>
      <c r="E105" s="875" t="s">
        <v>13</v>
      </c>
      <c r="F105" s="780">
        <v>16</v>
      </c>
      <c r="G105" s="982"/>
      <c r="H105" s="1008"/>
      <c r="I105" s="1063"/>
      <c r="J105" s="622"/>
      <c r="K105" s="982"/>
      <c r="L105" s="861"/>
      <c r="N105" s="1035"/>
    </row>
    <row r="106" spans="1:14" s="224" customFormat="1" ht="15" customHeight="1" x14ac:dyDescent="0.25">
      <c r="A106" s="215">
        <v>44342</v>
      </c>
      <c r="B106" s="882" t="s">
        <v>14</v>
      </c>
      <c r="C106" s="879" t="s">
        <v>12</v>
      </c>
      <c r="D106" s="879" t="s">
        <v>1486</v>
      </c>
      <c r="E106" s="875" t="s">
        <v>13</v>
      </c>
      <c r="F106" s="780">
        <v>10.25</v>
      </c>
      <c r="G106" s="982"/>
      <c r="H106" s="1008"/>
      <c r="I106" s="1063"/>
      <c r="J106" s="622"/>
      <c r="K106" s="982"/>
      <c r="L106" s="1029"/>
      <c r="M106" s="89"/>
      <c r="N106" s="930"/>
    </row>
    <row r="107" spans="1:14" s="224" customFormat="1" ht="15" customHeight="1" x14ac:dyDescent="0.25">
      <c r="A107" s="215">
        <v>44343</v>
      </c>
      <c r="B107" s="882" t="s">
        <v>32</v>
      </c>
      <c r="C107" s="879" t="s">
        <v>12</v>
      </c>
      <c r="D107" s="879" t="s">
        <v>1485</v>
      </c>
      <c r="E107" s="875" t="s">
        <v>13</v>
      </c>
      <c r="F107" s="780">
        <v>16</v>
      </c>
      <c r="G107" s="982"/>
      <c r="H107" s="1008"/>
      <c r="I107" s="1063"/>
      <c r="J107" s="622"/>
      <c r="K107" s="982"/>
      <c r="L107" s="1029"/>
      <c r="M107" s="89"/>
      <c r="N107" s="1035"/>
    </row>
    <row r="108" spans="1:14" s="224" customFormat="1" x14ac:dyDescent="0.25">
      <c r="A108" s="215">
        <v>44343</v>
      </c>
      <c r="B108" s="882" t="s">
        <v>2415</v>
      </c>
      <c r="C108" s="879" t="s">
        <v>12</v>
      </c>
      <c r="D108" s="879" t="s">
        <v>1493</v>
      </c>
      <c r="E108" s="875" t="s">
        <v>13</v>
      </c>
      <c r="F108" s="780">
        <v>5</v>
      </c>
      <c r="G108" s="982"/>
      <c r="H108" s="1008"/>
      <c r="I108" s="1063"/>
      <c r="J108" s="622"/>
      <c r="K108" s="982"/>
      <c r="L108" s="1029"/>
      <c r="M108" s="89"/>
      <c r="N108" s="930"/>
    </row>
    <row r="109" spans="1:14" s="224" customFormat="1" ht="15" customHeight="1" x14ac:dyDescent="0.25">
      <c r="A109" s="215">
        <v>44343</v>
      </c>
      <c r="B109" s="882" t="s">
        <v>14</v>
      </c>
      <c r="C109" s="879" t="s">
        <v>12</v>
      </c>
      <c r="D109" s="879" t="s">
        <v>1486</v>
      </c>
      <c r="E109" s="875" t="s">
        <v>13</v>
      </c>
      <c r="F109" s="780">
        <v>8</v>
      </c>
      <c r="G109" s="982"/>
      <c r="H109" s="1008"/>
      <c r="I109" s="1063"/>
      <c r="J109" s="622"/>
      <c r="K109" s="982"/>
      <c r="L109" s="1029"/>
      <c r="M109" s="89"/>
      <c r="N109" s="930"/>
    </row>
    <row r="110" spans="1:14" s="224" customFormat="1" ht="15" customHeight="1" x14ac:dyDescent="0.25">
      <c r="A110" s="215">
        <v>44344</v>
      </c>
      <c r="B110" s="882" t="s">
        <v>32</v>
      </c>
      <c r="C110" s="879" t="s">
        <v>12</v>
      </c>
      <c r="D110" s="879" t="s">
        <v>1485</v>
      </c>
      <c r="E110" s="875" t="s">
        <v>13</v>
      </c>
      <c r="F110" s="780">
        <v>16</v>
      </c>
      <c r="G110" s="982"/>
      <c r="H110" s="1008"/>
      <c r="I110" s="1063"/>
      <c r="J110" s="622"/>
      <c r="K110" s="982"/>
      <c r="L110" s="1029"/>
      <c r="M110" s="89"/>
      <c r="N110" s="1035"/>
    </row>
    <row r="111" spans="1:14" s="224" customFormat="1" ht="15" customHeight="1" x14ac:dyDescent="0.25">
      <c r="A111" s="215">
        <v>44344</v>
      </c>
      <c r="B111" s="862" t="s">
        <v>2919</v>
      </c>
      <c r="C111" s="879" t="s">
        <v>12</v>
      </c>
      <c r="D111" s="879" t="s">
        <v>1504</v>
      </c>
      <c r="E111" s="871" t="s">
        <v>13</v>
      </c>
      <c r="F111" s="622">
        <v>21.9</v>
      </c>
      <c r="G111" s="1034"/>
      <c r="H111" s="1008"/>
      <c r="I111" s="1063"/>
      <c r="J111" s="622"/>
      <c r="K111" s="982"/>
      <c r="L111" s="475"/>
      <c r="N111" s="878"/>
    </row>
    <row r="112" spans="1:14" s="224" customFormat="1" ht="15" customHeight="1" x14ac:dyDescent="0.25">
      <c r="A112" s="215">
        <v>44344</v>
      </c>
      <c r="B112" s="882" t="s">
        <v>14</v>
      </c>
      <c r="C112" s="879" t="s">
        <v>12</v>
      </c>
      <c r="D112" s="879" t="s">
        <v>1486</v>
      </c>
      <c r="E112" s="875" t="s">
        <v>13</v>
      </c>
      <c r="F112" s="780">
        <v>14.62</v>
      </c>
      <c r="G112" s="982"/>
      <c r="H112" s="1008"/>
      <c r="I112" s="1063"/>
      <c r="J112" s="622"/>
      <c r="K112" s="982"/>
      <c r="L112" s="1029"/>
      <c r="M112" s="89"/>
      <c r="N112" s="930"/>
    </row>
    <row r="113" spans="1:14" s="224" customFormat="1" ht="15" customHeight="1" x14ac:dyDescent="0.25">
      <c r="A113" s="215">
        <v>44344</v>
      </c>
      <c r="B113" s="882" t="s">
        <v>2766</v>
      </c>
      <c r="C113" s="879" t="s">
        <v>12</v>
      </c>
      <c r="D113" s="879" t="s">
        <v>2157</v>
      </c>
      <c r="E113" s="875" t="s">
        <v>15</v>
      </c>
      <c r="F113" s="780">
        <v>50</v>
      </c>
      <c r="G113" s="982"/>
      <c r="H113" s="1008"/>
      <c r="I113" s="1063"/>
      <c r="J113" s="622"/>
      <c r="K113" s="982"/>
      <c r="L113" s="861"/>
      <c r="N113" s="878"/>
    </row>
    <row r="114" spans="1:14" s="224" customFormat="1" ht="15" customHeight="1" x14ac:dyDescent="0.25">
      <c r="A114" s="1052">
        <v>44344</v>
      </c>
      <c r="B114" s="882" t="s">
        <v>2781</v>
      </c>
      <c r="C114" s="879" t="s">
        <v>12</v>
      </c>
      <c r="D114" s="879" t="s">
        <v>1491</v>
      </c>
      <c r="E114" s="875" t="s">
        <v>13</v>
      </c>
      <c r="F114" s="780">
        <v>80</v>
      </c>
      <c r="G114" s="982"/>
      <c r="H114" s="1008"/>
      <c r="I114" s="1063"/>
      <c r="J114" s="622"/>
      <c r="K114" s="982"/>
      <c r="L114" s="861"/>
      <c r="N114" s="1035"/>
    </row>
    <row r="115" spans="1:14" s="224" customFormat="1" ht="15" customHeight="1" x14ac:dyDescent="0.25">
      <c r="A115" s="215">
        <v>44345</v>
      </c>
      <c r="B115" s="882" t="s">
        <v>14</v>
      </c>
      <c r="C115" s="879" t="s">
        <v>12</v>
      </c>
      <c r="D115" s="879" t="s">
        <v>1486</v>
      </c>
      <c r="E115" s="875" t="s">
        <v>13</v>
      </c>
      <c r="F115" s="780">
        <v>3.86</v>
      </c>
      <c r="G115" s="982"/>
      <c r="H115" s="1008"/>
      <c r="I115" s="1063"/>
      <c r="J115" s="622"/>
      <c r="K115" s="982"/>
      <c r="L115" s="1029"/>
      <c r="M115" s="89"/>
      <c r="N115" s="930"/>
    </row>
    <row r="116" spans="1:14" s="224" customFormat="1" x14ac:dyDescent="0.25">
      <c r="A116" s="215">
        <v>44345</v>
      </c>
      <c r="B116" s="364" t="s">
        <v>81</v>
      </c>
      <c r="C116" s="350" t="s">
        <v>12</v>
      </c>
      <c r="D116" s="350" t="s">
        <v>1493</v>
      </c>
      <c r="E116" s="875" t="s">
        <v>13</v>
      </c>
      <c r="F116" s="1047">
        <v>6.25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x14ac:dyDescent="0.25">
      <c r="A117" s="215">
        <v>44345</v>
      </c>
      <c r="B117" s="364" t="s">
        <v>81</v>
      </c>
      <c r="C117" s="350" t="s">
        <v>12</v>
      </c>
      <c r="D117" s="350" t="s">
        <v>1493</v>
      </c>
      <c r="E117" s="875" t="s">
        <v>13</v>
      </c>
      <c r="F117" s="1047">
        <v>5.89</v>
      </c>
      <c r="G117" s="982"/>
      <c r="H117" s="1008"/>
      <c r="I117" s="1063"/>
      <c r="J117" s="622"/>
      <c r="K117" s="982"/>
      <c r="L117" s="1029"/>
      <c r="M117" s="89"/>
      <c r="N117" s="930"/>
    </row>
    <row r="118" spans="1:14" s="224" customFormat="1" x14ac:dyDescent="0.25">
      <c r="A118" s="215">
        <v>44345</v>
      </c>
      <c r="B118" s="364" t="s">
        <v>134</v>
      </c>
      <c r="C118" s="350" t="s">
        <v>12</v>
      </c>
      <c r="D118" s="350" t="s">
        <v>1493</v>
      </c>
      <c r="E118" s="875" t="s">
        <v>13</v>
      </c>
      <c r="F118" s="1047">
        <v>8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4" s="224" customFormat="1" x14ac:dyDescent="0.25">
      <c r="A119" s="215">
        <v>44346</v>
      </c>
      <c r="B119" s="364" t="s">
        <v>2197</v>
      </c>
      <c r="C119" s="350" t="s">
        <v>12</v>
      </c>
      <c r="D119" s="350" t="s">
        <v>2168</v>
      </c>
      <c r="E119" s="875" t="s">
        <v>13</v>
      </c>
      <c r="F119" s="1047">
        <v>20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4" s="224" customFormat="1" ht="15" customHeight="1" x14ac:dyDescent="0.25">
      <c r="A120" s="215">
        <v>44346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5.64</v>
      </c>
      <c r="G120" s="982"/>
      <c r="H120" s="1008"/>
      <c r="I120" s="1063"/>
      <c r="J120" s="622"/>
      <c r="K120" s="982"/>
      <c r="L120" s="1029"/>
      <c r="M120" s="89"/>
      <c r="N120" s="930"/>
    </row>
    <row r="121" spans="1:14" s="224" customFormat="1" ht="15" customHeight="1" x14ac:dyDescent="0.25">
      <c r="A121" s="215">
        <v>44346</v>
      </c>
      <c r="B121" s="882" t="s">
        <v>32</v>
      </c>
      <c r="C121" s="879" t="s">
        <v>12</v>
      </c>
      <c r="D121" s="879" t="s">
        <v>1485</v>
      </c>
      <c r="E121" s="875" t="s">
        <v>13</v>
      </c>
      <c r="F121" s="780">
        <v>28.53</v>
      </c>
      <c r="G121" s="982"/>
      <c r="H121" s="1008"/>
      <c r="I121" s="1063"/>
      <c r="J121" s="622"/>
      <c r="K121" s="982"/>
      <c r="L121" s="1029"/>
      <c r="M121" s="89"/>
      <c r="N121" s="1035"/>
    </row>
    <row r="122" spans="1:14" s="224" customFormat="1" ht="15" customHeight="1" x14ac:dyDescent="0.25">
      <c r="A122" s="215">
        <v>44346</v>
      </c>
      <c r="B122" s="882" t="s">
        <v>1056</v>
      </c>
      <c r="C122" s="879" t="s">
        <v>12</v>
      </c>
      <c r="D122" s="879" t="s">
        <v>1523</v>
      </c>
      <c r="E122" s="875" t="s">
        <v>13</v>
      </c>
      <c r="F122" s="780">
        <v>5</v>
      </c>
      <c r="G122" s="982"/>
      <c r="H122" s="1008"/>
      <c r="I122" s="1063"/>
      <c r="J122" s="622"/>
      <c r="K122" s="982"/>
      <c r="L122" s="1029"/>
      <c r="M122" s="89"/>
      <c r="N122" s="1035"/>
    </row>
    <row r="123" spans="1:14" s="224" customFormat="1" ht="15" customHeight="1" x14ac:dyDescent="0.25">
      <c r="A123" s="215">
        <v>44346</v>
      </c>
      <c r="B123" s="882" t="s">
        <v>1905</v>
      </c>
      <c r="C123" s="879" t="s">
        <v>12</v>
      </c>
      <c r="D123" s="879" t="s">
        <v>1493</v>
      </c>
      <c r="E123" s="875" t="s">
        <v>15</v>
      </c>
      <c r="F123" s="780">
        <v>6</v>
      </c>
      <c r="G123" s="982"/>
      <c r="H123" s="1008"/>
      <c r="I123" s="1063"/>
      <c r="J123" s="622"/>
      <c r="K123" s="982"/>
      <c r="L123" s="1029"/>
      <c r="M123" s="89"/>
      <c r="N123" s="1035"/>
    </row>
    <row r="124" spans="1:14" s="224" customFormat="1" ht="15" customHeight="1" x14ac:dyDescent="0.25">
      <c r="A124" s="215">
        <v>44346</v>
      </c>
      <c r="B124" s="882" t="s">
        <v>2627</v>
      </c>
      <c r="C124" s="879" t="s">
        <v>12</v>
      </c>
      <c r="D124" s="879" t="s">
        <v>1493</v>
      </c>
      <c r="E124" s="875" t="s">
        <v>13</v>
      </c>
      <c r="F124" s="780">
        <v>40</v>
      </c>
      <c r="G124" s="982"/>
      <c r="H124" s="1008"/>
      <c r="I124" s="1063"/>
      <c r="J124" s="622"/>
      <c r="K124" s="982"/>
      <c r="L124" s="1029"/>
      <c r="M124" s="89"/>
      <c r="N124" s="1035"/>
    </row>
    <row r="125" spans="1:14" s="224" customFormat="1" ht="15" customHeight="1" x14ac:dyDescent="0.25">
      <c r="A125" s="215">
        <v>44347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16</v>
      </c>
      <c r="G125" s="982"/>
      <c r="H125" s="622"/>
      <c r="I125" s="982"/>
      <c r="J125" s="622"/>
      <c r="K125" s="982"/>
      <c r="L125" s="927"/>
      <c r="N125" s="878"/>
    </row>
    <row r="126" spans="1:14" s="224" customFormat="1" ht="15" customHeight="1" x14ac:dyDescent="0.25">
      <c r="A126" s="215">
        <v>44347</v>
      </c>
      <c r="B126" s="882" t="s">
        <v>14</v>
      </c>
      <c r="C126" s="879" t="s">
        <v>12</v>
      </c>
      <c r="D126" s="879" t="s">
        <v>1486</v>
      </c>
      <c r="E126" s="875" t="s">
        <v>13</v>
      </c>
      <c r="F126" s="780">
        <v>4.4800000000000004</v>
      </c>
      <c r="G126" s="982"/>
      <c r="H126" s="1008"/>
      <c r="I126" s="1063"/>
      <c r="J126" s="622"/>
      <c r="K126" s="982"/>
      <c r="L126" s="861"/>
      <c r="M126" s="999"/>
      <c r="N126" s="878"/>
    </row>
    <row r="127" spans="1:14" s="224" customFormat="1" ht="15.75" thickBot="1" x14ac:dyDescent="0.3">
      <c r="A127" s="215">
        <v>44347</v>
      </c>
      <c r="B127" s="862" t="s">
        <v>1666</v>
      </c>
      <c r="C127" s="350" t="s">
        <v>12</v>
      </c>
      <c r="D127" s="1003"/>
      <c r="E127" s="145" t="s">
        <v>25</v>
      </c>
      <c r="F127" s="1036"/>
      <c r="G127" s="1535"/>
      <c r="H127" s="1008"/>
      <c r="I127" s="1063"/>
      <c r="J127" s="622"/>
      <c r="K127" s="982">
        <v>35.130000000000003</v>
      </c>
      <c r="L127" s="475"/>
      <c r="N127" s="878"/>
    </row>
    <row r="128" spans="1:14" ht="25.5" customHeight="1" thickBot="1" x14ac:dyDescent="0.3">
      <c r="A128" s="3060"/>
      <c r="B128" s="3061"/>
      <c r="C128" s="3062"/>
      <c r="D128" s="3062"/>
      <c r="E128" s="3062"/>
      <c r="F128" s="1020">
        <f>SUM(F6:F127)</f>
        <v>3974.8100000000009</v>
      </c>
      <c r="G128" s="1534">
        <f>SUM(G5:G127)</f>
        <v>4257.9912500000173</v>
      </c>
      <c r="H128" s="517">
        <f>SUM(H6:H127)</f>
        <v>150</v>
      </c>
      <c r="I128" s="93">
        <f>SUM(I5:I127)</f>
        <v>2449.9960000000028</v>
      </c>
      <c r="J128" s="1023">
        <f>SUM(J6:J127)</f>
        <v>0</v>
      </c>
      <c r="K128" s="93">
        <f>SUM(K5:K127)</f>
        <v>11153.009999999997</v>
      </c>
      <c r="M128" s="216"/>
    </row>
    <row r="129" spans="1:14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283.18125000001646</v>
      </c>
      <c r="H129" s="555"/>
      <c r="I129" s="772">
        <f>I128-H128</f>
        <v>2299.9960000000028</v>
      </c>
      <c r="J129" s="593"/>
      <c r="K129" s="772">
        <f>K128-J128</f>
        <v>11153.009999999997</v>
      </c>
    </row>
    <row r="130" spans="1:14" x14ac:dyDescent="0.25">
      <c r="E130" s="79"/>
      <c r="K130" s="518"/>
      <c r="L130" s="881"/>
    </row>
    <row r="131" spans="1:14" x14ac:dyDescent="0.25">
      <c r="B131" s="81" t="s">
        <v>3</v>
      </c>
      <c r="C131" s="193" t="s">
        <v>1484</v>
      </c>
      <c r="D131" s="970" t="s">
        <v>2378</v>
      </c>
      <c r="G131" s="216"/>
      <c r="K131" s="1038"/>
      <c r="L131" s="854"/>
    </row>
    <row r="132" spans="1:14" x14ac:dyDescent="0.25">
      <c r="B132" s="79" t="s">
        <v>32</v>
      </c>
      <c r="C132" s="85" t="s">
        <v>1485</v>
      </c>
      <c r="D132" s="475">
        <f>SUMIF($D$11:$D$127,"A",$F$11:$F$127)</f>
        <v>420.53</v>
      </c>
      <c r="F132" s="79"/>
      <c r="G132" s="800"/>
      <c r="I132" s="769"/>
      <c r="J132" s="868"/>
    </row>
    <row r="133" spans="1:14" x14ac:dyDescent="0.25">
      <c r="B133" s="79" t="s">
        <v>2187</v>
      </c>
      <c r="C133" s="85" t="s">
        <v>2157</v>
      </c>
      <c r="D133" s="475">
        <f>SUMIF($D$8:$D$127,"GAC",$F$8:$F$127)</f>
        <v>370</v>
      </c>
      <c r="G133" s="609"/>
      <c r="J133" s="754"/>
      <c r="K133" s="886"/>
      <c r="L133" s="1030"/>
    </row>
    <row r="134" spans="1:14" x14ac:dyDescent="0.25">
      <c r="B134" s="79" t="s">
        <v>2188</v>
      </c>
      <c r="C134" s="85" t="s">
        <v>2168</v>
      </c>
      <c r="D134" s="475">
        <f>SUMIF($D$8:$D$127,"GAM",$F$8:$F$127)</f>
        <v>80</v>
      </c>
      <c r="J134" s="864"/>
      <c r="K134" s="864"/>
      <c r="L134" s="958"/>
    </row>
    <row r="135" spans="1:14" s="85" customFormat="1" x14ac:dyDescent="0.25">
      <c r="A135" s="79"/>
      <c r="B135" s="79" t="s">
        <v>50</v>
      </c>
      <c r="C135" s="85" t="s">
        <v>1493</v>
      </c>
      <c r="D135" s="475">
        <f>SUMIF($D$7:$D$127,"LD",$F$7:$F$127)</f>
        <v>380.14</v>
      </c>
      <c r="J135" s="864"/>
      <c r="K135" s="1032"/>
      <c r="L135" s="958"/>
      <c r="N135" s="877"/>
    </row>
    <row r="136" spans="1:14" s="85" customFormat="1" x14ac:dyDescent="0.25">
      <c r="A136" s="79"/>
      <c r="B136" s="79" t="s">
        <v>14</v>
      </c>
      <c r="C136" s="85" t="s">
        <v>1486</v>
      </c>
      <c r="D136" s="475">
        <f>SUMIF($D$7:$D$127,"C",$F$7:$F$127)</f>
        <v>152.53999999999996</v>
      </c>
      <c r="F136" s="89"/>
      <c r="G136" s="79"/>
      <c r="H136" s="79"/>
      <c r="J136" s="864"/>
      <c r="K136" s="1032"/>
      <c r="L136" s="958"/>
      <c r="N136" s="877"/>
    </row>
    <row r="137" spans="1:14" s="85" customFormat="1" x14ac:dyDescent="0.25">
      <c r="A137" s="79"/>
      <c r="B137" s="79" t="s">
        <v>51</v>
      </c>
      <c r="C137" s="864" t="s">
        <v>1499</v>
      </c>
      <c r="D137" s="475">
        <f>SUMIF($D$26:$D$127,"CAL",$F$26:$F$127)</f>
        <v>85.14</v>
      </c>
      <c r="F137" s="89"/>
      <c r="G137" s="79"/>
      <c r="H137" s="79"/>
      <c r="I137" s="79"/>
      <c r="K137" s="795"/>
      <c r="L137" s="958"/>
      <c r="N137" s="877"/>
    </row>
    <row r="138" spans="1:14" s="85" customFormat="1" x14ac:dyDescent="0.25">
      <c r="A138" s="79"/>
      <c r="B138" s="79" t="s">
        <v>2189</v>
      </c>
      <c r="C138" s="864" t="s">
        <v>1496</v>
      </c>
      <c r="D138" s="475">
        <f>SUMIF($D$11:$D$127,"AC",$F$11:$F$127)</f>
        <v>70</v>
      </c>
      <c r="F138" s="769"/>
      <c r="G138" s="79"/>
      <c r="K138" s="177"/>
      <c r="L138" s="941"/>
      <c r="N138" s="877"/>
    </row>
    <row r="139" spans="1:14" s="85" customFormat="1" x14ac:dyDescent="0.25">
      <c r="A139" s="79"/>
      <c r="B139" s="867" t="s">
        <v>53</v>
      </c>
      <c r="C139" s="864" t="s">
        <v>1522</v>
      </c>
      <c r="D139" s="475">
        <f>SUMIF($D$26:$D$127,"DC",$F$26:$F$127)</f>
        <v>45.96</v>
      </c>
      <c r="K139" s="177"/>
      <c r="L139" s="475"/>
      <c r="N139" s="877"/>
    </row>
    <row r="140" spans="1:14" s="85" customFormat="1" x14ac:dyDescent="0.25">
      <c r="A140" s="79"/>
      <c r="B140" s="867" t="s">
        <v>2149</v>
      </c>
      <c r="C140" s="864" t="s">
        <v>2131</v>
      </c>
      <c r="D140" s="475">
        <f>SUMIF($D$6:$D$127,"DM",$F$6:$F$127)</f>
        <v>136.54666666666668</v>
      </c>
      <c r="F140" s="769"/>
      <c r="K140" s="177" t="s">
        <v>280</v>
      </c>
      <c r="L140" s="475"/>
      <c r="N140" s="877"/>
    </row>
    <row r="141" spans="1:14" s="85" customFormat="1" x14ac:dyDescent="0.25">
      <c r="A141" s="79"/>
      <c r="B141" s="79" t="s">
        <v>2008</v>
      </c>
      <c r="C141" s="864" t="s">
        <v>1523</v>
      </c>
      <c r="D141" s="475">
        <f>SUMIF($D$8:$D$127,"B",$F$8:$F$127)</f>
        <v>11</v>
      </c>
      <c r="F141" s="769"/>
      <c r="G141" s="866"/>
      <c r="K141" s="177"/>
      <c r="L141" s="475"/>
      <c r="N141" s="877"/>
    </row>
    <row r="142" spans="1:14" s="85" customFormat="1" x14ac:dyDescent="0.25">
      <c r="A142" s="79"/>
      <c r="B142" s="79" t="s">
        <v>1686</v>
      </c>
      <c r="C142" s="864" t="s">
        <v>1506</v>
      </c>
      <c r="D142" s="475">
        <f>SUMIF($D$7:$D$127,"R",$F$7:$F$127)</f>
        <v>310.47333333333336</v>
      </c>
      <c r="F142" s="769"/>
      <c r="G142" s="868"/>
      <c r="K142" s="866"/>
      <c r="L142" s="475"/>
      <c r="N142" s="877"/>
    </row>
    <row r="143" spans="1:14" x14ac:dyDescent="0.25">
      <c r="B143" s="79" t="s">
        <v>418</v>
      </c>
      <c r="C143" s="85" t="s">
        <v>1524</v>
      </c>
      <c r="D143" s="475">
        <f>SUMIF($D$26:$D$127,"COM",$F$26:$F$127)</f>
        <v>0</v>
      </c>
      <c r="G143" s="85"/>
      <c r="H143" s="85"/>
      <c r="I143" s="85"/>
      <c r="J143" s="769"/>
      <c r="K143" s="216"/>
    </row>
    <row r="144" spans="1:14" x14ac:dyDescent="0.25">
      <c r="B144" s="79" t="s">
        <v>419</v>
      </c>
      <c r="C144" s="85" t="s">
        <v>1491</v>
      </c>
      <c r="D144" s="475">
        <f>SUMIF($D$8:$D$127,"F",$F$8:$F$127)</f>
        <v>617.88</v>
      </c>
      <c r="I144" s="85"/>
      <c r="K144" s="216"/>
    </row>
    <row r="145" spans="1:18" x14ac:dyDescent="0.25">
      <c r="B145" s="79" t="s">
        <v>911</v>
      </c>
      <c r="C145" s="85" t="s">
        <v>1525</v>
      </c>
      <c r="D145" s="475">
        <f>SUMIF($D$26:$D$127,"FER",$F$26:$F$127)</f>
        <v>0</v>
      </c>
      <c r="J145" s="769"/>
      <c r="K145" s="868"/>
    </row>
    <row r="146" spans="1:18" x14ac:dyDescent="0.25">
      <c r="B146" s="79" t="s">
        <v>1526</v>
      </c>
      <c r="C146" s="85" t="s">
        <v>1504</v>
      </c>
      <c r="D146" s="475">
        <f>SUMIF($D$26:$D$127,"I",$F$26:$F$127)</f>
        <v>119.71000000000001</v>
      </c>
      <c r="F146" s="89" t="s">
        <v>280</v>
      </c>
      <c r="J146" s="769"/>
      <c r="K146" s="868"/>
    </row>
    <row r="147" spans="1:18" x14ac:dyDescent="0.25">
      <c r="B147" s="79" t="s">
        <v>2343</v>
      </c>
      <c r="C147" s="85" t="s">
        <v>2315</v>
      </c>
      <c r="D147" s="475">
        <f>SUMIF($D$26:$D$127,"E",$F$26:$F$127)</f>
        <v>0</v>
      </c>
      <c r="J147" s="769"/>
      <c r="K147" s="868"/>
    </row>
    <row r="148" spans="1:18" x14ac:dyDescent="0.25">
      <c r="B148" s="79" t="s">
        <v>1527</v>
      </c>
      <c r="C148" s="85" t="s">
        <v>1489</v>
      </c>
      <c r="D148" s="475">
        <f>SUMIF($D$8:$D$127,"OD",$F$8:$F$127)</f>
        <v>474.89</v>
      </c>
      <c r="J148" s="769"/>
    </row>
    <row r="149" spans="1:18" x14ac:dyDescent="0.25">
      <c r="C149" s="769"/>
      <c r="K149" s="866"/>
    </row>
    <row r="150" spans="1:18" x14ac:dyDescent="0.25">
      <c r="C150" s="79"/>
      <c r="D150" s="79"/>
      <c r="E150" s="79"/>
      <c r="F150" s="79"/>
      <c r="L150" s="79"/>
      <c r="N150" s="79"/>
    </row>
    <row r="151" spans="1:18" x14ac:dyDescent="0.25">
      <c r="B151" s="79" t="s">
        <v>486</v>
      </c>
      <c r="C151" s="475">
        <f>H151/J151</f>
        <v>105.63903225806452</v>
      </c>
      <c r="F151" s="459" t="s">
        <v>487</v>
      </c>
      <c r="H151" s="216">
        <f>SUM(D132:D148)</f>
        <v>3274.81</v>
      </c>
      <c r="J151" s="1517">
        <v>31</v>
      </c>
    </row>
    <row r="152" spans="1:18" ht="15.75" customHeight="1" x14ac:dyDescent="0.25">
      <c r="E152" s="769"/>
      <c r="H152" s="85"/>
      <c r="K152" s="868"/>
    </row>
    <row r="153" spans="1:18" x14ac:dyDescent="0.25">
      <c r="E153" s="79"/>
      <c r="F153" s="79"/>
      <c r="G153" s="85"/>
      <c r="H153" s="459"/>
      <c r="I153" s="85"/>
      <c r="J153" s="89"/>
      <c r="L153" s="769"/>
      <c r="M153" s="518" t="s">
        <v>280</v>
      </c>
      <c r="N153" s="79"/>
      <c r="O153" s="866"/>
      <c r="P153" s="484"/>
      <c r="R153" s="877"/>
    </row>
    <row r="154" spans="1:18" s="518" customFormat="1" x14ac:dyDescent="0.25">
      <c r="A154" s="79"/>
      <c r="B154" s="79"/>
      <c r="C154" s="85"/>
      <c r="D154" s="79"/>
      <c r="E154" s="79"/>
      <c r="F154" s="89"/>
      <c r="G154" s="79"/>
      <c r="H154" s="79"/>
      <c r="I154" s="79"/>
      <c r="J154" s="769"/>
      <c r="K154" s="866"/>
      <c r="L154" s="484"/>
      <c r="M154" s="79"/>
      <c r="N154" s="877"/>
      <c r="O154" s="79"/>
    </row>
    <row r="155" spans="1:18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877"/>
      <c r="O155" s="79"/>
    </row>
    <row r="156" spans="1:18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484"/>
      <c r="M156" s="79"/>
      <c r="N156" s="877"/>
      <c r="O156" s="79"/>
    </row>
    <row r="157" spans="1:18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L157" s="484"/>
      <c r="M157" s="79"/>
      <c r="N157" s="877"/>
      <c r="O157" s="79"/>
    </row>
    <row r="158" spans="1:18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484"/>
      <c r="M159" s="79"/>
      <c r="N159" s="877"/>
      <c r="O159" s="79"/>
    </row>
    <row r="160" spans="1:18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877"/>
      <c r="O221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L225" s="484"/>
      <c r="M225" s="79"/>
      <c r="N225" s="877"/>
      <c r="O225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877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877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</sheetData>
  <autoFilter ref="A2:I148" xr:uid="{00000000-0009-0000-0000-000070000000}"/>
  <mergeCells count="12">
    <mergeCell ref="A128:E128"/>
    <mergeCell ref="A129:E129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Plan128"/>
  <dimension ref="A1:R250"/>
  <sheetViews>
    <sheetView zoomScale="85" zoomScaleNormal="85" workbookViewId="0">
      <pane ySplit="4" topLeftCell="A79" activePane="bottomLeft" state="frozen"/>
      <selection activeCell="C44" sqref="C44"/>
      <selection pane="bottomLeft" activeCell="B79" sqref="B7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9.85546875" style="484" customWidth="1"/>
    <col min="13" max="13" width="10.28515625" style="79" customWidth="1"/>
    <col min="14" max="14" width="7.140625" style="877" customWidth="1"/>
    <col min="15" max="15" width="11.28515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2957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44348</v>
      </c>
      <c r="B5" s="369" t="s">
        <v>10</v>
      </c>
      <c r="C5" s="370"/>
      <c r="D5" s="370"/>
      <c r="E5" s="777"/>
      <c r="F5" s="179"/>
      <c r="G5" s="933">
        <f>'Maio-21'!G129</f>
        <v>283.18125000001646</v>
      </c>
      <c r="H5" s="163"/>
      <c r="I5" s="1479">
        <f>'Maio-21'!I129</f>
        <v>2299.9960000000028</v>
      </c>
      <c r="J5" s="179"/>
      <c r="K5" s="933">
        <f>'Maio-21'!K129</f>
        <v>11153.009999999997</v>
      </c>
    </row>
    <row r="6" spans="1:15" s="224" customFormat="1" x14ac:dyDescent="0.25">
      <c r="A6" s="215">
        <v>44348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44348</v>
      </c>
      <c r="B7" s="882" t="s">
        <v>2766</v>
      </c>
      <c r="C7" s="879" t="s">
        <v>12</v>
      </c>
      <c r="D7" s="879" t="s">
        <v>2157</v>
      </c>
      <c r="E7" s="875" t="s">
        <v>13</v>
      </c>
      <c r="F7" s="780">
        <v>50</v>
      </c>
      <c r="G7" s="982"/>
      <c r="H7" s="622"/>
      <c r="I7" s="982"/>
      <c r="J7" s="622"/>
      <c r="K7" s="982"/>
      <c r="L7" s="927"/>
      <c r="N7" s="878"/>
    </row>
    <row r="8" spans="1:15" s="224" customFormat="1" ht="15" customHeight="1" x14ac:dyDescent="0.25">
      <c r="A8" s="215">
        <v>44348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16</v>
      </c>
      <c r="G8" s="982"/>
      <c r="H8" s="622"/>
      <c r="I8" s="982"/>
      <c r="J8" s="622"/>
      <c r="K8" s="982"/>
      <c r="L8" s="927"/>
      <c r="N8" s="878"/>
    </row>
    <row r="9" spans="1:15" s="224" customFormat="1" ht="15" customHeight="1" x14ac:dyDescent="0.25">
      <c r="A9" s="215">
        <v>44348</v>
      </c>
      <c r="B9" s="882" t="s">
        <v>14</v>
      </c>
      <c r="C9" s="879" t="s">
        <v>12</v>
      </c>
      <c r="D9" s="879" t="s">
        <v>1486</v>
      </c>
      <c r="E9" s="875" t="s">
        <v>13</v>
      </c>
      <c r="F9" s="780">
        <v>6.29</v>
      </c>
      <c r="G9" s="982"/>
      <c r="H9" s="1008"/>
      <c r="I9" s="1063"/>
      <c r="J9" s="622"/>
      <c r="K9" s="982"/>
      <c r="L9" s="861"/>
      <c r="N9" s="878"/>
    </row>
    <row r="10" spans="1:15" s="224" customFormat="1" ht="15" customHeight="1" x14ac:dyDescent="0.25">
      <c r="A10" s="215">
        <v>44349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16</v>
      </c>
      <c r="G10" s="982"/>
      <c r="H10" s="622"/>
      <c r="I10" s="982"/>
      <c r="J10" s="622"/>
      <c r="K10" s="982"/>
      <c r="L10" s="927"/>
      <c r="N10" s="878"/>
    </row>
    <row r="11" spans="1:15" s="224" customFormat="1" ht="15" customHeight="1" x14ac:dyDescent="0.25">
      <c r="A11" s="215">
        <v>44349</v>
      </c>
      <c r="B11" s="364" t="s">
        <v>2629</v>
      </c>
      <c r="C11" s="350" t="s">
        <v>12</v>
      </c>
      <c r="D11" s="350" t="s">
        <v>1489</v>
      </c>
      <c r="E11" s="875" t="s">
        <v>13</v>
      </c>
      <c r="F11" s="780">
        <v>40.950000000000003</v>
      </c>
      <c r="G11" s="982"/>
      <c r="H11" s="1008"/>
      <c r="I11" s="1063"/>
      <c r="J11" s="622"/>
      <c r="K11" s="982"/>
      <c r="L11" s="861"/>
      <c r="N11" s="878"/>
    </row>
    <row r="12" spans="1:15" s="224" customFormat="1" ht="15" customHeight="1" x14ac:dyDescent="0.25">
      <c r="A12" s="215">
        <v>44349</v>
      </c>
      <c r="B12" s="882" t="s">
        <v>14</v>
      </c>
      <c r="C12" s="879" t="s">
        <v>12</v>
      </c>
      <c r="D12" s="879" t="s">
        <v>1486</v>
      </c>
      <c r="E12" s="875" t="s">
        <v>13</v>
      </c>
      <c r="F12" s="780">
        <v>3.64</v>
      </c>
      <c r="G12" s="982"/>
      <c r="H12" s="1008"/>
      <c r="I12" s="1063"/>
      <c r="J12" s="622"/>
      <c r="K12" s="982"/>
      <c r="L12" s="1029"/>
      <c r="M12" s="89"/>
      <c r="N12" s="1035"/>
    </row>
    <row r="13" spans="1:15" s="224" customFormat="1" ht="15" customHeight="1" x14ac:dyDescent="0.25">
      <c r="A13" s="1052">
        <v>44349</v>
      </c>
      <c r="B13" s="882" t="s">
        <v>256</v>
      </c>
      <c r="C13" s="879"/>
      <c r="D13" s="879"/>
      <c r="E13" s="875" t="s">
        <v>25</v>
      </c>
      <c r="F13" s="780"/>
      <c r="G13" s="982">
        <v>580</v>
      </c>
      <c r="H13" s="1060">
        <v>580</v>
      </c>
      <c r="I13" s="1063"/>
      <c r="J13" s="622"/>
      <c r="K13" s="982"/>
      <c r="L13" s="861"/>
      <c r="N13" s="878"/>
    </row>
    <row r="14" spans="1:15" s="224" customFormat="1" ht="15" customHeight="1" x14ac:dyDescent="0.25">
      <c r="A14" s="215">
        <v>44350</v>
      </c>
      <c r="B14" s="882" t="s">
        <v>14</v>
      </c>
      <c r="C14" s="879" t="s">
        <v>12</v>
      </c>
      <c r="D14" s="879" t="s">
        <v>1486</v>
      </c>
      <c r="E14" s="875" t="s">
        <v>13</v>
      </c>
      <c r="F14" s="780">
        <v>8.4600000000000009</v>
      </c>
      <c r="G14" s="982"/>
      <c r="H14" s="1008"/>
      <c r="I14" s="1063"/>
      <c r="J14" s="622"/>
      <c r="K14" s="982"/>
      <c r="L14" s="1029"/>
      <c r="M14" s="89"/>
      <c r="N14" s="1035"/>
    </row>
    <row r="15" spans="1:15" s="224" customFormat="1" ht="15" customHeight="1" x14ac:dyDescent="0.25">
      <c r="A15" s="215">
        <v>44350</v>
      </c>
      <c r="B15" s="882" t="s">
        <v>80</v>
      </c>
      <c r="C15" s="350" t="s">
        <v>12</v>
      </c>
      <c r="D15" s="879" t="s">
        <v>1523</v>
      </c>
      <c r="E15" s="875" t="s">
        <v>15</v>
      </c>
      <c r="F15" s="780">
        <v>20</v>
      </c>
      <c r="G15" s="982"/>
      <c r="H15" s="622"/>
      <c r="I15" s="982"/>
      <c r="J15" s="622"/>
      <c r="K15" s="982"/>
      <c r="L15" s="927"/>
      <c r="N15" s="878"/>
    </row>
    <row r="16" spans="1:15" s="224" customFormat="1" ht="15" customHeight="1" x14ac:dyDescent="0.25">
      <c r="A16" s="215">
        <v>44350</v>
      </c>
      <c r="B16" s="349" t="s">
        <v>2415</v>
      </c>
      <c r="C16" s="350" t="s">
        <v>12</v>
      </c>
      <c r="D16" s="350" t="s">
        <v>1493</v>
      </c>
      <c r="E16" s="480" t="s">
        <v>13</v>
      </c>
      <c r="F16" s="780">
        <v>5</v>
      </c>
      <c r="G16" s="946"/>
      <c r="H16" s="97"/>
      <c r="I16" s="946"/>
      <c r="J16" s="97"/>
      <c r="K16" s="946"/>
    </row>
    <row r="17" spans="1:14" s="224" customFormat="1" ht="15" customHeight="1" x14ac:dyDescent="0.25">
      <c r="A17" s="215">
        <v>44350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16</v>
      </c>
      <c r="G17" s="982"/>
      <c r="H17" s="622"/>
      <c r="I17" s="982"/>
      <c r="J17" s="622"/>
      <c r="K17" s="982"/>
      <c r="L17" s="927"/>
      <c r="N17" s="878"/>
    </row>
    <row r="18" spans="1:14" s="224" customFormat="1" ht="15" customHeight="1" x14ac:dyDescent="0.25">
      <c r="A18" s="215">
        <v>44350</v>
      </c>
      <c r="B18" s="349" t="s">
        <v>134</v>
      </c>
      <c r="C18" s="350" t="s">
        <v>12</v>
      </c>
      <c r="D18" s="350" t="s">
        <v>1493</v>
      </c>
      <c r="E18" s="480" t="s">
        <v>13</v>
      </c>
      <c r="F18" s="780">
        <v>14.2</v>
      </c>
      <c r="G18" s="946"/>
      <c r="H18" s="97"/>
      <c r="I18" s="946"/>
      <c r="J18" s="97"/>
      <c r="K18" s="946"/>
    </row>
    <row r="19" spans="1:14" s="224" customFormat="1" ht="15" customHeight="1" x14ac:dyDescent="0.25">
      <c r="A19" s="215">
        <v>44351</v>
      </c>
      <c r="B19" s="364" t="s">
        <v>43</v>
      </c>
      <c r="C19" s="350" t="s">
        <v>12</v>
      </c>
      <c r="D19" s="350" t="s">
        <v>1493</v>
      </c>
      <c r="E19" s="875" t="s">
        <v>13</v>
      </c>
      <c r="F19" s="780">
        <v>22.71</v>
      </c>
      <c r="G19" s="946"/>
      <c r="H19" s="97"/>
      <c r="I19" s="946"/>
      <c r="J19" s="97"/>
      <c r="K19" s="946"/>
      <c r="M19" s="931"/>
    </row>
    <row r="20" spans="1:14" s="224" customFormat="1" ht="15" customHeight="1" x14ac:dyDescent="0.25">
      <c r="A20" s="215">
        <v>44351</v>
      </c>
      <c r="B20" s="364" t="s">
        <v>81</v>
      </c>
      <c r="C20" s="350" t="s">
        <v>12</v>
      </c>
      <c r="D20" s="350" t="s">
        <v>1493</v>
      </c>
      <c r="E20" s="875" t="s">
        <v>15</v>
      </c>
      <c r="F20" s="780">
        <v>4</v>
      </c>
      <c r="G20" s="946"/>
      <c r="H20" s="97"/>
      <c r="I20" s="946"/>
      <c r="J20" s="97"/>
      <c r="K20" s="946"/>
    </row>
    <row r="21" spans="1:14" s="224" customFormat="1" ht="15" customHeight="1" x14ac:dyDescent="0.25">
      <c r="A21" s="215">
        <v>44351</v>
      </c>
      <c r="B21" s="364" t="s">
        <v>2197</v>
      </c>
      <c r="C21" s="350" t="s">
        <v>12</v>
      </c>
      <c r="D21" s="350" t="s">
        <v>2168</v>
      </c>
      <c r="E21" s="875" t="s">
        <v>13</v>
      </c>
      <c r="F21" s="780">
        <v>30</v>
      </c>
      <c r="G21" s="946"/>
      <c r="H21" s="97"/>
      <c r="I21" s="946"/>
      <c r="J21" s="97"/>
      <c r="K21" s="946"/>
    </row>
    <row r="22" spans="1:14" s="224" customFormat="1" ht="15" customHeight="1" x14ac:dyDescent="0.25">
      <c r="A22" s="215">
        <v>44351</v>
      </c>
      <c r="B22" s="364" t="s">
        <v>82</v>
      </c>
      <c r="C22" s="350" t="s">
        <v>12</v>
      </c>
      <c r="D22" s="350" t="s">
        <v>1493</v>
      </c>
      <c r="E22" s="875" t="s">
        <v>13</v>
      </c>
      <c r="F22" s="780">
        <v>34.58</v>
      </c>
      <c r="G22" s="946"/>
      <c r="H22" s="97"/>
      <c r="I22" s="946"/>
      <c r="J22" s="97"/>
      <c r="K22" s="946"/>
    </row>
    <row r="23" spans="1:14" s="224" customFormat="1" ht="15" customHeight="1" x14ac:dyDescent="0.25">
      <c r="A23" s="215">
        <v>44351</v>
      </c>
      <c r="B23" s="882" t="s">
        <v>2251</v>
      </c>
      <c r="C23" s="879" t="s">
        <v>12</v>
      </c>
      <c r="D23" s="879" t="s">
        <v>2157</v>
      </c>
      <c r="E23" s="875" t="s">
        <v>13</v>
      </c>
      <c r="F23" s="780">
        <v>30</v>
      </c>
      <c r="G23" s="982"/>
      <c r="H23" s="1008"/>
      <c r="I23" s="1063"/>
      <c r="J23" s="622"/>
      <c r="K23" s="982"/>
      <c r="L23" s="1029"/>
      <c r="M23" s="89"/>
      <c r="N23" s="1035"/>
    </row>
    <row r="24" spans="1:14" s="224" customFormat="1" ht="15" customHeight="1" x14ac:dyDescent="0.25">
      <c r="A24" s="215">
        <v>44352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5.42</v>
      </c>
      <c r="G24" s="982"/>
      <c r="H24" s="1008"/>
      <c r="I24" s="1063"/>
      <c r="J24" s="622"/>
      <c r="K24" s="982"/>
      <c r="L24" s="1029"/>
      <c r="M24" s="89"/>
      <c r="N24" s="1035"/>
    </row>
    <row r="25" spans="1:14" s="224" customFormat="1" ht="15" customHeight="1" x14ac:dyDescent="0.25">
      <c r="A25" s="215">
        <v>44352</v>
      </c>
      <c r="B25" s="882" t="s">
        <v>2958</v>
      </c>
      <c r="C25" s="879" t="s">
        <v>12</v>
      </c>
      <c r="D25" s="879" t="s">
        <v>1506</v>
      </c>
      <c r="E25" s="875" t="s">
        <v>13</v>
      </c>
      <c r="F25" s="780">
        <v>150</v>
      </c>
      <c r="G25" s="982"/>
      <c r="H25" s="1008"/>
      <c r="I25" s="1063"/>
      <c r="J25" s="622"/>
      <c r="K25" s="982"/>
      <c r="L25" s="1029"/>
      <c r="M25" s="89"/>
      <c r="N25" s="1035"/>
    </row>
    <row r="26" spans="1:14" s="224" customFormat="1" ht="15" customHeight="1" x14ac:dyDescent="0.25">
      <c r="A26" s="215">
        <v>44352</v>
      </c>
      <c r="B26" s="882" t="s">
        <v>2629</v>
      </c>
      <c r="C26" s="879" t="s">
        <v>19</v>
      </c>
      <c r="D26" s="879" t="s">
        <v>1489</v>
      </c>
      <c r="E26" s="875" t="s">
        <v>13</v>
      </c>
      <c r="F26" s="780">
        <v>37.47</v>
      </c>
      <c r="G26" s="982"/>
      <c r="H26" s="1008"/>
      <c r="I26" s="1063"/>
      <c r="J26" s="622"/>
      <c r="K26" s="982"/>
      <c r="L26" s="1029"/>
      <c r="M26" s="89"/>
      <c r="N26" s="1035"/>
    </row>
    <row r="27" spans="1:14" s="224" customFormat="1" ht="15" customHeight="1" x14ac:dyDescent="0.25">
      <c r="A27" s="215">
        <v>44352</v>
      </c>
      <c r="B27" s="882" t="s">
        <v>80</v>
      </c>
      <c r="C27" s="879" t="s">
        <v>19</v>
      </c>
      <c r="D27" s="879" t="s">
        <v>1523</v>
      </c>
      <c r="E27" s="875" t="s">
        <v>13</v>
      </c>
      <c r="F27" s="780">
        <v>23</v>
      </c>
      <c r="G27" s="982"/>
      <c r="H27" s="1008"/>
      <c r="I27" s="1063"/>
      <c r="J27" s="622"/>
      <c r="K27" s="982"/>
      <c r="L27" s="1029"/>
      <c r="M27" s="89"/>
      <c r="N27" s="1035"/>
    </row>
    <row r="28" spans="1:14" s="224" customFormat="1" ht="15" customHeight="1" x14ac:dyDescent="0.25">
      <c r="A28" s="215">
        <v>44352</v>
      </c>
      <c r="B28" s="882" t="s">
        <v>2251</v>
      </c>
      <c r="C28" s="879" t="s">
        <v>12</v>
      </c>
      <c r="D28" s="879" t="s">
        <v>2157</v>
      </c>
      <c r="E28" s="875" t="s">
        <v>13</v>
      </c>
      <c r="F28" s="780">
        <v>50</v>
      </c>
      <c r="G28" s="982"/>
      <c r="H28" s="1008"/>
      <c r="I28" s="1063"/>
      <c r="J28" s="622"/>
      <c r="K28" s="982"/>
      <c r="L28" s="1029"/>
      <c r="M28" s="89"/>
      <c r="N28" s="1035"/>
    </row>
    <row r="29" spans="1:14" s="224" customFormat="1" ht="15" customHeight="1" x14ac:dyDescent="0.25">
      <c r="A29" s="215">
        <v>44353</v>
      </c>
      <c r="B29" s="882" t="s">
        <v>14</v>
      </c>
      <c r="C29" s="879" t="s">
        <v>12</v>
      </c>
      <c r="D29" s="879" t="s">
        <v>1486</v>
      </c>
      <c r="E29" s="875" t="s">
        <v>13</v>
      </c>
      <c r="F29" s="780">
        <v>8.32</v>
      </c>
      <c r="G29" s="982"/>
      <c r="H29" s="1008"/>
      <c r="I29" s="1063"/>
      <c r="J29" s="622"/>
      <c r="K29" s="982"/>
      <c r="L29" s="1029"/>
      <c r="M29" s="89"/>
      <c r="N29" s="1035"/>
    </row>
    <row r="30" spans="1:14" s="224" customFormat="1" ht="15" customHeight="1" x14ac:dyDescent="0.25">
      <c r="A30" s="1052">
        <v>44353</v>
      </c>
      <c r="B30" s="873" t="s">
        <v>2096</v>
      </c>
      <c r="C30" s="879" t="s">
        <v>12</v>
      </c>
      <c r="D30" s="879" t="s">
        <v>1506</v>
      </c>
      <c r="E30" s="871" t="s">
        <v>13</v>
      </c>
      <c r="F30" s="780">
        <v>40</v>
      </c>
      <c r="G30" s="946"/>
      <c r="H30" s="95"/>
      <c r="I30" s="1064"/>
      <c r="J30" s="97"/>
      <c r="K30" s="946"/>
      <c r="L30" s="926"/>
      <c r="M30" s="89"/>
      <c r="N30" s="930"/>
    </row>
    <row r="31" spans="1:14" s="224" customFormat="1" ht="15" customHeight="1" x14ac:dyDescent="0.25">
      <c r="A31" s="215">
        <v>44353</v>
      </c>
      <c r="B31" s="882" t="s">
        <v>2251</v>
      </c>
      <c r="C31" s="879" t="s">
        <v>12</v>
      </c>
      <c r="D31" s="879" t="s">
        <v>2157</v>
      </c>
      <c r="E31" s="875" t="s">
        <v>13</v>
      </c>
      <c r="F31" s="780">
        <v>75</v>
      </c>
      <c r="G31" s="982"/>
      <c r="H31" s="1008"/>
      <c r="I31" s="1063"/>
      <c r="J31" s="622"/>
      <c r="K31" s="982"/>
      <c r="L31" s="1029"/>
      <c r="M31" s="89"/>
      <c r="N31" s="1035"/>
    </row>
    <row r="32" spans="1:14" s="224" customFormat="1" ht="15" customHeight="1" x14ac:dyDescent="0.25">
      <c r="A32" s="215">
        <v>44353</v>
      </c>
      <c r="B32" s="882" t="s">
        <v>2441</v>
      </c>
      <c r="C32" s="879" t="s">
        <v>12</v>
      </c>
      <c r="D32" s="879" t="s">
        <v>1493</v>
      </c>
      <c r="E32" s="875" t="s">
        <v>13</v>
      </c>
      <c r="F32" s="780">
        <v>52.7</v>
      </c>
      <c r="G32" s="982"/>
      <c r="H32" s="1008"/>
      <c r="I32" s="1063"/>
      <c r="J32" s="622"/>
      <c r="K32" s="982"/>
      <c r="L32" s="1029"/>
      <c r="M32" s="89"/>
      <c r="N32" s="1035"/>
    </row>
    <row r="33" spans="1:14" s="224" customFormat="1" ht="15" customHeight="1" x14ac:dyDescent="0.25">
      <c r="A33" s="215">
        <v>44353</v>
      </c>
      <c r="B33" s="882" t="s">
        <v>2959</v>
      </c>
      <c r="C33" s="879" t="s">
        <v>12</v>
      </c>
      <c r="D33" s="879" t="s">
        <v>1491</v>
      </c>
      <c r="E33" s="875" t="s">
        <v>13</v>
      </c>
      <c r="F33" s="780">
        <v>30</v>
      </c>
      <c r="G33" s="982"/>
      <c r="H33" s="1008"/>
      <c r="I33" s="1063"/>
      <c r="J33" s="622"/>
      <c r="K33" s="982"/>
      <c r="L33" s="1029"/>
      <c r="M33" s="89"/>
      <c r="N33" s="1035"/>
    </row>
    <row r="34" spans="1:14" s="224" customFormat="1" ht="15" customHeight="1" x14ac:dyDescent="0.25">
      <c r="A34" s="215">
        <v>44353</v>
      </c>
      <c r="B34" s="882" t="s">
        <v>103</v>
      </c>
      <c r="C34" s="879" t="s">
        <v>12</v>
      </c>
      <c r="D34" s="879" t="s">
        <v>1489</v>
      </c>
      <c r="E34" s="875" t="s">
        <v>13</v>
      </c>
      <c r="F34" s="780">
        <v>2</v>
      </c>
      <c r="G34" s="982"/>
      <c r="H34" s="1008"/>
      <c r="I34" s="1063"/>
      <c r="J34" s="622"/>
      <c r="K34" s="982"/>
      <c r="L34" s="1029"/>
      <c r="M34" s="89"/>
      <c r="N34" s="1035"/>
    </row>
    <row r="35" spans="1:14" s="224" customFormat="1" ht="15.75" customHeight="1" x14ac:dyDescent="0.25">
      <c r="A35" s="215">
        <v>44354</v>
      </c>
      <c r="B35" s="873" t="s">
        <v>2960</v>
      </c>
      <c r="C35" s="879" t="s">
        <v>12</v>
      </c>
      <c r="D35" s="874"/>
      <c r="E35" s="871" t="s">
        <v>25</v>
      </c>
      <c r="F35" s="1514"/>
      <c r="G35" s="1002">
        <v>1857.49</v>
      </c>
      <c r="H35" s="250"/>
      <c r="I35" s="946"/>
      <c r="J35" s="97"/>
      <c r="K35" s="946"/>
    </row>
    <row r="36" spans="1:14" s="224" customFormat="1" ht="15" customHeight="1" x14ac:dyDescent="0.25">
      <c r="A36" s="215">
        <v>44354</v>
      </c>
      <c r="B36" s="349" t="s">
        <v>2961</v>
      </c>
      <c r="C36" s="887" t="s">
        <v>12</v>
      </c>
      <c r="D36" s="1005" t="s">
        <v>1489</v>
      </c>
      <c r="E36" s="887" t="s">
        <v>13</v>
      </c>
      <c r="F36" s="613">
        <v>100.81</v>
      </c>
      <c r="G36" s="982"/>
      <c r="H36" s="861"/>
      <c r="I36" s="1063"/>
      <c r="J36" s="622"/>
      <c r="K36" s="982"/>
      <c r="L36" s="927"/>
      <c r="M36" s="999"/>
      <c r="N36" s="878"/>
    </row>
    <row r="37" spans="1:14" s="224" customFormat="1" ht="15" customHeight="1" x14ac:dyDescent="0.25">
      <c r="A37" s="215">
        <v>44354</v>
      </c>
      <c r="B37" s="349" t="s">
        <v>2961</v>
      </c>
      <c r="C37" s="887" t="s">
        <v>12</v>
      </c>
      <c r="D37" s="1005" t="s">
        <v>2131</v>
      </c>
      <c r="E37" s="887" t="s">
        <v>13</v>
      </c>
      <c r="F37" s="613">
        <v>77.5</v>
      </c>
      <c r="G37" s="982"/>
      <c r="H37" s="1008"/>
      <c r="I37" s="1063"/>
      <c r="J37" s="622"/>
      <c r="K37" s="982"/>
      <c r="L37" s="1029"/>
      <c r="M37" s="999"/>
      <c r="N37" s="1035"/>
    </row>
    <row r="38" spans="1:14" s="224" customFormat="1" ht="15" customHeight="1" x14ac:dyDescent="0.25">
      <c r="A38" s="215">
        <v>44354</v>
      </c>
      <c r="B38" s="349" t="s">
        <v>2961</v>
      </c>
      <c r="C38" s="887" t="s">
        <v>12</v>
      </c>
      <c r="D38" s="1005" t="s">
        <v>2131</v>
      </c>
      <c r="E38" s="887" t="s">
        <v>13</v>
      </c>
      <c r="F38" s="613">
        <v>33.300000000000004</v>
      </c>
      <c r="G38" s="982"/>
      <c r="H38" s="861"/>
      <c r="I38" s="1063"/>
      <c r="J38" s="622"/>
      <c r="K38" s="982"/>
      <c r="L38" s="927"/>
      <c r="M38" s="999"/>
      <c r="N38" s="878"/>
    </row>
    <row r="39" spans="1:14" s="224" customFormat="1" ht="15" customHeight="1" x14ac:dyDescent="0.25">
      <c r="A39" s="215">
        <v>44354</v>
      </c>
      <c r="B39" s="349" t="s">
        <v>2961</v>
      </c>
      <c r="C39" s="887" t="s">
        <v>12</v>
      </c>
      <c r="D39" s="1005" t="s">
        <v>1522</v>
      </c>
      <c r="E39" s="887" t="s">
        <v>13</v>
      </c>
      <c r="F39" s="613">
        <v>45.96</v>
      </c>
      <c r="G39" s="982"/>
      <c r="H39" s="1008"/>
      <c r="I39" s="1063"/>
      <c r="J39" s="622"/>
      <c r="K39" s="982"/>
      <c r="L39" s="1029"/>
      <c r="M39" s="999"/>
      <c r="N39" s="1035"/>
    </row>
    <row r="40" spans="1:14" s="224" customFormat="1" ht="15" customHeight="1" x14ac:dyDescent="0.25">
      <c r="A40" s="215">
        <v>44354</v>
      </c>
      <c r="B40" s="349" t="s">
        <v>2961</v>
      </c>
      <c r="C40" s="887" t="s">
        <v>12</v>
      </c>
      <c r="D40" s="1005" t="s">
        <v>1491</v>
      </c>
      <c r="E40" s="887" t="s">
        <v>13</v>
      </c>
      <c r="F40" s="613">
        <v>55</v>
      </c>
      <c r="G40" s="982"/>
      <c r="H40" s="1008"/>
      <c r="I40" s="1063"/>
      <c r="J40" s="622"/>
      <c r="K40" s="982"/>
      <c r="L40" s="861"/>
      <c r="N40" s="1035"/>
    </row>
    <row r="41" spans="1:14" s="224" customFormat="1" ht="15" customHeight="1" x14ac:dyDescent="0.25">
      <c r="A41" s="215">
        <v>44354</v>
      </c>
      <c r="B41" s="349" t="s">
        <v>2961</v>
      </c>
      <c r="C41" s="887" t="s">
        <v>12</v>
      </c>
      <c r="D41" s="1005" t="s">
        <v>1506</v>
      </c>
      <c r="E41" s="887" t="s">
        <v>13</v>
      </c>
      <c r="F41" s="613">
        <v>29.5</v>
      </c>
      <c r="G41" s="982"/>
      <c r="H41" s="1008"/>
      <c r="I41" s="1063"/>
      <c r="J41" s="622"/>
      <c r="K41" s="982"/>
      <c r="L41" s="1051"/>
      <c r="M41" s="1029"/>
      <c r="N41" s="878"/>
    </row>
    <row r="42" spans="1:14" s="224" customFormat="1" ht="15" customHeight="1" x14ac:dyDescent="0.25">
      <c r="A42" s="215">
        <v>44354</v>
      </c>
      <c r="B42" s="349" t="s">
        <v>2961</v>
      </c>
      <c r="C42" s="887" t="s">
        <v>12</v>
      </c>
      <c r="D42" s="1005" t="s">
        <v>1506</v>
      </c>
      <c r="E42" s="887" t="s">
        <v>13</v>
      </c>
      <c r="F42" s="613">
        <v>42.373333333333335</v>
      </c>
      <c r="G42" s="967"/>
      <c r="H42" s="1008"/>
      <c r="I42" s="1063"/>
      <c r="J42" s="622"/>
      <c r="K42" s="982"/>
      <c r="L42" s="861"/>
      <c r="N42" s="878"/>
    </row>
    <row r="43" spans="1:14" s="224" customFormat="1" ht="15" customHeight="1" x14ac:dyDescent="0.25">
      <c r="A43" s="215">
        <v>44354</v>
      </c>
      <c r="B43" s="349" t="s">
        <v>2961</v>
      </c>
      <c r="C43" s="887" t="s">
        <v>12</v>
      </c>
      <c r="D43" s="1005" t="s">
        <v>1489</v>
      </c>
      <c r="E43" s="887" t="s">
        <v>13</v>
      </c>
      <c r="F43" s="613">
        <v>50</v>
      </c>
      <c r="G43" s="982"/>
      <c r="H43" s="1008"/>
      <c r="I43" s="1063"/>
      <c r="J43" s="622"/>
      <c r="K43" s="982"/>
      <c r="L43" s="861"/>
      <c r="N43" s="1035"/>
    </row>
    <row r="44" spans="1:14" s="224" customFormat="1" ht="15" customHeight="1" x14ac:dyDescent="0.25">
      <c r="A44" s="215">
        <v>44354</v>
      </c>
      <c r="B44" s="349" t="s">
        <v>2961</v>
      </c>
      <c r="C44" s="887" t="s">
        <v>12</v>
      </c>
      <c r="D44" s="1005" t="s">
        <v>1525</v>
      </c>
      <c r="E44" s="887" t="s">
        <v>13</v>
      </c>
      <c r="F44" s="613">
        <v>44.45</v>
      </c>
      <c r="G44" s="967"/>
      <c r="H44" s="1008"/>
      <c r="I44" s="1063"/>
      <c r="J44" s="622"/>
      <c r="K44" s="982"/>
      <c r="L44" s="861"/>
      <c r="N44" s="878"/>
    </row>
    <row r="45" spans="1:14" s="224" customFormat="1" ht="15" customHeight="1" x14ac:dyDescent="0.25">
      <c r="A45" s="215">
        <v>44354</v>
      </c>
      <c r="B45" s="349" t="s">
        <v>2961</v>
      </c>
      <c r="C45" s="887" t="s">
        <v>12</v>
      </c>
      <c r="D45" s="1005" t="s">
        <v>1506</v>
      </c>
      <c r="E45" s="887" t="s">
        <v>13</v>
      </c>
      <c r="F45" s="613">
        <v>71.666666666666671</v>
      </c>
      <c r="G45" s="982"/>
      <c r="H45" s="1008"/>
      <c r="I45" s="1063"/>
      <c r="J45" s="622"/>
      <c r="K45" s="982"/>
      <c r="L45" s="861"/>
      <c r="N45" s="1035"/>
    </row>
    <row r="46" spans="1:14" s="224" customFormat="1" ht="15" customHeight="1" x14ac:dyDescent="0.25">
      <c r="A46" s="215">
        <v>44354</v>
      </c>
      <c r="B46" s="364" t="s">
        <v>2948</v>
      </c>
      <c r="C46" s="350" t="s">
        <v>12</v>
      </c>
      <c r="D46" s="350" t="s">
        <v>1491</v>
      </c>
      <c r="E46" s="875" t="s">
        <v>13</v>
      </c>
      <c r="F46" s="780">
        <v>250</v>
      </c>
      <c r="G46" s="982"/>
      <c r="H46" s="1008"/>
      <c r="I46" s="1063"/>
      <c r="J46" s="622"/>
      <c r="K46" s="982"/>
      <c r="L46" s="861"/>
      <c r="N46" s="1035"/>
    </row>
    <row r="47" spans="1:14" x14ac:dyDescent="0.25">
      <c r="A47" s="215">
        <v>44354</v>
      </c>
      <c r="B47" s="876" t="s">
        <v>2712</v>
      </c>
      <c r="C47" s="879" t="s">
        <v>12</v>
      </c>
      <c r="D47" s="879" t="s">
        <v>1496</v>
      </c>
      <c r="E47" s="871" t="s">
        <v>13</v>
      </c>
      <c r="F47" s="780">
        <v>70</v>
      </c>
      <c r="G47" s="982"/>
      <c r="H47" s="1009"/>
      <c r="I47" s="1063"/>
      <c r="J47" s="622"/>
      <c r="K47" s="982"/>
      <c r="L47" s="1029"/>
    </row>
    <row r="48" spans="1:14" s="224" customFormat="1" ht="15" customHeight="1" x14ac:dyDescent="0.25">
      <c r="A48" s="215">
        <v>44354</v>
      </c>
      <c r="B48" s="862" t="s">
        <v>2385</v>
      </c>
      <c r="C48" s="879" t="s">
        <v>12</v>
      </c>
      <c r="D48" s="879" t="s">
        <v>1504</v>
      </c>
      <c r="E48" s="871" t="s">
        <v>13</v>
      </c>
      <c r="F48" s="780">
        <v>50</v>
      </c>
      <c r="G48" s="982"/>
      <c r="H48" s="1008"/>
      <c r="I48" s="1063"/>
      <c r="J48" s="622"/>
      <c r="K48" s="982"/>
      <c r="L48" s="1028">
        <v>90</v>
      </c>
      <c r="M48" s="999"/>
      <c r="N48" s="1035"/>
    </row>
    <row r="49" spans="1:14" s="224" customFormat="1" ht="15" customHeight="1" x14ac:dyDescent="0.25">
      <c r="A49" s="215">
        <v>44354</v>
      </c>
      <c r="B49" s="882" t="s">
        <v>2962</v>
      </c>
      <c r="C49" s="879" t="s">
        <v>12</v>
      </c>
      <c r="D49" s="879" t="s">
        <v>1499</v>
      </c>
      <c r="E49" s="871" t="s">
        <v>13</v>
      </c>
      <c r="F49" s="780">
        <v>35</v>
      </c>
      <c r="G49" s="982"/>
      <c r="H49" s="1008"/>
      <c r="I49" s="1063"/>
      <c r="J49" s="622"/>
      <c r="K49" s="982"/>
      <c r="L49" s="1028">
        <v>69.260000000000005</v>
      </c>
      <c r="M49" s="999"/>
      <c r="N49" s="878"/>
    </row>
    <row r="50" spans="1:14" s="224" customFormat="1" ht="15" customHeight="1" x14ac:dyDescent="0.25">
      <c r="A50" s="215">
        <v>44354</v>
      </c>
      <c r="B50" s="882" t="s">
        <v>32</v>
      </c>
      <c r="C50" s="879" t="s">
        <v>12</v>
      </c>
      <c r="D50" s="879" t="s">
        <v>1485</v>
      </c>
      <c r="E50" s="875" t="s">
        <v>13</v>
      </c>
      <c r="F50" s="780">
        <v>16</v>
      </c>
      <c r="G50" s="982"/>
      <c r="H50" s="1008"/>
      <c r="I50" s="1063"/>
      <c r="J50" s="622"/>
      <c r="K50" s="982"/>
      <c r="L50" s="1029"/>
      <c r="M50" s="89"/>
      <c r="N50" s="1035"/>
    </row>
    <row r="51" spans="1:14" s="224" customFormat="1" ht="15" customHeight="1" x14ac:dyDescent="0.25">
      <c r="A51" s="215">
        <v>44354</v>
      </c>
      <c r="B51" s="882" t="s">
        <v>14</v>
      </c>
      <c r="C51" s="879" t="s">
        <v>12</v>
      </c>
      <c r="D51" s="879" t="s">
        <v>1486</v>
      </c>
      <c r="E51" s="875" t="s">
        <v>13</v>
      </c>
      <c r="F51" s="780">
        <v>7.72</v>
      </c>
      <c r="G51" s="982"/>
      <c r="H51" s="1008"/>
      <c r="I51" s="1063"/>
      <c r="J51" s="622"/>
      <c r="K51" s="982"/>
      <c r="L51" s="861"/>
      <c r="N51" s="878"/>
    </row>
    <row r="52" spans="1:14" s="224" customFormat="1" ht="15" customHeight="1" x14ac:dyDescent="0.25">
      <c r="A52" s="1052">
        <v>44354</v>
      </c>
      <c r="B52" s="349" t="s">
        <v>260</v>
      </c>
      <c r="C52" s="350" t="s">
        <v>12</v>
      </c>
      <c r="D52" s="350"/>
      <c r="E52" s="480"/>
      <c r="F52" s="780">
        <v>180</v>
      </c>
      <c r="G52" s="946"/>
      <c r="H52" s="95"/>
      <c r="I52" s="1064">
        <v>180</v>
      </c>
      <c r="J52" s="622"/>
      <c r="K52" s="982"/>
      <c r="L52" s="861"/>
    </row>
    <row r="53" spans="1:14" s="224" customFormat="1" ht="15" customHeight="1" x14ac:dyDescent="0.25">
      <c r="A53" s="215">
        <v>44355</v>
      </c>
      <c r="B53" s="882" t="s">
        <v>32</v>
      </c>
      <c r="C53" s="879" t="s">
        <v>12</v>
      </c>
      <c r="D53" s="879" t="s">
        <v>1485</v>
      </c>
      <c r="E53" s="875" t="s">
        <v>13</v>
      </c>
      <c r="F53" s="780">
        <v>16</v>
      </c>
      <c r="G53" s="982"/>
      <c r="H53" s="1008"/>
      <c r="I53" s="1063"/>
      <c r="J53" s="622"/>
      <c r="K53" s="982"/>
      <c r="L53" s="1029"/>
      <c r="M53" s="89"/>
      <c r="N53" s="1035"/>
    </row>
    <row r="54" spans="1:14" s="224" customFormat="1" ht="15" customHeight="1" x14ac:dyDescent="0.25">
      <c r="A54" s="215">
        <v>44355</v>
      </c>
      <c r="B54" s="882" t="s">
        <v>14</v>
      </c>
      <c r="C54" s="879" t="s">
        <v>12</v>
      </c>
      <c r="D54" s="879" t="s">
        <v>1486</v>
      </c>
      <c r="E54" s="875" t="s">
        <v>13</v>
      </c>
      <c r="F54" s="780">
        <v>6.81</v>
      </c>
      <c r="G54" s="982"/>
      <c r="H54" s="1008"/>
      <c r="I54" s="1063"/>
      <c r="J54" s="622"/>
      <c r="K54" s="982"/>
      <c r="L54" s="861"/>
      <c r="N54" s="878"/>
    </row>
    <row r="55" spans="1:14" s="224" customFormat="1" ht="15" customHeight="1" x14ac:dyDescent="0.25">
      <c r="A55" s="215">
        <v>44356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16</v>
      </c>
      <c r="G55" s="982"/>
      <c r="H55" s="1008"/>
      <c r="I55" s="1063"/>
      <c r="J55" s="622"/>
      <c r="K55" s="982"/>
      <c r="L55" s="1029"/>
      <c r="M55" s="89"/>
      <c r="N55" s="1035"/>
    </row>
    <row r="56" spans="1:14" s="224" customFormat="1" ht="15" customHeight="1" x14ac:dyDescent="0.25">
      <c r="A56" s="215">
        <v>44357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16</v>
      </c>
      <c r="G56" s="982"/>
      <c r="H56" s="1008"/>
      <c r="I56" s="1063"/>
      <c r="J56" s="622"/>
      <c r="K56" s="982"/>
      <c r="L56" s="861"/>
      <c r="N56" s="878"/>
    </row>
    <row r="57" spans="1:14" s="224" customFormat="1" ht="15" customHeight="1" x14ac:dyDescent="0.25">
      <c r="A57" s="215">
        <v>44357</v>
      </c>
      <c r="B57" s="882" t="s">
        <v>14</v>
      </c>
      <c r="C57" s="879" t="s">
        <v>12</v>
      </c>
      <c r="D57" s="879" t="s">
        <v>1486</v>
      </c>
      <c r="E57" s="875" t="s">
        <v>13</v>
      </c>
      <c r="F57" s="780">
        <v>8</v>
      </c>
      <c r="G57" s="982"/>
      <c r="H57" s="1008"/>
      <c r="I57" s="1063"/>
      <c r="J57" s="622"/>
      <c r="K57" s="982"/>
      <c r="L57" s="861"/>
      <c r="N57" s="1035"/>
    </row>
    <row r="58" spans="1:14" s="224" customFormat="1" ht="15" customHeight="1" x14ac:dyDescent="0.25">
      <c r="A58" s="215">
        <v>44358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16</v>
      </c>
      <c r="G58" s="982"/>
      <c r="H58" s="1008"/>
      <c r="I58" s="1063"/>
      <c r="J58" s="622"/>
      <c r="K58" s="982"/>
      <c r="L58" s="861"/>
      <c r="N58" s="878"/>
    </row>
    <row r="59" spans="1:14" s="224" customFormat="1" ht="15" customHeight="1" x14ac:dyDescent="0.25">
      <c r="A59" s="215">
        <v>44358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4.59</v>
      </c>
      <c r="G59" s="982"/>
      <c r="H59" s="1008"/>
      <c r="I59" s="1063"/>
      <c r="J59" s="622"/>
      <c r="K59" s="982"/>
      <c r="L59" s="861"/>
      <c r="N59" s="878"/>
    </row>
    <row r="60" spans="1:14" s="224" customFormat="1" ht="15" customHeight="1" x14ac:dyDescent="0.25">
      <c r="A60" s="215">
        <v>44359</v>
      </c>
      <c r="B60" s="882" t="s">
        <v>2251</v>
      </c>
      <c r="C60" s="879" t="s">
        <v>19</v>
      </c>
      <c r="D60" s="879" t="s">
        <v>2157</v>
      </c>
      <c r="E60" s="875" t="s">
        <v>13</v>
      </c>
      <c r="F60" s="780">
        <v>80</v>
      </c>
      <c r="G60" s="982"/>
      <c r="H60" s="1008"/>
      <c r="I60" s="1063"/>
      <c r="J60" s="622"/>
      <c r="K60" s="982"/>
      <c r="L60" s="1029"/>
      <c r="M60" s="89"/>
      <c r="N60" s="1035"/>
    </row>
    <row r="61" spans="1:14" s="224" customFormat="1" ht="15" customHeight="1" x14ac:dyDescent="0.25">
      <c r="A61" s="1052">
        <v>44359</v>
      </c>
      <c r="B61" s="873" t="s">
        <v>2963</v>
      </c>
      <c r="C61" s="879" t="s">
        <v>12</v>
      </c>
      <c r="D61" s="879" t="s">
        <v>1506</v>
      </c>
      <c r="E61" s="871" t="s">
        <v>13</v>
      </c>
      <c r="F61" s="780">
        <v>10</v>
      </c>
      <c r="G61" s="946"/>
      <c r="H61" s="95"/>
      <c r="I61" s="1064"/>
      <c r="J61" s="97"/>
      <c r="K61" s="946"/>
      <c r="L61" s="926"/>
      <c r="M61" s="89"/>
      <c r="N61" s="930"/>
    </row>
    <row r="62" spans="1:14" s="224" customFormat="1" ht="15" customHeight="1" x14ac:dyDescent="0.25">
      <c r="A62" s="215">
        <v>44359</v>
      </c>
      <c r="B62" s="882" t="s">
        <v>32</v>
      </c>
      <c r="C62" s="879" t="s">
        <v>12</v>
      </c>
      <c r="D62" s="879" t="s">
        <v>1485</v>
      </c>
      <c r="E62" s="875" t="s">
        <v>13</v>
      </c>
      <c r="F62" s="780">
        <v>16</v>
      </c>
      <c r="G62" s="982"/>
      <c r="H62" s="1008"/>
      <c r="I62" s="1063"/>
      <c r="J62" s="622"/>
      <c r="K62" s="982"/>
      <c r="L62" s="1029"/>
      <c r="M62" s="89"/>
      <c r="N62" s="1035"/>
    </row>
    <row r="63" spans="1:14" s="224" customFormat="1" ht="15" customHeight="1" x14ac:dyDescent="0.25">
      <c r="A63" s="215">
        <v>44359</v>
      </c>
      <c r="B63" s="882" t="s">
        <v>82</v>
      </c>
      <c r="C63" s="879" t="s">
        <v>12</v>
      </c>
      <c r="D63" s="879" t="s">
        <v>1493</v>
      </c>
      <c r="E63" s="875" t="s">
        <v>13</v>
      </c>
      <c r="F63" s="780">
        <v>22.65</v>
      </c>
      <c r="G63" s="982"/>
      <c r="H63" s="1008"/>
      <c r="I63" s="1063"/>
      <c r="J63" s="622"/>
      <c r="K63" s="982"/>
      <c r="L63" s="1029"/>
      <c r="M63" s="89"/>
      <c r="N63" s="1035"/>
    </row>
    <row r="64" spans="1:14" s="224" customFormat="1" ht="15" customHeight="1" x14ac:dyDescent="0.25">
      <c r="A64" s="215">
        <v>44359</v>
      </c>
      <c r="B64" s="873" t="s">
        <v>2964</v>
      </c>
      <c r="C64" s="879" t="s">
        <v>12</v>
      </c>
      <c r="D64" s="879" t="s">
        <v>1489</v>
      </c>
      <c r="E64" s="871" t="s">
        <v>15</v>
      </c>
      <c r="F64" s="780">
        <v>2.2000000000000002</v>
      </c>
      <c r="G64" s="946"/>
      <c r="H64" s="95"/>
      <c r="I64" s="1064"/>
      <c r="J64" s="97"/>
      <c r="K64" s="946"/>
      <c r="L64" s="926"/>
      <c r="M64" s="89"/>
      <c r="N64" s="930"/>
    </row>
    <row r="65" spans="1:14" s="224" customFormat="1" ht="15" customHeight="1" x14ac:dyDescent="0.25">
      <c r="A65" s="215">
        <v>44359</v>
      </c>
      <c r="B65" s="873" t="s">
        <v>2965</v>
      </c>
      <c r="C65" s="879" t="s">
        <v>12</v>
      </c>
      <c r="D65" s="879" t="s">
        <v>1523</v>
      </c>
      <c r="E65" s="871" t="s">
        <v>13</v>
      </c>
      <c r="F65" s="780">
        <v>10</v>
      </c>
      <c r="G65" s="946"/>
      <c r="H65" s="95"/>
      <c r="I65" s="1064"/>
      <c r="J65" s="97"/>
      <c r="K65" s="946"/>
      <c r="L65" s="926"/>
      <c r="M65" s="89"/>
      <c r="N65" s="930"/>
    </row>
    <row r="66" spans="1:14" s="224" customFormat="1" ht="15" customHeight="1" x14ac:dyDescent="0.25">
      <c r="A66" s="215">
        <v>44359</v>
      </c>
      <c r="B66" s="873" t="s">
        <v>2966</v>
      </c>
      <c r="C66" s="879" t="s">
        <v>12</v>
      </c>
      <c r="D66" s="879" t="s">
        <v>1523</v>
      </c>
      <c r="E66" s="871" t="s">
        <v>15</v>
      </c>
      <c r="F66" s="780">
        <v>20</v>
      </c>
      <c r="G66" s="946"/>
      <c r="H66" s="95"/>
      <c r="I66" s="1064"/>
      <c r="J66" s="97"/>
      <c r="K66" s="946"/>
      <c r="L66" s="926"/>
      <c r="M66" s="89"/>
      <c r="N66" s="930"/>
    </row>
    <row r="67" spans="1:14" s="224" customFormat="1" ht="15" customHeight="1" x14ac:dyDescent="0.25">
      <c r="A67" s="215">
        <v>44359</v>
      </c>
      <c r="B67" s="873" t="s">
        <v>2967</v>
      </c>
      <c r="C67" s="879" t="s">
        <v>12</v>
      </c>
      <c r="D67" s="879" t="s">
        <v>1523</v>
      </c>
      <c r="E67" s="871" t="s">
        <v>13</v>
      </c>
      <c r="F67" s="780">
        <v>30</v>
      </c>
      <c r="G67" s="946"/>
      <c r="H67" s="95"/>
      <c r="I67" s="1064"/>
      <c r="J67" s="97"/>
      <c r="K67" s="946"/>
      <c r="L67" s="926" t="s">
        <v>2968</v>
      </c>
      <c r="M67" s="89"/>
      <c r="N67" s="930"/>
    </row>
    <row r="68" spans="1:14" s="224" customFormat="1" ht="15" customHeight="1" x14ac:dyDescent="0.25">
      <c r="A68" s="215">
        <v>44359</v>
      </c>
      <c r="B68" s="873" t="s">
        <v>2969</v>
      </c>
      <c r="C68" s="879" t="s">
        <v>12</v>
      </c>
      <c r="D68" s="879" t="s">
        <v>1523</v>
      </c>
      <c r="E68" s="871" t="s">
        <v>13</v>
      </c>
      <c r="F68" s="780">
        <v>37.5</v>
      </c>
      <c r="G68" s="946"/>
      <c r="H68" s="95"/>
      <c r="I68" s="1064"/>
      <c r="J68" s="97"/>
      <c r="K68" s="946"/>
      <c r="L68" s="926" t="s">
        <v>2970</v>
      </c>
      <c r="M68" s="89"/>
      <c r="N68" s="930"/>
    </row>
    <row r="69" spans="1:14" s="224" customFormat="1" ht="15" customHeight="1" x14ac:dyDescent="0.25">
      <c r="A69" s="215">
        <v>44359</v>
      </c>
      <c r="B69" s="873" t="s">
        <v>2971</v>
      </c>
      <c r="C69" s="879" t="s">
        <v>12</v>
      </c>
      <c r="D69" s="879" t="s">
        <v>1523</v>
      </c>
      <c r="E69" s="871" t="s">
        <v>13</v>
      </c>
      <c r="F69" s="780">
        <v>6</v>
      </c>
      <c r="G69" s="946"/>
      <c r="H69" s="95"/>
      <c r="I69" s="1064"/>
      <c r="J69" s="97"/>
      <c r="K69" s="946"/>
      <c r="L69" s="926"/>
      <c r="M69" s="89"/>
      <c r="N69" s="930"/>
    </row>
    <row r="70" spans="1:14" s="224" customFormat="1" ht="15" customHeight="1" x14ac:dyDescent="0.25">
      <c r="A70" s="215">
        <v>44360</v>
      </c>
      <c r="B70" s="873" t="s">
        <v>1906</v>
      </c>
      <c r="C70" s="879" t="s">
        <v>12</v>
      </c>
      <c r="D70" s="879" t="s">
        <v>1493</v>
      </c>
      <c r="E70" s="871" t="s">
        <v>13</v>
      </c>
      <c r="F70" s="780">
        <v>14</v>
      </c>
      <c r="G70" s="946"/>
      <c r="H70" s="95"/>
      <c r="I70" s="1064"/>
      <c r="J70" s="97"/>
      <c r="K70" s="946"/>
      <c r="L70" s="926"/>
      <c r="M70" s="89"/>
      <c r="N70" s="930"/>
    </row>
    <row r="71" spans="1:14" s="224" customFormat="1" ht="15" customHeight="1" x14ac:dyDescent="0.25">
      <c r="A71" s="215">
        <v>44360</v>
      </c>
      <c r="B71" s="364" t="s">
        <v>1396</v>
      </c>
      <c r="C71" s="350" t="s">
        <v>12</v>
      </c>
      <c r="D71" s="350"/>
      <c r="E71" s="480" t="s">
        <v>25</v>
      </c>
      <c r="F71" s="613"/>
      <c r="G71" s="967">
        <v>70</v>
      </c>
      <c r="H71" s="1008"/>
      <c r="I71" s="1063"/>
      <c r="J71" s="622"/>
      <c r="K71" s="982"/>
      <c r="L71" s="861"/>
    </row>
    <row r="72" spans="1:14" s="224" customFormat="1" ht="15" customHeight="1" x14ac:dyDescent="0.25">
      <c r="A72" s="215">
        <v>44361</v>
      </c>
      <c r="B72" s="882" t="s">
        <v>14</v>
      </c>
      <c r="C72" s="879" t="s">
        <v>12</v>
      </c>
      <c r="D72" s="879" t="s">
        <v>1486</v>
      </c>
      <c r="E72" s="875" t="s">
        <v>13</v>
      </c>
      <c r="F72" s="780">
        <v>7.08</v>
      </c>
      <c r="G72" s="982"/>
      <c r="H72" s="1008"/>
      <c r="I72" s="1063"/>
      <c r="J72" s="622"/>
      <c r="K72" s="982"/>
      <c r="L72" s="861"/>
      <c r="N72" s="1035"/>
    </row>
    <row r="73" spans="1:14" s="224" customFormat="1" ht="15" customHeight="1" x14ac:dyDescent="0.25">
      <c r="A73" s="215">
        <v>44361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16</v>
      </c>
      <c r="G73" s="982"/>
      <c r="H73" s="1008"/>
      <c r="I73" s="1063"/>
      <c r="J73" s="622"/>
      <c r="K73" s="982"/>
      <c r="L73" s="1029"/>
      <c r="M73" s="89"/>
      <c r="N73" s="1035"/>
    </row>
    <row r="74" spans="1:14" s="224" customFormat="1" ht="15" customHeight="1" x14ac:dyDescent="0.25">
      <c r="A74" s="215">
        <v>44361</v>
      </c>
      <c r="B74" s="882" t="s">
        <v>2415</v>
      </c>
      <c r="C74" s="879" t="s">
        <v>12</v>
      </c>
      <c r="D74" s="879" t="s">
        <v>1493</v>
      </c>
      <c r="E74" s="875" t="s">
        <v>13</v>
      </c>
      <c r="F74" s="780">
        <v>5</v>
      </c>
      <c r="G74" s="982"/>
      <c r="H74" s="1008"/>
      <c r="I74" s="1063"/>
      <c r="J74" s="622"/>
      <c r="K74" s="982"/>
      <c r="L74" s="1029"/>
      <c r="M74" s="89"/>
      <c r="N74" s="1035"/>
    </row>
    <row r="75" spans="1:14" s="224" customFormat="1" ht="15" customHeight="1" x14ac:dyDescent="0.25">
      <c r="A75" s="215">
        <v>44361</v>
      </c>
      <c r="B75" s="349" t="s">
        <v>2972</v>
      </c>
      <c r="C75" s="879" t="s">
        <v>12</v>
      </c>
      <c r="D75" s="879" t="s">
        <v>1506</v>
      </c>
      <c r="E75" s="875" t="s">
        <v>13</v>
      </c>
      <c r="F75" s="852">
        <v>40</v>
      </c>
      <c r="G75" s="1064"/>
      <c r="H75" s="97"/>
      <c r="I75" s="982"/>
      <c r="J75" s="622"/>
      <c r="K75" s="982"/>
    </row>
    <row r="76" spans="1:14" s="224" customFormat="1" ht="15" customHeight="1" x14ac:dyDescent="0.25">
      <c r="A76" s="215">
        <v>44361</v>
      </c>
      <c r="B76" s="882" t="s">
        <v>14</v>
      </c>
      <c r="C76" s="879" t="s">
        <v>12</v>
      </c>
      <c r="D76" s="879" t="s">
        <v>1486</v>
      </c>
      <c r="E76" s="875" t="s">
        <v>13</v>
      </c>
      <c r="F76" s="780">
        <v>5.77</v>
      </c>
      <c r="G76" s="982"/>
      <c r="H76" s="1008"/>
      <c r="I76" s="1063"/>
      <c r="J76" s="622"/>
      <c r="K76" s="982"/>
      <c r="L76" s="861"/>
      <c r="N76" s="1035"/>
    </row>
    <row r="77" spans="1:14" s="224" customFormat="1" ht="15" customHeight="1" x14ac:dyDescent="0.25">
      <c r="A77" s="215">
        <v>44362</v>
      </c>
      <c r="B77" s="882" t="s">
        <v>2415</v>
      </c>
      <c r="C77" s="879" t="s">
        <v>12</v>
      </c>
      <c r="D77" s="879" t="s">
        <v>1493</v>
      </c>
      <c r="E77" s="875" t="s">
        <v>13</v>
      </c>
      <c r="F77" s="780">
        <v>5</v>
      </c>
      <c r="G77" s="982"/>
      <c r="H77" s="1008"/>
      <c r="I77" s="1063"/>
      <c r="J77" s="622"/>
      <c r="K77" s="982"/>
      <c r="L77" s="1029"/>
      <c r="M77" s="89"/>
      <c r="N77" s="1035"/>
    </row>
    <row r="78" spans="1:14" s="224" customFormat="1" ht="15" customHeight="1" x14ac:dyDescent="0.25">
      <c r="A78" s="215">
        <v>44362</v>
      </c>
      <c r="B78" s="882" t="s">
        <v>14</v>
      </c>
      <c r="C78" s="879" t="s">
        <v>12</v>
      </c>
      <c r="D78" s="879" t="s">
        <v>1486</v>
      </c>
      <c r="E78" s="875" t="s">
        <v>13</v>
      </c>
      <c r="F78" s="780">
        <v>5.77</v>
      </c>
      <c r="G78" s="982"/>
      <c r="H78" s="1008"/>
      <c r="I78" s="1063"/>
      <c r="J78" s="622"/>
      <c r="K78" s="982"/>
      <c r="L78" s="861"/>
      <c r="N78" s="1035"/>
    </row>
    <row r="79" spans="1:14" s="224" customFormat="1" ht="15" customHeight="1" x14ac:dyDescent="0.25">
      <c r="A79" s="215">
        <v>44362</v>
      </c>
      <c r="B79" s="349" t="s">
        <v>2973</v>
      </c>
      <c r="C79" s="352" t="s">
        <v>12</v>
      </c>
      <c r="D79" s="874" t="s">
        <v>1496</v>
      </c>
      <c r="E79" s="875" t="s">
        <v>13</v>
      </c>
      <c r="F79" s="852">
        <v>96</v>
      </c>
      <c r="G79" s="1064"/>
      <c r="H79" s="97"/>
      <c r="I79" s="982"/>
      <c r="J79" s="622"/>
      <c r="K79" s="982"/>
    </row>
    <row r="80" spans="1:14" s="224" customFormat="1" ht="15" customHeight="1" x14ac:dyDescent="0.25">
      <c r="A80" s="1052">
        <v>44363</v>
      </c>
      <c r="B80" s="882" t="s">
        <v>256</v>
      </c>
      <c r="C80" s="879"/>
      <c r="D80" s="879"/>
      <c r="E80" s="875" t="s">
        <v>25</v>
      </c>
      <c r="F80" s="780"/>
      <c r="G80" s="982">
        <v>100</v>
      </c>
      <c r="H80" s="1060">
        <v>100</v>
      </c>
      <c r="I80" s="1063"/>
      <c r="J80" s="622"/>
      <c r="K80" s="982"/>
      <c r="L80" s="861"/>
      <c r="N80" s="878"/>
    </row>
    <row r="81" spans="1:14" s="224" customFormat="1" ht="15" customHeight="1" x14ac:dyDescent="0.25">
      <c r="A81" s="215">
        <v>44363</v>
      </c>
      <c r="B81" s="882" t="s">
        <v>2974</v>
      </c>
      <c r="C81" s="879" t="s">
        <v>12</v>
      </c>
      <c r="D81" s="879" t="s">
        <v>1499</v>
      </c>
      <c r="E81" s="871" t="s">
        <v>13</v>
      </c>
      <c r="F81" s="780">
        <v>45.8</v>
      </c>
      <c r="G81" s="982"/>
      <c r="H81" s="1008"/>
      <c r="I81" s="1063"/>
      <c r="J81" s="622"/>
      <c r="K81" s="982"/>
      <c r="L81" s="861">
        <v>115.8</v>
      </c>
      <c r="N81" s="878"/>
    </row>
    <row r="82" spans="1:14" s="224" customFormat="1" ht="15" customHeight="1" x14ac:dyDescent="0.25">
      <c r="A82" s="215">
        <v>44363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16</v>
      </c>
      <c r="G82" s="982"/>
      <c r="H82" s="1008"/>
      <c r="I82" s="1063"/>
      <c r="J82" s="622"/>
      <c r="K82" s="982"/>
      <c r="L82" s="861"/>
      <c r="N82" s="1035"/>
    </row>
    <row r="83" spans="1:14" s="224" customFormat="1" x14ac:dyDescent="0.25">
      <c r="A83" s="215">
        <v>44363</v>
      </c>
      <c r="B83" s="882" t="s">
        <v>14</v>
      </c>
      <c r="C83" s="879" t="s">
        <v>12</v>
      </c>
      <c r="D83" s="879" t="s">
        <v>1486</v>
      </c>
      <c r="E83" s="875" t="s">
        <v>13</v>
      </c>
      <c r="F83" s="1047">
        <v>5.93</v>
      </c>
      <c r="G83" s="982"/>
      <c r="H83" s="1008"/>
      <c r="I83" s="1063"/>
      <c r="J83" s="622"/>
      <c r="K83" s="982"/>
      <c r="L83" s="1029"/>
      <c r="M83" s="89"/>
      <c r="N83" s="930"/>
    </row>
    <row r="84" spans="1:14" s="224" customFormat="1" ht="15" customHeight="1" x14ac:dyDescent="0.25">
      <c r="A84" s="215">
        <v>44364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16</v>
      </c>
      <c r="G84" s="982"/>
      <c r="H84" s="1008"/>
      <c r="I84" s="1063"/>
      <c r="J84" s="622"/>
      <c r="K84" s="982"/>
      <c r="L84" s="861"/>
      <c r="N84" s="1035"/>
    </row>
    <row r="85" spans="1:14" s="224" customFormat="1" ht="15" customHeight="1" x14ac:dyDescent="0.25">
      <c r="A85" s="215">
        <v>44365</v>
      </c>
      <c r="B85" s="882" t="s">
        <v>2975</v>
      </c>
      <c r="C85" s="350" t="s">
        <v>12</v>
      </c>
      <c r="D85" s="350"/>
      <c r="E85" s="480" t="s">
        <v>25</v>
      </c>
      <c r="F85" s="622"/>
      <c r="G85" s="982">
        <v>1840</v>
      </c>
      <c r="H85" s="1008"/>
      <c r="I85" s="1063"/>
      <c r="J85" s="622"/>
      <c r="K85" s="982"/>
      <c r="L85" s="861"/>
    </row>
    <row r="86" spans="1:14" s="224" customFormat="1" ht="15" customHeight="1" x14ac:dyDescent="0.25">
      <c r="A86" s="215">
        <v>44365</v>
      </c>
      <c r="B86" s="862" t="s">
        <v>2867</v>
      </c>
      <c r="C86" s="350" t="s">
        <v>12</v>
      </c>
      <c r="D86" s="874" t="s">
        <v>1504</v>
      </c>
      <c r="E86" s="887" t="s">
        <v>13</v>
      </c>
      <c r="F86" s="852">
        <v>30</v>
      </c>
      <c r="G86" s="982"/>
      <c r="H86" s="1009"/>
      <c r="I86" s="1063"/>
      <c r="J86" s="853"/>
      <c r="K86" s="982"/>
      <c r="L86" s="861"/>
      <c r="M86" s="927"/>
      <c r="N86" s="1035"/>
    </row>
    <row r="87" spans="1:14" s="224" customFormat="1" ht="15" customHeight="1" x14ac:dyDescent="0.25">
      <c r="A87" s="215">
        <v>44365</v>
      </c>
      <c r="B87" s="882" t="s">
        <v>32</v>
      </c>
      <c r="C87" s="879" t="s">
        <v>12</v>
      </c>
      <c r="D87" s="879" t="s">
        <v>1485</v>
      </c>
      <c r="E87" s="875" t="s">
        <v>13</v>
      </c>
      <c r="F87" s="780">
        <v>16</v>
      </c>
      <c r="G87" s="982"/>
      <c r="H87" s="1008"/>
      <c r="I87" s="1063"/>
      <c r="J87" s="622"/>
      <c r="K87" s="982"/>
      <c r="L87" s="861"/>
      <c r="N87" s="1035"/>
    </row>
    <row r="88" spans="1:14" s="224" customFormat="1" ht="15" customHeight="1" x14ac:dyDescent="0.25">
      <c r="A88" s="215">
        <v>44365</v>
      </c>
      <c r="B88" s="882" t="s">
        <v>2415</v>
      </c>
      <c r="C88" s="879" t="s">
        <v>12</v>
      </c>
      <c r="D88" s="879" t="s">
        <v>1493</v>
      </c>
      <c r="E88" s="875" t="s">
        <v>13</v>
      </c>
      <c r="F88" s="780">
        <v>5</v>
      </c>
      <c r="G88" s="982"/>
      <c r="H88" s="1008"/>
      <c r="I88" s="1063"/>
      <c r="J88" s="622"/>
      <c r="K88" s="982"/>
      <c r="L88" s="1029"/>
      <c r="M88" s="89"/>
      <c r="N88" s="1035"/>
    </row>
    <row r="89" spans="1:14" s="224" customFormat="1" ht="15" customHeight="1" x14ac:dyDescent="0.25">
      <c r="A89" s="215">
        <v>44365</v>
      </c>
      <c r="B89" s="349" t="s">
        <v>260</v>
      </c>
      <c r="C89" s="350" t="s">
        <v>12</v>
      </c>
      <c r="D89" s="350"/>
      <c r="E89" s="480"/>
      <c r="F89" s="780">
        <v>500</v>
      </c>
      <c r="G89" s="946"/>
      <c r="H89" s="95"/>
      <c r="I89" s="1064">
        <v>500</v>
      </c>
      <c r="J89" s="622"/>
      <c r="K89" s="982"/>
      <c r="L89" s="861"/>
    </row>
    <row r="90" spans="1:14" s="224" customFormat="1" x14ac:dyDescent="0.25">
      <c r="A90" s="215">
        <v>44365</v>
      </c>
      <c r="B90" s="364" t="s">
        <v>81</v>
      </c>
      <c r="C90" s="350" t="s">
        <v>12</v>
      </c>
      <c r="D90" s="350" t="s">
        <v>1493</v>
      </c>
      <c r="E90" s="875" t="s">
        <v>13</v>
      </c>
      <c r="F90" s="780">
        <v>12</v>
      </c>
      <c r="G90" s="982"/>
      <c r="H90" s="1008"/>
      <c r="I90" s="1063"/>
      <c r="J90" s="622"/>
      <c r="K90" s="982"/>
      <c r="L90" s="861"/>
      <c r="N90" s="878"/>
    </row>
    <row r="91" spans="1:14" s="224" customFormat="1" x14ac:dyDescent="0.25">
      <c r="A91" s="215">
        <v>44365</v>
      </c>
      <c r="B91" s="364" t="s">
        <v>525</v>
      </c>
      <c r="C91" s="350" t="s">
        <v>12</v>
      </c>
      <c r="D91" s="350" t="s">
        <v>1493</v>
      </c>
      <c r="E91" s="875" t="s">
        <v>13</v>
      </c>
      <c r="F91" s="780">
        <v>32.700000000000003</v>
      </c>
      <c r="G91" s="982"/>
      <c r="H91" s="1008"/>
      <c r="I91" s="1063"/>
      <c r="J91" s="622"/>
      <c r="K91" s="982"/>
      <c r="L91" s="861"/>
      <c r="N91" s="878"/>
    </row>
    <row r="92" spans="1:14" s="224" customFormat="1" ht="15" customHeight="1" x14ac:dyDescent="0.25">
      <c r="A92" s="215">
        <v>44366</v>
      </c>
      <c r="B92" s="882" t="s">
        <v>14</v>
      </c>
      <c r="C92" s="879" t="s">
        <v>12</v>
      </c>
      <c r="D92" s="879" t="s">
        <v>1486</v>
      </c>
      <c r="E92" s="875" t="s">
        <v>13</v>
      </c>
      <c r="F92" s="780">
        <v>5.83</v>
      </c>
      <c r="G92" s="982"/>
      <c r="H92" s="1008"/>
      <c r="I92" s="1063"/>
      <c r="J92" s="622"/>
      <c r="K92" s="982"/>
      <c r="L92" s="861"/>
      <c r="N92" s="1035"/>
    </row>
    <row r="93" spans="1:14" s="224" customFormat="1" ht="15" customHeight="1" x14ac:dyDescent="0.25">
      <c r="A93" s="215">
        <v>44366</v>
      </c>
      <c r="B93" s="882" t="s">
        <v>2629</v>
      </c>
      <c r="C93" s="879" t="s">
        <v>19</v>
      </c>
      <c r="D93" s="879" t="s">
        <v>1489</v>
      </c>
      <c r="E93" s="875" t="s">
        <v>13</v>
      </c>
      <c r="F93" s="780">
        <v>84.53</v>
      </c>
      <c r="G93" s="982"/>
      <c r="H93" s="1008"/>
      <c r="I93" s="1063"/>
      <c r="J93" s="622"/>
      <c r="K93" s="982"/>
      <c r="L93" s="861"/>
      <c r="N93" s="1035"/>
    </row>
    <row r="94" spans="1:14" s="224" customFormat="1" ht="15" customHeight="1" x14ac:dyDescent="0.25">
      <c r="A94" s="215">
        <v>44366</v>
      </c>
      <c r="B94" s="882" t="s">
        <v>2251</v>
      </c>
      <c r="C94" s="879" t="s">
        <v>12</v>
      </c>
      <c r="D94" s="879" t="s">
        <v>2157</v>
      </c>
      <c r="E94" s="875" t="s">
        <v>15</v>
      </c>
      <c r="F94" s="780">
        <v>80</v>
      </c>
      <c r="G94" s="982"/>
      <c r="H94" s="1008"/>
      <c r="I94" s="1063"/>
      <c r="J94" s="622"/>
      <c r="K94" s="982"/>
      <c r="L94" s="1029"/>
      <c r="M94" s="89"/>
      <c r="N94" s="1035"/>
    </row>
    <row r="95" spans="1:14" s="224" customFormat="1" ht="15" customHeight="1" x14ac:dyDescent="0.25">
      <c r="A95" s="215">
        <v>44366</v>
      </c>
      <c r="B95" s="882" t="s">
        <v>14</v>
      </c>
      <c r="C95" s="879" t="s">
        <v>12</v>
      </c>
      <c r="D95" s="879" t="s">
        <v>1486</v>
      </c>
      <c r="E95" s="875" t="s">
        <v>13</v>
      </c>
      <c r="F95" s="780">
        <v>14.3</v>
      </c>
      <c r="G95" s="982"/>
      <c r="H95" s="1008"/>
      <c r="I95" s="1063"/>
      <c r="J95" s="622"/>
      <c r="K95" s="982"/>
      <c r="L95" s="861"/>
      <c r="N95" s="1035"/>
    </row>
    <row r="96" spans="1:14" s="224" customFormat="1" ht="15" customHeight="1" x14ac:dyDescent="0.25">
      <c r="A96" s="215">
        <v>44367</v>
      </c>
      <c r="B96" s="882" t="s">
        <v>2197</v>
      </c>
      <c r="C96" s="879" t="s">
        <v>12</v>
      </c>
      <c r="D96" s="879" t="s">
        <v>2168</v>
      </c>
      <c r="E96" s="875" t="s">
        <v>13</v>
      </c>
      <c r="F96" s="780">
        <v>20</v>
      </c>
      <c r="G96" s="982"/>
      <c r="H96" s="1008"/>
      <c r="I96" s="1063"/>
      <c r="J96" s="622"/>
      <c r="K96" s="982"/>
      <c r="L96" s="1029"/>
      <c r="M96" s="89"/>
      <c r="N96" s="1035"/>
    </row>
    <row r="97" spans="1:14" s="224" customFormat="1" ht="15" customHeight="1" x14ac:dyDescent="0.25">
      <c r="A97" s="215">
        <v>44367</v>
      </c>
      <c r="B97" s="882" t="s">
        <v>80</v>
      </c>
      <c r="C97" s="879" t="s">
        <v>12</v>
      </c>
      <c r="D97" s="879" t="s">
        <v>1523</v>
      </c>
      <c r="E97" s="875" t="s">
        <v>13</v>
      </c>
      <c r="F97" s="780">
        <v>18</v>
      </c>
      <c r="G97" s="982"/>
      <c r="H97" s="1008"/>
      <c r="I97" s="1063"/>
      <c r="J97" s="622"/>
      <c r="K97" s="982"/>
      <c r="L97" s="1029"/>
      <c r="M97" s="89"/>
      <c r="N97" s="1035"/>
    </row>
    <row r="98" spans="1:14" s="224" customFormat="1" ht="15" customHeight="1" x14ac:dyDescent="0.25">
      <c r="A98" s="215">
        <v>44367</v>
      </c>
      <c r="B98" s="349" t="s">
        <v>81</v>
      </c>
      <c r="C98" s="350" t="s">
        <v>12</v>
      </c>
      <c r="D98" s="350" t="s">
        <v>1493</v>
      </c>
      <c r="E98" s="480" t="s">
        <v>13</v>
      </c>
      <c r="F98" s="780">
        <v>8</v>
      </c>
      <c r="G98" s="946"/>
      <c r="H98" s="95"/>
      <c r="I98" s="1064"/>
      <c r="J98" s="622"/>
      <c r="K98" s="982"/>
      <c r="L98" s="861"/>
    </row>
    <row r="99" spans="1:14" s="224" customFormat="1" ht="15" customHeight="1" x14ac:dyDescent="0.25">
      <c r="A99" s="215">
        <v>44367</v>
      </c>
      <c r="B99" s="349" t="s">
        <v>2976</v>
      </c>
      <c r="C99" s="350" t="s">
        <v>12</v>
      </c>
      <c r="D99" s="350" t="s">
        <v>1489</v>
      </c>
      <c r="E99" s="480" t="s">
        <v>15</v>
      </c>
      <c r="F99" s="780">
        <v>50</v>
      </c>
      <c r="G99" s="946"/>
      <c r="H99" s="95"/>
      <c r="I99" s="1064"/>
      <c r="J99" s="622"/>
      <c r="K99" s="982"/>
      <c r="L99" s="861"/>
    </row>
    <row r="100" spans="1:14" s="224" customFormat="1" ht="15" customHeight="1" x14ac:dyDescent="0.25">
      <c r="A100" s="215">
        <v>44368</v>
      </c>
      <c r="B100" s="364" t="s">
        <v>2977</v>
      </c>
      <c r="C100" s="350" t="s">
        <v>12</v>
      </c>
      <c r="D100" s="350" t="s">
        <v>1491</v>
      </c>
      <c r="E100" s="875" t="s">
        <v>13</v>
      </c>
      <c r="F100" s="1047">
        <v>300</v>
      </c>
      <c r="G100" s="982"/>
      <c r="H100" s="1008"/>
      <c r="I100" s="1063"/>
      <c r="J100" s="622"/>
      <c r="K100" s="982"/>
      <c r="L100" s="861">
        <v>300</v>
      </c>
      <c r="N100" s="1035"/>
    </row>
    <row r="101" spans="1:14" s="224" customFormat="1" ht="15" customHeight="1" x14ac:dyDescent="0.25">
      <c r="A101" s="215">
        <v>44368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16</v>
      </c>
      <c r="G101" s="982"/>
      <c r="H101" s="1008"/>
      <c r="I101" s="1063"/>
      <c r="J101" s="622"/>
      <c r="K101" s="982"/>
      <c r="L101" s="861"/>
      <c r="N101" s="1035"/>
    </row>
    <row r="102" spans="1:14" s="224" customFormat="1" ht="15" customHeight="1" x14ac:dyDescent="0.25">
      <c r="A102" s="215">
        <v>44369</v>
      </c>
      <c r="B102" s="364"/>
      <c r="C102" s="350"/>
      <c r="D102" s="350"/>
      <c r="E102" s="875"/>
      <c r="F102" s="780"/>
      <c r="G102" s="982"/>
      <c r="H102" s="1008"/>
      <c r="I102" s="1063"/>
      <c r="J102" s="622"/>
      <c r="K102" s="982"/>
      <c r="L102" s="861"/>
      <c r="N102" s="1035"/>
    </row>
    <row r="103" spans="1:14" s="224" customFormat="1" ht="15" customHeight="1" x14ac:dyDescent="0.25">
      <c r="A103" s="215">
        <v>44370</v>
      </c>
      <c r="B103" s="882" t="s">
        <v>32</v>
      </c>
      <c r="C103" s="879" t="s">
        <v>12</v>
      </c>
      <c r="D103" s="879" t="s">
        <v>1485</v>
      </c>
      <c r="E103" s="875" t="s">
        <v>13</v>
      </c>
      <c r="F103" s="780">
        <v>16</v>
      </c>
      <c r="G103" s="982"/>
      <c r="H103" s="1008"/>
      <c r="I103" s="1063"/>
      <c r="J103" s="622"/>
      <c r="K103" s="982"/>
      <c r="L103" s="1029"/>
      <c r="M103" s="89"/>
      <c r="N103" s="930"/>
    </row>
    <row r="104" spans="1:14" s="224" customFormat="1" ht="15" customHeight="1" x14ac:dyDescent="0.25">
      <c r="A104" s="215">
        <v>44371</v>
      </c>
      <c r="B104" s="364" t="s">
        <v>2978</v>
      </c>
      <c r="C104" s="350" t="s">
        <v>12</v>
      </c>
      <c r="D104" s="350" t="s">
        <v>1489</v>
      </c>
      <c r="E104" s="875" t="s">
        <v>15</v>
      </c>
      <c r="F104" s="780">
        <v>12</v>
      </c>
      <c r="G104" s="982"/>
      <c r="H104" s="1008"/>
      <c r="I104" s="1063"/>
      <c r="J104" s="622"/>
      <c r="K104" s="982"/>
      <c r="L104" s="1029"/>
      <c r="M104" s="89"/>
      <c r="N104" s="930"/>
    </row>
    <row r="105" spans="1:14" s="224" customFormat="1" ht="15" customHeight="1" x14ac:dyDescent="0.25">
      <c r="A105" s="215">
        <v>44371</v>
      </c>
      <c r="B105" s="882" t="s">
        <v>2415</v>
      </c>
      <c r="C105" s="879" t="s">
        <v>12</v>
      </c>
      <c r="D105" s="879" t="s">
        <v>1493</v>
      </c>
      <c r="E105" s="875" t="s">
        <v>13</v>
      </c>
      <c r="F105" s="780">
        <v>6</v>
      </c>
      <c r="G105" s="982"/>
      <c r="H105" s="1008"/>
      <c r="I105" s="1063"/>
      <c r="J105" s="622"/>
      <c r="K105" s="982"/>
      <c r="L105" s="1029"/>
      <c r="M105" s="89"/>
      <c r="N105" s="1035"/>
    </row>
    <row r="106" spans="1:14" s="224" customFormat="1" ht="15" customHeight="1" x14ac:dyDescent="0.25">
      <c r="A106" s="215">
        <v>44371</v>
      </c>
      <c r="B106" s="349" t="s">
        <v>2979</v>
      </c>
      <c r="C106" s="879" t="s">
        <v>12</v>
      </c>
      <c r="D106" s="879" t="s">
        <v>1522</v>
      </c>
      <c r="E106" s="871" t="s">
        <v>13</v>
      </c>
      <c r="F106" s="780">
        <v>104.12</v>
      </c>
      <c r="G106" s="982"/>
      <c r="H106" s="1008"/>
      <c r="I106" s="1063"/>
      <c r="J106" s="622"/>
      <c r="K106" s="982"/>
      <c r="L106" s="1029"/>
      <c r="M106" s="89"/>
      <c r="N106" s="1035"/>
    </row>
    <row r="107" spans="1:14" s="224" customFormat="1" ht="15" customHeight="1" x14ac:dyDescent="0.25">
      <c r="A107" s="215">
        <v>44371</v>
      </c>
      <c r="B107" s="882" t="s">
        <v>2197</v>
      </c>
      <c r="C107" s="879" t="s">
        <v>12</v>
      </c>
      <c r="D107" s="879" t="s">
        <v>2168</v>
      </c>
      <c r="E107" s="875" t="s">
        <v>13</v>
      </c>
      <c r="F107" s="780">
        <v>30</v>
      </c>
      <c r="G107" s="982"/>
      <c r="H107" s="1008"/>
      <c r="I107" s="1063"/>
      <c r="J107" s="622"/>
      <c r="K107" s="982"/>
      <c r="L107" s="1029"/>
      <c r="M107" s="89"/>
      <c r="N107" s="930"/>
    </row>
    <row r="108" spans="1:14" s="224" customFormat="1" ht="15" customHeight="1" x14ac:dyDescent="0.25">
      <c r="A108" s="215">
        <v>44372</v>
      </c>
      <c r="B108" s="882" t="s">
        <v>32</v>
      </c>
      <c r="C108" s="879" t="s">
        <v>12</v>
      </c>
      <c r="D108" s="879" t="s">
        <v>1485</v>
      </c>
      <c r="E108" s="875" t="s">
        <v>13</v>
      </c>
      <c r="F108" s="780">
        <v>16</v>
      </c>
      <c r="G108" s="982"/>
      <c r="H108" s="1008"/>
      <c r="I108" s="1063"/>
      <c r="J108" s="622"/>
      <c r="K108" s="982"/>
      <c r="L108" s="1029"/>
      <c r="M108" s="89"/>
      <c r="N108" s="930"/>
    </row>
    <row r="109" spans="1:14" s="224" customFormat="1" x14ac:dyDescent="0.25">
      <c r="A109" s="215">
        <v>44372</v>
      </c>
      <c r="B109" s="364" t="s">
        <v>1241</v>
      </c>
      <c r="C109" s="350" t="s">
        <v>12</v>
      </c>
      <c r="D109" s="350" t="s">
        <v>1504</v>
      </c>
      <c r="E109" s="875" t="s">
        <v>13</v>
      </c>
      <c r="F109" s="780">
        <v>10</v>
      </c>
      <c r="G109" s="982"/>
      <c r="H109" s="1008"/>
      <c r="I109" s="1063"/>
      <c r="J109" s="622"/>
      <c r="K109" s="982"/>
      <c r="L109" s="861"/>
      <c r="N109" s="878"/>
    </row>
    <row r="110" spans="1:14" s="224" customFormat="1" ht="15" customHeight="1" x14ac:dyDescent="0.25">
      <c r="A110" s="215">
        <v>44372</v>
      </c>
      <c r="B110" s="364" t="s">
        <v>134</v>
      </c>
      <c r="C110" s="350" t="s">
        <v>12</v>
      </c>
      <c r="D110" s="350" t="s">
        <v>1493</v>
      </c>
      <c r="E110" s="875" t="s">
        <v>13</v>
      </c>
      <c r="F110" s="780">
        <v>4.5</v>
      </c>
      <c r="G110" s="982"/>
      <c r="H110" s="1008"/>
      <c r="I110" s="1063"/>
      <c r="J110" s="622"/>
      <c r="K110" s="982"/>
      <c r="L110" s="1029"/>
      <c r="M110" s="89"/>
      <c r="N110" s="930"/>
    </row>
    <row r="111" spans="1:14" s="224" customFormat="1" ht="15" customHeight="1" x14ac:dyDescent="0.25">
      <c r="A111" s="215">
        <v>44373</v>
      </c>
      <c r="B111" s="882" t="s">
        <v>14</v>
      </c>
      <c r="C111" s="879" t="s">
        <v>12</v>
      </c>
      <c r="D111" s="879" t="s">
        <v>1486</v>
      </c>
      <c r="E111" s="875" t="s">
        <v>13</v>
      </c>
      <c r="F111" s="780">
        <v>4</v>
      </c>
      <c r="G111" s="982"/>
      <c r="H111" s="1008"/>
      <c r="I111" s="1063"/>
      <c r="J111" s="622"/>
      <c r="K111" s="982"/>
      <c r="L111" s="861"/>
      <c r="N111" s="1035"/>
    </row>
    <row r="112" spans="1:14" s="224" customFormat="1" ht="15" customHeight="1" x14ac:dyDescent="0.25">
      <c r="A112" s="215">
        <v>44373</v>
      </c>
      <c r="B112" s="882" t="s">
        <v>2251</v>
      </c>
      <c r="C112" s="879" t="s">
        <v>12</v>
      </c>
      <c r="D112" s="879" t="s">
        <v>2157</v>
      </c>
      <c r="E112" s="875" t="s">
        <v>13</v>
      </c>
      <c r="F112" s="780">
        <v>100</v>
      </c>
      <c r="G112" s="982"/>
      <c r="H112" s="1008"/>
      <c r="I112" s="1063"/>
      <c r="J112" s="622"/>
      <c r="K112" s="982"/>
      <c r="L112" s="1029"/>
      <c r="M112" s="89"/>
      <c r="N112" s="1035"/>
    </row>
    <row r="113" spans="1:14" s="224" customFormat="1" ht="15" customHeight="1" x14ac:dyDescent="0.25">
      <c r="A113" s="215">
        <v>44373</v>
      </c>
      <c r="B113" s="364" t="s">
        <v>2980</v>
      </c>
      <c r="C113" s="350" t="s">
        <v>12</v>
      </c>
      <c r="D113" s="350" t="s">
        <v>1491</v>
      </c>
      <c r="E113" s="875" t="s">
        <v>13</v>
      </c>
      <c r="F113" s="780">
        <v>6</v>
      </c>
      <c r="G113" s="982"/>
      <c r="H113" s="1008"/>
      <c r="I113" s="1063"/>
      <c r="J113" s="622"/>
      <c r="K113" s="982"/>
      <c r="L113" s="1029"/>
      <c r="M113" s="89"/>
      <c r="N113" s="930"/>
    </row>
    <row r="114" spans="1:14" s="224" customFormat="1" ht="15" customHeight="1" x14ac:dyDescent="0.25">
      <c r="A114" s="215">
        <v>44373</v>
      </c>
      <c r="B114" s="364" t="s">
        <v>2981</v>
      </c>
      <c r="C114" s="350" t="s">
        <v>12</v>
      </c>
      <c r="D114" s="350" t="s">
        <v>1523</v>
      </c>
      <c r="E114" s="875" t="s">
        <v>13</v>
      </c>
      <c r="F114" s="780">
        <v>80</v>
      </c>
      <c r="G114" s="982"/>
      <c r="H114" s="1008"/>
      <c r="I114" s="1063"/>
      <c r="J114" s="622"/>
      <c r="K114" s="982"/>
      <c r="L114" s="1029"/>
      <c r="M114" s="89"/>
      <c r="N114" s="930"/>
    </row>
    <row r="115" spans="1:14" s="224" customFormat="1" ht="15" customHeight="1" x14ac:dyDescent="0.25">
      <c r="A115" s="215">
        <v>44373</v>
      </c>
      <c r="B115" s="364" t="s">
        <v>2982</v>
      </c>
      <c r="C115" s="350" t="s">
        <v>12</v>
      </c>
      <c r="D115" s="350" t="s">
        <v>1523</v>
      </c>
      <c r="E115" s="875" t="s">
        <v>13</v>
      </c>
      <c r="F115" s="780">
        <v>30</v>
      </c>
      <c r="G115" s="982"/>
      <c r="H115" s="1008"/>
      <c r="I115" s="1063"/>
      <c r="J115" s="622"/>
      <c r="K115" s="982"/>
      <c r="L115" s="1029"/>
      <c r="M115" s="89"/>
      <c r="N115" s="930"/>
    </row>
    <row r="116" spans="1:14" s="224" customFormat="1" ht="15" customHeight="1" x14ac:dyDescent="0.25">
      <c r="A116" s="215">
        <v>44373</v>
      </c>
      <c r="B116" s="364" t="s">
        <v>2983</v>
      </c>
      <c r="C116" s="350" t="s">
        <v>12</v>
      </c>
      <c r="D116" s="350" t="s">
        <v>1491</v>
      </c>
      <c r="E116" s="875" t="s">
        <v>13</v>
      </c>
      <c r="F116" s="780">
        <v>6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4" s="224" customFormat="1" ht="15" customHeight="1" x14ac:dyDescent="0.25">
      <c r="A117" s="215">
        <v>44373</v>
      </c>
      <c r="B117" s="364" t="s">
        <v>2984</v>
      </c>
      <c r="C117" s="350" t="s">
        <v>12</v>
      </c>
      <c r="D117" s="350" t="s">
        <v>1491</v>
      </c>
      <c r="E117" s="875" t="s">
        <v>13</v>
      </c>
      <c r="F117" s="780">
        <v>6</v>
      </c>
      <c r="G117" s="982"/>
      <c r="H117" s="1008"/>
      <c r="I117" s="1063"/>
      <c r="J117" s="622"/>
      <c r="K117" s="982"/>
      <c r="L117" s="1029"/>
      <c r="M117" s="89"/>
      <c r="N117" s="930"/>
    </row>
    <row r="118" spans="1:14" s="224" customFormat="1" x14ac:dyDescent="0.25">
      <c r="A118" s="215">
        <v>44374</v>
      </c>
      <c r="B118" s="364" t="s">
        <v>2985</v>
      </c>
      <c r="C118" s="350" t="s">
        <v>12</v>
      </c>
      <c r="D118" s="350" t="s">
        <v>1491</v>
      </c>
      <c r="E118" s="875" t="s">
        <v>15</v>
      </c>
      <c r="F118" s="1047">
        <v>15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4" s="224" customFormat="1" x14ac:dyDescent="0.25">
      <c r="A119" s="215">
        <v>44374</v>
      </c>
      <c r="B119" s="364" t="s">
        <v>2986</v>
      </c>
      <c r="C119" s="350" t="s">
        <v>12</v>
      </c>
      <c r="D119" s="350" t="s">
        <v>1491</v>
      </c>
      <c r="E119" s="875" t="s">
        <v>15</v>
      </c>
      <c r="F119" s="1047">
        <v>7.5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4" s="224" customFormat="1" x14ac:dyDescent="0.25">
      <c r="A120" s="215">
        <v>44374</v>
      </c>
      <c r="B120" s="364" t="s">
        <v>2982</v>
      </c>
      <c r="C120" s="350" t="s">
        <v>12</v>
      </c>
      <c r="D120" s="350" t="s">
        <v>1523</v>
      </c>
      <c r="E120" s="875" t="s">
        <v>13</v>
      </c>
      <c r="F120" s="780">
        <v>22</v>
      </c>
      <c r="G120" s="982"/>
      <c r="H120" s="1008"/>
      <c r="I120" s="1063"/>
      <c r="J120" s="622"/>
      <c r="K120" s="982"/>
      <c r="L120" s="1029"/>
      <c r="M120" s="89"/>
      <c r="N120" s="930"/>
    </row>
    <row r="121" spans="1:14" s="224" customFormat="1" x14ac:dyDescent="0.25">
      <c r="A121" s="215">
        <v>44374</v>
      </c>
      <c r="B121" s="364" t="s">
        <v>2987</v>
      </c>
      <c r="C121" s="350" t="s">
        <v>12</v>
      </c>
      <c r="D121" s="350" t="s">
        <v>1523</v>
      </c>
      <c r="E121" s="875" t="s">
        <v>13</v>
      </c>
      <c r="F121" s="1047">
        <v>15</v>
      </c>
      <c r="G121" s="982"/>
      <c r="H121" s="1008"/>
      <c r="I121" s="1063"/>
      <c r="J121" s="622"/>
      <c r="K121" s="982"/>
      <c r="L121" s="1029" t="s">
        <v>2988</v>
      </c>
      <c r="M121" s="89"/>
      <c r="N121" s="930"/>
    </row>
    <row r="122" spans="1:14" s="224" customFormat="1" x14ac:dyDescent="0.25">
      <c r="A122" s="215">
        <v>44375</v>
      </c>
      <c r="B122" s="364" t="s">
        <v>2989</v>
      </c>
      <c r="C122" s="350" t="s">
        <v>12</v>
      </c>
      <c r="D122" s="350" t="s">
        <v>1506</v>
      </c>
      <c r="E122" s="875" t="s">
        <v>13</v>
      </c>
      <c r="F122" s="1047">
        <v>22</v>
      </c>
      <c r="G122" s="982"/>
      <c r="H122" s="1008"/>
      <c r="I122" s="1063"/>
      <c r="J122" s="622"/>
      <c r="K122" s="982"/>
      <c r="L122" s="1029"/>
      <c r="M122" s="89"/>
      <c r="N122" s="930"/>
    </row>
    <row r="123" spans="1:14" s="224" customFormat="1" ht="15" customHeight="1" x14ac:dyDescent="0.25">
      <c r="A123" s="215">
        <v>44375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16</v>
      </c>
      <c r="G123" s="982"/>
      <c r="H123" s="1008"/>
      <c r="I123" s="1063"/>
      <c r="J123" s="622"/>
      <c r="K123" s="982"/>
      <c r="L123" s="1029"/>
      <c r="M123" s="89"/>
      <c r="N123" s="930"/>
    </row>
    <row r="124" spans="1:14" s="224" customFormat="1" ht="15" customHeight="1" x14ac:dyDescent="0.25">
      <c r="A124" s="215">
        <v>44375</v>
      </c>
      <c r="B124" s="882" t="s">
        <v>2990</v>
      </c>
      <c r="C124" s="879" t="s">
        <v>12</v>
      </c>
      <c r="D124" s="879" t="s">
        <v>1524</v>
      </c>
      <c r="E124" s="875" t="s">
        <v>13</v>
      </c>
      <c r="F124" s="780">
        <v>22</v>
      </c>
      <c r="G124" s="982"/>
      <c r="H124" s="1008"/>
      <c r="I124" s="1063"/>
      <c r="J124" s="622"/>
      <c r="K124" s="982"/>
      <c r="L124" s="1029"/>
      <c r="M124" s="89"/>
      <c r="N124" s="930"/>
    </row>
    <row r="125" spans="1:14" s="224" customFormat="1" x14ac:dyDescent="0.25">
      <c r="A125" s="215">
        <v>44375</v>
      </c>
      <c r="B125" s="882" t="s">
        <v>2991</v>
      </c>
      <c r="C125" s="879" t="s">
        <v>12</v>
      </c>
      <c r="D125" s="879" t="s">
        <v>1506</v>
      </c>
      <c r="E125" s="875" t="s">
        <v>13</v>
      </c>
      <c r="F125" s="780">
        <v>20</v>
      </c>
      <c r="G125" s="982"/>
      <c r="H125" s="1008"/>
      <c r="I125" s="1063"/>
      <c r="J125" s="622"/>
      <c r="K125" s="982"/>
      <c r="L125" s="1029"/>
      <c r="M125" s="89"/>
      <c r="N125" s="930"/>
    </row>
    <row r="126" spans="1:14" s="224" customFormat="1" x14ac:dyDescent="0.25">
      <c r="A126" s="215">
        <v>44375</v>
      </c>
      <c r="B126" s="882" t="s">
        <v>103</v>
      </c>
      <c r="C126" s="879" t="s">
        <v>12</v>
      </c>
      <c r="D126" s="879" t="s">
        <v>1489</v>
      </c>
      <c r="E126" s="875" t="s">
        <v>13</v>
      </c>
      <c r="F126" s="780">
        <v>9</v>
      </c>
      <c r="G126" s="982"/>
      <c r="H126" s="1008"/>
      <c r="I126" s="1063"/>
      <c r="J126" s="622"/>
      <c r="K126" s="982"/>
      <c r="L126" s="1029"/>
      <c r="M126" s="89"/>
      <c r="N126" s="930"/>
    </row>
    <row r="127" spans="1:14" s="224" customFormat="1" x14ac:dyDescent="0.25">
      <c r="A127" s="215">
        <v>44376</v>
      </c>
      <c r="B127" s="882" t="s">
        <v>256</v>
      </c>
      <c r="C127" s="879"/>
      <c r="D127" s="879"/>
      <c r="E127" s="875" t="s">
        <v>25</v>
      </c>
      <c r="F127" s="780"/>
      <c r="G127" s="982">
        <v>1300</v>
      </c>
      <c r="H127" s="1060">
        <v>1300</v>
      </c>
      <c r="I127" s="1063"/>
      <c r="J127" s="622"/>
      <c r="K127" s="982"/>
      <c r="L127" s="861"/>
      <c r="N127" s="878"/>
    </row>
    <row r="128" spans="1:14" s="224" customFormat="1" ht="15" customHeight="1" x14ac:dyDescent="0.25">
      <c r="A128" s="215">
        <v>44376</v>
      </c>
      <c r="B128" s="349" t="s">
        <v>1661</v>
      </c>
      <c r="C128" s="352" t="s">
        <v>12</v>
      </c>
      <c r="D128" s="874"/>
      <c r="E128" s="875" t="s">
        <v>13</v>
      </c>
      <c r="F128" s="852">
        <v>1070.98</v>
      </c>
      <c r="G128" s="957"/>
      <c r="H128" s="622"/>
      <c r="I128" s="982"/>
      <c r="J128" s="622"/>
      <c r="K128" s="982">
        <v>1070.98</v>
      </c>
      <c r="L128" s="178"/>
    </row>
    <row r="129" spans="1:14" s="224" customFormat="1" ht="15" customHeight="1" x14ac:dyDescent="0.25">
      <c r="A129" s="215">
        <v>44376</v>
      </c>
      <c r="B129" s="882" t="s">
        <v>32</v>
      </c>
      <c r="C129" s="879" t="s">
        <v>12</v>
      </c>
      <c r="D129" s="879" t="s">
        <v>1485</v>
      </c>
      <c r="E129" s="875" t="s">
        <v>13</v>
      </c>
      <c r="F129" s="780">
        <v>16</v>
      </c>
      <c r="G129" s="982"/>
      <c r="H129" s="1008"/>
      <c r="I129" s="1063"/>
      <c r="J129" s="622"/>
      <c r="K129" s="982"/>
      <c r="L129" s="1029"/>
      <c r="M129" s="89"/>
      <c r="N129" s="930"/>
    </row>
    <row r="130" spans="1:14" s="224" customFormat="1" ht="15" customHeight="1" x14ac:dyDescent="0.25">
      <c r="A130" s="215">
        <v>44376</v>
      </c>
      <c r="B130" s="882" t="s">
        <v>2992</v>
      </c>
      <c r="C130" s="879" t="s">
        <v>12</v>
      </c>
      <c r="D130" s="879" t="s">
        <v>1491</v>
      </c>
      <c r="E130" s="875" t="s">
        <v>13</v>
      </c>
      <c r="F130" s="780">
        <v>30</v>
      </c>
      <c r="G130" s="982"/>
      <c r="H130" s="1008"/>
      <c r="I130" s="1063"/>
      <c r="J130" s="622"/>
      <c r="K130" s="982"/>
      <c r="L130" s="1029"/>
      <c r="M130" s="89"/>
      <c r="N130" s="1035"/>
    </row>
    <row r="131" spans="1:14" s="224" customFormat="1" ht="15" customHeight="1" x14ac:dyDescent="0.25">
      <c r="A131" s="215">
        <v>44376</v>
      </c>
      <c r="B131" s="882" t="s">
        <v>14</v>
      </c>
      <c r="C131" s="879" t="s">
        <v>12</v>
      </c>
      <c r="D131" s="879" t="s">
        <v>1486</v>
      </c>
      <c r="E131" s="875" t="s">
        <v>13</v>
      </c>
      <c r="F131" s="780">
        <v>3.42</v>
      </c>
      <c r="G131" s="982"/>
      <c r="H131" s="1008"/>
      <c r="I131" s="1063"/>
      <c r="J131" s="622"/>
      <c r="K131" s="982"/>
      <c r="L131" s="861"/>
      <c r="N131" s="1035"/>
    </row>
    <row r="132" spans="1:14" s="224" customFormat="1" ht="15" customHeight="1" x14ac:dyDescent="0.25">
      <c r="A132" s="215">
        <v>44377</v>
      </c>
      <c r="B132" s="364" t="s">
        <v>2993</v>
      </c>
      <c r="C132" s="350"/>
      <c r="D132" s="350"/>
      <c r="E132" s="875" t="s">
        <v>25</v>
      </c>
      <c r="F132" s="780"/>
      <c r="G132" s="982">
        <v>82.49</v>
      </c>
      <c r="H132" s="1008"/>
      <c r="I132" s="1063"/>
      <c r="J132" s="622"/>
      <c r="K132" s="982"/>
      <c r="L132" s="459"/>
    </row>
    <row r="133" spans="1:14" s="224" customFormat="1" ht="15" customHeight="1" x14ac:dyDescent="0.25">
      <c r="A133" s="215">
        <v>44377</v>
      </c>
      <c r="B133" s="862" t="s">
        <v>2919</v>
      </c>
      <c r="C133" s="879" t="s">
        <v>12</v>
      </c>
      <c r="D133" s="879" t="s">
        <v>1504</v>
      </c>
      <c r="E133" s="871" t="s">
        <v>13</v>
      </c>
      <c r="F133" s="622">
        <v>21.9</v>
      </c>
      <c r="G133" s="1034"/>
      <c r="H133" s="1008"/>
      <c r="I133" s="1063"/>
      <c r="J133" s="622"/>
      <c r="K133" s="982"/>
      <c r="L133" s="475"/>
      <c r="N133" s="878"/>
    </row>
    <row r="134" spans="1:14" s="224" customFormat="1" x14ac:dyDescent="0.25">
      <c r="A134" s="215">
        <v>44377</v>
      </c>
      <c r="B134" s="882" t="s">
        <v>32</v>
      </c>
      <c r="C134" s="879" t="s">
        <v>12</v>
      </c>
      <c r="D134" s="879" t="s">
        <v>1485</v>
      </c>
      <c r="E134" s="875" t="s">
        <v>13</v>
      </c>
      <c r="F134" s="780">
        <v>16</v>
      </c>
      <c r="G134" s="982"/>
      <c r="H134" s="1008"/>
      <c r="I134" s="1063"/>
      <c r="J134" s="622"/>
      <c r="K134" s="982"/>
      <c r="L134" s="1029"/>
      <c r="M134" s="89"/>
      <c r="N134" s="930"/>
    </row>
    <row r="135" spans="1:14" s="224" customFormat="1" x14ac:dyDescent="0.25">
      <c r="A135" s="215">
        <v>44377</v>
      </c>
      <c r="B135" s="882" t="s">
        <v>14</v>
      </c>
      <c r="C135" s="879" t="s">
        <v>12</v>
      </c>
      <c r="D135" s="879" t="s">
        <v>1486</v>
      </c>
      <c r="E135" s="875" t="s">
        <v>13</v>
      </c>
      <c r="F135" s="1047">
        <v>8.69</v>
      </c>
      <c r="G135" s="982"/>
      <c r="H135" s="1008"/>
      <c r="I135" s="1063"/>
      <c r="J135" s="622"/>
      <c r="K135" s="982"/>
      <c r="L135" s="1029"/>
      <c r="M135" s="89"/>
      <c r="N135" s="930"/>
    </row>
    <row r="136" spans="1:14" s="224" customFormat="1" x14ac:dyDescent="0.25">
      <c r="A136" s="215">
        <v>44377</v>
      </c>
      <c r="B136" s="882" t="s">
        <v>2994</v>
      </c>
      <c r="C136" s="879" t="s">
        <v>12</v>
      </c>
      <c r="D136" s="879" t="s">
        <v>1525</v>
      </c>
      <c r="E136" s="875" t="s">
        <v>13</v>
      </c>
      <c r="F136" s="1047">
        <v>5</v>
      </c>
      <c r="G136" s="982"/>
      <c r="H136" s="1008"/>
      <c r="I136" s="1063"/>
      <c r="J136" s="622"/>
      <c r="K136" s="982"/>
      <c r="L136" s="1029"/>
      <c r="M136" s="89"/>
      <c r="N136" s="930"/>
    </row>
    <row r="137" spans="1:14" s="224" customFormat="1" x14ac:dyDescent="0.25">
      <c r="A137" s="215">
        <v>44377</v>
      </c>
      <c r="B137" s="882" t="s">
        <v>2995</v>
      </c>
      <c r="C137" s="879" t="s">
        <v>12</v>
      </c>
      <c r="D137" s="879" t="s">
        <v>1506</v>
      </c>
      <c r="E137" s="875" t="s">
        <v>15</v>
      </c>
      <c r="F137" s="1047">
        <v>12</v>
      </c>
      <c r="G137" s="982"/>
      <c r="H137" s="1008"/>
      <c r="I137" s="1063"/>
      <c r="J137" s="622"/>
      <c r="K137" s="982"/>
      <c r="L137" s="1029"/>
      <c r="M137" s="89"/>
      <c r="N137" s="930"/>
    </row>
    <row r="138" spans="1:14" s="224" customFormat="1" ht="15.75" thickBot="1" x14ac:dyDescent="0.3">
      <c r="A138" s="215">
        <v>44377</v>
      </c>
      <c r="B138" s="862" t="s">
        <v>1666</v>
      </c>
      <c r="C138" s="350" t="s">
        <v>12</v>
      </c>
      <c r="D138" s="1003"/>
      <c r="E138" s="145" t="s">
        <v>25</v>
      </c>
      <c r="F138" s="1036"/>
      <c r="G138" s="1535"/>
      <c r="H138" s="1008"/>
      <c r="I138" s="1063"/>
      <c r="J138" s="622"/>
      <c r="K138" s="982">
        <v>34.409999999999997</v>
      </c>
      <c r="L138" s="861"/>
      <c r="N138" s="878"/>
    </row>
    <row r="139" spans="1:14" ht="25.5" customHeight="1" thickBot="1" x14ac:dyDescent="0.3">
      <c r="A139" s="3060"/>
      <c r="B139" s="3061"/>
      <c r="C139" s="3062"/>
      <c r="D139" s="3062"/>
      <c r="E139" s="3062"/>
      <c r="F139" s="1020">
        <f>SUM(F6:F138)</f>
        <v>5502.5899999999992</v>
      </c>
      <c r="G139" s="1534">
        <f>SUM(G5:G138)</f>
        <v>6113.1612500000165</v>
      </c>
      <c r="H139" s="517">
        <f>SUM(H6:H138)</f>
        <v>1980</v>
      </c>
      <c r="I139" s="93">
        <f>SUM(I5:I138)</f>
        <v>2979.9960000000028</v>
      </c>
      <c r="J139" s="1023">
        <f>SUM(J6:J138)</f>
        <v>0</v>
      </c>
      <c r="K139" s="93">
        <f>SUM(K5:K138)</f>
        <v>12258.399999999996</v>
      </c>
      <c r="L139" s="854"/>
      <c r="M139" s="881"/>
    </row>
    <row r="140" spans="1:14" ht="25.5" customHeight="1" thickBot="1" x14ac:dyDescent="0.3">
      <c r="A140" s="3117" t="s">
        <v>49</v>
      </c>
      <c r="B140" s="3118"/>
      <c r="C140" s="3118"/>
      <c r="D140" s="3118"/>
      <c r="E140" s="3118"/>
      <c r="F140" s="144" t="s">
        <v>280</v>
      </c>
      <c r="G140" s="519">
        <f>G139-F139</f>
        <v>610.57125000001724</v>
      </c>
      <c r="H140" s="555"/>
      <c r="I140" s="772">
        <f>I139-H139</f>
        <v>999.99600000000282</v>
      </c>
      <c r="J140" s="593"/>
      <c r="K140" s="772">
        <f>K139-J139</f>
        <v>12258.399999999996</v>
      </c>
      <c r="L140" s="854"/>
    </row>
    <row r="141" spans="1:14" x14ac:dyDescent="0.25">
      <c r="E141" s="79"/>
      <c r="K141" s="518"/>
      <c r="L141" s="216"/>
    </row>
    <row r="142" spans="1:14" x14ac:dyDescent="0.25">
      <c r="B142" s="81" t="s">
        <v>3</v>
      </c>
      <c r="C142" s="193" t="s">
        <v>1484</v>
      </c>
      <c r="D142" s="970" t="s">
        <v>2378</v>
      </c>
      <c r="G142" s="216"/>
      <c r="K142" s="866"/>
    </row>
    <row r="143" spans="1:14" x14ac:dyDescent="0.25">
      <c r="B143" s="79" t="s">
        <v>32</v>
      </c>
      <c r="C143" s="85" t="s">
        <v>1485</v>
      </c>
      <c r="D143" s="475">
        <f>SUMIF($D$7:$D$138,"A",$F$7:$F$138)</f>
        <v>304</v>
      </c>
      <c r="F143" s="79"/>
      <c r="G143" s="800"/>
      <c r="I143" s="769"/>
      <c r="J143" s="868"/>
    </row>
    <row r="144" spans="1:14" x14ac:dyDescent="0.25">
      <c r="B144" s="79" t="s">
        <v>2187</v>
      </c>
      <c r="C144" s="85" t="s">
        <v>2157</v>
      </c>
      <c r="D144" s="475">
        <f>SUMIF($D$7:$D$138,"GAC",$F$7:$F$138)</f>
        <v>465</v>
      </c>
      <c r="G144" s="609"/>
      <c r="J144" s="754"/>
      <c r="K144" s="886"/>
      <c r="L144" s="1030"/>
    </row>
    <row r="145" spans="1:14" x14ac:dyDescent="0.25">
      <c r="B145" s="79" t="s">
        <v>2188</v>
      </c>
      <c r="C145" s="85" t="s">
        <v>2168</v>
      </c>
      <c r="D145" s="475">
        <f>SUMIF($D$8:$D$138,"GAM",$F$8:$F$138)</f>
        <v>80</v>
      </c>
      <c r="J145" s="864"/>
      <c r="K145" s="864"/>
      <c r="L145" s="958"/>
    </row>
    <row r="146" spans="1:14" s="85" customFormat="1" x14ac:dyDescent="0.25">
      <c r="A146" s="79"/>
      <c r="B146" s="79" t="s">
        <v>50</v>
      </c>
      <c r="C146" s="85" t="s">
        <v>1493</v>
      </c>
      <c r="D146" s="475">
        <f>SUMIF($D$7:$D$138,"LD",$F$7:$F$138)</f>
        <v>248.04000000000002</v>
      </c>
      <c r="J146" s="864"/>
      <c r="K146" s="1032"/>
      <c r="L146" s="958"/>
      <c r="N146" s="877"/>
    </row>
    <row r="147" spans="1:14" s="85" customFormat="1" x14ac:dyDescent="0.25">
      <c r="A147" s="79"/>
      <c r="B147" s="79" t="s">
        <v>14</v>
      </c>
      <c r="C147" s="85" t="s">
        <v>1486</v>
      </c>
      <c r="D147" s="475">
        <f>SUMIF($D$7:$D$138,"C",$F$7:$F$138)</f>
        <v>120.03999999999998</v>
      </c>
      <c r="F147" s="89"/>
      <c r="G147" s="79"/>
      <c r="H147" s="79"/>
      <c r="J147" s="864"/>
      <c r="K147" s="1032"/>
      <c r="L147" s="958"/>
      <c r="N147" s="877"/>
    </row>
    <row r="148" spans="1:14" s="85" customFormat="1" x14ac:dyDescent="0.25">
      <c r="A148" s="79"/>
      <c r="B148" s="79" t="s">
        <v>51</v>
      </c>
      <c r="C148" s="864" t="s">
        <v>1499</v>
      </c>
      <c r="D148" s="475">
        <f>SUMIF($D$36:$D$138,"CAL",$F$36:$F$138)</f>
        <v>80.8</v>
      </c>
      <c r="F148" s="89"/>
      <c r="G148" s="79"/>
      <c r="H148" s="79"/>
      <c r="I148" s="79"/>
      <c r="K148" s="795"/>
      <c r="L148" s="958"/>
      <c r="N148" s="877"/>
    </row>
    <row r="149" spans="1:14" s="85" customFormat="1" x14ac:dyDescent="0.25">
      <c r="A149" s="79"/>
      <c r="B149" s="79" t="s">
        <v>2189</v>
      </c>
      <c r="C149" s="864" t="s">
        <v>1496</v>
      </c>
      <c r="D149" s="475">
        <f>SUMIF($D$13:$D$138,"AC",$F$13:$F$138)</f>
        <v>166</v>
      </c>
      <c r="F149" s="769"/>
      <c r="G149" s="79"/>
      <c r="K149" s="177"/>
      <c r="L149" s="941"/>
      <c r="N149" s="877"/>
    </row>
    <row r="150" spans="1:14" s="85" customFormat="1" x14ac:dyDescent="0.25">
      <c r="A150" s="79"/>
      <c r="B150" s="867" t="s">
        <v>53</v>
      </c>
      <c r="C150" s="864" t="s">
        <v>1522</v>
      </c>
      <c r="D150" s="475">
        <f>SUMIF($D$36:$D$138,"DC",$F$36:$F$138)</f>
        <v>150.08000000000001</v>
      </c>
      <c r="K150" s="177"/>
      <c r="L150" s="475"/>
      <c r="N150" s="877"/>
    </row>
    <row r="151" spans="1:14" s="85" customFormat="1" x14ac:dyDescent="0.25">
      <c r="A151" s="79"/>
      <c r="B151" s="867" t="s">
        <v>2149</v>
      </c>
      <c r="C151" s="864" t="s">
        <v>2131</v>
      </c>
      <c r="D151" s="475">
        <f>SUMIF($D$6:$D$138,"DM",$F$6:$F$138)</f>
        <v>110.80000000000001</v>
      </c>
      <c r="F151" s="769"/>
      <c r="K151" s="177" t="s">
        <v>280</v>
      </c>
      <c r="L151" s="475"/>
      <c r="N151" s="877"/>
    </row>
    <row r="152" spans="1:14" s="85" customFormat="1" x14ac:dyDescent="0.25">
      <c r="A152" s="79"/>
      <c r="B152" s="79" t="s">
        <v>2008</v>
      </c>
      <c r="C152" s="864" t="s">
        <v>1523</v>
      </c>
      <c r="D152" s="475">
        <f>SUMIF($D$8:$D$138,"B",$F$8:$F$138)</f>
        <v>311.5</v>
      </c>
      <c r="F152" s="769"/>
      <c r="G152" s="866"/>
      <c r="K152" s="177"/>
      <c r="L152" s="475"/>
      <c r="N152" s="877"/>
    </row>
    <row r="153" spans="1:14" s="85" customFormat="1" x14ac:dyDescent="0.25">
      <c r="A153" s="79"/>
      <c r="B153" s="79" t="s">
        <v>1686</v>
      </c>
      <c r="C153" s="864" t="s">
        <v>1506</v>
      </c>
      <c r="D153" s="475">
        <f>SUMIF($D$7:$D$138,"R",$F$7:$F$138)</f>
        <v>437.54</v>
      </c>
      <c r="F153" s="769"/>
      <c r="G153" s="868"/>
      <c r="K153" s="866"/>
      <c r="L153" s="475"/>
      <c r="N153" s="877"/>
    </row>
    <row r="154" spans="1:14" x14ac:dyDescent="0.25">
      <c r="B154" s="79" t="s">
        <v>418</v>
      </c>
      <c r="C154" s="85" t="s">
        <v>1524</v>
      </c>
      <c r="D154" s="475">
        <f>SUMIF($D$36:$D$138,"COM",$F$36:$F$138)</f>
        <v>22</v>
      </c>
      <c r="G154" s="85"/>
      <c r="H154" s="85"/>
      <c r="I154" s="85"/>
      <c r="J154" s="769"/>
      <c r="K154" s="216"/>
    </row>
    <row r="155" spans="1:14" x14ac:dyDescent="0.25">
      <c r="B155" s="79" t="s">
        <v>419</v>
      </c>
      <c r="C155" s="85" t="s">
        <v>1491</v>
      </c>
      <c r="D155" s="475">
        <f>SUMIF($D$8:$D$138,"F",$F$8:$F$138)</f>
        <v>705.5</v>
      </c>
      <c r="I155" s="85"/>
      <c r="K155" s="216"/>
    </row>
    <row r="156" spans="1:14" x14ac:dyDescent="0.25">
      <c r="B156" s="79" t="s">
        <v>911</v>
      </c>
      <c r="C156" s="85" t="s">
        <v>1525</v>
      </c>
      <c r="D156" s="475">
        <f>SUMIF($D$36:$D$138,"FER",$F$36:$F$138)</f>
        <v>49.45</v>
      </c>
      <c r="J156" s="769"/>
      <c r="K156" s="868"/>
    </row>
    <row r="157" spans="1:14" x14ac:dyDescent="0.25">
      <c r="B157" s="79" t="s">
        <v>1526</v>
      </c>
      <c r="C157" s="85" t="s">
        <v>1504</v>
      </c>
      <c r="D157" s="475">
        <f>SUMIF($D$36:$D$138,"I",$F$36:$F$138)</f>
        <v>111.9</v>
      </c>
      <c r="F157" s="89" t="s">
        <v>280</v>
      </c>
      <c r="J157" s="769"/>
      <c r="K157" s="868"/>
    </row>
    <row r="158" spans="1:14" x14ac:dyDescent="0.25">
      <c r="B158" s="79" t="s">
        <v>2343</v>
      </c>
      <c r="C158" s="85" t="s">
        <v>2315</v>
      </c>
      <c r="D158" s="475">
        <f>SUMIF($D$36:$D$138,"E",$F$36:$F$138)</f>
        <v>0</v>
      </c>
      <c r="J158" s="769"/>
      <c r="K158" s="868"/>
    </row>
    <row r="159" spans="1:14" x14ac:dyDescent="0.25">
      <c r="B159" s="79" t="s">
        <v>1527</v>
      </c>
      <c r="C159" s="85" t="s">
        <v>1489</v>
      </c>
      <c r="D159" s="475">
        <f>SUMIF($D$8:$D$138,"OD",$F$8:$F$138)</f>
        <v>388.96000000000004</v>
      </c>
      <c r="J159" s="769"/>
    </row>
    <row r="161" spans="1:18" x14ac:dyDescent="0.25">
      <c r="C161" s="79"/>
      <c r="D161" s="79"/>
      <c r="E161" s="79"/>
      <c r="F161" s="79"/>
      <c r="L161" s="79"/>
      <c r="N161" s="79"/>
    </row>
    <row r="162" spans="1:18" x14ac:dyDescent="0.25">
      <c r="B162" s="79" t="s">
        <v>486</v>
      </c>
      <c r="C162" s="475">
        <f>H162/J162</f>
        <v>125.05366666666666</v>
      </c>
      <c r="F162" s="459" t="s">
        <v>487</v>
      </c>
      <c r="H162" s="216">
        <f>SUM(D143:D159)</f>
        <v>3751.6099999999997</v>
      </c>
      <c r="J162" s="1517">
        <v>30</v>
      </c>
    </row>
    <row r="163" spans="1:18" ht="15.75" customHeight="1" x14ac:dyDescent="0.25">
      <c r="E163" s="769"/>
      <c r="H163" s="85"/>
      <c r="K163" s="868"/>
    </row>
    <row r="164" spans="1:18" x14ac:dyDescent="0.25">
      <c r="E164" s="79"/>
      <c r="F164" s="79"/>
      <c r="G164" s="85"/>
      <c r="H164" s="459"/>
      <c r="I164" s="85"/>
      <c r="J164" s="89"/>
      <c r="L164" s="769"/>
      <c r="M164" s="518" t="s">
        <v>280</v>
      </c>
      <c r="N164" s="79"/>
      <c r="O164" s="866"/>
      <c r="P164" s="484"/>
      <c r="R164" s="877"/>
    </row>
    <row r="165" spans="1:18" s="518" customFormat="1" x14ac:dyDescent="0.25">
      <c r="A165" s="79"/>
      <c r="B165" s="79"/>
      <c r="C165" s="85"/>
      <c r="D165" s="79"/>
      <c r="E165" s="79"/>
      <c r="F165" s="769"/>
      <c r="G165" s="85"/>
      <c r="H165" s="85"/>
      <c r="I165" s="89"/>
      <c r="J165" s="79"/>
      <c r="K165" s="79"/>
      <c r="L165" s="79"/>
      <c r="M165" s="79"/>
      <c r="N165" s="866"/>
      <c r="O165" s="484"/>
      <c r="P165" s="79"/>
      <c r="Q165" s="877"/>
      <c r="R165" s="79"/>
    </row>
    <row r="166" spans="1:18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8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8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216"/>
      <c r="J168" s="769"/>
      <c r="K168" s="866"/>
      <c r="L168" s="484"/>
      <c r="M168" s="79"/>
      <c r="N168" s="877"/>
      <c r="O168" s="79"/>
    </row>
    <row r="169" spans="1:18" s="518" customFormat="1" x14ac:dyDescent="0.25">
      <c r="A169" s="79"/>
      <c r="B169" s="79"/>
      <c r="C169" s="79"/>
      <c r="D169" s="79"/>
      <c r="E169" s="79"/>
      <c r="F169" s="79"/>
      <c r="G169" s="79"/>
      <c r="H169" s="79"/>
      <c r="K169" s="866"/>
      <c r="L169" s="484"/>
      <c r="M169" s="79"/>
      <c r="N169" s="877"/>
      <c r="O169" s="79"/>
    </row>
    <row r="170" spans="1:18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484"/>
      <c r="M170" s="79"/>
      <c r="N170" s="877"/>
      <c r="O170" s="79"/>
    </row>
    <row r="171" spans="1:18" s="518" customFormat="1" x14ac:dyDescent="0.25">
      <c r="A171" s="79"/>
      <c r="B171" s="79"/>
      <c r="C171" s="79"/>
      <c r="D171" s="79"/>
      <c r="E171" s="79"/>
      <c r="F171" s="79"/>
      <c r="G171" s="216"/>
      <c r="H171" s="79"/>
      <c r="I171" s="216"/>
      <c r="J171" s="769"/>
      <c r="K171" s="868"/>
      <c r="L171" s="484"/>
      <c r="M171" s="79"/>
      <c r="N171" s="877"/>
      <c r="O171" s="79"/>
    </row>
    <row r="172" spans="1:18" s="518" customFormat="1" x14ac:dyDescent="0.25">
      <c r="A172" s="79"/>
      <c r="B172" s="79"/>
      <c r="C172" s="79"/>
      <c r="D172" s="79"/>
      <c r="E172" s="79"/>
      <c r="F172" s="79"/>
      <c r="G172" s="216"/>
      <c r="H172" s="79"/>
      <c r="I172" s="216"/>
      <c r="J172" s="769"/>
      <c r="K172" s="866"/>
      <c r="L172" s="484"/>
      <c r="M172" s="79"/>
      <c r="N172" s="877"/>
      <c r="O172" s="79"/>
    </row>
    <row r="173" spans="1:18" s="518" customFormat="1" x14ac:dyDescent="0.25">
      <c r="A173" s="79"/>
      <c r="B173" s="79"/>
      <c r="C173" s="79"/>
      <c r="D173" s="79"/>
      <c r="E173" s="79"/>
      <c r="F173" s="79"/>
      <c r="G173" s="216"/>
      <c r="H173" s="79"/>
      <c r="I173" s="79"/>
      <c r="J173" s="770"/>
      <c r="K173" s="866"/>
      <c r="L173" s="484"/>
      <c r="M173" s="79"/>
      <c r="N173" s="877"/>
      <c r="O173" s="79"/>
    </row>
    <row r="174" spans="1:18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484"/>
      <c r="M174" s="79"/>
      <c r="N174" s="877"/>
      <c r="O174" s="79"/>
    </row>
    <row r="175" spans="1:18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  <c r="O175" s="79"/>
    </row>
    <row r="176" spans="1:18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62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6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69"/>
      <c r="K192" s="866"/>
      <c r="L192" s="484"/>
      <c r="M192" s="79"/>
      <c r="N192" s="877"/>
      <c r="O192" s="79"/>
    </row>
    <row r="193" spans="1:15" s="518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69"/>
      <c r="K193" s="868"/>
      <c r="L193" s="484"/>
      <c r="M193" s="79"/>
      <c r="N193" s="877"/>
      <c r="O193" s="79"/>
    </row>
    <row r="194" spans="1:15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J194" s="769"/>
      <c r="K194" s="866"/>
      <c r="L194" s="484"/>
      <c r="M194" s="79"/>
      <c r="N194" s="877"/>
      <c r="O194" s="79"/>
    </row>
    <row r="195" spans="1:15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866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8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8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69"/>
      <c r="K198" s="868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8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6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223"/>
      <c r="K201" s="62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56"/>
      <c r="K202" s="756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85"/>
      <c r="K207" s="85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85"/>
      <c r="K214" s="85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484"/>
      <c r="M217" s="79"/>
      <c r="N217" s="877"/>
      <c r="O217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71"/>
      <c r="L221" s="484"/>
      <c r="M221" s="79"/>
      <c r="N221" s="877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484"/>
      <c r="M222" s="79"/>
      <c r="N222" s="877"/>
      <c r="O222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629"/>
      <c r="L236" s="484"/>
      <c r="M236" s="79"/>
      <c r="N236" s="877"/>
      <c r="O236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  <row r="243" spans="1:15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  <c r="O243" s="79"/>
    </row>
    <row r="244" spans="1:15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  <c r="O244" s="79"/>
    </row>
    <row r="245" spans="1:15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  <c r="O245" s="79"/>
    </row>
    <row r="246" spans="1:15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  <c r="O246" s="79"/>
    </row>
    <row r="247" spans="1:15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484"/>
      <c r="M247" s="79"/>
      <c r="N247" s="877"/>
      <c r="O247" s="79"/>
    </row>
    <row r="248" spans="1:15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L248" s="484"/>
      <c r="M248" s="79"/>
      <c r="N248" s="877"/>
      <c r="O248" s="79"/>
    </row>
    <row r="249" spans="1:15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L249" s="484"/>
      <c r="M249" s="79"/>
      <c r="N249" s="877"/>
      <c r="O249" s="79"/>
    </row>
    <row r="250" spans="1:15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216"/>
      <c r="L250" s="484"/>
      <c r="M250" s="79"/>
      <c r="N250" s="877"/>
      <c r="O250" s="79"/>
    </row>
  </sheetData>
  <autoFilter ref="A2:I140" xr:uid="{00000000-0009-0000-0000-000071000000}"/>
  <mergeCells count="12">
    <mergeCell ref="A139:E139"/>
    <mergeCell ref="A140:E140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Plan129"/>
  <dimension ref="A1:R235"/>
  <sheetViews>
    <sheetView zoomScale="85" zoomScaleNormal="85" workbookViewId="0">
      <pane ySplit="4" topLeftCell="A101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13" style="484" customWidth="1"/>
    <col min="13" max="13" width="10.28515625" style="79" customWidth="1"/>
    <col min="14" max="14" width="12" style="877" customWidth="1"/>
    <col min="15" max="15" width="16.140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2996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44378</v>
      </c>
      <c r="B5" s="369" t="s">
        <v>10</v>
      </c>
      <c r="C5" s="370"/>
      <c r="D5" s="370"/>
      <c r="E5" s="777"/>
      <c r="F5" s="179"/>
      <c r="G5" s="933">
        <f>'Junho-21'!G140</f>
        <v>610.57125000001724</v>
      </c>
      <c r="H5" s="163"/>
      <c r="I5" s="1479">
        <f>'Junho-21'!I140</f>
        <v>999.99600000000282</v>
      </c>
      <c r="J5" s="179"/>
      <c r="K5" s="933">
        <f>'Junho-21'!K140</f>
        <v>12258.399999999996</v>
      </c>
    </row>
    <row r="6" spans="1:15" s="224" customFormat="1" x14ac:dyDescent="0.25">
      <c r="A6" s="215">
        <v>44378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44378</v>
      </c>
      <c r="B7" s="882" t="s">
        <v>2251</v>
      </c>
      <c r="C7" s="879" t="s">
        <v>12</v>
      </c>
      <c r="D7" s="879" t="s">
        <v>2157</v>
      </c>
      <c r="E7" s="875" t="s">
        <v>13</v>
      </c>
      <c r="F7" s="780">
        <v>60</v>
      </c>
      <c r="G7" s="982"/>
      <c r="H7" s="1008"/>
      <c r="I7" s="1063"/>
      <c r="J7" s="622"/>
      <c r="K7" s="982"/>
      <c r="L7" s="1029"/>
      <c r="M7" s="89"/>
      <c r="N7" s="1035"/>
    </row>
    <row r="8" spans="1:15" s="224" customFormat="1" ht="15" customHeight="1" x14ac:dyDescent="0.25">
      <c r="A8" s="215">
        <v>44378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16</v>
      </c>
      <c r="G8" s="982"/>
      <c r="H8" s="622"/>
      <c r="I8" s="982"/>
      <c r="J8" s="622"/>
      <c r="K8" s="982"/>
      <c r="L8" s="927"/>
      <c r="M8" s="927"/>
      <c r="N8" s="878"/>
    </row>
    <row r="9" spans="1:15" s="224" customFormat="1" ht="15" customHeight="1" x14ac:dyDescent="0.25">
      <c r="A9" s="215">
        <v>44378</v>
      </c>
      <c r="B9" s="882" t="s">
        <v>134</v>
      </c>
      <c r="C9" s="879" t="s">
        <v>12</v>
      </c>
      <c r="D9" s="879" t="s">
        <v>1493</v>
      </c>
      <c r="E9" s="875" t="s">
        <v>13</v>
      </c>
      <c r="F9" s="780">
        <v>24</v>
      </c>
      <c r="G9" s="982"/>
      <c r="H9" s="622"/>
      <c r="I9" s="982"/>
      <c r="J9" s="622"/>
      <c r="K9" s="982"/>
      <c r="L9" s="927"/>
      <c r="N9" s="878"/>
    </row>
    <row r="10" spans="1:15" s="224" customFormat="1" ht="15" customHeight="1" x14ac:dyDescent="0.25">
      <c r="A10" s="215">
        <v>44378</v>
      </c>
      <c r="B10" s="882" t="s">
        <v>14</v>
      </c>
      <c r="C10" s="879" t="s">
        <v>12</v>
      </c>
      <c r="D10" s="879" t="s">
        <v>1486</v>
      </c>
      <c r="E10" s="875" t="s">
        <v>13</v>
      </c>
      <c r="F10" s="780">
        <v>8</v>
      </c>
      <c r="G10" s="982"/>
      <c r="H10" s="622"/>
      <c r="I10" s="982"/>
      <c r="J10" s="622"/>
      <c r="K10" s="982"/>
      <c r="L10" s="927"/>
      <c r="N10" s="878"/>
    </row>
    <row r="11" spans="1:15" s="224" customFormat="1" ht="15" customHeight="1" x14ac:dyDescent="0.25">
      <c r="A11" s="215">
        <v>44379</v>
      </c>
      <c r="B11" s="882" t="s">
        <v>32</v>
      </c>
      <c r="C11" s="879" t="s">
        <v>12</v>
      </c>
      <c r="D11" s="879" t="s">
        <v>1485</v>
      </c>
      <c r="E11" s="875" t="s">
        <v>13</v>
      </c>
      <c r="F11" s="780">
        <v>16</v>
      </c>
      <c r="G11" s="982"/>
      <c r="H11" s="622"/>
      <c r="I11" s="982"/>
      <c r="J11" s="622"/>
      <c r="K11" s="982"/>
      <c r="L11" s="927"/>
      <c r="M11" s="927"/>
      <c r="N11" s="878"/>
    </row>
    <row r="12" spans="1:15" s="224" customFormat="1" ht="15" customHeight="1" x14ac:dyDescent="0.25">
      <c r="A12" s="215">
        <v>44379</v>
      </c>
      <c r="B12" s="882" t="s">
        <v>478</v>
      </c>
      <c r="C12" s="879" t="s">
        <v>12</v>
      </c>
      <c r="D12" s="879" t="s">
        <v>1493</v>
      </c>
      <c r="E12" s="875" t="s">
        <v>13</v>
      </c>
      <c r="F12" s="780">
        <v>15.73</v>
      </c>
      <c r="G12" s="982"/>
      <c r="H12" s="1008"/>
      <c r="I12" s="1063"/>
      <c r="J12" s="622"/>
      <c r="K12" s="982"/>
      <c r="L12" s="861"/>
      <c r="N12" s="878"/>
    </row>
    <row r="13" spans="1:15" s="224" customFormat="1" ht="15" customHeight="1" x14ac:dyDescent="0.25">
      <c r="A13" s="215">
        <v>44379</v>
      </c>
      <c r="B13" s="882" t="s">
        <v>2997</v>
      </c>
      <c r="C13" s="879" t="s">
        <v>12</v>
      </c>
      <c r="D13" s="879" t="s">
        <v>1491</v>
      </c>
      <c r="E13" s="875" t="s">
        <v>13</v>
      </c>
      <c r="F13" s="780">
        <v>80.09</v>
      </c>
      <c r="G13" s="982"/>
      <c r="H13" s="622"/>
      <c r="I13" s="982"/>
      <c r="J13" s="622"/>
      <c r="K13" s="982"/>
      <c r="L13" s="927"/>
      <c r="N13" s="878"/>
    </row>
    <row r="14" spans="1:15" s="224" customFormat="1" ht="15" customHeight="1" x14ac:dyDescent="0.25">
      <c r="A14" s="215">
        <v>44379</v>
      </c>
      <c r="B14" s="882" t="s">
        <v>14</v>
      </c>
      <c r="C14" s="879" t="s">
        <v>12</v>
      </c>
      <c r="D14" s="879" t="s">
        <v>1486</v>
      </c>
      <c r="E14" s="875" t="s">
        <v>13</v>
      </c>
      <c r="F14" s="780">
        <v>8.5</v>
      </c>
      <c r="G14" s="982"/>
      <c r="H14" s="622"/>
      <c r="I14" s="982"/>
      <c r="J14" s="622"/>
      <c r="K14" s="982"/>
      <c r="L14" s="927"/>
      <c r="N14" s="878"/>
    </row>
    <row r="15" spans="1:15" s="224" customFormat="1" ht="15" customHeight="1" x14ac:dyDescent="0.25">
      <c r="A15" s="215">
        <v>44380</v>
      </c>
      <c r="B15" s="873" t="s">
        <v>2096</v>
      </c>
      <c r="C15" s="879" t="s">
        <v>12</v>
      </c>
      <c r="D15" s="879" t="s">
        <v>1506</v>
      </c>
      <c r="E15" s="871" t="s">
        <v>13</v>
      </c>
      <c r="F15" s="780">
        <v>50</v>
      </c>
      <c r="G15" s="946"/>
      <c r="H15" s="95"/>
      <c r="I15" s="1064"/>
      <c r="J15" s="97"/>
      <c r="K15" s="946"/>
      <c r="L15" s="926"/>
      <c r="M15" s="89"/>
      <c r="N15" s="930"/>
    </row>
    <row r="16" spans="1:15" s="224" customFormat="1" ht="15" customHeight="1" x14ac:dyDescent="0.25">
      <c r="A16" s="215">
        <v>44380</v>
      </c>
      <c r="B16" s="882" t="s">
        <v>2197</v>
      </c>
      <c r="C16" s="879" t="s">
        <v>12</v>
      </c>
      <c r="D16" s="879" t="s">
        <v>2168</v>
      </c>
      <c r="E16" s="875" t="s">
        <v>13</v>
      </c>
      <c r="F16" s="780">
        <v>30</v>
      </c>
      <c r="G16" s="982"/>
      <c r="H16" s="622"/>
      <c r="I16" s="982"/>
      <c r="J16" s="622"/>
      <c r="K16" s="982"/>
      <c r="L16" s="927"/>
      <c r="N16" s="878"/>
    </row>
    <row r="17" spans="1:14" s="224" customFormat="1" ht="15" customHeight="1" x14ac:dyDescent="0.25">
      <c r="A17" s="215">
        <v>44380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16</v>
      </c>
      <c r="G17" s="982"/>
      <c r="H17" s="622"/>
      <c r="I17" s="982"/>
      <c r="J17" s="622"/>
      <c r="K17" s="982"/>
      <c r="L17" s="927"/>
      <c r="M17" s="927"/>
      <c r="N17" s="878"/>
    </row>
    <row r="18" spans="1:14" s="224" customFormat="1" ht="15" customHeight="1" x14ac:dyDescent="0.25">
      <c r="A18" s="215">
        <v>44380</v>
      </c>
      <c r="B18" s="882" t="s">
        <v>82</v>
      </c>
      <c r="C18" s="879" t="s">
        <v>12</v>
      </c>
      <c r="D18" s="879" t="s">
        <v>1493</v>
      </c>
      <c r="E18" s="875" t="s">
        <v>13</v>
      </c>
      <c r="F18" s="780">
        <v>30</v>
      </c>
      <c r="G18" s="982"/>
      <c r="H18" s="1008"/>
      <c r="I18" s="1063"/>
      <c r="J18" s="622"/>
      <c r="K18" s="982"/>
      <c r="L18" s="861"/>
      <c r="N18" s="878"/>
    </row>
    <row r="19" spans="1:14" s="224" customFormat="1" ht="15" customHeight="1" x14ac:dyDescent="0.25">
      <c r="A19" s="215">
        <v>44381</v>
      </c>
      <c r="B19" s="364" t="s">
        <v>1056</v>
      </c>
      <c r="C19" s="350" t="s">
        <v>12</v>
      </c>
      <c r="D19" s="350" t="s">
        <v>1523</v>
      </c>
      <c r="E19" s="875" t="s">
        <v>13</v>
      </c>
      <c r="F19" s="780">
        <v>5</v>
      </c>
      <c r="G19" s="982"/>
      <c r="H19" s="1008"/>
      <c r="I19" s="1063"/>
      <c r="J19" s="622"/>
      <c r="K19" s="982"/>
      <c r="L19" s="861"/>
      <c r="N19" s="878"/>
    </row>
    <row r="20" spans="1:14" s="224" customFormat="1" ht="15" customHeight="1" x14ac:dyDescent="0.25">
      <c r="A20" s="215">
        <v>44381</v>
      </c>
      <c r="B20" s="882" t="s">
        <v>2998</v>
      </c>
      <c r="C20" s="879" t="s">
        <v>12</v>
      </c>
      <c r="D20" s="879" t="s">
        <v>1485</v>
      </c>
      <c r="E20" s="875" t="s">
        <v>13</v>
      </c>
      <c r="F20" s="780">
        <v>26.9</v>
      </c>
      <c r="G20" s="982"/>
      <c r="H20" s="1008"/>
      <c r="I20" s="1063"/>
      <c r="J20" s="622"/>
      <c r="K20" s="982"/>
      <c r="L20" s="1029"/>
      <c r="M20" s="89"/>
      <c r="N20" s="1035"/>
    </row>
    <row r="21" spans="1:14" s="224" customFormat="1" ht="15" customHeight="1" x14ac:dyDescent="0.25">
      <c r="A21" s="215">
        <v>44381</v>
      </c>
      <c r="B21" s="882" t="s">
        <v>2007</v>
      </c>
      <c r="C21" s="879" t="s">
        <v>12</v>
      </c>
      <c r="D21" s="879" t="s">
        <v>1493</v>
      </c>
      <c r="E21" s="875" t="s">
        <v>13</v>
      </c>
      <c r="F21" s="780">
        <v>31.7</v>
      </c>
      <c r="G21" s="982"/>
      <c r="H21" s="1008"/>
      <c r="I21" s="1063"/>
      <c r="J21" s="622"/>
      <c r="K21" s="982"/>
      <c r="L21" s="1029"/>
      <c r="M21" s="89"/>
      <c r="N21" s="1035"/>
    </row>
    <row r="22" spans="1:14" s="224" customFormat="1" ht="15" customHeight="1" x14ac:dyDescent="0.25">
      <c r="A22" s="215">
        <v>44382</v>
      </c>
      <c r="B22" s="882" t="s">
        <v>32</v>
      </c>
      <c r="C22" s="879" t="s">
        <v>12</v>
      </c>
      <c r="D22" s="879" t="s">
        <v>1485</v>
      </c>
      <c r="E22" s="875" t="s">
        <v>13</v>
      </c>
      <c r="F22" s="780">
        <v>8</v>
      </c>
      <c r="G22" s="982"/>
      <c r="H22" s="622"/>
      <c r="I22" s="982"/>
      <c r="J22" s="622"/>
      <c r="K22" s="982"/>
      <c r="L22" s="927"/>
      <c r="M22" s="927"/>
      <c r="N22" s="878"/>
    </row>
    <row r="23" spans="1:14" s="224" customFormat="1" ht="15" customHeight="1" x14ac:dyDescent="0.25">
      <c r="A23" s="215">
        <v>44382</v>
      </c>
      <c r="B23" s="882" t="s">
        <v>2251</v>
      </c>
      <c r="C23" s="879" t="s">
        <v>12</v>
      </c>
      <c r="D23" s="879" t="s">
        <v>2157</v>
      </c>
      <c r="E23" s="875" t="s">
        <v>15</v>
      </c>
      <c r="F23" s="780">
        <v>40</v>
      </c>
      <c r="G23" s="982"/>
      <c r="H23" s="1008"/>
      <c r="I23" s="1063"/>
      <c r="J23" s="622"/>
      <c r="K23" s="982"/>
      <c r="L23" s="1029"/>
      <c r="M23" s="89"/>
      <c r="N23" s="1035"/>
    </row>
    <row r="24" spans="1:14" s="224" customFormat="1" ht="15" customHeight="1" x14ac:dyDescent="0.25">
      <c r="A24" s="215">
        <v>44382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5.52</v>
      </c>
      <c r="G24" s="982"/>
      <c r="H24" s="1060"/>
      <c r="I24" s="1063"/>
      <c r="J24" s="622"/>
      <c r="K24" s="982"/>
      <c r="L24" s="861"/>
      <c r="N24" s="878"/>
    </row>
    <row r="25" spans="1:14" s="224" customFormat="1" ht="15" customHeight="1" x14ac:dyDescent="0.25">
      <c r="A25" s="215">
        <v>44383</v>
      </c>
      <c r="B25" s="882" t="s">
        <v>32</v>
      </c>
      <c r="C25" s="879" t="s">
        <v>12</v>
      </c>
      <c r="D25" s="879" t="s">
        <v>1485</v>
      </c>
      <c r="E25" s="875" t="s">
        <v>13</v>
      </c>
      <c r="F25" s="780">
        <v>16</v>
      </c>
      <c r="G25" s="982"/>
      <c r="H25" s="622"/>
      <c r="I25" s="982"/>
      <c r="J25" s="622"/>
      <c r="K25" s="982"/>
      <c r="L25" s="927"/>
      <c r="M25" s="927"/>
      <c r="N25" s="878"/>
    </row>
    <row r="26" spans="1:14" s="224" customFormat="1" ht="15.75" customHeight="1" x14ac:dyDescent="0.25">
      <c r="A26" s="215">
        <v>44383</v>
      </c>
      <c r="B26" s="873" t="s">
        <v>2999</v>
      </c>
      <c r="C26" s="879" t="s">
        <v>12</v>
      </c>
      <c r="D26" s="874"/>
      <c r="E26" s="871" t="s">
        <v>25</v>
      </c>
      <c r="F26" s="1514"/>
      <c r="G26" s="1002">
        <v>2006.3</v>
      </c>
      <c r="H26" s="250"/>
      <c r="I26" s="946"/>
      <c r="J26" s="97"/>
      <c r="K26" s="946"/>
    </row>
    <row r="27" spans="1:14" s="224" customFormat="1" ht="15" customHeight="1" x14ac:dyDescent="0.25">
      <c r="A27" s="215">
        <v>44383</v>
      </c>
      <c r="B27" s="349" t="s">
        <v>3000</v>
      </c>
      <c r="C27" s="887" t="s">
        <v>12</v>
      </c>
      <c r="D27" s="1005" t="s">
        <v>1489</v>
      </c>
      <c r="E27" s="887" t="s">
        <v>13</v>
      </c>
      <c r="F27" s="613">
        <v>100.81</v>
      </c>
      <c r="G27" s="982"/>
      <c r="H27" s="861"/>
      <c r="I27" s="1063"/>
      <c r="J27" s="622"/>
      <c r="K27" s="982"/>
      <c r="L27" s="927"/>
      <c r="M27" s="999"/>
      <c r="N27" s="878"/>
    </row>
    <row r="28" spans="1:14" s="224" customFormat="1" ht="15" customHeight="1" x14ac:dyDescent="0.25">
      <c r="A28" s="215">
        <v>44383</v>
      </c>
      <c r="B28" s="349" t="s">
        <v>3000</v>
      </c>
      <c r="C28" s="887" t="s">
        <v>12</v>
      </c>
      <c r="D28" s="1005" t="s">
        <v>1506</v>
      </c>
      <c r="E28" s="887" t="s">
        <v>13</v>
      </c>
      <c r="F28" s="613">
        <v>42.373333333333335</v>
      </c>
      <c r="G28" s="982"/>
      <c r="H28" s="1008"/>
      <c r="I28" s="1063"/>
      <c r="J28" s="622"/>
      <c r="K28" s="982"/>
      <c r="L28" s="1029"/>
      <c r="M28" s="999"/>
      <c r="N28" s="1035"/>
    </row>
    <row r="29" spans="1:14" s="224" customFormat="1" ht="15" customHeight="1" x14ac:dyDescent="0.25">
      <c r="A29" s="215">
        <v>44383</v>
      </c>
      <c r="B29" s="349" t="s">
        <v>3000</v>
      </c>
      <c r="C29" s="887" t="s">
        <v>12</v>
      </c>
      <c r="D29" s="1005" t="s">
        <v>1525</v>
      </c>
      <c r="E29" s="887" t="s">
        <v>13</v>
      </c>
      <c r="F29" s="613">
        <v>44.45</v>
      </c>
      <c r="G29" s="982"/>
      <c r="H29" s="861"/>
      <c r="I29" s="1063"/>
      <c r="J29" s="622"/>
      <c r="K29" s="982"/>
      <c r="L29" s="927"/>
      <c r="M29" s="999"/>
      <c r="N29" s="878"/>
    </row>
    <row r="30" spans="1:14" s="224" customFormat="1" ht="15" customHeight="1" x14ac:dyDescent="0.25">
      <c r="A30" s="215">
        <v>44383</v>
      </c>
      <c r="B30" s="349" t="s">
        <v>3000</v>
      </c>
      <c r="C30" s="887" t="s">
        <v>12</v>
      </c>
      <c r="D30" s="1005" t="s">
        <v>1506</v>
      </c>
      <c r="E30" s="887" t="s">
        <v>13</v>
      </c>
      <c r="F30" s="613">
        <v>71.666666666666671</v>
      </c>
      <c r="G30" s="982"/>
      <c r="H30" s="1008"/>
      <c r="I30" s="1063"/>
      <c r="J30" s="622"/>
      <c r="K30" s="982"/>
      <c r="L30" s="1029"/>
      <c r="M30" s="999"/>
      <c r="N30" s="1035"/>
    </row>
    <row r="31" spans="1:14" s="224" customFormat="1" ht="15" customHeight="1" x14ac:dyDescent="0.25">
      <c r="A31" s="215">
        <v>44383</v>
      </c>
      <c r="B31" s="349" t="s">
        <v>3000</v>
      </c>
      <c r="C31" s="887" t="s">
        <v>12</v>
      </c>
      <c r="D31" s="1005" t="s">
        <v>1506</v>
      </c>
      <c r="E31" s="887" t="s">
        <v>13</v>
      </c>
      <c r="F31" s="613">
        <v>50</v>
      </c>
      <c r="G31" s="982"/>
      <c r="H31" s="1008"/>
      <c r="I31" s="1063"/>
      <c r="J31" s="622"/>
      <c r="K31" s="982"/>
      <c r="L31" s="861"/>
      <c r="N31" s="1035"/>
    </row>
    <row r="32" spans="1:14" s="224" customFormat="1" ht="15" customHeight="1" x14ac:dyDescent="0.25">
      <c r="A32" s="215">
        <v>44383</v>
      </c>
      <c r="B32" s="349" t="s">
        <v>3000</v>
      </c>
      <c r="C32" s="887" t="s">
        <v>12</v>
      </c>
      <c r="D32" s="1005" t="s">
        <v>1491</v>
      </c>
      <c r="E32" s="887" t="s">
        <v>13</v>
      </c>
      <c r="F32" s="613">
        <v>62.07</v>
      </c>
      <c r="G32" s="982"/>
      <c r="H32" s="1008"/>
      <c r="I32" s="1063"/>
      <c r="J32" s="622"/>
      <c r="K32" s="982"/>
      <c r="L32" s="1051"/>
      <c r="M32" s="1029"/>
      <c r="N32" s="878"/>
    </row>
    <row r="33" spans="1:14" s="224" customFormat="1" ht="15" customHeight="1" x14ac:dyDescent="0.25">
      <c r="A33" s="215">
        <v>44383</v>
      </c>
      <c r="B33" s="349" t="s">
        <v>3001</v>
      </c>
      <c r="C33" s="887" t="s">
        <v>19</v>
      </c>
      <c r="D33" s="1005" t="s">
        <v>1506</v>
      </c>
      <c r="E33" s="887" t="s">
        <v>13</v>
      </c>
      <c r="F33" s="613">
        <v>29.25</v>
      </c>
      <c r="G33" s="967"/>
      <c r="H33" s="1008"/>
      <c r="I33" s="1063"/>
      <c r="J33" s="622"/>
      <c r="K33" s="982"/>
      <c r="L33" s="861"/>
      <c r="N33" s="878"/>
    </row>
    <row r="34" spans="1:14" s="224" customFormat="1" ht="15" customHeight="1" x14ac:dyDescent="0.25">
      <c r="A34" s="215">
        <v>44383</v>
      </c>
      <c r="B34" s="349" t="s">
        <v>3002</v>
      </c>
      <c r="C34" s="887" t="s">
        <v>19</v>
      </c>
      <c r="D34" s="1005" t="s">
        <v>1506</v>
      </c>
      <c r="E34" s="887" t="s">
        <v>13</v>
      </c>
      <c r="F34" s="613">
        <v>31.5</v>
      </c>
      <c r="G34" s="982"/>
      <c r="H34" s="1008"/>
      <c r="I34" s="1063"/>
      <c r="J34" s="622"/>
      <c r="K34" s="982"/>
      <c r="L34" s="861"/>
      <c r="N34" s="1035"/>
    </row>
    <row r="35" spans="1:14" s="224" customFormat="1" ht="15" customHeight="1" x14ac:dyDescent="0.25">
      <c r="A35" s="215">
        <v>44383</v>
      </c>
      <c r="B35" s="349" t="s">
        <v>3003</v>
      </c>
      <c r="C35" s="887" t="s">
        <v>19</v>
      </c>
      <c r="D35" s="1005" t="s">
        <v>1506</v>
      </c>
      <c r="E35" s="887" t="s">
        <v>13</v>
      </c>
      <c r="F35" s="613">
        <v>24.75</v>
      </c>
      <c r="G35" s="967"/>
      <c r="H35" s="1008"/>
      <c r="I35" s="1063"/>
      <c r="J35" s="622"/>
      <c r="K35" s="982"/>
      <c r="L35" s="861"/>
      <c r="N35" s="878"/>
    </row>
    <row r="36" spans="1:14" s="224" customFormat="1" ht="15" customHeight="1" x14ac:dyDescent="0.25">
      <c r="A36" s="215">
        <v>44383</v>
      </c>
      <c r="B36" s="349" t="s">
        <v>3004</v>
      </c>
      <c r="C36" s="887" t="s">
        <v>19</v>
      </c>
      <c r="D36" s="1005" t="s">
        <v>1506</v>
      </c>
      <c r="E36" s="887" t="s">
        <v>13</v>
      </c>
      <c r="F36" s="613">
        <v>24.75</v>
      </c>
      <c r="G36" s="982"/>
      <c r="H36" s="1008"/>
      <c r="I36" s="1063"/>
      <c r="J36" s="622"/>
      <c r="K36" s="982"/>
      <c r="L36" s="861"/>
      <c r="N36" s="1035"/>
    </row>
    <row r="37" spans="1:14" s="224" customFormat="1" ht="15" customHeight="1" x14ac:dyDescent="0.25">
      <c r="A37" s="215">
        <v>44383</v>
      </c>
      <c r="B37" s="862" t="s">
        <v>2385</v>
      </c>
      <c r="C37" s="879" t="s">
        <v>12</v>
      </c>
      <c r="D37" s="879" t="s">
        <v>1504</v>
      </c>
      <c r="E37" s="871" t="s">
        <v>13</v>
      </c>
      <c r="F37" s="780">
        <v>50</v>
      </c>
      <c r="G37" s="982"/>
      <c r="H37" s="1008"/>
      <c r="I37" s="1063"/>
      <c r="J37" s="622"/>
      <c r="K37" s="982"/>
      <c r="L37" s="1028">
        <v>90</v>
      </c>
      <c r="M37" s="999"/>
      <c r="N37" s="1035"/>
    </row>
    <row r="38" spans="1:14" s="224" customFormat="1" ht="15" customHeight="1" x14ac:dyDescent="0.25">
      <c r="A38" s="215">
        <v>44383</v>
      </c>
      <c r="B38" s="882" t="s">
        <v>3005</v>
      </c>
      <c r="C38" s="879" t="s">
        <v>12</v>
      </c>
      <c r="D38" s="879" t="s">
        <v>1499</v>
      </c>
      <c r="E38" s="871" t="s">
        <v>13</v>
      </c>
      <c r="F38" s="780">
        <v>57.63</v>
      </c>
      <c r="G38" s="982"/>
      <c r="H38" s="1008"/>
      <c r="I38" s="1063"/>
      <c r="J38" s="622"/>
      <c r="K38" s="982"/>
      <c r="L38" s="1028">
        <v>157.63</v>
      </c>
      <c r="M38" s="999"/>
      <c r="N38" s="878"/>
    </row>
    <row r="39" spans="1:14" s="224" customFormat="1" ht="15" customHeight="1" x14ac:dyDescent="0.25">
      <c r="A39" s="215">
        <v>44383</v>
      </c>
      <c r="B39" s="364" t="s">
        <v>2977</v>
      </c>
      <c r="C39" s="350" t="s">
        <v>12</v>
      </c>
      <c r="D39" s="350" t="s">
        <v>1491</v>
      </c>
      <c r="E39" s="875" t="s">
        <v>13</v>
      </c>
      <c r="F39" s="1047">
        <v>250</v>
      </c>
      <c r="G39" s="982"/>
      <c r="H39" s="1008"/>
      <c r="I39" s="1063"/>
      <c r="J39" s="622"/>
      <c r="K39" s="982"/>
      <c r="L39" s="861">
        <v>300</v>
      </c>
      <c r="N39" s="1035"/>
    </row>
    <row r="40" spans="1:14" x14ac:dyDescent="0.25">
      <c r="A40" s="215">
        <v>44383</v>
      </c>
      <c r="B40" s="876" t="s">
        <v>2712</v>
      </c>
      <c r="C40" s="879" t="s">
        <v>12</v>
      </c>
      <c r="D40" s="879" t="s">
        <v>1496</v>
      </c>
      <c r="E40" s="871" t="s">
        <v>13</v>
      </c>
      <c r="F40" s="780">
        <v>70</v>
      </c>
      <c r="G40" s="982"/>
      <c r="H40" s="1009"/>
      <c r="I40" s="1063"/>
      <c r="J40" s="622"/>
      <c r="K40" s="982"/>
      <c r="L40" s="1029"/>
    </row>
    <row r="41" spans="1:14" s="224" customFormat="1" ht="15" customHeight="1" x14ac:dyDescent="0.25">
      <c r="A41" s="215">
        <v>44383</v>
      </c>
      <c r="B41" s="882" t="s">
        <v>14</v>
      </c>
      <c r="C41" s="879" t="s">
        <v>12</v>
      </c>
      <c r="D41" s="879" t="s">
        <v>1486</v>
      </c>
      <c r="E41" s="875" t="s">
        <v>13</v>
      </c>
      <c r="F41" s="780">
        <v>10</v>
      </c>
      <c r="G41" s="982"/>
      <c r="H41" s="1008"/>
      <c r="I41" s="1063"/>
      <c r="J41" s="622"/>
      <c r="K41" s="982"/>
      <c r="L41" s="1029"/>
      <c r="M41" s="89"/>
      <c r="N41" s="1035"/>
    </row>
    <row r="42" spans="1:14" s="224" customFormat="1" ht="15" customHeight="1" x14ac:dyDescent="0.25">
      <c r="A42" s="215">
        <v>44384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16</v>
      </c>
      <c r="G42" s="982"/>
      <c r="H42" s="622"/>
      <c r="I42" s="982"/>
      <c r="J42" s="622"/>
      <c r="K42" s="982"/>
      <c r="L42" s="927"/>
      <c r="M42" s="927"/>
      <c r="N42" s="878"/>
    </row>
    <row r="43" spans="1:14" s="224" customFormat="1" ht="15" customHeight="1" x14ac:dyDescent="0.25">
      <c r="A43" s="215">
        <v>44384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9.64</v>
      </c>
      <c r="G43" s="982"/>
      <c r="H43" s="1008"/>
      <c r="I43" s="1063"/>
      <c r="J43" s="622"/>
      <c r="K43" s="982"/>
      <c r="L43" s="1029"/>
      <c r="M43" s="89"/>
      <c r="N43" s="1035"/>
    </row>
    <row r="44" spans="1:14" s="224" customFormat="1" ht="15" customHeight="1" x14ac:dyDescent="0.25">
      <c r="A44" s="215">
        <v>44384</v>
      </c>
      <c r="B44" s="882" t="s">
        <v>2251</v>
      </c>
      <c r="C44" s="879" t="s">
        <v>12</v>
      </c>
      <c r="D44" s="879" t="s">
        <v>2157</v>
      </c>
      <c r="E44" s="875" t="s">
        <v>15</v>
      </c>
      <c r="F44" s="780">
        <v>30</v>
      </c>
      <c r="G44" s="982"/>
      <c r="H44" s="1008"/>
      <c r="I44" s="1063"/>
      <c r="J44" s="622"/>
      <c r="K44" s="982"/>
      <c r="L44" s="861"/>
      <c r="N44" s="878"/>
    </row>
    <row r="45" spans="1:14" s="224" customFormat="1" ht="15" customHeight="1" x14ac:dyDescent="0.25">
      <c r="A45" s="215">
        <v>44385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16</v>
      </c>
      <c r="G45" s="982"/>
      <c r="H45" s="1008"/>
      <c r="I45" s="1063"/>
      <c r="J45" s="622"/>
      <c r="K45" s="982"/>
      <c r="L45" s="861"/>
      <c r="N45" s="1035"/>
    </row>
    <row r="46" spans="1:14" s="224" customFormat="1" ht="15" customHeight="1" x14ac:dyDescent="0.25">
      <c r="A46" s="215">
        <v>44385</v>
      </c>
      <c r="B46" s="882" t="s">
        <v>2415</v>
      </c>
      <c r="C46" s="879" t="s">
        <v>12</v>
      </c>
      <c r="D46" s="879" t="s">
        <v>1493</v>
      </c>
      <c r="E46" s="875" t="s">
        <v>13</v>
      </c>
      <c r="F46" s="780">
        <v>6</v>
      </c>
      <c r="G46" s="982"/>
      <c r="H46" s="1008"/>
      <c r="I46" s="1063"/>
      <c r="J46" s="622"/>
      <c r="K46" s="982"/>
      <c r="L46" s="1029"/>
      <c r="M46" s="89"/>
      <c r="N46" s="1035"/>
    </row>
    <row r="47" spans="1:14" s="224" customFormat="1" ht="15" customHeight="1" x14ac:dyDescent="0.25">
      <c r="A47" s="215">
        <v>44385</v>
      </c>
      <c r="B47" s="349" t="s">
        <v>260</v>
      </c>
      <c r="C47" s="350" t="s">
        <v>12</v>
      </c>
      <c r="D47" s="350"/>
      <c r="E47" s="480"/>
      <c r="F47" s="780">
        <v>200</v>
      </c>
      <c r="G47" s="946"/>
      <c r="H47" s="95"/>
      <c r="I47" s="1064">
        <v>200</v>
      </c>
      <c r="J47" s="622"/>
      <c r="K47" s="982"/>
      <c r="L47" s="861"/>
    </row>
    <row r="48" spans="1:14" s="224" customFormat="1" ht="15" customHeight="1" x14ac:dyDescent="0.25">
      <c r="A48" s="215">
        <v>44385</v>
      </c>
      <c r="B48" s="882" t="s">
        <v>14</v>
      </c>
      <c r="C48" s="879" t="s">
        <v>12</v>
      </c>
      <c r="D48" s="879" t="s">
        <v>1486</v>
      </c>
      <c r="E48" s="875" t="s">
        <v>13</v>
      </c>
      <c r="F48" s="780">
        <v>7</v>
      </c>
      <c r="G48" s="946"/>
      <c r="H48" s="95"/>
      <c r="I48" s="1064"/>
      <c r="J48" s="622"/>
      <c r="K48" s="982"/>
      <c r="L48" s="861"/>
    </row>
    <row r="49" spans="1:14" s="224" customFormat="1" ht="15" customHeight="1" x14ac:dyDescent="0.25">
      <c r="A49" s="215">
        <v>44386</v>
      </c>
      <c r="B49" s="882" t="s">
        <v>134</v>
      </c>
      <c r="C49" s="879" t="s">
        <v>12</v>
      </c>
      <c r="D49" s="879" t="s">
        <v>1493</v>
      </c>
      <c r="E49" s="875" t="s">
        <v>13</v>
      </c>
      <c r="F49" s="780">
        <v>12</v>
      </c>
      <c r="G49" s="982"/>
      <c r="H49" s="1008"/>
      <c r="I49" s="1063"/>
      <c r="J49" s="622"/>
      <c r="K49" s="982"/>
      <c r="L49" s="1029"/>
      <c r="M49" s="89"/>
      <c r="N49" s="1035"/>
    </row>
    <row r="50" spans="1:14" s="224" customFormat="1" ht="15" customHeight="1" x14ac:dyDescent="0.25">
      <c r="A50" s="215">
        <v>44386</v>
      </c>
      <c r="B50" s="882" t="s">
        <v>82</v>
      </c>
      <c r="C50" s="879" t="s">
        <v>12</v>
      </c>
      <c r="D50" s="879" t="s">
        <v>1493</v>
      </c>
      <c r="E50" s="875" t="s">
        <v>13</v>
      </c>
      <c r="F50" s="780">
        <v>27.67</v>
      </c>
      <c r="G50" s="982"/>
      <c r="H50" s="1008"/>
      <c r="I50" s="1063"/>
      <c r="J50" s="622"/>
      <c r="K50" s="982"/>
      <c r="L50" s="1029"/>
      <c r="M50" s="89"/>
      <c r="N50" s="1035"/>
    </row>
    <row r="51" spans="1:14" s="224" customFormat="1" ht="15" customHeight="1" x14ac:dyDescent="0.25">
      <c r="A51" s="215">
        <v>44386</v>
      </c>
      <c r="B51" s="364" t="s">
        <v>1396</v>
      </c>
      <c r="C51" s="350" t="s">
        <v>12</v>
      </c>
      <c r="D51" s="350"/>
      <c r="E51" s="480" t="s">
        <v>25</v>
      </c>
      <c r="F51" s="613"/>
      <c r="G51" s="967">
        <v>70</v>
      </c>
      <c r="H51" s="1008"/>
      <c r="I51" s="1063"/>
      <c r="J51" s="622"/>
      <c r="K51" s="982"/>
      <c r="L51" s="861"/>
    </row>
    <row r="52" spans="1:14" s="224" customFormat="1" ht="15" customHeight="1" x14ac:dyDescent="0.25">
      <c r="A52" s="215">
        <v>44387</v>
      </c>
      <c r="B52" s="882" t="s">
        <v>14</v>
      </c>
      <c r="C52" s="879" t="s">
        <v>12</v>
      </c>
      <c r="D52" s="879" t="s">
        <v>1486</v>
      </c>
      <c r="E52" s="875" t="s">
        <v>13</v>
      </c>
      <c r="F52" s="780">
        <v>6.86</v>
      </c>
      <c r="G52" s="946"/>
      <c r="H52" s="95"/>
      <c r="I52" s="1064"/>
      <c r="J52" s="622"/>
      <c r="K52" s="982"/>
      <c r="L52" s="861"/>
    </row>
    <row r="53" spans="1:14" s="224" customFormat="1" ht="15" customHeight="1" x14ac:dyDescent="0.25">
      <c r="A53" s="215">
        <v>44387</v>
      </c>
      <c r="B53" s="882" t="s">
        <v>2251</v>
      </c>
      <c r="C53" s="879" t="s">
        <v>12</v>
      </c>
      <c r="D53" s="879" t="s">
        <v>2157</v>
      </c>
      <c r="E53" s="875" t="s">
        <v>13</v>
      </c>
      <c r="F53" s="780">
        <v>80</v>
      </c>
      <c r="G53" s="982"/>
      <c r="H53" s="1008"/>
      <c r="I53" s="1063"/>
      <c r="J53" s="622"/>
      <c r="K53" s="982"/>
      <c r="L53" s="861"/>
      <c r="N53" s="878"/>
    </row>
    <row r="54" spans="1:14" s="224" customFormat="1" ht="15" customHeight="1" x14ac:dyDescent="0.25">
      <c r="A54" s="215">
        <v>44387</v>
      </c>
      <c r="B54" s="882" t="s">
        <v>3006</v>
      </c>
      <c r="C54" s="879" t="s">
        <v>12</v>
      </c>
      <c r="D54" s="879" t="s">
        <v>1489</v>
      </c>
      <c r="E54" s="875" t="s">
        <v>15</v>
      </c>
      <c r="F54" s="780">
        <v>10</v>
      </c>
      <c r="G54" s="982"/>
      <c r="H54" s="1008"/>
      <c r="I54" s="1063"/>
      <c r="J54" s="622"/>
      <c r="K54" s="982"/>
      <c r="L54" s="861"/>
      <c r="N54" s="878"/>
    </row>
    <row r="55" spans="1:14" s="224" customFormat="1" ht="15" customHeight="1" x14ac:dyDescent="0.25">
      <c r="A55" s="215">
        <v>44387</v>
      </c>
      <c r="B55" s="882" t="s">
        <v>80</v>
      </c>
      <c r="C55" s="879" t="s">
        <v>12</v>
      </c>
      <c r="D55" s="879" t="s">
        <v>1523</v>
      </c>
      <c r="E55" s="875" t="s">
        <v>13</v>
      </c>
      <c r="F55" s="780">
        <v>28</v>
      </c>
      <c r="G55" s="982"/>
      <c r="H55" s="1008"/>
      <c r="I55" s="1063"/>
      <c r="J55" s="622"/>
      <c r="K55" s="982"/>
      <c r="L55" s="861"/>
      <c r="N55" s="878"/>
    </row>
    <row r="56" spans="1:14" s="224" customFormat="1" ht="15" customHeight="1" x14ac:dyDescent="0.25">
      <c r="A56" s="215">
        <v>44387</v>
      </c>
      <c r="B56" s="882" t="s">
        <v>80</v>
      </c>
      <c r="C56" s="879" t="s">
        <v>12</v>
      </c>
      <c r="D56" s="879" t="s">
        <v>1523</v>
      </c>
      <c r="E56" s="875" t="s">
        <v>13</v>
      </c>
      <c r="F56" s="780">
        <v>55.4</v>
      </c>
      <c r="G56" s="982"/>
      <c r="H56" s="1008"/>
      <c r="I56" s="1063"/>
      <c r="J56" s="622"/>
      <c r="K56" s="982"/>
      <c r="L56" s="861"/>
      <c r="N56" s="878"/>
    </row>
    <row r="57" spans="1:14" s="224" customFormat="1" ht="15" customHeight="1" x14ac:dyDescent="0.25">
      <c r="A57" s="215">
        <v>44387</v>
      </c>
      <c r="B57" s="882" t="s">
        <v>80</v>
      </c>
      <c r="C57" s="879" t="s">
        <v>12</v>
      </c>
      <c r="D57" s="879" t="s">
        <v>1523</v>
      </c>
      <c r="E57" s="875" t="s">
        <v>15</v>
      </c>
      <c r="F57" s="780">
        <v>10</v>
      </c>
      <c r="G57" s="982"/>
      <c r="H57" s="1008"/>
      <c r="I57" s="1063"/>
      <c r="J57" s="622"/>
      <c r="K57" s="982"/>
      <c r="L57" s="861"/>
      <c r="N57" s="878"/>
    </row>
    <row r="58" spans="1:14" s="224" customFormat="1" ht="15" customHeight="1" x14ac:dyDescent="0.25">
      <c r="A58" s="215">
        <v>44388</v>
      </c>
      <c r="B58" s="882" t="s">
        <v>14</v>
      </c>
      <c r="C58" s="879" t="s">
        <v>12</v>
      </c>
      <c r="D58" s="879" t="s">
        <v>1486</v>
      </c>
      <c r="E58" s="875" t="s">
        <v>13</v>
      </c>
      <c r="F58" s="780">
        <v>6.91</v>
      </c>
      <c r="G58" s="946"/>
      <c r="H58" s="95"/>
      <c r="I58" s="1064"/>
      <c r="J58" s="622"/>
      <c r="K58" s="982"/>
      <c r="L58" s="861"/>
    </row>
    <row r="59" spans="1:14" s="224" customFormat="1" ht="15" customHeight="1" x14ac:dyDescent="0.25">
      <c r="A59" s="215">
        <v>44388</v>
      </c>
      <c r="B59" s="882" t="s">
        <v>134</v>
      </c>
      <c r="C59" s="879" t="s">
        <v>12</v>
      </c>
      <c r="D59" s="879" t="s">
        <v>1493</v>
      </c>
      <c r="E59" s="875" t="s">
        <v>13</v>
      </c>
      <c r="F59" s="780">
        <v>8.77</v>
      </c>
      <c r="G59" s="982"/>
      <c r="H59" s="1008"/>
      <c r="I59" s="1063"/>
      <c r="J59" s="622"/>
      <c r="K59" s="982"/>
      <c r="L59" s="1029"/>
      <c r="M59" s="89"/>
      <c r="N59" s="1035"/>
    </row>
    <row r="60" spans="1:14" s="224" customFormat="1" ht="15" customHeight="1" x14ac:dyDescent="0.25">
      <c r="A60" s="215">
        <v>44389</v>
      </c>
      <c r="B60" s="882" t="s">
        <v>3007</v>
      </c>
      <c r="C60" s="879" t="s">
        <v>12</v>
      </c>
      <c r="D60" s="879" t="s">
        <v>1506</v>
      </c>
      <c r="E60" s="875" t="s">
        <v>13</v>
      </c>
      <c r="F60" s="780">
        <v>18.899999999999999</v>
      </c>
      <c r="G60" s="982"/>
      <c r="H60" s="1008"/>
      <c r="I60" s="1063"/>
      <c r="J60" s="622"/>
      <c r="K60" s="982"/>
      <c r="L60" s="861"/>
      <c r="N60" s="878"/>
    </row>
    <row r="61" spans="1:14" s="224" customFormat="1" ht="15" customHeight="1" x14ac:dyDescent="0.25">
      <c r="A61" s="215">
        <v>44389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16</v>
      </c>
      <c r="G61" s="982"/>
      <c r="H61" s="1008"/>
      <c r="I61" s="1063"/>
      <c r="J61" s="622"/>
      <c r="K61" s="982"/>
      <c r="L61" s="861"/>
      <c r="N61" s="1035"/>
    </row>
    <row r="62" spans="1:14" s="224" customFormat="1" ht="15" customHeight="1" x14ac:dyDescent="0.25">
      <c r="A62" s="215">
        <v>44389</v>
      </c>
      <c r="B62" s="882" t="s">
        <v>14</v>
      </c>
      <c r="C62" s="879" t="s">
        <v>12</v>
      </c>
      <c r="D62" s="879" t="s">
        <v>1486</v>
      </c>
      <c r="E62" s="875" t="s">
        <v>13</v>
      </c>
      <c r="F62" s="780">
        <v>10.130000000000001</v>
      </c>
      <c r="G62" s="946"/>
      <c r="H62" s="95"/>
      <c r="I62" s="1064"/>
      <c r="J62" s="622"/>
      <c r="K62" s="982"/>
      <c r="L62" s="861"/>
    </row>
    <row r="63" spans="1:14" s="224" customFormat="1" ht="15" customHeight="1" x14ac:dyDescent="0.25">
      <c r="A63" s="215">
        <v>44390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16</v>
      </c>
      <c r="G63" s="982"/>
      <c r="H63" s="1008"/>
      <c r="I63" s="1063"/>
      <c r="J63" s="622"/>
      <c r="K63" s="982"/>
      <c r="L63" s="861"/>
      <c r="N63" s="1035"/>
    </row>
    <row r="64" spans="1:14" s="224" customFormat="1" ht="15" customHeight="1" x14ac:dyDescent="0.25">
      <c r="A64" s="215">
        <v>44390</v>
      </c>
      <c r="B64" s="882" t="s">
        <v>14</v>
      </c>
      <c r="C64" s="879" t="s">
        <v>12</v>
      </c>
      <c r="D64" s="879" t="s">
        <v>1486</v>
      </c>
      <c r="E64" s="875" t="s">
        <v>13</v>
      </c>
      <c r="F64" s="780">
        <v>3.43</v>
      </c>
      <c r="G64" s="982"/>
      <c r="H64" s="1008"/>
      <c r="I64" s="1063"/>
      <c r="J64" s="622"/>
      <c r="K64" s="982"/>
      <c r="L64" s="861"/>
      <c r="N64" s="1035"/>
    </row>
    <row r="65" spans="1:14" s="224" customFormat="1" ht="15" customHeight="1" x14ac:dyDescent="0.25">
      <c r="A65" s="215">
        <v>44391</v>
      </c>
      <c r="B65" s="882" t="s">
        <v>2197</v>
      </c>
      <c r="C65" s="879" t="s">
        <v>12</v>
      </c>
      <c r="D65" s="879" t="s">
        <v>2168</v>
      </c>
      <c r="E65" s="875" t="s">
        <v>15</v>
      </c>
      <c r="F65" s="780">
        <v>20</v>
      </c>
      <c r="G65" s="982"/>
      <c r="H65" s="1008"/>
      <c r="I65" s="1063"/>
      <c r="J65" s="622"/>
      <c r="K65" s="982"/>
      <c r="L65" s="861"/>
      <c r="N65" s="878"/>
    </row>
    <row r="66" spans="1:14" s="224" customFormat="1" ht="15" customHeight="1" x14ac:dyDescent="0.25">
      <c r="A66" s="215">
        <v>44391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16</v>
      </c>
      <c r="G66" s="982"/>
      <c r="H66" s="1008"/>
      <c r="I66" s="1063"/>
      <c r="J66" s="622"/>
      <c r="K66" s="982"/>
      <c r="L66" s="861"/>
      <c r="N66" s="1035"/>
    </row>
    <row r="67" spans="1:14" s="224" customFormat="1" ht="15" customHeight="1" x14ac:dyDescent="0.25">
      <c r="A67" s="215">
        <v>44391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780">
        <v>6.5</v>
      </c>
      <c r="G67" s="982"/>
      <c r="H67" s="1008"/>
      <c r="I67" s="1063"/>
      <c r="J67" s="622"/>
      <c r="K67" s="982"/>
      <c r="L67" s="861"/>
      <c r="N67" s="1035"/>
    </row>
    <row r="68" spans="1:14" s="224" customFormat="1" ht="15" customHeight="1" x14ac:dyDescent="0.25">
      <c r="A68" s="215">
        <v>44392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16</v>
      </c>
      <c r="G68" s="982"/>
      <c r="H68" s="1008"/>
      <c r="I68" s="1063"/>
      <c r="J68" s="622"/>
      <c r="K68" s="982"/>
      <c r="L68" s="861"/>
      <c r="N68" s="1035"/>
    </row>
    <row r="69" spans="1:14" s="224" customFormat="1" ht="15" customHeight="1" x14ac:dyDescent="0.25">
      <c r="A69" s="215">
        <v>44392</v>
      </c>
      <c r="B69" s="882" t="s">
        <v>14</v>
      </c>
      <c r="C69" s="879" t="s">
        <v>12</v>
      </c>
      <c r="D69" s="879" t="s">
        <v>1486</v>
      </c>
      <c r="E69" s="875" t="s">
        <v>13</v>
      </c>
      <c r="F69" s="780">
        <v>6.5</v>
      </c>
      <c r="G69" s="982"/>
      <c r="H69" s="1008"/>
      <c r="I69" s="1063"/>
      <c r="J69" s="622"/>
      <c r="K69" s="982"/>
      <c r="L69" s="861"/>
      <c r="N69" s="878"/>
    </row>
    <row r="70" spans="1:14" s="224" customFormat="1" ht="15" customHeight="1" x14ac:dyDescent="0.25">
      <c r="A70" s="215">
        <v>44393</v>
      </c>
      <c r="B70" s="882" t="s">
        <v>3008</v>
      </c>
      <c r="C70" s="879" t="s">
        <v>12</v>
      </c>
      <c r="D70" s="879" t="s">
        <v>1499</v>
      </c>
      <c r="E70" s="871" t="s">
        <v>13</v>
      </c>
      <c r="F70" s="780">
        <v>50.7</v>
      </c>
      <c r="G70" s="982"/>
      <c r="H70" s="1008"/>
      <c r="I70" s="1063"/>
      <c r="J70" s="622"/>
      <c r="K70" s="982"/>
      <c r="L70" s="861">
        <v>125.7</v>
      </c>
      <c r="N70" s="878"/>
    </row>
    <row r="71" spans="1:14" s="224" customFormat="1" ht="15" customHeight="1" x14ac:dyDescent="0.25">
      <c r="A71" s="215">
        <v>44393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16</v>
      </c>
      <c r="G71" s="982"/>
      <c r="H71" s="1008"/>
      <c r="I71" s="1063"/>
      <c r="J71" s="622"/>
      <c r="K71" s="982"/>
      <c r="L71" s="861"/>
      <c r="N71" s="1035"/>
    </row>
    <row r="72" spans="1:14" s="224" customFormat="1" ht="15" customHeight="1" x14ac:dyDescent="0.25">
      <c r="A72" s="215">
        <v>44393</v>
      </c>
      <c r="B72" s="882" t="s">
        <v>2629</v>
      </c>
      <c r="C72" s="879" t="s">
        <v>12</v>
      </c>
      <c r="D72" s="879" t="s">
        <v>1489</v>
      </c>
      <c r="E72" s="875" t="s">
        <v>13</v>
      </c>
      <c r="F72" s="780">
        <v>37.44</v>
      </c>
      <c r="G72" s="982"/>
      <c r="H72" s="1008"/>
      <c r="I72" s="1063"/>
      <c r="J72" s="622"/>
      <c r="K72" s="982"/>
      <c r="L72" s="1029"/>
      <c r="M72" s="89"/>
      <c r="N72" s="1035"/>
    </row>
    <row r="73" spans="1:14" s="224" customFormat="1" ht="15" customHeight="1" x14ac:dyDescent="0.25">
      <c r="A73" s="215">
        <v>44393</v>
      </c>
      <c r="B73" s="882" t="s">
        <v>14</v>
      </c>
      <c r="C73" s="879" t="s">
        <v>12</v>
      </c>
      <c r="D73" s="879" t="s">
        <v>1486</v>
      </c>
      <c r="E73" s="875" t="s">
        <v>13</v>
      </c>
      <c r="F73" s="780">
        <v>5.53</v>
      </c>
      <c r="G73" s="982"/>
      <c r="H73" s="1008"/>
      <c r="I73" s="1063"/>
      <c r="J73" s="622"/>
      <c r="K73" s="982"/>
      <c r="L73" s="861"/>
      <c r="N73" s="878"/>
    </row>
    <row r="74" spans="1:14" s="224" customFormat="1" ht="15" customHeight="1" x14ac:dyDescent="0.25">
      <c r="A74" s="215">
        <v>44393</v>
      </c>
      <c r="B74" s="882" t="s">
        <v>2251</v>
      </c>
      <c r="C74" s="879" t="s">
        <v>12</v>
      </c>
      <c r="D74" s="879" t="s">
        <v>2157</v>
      </c>
      <c r="E74" s="875" t="s">
        <v>15</v>
      </c>
      <c r="F74" s="780">
        <v>60</v>
      </c>
      <c r="G74" s="982"/>
      <c r="H74" s="1008"/>
      <c r="I74" s="1063"/>
      <c r="J74" s="622"/>
      <c r="K74" s="982"/>
      <c r="L74" s="861"/>
      <c r="N74" s="878"/>
    </row>
    <row r="75" spans="1:14" s="224" customFormat="1" ht="15" customHeight="1" x14ac:dyDescent="0.25">
      <c r="A75" s="215">
        <v>44393</v>
      </c>
      <c r="B75" s="882" t="s">
        <v>1369</v>
      </c>
      <c r="C75" s="879" t="s">
        <v>12</v>
      </c>
      <c r="D75" s="879" t="s">
        <v>1489</v>
      </c>
      <c r="E75" s="875" t="s">
        <v>13</v>
      </c>
      <c r="F75" s="780">
        <v>10</v>
      </c>
      <c r="G75" s="982"/>
      <c r="H75" s="1008"/>
      <c r="I75" s="1063"/>
      <c r="J75" s="622"/>
      <c r="K75" s="982"/>
      <c r="L75" s="861"/>
      <c r="N75" s="878"/>
    </row>
    <row r="76" spans="1:14" s="224" customFormat="1" ht="15" customHeight="1" x14ac:dyDescent="0.25">
      <c r="A76" s="215">
        <v>44394</v>
      </c>
      <c r="B76" s="882" t="s">
        <v>2197</v>
      </c>
      <c r="C76" s="879" t="s">
        <v>12</v>
      </c>
      <c r="D76" s="879" t="s">
        <v>2168</v>
      </c>
      <c r="E76" s="875" t="s">
        <v>13</v>
      </c>
      <c r="F76" s="780">
        <v>30</v>
      </c>
      <c r="G76" s="982"/>
      <c r="H76" s="1008"/>
      <c r="I76" s="1063"/>
      <c r="J76" s="622"/>
      <c r="K76" s="982"/>
      <c r="L76" s="861"/>
      <c r="N76" s="878"/>
    </row>
    <row r="77" spans="1:14" s="224" customFormat="1" ht="15" customHeight="1" x14ac:dyDescent="0.25">
      <c r="A77" s="215">
        <v>44394</v>
      </c>
      <c r="B77" s="873" t="s">
        <v>80</v>
      </c>
      <c r="C77" s="879" t="s">
        <v>12</v>
      </c>
      <c r="D77" s="879" t="s">
        <v>1523</v>
      </c>
      <c r="E77" s="871" t="s">
        <v>13</v>
      </c>
      <c r="F77" s="780">
        <v>28</v>
      </c>
      <c r="G77" s="946"/>
      <c r="H77" s="95"/>
      <c r="I77" s="1064"/>
      <c r="J77" s="97"/>
      <c r="K77" s="946"/>
      <c r="L77" s="926"/>
      <c r="M77" s="89"/>
      <c r="N77" s="930"/>
    </row>
    <row r="78" spans="1:14" s="224" customFormat="1" x14ac:dyDescent="0.25">
      <c r="A78" s="215">
        <v>44394</v>
      </c>
      <c r="B78" s="364" t="s">
        <v>3009</v>
      </c>
      <c r="C78" s="350" t="s">
        <v>12</v>
      </c>
      <c r="D78" s="350" t="s">
        <v>1523</v>
      </c>
      <c r="E78" s="875" t="s">
        <v>13</v>
      </c>
      <c r="F78" s="780">
        <v>118.75</v>
      </c>
      <c r="G78" s="982"/>
      <c r="H78" s="1008"/>
      <c r="I78" s="1063"/>
      <c r="J78" s="622"/>
      <c r="K78" s="982"/>
      <c r="L78" s="1029">
        <v>118.75</v>
      </c>
      <c r="M78" s="89"/>
      <c r="N78" s="930"/>
    </row>
    <row r="79" spans="1:14" s="224" customFormat="1" ht="15" customHeight="1" x14ac:dyDescent="0.25">
      <c r="A79" s="215">
        <v>44395</v>
      </c>
      <c r="B79" s="882" t="s">
        <v>14</v>
      </c>
      <c r="C79" s="879" t="s">
        <v>12</v>
      </c>
      <c r="D79" s="879" t="s">
        <v>1486</v>
      </c>
      <c r="E79" s="875" t="s">
        <v>13</v>
      </c>
      <c r="F79" s="780">
        <v>7.03</v>
      </c>
      <c r="G79" s="982"/>
      <c r="H79" s="1008"/>
      <c r="I79" s="1063"/>
      <c r="J79" s="622"/>
      <c r="K79" s="982"/>
      <c r="L79" s="861"/>
      <c r="N79" s="878"/>
    </row>
    <row r="80" spans="1:14" s="224" customFormat="1" ht="15" customHeight="1" x14ac:dyDescent="0.25">
      <c r="A80" s="215">
        <v>44395</v>
      </c>
      <c r="B80" s="882" t="s">
        <v>81</v>
      </c>
      <c r="C80" s="879" t="s">
        <v>12</v>
      </c>
      <c r="D80" s="879" t="s">
        <v>1493</v>
      </c>
      <c r="E80" s="875" t="s">
        <v>13</v>
      </c>
      <c r="F80" s="780">
        <v>9.6300000000000008</v>
      </c>
      <c r="G80" s="982"/>
      <c r="H80" s="1008"/>
      <c r="I80" s="1063"/>
      <c r="J80" s="622"/>
      <c r="K80" s="982"/>
      <c r="L80" s="1029"/>
      <c r="M80" s="89"/>
      <c r="N80" s="1035"/>
    </row>
    <row r="81" spans="1:14" s="224" customFormat="1" ht="15" customHeight="1" x14ac:dyDescent="0.25">
      <c r="A81" s="215">
        <v>44395</v>
      </c>
      <c r="B81" s="882" t="s">
        <v>3010</v>
      </c>
      <c r="C81" s="879" t="s">
        <v>12</v>
      </c>
      <c r="D81" s="879" t="s">
        <v>1489</v>
      </c>
      <c r="E81" s="875" t="s">
        <v>13</v>
      </c>
      <c r="F81" s="780">
        <v>8.9499999999999993</v>
      </c>
      <c r="G81" s="982"/>
      <c r="H81" s="1008"/>
      <c r="I81" s="1063"/>
      <c r="J81" s="622"/>
      <c r="K81" s="982"/>
      <c r="L81" s="1029"/>
      <c r="M81" s="89"/>
      <c r="N81" s="1035"/>
    </row>
    <row r="82" spans="1:14" s="224" customFormat="1" ht="15" customHeight="1" x14ac:dyDescent="0.25">
      <c r="A82" s="215">
        <v>44395</v>
      </c>
      <c r="B82" s="882" t="s">
        <v>421</v>
      </c>
      <c r="C82" s="879" t="s">
        <v>12</v>
      </c>
      <c r="D82" s="879" t="s">
        <v>1493</v>
      </c>
      <c r="E82" s="875" t="s">
        <v>13</v>
      </c>
      <c r="F82" s="780">
        <v>31.7</v>
      </c>
      <c r="G82" s="982"/>
      <c r="H82" s="1008"/>
      <c r="I82" s="1063"/>
      <c r="J82" s="622"/>
      <c r="K82" s="982"/>
      <c r="L82" s="1029"/>
      <c r="M82" s="89"/>
      <c r="N82" s="1035"/>
    </row>
    <row r="83" spans="1:14" s="224" customFormat="1" ht="15" customHeight="1" x14ac:dyDescent="0.25">
      <c r="A83" s="215">
        <v>44396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10</v>
      </c>
      <c r="G83" s="982"/>
      <c r="H83" s="1008"/>
      <c r="I83" s="1063"/>
      <c r="J83" s="622"/>
      <c r="K83" s="982"/>
      <c r="L83" s="861"/>
      <c r="N83" s="1035"/>
    </row>
    <row r="84" spans="1:14" s="224" customFormat="1" ht="15" customHeight="1" x14ac:dyDescent="0.25">
      <c r="A84" s="215">
        <v>44396</v>
      </c>
      <c r="B84" s="882" t="s">
        <v>2251</v>
      </c>
      <c r="C84" s="879" t="s">
        <v>12</v>
      </c>
      <c r="D84" s="879" t="s">
        <v>2157</v>
      </c>
      <c r="E84" s="875" t="s">
        <v>15</v>
      </c>
      <c r="F84" s="780">
        <v>40</v>
      </c>
      <c r="G84" s="982"/>
      <c r="H84" s="1008"/>
      <c r="I84" s="1063"/>
      <c r="J84" s="622"/>
      <c r="K84" s="982"/>
      <c r="L84" s="861"/>
      <c r="N84" s="878"/>
    </row>
    <row r="85" spans="1:14" s="224" customFormat="1" ht="15" customHeight="1" x14ac:dyDescent="0.25">
      <c r="A85" s="215">
        <v>44396</v>
      </c>
      <c r="B85" s="882" t="s">
        <v>14</v>
      </c>
      <c r="C85" s="879" t="s">
        <v>12</v>
      </c>
      <c r="D85" s="879" t="s">
        <v>1486</v>
      </c>
      <c r="E85" s="875" t="s">
        <v>13</v>
      </c>
      <c r="F85" s="780">
        <v>4.68</v>
      </c>
      <c r="G85" s="982"/>
      <c r="H85" s="1008"/>
      <c r="I85" s="1063"/>
      <c r="J85" s="622"/>
      <c r="K85" s="982"/>
      <c r="L85" s="1029"/>
      <c r="M85" s="89"/>
      <c r="N85" s="1035"/>
    </row>
    <row r="86" spans="1:14" s="224" customFormat="1" ht="15" customHeight="1" x14ac:dyDescent="0.25">
      <c r="A86" s="215">
        <v>44397</v>
      </c>
      <c r="B86" s="882" t="s">
        <v>3011</v>
      </c>
      <c r="C86" s="350" t="s">
        <v>12</v>
      </c>
      <c r="D86" s="350"/>
      <c r="E86" s="480" t="s">
        <v>25</v>
      </c>
      <c r="F86" s="622"/>
      <c r="G86" s="982">
        <v>1840</v>
      </c>
      <c r="H86" s="1008"/>
      <c r="I86" s="1063"/>
      <c r="J86" s="622"/>
      <c r="K86" s="982"/>
      <c r="L86" s="861"/>
    </row>
    <row r="87" spans="1:14" s="224" customFormat="1" ht="15" customHeight="1" x14ac:dyDescent="0.25">
      <c r="A87" s="215">
        <v>44397</v>
      </c>
      <c r="B87" s="862" t="s">
        <v>2867</v>
      </c>
      <c r="C87" s="350" t="s">
        <v>12</v>
      </c>
      <c r="D87" s="874" t="s">
        <v>1504</v>
      </c>
      <c r="E87" s="887" t="s">
        <v>13</v>
      </c>
      <c r="F87" s="852">
        <v>30</v>
      </c>
      <c r="G87" s="982"/>
      <c r="H87" s="1009"/>
      <c r="I87" s="1063"/>
      <c r="J87" s="853"/>
      <c r="K87" s="982"/>
      <c r="L87" s="861"/>
      <c r="M87" s="927"/>
      <c r="N87" s="1035"/>
    </row>
    <row r="88" spans="1:14" s="224" customFormat="1" ht="15" customHeight="1" x14ac:dyDescent="0.25">
      <c r="A88" s="215">
        <v>44397</v>
      </c>
      <c r="B88" s="364" t="s">
        <v>2977</v>
      </c>
      <c r="C88" s="350" t="s">
        <v>12</v>
      </c>
      <c r="D88" s="350" t="s">
        <v>1491</v>
      </c>
      <c r="E88" s="875" t="s">
        <v>13</v>
      </c>
      <c r="F88" s="1047">
        <v>250</v>
      </c>
      <c r="G88" s="982"/>
      <c r="H88" s="1008"/>
      <c r="I88" s="1063"/>
      <c r="J88" s="622"/>
      <c r="K88" s="982"/>
      <c r="L88" s="861"/>
      <c r="N88" s="1035"/>
    </row>
    <row r="89" spans="1:14" s="224" customFormat="1" ht="15" customHeight="1" x14ac:dyDescent="0.25">
      <c r="A89" s="215">
        <v>44397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16</v>
      </c>
      <c r="G89" s="982"/>
      <c r="H89" s="1008"/>
      <c r="I89" s="1063"/>
      <c r="J89" s="622"/>
      <c r="K89" s="982"/>
      <c r="L89" s="861"/>
      <c r="N89" s="1035"/>
    </row>
    <row r="90" spans="1:14" s="224" customFormat="1" ht="15" customHeight="1" x14ac:dyDescent="0.25">
      <c r="A90" s="215">
        <v>44397</v>
      </c>
      <c r="B90" s="882" t="s">
        <v>14</v>
      </c>
      <c r="C90" s="879" t="s">
        <v>12</v>
      </c>
      <c r="D90" s="879" t="s">
        <v>1486</v>
      </c>
      <c r="E90" s="875" t="s">
        <v>13</v>
      </c>
      <c r="F90" s="780">
        <v>10</v>
      </c>
      <c r="G90" s="946"/>
      <c r="H90" s="95"/>
      <c r="I90" s="1064"/>
      <c r="J90" s="97"/>
      <c r="K90" s="946"/>
      <c r="L90" s="926"/>
      <c r="M90" s="89"/>
      <c r="N90" s="930"/>
    </row>
    <row r="91" spans="1:14" s="224" customFormat="1" ht="15" customHeight="1" x14ac:dyDescent="0.25">
      <c r="A91" s="215">
        <v>44398</v>
      </c>
      <c r="B91" s="882" t="s">
        <v>2251</v>
      </c>
      <c r="C91" s="879" t="s">
        <v>12</v>
      </c>
      <c r="D91" s="879" t="s">
        <v>2157</v>
      </c>
      <c r="E91" s="875" t="s">
        <v>13</v>
      </c>
      <c r="F91" s="780">
        <v>50</v>
      </c>
      <c r="G91" s="982"/>
      <c r="H91" s="1008"/>
      <c r="I91" s="1063"/>
      <c r="J91" s="622"/>
      <c r="K91" s="982"/>
      <c r="L91" s="861"/>
      <c r="N91" s="878"/>
    </row>
    <row r="92" spans="1:14" s="224" customFormat="1" x14ac:dyDescent="0.25">
      <c r="A92" s="215">
        <v>44398</v>
      </c>
      <c r="B92" s="882" t="s">
        <v>14</v>
      </c>
      <c r="C92" s="879" t="s">
        <v>12</v>
      </c>
      <c r="D92" s="879" t="s">
        <v>1486</v>
      </c>
      <c r="E92" s="875" t="s">
        <v>13</v>
      </c>
      <c r="F92" s="780">
        <v>3.5</v>
      </c>
      <c r="G92" s="982"/>
      <c r="H92" s="1008"/>
      <c r="I92" s="1063"/>
      <c r="J92" s="622"/>
      <c r="K92" s="982"/>
      <c r="L92" s="861"/>
      <c r="N92" s="878"/>
    </row>
    <row r="93" spans="1:14" s="224" customFormat="1" ht="15" customHeight="1" x14ac:dyDescent="0.25">
      <c r="A93" s="215">
        <v>44399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16</v>
      </c>
      <c r="G93" s="982"/>
      <c r="H93" s="1008"/>
      <c r="I93" s="1063"/>
      <c r="J93" s="622"/>
      <c r="K93" s="982"/>
      <c r="L93" s="861"/>
      <c r="N93" s="1035"/>
    </row>
    <row r="94" spans="1:14" s="224" customFormat="1" ht="15" customHeight="1" x14ac:dyDescent="0.25">
      <c r="A94" s="215">
        <v>44399</v>
      </c>
      <c r="B94" s="882" t="s">
        <v>2415</v>
      </c>
      <c r="C94" s="879" t="s">
        <v>12</v>
      </c>
      <c r="D94" s="879" t="s">
        <v>1493</v>
      </c>
      <c r="E94" s="875" t="s">
        <v>13</v>
      </c>
      <c r="F94" s="780">
        <v>6</v>
      </c>
      <c r="G94" s="982"/>
      <c r="H94" s="1008"/>
      <c r="I94" s="1063"/>
      <c r="J94" s="622"/>
      <c r="K94" s="982"/>
      <c r="L94" s="1029"/>
      <c r="M94" s="89"/>
      <c r="N94" s="1035"/>
    </row>
    <row r="95" spans="1:14" s="224" customFormat="1" ht="15" customHeight="1" x14ac:dyDescent="0.25">
      <c r="A95" s="215">
        <v>44399</v>
      </c>
      <c r="B95" s="882" t="s">
        <v>14</v>
      </c>
      <c r="C95" s="879" t="s">
        <v>12</v>
      </c>
      <c r="D95" s="879" t="s">
        <v>1486</v>
      </c>
      <c r="E95" s="875" t="s">
        <v>13</v>
      </c>
      <c r="F95" s="780">
        <v>7.5</v>
      </c>
      <c r="G95" s="946"/>
      <c r="H95" s="95"/>
      <c r="I95" s="1064"/>
      <c r="J95" s="622"/>
      <c r="K95" s="982"/>
      <c r="L95" s="861"/>
    </row>
    <row r="96" spans="1:14" s="224" customFormat="1" ht="15" customHeight="1" x14ac:dyDescent="0.25">
      <c r="A96" s="215">
        <v>44400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16</v>
      </c>
      <c r="G96" s="982"/>
      <c r="H96" s="1008"/>
      <c r="I96" s="1063"/>
      <c r="J96" s="622"/>
      <c r="K96" s="982"/>
      <c r="L96" s="861"/>
      <c r="N96" s="1035"/>
    </row>
    <row r="97" spans="1:15" s="224" customFormat="1" ht="15" customHeight="1" x14ac:dyDescent="0.25">
      <c r="A97" s="215">
        <v>44400</v>
      </c>
      <c r="B97" s="364" t="s">
        <v>3012</v>
      </c>
      <c r="C97" s="350" t="s">
        <v>12</v>
      </c>
      <c r="D97" s="350" t="s">
        <v>1506</v>
      </c>
      <c r="E97" s="875" t="s">
        <v>13</v>
      </c>
      <c r="F97" s="780">
        <v>15</v>
      </c>
      <c r="G97" s="982"/>
      <c r="H97" s="1008"/>
      <c r="I97" s="1063"/>
      <c r="J97" s="622"/>
      <c r="K97" s="982"/>
      <c r="L97" s="861"/>
      <c r="N97" s="1035"/>
    </row>
    <row r="98" spans="1:15" s="224" customFormat="1" ht="15" customHeight="1" x14ac:dyDescent="0.25">
      <c r="A98" s="215">
        <v>44400</v>
      </c>
      <c r="B98" s="364" t="s">
        <v>82</v>
      </c>
      <c r="C98" s="350" t="s">
        <v>12</v>
      </c>
      <c r="D98" s="350" t="s">
        <v>1493</v>
      </c>
      <c r="E98" s="875" t="s">
        <v>13</v>
      </c>
      <c r="F98" s="780">
        <v>24.77</v>
      </c>
      <c r="G98" s="982"/>
      <c r="H98" s="1008"/>
      <c r="I98" s="1063"/>
      <c r="J98" s="622"/>
      <c r="K98" s="982"/>
      <c r="L98" s="861"/>
      <c r="N98" s="1035"/>
    </row>
    <row r="99" spans="1:15" s="224" customFormat="1" ht="15" customHeight="1" x14ac:dyDescent="0.25">
      <c r="A99" s="215">
        <v>44401</v>
      </c>
      <c r="B99" s="882" t="s">
        <v>2197</v>
      </c>
      <c r="C99" s="879" t="s">
        <v>12</v>
      </c>
      <c r="D99" s="879" t="s">
        <v>2168</v>
      </c>
      <c r="E99" s="875" t="s">
        <v>13</v>
      </c>
      <c r="F99" s="780">
        <v>40</v>
      </c>
      <c r="G99" s="982"/>
      <c r="H99" s="1008"/>
      <c r="I99" s="1063"/>
      <c r="J99" s="622"/>
      <c r="K99" s="982"/>
      <c r="L99" s="861"/>
      <c r="N99" s="878"/>
    </row>
    <row r="100" spans="1:15" s="224" customFormat="1" ht="15" customHeight="1" x14ac:dyDescent="0.25">
      <c r="A100" s="215">
        <v>44401</v>
      </c>
      <c r="B100" s="349" t="s">
        <v>2629</v>
      </c>
      <c r="C100" s="350" t="s">
        <v>19</v>
      </c>
      <c r="D100" s="350" t="s">
        <v>1489</v>
      </c>
      <c r="E100" s="480" t="s">
        <v>13</v>
      </c>
      <c r="F100" s="780">
        <v>105.78</v>
      </c>
      <c r="G100" s="946"/>
      <c r="H100" s="95"/>
      <c r="I100" s="1064"/>
      <c r="J100" s="622"/>
      <c r="K100" s="982"/>
      <c r="L100" s="861"/>
      <c r="N100" s="927"/>
      <c r="O100" s="999"/>
    </row>
    <row r="101" spans="1:15" s="224" customFormat="1" ht="15" customHeight="1" x14ac:dyDescent="0.25">
      <c r="A101" s="215">
        <v>44401</v>
      </c>
      <c r="B101" s="882" t="s">
        <v>2251</v>
      </c>
      <c r="C101" s="879" t="s">
        <v>12</v>
      </c>
      <c r="D101" s="879" t="s">
        <v>2157</v>
      </c>
      <c r="E101" s="875" t="s">
        <v>13</v>
      </c>
      <c r="F101" s="780">
        <v>60</v>
      </c>
      <c r="G101" s="982"/>
      <c r="H101" s="1008"/>
      <c r="I101" s="1063"/>
      <c r="J101" s="622"/>
      <c r="K101" s="982"/>
      <c r="L101" s="861"/>
      <c r="N101" s="878"/>
    </row>
    <row r="102" spans="1:15" s="224" customFormat="1" ht="15" customHeight="1" x14ac:dyDescent="0.25">
      <c r="A102" s="215">
        <v>44401</v>
      </c>
      <c r="B102" s="364" t="s">
        <v>82</v>
      </c>
      <c r="C102" s="350" t="s">
        <v>12</v>
      </c>
      <c r="D102" s="350" t="s">
        <v>1493</v>
      </c>
      <c r="E102" s="875" t="s">
        <v>13</v>
      </c>
      <c r="F102" s="780">
        <v>20</v>
      </c>
      <c r="G102" s="946"/>
      <c r="H102" s="95"/>
      <c r="I102" s="1064"/>
      <c r="J102" s="622"/>
      <c r="K102" s="982"/>
      <c r="L102" s="861"/>
      <c r="N102" s="927"/>
      <c r="O102" s="999"/>
    </row>
    <row r="103" spans="1:15" s="224" customFormat="1" ht="15" customHeight="1" x14ac:dyDescent="0.25">
      <c r="A103" s="215">
        <v>44402</v>
      </c>
      <c r="B103" s="364" t="s">
        <v>3013</v>
      </c>
      <c r="C103" s="350" t="s">
        <v>12</v>
      </c>
      <c r="D103" s="350" t="s">
        <v>1491</v>
      </c>
      <c r="E103" s="875" t="s">
        <v>13</v>
      </c>
      <c r="F103" s="780">
        <v>2</v>
      </c>
      <c r="G103" s="982"/>
      <c r="H103" s="1008"/>
      <c r="I103" s="1063"/>
      <c r="J103" s="622"/>
      <c r="K103" s="982"/>
      <c r="L103" s="861"/>
      <c r="N103" s="1080"/>
      <c r="O103" s="999"/>
    </row>
    <row r="104" spans="1:15" s="224" customFormat="1" ht="15" customHeight="1" x14ac:dyDescent="0.25">
      <c r="A104" s="215">
        <v>44402</v>
      </c>
      <c r="B104" s="364" t="s">
        <v>3014</v>
      </c>
      <c r="C104" s="350" t="s">
        <v>12</v>
      </c>
      <c r="D104" s="350" t="s">
        <v>1491</v>
      </c>
      <c r="E104" s="875" t="s">
        <v>13</v>
      </c>
      <c r="F104" s="780">
        <v>12</v>
      </c>
      <c r="G104" s="982"/>
      <c r="H104" s="1008"/>
      <c r="I104" s="1063"/>
      <c r="J104" s="622"/>
      <c r="K104" s="982"/>
      <c r="L104" s="861"/>
      <c r="N104" s="1080"/>
      <c r="O104" s="999"/>
    </row>
    <row r="105" spans="1:15" s="224" customFormat="1" ht="15" customHeight="1" x14ac:dyDescent="0.25">
      <c r="A105" s="215">
        <v>44402</v>
      </c>
      <c r="B105" s="364" t="s">
        <v>2392</v>
      </c>
      <c r="C105" s="350" t="s">
        <v>12</v>
      </c>
      <c r="D105" s="350" t="s">
        <v>1489</v>
      </c>
      <c r="E105" s="875" t="s">
        <v>15</v>
      </c>
      <c r="F105" s="780">
        <v>4</v>
      </c>
      <c r="G105" s="982"/>
      <c r="H105" s="1008"/>
      <c r="I105" s="1063"/>
      <c r="J105" s="622"/>
      <c r="K105" s="982"/>
      <c r="L105" s="861"/>
      <c r="N105" s="1080"/>
      <c r="O105" s="999"/>
    </row>
    <row r="106" spans="1:15" s="224" customFormat="1" ht="15" customHeight="1" x14ac:dyDescent="0.25">
      <c r="A106" s="215">
        <v>44402</v>
      </c>
      <c r="B106" s="882" t="s">
        <v>14</v>
      </c>
      <c r="C106" s="879" t="s">
        <v>12</v>
      </c>
      <c r="D106" s="879" t="s">
        <v>1486</v>
      </c>
      <c r="E106" s="875" t="s">
        <v>13</v>
      </c>
      <c r="F106" s="780">
        <v>4.87</v>
      </c>
      <c r="G106" s="946"/>
      <c r="H106" s="95"/>
      <c r="I106" s="1064"/>
      <c r="J106" s="622"/>
      <c r="K106" s="982"/>
      <c r="L106" s="861"/>
    </row>
    <row r="107" spans="1:15" s="224" customFormat="1" ht="15" customHeight="1" x14ac:dyDescent="0.25">
      <c r="A107" s="215">
        <v>44403</v>
      </c>
      <c r="B107" s="882" t="s">
        <v>3015</v>
      </c>
      <c r="C107" s="879" t="s">
        <v>12</v>
      </c>
      <c r="D107" s="879" t="s">
        <v>1489</v>
      </c>
      <c r="E107" s="875" t="s">
        <v>15</v>
      </c>
      <c r="F107" s="780">
        <v>100</v>
      </c>
      <c r="G107" s="982"/>
      <c r="H107" s="1008"/>
      <c r="I107" s="1063"/>
      <c r="J107" s="622"/>
      <c r="K107" s="982"/>
      <c r="L107" s="861"/>
      <c r="N107" s="878"/>
    </row>
    <row r="108" spans="1:15" s="224" customFormat="1" ht="15" customHeight="1" x14ac:dyDescent="0.25">
      <c r="A108" s="215">
        <v>44403</v>
      </c>
      <c r="B108" s="882" t="s">
        <v>3016</v>
      </c>
      <c r="C108" s="879" t="s">
        <v>12</v>
      </c>
      <c r="D108" s="879" t="s">
        <v>3017</v>
      </c>
      <c r="E108" s="875" t="s">
        <v>13</v>
      </c>
      <c r="F108" s="780">
        <v>563.42999999999995</v>
      </c>
      <c r="G108" s="982"/>
      <c r="H108" s="1008"/>
      <c r="I108" s="1063"/>
      <c r="J108" s="622"/>
      <c r="K108" s="982"/>
      <c r="L108" s="861">
        <v>400</v>
      </c>
      <c r="M108" s="224" t="s">
        <v>3018</v>
      </c>
      <c r="N108" s="1035"/>
    </row>
    <row r="109" spans="1:15" s="224" customFormat="1" ht="15" customHeight="1" x14ac:dyDescent="0.25">
      <c r="A109" s="215">
        <v>44403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16</v>
      </c>
      <c r="G109" s="982"/>
      <c r="H109" s="1008"/>
      <c r="I109" s="1063"/>
      <c r="J109" s="622"/>
      <c r="K109" s="982"/>
      <c r="L109" s="861"/>
      <c r="N109" s="1035"/>
    </row>
    <row r="110" spans="1:15" s="224" customFormat="1" ht="15" customHeight="1" x14ac:dyDescent="0.25">
      <c r="A110" s="215">
        <v>44403</v>
      </c>
      <c r="B110" s="882" t="s">
        <v>14</v>
      </c>
      <c r="C110" s="879" t="s">
        <v>12</v>
      </c>
      <c r="D110" s="879" t="s">
        <v>1486</v>
      </c>
      <c r="E110" s="875" t="s">
        <v>13</v>
      </c>
      <c r="F110" s="780">
        <v>4.34</v>
      </c>
      <c r="G110" s="982"/>
      <c r="H110" s="1008"/>
      <c r="I110" s="1063"/>
      <c r="J110" s="622"/>
      <c r="K110" s="982"/>
      <c r="L110" s="861"/>
      <c r="N110" s="1080"/>
      <c r="O110" s="999"/>
    </row>
    <row r="111" spans="1:15" s="224" customFormat="1" ht="15" customHeight="1" x14ac:dyDescent="0.25">
      <c r="A111" s="215">
        <v>44404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780">
        <v>16</v>
      </c>
      <c r="G111" s="982"/>
      <c r="H111" s="1008"/>
      <c r="I111" s="1063"/>
      <c r="J111" s="622"/>
      <c r="K111" s="982"/>
      <c r="L111" s="861"/>
      <c r="N111" s="1035"/>
    </row>
    <row r="112" spans="1:15" s="224" customFormat="1" ht="15" customHeight="1" x14ac:dyDescent="0.25">
      <c r="A112" s="215">
        <v>44404</v>
      </c>
      <c r="B112" s="882" t="s">
        <v>2415</v>
      </c>
      <c r="C112" s="879" t="s">
        <v>12</v>
      </c>
      <c r="D112" s="879" t="s">
        <v>1493</v>
      </c>
      <c r="E112" s="875" t="s">
        <v>13</v>
      </c>
      <c r="F112" s="780">
        <v>5</v>
      </c>
      <c r="G112" s="982"/>
      <c r="H112" s="1008"/>
      <c r="I112" s="1063"/>
      <c r="J112" s="622"/>
      <c r="K112" s="982"/>
      <c r="L112" s="1029"/>
      <c r="M112" s="89"/>
      <c r="N112" s="1035"/>
    </row>
    <row r="113" spans="1:15" s="224" customFormat="1" ht="15" customHeight="1" x14ac:dyDescent="0.25">
      <c r="A113" s="215">
        <v>44404</v>
      </c>
      <c r="B113" s="882" t="s">
        <v>14</v>
      </c>
      <c r="C113" s="879" t="s">
        <v>12</v>
      </c>
      <c r="D113" s="879" t="s">
        <v>1486</v>
      </c>
      <c r="E113" s="875" t="s">
        <v>13</v>
      </c>
      <c r="F113" s="780">
        <v>3.48</v>
      </c>
      <c r="G113" s="982"/>
      <c r="H113" s="1008"/>
      <c r="I113" s="1063"/>
      <c r="J113" s="622"/>
      <c r="K113" s="982"/>
      <c r="L113" s="861"/>
      <c r="N113" s="1080"/>
      <c r="O113" s="999"/>
    </row>
    <row r="114" spans="1:15" s="224" customFormat="1" ht="15" customHeight="1" x14ac:dyDescent="0.25">
      <c r="A114" s="215">
        <v>44405</v>
      </c>
      <c r="B114" s="862" t="s">
        <v>2919</v>
      </c>
      <c r="C114" s="879" t="s">
        <v>12</v>
      </c>
      <c r="D114" s="879" t="s">
        <v>1504</v>
      </c>
      <c r="E114" s="871" t="s">
        <v>13</v>
      </c>
      <c r="F114" s="622">
        <v>21.9</v>
      </c>
      <c r="G114" s="1034"/>
      <c r="H114" s="1008"/>
      <c r="I114" s="1063"/>
      <c r="J114" s="622"/>
      <c r="K114" s="982"/>
      <c r="L114" s="475"/>
      <c r="N114" s="878"/>
    </row>
    <row r="115" spans="1:15" s="224" customFormat="1" ht="15" customHeight="1" x14ac:dyDescent="0.25">
      <c r="A115" s="215">
        <v>44405</v>
      </c>
      <c r="B115" s="882" t="s">
        <v>2251</v>
      </c>
      <c r="C115" s="879" t="s">
        <v>12</v>
      </c>
      <c r="D115" s="879" t="s">
        <v>2157</v>
      </c>
      <c r="E115" s="875" t="s">
        <v>13</v>
      </c>
      <c r="F115" s="780">
        <v>40</v>
      </c>
      <c r="G115" s="982"/>
      <c r="H115" s="1008"/>
      <c r="I115" s="1063"/>
      <c r="J115" s="622"/>
      <c r="K115" s="982"/>
      <c r="L115" s="1029"/>
      <c r="M115" s="89"/>
      <c r="N115" s="1081"/>
      <c r="O115" s="1082"/>
    </row>
    <row r="116" spans="1:15" s="224" customFormat="1" ht="15" customHeight="1" x14ac:dyDescent="0.25">
      <c r="A116" s="215">
        <v>44405</v>
      </c>
      <c r="B116" s="882" t="s">
        <v>14</v>
      </c>
      <c r="C116" s="879" t="s">
        <v>12</v>
      </c>
      <c r="D116" s="879" t="s">
        <v>1486</v>
      </c>
      <c r="E116" s="875" t="s">
        <v>13</v>
      </c>
      <c r="F116" s="780">
        <v>10</v>
      </c>
      <c r="G116" s="982"/>
      <c r="H116" s="1008"/>
      <c r="I116" s="1063"/>
      <c r="J116" s="622"/>
      <c r="K116" s="982"/>
      <c r="L116" s="1029"/>
      <c r="M116" s="89"/>
      <c r="N116" s="930"/>
    </row>
    <row r="117" spans="1:15" s="224" customFormat="1" ht="15" customHeight="1" x14ac:dyDescent="0.25">
      <c r="A117" s="215">
        <v>44406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16</v>
      </c>
      <c r="G117" s="982"/>
      <c r="H117" s="1008"/>
      <c r="I117" s="1063"/>
      <c r="J117" s="622"/>
      <c r="K117" s="982"/>
      <c r="L117" s="861"/>
      <c r="N117" s="1035"/>
    </row>
    <row r="118" spans="1:15" s="224" customFormat="1" ht="15" customHeight="1" x14ac:dyDescent="0.25">
      <c r="A118" s="215">
        <v>44406</v>
      </c>
      <c r="B118" s="882" t="s">
        <v>14</v>
      </c>
      <c r="C118" s="879" t="s">
        <v>12</v>
      </c>
      <c r="D118" s="879" t="s">
        <v>1486</v>
      </c>
      <c r="E118" s="875" t="s">
        <v>13</v>
      </c>
      <c r="F118" s="780">
        <v>2.4900000000000002</v>
      </c>
      <c r="G118" s="982"/>
      <c r="H118" s="1008"/>
      <c r="I118" s="1063"/>
      <c r="J118" s="622"/>
      <c r="K118" s="982"/>
      <c r="L118" s="1029"/>
      <c r="M118" s="89"/>
      <c r="N118" s="930"/>
    </row>
    <row r="119" spans="1:15" s="224" customFormat="1" ht="15" customHeight="1" x14ac:dyDescent="0.25">
      <c r="A119" s="215">
        <v>44407</v>
      </c>
      <c r="B119" s="882" t="s">
        <v>32</v>
      </c>
      <c r="C119" s="879" t="s">
        <v>12</v>
      </c>
      <c r="D119" s="879" t="s">
        <v>1485</v>
      </c>
      <c r="E119" s="875" t="s">
        <v>13</v>
      </c>
      <c r="F119" s="780">
        <v>16</v>
      </c>
      <c r="G119" s="982"/>
      <c r="H119" s="1008"/>
      <c r="I119" s="1063"/>
      <c r="J119" s="622"/>
      <c r="K119" s="982"/>
      <c r="L119" s="861"/>
      <c r="N119" s="1035"/>
    </row>
    <row r="120" spans="1:15" s="224" customFormat="1" ht="15" customHeight="1" x14ac:dyDescent="0.25">
      <c r="A120" s="215">
        <v>44407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6.72</v>
      </c>
      <c r="G120" s="982"/>
      <c r="H120" s="1008"/>
      <c r="I120" s="1063"/>
      <c r="J120" s="622"/>
      <c r="K120" s="982"/>
      <c r="L120" s="1029"/>
      <c r="M120" s="89"/>
      <c r="N120" s="930"/>
    </row>
    <row r="121" spans="1:15" s="224" customFormat="1" ht="15" customHeight="1" x14ac:dyDescent="0.25">
      <c r="A121" s="215">
        <v>44408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4.32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5" s="224" customFormat="1" x14ac:dyDescent="0.25">
      <c r="A122" s="215">
        <v>44408</v>
      </c>
      <c r="B122" s="364" t="s">
        <v>82</v>
      </c>
      <c r="C122" s="350" t="s">
        <v>12</v>
      </c>
      <c r="D122" s="350" t="s">
        <v>1493</v>
      </c>
      <c r="E122" s="875" t="s">
        <v>13</v>
      </c>
      <c r="F122" s="1047">
        <v>27.6</v>
      </c>
      <c r="G122" s="982"/>
      <c r="H122" s="1008"/>
      <c r="I122" s="1063"/>
      <c r="J122" s="622"/>
      <c r="K122" s="982"/>
      <c r="L122" s="1029"/>
      <c r="M122" s="89"/>
      <c r="N122" s="930"/>
    </row>
    <row r="123" spans="1:15" s="224" customFormat="1" ht="15.75" thickBot="1" x14ac:dyDescent="0.3">
      <c r="A123" s="215">
        <v>44408</v>
      </c>
      <c r="B123" s="862" t="s">
        <v>1666</v>
      </c>
      <c r="C123" s="350" t="s">
        <v>12</v>
      </c>
      <c r="D123" s="1003"/>
      <c r="E123" s="145" t="s">
        <v>25</v>
      </c>
      <c r="F123" s="1036"/>
      <c r="G123" s="1535"/>
      <c r="H123" s="1008"/>
      <c r="I123" s="1063"/>
      <c r="J123" s="622"/>
      <c r="K123" s="982">
        <v>48.52</v>
      </c>
      <c r="L123" s="475"/>
      <c r="N123" s="878"/>
    </row>
    <row r="124" spans="1:15" ht="25.5" customHeight="1" thickBot="1" x14ac:dyDescent="0.3">
      <c r="A124" s="3060"/>
      <c r="B124" s="3061"/>
      <c r="C124" s="3062"/>
      <c r="D124" s="3062"/>
      <c r="E124" s="3062"/>
      <c r="F124" s="1020">
        <f>SUM(F6:F123)</f>
        <v>4081.51</v>
      </c>
      <c r="G124" s="1534">
        <f>SUM(G5:G123)</f>
        <v>4526.8712500000174</v>
      </c>
      <c r="H124" s="517">
        <f>SUM(H6:H123)</f>
        <v>0</v>
      </c>
      <c r="I124" s="93">
        <f>SUM(I5:I123)</f>
        <v>1199.9960000000028</v>
      </c>
      <c r="J124" s="1023">
        <f>SUM(J6:J123)</f>
        <v>0</v>
      </c>
      <c r="K124" s="93">
        <f>SUM(K5:K123)</f>
        <v>12306.919999999996</v>
      </c>
      <c r="M124" s="216"/>
    </row>
    <row r="125" spans="1:15" ht="25.5" customHeight="1" thickBot="1" x14ac:dyDescent="0.3">
      <c r="A125" s="3117" t="s">
        <v>49</v>
      </c>
      <c r="B125" s="3118"/>
      <c r="C125" s="3118"/>
      <c r="D125" s="3118"/>
      <c r="E125" s="3118"/>
      <c r="F125" s="144" t="s">
        <v>280</v>
      </c>
      <c r="G125" s="519">
        <f>G124-F124</f>
        <v>445.36125000001721</v>
      </c>
      <c r="H125" s="555"/>
      <c r="I125" s="772">
        <f>I124-H124</f>
        <v>1199.9960000000028</v>
      </c>
      <c r="J125" s="593"/>
      <c r="K125" s="772">
        <f>K124-J124</f>
        <v>12306.919999999996</v>
      </c>
    </row>
    <row r="126" spans="1:15" x14ac:dyDescent="0.25">
      <c r="E126" s="79"/>
      <c r="K126" s="518"/>
      <c r="L126" s="216"/>
    </row>
    <row r="127" spans="1:15" x14ac:dyDescent="0.25">
      <c r="B127" s="81" t="s">
        <v>3</v>
      </c>
      <c r="C127" s="193" t="s">
        <v>1484</v>
      </c>
      <c r="D127" s="970" t="s">
        <v>2378</v>
      </c>
      <c r="G127" s="216"/>
      <c r="K127" s="866"/>
    </row>
    <row r="128" spans="1:15" x14ac:dyDescent="0.25">
      <c r="B128" s="79" t="s">
        <v>32</v>
      </c>
      <c r="C128" s="85" t="s">
        <v>1485</v>
      </c>
      <c r="D128" s="475">
        <f>SUMIF($D$8:$D$123,"A",$F$8:$F$123)</f>
        <v>332.9</v>
      </c>
      <c r="F128" s="79"/>
      <c r="G128" s="800"/>
      <c r="I128" s="769"/>
      <c r="J128" s="868"/>
    </row>
    <row r="129" spans="1:14" x14ac:dyDescent="0.25">
      <c r="B129" s="79" t="s">
        <v>2187</v>
      </c>
      <c r="C129" s="85" t="s">
        <v>2157</v>
      </c>
      <c r="D129" s="475">
        <f>SUMIF($D$7:$D$123,"GAC",$F$7:$F$123)</f>
        <v>460</v>
      </c>
      <c r="G129" s="609"/>
      <c r="J129" s="754"/>
      <c r="K129" s="886"/>
      <c r="L129" s="1030"/>
    </row>
    <row r="130" spans="1:14" x14ac:dyDescent="0.25">
      <c r="B130" s="79" t="s">
        <v>2188</v>
      </c>
      <c r="C130" s="85" t="s">
        <v>2168</v>
      </c>
      <c r="D130" s="475">
        <f>SUMIF($D$10:$D$123,"GAM",$F$10:$F$123)</f>
        <v>120</v>
      </c>
      <c r="J130" s="864"/>
      <c r="K130" s="864"/>
      <c r="L130" s="958"/>
    </row>
    <row r="131" spans="1:14" s="85" customFormat="1" x14ac:dyDescent="0.25">
      <c r="A131" s="79"/>
      <c r="B131" s="79" t="s">
        <v>50</v>
      </c>
      <c r="C131" s="85" t="s">
        <v>1493</v>
      </c>
      <c r="D131" s="475">
        <f>SUMIF($D$8:$D$123,"LD",$F$8:$F$123)</f>
        <v>280.57000000000005</v>
      </c>
      <c r="J131" s="864"/>
      <c r="K131" s="1032"/>
      <c r="L131" s="958"/>
      <c r="N131" s="877"/>
    </row>
    <row r="132" spans="1:14" s="85" customFormat="1" x14ac:dyDescent="0.25">
      <c r="A132" s="79"/>
      <c r="B132" s="79" t="s">
        <v>14</v>
      </c>
      <c r="C132" s="85" t="s">
        <v>1486</v>
      </c>
      <c r="D132" s="475">
        <f>SUMIF($D$8:$D$123,"C",$F$8:$F$123)</f>
        <v>163.44999999999999</v>
      </c>
      <c r="F132" s="89"/>
      <c r="G132" s="79"/>
      <c r="H132" s="79"/>
      <c r="J132" s="864"/>
      <c r="K132" s="1032"/>
      <c r="L132" s="958"/>
      <c r="N132" s="877"/>
    </row>
    <row r="133" spans="1:14" s="85" customFormat="1" x14ac:dyDescent="0.25">
      <c r="A133" s="79"/>
      <c r="B133" s="79" t="s">
        <v>51</v>
      </c>
      <c r="C133" s="864" t="s">
        <v>1499</v>
      </c>
      <c r="D133" s="475">
        <f>SUMIF($D$27:$D$123,"CAL",$F$27:$F$123)</f>
        <v>108.33000000000001</v>
      </c>
      <c r="F133" s="89"/>
      <c r="G133" s="79"/>
      <c r="H133" s="79"/>
      <c r="I133" s="79"/>
      <c r="K133" s="795"/>
      <c r="L133" s="958"/>
      <c r="N133" s="877"/>
    </row>
    <row r="134" spans="1:14" s="85" customFormat="1" x14ac:dyDescent="0.25">
      <c r="A134" s="79"/>
      <c r="B134" s="79" t="s">
        <v>2189</v>
      </c>
      <c r="C134" s="864" t="s">
        <v>1496</v>
      </c>
      <c r="D134" s="475">
        <f>SUMIF($D$24:$D$123,"AC",$F$24:$F$123)</f>
        <v>70</v>
      </c>
      <c r="F134" s="769"/>
      <c r="G134" s="79"/>
      <c r="K134" s="177"/>
      <c r="L134" s="941"/>
      <c r="N134" s="877"/>
    </row>
    <row r="135" spans="1:14" s="85" customFormat="1" x14ac:dyDescent="0.25">
      <c r="A135" s="79"/>
      <c r="B135" s="867" t="s">
        <v>53</v>
      </c>
      <c r="C135" s="864" t="s">
        <v>1522</v>
      </c>
      <c r="D135" s="475">
        <f>SUMIF($D$27:$D$123,"DC",$F$27:$F$123)</f>
        <v>0</v>
      </c>
      <c r="K135" s="177"/>
      <c r="L135" s="475"/>
      <c r="N135" s="877"/>
    </row>
    <row r="136" spans="1:14" s="85" customFormat="1" x14ac:dyDescent="0.25">
      <c r="A136" s="79"/>
      <c r="B136" s="867" t="s">
        <v>2149</v>
      </c>
      <c r="C136" s="864" t="s">
        <v>2131</v>
      </c>
      <c r="D136" s="475">
        <f>SUMIF($D$6:$D$123,"DM",$F$6:$F$123)</f>
        <v>0</v>
      </c>
      <c r="F136" s="769"/>
      <c r="K136" s="177" t="s">
        <v>280</v>
      </c>
      <c r="L136" s="475"/>
      <c r="N136" s="877"/>
    </row>
    <row r="137" spans="1:14" s="85" customFormat="1" x14ac:dyDescent="0.25">
      <c r="A137" s="79"/>
      <c r="B137" s="79" t="s">
        <v>2008</v>
      </c>
      <c r="C137" s="864" t="s">
        <v>1523</v>
      </c>
      <c r="D137" s="475">
        <f>SUMIF($D$10:$D$123,"B",$F$10:$F$123)</f>
        <v>245.15</v>
      </c>
      <c r="F137" s="769"/>
      <c r="G137" s="866"/>
      <c r="K137" s="177"/>
      <c r="L137" s="475"/>
      <c r="N137" s="877"/>
    </row>
    <row r="138" spans="1:14" s="85" customFormat="1" x14ac:dyDescent="0.25">
      <c r="A138" s="79"/>
      <c r="B138" s="79" t="s">
        <v>1686</v>
      </c>
      <c r="C138" s="864" t="s">
        <v>1506</v>
      </c>
      <c r="D138" s="475">
        <f>SUMIF($D$8:$D$123,"R",$F$8:$F$123)</f>
        <v>358.19</v>
      </c>
      <c r="F138" s="769"/>
      <c r="G138" s="868"/>
      <c r="K138" s="866"/>
      <c r="L138" s="475"/>
      <c r="N138" s="877"/>
    </row>
    <row r="139" spans="1:14" x14ac:dyDescent="0.25">
      <c r="B139" s="79" t="s">
        <v>418</v>
      </c>
      <c r="C139" s="85" t="s">
        <v>1524</v>
      </c>
      <c r="D139" s="475">
        <f>SUMIF($D$27:$D$123,"COM",$F$27:$F$123)</f>
        <v>0</v>
      </c>
      <c r="G139" s="85"/>
      <c r="H139" s="85"/>
      <c r="I139" s="85"/>
      <c r="J139" s="769"/>
      <c r="K139" s="216"/>
    </row>
    <row r="140" spans="1:14" x14ac:dyDescent="0.25">
      <c r="B140" s="79" t="s">
        <v>419</v>
      </c>
      <c r="C140" s="85" t="s">
        <v>1491</v>
      </c>
      <c r="D140" s="475">
        <f>SUMIF($D$10:$D$123,"F",$F$10:$F$123)</f>
        <v>656.16</v>
      </c>
      <c r="I140" s="85"/>
      <c r="K140" s="216"/>
    </row>
    <row r="141" spans="1:14" x14ac:dyDescent="0.25">
      <c r="B141" s="79" t="s">
        <v>911</v>
      </c>
      <c r="C141" s="85" t="s">
        <v>1525</v>
      </c>
      <c r="D141" s="475">
        <f>SUMIF($D$27:$D$123,"FER",$F$27:$F$123)</f>
        <v>44.45</v>
      </c>
      <c r="J141" s="769"/>
      <c r="K141" s="868"/>
    </row>
    <row r="142" spans="1:14" x14ac:dyDescent="0.25">
      <c r="B142" s="79" t="s">
        <v>1526</v>
      </c>
      <c r="C142" s="85" t="s">
        <v>1504</v>
      </c>
      <c r="D142" s="475">
        <f>SUMIF($D$27:$D$123,"I",$F$27:$F$123)</f>
        <v>101.9</v>
      </c>
      <c r="F142" s="89" t="s">
        <v>280</v>
      </c>
      <c r="J142" s="769"/>
      <c r="K142" s="868"/>
    </row>
    <row r="143" spans="1:14" x14ac:dyDescent="0.25">
      <c r="B143" s="79" t="s">
        <v>2343</v>
      </c>
      <c r="C143" s="85" t="s">
        <v>2315</v>
      </c>
      <c r="D143" s="475">
        <f>SUMIF($D$27:$D$123,"E",$F$27:$F$123)</f>
        <v>0</v>
      </c>
      <c r="J143" s="769"/>
      <c r="K143" s="868"/>
    </row>
    <row r="144" spans="1:14" x14ac:dyDescent="0.25">
      <c r="B144" s="79" t="s">
        <v>3019</v>
      </c>
      <c r="C144" s="85" t="s">
        <v>3017</v>
      </c>
      <c r="D144" s="475">
        <f>SUMIF($D$27:$D$123,"IM",$F$27:$F$123)</f>
        <v>563.42999999999995</v>
      </c>
      <c r="J144" s="769"/>
    </row>
    <row r="145" spans="1:18" x14ac:dyDescent="0.25">
      <c r="B145" s="79" t="s">
        <v>1527</v>
      </c>
      <c r="C145" s="85" t="s">
        <v>1489</v>
      </c>
      <c r="D145" s="475">
        <f>SUMIF($D$10:$D$123,"OD",$F$10:$F$123)</f>
        <v>376.98</v>
      </c>
    </row>
    <row r="146" spans="1:18" x14ac:dyDescent="0.25">
      <c r="C146" s="79"/>
      <c r="D146" s="79"/>
      <c r="E146" s="79"/>
      <c r="F146" s="79"/>
      <c r="L146" s="79"/>
      <c r="N146" s="79"/>
    </row>
    <row r="148" spans="1:18" ht="15.75" customHeight="1" x14ac:dyDescent="0.25">
      <c r="B148" s="79" t="s">
        <v>486</v>
      </c>
      <c r="C148" s="475">
        <f>H148/J148</f>
        <v>125.21</v>
      </c>
      <c r="F148" s="518" t="s">
        <v>487</v>
      </c>
      <c r="H148" s="216">
        <f>SUM(D128:D145)</f>
        <v>3881.5099999999998</v>
      </c>
      <c r="J148" s="1517">
        <v>31</v>
      </c>
      <c r="K148" s="868"/>
    </row>
    <row r="149" spans="1:18" x14ac:dyDescent="0.25">
      <c r="E149" s="79"/>
      <c r="F149" s="79"/>
      <c r="G149" s="85"/>
      <c r="H149" s="459"/>
      <c r="I149" s="85"/>
      <c r="J149" s="89"/>
      <c r="L149" s="769"/>
      <c r="M149" s="518" t="s">
        <v>280</v>
      </c>
      <c r="N149" s="79"/>
      <c r="O149" s="866"/>
      <c r="P149" s="484"/>
      <c r="R149" s="877"/>
    </row>
    <row r="150" spans="1:18" s="518" customFormat="1" x14ac:dyDescent="0.25">
      <c r="A150" s="79"/>
      <c r="B150" s="79"/>
      <c r="C150" s="85"/>
      <c r="D150" s="79"/>
      <c r="E150" s="79"/>
      <c r="F150" s="769"/>
      <c r="G150" s="85"/>
      <c r="H150" s="85"/>
      <c r="I150" s="89"/>
      <c r="J150" s="79"/>
      <c r="K150" s="79"/>
      <c r="L150" s="79"/>
      <c r="M150" s="79"/>
      <c r="N150" s="866"/>
      <c r="O150" s="484"/>
      <c r="P150" s="79"/>
      <c r="Q150" s="877"/>
      <c r="R150" s="79"/>
    </row>
    <row r="151" spans="1:18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484"/>
      <c r="M151" s="79"/>
      <c r="N151" s="877"/>
      <c r="O151" s="79"/>
    </row>
    <row r="152" spans="1:18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484"/>
      <c r="M152" s="79"/>
      <c r="N152" s="877"/>
      <c r="O152" s="79"/>
    </row>
    <row r="153" spans="1:18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216"/>
      <c r="J153" s="769"/>
      <c r="K153" s="866"/>
      <c r="L153" s="484"/>
      <c r="M153" s="79"/>
      <c r="N153" s="877"/>
      <c r="O153" s="79"/>
    </row>
    <row r="154" spans="1:18" s="518" customFormat="1" x14ac:dyDescent="0.25">
      <c r="A154" s="79"/>
      <c r="B154" s="79"/>
      <c r="C154" s="79"/>
      <c r="D154" s="79"/>
      <c r="E154" s="79"/>
      <c r="F154" s="79"/>
      <c r="G154" s="79"/>
      <c r="H154" s="79"/>
      <c r="K154" s="866"/>
      <c r="L154" s="484"/>
      <c r="M154" s="79"/>
      <c r="N154" s="877"/>
      <c r="O154" s="79"/>
    </row>
    <row r="155" spans="1:18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484"/>
      <c r="M155" s="79"/>
      <c r="N155" s="877"/>
      <c r="O155" s="79"/>
    </row>
    <row r="156" spans="1:18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216"/>
      <c r="J156" s="769"/>
      <c r="K156" s="868"/>
      <c r="L156" s="484"/>
      <c r="M156" s="79"/>
      <c r="N156" s="877"/>
      <c r="O156" s="79"/>
    </row>
    <row r="157" spans="1:18" s="518" customFormat="1" x14ac:dyDescent="0.25">
      <c r="A157" s="79"/>
      <c r="B157" s="79"/>
      <c r="C157" s="79"/>
      <c r="D157" s="79"/>
      <c r="E157" s="79"/>
      <c r="F157" s="79"/>
      <c r="G157" s="216"/>
      <c r="H157" s="79"/>
      <c r="I157" s="216"/>
      <c r="J157" s="769"/>
      <c r="K157" s="866"/>
      <c r="L157" s="484"/>
      <c r="M157" s="79"/>
      <c r="N157" s="877"/>
      <c r="O157" s="79"/>
    </row>
    <row r="158" spans="1:18" s="518" customFormat="1" x14ac:dyDescent="0.25">
      <c r="A158" s="79"/>
      <c r="B158" s="79"/>
      <c r="C158" s="79"/>
      <c r="D158" s="79"/>
      <c r="E158" s="79"/>
      <c r="F158" s="79"/>
      <c r="G158" s="216"/>
      <c r="H158" s="79"/>
      <c r="I158" s="79"/>
      <c r="J158" s="770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484"/>
      <c r="M159" s="79"/>
      <c r="N159" s="877"/>
      <c r="O159" s="79"/>
    </row>
    <row r="160" spans="1:18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629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877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8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8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223"/>
      <c r="K186" s="629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56"/>
      <c r="K187" s="756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85"/>
      <c r="K192" s="85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85"/>
      <c r="K199" s="85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71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484"/>
      <c r="M217" s="79"/>
      <c r="N217" s="877"/>
      <c r="O217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877"/>
      <c r="O219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629"/>
      <c r="L221" s="484"/>
      <c r="M221" s="79"/>
      <c r="N221" s="877"/>
      <c r="O221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</sheetData>
  <autoFilter ref="A2:I125" xr:uid="{00000000-0009-0000-0000-000072000000}"/>
  <mergeCells count="12">
    <mergeCell ref="A124:E124"/>
    <mergeCell ref="A125:E12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Plan130" filterMode="1"/>
  <dimension ref="A1:R242"/>
  <sheetViews>
    <sheetView zoomScale="85" zoomScaleNormal="85" workbookViewId="0">
      <pane ySplit="4" topLeftCell="A5" activePane="bottomLeft" state="frozen"/>
      <selection activeCell="C44" sqref="C44"/>
      <selection pane="bottomLeft" activeCell="B92" sqref="A1:R24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9.85546875" style="484" customWidth="1"/>
    <col min="13" max="13" width="10.28515625" style="79" customWidth="1"/>
    <col min="14" max="14" width="7.42578125" style="877" customWidth="1"/>
    <col min="15" max="15" width="16.140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3020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hidden="1" x14ac:dyDescent="0.25">
      <c r="A5" s="281">
        <v>44409</v>
      </c>
      <c r="B5" s="369" t="s">
        <v>10</v>
      </c>
      <c r="C5" s="370"/>
      <c r="D5" s="370"/>
      <c r="E5" s="777"/>
      <c r="F5" s="179"/>
      <c r="G5" s="933">
        <f>'Julho-21'!G125</f>
        <v>445.36125000001721</v>
      </c>
      <c r="H5" s="163"/>
      <c r="I5" s="1479">
        <f>'Julho-21'!I125</f>
        <v>1199.9960000000028</v>
      </c>
      <c r="J5" s="179"/>
      <c r="K5" s="933">
        <f>'Julho-21'!K125</f>
        <v>12306.919999999996</v>
      </c>
    </row>
    <row r="6" spans="1:15" s="224" customFormat="1" hidden="1" x14ac:dyDescent="0.25">
      <c r="A6" s="215">
        <v>44409</v>
      </c>
      <c r="B6" s="348" t="s">
        <v>11</v>
      </c>
      <c r="C6" s="879" t="s">
        <v>12</v>
      </c>
      <c r="D6" s="351" t="s">
        <v>1489</v>
      </c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hidden="1" customHeight="1" x14ac:dyDescent="0.25">
      <c r="A7" s="215">
        <v>44409</v>
      </c>
      <c r="B7" s="882" t="s">
        <v>2766</v>
      </c>
      <c r="C7" s="879" t="s">
        <v>12</v>
      </c>
      <c r="D7" s="879" t="s">
        <v>2157</v>
      </c>
      <c r="E7" s="875" t="s">
        <v>13</v>
      </c>
      <c r="F7" s="780">
        <v>20</v>
      </c>
      <c r="G7" s="982"/>
      <c r="H7" s="1008"/>
      <c r="I7" s="1063"/>
      <c r="J7" s="622"/>
      <c r="K7" s="982"/>
      <c r="L7" s="1029"/>
      <c r="M7" s="89"/>
      <c r="N7" s="1081"/>
      <c r="O7" s="1082"/>
    </row>
    <row r="8" spans="1:15" s="224" customFormat="1" ht="15" hidden="1" customHeight="1" x14ac:dyDescent="0.25">
      <c r="A8" s="215">
        <v>44409</v>
      </c>
      <c r="B8" s="882" t="s">
        <v>14</v>
      </c>
      <c r="C8" s="879" t="s">
        <v>12</v>
      </c>
      <c r="D8" s="879" t="s">
        <v>1486</v>
      </c>
      <c r="E8" s="875" t="s">
        <v>13</v>
      </c>
      <c r="F8" s="780">
        <v>8.44</v>
      </c>
      <c r="G8" s="982"/>
      <c r="H8" s="1008"/>
      <c r="I8" s="1063"/>
      <c r="J8" s="622"/>
      <c r="K8" s="982"/>
      <c r="L8" s="1029"/>
      <c r="M8" s="89"/>
      <c r="N8" s="1035"/>
    </row>
    <row r="9" spans="1:15" s="224" customFormat="1" ht="15" hidden="1" customHeight="1" x14ac:dyDescent="0.25">
      <c r="A9" s="215">
        <v>44409</v>
      </c>
      <c r="B9" s="882" t="s">
        <v>134</v>
      </c>
      <c r="C9" s="879" t="s">
        <v>12</v>
      </c>
      <c r="D9" s="879" t="s">
        <v>1493</v>
      </c>
      <c r="E9" s="875" t="s">
        <v>15</v>
      </c>
      <c r="F9" s="780">
        <v>4</v>
      </c>
      <c r="G9" s="982"/>
      <c r="H9" s="1008"/>
      <c r="I9" s="1063"/>
      <c r="J9" s="622"/>
      <c r="K9" s="982"/>
      <c r="L9" s="1029"/>
      <c r="M9" s="89"/>
      <c r="N9" s="1035"/>
    </row>
    <row r="10" spans="1:15" s="224" customFormat="1" ht="15" hidden="1" customHeight="1" x14ac:dyDescent="0.25">
      <c r="A10" s="215">
        <v>44409</v>
      </c>
      <c r="B10" s="882" t="s">
        <v>3021</v>
      </c>
      <c r="C10" s="879" t="s">
        <v>19</v>
      </c>
      <c r="D10" s="879" t="s">
        <v>1506</v>
      </c>
      <c r="E10" s="875" t="s">
        <v>13</v>
      </c>
      <c r="F10" s="780">
        <v>90</v>
      </c>
      <c r="G10" s="982"/>
      <c r="H10" s="622"/>
      <c r="I10" s="982"/>
      <c r="J10" s="622"/>
      <c r="K10" s="982"/>
      <c r="L10" s="927"/>
      <c r="M10" s="927"/>
      <c r="N10" s="878"/>
    </row>
    <row r="11" spans="1:15" s="224" customFormat="1" ht="15" hidden="1" customHeight="1" x14ac:dyDescent="0.25">
      <c r="A11" s="215">
        <v>44409</v>
      </c>
      <c r="B11" s="882" t="s">
        <v>103</v>
      </c>
      <c r="C11" s="879" t="s">
        <v>12</v>
      </c>
      <c r="D11" s="879" t="s">
        <v>1489</v>
      </c>
      <c r="E11" s="875" t="s">
        <v>13</v>
      </c>
      <c r="F11" s="780">
        <v>9</v>
      </c>
      <c r="G11" s="982"/>
      <c r="H11" s="622"/>
      <c r="I11" s="982"/>
      <c r="J11" s="622"/>
      <c r="K11" s="982"/>
      <c r="L11" s="927"/>
      <c r="M11" s="927"/>
      <c r="N11" s="878"/>
    </row>
    <row r="12" spans="1:15" s="224" customFormat="1" ht="15" hidden="1" customHeight="1" x14ac:dyDescent="0.25">
      <c r="A12" s="215">
        <v>44409</v>
      </c>
      <c r="B12" s="882" t="s">
        <v>32</v>
      </c>
      <c r="C12" s="879" t="s">
        <v>12</v>
      </c>
      <c r="D12" s="879" t="s">
        <v>1485</v>
      </c>
      <c r="E12" s="875" t="s">
        <v>13</v>
      </c>
      <c r="F12" s="780">
        <v>16</v>
      </c>
      <c r="G12" s="982"/>
      <c r="H12" s="622"/>
      <c r="I12" s="982"/>
      <c r="J12" s="622"/>
      <c r="K12" s="982"/>
      <c r="L12" s="927"/>
      <c r="M12" s="927"/>
      <c r="N12" s="878"/>
    </row>
    <row r="13" spans="1:15" s="224" customFormat="1" ht="15" hidden="1" customHeight="1" x14ac:dyDescent="0.25">
      <c r="A13" s="215">
        <v>44409</v>
      </c>
      <c r="B13" s="882" t="s">
        <v>443</v>
      </c>
      <c r="C13" s="879" t="s">
        <v>12</v>
      </c>
      <c r="D13" s="879" t="s">
        <v>1493</v>
      </c>
      <c r="E13" s="875" t="s">
        <v>13</v>
      </c>
      <c r="F13" s="780">
        <v>15</v>
      </c>
      <c r="G13" s="982"/>
      <c r="H13" s="622"/>
      <c r="I13" s="982"/>
      <c r="J13" s="622"/>
      <c r="K13" s="982"/>
      <c r="L13" s="927"/>
      <c r="N13" s="878"/>
    </row>
    <row r="14" spans="1:15" s="224" customFormat="1" ht="15" hidden="1" customHeight="1" x14ac:dyDescent="0.25">
      <c r="A14" s="215">
        <v>44410</v>
      </c>
      <c r="B14" s="882" t="s">
        <v>32</v>
      </c>
      <c r="C14" s="879" t="s">
        <v>12</v>
      </c>
      <c r="D14" s="879" t="s">
        <v>1485</v>
      </c>
      <c r="E14" s="875" t="s">
        <v>13</v>
      </c>
      <c r="F14" s="780">
        <v>16</v>
      </c>
      <c r="G14" s="982"/>
      <c r="H14" s="622"/>
      <c r="I14" s="982"/>
      <c r="J14" s="622"/>
      <c r="K14" s="982"/>
      <c r="L14" s="927"/>
      <c r="M14" s="927"/>
      <c r="N14" s="878"/>
    </row>
    <row r="15" spans="1:15" s="224" customFormat="1" ht="15" hidden="1" customHeight="1" x14ac:dyDescent="0.25">
      <c r="A15" s="215">
        <v>44410</v>
      </c>
      <c r="B15" s="882" t="s">
        <v>14</v>
      </c>
      <c r="C15" s="879" t="s">
        <v>12</v>
      </c>
      <c r="D15" s="879" t="s">
        <v>1486</v>
      </c>
      <c r="E15" s="875" t="s">
        <v>13</v>
      </c>
      <c r="F15" s="780">
        <v>5.68</v>
      </c>
      <c r="G15" s="982"/>
      <c r="H15" s="622"/>
      <c r="I15" s="982"/>
      <c r="J15" s="622"/>
      <c r="K15" s="982"/>
      <c r="L15" s="927"/>
      <c r="N15" s="878"/>
    </row>
    <row r="16" spans="1:15" s="224" customFormat="1" ht="15" hidden="1" customHeight="1" x14ac:dyDescent="0.25">
      <c r="A16" s="215">
        <v>44411</v>
      </c>
      <c r="B16" s="882" t="s">
        <v>2197</v>
      </c>
      <c r="C16" s="879" t="s">
        <v>12</v>
      </c>
      <c r="D16" s="879" t="s">
        <v>2168</v>
      </c>
      <c r="E16" s="875" t="s">
        <v>13</v>
      </c>
      <c r="F16" s="780">
        <v>30</v>
      </c>
      <c r="G16" s="982"/>
      <c r="H16" s="1008"/>
      <c r="I16" s="1063"/>
      <c r="J16" s="622"/>
      <c r="K16" s="982"/>
      <c r="L16" s="861"/>
      <c r="N16" s="878"/>
    </row>
    <row r="17" spans="1:15" s="224" customFormat="1" ht="15" hidden="1" customHeight="1" x14ac:dyDescent="0.25">
      <c r="A17" s="215">
        <v>44411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16</v>
      </c>
      <c r="G17" s="982"/>
      <c r="H17" s="622"/>
      <c r="I17" s="982"/>
      <c r="J17" s="622"/>
      <c r="K17" s="982"/>
      <c r="L17" s="927"/>
      <c r="M17" s="927"/>
      <c r="N17" s="878"/>
    </row>
    <row r="18" spans="1:15" s="224" customFormat="1" ht="15" hidden="1" customHeight="1" x14ac:dyDescent="0.25">
      <c r="A18" s="215">
        <v>44411</v>
      </c>
      <c r="B18" s="882" t="s">
        <v>14</v>
      </c>
      <c r="C18" s="879" t="s">
        <v>12</v>
      </c>
      <c r="D18" s="879" t="s">
        <v>1486</v>
      </c>
      <c r="E18" s="875" t="s">
        <v>13</v>
      </c>
      <c r="F18" s="780">
        <v>10</v>
      </c>
      <c r="G18" s="982"/>
      <c r="H18" s="622"/>
      <c r="I18" s="982"/>
      <c r="J18" s="622"/>
      <c r="K18" s="982"/>
      <c r="L18" s="927"/>
      <c r="M18" s="927"/>
      <c r="N18" s="878"/>
    </row>
    <row r="19" spans="1:15" s="224" customFormat="1" ht="15" hidden="1" customHeight="1" x14ac:dyDescent="0.25">
      <c r="A19" s="215">
        <v>44412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16</v>
      </c>
      <c r="G19" s="982"/>
      <c r="H19" s="622"/>
      <c r="I19" s="982"/>
      <c r="J19" s="622"/>
      <c r="K19" s="982"/>
      <c r="L19" s="927"/>
      <c r="M19" s="927"/>
      <c r="N19" s="878"/>
    </row>
    <row r="20" spans="1:15" s="224" customFormat="1" ht="15" hidden="1" customHeight="1" x14ac:dyDescent="0.25">
      <c r="A20" s="215">
        <v>44412</v>
      </c>
      <c r="B20" s="882" t="s">
        <v>2766</v>
      </c>
      <c r="C20" s="879" t="s">
        <v>12</v>
      </c>
      <c r="D20" s="879" t="s">
        <v>2157</v>
      </c>
      <c r="E20" s="875" t="s">
        <v>15</v>
      </c>
      <c r="F20" s="780">
        <v>50</v>
      </c>
      <c r="G20" s="982"/>
      <c r="H20" s="1008"/>
      <c r="I20" s="1063"/>
      <c r="J20" s="622"/>
      <c r="K20" s="982"/>
      <c r="L20" s="1029"/>
      <c r="M20" s="89"/>
      <c r="N20" s="1081"/>
      <c r="O20" s="1082"/>
    </row>
    <row r="21" spans="1:15" s="224" customFormat="1" ht="15" hidden="1" customHeight="1" x14ac:dyDescent="0.25">
      <c r="A21" s="215">
        <v>44412</v>
      </c>
      <c r="B21" s="882" t="s">
        <v>14</v>
      </c>
      <c r="C21" s="879" t="s">
        <v>12</v>
      </c>
      <c r="D21" s="879" t="s">
        <v>1486</v>
      </c>
      <c r="E21" s="875" t="s">
        <v>13</v>
      </c>
      <c r="F21" s="780">
        <v>6.5</v>
      </c>
      <c r="G21" s="982"/>
      <c r="H21" s="1008"/>
      <c r="I21" s="1063"/>
      <c r="J21" s="622"/>
      <c r="K21" s="982"/>
      <c r="L21" s="861"/>
      <c r="N21" s="878"/>
    </row>
    <row r="22" spans="1:15" s="224" customFormat="1" ht="15" hidden="1" customHeight="1" x14ac:dyDescent="0.25">
      <c r="A22" s="215">
        <v>44412</v>
      </c>
      <c r="B22" s="882" t="s">
        <v>872</v>
      </c>
      <c r="C22" s="879" t="s">
        <v>12</v>
      </c>
      <c r="D22" s="879"/>
      <c r="E22" s="875" t="s">
        <v>25</v>
      </c>
      <c r="F22" s="780"/>
      <c r="G22" s="982">
        <v>150</v>
      </c>
      <c r="H22" s="1008"/>
      <c r="I22" s="1063"/>
      <c r="J22" s="622"/>
      <c r="K22" s="982"/>
      <c r="L22" s="861"/>
      <c r="N22" s="878"/>
    </row>
    <row r="23" spans="1:15" s="224" customFormat="1" ht="15" hidden="1" customHeight="1" x14ac:dyDescent="0.25">
      <c r="A23" s="215">
        <v>44413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16</v>
      </c>
      <c r="G23" s="982"/>
      <c r="H23" s="622"/>
      <c r="I23" s="982"/>
      <c r="J23" s="622"/>
      <c r="K23" s="982"/>
      <c r="L23" s="927"/>
      <c r="M23" s="927"/>
      <c r="N23" s="878"/>
    </row>
    <row r="24" spans="1:15" s="224" customFormat="1" ht="15" hidden="1" customHeight="1" x14ac:dyDescent="0.25">
      <c r="A24" s="215">
        <v>44413</v>
      </c>
      <c r="B24" s="882" t="s">
        <v>3022</v>
      </c>
      <c r="C24" s="879" t="s">
        <v>12</v>
      </c>
      <c r="D24" s="879" t="s">
        <v>1525</v>
      </c>
      <c r="E24" s="875" t="s">
        <v>13</v>
      </c>
      <c r="F24" s="780">
        <v>9</v>
      </c>
      <c r="G24" s="982"/>
      <c r="H24" s="622"/>
      <c r="I24" s="982"/>
      <c r="J24" s="622"/>
      <c r="K24" s="982"/>
      <c r="L24" s="927"/>
      <c r="N24" s="878"/>
    </row>
    <row r="25" spans="1:15" s="224" customFormat="1" ht="15" hidden="1" customHeight="1" x14ac:dyDescent="0.25">
      <c r="A25" s="215">
        <v>44413</v>
      </c>
      <c r="B25" s="882" t="s">
        <v>461</v>
      </c>
      <c r="C25" s="879" t="s">
        <v>12</v>
      </c>
      <c r="D25" s="879" t="s">
        <v>1506</v>
      </c>
      <c r="E25" s="875" t="s">
        <v>13</v>
      </c>
      <c r="F25" s="780">
        <v>12</v>
      </c>
      <c r="G25" s="982"/>
      <c r="H25" s="622"/>
      <c r="I25" s="982"/>
      <c r="J25" s="622"/>
      <c r="K25" s="982"/>
      <c r="L25" s="927"/>
      <c r="N25" s="878"/>
    </row>
    <row r="26" spans="1:15" s="224" customFormat="1" ht="15" hidden="1" customHeight="1" x14ac:dyDescent="0.25">
      <c r="A26" s="215">
        <v>44413</v>
      </c>
      <c r="B26" s="882" t="s">
        <v>14</v>
      </c>
      <c r="C26" s="879" t="s">
        <v>12</v>
      </c>
      <c r="D26" s="879" t="s">
        <v>1486</v>
      </c>
      <c r="E26" s="875" t="s">
        <v>13</v>
      </c>
      <c r="F26" s="780">
        <v>7.5</v>
      </c>
      <c r="G26" s="982"/>
      <c r="H26" s="622"/>
      <c r="I26" s="982"/>
      <c r="J26" s="622"/>
      <c r="K26" s="982"/>
      <c r="L26" s="927"/>
      <c r="N26" s="878"/>
    </row>
    <row r="27" spans="1:15" s="224" customFormat="1" ht="15.75" hidden="1" customHeight="1" x14ac:dyDescent="0.25">
      <c r="A27" s="215">
        <v>44414</v>
      </c>
      <c r="B27" s="873" t="s">
        <v>3023</v>
      </c>
      <c r="C27" s="879" t="s">
        <v>12</v>
      </c>
      <c r="D27" s="874"/>
      <c r="E27" s="871" t="s">
        <v>25</v>
      </c>
      <c r="F27" s="1514"/>
      <c r="G27" s="1002">
        <v>2006.3</v>
      </c>
      <c r="H27" s="250"/>
      <c r="I27" s="946"/>
      <c r="J27" s="97"/>
      <c r="K27" s="946"/>
    </row>
    <row r="28" spans="1:15" s="224" customFormat="1" ht="15" hidden="1" customHeight="1" x14ac:dyDescent="0.25">
      <c r="A28" s="215">
        <v>44414</v>
      </c>
      <c r="B28" s="349" t="s">
        <v>3024</v>
      </c>
      <c r="C28" s="887" t="s">
        <v>12</v>
      </c>
      <c r="D28" s="1005" t="s">
        <v>1506</v>
      </c>
      <c r="E28" s="887" t="s">
        <v>13</v>
      </c>
      <c r="F28" s="613">
        <v>71.666666666666671</v>
      </c>
      <c r="G28" s="982"/>
      <c r="H28" s="861"/>
      <c r="I28" s="1063"/>
      <c r="J28" s="622"/>
      <c r="K28" s="982"/>
      <c r="L28" s="927"/>
      <c r="M28" s="999"/>
      <c r="N28" s="878"/>
    </row>
    <row r="29" spans="1:15" s="224" customFormat="1" ht="15" hidden="1" customHeight="1" x14ac:dyDescent="0.25">
      <c r="A29" s="215">
        <v>44414</v>
      </c>
      <c r="B29" s="349" t="s">
        <v>3024</v>
      </c>
      <c r="C29" s="887" t="s">
        <v>12</v>
      </c>
      <c r="D29" s="1005" t="s">
        <v>1506</v>
      </c>
      <c r="E29" s="887" t="s">
        <v>13</v>
      </c>
      <c r="F29" s="613">
        <v>50</v>
      </c>
      <c r="G29" s="982"/>
      <c r="H29" s="1008"/>
      <c r="I29" s="1063"/>
      <c r="J29" s="622"/>
      <c r="K29" s="982"/>
      <c r="L29" s="1029"/>
      <c r="M29" s="999"/>
      <c r="N29" s="1035"/>
    </row>
    <row r="30" spans="1:15" s="224" customFormat="1" ht="15" hidden="1" customHeight="1" x14ac:dyDescent="0.25">
      <c r="A30" s="215">
        <v>44414</v>
      </c>
      <c r="B30" s="349" t="s">
        <v>3024</v>
      </c>
      <c r="C30" s="887" t="s">
        <v>12</v>
      </c>
      <c r="D30" s="1005" t="s">
        <v>1489</v>
      </c>
      <c r="E30" s="887" t="s">
        <v>13</v>
      </c>
      <c r="F30" s="613">
        <v>3.45</v>
      </c>
      <c r="G30" s="982"/>
      <c r="H30" s="1008"/>
      <c r="I30" s="1063"/>
      <c r="J30" s="622"/>
      <c r="K30" s="982"/>
      <c r="L30" s="1029"/>
      <c r="M30" s="999"/>
      <c r="N30" s="1035"/>
    </row>
    <row r="31" spans="1:15" s="224" customFormat="1" ht="15" hidden="1" customHeight="1" x14ac:dyDescent="0.25">
      <c r="A31" s="215">
        <v>44414</v>
      </c>
      <c r="B31" s="349" t="s">
        <v>3024</v>
      </c>
      <c r="C31" s="887" t="s">
        <v>12</v>
      </c>
      <c r="D31" s="1005" t="s">
        <v>1489</v>
      </c>
      <c r="E31" s="887" t="s">
        <v>13</v>
      </c>
      <c r="F31" s="613">
        <v>30.13</v>
      </c>
      <c r="G31" s="982"/>
      <c r="H31" s="1008"/>
      <c r="I31" s="1063"/>
      <c r="J31" s="622"/>
      <c r="K31" s="982"/>
      <c r="L31" s="1029"/>
      <c r="M31" s="999"/>
      <c r="N31" s="1035"/>
    </row>
    <row r="32" spans="1:15" s="224" customFormat="1" ht="15" hidden="1" customHeight="1" x14ac:dyDescent="0.25">
      <c r="A32" s="215">
        <v>44414</v>
      </c>
      <c r="B32" s="349" t="s">
        <v>3025</v>
      </c>
      <c r="C32" s="887" t="s">
        <v>19</v>
      </c>
      <c r="D32" s="1005" t="s">
        <v>1506</v>
      </c>
      <c r="E32" s="887" t="s">
        <v>13</v>
      </c>
      <c r="F32" s="613">
        <v>29.25</v>
      </c>
      <c r="G32" s="967"/>
      <c r="H32" s="1008"/>
      <c r="I32" s="1063"/>
      <c r="J32" s="622"/>
      <c r="K32" s="982"/>
      <c r="L32" s="861"/>
      <c r="N32" s="878"/>
    </row>
    <row r="33" spans="1:15" s="224" customFormat="1" ht="15" hidden="1" customHeight="1" x14ac:dyDescent="0.25">
      <c r="A33" s="215">
        <v>44414</v>
      </c>
      <c r="B33" s="349" t="s">
        <v>3026</v>
      </c>
      <c r="C33" s="887" t="s">
        <v>19</v>
      </c>
      <c r="D33" s="1005" t="s">
        <v>1506</v>
      </c>
      <c r="E33" s="887" t="s">
        <v>13</v>
      </c>
      <c r="F33" s="613">
        <v>31.5</v>
      </c>
      <c r="G33" s="982"/>
      <c r="H33" s="1008"/>
      <c r="I33" s="1063"/>
      <c r="J33" s="622"/>
      <c r="K33" s="982"/>
      <c r="L33" s="861"/>
      <c r="N33" s="1035"/>
    </row>
    <row r="34" spans="1:15" s="224" customFormat="1" ht="15" hidden="1" customHeight="1" x14ac:dyDescent="0.25">
      <c r="A34" s="215">
        <v>44414</v>
      </c>
      <c r="B34" s="349" t="s">
        <v>3027</v>
      </c>
      <c r="C34" s="887" t="s">
        <v>19</v>
      </c>
      <c r="D34" s="1005" t="s">
        <v>1506</v>
      </c>
      <c r="E34" s="887" t="s">
        <v>13</v>
      </c>
      <c r="F34" s="613">
        <v>24.75</v>
      </c>
      <c r="G34" s="967"/>
      <c r="H34" s="1008"/>
      <c r="I34" s="1063"/>
      <c r="J34" s="622"/>
      <c r="K34" s="982"/>
      <c r="L34" s="861"/>
      <c r="N34" s="878"/>
    </row>
    <row r="35" spans="1:15" s="224" customFormat="1" ht="15" hidden="1" customHeight="1" x14ac:dyDescent="0.25">
      <c r="A35" s="215">
        <v>44414</v>
      </c>
      <c r="B35" s="349" t="s">
        <v>3028</v>
      </c>
      <c r="C35" s="887" t="s">
        <v>19</v>
      </c>
      <c r="D35" s="1005" t="s">
        <v>1506</v>
      </c>
      <c r="E35" s="887" t="s">
        <v>13</v>
      </c>
      <c r="F35" s="613">
        <v>24.75</v>
      </c>
      <c r="G35" s="982"/>
      <c r="H35" s="1008"/>
      <c r="I35" s="1063"/>
      <c r="J35" s="622"/>
      <c r="K35" s="982"/>
      <c r="L35" s="861"/>
      <c r="N35" s="1035"/>
    </row>
    <row r="36" spans="1:15" s="224" customFormat="1" ht="15" hidden="1" customHeight="1" x14ac:dyDescent="0.25">
      <c r="A36" s="215">
        <v>44414</v>
      </c>
      <c r="B36" s="862" t="s">
        <v>2385</v>
      </c>
      <c r="C36" s="879" t="s">
        <v>12</v>
      </c>
      <c r="D36" s="879" t="s">
        <v>1504</v>
      </c>
      <c r="E36" s="871" t="s">
        <v>13</v>
      </c>
      <c r="F36" s="780">
        <v>50</v>
      </c>
      <c r="G36" s="982"/>
      <c r="H36" s="1008"/>
      <c r="I36" s="1063"/>
      <c r="J36" s="622"/>
      <c r="K36" s="982"/>
      <c r="L36" s="1028" t="s">
        <v>3029</v>
      </c>
      <c r="M36" s="999"/>
      <c r="N36" s="1035"/>
    </row>
    <row r="37" spans="1:15" s="224" customFormat="1" ht="15" hidden="1" customHeight="1" x14ac:dyDescent="0.25">
      <c r="A37" s="215">
        <v>44414</v>
      </c>
      <c r="B37" s="882" t="s">
        <v>3030</v>
      </c>
      <c r="C37" s="879" t="s">
        <v>12</v>
      </c>
      <c r="D37" s="879" t="s">
        <v>1499</v>
      </c>
      <c r="E37" s="871" t="s">
        <v>13</v>
      </c>
      <c r="F37" s="780">
        <v>66.33</v>
      </c>
      <c r="G37" s="982"/>
      <c r="H37" s="1008"/>
      <c r="I37" s="1063"/>
      <c r="J37" s="622"/>
      <c r="K37" s="982"/>
      <c r="L37" s="1028">
        <v>186.33</v>
      </c>
      <c r="M37" s="999"/>
      <c r="N37" s="878"/>
    </row>
    <row r="38" spans="1:15" s="224" customFormat="1" ht="15" customHeight="1" x14ac:dyDescent="0.25">
      <c r="A38" s="215">
        <v>44414</v>
      </c>
      <c r="B38" s="364" t="s">
        <v>2977</v>
      </c>
      <c r="C38" s="350" t="s">
        <v>12</v>
      </c>
      <c r="D38" s="350" t="s">
        <v>1491</v>
      </c>
      <c r="E38" s="875" t="s">
        <v>13</v>
      </c>
      <c r="F38" s="780">
        <v>300</v>
      </c>
      <c r="G38" s="982"/>
      <c r="H38" s="1008"/>
      <c r="I38" s="1063"/>
      <c r="J38" s="622"/>
      <c r="K38" s="982"/>
      <c r="L38" s="861"/>
      <c r="N38" s="1035"/>
    </row>
    <row r="39" spans="1:15" hidden="1" x14ac:dyDescent="0.25">
      <c r="A39" s="215">
        <v>44414</v>
      </c>
      <c r="B39" s="876" t="s">
        <v>2712</v>
      </c>
      <c r="C39" s="879" t="s">
        <v>12</v>
      </c>
      <c r="D39" s="879" t="s">
        <v>1496</v>
      </c>
      <c r="E39" s="871" t="s">
        <v>13</v>
      </c>
      <c r="F39" s="780">
        <v>70</v>
      </c>
      <c r="G39" s="982"/>
      <c r="H39" s="1009"/>
      <c r="I39" s="1063"/>
      <c r="J39" s="622"/>
      <c r="K39" s="982"/>
      <c r="L39" s="1029"/>
    </row>
    <row r="40" spans="1:15" s="224" customFormat="1" ht="15" hidden="1" customHeight="1" x14ac:dyDescent="0.25">
      <c r="A40" s="215">
        <v>44414</v>
      </c>
      <c r="B40" s="882" t="s">
        <v>3031</v>
      </c>
      <c r="C40" s="879" t="s">
        <v>12</v>
      </c>
      <c r="D40" s="879" t="s">
        <v>3017</v>
      </c>
      <c r="E40" s="875" t="s">
        <v>13</v>
      </c>
      <c r="F40" s="780">
        <v>625.36</v>
      </c>
      <c r="G40" s="982"/>
      <c r="H40" s="1008"/>
      <c r="I40" s="1063"/>
      <c r="J40" s="622"/>
      <c r="K40" s="982"/>
      <c r="L40" s="861">
        <v>400</v>
      </c>
      <c r="M40" s="224" t="s">
        <v>3018</v>
      </c>
      <c r="N40" s="1035"/>
    </row>
    <row r="41" spans="1:15" s="224" customFormat="1" ht="15" hidden="1" customHeight="1" x14ac:dyDescent="0.25">
      <c r="A41" s="215">
        <v>44414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16</v>
      </c>
      <c r="G41" s="982"/>
      <c r="H41" s="622"/>
      <c r="I41" s="982"/>
      <c r="J41" s="622"/>
      <c r="K41" s="982"/>
      <c r="L41" s="927"/>
      <c r="M41" s="927"/>
      <c r="N41" s="878"/>
    </row>
    <row r="42" spans="1:15" s="224" customFormat="1" ht="15" hidden="1" customHeight="1" x14ac:dyDescent="0.25">
      <c r="A42" s="215">
        <v>44414</v>
      </c>
      <c r="B42" s="882" t="s">
        <v>17</v>
      </c>
      <c r="C42" s="879" t="s">
        <v>12</v>
      </c>
      <c r="D42" s="879" t="s">
        <v>1493</v>
      </c>
      <c r="E42" s="875" t="s">
        <v>13</v>
      </c>
      <c r="F42" s="780">
        <v>11.5</v>
      </c>
      <c r="G42" s="982"/>
      <c r="H42" s="1008"/>
      <c r="I42" s="1063"/>
      <c r="J42" s="622"/>
      <c r="K42" s="982"/>
      <c r="L42" s="1029"/>
      <c r="M42" s="89"/>
      <c r="N42" s="1035"/>
    </row>
    <row r="43" spans="1:15" s="224" customFormat="1" ht="15" hidden="1" customHeight="1" x14ac:dyDescent="0.25">
      <c r="A43" s="215">
        <v>44414</v>
      </c>
      <c r="B43" s="882" t="s">
        <v>82</v>
      </c>
      <c r="C43" s="879" t="s">
        <v>12</v>
      </c>
      <c r="D43" s="879" t="s">
        <v>1493</v>
      </c>
      <c r="E43" s="875" t="s">
        <v>13</v>
      </c>
      <c r="F43" s="780">
        <v>21</v>
      </c>
      <c r="G43" s="982"/>
      <c r="H43" s="1008"/>
      <c r="I43" s="1063"/>
      <c r="J43" s="622"/>
      <c r="K43" s="982"/>
      <c r="L43" s="1029"/>
      <c r="M43" s="89"/>
      <c r="N43" s="1035"/>
    </row>
    <row r="44" spans="1:15" s="224" customFormat="1" ht="15" hidden="1" customHeight="1" x14ac:dyDescent="0.25">
      <c r="A44" s="215">
        <v>44414</v>
      </c>
      <c r="B44" s="364" t="s">
        <v>1396</v>
      </c>
      <c r="C44" s="350" t="s">
        <v>12</v>
      </c>
      <c r="D44" s="350"/>
      <c r="E44" s="480" t="s">
        <v>25</v>
      </c>
      <c r="F44" s="613"/>
      <c r="G44" s="967">
        <v>70</v>
      </c>
      <c r="H44" s="1008"/>
      <c r="I44" s="1063"/>
      <c r="J44" s="622"/>
      <c r="K44" s="982"/>
      <c r="L44" s="861"/>
    </row>
    <row r="45" spans="1:15" s="224" customFormat="1" ht="15" hidden="1" customHeight="1" x14ac:dyDescent="0.25">
      <c r="A45" s="215">
        <v>44414</v>
      </c>
      <c r="B45" s="862" t="s">
        <v>3032</v>
      </c>
      <c r="C45" s="879" t="s">
        <v>12</v>
      </c>
      <c r="D45" s="879" t="s">
        <v>1485</v>
      </c>
      <c r="E45" s="871" t="s">
        <v>13</v>
      </c>
      <c r="F45" s="780">
        <v>40</v>
      </c>
      <c r="G45" s="982"/>
      <c r="H45" s="1008"/>
      <c r="I45" s="1063"/>
      <c r="J45" s="622"/>
      <c r="K45" s="982"/>
      <c r="L45" s="1028"/>
      <c r="M45" s="999"/>
      <c r="N45" s="1035"/>
    </row>
    <row r="46" spans="1:15" s="224" customFormat="1" ht="15" hidden="1" customHeight="1" x14ac:dyDescent="0.25">
      <c r="A46" s="215">
        <v>44415</v>
      </c>
      <c r="B46" s="882" t="s">
        <v>2766</v>
      </c>
      <c r="C46" s="879" t="s">
        <v>12</v>
      </c>
      <c r="D46" s="879" t="s">
        <v>2157</v>
      </c>
      <c r="E46" s="875" t="s">
        <v>13</v>
      </c>
      <c r="F46" s="780">
        <v>50</v>
      </c>
      <c r="G46" s="982"/>
      <c r="H46" s="1008"/>
      <c r="I46" s="1063"/>
      <c r="J46" s="622"/>
      <c r="K46" s="982"/>
      <c r="L46" s="1029"/>
      <c r="M46" s="89"/>
      <c r="N46" s="1081"/>
      <c r="O46" s="1082"/>
    </row>
    <row r="47" spans="1:15" s="224" customFormat="1" ht="15" hidden="1" customHeight="1" x14ac:dyDescent="0.25">
      <c r="A47" s="215">
        <v>44415</v>
      </c>
      <c r="B47" s="882" t="s">
        <v>1438</v>
      </c>
      <c r="C47" s="879" t="s">
        <v>19</v>
      </c>
      <c r="D47" s="879" t="s">
        <v>1489</v>
      </c>
      <c r="E47" s="875" t="s">
        <v>13</v>
      </c>
      <c r="F47" s="780">
        <v>49.12</v>
      </c>
      <c r="G47" s="982"/>
      <c r="H47" s="1008"/>
      <c r="I47" s="1063"/>
      <c r="J47" s="622"/>
      <c r="K47" s="982"/>
      <c r="L47" s="1029"/>
      <c r="M47" s="89"/>
      <c r="N47" s="1081"/>
      <c r="O47" s="1082"/>
    </row>
    <row r="48" spans="1:15" s="224" customFormat="1" ht="15" hidden="1" customHeight="1" x14ac:dyDescent="0.25">
      <c r="A48" s="215">
        <v>44415</v>
      </c>
      <c r="B48" s="882" t="s">
        <v>80</v>
      </c>
      <c r="C48" s="879" t="s">
        <v>12</v>
      </c>
      <c r="D48" s="879" t="s">
        <v>1523</v>
      </c>
      <c r="E48" s="875" t="s">
        <v>13</v>
      </c>
      <c r="F48" s="780">
        <v>28</v>
      </c>
      <c r="G48" s="982"/>
      <c r="H48" s="1008"/>
      <c r="I48" s="1063"/>
      <c r="J48" s="622"/>
      <c r="K48" s="982"/>
      <c r="L48" s="1029"/>
      <c r="M48" s="89"/>
      <c r="N48" s="1081"/>
      <c r="O48" s="1082"/>
    </row>
    <row r="49" spans="1:15" s="224" customFormat="1" ht="15" hidden="1" customHeight="1" x14ac:dyDescent="0.25">
      <c r="A49" s="215">
        <v>44415</v>
      </c>
      <c r="B49" s="882" t="s">
        <v>14</v>
      </c>
      <c r="C49" s="879" t="s">
        <v>12</v>
      </c>
      <c r="D49" s="879" t="s">
        <v>1486</v>
      </c>
      <c r="E49" s="875" t="s">
        <v>13</v>
      </c>
      <c r="F49" s="780">
        <v>9.85</v>
      </c>
      <c r="G49" s="982"/>
      <c r="H49" s="622"/>
      <c r="I49" s="982"/>
      <c r="J49" s="622"/>
      <c r="K49" s="982"/>
      <c r="L49" s="927"/>
      <c r="N49" s="878"/>
    </row>
    <row r="50" spans="1:15" s="224" customFormat="1" ht="15" hidden="1" customHeight="1" x14ac:dyDescent="0.25">
      <c r="A50" s="215">
        <v>44416</v>
      </c>
      <c r="B50" s="873" t="s">
        <v>2096</v>
      </c>
      <c r="C50" s="879" t="s">
        <v>12</v>
      </c>
      <c r="D50" s="879" t="s">
        <v>1506</v>
      </c>
      <c r="E50" s="871" t="s">
        <v>15</v>
      </c>
      <c r="F50" s="780">
        <v>50</v>
      </c>
      <c r="G50" s="946"/>
      <c r="H50" s="95"/>
      <c r="I50" s="1064"/>
      <c r="J50" s="97"/>
      <c r="K50" s="946"/>
      <c r="L50" s="926"/>
      <c r="M50" s="89"/>
      <c r="N50" s="930"/>
    </row>
    <row r="51" spans="1:15" s="224" customFormat="1" ht="15" hidden="1" customHeight="1" x14ac:dyDescent="0.25">
      <c r="A51" s="215">
        <v>44416</v>
      </c>
      <c r="B51" s="882" t="s">
        <v>80</v>
      </c>
      <c r="C51" s="879" t="s">
        <v>12</v>
      </c>
      <c r="D51" s="879" t="s">
        <v>1523</v>
      </c>
      <c r="E51" s="875" t="s">
        <v>15</v>
      </c>
      <c r="F51" s="780">
        <v>20</v>
      </c>
      <c r="G51" s="982"/>
      <c r="H51" s="1008"/>
      <c r="I51" s="1063"/>
      <c r="J51" s="622"/>
      <c r="K51" s="982"/>
      <c r="L51" s="1029"/>
      <c r="M51" s="89"/>
      <c r="N51" s="1081"/>
      <c r="O51" s="1082"/>
    </row>
    <row r="52" spans="1:15" s="224" customFormat="1" ht="15" hidden="1" customHeight="1" x14ac:dyDescent="0.25">
      <c r="A52" s="215">
        <v>44416</v>
      </c>
      <c r="B52" s="882" t="s">
        <v>3033</v>
      </c>
      <c r="C52" s="879" t="s">
        <v>12</v>
      </c>
      <c r="D52" s="879" t="s">
        <v>1523</v>
      </c>
      <c r="E52" s="875" t="s">
        <v>13</v>
      </c>
      <c r="F52" s="780">
        <v>43</v>
      </c>
      <c r="G52" s="982"/>
      <c r="H52" s="1008"/>
      <c r="I52" s="1063"/>
      <c r="J52" s="622"/>
      <c r="K52" s="982"/>
      <c r="L52" s="1029"/>
      <c r="M52" s="89"/>
      <c r="N52" s="1081"/>
      <c r="O52" s="1082"/>
    </row>
    <row r="53" spans="1:15" s="224" customFormat="1" ht="15" hidden="1" customHeight="1" x14ac:dyDescent="0.25">
      <c r="A53" s="215">
        <v>44416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780">
        <v>4.2</v>
      </c>
      <c r="G53" s="982"/>
      <c r="H53" s="622"/>
      <c r="I53" s="982"/>
      <c r="J53" s="622"/>
      <c r="K53" s="982"/>
      <c r="L53" s="927"/>
      <c r="N53" s="878"/>
    </row>
    <row r="54" spans="1:15" s="224" customFormat="1" ht="15" hidden="1" customHeight="1" x14ac:dyDescent="0.25">
      <c r="A54" s="215">
        <v>44416</v>
      </c>
      <c r="B54" s="882" t="s">
        <v>81</v>
      </c>
      <c r="C54" s="879" t="s">
        <v>12</v>
      </c>
      <c r="D54" s="879" t="s">
        <v>1493</v>
      </c>
      <c r="E54" s="875" t="s">
        <v>13</v>
      </c>
      <c r="F54" s="780">
        <v>6.2</v>
      </c>
      <c r="G54" s="982"/>
      <c r="H54" s="1008"/>
      <c r="I54" s="1063"/>
      <c r="J54" s="622"/>
      <c r="K54" s="982"/>
      <c r="L54" s="1029"/>
      <c r="M54" s="89"/>
      <c r="N54" s="1035"/>
    </row>
    <row r="55" spans="1:15" s="224" customFormat="1" ht="15" hidden="1" customHeight="1" x14ac:dyDescent="0.25">
      <c r="A55" s="215">
        <v>44417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16</v>
      </c>
      <c r="G55" s="982"/>
      <c r="H55" s="622"/>
      <c r="I55" s="982"/>
      <c r="J55" s="622"/>
      <c r="K55" s="982"/>
      <c r="L55" s="927"/>
      <c r="M55" s="927"/>
      <c r="N55" s="878"/>
    </row>
    <row r="56" spans="1:15" s="224" customFormat="1" ht="15" hidden="1" customHeight="1" x14ac:dyDescent="0.25">
      <c r="A56" s="215">
        <v>44417</v>
      </c>
      <c r="B56" s="882" t="s">
        <v>14</v>
      </c>
      <c r="C56" s="879" t="s">
        <v>12</v>
      </c>
      <c r="D56" s="879" t="s">
        <v>1486</v>
      </c>
      <c r="E56" s="875" t="s">
        <v>13</v>
      </c>
      <c r="F56" s="780">
        <v>4.12</v>
      </c>
      <c r="G56" s="982"/>
      <c r="H56" s="1008"/>
      <c r="I56" s="1063"/>
      <c r="J56" s="622"/>
      <c r="K56" s="982"/>
      <c r="L56" s="861"/>
      <c r="N56" s="878"/>
    </row>
    <row r="57" spans="1:15" s="224" customFormat="1" ht="15" hidden="1" customHeight="1" x14ac:dyDescent="0.25">
      <c r="A57" s="215">
        <v>44418</v>
      </c>
      <c r="B57" s="882" t="s">
        <v>3034</v>
      </c>
      <c r="C57" s="879" t="s">
        <v>12</v>
      </c>
      <c r="D57" s="879" t="s">
        <v>1489</v>
      </c>
      <c r="E57" s="875" t="s">
        <v>13</v>
      </c>
      <c r="F57" s="780">
        <v>23</v>
      </c>
      <c r="G57" s="982"/>
      <c r="H57" s="1008"/>
      <c r="I57" s="1063"/>
      <c r="J57" s="622"/>
      <c r="K57" s="982"/>
      <c r="L57" s="861"/>
      <c r="N57" s="1035"/>
    </row>
    <row r="58" spans="1:15" s="224" customFormat="1" ht="15" hidden="1" customHeight="1" x14ac:dyDescent="0.25">
      <c r="A58" s="215">
        <v>44418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16</v>
      </c>
      <c r="G58" s="982"/>
      <c r="H58" s="622"/>
      <c r="I58" s="982"/>
      <c r="J58" s="622"/>
      <c r="K58" s="982"/>
      <c r="L58" s="927"/>
      <c r="M58" s="927"/>
      <c r="N58" s="878"/>
    </row>
    <row r="59" spans="1:15" s="224" customFormat="1" ht="15" hidden="1" customHeight="1" x14ac:dyDescent="0.25">
      <c r="A59" s="215">
        <v>44418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9.69</v>
      </c>
      <c r="G59" s="982"/>
      <c r="H59" s="1008"/>
      <c r="I59" s="1063"/>
      <c r="J59" s="622"/>
      <c r="K59" s="982"/>
      <c r="L59" s="861"/>
      <c r="N59" s="1035"/>
    </row>
    <row r="60" spans="1:15" s="224" customFormat="1" ht="15" hidden="1" customHeight="1" x14ac:dyDescent="0.25">
      <c r="A60" s="215">
        <v>44418</v>
      </c>
      <c r="B60" s="882" t="s">
        <v>3035</v>
      </c>
      <c r="C60" s="879" t="s">
        <v>12</v>
      </c>
      <c r="D60" s="879" t="s">
        <v>1489</v>
      </c>
      <c r="E60" s="875" t="s">
        <v>13</v>
      </c>
      <c r="F60" s="780">
        <v>60</v>
      </c>
      <c r="G60" s="982"/>
      <c r="H60" s="1008"/>
      <c r="I60" s="1063"/>
      <c r="J60" s="622"/>
      <c r="K60" s="982"/>
      <c r="L60" s="861"/>
      <c r="N60" s="1035"/>
    </row>
    <row r="61" spans="1:15" s="224" customFormat="1" ht="15" hidden="1" customHeight="1" x14ac:dyDescent="0.25">
      <c r="A61" s="215">
        <v>44419</v>
      </c>
      <c r="B61" s="882" t="s">
        <v>2766</v>
      </c>
      <c r="C61" s="879" t="s">
        <v>12</v>
      </c>
      <c r="D61" s="879" t="s">
        <v>2157</v>
      </c>
      <c r="E61" s="875" t="s">
        <v>13</v>
      </c>
      <c r="F61" s="780">
        <v>40</v>
      </c>
      <c r="G61" s="982"/>
      <c r="H61" s="1008"/>
      <c r="I61" s="1063"/>
      <c r="J61" s="622"/>
      <c r="K61" s="982"/>
      <c r="L61" s="1029"/>
      <c r="M61" s="89"/>
      <c r="N61" s="1081"/>
      <c r="O61" s="1082"/>
    </row>
    <row r="62" spans="1:15" s="224" customFormat="1" ht="15" hidden="1" customHeight="1" x14ac:dyDescent="0.25">
      <c r="A62" s="215">
        <v>44420</v>
      </c>
      <c r="B62" s="882" t="s">
        <v>2197</v>
      </c>
      <c r="C62" s="879" t="s">
        <v>12</v>
      </c>
      <c r="D62" s="879" t="s">
        <v>2168</v>
      </c>
      <c r="E62" s="875" t="s">
        <v>13</v>
      </c>
      <c r="F62" s="780">
        <v>20</v>
      </c>
      <c r="G62" s="982"/>
      <c r="H62" s="1008"/>
      <c r="I62" s="1063"/>
      <c r="J62" s="622"/>
      <c r="K62" s="982"/>
      <c r="L62" s="861"/>
      <c r="N62" s="878"/>
    </row>
    <row r="63" spans="1:15" s="224" customFormat="1" ht="15" hidden="1" customHeight="1" x14ac:dyDescent="0.25">
      <c r="A63" s="215">
        <v>44420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16</v>
      </c>
      <c r="G63" s="982"/>
      <c r="H63" s="1008"/>
      <c r="I63" s="1063"/>
      <c r="J63" s="622"/>
      <c r="K63" s="982"/>
      <c r="L63" s="1029"/>
      <c r="M63" s="89"/>
      <c r="N63" s="1035"/>
    </row>
    <row r="64" spans="1:15" s="224" customFormat="1" ht="15" hidden="1" customHeight="1" x14ac:dyDescent="0.25">
      <c r="A64" s="215">
        <v>44420</v>
      </c>
      <c r="B64" s="882" t="s">
        <v>14</v>
      </c>
      <c r="C64" s="879" t="s">
        <v>12</v>
      </c>
      <c r="D64" s="879" t="s">
        <v>1486</v>
      </c>
      <c r="E64" s="875" t="s">
        <v>13</v>
      </c>
      <c r="F64" s="780">
        <v>3.73</v>
      </c>
      <c r="G64" s="946"/>
      <c r="H64" s="95"/>
      <c r="I64" s="1064"/>
      <c r="J64" s="622"/>
      <c r="K64" s="982"/>
      <c r="L64" s="861"/>
    </row>
    <row r="65" spans="1:14" s="224" customFormat="1" ht="15" hidden="1" customHeight="1" x14ac:dyDescent="0.25">
      <c r="A65" s="215">
        <v>44421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16</v>
      </c>
      <c r="G65" s="982"/>
      <c r="H65" s="1008"/>
      <c r="I65" s="1063"/>
      <c r="J65" s="622"/>
      <c r="K65" s="982"/>
      <c r="L65" s="1029"/>
      <c r="M65" s="89"/>
      <c r="N65" s="1035"/>
    </row>
    <row r="66" spans="1:14" s="224" customFormat="1" ht="15" hidden="1" customHeight="1" x14ac:dyDescent="0.25">
      <c r="A66" s="215">
        <v>44421</v>
      </c>
      <c r="B66" s="882" t="s">
        <v>14</v>
      </c>
      <c r="C66" s="879" t="s">
        <v>12</v>
      </c>
      <c r="D66" s="879" t="s">
        <v>1486</v>
      </c>
      <c r="E66" s="875" t="s">
        <v>13</v>
      </c>
      <c r="F66" s="780">
        <v>3.33</v>
      </c>
      <c r="G66" s="946"/>
      <c r="H66" s="95"/>
      <c r="I66" s="1064"/>
      <c r="J66" s="622"/>
      <c r="K66" s="982"/>
      <c r="L66" s="861"/>
    </row>
    <row r="67" spans="1:14" s="224" customFormat="1" ht="15" hidden="1" customHeight="1" x14ac:dyDescent="0.25">
      <c r="A67" s="215">
        <v>44422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780">
        <v>3.84</v>
      </c>
      <c r="G67" s="946"/>
      <c r="H67" s="95"/>
      <c r="I67" s="1064"/>
      <c r="J67" s="622"/>
      <c r="K67" s="982"/>
      <c r="L67" s="861"/>
    </row>
    <row r="68" spans="1:14" s="224" customFormat="1" ht="15" hidden="1" customHeight="1" x14ac:dyDescent="0.25">
      <c r="A68" s="215">
        <v>44422</v>
      </c>
      <c r="B68" s="882" t="s">
        <v>2197</v>
      </c>
      <c r="C68" s="879" t="s">
        <v>12</v>
      </c>
      <c r="D68" s="879" t="s">
        <v>2168</v>
      </c>
      <c r="E68" s="875" t="s">
        <v>13</v>
      </c>
      <c r="F68" s="780">
        <v>30</v>
      </c>
      <c r="G68" s="982"/>
      <c r="H68" s="1008"/>
      <c r="I68" s="1063"/>
      <c r="J68" s="622"/>
      <c r="K68" s="982"/>
      <c r="L68" s="1029"/>
      <c r="M68" s="89"/>
      <c r="N68" s="1035"/>
    </row>
    <row r="69" spans="1:14" s="224" customFormat="1" ht="15" hidden="1" customHeight="1" x14ac:dyDescent="0.25">
      <c r="A69" s="215">
        <v>44422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17</v>
      </c>
      <c r="G69" s="982"/>
      <c r="H69" s="622"/>
      <c r="I69" s="982"/>
      <c r="J69" s="622"/>
      <c r="K69" s="982"/>
      <c r="L69" s="927"/>
      <c r="M69" s="927"/>
      <c r="N69" s="878"/>
    </row>
    <row r="70" spans="1:14" s="224" customFormat="1" ht="15" hidden="1" customHeight="1" x14ac:dyDescent="0.25">
      <c r="A70" s="215">
        <v>44422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780">
        <v>5.31</v>
      </c>
      <c r="G70" s="946"/>
      <c r="H70" s="95"/>
      <c r="I70" s="1064"/>
      <c r="J70" s="622"/>
      <c r="K70" s="982"/>
      <c r="L70" s="861"/>
    </row>
    <row r="71" spans="1:14" s="224" customFormat="1" ht="15" hidden="1" customHeight="1" x14ac:dyDescent="0.25">
      <c r="A71" s="215">
        <v>44422</v>
      </c>
      <c r="B71" s="882" t="s">
        <v>3036</v>
      </c>
      <c r="C71" s="879" t="s">
        <v>12</v>
      </c>
      <c r="D71" s="879" t="s">
        <v>1523</v>
      </c>
      <c r="E71" s="875" t="s">
        <v>13</v>
      </c>
      <c r="F71" s="780">
        <v>15</v>
      </c>
      <c r="G71" s="982"/>
      <c r="H71" s="1008"/>
      <c r="I71" s="1063"/>
      <c r="J71" s="622"/>
      <c r="K71" s="982"/>
      <c r="L71" s="1029"/>
      <c r="M71" s="89"/>
      <c r="N71" s="1035"/>
    </row>
    <row r="72" spans="1:14" s="224" customFormat="1" ht="15" hidden="1" customHeight="1" x14ac:dyDescent="0.25">
      <c r="A72" s="215">
        <v>44422</v>
      </c>
      <c r="B72" s="882" t="s">
        <v>3037</v>
      </c>
      <c r="C72" s="879" t="s">
        <v>12</v>
      </c>
      <c r="D72" s="879" t="s">
        <v>1523</v>
      </c>
      <c r="E72" s="875" t="s">
        <v>13</v>
      </c>
      <c r="F72" s="780">
        <v>55</v>
      </c>
      <c r="G72" s="982"/>
      <c r="H72" s="622"/>
      <c r="I72" s="982"/>
      <c r="J72" s="622"/>
      <c r="K72" s="982"/>
      <c r="L72" s="927"/>
      <c r="M72" s="927"/>
      <c r="N72" s="878"/>
    </row>
    <row r="73" spans="1:14" s="224" customFormat="1" ht="15" hidden="1" customHeight="1" x14ac:dyDescent="0.25">
      <c r="A73" s="215">
        <v>44422</v>
      </c>
      <c r="B73" s="882" t="s">
        <v>421</v>
      </c>
      <c r="C73" s="879" t="s">
        <v>12</v>
      </c>
      <c r="D73" s="879" t="s">
        <v>1493</v>
      </c>
      <c r="E73" s="875" t="s">
        <v>13</v>
      </c>
      <c r="F73" s="780">
        <v>24.9</v>
      </c>
      <c r="G73" s="946"/>
      <c r="H73" s="95"/>
      <c r="I73" s="1064"/>
      <c r="J73" s="622"/>
      <c r="K73" s="982"/>
      <c r="L73" s="861"/>
    </row>
    <row r="74" spans="1:14" s="224" customFormat="1" ht="15" hidden="1" customHeight="1" x14ac:dyDescent="0.25">
      <c r="A74" s="215">
        <v>44423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17</v>
      </c>
      <c r="G74" s="982"/>
      <c r="H74" s="622"/>
      <c r="I74" s="982"/>
      <c r="J74" s="622"/>
      <c r="K74" s="982"/>
      <c r="L74" s="927"/>
      <c r="M74" s="927"/>
      <c r="N74" s="878"/>
    </row>
    <row r="75" spans="1:14" s="224" customFormat="1" ht="15" hidden="1" customHeight="1" x14ac:dyDescent="0.25">
      <c r="A75" s="215">
        <v>44423</v>
      </c>
      <c r="B75" s="882" t="s">
        <v>3038</v>
      </c>
      <c r="C75" s="879" t="s">
        <v>12</v>
      </c>
      <c r="D75" s="879" t="s">
        <v>1493</v>
      </c>
      <c r="E75" s="875" t="s">
        <v>13</v>
      </c>
      <c r="F75" s="780">
        <v>13</v>
      </c>
      <c r="G75" s="982"/>
      <c r="H75" s="1008"/>
      <c r="I75" s="1063"/>
      <c r="J75" s="622"/>
      <c r="K75" s="982"/>
      <c r="L75" s="1029"/>
      <c r="M75" s="89"/>
      <c r="N75" s="1035"/>
    </row>
    <row r="76" spans="1:14" s="224" customFormat="1" ht="15" hidden="1" customHeight="1" x14ac:dyDescent="0.25">
      <c r="A76" s="215">
        <v>44424</v>
      </c>
      <c r="B76" s="882" t="s">
        <v>32</v>
      </c>
      <c r="C76" s="879" t="s">
        <v>12</v>
      </c>
      <c r="D76" s="879" t="s">
        <v>1485</v>
      </c>
      <c r="E76" s="875" t="s">
        <v>13</v>
      </c>
      <c r="F76" s="780">
        <v>16</v>
      </c>
      <c r="G76" s="982"/>
      <c r="H76" s="622"/>
      <c r="I76" s="982"/>
      <c r="J76" s="622"/>
      <c r="K76" s="982"/>
      <c r="L76" s="927"/>
      <c r="M76" s="927"/>
      <c r="N76" s="878"/>
    </row>
    <row r="77" spans="1:14" s="224" customFormat="1" ht="15" hidden="1" customHeight="1" x14ac:dyDescent="0.25">
      <c r="A77" s="215">
        <v>44424</v>
      </c>
      <c r="B77" s="882" t="s">
        <v>14</v>
      </c>
      <c r="C77" s="879" t="s">
        <v>12</v>
      </c>
      <c r="D77" s="879" t="s">
        <v>1486</v>
      </c>
      <c r="E77" s="875" t="s">
        <v>13</v>
      </c>
      <c r="F77" s="613">
        <v>3</v>
      </c>
      <c r="G77" s="967"/>
      <c r="H77" s="1008"/>
      <c r="I77" s="1063"/>
      <c r="J77" s="622"/>
      <c r="K77" s="982"/>
      <c r="L77" s="861"/>
    </row>
    <row r="78" spans="1:14" s="224" customFormat="1" ht="15" hidden="1" customHeight="1" x14ac:dyDescent="0.25">
      <c r="A78" s="1052">
        <v>44364</v>
      </c>
      <c r="B78" s="882" t="s">
        <v>256</v>
      </c>
      <c r="C78" s="879"/>
      <c r="D78" s="879"/>
      <c r="E78" s="875" t="s">
        <v>25</v>
      </c>
      <c r="F78" s="780"/>
      <c r="G78" s="982">
        <v>200</v>
      </c>
      <c r="H78" s="1060">
        <v>200</v>
      </c>
      <c r="I78" s="1063"/>
      <c r="J78" s="622"/>
      <c r="K78" s="982"/>
      <c r="L78" s="861"/>
      <c r="N78" s="878"/>
    </row>
    <row r="79" spans="1:14" s="224" customFormat="1" ht="15" hidden="1" customHeight="1" x14ac:dyDescent="0.25">
      <c r="A79" s="215">
        <v>44425</v>
      </c>
      <c r="B79" s="882" t="s">
        <v>3039</v>
      </c>
      <c r="C79" s="879" t="s">
        <v>12</v>
      </c>
      <c r="D79" s="879" t="s">
        <v>1499</v>
      </c>
      <c r="E79" s="871" t="s">
        <v>13</v>
      </c>
      <c r="F79" s="780">
        <v>46.58</v>
      </c>
      <c r="G79" s="982"/>
      <c r="H79" s="1008"/>
      <c r="I79" s="1063"/>
      <c r="J79" s="622"/>
      <c r="K79" s="982"/>
      <c r="L79" s="861">
        <v>116.58</v>
      </c>
      <c r="N79" s="878"/>
    </row>
    <row r="80" spans="1:14" s="224" customFormat="1" ht="15" hidden="1" customHeight="1" x14ac:dyDescent="0.25">
      <c r="A80" s="215">
        <v>44425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780">
        <v>16</v>
      </c>
      <c r="G80" s="982"/>
      <c r="H80" s="622"/>
      <c r="I80" s="982"/>
      <c r="J80" s="622"/>
      <c r="K80" s="982"/>
      <c r="L80" s="927"/>
      <c r="M80" s="927"/>
      <c r="N80" s="878"/>
    </row>
    <row r="81" spans="1:14" s="224" customFormat="1" ht="15" hidden="1" customHeight="1" x14ac:dyDescent="0.25">
      <c r="A81" s="215">
        <v>44425</v>
      </c>
      <c r="B81" s="882" t="s">
        <v>14</v>
      </c>
      <c r="C81" s="879" t="s">
        <v>12</v>
      </c>
      <c r="D81" s="879" t="s">
        <v>1486</v>
      </c>
      <c r="E81" s="875" t="s">
        <v>13</v>
      </c>
      <c r="F81" s="780">
        <v>7.45</v>
      </c>
      <c r="G81" s="982"/>
      <c r="H81" s="1008"/>
      <c r="I81" s="1063"/>
      <c r="J81" s="622"/>
      <c r="K81" s="982"/>
      <c r="L81" s="1029"/>
      <c r="M81" s="89"/>
      <c r="N81" s="1035"/>
    </row>
    <row r="82" spans="1:14" s="224" customFormat="1" ht="15" hidden="1" customHeight="1" x14ac:dyDescent="0.25">
      <c r="A82" s="215">
        <v>44426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16</v>
      </c>
      <c r="G82" s="982"/>
      <c r="H82" s="622"/>
      <c r="I82" s="982"/>
      <c r="J82" s="622"/>
      <c r="K82" s="982"/>
      <c r="L82" s="927"/>
      <c r="M82" s="927"/>
      <c r="N82" s="878"/>
    </row>
    <row r="83" spans="1:14" s="224" customFormat="1" ht="15" hidden="1" customHeight="1" x14ac:dyDescent="0.25">
      <c r="A83" s="215">
        <v>44426</v>
      </c>
      <c r="B83" s="882" t="s">
        <v>14</v>
      </c>
      <c r="C83" s="879" t="s">
        <v>12</v>
      </c>
      <c r="D83" s="879" t="s">
        <v>1486</v>
      </c>
      <c r="E83" s="875" t="s">
        <v>13</v>
      </c>
      <c r="F83" s="780">
        <v>4.16</v>
      </c>
      <c r="G83" s="982"/>
      <c r="H83" s="1008"/>
      <c r="I83" s="1063"/>
      <c r="J83" s="622"/>
      <c r="K83" s="982"/>
      <c r="L83" s="1029"/>
      <c r="M83" s="89"/>
      <c r="N83" s="1035"/>
    </row>
    <row r="84" spans="1:14" s="224" customFormat="1" ht="15" hidden="1" customHeight="1" x14ac:dyDescent="0.25">
      <c r="A84" s="215">
        <v>44426</v>
      </c>
      <c r="B84" s="882" t="s">
        <v>2766</v>
      </c>
      <c r="C84" s="879" t="s">
        <v>12</v>
      </c>
      <c r="D84" s="879" t="s">
        <v>2157</v>
      </c>
      <c r="E84" s="875" t="s">
        <v>15</v>
      </c>
      <c r="F84" s="780">
        <v>50</v>
      </c>
      <c r="G84" s="946"/>
      <c r="H84" s="95"/>
      <c r="I84" s="1064"/>
      <c r="J84" s="97"/>
      <c r="K84" s="946"/>
      <c r="L84" s="926"/>
      <c r="M84" s="89"/>
      <c r="N84" s="930"/>
    </row>
    <row r="85" spans="1:14" s="224" customFormat="1" ht="15" hidden="1" customHeight="1" x14ac:dyDescent="0.25">
      <c r="A85" s="215">
        <v>44427</v>
      </c>
      <c r="B85" s="882" t="s">
        <v>32</v>
      </c>
      <c r="C85" s="879" t="s">
        <v>12</v>
      </c>
      <c r="D85" s="879" t="s">
        <v>1485</v>
      </c>
      <c r="E85" s="875" t="s">
        <v>13</v>
      </c>
      <c r="F85" s="780">
        <v>16</v>
      </c>
      <c r="G85" s="982"/>
      <c r="H85" s="622"/>
      <c r="I85" s="982"/>
      <c r="J85" s="622"/>
      <c r="K85" s="982"/>
      <c r="L85" s="927"/>
      <c r="M85" s="927"/>
      <c r="N85" s="878"/>
    </row>
    <row r="86" spans="1:14" s="224" customFormat="1" ht="15" hidden="1" customHeight="1" x14ac:dyDescent="0.25">
      <c r="A86" s="215">
        <v>44427</v>
      </c>
      <c r="B86" s="882" t="s">
        <v>17</v>
      </c>
      <c r="C86" s="879" t="s">
        <v>12</v>
      </c>
      <c r="D86" s="879" t="s">
        <v>1493</v>
      </c>
      <c r="E86" s="875" t="s">
        <v>13</v>
      </c>
      <c r="F86" s="780">
        <v>6</v>
      </c>
      <c r="G86" s="982"/>
      <c r="H86" s="1008"/>
      <c r="I86" s="1063"/>
      <c r="J86" s="622"/>
      <c r="K86" s="982"/>
      <c r="L86" s="1029"/>
      <c r="M86" s="89"/>
      <c r="N86" s="1035"/>
    </row>
    <row r="87" spans="1:14" s="224" customFormat="1" ht="15" hidden="1" customHeight="1" x14ac:dyDescent="0.25">
      <c r="A87" s="215">
        <v>44427</v>
      </c>
      <c r="B87" s="882" t="s">
        <v>14</v>
      </c>
      <c r="C87" s="879" t="s">
        <v>12</v>
      </c>
      <c r="D87" s="879" t="s">
        <v>1486</v>
      </c>
      <c r="E87" s="875" t="s">
        <v>13</v>
      </c>
      <c r="F87" s="780">
        <v>2.52</v>
      </c>
      <c r="G87" s="982"/>
      <c r="H87" s="1008"/>
      <c r="I87" s="1063"/>
      <c r="J87" s="622"/>
      <c r="K87" s="982"/>
      <c r="L87" s="1029"/>
      <c r="M87" s="89"/>
      <c r="N87" s="1035"/>
    </row>
    <row r="88" spans="1:14" s="224" customFormat="1" ht="15" hidden="1" customHeight="1" x14ac:dyDescent="0.25">
      <c r="A88" s="215">
        <v>44428</v>
      </c>
      <c r="B88" s="882" t="s">
        <v>3040</v>
      </c>
      <c r="C88" s="350" t="s">
        <v>12</v>
      </c>
      <c r="D88" s="350"/>
      <c r="E88" s="480" t="s">
        <v>25</v>
      </c>
      <c r="F88" s="622"/>
      <c r="G88" s="982">
        <v>1840</v>
      </c>
      <c r="H88" s="1008"/>
      <c r="I88" s="1063"/>
      <c r="J88" s="622"/>
      <c r="K88" s="982"/>
      <c r="L88" s="861"/>
    </row>
    <row r="89" spans="1:14" s="224" customFormat="1" ht="15" hidden="1" customHeight="1" x14ac:dyDescent="0.25">
      <c r="A89" s="215">
        <v>44428</v>
      </c>
      <c r="B89" s="862" t="s">
        <v>2867</v>
      </c>
      <c r="C89" s="350" t="s">
        <v>12</v>
      </c>
      <c r="D89" s="874" t="s">
        <v>1504</v>
      </c>
      <c r="E89" s="887" t="s">
        <v>13</v>
      </c>
      <c r="F89" s="852">
        <v>30</v>
      </c>
      <c r="G89" s="982"/>
      <c r="H89" s="1009"/>
      <c r="I89" s="1063"/>
      <c r="J89" s="853"/>
      <c r="K89" s="982"/>
      <c r="L89" s="861"/>
      <c r="M89" s="927"/>
      <c r="N89" s="1035"/>
    </row>
    <row r="90" spans="1:14" s="224" customFormat="1" ht="15" customHeight="1" x14ac:dyDescent="0.25">
      <c r="A90" s="215">
        <v>44428</v>
      </c>
      <c r="B90" s="364" t="s">
        <v>2977</v>
      </c>
      <c r="C90" s="350" t="s">
        <v>12</v>
      </c>
      <c r="D90" s="350" t="s">
        <v>1491</v>
      </c>
      <c r="E90" s="875" t="s">
        <v>13</v>
      </c>
      <c r="F90" s="1047">
        <v>250</v>
      </c>
      <c r="G90" s="982"/>
      <c r="H90" s="1008"/>
      <c r="I90" s="1063"/>
      <c r="J90" s="622"/>
      <c r="K90" s="982"/>
      <c r="L90" s="861"/>
      <c r="N90" s="1035"/>
    </row>
    <row r="91" spans="1:14" s="224" customFormat="1" hidden="1" x14ac:dyDescent="0.25">
      <c r="A91" s="215">
        <v>44428</v>
      </c>
      <c r="B91" s="364" t="s">
        <v>3041</v>
      </c>
      <c r="C91" s="350" t="s">
        <v>12</v>
      </c>
      <c r="D91" s="350" t="s">
        <v>1489</v>
      </c>
      <c r="E91" s="875" t="s">
        <v>13</v>
      </c>
      <c r="F91" s="1047">
        <v>62</v>
      </c>
      <c r="G91" s="982"/>
      <c r="H91" s="1008"/>
      <c r="I91" s="1063"/>
      <c r="J91" s="622"/>
      <c r="K91" s="982"/>
      <c r="L91" s="1029"/>
      <c r="M91" s="89"/>
      <c r="N91" s="930"/>
    </row>
    <row r="92" spans="1:14" s="224" customFormat="1" x14ac:dyDescent="0.25">
      <c r="A92" s="215">
        <v>44428</v>
      </c>
      <c r="B92" s="364" t="s">
        <v>3042</v>
      </c>
      <c r="C92" s="350" t="s">
        <v>12</v>
      </c>
      <c r="D92" s="350" t="s">
        <v>1491</v>
      </c>
      <c r="E92" s="875" t="s">
        <v>13</v>
      </c>
      <c r="F92" s="780">
        <v>300</v>
      </c>
      <c r="G92" s="982"/>
      <c r="H92" s="1008"/>
      <c r="I92" s="1063"/>
      <c r="J92" s="622"/>
      <c r="K92" s="982"/>
      <c r="L92" s="861"/>
      <c r="N92" s="878"/>
    </row>
    <row r="93" spans="1:14" s="224" customFormat="1" ht="15" hidden="1" customHeight="1" x14ac:dyDescent="0.25">
      <c r="A93" s="215">
        <v>44428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17</v>
      </c>
      <c r="G93" s="982"/>
      <c r="H93" s="622"/>
      <c r="I93" s="982"/>
      <c r="J93" s="622"/>
      <c r="K93" s="982"/>
      <c r="L93" s="927"/>
      <c r="M93" s="927"/>
      <c r="N93" s="878"/>
    </row>
    <row r="94" spans="1:14" s="224" customFormat="1" ht="15" hidden="1" customHeight="1" x14ac:dyDescent="0.25">
      <c r="A94" s="215">
        <v>44428</v>
      </c>
      <c r="B94" s="882" t="s">
        <v>17</v>
      </c>
      <c r="C94" s="879" t="s">
        <v>12</v>
      </c>
      <c r="D94" s="879" t="s">
        <v>1493</v>
      </c>
      <c r="E94" s="875" t="s">
        <v>13</v>
      </c>
      <c r="F94" s="780">
        <v>6</v>
      </c>
      <c r="G94" s="982"/>
      <c r="H94" s="1008"/>
      <c r="I94" s="1063"/>
      <c r="J94" s="622"/>
      <c r="K94" s="982"/>
      <c r="L94" s="1029"/>
      <c r="M94" s="89"/>
      <c r="N94" s="1035"/>
    </row>
    <row r="95" spans="1:14" s="224" customFormat="1" ht="15" hidden="1" customHeight="1" x14ac:dyDescent="0.25">
      <c r="A95" s="215">
        <v>44428</v>
      </c>
      <c r="B95" s="349" t="s">
        <v>82</v>
      </c>
      <c r="C95" s="350" t="s">
        <v>12</v>
      </c>
      <c r="D95" s="350" t="s">
        <v>1493</v>
      </c>
      <c r="E95" s="480" t="s">
        <v>13</v>
      </c>
      <c r="F95" s="780">
        <v>34.549999999999997</v>
      </c>
      <c r="G95" s="946"/>
      <c r="H95" s="95"/>
      <c r="I95" s="1064"/>
      <c r="J95" s="622"/>
      <c r="K95" s="982"/>
      <c r="L95" s="861"/>
    </row>
    <row r="96" spans="1:14" s="224" customFormat="1" hidden="1" x14ac:dyDescent="0.25">
      <c r="A96" s="215">
        <v>44429</v>
      </c>
      <c r="B96" s="882" t="s">
        <v>14</v>
      </c>
      <c r="C96" s="879" t="s">
        <v>12</v>
      </c>
      <c r="D96" s="879" t="s">
        <v>1486</v>
      </c>
      <c r="E96" s="875" t="s">
        <v>13</v>
      </c>
      <c r="F96" s="780">
        <v>7.73</v>
      </c>
      <c r="G96" s="982"/>
      <c r="H96" s="1008"/>
      <c r="I96" s="1063"/>
      <c r="J96" s="622"/>
      <c r="K96" s="982"/>
      <c r="L96" s="861"/>
      <c r="N96" s="878"/>
    </row>
    <row r="97" spans="1:15" s="224" customFormat="1" hidden="1" x14ac:dyDescent="0.25">
      <c r="A97" s="215">
        <v>44429</v>
      </c>
      <c r="B97" s="882" t="s">
        <v>80</v>
      </c>
      <c r="C97" s="879" t="s">
        <v>19</v>
      </c>
      <c r="D97" s="879" t="s">
        <v>1523</v>
      </c>
      <c r="E97" s="875" t="s">
        <v>13</v>
      </c>
      <c r="F97" s="780">
        <v>28.68</v>
      </c>
      <c r="G97" s="982"/>
      <c r="H97" s="1008"/>
      <c r="I97" s="1063"/>
      <c r="J97" s="622"/>
      <c r="K97" s="982"/>
      <c r="L97" s="861"/>
      <c r="N97" s="878"/>
    </row>
    <row r="98" spans="1:15" s="224" customFormat="1" hidden="1" x14ac:dyDescent="0.25">
      <c r="A98" s="215">
        <v>44429</v>
      </c>
      <c r="B98" s="882" t="s">
        <v>1438</v>
      </c>
      <c r="C98" s="879" t="s">
        <v>19</v>
      </c>
      <c r="D98" s="879" t="s">
        <v>1489</v>
      </c>
      <c r="E98" s="875" t="s">
        <v>13</v>
      </c>
      <c r="F98" s="780">
        <v>36.46</v>
      </c>
      <c r="G98" s="982"/>
      <c r="H98" s="1008"/>
      <c r="I98" s="1063"/>
      <c r="J98" s="622"/>
      <c r="K98" s="982"/>
      <c r="L98" s="861"/>
      <c r="N98" s="878"/>
    </row>
    <row r="99" spans="1:15" s="224" customFormat="1" hidden="1" x14ac:dyDescent="0.25">
      <c r="A99" s="215">
        <v>44429</v>
      </c>
      <c r="B99" s="349" t="s">
        <v>82</v>
      </c>
      <c r="C99" s="350" t="s">
        <v>12</v>
      </c>
      <c r="D99" s="350" t="s">
        <v>1493</v>
      </c>
      <c r="E99" s="480" t="s">
        <v>13</v>
      </c>
      <c r="F99" s="780">
        <v>34.9</v>
      </c>
      <c r="G99" s="982"/>
      <c r="H99" s="1008"/>
      <c r="I99" s="1063"/>
      <c r="J99" s="622"/>
      <c r="K99" s="982"/>
      <c r="L99" s="861"/>
      <c r="N99" s="878"/>
      <c r="O99" s="927"/>
    </row>
    <row r="100" spans="1:15" s="224" customFormat="1" ht="15" hidden="1" customHeight="1" x14ac:dyDescent="0.25">
      <c r="A100" s="215">
        <v>44430</v>
      </c>
      <c r="B100" s="882" t="s">
        <v>14</v>
      </c>
      <c r="C100" s="879" t="s">
        <v>12</v>
      </c>
      <c r="D100" s="879" t="s">
        <v>1486</v>
      </c>
      <c r="E100" s="875" t="s">
        <v>13</v>
      </c>
      <c r="F100" s="780">
        <v>10.01</v>
      </c>
      <c r="G100" s="946"/>
      <c r="H100" s="95"/>
      <c r="I100" s="1064"/>
      <c r="J100" s="622"/>
      <c r="K100" s="982"/>
      <c r="L100" s="861"/>
      <c r="N100" s="1085"/>
      <c r="O100" s="959"/>
    </row>
    <row r="101" spans="1:15" s="224" customFormat="1" ht="15" hidden="1" customHeight="1" x14ac:dyDescent="0.25">
      <c r="A101" s="215">
        <v>44430</v>
      </c>
      <c r="B101" s="349" t="s">
        <v>1906</v>
      </c>
      <c r="C101" s="350" t="s">
        <v>12</v>
      </c>
      <c r="D101" s="350" t="s">
        <v>1493</v>
      </c>
      <c r="E101" s="480" t="s">
        <v>13</v>
      </c>
      <c r="F101" s="780">
        <v>22</v>
      </c>
      <c r="G101" s="946"/>
      <c r="H101" s="95"/>
      <c r="I101" s="1064"/>
      <c r="J101" s="622"/>
      <c r="K101" s="982"/>
      <c r="L101" s="861"/>
      <c r="N101" s="1085"/>
      <c r="O101" s="959"/>
    </row>
    <row r="102" spans="1:15" s="224" customFormat="1" ht="15" hidden="1" customHeight="1" x14ac:dyDescent="0.25">
      <c r="A102" s="215">
        <v>44431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17</v>
      </c>
      <c r="G102" s="982"/>
      <c r="H102" s="622"/>
      <c r="I102" s="982"/>
      <c r="J102" s="622"/>
      <c r="K102" s="982"/>
      <c r="L102" s="927"/>
      <c r="M102" s="959"/>
      <c r="N102" s="878"/>
      <c r="O102" s="1086"/>
    </row>
    <row r="103" spans="1:15" s="224" customFormat="1" ht="15" hidden="1" customHeight="1" x14ac:dyDescent="0.25">
      <c r="A103" s="215">
        <v>44431</v>
      </c>
      <c r="B103" s="882" t="s">
        <v>14</v>
      </c>
      <c r="C103" s="879" t="s">
        <v>12</v>
      </c>
      <c r="D103" s="879" t="s">
        <v>1486</v>
      </c>
      <c r="E103" s="875" t="s">
        <v>15</v>
      </c>
      <c r="F103" s="780">
        <v>4</v>
      </c>
      <c r="G103" s="982"/>
      <c r="H103" s="1008"/>
      <c r="I103" s="1063"/>
      <c r="J103" s="622"/>
      <c r="K103" s="982"/>
      <c r="L103" s="861"/>
      <c r="N103" s="1035"/>
    </row>
    <row r="104" spans="1:15" s="224" customFormat="1" ht="15" hidden="1" customHeight="1" x14ac:dyDescent="0.25">
      <c r="A104" s="215">
        <v>44432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17</v>
      </c>
      <c r="G104" s="982"/>
      <c r="H104" s="622"/>
      <c r="I104" s="982"/>
      <c r="J104" s="622"/>
      <c r="K104" s="982"/>
      <c r="L104" s="927"/>
      <c r="M104" s="927"/>
      <c r="N104" s="878"/>
    </row>
    <row r="105" spans="1:15" s="224" customFormat="1" ht="15" hidden="1" customHeight="1" x14ac:dyDescent="0.25">
      <c r="A105" s="215">
        <v>44432</v>
      </c>
      <c r="B105" s="882" t="s">
        <v>2766</v>
      </c>
      <c r="C105" s="879" t="s">
        <v>12</v>
      </c>
      <c r="D105" s="879" t="s">
        <v>2157</v>
      </c>
      <c r="E105" s="875" t="s">
        <v>13</v>
      </c>
      <c r="F105" s="780">
        <v>30</v>
      </c>
      <c r="G105" s="946"/>
      <c r="H105" s="95"/>
      <c r="I105" s="1064"/>
      <c r="J105" s="97"/>
      <c r="K105" s="946"/>
      <c r="L105" s="926"/>
      <c r="M105" s="89"/>
      <c r="N105" s="930"/>
    </row>
    <row r="106" spans="1:15" s="224" customFormat="1" ht="15" hidden="1" customHeight="1" x14ac:dyDescent="0.25">
      <c r="A106" s="215">
        <v>44432</v>
      </c>
      <c r="B106" s="882" t="s">
        <v>14</v>
      </c>
      <c r="C106" s="879" t="s">
        <v>12</v>
      </c>
      <c r="D106" s="879" t="s">
        <v>1486</v>
      </c>
      <c r="E106" s="875" t="s">
        <v>13</v>
      </c>
      <c r="F106" s="780">
        <v>7.19</v>
      </c>
      <c r="G106" s="982"/>
      <c r="H106" s="1008"/>
      <c r="I106" s="1063"/>
      <c r="J106" s="622"/>
      <c r="K106" s="982"/>
      <c r="L106" s="861"/>
      <c r="N106" s="1035"/>
    </row>
    <row r="107" spans="1:15" s="224" customFormat="1" hidden="1" x14ac:dyDescent="0.25">
      <c r="A107" s="215">
        <v>44402</v>
      </c>
      <c r="B107" s="364" t="s">
        <v>3043</v>
      </c>
      <c r="C107" s="350" t="s">
        <v>12</v>
      </c>
      <c r="D107" s="350" t="s">
        <v>1523</v>
      </c>
      <c r="E107" s="875" t="s">
        <v>13</v>
      </c>
      <c r="F107" s="780">
        <v>118.75</v>
      </c>
      <c r="G107" s="982"/>
      <c r="H107" s="1008"/>
      <c r="I107" s="1063"/>
      <c r="J107" s="622"/>
      <c r="K107" s="982"/>
      <c r="L107" s="89" t="s">
        <v>3044</v>
      </c>
      <c r="N107" s="930"/>
    </row>
    <row r="108" spans="1:15" s="224" customFormat="1" ht="15" hidden="1" customHeight="1" x14ac:dyDescent="0.25">
      <c r="A108" s="215">
        <v>44433</v>
      </c>
      <c r="B108" s="364" t="s">
        <v>3045</v>
      </c>
      <c r="C108" s="350" t="s">
        <v>12</v>
      </c>
      <c r="D108" s="350" t="s">
        <v>1506</v>
      </c>
      <c r="E108" s="875" t="s">
        <v>13</v>
      </c>
      <c r="F108" s="780">
        <v>50</v>
      </c>
      <c r="G108" s="982"/>
      <c r="H108" s="1008"/>
      <c r="I108" s="1063"/>
      <c r="J108" s="622"/>
      <c r="K108" s="982"/>
      <c r="L108" s="89" t="s">
        <v>3044</v>
      </c>
      <c r="N108" s="1080"/>
      <c r="O108" s="999"/>
    </row>
    <row r="109" spans="1:15" s="224" customFormat="1" ht="15" hidden="1" customHeight="1" x14ac:dyDescent="0.25">
      <c r="A109" s="215">
        <v>44433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17</v>
      </c>
      <c r="G109" s="982"/>
      <c r="H109" s="622"/>
      <c r="I109" s="982"/>
      <c r="J109" s="622"/>
      <c r="K109" s="982"/>
      <c r="L109" s="927"/>
      <c r="M109" s="927"/>
      <c r="N109" s="878"/>
    </row>
    <row r="110" spans="1:15" s="224" customFormat="1" ht="15" hidden="1" customHeight="1" x14ac:dyDescent="0.25">
      <c r="A110" s="215">
        <v>44433</v>
      </c>
      <c r="B110" s="882" t="s">
        <v>17</v>
      </c>
      <c r="C110" s="879" t="s">
        <v>12</v>
      </c>
      <c r="D110" s="879" t="s">
        <v>1493</v>
      </c>
      <c r="E110" s="875" t="s">
        <v>13</v>
      </c>
      <c r="F110" s="780">
        <v>6</v>
      </c>
      <c r="G110" s="982"/>
      <c r="H110" s="1008"/>
      <c r="I110" s="1063"/>
      <c r="J110" s="622"/>
      <c r="K110" s="982"/>
      <c r="L110" s="1029"/>
      <c r="M110" s="89"/>
      <c r="N110" s="1035"/>
    </row>
    <row r="111" spans="1:15" s="224" customFormat="1" ht="15" hidden="1" customHeight="1" x14ac:dyDescent="0.25">
      <c r="A111" s="215">
        <v>44433</v>
      </c>
      <c r="B111" s="882" t="s">
        <v>14</v>
      </c>
      <c r="C111" s="879" t="s">
        <v>12</v>
      </c>
      <c r="D111" s="879" t="s">
        <v>1486</v>
      </c>
      <c r="E111" s="875" t="s">
        <v>13</v>
      </c>
      <c r="F111" s="780">
        <v>10</v>
      </c>
      <c r="G111" s="982"/>
      <c r="H111" s="1008"/>
      <c r="I111" s="1063"/>
      <c r="J111" s="622"/>
      <c r="K111" s="982"/>
      <c r="L111" s="861"/>
      <c r="N111" s="1035"/>
    </row>
    <row r="112" spans="1:15" s="224" customFormat="1" ht="15" hidden="1" customHeight="1" x14ac:dyDescent="0.25">
      <c r="A112" s="215">
        <v>44434</v>
      </c>
      <c r="B112" s="882" t="s">
        <v>2197</v>
      </c>
      <c r="C112" s="879" t="s">
        <v>12</v>
      </c>
      <c r="D112" s="879" t="s">
        <v>2168</v>
      </c>
      <c r="E112" s="875" t="s">
        <v>13</v>
      </c>
      <c r="F112" s="780">
        <v>10</v>
      </c>
      <c r="G112" s="982"/>
      <c r="H112" s="1008"/>
      <c r="I112" s="1063"/>
      <c r="J112" s="622"/>
      <c r="K112" s="982"/>
      <c r="L112" s="1029"/>
      <c r="M112" s="89"/>
      <c r="N112" s="1035"/>
    </row>
    <row r="113" spans="1:15" s="224" customFormat="1" ht="15" hidden="1" customHeight="1" x14ac:dyDescent="0.25">
      <c r="A113" s="215">
        <v>44434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17</v>
      </c>
      <c r="G113" s="982"/>
      <c r="H113" s="622"/>
      <c r="I113" s="982"/>
      <c r="J113" s="622"/>
      <c r="K113" s="982"/>
      <c r="L113" s="927"/>
      <c r="M113" s="927"/>
      <c r="N113" s="878"/>
    </row>
    <row r="114" spans="1:15" s="224" customFormat="1" ht="15" hidden="1" customHeight="1" x14ac:dyDescent="0.25">
      <c r="A114" s="215">
        <v>44434</v>
      </c>
      <c r="B114" s="882" t="s">
        <v>2197</v>
      </c>
      <c r="C114" s="879" t="s">
        <v>12</v>
      </c>
      <c r="D114" s="879" t="s">
        <v>2168</v>
      </c>
      <c r="E114" s="875" t="s">
        <v>15</v>
      </c>
      <c r="F114" s="780">
        <v>30</v>
      </c>
      <c r="G114" s="982"/>
      <c r="H114" s="1008"/>
      <c r="I114" s="1063"/>
      <c r="J114" s="622"/>
      <c r="K114" s="982"/>
      <c r="L114" s="1029"/>
      <c r="M114" s="89"/>
      <c r="N114" s="1035"/>
    </row>
    <row r="115" spans="1:15" s="224" customFormat="1" ht="15" hidden="1" customHeight="1" x14ac:dyDescent="0.25">
      <c r="A115" s="215">
        <v>44435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17</v>
      </c>
      <c r="G115" s="982"/>
      <c r="H115" s="622"/>
      <c r="I115" s="982"/>
      <c r="J115" s="622"/>
      <c r="K115" s="982"/>
      <c r="L115" s="927"/>
      <c r="M115" s="927"/>
      <c r="N115" s="878"/>
    </row>
    <row r="116" spans="1:15" s="224" customFormat="1" ht="15" hidden="1" customHeight="1" x14ac:dyDescent="0.25">
      <c r="A116" s="215">
        <v>44435</v>
      </c>
      <c r="B116" s="882" t="s">
        <v>14</v>
      </c>
      <c r="C116" s="879" t="s">
        <v>12</v>
      </c>
      <c r="D116" s="879" t="s">
        <v>1486</v>
      </c>
      <c r="E116" s="875" t="s">
        <v>13</v>
      </c>
      <c r="F116" s="780">
        <v>3.09</v>
      </c>
      <c r="G116" s="982"/>
      <c r="H116" s="1008"/>
      <c r="I116" s="1063"/>
      <c r="J116" s="622"/>
      <c r="K116" s="982"/>
      <c r="L116" s="1029"/>
      <c r="M116" s="89"/>
      <c r="N116" s="1081"/>
      <c r="O116" s="1082"/>
    </row>
    <row r="117" spans="1:15" s="224" customFormat="1" ht="15" hidden="1" customHeight="1" x14ac:dyDescent="0.25">
      <c r="A117" s="215">
        <v>44435</v>
      </c>
      <c r="B117" s="882" t="s">
        <v>2766</v>
      </c>
      <c r="C117" s="879" t="s">
        <v>12</v>
      </c>
      <c r="D117" s="879" t="s">
        <v>2157</v>
      </c>
      <c r="E117" s="875" t="s">
        <v>15</v>
      </c>
      <c r="F117" s="780">
        <v>50</v>
      </c>
      <c r="G117" s="946"/>
      <c r="H117" s="95"/>
      <c r="I117" s="1064"/>
      <c r="J117" s="97"/>
      <c r="K117" s="946"/>
      <c r="L117" s="926"/>
      <c r="M117" s="89"/>
      <c r="N117" s="930"/>
    </row>
    <row r="118" spans="1:15" s="224" customFormat="1" ht="15" hidden="1" customHeight="1" x14ac:dyDescent="0.25">
      <c r="A118" s="215">
        <v>44436</v>
      </c>
      <c r="B118" s="882" t="s">
        <v>14</v>
      </c>
      <c r="C118" s="879" t="s">
        <v>12</v>
      </c>
      <c r="D118" s="879" t="s">
        <v>1486</v>
      </c>
      <c r="E118" s="875" t="s">
        <v>13</v>
      </c>
      <c r="F118" s="780">
        <v>8.9600000000000009</v>
      </c>
      <c r="G118" s="982"/>
      <c r="H118" s="1008"/>
      <c r="I118" s="1063"/>
      <c r="J118" s="622"/>
      <c r="K118" s="982"/>
      <c r="L118" s="861"/>
      <c r="N118" s="1035"/>
    </row>
    <row r="119" spans="1:15" s="224" customFormat="1" ht="15" hidden="1" customHeight="1" x14ac:dyDescent="0.25">
      <c r="A119" s="215">
        <v>44436</v>
      </c>
      <c r="B119" s="364" t="s">
        <v>82</v>
      </c>
      <c r="C119" s="350" t="s">
        <v>12</v>
      </c>
      <c r="D119" s="350" t="s">
        <v>1493</v>
      </c>
      <c r="E119" s="875" t="s">
        <v>13</v>
      </c>
      <c r="F119" s="780">
        <v>27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5" s="224" customFormat="1" ht="15" hidden="1" customHeight="1" x14ac:dyDescent="0.25">
      <c r="A120" s="215">
        <v>44437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8.4600000000000009</v>
      </c>
      <c r="G120" s="982"/>
      <c r="H120" s="1008"/>
      <c r="I120" s="1063"/>
      <c r="J120" s="622"/>
      <c r="K120" s="982"/>
      <c r="L120" s="1029"/>
      <c r="M120" s="89"/>
      <c r="N120" s="930"/>
    </row>
    <row r="121" spans="1:15" s="224" customFormat="1" ht="15" hidden="1" customHeight="1" x14ac:dyDescent="0.25">
      <c r="A121" s="215">
        <v>44437</v>
      </c>
      <c r="B121" s="364" t="s">
        <v>2300</v>
      </c>
      <c r="C121" s="350" t="s">
        <v>12</v>
      </c>
      <c r="D121" s="350" t="s">
        <v>1493</v>
      </c>
      <c r="E121" s="875" t="s">
        <v>15</v>
      </c>
      <c r="F121" s="780">
        <v>4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5" s="224" customFormat="1" ht="15" hidden="1" customHeight="1" x14ac:dyDescent="0.25">
      <c r="A122" s="215">
        <v>44437</v>
      </c>
      <c r="B122" s="364" t="s">
        <v>421</v>
      </c>
      <c r="C122" s="350" t="s">
        <v>12</v>
      </c>
      <c r="D122" s="350" t="s">
        <v>1493</v>
      </c>
      <c r="E122" s="875" t="s">
        <v>13</v>
      </c>
      <c r="F122" s="780">
        <v>32</v>
      </c>
      <c r="G122" s="982"/>
      <c r="H122" s="1008"/>
      <c r="I122" s="1063"/>
      <c r="J122" s="622"/>
      <c r="K122" s="982"/>
      <c r="L122" s="1029"/>
      <c r="M122" s="89"/>
      <c r="N122" s="930"/>
    </row>
    <row r="123" spans="1:15" s="224" customFormat="1" ht="15" hidden="1" customHeight="1" x14ac:dyDescent="0.25">
      <c r="A123" s="215">
        <v>44438</v>
      </c>
      <c r="B123" s="862" t="s">
        <v>3046</v>
      </c>
      <c r="C123" s="879" t="s">
        <v>12</v>
      </c>
      <c r="D123" s="879" t="s">
        <v>1504</v>
      </c>
      <c r="E123" s="871" t="s">
        <v>13</v>
      </c>
      <c r="F123" s="622">
        <v>25.9</v>
      </c>
      <c r="G123" s="1034"/>
      <c r="H123" s="1008"/>
      <c r="I123" s="1063"/>
      <c r="J123" s="622"/>
      <c r="K123" s="982"/>
      <c r="L123" s="475"/>
      <c r="N123" s="878"/>
    </row>
    <row r="124" spans="1:15" s="224" customFormat="1" ht="15" hidden="1" customHeight="1" x14ac:dyDescent="0.25">
      <c r="A124" s="215">
        <v>44438</v>
      </c>
      <c r="B124" s="364" t="s">
        <v>3047</v>
      </c>
      <c r="C124" s="350" t="s">
        <v>12</v>
      </c>
      <c r="D124" s="350" t="s">
        <v>1489</v>
      </c>
      <c r="E124" s="875" t="s">
        <v>15</v>
      </c>
      <c r="F124" s="780">
        <v>17.5</v>
      </c>
      <c r="G124" s="982"/>
      <c r="H124" s="1008"/>
      <c r="I124" s="1063"/>
      <c r="J124" s="622"/>
      <c r="K124" s="982"/>
      <c r="L124" s="1029"/>
      <c r="M124" s="89"/>
      <c r="N124" s="930"/>
    </row>
    <row r="125" spans="1:15" s="224" customFormat="1" ht="15" hidden="1" customHeight="1" x14ac:dyDescent="0.25">
      <c r="A125" s="215">
        <v>44438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10</v>
      </c>
      <c r="G125" s="982"/>
      <c r="H125" s="622"/>
      <c r="I125" s="982"/>
      <c r="J125" s="622"/>
      <c r="K125" s="982"/>
      <c r="L125" s="927"/>
      <c r="M125" s="927"/>
      <c r="N125" s="878"/>
    </row>
    <row r="126" spans="1:15" s="224" customFormat="1" ht="15" hidden="1" customHeight="1" x14ac:dyDescent="0.25">
      <c r="A126" s="215">
        <v>44438</v>
      </c>
      <c r="B126" s="882" t="s">
        <v>2766</v>
      </c>
      <c r="C126" s="879" t="s">
        <v>12</v>
      </c>
      <c r="D126" s="879" t="s">
        <v>2157</v>
      </c>
      <c r="E126" s="875" t="s">
        <v>15</v>
      </c>
      <c r="F126" s="780">
        <v>50</v>
      </c>
      <c r="G126" s="946"/>
      <c r="H126" s="95"/>
      <c r="I126" s="1064"/>
      <c r="J126" s="97"/>
      <c r="K126" s="946"/>
      <c r="L126" s="926"/>
      <c r="M126" s="89"/>
      <c r="N126" s="930"/>
    </row>
    <row r="127" spans="1:15" s="224" customFormat="1" ht="15" hidden="1" customHeight="1" x14ac:dyDescent="0.25">
      <c r="A127" s="215">
        <v>44438</v>
      </c>
      <c r="B127" s="882" t="s">
        <v>14</v>
      </c>
      <c r="C127" s="879" t="s">
        <v>12</v>
      </c>
      <c r="D127" s="879" t="s">
        <v>1486</v>
      </c>
      <c r="E127" s="875" t="s">
        <v>13</v>
      </c>
      <c r="F127" s="780">
        <v>4.1500000000000004</v>
      </c>
      <c r="G127" s="982"/>
      <c r="H127" s="1008"/>
      <c r="I127" s="1063"/>
      <c r="J127" s="622"/>
      <c r="K127" s="982"/>
      <c r="L127" s="1029"/>
      <c r="M127" s="89"/>
      <c r="N127" s="930"/>
    </row>
    <row r="128" spans="1:15" s="224" customFormat="1" ht="15" hidden="1" customHeight="1" x14ac:dyDescent="0.25">
      <c r="A128" s="215">
        <v>44439</v>
      </c>
      <c r="B128" s="882" t="s">
        <v>32</v>
      </c>
      <c r="C128" s="879" t="s">
        <v>12</v>
      </c>
      <c r="D128" s="879" t="s">
        <v>1485</v>
      </c>
      <c r="E128" s="875" t="s">
        <v>13</v>
      </c>
      <c r="F128" s="780">
        <v>17</v>
      </c>
      <c r="G128" s="982"/>
      <c r="H128" s="622"/>
      <c r="I128" s="982"/>
      <c r="J128" s="622"/>
      <c r="K128" s="982"/>
      <c r="L128" s="927"/>
      <c r="M128" s="927"/>
      <c r="N128" s="878"/>
    </row>
    <row r="129" spans="1:14" s="224" customFormat="1" hidden="1" x14ac:dyDescent="0.25">
      <c r="A129" s="215">
        <v>44439</v>
      </c>
      <c r="B129" s="882" t="s">
        <v>14</v>
      </c>
      <c r="C129" s="879" t="s">
        <v>12</v>
      </c>
      <c r="D129" s="879" t="s">
        <v>1486</v>
      </c>
      <c r="E129" s="875" t="s">
        <v>13</v>
      </c>
      <c r="F129" s="1047">
        <v>7.17</v>
      </c>
      <c r="G129" s="982"/>
      <c r="H129" s="1008"/>
      <c r="I129" s="1063"/>
      <c r="J129" s="622"/>
      <c r="K129" s="982"/>
      <c r="L129" s="1029"/>
      <c r="M129" s="89"/>
      <c r="N129" s="930"/>
    </row>
    <row r="130" spans="1:14" s="224" customFormat="1" ht="15.75" hidden="1" thickBot="1" x14ac:dyDescent="0.3">
      <c r="A130" s="215">
        <v>44439</v>
      </c>
      <c r="B130" s="862" t="s">
        <v>1666</v>
      </c>
      <c r="C130" s="350" t="s">
        <v>12</v>
      </c>
      <c r="D130" s="1003"/>
      <c r="E130" s="145" t="s">
        <v>25</v>
      </c>
      <c r="F130" s="1036"/>
      <c r="G130" s="1535"/>
      <c r="H130" s="1008"/>
      <c r="I130" s="1063"/>
      <c r="J130" s="622"/>
      <c r="K130" s="982">
        <v>47.12</v>
      </c>
      <c r="L130" s="475"/>
      <c r="N130" s="878"/>
    </row>
    <row r="131" spans="1:14" ht="25.5" hidden="1" customHeight="1" thickBot="1" x14ac:dyDescent="0.3">
      <c r="A131" s="3060"/>
      <c r="B131" s="3061"/>
      <c r="C131" s="3062"/>
      <c r="D131" s="3062"/>
      <c r="E131" s="3062"/>
      <c r="F131" s="1020">
        <f>SUM(F6:F130)</f>
        <v>4131.3066666666664</v>
      </c>
      <c r="G131" s="1534">
        <f>SUM(G5:G130)</f>
        <v>4711.6612500000174</v>
      </c>
      <c r="H131" s="517">
        <f>SUM(H6:H130)</f>
        <v>200</v>
      </c>
      <c r="I131" s="93">
        <f>SUM(I5:I130)</f>
        <v>1199.9960000000028</v>
      </c>
      <c r="J131" s="1023">
        <f>SUM(J6:J130)</f>
        <v>0</v>
      </c>
      <c r="K131" s="93">
        <f>SUM(K5:K130)</f>
        <v>12354.039999999997</v>
      </c>
      <c r="M131" s="216"/>
    </row>
    <row r="132" spans="1:14" ht="25.5" hidden="1" customHeight="1" thickBot="1" x14ac:dyDescent="0.3">
      <c r="A132" s="3117" t="s">
        <v>49</v>
      </c>
      <c r="B132" s="3118"/>
      <c r="C132" s="3118"/>
      <c r="D132" s="3118"/>
      <c r="E132" s="3118"/>
      <c r="F132" s="144" t="s">
        <v>280</v>
      </c>
      <c r="G132" s="519">
        <f>G131-F131</f>
        <v>580.354583333351</v>
      </c>
      <c r="H132" s="555"/>
      <c r="I132" s="772">
        <f>I131-H131</f>
        <v>999.99600000000282</v>
      </c>
      <c r="J132" s="593"/>
      <c r="K132" s="772">
        <f>K131-J131</f>
        <v>12354.039999999997</v>
      </c>
    </row>
    <row r="133" spans="1:14" x14ac:dyDescent="0.25">
      <c r="E133" s="79"/>
      <c r="K133" s="518"/>
      <c r="L133" s="216"/>
    </row>
    <row r="134" spans="1:14" x14ac:dyDescent="0.25">
      <c r="B134" s="81" t="s">
        <v>3</v>
      </c>
      <c r="C134" s="193" t="s">
        <v>1484</v>
      </c>
      <c r="D134" s="970" t="s">
        <v>2378</v>
      </c>
      <c r="G134" s="216"/>
      <c r="K134" s="866"/>
    </row>
    <row r="135" spans="1:14" x14ac:dyDescent="0.25">
      <c r="B135" s="79" t="s">
        <v>32</v>
      </c>
      <c r="C135" s="85" t="s">
        <v>1485</v>
      </c>
      <c r="D135" s="475">
        <f>SUMIF($D$7:$D$130,"A",$F$7:$F$130)</f>
        <v>427</v>
      </c>
      <c r="F135" s="79"/>
      <c r="G135" s="800"/>
      <c r="I135" s="769"/>
      <c r="J135" s="868"/>
    </row>
    <row r="136" spans="1:14" x14ac:dyDescent="0.25">
      <c r="B136" s="79" t="s">
        <v>2187</v>
      </c>
      <c r="C136" s="85" t="s">
        <v>2157</v>
      </c>
      <c r="D136" s="475">
        <f>SUMIF($D$7:$D$130,"GAC",$F$7:$F$130)</f>
        <v>340</v>
      </c>
      <c r="G136" s="609"/>
      <c r="J136" s="754"/>
      <c r="K136" s="886"/>
      <c r="L136" s="1030"/>
    </row>
    <row r="137" spans="1:14" x14ac:dyDescent="0.25">
      <c r="B137" s="79" t="s">
        <v>2188</v>
      </c>
      <c r="C137" s="85" t="s">
        <v>2168</v>
      </c>
      <c r="D137" s="475">
        <f>SUMIF($D$15:$D$130,"GAM",$F$15:$F$130)</f>
        <v>120</v>
      </c>
      <c r="J137" s="864"/>
      <c r="K137" s="864"/>
      <c r="L137" s="958"/>
    </row>
    <row r="138" spans="1:14" s="85" customFormat="1" x14ac:dyDescent="0.25">
      <c r="A138" s="79"/>
      <c r="B138" s="79" t="s">
        <v>50</v>
      </c>
      <c r="C138" s="85" t="s">
        <v>1493</v>
      </c>
      <c r="D138" s="475">
        <f>SUMIF($D$7:$D$130,"LD",$F$7:$F$130)</f>
        <v>268.04999999999995</v>
      </c>
      <c r="J138" s="864"/>
      <c r="K138" s="1032"/>
      <c r="L138" s="958"/>
      <c r="N138" s="877"/>
    </row>
    <row r="139" spans="1:14" s="85" customFormat="1" x14ac:dyDescent="0.25">
      <c r="A139" s="79"/>
      <c r="B139" s="79" t="s">
        <v>14</v>
      </c>
      <c r="C139" s="85" t="s">
        <v>1486</v>
      </c>
      <c r="D139" s="475">
        <f>SUMIF($D$7:$D$130,"C",$F$7:$F$130)</f>
        <v>170.08000000000004</v>
      </c>
      <c r="F139" s="89"/>
      <c r="G139" s="79"/>
      <c r="H139" s="79"/>
      <c r="J139" s="864"/>
      <c r="K139" s="1032"/>
      <c r="L139" s="958"/>
      <c r="N139" s="877"/>
    </row>
    <row r="140" spans="1:14" s="85" customFormat="1" x14ac:dyDescent="0.25">
      <c r="A140" s="79"/>
      <c r="B140" s="79" t="s">
        <v>51</v>
      </c>
      <c r="C140" s="864" t="s">
        <v>1499</v>
      </c>
      <c r="D140" s="475">
        <f>SUMIF($D$28:$D$130,"CAL",$F$28:$F$130)</f>
        <v>112.91</v>
      </c>
      <c r="F140" s="89"/>
      <c r="G140" s="79"/>
      <c r="H140" s="79"/>
      <c r="I140" s="79"/>
      <c r="K140" s="795"/>
      <c r="L140" s="958"/>
      <c r="N140" s="877"/>
    </row>
    <row r="141" spans="1:14" s="85" customFormat="1" x14ac:dyDescent="0.25">
      <c r="A141" s="79"/>
      <c r="B141" s="79" t="s">
        <v>2189</v>
      </c>
      <c r="C141" s="864" t="s">
        <v>1496</v>
      </c>
      <c r="D141" s="475">
        <f>SUMIF($D$27:$D$130,"AC",$F$27:$F$130)</f>
        <v>70</v>
      </c>
      <c r="F141" s="769"/>
      <c r="G141" s="79"/>
      <c r="K141" s="177"/>
      <c r="L141" s="941"/>
      <c r="N141" s="877"/>
    </row>
    <row r="142" spans="1:14" s="85" customFormat="1" x14ac:dyDescent="0.25">
      <c r="A142" s="79"/>
      <c r="B142" s="867" t="s">
        <v>53</v>
      </c>
      <c r="C142" s="864" t="s">
        <v>1522</v>
      </c>
      <c r="D142" s="475">
        <f>SUMIF($D$28:$D$130,"DC",$F$28:$F$130)</f>
        <v>0</v>
      </c>
      <c r="K142" s="177"/>
      <c r="L142" s="475"/>
      <c r="N142" s="877"/>
    </row>
    <row r="143" spans="1:14" s="85" customFormat="1" x14ac:dyDescent="0.25">
      <c r="A143" s="79"/>
      <c r="B143" s="867" t="s">
        <v>2149</v>
      </c>
      <c r="C143" s="864" t="s">
        <v>2131</v>
      </c>
      <c r="D143" s="475">
        <f>SUMIF($D$6:$D$130,"DM",$F$6:$F$130)</f>
        <v>0</v>
      </c>
      <c r="F143" s="769"/>
      <c r="K143" s="177" t="s">
        <v>280</v>
      </c>
      <c r="L143" s="475"/>
      <c r="N143" s="877"/>
    </row>
    <row r="144" spans="1:14" s="85" customFormat="1" x14ac:dyDescent="0.25">
      <c r="A144" s="79"/>
      <c r="B144" s="79" t="s">
        <v>3048</v>
      </c>
      <c r="C144" s="864" t="s">
        <v>1523</v>
      </c>
      <c r="D144" s="475">
        <f>SUMIF($D$15:$D$130,"B",$F$15:$F$130)</f>
        <v>308.43</v>
      </c>
      <c r="F144" s="769"/>
      <c r="G144" s="866"/>
      <c r="K144" s="177"/>
      <c r="L144" s="475"/>
      <c r="N144" s="877"/>
    </row>
    <row r="145" spans="1:18" s="85" customFormat="1" x14ac:dyDescent="0.25">
      <c r="A145" s="79"/>
      <c r="B145" s="79" t="s">
        <v>1686</v>
      </c>
      <c r="C145" s="864" t="s">
        <v>1506</v>
      </c>
      <c r="D145" s="475">
        <f>SUMIF($D$7:$D$130,"R",$F$7:$F$130)</f>
        <v>433.91666666666669</v>
      </c>
      <c r="F145" s="769"/>
      <c r="G145" s="868"/>
      <c r="K145" s="866"/>
      <c r="L145" s="475"/>
      <c r="N145" s="877"/>
    </row>
    <row r="146" spans="1:18" x14ac:dyDescent="0.25">
      <c r="B146" s="79" t="s">
        <v>418</v>
      </c>
      <c r="C146" s="85" t="s">
        <v>1524</v>
      </c>
      <c r="D146" s="475">
        <f>SUMIF($D$28:$D$130,"COM",$F$28:$F$130)</f>
        <v>0</v>
      </c>
      <c r="G146" s="85"/>
      <c r="H146" s="85"/>
      <c r="I146" s="85"/>
      <c r="J146" s="769"/>
      <c r="K146" s="216"/>
    </row>
    <row r="147" spans="1:18" x14ac:dyDescent="0.25">
      <c r="B147" s="79" t="s">
        <v>419</v>
      </c>
      <c r="C147" s="85" t="s">
        <v>1491</v>
      </c>
      <c r="D147" s="475">
        <f>SUMIF($D$15:$D$130,"F",$F$15:$F$130)</f>
        <v>850</v>
      </c>
      <c r="I147" s="85"/>
      <c r="K147" s="216"/>
    </row>
    <row r="148" spans="1:18" x14ac:dyDescent="0.25">
      <c r="B148" s="79" t="s">
        <v>911</v>
      </c>
      <c r="C148" s="85" t="s">
        <v>1525</v>
      </c>
      <c r="D148" s="475">
        <f>SUMIF($D$7:$D$130,"FER",$F$7:$F$130)</f>
        <v>9</v>
      </c>
      <c r="J148" s="769"/>
      <c r="K148" s="868"/>
    </row>
    <row r="149" spans="1:18" x14ac:dyDescent="0.25">
      <c r="B149" s="79" t="s">
        <v>1526</v>
      </c>
      <c r="C149" s="85" t="s">
        <v>1504</v>
      </c>
      <c r="D149" s="475">
        <f>SUMIF($D$28:$D$130,"I",$F$28:$F$130)</f>
        <v>105.9</v>
      </c>
      <c r="F149" s="89" t="s">
        <v>280</v>
      </c>
      <c r="J149" s="769"/>
      <c r="K149" s="868"/>
    </row>
    <row r="150" spans="1:18" x14ac:dyDescent="0.25">
      <c r="B150" s="79" t="s">
        <v>2343</v>
      </c>
      <c r="C150" s="85" t="s">
        <v>2315</v>
      </c>
      <c r="D150" s="475">
        <f>SUMIF($D$7:$D$130,"E",$F$7:$F$130)</f>
        <v>0</v>
      </c>
      <c r="J150" s="769"/>
      <c r="K150" s="868"/>
    </row>
    <row r="151" spans="1:18" x14ac:dyDescent="0.25">
      <c r="B151" s="79" t="s">
        <v>3019</v>
      </c>
      <c r="C151" s="85" t="s">
        <v>3017</v>
      </c>
      <c r="D151" s="475">
        <f>SUMIF($D$6:$D$130,"IM",$F$6:$F$130)</f>
        <v>625.36</v>
      </c>
      <c r="J151" s="769"/>
    </row>
    <row r="152" spans="1:18" x14ac:dyDescent="0.25">
      <c r="B152" s="79" t="s">
        <v>1527</v>
      </c>
      <c r="C152" s="85" t="s">
        <v>1489</v>
      </c>
      <c r="D152" s="475">
        <f>SUMIF($D$6:$D$130,"OD",$F$6:$F$130)</f>
        <v>290.65999999999997</v>
      </c>
    </row>
    <row r="153" spans="1:18" x14ac:dyDescent="0.25">
      <c r="C153" s="79"/>
      <c r="D153" s="629"/>
      <c r="E153" s="79"/>
      <c r="F153" s="79"/>
      <c r="L153" s="79"/>
      <c r="N153" s="79"/>
    </row>
    <row r="154" spans="1:18" x14ac:dyDescent="0.25">
      <c r="B154" s="79" t="s">
        <v>486</v>
      </c>
      <c r="C154" s="475">
        <f>H154/J154</f>
        <v>133.26795698924732</v>
      </c>
      <c r="F154" s="518" t="s">
        <v>487</v>
      </c>
      <c r="H154" s="629">
        <f>SUM(D135:D152)</f>
        <v>4131.3066666666673</v>
      </c>
      <c r="I154" s="216"/>
      <c r="J154" s="1517">
        <v>31</v>
      </c>
    </row>
    <row r="155" spans="1:18" ht="15.75" customHeight="1" x14ac:dyDescent="0.25">
      <c r="E155" s="769"/>
      <c r="H155" s="85"/>
      <c r="K155" s="868"/>
    </row>
    <row r="156" spans="1:18" x14ac:dyDescent="0.25">
      <c r="E156" s="79"/>
      <c r="F156" s="79"/>
      <c r="G156" s="85"/>
      <c r="H156" s="459"/>
      <c r="I156" s="85"/>
      <c r="J156" s="89"/>
      <c r="L156" s="769"/>
      <c r="M156" s="518" t="s">
        <v>280</v>
      </c>
      <c r="N156" s="79"/>
      <c r="O156" s="866"/>
      <c r="P156" s="484"/>
      <c r="R156" s="877"/>
    </row>
    <row r="157" spans="1:18" s="518" customFormat="1" x14ac:dyDescent="0.25">
      <c r="A157" s="79"/>
      <c r="B157" s="79"/>
      <c r="C157" s="85"/>
      <c r="D157" s="79"/>
      <c r="E157" s="79"/>
      <c r="F157" s="769"/>
      <c r="G157" s="85"/>
      <c r="H157" s="85"/>
      <c r="I157" s="89"/>
      <c r="J157" s="79"/>
      <c r="K157" s="79"/>
      <c r="L157" s="79"/>
      <c r="M157" s="79"/>
      <c r="N157" s="866"/>
      <c r="O157" s="484"/>
      <c r="P157" s="79"/>
      <c r="Q157" s="877"/>
      <c r="R157" s="79"/>
    </row>
    <row r="158" spans="1:18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  <c r="M159" s="79"/>
      <c r="N159" s="877"/>
      <c r="O159" s="79"/>
    </row>
    <row r="160" spans="1:18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216"/>
      <c r="J160" s="76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216"/>
      <c r="J163" s="769"/>
      <c r="K163" s="868"/>
      <c r="L163" s="484"/>
      <c r="M163" s="79"/>
      <c r="N163" s="877"/>
      <c r="O163" s="79"/>
    </row>
    <row r="164" spans="1:15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216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216"/>
      <c r="H165" s="79"/>
      <c r="I165" s="79"/>
      <c r="J165" s="770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629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484"/>
      <c r="M186" s="79"/>
      <c r="N186" s="877"/>
      <c r="O186" s="79"/>
    </row>
    <row r="187" spans="1:15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8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6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223"/>
      <c r="K193" s="62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56"/>
      <c r="K194" s="756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85"/>
      <c r="K199" s="85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85"/>
      <c r="K206" s="85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2" spans="1:15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  <c r="O212" s="79"/>
    </row>
    <row r="213" spans="1:15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71"/>
      <c r="L213" s="484"/>
      <c r="M213" s="79"/>
      <c r="N213" s="877"/>
      <c r="O213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877"/>
      <c r="O214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877"/>
      <c r="O221" s="79"/>
    </row>
    <row r="222" spans="1:15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484"/>
      <c r="M222" s="79"/>
      <c r="N222" s="877"/>
      <c r="O222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4" spans="1:15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  <c r="M224" s="79"/>
      <c r="N224" s="877"/>
      <c r="O224" s="79"/>
    </row>
    <row r="226" spans="1:15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877"/>
      <c r="O226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629"/>
      <c r="L228" s="484"/>
      <c r="M228" s="79"/>
      <c r="N228" s="877"/>
      <c r="O228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877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877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  <row r="240" spans="1:15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877"/>
      <c r="O240" s="79"/>
    </row>
    <row r="241" spans="1:15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  <c r="O241" s="79"/>
    </row>
    <row r="242" spans="1:15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  <c r="O242" s="79"/>
    </row>
  </sheetData>
  <autoFilter ref="A2:I132" xr:uid="{00000000-0009-0000-0000-000073000000}">
    <filterColumn colId="3">
      <filters>
        <filter val="F"/>
      </filters>
    </filterColumn>
  </autoFilter>
  <mergeCells count="12">
    <mergeCell ref="A131:E131"/>
    <mergeCell ref="A132:E132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Plan131" filterMode="1"/>
  <dimension ref="A1:AR232"/>
  <sheetViews>
    <sheetView zoomScale="85" zoomScaleNormal="85" workbookViewId="0">
      <pane ySplit="3" topLeftCell="A4" activePane="bottomLeft" state="frozen"/>
      <selection activeCell="C44" sqref="C44"/>
      <selection pane="bottomLeft" activeCell="B64" sqref="A1:AR23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2.28515625" style="85" customWidth="1"/>
    <col min="6" max="6" width="13.42578125" style="89" customWidth="1"/>
    <col min="7" max="11" width="13.42578125" style="79" customWidth="1"/>
    <col min="12" max="12" width="9.85546875" style="484" customWidth="1"/>
    <col min="13" max="13" width="26.85546875" style="79" customWidth="1"/>
    <col min="14" max="14" width="13.85546875" style="79" customWidth="1"/>
    <col min="15" max="15" width="14.5703125" style="79" customWidth="1"/>
    <col min="16" max="16" width="18" style="79" customWidth="1"/>
    <col min="17" max="17" width="13.42578125" style="79" bestFit="1" customWidth="1"/>
    <col min="18" max="18" width="26" style="79" bestFit="1" customWidth="1"/>
    <col min="19" max="19" width="30.5703125" style="79" bestFit="1" customWidth="1"/>
    <col min="20" max="20" width="21" style="79" bestFit="1" customWidth="1"/>
    <col min="21" max="21" width="27.7109375" style="79" bestFit="1" customWidth="1"/>
    <col min="22" max="22" width="14.140625" style="79" bestFit="1" customWidth="1"/>
    <col min="23" max="23" width="40" style="79" bestFit="1" customWidth="1"/>
    <col min="24" max="24" width="25" style="79" bestFit="1" customWidth="1"/>
    <col min="25" max="25" width="8.42578125" style="79" customWidth="1"/>
    <col min="26" max="26" width="34.5703125" style="79" bestFit="1" customWidth="1"/>
    <col min="27" max="27" width="14.5703125" style="79" bestFit="1" customWidth="1"/>
    <col min="28" max="28" width="14.42578125" style="79" bestFit="1" customWidth="1"/>
    <col min="29" max="29" width="14.5703125" style="79" bestFit="1" customWidth="1"/>
    <col min="30" max="30" width="15.140625" style="79" bestFit="1" customWidth="1"/>
    <col min="31" max="31" width="37.42578125" style="79" bestFit="1" customWidth="1"/>
    <col min="32" max="32" width="16.140625" style="79" bestFit="1" customWidth="1"/>
    <col min="33" max="33" width="19.5703125" style="79" bestFit="1" customWidth="1"/>
    <col min="34" max="34" width="28.42578125" style="79" bestFit="1" customWidth="1"/>
    <col min="35" max="35" width="30.28515625" style="79" bestFit="1" customWidth="1"/>
    <col min="36" max="36" width="35.7109375" style="79" bestFit="1" customWidth="1"/>
    <col min="37" max="37" width="15.5703125" style="79" bestFit="1" customWidth="1"/>
    <col min="38" max="38" width="25.140625" style="79" bestFit="1" customWidth="1"/>
    <col min="39" max="39" width="20.42578125" style="79" bestFit="1" customWidth="1"/>
    <col min="40" max="40" width="22.28515625" style="79" customWidth="1"/>
    <col min="41" max="41" width="8.42578125" style="79" customWidth="1"/>
    <col min="42" max="42" width="13.42578125" style="79" bestFit="1" customWidth="1"/>
    <col min="43" max="43" width="7.42578125" style="79" customWidth="1"/>
    <col min="44" max="44" width="11.140625" style="79" bestFit="1" customWidth="1"/>
    <col min="45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3049</v>
      </c>
      <c r="G1" s="3058"/>
      <c r="H1" s="3058"/>
      <c r="I1" s="3058"/>
      <c r="J1" s="3058"/>
      <c r="K1" s="3059"/>
    </row>
    <row r="2" spans="1:44" ht="21.75" customHeight="1" thickBot="1" x14ac:dyDescent="0.3">
      <c r="A2" s="3089" t="s">
        <v>2</v>
      </c>
      <c r="B2" s="3089" t="s">
        <v>3</v>
      </c>
      <c r="C2" s="3089" t="s">
        <v>4</v>
      </c>
      <c r="D2" s="3089" t="s">
        <v>1484</v>
      </c>
      <c r="E2" s="3089" t="s">
        <v>5</v>
      </c>
      <c r="F2" s="3164" t="s">
        <v>6</v>
      </c>
      <c r="G2" s="3165"/>
      <c r="H2" s="3085" t="s">
        <v>7</v>
      </c>
      <c r="I2" s="3086"/>
      <c r="J2" s="3085" t="s">
        <v>1637</v>
      </c>
      <c r="K2" s="3086"/>
    </row>
    <row r="3" spans="1:44" ht="13.5" hidden="1" customHeight="1" thickBot="1" x14ac:dyDescent="0.3">
      <c r="A3" s="3091"/>
      <c r="B3" s="3091"/>
      <c r="C3" s="3091"/>
      <c r="D3" s="3091"/>
      <c r="E3" s="3091"/>
      <c r="F3" s="147" t="s">
        <v>8</v>
      </c>
      <c r="G3" s="148" t="s">
        <v>9</v>
      </c>
      <c r="H3" s="1007" t="s">
        <v>8</v>
      </c>
      <c r="I3" s="1013" t="s">
        <v>9</v>
      </c>
      <c r="J3" s="147" t="s">
        <v>8</v>
      </c>
      <c r="K3" s="148" t="s">
        <v>9</v>
      </c>
    </row>
    <row r="4" spans="1:44" hidden="1" x14ac:dyDescent="0.25">
      <c r="A4" s="281">
        <v>44440</v>
      </c>
      <c r="B4" s="369" t="s">
        <v>10</v>
      </c>
      <c r="C4" s="370"/>
      <c r="D4" s="370"/>
      <c r="E4" s="777"/>
      <c r="F4" s="179"/>
      <c r="G4" s="933">
        <f>'Agosto-21'!G132</f>
        <v>580.354583333351</v>
      </c>
      <c r="H4" s="163"/>
      <c r="I4" s="1479">
        <f>'Agosto-21'!I132</f>
        <v>999.99600000000282</v>
      </c>
      <c r="J4" s="179"/>
      <c r="K4" s="933">
        <f>'Agosto-21'!K132</f>
        <v>12354.039999999997</v>
      </c>
    </row>
    <row r="5" spans="1:44" s="224" customFormat="1" hidden="1" x14ac:dyDescent="0.25">
      <c r="A5" s="215">
        <v>44440</v>
      </c>
      <c r="B5" s="348" t="s">
        <v>11</v>
      </c>
      <c r="C5" s="351"/>
      <c r="D5" s="351"/>
      <c r="E5" s="673"/>
      <c r="F5" s="538"/>
      <c r="G5" s="1002"/>
      <c r="H5" s="539"/>
      <c r="I5" s="1537"/>
      <c r="J5" s="538"/>
      <c r="K5" s="1002"/>
      <c r="L5" s="1037"/>
    </row>
    <row r="6" spans="1:44" s="224" customFormat="1" hidden="1" x14ac:dyDescent="0.25">
      <c r="A6" s="215">
        <v>44440</v>
      </c>
      <c r="B6" s="882" t="s">
        <v>32</v>
      </c>
      <c r="C6" s="879" t="s">
        <v>12</v>
      </c>
      <c r="D6" s="879" t="s">
        <v>1485</v>
      </c>
      <c r="E6" s="875" t="s">
        <v>13</v>
      </c>
      <c r="F6" s="780">
        <v>17</v>
      </c>
      <c r="G6" s="982"/>
      <c r="H6" s="1008"/>
      <c r="I6" s="1063"/>
      <c r="J6" s="622"/>
      <c r="K6" s="982"/>
      <c r="L6" s="1029"/>
    </row>
    <row r="7" spans="1:44" s="224" customFormat="1" ht="15" hidden="1" customHeight="1" x14ac:dyDescent="0.25">
      <c r="A7" s="215">
        <v>44440</v>
      </c>
      <c r="B7" s="882" t="s">
        <v>14</v>
      </c>
      <c r="C7" s="879" t="s">
        <v>12</v>
      </c>
      <c r="D7" s="879" t="s">
        <v>1486</v>
      </c>
      <c r="E7" s="875" t="s">
        <v>13</v>
      </c>
      <c r="F7" s="780">
        <v>3.29</v>
      </c>
      <c r="G7" s="982"/>
      <c r="H7" s="1008"/>
      <c r="I7" s="1063"/>
      <c r="J7" s="622"/>
      <c r="K7" s="982"/>
      <c r="L7" s="1029"/>
    </row>
    <row r="8" spans="1:44" s="224" customFormat="1" hidden="1" x14ac:dyDescent="0.25">
      <c r="A8" s="215">
        <v>44441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17</v>
      </c>
      <c r="G8" s="982"/>
      <c r="H8" s="1008"/>
      <c r="I8" s="1063"/>
      <c r="J8" s="622"/>
      <c r="K8" s="982"/>
      <c r="L8" s="1029"/>
    </row>
    <row r="9" spans="1:44" s="224" customFormat="1" ht="15" hidden="1" customHeight="1" x14ac:dyDescent="0.25">
      <c r="A9" s="215">
        <v>44441</v>
      </c>
      <c r="B9" s="882" t="s">
        <v>14</v>
      </c>
      <c r="C9" s="879" t="s">
        <v>12</v>
      </c>
      <c r="D9" s="879" t="s">
        <v>1486</v>
      </c>
      <c r="E9" s="875" t="s">
        <v>13</v>
      </c>
      <c r="F9" s="780">
        <v>11.97</v>
      </c>
      <c r="G9" s="982"/>
      <c r="H9" s="622"/>
      <c r="I9" s="982"/>
      <c r="J9" s="622"/>
      <c r="K9" s="982"/>
      <c r="L9" s="927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s="224" customFormat="1" hidden="1" x14ac:dyDescent="0.25">
      <c r="A10" s="215">
        <v>44442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17</v>
      </c>
      <c r="G10" s="982"/>
      <c r="H10" s="1008"/>
      <c r="I10" s="1063"/>
      <c r="J10" s="622"/>
      <c r="K10" s="982"/>
      <c r="L10" s="1029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s="224" customFormat="1" ht="15" hidden="1" customHeight="1" x14ac:dyDescent="0.25">
      <c r="A11" s="215">
        <v>44442</v>
      </c>
      <c r="B11" s="882" t="s">
        <v>17</v>
      </c>
      <c r="C11" s="879" t="s">
        <v>12</v>
      </c>
      <c r="D11" s="879" t="s">
        <v>1493</v>
      </c>
      <c r="E11" s="875" t="s">
        <v>13</v>
      </c>
      <c r="F11" s="780">
        <v>6</v>
      </c>
      <c r="G11" s="982"/>
      <c r="H11" s="622"/>
      <c r="I11" s="982"/>
      <c r="J11" s="622"/>
      <c r="K11" s="982"/>
      <c r="L11" s="927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s="224" customFormat="1" ht="15" hidden="1" customHeight="1" x14ac:dyDescent="0.25">
      <c r="A12" s="215">
        <v>44443</v>
      </c>
      <c r="B12" s="882" t="s">
        <v>14</v>
      </c>
      <c r="C12" s="879" t="s">
        <v>12</v>
      </c>
      <c r="D12" s="879" t="s">
        <v>1486</v>
      </c>
      <c r="E12" s="875" t="s">
        <v>13</v>
      </c>
      <c r="F12" s="780">
        <v>7.09</v>
      </c>
      <c r="G12" s="982"/>
      <c r="H12" s="622"/>
      <c r="I12" s="982"/>
      <c r="J12" s="622"/>
      <c r="K12" s="982"/>
      <c r="L12" s="927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</row>
    <row r="13" spans="1:44" s="224" customFormat="1" ht="15" hidden="1" customHeight="1" x14ac:dyDescent="0.25">
      <c r="A13" s="215">
        <v>44443</v>
      </c>
      <c r="B13" s="882" t="s">
        <v>2766</v>
      </c>
      <c r="C13" s="879" t="s">
        <v>12</v>
      </c>
      <c r="D13" s="879" t="s">
        <v>2157</v>
      </c>
      <c r="E13" s="875" t="s">
        <v>13</v>
      </c>
      <c r="F13" s="780">
        <v>60</v>
      </c>
      <c r="G13" s="946"/>
      <c r="H13" s="95"/>
      <c r="I13" s="1064"/>
      <c r="J13" s="97"/>
      <c r="K13" s="946"/>
      <c r="L13" s="926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</row>
    <row r="14" spans="1:44" s="224" customFormat="1" ht="15" hidden="1" customHeight="1" x14ac:dyDescent="0.25">
      <c r="A14" s="215">
        <v>44443</v>
      </c>
      <c r="B14" s="882" t="s">
        <v>2629</v>
      </c>
      <c r="C14" s="879" t="s">
        <v>19</v>
      </c>
      <c r="D14" s="879" t="s">
        <v>1489</v>
      </c>
      <c r="E14" s="875" t="s">
        <v>13</v>
      </c>
      <c r="F14" s="780">
        <v>75.27</v>
      </c>
      <c r="G14" s="982"/>
      <c r="H14" s="1008"/>
      <c r="I14" s="1063"/>
      <c r="J14" s="622"/>
      <c r="K14" s="982"/>
      <c r="L14" s="861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</row>
    <row r="15" spans="1:44" s="224" customFormat="1" hidden="1" x14ac:dyDescent="0.25">
      <c r="A15" s="215">
        <v>44443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780">
        <v>17</v>
      </c>
      <c r="G15" s="982"/>
      <c r="H15" s="1008"/>
      <c r="I15" s="1063"/>
      <c r="J15" s="622"/>
      <c r="K15" s="982"/>
      <c r="L15" s="1029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</row>
    <row r="16" spans="1:44" s="224" customFormat="1" ht="15" hidden="1" customHeight="1" x14ac:dyDescent="0.25">
      <c r="A16" s="215">
        <v>44443</v>
      </c>
      <c r="B16" s="882" t="s">
        <v>443</v>
      </c>
      <c r="C16" s="879" t="s">
        <v>12</v>
      </c>
      <c r="D16" s="879" t="s">
        <v>1493</v>
      </c>
      <c r="E16" s="875" t="s">
        <v>13</v>
      </c>
      <c r="F16" s="780">
        <v>14.26</v>
      </c>
      <c r="G16" s="982"/>
      <c r="H16" s="1008"/>
      <c r="I16" s="1063"/>
      <c r="J16" s="622"/>
      <c r="K16" s="982"/>
      <c r="L16" s="861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</row>
    <row r="17" spans="1:41" s="224" customFormat="1" ht="15" hidden="1" customHeight="1" x14ac:dyDescent="0.25">
      <c r="A17" s="215">
        <v>44444</v>
      </c>
      <c r="B17" s="882" t="s">
        <v>14</v>
      </c>
      <c r="C17" s="879" t="s">
        <v>12</v>
      </c>
      <c r="D17" s="879" t="s">
        <v>1486</v>
      </c>
      <c r="E17" s="875" t="s">
        <v>13</v>
      </c>
      <c r="F17" s="780">
        <v>7.39</v>
      </c>
      <c r="G17" s="982"/>
      <c r="H17" s="622"/>
      <c r="I17" s="982"/>
      <c r="J17" s="622"/>
      <c r="K17" s="982"/>
      <c r="L17" s="92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</row>
    <row r="18" spans="1:41" s="224" customFormat="1" ht="15" hidden="1" customHeight="1" x14ac:dyDescent="0.25">
      <c r="A18" s="215">
        <v>44444</v>
      </c>
      <c r="B18" s="873" t="s">
        <v>2096</v>
      </c>
      <c r="C18" s="879" t="s">
        <v>12</v>
      </c>
      <c r="D18" s="879" t="s">
        <v>1506</v>
      </c>
      <c r="E18" s="871" t="s">
        <v>13</v>
      </c>
      <c r="F18" s="780">
        <v>50</v>
      </c>
      <c r="G18" s="946"/>
      <c r="H18" s="95"/>
      <c r="I18" s="1064"/>
      <c r="J18" s="97"/>
      <c r="K18" s="946"/>
      <c r="L18" s="926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</row>
    <row r="19" spans="1:41" s="224" customFormat="1" ht="15" customHeight="1" x14ac:dyDescent="0.25">
      <c r="A19" s="215">
        <v>44444</v>
      </c>
      <c r="B19" s="882" t="s">
        <v>1372</v>
      </c>
      <c r="C19" s="879" t="s">
        <v>12</v>
      </c>
      <c r="D19" s="879" t="s">
        <v>1491</v>
      </c>
      <c r="E19" s="875" t="s">
        <v>13</v>
      </c>
      <c r="F19" s="780">
        <v>2.5</v>
      </c>
      <c r="G19" s="982"/>
      <c r="H19" s="622"/>
      <c r="I19" s="982"/>
      <c r="J19" s="622"/>
      <c r="K19" s="982"/>
      <c r="L19" s="927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</row>
    <row r="20" spans="1:41" s="224" customFormat="1" ht="15" customHeight="1" x14ac:dyDescent="0.25">
      <c r="A20" s="215">
        <v>44444</v>
      </c>
      <c r="B20" s="882" t="s">
        <v>3050</v>
      </c>
      <c r="C20" s="879" t="s">
        <v>12</v>
      </c>
      <c r="D20" s="879" t="s">
        <v>1491</v>
      </c>
      <c r="E20" s="875" t="s">
        <v>15</v>
      </c>
      <c r="F20" s="780">
        <v>4</v>
      </c>
      <c r="G20" s="982"/>
      <c r="H20" s="622"/>
      <c r="I20" s="982"/>
      <c r="J20" s="622"/>
      <c r="K20" s="982"/>
      <c r="L20" s="927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</row>
    <row r="21" spans="1:41" s="224" customFormat="1" ht="15" customHeight="1" x14ac:dyDescent="0.25">
      <c r="A21" s="215">
        <v>44444</v>
      </c>
      <c r="B21" s="882" t="s">
        <v>3051</v>
      </c>
      <c r="C21" s="879" t="s">
        <v>12</v>
      </c>
      <c r="D21" s="879" t="s">
        <v>1491</v>
      </c>
      <c r="E21" s="875" t="s">
        <v>13</v>
      </c>
      <c r="F21" s="780">
        <v>10</v>
      </c>
      <c r="G21" s="982"/>
      <c r="H21" s="622"/>
      <c r="I21" s="982"/>
      <c r="J21" s="622"/>
      <c r="K21" s="982"/>
      <c r="L21" s="927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</row>
    <row r="22" spans="1:41" s="224" customFormat="1" ht="15" hidden="1" customHeight="1" x14ac:dyDescent="0.25">
      <c r="A22" s="215">
        <v>44444</v>
      </c>
      <c r="B22" s="882" t="s">
        <v>3052</v>
      </c>
      <c r="C22" s="879" t="s">
        <v>12</v>
      </c>
      <c r="D22" s="879" t="s">
        <v>1485</v>
      </c>
      <c r="E22" s="875" t="s">
        <v>13</v>
      </c>
      <c r="F22" s="780">
        <v>29.34</v>
      </c>
      <c r="G22" s="982"/>
      <c r="H22" s="622"/>
      <c r="I22" s="982"/>
      <c r="J22" s="622"/>
      <c r="K22" s="982"/>
      <c r="L22" s="927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</row>
    <row r="23" spans="1:41" s="224" customFormat="1" ht="15.75" hidden="1" customHeight="1" x14ac:dyDescent="0.25">
      <c r="A23" s="215">
        <v>44445</v>
      </c>
      <c r="B23" s="873" t="s">
        <v>3053</v>
      </c>
      <c r="C23" s="879" t="s">
        <v>12</v>
      </c>
      <c r="D23" s="874"/>
      <c r="E23" s="871" t="s">
        <v>25</v>
      </c>
      <c r="F23" s="1514"/>
      <c r="G23" s="1002">
        <v>2006.3</v>
      </c>
      <c r="H23" s="250"/>
      <c r="I23" s="946"/>
      <c r="J23" s="97"/>
      <c r="K23" s="946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</row>
    <row r="24" spans="1:41" s="224" customFormat="1" ht="15" customHeight="1" x14ac:dyDescent="0.25">
      <c r="A24" s="215">
        <v>44445</v>
      </c>
      <c r="B24" s="349" t="s">
        <v>3054</v>
      </c>
      <c r="C24" s="887" t="s">
        <v>12</v>
      </c>
      <c r="D24" s="1005" t="s">
        <v>1491</v>
      </c>
      <c r="E24" s="887" t="s">
        <v>13</v>
      </c>
      <c r="F24" s="613">
        <v>171.14</v>
      </c>
      <c r="G24" s="982"/>
      <c r="H24" s="861"/>
      <c r="I24" s="1063"/>
      <c r="J24" s="622"/>
      <c r="K24" s="982"/>
      <c r="L24" s="927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</row>
    <row r="25" spans="1:41" s="224" customFormat="1" ht="15" hidden="1" customHeight="1" x14ac:dyDescent="0.25">
      <c r="A25" s="215">
        <v>44445</v>
      </c>
      <c r="B25" s="349" t="s">
        <v>3055</v>
      </c>
      <c r="C25" s="887" t="s">
        <v>19</v>
      </c>
      <c r="D25" s="1005" t="s">
        <v>1506</v>
      </c>
      <c r="E25" s="887" t="s">
        <v>13</v>
      </c>
      <c r="F25" s="613">
        <v>29.25</v>
      </c>
      <c r="G25" s="967"/>
      <c r="H25" s="1008"/>
      <c r="I25" s="1063"/>
      <c r="J25" s="622"/>
      <c r="K25" s="982"/>
      <c r="L25" s="861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</row>
    <row r="26" spans="1:41" s="224" customFormat="1" ht="15" hidden="1" customHeight="1" x14ac:dyDescent="0.25">
      <c r="A26" s="215">
        <v>44445</v>
      </c>
      <c r="B26" s="349" t="s">
        <v>3056</v>
      </c>
      <c r="C26" s="887" t="s">
        <v>19</v>
      </c>
      <c r="D26" s="1005" t="s">
        <v>1506</v>
      </c>
      <c r="E26" s="887" t="s">
        <v>13</v>
      </c>
      <c r="F26" s="613">
        <v>31.5</v>
      </c>
      <c r="G26" s="982"/>
      <c r="H26" s="1008"/>
      <c r="I26" s="1063"/>
      <c r="J26" s="622"/>
      <c r="K26" s="982"/>
      <c r="L26" s="861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</row>
    <row r="27" spans="1:41" s="224" customFormat="1" ht="15" hidden="1" customHeight="1" x14ac:dyDescent="0.25">
      <c r="A27" s="215">
        <v>44445</v>
      </c>
      <c r="B27" s="349" t="s">
        <v>3057</v>
      </c>
      <c r="C27" s="887" t="s">
        <v>19</v>
      </c>
      <c r="D27" s="1005" t="s">
        <v>1506</v>
      </c>
      <c r="E27" s="887" t="s">
        <v>13</v>
      </c>
      <c r="F27" s="613">
        <v>24.75</v>
      </c>
      <c r="G27" s="967"/>
      <c r="H27" s="1008"/>
      <c r="I27" s="1063"/>
      <c r="J27" s="622"/>
      <c r="K27" s="982"/>
      <c r="L27" s="861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</row>
    <row r="28" spans="1:41" s="224" customFormat="1" ht="15" hidden="1" customHeight="1" x14ac:dyDescent="0.25">
      <c r="A28" s="215">
        <v>44445</v>
      </c>
      <c r="B28" s="349" t="s">
        <v>3058</v>
      </c>
      <c r="C28" s="887" t="s">
        <v>19</v>
      </c>
      <c r="D28" s="1005" t="s">
        <v>1506</v>
      </c>
      <c r="E28" s="887" t="s">
        <v>13</v>
      </c>
      <c r="F28" s="613">
        <v>24.75</v>
      </c>
      <c r="G28" s="982"/>
      <c r="H28" s="1008"/>
      <c r="I28" s="1063"/>
      <c r="J28" s="622"/>
      <c r="K28" s="982"/>
      <c r="L28" s="861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</row>
    <row r="29" spans="1:41" s="224" customFormat="1" ht="15" hidden="1" customHeight="1" x14ac:dyDescent="0.25">
      <c r="A29" s="215">
        <v>44445</v>
      </c>
      <c r="B29" s="862" t="s">
        <v>2385</v>
      </c>
      <c r="C29" s="879" t="s">
        <v>12</v>
      </c>
      <c r="D29" s="879" t="s">
        <v>1504</v>
      </c>
      <c r="E29" s="871" t="s">
        <v>13</v>
      </c>
      <c r="F29" s="780">
        <v>50</v>
      </c>
      <c r="G29" s="982"/>
      <c r="H29" s="1008"/>
      <c r="I29" s="1063"/>
      <c r="J29" s="622"/>
      <c r="K29" s="982"/>
      <c r="L29" s="1028">
        <v>90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</row>
    <row r="30" spans="1:41" s="224" customFormat="1" ht="15" hidden="1" customHeight="1" x14ac:dyDescent="0.25">
      <c r="A30" s="215">
        <v>44445</v>
      </c>
      <c r="B30" s="882" t="s">
        <v>3059</v>
      </c>
      <c r="C30" s="879" t="s">
        <v>12</v>
      </c>
      <c r="D30" s="879" t="s">
        <v>1499</v>
      </c>
      <c r="E30" s="871" t="s">
        <v>13</v>
      </c>
      <c r="F30" s="780">
        <v>52.37</v>
      </c>
      <c r="G30" s="982"/>
      <c r="H30" s="1008"/>
      <c r="I30" s="1063"/>
      <c r="J30" s="622"/>
      <c r="K30" s="982"/>
      <c r="L30" s="1028">
        <v>152.37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</row>
    <row r="31" spans="1:41" s="224" customFormat="1" ht="15" customHeight="1" x14ac:dyDescent="0.25">
      <c r="A31" s="215">
        <v>44445</v>
      </c>
      <c r="B31" s="364" t="s">
        <v>2977</v>
      </c>
      <c r="C31" s="350" t="s">
        <v>12</v>
      </c>
      <c r="D31" s="350" t="s">
        <v>1491</v>
      </c>
      <c r="E31" s="875" t="s">
        <v>13</v>
      </c>
      <c r="F31" s="780">
        <v>200</v>
      </c>
      <c r="G31" s="982"/>
      <c r="H31" s="1008"/>
      <c r="I31" s="1063"/>
      <c r="J31" s="622"/>
      <c r="K31" s="982"/>
      <c r="L31" s="86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</row>
    <row r="32" spans="1:41" hidden="1" x14ac:dyDescent="0.25">
      <c r="A32" s="215">
        <v>44445</v>
      </c>
      <c r="B32" s="876" t="s">
        <v>3060</v>
      </c>
      <c r="C32" s="879" t="s">
        <v>12</v>
      </c>
      <c r="D32" s="879" t="s">
        <v>1496</v>
      </c>
      <c r="E32" s="871" t="s">
        <v>13</v>
      </c>
      <c r="F32" s="780">
        <v>80</v>
      </c>
      <c r="G32" s="982"/>
      <c r="H32" s="1009"/>
      <c r="I32" s="1063"/>
      <c r="J32" s="622"/>
      <c r="K32" s="982"/>
      <c r="L32" s="1029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s="224" customFormat="1" hidden="1" x14ac:dyDescent="0.25">
      <c r="A33" s="215">
        <v>44445</v>
      </c>
      <c r="B33" s="882" t="s">
        <v>3061</v>
      </c>
      <c r="C33" s="879" t="s">
        <v>12</v>
      </c>
      <c r="D33" s="879" t="s">
        <v>3017</v>
      </c>
      <c r="E33" s="875" t="s">
        <v>13</v>
      </c>
      <c r="F33" s="780">
        <v>633.54</v>
      </c>
      <c r="G33" s="982"/>
      <c r="H33" s="1008"/>
      <c r="I33" s="1063"/>
      <c r="J33" s="622"/>
      <c r="K33" s="982"/>
      <c r="L33" s="861">
        <v>400</v>
      </c>
      <c r="M33" s="746" t="s">
        <v>3062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</row>
    <row r="34" spans="1:41" s="224" customFormat="1" ht="15" hidden="1" customHeight="1" x14ac:dyDescent="0.25">
      <c r="A34" s="215">
        <v>44445</v>
      </c>
      <c r="B34" s="882" t="s">
        <v>3063</v>
      </c>
      <c r="C34" s="879" t="s">
        <v>12</v>
      </c>
      <c r="D34" s="879" t="s">
        <v>1506</v>
      </c>
      <c r="E34" s="875" t="s">
        <v>13</v>
      </c>
      <c r="F34" s="780">
        <v>9.6300000000000008</v>
      </c>
      <c r="G34" s="982"/>
      <c r="H34" s="622"/>
      <c r="I34" s="982"/>
      <c r="J34" s="622"/>
      <c r="K34" s="982"/>
      <c r="L34" s="927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</row>
    <row r="35" spans="1:41" s="224" customFormat="1" ht="15" hidden="1" customHeight="1" x14ac:dyDescent="0.25">
      <c r="A35" s="215">
        <v>44445</v>
      </c>
      <c r="B35" s="882" t="s">
        <v>3064</v>
      </c>
      <c r="C35" s="879" t="s">
        <v>12</v>
      </c>
      <c r="D35" s="879" t="s">
        <v>1489</v>
      </c>
      <c r="E35" s="875" t="s">
        <v>13</v>
      </c>
      <c r="F35" s="780">
        <v>110</v>
      </c>
      <c r="G35" s="982"/>
      <c r="H35" s="622"/>
      <c r="I35" s="982"/>
      <c r="J35" s="622"/>
      <c r="K35" s="982"/>
      <c r="L35" s="927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</row>
    <row r="36" spans="1:41" s="224" customFormat="1" hidden="1" x14ac:dyDescent="0.25">
      <c r="A36" s="215">
        <v>44445</v>
      </c>
      <c r="B36" s="882" t="s">
        <v>32</v>
      </c>
      <c r="C36" s="879" t="s">
        <v>12</v>
      </c>
      <c r="D36" s="879" t="s">
        <v>1485</v>
      </c>
      <c r="E36" s="875" t="s">
        <v>13</v>
      </c>
      <c r="F36" s="780">
        <v>17</v>
      </c>
      <c r="G36" s="982"/>
      <c r="H36" s="1008"/>
      <c r="I36" s="1063"/>
      <c r="J36" s="622"/>
      <c r="K36" s="982"/>
      <c r="L36" s="1029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</row>
    <row r="37" spans="1:41" s="224" customFormat="1" ht="15" hidden="1" customHeight="1" x14ac:dyDescent="0.25">
      <c r="A37" s="215">
        <v>44445</v>
      </c>
      <c r="B37" s="882" t="s">
        <v>14</v>
      </c>
      <c r="C37" s="879" t="s">
        <v>12</v>
      </c>
      <c r="D37" s="879" t="s">
        <v>1486</v>
      </c>
      <c r="E37" s="875" t="s">
        <v>13</v>
      </c>
      <c r="F37" s="780">
        <v>5.18</v>
      </c>
      <c r="G37" s="982"/>
      <c r="H37" s="622"/>
      <c r="I37" s="982"/>
      <c r="J37" s="622"/>
      <c r="K37" s="982"/>
      <c r="L37" s="92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</row>
    <row r="38" spans="1:41" s="224" customFormat="1" ht="15" hidden="1" customHeight="1" x14ac:dyDescent="0.25">
      <c r="A38" s="215">
        <v>44445</v>
      </c>
      <c r="B38" s="364" t="s">
        <v>1396</v>
      </c>
      <c r="C38" s="350" t="s">
        <v>12</v>
      </c>
      <c r="D38" s="350"/>
      <c r="E38" s="480" t="s">
        <v>25</v>
      </c>
      <c r="F38" s="613"/>
      <c r="G38" s="967">
        <v>70</v>
      </c>
      <c r="H38" s="1008"/>
      <c r="I38" s="1063"/>
      <c r="J38" s="622"/>
      <c r="K38" s="982"/>
      <c r="L38" s="861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</row>
    <row r="39" spans="1:41" s="224" customFormat="1" hidden="1" x14ac:dyDescent="0.25">
      <c r="A39" s="215">
        <v>44446</v>
      </c>
      <c r="B39" s="882" t="s">
        <v>32</v>
      </c>
      <c r="C39" s="879" t="s">
        <v>12</v>
      </c>
      <c r="D39" s="879" t="s">
        <v>1485</v>
      </c>
      <c r="E39" s="875" t="s">
        <v>13</v>
      </c>
      <c r="F39" s="780">
        <v>10</v>
      </c>
      <c r="G39" s="982"/>
      <c r="H39" s="1008"/>
      <c r="I39" s="1063"/>
      <c r="J39" s="622"/>
      <c r="K39" s="982"/>
      <c r="L39" s="102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</row>
    <row r="40" spans="1:41" s="224" customFormat="1" ht="15" hidden="1" customHeight="1" x14ac:dyDescent="0.25">
      <c r="A40" s="215">
        <v>44446</v>
      </c>
      <c r="B40" s="882" t="s">
        <v>14</v>
      </c>
      <c r="C40" s="879" t="s">
        <v>12</v>
      </c>
      <c r="D40" s="879" t="s">
        <v>1486</v>
      </c>
      <c r="E40" s="875" t="s">
        <v>13</v>
      </c>
      <c r="F40" s="780">
        <v>8.92</v>
      </c>
      <c r="G40" s="982"/>
      <c r="H40" s="622"/>
      <c r="I40" s="982"/>
      <c r="J40" s="622"/>
      <c r="K40" s="982"/>
      <c r="L40" s="927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</row>
    <row r="41" spans="1:41" s="224" customFormat="1" ht="15" hidden="1" customHeight="1" x14ac:dyDescent="0.25">
      <c r="A41" s="215">
        <v>44446</v>
      </c>
      <c r="B41" s="882" t="s">
        <v>2766</v>
      </c>
      <c r="C41" s="879" t="s">
        <v>12</v>
      </c>
      <c r="D41" s="879" t="s">
        <v>2157</v>
      </c>
      <c r="E41" s="875" t="s">
        <v>13</v>
      </c>
      <c r="F41" s="780">
        <v>50</v>
      </c>
      <c r="G41" s="982"/>
      <c r="H41" s="1008"/>
      <c r="I41" s="1063"/>
      <c r="J41" s="622"/>
      <c r="K41" s="982"/>
      <c r="L41" s="1029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</row>
    <row r="42" spans="1:41" s="224" customFormat="1" hidden="1" x14ac:dyDescent="0.25">
      <c r="A42" s="215">
        <v>44447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17</v>
      </c>
      <c r="G42" s="982"/>
      <c r="H42" s="1008"/>
      <c r="I42" s="1063"/>
      <c r="J42" s="622"/>
      <c r="K42" s="982"/>
      <c r="L42" s="1029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</row>
    <row r="43" spans="1:41" s="224" customFormat="1" ht="15" hidden="1" customHeight="1" x14ac:dyDescent="0.25">
      <c r="A43" s="215">
        <v>44447</v>
      </c>
      <c r="B43" s="882" t="s">
        <v>17</v>
      </c>
      <c r="C43" s="879" t="s">
        <v>12</v>
      </c>
      <c r="D43" s="879" t="s">
        <v>1493</v>
      </c>
      <c r="E43" s="875" t="s">
        <v>13</v>
      </c>
      <c r="F43" s="780">
        <v>6</v>
      </c>
      <c r="G43" s="982"/>
      <c r="H43" s="622"/>
      <c r="I43" s="982"/>
      <c r="J43" s="622"/>
      <c r="K43" s="982"/>
      <c r="L43" s="927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</row>
    <row r="44" spans="1:41" s="224" customFormat="1" ht="15" hidden="1" customHeight="1" x14ac:dyDescent="0.25">
      <c r="A44" s="215">
        <v>44447</v>
      </c>
      <c r="B44" s="882" t="s">
        <v>14</v>
      </c>
      <c r="C44" s="879" t="s">
        <v>12</v>
      </c>
      <c r="D44" s="879" t="s">
        <v>1486</v>
      </c>
      <c r="E44" s="875" t="s">
        <v>13</v>
      </c>
      <c r="F44" s="780">
        <v>8.92</v>
      </c>
      <c r="G44" s="982"/>
      <c r="H44" s="622"/>
      <c r="I44" s="982"/>
      <c r="J44" s="622"/>
      <c r="K44" s="982"/>
      <c r="L44" s="927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</row>
    <row r="45" spans="1:41" s="224" customFormat="1" ht="15" hidden="1" customHeight="1" x14ac:dyDescent="0.25">
      <c r="A45" s="215">
        <v>44447</v>
      </c>
      <c r="B45" s="882" t="s">
        <v>2197</v>
      </c>
      <c r="C45" s="879" t="s">
        <v>12</v>
      </c>
      <c r="D45" s="879" t="s">
        <v>2168</v>
      </c>
      <c r="E45" s="875" t="s">
        <v>13</v>
      </c>
      <c r="F45" s="780">
        <v>20</v>
      </c>
      <c r="G45" s="982"/>
      <c r="H45" s="1008"/>
      <c r="I45" s="1063"/>
      <c r="J45" s="622"/>
      <c r="K45" s="982"/>
      <c r="L45" s="1029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</row>
    <row r="46" spans="1:41" s="224" customFormat="1" hidden="1" x14ac:dyDescent="0.25">
      <c r="A46" s="215">
        <v>44448</v>
      </c>
      <c r="B46" s="882" t="s">
        <v>32</v>
      </c>
      <c r="C46" s="879" t="s">
        <v>12</v>
      </c>
      <c r="D46" s="879" t="s">
        <v>1485</v>
      </c>
      <c r="E46" s="875" t="s">
        <v>13</v>
      </c>
      <c r="F46" s="780">
        <v>17</v>
      </c>
      <c r="G46" s="982"/>
      <c r="H46" s="1008"/>
      <c r="I46" s="1063"/>
      <c r="J46" s="622"/>
      <c r="K46" s="982"/>
      <c r="L46" s="1029"/>
    </row>
    <row r="47" spans="1:41" s="224" customFormat="1" ht="15" hidden="1" customHeight="1" x14ac:dyDescent="0.25">
      <c r="A47" s="215">
        <v>44448</v>
      </c>
      <c r="B47" s="882" t="s">
        <v>14</v>
      </c>
      <c r="C47" s="879" t="s">
        <v>12</v>
      </c>
      <c r="D47" s="879" t="s">
        <v>1486</v>
      </c>
      <c r="E47" s="875" t="s">
        <v>13</v>
      </c>
      <c r="F47" s="613">
        <v>6</v>
      </c>
      <c r="G47" s="967"/>
      <c r="H47" s="1008"/>
      <c r="I47" s="1063"/>
      <c r="J47" s="622"/>
      <c r="K47" s="982"/>
      <c r="L47" s="861"/>
    </row>
    <row r="48" spans="1:41" s="224" customFormat="1" ht="15" hidden="1" customHeight="1" x14ac:dyDescent="0.25">
      <c r="A48" s="215">
        <v>44449</v>
      </c>
      <c r="B48" s="882" t="s">
        <v>17</v>
      </c>
      <c r="C48" s="879" t="s">
        <v>12</v>
      </c>
      <c r="D48" s="879" t="s">
        <v>1493</v>
      </c>
      <c r="E48" s="875" t="s">
        <v>13</v>
      </c>
      <c r="F48" s="780">
        <v>6</v>
      </c>
      <c r="G48" s="982"/>
      <c r="H48" s="622"/>
      <c r="I48" s="982"/>
      <c r="J48" s="622"/>
      <c r="K48" s="982"/>
      <c r="L48" s="927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</row>
    <row r="49" spans="1:41" s="224" customFormat="1" ht="15" hidden="1" customHeight="1" x14ac:dyDescent="0.25">
      <c r="A49" s="215">
        <v>44449</v>
      </c>
      <c r="B49" s="882" t="s">
        <v>3065</v>
      </c>
      <c r="C49" s="879" t="s">
        <v>12</v>
      </c>
      <c r="D49" s="879" t="s">
        <v>1489</v>
      </c>
      <c r="E49" s="875" t="s">
        <v>15</v>
      </c>
      <c r="F49" s="780">
        <v>5</v>
      </c>
      <c r="G49" s="982"/>
      <c r="H49" s="1008"/>
      <c r="I49" s="1063"/>
      <c r="J49" s="622"/>
      <c r="K49" s="982"/>
      <c r="L49" s="1029"/>
    </row>
    <row r="50" spans="1:41" s="224" customFormat="1" ht="15" hidden="1" customHeight="1" x14ac:dyDescent="0.25">
      <c r="A50" s="215">
        <v>44449</v>
      </c>
      <c r="B50" s="882" t="s">
        <v>2766</v>
      </c>
      <c r="C50" s="879" t="s">
        <v>12</v>
      </c>
      <c r="D50" s="879" t="s">
        <v>2157</v>
      </c>
      <c r="E50" s="875" t="s">
        <v>13</v>
      </c>
      <c r="F50" s="780">
        <v>50</v>
      </c>
      <c r="G50" s="982"/>
      <c r="H50" s="1008"/>
      <c r="I50" s="1063"/>
      <c r="J50" s="622"/>
      <c r="K50" s="982"/>
      <c r="L50" s="1029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</row>
    <row r="51" spans="1:41" s="224" customFormat="1" ht="15" hidden="1" customHeight="1" x14ac:dyDescent="0.25">
      <c r="A51" s="215">
        <v>44449</v>
      </c>
      <c r="B51" s="882" t="s">
        <v>14</v>
      </c>
      <c r="C51" s="879" t="s">
        <v>12</v>
      </c>
      <c r="D51" s="879" t="s">
        <v>1486</v>
      </c>
      <c r="E51" s="875" t="s">
        <v>13</v>
      </c>
      <c r="F51" s="780">
        <v>14.43</v>
      </c>
      <c r="G51" s="982"/>
      <c r="H51" s="1008"/>
      <c r="I51" s="1063"/>
      <c r="J51" s="622"/>
      <c r="K51" s="982"/>
      <c r="L51" s="1029"/>
    </row>
    <row r="52" spans="1:41" s="224" customFormat="1" ht="15" hidden="1" customHeight="1" x14ac:dyDescent="0.25">
      <c r="A52" s="215">
        <v>44450</v>
      </c>
      <c r="B52" s="882" t="s">
        <v>2629</v>
      </c>
      <c r="C52" s="879" t="s">
        <v>12</v>
      </c>
      <c r="D52" s="879" t="s">
        <v>1489</v>
      </c>
      <c r="E52" s="875" t="s">
        <v>13</v>
      </c>
      <c r="F52" s="780">
        <v>15.47</v>
      </c>
      <c r="G52" s="982"/>
      <c r="H52" s="1008"/>
      <c r="I52" s="1063"/>
      <c r="J52" s="622"/>
      <c r="K52" s="982"/>
      <c r="L52" s="1029"/>
    </row>
    <row r="53" spans="1:41" s="224" customFormat="1" ht="15" hidden="1" customHeight="1" x14ac:dyDescent="0.25">
      <c r="A53" s="215">
        <v>44450</v>
      </c>
      <c r="B53" s="882" t="s">
        <v>2595</v>
      </c>
      <c r="C53" s="879" t="s">
        <v>12</v>
      </c>
      <c r="D53" s="879" t="s">
        <v>1506</v>
      </c>
      <c r="E53" s="875" t="s">
        <v>13</v>
      </c>
      <c r="F53" s="780">
        <v>10</v>
      </c>
      <c r="G53" s="982"/>
      <c r="H53" s="1008"/>
      <c r="I53" s="1063"/>
      <c r="J53" s="622"/>
      <c r="K53" s="982"/>
      <c r="L53" s="1029"/>
    </row>
    <row r="54" spans="1:41" s="224" customFormat="1" ht="15" hidden="1" customHeight="1" x14ac:dyDescent="0.25">
      <c r="A54" s="215">
        <v>44450</v>
      </c>
      <c r="B54" s="882" t="s">
        <v>82</v>
      </c>
      <c r="C54" s="879" t="s">
        <v>12</v>
      </c>
      <c r="D54" s="879" t="s">
        <v>1493</v>
      </c>
      <c r="E54" s="875" t="s">
        <v>13</v>
      </c>
      <c r="F54" s="780">
        <v>25.79</v>
      </c>
      <c r="G54" s="982"/>
      <c r="H54" s="1008"/>
      <c r="I54" s="1063"/>
      <c r="J54" s="622"/>
      <c r="K54" s="982"/>
      <c r="L54" s="1029"/>
    </row>
    <row r="55" spans="1:41" s="224" customFormat="1" ht="15" hidden="1" customHeight="1" x14ac:dyDescent="0.25">
      <c r="A55" s="215">
        <v>44451</v>
      </c>
      <c r="B55" s="882" t="s">
        <v>14</v>
      </c>
      <c r="C55" s="879" t="s">
        <v>12</v>
      </c>
      <c r="D55" s="879" t="s">
        <v>1486</v>
      </c>
      <c r="E55" s="875" t="s">
        <v>13</v>
      </c>
      <c r="F55" s="780">
        <v>10.210000000000001</v>
      </c>
      <c r="G55" s="982"/>
      <c r="H55" s="1008"/>
      <c r="I55" s="1063"/>
      <c r="J55" s="622"/>
      <c r="K55" s="982"/>
      <c r="L55" s="1029"/>
    </row>
    <row r="56" spans="1:41" s="224" customFormat="1" ht="15" hidden="1" customHeight="1" x14ac:dyDescent="0.25">
      <c r="A56" s="215">
        <v>44451</v>
      </c>
      <c r="B56" s="882" t="s">
        <v>445</v>
      </c>
      <c r="C56" s="879" t="s">
        <v>12</v>
      </c>
      <c r="D56" s="879" t="s">
        <v>1493</v>
      </c>
      <c r="E56" s="875" t="s">
        <v>13</v>
      </c>
      <c r="F56" s="780">
        <v>5</v>
      </c>
      <c r="G56" s="982"/>
      <c r="H56" s="1008"/>
      <c r="I56" s="1063"/>
      <c r="J56" s="622"/>
      <c r="K56" s="982"/>
      <c r="L56" s="1029"/>
    </row>
    <row r="57" spans="1:41" s="224" customFormat="1" ht="15" hidden="1" customHeight="1" x14ac:dyDescent="0.25">
      <c r="A57" s="215">
        <v>44451</v>
      </c>
      <c r="B57" s="882" t="s">
        <v>43</v>
      </c>
      <c r="C57" s="879" t="s">
        <v>12</v>
      </c>
      <c r="D57" s="879" t="s">
        <v>1493</v>
      </c>
      <c r="E57" s="875" t="s">
        <v>13</v>
      </c>
      <c r="F57" s="780">
        <v>19.760000000000002</v>
      </c>
      <c r="G57" s="982"/>
      <c r="H57" s="1008"/>
      <c r="I57" s="1063"/>
      <c r="J57" s="622"/>
      <c r="K57" s="982"/>
      <c r="L57" s="1029"/>
    </row>
    <row r="58" spans="1:41" s="224" customFormat="1" ht="15" hidden="1" customHeight="1" x14ac:dyDescent="0.25">
      <c r="A58" s="215">
        <v>44451</v>
      </c>
      <c r="B58" s="882" t="s">
        <v>443</v>
      </c>
      <c r="C58" s="879" t="s">
        <v>12</v>
      </c>
      <c r="D58" s="879" t="s">
        <v>1493</v>
      </c>
      <c r="E58" s="875" t="s">
        <v>13</v>
      </c>
      <c r="F58" s="780">
        <v>12.5</v>
      </c>
      <c r="G58" s="982"/>
      <c r="H58" s="1008"/>
      <c r="I58" s="1063"/>
      <c r="J58" s="622"/>
      <c r="K58" s="982"/>
      <c r="L58" s="1029"/>
    </row>
    <row r="59" spans="1:41" s="224" customFormat="1" hidden="1" x14ac:dyDescent="0.25">
      <c r="A59" s="215">
        <v>44452</v>
      </c>
      <c r="B59" s="882" t="s">
        <v>32</v>
      </c>
      <c r="C59" s="879" t="s">
        <v>12</v>
      </c>
      <c r="D59" s="879" t="s">
        <v>1485</v>
      </c>
      <c r="E59" s="875" t="s">
        <v>13</v>
      </c>
      <c r="F59" s="780">
        <v>17</v>
      </c>
      <c r="G59" s="982"/>
      <c r="H59" s="1008"/>
      <c r="I59" s="1063"/>
      <c r="J59" s="622"/>
      <c r="K59" s="982"/>
      <c r="L59" s="1029"/>
    </row>
    <row r="60" spans="1:41" s="224" customFormat="1" ht="15" hidden="1" customHeight="1" x14ac:dyDescent="0.25">
      <c r="A60" s="215">
        <v>44453</v>
      </c>
      <c r="B60" s="882" t="s">
        <v>445</v>
      </c>
      <c r="C60" s="879" t="s">
        <v>12</v>
      </c>
      <c r="D60" s="879" t="s">
        <v>1493</v>
      </c>
      <c r="E60" s="875" t="s">
        <v>13</v>
      </c>
      <c r="F60" s="780">
        <v>6</v>
      </c>
      <c r="G60" s="982"/>
      <c r="H60" s="1008"/>
      <c r="I60" s="1063"/>
      <c r="J60" s="622"/>
      <c r="K60" s="982"/>
      <c r="L60" s="1029"/>
    </row>
    <row r="61" spans="1:41" s="224" customFormat="1" ht="15" hidden="1" customHeight="1" x14ac:dyDescent="0.25">
      <c r="A61" s="215">
        <v>44453</v>
      </c>
      <c r="B61" s="882" t="s">
        <v>14</v>
      </c>
      <c r="C61" s="879" t="s">
        <v>12</v>
      </c>
      <c r="D61" s="879" t="s">
        <v>1486</v>
      </c>
      <c r="E61" s="875" t="s">
        <v>13</v>
      </c>
      <c r="F61" s="780">
        <v>5.62</v>
      </c>
      <c r="G61" s="982"/>
      <c r="H61" s="1008"/>
      <c r="I61" s="1064"/>
      <c r="J61" s="97"/>
      <c r="K61" s="946"/>
      <c r="L61" s="926"/>
    </row>
    <row r="62" spans="1:41" s="224" customFormat="1" ht="15" hidden="1" customHeight="1" x14ac:dyDescent="0.25">
      <c r="A62" s="215">
        <v>44454</v>
      </c>
      <c r="B62" s="882" t="s">
        <v>3066</v>
      </c>
      <c r="C62" s="879" t="s">
        <v>12</v>
      </c>
      <c r="D62" s="879" t="s">
        <v>1499</v>
      </c>
      <c r="E62" s="871" t="s">
        <v>13</v>
      </c>
      <c r="F62" s="780">
        <v>45.7</v>
      </c>
      <c r="G62" s="982"/>
      <c r="H62" s="1008"/>
      <c r="I62" s="1063"/>
      <c r="J62" s="622"/>
      <c r="K62" s="982"/>
      <c r="L62" s="861">
        <v>125.7</v>
      </c>
    </row>
    <row r="63" spans="1:41" s="224" customFormat="1" hidden="1" x14ac:dyDescent="0.25">
      <c r="A63" s="215">
        <v>44454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17</v>
      </c>
      <c r="G63" s="982"/>
      <c r="H63" s="1008"/>
      <c r="I63" s="1063"/>
      <c r="J63" s="622"/>
      <c r="K63" s="982"/>
      <c r="L63" s="1029"/>
    </row>
    <row r="64" spans="1:41" s="224" customFormat="1" x14ac:dyDescent="0.25">
      <c r="A64" s="215">
        <v>44454</v>
      </c>
      <c r="B64" s="882" t="s">
        <v>3067</v>
      </c>
      <c r="C64" s="879" t="s">
        <v>12</v>
      </c>
      <c r="D64" s="879" t="s">
        <v>1491</v>
      </c>
      <c r="E64" s="875" t="s">
        <v>13</v>
      </c>
      <c r="F64" s="780">
        <v>20</v>
      </c>
      <c r="G64" s="982"/>
      <c r="H64" s="1008"/>
      <c r="I64" s="1063"/>
      <c r="J64" s="622"/>
      <c r="K64" s="982"/>
      <c r="L64" s="1029"/>
    </row>
    <row r="65" spans="1:41" s="224" customFormat="1" ht="15" customHeight="1" x14ac:dyDescent="0.25">
      <c r="A65" s="215">
        <v>44454</v>
      </c>
      <c r="B65" s="882" t="s">
        <v>3068</v>
      </c>
      <c r="C65" s="879" t="s">
        <v>12</v>
      </c>
      <c r="D65" s="879" t="s">
        <v>1491</v>
      </c>
      <c r="E65" s="875" t="s">
        <v>13</v>
      </c>
      <c r="F65" s="780">
        <v>15</v>
      </c>
      <c r="G65" s="982"/>
      <c r="H65" s="1008"/>
      <c r="I65" s="1063"/>
      <c r="J65" s="622"/>
      <c r="K65" s="982"/>
      <c r="L65" s="1029"/>
    </row>
    <row r="66" spans="1:41" s="224" customFormat="1" ht="15" hidden="1" customHeight="1" x14ac:dyDescent="0.25">
      <c r="A66" s="1052">
        <v>44362</v>
      </c>
      <c r="B66" s="882" t="s">
        <v>256</v>
      </c>
      <c r="C66" s="879"/>
      <c r="D66" s="879"/>
      <c r="E66" s="875" t="s">
        <v>25</v>
      </c>
      <c r="F66" s="780"/>
      <c r="G66" s="982">
        <v>700</v>
      </c>
      <c r="H66" s="1060">
        <v>700</v>
      </c>
      <c r="I66" s="1063"/>
      <c r="J66" s="622"/>
      <c r="K66" s="982"/>
      <c r="L66" s="861"/>
    </row>
    <row r="67" spans="1:41" s="224" customFormat="1" ht="15" hidden="1" customHeight="1" x14ac:dyDescent="0.25">
      <c r="A67" s="1052">
        <v>44362</v>
      </c>
      <c r="B67" s="882" t="s">
        <v>14</v>
      </c>
      <c r="C67" s="879" t="s">
        <v>19</v>
      </c>
      <c r="D67" s="879" t="s">
        <v>1486</v>
      </c>
      <c r="E67" s="875" t="s">
        <v>13</v>
      </c>
      <c r="F67" s="780">
        <v>6</v>
      </c>
      <c r="G67" s="982"/>
      <c r="H67" s="1008"/>
      <c r="I67" s="1063"/>
      <c r="J67" s="622"/>
      <c r="K67" s="982"/>
      <c r="L67" s="861"/>
    </row>
    <row r="68" spans="1:41" s="224" customFormat="1" ht="15" customHeight="1" x14ac:dyDescent="0.25">
      <c r="A68" s="1052">
        <v>44362</v>
      </c>
      <c r="B68" s="882" t="s">
        <v>3069</v>
      </c>
      <c r="C68" s="879" t="s">
        <v>19</v>
      </c>
      <c r="D68" s="879" t="s">
        <v>1491</v>
      </c>
      <c r="E68" s="875" t="s">
        <v>13</v>
      </c>
      <c r="F68" s="780">
        <v>95.63</v>
      </c>
      <c r="G68" s="982"/>
      <c r="H68" s="1008"/>
      <c r="I68" s="1063"/>
      <c r="J68" s="622"/>
      <c r="K68" s="982"/>
      <c r="L68" s="861"/>
    </row>
    <row r="69" spans="1:41" s="224" customFormat="1" hidden="1" x14ac:dyDescent="0.25">
      <c r="A69" s="215">
        <v>44455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17</v>
      </c>
      <c r="G69" s="982"/>
      <c r="H69" s="1008"/>
      <c r="I69" s="1063"/>
      <c r="J69" s="622"/>
      <c r="K69" s="982"/>
      <c r="L69" s="1029"/>
    </row>
    <row r="70" spans="1:41" s="224" customFormat="1" ht="15" hidden="1" customHeight="1" x14ac:dyDescent="0.25">
      <c r="A70" s="215">
        <v>44455</v>
      </c>
      <c r="B70" s="882" t="s">
        <v>2766</v>
      </c>
      <c r="C70" s="879" t="s">
        <v>12</v>
      </c>
      <c r="D70" s="879" t="s">
        <v>2157</v>
      </c>
      <c r="E70" s="875" t="s">
        <v>13</v>
      </c>
      <c r="F70" s="780">
        <v>30</v>
      </c>
      <c r="G70" s="982"/>
      <c r="H70" s="1008"/>
      <c r="I70" s="1063"/>
      <c r="J70" s="622"/>
      <c r="K70" s="982"/>
      <c r="L70" s="861"/>
    </row>
    <row r="71" spans="1:41" s="224" customFormat="1" ht="15" hidden="1" customHeight="1" x14ac:dyDescent="0.25">
      <c r="A71" s="215">
        <v>44455</v>
      </c>
      <c r="B71" s="882" t="s">
        <v>14</v>
      </c>
      <c r="C71" s="879" t="s">
        <v>12</v>
      </c>
      <c r="D71" s="879" t="s">
        <v>1486</v>
      </c>
      <c r="E71" s="875" t="s">
        <v>13</v>
      </c>
      <c r="F71" s="780">
        <v>6.86</v>
      </c>
      <c r="G71" s="982"/>
      <c r="H71" s="1008"/>
      <c r="I71" s="1063"/>
      <c r="J71" s="622"/>
      <c r="K71" s="982"/>
      <c r="L71" s="861"/>
    </row>
    <row r="72" spans="1:41" s="224" customFormat="1" ht="15" hidden="1" customHeight="1" x14ac:dyDescent="0.25">
      <c r="A72" s="215">
        <v>44456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17</v>
      </c>
      <c r="G72" s="982"/>
      <c r="H72" s="1008"/>
      <c r="I72" s="1063"/>
      <c r="J72" s="622"/>
      <c r="K72" s="982"/>
      <c r="L72" s="861"/>
    </row>
    <row r="73" spans="1:41" s="224" customFormat="1" ht="15" customHeight="1" x14ac:dyDescent="0.25">
      <c r="A73" s="215">
        <v>44456</v>
      </c>
      <c r="B73" s="882" t="s">
        <v>3070</v>
      </c>
      <c r="C73" s="879" t="s">
        <v>12</v>
      </c>
      <c r="D73" s="879" t="s">
        <v>1491</v>
      </c>
      <c r="E73" s="871" t="s">
        <v>13</v>
      </c>
      <c r="F73" s="780">
        <v>8</v>
      </c>
      <c r="G73" s="982"/>
      <c r="H73" s="1008"/>
      <c r="I73" s="1063"/>
      <c r="J73" s="622"/>
      <c r="K73" s="982"/>
      <c r="L73" s="861"/>
    </row>
    <row r="74" spans="1:41" s="224" customFormat="1" ht="15" hidden="1" customHeight="1" x14ac:dyDescent="0.25">
      <c r="A74" s="215">
        <v>44456</v>
      </c>
      <c r="B74" s="882" t="s">
        <v>3071</v>
      </c>
      <c r="C74" s="1091" t="s">
        <v>12</v>
      </c>
      <c r="D74" s="879" t="s">
        <v>1524</v>
      </c>
      <c r="E74" s="875" t="s">
        <v>13</v>
      </c>
      <c r="F74" s="780">
        <v>15.66</v>
      </c>
      <c r="G74" s="982"/>
      <c r="H74" s="1008"/>
      <c r="I74" s="1063"/>
      <c r="J74" s="622"/>
      <c r="K74" s="982"/>
      <c r="L74" s="861"/>
    </row>
    <row r="75" spans="1:41" s="224" customFormat="1" ht="15" hidden="1" customHeight="1" x14ac:dyDescent="0.25">
      <c r="A75" s="215">
        <v>44456</v>
      </c>
      <c r="B75" s="882" t="s">
        <v>2766</v>
      </c>
      <c r="C75" s="879" t="s">
        <v>12</v>
      </c>
      <c r="D75" s="879" t="s">
        <v>2157</v>
      </c>
      <c r="E75" s="875" t="s">
        <v>13</v>
      </c>
      <c r="F75" s="780">
        <v>50</v>
      </c>
      <c r="G75" s="982"/>
      <c r="H75" s="1008"/>
      <c r="I75" s="1063"/>
      <c r="J75" s="622"/>
      <c r="K75" s="982"/>
      <c r="L75" s="1029"/>
    </row>
    <row r="76" spans="1:41" s="224" customFormat="1" ht="15" customHeight="1" x14ac:dyDescent="0.25">
      <c r="A76" s="215">
        <v>44456</v>
      </c>
      <c r="B76" s="882" t="s">
        <v>3072</v>
      </c>
      <c r="C76" s="879" t="s">
        <v>12</v>
      </c>
      <c r="D76" s="879" t="s">
        <v>1491</v>
      </c>
      <c r="E76" s="875" t="s">
        <v>13</v>
      </c>
      <c r="F76" s="780">
        <v>130</v>
      </c>
      <c r="G76" s="982"/>
      <c r="H76" s="1008"/>
      <c r="I76" s="1063"/>
      <c r="J76" s="622"/>
      <c r="K76" s="982"/>
      <c r="L76" s="861"/>
    </row>
    <row r="77" spans="1:41" s="224" customFormat="1" ht="15" customHeight="1" x14ac:dyDescent="0.25">
      <c r="A77" s="215">
        <v>44456</v>
      </c>
      <c r="B77" s="882" t="s">
        <v>3073</v>
      </c>
      <c r="C77" s="879" t="s">
        <v>19</v>
      </c>
      <c r="D77" s="879" t="s">
        <v>1491</v>
      </c>
      <c r="E77" s="875" t="s">
        <v>13</v>
      </c>
      <c r="F77" s="780">
        <v>70</v>
      </c>
      <c r="G77" s="982"/>
      <c r="H77" s="1008"/>
      <c r="I77" s="1063"/>
      <c r="J77" s="622"/>
      <c r="K77" s="982"/>
      <c r="L77" s="861"/>
    </row>
    <row r="78" spans="1:41" s="224" customFormat="1" ht="15" hidden="1" customHeight="1" x14ac:dyDescent="0.25">
      <c r="A78" s="215">
        <v>44457</v>
      </c>
      <c r="B78" s="882" t="s">
        <v>2197</v>
      </c>
      <c r="C78" s="879" t="s">
        <v>12</v>
      </c>
      <c r="D78" s="879" t="s">
        <v>2168</v>
      </c>
      <c r="E78" s="875" t="s">
        <v>13</v>
      </c>
      <c r="F78" s="780">
        <v>40</v>
      </c>
      <c r="G78" s="982"/>
      <c r="H78" s="1008"/>
      <c r="I78" s="1063"/>
      <c r="J78" s="622"/>
      <c r="K78" s="982"/>
      <c r="L78" s="1029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</row>
    <row r="79" spans="1:41" s="224" customFormat="1" ht="15" customHeight="1" x14ac:dyDescent="0.25">
      <c r="A79" s="215">
        <v>44457</v>
      </c>
      <c r="B79" s="873" t="s">
        <v>3074</v>
      </c>
      <c r="C79" s="879" t="s">
        <v>12</v>
      </c>
      <c r="D79" s="879" t="s">
        <v>1491</v>
      </c>
      <c r="E79" s="871" t="s">
        <v>13</v>
      </c>
      <c r="F79" s="780">
        <v>110</v>
      </c>
      <c r="G79" s="946"/>
      <c r="H79" s="95"/>
      <c r="I79" s="1064"/>
      <c r="J79" s="97"/>
      <c r="K79" s="946"/>
      <c r="L79" s="926"/>
    </row>
    <row r="80" spans="1:41" s="224" customFormat="1" ht="15" customHeight="1" x14ac:dyDescent="0.25">
      <c r="A80" s="215">
        <v>44457</v>
      </c>
      <c r="B80" s="873" t="s">
        <v>3075</v>
      </c>
      <c r="C80" s="879" t="s">
        <v>12</v>
      </c>
      <c r="D80" s="879" t="s">
        <v>1491</v>
      </c>
      <c r="E80" s="871" t="s">
        <v>13</v>
      </c>
      <c r="F80" s="780">
        <v>145</v>
      </c>
      <c r="G80" s="946"/>
      <c r="H80" s="95"/>
      <c r="I80" s="1064"/>
      <c r="J80" s="97"/>
      <c r="K80" s="946"/>
      <c r="L80" s="926"/>
    </row>
    <row r="81" spans="1:14" s="224" customFormat="1" ht="15" customHeight="1" x14ac:dyDescent="0.25">
      <c r="A81" s="215">
        <v>44457</v>
      </c>
      <c r="B81" s="873" t="s">
        <v>3076</v>
      </c>
      <c r="C81" s="879" t="s">
        <v>12</v>
      </c>
      <c r="D81" s="879" t="s">
        <v>1491</v>
      </c>
      <c r="E81" s="871" t="s">
        <v>13</v>
      </c>
      <c r="F81" s="780">
        <v>100</v>
      </c>
      <c r="G81" s="946"/>
      <c r="H81" s="95"/>
      <c r="I81" s="1064"/>
      <c r="J81" s="97"/>
      <c r="K81" s="946"/>
      <c r="L81" s="926"/>
    </row>
    <row r="82" spans="1:14" s="224" customFormat="1" ht="15" customHeight="1" x14ac:dyDescent="0.25">
      <c r="A82" s="215">
        <v>44457</v>
      </c>
      <c r="B82" s="873" t="s">
        <v>1127</v>
      </c>
      <c r="C82" s="879" t="s">
        <v>12</v>
      </c>
      <c r="D82" s="879" t="s">
        <v>1491</v>
      </c>
      <c r="E82" s="871" t="s">
        <v>13</v>
      </c>
      <c r="F82" s="780">
        <v>6</v>
      </c>
      <c r="G82" s="946"/>
      <c r="H82" s="95"/>
      <c r="I82" s="1064"/>
      <c r="J82" s="97"/>
      <c r="K82" s="946"/>
      <c r="L82" s="926"/>
    </row>
    <row r="83" spans="1:14" s="224" customFormat="1" ht="15" customHeight="1" x14ac:dyDescent="0.25">
      <c r="A83" s="215">
        <v>44457</v>
      </c>
      <c r="B83" s="873" t="s">
        <v>1125</v>
      </c>
      <c r="C83" s="879" t="s">
        <v>12</v>
      </c>
      <c r="D83" s="879" t="s">
        <v>1491</v>
      </c>
      <c r="E83" s="871" t="s">
        <v>13</v>
      </c>
      <c r="F83" s="780">
        <v>15</v>
      </c>
      <c r="G83" s="946"/>
      <c r="H83" s="95"/>
      <c r="I83" s="1064"/>
      <c r="J83" s="97"/>
      <c r="K83" s="946"/>
      <c r="L83" s="926"/>
    </row>
    <row r="84" spans="1:14" s="224" customFormat="1" ht="15" hidden="1" customHeight="1" x14ac:dyDescent="0.25">
      <c r="A84" s="215">
        <v>44458</v>
      </c>
      <c r="B84" s="882"/>
      <c r="C84" s="879"/>
      <c r="D84" s="879"/>
      <c r="E84" s="875"/>
      <c r="F84" s="780"/>
      <c r="G84" s="982"/>
      <c r="H84" s="1008"/>
      <c r="I84" s="1063"/>
      <c r="J84" s="622"/>
      <c r="K84" s="982"/>
      <c r="L84" s="1029"/>
    </row>
    <row r="85" spans="1:14" s="224" customFormat="1" ht="15" hidden="1" customHeight="1" x14ac:dyDescent="0.25">
      <c r="A85" s="215">
        <v>44459</v>
      </c>
      <c r="B85" s="882" t="s">
        <v>3077</v>
      </c>
      <c r="C85" s="350" t="s">
        <v>12</v>
      </c>
      <c r="D85" s="350"/>
      <c r="E85" s="480" t="s">
        <v>25</v>
      </c>
      <c r="F85" s="622"/>
      <c r="G85" s="982">
        <v>1840</v>
      </c>
      <c r="H85" s="1008"/>
      <c r="I85" s="1063"/>
      <c r="J85" s="622"/>
      <c r="K85" s="982"/>
      <c r="L85" s="861"/>
    </row>
    <row r="86" spans="1:14" s="224" customFormat="1" ht="15" customHeight="1" x14ac:dyDescent="0.25">
      <c r="A86" s="215">
        <v>44459</v>
      </c>
      <c r="B86" s="364" t="s">
        <v>2977</v>
      </c>
      <c r="C86" s="350" t="s">
        <v>12</v>
      </c>
      <c r="D86" s="350" t="s">
        <v>1491</v>
      </c>
      <c r="E86" s="875" t="s">
        <v>13</v>
      </c>
      <c r="F86" s="1047">
        <v>200</v>
      </c>
      <c r="G86" s="982"/>
      <c r="H86" s="1008"/>
      <c r="I86" s="1063"/>
      <c r="J86" s="622"/>
      <c r="K86" s="982"/>
      <c r="L86" s="861"/>
      <c r="N86" s="1035"/>
    </row>
    <row r="87" spans="1:14" s="224" customFormat="1" ht="15" hidden="1" customHeight="1" x14ac:dyDescent="0.25">
      <c r="A87" s="215">
        <v>44459</v>
      </c>
      <c r="B87" s="862" t="s">
        <v>2867</v>
      </c>
      <c r="C87" s="350" t="s">
        <v>12</v>
      </c>
      <c r="D87" s="874" t="s">
        <v>1504</v>
      </c>
      <c r="E87" s="887" t="s">
        <v>13</v>
      </c>
      <c r="F87" s="852">
        <v>30</v>
      </c>
      <c r="G87" s="982"/>
      <c r="H87" s="1009"/>
      <c r="I87" s="1063"/>
      <c r="J87" s="853"/>
      <c r="K87" s="982"/>
      <c r="L87" s="861"/>
    </row>
    <row r="88" spans="1:14" s="224" customFormat="1" hidden="1" x14ac:dyDescent="0.25">
      <c r="A88" s="215">
        <v>44459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780">
        <v>17</v>
      </c>
      <c r="G88" s="982"/>
      <c r="H88" s="1008"/>
      <c r="I88" s="1063"/>
      <c r="J88" s="622"/>
      <c r="K88" s="982"/>
      <c r="L88" s="1029"/>
    </row>
    <row r="89" spans="1:14" s="224" customFormat="1" ht="15" hidden="1" customHeight="1" x14ac:dyDescent="0.25">
      <c r="A89" s="215">
        <v>44459</v>
      </c>
      <c r="B89" s="349" t="s">
        <v>260</v>
      </c>
      <c r="C89" s="350" t="s">
        <v>12</v>
      </c>
      <c r="D89" s="350"/>
      <c r="E89" s="480"/>
      <c r="F89" s="780">
        <v>800</v>
      </c>
      <c r="G89" s="946"/>
      <c r="H89" s="95"/>
      <c r="I89" s="1064">
        <v>800</v>
      </c>
      <c r="J89" s="622"/>
      <c r="K89" s="982"/>
      <c r="L89" s="861"/>
    </row>
    <row r="90" spans="1:14" s="224" customFormat="1" ht="15" hidden="1" customHeight="1" x14ac:dyDescent="0.25">
      <c r="A90" s="215">
        <v>44459</v>
      </c>
      <c r="B90" s="882" t="s">
        <v>872</v>
      </c>
      <c r="C90" s="879" t="s">
        <v>12</v>
      </c>
      <c r="D90" s="879"/>
      <c r="E90" s="875" t="s">
        <v>25</v>
      </c>
      <c r="F90" s="780"/>
      <c r="G90" s="982">
        <v>150</v>
      </c>
      <c r="H90" s="1008"/>
      <c r="I90" s="1063"/>
      <c r="J90" s="622"/>
      <c r="K90" s="982"/>
      <c r="L90" s="861"/>
      <c r="N90" s="878"/>
    </row>
    <row r="91" spans="1:14" s="224" customFormat="1" hidden="1" x14ac:dyDescent="0.25">
      <c r="A91" s="215">
        <v>44459</v>
      </c>
      <c r="B91" s="882" t="s">
        <v>14</v>
      </c>
      <c r="C91" s="879" t="s">
        <v>12</v>
      </c>
      <c r="D91" s="879" t="s">
        <v>1486</v>
      </c>
      <c r="E91" s="875" t="s">
        <v>13</v>
      </c>
      <c r="F91" s="1047">
        <v>12.83</v>
      </c>
      <c r="G91" s="982"/>
      <c r="H91" s="1008"/>
      <c r="I91" s="1063"/>
      <c r="J91" s="622"/>
      <c r="K91" s="982"/>
      <c r="L91" s="1029"/>
    </row>
    <row r="92" spans="1:14" s="224" customFormat="1" ht="15" hidden="1" customHeight="1" x14ac:dyDescent="0.25">
      <c r="A92" s="215">
        <v>44460</v>
      </c>
      <c r="B92" s="882" t="s">
        <v>32</v>
      </c>
      <c r="C92" s="879" t="s">
        <v>12</v>
      </c>
      <c r="D92" s="879" t="s">
        <v>1485</v>
      </c>
      <c r="E92" s="875" t="s">
        <v>13</v>
      </c>
      <c r="F92" s="780">
        <v>17</v>
      </c>
      <c r="G92" s="982"/>
      <c r="H92" s="1008"/>
      <c r="I92" s="1063"/>
      <c r="J92" s="622"/>
      <c r="K92" s="982"/>
      <c r="L92" s="861"/>
    </row>
    <row r="93" spans="1:14" s="224" customFormat="1" hidden="1" x14ac:dyDescent="0.25">
      <c r="A93" s="215">
        <v>44460</v>
      </c>
      <c r="B93" s="882" t="s">
        <v>14</v>
      </c>
      <c r="C93" s="879" t="s">
        <v>12</v>
      </c>
      <c r="D93" s="879" t="s">
        <v>1486</v>
      </c>
      <c r="E93" s="875" t="s">
        <v>13</v>
      </c>
      <c r="F93" s="780">
        <v>3.59</v>
      </c>
      <c r="G93" s="982"/>
      <c r="H93" s="1008"/>
      <c r="I93" s="1063"/>
      <c r="J93" s="622"/>
      <c r="K93" s="982"/>
      <c r="L93" s="861"/>
    </row>
    <row r="94" spans="1:14" s="224" customFormat="1" ht="15" hidden="1" customHeight="1" x14ac:dyDescent="0.25">
      <c r="A94" s="215">
        <v>44461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17</v>
      </c>
      <c r="G94" s="982"/>
      <c r="H94" s="1008"/>
      <c r="I94" s="1063"/>
      <c r="J94" s="622"/>
      <c r="K94" s="982"/>
      <c r="L94" s="861"/>
    </row>
    <row r="95" spans="1:14" s="224" customFormat="1" ht="15" hidden="1" customHeight="1" x14ac:dyDescent="0.25">
      <c r="A95" s="215">
        <v>44461</v>
      </c>
      <c r="B95" s="882" t="s">
        <v>2766</v>
      </c>
      <c r="C95" s="879" t="s">
        <v>12</v>
      </c>
      <c r="D95" s="879" t="s">
        <v>2157</v>
      </c>
      <c r="E95" s="875" t="s">
        <v>15</v>
      </c>
      <c r="F95" s="780">
        <v>50</v>
      </c>
      <c r="G95" s="982"/>
      <c r="H95" s="1008"/>
      <c r="I95" s="1063"/>
      <c r="J95" s="622"/>
      <c r="K95" s="982"/>
      <c r="L95" s="861"/>
    </row>
    <row r="96" spans="1:14" s="224" customFormat="1" ht="15" hidden="1" customHeight="1" x14ac:dyDescent="0.25">
      <c r="A96" s="215">
        <v>44461</v>
      </c>
      <c r="B96" s="882" t="s">
        <v>14</v>
      </c>
      <c r="C96" s="879" t="s">
        <v>12</v>
      </c>
      <c r="D96" s="879" t="s">
        <v>1486</v>
      </c>
      <c r="E96" s="875" t="s">
        <v>13</v>
      </c>
      <c r="F96" s="780">
        <v>4.6100000000000003</v>
      </c>
      <c r="G96" s="946"/>
      <c r="H96" s="95"/>
      <c r="I96" s="1064"/>
      <c r="J96" s="622"/>
      <c r="K96" s="982"/>
      <c r="L96" s="861"/>
    </row>
    <row r="97" spans="1:12" s="224" customFormat="1" hidden="1" x14ac:dyDescent="0.25">
      <c r="A97" s="215">
        <v>44462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17</v>
      </c>
      <c r="G97" s="982"/>
      <c r="H97" s="1008"/>
      <c r="I97" s="1063"/>
      <c r="J97" s="622"/>
      <c r="K97" s="982"/>
      <c r="L97" s="1029"/>
    </row>
    <row r="98" spans="1:12" s="224" customFormat="1" ht="15" hidden="1" customHeight="1" x14ac:dyDescent="0.25">
      <c r="A98" s="215">
        <v>44462</v>
      </c>
      <c r="B98" s="882" t="s">
        <v>14</v>
      </c>
      <c r="C98" s="879" t="s">
        <v>12</v>
      </c>
      <c r="D98" s="879" t="s">
        <v>1486</v>
      </c>
      <c r="E98" s="875" t="s">
        <v>13</v>
      </c>
      <c r="F98" s="780">
        <v>4.74</v>
      </c>
      <c r="G98" s="946"/>
      <c r="H98" s="95"/>
      <c r="I98" s="1064"/>
      <c r="J98" s="622"/>
      <c r="K98" s="982"/>
      <c r="L98" s="861"/>
    </row>
    <row r="99" spans="1:12" s="224" customFormat="1" ht="15" hidden="1" customHeight="1" x14ac:dyDescent="0.25">
      <c r="A99" s="215">
        <v>44463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17</v>
      </c>
      <c r="G99" s="982"/>
      <c r="H99" s="1008"/>
      <c r="I99" s="1063"/>
      <c r="J99" s="622"/>
      <c r="K99" s="982"/>
      <c r="L99" s="861"/>
    </row>
    <row r="100" spans="1:12" s="224" customFormat="1" ht="15" hidden="1" customHeight="1" x14ac:dyDescent="0.25">
      <c r="A100" s="215">
        <v>44463</v>
      </c>
      <c r="B100" s="882" t="s">
        <v>445</v>
      </c>
      <c r="C100" s="879" t="s">
        <v>12</v>
      </c>
      <c r="D100" s="879" t="s">
        <v>1493</v>
      </c>
      <c r="E100" s="875" t="s">
        <v>13</v>
      </c>
      <c r="F100" s="780">
        <v>6</v>
      </c>
      <c r="G100" s="982"/>
      <c r="H100" s="1008"/>
      <c r="I100" s="1063"/>
      <c r="J100" s="622"/>
      <c r="K100" s="982"/>
      <c r="L100" s="1029"/>
    </row>
    <row r="101" spans="1:12" s="224" customFormat="1" ht="15" hidden="1" customHeight="1" x14ac:dyDescent="0.25">
      <c r="A101" s="215">
        <v>44463</v>
      </c>
      <c r="B101" s="882" t="s">
        <v>3078</v>
      </c>
      <c r="C101" s="879" t="s">
        <v>12</v>
      </c>
      <c r="D101" s="879" t="s">
        <v>1493</v>
      </c>
      <c r="E101" s="875" t="s">
        <v>13</v>
      </c>
      <c r="F101" s="780">
        <v>12</v>
      </c>
      <c r="G101" s="946"/>
      <c r="H101" s="95"/>
      <c r="I101" s="1064"/>
      <c r="J101" s="622"/>
      <c r="K101" s="982"/>
      <c r="L101" s="861"/>
    </row>
    <row r="102" spans="1:12" s="224" customFormat="1" ht="15" hidden="1" customHeight="1" x14ac:dyDescent="0.25">
      <c r="A102" s="215">
        <v>44464</v>
      </c>
      <c r="B102" s="882" t="s">
        <v>14</v>
      </c>
      <c r="C102" s="879" t="s">
        <v>12</v>
      </c>
      <c r="D102" s="879" t="s">
        <v>1486</v>
      </c>
      <c r="E102" s="875" t="s">
        <v>13</v>
      </c>
      <c r="F102" s="780">
        <v>4.03</v>
      </c>
      <c r="G102" s="946"/>
      <c r="H102" s="95"/>
      <c r="I102" s="1064"/>
      <c r="J102" s="622"/>
      <c r="K102" s="982"/>
      <c r="L102" s="861"/>
    </row>
    <row r="103" spans="1:12" s="224" customFormat="1" ht="15" hidden="1" customHeight="1" x14ac:dyDescent="0.25">
      <c r="A103" s="215">
        <v>44464</v>
      </c>
      <c r="B103" s="364" t="s">
        <v>82</v>
      </c>
      <c r="C103" s="350" t="s">
        <v>12</v>
      </c>
      <c r="D103" s="350" t="s">
        <v>1493</v>
      </c>
      <c r="E103" s="875" t="s">
        <v>13</v>
      </c>
      <c r="F103" s="780">
        <v>25.56</v>
      </c>
      <c r="G103" s="982"/>
      <c r="H103" s="1008"/>
      <c r="I103" s="1063"/>
      <c r="J103" s="622"/>
      <c r="K103" s="982"/>
      <c r="L103" s="861"/>
    </row>
    <row r="104" spans="1:12" s="224" customFormat="1" ht="15" hidden="1" customHeight="1" x14ac:dyDescent="0.25">
      <c r="A104" s="215">
        <v>44465</v>
      </c>
      <c r="B104" s="882" t="s">
        <v>14</v>
      </c>
      <c r="C104" s="879" t="s">
        <v>12</v>
      </c>
      <c r="D104" s="879" t="s">
        <v>1486</v>
      </c>
      <c r="E104" s="875" t="s">
        <v>13</v>
      </c>
      <c r="F104" s="780">
        <v>9.83</v>
      </c>
      <c r="G104" s="982"/>
      <c r="H104" s="1008"/>
      <c r="I104" s="1063"/>
      <c r="J104" s="622"/>
      <c r="K104" s="982"/>
      <c r="L104" s="861"/>
    </row>
    <row r="105" spans="1:12" s="224" customFormat="1" ht="15" hidden="1" customHeight="1" x14ac:dyDescent="0.25">
      <c r="A105" s="215">
        <v>44465</v>
      </c>
      <c r="B105" s="364" t="s">
        <v>3079</v>
      </c>
      <c r="C105" s="350" t="s">
        <v>12</v>
      </c>
      <c r="D105" s="350" t="s">
        <v>1493</v>
      </c>
      <c r="E105" s="875" t="s">
        <v>13</v>
      </c>
      <c r="F105" s="780">
        <v>25.56</v>
      </c>
      <c r="G105" s="982"/>
      <c r="H105" s="1008"/>
      <c r="I105" s="1063"/>
      <c r="J105" s="622"/>
      <c r="K105" s="982"/>
      <c r="L105" s="861"/>
    </row>
    <row r="106" spans="1:12" s="224" customFormat="1" ht="15" hidden="1" customHeight="1" x14ac:dyDescent="0.25">
      <c r="A106" s="215">
        <v>44466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17</v>
      </c>
      <c r="G106" s="982"/>
      <c r="H106" s="1008"/>
      <c r="I106" s="1063"/>
      <c r="J106" s="622"/>
      <c r="K106" s="982"/>
      <c r="L106" s="861"/>
    </row>
    <row r="107" spans="1:12" s="224" customFormat="1" ht="15" hidden="1" customHeight="1" x14ac:dyDescent="0.25">
      <c r="A107" s="215">
        <v>44466</v>
      </c>
      <c r="B107" s="882" t="s">
        <v>2766</v>
      </c>
      <c r="C107" s="879" t="s">
        <v>12</v>
      </c>
      <c r="D107" s="879" t="s">
        <v>2157</v>
      </c>
      <c r="E107" s="875" t="s">
        <v>15</v>
      </c>
      <c r="F107" s="780">
        <v>50</v>
      </c>
      <c r="G107" s="982"/>
      <c r="H107" s="1008"/>
      <c r="I107" s="1063"/>
      <c r="J107" s="622"/>
      <c r="K107" s="982"/>
      <c r="L107" s="861"/>
    </row>
    <row r="108" spans="1:12" s="224" customFormat="1" ht="15" hidden="1" customHeight="1" x14ac:dyDescent="0.25">
      <c r="A108" s="215">
        <v>44466</v>
      </c>
      <c r="B108" s="882" t="s">
        <v>14</v>
      </c>
      <c r="C108" s="879" t="s">
        <v>12</v>
      </c>
      <c r="D108" s="879" t="s">
        <v>1486</v>
      </c>
      <c r="E108" s="875" t="s">
        <v>13</v>
      </c>
      <c r="F108" s="780">
        <v>3.93</v>
      </c>
      <c r="G108" s="946"/>
      <c r="H108" s="95"/>
      <c r="I108" s="1064"/>
      <c r="J108" s="622"/>
      <c r="K108" s="982"/>
      <c r="L108" s="861"/>
    </row>
    <row r="109" spans="1:12" s="224" customFormat="1" ht="15" hidden="1" customHeight="1" x14ac:dyDescent="0.25">
      <c r="A109" s="215">
        <v>44467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17</v>
      </c>
      <c r="G109" s="982"/>
      <c r="H109" s="1008"/>
      <c r="I109" s="1063"/>
      <c r="J109" s="622"/>
      <c r="K109" s="982"/>
      <c r="L109" s="861"/>
    </row>
    <row r="110" spans="1:12" s="224" customFormat="1" ht="15" hidden="1" customHeight="1" x14ac:dyDescent="0.25">
      <c r="A110" s="215">
        <v>44467</v>
      </c>
      <c r="B110" s="882" t="s">
        <v>14</v>
      </c>
      <c r="C110" s="879" t="s">
        <v>19</v>
      </c>
      <c r="D110" s="879" t="s">
        <v>1486</v>
      </c>
      <c r="E110" s="875" t="s">
        <v>13</v>
      </c>
      <c r="F110" s="780">
        <v>7</v>
      </c>
      <c r="G110" s="982"/>
      <c r="H110" s="1008"/>
      <c r="I110" s="1063"/>
      <c r="J110" s="622"/>
      <c r="K110" s="982"/>
      <c r="L110" s="1029"/>
    </row>
    <row r="111" spans="1:12" s="224" customFormat="1" ht="15" hidden="1" customHeight="1" x14ac:dyDescent="0.25">
      <c r="A111" s="215">
        <v>44467</v>
      </c>
      <c r="B111" s="882" t="s">
        <v>2629</v>
      </c>
      <c r="C111" s="879" t="s">
        <v>19</v>
      </c>
      <c r="D111" s="879" t="s">
        <v>1489</v>
      </c>
      <c r="E111" s="875" t="s">
        <v>13</v>
      </c>
      <c r="F111" s="780">
        <v>14.57</v>
      </c>
      <c r="G111" s="982"/>
      <c r="H111" s="1008"/>
      <c r="I111" s="1063"/>
      <c r="J111" s="622"/>
      <c r="K111" s="982"/>
      <c r="L111" s="1029"/>
    </row>
    <row r="112" spans="1:12" s="224" customFormat="1" ht="15" hidden="1" customHeight="1" x14ac:dyDescent="0.25">
      <c r="A112" s="215">
        <v>44467</v>
      </c>
      <c r="B112" s="882" t="s">
        <v>2197</v>
      </c>
      <c r="C112" s="879" t="s">
        <v>12</v>
      </c>
      <c r="D112" s="879" t="s">
        <v>2168</v>
      </c>
      <c r="E112" s="875" t="s">
        <v>13</v>
      </c>
      <c r="F112" s="780">
        <v>30</v>
      </c>
      <c r="G112" s="982"/>
      <c r="H112" s="1008"/>
      <c r="I112" s="1063"/>
      <c r="J112" s="622"/>
      <c r="K112" s="982"/>
      <c r="L112" s="1029"/>
    </row>
    <row r="113" spans="1:14" s="224" customFormat="1" ht="15" hidden="1" customHeight="1" x14ac:dyDescent="0.25">
      <c r="A113" s="215">
        <v>44468</v>
      </c>
      <c r="B113" s="862" t="s">
        <v>3046</v>
      </c>
      <c r="C113" s="879" t="s">
        <v>12</v>
      </c>
      <c r="D113" s="879" t="s">
        <v>1504</v>
      </c>
      <c r="E113" s="871" t="s">
        <v>13</v>
      </c>
      <c r="F113" s="622">
        <v>25.9</v>
      </c>
      <c r="G113" s="1034"/>
      <c r="H113" s="1008"/>
      <c r="I113" s="1063"/>
      <c r="J113" s="622"/>
      <c r="K113" s="982"/>
      <c r="L113" s="475"/>
    </row>
    <row r="114" spans="1:14" s="224" customFormat="1" ht="15" hidden="1" customHeight="1" x14ac:dyDescent="0.25">
      <c r="A114" s="215">
        <v>44468</v>
      </c>
      <c r="B114" s="882" t="s">
        <v>256</v>
      </c>
      <c r="C114" s="879"/>
      <c r="D114" s="879"/>
      <c r="E114" s="875" t="s">
        <v>25</v>
      </c>
      <c r="F114" s="780"/>
      <c r="G114" s="982">
        <v>100</v>
      </c>
      <c r="H114" s="1060">
        <v>100</v>
      </c>
      <c r="I114" s="1063"/>
      <c r="J114" s="622"/>
      <c r="K114" s="982"/>
      <c r="L114" s="861"/>
      <c r="N114" s="878"/>
    </row>
    <row r="115" spans="1:14" s="224" customFormat="1" ht="15" hidden="1" customHeight="1" x14ac:dyDescent="0.25">
      <c r="A115" s="215">
        <v>44468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17</v>
      </c>
      <c r="G115" s="982"/>
      <c r="H115" s="1008"/>
      <c r="I115" s="1063"/>
      <c r="J115" s="622"/>
      <c r="K115" s="982"/>
      <c r="L115" s="861"/>
    </row>
    <row r="116" spans="1:14" s="224" customFormat="1" ht="15" hidden="1" customHeight="1" x14ac:dyDescent="0.25">
      <c r="A116" s="215">
        <v>44468</v>
      </c>
      <c r="B116" s="882" t="s">
        <v>445</v>
      </c>
      <c r="C116" s="879" t="s">
        <v>12</v>
      </c>
      <c r="D116" s="879" t="s">
        <v>1493</v>
      </c>
      <c r="E116" s="875" t="s">
        <v>13</v>
      </c>
      <c r="F116" s="780">
        <v>6</v>
      </c>
      <c r="G116" s="982"/>
      <c r="H116" s="1008"/>
      <c r="I116" s="1063"/>
      <c r="J116" s="622"/>
      <c r="K116" s="982"/>
      <c r="L116" s="1029"/>
    </row>
    <row r="117" spans="1:14" s="224" customFormat="1" ht="15" hidden="1" customHeight="1" x14ac:dyDescent="0.25">
      <c r="A117" s="215">
        <v>44468</v>
      </c>
      <c r="B117" s="882" t="s">
        <v>14</v>
      </c>
      <c r="C117" s="879" t="s">
        <v>19</v>
      </c>
      <c r="D117" s="879" t="s">
        <v>1486</v>
      </c>
      <c r="E117" s="875" t="s">
        <v>13</v>
      </c>
      <c r="F117" s="780">
        <v>3.29</v>
      </c>
      <c r="G117" s="982"/>
      <c r="H117" s="1008"/>
      <c r="I117" s="1063"/>
      <c r="J117" s="622"/>
      <c r="K117" s="982"/>
      <c r="L117" s="1029"/>
    </row>
    <row r="118" spans="1:14" s="224" customFormat="1" ht="15" hidden="1" customHeight="1" x14ac:dyDescent="0.25">
      <c r="A118" s="215">
        <v>44469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17</v>
      </c>
      <c r="G118" s="982"/>
      <c r="H118" s="1008"/>
      <c r="I118" s="1063"/>
      <c r="J118" s="622"/>
      <c r="K118" s="982"/>
      <c r="L118" s="1029"/>
    </row>
    <row r="119" spans="1:14" s="224" customFormat="1" hidden="1" x14ac:dyDescent="0.25">
      <c r="A119" s="215">
        <v>44469</v>
      </c>
      <c r="B119" s="882" t="s">
        <v>14</v>
      </c>
      <c r="C119" s="879" t="s">
        <v>19</v>
      </c>
      <c r="D119" s="879" t="s">
        <v>1486</v>
      </c>
      <c r="E119" s="875" t="s">
        <v>13</v>
      </c>
      <c r="F119" s="1047">
        <v>9.0399999999999991</v>
      </c>
      <c r="G119" s="982"/>
      <c r="H119" s="1008"/>
      <c r="I119" s="1063"/>
      <c r="J119" s="622"/>
      <c r="K119" s="982"/>
      <c r="L119" s="1029"/>
    </row>
    <row r="120" spans="1:14" s="224" customFormat="1" ht="15.75" hidden="1" thickBot="1" x14ac:dyDescent="0.3">
      <c r="A120" s="215">
        <v>44469</v>
      </c>
      <c r="B120" s="862" t="s">
        <v>1666</v>
      </c>
      <c r="C120" s="350" t="s">
        <v>12</v>
      </c>
      <c r="D120" s="1003"/>
      <c r="E120" s="145" t="s">
        <v>25</v>
      </c>
      <c r="F120" s="1036"/>
      <c r="G120" s="1535"/>
      <c r="H120" s="1008"/>
      <c r="I120" s="1063"/>
      <c r="J120" s="622"/>
      <c r="K120" s="982">
        <v>52.97</v>
      </c>
      <c r="L120" s="861"/>
    </row>
    <row r="121" spans="1:14" ht="25.5" hidden="1" customHeight="1" thickBot="1" x14ac:dyDescent="0.3">
      <c r="A121" s="3060"/>
      <c r="B121" s="3061"/>
      <c r="C121" s="3062"/>
      <c r="D121" s="3062"/>
      <c r="E121" s="3062"/>
      <c r="F121" s="1020">
        <f>SUM(F5:F120)</f>
        <v>4586.17</v>
      </c>
      <c r="G121" s="1534">
        <f>SUM(G4:G120)</f>
        <v>5446.6545833333512</v>
      </c>
      <c r="H121" s="517">
        <f>SUM(H5:H120)</f>
        <v>800</v>
      </c>
      <c r="I121" s="93">
        <f>SUM(I4:I120)</f>
        <v>1799.9960000000028</v>
      </c>
      <c r="J121" s="1023">
        <f>SUM(J5:J120)</f>
        <v>0</v>
      </c>
      <c r="K121" s="93">
        <f>SUM(K4:K120)</f>
        <v>12407.009999999997</v>
      </c>
    </row>
    <row r="122" spans="1:14" ht="25.5" hidden="1" customHeight="1" thickBot="1" x14ac:dyDescent="0.3">
      <c r="A122" s="3117" t="s">
        <v>49</v>
      </c>
      <c r="B122" s="3118"/>
      <c r="C122" s="3118"/>
      <c r="D122" s="3118"/>
      <c r="E122" s="3118"/>
      <c r="F122" s="144" t="s">
        <v>280</v>
      </c>
      <c r="G122" s="519">
        <f>G121-F121</f>
        <v>860.48458333335111</v>
      </c>
      <c r="H122" s="555"/>
      <c r="I122" s="772">
        <f>I121-H121</f>
        <v>999.99600000000282</v>
      </c>
      <c r="J122" s="593"/>
      <c r="K122" s="772">
        <f>K121-J121</f>
        <v>12407.009999999997</v>
      </c>
    </row>
    <row r="123" spans="1:14" x14ac:dyDescent="0.25">
      <c r="E123" s="79"/>
      <c r="K123" s="518"/>
      <c r="L123" s="216"/>
    </row>
    <row r="124" spans="1:14" x14ac:dyDescent="0.25">
      <c r="B124" s="81" t="s">
        <v>3</v>
      </c>
      <c r="C124" s="193" t="s">
        <v>1484</v>
      </c>
      <c r="D124" s="970" t="s">
        <v>2378</v>
      </c>
      <c r="G124" s="216"/>
      <c r="K124" s="866"/>
    </row>
    <row r="125" spans="1:14" x14ac:dyDescent="0.25">
      <c r="B125" s="79" t="s">
        <v>32</v>
      </c>
      <c r="C125" s="85" t="s">
        <v>1485</v>
      </c>
      <c r="D125" s="475">
        <f>SUMIF($D$6:$D$120,"A",$F$6:$F$120)</f>
        <v>379.34000000000003</v>
      </c>
      <c r="F125" s="79"/>
      <c r="G125" s="800"/>
      <c r="I125" s="769"/>
      <c r="J125" s="868"/>
    </row>
    <row r="126" spans="1:14" x14ac:dyDescent="0.25">
      <c r="B126" s="79" t="s">
        <v>2187</v>
      </c>
      <c r="C126" s="85" t="s">
        <v>2157</v>
      </c>
      <c r="D126" s="475">
        <f>SUMIF($D$6:$D$120,"GAC",$F$6:$F$120)</f>
        <v>340</v>
      </c>
      <c r="G126" s="609"/>
      <c r="J126" s="754"/>
      <c r="K126" s="886"/>
      <c r="L126" s="1030"/>
    </row>
    <row r="127" spans="1:14" x14ac:dyDescent="0.25">
      <c r="B127" s="79" t="s">
        <v>2188</v>
      </c>
      <c r="C127" s="85" t="s">
        <v>2168</v>
      </c>
      <c r="D127" s="475">
        <f>SUMIF($D$11:$D$120,"GAM",$F$11:$F$120)</f>
        <v>90</v>
      </c>
      <c r="J127" s="864"/>
      <c r="K127" s="864"/>
      <c r="L127" s="958"/>
    </row>
    <row r="128" spans="1:14" s="85" customFormat="1" x14ac:dyDescent="0.25">
      <c r="A128" s="79"/>
      <c r="B128" s="79" t="s">
        <v>50</v>
      </c>
      <c r="C128" s="85" t="s">
        <v>1493</v>
      </c>
      <c r="D128" s="475">
        <f>SUMIF($D$6:$D$120,"LD",$F$6:$F$120)</f>
        <v>176.43</v>
      </c>
      <c r="J128" s="864"/>
      <c r="K128" s="1032"/>
      <c r="L128" s="958"/>
    </row>
    <row r="129" spans="1:12" s="85" customFormat="1" x14ac:dyDescent="0.25">
      <c r="A129" s="79"/>
      <c r="B129" s="79" t="s">
        <v>14</v>
      </c>
      <c r="C129" s="85" t="s">
        <v>1486</v>
      </c>
      <c r="D129" s="475">
        <f>SUMIF($D$6:$D$120,"C",$F$6:$F$120)</f>
        <v>164.77</v>
      </c>
      <c r="F129" s="89"/>
      <c r="G129" s="79"/>
      <c r="H129" s="79"/>
      <c r="J129" s="864"/>
      <c r="K129" s="1032"/>
      <c r="L129" s="958"/>
    </row>
    <row r="130" spans="1:12" s="85" customFormat="1" x14ac:dyDescent="0.25">
      <c r="A130" s="79"/>
      <c r="B130" s="79" t="s">
        <v>51</v>
      </c>
      <c r="C130" s="864" t="s">
        <v>1499</v>
      </c>
      <c r="D130" s="475">
        <f>SUMIF($D$24:$D$120,"CAL",$F$24:$F$120)</f>
        <v>98.07</v>
      </c>
      <c r="F130" s="89"/>
      <c r="G130" s="79"/>
      <c r="H130" s="79"/>
      <c r="I130" s="79"/>
      <c r="K130" s="795"/>
      <c r="L130" s="958"/>
    </row>
    <row r="131" spans="1:12" s="85" customFormat="1" x14ac:dyDescent="0.25">
      <c r="A131" s="79"/>
      <c r="B131" s="79" t="s">
        <v>2189</v>
      </c>
      <c r="C131" s="864" t="s">
        <v>1496</v>
      </c>
      <c r="D131" s="475">
        <f>SUMIF($D$23:$D$120,"AC",$F$23:$F$120)</f>
        <v>80</v>
      </c>
      <c r="F131" s="769"/>
      <c r="G131" s="79"/>
      <c r="K131" s="177"/>
      <c r="L131" s="941"/>
    </row>
    <row r="132" spans="1:12" s="85" customFormat="1" x14ac:dyDescent="0.25">
      <c r="A132" s="79"/>
      <c r="B132" s="867" t="s">
        <v>53</v>
      </c>
      <c r="C132" s="864" t="s">
        <v>1522</v>
      </c>
      <c r="D132" s="475">
        <f>SUMIF($D$24:$D$120,"DC",$F$24:$F$120)</f>
        <v>0</v>
      </c>
      <c r="K132" s="177"/>
      <c r="L132" s="475"/>
    </row>
    <row r="133" spans="1:12" s="85" customFormat="1" x14ac:dyDescent="0.25">
      <c r="A133" s="79"/>
      <c r="B133" s="867" t="s">
        <v>2149</v>
      </c>
      <c r="C133" s="864" t="s">
        <v>2131</v>
      </c>
      <c r="D133" s="475">
        <f>SUMIF($D$5:$D$120,"DM",$F$5:$F$120)</f>
        <v>0</v>
      </c>
      <c r="F133" s="769"/>
      <c r="K133" s="177" t="s">
        <v>280</v>
      </c>
      <c r="L133" s="475"/>
    </row>
    <row r="134" spans="1:12" s="85" customFormat="1" x14ac:dyDescent="0.25">
      <c r="A134" s="79"/>
      <c r="B134" s="79" t="s">
        <v>3048</v>
      </c>
      <c r="C134" s="864" t="s">
        <v>1523</v>
      </c>
      <c r="D134" s="475">
        <f>SUMIF($D$11:$D$120,"B",$F$11:$F$120)</f>
        <v>0</v>
      </c>
      <c r="F134" s="769"/>
      <c r="G134" s="866"/>
      <c r="K134" s="177"/>
      <c r="L134" s="475"/>
    </row>
    <row r="135" spans="1:12" s="85" customFormat="1" x14ac:dyDescent="0.25">
      <c r="A135" s="79"/>
      <c r="B135" s="79" t="s">
        <v>1686</v>
      </c>
      <c r="C135" s="864" t="s">
        <v>1506</v>
      </c>
      <c r="D135" s="475">
        <f>SUMIF($D$6:$D$120,"R",$F$6:$F$120)</f>
        <v>179.88</v>
      </c>
      <c r="F135" s="769"/>
      <c r="G135" s="868"/>
      <c r="K135" s="866"/>
      <c r="L135" s="475"/>
    </row>
    <row r="136" spans="1:12" x14ac:dyDescent="0.25">
      <c r="B136" s="79" t="s">
        <v>418</v>
      </c>
      <c r="C136" s="85" t="s">
        <v>1524</v>
      </c>
      <c r="D136" s="475">
        <f>SUMIF($D$24:$D$120,"COM",$F$24:$F$120)</f>
        <v>15.66</v>
      </c>
      <c r="G136" s="85"/>
      <c r="H136" s="85"/>
      <c r="I136" s="85"/>
      <c r="J136" s="769"/>
      <c r="K136" s="216"/>
    </row>
    <row r="137" spans="1:12" x14ac:dyDescent="0.25">
      <c r="B137" s="79" t="s">
        <v>419</v>
      </c>
      <c r="C137" s="85" t="s">
        <v>1491</v>
      </c>
      <c r="D137" s="475">
        <f>SUMIF($D$11:$D$120,"F",$F$11:$F$120)</f>
        <v>1302.27</v>
      </c>
      <c r="I137" s="85"/>
      <c r="K137" s="216"/>
    </row>
    <row r="138" spans="1:12" x14ac:dyDescent="0.25">
      <c r="B138" s="79" t="s">
        <v>911</v>
      </c>
      <c r="C138" s="85" t="s">
        <v>1525</v>
      </c>
      <c r="D138" s="475">
        <f>SUMIF($D$6:$D$120,"FER",$F$6:$F$120)</f>
        <v>0</v>
      </c>
      <c r="J138" s="769"/>
      <c r="K138" s="868"/>
    </row>
    <row r="139" spans="1:12" x14ac:dyDescent="0.25">
      <c r="B139" s="79" t="s">
        <v>1526</v>
      </c>
      <c r="C139" s="85" t="s">
        <v>1504</v>
      </c>
      <c r="D139" s="475">
        <f>SUMIF($D$24:$D$120,"I",$F$24:$F$120)</f>
        <v>105.9</v>
      </c>
      <c r="F139" s="89" t="s">
        <v>280</v>
      </c>
      <c r="J139" s="769"/>
      <c r="K139" s="868"/>
    </row>
    <row r="140" spans="1:12" x14ac:dyDescent="0.25">
      <c r="B140" s="79" t="s">
        <v>2343</v>
      </c>
      <c r="C140" s="85" t="s">
        <v>2315</v>
      </c>
      <c r="D140" s="475">
        <f>SUMIF($D$6:$D$120,"E",$F$6:$F$120)</f>
        <v>0</v>
      </c>
      <c r="J140" s="769"/>
      <c r="K140" s="868"/>
    </row>
    <row r="141" spans="1:12" x14ac:dyDescent="0.25">
      <c r="B141" s="79" t="s">
        <v>3019</v>
      </c>
      <c r="C141" s="85" t="s">
        <v>3017</v>
      </c>
      <c r="D141" s="475">
        <f>SUMIF($D$5:$D$120,"IM",$F$5:$F$120)</f>
        <v>633.54</v>
      </c>
      <c r="J141" s="769"/>
    </row>
    <row r="142" spans="1:12" x14ac:dyDescent="0.25">
      <c r="B142" s="79" t="s">
        <v>1527</v>
      </c>
      <c r="C142" s="85" t="s">
        <v>1489</v>
      </c>
      <c r="D142" s="475">
        <f>SUMIF($D$6:$D$120,"OD",$F$6:$F$120)</f>
        <v>220.30999999999997</v>
      </c>
    </row>
    <row r="143" spans="1:12" x14ac:dyDescent="0.25">
      <c r="C143" s="79"/>
      <c r="D143" s="629"/>
      <c r="E143" s="79"/>
      <c r="F143" s="79"/>
      <c r="L143" s="79"/>
    </row>
    <row r="144" spans="1:12" x14ac:dyDescent="0.25">
      <c r="B144" s="79" t="s">
        <v>486</v>
      </c>
      <c r="C144" s="475">
        <f>H144/J144</f>
        <v>126.20566666666667</v>
      </c>
      <c r="F144" s="518" t="s">
        <v>487</v>
      </c>
      <c r="H144" s="629">
        <f>SUM(D125:D142)</f>
        <v>3786.17</v>
      </c>
      <c r="I144" s="216"/>
      <c r="J144" s="1517">
        <v>30</v>
      </c>
    </row>
    <row r="145" spans="1:14" ht="15.75" customHeight="1" x14ac:dyDescent="0.25">
      <c r="E145" s="769"/>
      <c r="H145" s="85"/>
      <c r="K145" s="868"/>
      <c r="N145" s="224"/>
    </row>
    <row r="146" spans="1:14" x14ac:dyDescent="0.25">
      <c r="E146" s="79"/>
      <c r="F146" s="79"/>
      <c r="G146" s="85"/>
      <c r="H146" s="459"/>
      <c r="I146" s="85"/>
      <c r="J146" s="89"/>
      <c r="L146" s="769"/>
    </row>
    <row r="147" spans="1:14" s="518" customFormat="1" x14ac:dyDescent="0.25">
      <c r="A147" s="79"/>
      <c r="B147" s="79"/>
      <c r="C147" s="85"/>
      <c r="D147" s="79"/>
      <c r="E147" s="79"/>
      <c r="F147" s="769"/>
      <c r="G147" s="85"/>
      <c r="H147" s="85"/>
      <c r="I147" s="89"/>
      <c r="J147" s="79"/>
      <c r="K147" s="79"/>
      <c r="L147" s="79"/>
      <c r="M147" s="224"/>
      <c r="N147" s="224"/>
    </row>
    <row r="148" spans="1:14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L148" s="484"/>
      <c r="M148" s="224"/>
    </row>
    <row r="149" spans="1:14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484"/>
      <c r="M149" s="224"/>
    </row>
    <row r="150" spans="1:14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216"/>
      <c r="J150" s="769"/>
      <c r="K150" s="866"/>
      <c r="L150" s="484"/>
      <c r="M150" s="224"/>
    </row>
    <row r="151" spans="1:14" s="518" customFormat="1" x14ac:dyDescent="0.25">
      <c r="A151" s="79"/>
      <c r="B151" s="79"/>
      <c r="C151" s="79"/>
      <c r="D151" s="79"/>
      <c r="E151" s="79"/>
      <c r="F151" s="79"/>
      <c r="G151" s="79"/>
      <c r="H151" s="79"/>
      <c r="K151" s="866"/>
      <c r="L151" s="484"/>
      <c r="M151" s="224"/>
    </row>
    <row r="152" spans="1:14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L152" s="484"/>
      <c r="M152" s="224"/>
    </row>
    <row r="153" spans="1:1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8"/>
      <c r="L153" s="484"/>
    </row>
    <row r="154" spans="1:14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6"/>
      <c r="L154" s="484"/>
    </row>
    <row r="155" spans="1:14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79"/>
      <c r="J155" s="770"/>
      <c r="K155" s="866"/>
      <c r="L155" s="484"/>
    </row>
    <row r="156" spans="1:14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L156" s="484"/>
    </row>
    <row r="157" spans="1:14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484"/>
    </row>
    <row r="158" spans="1:14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629"/>
      <c r="J158" s="769"/>
      <c r="K158" s="866"/>
      <c r="L158" s="484"/>
    </row>
    <row r="159" spans="1:1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484"/>
    </row>
    <row r="160" spans="1:1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</row>
    <row r="161" spans="1:12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484"/>
    </row>
    <row r="162" spans="1:12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484"/>
    </row>
    <row r="163" spans="1:12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</row>
    <row r="164" spans="1:12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484"/>
    </row>
    <row r="165" spans="1:12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484"/>
    </row>
    <row r="166" spans="1:12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484"/>
    </row>
    <row r="167" spans="1:12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484"/>
    </row>
    <row r="168" spans="1:12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484"/>
    </row>
    <row r="169" spans="1:12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484"/>
    </row>
    <row r="170" spans="1:12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484"/>
    </row>
    <row r="171" spans="1:12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484"/>
    </row>
    <row r="172" spans="1:12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484"/>
    </row>
    <row r="173" spans="1:12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484"/>
    </row>
    <row r="174" spans="1:12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</row>
    <row r="175" spans="1:12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8"/>
      <c r="L175" s="484"/>
    </row>
    <row r="176" spans="1:12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</row>
    <row r="177" spans="1:12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</row>
    <row r="178" spans="1:12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484"/>
    </row>
    <row r="179" spans="1:12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484"/>
    </row>
    <row r="180" spans="1:12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484"/>
    </row>
    <row r="181" spans="1:12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484"/>
    </row>
    <row r="182" spans="1:12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6"/>
      <c r="L182" s="484"/>
    </row>
    <row r="183" spans="1:12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223"/>
      <c r="K183" s="629"/>
      <c r="L183" s="484"/>
    </row>
    <row r="184" spans="1:12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56"/>
      <c r="K184" s="756"/>
      <c r="L184" s="484"/>
    </row>
    <row r="185" spans="1:12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484"/>
    </row>
    <row r="186" spans="1:12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484"/>
    </row>
    <row r="187" spans="1:12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484"/>
    </row>
    <row r="188" spans="1:12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</row>
    <row r="189" spans="1:12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85"/>
      <c r="K189" s="85"/>
      <c r="L189" s="484"/>
    </row>
    <row r="190" spans="1:12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</row>
    <row r="191" spans="1:12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</row>
    <row r="192" spans="1:12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</row>
    <row r="193" spans="1:12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</row>
    <row r="194" spans="1:12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</row>
    <row r="195" spans="1:12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</row>
    <row r="196" spans="1:12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484"/>
    </row>
    <row r="197" spans="1:12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</row>
    <row r="198" spans="1:12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</row>
    <row r="199" spans="1:12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</row>
    <row r="200" spans="1:12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</row>
    <row r="201" spans="1:12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</row>
    <row r="202" spans="1:12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</row>
    <row r="203" spans="1:12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71"/>
      <c r="L203" s="484"/>
    </row>
    <row r="204" spans="1:12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</row>
    <row r="211" spans="1:12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484"/>
    </row>
    <row r="212" spans="1:12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484"/>
    </row>
    <row r="213" spans="1:12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484"/>
    </row>
    <row r="214" spans="1:12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</row>
    <row r="216" spans="1:12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484"/>
    </row>
    <row r="218" spans="1:12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629"/>
      <c r="L218" s="484"/>
    </row>
    <row r="224" spans="1:12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484"/>
    </row>
    <row r="225" spans="1:12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</row>
    <row r="226" spans="1:12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</row>
    <row r="227" spans="1:12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</row>
    <row r="228" spans="1:12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</row>
    <row r="229" spans="1:12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</row>
    <row r="230" spans="1:12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</row>
    <row r="231" spans="1:12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</row>
    <row r="232" spans="1:12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</row>
  </sheetData>
  <autoFilter ref="A2:I122" xr:uid="{00000000-0009-0000-0000-000074000000}">
    <filterColumn colId="3">
      <filters>
        <filter val="F"/>
      </filters>
    </filterColumn>
  </autoFilter>
  <mergeCells count="12">
    <mergeCell ref="A121:E121"/>
    <mergeCell ref="A122:E122"/>
    <mergeCell ref="A1:E1"/>
    <mergeCell ref="F1:K1"/>
    <mergeCell ref="A2:A3"/>
    <mergeCell ref="B2:B3"/>
    <mergeCell ref="C2:C3"/>
    <mergeCell ref="D2:D3"/>
    <mergeCell ref="E2:E3"/>
    <mergeCell ref="H2:I2"/>
    <mergeCell ref="J2:K2"/>
    <mergeCell ref="F2:G2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Plan132"/>
  <dimension ref="A1:AO239"/>
  <sheetViews>
    <sheetView zoomScale="85" zoomScaleNormal="85" workbookViewId="0">
      <pane ySplit="4" topLeftCell="A113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1.85546875" style="85" customWidth="1"/>
    <col min="4" max="4" width="13.85546875" style="85" customWidth="1"/>
    <col min="5" max="5" width="13.7109375" style="85" customWidth="1"/>
    <col min="6" max="6" width="13.42578125" style="89" customWidth="1"/>
    <col min="7" max="11" width="13.42578125" style="79" customWidth="1"/>
    <col min="12" max="12" width="12" style="484" customWidth="1"/>
    <col min="13" max="13" width="10.28515625" style="79" customWidth="1"/>
    <col min="14" max="14" width="12" style="877" customWidth="1"/>
    <col min="15" max="15" width="16.140625" style="79" customWidth="1"/>
    <col min="16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3080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44470</v>
      </c>
      <c r="B5" s="369" t="s">
        <v>10</v>
      </c>
      <c r="C5" s="370"/>
      <c r="D5" s="370"/>
      <c r="E5" s="777"/>
      <c r="F5" s="179"/>
      <c r="G5" s="933">
        <f>'Setembro-21'!G122</f>
        <v>860.48458333335111</v>
      </c>
      <c r="H5" s="163"/>
      <c r="I5" s="1479">
        <f>'Setembro-21'!I122</f>
        <v>999.99600000000282</v>
      </c>
      <c r="J5" s="179"/>
      <c r="K5" s="933">
        <f>'Setembro-21'!K122</f>
        <v>12407.009999999997</v>
      </c>
    </row>
    <row r="6" spans="1:15" s="224" customFormat="1" x14ac:dyDescent="0.25">
      <c r="A6" s="215">
        <v>44470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ht="15" customHeight="1" x14ac:dyDescent="0.25">
      <c r="A7" s="215">
        <v>44470</v>
      </c>
      <c r="B7" s="882" t="s">
        <v>3081</v>
      </c>
      <c r="C7" s="879" t="s">
        <v>12</v>
      </c>
      <c r="D7" s="879" t="s">
        <v>1522</v>
      </c>
      <c r="E7" s="875" t="s">
        <v>13</v>
      </c>
      <c r="F7" s="780">
        <v>7.5</v>
      </c>
      <c r="G7" s="982"/>
      <c r="H7" s="1008"/>
      <c r="I7" s="1063"/>
      <c r="J7" s="622"/>
      <c r="K7" s="982"/>
      <c r="L7" s="1029"/>
    </row>
    <row r="8" spans="1:15" s="224" customFormat="1" ht="15" customHeight="1" x14ac:dyDescent="0.25">
      <c r="A8" s="215">
        <v>44470</v>
      </c>
      <c r="B8" s="882" t="s">
        <v>3082</v>
      </c>
      <c r="C8" s="879" t="s">
        <v>12</v>
      </c>
      <c r="D8" s="879" t="s">
        <v>1522</v>
      </c>
      <c r="E8" s="875" t="s">
        <v>13</v>
      </c>
      <c r="F8" s="780">
        <v>25</v>
      </c>
      <c r="G8" s="982"/>
      <c r="H8" s="1008"/>
      <c r="I8" s="1063"/>
      <c r="J8" s="622"/>
      <c r="K8" s="982"/>
      <c r="L8" s="1029"/>
      <c r="M8" s="89"/>
      <c r="N8" s="1035"/>
    </row>
    <row r="9" spans="1:15" s="224" customFormat="1" ht="15" customHeight="1" x14ac:dyDescent="0.25">
      <c r="A9" s="215">
        <v>44470</v>
      </c>
      <c r="B9" s="882" t="s">
        <v>3083</v>
      </c>
      <c r="C9" s="879" t="s">
        <v>12</v>
      </c>
      <c r="D9" s="879" t="s">
        <v>1522</v>
      </c>
      <c r="E9" s="875" t="s">
        <v>13</v>
      </c>
      <c r="F9" s="780">
        <v>50</v>
      </c>
      <c r="G9" s="982"/>
      <c r="H9" s="1008"/>
      <c r="I9" s="1063"/>
      <c r="J9" s="622"/>
      <c r="K9" s="982"/>
      <c r="L9" s="1029"/>
      <c r="M9" s="89"/>
      <c r="N9" s="1035"/>
    </row>
    <row r="10" spans="1:15" s="224" customFormat="1" x14ac:dyDescent="0.25">
      <c r="A10" s="215">
        <v>44470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17</v>
      </c>
      <c r="G10" s="982"/>
      <c r="H10" s="1008"/>
      <c r="I10" s="1063"/>
      <c r="J10" s="622"/>
      <c r="K10" s="982"/>
      <c r="L10" s="1029"/>
      <c r="M10" s="89"/>
      <c r="N10" s="1081"/>
      <c r="O10" s="1082"/>
    </row>
    <row r="11" spans="1:15" s="224" customFormat="1" x14ac:dyDescent="0.25">
      <c r="A11" s="215">
        <v>44470</v>
      </c>
      <c r="B11" s="882" t="s">
        <v>82</v>
      </c>
      <c r="C11" s="879" t="s">
        <v>12</v>
      </c>
      <c r="D11" s="879" t="s">
        <v>1493</v>
      </c>
      <c r="E11" s="875" t="s">
        <v>13</v>
      </c>
      <c r="F11" s="780">
        <v>22.4</v>
      </c>
      <c r="G11" s="982"/>
      <c r="H11" s="1008"/>
      <c r="I11" s="1063"/>
      <c r="J11" s="622"/>
      <c r="K11" s="982"/>
      <c r="L11" s="1029"/>
      <c r="M11" s="89"/>
      <c r="N11" s="1081"/>
      <c r="O11" s="1082"/>
    </row>
    <row r="12" spans="1:15" s="224" customFormat="1" ht="15" customHeight="1" x14ac:dyDescent="0.25">
      <c r="A12" s="215">
        <v>44471</v>
      </c>
      <c r="B12" s="882" t="s">
        <v>445</v>
      </c>
      <c r="C12" s="879" t="s">
        <v>12</v>
      </c>
      <c r="D12" s="879" t="s">
        <v>1493</v>
      </c>
      <c r="E12" s="875" t="s">
        <v>13</v>
      </c>
      <c r="F12" s="780">
        <v>6</v>
      </c>
      <c r="G12" s="982"/>
      <c r="H12" s="1008"/>
      <c r="I12" s="1063"/>
      <c r="J12" s="622"/>
      <c r="K12" s="982"/>
      <c r="L12" s="1029"/>
    </row>
    <row r="13" spans="1:15" s="224" customFormat="1" ht="15" customHeight="1" x14ac:dyDescent="0.25">
      <c r="A13" s="215">
        <v>44471</v>
      </c>
      <c r="B13" s="882" t="s">
        <v>2766</v>
      </c>
      <c r="C13" s="879" t="s">
        <v>12</v>
      </c>
      <c r="D13" s="879" t="s">
        <v>2157</v>
      </c>
      <c r="E13" s="875" t="s">
        <v>13</v>
      </c>
      <c r="F13" s="780">
        <v>60</v>
      </c>
      <c r="G13" s="982"/>
      <c r="H13" s="1008"/>
      <c r="I13" s="1063"/>
      <c r="J13" s="622"/>
      <c r="K13" s="982"/>
      <c r="L13" s="861"/>
    </row>
    <row r="14" spans="1:15" s="224" customFormat="1" ht="15" customHeight="1" x14ac:dyDescent="0.25">
      <c r="A14" s="215">
        <v>44471</v>
      </c>
      <c r="B14" s="882" t="s">
        <v>2629</v>
      </c>
      <c r="C14" s="879" t="s">
        <v>19</v>
      </c>
      <c r="D14" s="879" t="s">
        <v>1489</v>
      </c>
      <c r="E14" s="875" t="s">
        <v>13</v>
      </c>
      <c r="F14" s="780">
        <v>43.67</v>
      </c>
      <c r="G14" s="982"/>
      <c r="H14" s="622"/>
      <c r="I14" s="982"/>
      <c r="J14" s="622"/>
      <c r="K14" s="982"/>
      <c r="L14" s="927"/>
      <c r="M14" s="927"/>
      <c r="N14" s="878"/>
    </row>
    <row r="15" spans="1:15" s="224" customFormat="1" ht="15" customHeight="1" x14ac:dyDescent="0.25">
      <c r="A15" s="215">
        <v>44471</v>
      </c>
      <c r="B15" s="882" t="s">
        <v>80</v>
      </c>
      <c r="C15" s="879" t="s">
        <v>12</v>
      </c>
      <c r="D15" s="879" t="s">
        <v>1523</v>
      </c>
      <c r="E15" s="875" t="s">
        <v>13</v>
      </c>
      <c r="F15" s="780">
        <v>28</v>
      </c>
      <c r="G15" s="982"/>
      <c r="H15" s="622"/>
      <c r="I15" s="982"/>
      <c r="J15" s="622"/>
      <c r="K15" s="982"/>
      <c r="L15" s="927"/>
      <c r="M15" s="927"/>
      <c r="N15" s="878"/>
    </row>
    <row r="16" spans="1:15" s="224" customFormat="1" ht="15" customHeight="1" x14ac:dyDescent="0.25">
      <c r="A16" s="215">
        <v>44471</v>
      </c>
      <c r="B16" s="882" t="s">
        <v>256</v>
      </c>
      <c r="C16" s="879"/>
      <c r="D16" s="879"/>
      <c r="E16" s="875" t="s">
        <v>25</v>
      </c>
      <c r="F16" s="780"/>
      <c r="G16" s="982">
        <v>100</v>
      </c>
      <c r="H16" s="1060">
        <v>100</v>
      </c>
      <c r="I16" s="1063"/>
      <c r="J16" s="622"/>
      <c r="K16" s="982"/>
      <c r="L16" s="861"/>
      <c r="N16" s="878"/>
    </row>
    <row r="17" spans="1:41" s="224" customFormat="1" x14ac:dyDescent="0.25">
      <c r="A17" s="215">
        <v>44472</v>
      </c>
      <c r="B17" s="882" t="s">
        <v>14</v>
      </c>
      <c r="C17" s="879" t="s">
        <v>12</v>
      </c>
      <c r="D17" s="879" t="s">
        <v>1486</v>
      </c>
      <c r="E17" s="875" t="s">
        <v>13</v>
      </c>
      <c r="F17" s="1047">
        <v>6.8</v>
      </c>
      <c r="G17" s="982"/>
      <c r="H17" s="1008"/>
      <c r="I17" s="1063"/>
      <c r="J17" s="622"/>
      <c r="K17" s="982"/>
      <c r="L17" s="1029"/>
    </row>
    <row r="18" spans="1:41" s="224" customFormat="1" ht="15" customHeight="1" x14ac:dyDescent="0.25">
      <c r="A18" s="215">
        <v>44472</v>
      </c>
      <c r="B18" s="873" t="s">
        <v>2510</v>
      </c>
      <c r="C18" s="879" t="s">
        <v>12</v>
      </c>
      <c r="D18" s="879" t="s">
        <v>1506</v>
      </c>
      <c r="E18" s="871" t="s">
        <v>15</v>
      </c>
      <c r="F18" s="780">
        <v>60</v>
      </c>
      <c r="G18" s="946"/>
      <c r="H18" s="95"/>
      <c r="I18" s="1064"/>
      <c r="J18" s="97"/>
      <c r="K18" s="946"/>
      <c r="L18" s="926">
        <v>60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</row>
    <row r="19" spans="1:41" s="224" customFormat="1" x14ac:dyDescent="0.25">
      <c r="A19" s="215">
        <v>44472</v>
      </c>
      <c r="B19" s="882" t="s">
        <v>14</v>
      </c>
      <c r="C19" s="879" t="s">
        <v>12</v>
      </c>
      <c r="D19" s="879" t="s">
        <v>1486</v>
      </c>
      <c r="E19" s="875" t="s">
        <v>13</v>
      </c>
      <c r="F19" s="1047">
        <v>3.81</v>
      </c>
      <c r="G19" s="982"/>
      <c r="H19" s="1008"/>
      <c r="I19" s="1063"/>
      <c r="J19" s="622"/>
      <c r="K19" s="982"/>
      <c r="L19" s="1029"/>
      <c r="M19" s="89"/>
      <c r="N19" s="1081"/>
      <c r="O19" s="1082"/>
    </row>
    <row r="20" spans="1:41" s="224" customFormat="1" x14ac:dyDescent="0.25">
      <c r="A20" s="215">
        <v>44473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780">
        <v>17</v>
      </c>
      <c r="G20" s="982"/>
      <c r="H20" s="1008"/>
      <c r="I20" s="1063"/>
      <c r="J20" s="622"/>
      <c r="K20" s="982"/>
      <c r="L20" s="1029"/>
      <c r="M20" s="89"/>
      <c r="N20" s="1081"/>
      <c r="O20" s="1082"/>
    </row>
    <row r="21" spans="1:41" s="224" customFormat="1" ht="15" customHeight="1" x14ac:dyDescent="0.25">
      <c r="A21" s="215">
        <v>44473</v>
      </c>
      <c r="B21" s="882" t="s">
        <v>14</v>
      </c>
      <c r="C21" s="879" t="s">
        <v>12</v>
      </c>
      <c r="D21" s="879" t="s">
        <v>1486</v>
      </c>
      <c r="E21" s="875" t="s">
        <v>13</v>
      </c>
      <c r="F21" s="780">
        <v>9.85</v>
      </c>
      <c r="G21" s="982"/>
      <c r="H21" s="622"/>
      <c r="I21" s="982"/>
      <c r="J21" s="622"/>
      <c r="K21" s="982"/>
      <c r="L21" s="927"/>
      <c r="N21" s="878"/>
    </row>
    <row r="22" spans="1:41" s="224" customFormat="1" x14ac:dyDescent="0.25">
      <c r="A22" s="215">
        <v>44474</v>
      </c>
      <c r="B22" s="882" t="s">
        <v>32</v>
      </c>
      <c r="C22" s="879" t="s">
        <v>12</v>
      </c>
      <c r="D22" s="879" t="s">
        <v>1485</v>
      </c>
      <c r="E22" s="875" t="s">
        <v>13</v>
      </c>
      <c r="F22" s="780">
        <v>17</v>
      </c>
      <c r="G22" s="982"/>
      <c r="H22" s="1008"/>
      <c r="I22" s="1063"/>
      <c r="J22" s="622"/>
      <c r="K22" s="982"/>
      <c r="L22" s="1029"/>
      <c r="M22" s="89"/>
      <c r="N22" s="1081"/>
      <c r="O22" s="1082"/>
    </row>
    <row r="23" spans="1:41" s="224" customFormat="1" ht="15" customHeight="1" x14ac:dyDescent="0.25">
      <c r="A23" s="215">
        <v>44474</v>
      </c>
      <c r="B23" s="882" t="s">
        <v>2766</v>
      </c>
      <c r="C23" s="879" t="s">
        <v>12</v>
      </c>
      <c r="D23" s="879" t="s">
        <v>2157</v>
      </c>
      <c r="E23" s="875" t="s">
        <v>15</v>
      </c>
      <c r="F23" s="780">
        <v>30</v>
      </c>
      <c r="G23" s="982"/>
      <c r="H23" s="1008"/>
      <c r="I23" s="1063"/>
      <c r="J23" s="622"/>
      <c r="K23" s="982"/>
      <c r="L23" s="861"/>
    </row>
    <row r="24" spans="1:41" s="224" customFormat="1" ht="15" customHeight="1" x14ac:dyDescent="0.25">
      <c r="A24" s="215">
        <v>44474</v>
      </c>
      <c r="B24" s="882" t="s">
        <v>14</v>
      </c>
      <c r="C24" s="879" t="s">
        <v>12</v>
      </c>
      <c r="D24" s="879" t="s">
        <v>1486</v>
      </c>
      <c r="E24" s="875" t="s">
        <v>13</v>
      </c>
      <c r="F24" s="780">
        <v>4.88</v>
      </c>
      <c r="G24" s="982"/>
      <c r="H24" s="622"/>
      <c r="I24" s="982"/>
      <c r="J24" s="622"/>
      <c r="K24" s="982"/>
      <c r="L24" s="927"/>
      <c r="M24" s="927"/>
      <c r="N24" s="878"/>
    </row>
    <row r="25" spans="1:41" s="224" customFormat="1" ht="15.75" customHeight="1" x14ac:dyDescent="0.25">
      <c r="A25" s="215">
        <v>44475</v>
      </c>
      <c r="B25" s="873" t="s">
        <v>3084</v>
      </c>
      <c r="C25" s="879" t="s">
        <v>12</v>
      </c>
      <c r="D25" s="874"/>
      <c r="E25" s="871" t="s">
        <v>25</v>
      </c>
      <c r="F25" s="1514"/>
      <c r="G25" s="1002">
        <v>2006.3</v>
      </c>
      <c r="H25" s="250"/>
      <c r="I25" s="946"/>
      <c r="J25" s="97"/>
      <c r="K25" s="946"/>
    </row>
    <row r="26" spans="1:41" s="224" customFormat="1" ht="15" customHeight="1" x14ac:dyDescent="0.25">
      <c r="A26" s="215">
        <v>44475</v>
      </c>
      <c r="B26" s="349" t="s">
        <v>3085</v>
      </c>
      <c r="C26" s="887" t="s">
        <v>12</v>
      </c>
      <c r="D26" s="1005" t="s">
        <v>1491</v>
      </c>
      <c r="E26" s="887" t="s">
        <v>13</v>
      </c>
      <c r="F26" s="613">
        <v>78.08</v>
      </c>
      <c r="G26" s="982"/>
      <c r="H26" s="872"/>
      <c r="I26" s="1063"/>
      <c r="J26" s="622"/>
      <c r="K26" s="982"/>
      <c r="L26" s="927"/>
      <c r="M26" s="999"/>
      <c r="N26" s="878"/>
    </row>
    <row r="27" spans="1:41" s="224" customFormat="1" ht="15" customHeight="1" x14ac:dyDescent="0.25">
      <c r="A27" s="215">
        <v>44475</v>
      </c>
      <c r="B27" s="349" t="s">
        <v>3085</v>
      </c>
      <c r="C27" s="887" t="s">
        <v>12</v>
      </c>
      <c r="D27" s="1005" t="s">
        <v>1491</v>
      </c>
      <c r="E27" s="887" t="s">
        <v>13</v>
      </c>
      <c r="F27" s="613">
        <v>93.97</v>
      </c>
      <c r="G27" s="982"/>
      <c r="H27" s="872"/>
      <c r="I27" s="1063"/>
      <c r="J27" s="622"/>
      <c r="K27" s="982"/>
      <c r="L27" s="927"/>
      <c r="M27" s="999"/>
      <c r="N27" s="878"/>
    </row>
    <row r="28" spans="1:41" s="224" customFormat="1" ht="15" customHeight="1" x14ac:dyDescent="0.25">
      <c r="A28" s="215">
        <v>44475</v>
      </c>
      <c r="B28" s="349" t="s">
        <v>3085</v>
      </c>
      <c r="C28" s="887" t="s">
        <v>12</v>
      </c>
      <c r="D28" s="1005" t="s">
        <v>1522</v>
      </c>
      <c r="E28" s="887" t="s">
        <v>13</v>
      </c>
      <c r="F28" s="613">
        <v>59.862499999999997</v>
      </c>
      <c r="G28" s="982"/>
      <c r="H28" s="861"/>
      <c r="I28" s="1063"/>
      <c r="J28" s="622"/>
      <c r="K28" s="982"/>
      <c r="L28" s="927"/>
      <c r="M28" s="999"/>
      <c r="N28" s="878"/>
    </row>
    <row r="29" spans="1:41" s="224" customFormat="1" ht="15" customHeight="1" x14ac:dyDescent="0.25">
      <c r="A29" s="215">
        <v>44475</v>
      </c>
      <c r="B29" s="349" t="s">
        <v>3085</v>
      </c>
      <c r="C29" s="887" t="s">
        <v>12</v>
      </c>
      <c r="D29" s="1005" t="s">
        <v>1522</v>
      </c>
      <c r="E29" s="887" t="s">
        <v>13</v>
      </c>
      <c r="F29" s="613">
        <v>105</v>
      </c>
      <c r="G29" s="982"/>
      <c r="H29" s="872"/>
      <c r="I29" s="1063"/>
      <c r="J29" s="622"/>
      <c r="K29" s="982"/>
      <c r="L29" s="927"/>
      <c r="M29" s="999"/>
      <c r="N29" s="878"/>
    </row>
    <row r="30" spans="1:41" s="224" customFormat="1" ht="15" customHeight="1" x14ac:dyDescent="0.25">
      <c r="A30" s="215">
        <v>44475</v>
      </c>
      <c r="B30" s="349" t="s">
        <v>3085</v>
      </c>
      <c r="C30" s="887" t="s">
        <v>12</v>
      </c>
      <c r="D30" s="1005" t="s">
        <v>1522</v>
      </c>
      <c r="E30" s="887" t="s">
        <v>13</v>
      </c>
      <c r="F30" s="613">
        <v>35.5</v>
      </c>
      <c r="G30" s="982"/>
      <c r="H30" s="861"/>
      <c r="I30" s="1063"/>
      <c r="J30" s="622"/>
      <c r="K30" s="982"/>
      <c r="L30" s="927"/>
      <c r="M30" s="999"/>
      <c r="N30" s="878"/>
    </row>
    <row r="31" spans="1:41" s="224" customFormat="1" ht="15" customHeight="1" x14ac:dyDescent="0.25">
      <c r="A31" s="215">
        <v>44475</v>
      </c>
      <c r="B31" s="349" t="s">
        <v>3085</v>
      </c>
      <c r="C31" s="887" t="s">
        <v>12</v>
      </c>
      <c r="D31" s="1005" t="s">
        <v>1522</v>
      </c>
      <c r="E31" s="887" t="s">
        <v>13</v>
      </c>
      <c r="F31" s="613">
        <v>64.5</v>
      </c>
      <c r="G31" s="982"/>
      <c r="H31" s="872"/>
      <c r="I31" s="1063"/>
      <c r="J31" s="622"/>
      <c r="K31" s="982"/>
      <c r="L31" s="927"/>
      <c r="M31" s="999"/>
      <c r="N31" s="878"/>
    </row>
    <row r="32" spans="1:41" s="224" customFormat="1" ht="15" customHeight="1" x14ac:dyDescent="0.25">
      <c r="A32" s="215">
        <v>44475</v>
      </c>
      <c r="B32" s="349" t="s">
        <v>3086</v>
      </c>
      <c r="C32" s="887" t="s">
        <v>19</v>
      </c>
      <c r="D32" s="1005" t="s">
        <v>1506</v>
      </c>
      <c r="E32" s="887" t="s">
        <v>13</v>
      </c>
      <c r="F32" s="613">
        <v>29.25</v>
      </c>
      <c r="G32" s="967"/>
      <c r="H32" s="1008"/>
      <c r="I32" s="1063"/>
      <c r="J32" s="622"/>
      <c r="K32" s="982"/>
      <c r="L32" s="861"/>
      <c r="N32" s="878"/>
    </row>
    <row r="33" spans="1:41" s="224" customFormat="1" ht="15" customHeight="1" x14ac:dyDescent="0.25">
      <c r="A33" s="215">
        <v>44475</v>
      </c>
      <c r="B33" s="349" t="s">
        <v>3087</v>
      </c>
      <c r="C33" s="887" t="s">
        <v>19</v>
      </c>
      <c r="D33" s="1005" t="s">
        <v>1506</v>
      </c>
      <c r="E33" s="887" t="s">
        <v>13</v>
      </c>
      <c r="F33" s="613">
        <v>31.5</v>
      </c>
      <c r="G33" s="982"/>
      <c r="H33" s="1008"/>
      <c r="I33" s="1063"/>
      <c r="J33" s="622"/>
      <c r="K33" s="982"/>
      <c r="L33" s="861"/>
      <c r="N33" s="1035"/>
    </row>
    <row r="34" spans="1:41" s="224" customFormat="1" ht="15" customHeight="1" x14ac:dyDescent="0.25">
      <c r="A34" s="215">
        <v>44475</v>
      </c>
      <c r="B34" s="349" t="s">
        <v>3088</v>
      </c>
      <c r="C34" s="887" t="s">
        <v>19</v>
      </c>
      <c r="D34" s="1005" t="s">
        <v>1506</v>
      </c>
      <c r="E34" s="887" t="s">
        <v>13</v>
      </c>
      <c r="F34" s="613">
        <v>24.75</v>
      </c>
      <c r="G34" s="967"/>
      <c r="H34" s="1008"/>
      <c r="I34" s="1063"/>
      <c r="J34" s="622"/>
      <c r="K34" s="982"/>
      <c r="L34" s="861"/>
      <c r="N34" s="878"/>
    </row>
    <row r="35" spans="1:41" s="224" customFormat="1" ht="15" customHeight="1" x14ac:dyDescent="0.25">
      <c r="A35" s="215">
        <v>44475</v>
      </c>
      <c r="B35" s="349" t="s">
        <v>3089</v>
      </c>
      <c r="C35" s="887" t="s">
        <v>19</v>
      </c>
      <c r="D35" s="1005" t="s">
        <v>1506</v>
      </c>
      <c r="E35" s="887" t="s">
        <v>13</v>
      </c>
      <c r="F35" s="613">
        <v>24.75</v>
      </c>
      <c r="G35" s="982"/>
      <c r="H35" s="1008"/>
      <c r="I35" s="1063"/>
      <c r="J35" s="622"/>
      <c r="K35" s="982"/>
      <c r="L35" s="861"/>
      <c r="N35" s="1035"/>
    </row>
    <row r="36" spans="1:41" s="224" customFormat="1" ht="15" customHeight="1" x14ac:dyDescent="0.25">
      <c r="A36" s="215">
        <v>44475</v>
      </c>
      <c r="B36" s="862" t="s">
        <v>2385</v>
      </c>
      <c r="C36" s="879" t="s">
        <v>12</v>
      </c>
      <c r="D36" s="879" t="s">
        <v>1504</v>
      </c>
      <c r="E36" s="871" t="s">
        <v>13</v>
      </c>
      <c r="F36" s="780">
        <v>90</v>
      </c>
      <c r="G36" s="982"/>
      <c r="H36" s="1008"/>
      <c r="I36" s="1063"/>
      <c r="J36" s="622"/>
      <c r="K36" s="982"/>
      <c r="L36" s="1028" t="s">
        <v>3090</v>
      </c>
      <c r="M36" s="999"/>
      <c r="N36" s="1035"/>
    </row>
    <row r="37" spans="1:41" s="224" customFormat="1" ht="15" customHeight="1" x14ac:dyDescent="0.25">
      <c r="A37" s="215">
        <v>44475</v>
      </c>
      <c r="B37" s="882" t="s">
        <v>3091</v>
      </c>
      <c r="C37" s="879" t="s">
        <v>12</v>
      </c>
      <c r="D37" s="879" t="s">
        <v>1499</v>
      </c>
      <c r="E37" s="871" t="s">
        <v>13</v>
      </c>
      <c r="F37" s="780">
        <v>69</v>
      </c>
      <c r="G37" s="982"/>
      <c r="H37" s="1008"/>
      <c r="I37" s="1063"/>
      <c r="J37" s="622"/>
      <c r="K37" s="982"/>
      <c r="L37" s="1028">
        <v>179</v>
      </c>
      <c r="M37" s="999"/>
      <c r="N37" s="878"/>
    </row>
    <row r="38" spans="1:41" s="224" customFormat="1" ht="15" customHeight="1" x14ac:dyDescent="0.25">
      <c r="A38" s="215">
        <v>44475</v>
      </c>
      <c r="B38" s="364" t="s">
        <v>2977</v>
      </c>
      <c r="C38" s="350" t="s">
        <v>12</v>
      </c>
      <c r="D38" s="350" t="s">
        <v>1491</v>
      </c>
      <c r="E38" s="875" t="s">
        <v>13</v>
      </c>
      <c r="F38" s="780">
        <v>300</v>
      </c>
      <c r="G38" s="982"/>
      <c r="H38" s="1008"/>
      <c r="I38" s="1063"/>
      <c r="J38" s="622"/>
      <c r="K38" s="982"/>
      <c r="L38" s="861"/>
      <c r="N38" s="1035"/>
    </row>
    <row r="39" spans="1:41" x14ac:dyDescent="0.25">
      <c r="A39" s="215">
        <v>44475</v>
      </c>
      <c r="B39" s="876" t="s">
        <v>3060</v>
      </c>
      <c r="C39" s="879" t="s">
        <v>12</v>
      </c>
      <c r="D39" s="879" t="s">
        <v>1496</v>
      </c>
      <c r="E39" s="871" t="s">
        <v>13</v>
      </c>
      <c r="F39" s="780">
        <v>80</v>
      </c>
      <c r="G39" s="982"/>
      <c r="H39" s="1009"/>
      <c r="I39" s="1063"/>
      <c r="J39" s="622"/>
      <c r="K39" s="982"/>
      <c r="L39" s="1029"/>
    </row>
    <row r="40" spans="1:41" s="224" customFormat="1" x14ac:dyDescent="0.25">
      <c r="A40" s="215">
        <v>44475</v>
      </c>
      <c r="B40" s="882" t="s">
        <v>3092</v>
      </c>
      <c r="C40" s="879" t="s">
        <v>12</v>
      </c>
      <c r="D40" s="879" t="s">
        <v>3017</v>
      </c>
      <c r="E40" s="875" t="s">
        <v>13</v>
      </c>
      <c r="F40" s="780">
        <v>633.36</v>
      </c>
      <c r="G40" s="982"/>
      <c r="H40" s="1008"/>
      <c r="I40" s="1063"/>
      <c r="J40" s="622"/>
      <c r="K40" s="982"/>
      <c r="L40" s="861">
        <v>400</v>
      </c>
      <c r="M40" s="878" t="s">
        <v>3018</v>
      </c>
      <c r="N40" s="1035"/>
    </row>
    <row r="41" spans="1:41" s="224" customFormat="1" ht="15" customHeight="1" x14ac:dyDescent="0.25">
      <c r="A41" s="215">
        <v>44475</v>
      </c>
      <c r="B41" s="882" t="s">
        <v>3093</v>
      </c>
      <c r="C41" s="879" t="s">
        <v>12</v>
      </c>
      <c r="D41" s="879" t="s">
        <v>1522</v>
      </c>
      <c r="E41" s="875" t="s">
        <v>13</v>
      </c>
      <c r="F41" s="780">
        <v>150</v>
      </c>
      <c r="G41" s="982"/>
      <c r="H41" s="622"/>
      <c r="I41" s="982"/>
      <c r="J41" s="622"/>
      <c r="K41" s="982"/>
      <c r="L41" s="927"/>
      <c r="M41" s="927"/>
      <c r="N41" s="878"/>
    </row>
    <row r="42" spans="1:41" s="224" customFormat="1" ht="15" customHeight="1" x14ac:dyDescent="0.25">
      <c r="A42" s="215">
        <v>44475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17</v>
      </c>
      <c r="G42" s="982"/>
      <c r="H42" s="622"/>
      <c r="I42" s="982"/>
      <c r="J42" s="622"/>
      <c r="K42" s="982"/>
      <c r="L42" s="927"/>
      <c r="M42" s="927"/>
      <c r="N42" s="878"/>
    </row>
    <row r="43" spans="1:41" s="224" customFormat="1" ht="15" customHeight="1" x14ac:dyDescent="0.25">
      <c r="A43" s="215">
        <v>44475</v>
      </c>
      <c r="B43" s="882" t="s">
        <v>445</v>
      </c>
      <c r="C43" s="879" t="s">
        <v>12</v>
      </c>
      <c r="D43" s="879" t="s">
        <v>1493</v>
      </c>
      <c r="E43" s="875" t="s">
        <v>13</v>
      </c>
      <c r="F43" s="780">
        <v>6</v>
      </c>
      <c r="G43" s="982"/>
      <c r="H43" s="1008"/>
      <c r="I43" s="1063"/>
      <c r="J43" s="622"/>
      <c r="K43" s="982"/>
      <c r="L43" s="1029"/>
    </row>
    <row r="44" spans="1:41" s="224" customFormat="1" ht="15" customHeight="1" x14ac:dyDescent="0.25">
      <c r="A44" s="215">
        <v>44475</v>
      </c>
      <c r="B44" s="882" t="s">
        <v>2251</v>
      </c>
      <c r="C44" s="879" t="s">
        <v>19</v>
      </c>
      <c r="D44" s="879" t="s">
        <v>2157</v>
      </c>
      <c r="E44" s="875" t="s">
        <v>13</v>
      </c>
      <c r="F44" s="780">
        <v>80</v>
      </c>
      <c r="G44" s="982"/>
      <c r="H44" s="1008"/>
      <c r="I44" s="1063"/>
      <c r="J44" s="622"/>
      <c r="K44" s="982"/>
      <c r="L44" s="861"/>
    </row>
    <row r="45" spans="1:41" s="224" customFormat="1" ht="15" customHeight="1" x14ac:dyDescent="0.25">
      <c r="A45" s="215">
        <v>44475</v>
      </c>
      <c r="B45" s="882" t="s">
        <v>3094</v>
      </c>
      <c r="C45" s="879" t="s">
        <v>12</v>
      </c>
      <c r="D45" s="879" t="s">
        <v>1506</v>
      </c>
      <c r="E45" s="875" t="s">
        <v>13</v>
      </c>
      <c r="F45" s="780">
        <v>22.9</v>
      </c>
      <c r="G45" s="982"/>
      <c r="H45" s="622"/>
      <c r="I45" s="982"/>
      <c r="J45" s="622"/>
      <c r="K45" s="982"/>
      <c r="L45" s="927"/>
      <c r="M45" s="927"/>
      <c r="N45" s="878"/>
    </row>
    <row r="46" spans="1:41" s="224" customFormat="1" x14ac:dyDescent="0.25">
      <c r="A46" s="215">
        <v>44475</v>
      </c>
      <c r="B46" s="882" t="s">
        <v>14</v>
      </c>
      <c r="C46" s="879" t="s">
        <v>12</v>
      </c>
      <c r="D46" s="879" t="s">
        <v>1486</v>
      </c>
      <c r="E46" s="875" t="s">
        <v>13</v>
      </c>
      <c r="F46" s="1047">
        <v>7.23</v>
      </c>
      <c r="G46" s="982"/>
      <c r="H46" s="1008"/>
      <c r="I46" s="1063"/>
      <c r="J46" s="622"/>
      <c r="K46" s="982"/>
      <c r="L46" s="1029"/>
      <c r="M46" s="89"/>
      <c r="N46" s="1081"/>
      <c r="O46" s="1082"/>
    </row>
    <row r="47" spans="1:41" s="224" customFormat="1" ht="15" customHeight="1" x14ac:dyDescent="0.25">
      <c r="A47" s="215">
        <v>44475</v>
      </c>
      <c r="B47" s="364" t="s">
        <v>1396</v>
      </c>
      <c r="C47" s="350" t="s">
        <v>12</v>
      </c>
      <c r="D47" s="350"/>
      <c r="E47" s="480" t="s">
        <v>25</v>
      </c>
      <c r="F47" s="613"/>
      <c r="G47" s="967">
        <v>70</v>
      </c>
      <c r="H47" s="1008"/>
      <c r="I47" s="1063"/>
      <c r="J47" s="622"/>
      <c r="K47" s="982"/>
      <c r="L47" s="861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</row>
    <row r="48" spans="1:41" s="224" customFormat="1" ht="15" customHeight="1" x14ac:dyDescent="0.25">
      <c r="A48" s="215">
        <v>44476</v>
      </c>
      <c r="B48" s="882" t="s">
        <v>3095</v>
      </c>
      <c r="C48" s="879" t="s">
        <v>12</v>
      </c>
      <c r="D48" s="879"/>
      <c r="E48" s="875" t="s">
        <v>25</v>
      </c>
      <c r="F48" s="780"/>
      <c r="G48" s="982">
        <v>5359.18</v>
      </c>
      <c r="H48" s="622"/>
      <c r="I48" s="982"/>
      <c r="J48" s="622"/>
      <c r="K48" s="982"/>
      <c r="L48" s="927">
        <v>5359</v>
      </c>
      <c r="M48" s="927"/>
      <c r="N48" s="878"/>
    </row>
    <row r="49" spans="1:15" s="224" customFormat="1" x14ac:dyDescent="0.25">
      <c r="A49" s="215">
        <v>44476</v>
      </c>
      <c r="B49" s="882" t="s">
        <v>3096</v>
      </c>
      <c r="C49" s="879" t="s">
        <v>12</v>
      </c>
      <c r="D49" s="879" t="s">
        <v>3017</v>
      </c>
      <c r="E49" s="875" t="s">
        <v>13</v>
      </c>
      <c r="F49" s="780">
        <v>2472.6799999999998</v>
      </c>
      <c r="G49" s="982"/>
      <c r="H49" s="1008"/>
      <c r="I49" s="1063"/>
      <c r="J49" s="622"/>
      <c r="K49" s="982"/>
      <c r="L49" s="861">
        <v>2472.6799999999998</v>
      </c>
      <c r="M49" s="878"/>
      <c r="N49" s="1035"/>
    </row>
    <row r="50" spans="1:15" s="224" customFormat="1" ht="15" customHeight="1" x14ac:dyDescent="0.25">
      <c r="A50" s="215">
        <v>44476</v>
      </c>
      <c r="B50" s="882" t="s">
        <v>3097</v>
      </c>
      <c r="C50" s="879" t="s">
        <v>12</v>
      </c>
      <c r="D50" s="879" t="s">
        <v>3017</v>
      </c>
      <c r="E50" s="875" t="s">
        <v>13</v>
      </c>
      <c r="F50" s="780">
        <v>968.11</v>
      </c>
      <c r="G50" s="982"/>
      <c r="H50" s="622"/>
      <c r="I50" s="982"/>
      <c r="J50" s="622"/>
      <c r="K50" s="982"/>
      <c r="L50" s="927">
        <v>968.11</v>
      </c>
      <c r="M50" s="927"/>
      <c r="N50" s="878"/>
    </row>
    <row r="51" spans="1:15" s="224" customFormat="1" ht="15" customHeight="1" x14ac:dyDescent="0.25">
      <c r="A51" s="215">
        <v>44476</v>
      </c>
      <c r="B51" s="349" t="s">
        <v>260</v>
      </c>
      <c r="C51" s="350" t="s">
        <v>12</v>
      </c>
      <c r="D51" s="350"/>
      <c r="E51" s="480"/>
      <c r="F51" s="780">
        <v>1300</v>
      </c>
      <c r="G51" s="946"/>
      <c r="H51" s="95"/>
      <c r="I51" s="1064">
        <v>1300</v>
      </c>
      <c r="J51" s="622"/>
      <c r="K51" s="982"/>
      <c r="L51" s="861"/>
    </row>
    <row r="52" spans="1:15" s="224" customFormat="1" ht="15" customHeight="1" x14ac:dyDescent="0.25">
      <c r="A52" s="215">
        <v>44476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17</v>
      </c>
      <c r="G52" s="982"/>
      <c r="H52" s="622"/>
      <c r="I52" s="982"/>
      <c r="J52" s="622"/>
      <c r="K52" s="982"/>
      <c r="L52" s="927"/>
      <c r="M52" s="927"/>
      <c r="N52" s="878"/>
    </row>
    <row r="53" spans="1:15" s="224" customFormat="1" ht="15" customHeight="1" x14ac:dyDescent="0.25">
      <c r="A53" s="215">
        <v>44476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780">
        <v>8</v>
      </c>
      <c r="G53" s="982"/>
      <c r="H53" s="622"/>
      <c r="I53" s="982"/>
      <c r="J53" s="622"/>
      <c r="K53" s="982"/>
      <c r="L53" s="927"/>
      <c r="M53" s="927"/>
      <c r="N53" s="878"/>
    </row>
    <row r="54" spans="1:15" s="224" customFormat="1" ht="15" customHeight="1" x14ac:dyDescent="0.25">
      <c r="A54" s="215">
        <v>44476</v>
      </c>
      <c r="B54" s="882" t="s">
        <v>2629</v>
      </c>
      <c r="C54" s="879" t="s">
        <v>12</v>
      </c>
      <c r="D54" s="879" t="s">
        <v>1489</v>
      </c>
      <c r="E54" s="875" t="s">
        <v>13</v>
      </c>
      <c r="F54" s="780">
        <v>10.46</v>
      </c>
      <c r="G54" s="982"/>
      <c r="H54" s="622"/>
      <c r="I54" s="982"/>
      <c r="J54" s="622"/>
      <c r="K54" s="982"/>
      <c r="L54" s="927"/>
      <c r="M54" s="927"/>
      <c r="N54" s="878"/>
    </row>
    <row r="55" spans="1:15" s="224" customFormat="1" ht="15" customHeight="1" x14ac:dyDescent="0.25">
      <c r="A55" s="215">
        <v>44477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17</v>
      </c>
      <c r="G55" s="982"/>
      <c r="H55" s="622"/>
      <c r="I55" s="982"/>
      <c r="J55" s="622"/>
      <c r="K55" s="982"/>
      <c r="L55" s="927"/>
      <c r="M55" s="927"/>
      <c r="N55" s="878"/>
    </row>
    <row r="56" spans="1:15" s="224" customFormat="1" ht="15" customHeight="1" x14ac:dyDescent="0.25">
      <c r="A56" s="215">
        <v>44477</v>
      </c>
      <c r="B56" s="882" t="s">
        <v>14</v>
      </c>
      <c r="C56" s="879" t="s">
        <v>12</v>
      </c>
      <c r="D56" s="879" t="s">
        <v>1486</v>
      </c>
      <c r="E56" s="875" t="s">
        <v>13</v>
      </c>
      <c r="F56" s="780">
        <v>10.82</v>
      </c>
      <c r="G56" s="982"/>
      <c r="H56" s="622"/>
      <c r="I56" s="982"/>
      <c r="J56" s="622"/>
      <c r="K56" s="982"/>
      <c r="L56" s="927"/>
      <c r="M56" s="927"/>
      <c r="N56" s="878"/>
    </row>
    <row r="57" spans="1:15" s="224" customFormat="1" ht="15" customHeight="1" x14ac:dyDescent="0.25">
      <c r="A57" s="215">
        <v>44478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82"/>
      <c r="H57" s="622"/>
      <c r="I57" s="982"/>
      <c r="J57" s="622"/>
      <c r="K57" s="982"/>
      <c r="L57" s="927"/>
      <c r="M57" s="927"/>
      <c r="N57" s="878"/>
    </row>
    <row r="58" spans="1:15" s="224" customFormat="1" x14ac:dyDescent="0.25">
      <c r="A58" s="215">
        <v>44478</v>
      </c>
      <c r="B58" s="882" t="s">
        <v>82</v>
      </c>
      <c r="C58" s="879" t="s">
        <v>12</v>
      </c>
      <c r="D58" s="879" t="s">
        <v>1493</v>
      </c>
      <c r="E58" s="875" t="s">
        <v>13</v>
      </c>
      <c r="F58" s="780">
        <v>25.76</v>
      </c>
      <c r="G58" s="982"/>
      <c r="H58" s="1008"/>
      <c r="I58" s="1063"/>
      <c r="J58" s="622"/>
      <c r="K58" s="982"/>
      <c r="L58" s="1029"/>
      <c r="M58" s="89"/>
      <c r="N58" s="1081"/>
      <c r="O58" s="1082"/>
    </row>
    <row r="59" spans="1:15" s="224" customFormat="1" x14ac:dyDescent="0.25">
      <c r="A59" s="215">
        <v>44479</v>
      </c>
      <c r="B59" s="882" t="s">
        <v>32</v>
      </c>
      <c r="C59" s="879" t="s">
        <v>12</v>
      </c>
      <c r="D59" s="879" t="s">
        <v>1485</v>
      </c>
      <c r="E59" s="875" t="s">
        <v>13</v>
      </c>
      <c r="F59" s="780">
        <v>18</v>
      </c>
      <c r="G59" s="982"/>
      <c r="H59" s="1008"/>
      <c r="I59" s="1063"/>
      <c r="J59" s="622"/>
      <c r="K59" s="982"/>
      <c r="L59" s="1029"/>
      <c r="M59" s="89"/>
      <c r="N59" s="1081"/>
      <c r="O59" s="1082"/>
    </row>
    <row r="60" spans="1:15" s="224" customFormat="1" ht="15" customHeight="1" x14ac:dyDescent="0.25">
      <c r="A60" s="215">
        <v>44479</v>
      </c>
      <c r="B60" s="882" t="s">
        <v>3098</v>
      </c>
      <c r="C60" s="879" t="s">
        <v>12</v>
      </c>
      <c r="D60" s="879" t="s">
        <v>1493</v>
      </c>
      <c r="E60" s="875" t="s">
        <v>13</v>
      </c>
      <c r="F60" s="780">
        <v>31.5</v>
      </c>
      <c r="G60" s="982"/>
      <c r="H60" s="622"/>
      <c r="I60" s="982"/>
      <c r="J60" s="622"/>
      <c r="K60" s="982"/>
      <c r="L60" s="927"/>
      <c r="M60" s="927"/>
      <c r="N60" s="878"/>
    </row>
    <row r="61" spans="1:15" s="224" customFormat="1" ht="15" customHeight="1" x14ac:dyDescent="0.25">
      <c r="A61" s="215">
        <v>44480</v>
      </c>
      <c r="B61" s="882" t="s">
        <v>14</v>
      </c>
      <c r="C61" s="879" t="s">
        <v>12</v>
      </c>
      <c r="D61" s="879" t="s">
        <v>1486</v>
      </c>
      <c r="E61" s="875" t="s">
        <v>13</v>
      </c>
      <c r="F61" s="780">
        <v>8.52</v>
      </c>
      <c r="G61" s="982"/>
      <c r="H61" s="622"/>
      <c r="I61" s="982"/>
      <c r="J61" s="622"/>
      <c r="K61" s="982"/>
      <c r="L61" s="927"/>
      <c r="M61" s="927"/>
      <c r="N61" s="878"/>
    </row>
    <row r="62" spans="1:15" s="224" customFormat="1" ht="15" customHeight="1" x14ac:dyDescent="0.25">
      <c r="A62" s="215">
        <v>44480</v>
      </c>
      <c r="B62" s="882" t="s">
        <v>2251</v>
      </c>
      <c r="C62" s="879" t="s">
        <v>19</v>
      </c>
      <c r="D62" s="879" t="s">
        <v>2157</v>
      </c>
      <c r="E62" s="875" t="s">
        <v>13</v>
      </c>
      <c r="F62" s="780">
        <v>40</v>
      </c>
      <c r="G62" s="982"/>
      <c r="H62" s="1008"/>
      <c r="I62" s="1063"/>
      <c r="J62" s="622"/>
      <c r="K62" s="982"/>
      <c r="L62" s="861"/>
    </row>
    <row r="63" spans="1:15" s="224" customFormat="1" ht="15" customHeight="1" x14ac:dyDescent="0.25">
      <c r="A63" s="215">
        <v>44480</v>
      </c>
      <c r="B63" s="882" t="s">
        <v>2629</v>
      </c>
      <c r="C63" s="879" t="s">
        <v>19</v>
      </c>
      <c r="D63" s="879" t="s">
        <v>1489</v>
      </c>
      <c r="E63" s="875" t="s">
        <v>13</v>
      </c>
      <c r="F63" s="780">
        <v>42.73</v>
      </c>
      <c r="G63" s="982"/>
      <c r="H63" s="1008"/>
      <c r="I63" s="1063"/>
      <c r="J63" s="622"/>
      <c r="K63" s="982"/>
      <c r="L63" s="1029"/>
      <c r="M63" s="89"/>
      <c r="N63" s="1035"/>
    </row>
    <row r="64" spans="1:15" s="224" customFormat="1" ht="15" customHeight="1" x14ac:dyDescent="0.25">
      <c r="A64" s="215">
        <v>44480</v>
      </c>
      <c r="B64" s="882" t="s">
        <v>2402</v>
      </c>
      <c r="C64" s="879" t="s">
        <v>12</v>
      </c>
      <c r="D64" s="879" t="s">
        <v>1493</v>
      </c>
      <c r="E64" s="875" t="s">
        <v>13</v>
      </c>
      <c r="F64" s="780">
        <v>20</v>
      </c>
      <c r="G64" s="982"/>
      <c r="H64" s="1008"/>
      <c r="I64" s="1063"/>
      <c r="J64" s="622"/>
      <c r="K64" s="982"/>
      <c r="L64" s="1029"/>
      <c r="M64" s="89"/>
      <c r="N64" s="1035"/>
    </row>
    <row r="65" spans="1:15" s="224" customFormat="1" ht="15" customHeight="1" x14ac:dyDescent="0.25">
      <c r="A65" s="215">
        <v>44481</v>
      </c>
      <c r="B65" s="882" t="s">
        <v>81</v>
      </c>
      <c r="C65" s="879" t="s">
        <v>12</v>
      </c>
      <c r="D65" s="879" t="s">
        <v>1493</v>
      </c>
      <c r="E65" s="875" t="s">
        <v>13</v>
      </c>
      <c r="F65" s="780">
        <v>8.3800000000000008</v>
      </c>
      <c r="G65" s="982"/>
      <c r="H65" s="1008"/>
      <c r="I65" s="1063"/>
      <c r="J65" s="622"/>
      <c r="K65" s="982"/>
      <c r="L65" s="1029"/>
      <c r="M65" s="89"/>
      <c r="N65" s="1035"/>
    </row>
    <row r="66" spans="1:15" s="224" customFormat="1" x14ac:dyDescent="0.25">
      <c r="A66" s="215">
        <v>44482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17</v>
      </c>
      <c r="G66" s="982"/>
      <c r="H66" s="1008"/>
      <c r="I66" s="1063"/>
      <c r="J66" s="622"/>
      <c r="K66" s="982"/>
      <c r="L66" s="1029"/>
      <c r="M66" s="89"/>
      <c r="N66" s="1081"/>
      <c r="O66" s="1082"/>
    </row>
    <row r="67" spans="1:15" s="224" customFormat="1" x14ac:dyDescent="0.25">
      <c r="A67" s="215">
        <v>44482</v>
      </c>
      <c r="B67" s="882" t="s">
        <v>256</v>
      </c>
      <c r="C67" s="879"/>
      <c r="D67" s="879"/>
      <c r="E67" s="875" t="s">
        <v>25</v>
      </c>
      <c r="F67" s="780"/>
      <c r="G67" s="982">
        <v>1100</v>
      </c>
      <c r="H67" s="1060">
        <v>1100</v>
      </c>
      <c r="I67" s="1063"/>
      <c r="J67" s="622"/>
      <c r="K67" s="982"/>
      <c r="L67" s="861"/>
      <c r="N67" s="878"/>
    </row>
    <row r="68" spans="1:15" s="224" customFormat="1" ht="15" customHeight="1" x14ac:dyDescent="0.25">
      <c r="A68" s="215">
        <v>44482</v>
      </c>
      <c r="B68" s="349" t="s">
        <v>1661</v>
      </c>
      <c r="C68" s="352" t="s">
        <v>12</v>
      </c>
      <c r="D68" s="874"/>
      <c r="E68" s="875" t="s">
        <v>13</v>
      </c>
      <c r="F68" s="852">
        <v>1101.24</v>
      </c>
      <c r="G68" s="957"/>
      <c r="H68" s="622"/>
      <c r="I68" s="982"/>
      <c r="J68" s="622"/>
      <c r="K68" s="982">
        <v>1101.24</v>
      </c>
      <c r="L68" s="178"/>
    </row>
    <row r="69" spans="1:15" s="224" customFormat="1" ht="15" customHeight="1" x14ac:dyDescent="0.25">
      <c r="A69" s="215">
        <v>44482</v>
      </c>
      <c r="B69" s="882" t="s">
        <v>14</v>
      </c>
      <c r="C69" s="879" t="s">
        <v>12</v>
      </c>
      <c r="D69" s="879" t="s">
        <v>1486</v>
      </c>
      <c r="E69" s="875" t="s">
        <v>13</v>
      </c>
      <c r="F69" s="613">
        <v>4.7</v>
      </c>
      <c r="G69" s="967"/>
      <c r="H69" s="1008"/>
      <c r="I69" s="1063"/>
      <c r="J69" s="622"/>
      <c r="K69" s="982"/>
      <c r="L69" s="861"/>
    </row>
    <row r="70" spans="1:15" s="224" customFormat="1" ht="15" customHeight="1" x14ac:dyDescent="0.25">
      <c r="A70" s="215">
        <v>44483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17</v>
      </c>
      <c r="G70" s="982"/>
      <c r="H70" s="622"/>
      <c r="I70" s="982"/>
      <c r="J70" s="622"/>
      <c r="K70" s="982"/>
      <c r="L70" s="927"/>
      <c r="M70" s="927"/>
      <c r="N70" s="878"/>
    </row>
    <row r="71" spans="1:15" s="224" customFormat="1" ht="15" customHeight="1" x14ac:dyDescent="0.25">
      <c r="A71" s="215">
        <v>44483</v>
      </c>
      <c r="B71" s="882" t="s">
        <v>445</v>
      </c>
      <c r="C71" s="879" t="s">
        <v>12</v>
      </c>
      <c r="D71" s="879" t="s">
        <v>1493</v>
      </c>
      <c r="E71" s="875" t="s">
        <v>13</v>
      </c>
      <c r="F71" s="780">
        <v>6</v>
      </c>
      <c r="G71" s="982"/>
      <c r="H71" s="1008"/>
      <c r="I71" s="1063"/>
      <c r="J71" s="622"/>
      <c r="K71" s="982"/>
      <c r="L71" s="1029"/>
    </row>
    <row r="72" spans="1:15" s="224" customFormat="1" ht="15" customHeight="1" x14ac:dyDescent="0.25">
      <c r="A72" s="215">
        <v>44483</v>
      </c>
      <c r="B72" s="882" t="s">
        <v>14</v>
      </c>
      <c r="C72" s="879" t="s">
        <v>12</v>
      </c>
      <c r="D72" s="879" t="s">
        <v>1486</v>
      </c>
      <c r="E72" s="875" t="s">
        <v>13</v>
      </c>
      <c r="F72" s="780">
        <v>11.91</v>
      </c>
      <c r="G72" s="982"/>
      <c r="H72" s="1008"/>
      <c r="I72" s="1063"/>
      <c r="J72" s="622"/>
      <c r="K72" s="982"/>
      <c r="L72" s="1029"/>
      <c r="M72" s="89"/>
      <c r="N72" s="1081"/>
      <c r="O72" s="1082"/>
    </row>
    <row r="73" spans="1:15" s="224" customFormat="1" ht="15" customHeight="1" x14ac:dyDescent="0.25">
      <c r="A73" s="215">
        <v>44484</v>
      </c>
      <c r="B73" s="882" t="s">
        <v>3099</v>
      </c>
      <c r="C73" s="879" t="s">
        <v>12</v>
      </c>
      <c r="D73" s="879" t="s">
        <v>1499</v>
      </c>
      <c r="E73" s="871" t="s">
        <v>13</v>
      </c>
      <c r="F73" s="780">
        <v>55.7</v>
      </c>
      <c r="G73" s="982"/>
      <c r="H73" s="1008"/>
      <c r="I73" s="1063"/>
      <c r="J73" s="622"/>
      <c r="K73" s="982"/>
      <c r="L73" s="1051">
        <v>125.7</v>
      </c>
      <c r="M73" s="3166" t="s">
        <v>3100</v>
      </c>
      <c r="N73" s="3166"/>
      <c r="O73" s="3166"/>
    </row>
    <row r="74" spans="1:15" s="224" customFormat="1" ht="15" customHeight="1" x14ac:dyDescent="0.25">
      <c r="A74" s="215">
        <v>44484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17</v>
      </c>
      <c r="G74" s="982"/>
      <c r="H74" s="622"/>
      <c r="I74" s="982"/>
      <c r="J74" s="622"/>
      <c r="K74" s="982"/>
      <c r="L74" s="927"/>
      <c r="M74" s="927"/>
      <c r="N74" s="878"/>
    </row>
    <row r="75" spans="1:15" s="224" customFormat="1" ht="15" customHeight="1" x14ac:dyDescent="0.25">
      <c r="A75" s="215">
        <v>44484</v>
      </c>
      <c r="B75" s="882" t="s">
        <v>82</v>
      </c>
      <c r="C75" s="879" t="s">
        <v>12</v>
      </c>
      <c r="D75" s="879" t="s">
        <v>1493</v>
      </c>
      <c r="E75" s="875" t="s">
        <v>13</v>
      </c>
      <c r="F75" s="780">
        <v>30</v>
      </c>
      <c r="G75" s="982"/>
      <c r="H75" s="1008"/>
      <c r="I75" s="1063"/>
      <c r="J75" s="622"/>
      <c r="K75" s="982"/>
      <c r="L75" s="1029"/>
      <c r="M75" s="89"/>
      <c r="N75" s="1081"/>
      <c r="O75" s="1082"/>
    </row>
    <row r="76" spans="1:15" s="224" customFormat="1" ht="15" customHeight="1" x14ac:dyDescent="0.25">
      <c r="A76" s="215">
        <v>44485</v>
      </c>
      <c r="B76" s="882" t="s">
        <v>2629</v>
      </c>
      <c r="C76" s="879" t="s">
        <v>19</v>
      </c>
      <c r="D76" s="879" t="s">
        <v>1489</v>
      </c>
      <c r="E76" s="871" t="s">
        <v>13</v>
      </c>
      <c r="F76" s="780">
        <v>109.37</v>
      </c>
      <c r="G76" s="982"/>
      <c r="H76" s="1008"/>
      <c r="I76" s="1063"/>
      <c r="J76" s="622"/>
      <c r="K76" s="982"/>
      <c r="O76" s="1082"/>
    </row>
    <row r="77" spans="1:15" s="224" customFormat="1" ht="15" customHeight="1" x14ac:dyDescent="0.25">
      <c r="A77" s="215">
        <v>44485</v>
      </c>
      <c r="B77" s="882" t="s">
        <v>2251</v>
      </c>
      <c r="C77" s="879" t="s">
        <v>12</v>
      </c>
      <c r="D77" s="879" t="s">
        <v>2157</v>
      </c>
      <c r="E77" s="875" t="s">
        <v>13</v>
      </c>
      <c r="F77" s="780">
        <v>50</v>
      </c>
      <c r="G77" s="982"/>
      <c r="H77" s="1008"/>
      <c r="I77" s="1063"/>
      <c r="J77" s="622"/>
      <c r="K77" s="982"/>
      <c r="O77" s="1082"/>
    </row>
    <row r="78" spans="1:15" s="224" customFormat="1" ht="15" customHeight="1" x14ac:dyDescent="0.25">
      <c r="A78" s="215">
        <v>44485</v>
      </c>
      <c r="B78" s="882" t="s">
        <v>80</v>
      </c>
      <c r="C78" s="879" t="s">
        <v>12</v>
      </c>
      <c r="D78" s="879" t="s">
        <v>1523</v>
      </c>
      <c r="E78" s="871" t="s">
        <v>13</v>
      </c>
      <c r="F78" s="780">
        <v>28</v>
      </c>
      <c r="G78" s="982"/>
      <c r="H78" s="1008"/>
      <c r="I78" s="1063"/>
      <c r="J78" s="622"/>
      <c r="K78" s="982"/>
      <c r="L78" s="1051"/>
      <c r="M78" s="1029"/>
      <c r="N78" s="1029"/>
      <c r="O78" s="1082"/>
    </row>
    <row r="79" spans="1:15" s="224" customFormat="1" ht="15" customHeight="1" x14ac:dyDescent="0.25">
      <c r="A79" s="215">
        <v>44485</v>
      </c>
      <c r="B79" s="882" t="s">
        <v>2004</v>
      </c>
      <c r="C79" s="879" t="s">
        <v>12</v>
      </c>
      <c r="D79" s="879" t="s">
        <v>1523</v>
      </c>
      <c r="E79" s="871" t="s">
        <v>15</v>
      </c>
      <c r="F79" s="780">
        <v>5</v>
      </c>
      <c r="G79" s="982"/>
      <c r="H79" s="1008"/>
      <c r="I79" s="1063"/>
      <c r="J79" s="622"/>
      <c r="K79" s="982"/>
      <c r="L79" s="1051"/>
      <c r="M79" s="1029"/>
      <c r="N79" s="1029"/>
      <c r="O79" s="1082"/>
    </row>
    <row r="80" spans="1:15" s="224" customFormat="1" ht="15" customHeight="1" x14ac:dyDescent="0.25">
      <c r="A80" s="215">
        <v>44485</v>
      </c>
      <c r="B80" s="882" t="s">
        <v>3101</v>
      </c>
      <c r="C80" s="879" t="s">
        <v>12</v>
      </c>
      <c r="D80" s="879" t="s">
        <v>1523</v>
      </c>
      <c r="E80" s="871" t="s">
        <v>13</v>
      </c>
      <c r="F80" s="780">
        <v>80</v>
      </c>
      <c r="G80" s="982"/>
      <c r="H80" s="1008"/>
      <c r="I80" s="1063"/>
      <c r="J80" s="622"/>
      <c r="K80" s="982"/>
      <c r="L80" s="1051"/>
      <c r="M80" s="1029"/>
      <c r="N80" s="1029"/>
      <c r="O80" s="1082"/>
    </row>
    <row r="81" spans="1:15" s="224" customFormat="1" ht="15" customHeight="1" x14ac:dyDescent="0.25">
      <c r="A81" s="215">
        <v>44485</v>
      </c>
      <c r="B81" s="882" t="s">
        <v>421</v>
      </c>
      <c r="C81" s="879" t="s">
        <v>12</v>
      </c>
      <c r="D81" s="879" t="s">
        <v>1493</v>
      </c>
      <c r="E81" s="871" t="s">
        <v>13</v>
      </c>
      <c r="F81" s="780">
        <v>22.9</v>
      </c>
      <c r="G81" s="982"/>
      <c r="H81" s="1008"/>
      <c r="I81" s="1063"/>
      <c r="J81" s="622"/>
      <c r="K81" s="982"/>
      <c r="L81" s="1051"/>
      <c r="M81" s="1029"/>
      <c r="N81" s="1029"/>
      <c r="O81" s="1082"/>
    </row>
    <row r="82" spans="1:15" s="224" customFormat="1" ht="15" customHeight="1" x14ac:dyDescent="0.25">
      <c r="A82" s="215">
        <v>44486</v>
      </c>
      <c r="B82" s="882" t="s">
        <v>14</v>
      </c>
      <c r="C82" s="879" t="s">
        <v>12</v>
      </c>
      <c r="D82" s="879" t="s">
        <v>1486</v>
      </c>
      <c r="E82" s="875" t="s">
        <v>13</v>
      </c>
      <c r="F82" s="780">
        <v>9.35</v>
      </c>
      <c r="G82" s="982"/>
      <c r="H82" s="622"/>
      <c r="I82" s="982"/>
      <c r="J82" s="622"/>
      <c r="K82" s="982"/>
      <c r="L82" s="927"/>
      <c r="N82" s="878"/>
    </row>
    <row r="83" spans="1:15" s="224" customFormat="1" ht="15" customHeight="1" x14ac:dyDescent="0.25">
      <c r="A83" s="215">
        <v>44487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17</v>
      </c>
      <c r="G83" s="982"/>
      <c r="H83" s="622"/>
      <c r="I83" s="982"/>
      <c r="J83" s="622"/>
      <c r="K83" s="982"/>
      <c r="L83" s="927"/>
      <c r="M83" s="927"/>
      <c r="N83" s="878"/>
    </row>
    <row r="84" spans="1:15" s="224" customFormat="1" ht="15" customHeight="1" x14ac:dyDescent="0.25">
      <c r="A84" s="215">
        <v>44487</v>
      </c>
      <c r="B84" s="882" t="s">
        <v>2251</v>
      </c>
      <c r="C84" s="879" t="s">
        <v>12</v>
      </c>
      <c r="D84" s="879" t="s">
        <v>2157</v>
      </c>
      <c r="E84" s="875" t="s">
        <v>15</v>
      </c>
      <c r="F84" s="780">
        <v>20</v>
      </c>
      <c r="G84" s="982"/>
      <c r="H84" s="1008"/>
      <c r="I84" s="1064"/>
      <c r="J84" s="97"/>
      <c r="K84" s="946"/>
      <c r="L84" s="926"/>
      <c r="M84" s="89"/>
      <c r="N84" s="930"/>
    </row>
    <row r="85" spans="1:15" s="224" customFormat="1" ht="15" customHeight="1" x14ac:dyDescent="0.25">
      <c r="A85" s="215">
        <v>44488</v>
      </c>
      <c r="B85" s="882" t="s">
        <v>32</v>
      </c>
      <c r="C85" s="879" t="s">
        <v>12</v>
      </c>
      <c r="D85" s="879" t="s">
        <v>1485</v>
      </c>
      <c r="E85" s="875" t="s">
        <v>13</v>
      </c>
      <c r="F85" s="780">
        <v>17</v>
      </c>
      <c r="G85" s="982"/>
      <c r="H85" s="622"/>
      <c r="I85" s="982"/>
      <c r="J85" s="622"/>
      <c r="K85" s="982"/>
      <c r="L85" s="927"/>
      <c r="M85" s="927"/>
      <c r="N85" s="878"/>
    </row>
    <row r="86" spans="1:15" s="224" customFormat="1" ht="15" customHeight="1" x14ac:dyDescent="0.25">
      <c r="A86" s="215">
        <v>44488</v>
      </c>
      <c r="B86" s="882" t="s">
        <v>14</v>
      </c>
      <c r="C86" s="879" t="s">
        <v>12</v>
      </c>
      <c r="D86" s="879" t="s">
        <v>1486</v>
      </c>
      <c r="E86" s="875" t="s">
        <v>13</v>
      </c>
      <c r="F86" s="780">
        <v>8.93</v>
      </c>
      <c r="G86" s="982"/>
      <c r="H86" s="1008"/>
      <c r="I86" s="1063"/>
      <c r="J86" s="622"/>
      <c r="K86" s="982"/>
      <c r="L86" s="1029"/>
      <c r="M86" s="89"/>
      <c r="N86" s="1081"/>
      <c r="O86" s="1082"/>
    </row>
    <row r="87" spans="1:15" s="224" customFormat="1" ht="15" customHeight="1" x14ac:dyDescent="0.25">
      <c r="A87" s="215">
        <v>44489</v>
      </c>
      <c r="B87" s="882" t="s">
        <v>2766</v>
      </c>
      <c r="C87" s="879" t="s">
        <v>12</v>
      </c>
      <c r="D87" s="879" t="s">
        <v>2157</v>
      </c>
      <c r="E87" s="875" t="s">
        <v>15</v>
      </c>
      <c r="F87" s="780">
        <v>50</v>
      </c>
      <c r="G87" s="982"/>
      <c r="H87" s="1008"/>
      <c r="I87" s="1064"/>
      <c r="J87" s="97"/>
      <c r="K87" s="946"/>
      <c r="L87" s="926"/>
      <c r="M87" s="89"/>
      <c r="N87" s="930"/>
    </row>
    <row r="88" spans="1:15" s="224" customFormat="1" ht="15" customHeight="1" x14ac:dyDescent="0.25">
      <c r="A88" s="215">
        <v>44489</v>
      </c>
      <c r="B88" s="882" t="s">
        <v>3102</v>
      </c>
      <c r="C88" s="350" t="s">
        <v>12</v>
      </c>
      <c r="D88" s="350"/>
      <c r="E88" s="480" t="s">
        <v>25</v>
      </c>
      <c r="F88" s="622"/>
      <c r="G88" s="982">
        <v>1840</v>
      </c>
      <c r="H88" s="1008"/>
      <c r="I88" s="1063"/>
      <c r="J88" s="622"/>
      <c r="K88" s="982"/>
      <c r="L88" s="861"/>
    </row>
    <row r="89" spans="1:15" s="224" customFormat="1" ht="15" customHeight="1" x14ac:dyDescent="0.25">
      <c r="A89" s="215">
        <v>44489</v>
      </c>
      <c r="B89" s="862" t="s">
        <v>2867</v>
      </c>
      <c r="C89" s="350" t="s">
        <v>12</v>
      </c>
      <c r="D89" s="874" t="s">
        <v>1504</v>
      </c>
      <c r="E89" s="887" t="s">
        <v>13</v>
      </c>
      <c r="F89" s="852">
        <v>30</v>
      </c>
      <c r="G89" s="982"/>
      <c r="H89" s="1009"/>
      <c r="I89" s="1063"/>
      <c r="J89" s="853"/>
      <c r="K89" s="982"/>
      <c r="L89" s="861"/>
      <c r="M89" s="927"/>
      <c r="N89" s="1035"/>
    </row>
    <row r="90" spans="1:15" s="224" customFormat="1" ht="15" customHeight="1" x14ac:dyDescent="0.25">
      <c r="A90" s="215">
        <v>44489</v>
      </c>
      <c r="B90" s="364" t="s">
        <v>2977</v>
      </c>
      <c r="C90" s="350" t="s">
        <v>12</v>
      </c>
      <c r="D90" s="350" t="s">
        <v>1491</v>
      </c>
      <c r="E90" s="875" t="s">
        <v>13</v>
      </c>
      <c r="F90" s="1047">
        <v>300</v>
      </c>
      <c r="G90" s="982"/>
      <c r="H90" s="1008"/>
      <c r="I90" s="1063"/>
      <c r="J90" s="622"/>
      <c r="K90" s="982"/>
      <c r="L90" s="861"/>
      <c r="N90" s="1035"/>
    </row>
    <row r="91" spans="1:15" s="224" customFormat="1" x14ac:dyDescent="0.25">
      <c r="A91" s="215">
        <v>44489</v>
      </c>
      <c r="B91" s="882" t="s">
        <v>14</v>
      </c>
      <c r="C91" s="879" t="s">
        <v>12</v>
      </c>
      <c r="D91" s="879" t="s">
        <v>1486</v>
      </c>
      <c r="E91" s="875" t="s">
        <v>13</v>
      </c>
      <c r="F91" s="1047">
        <v>8.56</v>
      </c>
      <c r="G91" s="982"/>
      <c r="H91" s="1008"/>
      <c r="I91" s="1063"/>
      <c r="J91" s="622"/>
      <c r="K91" s="982"/>
      <c r="L91" s="1029"/>
      <c r="M91" s="89"/>
      <c r="N91" s="930"/>
    </row>
    <row r="92" spans="1:15" s="224" customFormat="1" ht="15" customHeight="1" x14ac:dyDescent="0.25">
      <c r="A92" s="215">
        <v>44489</v>
      </c>
      <c r="B92" s="349" t="s">
        <v>260</v>
      </c>
      <c r="C92" s="350" t="s">
        <v>12</v>
      </c>
      <c r="D92" s="350"/>
      <c r="E92" s="480"/>
      <c r="F92" s="780">
        <v>450</v>
      </c>
      <c r="G92" s="946"/>
      <c r="H92" s="95"/>
      <c r="I92" s="1064">
        <v>450</v>
      </c>
      <c r="J92" s="622"/>
      <c r="K92" s="982"/>
      <c r="L92" s="861"/>
    </row>
    <row r="93" spans="1:15" s="224" customFormat="1" ht="15" customHeight="1" x14ac:dyDescent="0.25">
      <c r="A93" s="215">
        <v>44490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17</v>
      </c>
      <c r="G93" s="982"/>
      <c r="H93" s="622"/>
      <c r="I93" s="982"/>
      <c r="J93" s="622"/>
      <c r="K93" s="982"/>
      <c r="L93" s="927"/>
      <c r="M93" s="927"/>
      <c r="N93" s="878"/>
    </row>
    <row r="94" spans="1:15" s="224" customFormat="1" x14ac:dyDescent="0.25">
      <c r="A94" s="215">
        <v>44490</v>
      </c>
      <c r="B94" s="882" t="s">
        <v>14</v>
      </c>
      <c r="C94" s="879" t="s">
        <v>12</v>
      </c>
      <c r="D94" s="879" t="s">
        <v>1486</v>
      </c>
      <c r="E94" s="875" t="s">
        <v>13</v>
      </c>
      <c r="F94" s="780">
        <v>9.2799999999999994</v>
      </c>
      <c r="G94" s="982"/>
      <c r="H94" s="1008"/>
      <c r="I94" s="1063"/>
      <c r="J94" s="622"/>
      <c r="K94" s="982"/>
      <c r="L94" s="861"/>
      <c r="N94" s="878"/>
    </row>
    <row r="95" spans="1:15" s="224" customFormat="1" ht="15" customHeight="1" x14ac:dyDescent="0.25">
      <c r="A95" s="215">
        <v>44490</v>
      </c>
      <c r="B95" s="882" t="s">
        <v>2251</v>
      </c>
      <c r="C95" s="879" t="s">
        <v>12</v>
      </c>
      <c r="D95" s="879" t="s">
        <v>2157</v>
      </c>
      <c r="E95" s="875" t="s">
        <v>15</v>
      </c>
      <c r="F95" s="780">
        <v>20</v>
      </c>
      <c r="G95" s="982"/>
      <c r="H95" s="1008"/>
      <c r="I95" s="1064"/>
      <c r="J95" s="97"/>
      <c r="K95" s="946"/>
      <c r="L95" s="926"/>
      <c r="M95" s="89"/>
      <c r="N95" s="930"/>
    </row>
    <row r="96" spans="1:15" s="224" customFormat="1" ht="15" customHeight="1" x14ac:dyDescent="0.25">
      <c r="A96" s="215">
        <v>44491</v>
      </c>
      <c r="B96" s="349" t="s">
        <v>3103</v>
      </c>
      <c r="C96" s="350" t="s">
        <v>12</v>
      </c>
      <c r="D96" s="350" t="s">
        <v>1506</v>
      </c>
      <c r="E96" s="480" t="s">
        <v>13</v>
      </c>
      <c r="F96" s="780">
        <v>22</v>
      </c>
      <c r="G96" s="946"/>
      <c r="H96" s="95"/>
      <c r="I96" s="1064"/>
      <c r="J96" s="622"/>
      <c r="K96" s="982"/>
      <c r="L96" s="861"/>
    </row>
    <row r="97" spans="1:41" s="224" customFormat="1" ht="15" customHeight="1" x14ac:dyDescent="0.25">
      <c r="A97" s="215">
        <v>44491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17</v>
      </c>
      <c r="G97" s="982"/>
      <c r="H97" s="622"/>
      <c r="I97" s="982"/>
      <c r="J97" s="622"/>
      <c r="K97" s="982"/>
      <c r="L97" s="927"/>
      <c r="M97" s="927"/>
      <c r="N97" s="878"/>
    </row>
    <row r="98" spans="1:41" s="224" customFormat="1" ht="15" customHeight="1" x14ac:dyDescent="0.25">
      <c r="A98" s="215">
        <v>44491</v>
      </c>
      <c r="B98" s="882" t="s">
        <v>445</v>
      </c>
      <c r="C98" s="879" t="s">
        <v>12</v>
      </c>
      <c r="D98" s="879" t="s">
        <v>1493</v>
      </c>
      <c r="E98" s="875" t="s">
        <v>13</v>
      </c>
      <c r="F98" s="780">
        <v>6</v>
      </c>
      <c r="G98" s="982"/>
      <c r="H98" s="1008"/>
      <c r="I98" s="1063"/>
      <c r="J98" s="622"/>
      <c r="K98" s="982"/>
      <c r="L98" s="1029"/>
    </row>
    <row r="99" spans="1:41" s="224" customFormat="1" ht="15" customHeight="1" x14ac:dyDescent="0.25">
      <c r="A99" s="215">
        <v>44491</v>
      </c>
      <c r="B99" s="882" t="s">
        <v>14</v>
      </c>
      <c r="C99" s="879" t="s">
        <v>12</v>
      </c>
      <c r="D99" s="879" t="s">
        <v>1486</v>
      </c>
      <c r="E99" s="875" t="s">
        <v>13</v>
      </c>
      <c r="F99" s="780">
        <v>3.93</v>
      </c>
      <c r="G99" s="946"/>
      <c r="H99" s="95"/>
      <c r="I99" s="1064"/>
      <c r="J99" s="622"/>
      <c r="K99" s="982"/>
      <c r="L99" s="861"/>
    </row>
    <row r="100" spans="1:41" s="224" customFormat="1" ht="15" customHeight="1" x14ac:dyDescent="0.25">
      <c r="A100" s="215">
        <v>44492</v>
      </c>
      <c r="B100" s="882" t="s">
        <v>14</v>
      </c>
      <c r="C100" s="879" t="s">
        <v>12</v>
      </c>
      <c r="D100" s="879" t="s">
        <v>1486</v>
      </c>
      <c r="E100" s="875" t="s">
        <v>13</v>
      </c>
      <c r="F100" s="780">
        <v>3.51</v>
      </c>
      <c r="G100" s="946"/>
      <c r="H100" s="95"/>
      <c r="I100" s="1064"/>
      <c r="J100" s="622"/>
      <c r="K100" s="982"/>
      <c r="L100" s="861"/>
    </row>
    <row r="101" spans="1:41" s="224" customFormat="1" ht="15" customHeight="1" x14ac:dyDescent="0.25">
      <c r="A101" s="215">
        <v>44492</v>
      </c>
      <c r="B101" s="882" t="s">
        <v>2251</v>
      </c>
      <c r="C101" s="879" t="s">
        <v>12</v>
      </c>
      <c r="D101" s="879" t="s">
        <v>2157</v>
      </c>
      <c r="E101" s="875" t="s">
        <v>13</v>
      </c>
      <c r="F101" s="780">
        <v>60</v>
      </c>
      <c r="G101" s="982"/>
      <c r="H101" s="1008"/>
      <c r="I101" s="1064"/>
      <c r="J101" s="97"/>
      <c r="K101" s="946"/>
      <c r="L101" s="926"/>
      <c r="M101" s="89"/>
      <c r="N101" s="930"/>
    </row>
    <row r="102" spans="1:41" s="224" customFormat="1" ht="15" customHeight="1" x14ac:dyDescent="0.25">
      <c r="A102" s="215">
        <v>44492</v>
      </c>
      <c r="B102" s="882" t="s">
        <v>14</v>
      </c>
      <c r="C102" s="879" t="s">
        <v>12</v>
      </c>
      <c r="D102" s="879" t="s">
        <v>1486</v>
      </c>
      <c r="E102" s="875" t="s">
        <v>13</v>
      </c>
      <c r="F102" s="780">
        <v>6.49</v>
      </c>
      <c r="G102" s="946"/>
      <c r="H102" s="95"/>
      <c r="I102" s="1064"/>
      <c r="J102" s="622"/>
      <c r="K102" s="982"/>
      <c r="L102" s="861"/>
    </row>
    <row r="103" spans="1:41" s="224" customFormat="1" ht="15" customHeight="1" x14ac:dyDescent="0.25">
      <c r="A103" s="215">
        <v>44492</v>
      </c>
      <c r="B103" s="364" t="s">
        <v>32</v>
      </c>
      <c r="C103" s="350" t="s">
        <v>12</v>
      </c>
      <c r="D103" s="350" t="s">
        <v>1485</v>
      </c>
      <c r="E103" s="875" t="s">
        <v>13</v>
      </c>
      <c r="F103" s="780">
        <v>18</v>
      </c>
      <c r="G103" s="982"/>
      <c r="H103" s="1008"/>
      <c r="I103" s="1063"/>
      <c r="J103" s="622"/>
      <c r="K103" s="982"/>
      <c r="L103" s="861"/>
      <c r="N103" s="1035"/>
    </row>
    <row r="104" spans="1:41" s="224" customFormat="1" ht="15" customHeight="1" x14ac:dyDescent="0.25">
      <c r="A104" s="215">
        <v>44492</v>
      </c>
      <c r="B104" s="364" t="s">
        <v>43</v>
      </c>
      <c r="C104" s="350" t="s">
        <v>12</v>
      </c>
      <c r="D104" s="350" t="s">
        <v>1493</v>
      </c>
      <c r="E104" s="875" t="s">
        <v>13</v>
      </c>
      <c r="F104" s="780">
        <v>18</v>
      </c>
      <c r="G104" s="982"/>
      <c r="H104" s="1008"/>
      <c r="I104" s="1063"/>
      <c r="J104" s="622"/>
      <c r="K104" s="982"/>
      <c r="L104" s="861"/>
      <c r="N104" s="1035"/>
    </row>
    <row r="105" spans="1:41" s="224" customFormat="1" ht="15" customHeight="1" x14ac:dyDescent="0.25">
      <c r="A105" s="215">
        <v>44492</v>
      </c>
      <c r="B105" s="882" t="s">
        <v>2197</v>
      </c>
      <c r="C105" s="879" t="s">
        <v>12</v>
      </c>
      <c r="D105" s="879" t="s">
        <v>2168</v>
      </c>
      <c r="E105" s="875" t="s">
        <v>13</v>
      </c>
      <c r="F105" s="780">
        <v>30</v>
      </c>
      <c r="G105" s="982"/>
      <c r="H105" s="1008"/>
      <c r="I105" s="1063"/>
      <c r="J105" s="622"/>
      <c r="K105" s="982"/>
      <c r="L105" s="1029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</row>
    <row r="106" spans="1:41" s="224" customFormat="1" ht="15" customHeight="1" x14ac:dyDescent="0.25">
      <c r="A106" s="215">
        <v>44492</v>
      </c>
      <c r="B106" s="882" t="s">
        <v>82</v>
      </c>
      <c r="C106" s="879" t="s">
        <v>12</v>
      </c>
      <c r="D106" s="879" t="s">
        <v>1493</v>
      </c>
      <c r="E106" s="875" t="s">
        <v>13</v>
      </c>
      <c r="F106" s="780">
        <v>25.6</v>
      </c>
      <c r="G106" s="946"/>
      <c r="H106" s="95"/>
      <c r="I106" s="1064"/>
      <c r="J106" s="622"/>
      <c r="K106" s="982"/>
      <c r="L106" s="861"/>
      <c r="N106" s="927"/>
      <c r="O106" s="999"/>
    </row>
    <row r="107" spans="1:41" s="224" customFormat="1" ht="15" customHeight="1" x14ac:dyDescent="0.25">
      <c r="A107" s="215">
        <v>44493</v>
      </c>
      <c r="B107" s="882" t="s">
        <v>421</v>
      </c>
      <c r="C107" s="879" t="s">
        <v>12</v>
      </c>
      <c r="D107" s="879" t="s">
        <v>1493</v>
      </c>
      <c r="E107" s="871" t="s">
        <v>13</v>
      </c>
      <c r="F107" s="780">
        <v>33</v>
      </c>
      <c r="G107" s="946"/>
      <c r="H107" s="95"/>
      <c r="I107" s="1064"/>
      <c r="J107" s="622"/>
      <c r="K107" s="982"/>
      <c r="L107" s="861"/>
      <c r="N107" s="927"/>
      <c r="O107" s="999"/>
    </row>
    <row r="108" spans="1:41" s="224" customFormat="1" ht="15" customHeight="1" x14ac:dyDescent="0.25">
      <c r="A108" s="215">
        <v>44494</v>
      </c>
      <c r="B108" s="862" t="s">
        <v>3046</v>
      </c>
      <c r="C108" s="879" t="s">
        <v>12</v>
      </c>
      <c r="D108" s="879" t="s">
        <v>1504</v>
      </c>
      <c r="E108" s="871" t="s">
        <v>13</v>
      </c>
      <c r="F108" s="622">
        <v>25.9</v>
      </c>
      <c r="G108" s="1034"/>
      <c r="H108" s="1008"/>
      <c r="I108" s="1063"/>
      <c r="J108" s="622"/>
      <c r="K108" s="982"/>
      <c r="L108" s="475"/>
      <c r="N108" s="878"/>
    </row>
    <row r="109" spans="1:41" s="224" customFormat="1" ht="15" customHeight="1" x14ac:dyDescent="0.25">
      <c r="A109" s="215">
        <v>44494</v>
      </c>
      <c r="B109" s="364" t="s">
        <v>32</v>
      </c>
      <c r="C109" s="350" t="s">
        <v>12</v>
      </c>
      <c r="D109" s="350" t="s">
        <v>1485</v>
      </c>
      <c r="E109" s="875" t="s">
        <v>13</v>
      </c>
      <c r="F109" s="780">
        <v>17</v>
      </c>
      <c r="G109" s="982"/>
      <c r="H109" s="1008"/>
      <c r="I109" s="1063"/>
      <c r="J109" s="622"/>
      <c r="K109" s="982"/>
      <c r="L109" s="861"/>
      <c r="N109" s="1035"/>
    </row>
    <row r="110" spans="1:41" s="224" customFormat="1" ht="15" customHeight="1" x14ac:dyDescent="0.25">
      <c r="A110" s="215">
        <v>44494</v>
      </c>
      <c r="B110" s="882" t="s">
        <v>14</v>
      </c>
      <c r="C110" s="879" t="s">
        <v>12</v>
      </c>
      <c r="D110" s="879" t="s">
        <v>1486</v>
      </c>
      <c r="E110" s="875" t="s">
        <v>13</v>
      </c>
      <c r="F110" s="780">
        <v>4.59</v>
      </c>
      <c r="G110" s="946"/>
      <c r="H110" s="95"/>
      <c r="I110" s="1064"/>
      <c r="J110" s="622"/>
      <c r="K110" s="982"/>
      <c r="L110" s="861"/>
    </row>
    <row r="111" spans="1:41" s="224" customFormat="1" ht="15" customHeight="1" x14ac:dyDescent="0.25">
      <c r="A111" s="215">
        <v>44494</v>
      </c>
      <c r="B111" s="882" t="s">
        <v>2251</v>
      </c>
      <c r="C111" s="879" t="s">
        <v>12</v>
      </c>
      <c r="D111" s="879" t="s">
        <v>2157</v>
      </c>
      <c r="E111" s="875" t="s">
        <v>13</v>
      </c>
      <c r="F111" s="780">
        <v>40</v>
      </c>
      <c r="G111" s="982"/>
      <c r="H111" s="1008"/>
      <c r="I111" s="1064"/>
      <c r="J111" s="97"/>
      <c r="K111" s="946"/>
      <c r="L111" s="926"/>
      <c r="M111" s="89"/>
      <c r="N111" s="930"/>
    </row>
    <row r="112" spans="1:41" s="224" customFormat="1" ht="15" customHeight="1" x14ac:dyDescent="0.25">
      <c r="A112" s="215">
        <v>44495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780">
        <v>18</v>
      </c>
      <c r="G112" s="982"/>
      <c r="H112" s="1008"/>
      <c r="I112" s="1063"/>
      <c r="J112" s="622"/>
      <c r="K112" s="982"/>
      <c r="L112" s="861"/>
      <c r="N112" s="1035"/>
    </row>
    <row r="113" spans="1:15" s="224" customFormat="1" ht="15" customHeight="1" x14ac:dyDescent="0.25">
      <c r="A113" s="215">
        <v>44496</v>
      </c>
      <c r="B113" s="364" t="s">
        <v>32</v>
      </c>
      <c r="C113" s="350" t="s">
        <v>12</v>
      </c>
      <c r="D113" s="350" t="s">
        <v>1485</v>
      </c>
      <c r="E113" s="875" t="s">
        <v>13</v>
      </c>
      <c r="F113" s="780">
        <v>18</v>
      </c>
      <c r="G113" s="982"/>
      <c r="H113" s="1008"/>
      <c r="I113" s="1063"/>
      <c r="J113" s="622"/>
      <c r="K113" s="982"/>
      <c r="L113" s="861"/>
      <c r="N113" s="1080"/>
      <c r="O113" s="999"/>
    </row>
    <row r="114" spans="1:15" s="224" customFormat="1" ht="15" customHeight="1" x14ac:dyDescent="0.25">
      <c r="A114" s="215">
        <v>44496</v>
      </c>
      <c r="B114" s="364" t="s">
        <v>478</v>
      </c>
      <c r="C114" s="350" t="s">
        <v>12</v>
      </c>
      <c r="D114" s="350" t="s">
        <v>1489</v>
      </c>
      <c r="E114" s="875" t="s">
        <v>13</v>
      </c>
      <c r="F114" s="780">
        <v>4.0999999999999996</v>
      </c>
      <c r="G114" s="982"/>
      <c r="H114" s="1008"/>
      <c r="I114" s="1063"/>
      <c r="J114" s="622"/>
      <c r="K114" s="982"/>
      <c r="L114" s="861"/>
      <c r="N114" s="1080"/>
      <c r="O114" s="999"/>
    </row>
    <row r="115" spans="1:15" s="224" customFormat="1" ht="15" customHeight="1" x14ac:dyDescent="0.25">
      <c r="A115" s="215">
        <v>44496</v>
      </c>
      <c r="B115" s="364" t="s">
        <v>3104</v>
      </c>
      <c r="C115" s="350" t="s">
        <v>12</v>
      </c>
      <c r="D115" s="350" t="s">
        <v>1489</v>
      </c>
      <c r="E115" s="875" t="s">
        <v>13</v>
      </c>
      <c r="F115" s="780">
        <v>50</v>
      </c>
      <c r="G115" s="982"/>
      <c r="H115" s="1008"/>
      <c r="I115" s="1063"/>
      <c r="J115" s="622"/>
      <c r="K115" s="982"/>
      <c r="L115" s="1029">
        <v>105</v>
      </c>
      <c r="M115" s="89"/>
      <c r="N115" s="1081"/>
      <c r="O115" s="1082"/>
    </row>
    <row r="116" spans="1:15" s="224" customFormat="1" ht="15" customHeight="1" x14ac:dyDescent="0.25">
      <c r="A116" s="215">
        <v>44496</v>
      </c>
      <c r="B116" s="882" t="s">
        <v>14</v>
      </c>
      <c r="C116" s="879" t="s">
        <v>12</v>
      </c>
      <c r="D116" s="879" t="s">
        <v>1486</v>
      </c>
      <c r="E116" s="875" t="s">
        <v>13</v>
      </c>
      <c r="F116" s="780">
        <v>4.2</v>
      </c>
      <c r="G116" s="982"/>
      <c r="H116" s="1008"/>
      <c r="I116" s="1063"/>
      <c r="J116" s="622"/>
      <c r="K116" s="982"/>
      <c r="L116" s="1029"/>
      <c r="M116" s="89"/>
      <c r="N116" s="1081"/>
      <c r="O116" s="1082"/>
    </row>
    <row r="117" spans="1:15" s="224" customFormat="1" ht="15" customHeight="1" x14ac:dyDescent="0.25">
      <c r="A117" s="215">
        <v>44497</v>
      </c>
      <c r="B117" s="882" t="s">
        <v>2251</v>
      </c>
      <c r="C117" s="879" t="s">
        <v>12</v>
      </c>
      <c r="D117" s="879" t="s">
        <v>2157</v>
      </c>
      <c r="E117" s="875" t="s">
        <v>13</v>
      </c>
      <c r="F117" s="780">
        <v>50</v>
      </c>
      <c r="G117" s="982"/>
      <c r="H117" s="1008"/>
      <c r="I117" s="1064"/>
      <c r="J117" s="97"/>
      <c r="K117" s="946"/>
      <c r="L117" s="926"/>
      <c r="M117" s="89"/>
      <c r="N117" s="930"/>
    </row>
    <row r="118" spans="1:15" s="224" customFormat="1" ht="15" customHeight="1" x14ac:dyDescent="0.25">
      <c r="A118" s="215">
        <v>44497</v>
      </c>
      <c r="B118" s="364" t="s">
        <v>32</v>
      </c>
      <c r="C118" s="350" t="s">
        <v>12</v>
      </c>
      <c r="D118" s="350" t="s">
        <v>1485</v>
      </c>
      <c r="E118" s="875" t="s">
        <v>13</v>
      </c>
      <c r="F118" s="780">
        <v>18</v>
      </c>
      <c r="G118" s="982"/>
      <c r="H118" s="1008"/>
      <c r="I118" s="1063"/>
      <c r="J118" s="622"/>
      <c r="K118" s="982"/>
      <c r="L118" s="861"/>
      <c r="N118" s="1080"/>
      <c r="O118" s="999"/>
    </row>
    <row r="119" spans="1:15" s="224" customFormat="1" ht="15" customHeight="1" x14ac:dyDescent="0.25">
      <c r="A119" s="215">
        <v>44497</v>
      </c>
      <c r="B119" s="882" t="s">
        <v>14</v>
      </c>
      <c r="C119" s="879" t="s">
        <v>12</v>
      </c>
      <c r="D119" s="879" t="s">
        <v>1486</v>
      </c>
      <c r="E119" s="875" t="s">
        <v>13</v>
      </c>
      <c r="F119" s="780">
        <v>9.27</v>
      </c>
      <c r="G119" s="982"/>
      <c r="H119" s="1008"/>
      <c r="I119" s="1063"/>
      <c r="J119" s="622"/>
      <c r="K119" s="982"/>
      <c r="L119" s="1029"/>
      <c r="M119" s="89"/>
      <c r="N119" s="930"/>
    </row>
    <row r="120" spans="1:15" s="224" customFormat="1" ht="15" customHeight="1" x14ac:dyDescent="0.25">
      <c r="A120" s="215">
        <v>44498</v>
      </c>
      <c r="B120" s="364" t="s">
        <v>32</v>
      </c>
      <c r="C120" s="350" t="s">
        <v>12</v>
      </c>
      <c r="D120" s="350" t="s">
        <v>1485</v>
      </c>
      <c r="E120" s="875" t="s">
        <v>13</v>
      </c>
      <c r="F120" s="780">
        <v>18</v>
      </c>
      <c r="G120" s="982"/>
      <c r="H120" s="1008"/>
      <c r="I120" s="1063"/>
      <c r="J120" s="622"/>
      <c r="K120" s="982"/>
      <c r="L120" s="861"/>
      <c r="N120" s="1080"/>
      <c r="O120" s="999"/>
    </row>
    <row r="121" spans="1:15" s="224" customFormat="1" ht="15" customHeight="1" x14ac:dyDescent="0.25">
      <c r="A121" s="215">
        <v>44498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6.25</v>
      </c>
      <c r="G121" s="982"/>
      <c r="H121" s="1008"/>
      <c r="I121" s="1063"/>
      <c r="J121" s="622"/>
      <c r="K121" s="982"/>
      <c r="L121" s="1029"/>
      <c r="M121" s="89"/>
      <c r="N121" s="930"/>
    </row>
    <row r="122" spans="1:15" s="224" customFormat="1" ht="15" customHeight="1" x14ac:dyDescent="0.25">
      <c r="A122" s="215">
        <v>44499</v>
      </c>
      <c r="B122" s="882" t="s">
        <v>14</v>
      </c>
      <c r="C122" s="879" t="s">
        <v>12</v>
      </c>
      <c r="D122" s="879" t="s">
        <v>1486</v>
      </c>
      <c r="E122" s="875" t="s">
        <v>13</v>
      </c>
      <c r="F122" s="780">
        <v>5.19</v>
      </c>
      <c r="G122" s="982"/>
      <c r="H122" s="1008"/>
      <c r="I122" s="1063"/>
      <c r="J122" s="622"/>
      <c r="K122" s="982"/>
      <c r="L122" s="1029"/>
      <c r="M122" s="89"/>
      <c r="N122" s="930"/>
    </row>
    <row r="123" spans="1:15" s="224" customFormat="1" ht="15" customHeight="1" x14ac:dyDescent="0.25">
      <c r="A123" s="215">
        <v>44499</v>
      </c>
      <c r="B123" s="364" t="s">
        <v>3105</v>
      </c>
      <c r="C123" s="350" t="s">
        <v>12</v>
      </c>
      <c r="D123" s="350" t="s">
        <v>1489</v>
      </c>
      <c r="E123" s="875" t="s">
        <v>13</v>
      </c>
      <c r="F123" s="780">
        <v>83.8</v>
      </c>
      <c r="G123" s="982"/>
      <c r="H123" s="1008"/>
      <c r="I123" s="1063"/>
      <c r="J123" s="622"/>
      <c r="K123" s="982"/>
      <c r="L123" s="1029"/>
      <c r="M123" s="89"/>
      <c r="N123" s="930"/>
    </row>
    <row r="124" spans="1:15" s="224" customFormat="1" ht="15" customHeight="1" x14ac:dyDescent="0.25">
      <c r="A124" s="215">
        <v>44499</v>
      </c>
      <c r="B124" s="364" t="s">
        <v>3106</v>
      </c>
      <c r="C124" s="350" t="s">
        <v>12</v>
      </c>
      <c r="D124" s="350" t="s">
        <v>1523</v>
      </c>
      <c r="E124" s="875" t="s">
        <v>13</v>
      </c>
      <c r="F124" s="780">
        <v>20</v>
      </c>
      <c r="G124" s="982"/>
      <c r="H124" s="1008"/>
      <c r="I124" s="1063"/>
      <c r="J124" s="622"/>
      <c r="K124" s="982"/>
      <c r="L124" s="1029"/>
      <c r="M124" s="89"/>
      <c r="N124" s="930"/>
    </row>
    <row r="125" spans="1:15" s="224" customFormat="1" ht="15" customHeight="1" x14ac:dyDescent="0.25">
      <c r="A125" s="215">
        <v>44500</v>
      </c>
      <c r="B125" s="882" t="s">
        <v>14</v>
      </c>
      <c r="C125" s="879" t="s">
        <v>12</v>
      </c>
      <c r="D125" s="879" t="s">
        <v>1486</v>
      </c>
      <c r="E125" s="875" t="s">
        <v>13</v>
      </c>
      <c r="F125" s="780">
        <v>11.29</v>
      </c>
      <c r="G125" s="982"/>
      <c r="H125" s="1008"/>
      <c r="I125" s="1063"/>
      <c r="J125" s="622"/>
      <c r="K125" s="982"/>
      <c r="L125" s="1029"/>
      <c r="M125" s="89"/>
      <c r="N125" s="930"/>
    </row>
    <row r="126" spans="1:15" s="224" customFormat="1" x14ac:dyDescent="0.25">
      <c r="A126" s="215">
        <v>44500</v>
      </c>
      <c r="B126" s="364" t="s">
        <v>134</v>
      </c>
      <c r="C126" s="350" t="s">
        <v>12</v>
      </c>
      <c r="D126" s="350" t="s">
        <v>1493</v>
      </c>
      <c r="E126" s="875" t="s">
        <v>13</v>
      </c>
      <c r="F126" s="1047">
        <v>10.72</v>
      </c>
      <c r="G126" s="982"/>
      <c r="H126" s="1008"/>
      <c r="I126" s="1063"/>
      <c r="J126" s="622"/>
      <c r="K126" s="982"/>
      <c r="L126" s="1029"/>
      <c r="M126" s="89"/>
      <c r="N126" s="930"/>
    </row>
    <row r="127" spans="1:15" s="224" customFormat="1" ht="15.75" thickBot="1" x14ac:dyDescent="0.3">
      <c r="A127" s="215">
        <v>44500</v>
      </c>
      <c r="B127" s="862" t="s">
        <v>1666</v>
      </c>
      <c r="C127" s="350" t="s">
        <v>12</v>
      </c>
      <c r="D127" s="1003"/>
      <c r="E127" s="145" t="s">
        <v>25</v>
      </c>
      <c r="F127" s="1036"/>
      <c r="G127" s="1535"/>
      <c r="H127" s="1008"/>
      <c r="I127" s="1063"/>
      <c r="J127" s="622"/>
      <c r="K127" s="982">
        <v>66.16</v>
      </c>
      <c r="L127" s="475"/>
      <c r="N127" s="878"/>
    </row>
    <row r="128" spans="1:15" ht="25.5" customHeight="1" thickBot="1" x14ac:dyDescent="0.3">
      <c r="A128" s="3060"/>
      <c r="B128" s="3061"/>
      <c r="C128" s="3062"/>
      <c r="D128" s="3062"/>
      <c r="E128" s="3062"/>
      <c r="F128" s="1020">
        <f>SUM(F6:F127)</f>
        <v>10599.302500000005</v>
      </c>
      <c r="G128" s="1534">
        <f>SUM(G5:G127)</f>
        <v>11335.964583333352</v>
      </c>
      <c r="H128" s="517">
        <f>SUM(H6:H127)</f>
        <v>1200</v>
      </c>
      <c r="I128" s="93">
        <f>SUM(I5:I127)</f>
        <v>2749.9960000000028</v>
      </c>
      <c r="J128" s="1023">
        <f>SUM(J6:J127)</f>
        <v>0</v>
      </c>
      <c r="K128" s="93">
        <f>SUM(K5:K127)</f>
        <v>13574.409999999996</v>
      </c>
      <c r="M128" s="216"/>
    </row>
    <row r="129" spans="1:20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736.66208333334725</v>
      </c>
      <c r="H129" s="555"/>
      <c r="I129" s="772">
        <f>I128-H128</f>
        <v>1549.9960000000028</v>
      </c>
      <c r="J129" s="593"/>
      <c r="K129" s="772">
        <f>K128-J128</f>
        <v>13574.409999999996</v>
      </c>
    </row>
    <row r="130" spans="1:20" x14ac:dyDescent="0.25">
      <c r="L130" s="89"/>
      <c r="N130" s="79"/>
      <c r="Q130" s="518"/>
      <c r="R130" s="216"/>
      <c r="T130" s="877"/>
    </row>
    <row r="131" spans="1:20" x14ac:dyDescent="0.25">
      <c r="B131" s="81" t="s">
        <v>3</v>
      </c>
      <c r="C131" s="193" t="s">
        <v>1484</v>
      </c>
      <c r="D131" s="970" t="s">
        <v>2378</v>
      </c>
      <c r="G131" s="216"/>
      <c r="K131" s="866"/>
    </row>
    <row r="132" spans="1:20" x14ac:dyDescent="0.25">
      <c r="B132" s="79" t="s">
        <v>32</v>
      </c>
      <c r="C132" s="85" t="s">
        <v>1485</v>
      </c>
      <c r="D132" s="475">
        <f>SUMIF($D$7:$D$127,"A",$F$7:$F$127)</f>
        <v>364</v>
      </c>
      <c r="F132" s="79"/>
      <c r="G132" s="800"/>
      <c r="I132" s="769"/>
      <c r="J132" s="868"/>
    </row>
    <row r="133" spans="1:20" x14ac:dyDescent="0.25">
      <c r="B133" s="79" t="s">
        <v>2187</v>
      </c>
      <c r="C133" s="85" t="s">
        <v>2157</v>
      </c>
      <c r="D133" s="475">
        <f>SUMIF($D$7:$D$127,"GAC",$F$7:$F$127)</f>
        <v>500</v>
      </c>
      <c r="G133" s="609"/>
      <c r="J133" s="754"/>
      <c r="K133" s="886"/>
      <c r="L133" s="1030"/>
    </row>
    <row r="134" spans="1:20" x14ac:dyDescent="0.25">
      <c r="B134" s="79" t="s">
        <v>2188</v>
      </c>
      <c r="C134" s="85" t="s">
        <v>2168</v>
      </c>
      <c r="D134" s="475">
        <f>SUMIF($D$21:$D$127,"GAM",$F$21:$F$127)</f>
        <v>30</v>
      </c>
      <c r="J134" s="864"/>
      <c r="K134" s="864"/>
      <c r="L134" s="958"/>
    </row>
    <row r="135" spans="1:20" s="85" customFormat="1" x14ac:dyDescent="0.25">
      <c r="A135" s="79"/>
      <c r="B135" s="79" t="s">
        <v>50</v>
      </c>
      <c r="C135" s="85" t="s">
        <v>1493</v>
      </c>
      <c r="D135" s="475">
        <f>SUMIF($D$7:$D$127,"LD",$F$7:$F$127)</f>
        <v>272.26</v>
      </c>
      <c r="J135" s="864"/>
      <c r="K135" s="1032"/>
      <c r="L135" s="958"/>
      <c r="N135" s="877"/>
    </row>
    <row r="136" spans="1:20" s="85" customFormat="1" x14ac:dyDescent="0.25">
      <c r="A136" s="79"/>
      <c r="B136" s="79" t="s">
        <v>14</v>
      </c>
      <c r="C136" s="85" t="s">
        <v>1486</v>
      </c>
      <c r="D136" s="475">
        <f>SUMIF($D$7:$D$127,"C",$F$7:$F$127)</f>
        <v>167.35999999999999</v>
      </c>
      <c r="F136" s="89"/>
      <c r="G136" s="79"/>
      <c r="H136" s="79"/>
      <c r="J136" s="864"/>
      <c r="K136" s="1032"/>
      <c r="L136" s="958"/>
      <c r="N136" s="877"/>
    </row>
    <row r="137" spans="1:20" s="85" customFormat="1" x14ac:dyDescent="0.25">
      <c r="A137" s="79"/>
      <c r="B137" s="79" t="s">
        <v>51</v>
      </c>
      <c r="C137" s="864" t="s">
        <v>1499</v>
      </c>
      <c r="D137" s="475">
        <f>SUMIF($D$32:$D$127,"CAL",$F$32:$F$127)</f>
        <v>124.7</v>
      </c>
      <c r="F137" s="89"/>
      <c r="G137" s="79"/>
      <c r="H137" s="79"/>
      <c r="I137" s="79"/>
      <c r="K137" s="795"/>
      <c r="L137" s="958"/>
      <c r="N137" s="877"/>
    </row>
    <row r="138" spans="1:20" s="85" customFormat="1" x14ac:dyDescent="0.25">
      <c r="A138" s="79"/>
      <c r="B138" s="79" t="s">
        <v>2189</v>
      </c>
      <c r="C138" s="864" t="s">
        <v>1496</v>
      </c>
      <c r="D138" s="475">
        <f>SUMIF($D$25:$D$127,"AC",$F$25:$F$127)</f>
        <v>80</v>
      </c>
      <c r="F138" s="769"/>
      <c r="G138" s="79"/>
      <c r="K138" s="177"/>
      <c r="L138" s="941"/>
      <c r="N138" s="877"/>
    </row>
    <row r="139" spans="1:20" s="85" customFormat="1" x14ac:dyDescent="0.25">
      <c r="A139" s="79"/>
      <c r="B139" s="867" t="s">
        <v>53</v>
      </c>
      <c r="C139" s="864" t="s">
        <v>1522</v>
      </c>
      <c r="D139" s="475">
        <f>SUMIF($D$7:$D$127,"DC",$F$7:$F$127)</f>
        <v>497.36250000000001</v>
      </c>
      <c r="K139" s="177"/>
      <c r="L139" s="475"/>
      <c r="N139" s="877"/>
    </row>
    <row r="140" spans="1:20" s="85" customFormat="1" x14ac:dyDescent="0.25">
      <c r="A140" s="79"/>
      <c r="B140" s="867" t="s">
        <v>2149</v>
      </c>
      <c r="C140" s="864" t="s">
        <v>2131</v>
      </c>
      <c r="D140" s="475">
        <f>SUMIF($D$6:$D$127,"DM",$F$6:$F$127)</f>
        <v>0</v>
      </c>
      <c r="F140" s="769"/>
      <c r="K140" s="177" t="s">
        <v>280</v>
      </c>
      <c r="L140" s="475"/>
      <c r="N140" s="877"/>
    </row>
    <row r="141" spans="1:20" s="85" customFormat="1" x14ac:dyDescent="0.25">
      <c r="A141" s="79"/>
      <c r="B141" s="79" t="s">
        <v>3048</v>
      </c>
      <c r="C141" s="864" t="s">
        <v>1523</v>
      </c>
      <c r="D141" s="475">
        <f ca="1">SUMIF($D$7:$D$128,"B",$F$7:$F$127)</f>
        <v>161</v>
      </c>
      <c r="F141" s="769"/>
      <c r="G141" s="866"/>
      <c r="K141" s="177"/>
      <c r="L141" s="475"/>
      <c r="N141" s="877"/>
    </row>
    <row r="142" spans="1:20" s="85" customFormat="1" x14ac:dyDescent="0.25">
      <c r="A142" s="79"/>
      <c r="B142" s="79" t="s">
        <v>1686</v>
      </c>
      <c r="C142" s="864" t="s">
        <v>1506</v>
      </c>
      <c r="D142" s="475">
        <f>SUMIF($D$7:$D$127,"R",$F$7:$F$127)</f>
        <v>215.15</v>
      </c>
      <c r="F142" s="769"/>
      <c r="G142" s="868"/>
      <c r="K142" s="866"/>
      <c r="L142" s="475"/>
      <c r="N142" s="877"/>
    </row>
    <row r="143" spans="1:20" x14ac:dyDescent="0.25">
      <c r="B143" s="79" t="s">
        <v>418</v>
      </c>
      <c r="C143" s="85" t="s">
        <v>1524</v>
      </c>
      <c r="D143" s="475">
        <f>SUMIF($D$32:$D$127,"COM",$F$32:$F$127)</f>
        <v>0</v>
      </c>
      <c r="G143" s="85"/>
      <c r="H143" s="85"/>
      <c r="I143" s="85"/>
      <c r="J143" s="769"/>
      <c r="K143" s="216"/>
    </row>
    <row r="144" spans="1:20" x14ac:dyDescent="0.25">
      <c r="B144" s="79" t="s">
        <v>419</v>
      </c>
      <c r="C144" s="85" t="s">
        <v>1491</v>
      </c>
      <c r="D144" s="475">
        <f>SUMIF($D$21:$D$127,"F",$F$21:$F$127)</f>
        <v>772.05</v>
      </c>
      <c r="I144" s="85"/>
      <c r="K144" s="216"/>
    </row>
    <row r="145" spans="1:18" x14ac:dyDescent="0.25">
      <c r="B145" s="79" t="s">
        <v>911</v>
      </c>
      <c r="C145" s="85" t="s">
        <v>1525</v>
      </c>
      <c r="D145" s="475">
        <f>SUMIF($D$7:$D$127,"FER",$F$7:$F$127)</f>
        <v>0</v>
      </c>
      <c r="J145" s="769"/>
      <c r="K145" s="868"/>
    </row>
    <row r="146" spans="1:18" x14ac:dyDescent="0.25">
      <c r="B146" s="79" t="s">
        <v>1526</v>
      </c>
      <c r="C146" s="85" t="s">
        <v>1504</v>
      </c>
      <c r="D146" s="475">
        <f>SUMIF($D$32:$D$127,"I",$F$32:$F$127)</f>
        <v>145.9</v>
      </c>
      <c r="F146" s="89" t="s">
        <v>280</v>
      </c>
      <c r="J146" s="769"/>
      <c r="K146" s="868"/>
    </row>
    <row r="147" spans="1:18" x14ac:dyDescent="0.25">
      <c r="B147" s="79" t="s">
        <v>2343</v>
      </c>
      <c r="C147" s="85" t="s">
        <v>2315</v>
      </c>
      <c r="D147" s="475">
        <f>SUMIF($D$7:$D$127,"E",$F$7:$F$127)</f>
        <v>0</v>
      </c>
      <c r="J147" s="769"/>
      <c r="K147" s="868"/>
    </row>
    <row r="148" spans="1:18" x14ac:dyDescent="0.25">
      <c r="B148" s="79" t="s">
        <v>3019</v>
      </c>
      <c r="C148" s="85" t="s">
        <v>3017</v>
      </c>
      <c r="D148" s="475">
        <f>SUMIF($D$6:$D$127,"IM",$F$6:$F$127)</f>
        <v>4074.15</v>
      </c>
      <c r="J148" s="769"/>
    </row>
    <row r="149" spans="1:18" x14ac:dyDescent="0.25">
      <c r="B149" s="79" t="s">
        <v>1527</v>
      </c>
      <c r="C149" s="85" t="s">
        <v>1489</v>
      </c>
      <c r="D149" s="475">
        <f>SUMIF($D$7:$D$127,"OD",$F$7:$F$127)</f>
        <v>344.13000000000005</v>
      </c>
    </row>
    <row r="150" spans="1:18" x14ac:dyDescent="0.25">
      <c r="C150" s="79"/>
      <c r="D150" s="629"/>
      <c r="E150" s="79"/>
      <c r="F150" s="79"/>
      <c r="L150" s="79"/>
      <c r="N150" s="79"/>
    </row>
    <row r="151" spans="1:18" x14ac:dyDescent="0.25">
      <c r="B151" s="79" t="s">
        <v>486</v>
      </c>
      <c r="C151" s="475">
        <f ca="1">H151/J151</f>
        <v>249.9375</v>
      </c>
      <c r="F151" s="518" t="s">
        <v>487</v>
      </c>
      <c r="H151" s="629">
        <f ca="1">SUM(D132:D149)</f>
        <v>7748.0625</v>
      </c>
      <c r="I151" s="216"/>
      <c r="J151" s="1517">
        <v>31</v>
      </c>
    </row>
    <row r="152" spans="1:18" ht="15.75" customHeight="1" x14ac:dyDescent="0.25">
      <c r="E152" s="769"/>
      <c r="H152" s="85"/>
      <c r="K152" s="868"/>
    </row>
    <row r="153" spans="1:18" x14ac:dyDescent="0.25">
      <c r="E153" s="79"/>
      <c r="F153" s="79"/>
      <c r="G153" s="85"/>
      <c r="H153" s="459"/>
      <c r="I153" s="85"/>
      <c r="J153" s="89"/>
      <c r="L153" s="769"/>
      <c r="M153" s="518" t="s">
        <v>280</v>
      </c>
      <c r="N153" s="79"/>
      <c r="O153" s="866"/>
      <c r="P153" s="484"/>
      <c r="R153" s="877"/>
    </row>
    <row r="154" spans="1:18" s="518" customFormat="1" x14ac:dyDescent="0.25">
      <c r="A154" s="79"/>
      <c r="B154" s="79"/>
      <c r="C154" s="85"/>
      <c r="D154" s="79"/>
      <c r="E154" s="79"/>
      <c r="F154" s="769"/>
      <c r="G154" s="85"/>
      <c r="H154" s="85"/>
      <c r="I154" s="89"/>
      <c r="J154" s="79"/>
      <c r="K154" s="79"/>
      <c r="L154" s="79"/>
      <c r="M154" s="79"/>
      <c r="N154" s="866"/>
      <c r="O154" s="484"/>
      <c r="P154" s="79"/>
      <c r="Q154" s="877"/>
      <c r="R154" s="79"/>
    </row>
    <row r="155" spans="1:18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484"/>
      <c r="M155" s="79"/>
      <c r="N155" s="877"/>
      <c r="O155" s="79"/>
    </row>
    <row r="156" spans="1:18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484"/>
      <c r="M156" s="79"/>
      <c r="N156" s="877"/>
      <c r="O156" s="79"/>
    </row>
    <row r="157" spans="1:18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L157" s="484"/>
      <c r="M157" s="79"/>
      <c r="N157" s="877"/>
      <c r="O157" s="79"/>
    </row>
    <row r="158" spans="1:18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484"/>
      <c r="M159" s="79"/>
      <c r="N159" s="877"/>
      <c r="O159" s="79"/>
    </row>
    <row r="160" spans="1:18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877"/>
      <c r="O175" s="79"/>
    </row>
    <row r="176" spans="1:15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484"/>
      <c r="M176" s="79"/>
      <c r="N176" s="877"/>
      <c r="O176" s="79"/>
    </row>
    <row r="177" spans="1:15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484"/>
      <c r="M177" s="79"/>
      <c r="N177" s="877"/>
      <c r="O177" s="79"/>
    </row>
    <row r="178" spans="1:15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484"/>
      <c r="M181" s="79"/>
      <c r="N181" s="877"/>
      <c r="O181" s="79"/>
    </row>
    <row r="182" spans="1:15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484"/>
      <c r="M183" s="79"/>
      <c r="N183" s="877"/>
      <c r="O183" s="79"/>
    </row>
    <row r="184" spans="1:15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08" spans="1:15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  <c r="O208" s="79"/>
    </row>
    <row r="209" spans="1:15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  <c r="O209" s="79"/>
    </row>
    <row r="210" spans="1:15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L210" s="484"/>
      <c r="M210" s="79"/>
      <c r="N210" s="877"/>
      <c r="O210" s="79"/>
    </row>
    <row r="211" spans="1:15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  <c r="O211" s="79"/>
    </row>
    <row r="218" spans="1:15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484"/>
      <c r="M218" s="79"/>
      <c r="N218" s="877"/>
      <c r="O218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877"/>
      <c r="O219" s="79"/>
    </row>
    <row r="220" spans="1:15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484"/>
      <c r="M220" s="79"/>
      <c r="N220" s="877"/>
      <c r="O220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484"/>
      <c r="M221" s="79"/>
      <c r="N221" s="877"/>
      <c r="O221" s="79"/>
    </row>
    <row r="223" spans="1:15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484"/>
      <c r="M223" s="79"/>
      <c r="N223" s="877"/>
      <c r="O223" s="79"/>
    </row>
    <row r="225" spans="1:15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L225" s="484"/>
      <c r="M225" s="79"/>
      <c r="N225" s="877"/>
      <c r="O225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  <row r="236" spans="1:15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484"/>
      <c r="M236" s="79"/>
      <c r="N236" s="877"/>
      <c r="O236" s="79"/>
    </row>
    <row r="237" spans="1:15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484"/>
      <c r="M237" s="79"/>
      <c r="N237" s="877"/>
      <c r="O237" s="79"/>
    </row>
    <row r="238" spans="1:15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  <c r="O238" s="79"/>
    </row>
    <row r="239" spans="1:15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  <c r="O239" s="79"/>
    </row>
  </sheetData>
  <autoFilter ref="A2:I129" xr:uid="{00000000-0009-0000-0000-000075000000}"/>
  <mergeCells count="13">
    <mergeCell ref="A128:E128"/>
    <mergeCell ref="A129:E129"/>
    <mergeCell ref="M73:O73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Plan118"/>
  <dimension ref="A1:AL246"/>
  <sheetViews>
    <sheetView zoomScale="85" zoomScaleNormal="85" workbookViewId="0">
      <pane ySplit="4" topLeftCell="A110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1" width="13.42578125" style="79" customWidth="1"/>
    <col min="12" max="12" width="12" style="484" customWidth="1"/>
    <col min="13" max="13" width="10.28515625" style="79" customWidth="1"/>
    <col min="14" max="14" width="12" style="877" customWidth="1"/>
    <col min="15" max="16384" width="9.140625" style="79"/>
  </cols>
  <sheetData>
    <row r="1" spans="1:14" ht="27" customHeight="1" thickBot="1" x14ac:dyDescent="0.3">
      <c r="A1" s="3053" t="s">
        <v>0</v>
      </c>
      <c r="B1" s="3054"/>
      <c r="C1" s="3055"/>
      <c r="D1" s="3055"/>
      <c r="E1" s="3056"/>
      <c r="F1" s="3057" t="s">
        <v>3107</v>
      </c>
      <c r="G1" s="3058"/>
      <c r="H1" s="3058"/>
      <c r="I1" s="3058"/>
      <c r="J1" s="3058"/>
      <c r="K1" s="3059"/>
    </row>
    <row r="2" spans="1:1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</row>
    <row r="4" spans="1:14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</row>
    <row r="5" spans="1:14" x14ac:dyDescent="0.25">
      <c r="A5" s="281">
        <v>44501</v>
      </c>
      <c r="B5" s="369" t="s">
        <v>10</v>
      </c>
      <c r="C5" s="370"/>
      <c r="D5" s="370"/>
      <c r="E5" s="777"/>
      <c r="F5" s="179"/>
      <c r="G5" s="933">
        <f>'Outubro-21'!G129</f>
        <v>736.66208333334725</v>
      </c>
      <c r="H5" s="163"/>
      <c r="I5" s="1479">
        <f>'Outubro-21'!I129</f>
        <v>1549.9960000000028</v>
      </c>
      <c r="J5" s="179"/>
      <c r="K5" s="933">
        <f>'Outubro-21'!K129</f>
        <v>13574.409999999996</v>
      </c>
    </row>
    <row r="6" spans="1:14" s="224" customFormat="1" x14ac:dyDescent="0.25">
      <c r="A6" s="215">
        <v>44501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4" s="224" customFormat="1" x14ac:dyDescent="0.25">
      <c r="A7" s="215">
        <v>44501</v>
      </c>
      <c r="B7" s="882" t="s">
        <v>256</v>
      </c>
      <c r="C7" s="879"/>
      <c r="D7" s="879"/>
      <c r="E7" s="875" t="s">
        <v>25</v>
      </c>
      <c r="F7" s="780"/>
      <c r="G7" s="982">
        <v>100</v>
      </c>
      <c r="H7" s="1060">
        <v>100</v>
      </c>
      <c r="I7" s="1063"/>
      <c r="J7" s="622"/>
      <c r="K7" s="982"/>
      <c r="L7" s="861"/>
      <c r="N7" s="878"/>
    </row>
    <row r="8" spans="1:14" s="224" customFormat="1" ht="15" customHeight="1" x14ac:dyDescent="0.25">
      <c r="A8" s="215">
        <v>44501</v>
      </c>
      <c r="B8" s="364" t="s">
        <v>32</v>
      </c>
      <c r="C8" s="350" t="s">
        <v>12</v>
      </c>
      <c r="D8" s="350" t="s">
        <v>1485</v>
      </c>
      <c r="E8" s="875" t="s">
        <v>13</v>
      </c>
      <c r="F8" s="780">
        <v>18</v>
      </c>
      <c r="G8" s="982"/>
      <c r="H8" s="1008"/>
      <c r="I8" s="1063"/>
      <c r="J8" s="622"/>
      <c r="K8" s="982"/>
      <c r="L8" s="1029"/>
    </row>
    <row r="9" spans="1:14" s="224" customFormat="1" ht="15" customHeight="1" x14ac:dyDescent="0.25">
      <c r="A9" s="215">
        <v>44501</v>
      </c>
      <c r="B9" s="882" t="s">
        <v>82</v>
      </c>
      <c r="C9" s="879" t="s">
        <v>12</v>
      </c>
      <c r="D9" s="879" t="s">
        <v>1493</v>
      </c>
      <c r="E9" s="875" t="s">
        <v>13</v>
      </c>
      <c r="F9" s="780">
        <v>26.48</v>
      </c>
      <c r="G9" s="982"/>
      <c r="H9" s="1008"/>
      <c r="I9" s="1063"/>
      <c r="J9" s="622"/>
      <c r="K9" s="982"/>
      <c r="L9" s="1029"/>
      <c r="M9" s="89"/>
      <c r="N9" s="1035"/>
    </row>
    <row r="10" spans="1:14" s="224" customFormat="1" ht="15" customHeight="1" x14ac:dyDescent="0.25">
      <c r="A10" s="215">
        <v>44502</v>
      </c>
      <c r="B10" s="882" t="s">
        <v>14</v>
      </c>
      <c r="C10" s="879" t="s">
        <v>12</v>
      </c>
      <c r="D10" s="879" t="s">
        <v>1486</v>
      </c>
      <c r="E10" s="875" t="s">
        <v>13</v>
      </c>
      <c r="F10" s="780">
        <v>11</v>
      </c>
      <c r="G10" s="982"/>
      <c r="H10" s="1008"/>
      <c r="I10" s="1063"/>
      <c r="J10" s="622"/>
      <c r="K10" s="982"/>
      <c r="L10" s="1029"/>
      <c r="M10" s="89"/>
      <c r="N10" s="1035"/>
    </row>
    <row r="11" spans="1:14" s="224" customFormat="1" x14ac:dyDescent="0.25">
      <c r="A11" s="215">
        <v>44502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780">
        <v>6.72</v>
      </c>
      <c r="G11" s="982"/>
      <c r="H11" s="1008"/>
      <c r="I11" s="1063"/>
      <c r="J11" s="622"/>
      <c r="K11" s="982"/>
      <c r="L11" s="1029"/>
      <c r="M11" s="89"/>
      <c r="N11" s="1081"/>
    </row>
    <row r="12" spans="1:14" s="224" customFormat="1" x14ac:dyDescent="0.25">
      <c r="A12" s="215">
        <v>44503</v>
      </c>
      <c r="B12" s="364" t="s">
        <v>32</v>
      </c>
      <c r="C12" s="350" t="s">
        <v>12</v>
      </c>
      <c r="D12" s="350" t="s">
        <v>1485</v>
      </c>
      <c r="E12" s="875" t="s">
        <v>13</v>
      </c>
      <c r="F12" s="780">
        <v>18</v>
      </c>
      <c r="G12" s="982"/>
      <c r="H12" s="1008"/>
      <c r="I12" s="1063"/>
      <c r="J12" s="622"/>
      <c r="K12" s="982"/>
      <c r="L12" s="1029"/>
      <c r="M12" s="89"/>
      <c r="N12" s="1081"/>
    </row>
    <row r="13" spans="1:14" s="224" customFormat="1" ht="15" customHeight="1" x14ac:dyDescent="0.25">
      <c r="A13" s="215">
        <v>44503</v>
      </c>
      <c r="B13" s="882" t="s">
        <v>2766</v>
      </c>
      <c r="C13" s="879" t="s">
        <v>12</v>
      </c>
      <c r="D13" s="879" t="s">
        <v>2157</v>
      </c>
      <c r="E13" s="875" t="s">
        <v>15</v>
      </c>
      <c r="F13" s="780">
        <v>110</v>
      </c>
      <c r="G13" s="982"/>
      <c r="H13" s="1008"/>
      <c r="I13" s="1063"/>
      <c r="J13" s="622"/>
      <c r="K13" s="982"/>
      <c r="L13" s="861"/>
    </row>
    <row r="14" spans="1:14" s="224" customFormat="1" ht="15" customHeight="1" x14ac:dyDescent="0.25">
      <c r="A14" s="215">
        <v>44503</v>
      </c>
      <c r="B14" s="882" t="s">
        <v>14</v>
      </c>
      <c r="C14" s="879" t="s">
        <v>12</v>
      </c>
      <c r="D14" s="879" t="s">
        <v>1486</v>
      </c>
      <c r="E14" s="875" t="s">
        <v>13</v>
      </c>
      <c r="F14" s="780">
        <v>4.2300000000000004</v>
      </c>
      <c r="G14" s="982"/>
      <c r="H14" s="622"/>
      <c r="I14" s="982"/>
      <c r="J14" s="622"/>
      <c r="K14" s="982"/>
      <c r="L14" s="927"/>
      <c r="M14" s="927"/>
      <c r="N14" s="878"/>
    </row>
    <row r="15" spans="1:14" s="224" customFormat="1" ht="15" customHeight="1" x14ac:dyDescent="0.25">
      <c r="A15" s="215">
        <v>44504</v>
      </c>
      <c r="B15" s="364" t="s">
        <v>32</v>
      </c>
      <c r="C15" s="350" t="s">
        <v>12</v>
      </c>
      <c r="D15" s="350" t="s">
        <v>1485</v>
      </c>
      <c r="E15" s="875" t="s">
        <v>13</v>
      </c>
      <c r="F15" s="780">
        <v>18</v>
      </c>
      <c r="G15" s="982"/>
      <c r="H15" s="622"/>
      <c r="I15" s="982"/>
      <c r="J15" s="622"/>
      <c r="K15" s="982"/>
      <c r="L15" s="927"/>
      <c r="M15" s="927"/>
      <c r="N15" s="878"/>
    </row>
    <row r="16" spans="1:14" s="224" customFormat="1" ht="15" customHeight="1" x14ac:dyDescent="0.25">
      <c r="A16" s="215">
        <v>44504</v>
      </c>
      <c r="B16" s="882" t="s">
        <v>3108</v>
      </c>
      <c r="C16" s="879" t="s">
        <v>12</v>
      </c>
      <c r="D16" s="879" t="s">
        <v>1496</v>
      </c>
      <c r="E16" s="875" t="s">
        <v>13</v>
      </c>
      <c r="F16" s="780">
        <v>20</v>
      </c>
      <c r="G16" s="982"/>
      <c r="H16" s="1060"/>
      <c r="I16" s="1063"/>
      <c r="J16" s="622"/>
      <c r="K16" s="982"/>
      <c r="L16" s="861"/>
      <c r="N16" s="878"/>
    </row>
    <row r="17" spans="1:38" s="224" customFormat="1" ht="15" customHeight="1" x14ac:dyDescent="0.25">
      <c r="A17" s="215">
        <v>44504</v>
      </c>
      <c r="B17" s="882" t="s">
        <v>14</v>
      </c>
      <c r="C17" s="879" t="s">
        <v>12</v>
      </c>
      <c r="D17" s="879" t="s">
        <v>1486</v>
      </c>
      <c r="E17" s="875" t="s">
        <v>13</v>
      </c>
      <c r="F17" s="780">
        <v>4.63</v>
      </c>
      <c r="G17" s="982"/>
      <c r="H17" s="622"/>
      <c r="I17" s="982"/>
      <c r="J17" s="622"/>
      <c r="K17" s="982"/>
      <c r="L17" s="927"/>
      <c r="M17" s="927"/>
      <c r="N17" s="878"/>
    </row>
    <row r="18" spans="1:38" s="224" customFormat="1" ht="15" customHeight="1" x14ac:dyDescent="0.25">
      <c r="A18" s="215">
        <v>44505</v>
      </c>
      <c r="B18" s="364" t="s">
        <v>1396</v>
      </c>
      <c r="C18" s="350" t="s">
        <v>12</v>
      </c>
      <c r="D18" s="350"/>
      <c r="E18" s="480" t="s">
        <v>25</v>
      </c>
      <c r="F18" s="613"/>
      <c r="G18" s="967">
        <v>70</v>
      </c>
      <c r="H18" s="1008"/>
      <c r="I18" s="1063"/>
      <c r="J18" s="622"/>
      <c r="K18" s="982"/>
      <c r="L18" s="861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 s="224" customFormat="1" ht="15.75" customHeight="1" x14ac:dyDescent="0.25">
      <c r="A19" s="215">
        <v>44505</v>
      </c>
      <c r="B19" s="873" t="s">
        <v>3109</v>
      </c>
      <c r="C19" s="879" t="s">
        <v>12</v>
      </c>
      <c r="D19" s="874"/>
      <c r="E19" s="871" t="s">
        <v>25</v>
      </c>
      <c r="F19" s="1514"/>
      <c r="G19" s="1002">
        <v>2006.3</v>
      </c>
      <c r="H19" s="250"/>
      <c r="I19" s="946"/>
      <c r="J19" s="97"/>
      <c r="K19" s="946"/>
    </row>
    <row r="20" spans="1:38" s="224" customFormat="1" ht="15" customHeight="1" x14ac:dyDescent="0.25">
      <c r="A20" s="215">
        <v>44505</v>
      </c>
      <c r="B20" s="349" t="s">
        <v>3110</v>
      </c>
      <c r="C20" s="887" t="s">
        <v>12</v>
      </c>
      <c r="D20" s="1005" t="s">
        <v>1522</v>
      </c>
      <c r="E20" s="887" t="s">
        <v>13</v>
      </c>
      <c r="F20" s="613">
        <v>59.862499999999997</v>
      </c>
      <c r="G20" s="982"/>
      <c r="H20" s="872"/>
      <c r="I20" s="1063"/>
      <c r="J20" s="622"/>
      <c r="K20" s="982"/>
      <c r="L20" s="927"/>
      <c r="M20" s="999"/>
      <c r="N20" s="878"/>
    </row>
    <row r="21" spans="1:38" s="224" customFormat="1" ht="15" customHeight="1" x14ac:dyDescent="0.25">
      <c r="A21" s="215">
        <v>44505</v>
      </c>
      <c r="B21" s="349" t="s">
        <v>3110</v>
      </c>
      <c r="C21" s="887" t="s">
        <v>12</v>
      </c>
      <c r="D21" s="1005" t="s">
        <v>1522</v>
      </c>
      <c r="E21" s="887" t="s">
        <v>13</v>
      </c>
      <c r="F21" s="1103">
        <v>35.5</v>
      </c>
      <c r="G21" s="982"/>
      <c r="H21" s="861"/>
      <c r="I21" s="1063"/>
      <c r="J21" s="622"/>
      <c r="K21" s="982"/>
      <c r="L21" s="927"/>
      <c r="M21" s="999"/>
      <c r="N21" s="878"/>
    </row>
    <row r="22" spans="1:38" s="224" customFormat="1" ht="15" customHeight="1" x14ac:dyDescent="0.25">
      <c r="A22" s="215">
        <v>44505</v>
      </c>
      <c r="B22" s="349" t="s">
        <v>3110</v>
      </c>
      <c r="C22" s="887" t="s">
        <v>12</v>
      </c>
      <c r="D22" s="1005" t="s">
        <v>1522</v>
      </c>
      <c r="E22" s="887" t="s">
        <v>13</v>
      </c>
      <c r="F22" s="1103">
        <v>64.5</v>
      </c>
      <c r="G22" s="982"/>
      <c r="H22" s="872"/>
      <c r="I22" s="1063"/>
      <c r="J22" s="622"/>
      <c r="K22" s="982"/>
      <c r="L22" s="927"/>
      <c r="M22" s="999"/>
      <c r="N22" s="878"/>
    </row>
    <row r="23" spans="1:38" s="224" customFormat="1" ht="15" customHeight="1" x14ac:dyDescent="0.25">
      <c r="A23" s="215">
        <v>44505</v>
      </c>
      <c r="B23" s="349" t="s">
        <v>3110</v>
      </c>
      <c r="C23" s="887" t="s">
        <v>12</v>
      </c>
      <c r="D23" s="1005" t="s">
        <v>1496</v>
      </c>
      <c r="E23" s="887" t="s">
        <v>13</v>
      </c>
      <c r="F23" s="613">
        <v>51.33</v>
      </c>
      <c r="G23" s="982"/>
      <c r="H23" s="872"/>
      <c r="I23" s="1063"/>
      <c r="J23" s="622"/>
      <c r="K23" s="982"/>
      <c r="L23" s="927"/>
      <c r="M23" s="999"/>
      <c r="N23" s="878"/>
    </row>
    <row r="24" spans="1:38" s="224" customFormat="1" ht="15" customHeight="1" x14ac:dyDescent="0.25">
      <c r="A24" s="215">
        <v>44505</v>
      </c>
      <c r="B24" s="349" t="s">
        <v>3110</v>
      </c>
      <c r="C24" s="887" t="s">
        <v>12</v>
      </c>
      <c r="D24" s="1005" t="s">
        <v>1496</v>
      </c>
      <c r="E24" s="887" t="s">
        <v>13</v>
      </c>
      <c r="F24" s="613">
        <v>78.900000000000006</v>
      </c>
      <c r="G24" s="982"/>
      <c r="H24" s="861"/>
      <c r="I24" s="1063"/>
      <c r="J24" s="622"/>
      <c r="K24" s="982"/>
      <c r="L24" s="927"/>
      <c r="M24" s="999"/>
      <c r="N24" s="878"/>
    </row>
    <row r="25" spans="1:38" s="224" customFormat="1" ht="15" customHeight="1" x14ac:dyDescent="0.25">
      <c r="A25" s="215">
        <v>44505</v>
      </c>
      <c r="B25" s="349" t="s">
        <v>3110</v>
      </c>
      <c r="C25" s="887" t="s">
        <v>12</v>
      </c>
      <c r="D25" s="1005" t="s">
        <v>1506</v>
      </c>
      <c r="E25" s="887" t="s">
        <v>13</v>
      </c>
      <c r="F25" s="613">
        <v>59.5</v>
      </c>
      <c r="G25" s="982"/>
      <c r="H25" s="872"/>
      <c r="I25" s="1063"/>
      <c r="J25" s="622"/>
      <c r="K25" s="982"/>
      <c r="L25" s="927"/>
      <c r="M25" s="999"/>
      <c r="N25" s="878"/>
    </row>
    <row r="26" spans="1:38" s="224" customFormat="1" ht="15" customHeight="1" x14ac:dyDescent="0.25">
      <c r="A26" s="215">
        <v>44505</v>
      </c>
      <c r="B26" s="349" t="s">
        <v>3110</v>
      </c>
      <c r="C26" s="887" t="s">
        <v>12</v>
      </c>
      <c r="D26" s="1005" t="s">
        <v>1489</v>
      </c>
      <c r="E26" s="887" t="s">
        <v>13</v>
      </c>
      <c r="F26" s="613">
        <v>5</v>
      </c>
      <c r="G26" s="982"/>
      <c r="H26" s="861"/>
      <c r="I26" s="1063"/>
      <c r="J26" s="622"/>
      <c r="K26" s="982"/>
      <c r="L26" s="927"/>
      <c r="M26" s="999"/>
      <c r="N26" s="878"/>
    </row>
    <row r="27" spans="1:38" s="224" customFormat="1" ht="15" customHeight="1" x14ac:dyDescent="0.25">
      <c r="A27" s="215">
        <v>44505</v>
      </c>
      <c r="B27" s="349" t="s">
        <v>3110</v>
      </c>
      <c r="C27" s="887" t="s">
        <v>12</v>
      </c>
      <c r="D27" s="1005" t="s">
        <v>1489</v>
      </c>
      <c r="E27" s="887" t="s">
        <v>13</v>
      </c>
      <c r="F27" s="613">
        <v>66.666666666666671</v>
      </c>
      <c r="G27" s="982"/>
      <c r="H27" s="872"/>
      <c r="I27" s="1063"/>
      <c r="J27" s="622"/>
      <c r="K27" s="982"/>
      <c r="L27" s="927"/>
      <c r="M27" s="999"/>
      <c r="N27" s="878"/>
    </row>
    <row r="28" spans="1:38" s="224" customFormat="1" ht="15" customHeight="1" x14ac:dyDescent="0.25">
      <c r="A28" s="215">
        <v>44505</v>
      </c>
      <c r="B28" s="862" t="s">
        <v>2385</v>
      </c>
      <c r="C28" s="879" t="s">
        <v>12</v>
      </c>
      <c r="D28" s="879" t="s">
        <v>1504</v>
      </c>
      <c r="E28" s="871" t="s">
        <v>13</v>
      </c>
      <c r="F28" s="780">
        <v>50</v>
      </c>
      <c r="G28" s="982"/>
      <c r="H28" s="1008"/>
      <c r="I28" s="1063"/>
      <c r="J28" s="622"/>
      <c r="K28" s="982"/>
      <c r="L28" s="1028">
        <v>90</v>
      </c>
      <c r="M28" s="999"/>
      <c r="N28" s="1035"/>
    </row>
    <row r="29" spans="1:38" s="224" customFormat="1" ht="15" customHeight="1" x14ac:dyDescent="0.25">
      <c r="A29" s="215">
        <v>44505</v>
      </c>
      <c r="B29" s="882" t="s">
        <v>3111</v>
      </c>
      <c r="C29" s="879" t="s">
        <v>12</v>
      </c>
      <c r="D29" s="879" t="s">
        <v>1499</v>
      </c>
      <c r="E29" s="871" t="s">
        <v>13</v>
      </c>
      <c r="F29" s="780">
        <v>78.41</v>
      </c>
      <c r="G29" s="982"/>
      <c r="H29" s="1008"/>
      <c r="I29" s="1063"/>
      <c r="J29" s="622"/>
      <c r="K29" s="982"/>
      <c r="L29" s="1028">
        <v>188.41</v>
      </c>
      <c r="M29" s="999"/>
      <c r="N29" s="878"/>
    </row>
    <row r="30" spans="1:38" s="224" customFormat="1" ht="15" customHeight="1" x14ac:dyDescent="0.25">
      <c r="A30" s="215">
        <v>44505</v>
      </c>
      <c r="B30" s="364" t="s">
        <v>2977</v>
      </c>
      <c r="C30" s="350" t="s">
        <v>12</v>
      </c>
      <c r="D30" s="350" t="s">
        <v>1491</v>
      </c>
      <c r="E30" s="875" t="s">
        <v>13</v>
      </c>
      <c r="F30" s="780">
        <v>250</v>
      </c>
      <c r="G30" s="982"/>
      <c r="H30" s="1008"/>
      <c r="I30" s="1063"/>
      <c r="J30" s="622"/>
      <c r="K30" s="982"/>
      <c r="L30" s="861"/>
      <c r="N30" s="1035"/>
    </row>
    <row r="31" spans="1:38" x14ac:dyDescent="0.25">
      <c r="A31" s="215">
        <v>44505</v>
      </c>
      <c r="B31" s="876" t="s">
        <v>3060</v>
      </c>
      <c r="C31" s="879" t="s">
        <v>12</v>
      </c>
      <c r="D31" s="879" t="s">
        <v>1496</v>
      </c>
      <c r="E31" s="871" t="s">
        <v>13</v>
      </c>
      <c r="F31" s="780">
        <v>80</v>
      </c>
      <c r="G31" s="982"/>
      <c r="H31" s="1009"/>
      <c r="I31" s="1063"/>
      <c r="J31" s="622"/>
      <c r="K31" s="982"/>
      <c r="L31" s="1029"/>
    </row>
    <row r="32" spans="1:38" s="224" customFormat="1" x14ac:dyDescent="0.25">
      <c r="A32" s="215">
        <v>44505</v>
      </c>
      <c r="B32" s="882" t="s">
        <v>3112</v>
      </c>
      <c r="C32" s="879" t="s">
        <v>12</v>
      </c>
      <c r="D32" s="879" t="s">
        <v>3017</v>
      </c>
      <c r="E32" s="875" t="s">
        <v>13</v>
      </c>
      <c r="F32" s="780">
        <v>633.16999999999996</v>
      </c>
      <c r="G32" s="982"/>
      <c r="H32" s="1008"/>
      <c r="I32" s="1063"/>
      <c r="J32" s="622"/>
      <c r="K32" s="982"/>
      <c r="L32" s="861">
        <v>400</v>
      </c>
      <c r="M32" s="878" t="s">
        <v>3018</v>
      </c>
      <c r="N32" s="1035"/>
    </row>
    <row r="33" spans="1:38" s="224" customFormat="1" ht="15" customHeight="1" x14ac:dyDescent="0.25">
      <c r="A33" s="215">
        <v>44505</v>
      </c>
      <c r="B33" s="364" t="s">
        <v>32</v>
      </c>
      <c r="C33" s="350" t="s">
        <v>12</v>
      </c>
      <c r="D33" s="350" t="s">
        <v>1485</v>
      </c>
      <c r="E33" s="875" t="s">
        <v>13</v>
      </c>
      <c r="F33" s="780">
        <v>18</v>
      </c>
      <c r="G33" s="982"/>
      <c r="H33" s="622"/>
      <c r="I33" s="982"/>
      <c r="J33" s="622"/>
      <c r="K33" s="982"/>
      <c r="L33" s="927"/>
      <c r="M33" s="927"/>
      <c r="N33" s="878"/>
    </row>
    <row r="34" spans="1:38" s="224" customFormat="1" ht="15" customHeight="1" x14ac:dyDescent="0.25">
      <c r="A34" s="215">
        <v>44505</v>
      </c>
      <c r="B34" s="882" t="s">
        <v>445</v>
      </c>
      <c r="C34" s="879" t="s">
        <v>12</v>
      </c>
      <c r="D34" s="879" t="s">
        <v>1493</v>
      </c>
      <c r="E34" s="875" t="s">
        <v>13</v>
      </c>
      <c r="F34" s="780">
        <v>6</v>
      </c>
      <c r="G34" s="982"/>
      <c r="H34" s="1008"/>
      <c r="I34" s="1063"/>
      <c r="J34" s="622"/>
      <c r="K34" s="982"/>
      <c r="L34" s="1029"/>
    </row>
    <row r="35" spans="1:38" s="224" customFormat="1" ht="15" customHeight="1" x14ac:dyDescent="0.25">
      <c r="A35" s="215">
        <v>44505</v>
      </c>
      <c r="B35" s="882" t="s">
        <v>3113</v>
      </c>
      <c r="C35" s="350" t="s">
        <v>12</v>
      </c>
      <c r="D35" s="350" t="s">
        <v>1491</v>
      </c>
      <c r="E35" s="875" t="s">
        <v>15</v>
      </c>
      <c r="F35" s="780">
        <v>50</v>
      </c>
      <c r="G35" s="982"/>
      <c r="H35" s="622"/>
      <c r="I35" s="982"/>
      <c r="J35" s="622"/>
      <c r="K35" s="982"/>
      <c r="L35" s="927"/>
      <c r="M35" s="927"/>
      <c r="N35" s="878"/>
    </row>
    <row r="36" spans="1:38" s="224" customFormat="1" ht="15" customHeight="1" x14ac:dyDescent="0.25">
      <c r="A36" s="215">
        <v>44505</v>
      </c>
      <c r="B36" s="882" t="s">
        <v>2766</v>
      </c>
      <c r="C36" s="879" t="s">
        <v>12</v>
      </c>
      <c r="D36" s="879" t="s">
        <v>2157</v>
      </c>
      <c r="E36" s="875" t="s">
        <v>13</v>
      </c>
      <c r="F36" s="780">
        <v>70</v>
      </c>
      <c r="G36" s="982"/>
      <c r="H36" s="1008"/>
      <c r="I36" s="1063"/>
      <c r="J36" s="622"/>
      <c r="K36" s="982"/>
      <c r="L36" s="861"/>
    </row>
    <row r="37" spans="1:38" s="224" customFormat="1" ht="15" customHeight="1" x14ac:dyDescent="0.25">
      <c r="A37" s="215">
        <v>44505</v>
      </c>
      <c r="B37" s="882" t="s">
        <v>38</v>
      </c>
      <c r="C37" s="879" t="s">
        <v>12</v>
      </c>
      <c r="D37" s="879" t="s">
        <v>1504</v>
      </c>
      <c r="E37" s="875" t="s">
        <v>15</v>
      </c>
      <c r="F37" s="780">
        <v>12</v>
      </c>
      <c r="G37" s="982"/>
      <c r="H37" s="622"/>
      <c r="I37" s="982"/>
      <c r="J37" s="622"/>
      <c r="K37" s="982"/>
      <c r="L37" s="927"/>
      <c r="M37" s="927"/>
      <c r="N37" s="878"/>
    </row>
    <row r="38" spans="1:38" s="224" customFormat="1" ht="15" customHeight="1" x14ac:dyDescent="0.25">
      <c r="A38" s="215">
        <v>44505</v>
      </c>
      <c r="B38" s="882" t="s">
        <v>3114</v>
      </c>
      <c r="C38" s="879" t="s">
        <v>12</v>
      </c>
      <c r="D38" s="879" t="s">
        <v>1489</v>
      </c>
      <c r="E38" s="875" t="s">
        <v>15</v>
      </c>
      <c r="F38" s="780">
        <v>5</v>
      </c>
      <c r="G38" s="982"/>
      <c r="H38" s="622"/>
      <c r="I38" s="982"/>
      <c r="J38" s="622"/>
      <c r="K38" s="982"/>
      <c r="L38" s="927"/>
      <c r="M38" s="927"/>
      <c r="N38" s="878"/>
    </row>
    <row r="39" spans="1:38" s="224" customFormat="1" ht="15" customHeight="1" x14ac:dyDescent="0.25">
      <c r="A39" s="215">
        <v>44505</v>
      </c>
      <c r="B39" s="882" t="s">
        <v>3115</v>
      </c>
      <c r="C39" s="879" t="s">
        <v>12</v>
      </c>
      <c r="D39" s="879" t="s">
        <v>1522</v>
      </c>
      <c r="E39" s="875" t="s">
        <v>13</v>
      </c>
      <c r="F39" s="780">
        <v>50</v>
      </c>
      <c r="G39" s="982"/>
      <c r="H39" s="622"/>
      <c r="I39" s="982"/>
      <c r="J39" s="622"/>
      <c r="K39" s="982"/>
      <c r="L39" s="927"/>
      <c r="M39" s="927"/>
      <c r="N39" s="878"/>
    </row>
    <row r="40" spans="1:38" s="224" customFormat="1" ht="15" customHeight="1" x14ac:dyDescent="0.25">
      <c r="A40" s="215">
        <v>44506</v>
      </c>
      <c r="B40" s="882" t="s">
        <v>14</v>
      </c>
      <c r="C40" s="879" t="s">
        <v>12</v>
      </c>
      <c r="D40" s="879" t="s">
        <v>1486</v>
      </c>
      <c r="E40" s="875" t="s">
        <v>13</v>
      </c>
      <c r="F40" s="780">
        <v>5.49</v>
      </c>
      <c r="G40" s="982"/>
      <c r="H40" s="622"/>
      <c r="I40" s="982"/>
      <c r="J40" s="622"/>
      <c r="K40" s="982"/>
      <c r="L40" s="927"/>
      <c r="M40" s="927"/>
      <c r="N40" s="878"/>
    </row>
    <row r="41" spans="1:38" s="224" customFormat="1" ht="15" customHeight="1" x14ac:dyDescent="0.25">
      <c r="A41" s="215">
        <v>44506</v>
      </c>
      <c r="B41" s="873" t="s">
        <v>2510</v>
      </c>
      <c r="C41" s="879" t="s">
        <v>12</v>
      </c>
      <c r="D41" s="879" t="s">
        <v>1506</v>
      </c>
      <c r="E41" s="871" t="s">
        <v>15</v>
      </c>
      <c r="F41" s="780">
        <v>60</v>
      </c>
      <c r="G41" s="946"/>
      <c r="H41" s="95"/>
      <c r="I41" s="1064"/>
      <c r="J41" s="97"/>
      <c r="K41" s="946"/>
      <c r="L41" s="926">
        <v>60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 s="224" customFormat="1" ht="15" customHeight="1" x14ac:dyDescent="0.25">
      <c r="A42" s="215">
        <v>44506</v>
      </c>
      <c r="B42" s="882" t="s">
        <v>2197</v>
      </c>
      <c r="C42" s="879" t="s">
        <v>12</v>
      </c>
      <c r="D42" s="879" t="s">
        <v>2168</v>
      </c>
      <c r="E42" s="875" t="s">
        <v>13</v>
      </c>
      <c r="F42" s="780">
        <v>20</v>
      </c>
      <c r="G42" s="982"/>
      <c r="H42" s="1008"/>
      <c r="I42" s="1063"/>
      <c r="J42" s="622"/>
      <c r="K42" s="982"/>
      <c r="L42" s="1029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 s="224" customFormat="1" ht="15" customHeight="1" x14ac:dyDescent="0.25">
      <c r="A43" s="215">
        <v>44506</v>
      </c>
      <c r="B43" s="882" t="s">
        <v>2629</v>
      </c>
      <c r="C43" s="879" t="s">
        <v>12</v>
      </c>
      <c r="D43" s="879" t="s">
        <v>1489</v>
      </c>
      <c r="E43" s="875" t="s">
        <v>13</v>
      </c>
      <c r="F43" s="780">
        <v>20.32</v>
      </c>
      <c r="G43" s="982"/>
      <c r="H43" s="622"/>
      <c r="I43" s="982"/>
      <c r="J43" s="622"/>
      <c r="K43" s="982"/>
      <c r="L43" s="927"/>
      <c r="M43" s="927"/>
      <c r="N43" s="878"/>
    </row>
    <row r="44" spans="1:38" s="224" customFormat="1" ht="15" customHeight="1" x14ac:dyDescent="0.25">
      <c r="A44" s="215">
        <v>44506</v>
      </c>
      <c r="B44" s="882" t="s">
        <v>82</v>
      </c>
      <c r="C44" s="879" t="s">
        <v>12</v>
      </c>
      <c r="D44" s="879" t="s">
        <v>1493</v>
      </c>
      <c r="E44" s="875" t="s">
        <v>13</v>
      </c>
      <c r="F44" s="780">
        <v>22.2</v>
      </c>
      <c r="G44" s="982"/>
      <c r="H44" s="622"/>
      <c r="I44" s="982"/>
      <c r="J44" s="622"/>
      <c r="K44" s="982"/>
      <c r="L44" s="927"/>
      <c r="M44" s="927"/>
      <c r="N44" s="878"/>
    </row>
    <row r="45" spans="1:38" s="224" customFormat="1" ht="15" customHeight="1" x14ac:dyDescent="0.25">
      <c r="A45" s="215">
        <v>44507</v>
      </c>
      <c r="B45" s="882" t="s">
        <v>14</v>
      </c>
      <c r="C45" s="879" t="s">
        <v>12</v>
      </c>
      <c r="D45" s="879" t="s">
        <v>1486</v>
      </c>
      <c r="E45" s="875" t="s">
        <v>13</v>
      </c>
      <c r="F45" s="780">
        <v>9.73</v>
      </c>
      <c r="G45" s="982"/>
      <c r="H45" s="622"/>
      <c r="I45" s="982"/>
      <c r="J45" s="622"/>
      <c r="K45" s="982"/>
      <c r="L45" s="927"/>
      <c r="M45" s="927"/>
      <c r="N45" s="878"/>
    </row>
    <row r="46" spans="1:38" s="224" customFormat="1" ht="15" customHeight="1" x14ac:dyDescent="0.25">
      <c r="A46" s="215">
        <v>44507</v>
      </c>
      <c r="B46" s="882" t="s">
        <v>3116</v>
      </c>
      <c r="C46" s="879" t="s">
        <v>12</v>
      </c>
      <c r="D46" s="879" t="s">
        <v>1506</v>
      </c>
      <c r="E46" s="875" t="s">
        <v>13</v>
      </c>
      <c r="F46" s="780">
        <v>90</v>
      </c>
      <c r="G46" s="982"/>
      <c r="H46" s="622"/>
      <c r="I46" s="982"/>
      <c r="J46" s="622"/>
      <c r="K46" s="982"/>
      <c r="L46" s="927"/>
      <c r="M46" s="927"/>
      <c r="N46" s="878"/>
    </row>
    <row r="47" spans="1:38" s="224" customFormat="1" ht="15" customHeight="1" x14ac:dyDescent="0.25">
      <c r="A47" s="215">
        <v>44507</v>
      </c>
      <c r="B47" s="882" t="s">
        <v>23</v>
      </c>
      <c r="C47" s="879" t="s">
        <v>12</v>
      </c>
      <c r="D47" s="879" t="s">
        <v>1489</v>
      </c>
      <c r="E47" s="875" t="s">
        <v>13</v>
      </c>
      <c r="F47" s="780">
        <v>9</v>
      </c>
      <c r="G47" s="982"/>
      <c r="H47" s="622"/>
      <c r="I47" s="982"/>
      <c r="J47" s="622"/>
      <c r="K47" s="982"/>
      <c r="L47" s="927"/>
      <c r="M47" s="927"/>
      <c r="N47" s="878"/>
    </row>
    <row r="48" spans="1:38" s="224" customFormat="1" ht="15" customHeight="1" x14ac:dyDescent="0.25">
      <c r="A48" s="215">
        <v>44507</v>
      </c>
      <c r="B48" s="882" t="s">
        <v>443</v>
      </c>
      <c r="C48" s="879" t="s">
        <v>12</v>
      </c>
      <c r="D48" s="879" t="s">
        <v>1493</v>
      </c>
      <c r="E48" s="875" t="s">
        <v>13</v>
      </c>
      <c r="F48" s="780">
        <v>8.94</v>
      </c>
      <c r="G48" s="982"/>
      <c r="H48" s="622"/>
      <c r="I48" s="982"/>
      <c r="J48" s="622"/>
      <c r="K48" s="982"/>
      <c r="L48" s="927"/>
      <c r="M48" s="927"/>
      <c r="N48" s="878"/>
    </row>
    <row r="49" spans="1:14" s="224" customFormat="1" ht="15" customHeight="1" x14ac:dyDescent="0.25">
      <c r="A49" s="215">
        <v>44508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18</v>
      </c>
      <c r="G49" s="982"/>
      <c r="H49" s="622"/>
      <c r="I49" s="982"/>
      <c r="J49" s="622"/>
      <c r="K49" s="982"/>
      <c r="L49" s="927"/>
      <c r="M49" s="927"/>
      <c r="N49" s="878"/>
    </row>
    <row r="50" spans="1:14" s="224" customFormat="1" ht="15" customHeight="1" x14ac:dyDescent="0.25">
      <c r="A50" s="215">
        <v>44508</v>
      </c>
      <c r="B50" s="882" t="s">
        <v>3117</v>
      </c>
      <c r="C50" s="879" t="s">
        <v>12</v>
      </c>
      <c r="D50" s="879" t="s">
        <v>1489</v>
      </c>
      <c r="E50" s="875" t="s">
        <v>13</v>
      </c>
      <c r="F50" s="780">
        <v>15</v>
      </c>
      <c r="G50" s="982"/>
      <c r="H50" s="622"/>
      <c r="I50" s="982"/>
      <c r="J50" s="622"/>
      <c r="K50" s="982"/>
      <c r="L50" s="927"/>
      <c r="M50" s="927"/>
      <c r="N50" s="878"/>
    </row>
    <row r="51" spans="1:14" s="224" customFormat="1" ht="15" customHeight="1" x14ac:dyDescent="0.25">
      <c r="A51" s="215">
        <v>44509</v>
      </c>
      <c r="B51" s="364" t="s">
        <v>32</v>
      </c>
      <c r="C51" s="350" t="s">
        <v>12</v>
      </c>
      <c r="D51" s="350" t="s">
        <v>1485</v>
      </c>
      <c r="E51" s="875" t="s">
        <v>13</v>
      </c>
      <c r="F51" s="780">
        <v>18</v>
      </c>
      <c r="G51" s="982"/>
      <c r="H51" s="622"/>
      <c r="I51" s="982"/>
      <c r="J51" s="622"/>
      <c r="K51" s="982"/>
      <c r="L51" s="927"/>
      <c r="M51" s="927"/>
      <c r="N51" s="878"/>
    </row>
    <row r="52" spans="1:14" s="224" customFormat="1" ht="15" customHeight="1" x14ac:dyDescent="0.25">
      <c r="A52" s="215">
        <v>44509</v>
      </c>
      <c r="B52" s="882" t="s">
        <v>14</v>
      </c>
      <c r="C52" s="879" t="s">
        <v>12</v>
      </c>
      <c r="D52" s="879" t="s">
        <v>1486</v>
      </c>
      <c r="E52" s="875" t="s">
        <v>13</v>
      </c>
      <c r="F52" s="780">
        <v>4.7300000000000004</v>
      </c>
      <c r="G52" s="982"/>
      <c r="H52" s="622"/>
      <c r="I52" s="982"/>
      <c r="J52" s="622"/>
      <c r="K52" s="982"/>
      <c r="L52" s="927"/>
      <c r="M52" s="927"/>
      <c r="N52" s="878"/>
    </row>
    <row r="53" spans="1:14" s="224" customFormat="1" ht="15" customHeight="1" x14ac:dyDescent="0.25">
      <c r="A53" s="215">
        <v>44510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780">
        <v>18</v>
      </c>
      <c r="G53" s="982"/>
      <c r="H53" s="622"/>
      <c r="I53" s="982"/>
      <c r="J53" s="622"/>
      <c r="K53" s="982"/>
      <c r="L53" s="927"/>
      <c r="M53" s="927"/>
      <c r="N53" s="878"/>
    </row>
    <row r="54" spans="1:14" s="224" customFormat="1" ht="15" customHeight="1" x14ac:dyDescent="0.25">
      <c r="A54" s="215">
        <v>44510</v>
      </c>
      <c r="B54" s="882" t="s">
        <v>14</v>
      </c>
      <c r="C54" s="879" t="s">
        <v>12</v>
      </c>
      <c r="D54" s="879" t="s">
        <v>1486</v>
      </c>
      <c r="E54" s="875" t="s">
        <v>15</v>
      </c>
      <c r="F54" s="780">
        <v>6</v>
      </c>
      <c r="G54" s="982"/>
      <c r="H54" s="622"/>
      <c r="I54" s="982"/>
      <c r="J54" s="622"/>
      <c r="K54" s="982"/>
      <c r="L54" s="927"/>
      <c r="M54" s="927"/>
      <c r="N54" s="878"/>
    </row>
    <row r="55" spans="1:14" s="224" customFormat="1" ht="15" customHeight="1" x14ac:dyDescent="0.25">
      <c r="A55" s="215">
        <v>44510</v>
      </c>
      <c r="B55" s="882" t="s">
        <v>3118</v>
      </c>
      <c r="C55" s="879" t="s">
        <v>12</v>
      </c>
      <c r="D55" s="879" t="s">
        <v>1522</v>
      </c>
      <c r="E55" s="875" t="s">
        <v>15</v>
      </c>
      <c r="F55" s="780">
        <v>130</v>
      </c>
      <c r="G55" s="982"/>
      <c r="H55" s="622"/>
      <c r="I55" s="982"/>
      <c r="J55" s="622"/>
      <c r="K55" s="982"/>
      <c r="L55" s="927"/>
      <c r="M55" s="927"/>
      <c r="N55" s="878"/>
    </row>
    <row r="56" spans="1:14" s="224" customFormat="1" ht="15" customHeight="1" x14ac:dyDescent="0.25">
      <c r="A56" s="215">
        <v>44510</v>
      </c>
      <c r="B56" s="882" t="s">
        <v>2766</v>
      </c>
      <c r="C56" s="879" t="s">
        <v>12</v>
      </c>
      <c r="D56" s="879" t="s">
        <v>2157</v>
      </c>
      <c r="E56" s="875" t="s">
        <v>15</v>
      </c>
      <c r="F56" s="780">
        <v>60</v>
      </c>
      <c r="G56" s="982"/>
      <c r="H56" s="1008"/>
      <c r="I56" s="1063"/>
      <c r="J56" s="622"/>
      <c r="K56" s="982"/>
      <c r="L56" s="861"/>
    </row>
    <row r="57" spans="1:14" s="224" customFormat="1" ht="15" customHeight="1" x14ac:dyDescent="0.25">
      <c r="A57" s="215">
        <v>44511</v>
      </c>
      <c r="B57" s="364" t="s">
        <v>32</v>
      </c>
      <c r="C57" s="350" t="s">
        <v>12</v>
      </c>
      <c r="D57" s="350" t="s">
        <v>1485</v>
      </c>
      <c r="E57" s="875" t="s">
        <v>13</v>
      </c>
      <c r="F57" s="780">
        <v>16</v>
      </c>
      <c r="G57" s="982"/>
      <c r="H57" s="622"/>
      <c r="I57" s="982"/>
      <c r="J57" s="622"/>
      <c r="K57" s="982"/>
      <c r="L57" s="927"/>
      <c r="M57" s="927"/>
      <c r="N57" s="878"/>
    </row>
    <row r="58" spans="1:14" s="224" customFormat="1" x14ac:dyDescent="0.25">
      <c r="A58" s="215">
        <v>44511</v>
      </c>
      <c r="B58" s="882" t="s">
        <v>14</v>
      </c>
      <c r="C58" s="879" t="s">
        <v>12</v>
      </c>
      <c r="D58" s="879" t="s">
        <v>1486</v>
      </c>
      <c r="E58" s="875" t="s">
        <v>13</v>
      </c>
      <c r="F58" s="780">
        <v>5</v>
      </c>
      <c r="G58" s="982"/>
      <c r="H58" s="1008"/>
      <c r="I58" s="1063"/>
      <c r="J58" s="622"/>
      <c r="K58" s="982"/>
      <c r="L58" s="1029"/>
      <c r="M58" s="89"/>
      <c r="N58" s="1081"/>
    </row>
    <row r="59" spans="1:14" s="224" customFormat="1" ht="15" customHeight="1" x14ac:dyDescent="0.25">
      <c r="A59" s="215">
        <v>44512</v>
      </c>
      <c r="B59" s="364" t="s">
        <v>32</v>
      </c>
      <c r="C59" s="350" t="s">
        <v>12</v>
      </c>
      <c r="D59" s="350" t="s">
        <v>1485</v>
      </c>
      <c r="E59" s="875" t="s">
        <v>13</v>
      </c>
      <c r="F59" s="780">
        <v>16</v>
      </c>
      <c r="G59" s="982"/>
      <c r="H59" s="622"/>
      <c r="I59" s="982"/>
      <c r="J59" s="622"/>
      <c r="K59" s="982"/>
      <c r="L59" s="927"/>
      <c r="M59" s="927"/>
      <c r="N59" s="878"/>
    </row>
    <row r="60" spans="1:14" s="224" customFormat="1" ht="15" customHeight="1" x14ac:dyDescent="0.25">
      <c r="A60" s="215">
        <v>44512</v>
      </c>
      <c r="B60" s="882" t="s">
        <v>2766</v>
      </c>
      <c r="C60" s="879" t="s">
        <v>12</v>
      </c>
      <c r="D60" s="879" t="s">
        <v>2157</v>
      </c>
      <c r="E60" s="875" t="s">
        <v>13</v>
      </c>
      <c r="F60" s="780">
        <v>80</v>
      </c>
      <c r="G60" s="982"/>
      <c r="H60" s="1008"/>
      <c r="I60" s="1063"/>
      <c r="J60" s="622"/>
      <c r="K60" s="982"/>
      <c r="L60" s="861"/>
    </row>
    <row r="61" spans="1:14" s="224" customFormat="1" ht="15" customHeight="1" x14ac:dyDescent="0.25">
      <c r="A61" s="215">
        <v>44512</v>
      </c>
      <c r="B61" s="882" t="s">
        <v>2629</v>
      </c>
      <c r="C61" s="879" t="s">
        <v>12</v>
      </c>
      <c r="D61" s="879" t="s">
        <v>1489</v>
      </c>
      <c r="E61" s="875" t="s">
        <v>13</v>
      </c>
      <c r="F61" s="780">
        <v>60.7</v>
      </c>
      <c r="G61" s="982"/>
      <c r="H61" s="1008"/>
      <c r="I61" s="1063"/>
      <c r="J61" s="622"/>
      <c r="K61" s="982"/>
      <c r="L61" s="1029"/>
      <c r="M61" s="89"/>
      <c r="N61" s="1035"/>
    </row>
    <row r="62" spans="1:14" s="224" customFormat="1" ht="15" customHeight="1" x14ac:dyDescent="0.25">
      <c r="A62" s="215">
        <v>44512</v>
      </c>
      <c r="B62" s="882" t="s">
        <v>3119</v>
      </c>
      <c r="C62" s="879" t="s">
        <v>12</v>
      </c>
      <c r="D62" s="879" t="s">
        <v>1522</v>
      </c>
      <c r="E62" s="875" t="s">
        <v>13</v>
      </c>
      <c r="F62" s="780">
        <v>30</v>
      </c>
      <c r="G62" s="982"/>
      <c r="H62" s="622"/>
      <c r="I62" s="982"/>
      <c r="J62" s="622"/>
      <c r="K62" s="982"/>
      <c r="L62" s="927"/>
      <c r="M62" s="927"/>
      <c r="N62" s="878"/>
    </row>
    <row r="63" spans="1:14" s="224" customFormat="1" ht="15" customHeight="1" x14ac:dyDescent="0.25">
      <c r="A63" s="215">
        <v>44513</v>
      </c>
      <c r="B63" s="882" t="s">
        <v>3114</v>
      </c>
      <c r="C63" s="879" t="s">
        <v>12</v>
      </c>
      <c r="D63" s="879" t="s">
        <v>1489</v>
      </c>
      <c r="E63" s="875" t="s">
        <v>15</v>
      </c>
      <c r="F63" s="780">
        <v>5</v>
      </c>
      <c r="G63" s="982"/>
      <c r="H63" s="622"/>
      <c r="I63" s="982"/>
      <c r="J63" s="622"/>
      <c r="K63" s="982"/>
      <c r="L63" s="927"/>
      <c r="M63" s="927"/>
      <c r="N63" s="878"/>
    </row>
    <row r="64" spans="1:14" s="224" customFormat="1" ht="15" customHeight="1" x14ac:dyDescent="0.25">
      <c r="A64" s="215">
        <v>44513</v>
      </c>
      <c r="B64" s="882" t="s">
        <v>3120</v>
      </c>
      <c r="C64" s="879" t="s">
        <v>12</v>
      </c>
      <c r="D64" s="879" t="s">
        <v>1493</v>
      </c>
      <c r="E64" s="875" t="s">
        <v>13</v>
      </c>
      <c r="F64" s="780">
        <v>26</v>
      </c>
      <c r="G64" s="982"/>
      <c r="H64" s="1008"/>
      <c r="I64" s="1063"/>
      <c r="J64" s="622"/>
      <c r="K64" s="982"/>
      <c r="L64" s="1029"/>
      <c r="M64" s="89"/>
      <c r="N64" s="1035"/>
    </row>
    <row r="65" spans="1:14" s="224" customFormat="1" ht="15" customHeight="1" x14ac:dyDescent="0.25">
      <c r="A65" s="215">
        <v>44513</v>
      </c>
      <c r="B65" s="882" t="s">
        <v>445</v>
      </c>
      <c r="C65" s="879" t="s">
        <v>12</v>
      </c>
      <c r="D65" s="879" t="s">
        <v>1493</v>
      </c>
      <c r="E65" s="875" t="s">
        <v>15</v>
      </c>
      <c r="F65" s="780">
        <v>5</v>
      </c>
      <c r="G65" s="982"/>
      <c r="H65" s="1008"/>
      <c r="I65" s="1063"/>
      <c r="J65" s="622"/>
      <c r="K65" s="982"/>
      <c r="L65" s="1029"/>
      <c r="M65" s="89"/>
      <c r="N65" s="1035"/>
    </row>
    <row r="66" spans="1:14" s="224" customFormat="1" ht="15" customHeight="1" x14ac:dyDescent="0.25">
      <c r="A66" s="215">
        <v>44513</v>
      </c>
      <c r="B66" s="882" t="s">
        <v>443</v>
      </c>
      <c r="C66" s="879" t="s">
        <v>12</v>
      </c>
      <c r="D66" s="879" t="s">
        <v>1493</v>
      </c>
      <c r="E66" s="875" t="s">
        <v>13</v>
      </c>
      <c r="F66" s="780">
        <v>10.37</v>
      </c>
      <c r="G66" s="982"/>
      <c r="H66" s="1008"/>
      <c r="I66" s="1063"/>
      <c r="J66" s="622"/>
      <c r="K66" s="982"/>
      <c r="L66" s="1029"/>
      <c r="M66" s="89"/>
      <c r="N66" s="1035"/>
    </row>
    <row r="67" spans="1:14" s="224" customFormat="1" x14ac:dyDescent="0.25">
      <c r="A67" s="215">
        <v>44513</v>
      </c>
      <c r="B67" s="882" t="s">
        <v>256</v>
      </c>
      <c r="C67" s="879"/>
      <c r="D67" s="879"/>
      <c r="E67" s="875" t="s">
        <v>25</v>
      </c>
      <c r="F67" s="780"/>
      <c r="G67" s="982">
        <v>250</v>
      </c>
      <c r="H67" s="1060">
        <v>250</v>
      </c>
      <c r="I67" s="1063"/>
      <c r="J67" s="622"/>
      <c r="K67" s="982"/>
      <c r="L67" s="861"/>
      <c r="N67" s="878"/>
    </row>
    <row r="68" spans="1:14" s="224" customFormat="1" x14ac:dyDescent="0.25">
      <c r="A68" s="215">
        <v>44514</v>
      </c>
      <c r="B68" s="882" t="s">
        <v>14</v>
      </c>
      <c r="C68" s="879" t="s">
        <v>12</v>
      </c>
      <c r="D68" s="879" t="s">
        <v>1486</v>
      </c>
      <c r="E68" s="875" t="s">
        <v>13</v>
      </c>
      <c r="F68" s="780">
        <v>6.84</v>
      </c>
      <c r="G68" s="982"/>
      <c r="H68" s="1008"/>
      <c r="I68" s="1063"/>
      <c r="J68" s="622"/>
      <c r="K68" s="982"/>
      <c r="L68" s="1029"/>
      <c r="M68" s="89"/>
      <c r="N68" s="1081"/>
    </row>
    <row r="69" spans="1:14" s="224" customFormat="1" ht="15" customHeight="1" x14ac:dyDescent="0.25">
      <c r="A69" s="215">
        <v>44514</v>
      </c>
      <c r="B69" s="364" t="s">
        <v>32</v>
      </c>
      <c r="C69" s="350" t="s">
        <v>12</v>
      </c>
      <c r="D69" s="350" t="s">
        <v>1485</v>
      </c>
      <c r="E69" s="875" t="s">
        <v>13</v>
      </c>
      <c r="F69" s="780">
        <v>5</v>
      </c>
      <c r="G69" s="982"/>
      <c r="H69" s="622"/>
      <c r="I69" s="982"/>
      <c r="J69" s="622"/>
      <c r="K69" s="982"/>
      <c r="L69" s="927"/>
      <c r="M69" s="927"/>
      <c r="N69" s="878"/>
    </row>
    <row r="70" spans="1:14" s="224" customFormat="1" ht="15" customHeight="1" x14ac:dyDescent="0.25">
      <c r="A70" s="215">
        <v>44514</v>
      </c>
      <c r="B70" s="882" t="s">
        <v>3121</v>
      </c>
      <c r="C70" s="879" t="s">
        <v>12</v>
      </c>
      <c r="D70" s="879" t="s">
        <v>1491</v>
      </c>
      <c r="E70" s="875" t="s">
        <v>13</v>
      </c>
      <c r="F70" s="780">
        <v>12</v>
      </c>
      <c r="G70" s="982"/>
      <c r="H70" s="1008"/>
      <c r="I70" s="1063"/>
      <c r="J70" s="622"/>
      <c r="K70" s="982"/>
      <c r="L70" s="1029"/>
      <c r="M70" s="89"/>
      <c r="N70" s="1035"/>
    </row>
    <row r="71" spans="1:14" s="224" customFormat="1" ht="15" customHeight="1" x14ac:dyDescent="0.25">
      <c r="A71" s="215">
        <v>44514</v>
      </c>
      <c r="B71" s="882" t="s">
        <v>445</v>
      </c>
      <c r="C71" s="879" t="s">
        <v>12</v>
      </c>
      <c r="D71" s="879" t="s">
        <v>1491</v>
      </c>
      <c r="E71" s="875" t="s">
        <v>13</v>
      </c>
      <c r="F71" s="780">
        <v>2.5</v>
      </c>
      <c r="G71" s="982"/>
      <c r="H71" s="1008"/>
      <c r="I71" s="1063"/>
      <c r="J71" s="622"/>
      <c r="K71" s="982"/>
      <c r="L71" s="1029"/>
      <c r="M71" s="89"/>
      <c r="N71" s="1035"/>
    </row>
    <row r="72" spans="1:14" s="224" customFormat="1" ht="15" customHeight="1" x14ac:dyDescent="0.25">
      <c r="A72" s="215">
        <v>44514</v>
      </c>
      <c r="B72" s="882" t="s">
        <v>2629</v>
      </c>
      <c r="C72" s="879" t="s">
        <v>12</v>
      </c>
      <c r="D72" s="879" t="s">
        <v>1489</v>
      </c>
      <c r="E72" s="875" t="s">
        <v>13</v>
      </c>
      <c r="F72" s="780">
        <v>4</v>
      </c>
      <c r="G72" s="982"/>
      <c r="H72" s="1008"/>
      <c r="I72" s="1063"/>
      <c r="J72" s="622"/>
      <c r="K72" s="982"/>
      <c r="L72" s="1029"/>
      <c r="M72" s="89"/>
      <c r="N72" s="1035"/>
    </row>
    <row r="73" spans="1:14" s="224" customFormat="1" ht="15" customHeight="1" x14ac:dyDescent="0.25">
      <c r="A73" s="215">
        <v>44514</v>
      </c>
      <c r="B73" s="882" t="s">
        <v>3122</v>
      </c>
      <c r="C73" s="879" t="s">
        <v>12</v>
      </c>
      <c r="D73" s="879" t="s">
        <v>1523</v>
      </c>
      <c r="E73" s="875" t="s">
        <v>13</v>
      </c>
      <c r="F73" s="780">
        <v>100</v>
      </c>
      <c r="G73" s="982"/>
      <c r="H73" s="1008"/>
      <c r="I73" s="1063"/>
      <c r="J73" s="622"/>
      <c r="K73" s="982"/>
      <c r="L73" s="1029"/>
      <c r="M73" s="89"/>
      <c r="N73" s="1035"/>
    </row>
    <row r="74" spans="1:14" s="224" customFormat="1" ht="15" customHeight="1" x14ac:dyDescent="0.25">
      <c r="A74" s="215">
        <v>44514</v>
      </c>
      <c r="B74" s="882" t="s">
        <v>1369</v>
      </c>
      <c r="C74" s="879" t="s">
        <v>12</v>
      </c>
      <c r="D74" s="879" t="s">
        <v>1506</v>
      </c>
      <c r="E74" s="875" t="s">
        <v>13</v>
      </c>
      <c r="F74" s="780">
        <v>9.49</v>
      </c>
      <c r="G74" s="982"/>
      <c r="H74" s="1008"/>
      <c r="I74" s="1063"/>
      <c r="J74" s="622"/>
      <c r="K74" s="982"/>
      <c r="L74" s="1029"/>
      <c r="M74" s="89"/>
      <c r="N74" s="1035"/>
    </row>
    <row r="75" spans="1:14" s="224" customFormat="1" x14ac:dyDescent="0.25">
      <c r="A75" s="215">
        <v>44515</v>
      </c>
      <c r="B75" s="882" t="s">
        <v>14</v>
      </c>
      <c r="C75" s="879" t="s">
        <v>12</v>
      </c>
      <c r="D75" s="879" t="s">
        <v>1486</v>
      </c>
      <c r="E75" s="875" t="s">
        <v>13</v>
      </c>
      <c r="F75" s="780">
        <v>9.06</v>
      </c>
      <c r="G75" s="982"/>
      <c r="H75" s="1008"/>
      <c r="I75" s="1063"/>
      <c r="J75" s="622"/>
      <c r="K75" s="982"/>
      <c r="L75" s="1029"/>
      <c r="M75" s="89"/>
      <c r="N75" s="1081"/>
    </row>
    <row r="76" spans="1:14" s="224" customFormat="1" ht="15" customHeight="1" x14ac:dyDescent="0.25">
      <c r="A76" s="215">
        <v>44515</v>
      </c>
      <c r="B76" s="882" t="s">
        <v>3123</v>
      </c>
      <c r="C76" s="879" t="s">
        <v>12</v>
      </c>
      <c r="D76" s="879" t="s">
        <v>1493</v>
      </c>
      <c r="E76" s="875" t="s">
        <v>13</v>
      </c>
      <c r="F76" s="780">
        <v>16.5</v>
      </c>
      <c r="G76" s="982"/>
      <c r="H76" s="1008"/>
      <c r="I76" s="1063"/>
      <c r="J76" s="622"/>
      <c r="K76" s="982"/>
      <c r="L76" s="1029"/>
      <c r="M76" s="89"/>
      <c r="N76" s="1035"/>
    </row>
    <row r="77" spans="1:14" s="224" customFormat="1" ht="15" customHeight="1" x14ac:dyDescent="0.25">
      <c r="A77" s="215">
        <v>44515</v>
      </c>
      <c r="B77" s="882" t="s">
        <v>445</v>
      </c>
      <c r="C77" s="879" t="s">
        <v>12</v>
      </c>
      <c r="D77" s="879" t="s">
        <v>1493</v>
      </c>
      <c r="E77" s="875" t="s">
        <v>13</v>
      </c>
      <c r="F77" s="780">
        <v>5</v>
      </c>
      <c r="G77" s="967"/>
      <c r="H77" s="1008"/>
      <c r="I77" s="1063"/>
      <c r="J77" s="622"/>
      <c r="K77" s="982"/>
      <c r="L77" s="861"/>
    </row>
    <row r="78" spans="1:14" s="224" customFormat="1" ht="15" customHeight="1" x14ac:dyDescent="0.25">
      <c r="A78" s="215">
        <v>44516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780">
        <v>16</v>
      </c>
      <c r="G78" s="982"/>
      <c r="H78" s="622"/>
      <c r="I78" s="982"/>
      <c r="J78" s="622"/>
      <c r="K78" s="982"/>
      <c r="L78" s="927"/>
      <c r="M78" s="927"/>
      <c r="N78" s="878"/>
    </row>
    <row r="79" spans="1:14" s="224" customFormat="1" ht="15" customHeight="1" x14ac:dyDescent="0.25">
      <c r="A79" s="215">
        <v>44516</v>
      </c>
      <c r="B79" s="882" t="s">
        <v>2197</v>
      </c>
      <c r="C79" s="879" t="s">
        <v>12</v>
      </c>
      <c r="D79" s="879" t="s">
        <v>2168</v>
      </c>
      <c r="E79" s="875" t="s">
        <v>13</v>
      </c>
      <c r="F79" s="780">
        <v>30</v>
      </c>
      <c r="G79" s="982"/>
      <c r="H79" s="1008"/>
      <c r="I79" s="1063"/>
      <c r="J79" s="622"/>
      <c r="K79" s="982"/>
      <c r="L79" s="861"/>
    </row>
    <row r="80" spans="1:14" s="224" customFormat="1" ht="15" customHeight="1" x14ac:dyDescent="0.25">
      <c r="A80" s="215">
        <v>44516</v>
      </c>
      <c r="B80" s="882" t="s">
        <v>14</v>
      </c>
      <c r="C80" s="879" t="s">
        <v>12</v>
      </c>
      <c r="D80" s="879" t="s">
        <v>1486</v>
      </c>
      <c r="E80" s="875" t="s">
        <v>13</v>
      </c>
      <c r="F80" s="780">
        <v>7.44</v>
      </c>
      <c r="G80" s="982"/>
      <c r="H80" s="1008"/>
      <c r="I80" s="1063"/>
      <c r="J80" s="622"/>
      <c r="K80" s="982"/>
      <c r="L80" s="1029"/>
      <c r="M80" s="89"/>
      <c r="N80" s="1081"/>
    </row>
    <row r="81" spans="1:19" s="224" customFormat="1" ht="15" customHeight="1" x14ac:dyDescent="0.25">
      <c r="A81" s="215">
        <v>44517</v>
      </c>
      <c r="B81" s="882" t="s">
        <v>445</v>
      </c>
      <c r="C81" s="879" t="s">
        <v>12</v>
      </c>
      <c r="D81" s="879" t="s">
        <v>1493</v>
      </c>
      <c r="E81" s="875" t="s">
        <v>15</v>
      </c>
      <c r="F81" s="780">
        <v>6</v>
      </c>
      <c r="G81" s="982"/>
      <c r="H81" s="1008"/>
      <c r="I81" s="1063"/>
      <c r="J81" s="622"/>
      <c r="K81" s="982"/>
      <c r="L81" s="1029"/>
      <c r="M81" s="89"/>
      <c r="N81" s="1035"/>
    </row>
    <row r="82" spans="1:19" s="224" customFormat="1" ht="15" customHeight="1" x14ac:dyDescent="0.25">
      <c r="A82" s="215">
        <v>44517</v>
      </c>
      <c r="B82" s="882" t="s">
        <v>2766</v>
      </c>
      <c r="C82" s="879" t="s">
        <v>12</v>
      </c>
      <c r="D82" s="879" t="s">
        <v>2157</v>
      </c>
      <c r="E82" s="875" t="s">
        <v>13</v>
      </c>
      <c r="F82" s="780">
        <v>60</v>
      </c>
      <c r="G82" s="982"/>
      <c r="H82" s="1008"/>
      <c r="I82" s="1063"/>
      <c r="J82" s="622"/>
      <c r="K82" s="982"/>
      <c r="L82" s="861"/>
    </row>
    <row r="83" spans="1:19" s="224" customFormat="1" ht="15" customHeight="1" x14ac:dyDescent="0.25">
      <c r="A83" s="215">
        <v>44517</v>
      </c>
      <c r="B83" s="882" t="s">
        <v>14</v>
      </c>
      <c r="C83" s="879" t="s">
        <v>12</v>
      </c>
      <c r="D83" s="879" t="s">
        <v>1486</v>
      </c>
      <c r="E83" s="875" t="s">
        <v>13</v>
      </c>
      <c r="F83" s="780">
        <v>3.54</v>
      </c>
      <c r="G83" s="982"/>
      <c r="H83" s="1008"/>
      <c r="I83" s="1063"/>
      <c r="J83" s="622"/>
      <c r="K83" s="982"/>
      <c r="L83" s="1029"/>
      <c r="M83" s="89"/>
      <c r="N83" s="1081"/>
    </row>
    <row r="84" spans="1:19" s="224" customFormat="1" ht="15" customHeight="1" x14ac:dyDescent="0.25">
      <c r="A84" s="215">
        <v>44518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16</v>
      </c>
      <c r="G84" s="982"/>
      <c r="H84" s="622"/>
      <c r="I84" s="982"/>
      <c r="J84" s="622"/>
      <c r="K84" s="982"/>
      <c r="L84" s="927"/>
      <c r="M84" s="927"/>
      <c r="N84" s="878"/>
    </row>
    <row r="85" spans="1:19" s="224" customFormat="1" ht="15" customHeight="1" x14ac:dyDescent="0.25">
      <c r="A85" s="215">
        <v>44518</v>
      </c>
      <c r="B85" s="882" t="s">
        <v>14</v>
      </c>
      <c r="C85" s="879" t="s">
        <v>12</v>
      </c>
      <c r="D85" s="879" t="s">
        <v>1486</v>
      </c>
      <c r="E85" s="875" t="s">
        <v>13</v>
      </c>
      <c r="F85" s="780">
        <v>5</v>
      </c>
      <c r="G85" s="982"/>
      <c r="H85" s="622"/>
      <c r="I85" s="982"/>
      <c r="J85" s="622"/>
      <c r="K85" s="982"/>
      <c r="L85" s="927"/>
      <c r="N85" s="878"/>
    </row>
    <row r="86" spans="1:19" s="224" customFormat="1" ht="15" customHeight="1" x14ac:dyDescent="0.25">
      <c r="A86" s="215">
        <v>44519</v>
      </c>
      <c r="B86" s="882" t="s">
        <v>3124</v>
      </c>
      <c r="C86" s="350" t="s">
        <v>12</v>
      </c>
      <c r="D86" s="350"/>
      <c r="E86" s="480" t="s">
        <v>25</v>
      </c>
      <c r="F86" s="622"/>
      <c r="G86" s="982">
        <v>1840</v>
      </c>
      <c r="H86" s="1008"/>
      <c r="I86" s="1063"/>
      <c r="J86" s="622"/>
      <c r="K86" s="982"/>
      <c r="L86" s="861"/>
    </row>
    <row r="87" spans="1:19" s="224" customFormat="1" ht="15" customHeight="1" x14ac:dyDescent="0.25">
      <c r="A87" s="215">
        <v>44519</v>
      </c>
      <c r="B87" s="862" t="s">
        <v>2867</v>
      </c>
      <c r="C87" s="350" t="s">
        <v>12</v>
      </c>
      <c r="D87" s="874" t="s">
        <v>1504</v>
      </c>
      <c r="E87" s="887" t="s">
        <v>13</v>
      </c>
      <c r="F87" s="852">
        <v>150</v>
      </c>
      <c r="G87" s="982"/>
      <c r="H87" s="1009"/>
      <c r="I87" s="1063"/>
      <c r="J87" s="853"/>
      <c r="K87" s="982"/>
      <c r="L87" s="3148" t="s">
        <v>3125</v>
      </c>
      <c r="M87" s="3166"/>
      <c r="N87" s="3166"/>
      <c r="O87" s="3166"/>
      <c r="P87" s="3166"/>
      <c r="Q87" s="3166"/>
      <c r="R87" s="3166"/>
      <c r="S87" s="3166"/>
    </row>
    <row r="88" spans="1:19" s="224" customFormat="1" x14ac:dyDescent="0.25">
      <c r="A88" s="215">
        <v>44519</v>
      </c>
      <c r="B88" s="364" t="s">
        <v>2977</v>
      </c>
      <c r="C88" s="350" t="s">
        <v>12</v>
      </c>
      <c r="D88" s="350" t="s">
        <v>1491</v>
      </c>
      <c r="E88" s="875" t="s">
        <v>13</v>
      </c>
      <c r="F88" s="1047">
        <v>300</v>
      </c>
      <c r="G88" s="982"/>
      <c r="H88" s="1008"/>
      <c r="I88" s="1063"/>
      <c r="J88" s="622"/>
      <c r="K88" s="982"/>
      <c r="L88" s="1029"/>
      <c r="M88" s="89"/>
      <c r="N88" s="930"/>
    </row>
    <row r="89" spans="1:19" s="224" customFormat="1" x14ac:dyDescent="0.25">
      <c r="A89" s="215">
        <v>44519</v>
      </c>
      <c r="B89" s="364" t="s">
        <v>3126</v>
      </c>
      <c r="C89" s="350" t="s">
        <v>12</v>
      </c>
      <c r="D89" s="350" t="s">
        <v>1489</v>
      </c>
      <c r="E89" s="875" t="s">
        <v>13</v>
      </c>
      <c r="F89" s="780">
        <v>55</v>
      </c>
      <c r="G89" s="982"/>
      <c r="H89" s="1008"/>
      <c r="I89" s="1063"/>
      <c r="J89" s="622"/>
      <c r="K89" s="982"/>
      <c r="L89" s="1029">
        <v>105</v>
      </c>
      <c r="M89" s="1027"/>
      <c r="N89" s="930"/>
    </row>
    <row r="90" spans="1:19" s="224" customFormat="1" x14ac:dyDescent="0.25">
      <c r="A90" s="215">
        <v>44519</v>
      </c>
      <c r="B90" s="364" t="s">
        <v>3127</v>
      </c>
      <c r="C90" s="350" t="s">
        <v>12</v>
      </c>
      <c r="D90" s="350" t="s">
        <v>1489</v>
      </c>
      <c r="E90" s="875" t="s">
        <v>13</v>
      </c>
      <c r="F90" s="780">
        <v>11.1</v>
      </c>
      <c r="G90" s="982"/>
      <c r="H90" s="1008"/>
      <c r="I90" s="1063"/>
      <c r="J90" s="622"/>
      <c r="K90" s="982"/>
      <c r="L90" s="1029"/>
      <c r="M90" s="1027"/>
      <c r="N90" s="930"/>
    </row>
    <row r="91" spans="1:19" s="224" customFormat="1" x14ac:dyDescent="0.25">
      <c r="A91" s="215">
        <v>44519</v>
      </c>
      <c r="B91" s="364" t="s">
        <v>3128</v>
      </c>
      <c r="C91" s="350" t="s">
        <v>12</v>
      </c>
      <c r="D91" s="350" t="s">
        <v>1522</v>
      </c>
      <c r="E91" s="875" t="s">
        <v>13</v>
      </c>
      <c r="F91" s="780">
        <v>42.67</v>
      </c>
      <c r="G91" s="982"/>
      <c r="H91" s="1008"/>
      <c r="I91" s="1063"/>
      <c r="J91" s="622"/>
      <c r="K91" s="982"/>
      <c r="L91" s="861"/>
      <c r="N91" s="878"/>
    </row>
    <row r="92" spans="1:19" s="224" customFormat="1" ht="15" customHeight="1" x14ac:dyDescent="0.25">
      <c r="A92" s="215">
        <v>44519</v>
      </c>
      <c r="B92" s="364" t="s">
        <v>32</v>
      </c>
      <c r="C92" s="350" t="s">
        <v>12</v>
      </c>
      <c r="D92" s="350" t="s">
        <v>1485</v>
      </c>
      <c r="E92" s="875" t="s">
        <v>13</v>
      </c>
      <c r="F92" s="780">
        <v>16</v>
      </c>
      <c r="G92" s="982"/>
      <c r="H92" s="622"/>
      <c r="I92" s="982"/>
      <c r="J92" s="622"/>
      <c r="K92" s="982"/>
      <c r="L92" s="927"/>
      <c r="M92" s="927"/>
      <c r="N92" s="878"/>
    </row>
    <row r="93" spans="1:19" s="224" customFormat="1" ht="15" customHeight="1" x14ac:dyDescent="0.25">
      <c r="A93" s="215">
        <v>44519</v>
      </c>
      <c r="B93" s="882" t="s">
        <v>2766</v>
      </c>
      <c r="C93" s="879" t="s">
        <v>12</v>
      </c>
      <c r="D93" s="879" t="s">
        <v>2157</v>
      </c>
      <c r="E93" s="875" t="s">
        <v>13</v>
      </c>
      <c r="F93" s="780">
        <v>50</v>
      </c>
      <c r="G93" s="982"/>
      <c r="H93" s="1008"/>
      <c r="I93" s="1063"/>
      <c r="J93" s="622"/>
      <c r="K93" s="982"/>
      <c r="L93" s="861"/>
    </row>
    <row r="94" spans="1:19" s="224" customFormat="1" x14ac:dyDescent="0.25">
      <c r="A94" s="215">
        <v>44519</v>
      </c>
      <c r="B94" s="882" t="s">
        <v>14</v>
      </c>
      <c r="C94" s="879" t="s">
        <v>12</v>
      </c>
      <c r="D94" s="879" t="s">
        <v>1486</v>
      </c>
      <c r="E94" s="875" t="s">
        <v>13</v>
      </c>
      <c r="F94" s="780">
        <v>5.32</v>
      </c>
      <c r="G94" s="982"/>
      <c r="H94" s="1008"/>
      <c r="I94" s="1063"/>
      <c r="J94" s="622"/>
      <c r="K94" s="982"/>
      <c r="L94" s="861"/>
      <c r="N94" s="878"/>
    </row>
    <row r="95" spans="1:19" s="224" customFormat="1" ht="15" customHeight="1" x14ac:dyDescent="0.25">
      <c r="A95" s="215">
        <v>44520</v>
      </c>
      <c r="B95" s="349" t="s">
        <v>3050</v>
      </c>
      <c r="C95" s="350" t="s">
        <v>12</v>
      </c>
      <c r="D95" s="350" t="s">
        <v>1491</v>
      </c>
      <c r="E95" s="480" t="s">
        <v>15</v>
      </c>
      <c r="F95" s="780">
        <v>4</v>
      </c>
      <c r="G95" s="946"/>
      <c r="H95" s="95"/>
      <c r="I95" s="1064"/>
      <c r="J95" s="622"/>
      <c r="K95" s="982"/>
      <c r="L95" s="861"/>
    </row>
    <row r="96" spans="1:19" s="224" customFormat="1" ht="15" customHeight="1" x14ac:dyDescent="0.25">
      <c r="A96" s="215">
        <v>44520</v>
      </c>
      <c r="B96" s="349" t="s">
        <v>1369</v>
      </c>
      <c r="C96" s="350" t="s">
        <v>12</v>
      </c>
      <c r="D96" s="350" t="s">
        <v>1506</v>
      </c>
      <c r="E96" s="480" t="s">
        <v>13</v>
      </c>
      <c r="F96" s="780">
        <v>16.95</v>
      </c>
      <c r="G96" s="946"/>
      <c r="H96" s="95"/>
      <c r="I96" s="1064"/>
      <c r="J96" s="622"/>
      <c r="K96" s="982"/>
      <c r="L96" s="861"/>
    </row>
    <row r="97" spans="1:17" s="224" customFormat="1" ht="15" customHeight="1" x14ac:dyDescent="0.25">
      <c r="A97" s="215">
        <v>44520</v>
      </c>
      <c r="B97" s="882" t="s">
        <v>82</v>
      </c>
      <c r="C97" s="879" t="s">
        <v>12</v>
      </c>
      <c r="D97" s="879" t="s">
        <v>1493</v>
      </c>
      <c r="E97" s="875" t="s">
        <v>13</v>
      </c>
      <c r="F97" s="780">
        <v>26.41</v>
      </c>
      <c r="G97" s="946"/>
      <c r="H97" s="95"/>
      <c r="I97" s="1064"/>
      <c r="J97" s="622"/>
      <c r="K97" s="982"/>
      <c r="L97" s="861"/>
    </row>
    <row r="98" spans="1:17" s="224" customFormat="1" ht="15" customHeight="1" x14ac:dyDescent="0.25">
      <c r="A98" s="215">
        <v>44521</v>
      </c>
      <c r="B98" s="882" t="s">
        <v>14</v>
      </c>
      <c r="C98" s="879" t="s">
        <v>12</v>
      </c>
      <c r="D98" s="879" t="s">
        <v>1486</v>
      </c>
      <c r="E98" s="875" t="s">
        <v>13</v>
      </c>
      <c r="F98" s="780">
        <v>12.16</v>
      </c>
      <c r="G98" s="982"/>
      <c r="H98" s="622"/>
      <c r="I98" s="982"/>
      <c r="J98" s="622"/>
      <c r="K98" s="982"/>
      <c r="L98" s="927"/>
      <c r="N98" s="878"/>
    </row>
    <row r="99" spans="1:17" s="224" customFormat="1" ht="15" customHeight="1" x14ac:dyDescent="0.25">
      <c r="A99" s="215">
        <v>44521</v>
      </c>
      <c r="B99" s="364" t="s">
        <v>32</v>
      </c>
      <c r="C99" s="350" t="s">
        <v>12</v>
      </c>
      <c r="D99" s="350" t="s">
        <v>1485</v>
      </c>
      <c r="E99" s="875" t="s">
        <v>13</v>
      </c>
      <c r="F99" s="780">
        <v>18</v>
      </c>
      <c r="G99" s="982"/>
      <c r="H99" s="622"/>
      <c r="I99" s="982"/>
      <c r="J99" s="622"/>
      <c r="K99" s="982"/>
      <c r="L99" s="927"/>
      <c r="M99" s="927"/>
      <c r="N99" s="878"/>
    </row>
    <row r="100" spans="1:17" s="224" customFormat="1" ht="15" customHeight="1" x14ac:dyDescent="0.25">
      <c r="A100" s="215">
        <v>44521</v>
      </c>
      <c r="B100" s="882" t="s">
        <v>443</v>
      </c>
      <c r="C100" s="879" t="s">
        <v>12</v>
      </c>
      <c r="D100" s="879" t="s">
        <v>1493</v>
      </c>
      <c r="E100" s="875" t="s">
        <v>13</v>
      </c>
      <c r="F100" s="780">
        <v>10.37</v>
      </c>
      <c r="G100" s="982"/>
      <c r="H100" s="1008"/>
      <c r="I100" s="1063"/>
      <c r="J100" s="622"/>
      <c r="K100" s="982"/>
      <c r="L100" s="1029"/>
      <c r="M100" s="89"/>
      <c r="N100" s="1035"/>
    </row>
    <row r="101" spans="1:17" s="224" customFormat="1" ht="15" customHeight="1" x14ac:dyDescent="0.25">
      <c r="A101" s="215">
        <v>44522</v>
      </c>
      <c r="B101" s="349" t="s">
        <v>260</v>
      </c>
      <c r="C101" s="350" t="s">
        <v>12</v>
      </c>
      <c r="D101" s="350"/>
      <c r="E101" s="480"/>
      <c r="F101" s="780">
        <v>500</v>
      </c>
      <c r="G101" s="946"/>
      <c r="H101" s="95"/>
      <c r="I101" s="1064">
        <v>500</v>
      </c>
      <c r="J101" s="622"/>
      <c r="K101" s="982"/>
      <c r="L101" s="861"/>
    </row>
    <row r="102" spans="1:17" s="224" customFormat="1" ht="15" customHeight="1" x14ac:dyDescent="0.25">
      <c r="A102" s="215">
        <v>44522</v>
      </c>
      <c r="B102" s="364" t="s">
        <v>32</v>
      </c>
      <c r="C102" s="350" t="s">
        <v>12</v>
      </c>
      <c r="D102" s="350" t="s">
        <v>1485</v>
      </c>
      <c r="E102" s="875" t="s">
        <v>13</v>
      </c>
      <c r="F102" s="780">
        <v>16</v>
      </c>
      <c r="G102" s="982"/>
      <c r="H102" s="622"/>
      <c r="I102" s="982"/>
      <c r="J102" s="622"/>
      <c r="K102" s="982"/>
      <c r="L102" s="927"/>
      <c r="M102" s="927"/>
      <c r="N102" s="878"/>
    </row>
    <row r="103" spans="1:17" s="224" customFormat="1" x14ac:dyDescent="0.25">
      <c r="A103" s="215">
        <v>44522</v>
      </c>
      <c r="B103" s="882" t="s">
        <v>14</v>
      </c>
      <c r="C103" s="879" t="s">
        <v>12</v>
      </c>
      <c r="D103" s="879" t="s">
        <v>1486</v>
      </c>
      <c r="E103" s="875" t="s">
        <v>13</v>
      </c>
      <c r="F103" s="780">
        <v>5.55</v>
      </c>
      <c r="G103" s="982"/>
      <c r="H103" s="1008"/>
      <c r="I103" s="1063"/>
      <c r="J103" s="622"/>
      <c r="K103" s="982"/>
      <c r="L103" s="861"/>
      <c r="N103" s="878"/>
    </row>
    <row r="104" spans="1:17" s="224" customFormat="1" x14ac:dyDescent="0.25">
      <c r="A104" s="215">
        <v>44522</v>
      </c>
      <c r="B104" s="882" t="s">
        <v>2766</v>
      </c>
      <c r="C104" s="879" t="s">
        <v>12</v>
      </c>
      <c r="D104" s="879" t="s">
        <v>2157</v>
      </c>
      <c r="E104" s="875" t="s">
        <v>13</v>
      </c>
      <c r="F104" s="780">
        <v>60</v>
      </c>
      <c r="G104" s="982"/>
      <c r="H104" s="1008"/>
      <c r="I104" s="1063"/>
      <c r="J104" s="622"/>
      <c r="K104" s="982"/>
      <c r="L104" s="861"/>
      <c r="N104" s="878"/>
      <c r="P104" s="1104"/>
      <c r="Q104" s="1104"/>
    </row>
    <row r="105" spans="1:17" s="224" customFormat="1" ht="15" customHeight="1" x14ac:dyDescent="0.25">
      <c r="A105" s="215">
        <v>44523</v>
      </c>
      <c r="B105" s="364" t="s">
        <v>32</v>
      </c>
      <c r="C105" s="350" t="s">
        <v>12</v>
      </c>
      <c r="D105" s="350" t="s">
        <v>1485</v>
      </c>
      <c r="E105" s="875" t="s">
        <v>13</v>
      </c>
      <c r="F105" s="780">
        <v>16</v>
      </c>
      <c r="G105" s="982"/>
      <c r="H105" s="622"/>
      <c r="I105" s="982"/>
      <c r="J105" s="622"/>
      <c r="K105" s="982"/>
      <c r="L105" s="927"/>
      <c r="M105" s="927"/>
      <c r="N105" s="878"/>
    </row>
    <row r="106" spans="1:17" s="224" customFormat="1" ht="15" customHeight="1" x14ac:dyDescent="0.25">
      <c r="A106" s="215">
        <v>44523</v>
      </c>
      <c r="B106" s="882" t="s">
        <v>445</v>
      </c>
      <c r="C106" s="879" t="s">
        <v>12</v>
      </c>
      <c r="D106" s="879" t="s">
        <v>1493</v>
      </c>
      <c r="E106" s="875" t="s">
        <v>15</v>
      </c>
      <c r="F106" s="780">
        <v>6</v>
      </c>
      <c r="G106" s="982"/>
      <c r="H106" s="1008"/>
      <c r="I106" s="1063"/>
      <c r="J106" s="622"/>
      <c r="K106" s="982"/>
      <c r="L106" s="1029"/>
      <c r="M106" s="89"/>
      <c r="N106" s="1035"/>
    </row>
    <row r="107" spans="1:17" s="224" customFormat="1" x14ac:dyDescent="0.25">
      <c r="A107" s="215">
        <v>44523</v>
      </c>
      <c r="B107" s="882" t="s">
        <v>14</v>
      </c>
      <c r="C107" s="879" t="s">
        <v>12</v>
      </c>
      <c r="D107" s="879" t="s">
        <v>1486</v>
      </c>
      <c r="E107" s="875" t="s">
        <v>13</v>
      </c>
      <c r="F107" s="780">
        <v>8</v>
      </c>
      <c r="G107" s="982"/>
      <c r="H107" s="1008"/>
      <c r="I107" s="1063"/>
      <c r="J107" s="622"/>
      <c r="K107" s="982"/>
      <c r="L107" s="861"/>
      <c r="N107" s="878"/>
    </row>
    <row r="108" spans="1:17" s="224" customFormat="1" ht="15" customHeight="1" x14ac:dyDescent="0.25">
      <c r="A108" s="215">
        <v>44523</v>
      </c>
      <c r="B108" s="349" t="s">
        <v>220</v>
      </c>
      <c r="C108" s="350" t="s">
        <v>12</v>
      </c>
      <c r="D108" s="350" t="s">
        <v>1522</v>
      </c>
      <c r="E108" s="480" t="s">
        <v>13</v>
      </c>
      <c r="F108" s="780">
        <v>13.82</v>
      </c>
      <c r="G108" s="946"/>
      <c r="H108" s="95"/>
      <c r="I108" s="1064"/>
      <c r="J108" s="622"/>
      <c r="K108" s="982"/>
      <c r="L108" s="861"/>
    </row>
    <row r="109" spans="1:17" s="224" customFormat="1" ht="15" customHeight="1" x14ac:dyDescent="0.25">
      <c r="A109" s="215">
        <v>44524</v>
      </c>
      <c r="B109" s="862" t="s">
        <v>3046</v>
      </c>
      <c r="C109" s="879" t="s">
        <v>12</v>
      </c>
      <c r="D109" s="879" t="s">
        <v>1504</v>
      </c>
      <c r="E109" s="871" t="s">
        <v>13</v>
      </c>
      <c r="F109" s="622">
        <v>25.9</v>
      </c>
      <c r="G109" s="1034"/>
      <c r="H109" s="1008"/>
      <c r="I109" s="1063"/>
      <c r="J109" s="622"/>
      <c r="K109" s="982"/>
      <c r="L109" s="475"/>
      <c r="N109" s="878"/>
    </row>
    <row r="110" spans="1:17" s="224" customFormat="1" ht="15" customHeight="1" x14ac:dyDescent="0.25">
      <c r="A110" s="215">
        <v>44524</v>
      </c>
      <c r="B110" s="882" t="s">
        <v>3129</v>
      </c>
      <c r="C110" s="879" t="s">
        <v>12</v>
      </c>
      <c r="D110" s="879" t="s">
        <v>1499</v>
      </c>
      <c r="E110" s="871" t="s">
        <v>13</v>
      </c>
      <c r="F110" s="780">
        <v>46.32</v>
      </c>
      <c r="G110" s="982"/>
      <c r="H110" s="1008"/>
      <c r="I110" s="1063"/>
      <c r="J110" s="622"/>
      <c r="K110" s="982"/>
      <c r="L110" s="1051">
        <v>106.32</v>
      </c>
      <c r="M110" s="1029"/>
      <c r="N110" s="1029"/>
    </row>
    <row r="111" spans="1:17" s="224" customFormat="1" ht="15" customHeight="1" x14ac:dyDescent="0.25">
      <c r="A111" s="215">
        <v>44524</v>
      </c>
      <c r="B111" s="364" t="s">
        <v>32</v>
      </c>
      <c r="C111" s="350" t="s">
        <v>12</v>
      </c>
      <c r="D111" s="350" t="s">
        <v>1485</v>
      </c>
      <c r="E111" s="875" t="s">
        <v>13</v>
      </c>
      <c r="F111" s="780">
        <v>16</v>
      </c>
      <c r="G111" s="982"/>
      <c r="H111" s="622"/>
      <c r="I111" s="982"/>
      <c r="J111" s="622"/>
      <c r="K111" s="982"/>
      <c r="L111" s="927"/>
      <c r="M111" s="927"/>
      <c r="N111" s="878"/>
    </row>
    <row r="112" spans="1:17" s="224" customFormat="1" ht="15" customHeight="1" x14ac:dyDescent="0.25">
      <c r="A112" s="215">
        <v>44524</v>
      </c>
      <c r="B112" s="882" t="s">
        <v>14</v>
      </c>
      <c r="C112" s="879" t="s">
        <v>12</v>
      </c>
      <c r="D112" s="879" t="s">
        <v>1486</v>
      </c>
      <c r="E112" s="875" t="s">
        <v>13</v>
      </c>
      <c r="F112" s="780">
        <v>8</v>
      </c>
      <c r="G112" s="982"/>
      <c r="H112" s="1008"/>
      <c r="I112" s="1063"/>
      <c r="J112" s="622"/>
      <c r="K112" s="982"/>
      <c r="L112" s="861"/>
      <c r="N112" s="1035"/>
    </row>
    <row r="113" spans="1:17" s="224" customFormat="1" ht="15" customHeight="1" x14ac:dyDescent="0.25">
      <c r="A113" s="215">
        <v>44524</v>
      </c>
      <c r="B113" s="364" t="s">
        <v>3130</v>
      </c>
      <c r="C113" s="350" t="s">
        <v>12</v>
      </c>
      <c r="D113" s="350" t="s">
        <v>1506</v>
      </c>
      <c r="E113" s="875" t="s">
        <v>13</v>
      </c>
      <c r="F113" s="780">
        <v>25</v>
      </c>
      <c r="G113" s="982"/>
      <c r="H113" s="1008"/>
      <c r="I113" s="1063"/>
      <c r="J113" s="622"/>
      <c r="K113" s="982"/>
      <c r="L113" s="861"/>
      <c r="N113" s="1035"/>
    </row>
    <row r="114" spans="1:17" s="224" customFormat="1" ht="15" customHeight="1" x14ac:dyDescent="0.25">
      <c r="A114" s="215">
        <v>44525</v>
      </c>
      <c r="B114" s="364" t="s">
        <v>32</v>
      </c>
      <c r="C114" s="350" t="s">
        <v>12</v>
      </c>
      <c r="D114" s="350" t="s">
        <v>1485</v>
      </c>
      <c r="E114" s="875" t="s">
        <v>13</v>
      </c>
      <c r="F114" s="780">
        <v>16</v>
      </c>
      <c r="G114" s="982"/>
      <c r="H114" s="622"/>
      <c r="I114" s="982"/>
      <c r="J114" s="622"/>
      <c r="K114" s="982"/>
      <c r="L114" s="927"/>
      <c r="M114" s="927"/>
      <c r="N114" s="878"/>
    </row>
    <row r="115" spans="1:17" s="224" customFormat="1" ht="15" customHeight="1" x14ac:dyDescent="0.25">
      <c r="A115" s="215">
        <v>44525</v>
      </c>
      <c r="B115" s="882" t="s">
        <v>443</v>
      </c>
      <c r="C115" s="879" t="s">
        <v>12</v>
      </c>
      <c r="D115" s="879" t="s">
        <v>1493</v>
      </c>
      <c r="E115" s="875" t="s">
        <v>13</v>
      </c>
      <c r="F115" s="780">
        <v>11.86</v>
      </c>
      <c r="G115" s="946"/>
      <c r="H115" s="95"/>
      <c r="I115" s="1064"/>
      <c r="J115" s="622"/>
      <c r="K115" s="982"/>
      <c r="L115" s="861"/>
      <c r="N115" s="927"/>
    </row>
    <row r="116" spans="1:17" s="224" customFormat="1" ht="15" customHeight="1" x14ac:dyDescent="0.25">
      <c r="A116" s="215">
        <v>44525</v>
      </c>
      <c r="B116" s="882" t="s">
        <v>3131</v>
      </c>
      <c r="C116" s="879" t="s">
        <v>12</v>
      </c>
      <c r="D116" s="879" t="s">
        <v>1489</v>
      </c>
      <c r="E116" s="875" t="s">
        <v>15</v>
      </c>
      <c r="F116" s="780">
        <v>10</v>
      </c>
      <c r="G116" s="946"/>
      <c r="H116" s="95"/>
      <c r="I116" s="1064"/>
      <c r="J116" s="622"/>
      <c r="K116" s="982"/>
      <c r="L116" s="861"/>
      <c r="N116" s="927"/>
    </row>
    <row r="117" spans="1:17" s="224" customFormat="1" ht="15" customHeight="1" x14ac:dyDescent="0.25">
      <c r="A117" s="215">
        <v>44526</v>
      </c>
      <c r="B117" s="364" t="s">
        <v>32</v>
      </c>
      <c r="C117" s="350" t="s">
        <v>12</v>
      </c>
      <c r="D117" s="350" t="s">
        <v>1485</v>
      </c>
      <c r="E117" s="875" t="s">
        <v>13</v>
      </c>
      <c r="F117" s="780">
        <v>16</v>
      </c>
      <c r="G117" s="982"/>
      <c r="H117" s="622"/>
      <c r="I117" s="982"/>
      <c r="J117" s="622"/>
      <c r="K117" s="982"/>
      <c r="L117" s="927"/>
      <c r="M117" s="927"/>
      <c r="N117" s="878"/>
    </row>
    <row r="118" spans="1:17" s="224" customFormat="1" ht="15" customHeight="1" x14ac:dyDescent="0.25">
      <c r="A118" s="215">
        <v>44526</v>
      </c>
      <c r="B118" s="364" t="s">
        <v>3132</v>
      </c>
      <c r="C118" s="350" t="s">
        <v>12</v>
      </c>
      <c r="D118" s="350" t="s">
        <v>1506</v>
      </c>
      <c r="E118" s="875" t="s">
        <v>13</v>
      </c>
      <c r="F118" s="780">
        <v>22</v>
      </c>
      <c r="G118" s="982"/>
      <c r="H118" s="1008"/>
      <c r="I118" s="1063"/>
      <c r="J118" s="622"/>
      <c r="K118" s="982"/>
      <c r="L118" s="861"/>
      <c r="N118" s="1080"/>
    </row>
    <row r="119" spans="1:17" s="224" customFormat="1" ht="15" customHeight="1" x14ac:dyDescent="0.25">
      <c r="A119" s="215">
        <v>44526</v>
      </c>
      <c r="B119" s="882" t="s">
        <v>82</v>
      </c>
      <c r="C119" s="879" t="s">
        <v>12</v>
      </c>
      <c r="D119" s="879" t="s">
        <v>1493</v>
      </c>
      <c r="E119" s="875" t="s">
        <v>13</v>
      </c>
      <c r="F119" s="780">
        <v>22.4</v>
      </c>
      <c r="G119" s="982"/>
      <c r="H119" s="1008"/>
      <c r="I119" s="1063"/>
      <c r="J119" s="622"/>
      <c r="K119" s="982"/>
      <c r="L119" s="861"/>
      <c r="N119" s="1080"/>
    </row>
    <row r="120" spans="1:17" s="224" customFormat="1" x14ac:dyDescent="0.25">
      <c r="A120" s="215">
        <v>44527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7</v>
      </c>
      <c r="G120" s="982"/>
      <c r="H120" s="1008"/>
      <c r="I120" s="1063"/>
      <c r="J120" s="622"/>
      <c r="K120" s="982"/>
      <c r="L120" s="861"/>
      <c r="N120" s="878"/>
    </row>
    <row r="121" spans="1:17" s="224" customFormat="1" ht="15" customHeight="1" x14ac:dyDescent="0.25">
      <c r="A121" s="215">
        <v>44527</v>
      </c>
      <c r="B121" s="364" t="s">
        <v>3133</v>
      </c>
      <c r="C121" s="350" t="s">
        <v>12</v>
      </c>
      <c r="D121" s="350" t="s">
        <v>1489</v>
      </c>
      <c r="E121" s="875" t="s">
        <v>13</v>
      </c>
      <c r="F121" s="780">
        <v>19.36</v>
      </c>
      <c r="G121" s="982"/>
      <c r="H121" s="1008"/>
      <c r="I121" s="1063"/>
      <c r="J121" s="622"/>
      <c r="K121" s="982"/>
      <c r="L121" s="861"/>
      <c r="N121" s="1080"/>
    </row>
    <row r="122" spans="1:17" s="224" customFormat="1" ht="15" customHeight="1" x14ac:dyDescent="0.25">
      <c r="A122" s="215">
        <v>44527</v>
      </c>
      <c r="B122" s="364" t="s">
        <v>56</v>
      </c>
      <c r="C122" s="350" t="s">
        <v>19</v>
      </c>
      <c r="D122" s="350" t="s">
        <v>1523</v>
      </c>
      <c r="E122" s="875" t="s">
        <v>13</v>
      </c>
      <c r="F122" s="780">
        <v>15</v>
      </c>
      <c r="G122" s="982"/>
      <c r="H122" s="1008"/>
      <c r="I122" s="1063"/>
      <c r="J122" s="622"/>
      <c r="K122" s="982"/>
      <c r="L122" s="861"/>
      <c r="N122" s="1080"/>
    </row>
    <row r="123" spans="1:17" s="224" customFormat="1" ht="15" customHeight="1" x14ac:dyDescent="0.25">
      <c r="A123" s="215">
        <v>44527</v>
      </c>
      <c r="B123" s="364" t="s">
        <v>2629</v>
      </c>
      <c r="C123" s="350" t="s">
        <v>19</v>
      </c>
      <c r="D123" s="350" t="s">
        <v>1489</v>
      </c>
      <c r="E123" s="875" t="s">
        <v>13</v>
      </c>
      <c r="F123" s="780">
        <v>61.19</v>
      </c>
      <c r="G123" s="982"/>
      <c r="H123" s="1008"/>
      <c r="I123" s="1063"/>
      <c r="J123" s="622"/>
      <c r="K123" s="982"/>
      <c r="L123" s="861"/>
      <c r="N123" s="1080"/>
    </row>
    <row r="124" spans="1:17" s="224" customFormat="1" x14ac:dyDescent="0.25">
      <c r="A124" s="215">
        <v>44527</v>
      </c>
      <c r="B124" s="882" t="s">
        <v>2766</v>
      </c>
      <c r="C124" s="879" t="s">
        <v>12</v>
      </c>
      <c r="D124" s="879" t="s">
        <v>2157</v>
      </c>
      <c r="E124" s="875" t="s">
        <v>13</v>
      </c>
      <c r="F124" s="780">
        <v>60</v>
      </c>
      <c r="G124" s="982"/>
      <c r="H124" s="1008"/>
      <c r="I124" s="1063"/>
      <c r="J124" s="622"/>
      <c r="K124" s="982"/>
      <c r="L124" s="861"/>
      <c r="N124" s="878"/>
      <c r="P124" s="1104"/>
      <c r="Q124" s="1104"/>
    </row>
    <row r="125" spans="1:17" s="224" customFormat="1" ht="15" customHeight="1" x14ac:dyDescent="0.25">
      <c r="A125" s="215">
        <v>44527</v>
      </c>
      <c r="B125" s="882" t="s">
        <v>82</v>
      </c>
      <c r="C125" s="879" t="s">
        <v>12</v>
      </c>
      <c r="D125" s="879" t="s">
        <v>1493</v>
      </c>
      <c r="E125" s="875" t="s">
        <v>13</v>
      </c>
      <c r="F125" s="780">
        <v>41.9</v>
      </c>
      <c r="G125" s="982"/>
      <c r="H125" s="1008"/>
      <c r="I125" s="1063"/>
      <c r="J125" s="622"/>
      <c r="K125" s="982"/>
      <c r="L125" s="861"/>
      <c r="N125" s="1080"/>
    </row>
    <row r="126" spans="1:17" s="224" customFormat="1" ht="15" customHeight="1" x14ac:dyDescent="0.25">
      <c r="A126" s="215">
        <v>44528</v>
      </c>
      <c r="B126" s="882" t="s">
        <v>14</v>
      </c>
      <c r="C126" s="879" t="s">
        <v>12</v>
      </c>
      <c r="D126" s="879" t="s">
        <v>1486</v>
      </c>
      <c r="E126" s="875" t="s">
        <v>13</v>
      </c>
      <c r="F126" s="780">
        <v>10.87</v>
      </c>
      <c r="G126" s="982"/>
      <c r="H126" s="1008"/>
      <c r="I126" s="1063"/>
      <c r="J126" s="622"/>
      <c r="K126" s="982"/>
      <c r="L126" s="861"/>
      <c r="N126" s="1080"/>
    </row>
    <row r="127" spans="1:17" s="224" customFormat="1" ht="15" customHeight="1" x14ac:dyDescent="0.25">
      <c r="A127" s="215">
        <v>44528</v>
      </c>
      <c r="B127" s="364" t="s">
        <v>3134</v>
      </c>
      <c r="C127" s="350" t="s">
        <v>12</v>
      </c>
      <c r="D127" s="350" t="s">
        <v>1523</v>
      </c>
      <c r="E127" s="875" t="s">
        <v>13</v>
      </c>
      <c r="F127" s="780">
        <v>10</v>
      </c>
      <c r="G127" s="982"/>
      <c r="H127" s="1008"/>
      <c r="I127" s="1063"/>
      <c r="J127" s="622"/>
      <c r="K127" s="982"/>
      <c r="L127" s="1029"/>
      <c r="M127" s="89"/>
      <c r="N127" s="1081"/>
    </row>
    <row r="128" spans="1:17" s="224" customFormat="1" ht="15" customHeight="1" x14ac:dyDescent="0.25">
      <c r="A128" s="215">
        <v>44528</v>
      </c>
      <c r="B128" s="364" t="s">
        <v>1906</v>
      </c>
      <c r="C128" s="350" t="s">
        <v>12</v>
      </c>
      <c r="D128" s="350" t="s">
        <v>1493</v>
      </c>
      <c r="E128" s="875" t="s">
        <v>13</v>
      </c>
      <c r="F128" s="780">
        <v>30</v>
      </c>
      <c r="G128" s="982"/>
      <c r="H128" s="1008"/>
      <c r="I128" s="1063"/>
      <c r="J128" s="622"/>
      <c r="K128" s="982"/>
      <c r="L128" s="1029"/>
      <c r="M128" s="89"/>
      <c r="N128" s="1081"/>
    </row>
    <row r="129" spans="1:17" s="224" customFormat="1" ht="15" customHeight="1" x14ac:dyDescent="0.25">
      <c r="A129" s="215">
        <v>44529</v>
      </c>
      <c r="B129" s="364" t="s">
        <v>32</v>
      </c>
      <c r="C129" s="350" t="s">
        <v>12</v>
      </c>
      <c r="D129" s="350" t="s">
        <v>1485</v>
      </c>
      <c r="E129" s="875" t="s">
        <v>13</v>
      </c>
      <c r="F129" s="780">
        <v>16</v>
      </c>
      <c r="G129" s="982"/>
      <c r="H129" s="622"/>
      <c r="I129" s="982"/>
      <c r="J129" s="622"/>
      <c r="K129" s="982"/>
      <c r="L129" s="927"/>
      <c r="M129" s="927"/>
      <c r="N129" s="878"/>
    </row>
    <row r="130" spans="1:17" s="224" customFormat="1" ht="15" customHeight="1" x14ac:dyDescent="0.25">
      <c r="A130" s="215">
        <v>44529</v>
      </c>
      <c r="B130" s="882" t="s">
        <v>445</v>
      </c>
      <c r="C130" s="879" t="s">
        <v>12</v>
      </c>
      <c r="D130" s="879" t="s">
        <v>1493</v>
      </c>
      <c r="E130" s="875" t="s">
        <v>15</v>
      </c>
      <c r="F130" s="780">
        <v>6</v>
      </c>
      <c r="G130" s="982"/>
      <c r="H130" s="1008"/>
      <c r="I130" s="1063"/>
      <c r="J130" s="622"/>
      <c r="K130" s="982"/>
      <c r="L130" s="1029"/>
      <c r="M130" s="89"/>
      <c r="N130" s="1035"/>
    </row>
    <row r="131" spans="1:17" s="224" customFormat="1" ht="15" customHeight="1" x14ac:dyDescent="0.25">
      <c r="A131" s="215">
        <v>44530</v>
      </c>
      <c r="B131" s="364" t="s">
        <v>32</v>
      </c>
      <c r="C131" s="350" t="s">
        <v>12</v>
      </c>
      <c r="D131" s="350" t="s">
        <v>1485</v>
      </c>
      <c r="E131" s="875" t="s">
        <v>13</v>
      </c>
      <c r="F131" s="780">
        <v>16</v>
      </c>
      <c r="G131" s="982"/>
      <c r="H131" s="1008"/>
      <c r="I131" s="1063"/>
      <c r="J131" s="622"/>
      <c r="K131" s="982"/>
      <c r="L131" s="1029"/>
      <c r="M131" s="89"/>
      <c r="N131" s="930"/>
    </row>
    <row r="132" spans="1:17" s="224" customFormat="1" ht="15" customHeight="1" x14ac:dyDescent="0.25">
      <c r="A132" s="215">
        <v>44530</v>
      </c>
      <c r="B132" s="364" t="s">
        <v>3135</v>
      </c>
      <c r="C132" s="350" t="s">
        <v>12</v>
      </c>
      <c r="D132" s="350"/>
      <c r="E132" s="480" t="s">
        <v>25</v>
      </c>
      <c r="F132" s="780"/>
      <c r="G132" s="982">
        <v>2300</v>
      </c>
      <c r="H132" s="1008"/>
      <c r="I132" s="1063"/>
      <c r="J132" s="622"/>
      <c r="K132" s="982"/>
      <c r="L132" s="1102">
        <v>2300</v>
      </c>
      <c r="M132" s="89"/>
      <c r="N132" s="930"/>
    </row>
    <row r="133" spans="1:17" s="224" customFormat="1" ht="15" customHeight="1" x14ac:dyDescent="0.25">
      <c r="A133" s="215">
        <v>44530</v>
      </c>
      <c r="B133" s="349" t="s">
        <v>260</v>
      </c>
      <c r="C133" s="350" t="s">
        <v>12</v>
      </c>
      <c r="D133" s="350"/>
      <c r="E133" s="480"/>
      <c r="F133" s="780">
        <v>1700</v>
      </c>
      <c r="G133" s="946"/>
      <c r="H133" s="95"/>
      <c r="I133" s="1064">
        <v>1700</v>
      </c>
      <c r="J133" s="622"/>
      <c r="K133" s="982"/>
      <c r="L133" s="861"/>
    </row>
    <row r="134" spans="1:17" s="224" customFormat="1" ht="15.75" thickBot="1" x14ac:dyDescent="0.3">
      <c r="A134" s="215">
        <v>44530</v>
      </c>
      <c r="B134" s="862" t="s">
        <v>1666</v>
      </c>
      <c r="C134" s="350" t="s">
        <v>12</v>
      </c>
      <c r="D134" s="1003"/>
      <c r="E134" s="145" t="s">
        <v>25</v>
      </c>
      <c r="F134" s="1036"/>
      <c r="G134" s="1535"/>
      <c r="H134" s="1008"/>
      <c r="I134" s="1063"/>
      <c r="J134" s="622"/>
      <c r="K134" s="982">
        <v>66.930000000000007</v>
      </c>
      <c r="L134" s="475"/>
      <c r="N134" s="878"/>
    </row>
    <row r="135" spans="1:17" ht="25.5" customHeight="1" thickBot="1" x14ac:dyDescent="0.3">
      <c r="A135" s="3060"/>
      <c r="B135" s="3061"/>
      <c r="C135" s="3062"/>
      <c r="D135" s="3062"/>
      <c r="E135" s="3062"/>
      <c r="F135" s="1020">
        <f>SUM(F6:F134)</f>
        <v>6600.8991666666634</v>
      </c>
      <c r="G135" s="1534">
        <f>SUM(G5:G134)</f>
        <v>7302.9620833333474</v>
      </c>
      <c r="H135" s="517">
        <f>SUM(H6:H134)</f>
        <v>350</v>
      </c>
      <c r="I135" s="93">
        <f>SUM(I5:I134)</f>
        <v>3749.9960000000028</v>
      </c>
      <c r="J135" s="1023">
        <f>SUM(J6:J134)</f>
        <v>0</v>
      </c>
      <c r="K135" s="93">
        <f>SUM(K5:K134)</f>
        <v>13641.339999999997</v>
      </c>
      <c r="M135" s="216"/>
    </row>
    <row r="136" spans="1:17" ht="25.5" customHeight="1" thickBot="1" x14ac:dyDescent="0.3">
      <c r="A136" s="3117" t="s">
        <v>49</v>
      </c>
      <c r="B136" s="3118"/>
      <c r="C136" s="3118"/>
      <c r="D136" s="3118"/>
      <c r="E136" s="3118"/>
      <c r="F136" s="144" t="s">
        <v>280</v>
      </c>
      <c r="G136" s="519">
        <f>G135-F135</f>
        <v>702.06291666668403</v>
      </c>
      <c r="H136" s="555"/>
      <c r="I136" s="772">
        <f>I135-H135</f>
        <v>3399.9960000000028</v>
      </c>
      <c r="J136" s="593"/>
      <c r="K136" s="772">
        <f>K135-J135</f>
        <v>13641.339999999997</v>
      </c>
    </row>
    <row r="137" spans="1:17" x14ac:dyDescent="0.25">
      <c r="L137" s="89"/>
      <c r="N137" s="79"/>
      <c r="O137" s="216"/>
      <c r="Q137" s="877"/>
    </row>
    <row r="138" spans="1:17" x14ac:dyDescent="0.25">
      <c r="B138" s="81" t="s">
        <v>3</v>
      </c>
      <c r="C138" s="193" t="s">
        <v>1484</v>
      </c>
      <c r="D138" s="970" t="s">
        <v>2378</v>
      </c>
      <c r="G138" s="216"/>
      <c r="K138" s="866"/>
    </row>
    <row r="139" spans="1:17" x14ac:dyDescent="0.25">
      <c r="B139" s="79" t="s">
        <v>32</v>
      </c>
      <c r="C139" s="85" t="s">
        <v>1485</v>
      </c>
      <c r="D139" s="475">
        <f>SUMIF($D$8:$D$134,"A",$F$8:$F$134)</f>
        <v>341</v>
      </c>
      <c r="F139" s="79"/>
      <c r="G139" s="800"/>
      <c r="I139" s="769"/>
      <c r="J139" s="868"/>
    </row>
    <row r="140" spans="1:17" x14ac:dyDescent="0.25">
      <c r="B140" s="79" t="s">
        <v>2187</v>
      </c>
      <c r="C140" s="85" t="s">
        <v>2157</v>
      </c>
      <c r="D140" s="475">
        <f>SUMIF($D$8:$D$134,"GAC",$F$8:$F$134)</f>
        <v>550</v>
      </c>
      <c r="G140" s="609"/>
      <c r="J140" s="754"/>
      <c r="K140" s="886"/>
      <c r="L140" s="1030"/>
    </row>
    <row r="141" spans="1:17" x14ac:dyDescent="0.25">
      <c r="B141" s="79" t="s">
        <v>2188</v>
      </c>
      <c r="C141" s="85" t="s">
        <v>2168</v>
      </c>
      <c r="D141" s="475">
        <f>SUMIF($D$17:$D$134,"GAM",$F$17:$F$134)</f>
        <v>50</v>
      </c>
      <c r="J141" s="864"/>
      <c r="K141" s="864"/>
      <c r="L141" s="958"/>
    </row>
    <row r="142" spans="1:17" s="85" customFormat="1" x14ac:dyDescent="0.25">
      <c r="A142" s="79"/>
      <c r="B142" s="79" t="s">
        <v>50</v>
      </c>
      <c r="C142" s="85" t="s">
        <v>1493</v>
      </c>
      <c r="D142" s="475">
        <f>SUMIF($D$8:$D$134,"LD",$F$8:$F$134)</f>
        <v>287.43</v>
      </c>
      <c r="J142" s="864"/>
      <c r="K142" s="1032"/>
      <c r="L142" s="958"/>
      <c r="N142" s="877"/>
    </row>
    <row r="143" spans="1:17" s="85" customFormat="1" x14ac:dyDescent="0.25">
      <c r="A143" s="79"/>
      <c r="B143" s="79" t="s">
        <v>14</v>
      </c>
      <c r="C143" s="85" t="s">
        <v>1486</v>
      </c>
      <c r="D143" s="475">
        <f>SUMIF($D$8:$D$134,"C",$F$8:$F$134)</f>
        <v>146.31</v>
      </c>
      <c r="F143" s="89"/>
      <c r="G143" s="79"/>
      <c r="H143" s="79"/>
      <c r="J143" s="864"/>
      <c r="K143" s="1032"/>
      <c r="L143" s="958"/>
      <c r="N143" s="877"/>
    </row>
    <row r="144" spans="1:17" s="85" customFormat="1" x14ac:dyDescent="0.25">
      <c r="A144" s="79"/>
      <c r="B144" s="79" t="s">
        <v>51</v>
      </c>
      <c r="C144" s="864" t="s">
        <v>1499</v>
      </c>
      <c r="D144" s="475">
        <f>SUMIF($D$28:$D$134,"CAL",$F$28:$F$134)</f>
        <v>124.72999999999999</v>
      </c>
      <c r="F144" s="89"/>
      <c r="G144" s="79"/>
      <c r="H144" s="79"/>
      <c r="I144" s="79"/>
      <c r="K144" s="795"/>
      <c r="L144" s="958"/>
      <c r="N144" s="877"/>
    </row>
    <row r="145" spans="1:15" s="85" customFormat="1" x14ac:dyDescent="0.25">
      <c r="A145" s="79"/>
      <c r="B145" s="79" t="s">
        <v>2189</v>
      </c>
      <c r="C145" s="864" t="s">
        <v>1496</v>
      </c>
      <c r="D145" s="475">
        <f>SUMIF($D$8:$D$134,"AC",$F$8:$F$134)</f>
        <v>230.23000000000002</v>
      </c>
      <c r="F145" s="769"/>
      <c r="G145" s="79"/>
      <c r="K145" s="177"/>
      <c r="L145" s="941"/>
      <c r="N145" s="877"/>
    </row>
    <row r="146" spans="1:15" s="85" customFormat="1" x14ac:dyDescent="0.25">
      <c r="A146" s="79"/>
      <c r="B146" s="867" t="s">
        <v>53</v>
      </c>
      <c r="C146" s="864" t="s">
        <v>1522</v>
      </c>
      <c r="D146" s="475">
        <f>SUMIF($D$8:$D$134,"DC",$F$8:$F$134)</f>
        <v>426.35250000000002</v>
      </c>
      <c r="K146" s="177"/>
      <c r="L146" s="475"/>
      <c r="N146" s="877"/>
    </row>
    <row r="147" spans="1:15" s="85" customFormat="1" x14ac:dyDescent="0.25">
      <c r="A147" s="79"/>
      <c r="B147" s="867" t="s">
        <v>2149</v>
      </c>
      <c r="C147" s="864" t="s">
        <v>2131</v>
      </c>
      <c r="D147" s="475">
        <f>SUMIF($D$6:$D$134,"DM",$F$6:$F$134)</f>
        <v>0</v>
      </c>
      <c r="F147" s="769"/>
      <c r="K147" s="177" t="s">
        <v>280</v>
      </c>
      <c r="L147" s="475"/>
      <c r="N147" s="877"/>
    </row>
    <row r="148" spans="1:15" s="85" customFormat="1" x14ac:dyDescent="0.25">
      <c r="A148" s="79"/>
      <c r="B148" s="79" t="s">
        <v>3048</v>
      </c>
      <c r="C148" s="864" t="s">
        <v>1523</v>
      </c>
      <c r="D148" s="475">
        <f ca="1">SUMIF($D$8:$D$135,"B",$F$8:$F$134)</f>
        <v>125</v>
      </c>
      <c r="F148" s="769"/>
      <c r="G148" s="1038"/>
      <c r="K148" s="177"/>
      <c r="L148" s="475"/>
      <c r="N148" s="877"/>
    </row>
    <row r="149" spans="1:15" s="85" customFormat="1" x14ac:dyDescent="0.25">
      <c r="A149" s="79"/>
      <c r="B149" s="79" t="s">
        <v>1686</v>
      </c>
      <c r="C149" s="864" t="s">
        <v>1506</v>
      </c>
      <c r="D149" s="475">
        <f>SUMIF($D$8:$D$134,"R",$F$8:$F$134)</f>
        <v>282.94</v>
      </c>
      <c r="F149" s="769"/>
      <c r="G149" s="1032"/>
      <c r="K149" s="866"/>
      <c r="L149" s="475"/>
      <c r="N149" s="877"/>
    </row>
    <row r="150" spans="1:15" x14ac:dyDescent="0.25">
      <c r="B150" s="79" t="s">
        <v>418</v>
      </c>
      <c r="C150" s="85" t="s">
        <v>1524</v>
      </c>
      <c r="D150" s="475">
        <f>SUMIF($D$28:$D$134,"COM",$F$28:$F$134)</f>
        <v>0</v>
      </c>
      <c r="G150" s="85"/>
      <c r="H150" s="85"/>
      <c r="I150" s="85"/>
      <c r="J150" s="769"/>
      <c r="K150" s="216"/>
    </row>
    <row r="151" spans="1:15" x14ac:dyDescent="0.25">
      <c r="B151" s="79" t="s">
        <v>419</v>
      </c>
      <c r="C151" s="85" t="s">
        <v>1491</v>
      </c>
      <c r="D151" s="475">
        <f>SUMIF($D$17:$D$134,"F",$F$17:$F$134)</f>
        <v>618.5</v>
      </c>
      <c r="I151" s="85"/>
      <c r="K151" s="216"/>
    </row>
    <row r="152" spans="1:15" x14ac:dyDescent="0.25">
      <c r="B152" s="79" t="s">
        <v>911</v>
      </c>
      <c r="C152" s="85" t="s">
        <v>1525</v>
      </c>
      <c r="D152" s="475">
        <f>SUMIF($D$8:$D$134,"FER",$F$8:$F$134)</f>
        <v>0</v>
      </c>
      <c r="J152" s="769"/>
      <c r="K152" s="868"/>
    </row>
    <row r="153" spans="1:15" x14ac:dyDescent="0.25">
      <c r="B153" s="79" t="s">
        <v>1526</v>
      </c>
      <c r="C153" s="85" t="s">
        <v>1504</v>
      </c>
      <c r="D153" s="475">
        <f>SUMIF($D$28:$D$134,"I",$F$28:$F$134)</f>
        <v>237.9</v>
      </c>
      <c r="F153" s="89" t="s">
        <v>280</v>
      </c>
      <c r="J153" s="769"/>
      <c r="K153" s="868"/>
    </row>
    <row r="154" spans="1:15" x14ac:dyDescent="0.25">
      <c r="B154" s="79" t="s">
        <v>2343</v>
      </c>
      <c r="C154" s="85" t="s">
        <v>2315</v>
      </c>
      <c r="D154" s="475">
        <f>SUMIF($D$8:$D$134,"E",$F$8:$F$134)</f>
        <v>0</v>
      </c>
      <c r="J154" s="769"/>
      <c r="K154" s="868"/>
    </row>
    <row r="155" spans="1:15" x14ac:dyDescent="0.25">
      <c r="B155" s="79" t="s">
        <v>3019</v>
      </c>
      <c r="C155" s="85" t="s">
        <v>3017</v>
      </c>
      <c r="D155" s="475">
        <f>SUMIF($D$6:$D$134,"IM",$F$6:$F$134)</f>
        <v>633.16999999999996</v>
      </c>
      <c r="J155" s="769"/>
    </row>
    <row r="156" spans="1:15" x14ac:dyDescent="0.25">
      <c r="B156" s="79" t="s">
        <v>1527</v>
      </c>
      <c r="C156" s="85" t="s">
        <v>1489</v>
      </c>
      <c r="D156" s="475">
        <f>SUMIF($D$8:$D$134,"OD",$F$8:$F$134)</f>
        <v>347.3366666666667</v>
      </c>
    </row>
    <row r="157" spans="1:15" x14ac:dyDescent="0.25">
      <c r="C157" s="79"/>
      <c r="D157" s="629"/>
      <c r="E157" s="79"/>
      <c r="F157" s="79"/>
      <c r="L157" s="79"/>
      <c r="N157" s="79"/>
    </row>
    <row r="158" spans="1:15" x14ac:dyDescent="0.25">
      <c r="B158" s="79" t="s">
        <v>486</v>
      </c>
      <c r="C158" s="475">
        <f ca="1">H158/J158</f>
        <v>151.75514367816092</v>
      </c>
      <c r="F158" s="518" t="s">
        <v>487</v>
      </c>
      <c r="H158" s="629">
        <f ca="1">SUM(D139:D156)</f>
        <v>4400.899166666667</v>
      </c>
      <c r="I158" s="216"/>
      <c r="J158" s="1517">
        <v>29</v>
      </c>
    </row>
    <row r="159" spans="1:15" ht="15.75" customHeight="1" x14ac:dyDescent="0.25">
      <c r="E159" s="769"/>
      <c r="H159" s="85"/>
      <c r="K159" s="868"/>
    </row>
    <row r="160" spans="1:15" x14ac:dyDescent="0.25">
      <c r="E160" s="79"/>
      <c r="F160" s="79"/>
      <c r="G160" s="85"/>
      <c r="H160" s="459"/>
      <c r="I160" s="85"/>
      <c r="J160" s="89"/>
      <c r="L160" s="769"/>
      <c r="M160" s="518" t="s">
        <v>280</v>
      </c>
      <c r="N160" s="79"/>
      <c r="O160" s="877"/>
    </row>
    <row r="161" spans="1:15" s="518" customFormat="1" x14ac:dyDescent="0.25">
      <c r="A161" s="79"/>
      <c r="B161" s="79"/>
      <c r="C161" s="85"/>
      <c r="D161" s="79"/>
      <c r="E161" s="79"/>
      <c r="F161" s="769"/>
      <c r="G161" s="85"/>
      <c r="H161" s="85"/>
      <c r="I161" s="89"/>
      <c r="J161" s="79"/>
      <c r="K161" s="79"/>
      <c r="L161" s="79"/>
      <c r="M161" s="79"/>
      <c r="N161" s="866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484"/>
      <c r="M162" s="79"/>
      <c r="N162" s="877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  <c r="M163" s="79"/>
      <c r="N163" s="877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216"/>
      <c r="J164" s="769"/>
      <c r="K164" s="866"/>
      <c r="L164" s="484"/>
      <c r="M164" s="79"/>
      <c r="N164" s="877"/>
    </row>
    <row r="165" spans="1:15" s="518" customFormat="1" x14ac:dyDescent="0.25">
      <c r="A165" s="79"/>
      <c r="B165" s="79"/>
      <c r="C165" s="79"/>
      <c r="D165" s="79"/>
      <c r="E165" s="79"/>
      <c r="F165" s="79"/>
      <c r="G165" s="79"/>
      <c r="H165" s="79"/>
      <c r="K165" s="866"/>
      <c r="L165" s="484"/>
      <c r="M165" s="79"/>
      <c r="N165" s="877"/>
    </row>
    <row r="166" spans="1:15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484"/>
      <c r="M166" s="79"/>
      <c r="N166" s="877"/>
    </row>
    <row r="167" spans="1:15" s="518" customFormat="1" x14ac:dyDescent="0.25">
      <c r="A167" s="79"/>
      <c r="B167" s="79"/>
      <c r="C167" s="79"/>
      <c r="D167" s="79"/>
      <c r="E167" s="79"/>
      <c r="F167" s="79"/>
      <c r="G167" s="216"/>
      <c r="H167" s="79"/>
      <c r="I167" s="216"/>
      <c r="J167" s="769"/>
      <c r="K167" s="868"/>
      <c r="L167" s="484"/>
      <c r="M167" s="79"/>
      <c r="N167" s="877"/>
    </row>
    <row r="168" spans="1:15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216"/>
      <c r="J168" s="769"/>
      <c r="K168" s="866"/>
      <c r="L168" s="484"/>
      <c r="M168" s="79"/>
      <c r="N168" s="877"/>
    </row>
    <row r="169" spans="1:15" s="518" customFormat="1" x14ac:dyDescent="0.25">
      <c r="A169" s="79"/>
      <c r="B169" s="79"/>
      <c r="C169" s="79"/>
      <c r="D169" s="79"/>
      <c r="E169" s="79"/>
      <c r="F169" s="79"/>
      <c r="G169" s="216"/>
      <c r="H169" s="79"/>
      <c r="I169" s="79"/>
      <c r="J169" s="770"/>
      <c r="K169" s="866"/>
      <c r="L169" s="484"/>
      <c r="M169" s="79"/>
      <c r="N169" s="877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484"/>
      <c r="M170" s="79"/>
      <c r="N170" s="877"/>
    </row>
    <row r="171" spans="1:15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484"/>
      <c r="M171" s="79"/>
      <c r="N171" s="877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629"/>
      <c r="J172" s="769"/>
      <c r="K172" s="866"/>
      <c r="L172" s="484"/>
      <c r="M172" s="79"/>
      <c r="N172" s="877"/>
    </row>
    <row r="173" spans="1:15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484"/>
      <c r="M173" s="79"/>
      <c r="N173" s="877"/>
    </row>
    <row r="174" spans="1:15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484"/>
      <c r="M174" s="79"/>
      <c r="N174" s="877"/>
    </row>
    <row r="175" spans="1:15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484"/>
      <c r="M175" s="79"/>
      <c r="N175" s="877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</row>
    <row r="177" spans="1:14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</row>
    <row r="178" spans="1:14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484"/>
      <c r="M178" s="79"/>
      <c r="N178" s="877"/>
    </row>
    <row r="179" spans="1:14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484"/>
      <c r="M179" s="79"/>
      <c r="N179" s="877"/>
    </row>
    <row r="180" spans="1:14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484"/>
      <c r="M180" s="79"/>
      <c r="N180" s="877"/>
    </row>
    <row r="181" spans="1:14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484"/>
      <c r="M181" s="79"/>
      <c r="N181" s="877"/>
    </row>
    <row r="182" spans="1:14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484"/>
      <c r="M182" s="79"/>
      <c r="N182" s="877"/>
    </row>
    <row r="183" spans="1:14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484"/>
      <c r="M183" s="79"/>
      <c r="N183" s="877"/>
    </row>
    <row r="184" spans="1:14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484"/>
      <c r="M184" s="79"/>
      <c r="N184" s="877"/>
    </row>
    <row r="185" spans="1:14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484"/>
      <c r="M185" s="79"/>
      <c r="N185" s="877"/>
    </row>
    <row r="186" spans="1:14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484"/>
      <c r="M186" s="79"/>
      <c r="N186" s="877"/>
    </row>
    <row r="187" spans="1:14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484"/>
      <c r="M187" s="79"/>
      <c r="N187" s="877"/>
    </row>
    <row r="188" spans="1:14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6"/>
      <c r="L188" s="484"/>
      <c r="M188" s="79"/>
      <c r="N188" s="877"/>
    </row>
    <row r="189" spans="1:14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8"/>
      <c r="L189" s="484"/>
      <c r="M189" s="79"/>
      <c r="N189" s="877"/>
    </row>
    <row r="190" spans="1:14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484"/>
      <c r="M190" s="79"/>
      <c r="N190" s="877"/>
    </row>
    <row r="191" spans="1:14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484"/>
      <c r="M191" s="79"/>
      <c r="N191" s="877"/>
    </row>
    <row r="192" spans="1:14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484"/>
      <c r="M192" s="79"/>
      <c r="N192" s="877"/>
    </row>
    <row r="193" spans="1:14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484"/>
      <c r="M193" s="79"/>
      <c r="N193" s="877"/>
    </row>
    <row r="194" spans="1:14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484"/>
      <c r="M194" s="79"/>
      <c r="N194" s="877"/>
    </row>
    <row r="195" spans="1:14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8"/>
      <c r="L195" s="484"/>
      <c r="M195" s="79"/>
      <c r="N195" s="877"/>
    </row>
    <row r="196" spans="1:14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6"/>
      <c r="L196" s="484"/>
      <c r="M196" s="79"/>
      <c r="N196" s="877"/>
    </row>
    <row r="197" spans="1:14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223"/>
      <c r="K197" s="629"/>
      <c r="L197" s="484"/>
      <c r="M197" s="79"/>
      <c r="N197" s="877"/>
    </row>
    <row r="198" spans="1:14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56"/>
      <c r="K198" s="756"/>
      <c r="L198" s="484"/>
      <c r="M198" s="79"/>
      <c r="N198" s="877"/>
    </row>
    <row r="199" spans="1:14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484"/>
      <c r="M199" s="79"/>
      <c r="N199" s="877"/>
    </row>
    <row r="200" spans="1:14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</row>
    <row r="201" spans="1:14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</row>
    <row r="202" spans="1:14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</row>
    <row r="203" spans="1:14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484"/>
      <c r="M203" s="79"/>
      <c r="N203" s="877"/>
    </row>
    <row r="204" spans="1:14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</row>
    <row r="205" spans="1:14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</row>
    <row r="206" spans="1:14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484"/>
      <c r="M206" s="79"/>
      <c r="N206" s="877"/>
    </row>
    <row r="207" spans="1:14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</row>
    <row r="208" spans="1:14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484"/>
      <c r="M208" s="79"/>
      <c r="N208" s="877"/>
    </row>
    <row r="209" spans="1:14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484"/>
      <c r="M209" s="79"/>
      <c r="N209" s="877"/>
    </row>
    <row r="210" spans="1:14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85"/>
      <c r="K210" s="85"/>
      <c r="L210" s="484"/>
      <c r="M210" s="79"/>
      <c r="N210" s="877"/>
    </row>
    <row r="211" spans="1:14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484"/>
      <c r="M211" s="79"/>
      <c r="N211" s="877"/>
    </row>
    <row r="212" spans="1:14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484"/>
      <c r="M212" s="79"/>
      <c r="N212" s="877"/>
    </row>
    <row r="213" spans="1:14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484"/>
      <c r="M213" s="79"/>
      <c r="N213" s="877"/>
    </row>
    <row r="214" spans="1:14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484"/>
      <c r="M214" s="79"/>
      <c r="N214" s="877"/>
    </row>
    <row r="215" spans="1:14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484"/>
      <c r="M215" s="79"/>
      <c r="N215" s="877"/>
    </row>
    <row r="216" spans="1:14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484"/>
      <c r="M216" s="79"/>
      <c r="N216" s="877"/>
    </row>
    <row r="217" spans="1:14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71"/>
      <c r="L217" s="484"/>
      <c r="M217" s="79"/>
      <c r="N217" s="877"/>
    </row>
    <row r="218" spans="1:14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484"/>
      <c r="M218" s="79"/>
      <c r="N218" s="877"/>
    </row>
    <row r="225" spans="1:14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484"/>
      <c r="M225" s="79"/>
      <c r="N225" s="877"/>
    </row>
    <row r="226" spans="1:14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484"/>
      <c r="M226" s="79"/>
      <c r="N226" s="877"/>
    </row>
    <row r="227" spans="1:14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</row>
    <row r="228" spans="1:14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</row>
    <row r="230" spans="1:14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</row>
    <row r="232" spans="1:14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629"/>
      <c r="L232" s="484"/>
      <c r="M232" s="79"/>
      <c r="N232" s="877"/>
    </row>
    <row r="238" spans="1:14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484"/>
      <c r="M238" s="79"/>
      <c r="N238" s="877"/>
    </row>
    <row r="239" spans="1:14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484"/>
      <c r="M239" s="79"/>
      <c r="N239" s="877"/>
    </row>
    <row r="240" spans="1:14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484"/>
      <c r="M240" s="79"/>
      <c r="N240" s="877"/>
    </row>
    <row r="241" spans="1:14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484"/>
      <c r="M241" s="79"/>
      <c r="N241" s="877"/>
    </row>
    <row r="242" spans="1:14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484"/>
      <c r="M242" s="79"/>
      <c r="N242" s="877"/>
    </row>
    <row r="243" spans="1:14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484"/>
      <c r="M243" s="79"/>
      <c r="N243" s="877"/>
    </row>
    <row r="244" spans="1:14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484"/>
      <c r="M244" s="79"/>
      <c r="N244" s="877"/>
    </row>
    <row r="245" spans="1:14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484"/>
      <c r="M245" s="79"/>
      <c r="N245" s="877"/>
    </row>
    <row r="246" spans="1:14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484"/>
      <c r="M246" s="79"/>
      <c r="N246" s="877"/>
    </row>
  </sheetData>
  <autoFilter ref="A2:I136" xr:uid="{00000000-0009-0000-0000-000076000000}"/>
  <mergeCells count="13">
    <mergeCell ref="L87:S87"/>
    <mergeCell ref="A135:E135"/>
    <mergeCell ref="A136:E136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Plan134"/>
  <dimension ref="A1:AO235"/>
  <sheetViews>
    <sheetView zoomScale="85" zoomScaleNormal="85" workbookViewId="0">
      <pane ySplit="4" topLeftCell="A104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1" width="13.42578125" style="79" customWidth="1"/>
    <col min="12" max="12" width="12" style="484" customWidth="1"/>
    <col min="13" max="13" width="10.28515625" style="79" customWidth="1"/>
    <col min="14" max="14" width="12" style="877" customWidth="1"/>
    <col min="15" max="15" width="16.140625" style="79" customWidth="1"/>
    <col min="16" max="18" width="9.140625" style="79"/>
    <col min="19" max="19" width="14.42578125" style="79" customWidth="1"/>
    <col min="20" max="16384" width="9.140625" style="79"/>
  </cols>
  <sheetData>
    <row r="1" spans="1:15" ht="27" customHeight="1" thickBot="1" x14ac:dyDescent="0.3">
      <c r="A1" s="3053" t="s">
        <v>0</v>
      </c>
      <c r="B1" s="3054"/>
      <c r="C1" s="3055"/>
      <c r="D1" s="3055"/>
      <c r="E1" s="3056"/>
      <c r="F1" s="3057" t="s">
        <v>3136</v>
      </c>
      <c r="G1" s="3058"/>
      <c r="H1" s="3058"/>
      <c r="I1" s="3058"/>
      <c r="J1" s="3058"/>
      <c r="K1" s="3059"/>
    </row>
    <row r="2" spans="1:15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</row>
    <row r="3" spans="1:15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O3" s="948"/>
    </row>
    <row r="4" spans="1:15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O4" s="948"/>
    </row>
    <row r="5" spans="1:15" x14ac:dyDescent="0.25">
      <c r="A5" s="281">
        <v>44531</v>
      </c>
      <c r="B5" s="369" t="s">
        <v>10</v>
      </c>
      <c r="C5" s="370"/>
      <c r="D5" s="370"/>
      <c r="E5" s="777"/>
      <c r="F5" s="179"/>
      <c r="G5" s="933">
        <f>'Novembro-21'!G136</f>
        <v>702.06291666668403</v>
      </c>
      <c r="H5" s="163"/>
      <c r="I5" s="1479">
        <f>'Novembro-21'!I136</f>
        <v>3399.9960000000028</v>
      </c>
      <c r="J5" s="179"/>
      <c r="K5" s="933">
        <f>'Novembro-21'!K136</f>
        <v>13641.339999999997</v>
      </c>
    </row>
    <row r="6" spans="1:15" s="224" customFormat="1" x14ac:dyDescent="0.25">
      <c r="A6" s="215">
        <v>44531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1037"/>
      <c r="M6" s="89"/>
      <c r="N6" s="878"/>
    </row>
    <row r="7" spans="1:15" s="224" customFormat="1" x14ac:dyDescent="0.25">
      <c r="A7" s="215">
        <v>44531</v>
      </c>
      <c r="B7" s="882" t="s">
        <v>2766</v>
      </c>
      <c r="C7" s="879" t="s">
        <v>12</v>
      </c>
      <c r="D7" s="879" t="s">
        <v>2157</v>
      </c>
      <c r="E7" s="875" t="s">
        <v>13</v>
      </c>
      <c r="F7" s="780">
        <v>30</v>
      </c>
      <c r="G7" s="982"/>
      <c r="H7" s="1060"/>
      <c r="I7" s="1063"/>
      <c r="J7" s="622"/>
      <c r="K7" s="982"/>
      <c r="L7" s="861"/>
      <c r="N7" s="878"/>
    </row>
    <row r="8" spans="1:15" s="224" customFormat="1" ht="15" customHeight="1" x14ac:dyDescent="0.25">
      <c r="A8" s="215">
        <v>44531</v>
      </c>
      <c r="B8" s="364" t="s">
        <v>3137</v>
      </c>
      <c r="C8" s="879" t="s">
        <v>12</v>
      </c>
      <c r="D8" s="879" t="s">
        <v>1489</v>
      </c>
      <c r="E8" s="875" t="s">
        <v>13</v>
      </c>
      <c r="F8" s="780">
        <v>32</v>
      </c>
      <c r="G8" s="982"/>
      <c r="H8" s="1008"/>
      <c r="I8" s="1063"/>
      <c r="J8" s="622"/>
      <c r="K8" s="982"/>
      <c r="L8" s="1029"/>
    </row>
    <row r="9" spans="1:15" s="224" customFormat="1" x14ac:dyDescent="0.25">
      <c r="A9" s="215">
        <v>44531</v>
      </c>
      <c r="B9" s="364" t="s">
        <v>32</v>
      </c>
      <c r="C9" s="350" t="s">
        <v>12</v>
      </c>
      <c r="D9" s="350" t="s">
        <v>1485</v>
      </c>
      <c r="E9" s="875" t="s">
        <v>13</v>
      </c>
      <c r="F9" s="780">
        <v>16</v>
      </c>
      <c r="G9" s="982"/>
      <c r="H9" s="1008"/>
      <c r="I9" s="1063"/>
      <c r="J9" s="622"/>
      <c r="K9" s="982"/>
      <c r="L9" s="1029"/>
      <c r="M9" s="89"/>
      <c r="N9" s="1081"/>
      <c r="O9" s="1082"/>
    </row>
    <row r="10" spans="1:15" s="224" customFormat="1" ht="15" customHeight="1" x14ac:dyDescent="0.25">
      <c r="A10" s="215">
        <v>44531</v>
      </c>
      <c r="B10" s="882" t="s">
        <v>445</v>
      </c>
      <c r="C10" s="879" t="s">
        <v>12</v>
      </c>
      <c r="D10" s="879" t="s">
        <v>1493</v>
      </c>
      <c r="E10" s="875" t="s">
        <v>13</v>
      </c>
      <c r="F10" s="780">
        <v>6</v>
      </c>
      <c r="G10" s="982"/>
      <c r="H10" s="1008"/>
      <c r="I10" s="1063"/>
      <c r="J10" s="622"/>
      <c r="K10" s="982"/>
      <c r="L10" s="1029"/>
      <c r="M10" s="89"/>
      <c r="N10" s="1035"/>
    </row>
    <row r="11" spans="1:15" s="224" customFormat="1" ht="15" customHeight="1" x14ac:dyDescent="0.25">
      <c r="A11" s="215">
        <v>44531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780">
        <v>5</v>
      </c>
      <c r="G11" s="982"/>
      <c r="H11" s="1008"/>
      <c r="I11" s="1063"/>
      <c r="J11" s="622"/>
      <c r="K11" s="982"/>
      <c r="L11" s="861"/>
    </row>
    <row r="12" spans="1:15" s="224" customFormat="1" x14ac:dyDescent="0.25">
      <c r="A12" s="215">
        <v>44532</v>
      </c>
      <c r="B12" s="364" t="s">
        <v>32</v>
      </c>
      <c r="C12" s="350" t="s">
        <v>12</v>
      </c>
      <c r="D12" s="350" t="s">
        <v>1485</v>
      </c>
      <c r="E12" s="875" t="s">
        <v>13</v>
      </c>
      <c r="F12" s="780">
        <v>16</v>
      </c>
      <c r="G12" s="982"/>
      <c r="H12" s="1008"/>
      <c r="I12" s="1063"/>
      <c r="J12" s="622"/>
      <c r="K12" s="982"/>
      <c r="L12" s="1029"/>
      <c r="M12" s="89"/>
      <c r="N12" s="1081"/>
      <c r="O12" s="1082"/>
    </row>
    <row r="13" spans="1:15" s="224" customFormat="1" ht="15" customHeight="1" x14ac:dyDescent="0.25">
      <c r="A13" s="215">
        <v>44532</v>
      </c>
      <c r="B13" s="882" t="s">
        <v>14</v>
      </c>
      <c r="C13" s="879" t="s">
        <v>12</v>
      </c>
      <c r="D13" s="879" t="s">
        <v>1486</v>
      </c>
      <c r="E13" s="875" t="s">
        <v>15</v>
      </c>
      <c r="F13" s="780">
        <v>5</v>
      </c>
      <c r="G13" s="982"/>
      <c r="H13" s="622"/>
      <c r="I13" s="982"/>
      <c r="J13" s="622"/>
      <c r="K13" s="982"/>
      <c r="L13" s="927"/>
      <c r="M13" s="927"/>
      <c r="N13" s="878"/>
    </row>
    <row r="14" spans="1:15" s="224" customFormat="1" x14ac:dyDescent="0.25">
      <c r="A14" s="215">
        <v>44533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16</v>
      </c>
      <c r="G14" s="982"/>
      <c r="H14" s="1008"/>
      <c r="I14" s="1063"/>
      <c r="J14" s="622"/>
      <c r="K14" s="982"/>
      <c r="L14" s="1029"/>
      <c r="M14" s="89"/>
      <c r="N14" s="1105"/>
      <c r="O14" s="1082"/>
    </row>
    <row r="15" spans="1:15" s="224" customFormat="1" ht="15" customHeight="1" x14ac:dyDescent="0.25">
      <c r="A15" s="215">
        <v>44533</v>
      </c>
      <c r="B15" s="882" t="s">
        <v>445</v>
      </c>
      <c r="C15" s="879" t="s">
        <v>12</v>
      </c>
      <c r="D15" s="879" t="s">
        <v>1493</v>
      </c>
      <c r="E15" s="875" t="s">
        <v>13</v>
      </c>
      <c r="F15" s="780">
        <v>6</v>
      </c>
      <c r="G15" s="982"/>
      <c r="H15" s="1008"/>
      <c r="I15" s="1063"/>
      <c r="J15" s="622"/>
      <c r="K15" s="982"/>
      <c r="L15" s="1029"/>
      <c r="M15" s="89"/>
      <c r="N15" s="1035"/>
    </row>
    <row r="16" spans="1:15" s="224" customFormat="1" ht="15" customHeight="1" x14ac:dyDescent="0.25">
      <c r="A16" s="215">
        <v>44533</v>
      </c>
      <c r="B16" s="882" t="s">
        <v>2766</v>
      </c>
      <c r="C16" s="879" t="s">
        <v>12</v>
      </c>
      <c r="D16" s="879" t="s">
        <v>2157</v>
      </c>
      <c r="E16" s="875" t="s">
        <v>13</v>
      </c>
      <c r="F16" s="780">
        <v>80</v>
      </c>
      <c r="G16" s="982"/>
      <c r="H16" s="1008"/>
      <c r="I16" s="1063"/>
      <c r="J16" s="622"/>
      <c r="K16" s="982"/>
      <c r="L16" s="861"/>
    </row>
    <row r="17" spans="1:38" s="224" customFormat="1" ht="15" customHeight="1" x14ac:dyDescent="0.25">
      <c r="A17" s="215">
        <v>44533</v>
      </c>
      <c r="B17" s="882" t="s">
        <v>14</v>
      </c>
      <c r="C17" s="879" t="s">
        <v>12</v>
      </c>
      <c r="D17" s="879" t="s">
        <v>1486</v>
      </c>
      <c r="E17" s="875" t="s">
        <v>13</v>
      </c>
      <c r="F17" s="780">
        <v>6.62</v>
      </c>
      <c r="G17" s="982"/>
      <c r="H17" s="622"/>
      <c r="I17" s="982"/>
      <c r="J17" s="622"/>
      <c r="K17" s="982"/>
      <c r="L17" s="927"/>
      <c r="M17" s="927"/>
      <c r="N17" s="878"/>
    </row>
    <row r="18" spans="1:38" s="224" customFormat="1" ht="15" customHeight="1" x14ac:dyDescent="0.25">
      <c r="A18" s="215">
        <v>44534</v>
      </c>
      <c r="B18" s="873" t="s">
        <v>3138</v>
      </c>
      <c r="C18" s="879" t="s">
        <v>12</v>
      </c>
      <c r="D18" s="879" t="s">
        <v>1506</v>
      </c>
      <c r="E18" s="871" t="s">
        <v>15</v>
      </c>
      <c r="F18" s="780">
        <v>80</v>
      </c>
      <c r="G18" s="982"/>
      <c r="H18" s="622"/>
      <c r="I18" s="982"/>
      <c r="J18" s="622"/>
      <c r="K18" s="982"/>
      <c r="L18" s="927"/>
      <c r="M18" s="927"/>
      <c r="N18" s="878"/>
    </row>
    <row r="19" spans="1:38" s="224" customFormat="1" ht="15" customHeight="1" x14ac:dyDescent="0.25">
      <c r="A19" s="215">
        <v>44504</v>
      </c>
      <c r="B19" s="882" t="s">
        <v>2197</v>
      </c>
      <c r="C19" s="879" t="s">
        <v>12</v>
      </c>
      <c r="D19" s="879" t="s">
        <v>2168</v>
      </c>
      <c r="E19" s="875" t="s">
        <v>13</v>
      </c>
      <c r="F19" s="780">
        <v>30</v>
      </c>
      <c r="G19" s="982"/>
      <c r="H19" s="1008"/>
      <c r="I19" s="1063"/>
      <c r="J19" s="622"/>
      <c r="K19" s="982"/>
      <c r="L19" s="102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 s="224" customFormat="1" ht="15" customHeight="1" x14ac:dyDescent="0.25">
      <c r="A20" s="215">
        <v>44534</v>
      </c>
      <c r="B20" s="882" t="s">
        <v>1369</v>
      </c>
      <c r="C20" s="879" t="s">
        <v>12</v>
      </c>
      <c r="D20" s="879" t="s">
        <v>1506</v>
      </c>
      <c r="E20" s="875" t="s">
        <v>13</v>
      </c>
      <c r="F20" s="780">
        <v>21</v>
      </c>
      <c r="G20" s="982"/>
      <c r="H20" s="622"/>
      <c r="I20" s="982"/>
      <c r="J20" s="622"/>
      <c r="K20" s="982"/>
      <c r="L20" s="927"/>
      <c r="M20" s="927"/>
      <c r="N20" s="1080"/>
    </row>
    <row r="21" spans="1:38" s="224" customFormat="1" ht="15" customHeight="1" x14ac:dyDescent="0.25">
      <c r="A21" s="215">
        <v>44534</v>
      </c>
      <c r="B21" s="882" t="s">
        <v>2300</v>
      </c>
      <c r="C21" s="879" t="s">
        <v>12</v>
      </c>
      <c r="D21" s="879" t="s">
        <v>1493</v>
      </c>
      <c r="E21" s="875" t="s">
        <v>13</v>
      </c>
      <c r="F21" s="780">
        <v>7.5</v>
      </c>
      <c r="G21" s="982"/>
      <c r="H21" s="622"/>
      <c r="I21" s="982"/>
      <c r="J21" s="622"/>
      <c r="K21" s="982"/>
      <c r="L21" s="927"/>
      <c r="M21" s="927"/>
      <c r="N21" s="878"/>
    </row>
    <row r="22" spans="1:38" s="224" customFormat="1" ht="15" customHeight="1" x14ac:dyDescent="0.25">
      <c r="A22" s="215">
        <v>44534</v>
      </c>
      <c r="B22" s="882" t="s">
        <v>82</v>
      </c>
      <c r="C22" s="879" t="s">
        <v>12</v>
      </c>
      <c r="D22" s="879" t="s">
        <v>1493</v>
      </c>
      <c r="E22" s="875" t="s">
        <v>13</v>
      </c>
      <c r="F22" s="780">
        <v>22.4</v>
      </c>
      <c r="G22" s="946"/>
      <c r="H22" s="95"/>
      <c r="I22" s="1064"/>
      <c r="J22" s="622"/>
      <c r="K22" s="982"/>
      <c r="L22" s="861"/>
    </row>
    <row r="23" spans="1:38" s="224" customFormat="1" ht="15" customHeight="1" x14ac:dyDescent="0.25">
      <c r="A23" s="215">
        <v>44535</v>
      </c>
      <c r="B23" s="882" t="s">
        <v>14</v>
      </c>
      <c r="C23" s="879" t="s">
        <v>12</v>
      </c>
      <c r="D23" s="879" t="s">
        <v>1486</v>
      </c>
      <c r="E23" s="875" t="s">
        <v>13</v>
      </c>
      <c r="F23" s="780">
        <v>13.78</v>
      </c>
      <c r="G23" s="982"/>
      <c r="H23" s="622"/>
      <c r="I23" s="982"/>
      <c r="J23" s="622"/>
      <c r="K23" s="982"/>
      <c r="L23" s="927"/>
      <c r="M23" s="927"/>
      <c r="N23" s="878"/>
    </row>
    <row r="24" spans="1:38" s="224" customFormat="1" ht="15" customHeight="1" x14ac:dyDescent="0.25">
      <c r="A24" s="215">
        <v>44535</v>
      </c>
      <c r="B24" s="364" t="s">
        <v>421</v>
      </c>
      <c r="C24" s="350" t="s">
        <v>12</v>
      </c>
      <c r="D24" s="350" t="s">
        <v>1493</v>
      </c>
      <c r="E24" s="875" t="s">
        <v>13</v>
      </c>
      <c r="F24" s="780">
        <v>38.700000000000003</v>
      </c>
      <c r="G24" s="982"/>
      <c r="H24" s="622"/>
      <c r="I24" s="982"/>
      <c r="J24" s="622"/>
      <c r="K24" s="982"/>
      <c r="L24" s="927"/>
      <c r="M24" s="927"/>
      <c r="N24" s="878"/>
    </row>
    <row r="25" spans="1:38" s="224" customFormat="1" ht="15.75" customHeight="1" x14ac:dyDescent="0.25">
      <c r="A25" s="215">
        <v>44536</v>
      </c>
      <c r="B25" s="873" t="s">
        <v>3139</v>
      </c>
      <c r="C25" s="879" t="s">
        <v>12</v>
      </c>
      <c r="D25" s="874"/>
      <c r="E25" s="871" t="s">
        <v>25</v>
      </c>
      <c r="F25" s="1514"/>
      <c r="G25" s="1002">
        <v>2006.3</v>
      </c>
      <c r="H25" s="250"/>
      <c r="I25" s="946"/>
      <c r="J25" s="97"/>
      <c r="K25" s="946"/>
    </row>
    <row r="26" spans="1:38" s="224" customFormat="1" ht="15" customHeight="1" x14ac:dyDescent="0.25">
      <c r="A26" s="215">
        <v>44536</v>
      </c>
      <c r="B26" s="349" t="s">
        <v>3140</v>
      </c>
      <c r="C26" s="887" t="s">
        <v>12</v>
      </c>
      <c r="D26" s="1005" t="s">
        <v>1522</v>
      </c>
      <c r="E26" s="887" t="s">
        <v>13</v>
      </c>
      <c r="F26" s="613">
        <v>59.862499999999997</v>
      </c>
      <c r="G26" s="982"/>
      <c r="H26" s="872"/>
      <c r="I26" s="1063"/>
      <c r="J26" s="622"/>
      <c r="K26" s="982"/>
      <c r="L26" s="927"/>
      <c r="M26" s="999"/>
      <c r="N26" s="878"/>
    </row>
    <row r="27" spans="1:38" s="224" customFormat="1" ht="15" customHeight="1" x14ac:dyDescent="0.25">
      <c r="A27" s="215">
        <v>44536</v>
      </c>
      <c r="B27" s="349" t="s">
        <v>3140</v>
      </c>
      <c r="C27" s="887" t="s">
        <v>12</v>
      </c>
      <c r="D27" s="1005" t="s">
        <v>1506</v>
      </c>
      <c r="E27" s="887" t="s">
        <v>13</v>
      </c>
      <c r="F27" s="1103">
        <v>59.5</v>
      </c>
      <c r="G27" s="982"/>
      <c r="H27" s="861"/>
      <c r="I27" s="1063"/>
      <c r="J27" s="622"/>
      <c r="K27" s="982"/>
      <c r="L27" s="927"/>
      <c r="M27" s="999"/>
      <c r="N27" s="878"/>
    </row>
    <row r="28" spans="1:38" s="224" customFormat="1" ht="15" customHeight="1" x14ac:dyDescent="0.25">
      <c r="A28" s="215">
        <v>44536</v>
      </c>
      <c r="B28" s="349" t="s">
        <v>3140</v>
      </c>
      <c r="C28" s="887" t="s">
        <v>12</v>
      </c>
      <c r="D28" s="1005" t="s">
        <v>1489</v>
      </c>
      <c r="E28" s="887" t="s">
        <v>13</v>
      </c>
      <c r="F28" s="1103">
        <v>66.666666666666671</v>
      </c>
      <c r="G28" s="982"/>
      <c r="H28" s="872"/>
      <c r="I28" s="1063"/>
      <c r="J28" s="622"/>
      <c r="K28" s="982"/>
      <c r="L28" s="927"/>
      <c r="M28" s="999"/>
      <c r="N28" s="878"/>
    </row>
    <row r="29" spans="1:38" s="224" customFormat="1" ht="15" customHeight="1" x14ac:dyDescent="0.25">
      <c r="A29" s="215">
        <v>44536</v>
      </c>
      <c r="B29" s="349" t="s">
        <v>3140</v>
      </c>
      <c r="C29" s="887" t="s">
        <v>12</v>
      </c>
      <c r="D29" s="1005" t="s">
        <v>1489</v>
      </c>
      <c r="E29" s="887" t="s">
        <v>13</v>
      </c>
      <c r="F29" s="613">
        <v>113.17</v>
      </c>
      <c r="G29" s="982"/>
      <c r="H29" s="872"/>
      <c r="I29" s="1063"/>
      <c r="J29" s="622"/>
      <c r="K29" s="982"/>
      <c r="L29" s="927"/>
      <c r="M29" s="999"/>
      <c r="N29" s="878"/>
    </row>
    <row r="30" spans="1:38" s="224" customFormat="1" ht="15" customHeight="1" x14ac:dyDescent="0.25">
      <c r="A30" s="215">
        <v>44536</v>
      </c>
      <c r="B30" s="349" t="s">
        <v>3140</v>
      </c>
      <c r="C30" s="887" t="s">
        <v>12</v>
      </c>
      <c r="D30" s="1005" t="s">
        <v>1522</v>
      </c>
      <c r="E30" s="887" t="s">
        <v>13</v>
      </c>
      <c r="F30" s="613">
        <v>100</v>
      </c>
      <c r="G30" s="982"/>
      <c r="H30" s="861"/>
      <c r="I30" s="1063"/>
      <c r="J30" s="622"/>
      <c r="K30" s="982"/>
      <c r="L30" s="927"/>
      <c r="M30" s="999"/>
      <c r="N30" s="878"/>
    </row>
    <row r="31" spans="1:38" s="224" customFormat="1" ht="15" customHeight="1" x14ac:dyDescent="0.25">
      <c r="A31" s="215">
        <v>44536</v>
      </c>
      <c r="B31" s="349" t="s">
        <v>3140</v>
      </c>
      <c r="C31" s="887" t="s">
        <v>12</v>
      </c>
      <c r="D31" s="1005" t="s">
        <v>2131</v>
      </c>
      <c r="E31" s="887" t="s">
        <v>13</v>
      </c>
      <c r="F31" s="613">
        <v>84.5</v>
      </c>
      <c r="G31" s="982"/>
      <c r="H31" s="872"/>
      <c r="I31" s="1063"/>
      <c r="J31" s="622"/>
      <c r="K31" s="982"/>
      <c r="L31" s="927"/>
      <c r="M31" s="999"/>
      <c r="N31" s="878"/>
    </row>
    <row r="32" spans="1:38" s="224" customFormat="1" ht="15" customHeight="1" x14ac:dyDescent="0.25">
      <c r="A32" s="215">
        <v>44536</v>
      </c>
      <c r="B32" s="862" t="s">
        <v>2385</v>
      </c>
      <c r="C32" s="879" t="s">
        <v>12</v>
      </c>
      <c r="D32" s="879" t="s">
        <v>1504</v>
      </c>
      <c r="E32" s="871" t="s">
        <v>13</v>
      </c>
      <c r="F32" s="780">
        <v>50</v>
      </c>
      <c r="G32" s="982"/>
      <c r="H32" s="1008"/>
      <c r="I32" s="1063"/>
      <c r="J32" s="622"/>
      <c r="K32" s="982"/>
      <c r="L32" s="1028">
        <v>90</v>
      </c>
      <c r="M32" s="999"/>
      <c r="N32" s="1035"/>
    </row>
    <row r="33" spans="1:38" s="224" customFormat="1" ht="15" customHeight="1" x14ac:dyDescent="0.25">
      <c r="A33" s="215">
        <v>44536</v>
      </c>
      <c r="B33" s="882" t="s">
        <v>3141</v>
      </c>
      <c r="C33" s="879" t="s">
        <v>12</v>
      </c>
      <c r="D33" s="879" t="s">
        <v>1499</v>
      </c>
      <c r="E33" s="871" t="s">
        <v>13</v>
      </c>
      <c r="F33" s="780">
        <v>50.37</v>
      </c>
      <c r="G33" s="982"/>
      <c r="H33" s="1008"/>
      <c r="I33" s="1063"/>
      <c r="J33" s="622"/>
      <c r="K33" s="982"/>
      <c r="L33" s="1028">
        <v>130.47</v>
      </c>
      <c r="M33" s="999"/>
      <c r="N33" s="878"/>
    </row>
    <row r="34" spans="1:38" s="224" customFormat="1" ht="15" customHeight="1" x14ac:dyDescent="0.25">
      <c r="A34" s="215">
        <v>44536</v>
      </c>
      <c r="B34" s="364" t="s">
        <v>2977</v>
      </c>
      <c r="C34" s="350" t="s">
        <v>12</v>
      </c>
      <c r="D34" s="350" t="s">
        <v>1491</v>
      </c>
      <c r="E34" s="875" t="s">
        <v>13</v>
      </c>
      <c r="F34" s="780">
        <v>300</v>
      </c>
      <c r="G34" s="982"/>
      <c r="H34" s="1008"/>
      <c r="I34" s="1063"/>
      <c r="J34" s="622"/>
      <c r="K34" s="982"/>
      <c r="L34" s="861"/>
      <c r="N34" s="1035"/>
    </row>
    <row r="35" spans="1:38" x14ac:dyDescent="0.25">
      <c r="A35" s="215">
        <v>44536</v>
      </c>
      <c r="B35" s="876" t="s">
        <v>3060</v>
      </c>
      <c r="C35" s="879" t="s">
        <v>12</v>
      </c>
      <c r="D35" s="879" t="s">
        <v>1496</v>
      </c>
      <c r="E35" s="871" t="s">
        <v>13</v>
      </c>
      <c r="F35" s="780">
        <v>80</v>
      </c>
      <c r="G35" s="982"/>
      <c r="H35" s="1009"/>
      <c r="I35" s="1063"/>
      <c r="J35" s="622"/>
      <c r="K35" s="982"/>
      <c r="L35" s="1029"/>
    </row>
    <row r="36" spans="1:38" s="224" customFormat="1" x14ac:dyDescent="0.25">
      <c r="A36" s="215">
        <v>44536</v>
      </c>
      <c r="B36" s="882" t="s">
        <v>3142</v>
      </c>
      <c r="C36" s="879" t="s">
        <v>12</v>
      </c>
      <c r="D36" s="879" t="s">
        <v>3017</v>
      </c>
      <c r="E36" s="875" t="s">
        <v>13</v>
      </c>
      <c r="F36" s="780">
        <v>632.99</v>
      </c>
      <c r="G36" s="982"/>
      <c r="H36" s="1008"/>
      <c r="I36" s="1063"/>
      <c r="J36" s="622"/>
      <c r="K36" s="982"/>
      <c r="L36" s="861">
        <v>400</v>
      </c>
      <c r="M36" s="878" t="s">
        <v>3018</v>
      </c>
      <c r="N36" s="1035"/>
    </row>
    <row r="37" spans="1:38" s="224" customFormat="1" x14ac:dyDescent="0.25">
      <c r="A37" s="215">
        <v>44536</v>
      </c>
      <c r="B37" s="364" t="s">
        <v>32</v>
      </c>
      <c r="C37" s="350" t="s">
        <v>12</v>
      </c>
      <c r="D37" s="350" t="s">
        <v>1485</v>
      </c>
      <c r="E37" s="875" t="s">
        <v>13</v>
      </c>
      <c r="F37" s="780">
        <v>16</v>
      </c>
      <c r="G37" s="982"/>
      <c r="H37" s="1008"/>
      <c r="I37" s="1063"/>
      <c r="J37" s="622"/>
      <c r="K37" s="982"/>
      <c r="L37" s="1029"/>
      <c r="M37" s="89"/>
      <c r="N37" s="1081"/>
      <c r="O37" s="1082"/>
    </row>
    <row r="38" spans="1:38" s="224" customFormat="1" ht="15" customHeight="1" x14ac:dyDescent="0.25">
      <c r="A38" s="215">
        <v>44536</v>
      </c>
      <c r="B38" s="364" t="s">
        <v>134</v>
      </c>
      <c r="C38" s="350" t="s">
        <v>12</v>
      </c>
      <c r="D38" s="350" t="s">
        <v>1493</v>
      </c>
      <c r="E38" s="875" t="s">
        <v>13</v>
      </c>
      <c r="F38" s="780">
        <v>5</v>
      </c>
      <c r="G38" s="982"/>
      <c r="H38" s="622"/>
      <c r="I38" s="982"/>
      <c r="J38" s="622"/>
      <c r="K38" s="982"/>
      <c r="L38" s="927"/>
      <c r="M38" s="927"/>
      <c r="N38" s="878"/>
    </row>
    <row r="39" spans="1:38" s="224" customFormat="1" x14ac:dyDescent="0.25">
      <c r="A39" s="215">
        <v>44537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780">
        <v>16</v>
      </c>
      <c r="G39" s="982"/>
      <c r="H39" s="1008"/>
      <c r="I39" s="1063"/>
      <c r="J39" s="622"/>
      <c r="K39" s="982"/>
      <c r="L39" s="1029"/>
      <c r="M39" s="89"/>
      <c r="N39" s="1081"/>
      <c r="O39" s="1082"/>
    </row>
    <row r="40" spans="1:38" s="224" customFormat="1" ht="15" customHeight="1" x14ac:dyDescent="0.25">
      <c r="A40" s="215">
        <v>44537</v>
      </c>
      <c r="B40" s="364" t="s">
        <v>1396</v>
      </c>
      <c r="C40" s="350" t="s">
        <v>12</v>
      </c>
      <c r="D40" s="350"/>
      <c r="E40" s="480" t="s">
        <v>25</v>
      </c>
      <c r="F40" s="613"/>
      <c r="G40" s="967">
        <v>70</v>
      </c>
      <c r="H40" s="1008"/>
      <c r="I40" s="1063"/>
      <c r="J40" s="622"/>
      <c r="K40" s="982"/>
      <c r="L40" s="861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 s="224" customFormat="1" ht="15" customHeight="1" x14ac:dyDescent="0.25">
      <c r="A41" s="215">
        <v>44538</v>
      </c>
      <c r="B41" s="364" t="s">
        <v>32</v>
      </c>
      <c r="C41" s="350" t="s">
        <v>12</v>
      </c>
      <c r="D41" s="350" t="s">
        <v>1485</v>
      </c>
      <c r="E41" s="875" t="s">
        <v>13</v>
      </c>
      <c r="F41" s="780">
        <v>16</v>
      </c>
      <c r="G41" s="982"/>
      <c r="H41" s="622"/>
      <c r="I41" s="982"/>
      <c r="J41" s="622"/>
      <c r="K41" s="982"/>
      <c r="L41" s="927"/>
      <c r="M41" s="927"/>
      <c r="N41" s="878"/>
    </row>
    <row r="42" spans="1:38" s="224" customFormat="1" ht="15" customHeight="1" x14ac:dyDescent="0.25">
      <c r="A42" s="215">
        <v>44538</v>
      </c>
      <c r="B42" s="882" t="s">
        <v>2766</v>
      </c>
      <c r="C42" s="879" t="s">
        <v>12</v>
      </c>
      <c r="D42" s="879" t="s">
        <v>2157</v>
      </c>
      <c r="E42" s="875" t="s">
        <v>13</v>
      </c>
      <c r="F42" s="780">
        <v>100</v>
      </c>
      <c r="G42" s="982"/>
      <c r="H42" s="1008"/>
      <c r="I42" s="1063"/>
      <c r="J42" s="622"/>
      <c r="K42" s="982"/>
      <c r="L42" s="861"/>
    </row>
    <row r="43" spans="1:38" s="224" customFormat="1" ht="15" customHeight="1" x14ac:dyDescent="0.25">
      <c r="A43" s="215">
        <v>44538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19.22</v>
      </c>
      <c r="G43" s="982"/>
      <c r="H43" s="1008"/>
      <c r="I43" s="1063"/>
      <c r="J43" s="622"/>
      <c r="K43" s="982"/>
      <c r="L43" s="1029"/>
    </row>
    <row r="44" spans="1:38" s="224" customFormat="1" ht="15" customHeight="1" x14ac:dyDescent="0.25">
      <c r="A44" s="215">
        <v>44539</v>
      </c>
      <c r="B44" s="364" t="s">
        <v>32</v>
      </c>
      <c r="C44" s="350" t="s">
        <v>12</v>
      </c>
      <c r="D44" s="350" t="s">
        <v>1485</v>
      </c>
      <c r="E44" s="875" t="s">
        <v>13</v>
      </c>
      <c r="F44" s="780">
        <v>16</v>
      </c>
      <c r="G44" s="982"/>
      <c r="H44" s="1008"/>
      <c r="I44" s="1063"/>
      <c r="J44" s="622"/>
      <c r="K44" s="982"/>
      <c r="L44" s="1029"/>
    </row>
    <row r="45" spans="1:38" s="224" customFormat="1" ht="15" customHeight="1" x14ac:dyDescent="0.25">
      <c r="A45" s="215">
        <v>44539</v>
      </c>
      <c r="B45" s="882" t="s">
        <v>14</v>
      </c>
      <c r="C45" s="879" t="s">
        <v>12</v>
      </c>
      <c r="D45" s="879" t="s">
        <v>1486</v>
      </c>
      <c r="E45" s="875" t="s">
        <v>13</v>
      </c>
      <c r="F45" s="780">
        <v>19.22</v>
      </c>
      <c r="G45" s="982"/>
      <c r="H45" s="1008"/>
      <c r="I45" s="1063"/>
      <c r="J45" s="622"/>
      <c r="K45" s="982"/>
      <c r="L45" s="1029"/>
    </row>
    <row r="46" spans="1:38" s="224" customFormat="1" ht="15" customHeight="1" x14ac:dyDescent="0.25">
      <c r="A46" s="215">
        <v>44539</v>
      </c>
      <c r="B46" s="882" t="s">
        <v>3143</v>
      </c>
      <c r="C46" s="350" t="s">
        <v>12</v>
      </c>
      <c r="D46" s="350" t="s">
        <v>1522</v>
      </c>
      <c r="E46" s="875" t="s">
        <v>15</v>
      </c>
      <c r="F46" s="780">
        <v>40</v>
      </c>
      <c r="G46" s="982"/>
      <c r="H46" s="622"/>
      <c r="I46" s="982"/>
      <c r="J46" s="622"/>
      <c r="K46" s="982"/>
      <c r="L46" s="927"/>
      <c r="M46" s="927"/>
      <c r="N46" s="878"/>
    </row>
    <row r="47" spans="1:38" s="224" customFormat="1" ht="15" customHeight="1" x14ac:dyDescent="0.25">
      <c r="A47" s="215">
        <v>44540</v>
      </c>
      <c r="B47" s="364" t="s">
        <v>32</v>
      </c>
      <c r="C47" s="350" t="s">
        <v>12</v>
      </c>
      <c r="D47" s="350" t="s">
        <v>1485</v>
      </c>
      <c r="E47" s="875" t="s">
        <v>13</v>
      </c>
      <c r="F47" s="780">
        <v>20</v>
      </c>
      <c r="G47" s="982"/>
      <c r="H47" s="1008"/>
      <c r="I47" s="1063"/>
      <c r="J47" s="622"/>
      <c r="K47" s="982"/>
      <c r="L47" s="1029"/>
    </row>
    <row r="48" spans="1:38" s="224" customFormat="1" x14ac:dyDescent="0.25">
      <c r="A48" s="215">
        <v>44540</v>
      </c>
      <c r="B48" s="882" t="s">
        <v>3144</v>
      </c>
      <c r="C48" s="879" t="s">
        <v>12</v>
      </c>
      <c r="D48" s="879" t="s">
        <v>1489</v>
      </c>
      <c r="E48" s="875" t="s">
        <v>13</v>
      </c>
      <c r="F48" s="780">
        <v>43</v>
      </c>
      <c r="G48" s="982"/>
      <c r="H48" s="1060"/>
      <c r="I48" s="1063"/>
      <c r="J48" s="622"/>
      <c r="K48" s="982"/>
      <c r="L48" s="861"/>
      <c r="N48" s="878"/>
    </row>
    <row r="49" spans="1:14" s="224" customFormat="1" x14ac:dyDescent="0.25">
      <c r="A49" s="215">
        <v>44540</v>
      </c>
      <c r="B49" s="882" t="s">
        <v>256</v>
      </c>
      <c r="C49" s="879"/>
      <c r="D49" s="879"/>
      <c r="E49" s="875" t="s">
        <v>25</v>
      </c>
      <c r="F49" s="780"/>
      <c r="G49" s="982">
        <v>600</v>
      </c>
      <c r="H49" s="1060">
        <v>600</v>
      </c>
      <c r="I49" s="1063"/>
      <c r="J49" s="622"/>
      <c r="K49" s="982"/>
      <c r="L49" s="861"/>
      <c r="N49" s="878"/>
    </row>
    <row r="50" spans="1:14" s="224" customFormat="1" ht="15" customHeight="1" x14ac:dyDescent="0.25">
      <c r="A50" s="215">
        <v>44540</v>
      </c>
      <c r="B50" s="882" t="s">
        <v>3145</v>
      </c>
      <c r="C50" s="879" t="s">
        <v>19</v>
      </c>
      <c r="D50" s="879" t="s">
        <v>1522</v>
      </c>
      <c r="E50" s="875" t="s">
        <v>13</v>
      </c>
      <c r="F50" s="780">
        <v>59.862499999999997</v>
      </c>
      <c r="G50" s="982"/>
      <c r="H50" s="622"/>
      <c r="I50" s="982"/>
      <c r="J50" s="622"/>
      <c r="K50" s="982"/>
      <c r="L50" s="927"/>
      <c r="M50" s="927"/>
      <c r="N50" s="878"/>
    </row>
    <row r="51" spans="1:14" s="224" customFormat="1" ht="15" customHeight="1" x14ac:dyDescent="0.25">
      <c r="A51" s="215">
        <v>44540</v>
      </c>
      <c r="B51" s="882" t="s">
        <v>3146</v>
      </c>
      <c r="C51" s="879" t="s">
        <v>19</v>
      </c>
      <c r="D51" s="879" t="s">
        <v>1489</v>
      </c>
      <c r="E51" s="875" t="s">
        <v>13</v>
      </c>
      <c r="F51" s="780">
        <v>66.666666666666671</v>
      </c>
      <c r="G51" s="982"/>
      <c r="H51" s="622"/>
      <c r="I51" s="982"/>
      <c r="J51" s="622"/>
      <c r="K51" s="982"/>
      <c r="L51" s="927"/>
      <c r="M51" s="927"/>
      <c r="N51" s="878"/>
    </row>
    <row r="52" spans="1:14" s="224" customFormat="1" ht="15" customHeight="1" x14ac:dyDescent="0.25">
      <c r="A52" s="215">
        <v>44540</v>
      </c>
      <c r="B52" s="882" t="s">
        <v>3147</v>
      </c>
      <c r="C52" s="879" t="s">
        <v>19</v>
      </c>
      <c r="D52" s="879" t="s">
        <v>1522</v>
      </c>
      <c r="E52" s="875" t="s">
        <v>13</v>
      </c>
      <c r="F52" s="780">
        <v>85</v>
      </c>
      <c r="G52" s="982"/>
      <c r="H52" s="622"/>
      <c r="I52" s="982"/>
      <c r="J52" s="622"/>
      <c r="K52" s="982"/>
      <c r="L52" s="927"/>
      <c r="M52" s="927"/>
      <c r="N52" s="878"/>
    </row>
    <row r="53" spans="1:14" s="224" customFormat="1" ht="15" customHeight="1" x14ac:dyDescent="0.25">
      <c r="A53" s="215">
        <v>44540</v>
      </c>
      <c r="B53" s="882" t="s">
        <v>3148</v>
      </c>
      <c r="C53" s="879" t="s">
        <v>19</v>
      </c>
      <c r="D53" s="879" t="s">
        <v>1491</v>
      </c>
      <c r="E53" s="875" t="s">
        <v>13</v>
      </c>
      <c r="F53" s="780">
        <v>126.79</v>
      </c>
      <c r="G53" s="982"/>
      <c r="H53" s="622"/>
      <c r="I53" s="982"/>
      <c r="J53" s="622"/>
      <c r="K53" s="982"/>
      <c r="L53" s="927"/>
      <c r="M53" s="927"/>
      <c r="N53" s="878"/>
    </row>
    <row r="54" spans="1:14" s="224" customFormat="1" ht="15" customHeight="1" x14ac:dyDescent="0.25">
      <c r="A54" s="215">
        <v>44540</v>
      </c>
      <c r="B54" s="882" t="s">
        <v>82</v>
      </c>
      <c r="C54" s="879" t="s">
        <v>12</v>
      </c>
      <c r="D54" s="879" t="s">
        <v>1493</v>
      </c>
      <c r="E54" s="875" t="s">
        <v>13</v>
      </c>
      <c r="F54" s="780">
        <v>27</v>
      </c>
      <c r="G54" s="982"/>
      <c r="H54" s="622"/>
      <c r="I54" s="982"/>
      <c r="J54" s="622"/>
      <c r="K54" s="982"/>
      <c r="L54" s="927"/>
      <c r="M54" s="927"/>
      <c r="N54" s="878"/>
    </row>
    <row r="55" spans="1:14" s="224" customFormat="1" ht="15" customHeight="1" x14ac:dyDescent="0.25">
      <c r="A55" s="215">
        <v>44541</v>
      </c>
      <c r="B55" s="882" t="s">
        <v>3149</v>
      </c>
      <c r="C55" s="879" t="s">
        <v>12</v>
      </c>
      <c r="D55" s="879" t="s">
        <v>1523</v>
      </c>
      <c r="E55" s="875" t="s">
        <v>13</v>
      </c>
      <c r="F55" s="780">
        <v>98</v>
      </c>
      <c r="G55" s="982"/>
      <c r="H55" s="622"/>
      <c r="I55" s="982"/>
      <c r="J55" s="622"/>
      <c r="K55" s="982"/>
      <c r="L55" s="927"/>
      <c r="M55" s="927"/>
      <c r="N55" s="878"/>
    </row>
    <row r="56" spans="1:14" s="224" customFormat="1" ht="15" customHeight="1" x14ac:dyDescent="0.25">
      <c r="A56" s="215">
        <v>44541</v>
      </c>
      <c r="B56" s="882" t="s">
        <v>3150</v>
      </c>
      <c r="C56" s="879" t="s">
        <v>12</v>
      </c>
      <c r="D56" s="879" t="s">
        <v>1489</v>
      </c>
      <c r="E56" s="875" t="s">
        <v>15</v>
      </c>
      <c r="F56" s="780">
        <v>33</v>
      </c>
      <c r="G56" s="982"/>
      <c r="H56" s="622"/>
      <c r="I56" s="982"/>
      <c r="J56" s="622"/>
      <c r="K56" s="982"/>
      <c r="L56" s="927"/>
      <c r="M56" s="927"/>
      <c r="N56" s="878"/>
    </row>
    <row r="57" spans="1:14" s="224" customFormat="1" ht="15" customHeight="1" x14ac:dyDescent="0.25">
      <c r="A57" s="215">
        <v>44541</v>
      </c>
      <c r="B57" s="882" t="s">
        <v>3151</v>
      </c>
      <c r="C57" s="879" t="s">
        <v>12</v>
      </c>
      <c r="D57" s="879" t="s">
        <v>1523</v>
      </c>
      <c r="E57" s="875" t="s">
        <v>13</v>
      </c>
      <c r="F57" s="780">
        <v>15</v>
      </c>
      <c r="G57" s="982"/>
      <c r="H57" s="622"/>
      <c r="I57" s="982"/>
      <c r="J57" s="622"/>
      <c r="K57" s="982"/>
      <c r="L57" s="927"/>
      <c r="M57" s="927"/>
      <c r="N57" s="878"/>
    </row>
    <row r="58" spans="1:14" s="224" customFormat="1" ht="15" customHeight="1" x14ac:dyDescent="0.25">
      <c r="A58" s="215">
        <v>44541</v>
      </c>
      <c r="B58" s="882" t="s">
        <v>3152</v>
      </c>
      <c r="C58" s="879" t="s">
        <v>12</v>
      </c>
      <c r="D58" s="879" t="s">
        <v>1491</v>
      </c>
      <c r="E58" s="875" t="s">
        <v>13</v>
      </c>
      <c r="F58" s="780">
        <v>10</v>
      </c>
      <c r="G58" s="982"/>
      <c r="H58" s="622"/>
      <c r="I58" s="982"/>
      <c r="J58" s="622"/>
      <c r="K58" s="982"/>
      <c r="L58" s="927"/>
      <c r="M58" s="927"/>
      <c r="N58" s="878"/>
    </row>
    <row r="59" spans="1:14" s="224" customFormat="1" ht="15" customHeight="1" x14ac:dyDescent="0.25">
      <c r="A59" s="215">
        <v>44541</v>
      </c>
      <c r="B59" s="882" t="s">
        <v>3153</v>
      </c>
      <c r="C59" s="879" t="s">
        <v>12</v>
      </c>
      <c r="D59" s="879" t="s">
        <v>1493</v>
      </c>
      <c r="E59" s="875" t="s">
        <v>13</v>
      </c>
      <c r="F59" s="780">
        <v>54.6</v>
      </c>
      <c r="G59" s="982"/>
      <c r="H59" s="622"/>
      <c r="I59" s="982"/>
      <c r="J59" s="622"/>
      <c r="K59" s="982"/>
      <c r="L59" s="927"/>
      <c r="M59" s="927"/>
      <c r="N59" s="878"/>
    </row>
    <row r="60" spans="1:14" s="224" customFormat="1" ht="15" customHeight="1" x14ac:dyDescent="0.25">
      <c r="A60" s="215">
        <v>44541</v>
      </c>
      <c r="B60" s="882" t="s">
        <v>1372</v>
      </c>
      <c r="C60" s="879" t="s">
        <v>12</v>
      </c>
      <c r="D60" s="879" t="s">
        <v>1491</v>
      </c>
      <c r="E60" s="875" t="s">
        <v>13</v>
      </c>
      <c r="F60" s="780">
        <v>4</v>
      </c>
      <c r="G60" s="982"/>
      <c r="H60" s="622"/>
      <c r="I60" s="982"/>
      <c r="J60" s="622"/>
      <c r="K60" s="982"/>
      <c r="L60" s="927"/>
      <c r="M60" s="927"/>
      <c r="N60" s="878"/>
    </row>
    <row r="61" spans="1:14" s="224" customFormat="1" ht="15" customHeight="1" x14ac:dyDescent="0.25">
      <c r="A61" s="215">
        <v>44541</v>
      </c>
      <c r="B61" s="882" t="s">
        <v>152</v>
      </c>
      <c r="C61" s="879" t="s">
        <v>12</v>
      </c>
      <c r="D61" s="879" t="s">
        <v>1504</v>
      </c>
      <c r="E61" s="875" t="s">
        <v>13</v>
      </c>
      <c r="F61" s="780">
        <v>12</v>
      </c>
      <c r="G61" s="982"/>
      <c r="H61" s="622"/>
      <c r="I61" s="982"/>
      <c r="J61" s="622"/>
      <c r="K61" s="982"/>
      <c r="L61" s="927"/>
      <c r="M61" s="927"/>
      <c r="N61" s="878"/>
    </row>
    <row r="62" spans="1:14" s="224" customFormat="1" ht="15" customHeight="1" x14ac:dyDescent="0.25">
      <c r="A62" s="215">
        <v>44542</v>
      </c>
      <c r="B62" s="882" t="s">
        <v>3154</v>
      </c>
      <c r="C62" s="879" t="s">
        <v>12</v>
      </c>
      <c r="D62" s="879" t="s">
        <v>1486</v>
      </c>
      <c r="E62" s="875" t="s">
        <v>13</v>
      </c>
      <c r="F62" s="780">
        <v>18.559999999999999</v>
      </c>
      <c r="G62" s="982"/>
      <c r="H62" s="622"/>
      <c r="I62" s="982"/>
      <c r="J62" s="622"/>
      <c r="K62" s="982"/>
      <c r="L62" s="927"/>
      <c r="M62" s="927"/>
      <c r="N62" s="878"/>
    </row>
    <row r="63" spans="1:14" s="224" customFormat="1" ht="15" customHeight="1" x14ac:dyDescent="0.25">
      <c r="A63" s="215">
        <v>44542</v>
      </c>
      <c r="B63" s="882" t="s">
        <v>3155</v>
      </c>
      <c r="C63" s="879" t="s">
        <v>12</v>
      </c>
      <c r="D63" s="879" t="s">
        <v>1491</v>
      </c>
      <c r="E63" s="875" t="s">
        <v>13</v>
      </c>
      <c r="F63" s="780">
        <v>12</v>
      </c>
      <c r="G63" s="982"/>
      <c r="H63" s="622"/>
      <c r="I63" s="982"/>
      <c r="J63" s="622"/>
      <c r="K63" s="982"/>
      <c r="L63" s="927"/>
      <c r="M63" s="927"/>
      <c r="N63" s="878"/>
    </row>
    <row r="64" spans="1:14" s="224" customFormat="1" ht="15" customHeight="1" x14ac:dyDescent="0.25">
      <c r="A64" s="215">
        <v>44543</v>
      </c>
      <c r="B64" s="364" t="s">
        <v>32</v>
      </c>
      <c r="C64" s="350" t="s">
        <v>12</v>
      </c>
      <c r="D64" s="350" t="s">
        <v>1485</v>
      </c>
      <c r="E64" s="875" t="s">
        <v>13</v>
      </c>
      <c r="F64" s="780">
        <v>16</v>
      </c>
      <c r="G64" s="982"/>
      <c r="H64" s="622"/>
      <c r="I64" s="982"/>
      <c r="J64" s="622"/>
      <c r="K64" s="982"/>
      <c r="L64" s="927"/>
      <c r="M64" s="927"/>
      <c r="N64" s="878"/>
    </row>
    <row r="65" spans="1:41" s="224" customFormat="1" ht="15" customHeight="1" x14ac:dyDescent="0.25">
      <c r="A65" s="215">
        <v>44543</v>
      </c>
      <c r="B65" s="882" t="s">
        <v>1820</v>
      </c>
      <c r="C65" s="879" t="s">
        <v>12</v>
      </c>
      <c r="D65" s="879" t="s">
        <v>1486</v>
      </c>
      <c r="E65" s="875" t="s">
        <v>13</v>
      </c>
      <c r="F65" s="780">
        <v>16</v>
      </c>
      <c r="G65" s="982"/>
      <c r="H65" s="622"/>
      <c r="I65" s="982"/>
      <c r="J65" s="622"/>
      <c r="K65" s="982"/>
      <c r="L65" s="927"/>
      <c r="M65" s="927"/>
      <c r="N65" s="878"/>
    </row>
    <row r="66" spans="1:41" s="224" customFormat="1" ht="15" customHeight="1" x14ac:dyDescent="0.25">
      <c r="A66" s="215">
        <v>44544</v>
      </c>
      <c r="B66" s="364" t="s">
        <v>32</v>
      </c>
      <c r="C66" s="350" t="s">
        <v>12</v>
      </c>
      <c r="D66" s="350" t="s">
        <v>1485</v>
      </c>
      <c r="E66" s="875" t="s">
        <v>13</v>
      </c>
      <c r="F66" s="780">
        <v>16</v>
      </c>
      <c r="G66" s="982"/>
      <c r="H66" s="622"/>
      <c r="I66" s="982"/>
      <c r="J66" s="622"/>
      <c r="K66" s="982"/>
      <c r="L66" s="927"/>
      <c r="M66" s="927"/>
      <c r="N66" s="878"/>
    </row>
    <row r="67" spans="1:41" s="224" customFormat="1" ht="15" customHeight="1" x14ac:dyDescent="0.25">
      <c r="A67" s="215">
        <v>44544</v>
      </c>
      <c r="B67" s="882" t="s">
        <v>445</v>
      </c>
      <c r="C67" s="879" t="s">
        <v>12</v>
      </c>
      <c r="D67" s="879" t="s">
        <v>1493</v>
      </c>
      <c r="E67" s="875" t="s">
        <v>13</v>
      </c>
      <c r="F67" s="780">
        <v>6</v>
      </c>
      <c r="G67" s="982"/>
      <c r="H67" s="622"/>
      <c r="I67" s="982"/>
      <c r="J67" s="622"/>
      <c r="K67" s="982"/>
      <c r="L67" s="927"/>
      <c r="M67" s="927"/>
      <c r="N67" s="878"/>
    </row>
    <row r="68" spans="1:41" s="224" customFormat="1" ht="15" customHeight="1" x14ac:dyDescent="0.25">
      <c r="A68" s="215">
        <v>44544</v>
      </c>
      <c r="B68" s="882" t="s">
        <v>3156</v>
      </c>
      <c r="C68" s="879" t="s">
        <v>12</v>
      </c>
      <c r="D68" s="879" t="s">
        <v>1499</v>
      </c>
      <c r="E68" s="871" t="s">
        <v>13</v>
      </c>
      <c r="F68" s="780">
        <v>29.21</v>
      </c>
      <c r="G68" s="982"/>
      <c r="H68" s="1008"/>
      <c r="I68" s="1063"/>
      <c r="J68" s="622"/>
      <c r="K68" s="982"/>
      <c r="L68" s="3148"/>
      <c r="M68" s="3149"/>
      <c r="N68" s="3149"/>
      <c r="O68" s="1082"/>
    </row>
    <row r="69" spans="1:41" s="224" customFormat="1" ht="15" customHeight="1" x14ac:dyDescent="0.25">
      <c r="A69" s="215">
        <v>44544</v>
      </c>
      <c r="B69" s="882" t="s">
        <v>2766</v>
      </c>
      <c r="C69" s="879" t="s">
        <v>12</v>
      </c>
      <c r="D69" s="879" t="s">
        <v>2157</v>
      </c>
      <c r="E69" s="875" t="s">
        <v>15</v>
      </c>
      <c r="F69" s="780">
        <v>40</v>
      </c>
      <c r="G69" s="946"/>
      <c r="H69" s="95"/>
      <c r="I69" s="1064"/>
      <c r="J69" s="97"/>
      <c r="K69" s="946"/>
      <c r="L69" s="926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</row>
    <row r="70" spans="1:41" s="224" customFormat="1" ht="15" customHeight="1" x14ac:dyDescent="0.25">
      <c r="A70" s="215">
        <v>44545</v>
      </c>
      <c r="B70" s="882" t="s">
        <v>3157</v>
      </c>
      <c r="C70" s="879" t="s">
        <v>12</v>
      </c>
      <c r="D70" s="879" t="s">
        <v>1522</v>
      </c>
      <c r="E70" s="875" t="s">
        <v>13</v>
      </c>
      <c r="F70" s="780">
        <v>50</v>
      </c>
      <c r="G70" s="982"/>
      <c r="H70" s="1008"/>
      <c r="I70" s="1063"/>
      <c r="J70" s="622"/>
      <c r="K70" s="982"/>
      <c r="L70" s="1029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</row>
    <row r="71" spans="1:41" s="224" customFormat="1" ht="15" customHeight="1" x14ac:dyDescent="0.25">
      <c r="A71" s="215">
        <v>44545</v>
      </c>
      <c r="B71" s="364" t="s">
        <v>32</v>
      </c>
      <c r="C71" s="350" t="s">
        <v>12</v>
      </c>
      <c r="D71" s="350" t="s">
        <v>1485</v>
      </c>
      <c r="E71" s="875" t="s">
        <v>13</v>
      </c>
      <c r="F71" s="780">
        <v>16</v>
      </c>
      <c r="G71" s="982"/>
      <c r="H71" s="622"/>
      <c r="I71" s="982"/>
      <c r="J71" s="622"/>
      <c r="K71" s="982"/>
      <c r="L71" s="927"/>
      <c r="M71" s="927"/>
      <c r="N71" s="878"/>
    </row>
    <row r="72" spans="1:41" s="224" customFormat="1" ht="15" customHeight="1" x14ac:dyDescent="0.25">
      <c r="A72" s="215">
        <v>44545</v>
      </c>
      <c r="B72" s="882" t="s">
        <v>2766</v>
      </c>
      <c r="C72" s="879" t="s">
        <v>12</v>
      </c>
      <c r="D72" s="879" t="s">
        <v>2157</v>
      </c>
      <c r="E72" s="875" t="s">
        <v>13</v>
      </c>
      <c r="F72" s="780">
        <v>80</v>
      </c>
      <c r="G72" s="946"/>
      <c r="H72" s="95"/>
      <c r="I72" s="1064"/>
      <c r="J72" s="97"/>
      <c r="K72" s="946"/>
      <c r="L72" s="926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</row>
    <row r="73" spans="1:41" s="224" customFormat="1" ht="15" customHeight="1" x14ac:dyDescent="0.25">
      <c r="A73" s="215">
        <v>44545</v>
      </c>
      <c r="B73" s="882" t="s">
        <v>14</v>
      </c>
      <c r="C73" s="879" t="s">
        <v>12</v>
      </c>
      <c r="D73" s="879" t="s">
        <v>1486</v>
      </c>
      <c r="E73" s="875" t="s">
        <v>13</v>
      </c>
      <c r="F73" s="780">
        <v>8.33</v>
      </c>
      <c r="G73" s="982"/>
      <c r="H73" s="1008"/>
      <c r="I73" s="1063"/>
      <c r="J73" s="622"/>
      <c r="K73" s="982"/>
      <c r="L73" s="1029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</row>
    <row r="74" spans="1:41" s="224" customFormat="1" ht="15" customHeight="1" x14ac:dyDescent="0.25">
      <c r="A74" s="215">
        <v>44546</v>
      </c>
      <c r="B74" s="364" t="s">
        <v>32</v>
      </c>
      <c r="C74" s="350" t="s">
        <v>12</v>
      </c>
      <c r="D74" s="350" t="s">
        <v>1485</v>
      </c>
      <c r="E74" s="875" t="s">
        <v>13</v>
      </c>
      <c r="F74" s="780">
        <v>16</v>
      </c>
      <c r="G74" s="982"/>
      <c r="H74" s="622"/>
      <c r="I74" s="982"/>
      <c r="J74" s="622"/>
      <c r="K74" s="982"/>
      <c r="L74" s="927"/>
      <c r="M74" s="927"/>
      <c r="N74" s="878"/>
    </row>
    <row r="75" spans="1:41" s="224" customFormat="1" ht="15" customHeight="1" x14ac:dyDescent="0.25">
      <c r="A75" s="215">
        <v>44546</v>
      </c>
      <c r="B75" s="364" t="s">
        <v>2595</v>
      </c>
      <c r="C75" s="350" t="s">
        <v>12</v>
      </c>
      <c r="D75" s="350" t="s">
        <v>1506</v>
      </c>
      <c r="E75" s="875" t="s">
        <v>15</v>
      </c>
      <c r="F75" s="780">
        <v>10</v>
      </c>
      <c r="G75" s="982"/>
      <c r="H75" s="622"/>
      <c r="I75" s="982"/>
      <c r="J75" s="622"/>
      <c r="K75" s="982"/>
      <c r="L75" s="927"/>
      <c r="M75" s="927"/>
      <c r="N75" s="878"/>
    </row>
    <row r="76" spans="1:41" s="224" customFormat="1" ht="15" customHeight="1" x14ac:dyDescent="0.25">
      <c r="A76" s="215">
        <v>44547</v>
      </c>
      <c r="B76" s="862" t="s">
        <v>3158</v>
      </c>
      <c r="C76" s="879" t="s">
        <v>12</v>
      </c>
      <c r="D76" s="879"/>
      <c r="E76" s="480" t="s">
        <v>25</v>
      </c>
      <c r="F76" s="137"/>
      <c r="G76" s="982">
        <v>5001.07</v>
      </c>
      <c r="H76" s="1008"/>
      <c r="I76" s="1063"/>
      <c r="J76" s="622"/>
      <c r="K76" s="982"/>
      <c r="L76" s="861"/>
      <c r="M76" s="1038"/>
      <c r="N76" s="878"/>
    </row>
    <row r="77" spans="1:41" s="224" customFormat="1" ht="15" customHeight="1" x14ac:dyDescent="0.25">
      <c r="A77" s="215">
        <v>44547</v>
      </c>
      <c r="B77" s="349" t="s">
        <v>260</v>
      </c>
      <c r="C77" s="350" t="s">
        <v>12</v>
      </c>
      <c r="D77" s="350"/>
      <c r="E77" s="480"/>
      <c r="F77" s="780">
        <v>4200</v>
      </c>
      <c r="G77" s="946"/>
      <c r="H77" s="95"/>
      <c r="I77" s="1064">
        <v>4200</v>
      </c>
      <c r="J77" s="622"/>
      <c r="K77" s="982"/>
      <c r="L77" s="861"/>
    </row>
    <row r="78" spans="1:41" s="224" customFormat="1" ht="15" customHeight="1" x14ac:dyDescent="0.25">
      <c r="A78" s="215">
        <v>44547</v>
      </c>
      <c r="B78" s="882" t="s">
        <v>3159</v>
      </c>
      <c r="C78" s="879" t="s">
        <v>19</v>
      </c>
      <c r="D78" s="879" t="s">
        <v>1525</v>
      </c>
      <c r="E78" s="875" t="s">
        <v>13</v>
      </c>
      <c r="F78" s="780">
        <v>79.599999999999994</v>
      </c>
      <c r="G78" s="982"/>
      <c r="H78" s="622"/>
      <c r="I78" s="982"/>
      <c r="J78" s="622"/>
      <c r="K78" s="982"/>
      <c r="L78" s="927"/>
      <c r="N78" s="878"/>
    </row>
    <row r="79" spans="1:41" s="224" customFormat="1" ht="15" customHeight="1" x14ac:dyDescent="0.25">
      <c r="A79" s="215">
        <v>44547</v>
      </c>
      <c r="B79" s="364" t="s">
        <v>32</v>
      </c>
      <c r="C79" s="350" t="s">
        <v>12</v>
      </c>
      <c r="D79" s="350" t="s">
        <v>1485</v>
      </c>
      <c r="E79" s="875" t="s">
        <v>13</v>
      </c>
      <c r="F79" s="780">
        <v>16</v>
      </c>
      <c r="G79" s="982"/>
      <c r="H79" s="622"/>
      <c r="I79" s="982"/>
      <c r="J79" s="622"/>
      <c r="K79" s="982"/>
      <c r="L79" s="927"/>
      <c r="M79" s="927"/>
      <c r="N79" s="878"/>
    </row>
    <row r="80" spans="1:41" s="224" customFormat="1" ht="15" customHeight="1" x14ac:dyDescent="0.25">
      <c r="A80" s="215">
        <v>44548</v>
      </c>
      <c r="B80" s="873" t="s">
        <v>82</v>
      </c>
      <c r="C80" s="874" t="s">
        <v>12</v>
      </c>
      <c r="D80" s="874" t="s">
        <v>1493</v>
      </c>
      <c r="E80" s="875" t="s">
        <v>13</v>
      </c>
      <c r="F80" s="850">
        <v>53.75</v>
      </c>
      <c r="G80" s="1033"/>
      <c r="H80" s="880"/>
      <c r="I80" s="1033"/>
      <c r="J80" s="880"/>
      <c r="K80" s="1033"/>
      <c r="L80" s="927"/>
      <c r="M80" s="927"/>
      <c r="N80" s="878"/>
    </row>
    <row r="81" spans="1:41" s="224" customFormat="1" ht="15" customHeight="1" x14ac:dyDescent="0.25">
      <c r="A81" s="215">
        <v>44549</v>
      </c>
      <c r="B81" s="882" t="s">
        <v>3160</v>
      </c>
      <c r="C81" s="879" t="s">
        <v>12</v>
      </c>
      <c r="D81" s="879" t="s">
        <v>1493</v>
      </c>
      <c r="E81" s="875" t="s">
        <v>13</v>
      </c>
      <c r="F81" s="780">
        <v>35</v>
      </c>
      <c r="G81" s="982"/>
      <c r="H81" s="622"/>
      <c r="I81" s="982"/>
      <c r="J81" s="622"/>
      <c r="K81" s="982"/>
      <c r="L81" s="1108" t="s">
        <v>3161</v>
      </c>
      <c r="M81" s="927"/>
      <c r="N81" s="878"/>
    </row>
    <row r="82" spans="1:41" s="224" customFormat="1" ht="15" customHeight="1" x14ac:dyDescent="0.25">
      <c r="A82" s="215">
        <v>44550</v>
      </c>
      <c r="B82" s="364" t="s">
        <v>3162</v>
      </c>
      <c r="C82" s="350" t="s">
        <v>12</v>
      </c>
      <c r="D82" s="350"/>
      <c r="E82" s="480" t="s">
        <v>25</v>
      </c>
      <c r="F82" s="780"/>
      <c r="G82" s="982">
        <v>1600.7</v>
      </c>
      <c r="H82" s="1008"/>
      <c r="I82" s="1063"/>
      <c r="J82" s="622"/>
      <c r="K82" s="982"/>
      <c r="L82" s="1102"/>
      <c r="M82" s="89"/>
      <c r="N82" s="930"/>
    </row>
    <row r="83" spans="1:41" s="224" customFormat="1" ht="15" customHeight="1" x14ac:dyDescent="0.25">
      <c r="A83" s="215">
        <v>44550</v>
      </c>
      <c r="B83" s="862" t="s">
        <v>2867</v>
      </c>
      <c r="C83" s="350" t="s">
        <v>12</v>
      </c>
      <c r="D83" s="874" t="s">
        <v>1504</v>
      </c>
      <c r="E83" s="887" t="s">
        <v>13</v>
      </c>
      <c r="F83" s="852"/>
      <c r="G83" s="982"/>
      <c r="H83" s="1009"/>
      <c r="I83" s="1063"/>
      <c r="J83" s="853"/>
      <c r="K83" s="982"/>
      <c r="L83" s="3148" t="s">
        <v>3125</v>
      </c>
      <c r="M83" s="3166"/>
      <c r="N83" s="3166"/>
      <c r="O83" s="3166"/>
      <c r="P83" s="3166"/>
      <c r="Q83" s="3166"/>
      <c r="R83" s="3166"/>
      <c r="S83" s="3166"/>
    </row>
    <row r="84" spans="1:41" s="224" customFormat="1" x14ac:dyDescent="0.25">
      <c r="A84" s="215">
        <v>44550</v>
      </c>
      <c r="B84" s="364" t="s">
        <v>2977</v>
      </c>
      <c r="C84" s="350" t="s">
        <v>12</v>
      </c>
      <c r="D84" s="350" t="s">
        <v>1491</v>
      </c>
      <c r="E84" s="875" t="s">
        <v>13</v>
      </c>
      <c r="F84" s="1047">
        <v>300</v>
      </c>
      <c r="G84" s="982"/>
      <c r="H84" s="1008"/>
      <c r="I84" s="1063"/>
      <c r="J84" s="622"/>
      <c r="K84" s="982"/>
      <c r="L84" s="1029"/>
      <c r="M84" s="89"/>
      <c r="N84" s="930"/>
    </row>
    <row r="85" spans="1:41" s="224" customFormat="1" ht="15" customHeight="1" x14ac:dyDescent="0.25">
      <c r="A85" s="215">
        <v>44550</v>
      </c>
      <c r="B85" s="882" t="s">
        <v>2197</v>
      </c>
      <c r="C85" s="879" t="s">
        <v>12</v>
      </c>
      <c r="D85" s="879" t="s">
        <v>2168</v>
      </c>
      <c r="E85" s="875" t="s">
        <v>13</v>
      </c>
      <c r="F85" s="780">
        <v>40</v>
      </c>
      <c r="G85" s="982"/>
      <c r="H85" s="1008"/>
      <c r="I85" s="1063"/>
      <c r="J85" s="622"/>
      <c r="K85" s="982"/>
      <c r="L85" s="1029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41" s="224" customFormat="1" ht="15" customHeight="1" x14ac:dyDescent="0.25">
      <c r="A86" s="215">
        <v>44550</v>
      </c>
      <c r="B86" s="882" t="s">
        <v>1369</v>
      </c>
      <c r="C86" s="879" t="s">
        <v>12</v>
      </c>
      <c r="D86" s="879" t="s">
        <v>1506</v>
      </c>
      <c r="E86" s="875" t="s">
        <v>13</v>
      </c>
      <c r="F86" s="780">
        <v>9.8800000000000008</v>
      </c>
      <c r="G86" s="982"/>
      <c r="H86" s="1008"/>
      <c r="I86" s="1063"/>
      <c r="J86" s="622"/>
      <c r="K86" s="982"/>
      <c r="L86" s="1029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</row>
    <row r="87" spans="1:41" s="224" customFormat="1" ht="15" customHeight="1" x14ac:dyDescent="0.25">
      <c r="A87" s="215">
        <v>44550</v>
      </c>
      <c r="B87" s="882" t="s">
        <v>3163</v>
      </c>
      <c r="C87" s="879" t="s">
        <v>12</v>
      </c>
      <c r="D87" s="879" t="s">
        <v>1489</v>
      </c>
      <c r="E87" s="875" t="s">
        <v>13</v>
      </c>
      <c r="F87" s="780">
        <v>9</v>
      </c>
      <c r="G87" s="982"/>
      <c r="H87" s="1008"/>
      <c r="I87" s="1063"/>
      <c r="J87" s="622"/>
      <c r="K87" s="982"/>
      <c r="L87" s="1029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</row>
    <row r="88" spans="1:41" s="224" customFormat="1" ht="15" customHeight="1" x14ac:dyDescent="0.25">
      <c r="A88" s="215">
        <v>44550</v>
      </c>
      <c r="B88" s="882" t="s">
        <v>14</v>
      </c>
      <c r="C88" s="879" t="s">
        <v>12</v>
      </c>
      <c r="D88" s="879" t="s">
        <v>1486</v>
      </c>
      <c r="E88" s="875" t="s">
        <v>13</v>
      </c>
      <c r="F88" s="780">
        <v>4.8</v>
      </c>
      <c r="G88" s="982"/>
      <c r="H88" s="1008"/>
      <c r="I88" s="1063"/>
      <c r="J88" s="622"/>
      <c r="K88" s="982"/>
      <c r="L88" s="1029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</row>
    <row r="89" spans="1:41" s="224" customFormat="1" ht="15" customHeight="1" x14ac:dyDescent="0.25">
      <c r="A89" s="215">
        <v>44550</v>
      </c>
      <c r="B89" s="349" t="s">
        <v>260</v>
      </c>
      <c r="C89" s="350" t="s">
        <v>12</v>
      </c>
      <c r="D89" s="350"/>
      <c r="E89" s="480"/>
      <c r="F89" s="780">
        <v>600</v>
      </c>
      <c r="G89" s="946"/>
      <c r="H89" s="95"/>
      <c r="I89" s="1064">
        <v>600</v>
      </c>
      <c r="J89" s="622"/>
      <c r="K89" s="982"/>
      <c r="L89" s="861"/>
    </row>
    <row r="90" spans="1:41" s="224" customFormat="1" ht="15" customHeight="1" x14ac:dyDescent="0.25">
      <c r="A90" s="215">
        <v>44550</v>
      </c>
      <c r="B90" s="882" t="s">
        <v>14</v>
      </c>
      <c r="C90" s="879" t="s">
        <v>12</v>
      </c>
      <c r="D90" s="879" t="s">
        <v>1486</v>
      </c>
      <c r="E90" s="875" t="s">
        <v>13</v>
      </c>
      <c r="F90" s="780">
        <v>10.07</v>
      </c>
      <c r="G90" s="982"/>
      <c r="H90" s="622"/>
      <c r="I90" s="982"/>
      <c r="J90" s="622"/>
      <c r="K90" s="982"/>
      <c r="L90" s="927"/>
      <c r="N90" s="878"/>
    </row>
    <row r="91" spans="1:41" s="224" customFormat="1" x14ac:dyDescent="0.25">
      <c r="A91" s="215">
        <v>44551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780">
        <v>20</v>
      </c>
      <c r="G91" s="982"/>
      <c r="H91" s="1008"/>
      <c r="I91" s="1063"/>
      <c r="J91" s="622"/>
      <c r="K91" s="982"/>
      <c r="L91" s="861"/>
      <c r="N91" s="878"/>
    </row>
    <row r="92" spans="1:41" s="224" customFormat="1" x14ac:dyDescent="0.25">
      <c r="A92" s="215">
        <v>44551</v>
      </c>
      <c r="B92" s="364" t="s">
        <v>3164</v>
      </c>
      <c r="C92" s="350" t="s">
        <v>12</v>
      </c>
      <c r="D92" s="350" t="s">
        <v>1489</v>
      </c>
      <c r="E92" s="875" t="s">
        <v>13</v>
      </c>
      <c r="F92" s="780">
        <v>188.01</v>
      </c>
      <c r="G92" s="982"/>
      <c r="H92" s="1008"/>
      <c r="I92" s="1063"/>
      <c r="J92" s="622"/>
      <c r="K92" s="982"/>
      <c r="L92" s="861"/>
      <c r="N92" s="878"/>
    </row>
    <row r="93" spans="1:41" s="224" customFormat="1" ht="15" customHeight="1" x14ac:dyDescent="0.25">
      <c r="A93" s="215">
        <v>44552</v>
      </c>
      <c r="B93" s="882" t="s">
        <v>14</v>
      </c>
      <c r="C93" s="879" t="s">
        <v>12</v>
      </c>
      <c r="D93" s="879" t="s">
        <v>1486</v>
      </c>
      <c r="E93" s="875" t="s">
        <v>13</v>
      </c>
      <c r="F93" s="780">
        <v>9.07</v>
      </c>
      <c r="G93" s="982"/>
      <c r="H93" s="1008"/>
      <c r="I93" s="1063"/>
      <c r="J93" s="622"/>
      <c r="K93" s="982"/>
      <c r="L93" s="1029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</row>
    <row r="94" spans="1:41" s="224" customFormat="1" ht="15" customHeight="1" x14ac:dyDescent="0.25">
      <c r="A94" s="215">
        <v>44552</v>
      </c>
      <c r="B94" s="364" t="s">
        <v>32</v>
      </c>
      <c r="C94" s="350" t="s">
        <v>12</v>
      </c>
      <c r="D94" s="350" t="s">
        <v>1485</v>
      </c>
      <c r="E94" s="875" t="s">
        <v>13</v>
      </c>
      <c r="F94" s="780">
        <v>20</v>
      </c>
      <c r="G94" s="982"/>
      <c r="H94" s="622"/>
      <c r="I94" s="982"/>
      <c r="J94" s="622"/>
      <c r="K94" s="982"/>
      <c r="L94" s="927"/>
      <c r="M94" s="927"/>
      <c r="N94" s="878"/>
    </row>
    <row r="95" spans="1:41" s="224" customFormat="1" ht="15" customHeight="1" x14ac:dyDescent="0.25">
      <c r="A95" s="215">
        <v>44552</v>
      </c>
      <c r="B95" s="862" t="s">
        <v>3046</v>
      </c>
      <c r="C95" s="879" t="s">
        <v>12</v>
      </c>
      <c r="D95" s="879" t="s">
        <v>1504</v>
      </c>
      <c r="E95" s="871" t="s">
        <v>13</v>
      </c>
      <c r="F95" s="780">
        <v>25.9</v>
      </c>
      <c r="G95" s="946"/>
      <c r="H95" s="95"/>
      <c r="I95" s="1064"/>
      <c r="J95" s="622"/>
      <c r="K95" s="982"/>
      <c r="L95" s="861"/>
    </row>
    <row r="96" spans="1:41" s="224" customFormat="1" ht="15" customHeight="1" x14ac:dyDescent="0.25">
      <c r="A96" s="215">
        <v>44553</v>
      </c>
      <c r="B96" s="882" t="s">
        <v>14</v>
      </c>
      <c r="C96" s="879" t="s">
        <v>12</v>
      </c>
      <c r="D96" s="879" t="s">
        <v>1486</v>
      </c>
      <c r="E96" s="875" t="s">
        <v>13</v>
      </c>
      <c r="F96" s="780">
        <v>10.35</v>
      </c>
      <c r="G96" s="982"/>
      <c r="H96" s="1008"/>
      <c r="I96" s="1063"/>
      <c r="J96" s="622"/>
      <c r="K96" s="982"/>
      <c r="L96" s="1029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</row>
    <row r="97" spans="1:41" s="224" customFormat="1" x14ac:dyDescent="0.25">
      <c r="A97" s="215">
        <v>44553</v>
      </c>
      <c r="B97" s="364" t="s">
        <v>3165</v>
      </c>
      <c r="C97" s="350" t="s">
        <v>12</v>
      </c>
      <c r="D97" s="350" t="s">
        <v>1489</v>
      </c>
      <c r="E97" s="875" t="s">
        <v>13</v>
      </c>
      <c r="F97" s="780">
        <v>40</v>
      </c>
      <c r="G97" s="982"/>
      <c r="H97" s="1008"/>
      <c r="I97" s="1063"/>
      <c r="J97" s="622"/>
      <c r="K97" s="982"/>
      <c r="L97" s="861"/>
      <c r="N97" s="878"/>
    </row>
    <row r="98" spans="1:41" s="224" customFormat="1" x14ac:dyDescent="0.25">
      <c r="A98" s="215">
        <v>44553</v>
      </c>
      <c r="B98" s="364" t="s">
        <v>177</v>
      </c>
      <c r="C98" s="350" t="s">
        <v>12</v>
      </c>
      <c r="D98" s="350" t="s">
        <v>1506</v>
      </c>
      <c r="E98" s="875" t="s">
        <v>13</v>
      </c>
      <c r="F98" s="780">
        <v>20</v>
      </c>
      <c r="G98" s="982"/>
      <c r="H98" s="1008"/>
      <c r="I98" s="1063"/>
      <c r="J98" s="622"/>
      <c r="K98" s="982"/>
      <c r="L98" s="861"/>
      <c r="N98" s="878"/>
    </row>
    <row r="99" spans="1:41" s="224" customFormat="1" x14ac:dyDescent="0.25">
      <c r="A99" s="215">
        <v>44553</v>
      </c>
      <c r="B99" s="364" t="s">
        <v>3166</v>
      </c>
      <c r="C99" s="350" t="s">
        <v>12</v>
      </c>
      <c r="D99" s="350" t="s">
        <v>1506</v>
      </c>
      <c r="E99" s="875" t="s">
        <v>13</v>
      </c>
      <c r="F99" s="780">
        <v>10</v>
      </c>
      <c r="G99" s="982"/>
      <c r="H99" s="1008"/>
      <c r="I99" s="1063"/>
      <c r="J99" s="622"/>
      <c r="K99" s="982"/>
      <c r="L99" s="861"/>
      <c r="N99" s="878"/>
    </row>
    <row r="100" spans="1:41" s="224" customFormat="1" x14ac:dyDescent="0.25">
      <c r="A100" s="215">
        <v>44553</v>
      </c>
      <c r="B100" s="364" t="s">
        <v>1906</v>
      </c>
      <c r="C100" s="350" t="s">
        <v>12</v>
      </c>
      <c r="D100" s="350" t="s">
        <v>1493</v>
      </c>
      <c r="E100" s="875" t="s">
        <v>13</v>
      </c>
      <c r="F100" s="780">
        <v>16.5</v>
      </c>
      <c r="G100" s="982"/>
      <c r="H100" s="1008"/>
      <c r="I100" s="1063"/>
      <c r="J100" s="622"/>
      <c r="K100" s="982"/>
      <c r="L100" s="861"/>
      <c r="N100" s="878"/>
    </row>
    <row r="101" spans="1:41" s="224" customFormat="1" x14ac:dyDescent="0.25">
      <c r="A101" s="215">
        <v>44553</v>
      </c>
      <c r="B101" s="882" t="s">
        <v>2766</v>
      </c>
      <c r="C101" s="879" t="s">
        <v>12</v>
      </c>
      <c r="D101" s="879" t="s">
        <v>2157</v>
      </c>
      <c r="E101" s="875" t="s">
        <v>13</v>
      </c>
      <c r="F101" s="780">
        <v>30</v>
      </c>
      <c r="G101" s="982"/>
      <c r="H101" s="1008"/>
      <c r="I101" s="1063"/>
      <c r="J101" s="622"/>
      <c r="K101" s="982"/>
      <c r="L101" s="861"/>
      <c r="N101" s="878"/>
    </row>
    <row r="102" spans="1:41" s="224" customFormat="1" ht="15" customHeight="1" x14ac:dyDescent="0.25">
      <c r="A102" s="215">
        <v>44554</v>
      </c>
      <c r="B102" s="882" t="s">
        <v>14</v>
      </c>
      <c r="C102" s="879" t="s">
        <v>12</v>
      </c>
      <c r="D102" s="879" t="s">
        <v>1486</v>
      </c>
      <c r="E102" s="875" t="s">
        <v>13</v>
      </c>
      <c r="F102" s="780">
        <v>12.4</v>
      </c>
      <c r="G102" s="982"/>
      <c r="H102" s="1008"/>
      <c r="I102" s="1063"/>
      <c r="J102" s="622"/>
      <c r="K102" s="982"/>
      <c r="L102" s="1029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</row>
    <row r="103" spans="1:41" s="224" customFormat="1" x14ac:dyDescent="0.25">
      <c r="A103" s="215">
        <v>44554</v>
      </c>
      <c r="B103" s="364" t="s">
        <v>3167</v>
      </c>
      <c r="C103" s="350" t="s">
        <v>12</v>
      </c>
      <c r="D103" s="350" t="s">
        <v>1523</v>
      </c>
      <c r="E103" s="875" t="s">
        <v>13</v>
      </c>
      <c r="F103" s="780">
        <v>50</v>
      </c>
      <c r="G103" s="982"/>
      <c r="H103" s="1008"/>
      <c r="I103" s="1063"/>
      <c r="J103" s="622"/>
      <c r="K103" s="982"/>
      <c r="L103" s="861"/>
      <c r="N103" s="878"/>
    </row>
    <row r="104" spans="1:41" s="224" customFormat="1" x14ac:dyDescent="0.25">
      <c r="A104" s="215">
        <v>44554</v>
      </c>
      <c r="B104" s="364" t="s">
        <v>3168</v>
      </c>
      <c r="C104" s="350" t="s">
        <v>12</v>
      </c>
      <c r="D104" s="350" t="s">
        <v>1523</v>
      </c>
      <c r="E104" s="875" t="s">
        <v>13</v>
      </c>
      <c r="F104" s="780">
        <v>30</v>
      </c>
      <c r="G104" s="982"/>
      <c r="H104" s="1008"/>
      <c r="I104" s="1063"/>
      <c r="J104" s="622"/>
      <c r="K104" s="982"/>
      <c r="L104" s="861"/>
      <c r="N104" s="878"/>
    </row>
    <row r="105" spans="1:41" s="224" customFormat="1" ht="15" customHeight="1" x14ac:dyDescent="0.25">
      <c r="A105" s="215">
        <v>44555</v>
      </c>
      <c r="B105" s="882" t="s">
        <v>14</v>
      </c>
      <c r="C105" s="879" t="s">
        <v>12</v>
      </c>
      <c r="D105" s="879" t="s">
        <v>1486</v>
      </c>
      <c r="E105" s="875" t="s">
        <v>13</v>
      </c>
      <c r="F105" s="780">
        <v>9.67</v>
      </c>
      <c r="G105" s="982"/>
      <c r="H105" s="1008"/>
      <c r="I105" s="1063"/>
      <c r="J105" s="622"/>
      <c r="K105" s="982"/>
      <c r="L105" s="1029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</row>
    <row r="106" spans="1:41" s="224" customFormat="1" ht="15" customHeight="1" x14ac:dyDescent="0.25">
      <c r="A106" s="215">
        <v>44555</v>
      </c>
      <c r="B106" s="882" t="s">
        <v>2766</v>
      </c>
      <c r="C106" s="879" t="s">
        <v>12</v>
      </c>
      <c r="D106" s="879" t="s">
        <v>2157</v>
      </c>
      <c r="E106" s="875" t="s">
        <v>13</v>
      </c>
      <c r="F106" s="1109">
        <v>50</v>
      </c>
      <c r="G106" s="946"/>
      <c r="H106" s="95"/>
      <c r="I106" s="1064"/>
      <c r="J106" s="622"/>
      <c r="K106" s="982"/>
      <c r="L106" s="1028" t="s">
        <v>3169</v>
      </c>
      <c r="M106" s="878"/>
      <c r="N106" s="878"/>
    </row>
    <row r="107" spans="1:41" s="224" customFormat="1" ht="15" customHeight="1" x14ac:dyDescent="0.25">
      <c r="A107" s="215">
        <v>44555</v>
      </c>
      <c r="B107" s="349" t="s">
        <v>2629</v>
      </c>
      <c r="C107" s="350" t="s">
        <v>12</v>
      </c>
      <c r="D107" s="350" t="s">
        <v>1489</v>
      </c>
      <c r="E107" s="480" t="s">
        <v>13</v>
      </c>
      <c r="F107" s="780">
        <v>71</v>
      </c>
      <c r="G107" s="946"/>
      <c r="H107" s="95"/>
      <c r="I107" s="1064"/>
      <c r="J107" s="622"/>
      <c r="K107" s="982"/>
      <c r="L107" s="861"/>
    </row>
    <row r="108" spans="1:41" s="224" customFormat="1" ht="15" customHeight="1" x14ac:dyDescent="0.25">
      <c r="A108" s="215">
        <v>44555</v>
      </c>
      <c r="B108" s="873" t="s">
        <v>82</v>
      </c>
      <c r="C108" s="874" t="s">
        <v>12</v>
      </c>
      <c r="D108" s="874" t="s">
        <v>1493</v>
      </c>
      <c r="E108" s="875" t="s">
        <v>13</v>
      </c>
      <c r="F108" s="850">
        <v>41.4</v>
      </c>
      <c r="G108" s="1033"/>
      <c r="H108" s="880"/>
      <c r="I108" s="1033"/>
      <c r="J108" s="880"/>
      <c r="K108" s="1033"/>
      <c r="L108" s="927"/>
      <c r="M108" s="927"/>
      <c r="N108" s="878"/>
    </row>
    <row r="109" spans="1:41" s="224" customFormat="1" ht="15" customHeight="1" x14ac:dyDescent="0.25">
      <c r="A109" s="215">
        <v>44556</v>
      </c>
      <c r="B109" s="882" t="s">
        <v>14</v>
      </c>
      <c r="C109" s="879" t="s">
        <v>12</v>
      </c>
      <c r="D109" s="879" t="s">
        <v>1486</v>
      </c>
      <c r="E109" s="875" t="s">
        <v>13</v>
      </c>
      <c r="F109" s="780">
        <v>9.64</v>
      </c>
      <c r="G109" s="946"/>
      <c r="H109" s="95"/>
      <c r="I109" s="1064"/>
      <c r="J109" s="622"/>
      <c r="K109" s="982"/>
      <c r="L109" s="861"/>
    </row>
    <row r="110" spans="1:41" s="224" customFormat="1" ht="15" customHeight="1" x14ac:dyDescent="0.25">
      <c r="A110" s="215">
        <v>44557</v>
      </c>
      <c r="B110" s="364" t="s">
        <v>32</v>
      </c>
      <c r="C110" s="350" t="s">
        <v>12</v>
      </c>
      <c r="D110" s="350" t="s">
        <v>1485</v>
      </c>
      <c r="E110" s="875" t="s">
        <v>13</v>
      </c>
      <c r="F110" s="780">
        <v>17</v>
      </c>
      <c r="G110" s="982"/>
      <c r="H110" s="1008"/>
      <c r="I110" s="1063"/>
      <c r="J110" s="622"/>
      <c r="K110" s="982"/>
      <c r="L110" s="861"/>
      <c r="N110" s="1035"/>
    </row>
    <row r="111" spans="1:41" s="224" customFormat="1" ht="15" customHeight="1" x14ac:dyDescent="0.25">
      <c r="A111" s="215">
        <v>44558</v>
      </c>
      <c r="B111" s="364" t="s">
        <v>32</v>
      </c>
      <c r="C111" s="350" t="s">
        <v>12</v>
      </c>
      <c r="D111" s="350" t="s">
        <v>1485</v>
      </c>
      <c r="E111" s="875" t="s">
        <v>13</v>
      </c>
      <c r="F111" s="780">
        <v>20</v>
      </c>
      <c r="G111" s="946"/>
      <c r="H111" s="95"/>
      <c r="I111" s="1064"/>
      <c r="J111" s="622"/>
      <c r="K111" s="982"/>
      <c r="L111" s="861"/>
      <c r="N111" s="927"/>
      <c r="O111" s="999"/>
    </row>
    <row r="112" spans="1:41" s="224" customFormat="1" ht="15" customHeight="1" x14ac:dyDescent="0.25">
      <c r="A112" s="215">
        <v>44559</v>
      </c>
      <c r="B112" s="364" t="s">
        <v>32</v>
      </c>
      <c r="C112" s="350" t="s">
        <v>12</v>
      </c>
      <c r="D112" s="350" t="s">
        <v>1485</v>
      </c>
      <c r="E112" s="875" t="s">
        <v>13</v>
      </c>
      <c r="F112" s="780">
        <v>20</v>
      </c>
      <c r="G112" s="982"/>
      <c r="H112" s="1008"/>
      <c r="I112" s="1063"/>
      <c r="J112" s="622"/>
      <c r="K112" s="982"/>
      <c r="L112" s="861"/>
      <c r="N112" s="1080"/>
      <c r="O112" s="999"/>
    </row>
    <row r="113" spans="1:20" s="224" customFormat="1" ht="15" customHeight="1" x14ac:dyDescent="0.25">
      <c r="A113" s="215">
        <v>44559</v>
      </c>
      <c r="B113" s="873" t="s">
        <v>445</v>
      </c>
      <c r="C113" s="874" t="s">
        <v>12</v>
      </c>
      <c r="D113" s="874" t="s">
        <v>1493</v>
      </c>
      <c r="E113" s="875" t="s">
        <v>13</v>
      </c>
      <c r="F113" s="850">
        <v>14</v>
      </c>
      <c r="G113" s="1033"/>
      <c r="H113" s="880"/>
      <c r="I113" s="1033"/>
      <c r="J113" s="880"/>
      <c r="K113" s="1033"/>
      <c r="L113" s="927"/>
      <c r="M113" s="927"/>
      <c r="N113" s="878"/>
    </row>
    <row r="114" spans="1:20" s="224" customFormat="1" ht="15" customHeight="1" x14ac:dyDescent="0.25">
      <c r="A114" s="215">
        <v>44560</v>
      </c>
      <c r="B114" s="882" t="s">
        <v>14</v>
      </c>
      <c r="C114" s="879" t="s">
        <v>12</v>
      </c>
      <c r="D114" s="879" t="s">
        <v>1486</v>
      </c>
      <c r="E114" s="875" t="s">
        <v>13</v>
      </c>
      <c r="F114" s="780">
        <v>5.49</v>
      </c>
      <c r="G114" s="946"/>
      <c r="H114" s="95"/>
      <c r="I114" s="1064"/>
      <c r="J114" s="622"/>
      <c r="K114" s="982"/>
      <c r="L114" s="861"/>
    </row>
    <row r="115" spans="1:20" s="224" customFormat="1" x14ac:dyDescent="0.25">
      <c r="A115" s="215">
        <v>44560</v>
      </c>
      <c r="B115" s="882" t="s">
        <v>256</v>
      </c>
      <c r="C115" s="879"/>
      <c r="D115" s="879"/>
      <c r="E115" s="875" t="s">
        <v>25</v>
      </c>
      <c r="F115" s="780"/>
      <c r="G115" s="982">
        <v>400</v>
      </c>
      <c r="H115" s="1060">
        <v>400</v>
      </c>
      <c r="I115" s="1063"/>
      <c r="J115" s="622"/>
      <c r="K115" s="982"/>
      <c r="L115" s="861"/>
      <c r="N115" s="878"/>
    </row>
    <row r="116" spans="1:20" s="224" customFormat="1" ht="15" customHeight="1" x14ac:dyDescent="0.25">
      <c r="A116" s="215">
        <v>44560</v>
      </c>
      <c r="B116" s="364" t="s">
        <v>32</v>
      </c>
      <c r="C116" s="350" t="s">
        <v>12</v>
      </c>
      <c r="D116" s="350" t="s">
        <v>1485</v>
      </c>
      <c r="E116" s="875" t="s">
        <v>13</v>
      </c>
      <c r="F116" s="780">
        <v>20</v>
      </c>
      <c r="G116" s="982"/>
      <c r="H116" s="1008"/>
      <c r="I116" s="1063"/>
      <c r="J116" s="622"/>
      <c r="K116" s="982"/>
      <c r="L116" s="861"/>
      <c r="N116" s="1080"/>
      <c r="O116" s="999"/>
    </row>
    <row r="117" spans="1:20" s="224" customFormat="1" ht="15" customHeight="1" x14ac:dyDescent="0.25">
      <c r="A117" s="215">
        <v>44560</v>
      </c>
      <c r="B117" s="882" t="s">
        <v>2766</v>
      </c>
      <c r="C117" s="879" t="s">
        <v>12</v>
      </c>
      <c r="D117" s="879" t="s">
        <v>2157</v>
      </c>
      <c r="E117" s="875" t="s">
        <v>13</v>
      </c>
      <c r="F117" s="780">
        <v>80</v>
      </c>
      <c r="G117" s="982"/>
      <c r="H117" s="1008"/>
      <c r="I117" s="1063"/>
      <c r="J117" s="622"/>
      <c r="K117" s="982"/>
      <c r="L117" s="1029"/>
      <c r="M117" s="89"/>
      <c r="N117" s="1081"/>
      <c r="O117" s="1082"/>
    </row>
    <row r="118" spans="1:20" s="224" customFormat="1" ht="15" customHeight="1" x14ac:dyDescent="0.25">
      <c r="A118" s="215">
        <v>44560</v>
      </c>
      <c r="B118" s="364" t="s">
        <v>3170</v>
      </c>
      <c r="C118" s="350" t="s">
        <v>12</v>
      </c>
      <c r="D118" s="350" t="s">
        <v>1489</v>
      </c>
      <c r="E118" s="875" t="s">
        <v>13</v>
      </c>
      <c r="F118" s="780">
        <v>20</v>
      </c>
      <c r="G118" s="982"/>
      <c r="H118" s="1008"/>
      <c r="I118" s="1063"/>
      <c r="J118" s="622"/>
      <c r="K118" s="982"/>
      <c r="L118" s="1029"/>
      <c r="M118" s="89"/>
      <c r="N118" s="1081"/>
      <c r="O118" s="1082"/>
    </row>
    <row r="119" spans="1:20" s="224" customFormat="1" ht="15" customHeight="1" x14ac:dyDescent="0.25">
      <c r="A119" s="215">
        <v>44560</v>
      </c>
      <c r="B119" s="364" t="s">
        <v>3171</v>
      </c>
      <c r="C119" s="350" t="s">
        <v>12</v>
      </c>
      <c r="D119" s="350" t="s">
        <v>1489</v>
      </c>
      <c r="E119" s="875" t="s">
        <v>13</v>
      </c>
      <c r="F119" s="780">
        <v>20</v>
      </c>
      <c r="G119" s="982"/>
      <c r="H119" s="1008"/>
      <c r="I119" s="1063"/>
      <c r="J119" s="622"/>
      <c r="K119" s="982"/>
      <c r="L119" s="1029"/>
      <c r="M119" s="89"/>
      <c r="N119" s="1081"/>
      <c r="O119" s="1082"/>
    </row>
    <row r="120" spans="1:20" s="224" customFormat="1" ht="15" customHeight="1" x14ac:dyDescent="0.25">
      <c r="A120" s="215">
        <v>44560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8.5299999999999994</v>
      </c>
      <c r="G120" s="982"/>
      <c r="H120" s="1008"/>
      <c r="I120" s="1063"/>
      <c r="J120" s="622"/>
      <c r="K120" s="982"/>
      <c r="L120" s="861"/>
      <c r="N120" s="1080"/>
      <c r="O120" s="999"/>
    </row>
    <row r="121" spans="1:20" s="224" customFormat="1" ht="15" customHeight="1" x14ac:dyDescent="0.25">
      <c r="A121" s="215">
        <v>44561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6.97</v>
      </c>
      <c r="G121" s="982"/>
      <c r="H121" s="1008"/>
      <c r="I121" s="1063"/>
      <c r="J121" s="622"/>
      <c r="K121" s="982"/>
      <c r="L121" s="1029"/>
      <c r="M121" s="89"/>
      <c r="N121" s="930"/>
    </row>
    <row r="122" spans="1:20" s="224" customFormat="1" ht="15" customHeight="1" x14ac:dyDescent="0.25">
      <c r="A122" s="215">
        <v>44561</v>
      </c>
      <c r="B122" s="364" t="s">
        <v>2629</v>
      </c>
      <c r="C122" s="350" t="s">
        <v>12</v>
      </c>
      <c r="D122" s="350" t="s">
        <v>1489</v>
      </c>
      <c r="E122" s="875" t="s">
        <v>13</v>
      </c>
      <c r="F122" s="780">
        <v>18</v>
      </c>
      <c r="G122" s="982"/>
      <c r="H122" s="1008"/>
      <c r="I122" s="1063"/>
      <c r="J122" s="622"/>
      <c r="K122" s="982"/>
      <c r="L122" s="1029"/>
      <c r="M122" s="89"/>
      <c r="N122" s="930"/>
    </row>
    <row r="123" spans="1:20" s="224" customFormat="1" ht="15.75" thickBot="1" x14ac:dyDescent="0.3">
      <c r="A123" s="215">
        <v>44561</v>
      </c>
      <c r="B123" s="862" t="s">
        <v>1666</v>
      </c>
      <c r="C123" s="350" t="s">
        <v>12</v>
      </c>
      <c r="D123" s="1003"/>
      <c r="E123" s="145" t="s">
        <v>25</v>
      </c>
      <c r="F123" s="1036"/>
      <c r="G123" s="1535"/>
      <c r="H123" s="1008"/>
      <c r="I123" s="1063"/>
      <c r="J123" s="622"/>
      <c r="K123" s="982">
        <v>70</v>
      </c>
      <c r="L123" s="475"/>
      <c r="N123" s="878"/>
    </row>
    <row r="124" spans="1:20" ht="25.5" customHeight="1" thickBot="1" x14ac:dyDescent="0.3">
      <c r="A124" s="3060"/>
      <c r="B124" s="3061"/>
      <c r="C124" s="3062"/>
      <c r="D124" s="3062"/>
      <c r="E124" s="3062"/>
      <c r="F124" s="1020">
        <f>SUM(F6:F123)</f>
        <v>9537.5483333333323</v>
      </c>
      <c r="G124" s="1534">
        <f>SUM(G5:G123)</f>
        <v>10380.132916666684</v>
      </c>
      <c r="H124" s="517">
        <f>SUM(H6:H123)</f>
        <v>1000</v>
      </c>
      <c r="I124" s="93">
        <f>SUM(I5:I123)</f>
        <v>8199.9960000000028</v>
      </c>
      <c r="J124" s="1023">
        <f>SUM(J6:J123)</f>
        <v>0</v>
      </c>
      <c r="K124" s="93">
        <f>SUM(K5:K123)</f>
        <v>13711.339999999997</v>
      </c>
      <c r="M124" s="216"/>
    </row>
    <row r="125" spans="1:20" ht="25.5" customHeight="1" thickBot="1" x14ac:dyDescent="0.3">
      <c r="A125" s="3117" t="s">
        <v>49</v>
      </c>
      <c r="B125" s="3118"/>
      <c r="C125" s="3118"/>
      <c r="D125" s="3118"/>
      <c r="E125" s="3118"/>
      <c r="F125" s="144" t="s">
        <v>280</v>
      </c>
      <c r="G125" s="519">
        <f>G124-F124</f>
        <v>842.58458333335147</v>
      </c>
      <c r="H125" s="555"/>
      <c r="I125" s="772">
        <f>I124-H124</f>
        <v>7199.9960000000028</v>
      </c>
      <c r="J125" s="593"/>
      <c r="K125" s="772">
        <f>K124-J124</f>
        <v>13711.339999999997</v>
      </c>
    </row>
    <row r="126" spans="1:20" x14ac:dyDescent="0.25">
      <c r="L126" s="89"/>
      <c r="N126" s="79"/>
      <c r="Q126" s="518"/>
      <c r="R126" s="216"/>
      <c r="T126" s="877"/>
    </row>
    <row r="127" spans="1:20" x14ac:dyDescent="0.25">
      <c r="B127" s="81" t="s">
        <v>3</v>
      </c>
      <c r="C127" s="193" t="s">
        <v>1484</v>
      </c>
      <c r="D127" s="970" t="s">
        <v>2378</v>
      </c>
      <c r="G127" s="216"/>
      <c r="K127" s="866"/>
    </row>
    <row r="128" spans="1:20" x14ac:dyDescent="0.25">
      <c r="B128" s="79" t="s">
        <v>32</v>
      </c>
      <c r="C128" s="85" t="s">
        <v>1485</v>
      </c>
      <c r="D128" s="475">
        <f>SUMIF($D$8:$D$123,"A",$F$8:$F$123)</f>
        <v>329</v>
      </c>
      <c r="F128" s="79"/>
      <c r="G128" s="800"/>
      <c r="I128" s="769"/>
      <c r="J128" s="868"/>
    </row>
    <row r="129" spans="1:14" x14ac:dyDescent="0.25">
      <c r="B129" s="79" t="s">
        <v>2187</v>
      </c>
      <c r="C129" s="85" t="s">
        <v>2157</v>
      </c>
      <c r="D129" s="475">
        <f>SUMIF($D$7:$D$123,"GAC",$F$7:$F$123)</f>
        <v>490</v>
      </c>
      <c r="G129" s="609"/>
      <c r="J129" s="754"/>
      <c r="K129" s="886"/>
      <c r="L129" s="1030"/>
    </row>
    <row r="130" spans="1:14" x14ac:dyDescent="0.25">
      <c r="B130" s="79" t="s">
        <v>2188</v>
      </c>
      <c r="C130" s="85" t="s">
        <v>2168</v>
      </c>
      <c r="D130" s="475">
        <f>SUMIF($D$7:$D$123,"GAM",$F$7:$F$123)</f>
        <v>70</v>
      </c>
      <c r="J130" s="864"/>
      <c r="K130" s="864"/>
      <c r="L130" s="958"/>
    </row>
    <row r="131" spans="1:14" s="85" customFormat="1" x14ac:dyDescent="0.25">
      <c r="A131" s="79"/>
      <c r="B131" s="79" t="s">
        <v>50</v>
      </c>
      <c r="C131" s="85" t="s">
        <v>1493</v>
      </c>
      <c r="D131" s="475">
        <f>SUMIF($D$8:$D$123,"LD",$F$8:$F$123)</f>
        <v>333.84999999999997</v>
      </c>
      <c r="J131" s="864"/>
      <c r="K131" s="1032"/>
      <c r="L131" s="958"/>
      <c r="N131" s="877"/>
    </row>
    <row r="132" spans="1:14" s="85" customFormat="1" x14ac:dyDescent="0.25">
      <c r="A132" s="79"/>
      <c r="B132" s="79" t="s">
        <v>14</v>
      </c>
      <c r="C132" s="85" t="s">
        <v>1486</v>
      </c>
      <c r="D132" s="475">
        <f>SUMIF($D$8:$D$123,"C",$F$8:$F$123)</f>
        <v>198.71999999999997</v>
      </c>
      <c r="F132" s="89"/>
      <c r="G132" s="79"/>
      <c r="H132" s="79"/>
      <c r="J132" s="864"/>
      <c r="K132" s="1032"/>
      <c r="L132" s="958"/>
      <c r="N132" s="877"/>
    </row>
    <row r="133" spans="1:14" s="85" customFormat="1" x14ac:dyDescent="0.25">
      <c r="A133" s="79"/>
      <c r="B133" s="79" t="s">
        <v>51</v>
      </c>
      <c r="C133" s="864" t="s">
        <v>1499</v>
      </c>
      <c r="D133" s="475">
        <f>SUMIF($D$32:$D$123,"CAL",$F$32:$F$123)</f>
        <v>79.58</v>
      </c>
      <c r="F133" s="89"/>
      <c r="G133" s="79"/>
      <c r="H133" s="79"/>
      <c r="I133" s="79"/>
      <c r="K133" s="795"/>
      <c r="L133" s="958"/>
      <c r="N133" s="877"/>
    </row>
    <row r="134" spans="1:14" s="85" customFormat="1" x14ac:dyDescent="0.25">
      <c r="A134" s="79"/>
      <c r="B134" s="79" t="s">
        <v>2189</v>
      </c>
      <c r="C134" s="864" t="s">
        <v>1496</v>
      </c>
      <c r="D134" s="475">
        <f>SUMIF($D$25:$D$123,"AC",$F$25:$F$123)</f>
        <v>80</v>
      </c>
      <c r="F134" s="769"/>
      <c r="G134" s="79"/>
      <c r="K134" s="177"/>
      <c r="L134" s="941"/>
      <c r="N134" s="877"/>
    </row>
    <row r="135" spans="1:14" s="85" customFormat="1" x14ac:dyDescent="0.25">
      <c r="A135" s="79"/>
      <c r="B135" s="867" t="s">
        <v>53</v>
      </c>
      <c r="C135" s="864" t="s">
        <v>1522</v>
      </c>
      <c r="D135" s="475">
        <f>SUMIF($D$8:$D$123,"DC",$F$8:$F$123)</f>
        <v>394.72500000000002</v>
      </c>
      <c r="K135" s="177"/>
      <c r="L135" s="475"/>
      <c r="N135" s="877"/>
    </row>
    <row r="136" spans="1:14" s="85" customFormat="1" x14ac:dyDescent="0.25">
      <c r="A136" s="79"/>
      <c r="B136" s="867" t="s">
        <v>2149</v>
      </c>
      <c r="C136" s="864" t="s">
        <v>2131</v>
      </c>
      <c r="D136" s="475">
        <f>SUMIF($D$6:$D$123,"DM",$F$6:$F$123)</f>
        <v>84.5</v>
      </c>
      <c r="F136" s="769"/>
      <c r="K136" s="177" t="s">
        <v>280</v>
      </c>
      <c r="L136" s="475"/>
      <c r="N136" s="877"/>
    </row>
    <row r="137" spans="1:14" s="85" customFormat="1" x14ac:dyDescent="0.25">
      <c r="A137" s="79"/>
      <c r="B137" s="79" t="s">
        <v>3048</v>
      </c>
      <c r="C137" s="864" t="s">
        <v>1523</v>
      </c>
      <c r="D137" s="475">
        <f ca="1">SUMIF($D$8:$D$124,"B",$F$8:$F$123)</f>
        <v>193</v>
      </c>
      <c r="F137" s="769"/>
      <c r="G137" s="866"/>
      <c r="K137" s="177"/>
      <c r="L137" s="475"/>
      <c r="N137" s="877"/>
    </row>
    <row r="138" spans="1:14" s="85" customFormat="1" x14ac:dyDescent="0.25">
      <c r="A138" s="79"/>
      <c r="B138" s="79" t="s">
        <v>1686</v>
      </c>
      <c r="C138" s="864" t="s">
        <v>1506</v>
      </c>
      <c r="D138" s="475">
        <f>SUMIF($D$8:$D$123,"R",$F$8:$F$123)</f>
        <v>210.38</v>
      </c>
      <c r="F138" s="769"/>
      <c r="G138" s="868"/>
      <c r="K138" s="866"/>
      <c r="L138" s="475"/>
      <c r="N138" s="877"/>
    </row>
    <row r="139" spans="1:14" x14ac:dyDescent="0.25">
      <c r="B139" s="79" t="s">
        <v>418</v>
      </c>
      <c r="C139" s="85" t="s">
        <v>1524</v>
      </c>
      <c r="D139" s="475">
        <f>SUMIF($D$32:$D$123,"COM",$F$32:$F$123)</f>
        <v>0</v>
      </c>
      <c r="G139" s="85"/>
      <c r="H139" s="85"/>
      <c r="I139" s="85"/>
      <c r="J139" s="769"/>
      <c r="K139" s="216"/>
    </row>
    <row r="140" spans="1:14" x14ac:dyDescent="0.25">
      <c r="B140" s="79" t="s">
        <v>419</v>
      </c>
      <c r="C140" s="85" t="s">
        <v>1491</v>
      </c>
      <c r="D140" s="475">
        <f>SUMIF($D$25:$D$123,"F",$F$25:$F$123)</f>
        <v>752.79</v>
      </c>
      <c r="I140" s="85"/>
      <c r="K140" s="216"/>
    </row>
    <row r="141" spans="1:14" x14ac:dyDescent="0.25">
      <c r="B141" s="79" t="s">
        <v>911</v>
      </c>
      <c r="C141" s="85" t="s">
        <v>1525</v>
      </c>
      <c r="D141" s="475">
        <f>SUMIF($D$8:$D$123,"FER",$F$8:$F$123)</f>
        <v>79.599999999999994</v>
      </c>
      <c r="J141" s="769"/>
      <c r="K141" s="868"/>
    </row>
    <row r="142" spans="1:14" x14ac:dyDescent="0.25">
      <c r="B142" s="79" t="s">
        <v>1526</v>
      </c>
      <c r="C142" s="85" t="s">
        <v>1504</v>
      </c>
      <c r="D142" s="475">
        <f>SUMIF($D$32:$D$123,"I",$F$32:$F$123)</f>
        <v>87.9</v>
      </c>
      <c r="F142" s="89" t="s">
        <v>280</v>
      </c>
      <c r="J142" s="769"/>
      <c r="K142" s="868"/>
    </row>
    <row r="143" spans="1:14" x14ac:dyDescent="0.25">
      <c r="B143" s="79" t="s">
        <v>2343</v>
      </c>
      <c r="C143" s="85" t="s">
        <v>2315</v>
      </c>
      <c r="D143" s="475">
        <f>SUMIF($D$8:$D$123,"E",$F$8:$F$123)</f>
        <v>0</v>
      </c>
      <c r="J143" s="769"/>
      <c r="K143" s="868"/>
    </row>
    <row r="144" spans="1:14" x14ac:dyDescent="0.25">
      <c r="B144" s="79" t="s">
        <v>3019</v>
      </c>
      <c r="C144" s="85" t="s">
        <v>3017</v>
      </c>
      <c r="D144" s="475">
        <f>SUMIF($D$6:$D$123,"IM",$F$6:$F$123)</f>
        <v>632.99</v>
      </c>
      <c r="J144" s="769"/>
    </row>
    <row r="145" spans="1:18" x14ac:dyDescent="0.25">
      <c r="B145" s="79" t="s">
        <v>1527</v>
      </c>
      <c r="C145" s="85" t="s">
        <v>1489</v>
      </c>
      <c r="D145" s="475">
        <f>SUMIF($D$8:$D$123,"OD",$F$8:$F$123)</f>
        <v>720.51333333333332</v>
      </c>
    </row>
    <row r="146" spans="1:18" x14ac:dyDescent="0.25">
      <c r="C146" s="79"/>
      <c r="D146" s="629"/>
      <c r="E146" s="79"/>
      <c r="F146" s="79"/>
      <c r="L146" s="79"/>
      <c r="N146" s="79"/>
    </row>
    <row r="147" spans="1:18" x14ac:dyDescent="0.25">
      <c r="B147" s="79" t="s">
        <v>486</v>
      </c>
      <c r="C147" s="475">
        <f ca="1">H147/J147</f>
        <v>152.82413978494623</v>
      </c>
      <c r="F147" s="518" t="s">
        <v>487</v>
      </c>
      <c r="H147" s="629">
        <f ca="1">SUM(D128:D145)</f>
        <v>4737.5483333333332</v>
      </c>
      <c r="I147" s="216"/>
      <c r="J147" s="1517">
        <v>31</v>
      </c>
    </row>
    <row r="148" spans="1:18" ht="15.75" customHeight="1" x14ac:dyDescent="0.25">
      <c r="E148" s="769"/>
      <c r="H148" s="85"/>
      <c r="K148" s="868"/>
    </row>
    <row r="149" spans="1:18" x14ac:dyDescent="0.25">
      <c r="E149" s="79"/>
      <c r="F149" s="79"/>
      <c r="G149" s="85"/>
      <c r="H149" s="459"/>
      <c r="I149" s="85"/>
      <c r="J149" s="89"/>
      <c r="L149" s="769"/>
      <c r="M149" s="518" t="s">
        <v>280</v>
      </c>
      <c r="N149" s="79"/>
      <c r="O149" s="866"/>
      <c r="P149" s="484"/>
      <c r="R149" s="877"/>
    </row>
    <row r="150" spans="1:18" s="518" customFormat="1" x14ac:dyDescent="0.25">
      <c r="A150" s="79"/>
      <c r="B150" s="79"/>
      <c r="C150" s="85"/>
      <c r="D150" s="79"/>
      <c r="E150" s="79"/>
      <c r="F150" s="769"/>
      <c r="G150" s="85"/>
      <c r="H150" s="85"/>
      <c r="I150" s="89"/>
      <c r="J150" s="79"/>
      <c r="K150" s="79"/>
      <c r="L150" s="79"/>
      <c r="M150" s="79"/>
      <c r="N150" s="866"/>
      <c r="O150" s="484"/>
      <c r="P150" s="79"/>
      <c r="Q150" s="877"/>
      <c r="R150" s="79"/>
    </row>
    <row r="151" spans="1:18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484"/>
      <c r="M151" s="79"/>
      <c r="N151" s="877"/>
      <c r="O151" s="79"/>
    </row>
    <row r="152" spans="1:18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484"/>
      <c r="M152" s="79"/>
      <c r="N152" s="877"/>
      <c r="O152" s="79"/>
    </row>
    <row r="153" spans="1:18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216"/>
      <c r="J153" s="769"/>
      <c r="K153" s="866"/>
      <c r="L153" s="484"/>
      <c r="M153" s="79"/>
      <c r="N153" s="877"/>
      <c r="O153" s="79"/>
    </row>
    <row r="154" spans="1:18" s="518" customFormat="1" x14ac:dyDescent="0.25">
      <c r="A154" s="79"/>
      <c r="B154" s="79"/>
      <c r="C154" s="79"/>
      <c r="D154" s="79"/>
      <c r="E154" s="79"/>
      <c r="F154" s="79"/>
      <c r="G154" s="79"/>
      <c r="H154" s="79"/>
      <c r="K154" s="866"/>
      <c r="L154" s="484"/>
      <c r="M154" s="79"/>
      <c r="N154" s="877"/>
      <c r="O154" s="79"/>
    </row>
    <row r="155" spans="1:18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484"/>
      <c r="M155" s="79"/>
      <c r="N155" s="877"/>
      <c r="O155" s="79"/>
    </row>
    <row r="156" spans="1:18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216"/>
      <c r="J156" s="769"/>
      <c r="K156" s="868"/>
      <c r="L156" s="484"/>
      <c r="M156" s="79"/>
      <c r="N156" s="877"/>
      <c r="O156" s="79"/>
    </row>
    <row r="157" spans="1:18" s="518" customFormat="1" x14ac:dyDescent="0.25">
      <c r="A157" s="79"/>
      <c r="B157" s="79"/>
      <c r="C157" s="79"/>
      <c r="D157" s="79"/>
      <c r="E157" s="79"/>
      <c r="F157" s="79"/>
      <c r="G157" s="216"/>
      <c r="H157" s="79"/>
      <c r="I157" s="216"/>
      <c r="J157" s="769"/>
      <c r="K157" s="866"/>
      <c r="L157" s="484"/>
      <c r="M157" s="79"/>
      <c r="N157" s="877"/>
      <c r="O157" s="79"/>
    </row>
    <row r="158" spans="1:18" s="518" customFormat="1" x14ac:dyDescent="0.25">
      <c r="A158" s="79"/>
      <c r="B158" s="79"/>
      <c r="C158" s="79"/>
      <c r="D158" s="79"/>
      <c r="E158" s="79"/>
      <c r="F158" s="79"/>
      <c r="G158" s="216"/>
      <c r="H158" s="79"/>
      <c r="I158" s="79"/>
      <c r="J158" s="770"/>
      <c r="K158" s="866"/>
      <c r="L158" s="484"/>
      <c r="M158" s="79"/>
      <c r="N158" s="877"/>
      <c r="O158" s="79"/>
    </row>
    <row r="159" spans="1:18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484"/>
      <c r="M159" s="79"/>
      <c r="N159" s="877"/>
      <c r="O159" s="79"/>
    </row>
    <row r="160" spans="1:18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484"/>
      <c r="M160" s="79"/>
      <c r="N160" s="877"/>
      <c r="O160" s="79"/>
    </row>
    <row r="161" spans="1:15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629"/>
      <c r="J161" s="769"/>
      <c r="K161" s="866"/>
      <c r="L161" s="484"/>
      <c r="M161" s="79"/>
      <c r="N161" s="877"/>
      <c r="O161" s="79"/>
    </row>
    <row r="162" spans="1:15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484"/>
      <c r="M162" s="79"/>
      <c r="N162" s="877"/>
      <c r="O162" s="79"/>
    </row>
    <row r="163" spans="1:15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484"/>
      <c r="M163" s="79"/>
      <c r="N163" s="877"/>
      <c r="O163" s="79"/>
    </row>
    <row r="164" spans="1:15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484"/>
      <c r="M164" s="79"/>
      <c r="N164" s="877"/>
      <c r="O164" s="79"/>
    </row>
    <row r="165" spans="1:15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484"/>
      <c r="M165" s="79"/>
      <c r="N165" s="877"/>
      <c r="O165" s="79"/>
    </row>
    <row r="166" spans="1:15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484"/>
      <c r="M166" s="79"/>
      <c r="N166" s="877"/>
      <c r="O166" s="79"/>
    </row>
    <row r="167" spans="1:15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484"/>
      <c r="M167" s="79"/>
      <c r="N167" s="877"/>
      <c r="O167" s="79"/>
    </row>
    <row r="168" spans="1:15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484"/>
      <c r="M168" s="79"/>
      <c r="N168" s="877"/>
      <c r="O168" s="79"/>
    </row>
    <row r="169" spans="1:15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L169" s="484"/>
      <c r="M169" s="79"/>
      <c r="N169" s="877"/>
      <c r="O169" s="79"/>
    </row>
    <row r="170" spans="1:15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484"/>
      <c r="M170" s="79"/>
      <c r="N170" s="877"/>
      <c r="O170" s="79"/>
    </row>
    <row r="171" spans="1:15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484"/>
      <c r="M171" s="79"/>
      <c r="N171" s="877"/>
      <c r="O171" s="79"/>
    </row>
    <row r="172" spans="1:15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484"/>
      <c r="M172" s="79"/>
      <c r="N172" s="877"/>
      <c r="O172" s="79"/>
    </row>
    <row r="173" spans="1:15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484"/>
      <c r="M173" s="79"/>
      <c r="N173" s="877"/>
      <c r="O173" s="79"/>
    </row>
    <row r="174" spans="1:15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484"/>
      <c r="M174" s="79"/>
      <c r="N174" s="877"/>
      <c r="O174" s="79"/>
    </row>
    <row r="175" spans="1:15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484"/>
      <c r="M175" s="79"/>
      <c r="N175" s="877"/>
      <c r="O175" s="79"/>
    </row>
    <row r="176" spans="1:15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484"/>
      <c r="M176" s="79"/>
      <c r="N176" s="877"/>
      <c r="O176" s="79"/>
    </row>
    <row r="177" spans="1:15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484"/>
      <c r="M177" s="79"/>
      <c r="N177" s="877"/>
      <c r="O177" s="79"/>
    </row>
    <row r="178" spans="1:15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8"/>
      <c r="L178" s="484"/>
      <c r="M178" s="79"/>
      <c r="N178" s="877"/>
      <c r="O178" s="79"/>
    </row>
    <row r="179" spans="1:15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484"/>
      <c r="M179" s="79"/>
      <c r="N179" s="877"/>
      <c r="O179" s="79"/>
    </row>
    <row r="180" spans="1:15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484"/>
      <c r="M180" s="79"/>
      <c r="N180" s="877"/>
      <c r="O180" s="79"/>
    </row>
    <row r="181" spans="1:15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484"/>
      <c r="M181" s="79"/>
      <c r="N181" s="877"/>
      <c r="O181" s="79"/>
    </row>
    <row r="182" spans="1:15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484"/>
      <c r="M182" s="79"/>
      <c r="N182" s="877"/>
      <c r="O182" s="79"/>
    </row>
    <row r="183" spans="1:15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8"/>
      <c r="L183" s="484"/>
      <c r="M183" s="79"/>
      <c r="N183" s="877"/>
      <c r="O183" s="79"/>
    </row>
    <row r="184" spans="1:15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8"/>
      <c r="L184" s="484"/>
      <c r="M184" s="79"/>
      <c r="N184" s="877"/>
      <c r="O184" s="79"/>
    </row>
    <row r="185" spans="1:15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6"/>
      <c r="L185" s="484"/>
      <c r="M185" s="79"/>
      <c r="N185" s="877"/>
      <c r="O185" s="79"/>
    </row>
    <row r="186" spans="1:15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223"/>
      <c r="K186" s="629"/>
      <c r="L186" s="484"/>
      <c r="M186" s="79"/>
      <c r="N186" s="877"/>
      <c r="O186" s="79"/>
    </row>
    <row r="187" spans="1:15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56"/>
      <c r="K187" s="756"/>
      <c r="L187" s="484"/>
      <c r="M187" s="79"/>
      <c r="N187" s="877"/>
      <c r="O187" s="79"/>
    </row>
    <row r="188" spans="1:15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484"/>
      <c r="M188" s="79"/>
      <c r="N188" s="877"/>
      <c r="O188" s="79"/>
    </row>
    <row r="189" spans="1:15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484"/>
      <c r="M189" s="79"/>
      <c r="N189" s="877"/>
      <c r="O189" s="79"/>
    </row>
    <row r="190" spans="1:15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484"/>
      <c r="M190" s="79"/>
      <c r="N190" s="877"/>
      <c r="O190" s="79"/>
    </row>
    <row r="191" spans="1:15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484"/>
      <c r="M191" s="79"/>
      <c r="N191" s="877"/>
      <c r="O191" s="79"/>
    </row>
    <row r="192" spans="1:15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85"/>
      <c r="K192" s="85"/>
      <c r="L192" s="484"/>
      <c r="M192" s="79"/>
      <c r="N192" s="877"/>
      <c r="O192" s="79"/>
    </row>
    <row r="193" spans="1:15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484"/>
      <c r="M193" s="79"/>
      <c r="N193" s="877"/>
      <c r="O193" s="79"/>
    </row>
    <row r="194" spans="1:15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484"/>
      <c r="M194" s="79"/>
      <c r="N194" s="877"/>
      <c r="O194" s="79"/>
    </row>
    <row r="195" spans="1:15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484"/>
      <c r="M195" s="79"/>
      <c r="N195" s="877"/>
      <c r="O195" s="79"/>
    </row>
    <row r="196" spans="1:15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484"/>
      <c r="M196" s="79"/>
      <c r="N196" s="877"/>
      <c r="O196" s="79"/>
    </row>
    <row r="197" spans="1:15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484"/>
      <c r="M197" s="79"/>
      <c r="N197" s="877"/>
      <c r="O197" s="79"/>
    </row>
    <row r="198" spans="1:15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484"/>
      <c r="M198" s="79"/>
      <c r="N198" s="877"/>
      <c r="O198" s="79"/>
    </row>
    <row r="199" spans="1:15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85"/>
      <c r="K199" s="85"/>
      <c r="L199" s="484"/>
      <c r="M199" s="79"/>
      <c r="N199" s="877"/>
      <c r="O199" s="79"/>
    </row>
    <row r="200" spans="1:15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484"/>
      <c r="M200" s="79"/>
      <c r="N200" s="877"/>
      <c r="O200" s="79"/>
    </row>
    <row r="201" spans="1:15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484"/>
      <c r="M201" s="79"/>
      <c r="N201" s="877"/>
      <c r="O201" s="79"/>
    </row>
    <row r="202" spans="1:15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484"/>
      <c r="M202" s="79"/>
      <c r="N202" s="877"/>
      <c r="O202" s="79"/>
    </row>
    <row r="203" spans="1:15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484"/>
      <c r="M203" s="79"/>
      <c r="N203" s="877"/>
      <c r="O203" s="79"/>
    </row>
    <row r="204" spans="1:15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484"/>
      <c r="M204" s="79"/>
      <c r="N204" s="877"/>
      <c r="O204" s="79"/>
    </row>
    <row r="205" spans="1:15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484"/>
      <c r="M205" s="79"/>
      <c r="N205" s="877"/>
      <c r="O205" s="79"/>
    </row>
    <row r="206" spans="1:15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71"/>
      <c r="L206" s="484"/>
      <c r="M206" s="79"/>
      <c r="N206" s="877"/>
      <c r="O206" s="79"/>
    </row>
    <row r="207" spans="1:15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484"/>
      <c r="M207" s="79"/>
      <c r="N207" s="877"/>
      <c r="O207" s="79"/>
    </row>
    <row r="214" spans="1:15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484"/>
      <c r="M214" s="79"/>
      <c r="N214" s="877"/>
      <c r="O214" s="79"/>
    </row>
    <row r="215" spans="1:15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484"/>
      <c r="M215" s="79"/>
      <c r="N215" s="877"/>
      <c r="O215" s="79"/>
    </row>
    <row r="216" spans="1:15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484"/>
      <c r="M216" s="79"/>
      <c r="N216" s="877"/>
      <c r="O216" s="79"/>
    </row>
    <row r="217" spans="1:15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484"/>
      <c r="M217" s="79"/>
      <c r="N217" s="877"/>
      <c r="O217" s="79"/>
    </row>
    <row r="219" spans="1:15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484"/>
      <c r="M219" s="79"/>
      <c r="N219" s="877"/>
      <c r="O219" s="79"/>
    </row>
    <row r="221" spans="1:15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629"/>
      <c r="L221" s="484"/>
      <c r="M221" s="79"/>
      <c r="N221" s="877"/>
      <c r="O221" s="79"/>
    </row>
    <row r="227" spans="1:15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484"/>
      <c r="M227" s="79"/>
      <c r="N227" s="877"/>
      <c r="O227" s="79"/>
    </row>
    <row r="228" spans="1:15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484"/>
      <c r="M228" s="79"/>
      <c r="N228" s="877"/>
      <c r="O228" s="79"/>
    </row>
    <row r="229" spans="1:15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484"/>
      <c r="M229" s="79"/>
      <c r="N229" s="877"/>
      <c r="O229" s="79"/>
    </row>
    <row r="230" spans="1:15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484"/>
      <c r="M230" s="79"/>
      <c r="N230" s="877"/>
      <c r="O230" s="79"/>
    </row>
    <row r="231" spans="1:15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484"/>
      <c r="M231" s="79"/>
      <c r="N231" s="877"/>
      <c r="O231" s="79"/>
    </row>
    <row r="232" spans="1:15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484"/>
      <c r="M232" s="79"/>
      <c r="N232" s="877"/>
      <c r="O232" s="79"/>
    </row>
    <row r="233" spans="1:15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484"/>
      <c r="M233" s="79"/>
      <c r="N233" s="877"/>
      <c r="O233" s="79"/>
    </row>
    <row r="234" spans="1:15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484"/>
      <c r="M234" s="79"/>
      <c r="N234" s="877"/>
      <c r="O234" s="79"/>
    </row>
    <row r="235" spans="1:15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484"/>
      <c r="M235" s="79"/>
      <c r="N235" s="877"/>
      <c r="O235" s="79"/>
    </row>
  </sheetData>
  <autoFilter ref="A2:I125" xr:uid="{00000000-0009-0000-0000-000077000000}"/>
  <mergeCells count="14">
    <mergeCell ref="L68:N68"/>
    <mergeCell ref="A124:E124"/>
    <mergeCell ref="A125:E125"/>
    <mergeCell ref="A1:E1"/>
    <mergeCell ref="F1:K1"/>
    <mergeCell ref="A2:A4"/>
    <mergeCell ref="B2:B4"/>
    <mergeCell ref="C2:C4"/>
    <mergeCell ref="D2:D4"/>
    <mergeCell ref="E2:E4"/>
    <mergeCell ref="F2:G3"/>
    <mergeCell ref="H2:I3"/>
    <mergeCell ref="J2:K3"/>
    <mergeCell ref="L83:S8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Plan133"/>
  <dimension ref="A1:Q62"/>
  <sheetViews>
    <sheetView zoomScale="85" zoomScaleNormal="85" workbookViewId="0">
      <selection activeCell="D5" sqref="D5:O5"/>
    </sheetView>
  </sheetViews>
  <sheetFormatPr defaultColWidth="9.140625" defaultRowHeight="15" x14ac:dyDescent="0.25"/>
  <cols>
    <col min="1" max="1" width="34.5703125" style="79" customWidth="1"/>
    <col min="2" max="2" width="21.28515625" style="79" customWidth="1"/>
    <col min="3" max="3" width="15.140625" style="89" customWidth="1"/>
    <col min="4" max="4" width="14.28515625" style="85" customWidth="1"/>
    <col min="5" max="5" width="14.28515625" style="85" bestFit="1" customWidth="1"/>
    <col min="6" max="6" width="13.85546875" style="89" bestFit="1" customWidth="1"/>
    <col min="7" max="7" width="13.85546875" style="79" bestFit="1" customWidth="1"/>
    <col min="8" max="8" width="14.28515625" style="79" bestFit="1" customWidth="1"/>
    <col min="9" max="9" width="13.85546875" style="79" bestFit="1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7.28515625" style="79" bestFit="1" customWidth="1"/>
    <col min="17" max="17" width="15.28515625" style="79" bestFit="1" customWidth="1"/>
    <col min="18" max="16384" width="9.140625" style="79"/>
  </cols>
  <sheetData>
    <row r="1" spans="1:16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  <c r="O1" s="329"/>
      <c r="P1" s="329"/>
    </row>
    <row r="2" spans="1:16" ht="15.75" x14ac:dyDescent="0.25">
      <c r="A2" s="333" t="s">
        <v>5432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29"/>
    </row>
    <row r="3" spans="1:16" x14ac:dyDescent="0.25">
      <c r="A3" s="329" t="s">
        <v>32</v>
      </c>
      <c r="B3" s="336">
        <f>C3/12</f>
        <v>369.72333333333336</v>
      </c>
      <c r="C3" s="1042">
        <f t="shared" ref="C3:C17" si="0">D3+E3+F3+G3+H3+I3+J3+K3+L3+M3+N3+O3</f>
        <v>4436.68</v>
      </c>
      <c r="D3" s="588">
        <f>'Janeiro-21'!D143</f>
        <v>378.8</v>
      </c>
      <c r="E3" s="587">
        <f>'Fevereiro-21'!D123</f>
        <v>367.90999999999997</v>
      </c>
      <c r="F3" s="549">
        <f>'Março-21'!D140</f>
        <v>423.5</v>
      </c>
      <c r="G3" s="588">
        <f>'Abril-21'!D134</f>
        <v>368.7</v>
      </c>
      <c r="H3" s="549">
        <f>'Maio-21'!D132</f>
        <v>420.53</v>
      </c>
      <c r="I3" s="588">
        <f>'Junho-21'!D143</f>
        <v>304</v>
      </c>
      <c r="J3" s="549">
        <f>'Julho-21'!D128</f>
        <v>332.9</v>
      </c>
      <c r="K3" s="549">
        <f>'Agosto-21'!D135</f>
        <v>427</v>
      </c>
      <c r="L3" s="588">
        <f>'Setembro-21'!D125</f>
        <v>379.34000000000003</v>
      </c>
      <c r="M3" s="565">
        <f>'Outubro-21'!D132</f>
        <v>364</v>
      </c>
      <c r="N3" s="565">
        <f>'Novembro-21'!D139</f>
        <v>341</v>
      </c>
      <c r="O3" s="565">
        <f>'Dezembro-21'!D128</f>
        <v>329</v>
      </c>
      <c r="P3" s="329"/>
    </row>
    <row r="4" spans="1:16" x14ac:dyDescent="0.25">
      <c r="A4" s="329" t="s">
        <v>2187</v>
      </c>
      <c r="B4" s="336">
        <f t="shared" ref="B4:B20" si="1">C4/12</f>
        <v>412.50749999999999</v>
      </c>
      <c r="C4" s="1042">
        <f t="shared" si="0"/>
        <v>4950.09</v>
      </c>
      <c r="D4" s="588">
        <f>'Janeiro-21'!D144</f>
        <v>401.28999999999996</v>
      </c>
      <c r="E4" s="547">
        <f>'Fevereiro-21'!D124</f>
        <v>420</v>
      </c>
      <c r="F4" s="588">
        <f>'Março-21'!D141</f>
        <v>320</v>
      </c>
      <c r="G4" s="588">
        <f>'Abril-21'!D135</f>
        <v>293.8</v>
      </c>
      <c r="H4" s="549">
        <f>'Maio-21'!D133</f>
        <v>370</v>
      </c>
      <c r="I4" s="549">
        <f>'Junho-21'!D144</f>
        <v>465</v>
      </c>
      <c r="J4" s="588">
        <f>'Julho-21'!D129</f>
        <v>460</v>
      </c>
      <c r="K4" s="588">
        <f>'Agosto-21'!D136</f>
        <v>340</v>
      </c>
      <c r="L4" s="588">
        <f>'Setembro-21'!D126</f>
        <v>340</v>
      </c>
      <c r="M4" s="561">
        <f>'Outubro-21'!D133</f>
        <v>500</v>
      </c>
      <c r="N4" s="561">
        <f>'Novembro-21'!D140</f>
        <v>550</v>
      </c>
      <c r="O4" s="565">
        <f>'Dezembro-21'!D129</f>
        <v>490</v>
      </c>
      <c r="P4" s="329"/>
    </row>
    <row r="5" spans="1:16" x14ac:dyDescent="0.25">
      <c r="A5" s="329" t="s">
        <v>2188</v>
      </c>
      <c r="B5" s="336">
        <f t="shared" si="1"/>
        <v>76.174999999999997</v>
      </c>
      <c r="C5" s="1042">
        <f t="shared" si="0"/>
        <v>914.1</v>
      </c>
      <c r="D5" s="588">
        <f>'Janeiro-21'!D145</f>
        <v>28.8</v>
      </c>
      <c r="E5" s="587">
        <f>'Fevereiro-21'!D125</f>
        <v>20.3</v>
      </c>
      <c r="F5" s="549">
        <f>'Março-21'!D142</f>
        <v>95</v>
      </c>
      <c r="G5" s="549">
        <f>'Abril-21'!D136</f>
        <v>130</v>
      </c>
      <c r="H5" s="588">
        <f>'Maio-21'!D134</f>
        <v>80</v>
      </c>
      <c r="I5" s="588">
        <f>'Junho-21'!D145</f>
        <v>80</v>
      </c>
      <c r="J5" s="549">
        <f>'Julho-21'!D130</f>
        <v>120</v>
      </c>
      <c r="K5" s="588">
        <f>'Agosto-21'!D137</f>
        <v>120</v>
      </c>
      <c r="L5" s="588">
        <f>'Setembro-21'!D127</f>
        <v>90</v>
      </c>
      <c r="M5" s="565">
        <f>'Outubro-21'!D134</f>
        <v>30</v>
      </c>
      <c r="N5" s="561">
        <f>'Novembro-21'!D141</f>
        <v>50</v>
      </c>
      <c r="O5" s="561">
        <f>'Dezembro-21'!D130</f>
        <v>70</v>
      </c>
      <c r="P5" s="329"/>
    </row>
    <row r="6" spans="1:16" x14ac:dyDescent="0.25">
      <c r="A6" s="329" t="s">
        <v>50</v>
      </c>
      <c r="B6" s="336">
        <f t="shared" si="1"/>
        <v>270.68083333333328</v>
      </c>
      <c r="C6" s="1042">
        <f t="shared" si="0"/>
        <v>3248.1699999999992</v>
      </c>
      <c r="D6" s="588">
        <f>'Janeiro-21'!D146</f>
        <v>312.01</v>
      </c>
      <c r="E6" s="587">
        <f>'Fevereiro-21'!D126</f>
        <v>245.54999999999998</v>
      </c>
      <c r="F6" s="588">
        <f>'Março-21'!D143</f>
        <v>208.32999999999998</v>
      </c>
      <c r="G6" s="549">
        <f>'Abril-21'!D137</f>
        <v>235.51</v>
      </c>
      <c r="H6" s="549">
        <f>'Maio-21'!D135</f>
        <v>380.14</v>
      </c>
      <c r="I6" s="588">
        <f>'Junho-21'!D146</f>
        <v>248.04000000000002</v>
      </c>
      <c r="J6" s="549">
        <f>'Julho-21'!D131</f>
        <v>280.57000000000005</v>
      </c>
      <c r="K6" s="588">
        <f>'Agosto-21'!D138</f>
        <v>268.04999999999995</v>
      </c>
      <c r="L6" s="588">
        <f>'Setembro-21'!D128</f>
        <v>176.43</v>
      </c>
      <c r="M6" s="561">
        <f>'Outubro-21'!D135</f>
        <v>272.26</v>
      </c>
      <c r="N6" s="561">
        <f>'Novembro-21'!D142</f>
        <v>287.43</v>
      </c>
      <c r="O6" s="561">
        <f>'Dezembro-21'!D131</f>
        <v>333.84999999999997</v>
      </c>
      <c r="P6" s="329"/>
    </row>
    <row r="7" spans="1:16" x14ac:dyDescent="0.25">
      <c r="A7" s="329" t="s">
        <v>14</v>
      </c>
      <c r="B7" s="336">
        <f t="shared" si="1"/>
        <v>150.53916666666666</v>
      </c>
      <c r="C7" s="1042">
        <f t="shared" si="0"/>
        <v>1806.4699999999998</v>
      </c>
      <c r="D7" s="588">
        <f>'Janeiro-21'!D147</f>
        <v>105.75000000000001</v>
      </c>
      <c r="E7" s="547">
        <f>'Fevereiro-21'!D127</f>
        <v>114.15999999999998</v>
      </c>
      <c r="F7" s="549">
        <f>'Março-21'!D144</f>
        <v>115.75999999999999</v>
      </c>
      <c r="G7" s="549">
        <f>'Abril-21'!D138</f>
        <v>187.53000000000003</v>
      </c>
      <c r="H7" s="588">
        <f>'Maio-21'!D136</f>
        <v>152.53999999999996</v>
      </c>
      <c r="I7" s="588">
        <f>'Junho-21'!D147</f>
        <v>120.03999999999998</v>
      </c>
      <c r="J7" s="549">
        <f>'Julho-21'!D132</f>
        <v>163.44999999999999</v>
      </c>
      <c r="K7" s="549">
        <f>'Agosto-21'!D139</f>
        <v>170.08000000000004</v>
      </c>
      <c r="L7" s="588">
        <f>'Setembro-21'!D129</f>
        <v>164.77</v>
      </c>
      <c r="M7" s="561">
        <f>'Outubro-21'!D136</f>
        <v>167.35999999999999</v>
      </c>
      <c r="N7" s="565">
        <f>'Novembro-21'!D143</f>
        <v>146.31</v>
      </c>
      <c r="O7" s="561">
        <f>'Dezembro-21'!D132</f>
        <v>198.71999999999997</v>
      </c>
      <c r="P7" s="329"/>
    </row>
    <row r="8" spans="1:16" x14ac:dyDescent="0.25">
      <c r="A8" s="329" t="s">
        <v>358</v>
      </c>
      <c r="B8" s="336">
        <f t="shared" si="1"/>
        <v>102.82666666666665</v>
      </c>
      <c r="C8" s="1042">
        <f t="shared" si="0"/>
        <v>1233.9199999999998</v>
      </c>
      <c r="D8" s="588">
        <f>'Janeiro-21'!D148</f>
        <v>90.83</v>
      </c>
      <c r="E8" s="547">
        <f>'Fevereiro-21'!D128</f>
        <v>114.30000000000001</v>
      </c>
      <c r="F8" s="588">
        <f>'Março-21'!D145</f>
        <v>88.83</v>
      </c>
      <c r="G8" s="549">
        <f>'Abril-21'!D139</f>
        <v>125.69999999999999</v>
      </c>
      <c r="H8" s="588">
        <f>'Maio-21'!D137</f>
        <v>85.14</v>
      </c>
      <c r="I8" s="588">
        <f>'Junho-21'!D148</f>
        <v>80.8</v>
      </c>
      <c r="J8" s="549">
        <f>'Julho-21'!D133</f>
        <v>108.33000000000001</v>
      </c>
      <c r="K8" s="549">
        <f>'Agosto-21'!D140</f>
        <v>112.91</v>
      </c>
      <c r="L8" s="588">
        <f>'Setembro-21'!D130</f>
        <v>98.07</v>
      </c>
      <c r="M8" s="561">
        <f>'Outubro-21'!D137</f>
        <v>124.7</v>
      </c>
      <c r="N8" s="561">
        <f>'Novembro-21'!D144</f>
        <v>124.72999999999999</v>
      </c>
      <c r="O8" s="565">
        <f>'Dezembro-21'!D133</f>
        <v>79.58</v>
      </c>
      <c r="P8" s="329"/>
    </row>
    <row r="9" spans="1:16" x14ac:dyDescent="0.25">
      <c r="A9" s="329" t="s">
        <v>2189</v>
      </c>
      <c r="B9" s="336">
        <f t="shared" si="1"/>
        <v>104.35250000000001</v>
      </c>
      <c r="C9" s="1042">
        <f t="shared" si="0"/>
        <v>1252.23</v>
      </c>
      <c r="D9" s="588">
        <f>'Janeiro-21'!D149</f>
        <v>127</v>
      </c>
      <c r="E9" s="547">
        <f>'Fevereiro-21'!D129</f>
        <v>206</v>
      </c>
      <c r="F9" s="588">
        <f>'Março-21'!D146</f>
        <v>58</v>
      </c>
      <c r="G9" s="588">
        <f>'Abril-21'!D140</f>
        <v>15</v>
      </c>
      <c r="H9" s="549">
        <f>'Maio-21'!D138</f>
        <v>70</v>
      </c>
      <c r="I9" s="549">
        <f>'Junho-21'!D149</f>
        <v>166</v>
      </c>
      <c r="J9" s="588">
        <f>'Julho-21'!D134</f>
        <v>70</v>
      </c>
      <c r="K9" s="588">
        <f>'Agosto-21'!D141</f>
        <v>70</v>
      </c>
      <c r="L9" s="549">
        <f>'Setembro-21'!D131</f>
        <v>80</v>
      </c>
      <c r="M9" s="565">
        <f>'Outubro-21'!D138</f>
        <v>80</v>
      </c>
      <c r="N9" s="561">
        <f>'Novembro-21'!D145</f>
        <v>230.23000000000002</v>
      </c>
      <c r="O9" s="565">
        <f>'Dezembro-21'!D134</f>
        <v>80</v>
      </c>
      <c r="P9" s="329"/>
    </row>
    <row r="10" spans="1:16" x14ac:dyDescent="0.25">
      <c r="A10" s="329" t="s">
        <v>53</v>
      </c>
      <c r="B10" s="336">
        <f t="shared" si="1"/>
        <v>222.42249999999999</v>
      </c>
      <c r="C10" s="1042">
        <f t="shared" si="0"/>
        <v>2669.0699999999997</v>
      </c>
      <c r="D10" s="588">
        <f>'Janeiro-21'!D150</f>
        <v>300.85500000000002</v>
      </c>
      <c r="E10" s="587">
        <f>'Fevereiro-21'!D130</f>
        <v>300.85500000000002</v>
      </c>
      <c r="F10" s="549">
        <f>'Março-21'!D147</f>
        <v>336.78</v>
      </c>
      <c r="G10" s="588">
        <f>'Abril-21'!D141</f>
        <v>216.1</v>
      </c>
      <c r="H10" s="588">
        <f>'Maio-21'!D139</f>
        <v>45.96</v>
      </c>
      <c r="I10" s="549">
        <f>'Junho-21'!D150</f>
        <v>150.08000000000001</v>
      </c>
      <c r="J10" s="588">
        <f>'Julho-21'!D135</f>
        <v>0</v>
      </c>
      <c r="K10" s="588">
        <f>'Agosto-21'!D142</f>
        <v>0</v>
      </c>
      <c r="L10" s="588">
        <f>'Setembro-21'!D132</f>
        <v>0</v>
      </c>
      <c r="M10" s="561">
        <f>'Outubro-21'!D139</f>
        <v>497.36250000000001</v>
      </c>
      <c r="N10" s="565">
        <f>'Novembro-21'!D146</f>
        <v>426.35250000000002</v>
      </c>
      <c r="O10" s="565">
        <f>'Dezembro-21'!D135</f>
        <v>394.72500000000002</v>
      </c>
      <c r="P10" s="329"/>
    </row>
    <row r="11" spans="1:16" x14ac:dyDescent="0.25">
      <c r="A11" s="906" t="s">
        <v>2149</v>
      </c>
      <c r="B11" s="336">
        <f t="shared" si="1"/>
        <v>125.005</v>
      </c>
      <c r="C11" s="1042">
        <f t="shared" si="0"/>
        <v>1500.06</v>
      </c>
      <c r="D11" s="588">
        <f>'Janeiro-21'!D151</f>
        <v>73.83</v>
      </c>
      <c r="E11" s="547">
        <f>'Fevereiro-21'!D131</f>
        <v>93.83</v>
      </c>
      <c r="F11" s="549">
        <f>'Março-21'!D148</f>
        <v>665.00666666666666</v>
      </c>
      <c r="G11" s="588">
        <f>'Abril-21'!D142</f>
        <v>335.54666666666668</v>
      </c>
      <c r="H11" s="588">
        <f>'Maio-21'!D140</f>
        <v>136.54666666666668</v>
      </c>
      <c r="I11" s="588">
        <f>'Junho-21'!D151</f>
        <v>110.80000000000001</v>
      </c>
      <c r="J11" s="588">
        <f>'Julho-21'!D136</f>
        <v>0</v>
      </c>
      <c r="K11" s="588">
        <f>'Agosto-21'!D143</f>
        <v>0</v>
      </c>
      <c r="L11" s="588">
        <f>'Setembro-21'!D133</f>
        <v>0</v>
      </c>
      <c r="M11" s="565">
        <f>'Outubro-21'!D140</f>
        <v>0</v>
      </c>
      <c r="N11" s="565">
        <f>'Novembro-21'!D147</f>
        <v>0</v>
      </c>
      <c r="O11" s="561">
        <f>'Dezembro-21'!D136</f>
        <v>84.5</v>
      </c>
      <c r="P11" s="329"/>
    </row>
    <row r="12" spans="1:16" x14ac:dyDescent="0.25">
      <c r="A12" s="329" t="s">
        <v>3048</v>
      </c>
      <c r="B12" s="336">
        <f t="shared" ca="1" si="1"/>
        <v>168.62416666666667</v>
      </c>
      <c r="C12" s="1042">
        <f t="shared" ca="1" si="0"/>
        <v>2023.49</v>
      </c>
      <c r="D12" s="588">
        <f>'Janeiro-21'!D152</f>
        <v>130.16</v>
      </c>
      <c r="E12" s="547">
        <f>'Fevereiro-21'!D132</f>
        <v>139.4</v>
      </c>
      <c r="F12" s="588">
        <f>'Março-21'!D149</f>
        <v>151</v>
      </c>
      <c r="G12" s="549">
        <f>'Abril-21'!D143</f>
        <v>247.85</v>
      </c>
      <c r="H12" s="588">
        <f>'Maio-21'!D141</f>
        <v>11</v>
      </c>
      <c r="I12" s="549">
        <f>'Junho-21'!D152</f>
        <v>311.5</v>
      </c>
      <c r="J12" s="588">
        <f>'Julho-21'!D137</f>
        <v>245.15</v>
      </c>
      <c r="K12" s="549">
        <f>'Agosto-21'!D144</f>
        <v>308.43</v>
      </c>
      <c r="L12" s="588">
        <f>'Setembro-21'!D134</f>
        <v>0</v>
      </c>
      <c r="M12" s="561">
        <f ca="1">'Outubro-21'!D141</f>
        <v>161</v>
      </c>
      <c r="N12" s="565">
        <f ca="1">'Novembro-21'!D148</f>
        <v>125</v>
      </c>
      <c r="O12" s="561">
        <f ca="1">'Dezembro-21'!D137</f>
        <v>193</v>
      </c>
      <c r="P12" s="329"/>
    </row>
    <row r="13" spans="1:16" x14ac:dyDescent="0.25">
      <c r="A13" s="329" t="s">
        <v>1686</v>
      </c>
      <c r="B13" s="336">
        <f t="shared" si="1"/>
        <v>264.1225</v>
      </c>
      <c r="C13" s="1042">
        <f t="shared" si="0"/>
        <v>3169.4700000000003</v>
      </c>
      <c r="D13" s="588">
        <f>'Janeiro-21'!D153</f>
        <v>249.9</v>
      </c>
      <c r="E13" s="587">
        <f>'Fevereiro-21'!D133</f>
        <v>232.9</v>
      </c>
      <c r="F13" s="588">
        <f>'Março-21'!D150</f>
        <v>136.60000000000002</v>
      </c>
      <c r="G13" s="588">
        <f>'Abril-21'!D144</f>
        <v>121.60000000000001</v>
      </c>
      <c r="H13" s="549">
        <f>'Maio-21'!D142</f>
        <v>310.47333333333336</v>
      </c>
      <c r="I13" s="549">
        <f>'Junho-21'!D153</f>
        <v>437.54</v>
      </c>
      <c r="J13" s="588">
        <f>'Julho-21'!D138</f>
        <v>358.19</v>
      </c>
      <c r="K13" s="549">
        <f>'Agosto-21'!D145</f>
        <v>433.91666666666669</v>
      </c>
      <c r="L13" s="588">
        <f>'Setembro-21'!D135</f>
        <v>179.88</v>
      </c>
      <c r="M13" s="561">
        <f>'Outubro-21'!D142</f>
        <v>215.15</v>
      </c>
      <c r="N13" s="561">
        <f>'Novembro-21'!D149</f>
        <v>282.94</v>
      </c>
      <c r="O13" s="565">
        <f>'Dezembro-21'!D138</f>
        <v>210.38</v>
      </c>
    </row>
    <row r="14" spans="1:16" x14ac:dyDescent="0.25">
      <c r="A14" s="329" t="s">
        <v>418</v>
      </c>
      <c r="B14" s="336">
        <f t="shared" si="1"/>
        <v>10.805</v>
      </c>
      <c r="C14" s="1042">
        <f t="shared" si="0"/>
        <v>129.66</v>
      </c>
      <c r="D14" s="588">
        <f>'Janeiro-21'!D154</f>
        <v>92</v>
      </c>
      <c r="E14" s="587">
        <f>'Fevereiro-21'!D134</f>
        <v>0</v>
      </c>
      <c r="F14" s="588">
        <f>'Março-21'!D151</f>
        <v>0</v>
      </c>
      <c r="G14" s="588">
        <f>'Abril-21'!D145</f>
        <v>0</v>
      </c>
      <c r="H14" s="588">
        <f>'Maio-21'!D143</f>
        <v>0</v>
      </c>
      <c r="I14" s="549">
        <f>'Junho-21'!D154</f>
        <v>22</v>
      </c>
      <c r="J14" s="588">
        <f>'Julho-21'!D139</f>
        <v>0</v>
      </c>
      <c r="K14" s="588">
        <f>'Agosto-21'!D146</f>
        <v>0</v>
      </c>
      <c r="L14" s="549">
        <f>'Setembro-21'!D136</f>
        <v>15.66</v>
      </c>
      <c r="M14" s="565">
        <f>'Outubro-21'!D143</f>
        <v>0</v>
      </c>
      <c r="N14" s="565">
        <f>'Novembro-21'!D150</f>
        <v>0</v>
      </c>
      <c r="O14" s="565">
        <f>'Dezembro-21'!D139</f>
        <v>0</v>
      </c>
    </row>
    <row r="15" spans="1:16" x14ac:dyDescent="0.25">
      <c r="A15" s="329" t="s">
        <v>419</v>
      </c>
      <c r="B15" s="336">
        <f t="shared" si="1"/>
        <v>722.37083333333339</v>
      </c>
      <c r="C15" s="1042">
        <f t="shared" si="0"/>
        <v>8668.4500000000007</v>
      </c>
      <c r="D15" s="588">
        <f>'Janeiro-21'!D155</f>
        <v>598.5</v>
      </c>
      <c r="E15" s="587">
        <f>'Fevereiro-21'!D135</f>
        <v>450</v>
      </c>
      <c r="F15" s="549">
        <f>'Março-21'!D152</f>
        <v>755</v>
      </c>
      <c r="G15" s="588">
        <f>'Abril-21'!D146</f>
        <v>589.79999999999995</v>
      </c>
      <c r="H15" s="549">
        <f>'Maio-21'!D144</f>
        <v>617.88</v>
      </c>
      <c r="I15" s="549">
        <f>'Junho-21'!D155</f>
        <v>705.5</v>
      </c>
      <c r="J15" s="588">
        <f>'Julho-21'!D140</f>
        <v>656.16</v>
      </c>
      <c r="K15" s="549">
        <f>'Agosto-21'!D147</f>
        <v>850</v>
      </c>
      <c r="L15" s="549">
        <f>'Setembro-21'!D137</f>
        <v>1302.27</v>
      </c>
      <c r="M15" s="565">
        <f>'Outubro-21'!D144</f>
        <v>772.05</v>
      </c>
      <c r="N15" s="565">
        <f>'Novembro-21'!D151</f>
        <v>618.5</v>
      </c>
      <c r="O15" s="561">
        <f>'Dezembro-21'!D140</f>
        <v>752.79</v>
      </c>
    </row>
    <row r="16" spans="1:16" x14ac:dyDescent="0.25">
      <c r="A16" s="329" t="s">
        <v>911</v>
      </c>
      <c r="B16" s="336">
        <f t="shared" si="1"/>
        <v>60.324166666666677</v>
      </c>
      <c r="C16" s="1042">
        <f t="shared" si="0"/>
        <v>723.8900000000001</v>
      </c>
      <c r="D16" s="588">
        <f>'Janeiro-21'!D156</f>
        <v>236.34</v>
      </c>
      <c r="E16" s="547">
        <f>'Fevereiro-21'!D136</f>
        <v>305.04999999999995</v>
      </c>
      <c r="F16" s="588">
        <f>'Março-21'!D153</f>
        <v>0</v>
      </c>
      <c r="G16" s="588">
        <f>'Abril-21'!D147</f>
        <v>0</v>
      </c>
      <c r="H16" s="588">
        <f>'Maio-21'!D145</f>
        <v>0</v>
      </c>
      <c r="I16" s="549">
        <f>'Junho-21'!D156</f>
        <v>49.45</v>
      </c>
      <c r="J16" s="588">
        <f>'Julho-21'!D141</f>
        <v>44.45</v>
      </c>
      <c r="K16" s="588">
        <f>'Agosto-21'!D148</f>
        <v>9</v>
      </c>
      <c r="L16" s="588">
        <f>'Setembro-21'!D138</f>
        <v>0</v>
      </c>
      <c r="M16" s="565">
        <f>'Outubro-21'!D145</f>
        <v>0</v>
      </c>
      <c r="N16" s="565">
        <f>'Novembro-21'!D152</f>
        <v>0</v>
      </c>
      <c r="O16" s="561">
        <f>'Dezembro-21'!D141</f>
        <v>79.599999999999994</v>
      </c>
    </row>
    <row r="17" spans="1:17" x14ac:dyDescent="0.25">
      <c r="A17" s="329" t="s">
        <v>1526</v>
      </c>
      <c r="B17" s="336">
        <f t="shared" si="1"/>
        <v>129.78083333333336</v>
      </c>
      <c r="C17" s="1042">
        <f t="shared" si="0"/>
        <v>1557.3700000000003</v>
      </c>
      <c r="D17" s="588">
        <f>'Janeiro-21'!D157</f>
        <v>204.66</v>
      </c>
      <c r="E17" s="587">
        <f>'Fevereiro-21'!D137</f>
        <v>111.9</v>
      </c>
      <c r="F17" s="549">
        <f>'Março-21'!D154</f>
        <v>121.9</v>
      </c>
      <c r="G17" s="588">
        <f>'Abril-21'!D148</f>
        <v>101.9</v>
      </c>
      <c r="H17" s="549">
        <f>'Maio-21'!D146</f>
        <v>119.71000000000001</v>
      </c>
      <c r="I17" s="588">
        <f>'Junho-21'!D157</f>
        <v>111.9</v>
      </c>
      <c r="J17" s="588">
        <f>'Julho-21'!D142</f>
        <v>101.9</v>
      </c>
      <c r="K17" s="549">
        <f>'Agosto-21'!D149</f>
        <v>105.9</v>
      </c>
      <c r="L17" s="588">
        <f>'Setembro-21'!D139</f>
        <v>105.9</v>
      </c>
      <c r="M17" s="561">
        <f>'Outubro-21'!D146</f>
        <v>145.9</v>
      </c>
      <c r="N17" s="561">
        <f>'Novembro-21'!D153</f>
        <v>237.9</v>
      </c>
      <c r="O17" s="565">
        <f>'Dezembro-21'!D142</f>
        <v>87.9</v>
      </c>
    </row>
    <row r="18" spans="1:17" x14ac:dyDescent="0.25">
      <c r="A18" s="329" t="s">
        <v>2343</v>
      </c>
      <c r="B18" s="336">
        <f t="shared" si="1"/>
        <v>0</v>
      </c>
      <c r="C18" s="1043">
        <f t="shared" ref="C18:C19" si="2">D18+E18+F18+G18+H18+I18+J18+K18+L18+M18+N18+O18</f>
        <v>0</v>
      </c>
      <c r="D18" s="588">
        <f>'Janeiro-21'!D158</f>
        <v>0</v>
      </c>
      <c r="E18" s="587">
        <f>'Fevereiro-21'!D138</f>
        <v>0</v>
      </c>
      <c r="F18" s="588">
        <f>'Março-21'!D155</f>
        <v>0</v>
      </c>
      <c r="G18" s="588">
        <f>'Abril-21'!D149</f>
        <v>0</v>
      </c>
      <c r="H18" s="588">
        <f>'Maio-21'!D147</f>
        <v>0</v>
      </c>
      <c r="I18" s="588">
        <f>'Junho-21'!D158</f>
        <v>0</v>
      </c>
      <c r="J18" s="588">
        <f>'Julho-21'!D143</f>
        <v>0</v>
      </c>
      <c r="K18" s="588">
        <f>'Agosto-21'!D150</f>
        <v>0</v>
      </c>
      <c r="L18" s="588">
        <f>'Setembro-21'!D140</f>
        <v>0</v>
      </c>
      <c r="M18" s="565">
        <f>'Outubro-21'!D147</f>
        <v>0</v>
      </c>
      <c r="N18" s="565">
        <f>'Novembro-21'!D154</f>
        <v>0</v>
      </c>
      <c r="O18" s="565">
        <f>'Dezembro-21'!D143</f>
        <v>0</v>
      </c>
    </row>
    <row r="19" spans="1:17" x14ac:dyDescent="0.25">
      <c r="A19" s="329" t="s">
        <v>3019</v>
      </c>
      <c r="B19" s="336">
        <f t="shared" si="1"/>
        <v>596.88666666666666</v>
      </c>
      <c r="C19" s="1043">
        <f t="shared" si="2"/>
        <v>7162.6399999999994</v>
      </c>
      <c r="D19" s="338">
        <v>0</v>
      </c>
      <c r="E19" s="338">
        <v>0</v>
      </c>
      <c r="F19" s="337">
        <v>0</v>
      </c>
      <c r="G19" s="337">
        <v>0</v>
      </c>
      <c r="H19" s="388">
        <v>0</v>
      </c>
      <c r="I19" s="388">
        <v>0</v>
      </c>
      <c r="J19" s="549">
        <f>'Julho-21'!D144</f>
        <v>563.42999999999995</v>
      </c>
      <c r="K19" s="549">
        <f>'Agosto-21'!D151</f>
        <v>625.36</v>
      </c>
      <c r="L19" s="549">
        <f>'Setembro-21'!D141</f>
        <v>633.54</v>
      </c>
      <c r="M19" s="561">
        <f>'Outubro-21'!D148</f>
        <v>4074.15</v>
      </c>
      <c r="N19" s="565">
        <f>'Novembro-21'!D155</f>
        <v>633.16999999999996</v>
      </c>
      <c r="O19" s="565">
        <f>'Dezembro-21'!D144</f>
        <v>632.99</v>
      </c>
    </row>
    <row r="20" spans="1:17" x14ac:dyDescent="0.25">
      <c r="A20" s="329" t="s">
        <v>1527</v>
      </c>
      <c r="B20" s="336">
        <f t="shared" si="1"/>
        <v>394.60083333333336</v>
      </c>
      <c r="C20" s="1042">
        <f>D20+E20+F20+G20+H20+I20+J20+K20+L20+M20+N20+O20</f>
        <v>4735.21</v>
      </c>
      <c r="D20" s="588">
        <f>'Janeiro-21'!D159</f>
        <v>486.01000000000005</v>
      </c>
      <c r="E20" s="587">
        <f>'Fevereiro-21'!D139</f>
        <v>208.9</v>
      </c>
      <c r="F20" s="549">
        <f>'Março-21'!D156</f>
        <v>353.2</v>
      </c>
      <c r="G20" s="549">
        <f>'Abril-21'!D150</f>
        <v>523.32000000000005</v>
      </c>
      <c r="H20" s="588">
        <f>'Maio-21'!D148</f>
        <v>474.89</v>
      </c>
      <c r="I20" s="588">
        <f>'Junho-21'!D159</f>
        <v>388.96000000000004</v>
      </c>
      <c r="J20" s="588">
        <f>'Julho-21'!D145</f>
        <v>376.98</v>
      </c>
      <c r="K20" s="588">
        <f>'Agosto-21'!D152</f>
        <v>290.65999999999997</v>
      </c>
      <c r="L20" s="588">
        <f>'Setembro-21'!D142</f>
        <v>220.30999999999997</v>
      </c>
      <c r="M20" s="561">
        <f>'Outubro-21'!D149</f>
        <v>344.13000000000005</v>
      </c>
      <c r="N20" s="561">
        <f>'Novembro-21'!D156</f>
        <v>347.3366666666667</v>
      </c>
      <c r="O20" s="561">
        <f>'Dezembro-21'!D145</f>
        <v>720.51333333333332</v>
      </c>
    </row>
    <row r="21" spans="1:17" ht="15.75" x14ac:dyDescent="0.25">
      <c r="A21" s="389" t="s">
        <v>361</v>
      </c>
      <c r="B21" s="551">
        <f ca="1">SUM(B3:B20)</f>
        <v>4181.7474999999995</v>
      </c>
      <c r="C21" s="552">
        <f ca="1">SUM(C3:C20)</f>
        <v>50180.97</v>
      </c>
      <c r="D21" s="552">
        <f>SUM(D3:D20)</f>
        <v>3816.7350000000001</v>
      </c>
      <c r="E21" s="552">
        <f>SUM(E3:E20)</f>
        <v>3331.0550000000003</v>
      </c>
      <c r="F21" s="552">
        <f>SUM(F3:F20)</f>
        <v>3828.9066666666663</v>
      </c>
      <c r="G21" s="552">
        <f t="shared" ref="G21" si="3">SUM(G3:G20)</f>
        <v>3492.3566666666666</v>
      </c>
      <c r="H21" s="552">
        <f t="shared" ref="H21:K21" si="4">SUM(H3:H20)</f>
        <v>3274.81</v>
      </c>
      <c r="I21" s="552">
        <f t="shared" si="4"/>
        <v>3751.6099999999997</v>
      </c>
      <c r="J21" s="552">
        <f t="shared" si="4"/>
        <v>3881.5099999999998</v>
      </c>
      <c r="K21" s="552">
        <f t="shared" si="4"/>
        <v>4131.3066666666673</v>
      </c>
      <c r="L21" s="552">
        <f>SUM(L3:L20)</f>
        <v>3786.17</v>
      </c>
      <c r="M21" s="552">
        <f ca="1">SUM(M3:M20)</f>
        <v>7748.0625</v>
      </c>
      <c r="N21" s="552">
        <f ca="1">SUM(N3:N20)</f>
        <v>4400.899166666667</v>
      </c>
      <c r="O21" s="552">
        <f ca="1">SUM(O3:O20)</f>
        <v>4737.5483333333332</v>
      </c>
    </row>
    <row r="22" spans="1:17" x14ac:dyDescent="0.25">
      <c r="F22" s="79"/>
    </row>
    <row r="23" spans="1:17" x14ac:dyDescent="0.25">
      <c r="F23" s="79"/>
    </row>
    <row r="24" spans="1:17" x14ac:dyDescent="0.25">
      <c r="F24" s="79"/>
    </row>
    <row r="25" spans="1:17" x14ac:dyDescent="0.25">
      <c r="F25" s="79"/>
    </row>
    <row r="26" spans="1:17" x14ac:dyDescent="0.25">
      <c r="B26" s="867" t="s">
        <v>5433</v>
      </c>
      <c r="C26" s="867" t="s">
        <v>5434</v>
      </c>
      <c r="F26" s="79"/>
    </row>
    <row r="27" spans="1:17" s="200" customFormat="1" ht="18" customHeight="1" x14ac:dyDescent="0.3">
      <c r="A27" s="198" t="s">
        <v>362</v>
      </c>
      <c r="B27" s="846">
        <v>4150</v>
      </c>
      <c r="C27" s="846">
        <v>4600</v>
      </c>
      <c r="D27" s="196"/>
      <c r="E27" s="196"/>
      <c r="F27" s="79"/>
      <c r="G27" s="79"/>
      <c r="H27" s="79"/>
      <c r="K27" s="196"/>
      <c r="L27" s="196"/>
      <c r="M27" s="196"/>
    </row>
    <row r="28" spans="1:17" s="200" customFormat="1" ht="17.25" customHeight="1" x14ac:dyDescent="0.3">
      <c r="A28" s="198"/>
      <c r="C28" s="196"/>
      <c r="D28" s="196"/>
      <c r="E28" s="196"/>
      <c r="F28" s="196"/>
      <c r="G28" s="196"/>
      <c r="H28" s="196"/>
      <c r="I28" s="196"/>
      <c r="J28" s="196"/>
      <c r="K28" s="196"/>
      <c r="L28" s="196"/>
      <c r="M28" s="196"/>
      <c r="N28" s="196"/>
    </row>
    <row r="29" spans="1:17" ht="15.75" x14ac:dyDescent="0.25">
      <c r="A29" s="197" t="s">
        <v>5435</v>
      </c>
      <c r="B29" s="278" t="s">
        <v>345</v>
      </c>
      <c r="C29" s="195" t="s">
        <v>346</v>
      </c>
      <c r="D29" s="195" t="s">
        <v>347</v>
      </c>
      <c r="E29" s="195" t="s">
        <v>348</v>
      </c>
      <c r="F29" s="195" t="s">
        <v>349</v>
      </c>
      <c r="G29" s="195" t="s">
        <v>364</v>
      </c>
      <c r="H29" s="195" t="s">
        <v>351</v>
      </c>
      <c r="I29" s="195" t="s">
        <v>352</v>
      </c>
      <c r="J29" s="195" t="s">
        <v>353</v>
      </c>
      <c r="K29" s="195" t="s">
        <v>354</v>
      </c>
      <c r="L29" s="195" t="s">
        <v>355</v>
      </c>
      <c r="M29" s="195" t="s">
        <v>365</v>
      </c>
      <c r="N29" s="195" t="s">
        <v>357</v>
      </c>
      <c r="O29" s="195"/>
      <c r="P29" s="193"/>
      <c r="Q29" s="193"/>
    </row>
    <row r="30" spans="1:17" x14ac:dyDescent="0.25">
      <c r="A30" s="79" t="s">
        <v>366</v>
      </c>
      <c r="B30" s="633">
        <f>C30+D30+E30+F30+G30+H30+I30+J30+K30+L30+M30+N30</f>
        <v>19284.07</v>
      </c>
      <c r="C30" s="865">
        <v>1604.07</v>
      </c>
      <c r="D30" s="865">
        <v>1660</v>
      </c>
      <c r="E30" s="865">
        <v>1660</v>
      </c>
      <c r="F30" s="865">
        <v>1660</v>
      </c>
      <c r="G30" s="865">
        <v>1660</v>
      </c>
      <c r="H30" s="865">
        <v>1840</v>
      </c>
      <c r="I30" s="865">
        <v>1840</v>
      </c>
      <c r="J30" s="865">
        <v>1840</v>
      </c>
      <c r="K30" s="865">
        <v>1840</v>
      </c>
      <c r="L30" s="865">
        <v>1840</v>
      </c>
      <c r="M30" s="865">
        <v>1840</v>
      </c>
      <c r="N30" s="1112"/>
      <c r="O30" s="867"/>
      <c r="Q30" s="629"/>
    </row>
    <row r="31" spans="1:17" x14ac:dyDescent="0.25">
      <c r="A31" s="79" t="s">
        <v>367</v>
      </c>
      <c r="B31" s="633">
        <f t="shared" ref="B31:B37" si="5">C31+D31+E31+F31+G31+H31+I31+J31+K31+L31+M31+N31</f>
        <v>24036.839999999997</v>
      </c>
      <c r="C31" s="865">
        <v>1801.37</v>
      </c>
      <c r="D31" s="865">
        <v>1857.49</v>
      </c>
      <c r="E31" s="865">
        <v>1857.49</v>
      </c>
      <c r="F31" s="865">
        <v>1857.49</v>
      </c>
      <c r="G31" s="865">
        <v>1857.49</v>
      </c>
      <c r="H31" s="1112">
        <v>2006.3</v>
      </c>
      <c r="I31" s="865">
        <v>2006.3</v>
      </c>
      <c r="J31" s="865">
        <v>2006.3</v>
      </c>
      <c r="K31" s="865">
        <v>2006.3</v>
      </c>
      <c r="L31" s="865">
        <v>2006.3</v>
      </c>
      <c r="M31" s="865">
        <v>2006.3</v>
      </c>
      <c r="N31" s="1112">
        <v>2767.71</v>
      </c>
      <c r="O31" s="216"/>
      <c r="P31" s="216"/>
      <c r="Q31" s="216"/>
    </row>
    <row r="32" spans="1:17" x14ac:dyDescent="0.25">
      <c r="A32" s="79" t="s">
        <v>2506</v>
      </c>
      <c r="B32" s="633">
        <f t="shared" si="5"/>
        <v>790</v>
      </c>
      <c r="C32" s="865">
        <v>45</v>
      </c>
      <c r="D32" s="865">
        <v>45</v>
      </c>
      <c r="E32" s="1112">
        <v>70</v>
      </c>
      <c r="F32" s="865">
        <v>70</v>
      </c>
      <c r="G32" s="865">
        <v>70</v>
      </c>
      <c r="H32" s="865">
        <v>70</v>
      </c>
      <c r="I32" s="865">
        <v>70</v>
      </c>
      <c r="J32" s="865">
        <v>70</v>
      </c>
      <c r="K32" s="865">
        <v>70</v>
      </c>
      <c r="L32" s="800">
        <v>70</v>
      </c>
      <c r="M32" s="800">
        <v>70</v>
      </c>
      <c r="N32" s="1113">
        <v>70</v>
      </c>
      <c r="O32" s="216"/>
      <c r="P32" s="216"/>
      <c r="Q32" s="216"/>
    </row>
    <row r="33" spans="1:17" x14ac:dyDescent="0.25">
      <c r="A33" s="79" t="s">
        <v>368</v>
      </c>
      <c r="B33" s="633">
        <f t="shared" si="5"/>
        <v>5001.07</v>
      </c>
      <c r="C33" s="865"/>
      <c r="D33" s="865"/>
      <c r="E33" s="865"/>
      <c r="F33" s="865"/>
      <c r="G33" s="865"/>
      <c r="H33" s="865"/>
      <c r="I33" s="865"/>
      <c r="J33" s="865"/>
      <c r="K33" s="865"/>
      <c r="L33" s="800"/>
      <c r="M33" s="800"/>
      <c r="N33" s="1113">
        <v>5001.07</v>
      </c>
      <c r="O33" s="216"/>
      <c r="P33" s="216"/>
      <c r="Q33" s="216"/>
    </row>
    <row r="34" spans="1:17" x14ac:dyDescent="0.25">
      <c r="A34" s="79" t="s">
        <v>369</v>
      </c>
      <c r="B34" s="633">
        <f t="shared" si="5"/>
        <v>3900.69</v>
      </c>
      <c r="C34" s="865"/>
      <c r="D34" s="865"/>
      <c r="E34" s="865"/>
      <c r="F34" s="865"/>
      <c r="G34" s="865"/>
      <c r="H34" s="865"/>
      <c r="I34" s="865"/>
      <c r="J34" s="865"/>
      <c r="K34" s="865"/>
      <c r="L34" s="800"/>
      <c r="M34" s="866">
        <v>2300</v>
      </c>
      <c r="N34" s="1113">
        <v>1600.69</v>
      </c>
      <c r="O34" s="216"/>
      <c r="P34" s="216"/>
      <c r="Q34" s="216"/>
    </row>
    <row r="35" spans="1:17" x14ac:dyDescent="0.25">
      <c r="A35" s="79" t="s">
        <v>5436</v>
      </c>
      <c r="B35" s="633">
        <f t="shared" ref="B35:B36" si="6">C35+D35+E35+F35+G35+H35+I35+J35+K35+L35+M35+N35</f>
        <v>500</v>
      </c>
      <c r="C35" s="865"/>
      <c r="D35" s="865"/>
      <c r="E35" s="865"/>
      <c r="F35" s="865">
        <v>200</v>
      </c>
      <c r="G35" s="865"/>
      <c r="H35" s="865"/>
      <c r="I35" s="865"/>
      <c r="J35" s="865">
        <v>150</v>
      </c>
      <c r="K35" s="865">
        <v>150</v>
      </c>
      <c r="L35" s="800"/>
      <c r="M35" s="866"/>
      <c r="N35" s="1113"/>
      <c r="O35" s="216"/>
      <c r="P35" s="216"/>
      <c r="Q35" s="216"/>
    </row>
    <row r="36" spans="1:17" x14ac:dyDescent="0.25">
      <c r="A36" s="79" t="s">
        <v>5437</v>
      </c>
      <c r="B36" s="633">
        <f t="shared" si="6"/>
        <v>5359.18</v>
      </c>
      <c r="C36" s="865"/>
      <c r="D36" s="865"/>
      <c r="E36" s="865"/>
      <c r="F36" s="865"/>
      <c r="G36" s="865"/>
      <c r="H36" s="865"/>
      <c r="I36" s="865"/>
      <c r="J36" s="865"/>
      <c r="K36" s="865"/>
      <c r="L36" s="800">
        <v>5359.18</v>
      </c>
      <c r="M36" s="866"/>
      <c r="N36" s="1113"/>
      <c r="O36" s="216"/>
      <c r="P36" s="216"/>
      <c r="Q36" s="216"/>
    </row>
    <row r="37" spans="1:17" x14ac:dyDescent="0.25">
      <c r="A37" s="79" t="s">
        <v>2993</v>
      </c>
      <c r="B37" s="633">
        <f t="shared" si="5"/>
        <v>82.49</v>
      </c>
      <c r="C37" s="865"/>
      <c r="D37" s="865"/>
      <c r="E37" s="865"/>
      <c r="F37" s="865"/>
      <c r="G37" s="865"/>
      <c r="H37" s="865">
        <v>82.49</v>
      </c>
      <c r="I37" s="865"/>
      <c r="J37" s="865"/>
      <c r="K37" s="865"/>
      <c r="L37" s="800"/>
      <c r="M37" s="866"/>
      <c r="N37" s="1113"/>
      <c r="O37" s="216"/>
      <c r="P37" s="216"/>
      <c r="Q37" s="216"/>
    </row>
    <row r="38" spans="1:17" ht="15.75" x14ac:dyDescent="0.25">
      <c r="A38" s="280" t="s">
        <v>361</v>
      </c>
      <c r="B38" s="206">
        <f t="shared" ref="B38:N38" si="7">SUM(B30:B37)</f>
        <v>58954.34</v>
      </c>
      <c r="C38" s="206">
        <f>SUM(C30:C37)</f>
        <v>3450.4399999999996</v>
      </c>
      <c r="D38" s="206">
        <f t="shared" si="7"/>
        <v>3562.49</v>
      </c>
      <c r="E38" s="206">
        <f t="shared" si="7"/>
        <v>3587.49</v>
      </c>
      <c r="F38" s="206">
        <f t="shared" si="7"/>
        <v>3787.49</v>
      </c>
      <c r="G38" s="206">
        <f t="shared" si="7"/>
        <v>3587.49</v>
      </c>
      <c r="H38" s="206">
        <f>SUM(H30:H37)</f>
        <v>3998.79</v>
      </c>
      <c r="I38" s="206">
        <f>SUM(I30:I37)</f>
        <v>3916.3</v>
      </c>
      <c r="J38" s="206">
        <f>SUM(J30:J37)</f>
        <v>4066.3</v>
      </c>
      <c r="K38" s="206">
        <f t="shared" si="7"/>
        <v>4066.3</v>
      </c>
      <c r="L38" s="206">
        <f>SUM(L30:L37)</f>
        <v>9275.48</v>
      </c>
      <c r="M38" s="206">
        <f>SUM(M30:M37)</f>
        <v>6216.3</v>
      </c>
      <c r="N38" s="206">
        <f t="shared" si="7"/>
        <v>9439.4699999999993</v>
      </c>
      <c r="O38" s="206"/>
      <c r="P38" s="633"/>
      <c r="Q38" s="633"/>
    </row>
    <row r="39" spans="1:17" ht="15.75" x14ac:dyDescent="0.25">
      <c r="A39" s="280"/>
      <c r="B39" s="206"/>
      <c r="C39" s="216"/>
      <c r="D39" s="206"/>
      <c r="E39" s="206"/>
      <c r="F39" s="206"/>
      <c r="G39" s="206"/>
      <c r="H39" s="609"/>
      <c r="I39" s="206"/>
      <c r="J39" s="206"/>
      <c r="K39" s="206"/>
      <c r="L39" s="206"/>
      <c r="M39" s="206"/>
      <c r="P39" s="216"/>
      <c r="Q39" s="216"/>
    </row>
    <row r="40" spans="1:17" x14ac:dyDescent="0.25">
      <c r="B40" s="206"/>
      <c r="C40" s="865"/>
      <c r="D40" s="865"/>
      <c r="E40" s="865"/>
      <c r="F40" s="865"/>
      <c r="G40" s="865"/>
      <c r="H40" s="865"/>
      <c r="I40" s="865"/>
      <c r="M40" s="216"/>
      <c r="N40" s="206"/>
      <c r="O40" s="216"/>
      <c r="P40" s="216"/>
      <c r="Q40" s="216"/>
    </row>
    <row r="41" spans="1:17" x14ac:dyDescent="0.25">
      <c r="B41" s="194"/>
      <c r="C41" s="865"/>
      <c r="D41" s="865"/>
      <c r="E41" s="865"/>
      <c r="F41" s="865"/>
      <c r="G41" s="865"/>
      <c r="H41" s="865"/>
      <c r="I41" s="865"/>
    </row>
    <row r="42" spans="1:17" ht="18.75" x14ac:dyDescent="0.3">
      <c r="A42" s="353" t="s">
        <v>2845</v>
      </c>
      <c r="B42" s="200" t="s">
        <v>381</v>
      </c>
      <c r="C42" s="1094" t="s">
        <v>382</v>
      </c>
      <c r="D42" s="355" t="s">
        <v>383</v>
      </c>
    </row>
    <row r="43" spans="1:17" ht="18.75" x14ac:dyDescent="0.3">
      <c r="A43" s="353">
        <f>B38/12</f>
        <v>4912.8616666666667</v>
      </c>
      <c r="B43" s="329" t="s">
        <v>32</v>
      </c>
      <c r="C43" s="338">
        <f t="shared" ref="C43:C59" si="8">B3</f>
        <v>369.72333333333336</v>
      </c>
      <c r="D43" s="225">
        <f>C43/A43</f>
        <v>7.5256206752547822E-2</v>
      </c>
      <c r="F43" s="801"/>
      <c r="G43" s="629"/>
      <c r="I43" s="629"/>
    </row>
    <row r="44" spans="1:17" x14ac:dyDescent="0.25">
      <c r="B44" s="329" t="s">
        <v>2187</v>
      </c>
      <c r="C44" s="338">
        <f t="shared" si="8"/>
        <v>412.50749999999999</v>
      </c>
      <c r="D44" s="225">
        <f>C44/A43</f>
        <v>8.3964810733187747E-2</v>
      </c>
      <c r="E44" s="177"/>
      <c r="F44" s="801"/>
      <c r="G44" s="629"/>
      <c r="I44" s="629"/>
    </row>
    <row r="45" spans="1:17" x14ac:dyDescent="0.25">
      <c r="B45" s="329" t="s">
        <v>2188</v>
      </c>
      <c r="C45" s="338">
        <f t="shared" si="8"/>
        <v>76.174999999999997</v>
      </c>
      <c r="D45" s="225">
        <f>C45/A43</f>
        <v>1.5505219802308023E-2</v>
      </c>
      <c r="E45" s="177"/>
      <c r="F45" s="801"/>
      <c r="G45" s="629"/>
      <c r="I45" s="629"/>
    </row>
    <row r="46" spans="1:17" x14ac:dyDescent="0.25">
      <c r="B46" s="329" t="s">
        <v>50</v>
      </c>
      <c r="C46" s="338">
        <f t="shared" si="8"/>
        <v>270.68083333333328</v>
      </c>
      <c r="D46" s="225">
        <f>C46/A43</f>
        <v>5.5096367799215451E-2</v>
      </c>
      <c r="E46" s="177"/>
      <c r="F46" s="801"/>
      <c r="G46" s="629"/>
      <c r="I46" s="629"/>
    </row>
    <row r="47" spans="1:17" x14ac:dyDescent="0.25">
      <c r="B47" s="329" t="s">
        <v>14</v>
      </c>
      <c r="C47" s="338">
        <f t="shared" si="8"/>
        <v>150.53916666666666</v>
      </c>
      <c r="D47" s="225">
        <f>C47/A43</f>
        <v>3.064184926843384E-2</v>
      </c>
      <c r="E47" s="177"/>
      <c r="F47" s="801"/>
      <c r="G47" s="629"/>
      <c r="I47" s="629"/>
    </row>
    <row r="48" spans="1:17" x14ac:dyDescent="0.25">
      <c r="B48" s="329" t="s">
        <v>358</v>
      </c>
      <c r="C48" s="338">
        <f t="shared" si="8"/>
        <v>102.82666666666665</v>
      </c>
      <c r="D48" s="225">
        <f>C48/A43</f>
        <v>2.093009607095932E-2</v>
      </c>
      <c r="E48" s="177"/>
      <c r="F48" s="801"/>
      <c r="G48" s="629"/>
      <c r="I48" s="629"/>
    </row>
    <row r="49" spans="2:9" x14ac:dyDescent="0.25">
      <c r="B49" s="329" t="s">
        <v>2189</v>
      </c>
      <c r="C49" s="338">
        <f t="shared" si="8"/>
        <v>104.35250000000001</v>
      </c>
      <c r="D49" s="225">
        <f>C49/A43</f>
        <v>2.1240675410834894E-2</v>
      </c>
      <c r="E49" s="177"/>
      <c r="F49" s="801"/>
      <c r="G49" s="629"/>
      <c r="I49" s="629"/>
    </row>
    <row r="50" spans="2:9" x14ac:dyDescent="0.25">
      <c r="B50" s="329" t="s">
        <v>53</v>
      </c>
      <c r="C50" s="338">
        <f t="shared" si="8"/>
        <v>222.42249999999999</v>
      </c>
      <c r="D50" s="225">
        <f>C50/A43</f>
        <v>4.5273511670218002E-2</v>
      </c>
      <c r="E50" s="177"/>
      <c r="F50" s="801"/>
      <c r="G50" s="629"/>
      <c r="I50" s="629"/>
    </row>
    <row r="51" spans="2:9" x14ac:dyDescent="0.25">
      <c r="B51" s="906" t="s">
        <v>2149</v>
      </c>
      <c r="C51" s="338">
        <f t="shared" si="8"/>
        <v>125.005</v>
      </c>
      <c r="D51" s="225">
        <f>C51/A43</f>
        <v>2.5444437169511183E-2</v>
      </c>
      <c r="E51" s="177"/>
      <c r="F51" s="801"/>
      <c r="G51" s="629"/>
      <c r="I51" s="629"/>
    </row>
    <row r="52" spans="2:9" x14ac:dyDescent="0.25">
      <c r="B52" s="329" t="s">
        <v>56</v>
      </c>
      <c r="C52" s="338">
        <f t="shared" ca="1" si="8"/>
        <v>168.62416666666667</v>
      </c>
      <c r="D52" s="225">
        <f ca="1">C52/A43</f>
        <v>3.4323003191961778E-2</v>
      </c>
      <c r="E52" s="177"/>
      <c r="F52" s="801"/>
      <c r="G52" s="629"/>
      <c r="I52" s="629"/>
    </row>
    <row r="53" spans="2:9" ht="14.25" customHeight="1" x14ac:dyDescent="0.25">
      <c r="B53" s="329" t="s">
        <v>1686</v>
      </c>
      <c r="C53" s="338">
        <f t="shared" si="8"/>
        <v>264.1225</v>
      </c>
      <c r="D53" s="225">
        <f>C53/A43</f>
        <v>5.3761436392978021E-2</v>
      </c>
      <c r="F53" s="801"/>
      <c r="G53" s="629"/>
      <c r="I53" s="629"/>
    </row>
    <row r="54" spans="2:9" x14ac:dyDescent="0.25">
      <c r="B54" s="329" t="s">
        <v>418</v>
      </c>
      <c r="C54" s="338">
        <f t="shared" si="8"/>
        <v>10.805</v>
      </c>
      <c r="D54" s="225">
        <f>C54/A43</f>
        <v>2.1993291757655162E-3</v>
      </c>
      <c r="F54" s="801"/>
      <c r="G54" s="629"/>
      <c r="I54" s="629"/>
    </row>
    <row r="55" spans="2:9" x14ac:dyDescent="0.25">
      <c r="B55" s="329" t="s">
        <v>419</v>
      </c>
      <c r="C55" s="338">
        <f t="shared" si="8"/>
        <v>722.37083333333339</v>
      </c>
      <c r="D55" s="225">
        <f>C55/A43</f>
        <v>0.14703667278778798</v>
      </c>
      <c r="F55" s="801"/>
    </row>
    <row r="56" spans="2:9" x14ac:dyDescent="0.25">
      <c r="B56" s="329" t="s">
        <v>911</v>
      </c>
      <c r="C56" s="338">
        <f t="shared" si="8"/>
        <v>60.324166666666677</v>
      </c>
      <c r="D56" s="225">
        <f>C56/A43</f>
        <v>1.2278824595441152E-2</v>
      </c>
    </row>
    <row r="57" spans="2:9" x14ac:dyDescent="0.25">
      <c r="B57" s="329" t="s">
        <v>1526</v>
      </c>
      <c r="C57" s="338">
        <f t="shared" si="8"/>
        <v>129.78083333333336</v>
      </c>
      <c r="D57" s="225">
        <f>C57/A43</f>
        <v>2.6416545414637841E-2</v>
      </c>
      <c r="E57" s="85" t="s">
        <v>280</v>
      </c>
    </row>
    <row r="58" spans="2:9" x14ac:dyDescent="0.25">
      <c r="B58" s="329" t="s">
        <v>2343</v>
      </c>
      <c r="C58" s="338">
        <f t="shared" si="8"/>
        <v>0</v>
      </c>
      <c r="D58" s="225">
        <f>C58/A43</f>
        <v>0</v>
      </c>
    </row>
    <row r="59" spans="2:9" x14ac:dyDescent="0.25">
      <c r="B59" s="329" t="s">
        <v>3019</v>
      </c>
      <c r="C59" s="338">
        <f t="shared" si="8"/>
        <v>596.88666666666666</v>
      </c>
      <c r="D59" s="225">
        <f>C59/A43</f>
        <v>0.1214947025104513</v>
      </c>
    </row>
    <row r="60" spans="2:9" x14ac:dyDescent="0.25">
      <c r="B60" s="329" t="s">
        <v>1527</v>
      </c>
      <c r="C60" s="338">
        <f>B20</f>
        <v>394.60083333333336</v>
      </c>
      <c r="D60" s="225">
        <f>C60/A43</f>
        <v>8.0319956088050523E-2</v>
      </c>
    </row>
    <row r="61" spans="2:9" x14ac:dyDescent="0.25">
      <c r="C61" s="867"/>
    </row>
    <row r="62" spans="2:9" ht="18.75" x14ac:dyDescent="0.3">
      <c r="B62" s="200" t="s">
        <v>388</v>
      </c>
      <c r="C62" s="1095">
        <f ca="1">SUM(C43:C60)</f>
        <v>4181.7474999999995</v>
      </c>
      <c r="D62" s="1087">
        <f ca="1">SUM(D43:D60)</f>
        <v>0.85118364483429043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Plan136"/>
  <dimension ref="A1:AQ239"/>
  <sheetViews>
    <sheetView zoomScale="85" zoomScaleNormal="85" workbookViewId="0">
      <pane ySplit="4" topLeftCell="A96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3" width="13.42578125" style="79" customWidth="1"/>
    <col min="14" max="14" width="12" style="484" customWidth="1"/>
    <col min="15" max="15" width="10.28515625" style="79" customWidth="1"/>
    <col min="16" max="16" width="12" style="877" customWidth="1"/>
    <col min="17" max="17" width="16.140625" style="79" customWidth="1"/>
    <col min="18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3172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</row>
    <row r="3" spans="1:17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x14ac:dyDescent="0.25">
      <c r="A5" s="281">
        <v>44562</v>
      </c>
      <c r="B5" s="369" t="s">
        <v>10</v>
      </c>
      <c r="C5" s="370"/>
      <c r="D5" s="370"/>
      <c r="E5" s="777"/>
      <c r="F5" s="179"/>
      <c r="G5" s="933">
        <f>'Dezembro-21'!G125</f>
        <v>842.58458333335147</v>
      </c>
      <c r="H5" s="163"/>
      <c r="I5" s="1479">
        <f>'Dezembro-21'!I125</f>
        <v>7199.9960000000028</v>
      </c>
      <c r="J5" s="179"/>
      <c r="K5" s="933">
        <f>'Dezembro-21'!K125</f>
        <v>13711.339999999997</v>
      </c>
      <c r="L5" s="179"/>
      <c r="M5" s="933">
        <v>7164.04</v>
      </c>
    </row>
    <row r="6" spans="1:17" s="224" customFormat="1" x14ac:dyDescent="0.25">
      <c r="A6" s="215">
        <v>44562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1037"/>
      <c r="O6" s="89"/>
      <c r="P6" s="878"/>
    </row>
    <row r="7" spans="1:17" s="224" customFormat="1" x14ac:dyDescent="0.25">
      <c r="A7" s="215">
        <v>44562</v>
      </c>
      <c r="B7" s="882" t="s">
        <v>3174</v>
      </c>
      <c r="C7" s="879" t="s">
        <v>12</v>
      </c>
      <c r="D7" s="879" t="s">
        <v>1523</v>
      </c>
      <c r="E7" s="875" t="s">
        <v>13</v>
      </c>
      <c r="F7" s="780">
        <v>120.34</v>
      </c>
      <c r="G7" s="982"/>
      <c r="H7" s="1060"/>
      <c r="I7" s="1063"/>
      <c r="J7" s="622"/>
      <c r="K7" s="982"/>
      <c r="L7" s="622"/>
      <c r="M7" s="982"/>
      <c r="N7" s="861"/>
      <c r="P7" s="878"/>
    </row>
    <row r="8" spans="1:17" s="224" customFormat="1" x14ac:dyDescent="0.25">
      <c r="A8" s="215">
        <v>44562</v>
      </c>
      <c r="B8" s="882" t="s">
        <v>3175</v>
      </c>
      <c r="C8" s="879" t="s">
        <v>19</v>
      </c>
      <c r="D8" s="879" t="s">
        <v>1506</v>
      </c>
      <c r="E8" s="875" t="s">
        <v>13</v>
      </c>
      <c r="F8" s="780">
        <v>79.900000000000006</v>
      </c>
      <c r="G8" s="982"/>
      <c r="H8" s="1060"/>
      <c r="I8" s="1063"/>
      <c r="J8" s="622"/>
      <c r="K8" s="982"/>
      <c r="L8" s="622"/>
      <c r="M8" s="982"/>
      <c r="N8" s="861"/>
      <c r="P8" s="878"/>
    </row>
    <row r="9" spans="1:17" s="224" customFormat="1" ht="15" customHeight="1" x14ac:dyDescent="0.25">
      <c r="A9" s="215">
        <v>44562</v>
      </c>
      <c r="B9" s="364" t="s">
        <v>3176</v>
      </c>
      <c r="C9" s="879" t="s">
        <v>19</v>
      </c>
      <c r="D9" s="879" t="s">
        <v>1525</v>
      </c>
      <c r="E9" s="875" t="s">
        <v>13</v>
      </c>
      <c r="F9" s="780">
        <v>81.180000000000007</v>
      </c>
      <c r="G9" s="982"/>
      <c r="H9" s="1008"/>
      <c r="I9" s="1063"/>
      <c r="J9" s="622"/>
      <c r="K9" s="982"/>
      <c r="L9" s="622"/>
      <c r="M9" s="982"/>
      <c r="N9" s="1029"/>
    </row>
    <row r="10" spans="1:17" s="224" customFormat="1" ht="15" customHeight="1" x14ac:dyDescent="0.25">
      <c r="A10" s="215">
        <v>44563</v>
      </c>
      <c r="B10" s="882" t="s">
        <v>14</v>
      </c>
      <c r="C10" s="879" t="s">
        <v>12</v>
      </c>
      <c r="D10" s="879" t="s">
        <v>1486</v>
      </c>
      <c r="E10" s="875" t="s">
        <v>13</v>
      </c>
      <c r="F10" s="780">
        <v>9.7100000000000009</v>
      </c>
      <c r="G10" s="982"/>
      <c r="H10" s="1008"/>
      <c r="I10" s="1063"/>
      <c r="J10" s="622"/>
      <c r="K10" s="982"/>
      <c r="L10" s="622"/>
      <c r="M10" s="982"/>
      <c r="N10" s="1029"/>
      <c r="O10" s="89"/>
      <c r="P10" s="1035"/>
    </row>
    <row r="11" spans="1:17" s="224" customFormat="1" x14ac:dyDescent="0.25">
      <c r="A11" s="215">
        <v>44563</v>
      </c>
      <c r="B11" s="882" t="s">
        <v>256</v>
      </c>
      <c r="C11" s="879"/>
      <c r="D11" s="879"/>
      <c r="E11" s="875" t="s">
        <v>25</v>
      </c>
      <c r="F11" s="780"/>
      <c r="G11" s="982">
        <v>700</v>
      </c>
      <c r="H11" s="1060">
        <v>700</v>
      </c>
      <c r="I11" s="1063"/>
      <c r="J11" s="622"/>
      <c r="K11" s="982"/>
      <c r="L11" s="622"/>
      <c r="M11" s="982"/>
      <c r="N11" s="861"/>
      <c r="P11" s="878"/>
    </row>
    <row r="12" spans="1:17" s="224" customFormat="1" ht="15" customHeight="1" x14ac:dyDescent="0.25">
      <c r="A12" s="215">
        <v>44563</v>
      </c>
      <c r="B12" s="364" t="s">
        <v>3177</v>
      </c>
      <c r="C12" s="879" t="s">
        <v>19</v>
      </c>
      <c r="D12" s="879" t="s">
        <v>1506</v>
      </c>
      <c r="E12" s="875" t="s">
        <v>13</v>
      </c>
      <c r="F12" s="780">
        <v>30</v>
      </c>
      <c r="G12" s="982"/>
      <c r="H12" s="1008"/>
      <c r="I12" s="1063"/>
      <c r="J12" s="622"/>
      <c r="K12" s="982"/>
      <c r="L12" s="622"/>
      <c r="M12" s="982"/>
      <c r="N12" s="1029"/>
    </row>
    <row r="13" spans="1:17" s="224" customFormat="1" ht="15" customHeight="1" x14ac:dyDescent="0.25">
      <c r="A13" s="215">
        <v>44563</v>
      </c>
      <c r="B13" s="882" t="s">
        <v>3178</v>
      </c>
      <c r="C13" s="879" t="s">
        <v>19</v>
      </c>
      <c r="D13" s="879" t="s">
        <v>1523</v>
      </c>
      <c r="E13" s="875" t="s">
        <v>13</v>
      </c>
      <c r="F13" s="780">
        <v>110</v>
      </c>
      <c r="G13" s="982"/>
      <c r="H13" s="1008"/>
      <c r="I13" s="1063"/>
      <c r="J13" s="622"/>
      <c r="K13" s="982"/>
      <c r="L13" s="622"/>
      <c r="M13" s="982"/>
      <c r="N13" s="1029"/>
      <c r="O13" s="89"/>
      <c r="P13" s="1035"/>
    </row>
    <row r="14" spans="1:17" s="224" customFormat="1" x14ac:dyDescent="0.25">
      <c r="A14" s="215">
        <v>44563</v>
      </c>
      <c r="B14" s="364" t="s">
        <v>32</v>
      </c>
      <c r="C14" s="350" t="s">
        <v>12</v>
      </c>
      <c r="D14" s="350" t="s">
        <v>1485</v>
      </c>
      <c r="E14" s="875" t="s">
        <v>13</v>
      </c>
      <c r="F14" s="780">
        <v>25</v>
      </c>
      <c r="G14" s="982"/>
      <c r="H14" s="1008"/>
      <c r="I14" s="1063"/>
      <c r="J14" s="622"/>
      <c r="K14" s="982"/>
      <c r="L14" s="622"/>
      <c r="M14" s="982"/>
      <c r="N14" s="1029"/>
      <c r="O14" s="89"/>
      <c r="P14" s="1081"/>
      <c r="Q14" s="1082"/>
    </row>
    <row r="15" spans="1:17" s="224" customFormat="1" x14ac:dyDescent="0.25">
      <c r="A15" s="215">
        <v>44563</v>
      </c>
      <c r="B15" s="364" t="s">
        <v>82</v>
      </c>
      <c r="C15" s="350" t="s">
        <v>12</v>
      </c>
      <c r="D15" s="350" t="s">
        <v>1493</v>
      </c>
      <c r="E15" s="875" t="s">
        <v>13</v>
      </c>
      <c r="F15" s="780">
        <v>26.6</v>
      </c>
      <c r="G15" s="982"/>
      <c r="H15" s="1008"/>
      <c r="I15" s="1063"/>
      <c r="J15" s="622"/>
      <c r="K15" s="982"/>
      <c r="L15" s="622"/>
      <c r="M15" s="982"/>
      <c r="N15" s="1029"/>
      <c r="O15" s="89"/>
      <c r="P15" s="1081"/>
      <c r="Q15" s="1082"/>
    </row>
    <row r="16" spans="1:17" s="224" customFormat="1" ht="15" customHeight="1" x14ac:dyDescent="0.25">
      <c r="A16" s="215">
        <v>44564</v>
      </c>
      <c r="B16" s="882" t="s">
        <v>14</v>
      </c>
      <c r="C16" s="879" t="s">
        <v>12</v>
      </c>
      <c r="D16" s="879" t="s">
        <v>1486</v>
      </c>
      <c r="E16" s="875" t="s">
        <v>13</v>
      </c>
      <c r="F16" s="780">
        <v>4.6399999999999997</v>
      </c>
      <c r="G16" s="982"/>
      <c r="H16" s="1008"/>
      <c r="I16" s="1063"/>
      <c r="J16" s="622"/>
      <c r="K16" s="982"/>
      <c r="L16" s="622"/>
      <c r="M16" s="982"/>
      <c r="N16" s="1029"/>
      <c r="O16" s="89"/>
      <c r="P16" s="1035"/>
    </row>
    <row r="17" spans="1:40" s="224" customFormat="1" ht="15" customHeight="1" x14ac:dyDescent="0.25">
      <c r="A17" s="215">
        <v>44564</v>
      </c>
      <c r="B17" s="882" t="s">
        <v>3179</v>
      </c>
      <c r="C17" s="879" t="s">
        <v>19</v>
      </c>
      <c r="D17" s="879" t="s">
        <v>1506</v>
      </c>
      <c r="E17" s="875" t="s">
        <v>13</v>
      </c>
      <c r="F17" s="780">
        <v>33.9</v>
      </c>
      <c r="G17" s="982"/>
      <c r="H17" s="1008"/>
      <c r="I17" s="1063"/>
      <c r="J17" s="622"/>
      <c r="K17" s="982"/>
      <c r="L17" s="622"/>
      <c r="M17" s="982"/>
      <c r="N17" s="861"/>
    </row>
    <row r="18" spans="1:40" s="224" customFormat="1" ht="15" customHeight="1" x14ac:dyDescent="0.25">
      <c r="A18" s="215">
        <v>44564</v>
      </c>
      <c r="B18" s="882" t="s">
        <v>2197</v>
      </c>
      <c r="C18" s="879" t="s">
        <v>12</v>
      </c>
      <c r="D18" s="879" t="s">
        <v>2168</v>
      </c>
      <c r="E18" s="875" t="s">
        <v>13</v>
      </c>
      <c r="F18" s="780">
        <v>30</v>
      </c>
      <c r="G18" s="982"/>
      <c r="H18" s="1008"/>
      <c r="I18" s="1063"/>
      <c r="J18" s="622"/>
      <c r="K18" s="982"/>
      <c r="L18" s="622"/>
      <c r="M18" s="982"/>
      <c r="N18" s="1029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 s="224" customFormat="1" x14ac:dyDescent="0.25">
      <c r="A19" s="215">
        <v>44564</v>
      </c>
      <c r="B19" s="882" t="s">
        <v>2766</v>
      </c>
      <c r="C19" s="879" t="s">
        <v>12</v>
      </c>
      <c r="D19" s="879" t="s">
        <v>2157</v>
      </c>
      <c r="E19" s="875" t="s">
        <v>13</v>
      </c>
      <c r="F19" s="780">
        <v>60</v>
      </c>
      <c r="G19" s="982"/>
      <c r="H19" s="1008"/>
      <c r="I19" s="1063"/>
      <c r="J19" s="622"/>
      <c r="K19" s="982"/>
      <c r="L19" s="622"/>
      <c r="M19" s="982"/>
      <c r="N19" s="861"/>
      <c r="P19" s="878"/>
    </row>
    <row r="20" spans="1:40" s="224" customFormat="1" ht="15" customHeight="1" x14ac:dyDescent="0.25">
      <c r="A20" s="215">
        <v>44564</v>
      </c>
      <c r="B20" s="882" t="s">
        <v>2766</v>
      </c>
      <c r="C20" s="879" t="s">
        <v>12</v>
      </c>
      <c r="D20" s="879" t="s">
        <v>2157</v>
      </c>
      <c r="E20" s="875" t="s">
        <v>15</v>
      </c>
      <c r="F20" s="780">
        <v>20</v>
      </c>
      <c r="G20" s="982"/>
      <c r="H20" s="1008"/>
      <c r="I20" s="1063"/>
      <c r="J20" s="622"/>
      <c r="K20" s="982"/>
      <c r="L20" s="622"/>
      <c r="M20" s="982"/>
      <c r="N20" s="861"/>
    </row>
    <row r="21" spans="1:40" s="224" customFormat="1" ht="15" customHeight="1" x14ac:dyDescent="0.25">
      <c r="A21" s="215">
        <v>44565</v>
      </c>
      <c r="B21" s="882" t="s">
        <v>3180</v>
      </c>
      <c r="C21" s="879" t="s">
        <v>12</v>
      </c>
      <c r="D21" s="879" t="s">
        <v>2157</v>
      </c>
      <c r="E21" s="875" t="s">
        <v>13</v>
      </c>
      <c r="F21" s="780">
        <v>147.19999999999999</v>
      </c>
      <c r="G21" s="982"/>
      <c r="H21" s="1008"/>
      <c r="I21" s="1063"/>
      <c r="J21" s="622"/>
      <c r="K21" s="982"/>
      <c r="L21" s="622"/>
      <c r="M21" s="982"/>
      <c r="N21" s="1029" t="s">
        <v>3181</v>
      </c>
    </row>
    <row r="22" spans="1:40" s="224" customFormat="1" ht="15" customHeight="1" x14ac:dyDescent="0.25">
      <c r="A22" s="215">
        <v>44565</v>
      </c>
      <c r="B22" s="882" t="s">
        <v>3182</v>
      </c>
      <c r="C22" s="879" t="s">
        <v>12</v>
      </c>
      <c r="D22" s="879" t="s">
        <v>1485</v>
      </c>
      <c r="E22" s="875" t="s">
        <v>13</v>
      </c>
      <c r="F22" s="780">
        <v>21.4</v>
      </c>
      <c r="G22" s="982"/>
      <c r="H22" s="622"/>
      <c r="I22" s="982"/>
      <c r="J22" s="622"/>
      <c r="K22" s="982"/>
      <c r="L22" s="622"/>
      <c r="M22" s="982"/>
      <c r="N22" s="927"/>
      <c r="O22" s="927"/>
      <c r="P22" s="878"/>
    </row>
    <row r="23" spans="1:40" s="224" customFormat="1" ht="15" customHeight="1" x14ac:dyDescent="0.25">
      <c r="A23" s="215">
        <v>44565</v>
      </c>
      <c r="B23" s="882" t="s">
        <v>134</v>
      </c>
      <c r="C23" s="879" t="s">
        <v>12</v>
      </c>
      <c r="D23" s="879" t="s">
        <v>1493</v>
      </c>
      <c r="E23" s="875" t="s">
        <v>13</v>
      </c>
      <c r="F23" s="780">
        <v>14.89</v>
      </c>
      <c r="G23" s="982"/>
      <c r="H23" s="622"/>
      <c r="I23" s="982"/>
      <c r="J23" s="622"/>
      <c r="K23" s="982"/>
      <c r="L23" s="622"/>
      <c r="M23" s="982"/>
      <c r="N23" s="927"/>
      <c r="O23" s="927"/>
      <c r="P23" s="878"/>
    </row>
    <row r="24" spans="1:40" s="224" customFormat="1" ht="15" customHeight="1" x14ac:dyDescent="0.25">
      <c r="A24" s="215">
        <v>44566</v>
      </c>
      <c r="B24" s="882" t="s">
        <v>3183</v>
      </c>
      <c r="C24" s="879" t="s">
        <v>12</v>
      </c>
      <c r="D24" s="879" t="s">
        <v>1493</v>
      </c>
      <c r="E24" s="875" t="s">
        <v>15</v>
      </c>
      <c r="F24" s="780">
        <v>10</v>
      </c>
      <c r="G24" s="982"/>
      <c r="H24" s="622"/>
      <c r="I24" s="982"/>
      <c r="J24" s="622"/>
      <c r="K24" s="982"/>
      <c r="L24" s="622"/>
      <c r="M24" s="982"/>
      <c r="N24" s="927"/>
      <c r="O24" s="927"/>
      <c r="P24" s="878"/>
    </row>
    <row r="25" spans="1:40" s="224" customFormat="1" ht="15" customHeight="1" x14ac:dyDescent="0.25">
      <c r="A25" s="215">
        <v>44566</v>
      </c>
      <c r="B25" s="882" t="s">
        <v>2987</v>
      </c>
      <c r="C25" s="879" t="s">
        <v>12</v>
      </c>
      <c r="D25" s="879" t="s">
        <v>1489</v>
      </c>
      <c r="E25" s="875" t="s">
        <v>15</v>
      </c>
      <c r="F25" s="780">
        <v>15</v>
      </c>
      <c r="G25" s="982"/>
      <c r="H25" s="622"/>
      <c r="I25" s="982"/>
      <c r="J25" s="622"/>
      <c r="K25" s="982"/>
      <c r="L25" s="622"/>
      <c r="M25" s="982"/>
      <c r="N25" s="927"/>
      <c r="O25" s="927"/>
      <c r="P25" s="878"/>
    </row>
    <row r="26" spans="1:40" s="224" customFormat="1" ht="15" customHeight="1" x14ac:dyDescent="0.25">
      <c r="A26" s="215">
        <v>44566</v>
      </c>
      <c r="B26" s="882" t="s">
        <v>3184</v>
      </c>
      <c r="C26" s="879" t="s">
        <v>12</v>
      </c>
      <c r="D26" s="879" t="s">
        <v>1493</v>
      </c>
      <c r="E26" s="875" t="s">
        <v>13</v>
      </c>
      <c r="F26" s="780">
        <v>20</v>
      </c>
      <c r="G26" s="982"/>
      <c r="H26" s="622"/>
      <c r="I26" s="982"/>
      <c r="J26" s="622"/>
      <c r="K26" s="982"/>
      <c r="L26" s="622"/>
      <c r="M26" s="982"/>
      <c r="N26" s="927"/>
      <c r="O26" s="927"/>
      <c r="P26" s="878"/>
    </row>
    <row r="27" spans="1:40" s="224" customFormat="1" ht="15" customHeight="1" x14ac:dyDescent="0.25">
      <c r="A27" s="215">
        <v>44566</v>
      </c>
      <c r="B27" s="364" t="s">
        <v>3185</v>
      </c>
      <c r="C27" s="350" t="s">
        <v>12</v>
      </c>
      <c r="D27" s="350" t="s">
        <v>1493</v>
      </c>
      <c r="E27" s="875" t="s">
        <v>13</v>
      </c>
      <c r="F27" s="780">
        <v>30</v>
      </c>
      <c r="G27" s="982"/>
      <c r="H27" s="622"/>
      <c r="I27" s="982"/>
      <c r="J27" s="622"/>
      <c r="K27" s="982"/>
      <c r="L27" s="622"/>
      <c r="M27" s="982"/>
      <c r="N27" s="927"/>
      <c r="O27" s="927"/>
      <c r="P27" s="878"/>
    </row>
    <row r="28" spans="1:40" s="224" customFormat="1" ht="15" customHeight="1" x14ac:dyDescent="0.25">
      <c r="A28" s="215">
        <v>44567</v>
      </c>
      <c r="B28" s="364" t="s">
        <v>3186</v>
      </c>
      <c r="C28" s="350" t="s">
        <v>12</v>
      </c>
      <c r="D28" s="350" t="s">
        <v>1523</v>
      </c>
      <c r="E28" s="875" t="s">
        <v>13</v>
      </c>
      <c r="F28" s="780">
        <v>60</v>
      </c>
      <c r="G28" s="982"/>
      <c r="H28" s="622"/>
      <c r="I28" s="982"/>
      <c r="J28" s="622"/>
      <c r="K28" s="982"/>
      <c r="L28" s="622"/>
      <c r="M28" s="982"/>
      <c r="N28" s="927"/>
      <c r="O28" s="927"/>
      <c r="P28" s="878"/>
    </row>
    <row r="29" spans="1:40" s="224" customFormat="1" ht="15" customHeight="1" x14ac:dyDescent="0.25">
      <c r="A29" s="215">
        <v>44567</v>
      </c>
      <c r="B29" s="882" t="s">
        <v>3182</v>
      </c>
      <c r="C29" s="879" t="s">
        <v>12</v>
      </c>
      <c r="D29" s="879" t="s">
        <v>1485</v>
      </c>
      <c r="E29" s="875" t="s">
        <v>13</v>
      </c>
      <c r="F29" s="780">
        <v>22.63</v>
      </c>
      <c r="G29" s="982"/>
      <c r="H29" s="622"/>
      <c r="I29" s="982"/>
      <c r="J29" s="622"/>
      <c r="K29" s="982"/>
      <c r="L29" s="622"/>
      <c r="M29" s="982"/>
      <c r="N29" s="927"/>
      <c r="O29" s="927"/>
      <c r="P29" s="878"/>
    </row>
    <row r="30" spans="1:40" s="224" customFormat="1" ht="15" customHeight="1" x14ac:dyDescent="0.25">
      <c r="A30" s="215">
        <v>44567</v>
      </c>
      <c r="B30" s="882" t="s">
        <v>3187</v>
      </c>
      <c r="C30" s="879" t="s">
        <v>12</v>
      </c>
      <c r="D30" s="879" t="s">
        <v>1489</v>
      </c>
      <c r="E30" s="875" t="s">
        <v>13</v>
      </c>
      <c r="F30" s="780">
        <v>11.9</v>
      </c>
      <c r="G30" s="982"/>
      <c r="H30" s="622"/>
      <c r="I30" s="982"/>
      <c r="J30" s="622"/>
      <c r="K30" s="982"/>
      <c r="L30" s="622"/>
      <c r="M30" s="982"/>
      <c r="N30" s="927"/>
      <c r="O30" s="927"/>
      <c r="P30" s="878"/>
    </row>
    <row r="31" spans="1:40" s="224" customFormat="1" ht="15" customHeight="1" x14ac:dyDescent="0.25">
      <c r="A31" s="215">
        <v>44567</v>
      </c>
      <c r="B31" s="882" t="s">
        <v>3188</v>
      </c>
      <c r="C31" s="879" t="s">
        <v>12</v>
      </c>
      <c r="D31" s="879" t="s">
        <v>1523</v>
      </c>
      <c r="E31" s="875" t="s">
        <v>13</v>
      </c>
      <c r="F31" s="780">
        <v>43</v>
      </c>
      <c r="G31" s="982"/>
      <c r="H31" s="622"/>
      <c r="I31" s="982"/>
      <c r="J31" s="622"/>
      <c r="K31" s="982"/>
      <c r="L31" s="622"/>
      <c r="M31" s="982"/>
      <c r="N31" s="927"/>
      <c r="O31" s="927"/>
      <c r="P31" s="878"/>
    </row>
    <row r="32" spans="1:40" s="224" customFormat="1" ht="15" customHeight="1" x14ac:dyDescent="0.25">
      <c r="A32" s="215">
        <v>44567</v>
      </c>
      <c r="B32" s="364" t="s">
        <v>82</v>
      </c>
      <c r="C32" s="350" t="s">
        <v>12</v>
      </c>
      <c r="D32" s="350" t="s">
        <v>1493</v>
      </c>
      <c r="E32" s="875" t="s">
        <v>13</v>
      </c>
      <c r="F32" s="780">
        <v>20</v>
      </c>
      <c r="G32" s="982"/>
      <c r="H32" s="622"/>
      <c r="I32" s="982"/>
      <c r="J32" s="622"/>
      <c r="K32" s="982"/>
      <c r="L32" s="622"/>
      <c r="M32" s="982"/>
      <c r="N32" s="927"/>
      <c r="O32" s="927"/>
      <c r="P32" s="878"/>
    </row>
    <row r="33" spans="1:16" s="224" customFormat="1" ht="15.75" customHeight="1" x14ac:dyDescent="0.25">
      <c r="A33" s="215">
        <v>44568</v>
      </c>
      <c r="B33" s="873" t="s">
        <v>3189</v>
      </c>
      <c r="C33" s="879" t="s">
        <v>12</v>
      </c>
      <c r="D33" s="874"/>
      <c r="E33" s="871" t="s">
        <v>25</v>
      </c>
      <c r="F33" s="1524"/>
      <c r="G33" s="1002">
        <v>2307.71</v>
      </c>
      <c r="H33" s="250"/>
      <c r="I33" s="946"/>
      <c r="J33" s="97"/>
      <c r="K33" s="946"/>
      <c r="L33" s="97"/>
      <c r="M33" s="946"/>
      <c r="N33" s="178">
        <v>2307.7199999999998</v>
      </c>
    </row>
    <row r="34" spans="1:16" s="224" customFormat="1" ht="15.75" customHeight="1" x14ac:dyDescent="0.25">
      <c r="A34" s="215">
        <v>44568</v>
      </c>
      <c r="B34" s="873" t="s">
        <v>3190</v>
      </c>
      <c r="C34" s="879" t="s">
        <v>12</v>
      </c>
      <c r="D34" s="874"/>
      <c r="E34" s="871" t="s">
        <v>25</v>
      </c>
      <c r="F34" s="1524"/>
      <c r="G34" s="1002">
        <v>460</v>
      </c>
      <c r="H34" s="250"/>
      <c r="I34" s="946"/>
      <c r="J34" s="97"/>
      <c r="K34" s="946"/>
      <c r="L34" s="97"/>
      <c r="M34" s="946"/>
      <c r="N34" s="178"/>
    </row>
    <row r="35" spans="1:16" s="224" customFormat="1" ht="15" customHeight="1" x14ac:dyDescent="0.25">
      <c r="A35" s="215">
        <v>44568</v>
      </c>
      <c r="B35" s="349" t="s">
        <v>3191</v>
      </c>
      <c r="C35" s="887" t="s">
        <v>12</v>
      </c>
      <c r="D35" s="1005" t="s">
        <v>1489</v>
      </c>
      <c r="E35" s="887" t="s">
        <v>13</v>
      </c>
      <c r="F35" s="613">
        <v>113.17</v>
      </c>
      <c r="G35" s="982"/>
      <c r="H35" s="872"/>
      <c r="I35" s="1063"/>
      <c r="J35" s="622"/>
      <c r="K35" s="982"/>
      <c r="L35" s="622"/>
      <c r="M35" s="982"/>
      <c r="N35" s="927"/>
      <c r="O35" s="999"/>
      <c r="P35" s="878"/>
    </row>
    <row r="36" spans="1:16" s="224" customFormat="1" ht="15" customHeight="1" x14ac:dyDescent="0.25">
      <c r="A36" s="215">
        <v>44568</v>
      </c>
      <c r="B36" s="349" t="s">
        <v>3191</v>
      </c>
      <c r="C36" s="887" t="s">
        <v>12</v>
      </c>
      <c r="D36" s="1005" t="s">
        <v>2131</v>
      </c>
      <c r="E36" s="887" t="s">
        <v>13</v>
      </c>
      <c r="F36" s="1116">
        <v>84.5</v>
      </c>
      <c r="G36" s="982"/>
      <c r="H36" s="861"/>
      <c r="I36" s="1063"/>
      <c r="J36" s="622"/>
      <c r="K36" s="982"/>
      <c r="L36" s="622"/>
      <c r="M36" s="982"/>
      <c r="N36" s="927"/>
      <c r="O36" s="999"/>
      <c r="P36" s="878"/>
    </row>
    <row r="37" spans="1:16" s="224" customFormat="1" ht="15" customHeight="1" x14ac:dyDescent="0.25">
      <c r="A37" s="215">
        <v>44568</v>
      </c>
      <c r="B37" s="349" t="s">
        <v>3191</v>
      </c>
      <c r="C37" s="887" t="s">
        <v>12</v>
      </c>
      <c r="D37" s="1005" t="s">
        <v>1491</v>
      </c>
      <c r="E37" s="887" t="s">
        <v>13</v>
      </c>
      <c r="F37" s="1116">
        <v>74</v>
      </c>
      <c r="G37" s="982"/>
      <c r="H37" s="872"/>
      <c r="I37" s="1063"/>
      <c r="J37" s="622"/>
      <c r="K37" s="982"/>
      <c r="L37" s="622"/>
      <c r="M37" s="982"/>
      <c r="N37" s="927"/>
      <c r="O37" s="999"/>
      <c r="P37" s="878"/>
    </row>
    <row r="38" spans="1:16" s="224" customFormat="1" ht="15" customHeight="1" x14ac:dyDescent="0.25">
      <c r="A38" s="215">
        <v>44568</v>
      </c>
      <c r="B38" s="349" t="s">
        <v>3191</v>
      </c>
      <c r="C38" s="887" t="s">
        <v>12</v>
      </c>
      <c r="D38" s="1005" t="s">
        <v>1491</v>
      </c>
      <c r="E38" s="887" t="s">
        <v>13</v>
      </c>
      <c r="F38" s="613">
        <v>29</v>
      </c>
      <c r="G38" s="982"/>
      <c r="H38" s="872"/>
      <c r="I38" s="1063"/>
      <c r="J38" s="622"/>
      <c r="K38" s="982"/>
      <c r="L38" s="622"/>
      <c r="M38" s="982"/>
      <c r="N38" s="927"/>
      <c r="O38" s="999"/>
      <c r="P38" s="878"/>
    </row>
    <row r="39" spans="1:16" s="224" customFormat="1" ht="15" customHeight="1" x14ac:dyDescent="0.25">
      <c r="A39" s="215">
        <v>44568</v>
      </c>
      <c r="B39" s="349" t="s">
        <v>3191</v>
      </c>
      <c r="C39" s="887" t="s">
        <v>12</v>
      </c>
      <c r="D39" s="1005" t="s">
        <v>1489</v>
      </c>
      <c r="E39" s="887" t="s">
        <v>13</v>
      </c>
      <c r="F39" s="613">
        <v>80</v>
      </c>
      <c r="G39" s="982"/>
      <c r="H39" s="861"/>
      <c r="I39" s="1063"/>
      <c r="J39" s="622"/>
      <c r="K39" s="982"/>
      <c r="L39" s="622"/>
      <c r="M39" s="982"/>
      <c r="N39" s="927"/>
      <c r="O39" s="999"/>
      <c r="P39" s="878"/>
    </row>
    <row r="40" spans="1:16" s="224" customFormat="1" ht="15" customHeight="1" x14ac:dyDescent="0.25">
      <c r="A40" s="215">
        <v>44568</v>
      </c>
      <c r="B40" s="349" t="s">
        <v>3191</v>
      </c>
      <c r="C40" s="887" t="s">
        <v>12</v>
      </c>
      <c r="D40" s="1005" t="s">
        <v>1523</v>
      </c>
      <c r="E40" s="887" t="s">
        <v>13</v>
      </c>
      <c r="F40" s="613">
        <v>182.685</v>
      </c>
      <c r="G40" s="982"/>
      <c r="H40" s="872"/>
      <c r="I40" s="1063"/>
      <c r="J40" s="622"/>
      <c r="K40" s="982"/>
      <c r="L40" s="622"/>
      <c r="M40" s="982"/>
      <c r="N40" s="927"/>
      <c r="O40" s="999"/>
      <c r="P40" s="878"/>
    </row>
    <row r="41" spans="1:16" s="224" customFormat="1" ht="15" customHeight="1" x14ac:dyDescent="0.25">
      <c r="A41" s="215">
        <v>44568</v>
      </c>
      <c r="B41" s="349" t="s">
        <v>3191</v>
      </c>
      <c r="C41" s="887" t="s">
        <v>12</v>
      </c>
      <c r="D41" s="1005" t="s">
        <v>1491</v>
      </c>
      <c r="E41" s="887" t="s">
        <v>13</v>
      </c>
      <c r="F41" s="613">
        <v>113.5</v>
      </c>
      <c r="G41" s="982"/>
      <c r="H41" s="861"/>
      <c r="I41" s="1063"/>
      <c r="J41" s="622"/>
      <c r="K41" s="982"/>
      <c r="L41" s="622"/>
      <c r="M41" s="982"/>
      <c r="N41" s="927"/>
      <c r="O41" s="999"/>
      <c r="P41" s="878"/>
    </row>
    <row r="42" spans="1:16" s="224" customFormat="1" ht="15" customHeight="1" x14ac:dyDescent="0.25">
      <c r="A42" s="215">
        <v>44568</v>
      </c>
      <c r="B42" s="862" t="s">
        <v>2385</v>
      </c>
      <c r="C42" s="879" t="s">
        <v>12</v>
      </c>
      <c r="D42" s="879" t="s">
        <v>1504</v>
      </c>
      <c r="E42" s="871" t="s">
        <v>13</v>
      </c>
      <c r="F42" s="780">
        <v>50</v>
      </c>
      <c r="G42" s="982"/>
      <c r="H42" s="1008"/>
      <c r="I42" s="1063"/>
      <c r="J42" s="622"/>
      <c r="K42" s="982"/>
      <c r="L42" s="622"/>
      <c r="M42" s="982"/>
      <c r="N42" s="1028">
        <v>90</v>
      </c>
      <c r="O42" s="999"/>
      <c r="P42" s="1035"/>
    </row>
    <row r="43" spans="1:16" s="224" customFormat="1" ht="15" customHeight="1" x14ac:dyDescent="0.25">
      <c r="A43" s="215">
        <v>44568</v>
      </c>
      <c r="B43" s="882" t="s">
        <v>3192</v>
      </c>
      <c r="C43" s="879" t="s">
        <v>12</v>
      </c>
      <c r="D43" s="879" t="s">
        <v>1499</v>
      </c>
      <c r="E43" s="871" t="s">
        <v>13</v>
      </c>
      <c r="F43" s="780">
        <v>60</v>
      </c>
      <c r="G43" s="982"/>
      <c r="H43" s="1008"/>
      <c r="I43" s="1063"/>
      <c r="J43" s="622"/>
      <c r="K43" s="982"/>
      <c r="L43" s="622"/>
      <c r="M43" s="982"/>
      <c r="N43" s="1028">
        <v>140.34</v>
      </c>
      <c r="O43" s="999"/>
      <c r="P43" s="878"/>
    </row>
    <row r="44" spans="1:16" s="224" customFormat="1" ht="15" customHeight="1" x14ac:dyDescent="0.25">
      <c r="A44" s="215">
        <v>44568</v>
      </c>
      <c r="B44" s="364" t="s">
        <v>2977</v>
      </c>
      <c r="C44" s="350" t="s">
        <v>12</v>
      </c>
      <c r="D44" s="350" t="s">
        <v>1491</v>
      </c>
      <c r="E44" s="875" t="s">
        <v>13</v>
      </c>
      <c r="F44" s="780">
        <v>300</v>
      </c>
      <c r="G44" s="982"/>
      <c r="H44" s="1008"/>
      <c r="I44" s="1063"/>
      <c r="J44" s="622"/>
      <c r="K44" s="982"/>
      <c r="L44" s="622"/>
      <c r="M44" s="982"/>
      <c r="N44" s="861"/>
      <c r="P44" s="1035"/>
    </row>
    <row r="45" spans="1:16" x14ac:dyDescent="0.25">
      <c r="A45" s="215">
        <v>44568</v>
      </c>
      <c r="B45" s="876" t="s">
        <v>3060</v>
      </c>
      <c r="C45" s="879" t="s">
        <v>12</v>
      </c>
      <c r="D45" s="879" t="s">
        <v>1496</v>
      </c>
      <c r="E45" s="871" t="s">
        <v>13</v>
      </c>
      <c r="F45" s="780">
        <v>80</v>
      </c>
      <c r="G45" s="982"/>
      <c r="H45" s="1009"/>
      <c r="I45" s="1063"/>
      <c r="J45" s="622"/>
      <c r="K45" s="982"/>
      <c r="L45" s="622"/>
      <c r="M45" s="982"/>
      <c r="N45" s="1029"/>
    </row>
    <row r="46" spans="1:16" s="224" customFormat="1" x14ac:dyDescent="0.25">
      <c r="A46" s="215">
        <v>44568</v>
      </c>
      <c r="B46" s="882" t="s">
        <v>3193</v>
      </c>
      <c r="C46" s="879" t="s">
        <v>12</v>
      </c>
      <c r="D46" s="879" t="s">
        <v>3017</v>
      </c>
      <c r="E46" s="875" t="s">
        <v>13</v>
      </c>
      <c r="F46" s="780">
        <v>636.08000000000004</v>
      </c>
      <c r="G46" s="982"/>
      <c r="H46" s="1008"/>
      <c r="I46" s="1063"/>
      <c r="J46" s="622"/>
      <c r="K46" s="982"/>
      <c r="L46" s="622"/>
      <c r="M46" s="982">
        <f>F46</f>
        <v>636.08000000000004</v>
      </c>
      <c r="N46" s="861">
        <v>400</v>
      </c>
      <c r="O46" s="878" t="s">
        <v>3018</v>
      </c>
      <c r="P46" s="1035"/>
    </row>
    <row r="47" spans="1:16" s="224" customFormat="1" ht="15" customHeight="1" x14ac:dyDescent="0.25">
      <c r="A47" s="215">
        <v>44568</v>
      </c>
      <c r="B47" s="364" t="s">
        <v>3194</v>
      </c>
      <c r="C47" s="350" t="s">
        <v>12</v>
      </c>
      <c r="D47" s="350" t="s">
        <v>1493</v>
      </c>
      <c r="E47" s="875" t="s">
        <v>13</v>
      </c>
      <c r="F47" s="780">
        <v>6.5</v>
      </c>
      <c r="G47" s="982"/>
      <c r="H47" s="622"/>
      <c r="I47" s="982"/>
      <c r="J47" s="622"/>
      <c r="K47" s="982"/>
      <c r="L47" s="622"/>
      <c r="M47" s="982"/>
      <c r="N47" s="927"/>
      <c r="O47" s="927"/>
      <c r="P47" s="878"/>
    </row>
    <row r="48" spans="1:16" s="224" customFormat="1" ht="15" customHeight="1" x14ac:dyDescent="0.25">
      <c r="A48" s="215">
        <v>44568</v>
      </c>
      <c r="B48" s="364" t="s">
        <v>3195</v>
      </c>
      <c r="C48" s="350" t="s">
        <v>12</v>
      </c>
      <c r="D48" s="350" t="s">
        <v>1523</v>
      </c>
      <c r="E48" s="875" t="s">
        <v>13</v>
      </c>
      <c r="F48" s="780">
        <v>13</v>
      </c>
      <c r="G48" s="982"/>
      <c r="H48" s="622"/>
      <c r="I48" s="982"/>
      <c r="J48" s="622"/>
      <c r="K48" s="982"/>
      <c r="L48" s="622"/>
      <c r="M48" s="982"/>
      <c r="N48" s="927"/>
      <c r="O48" s="927"/>
      <c r="P48" s="878"/>
    </row>
    <row r="49" spans="1:38" s="224" customFormat="1" ht="15" customHeight="1" x14ac:dyDescent="0.25">
      <c r="A49" s="215">
        <v>44568</v>
      </c>
      <c r="B49" s="364" t="s">
        <v>2987</v>
      </c>
      <c r="C49" s="350" t="s">
        <v>12</v>
      </c>
      <c r="D49" s="350" t="s">
        <v>1489</v>
      </c>
      <c r="E49" s="875" t="s">
        <v>15</v>
      </c>
      <c r="F49" s="780">
        <v>15</v>
      </c>
      <c r="G49" s="982"/>
      <c r="H49" s="622"/>
      <c r="I49" s="982"/>
      <c r="J49" s="622"/>
      <c r="K49" s="982"/>
      <c r="L49" s="622"/>
      <c r="M49" s="982"/>
      <c r="N49" s="927"/>
      <c r="O49" s="927"/>
      <c r="P49" s="878"/>
    </row>
    <row r="50" spans="1:38" s="224" customFormat="1" ht="15" customHeight="1" x14ac:dyDescent="0.25">
      <c r="A50" s="215">
        <v>44568</v>
      </c>
      <c r="B50" s="882" t="s">
        <v>3182</v>
      </c>
      <c r="C50" s="879" t="s">
        <v>12</v>
      </c>
      <c r="D50" s="879" t="s">
        <v>1485</v>
      </c>
      <c r="E50" s="875" t="s">
        <v>13</v>
      </c>
      <c r="F50" s="780">
        <v>27</v>
      </c>
      <c r="G50" s="982"/>
      <c r="H50" s="622"/>
      <c r="I50" s="982"/>
      <c r="J50" s="622"/>
      <c r="K50" s="982"/>
      <c r="L50" s="622"/>
      <c r="M50" s="982"/>
      <c r="N50" s="927"/>
      <c r="O50" s="927"/>
      <c r="P50" s="878"/>
    </row>
    <row r="51" spans="1:38" s="224" customFormat="1" ht="15" customHeight="1" x14ac:dyDescent="0.25">
      <c r="A51" s="215">
        <v>44568</v>
      </c>
      <c r="B51" s="364" t="s">
        <v>82</v>
      </c>
      <c r="C51" s="350" t="s">
        <v>12</v>
      </c>
      <c r="D51" s="350" t="s">
        <v>1493</v>
      </c>
      <c r="E51" s="875" t="s">
        <v>13</v>
      </c>
      <c r="F51" s="780">
        <v>20</v>
      </c>
      <c r="G51" s="982"/>
      <c r="H51" s="622"/>
      <c r="I51" s="982"/>
      <c r="J51" s="622"/>
      <c r="K51" s="982"/>
      <c r="L51" s="622"/>
      <c r="M51" s="982"/>
      <c r="N51" s="927"/>
      <c r="O51" s="927"/>
      <c r="P51" s="878"/>
    </row>
    <row r="52" spans="1:38" s="224" customFormat="1" ht="15" customHeight="1" x14ac:dyDescent="0.25">
      <c r="A52" s="215">
        <v>44568</v>
      </c>
      <c r="B52" s="364" t="s">
        <v>1396</v>
      </c>
      <c r="C52" s="350" t="s">
        <v>12</v>
      </c>
      <c r="D52" s="350"/>
      <c r="E52" s="480" t="s">
        <v>25</v>
      </c>
      <c r="F52" s="613"/>
      <c r="G52" s="967">
        <v>70</v>
      </c>
      <c r="H52" s="1008"/>
      <c r="I52" s="1063"/>
      <c r="J52" s="622"/>
      <c r="K52" s="982"/>
      <c r="L52" s="1110"/>
      <c r="M52" s="1111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 s="224" customFormat="1" ht="15" customHeight="1" x14ac:dyDescent="0.25">
      <c r="A53" s="215">
        <v>44569</v>
      </c>
      <c r="B53" s="882" t="s">
        <v>3182</v>
      </c>
      <c r="C53" s="879" t="s">
        <v>12</v>
      </c>
      <c r="D53" s="879" t="s">
        <v>1485</v>
      </c>
      <c r="E53" s="875" t="s">
        <v>13</v>
      </c>
      <c r="F53" s="780">
        <v>25.88</v>
      </c>
      <c r="G53" s="982"/>
      <c r="H53" s="1008"/>
      <c r="I53" s="1063"/>
      <c r="J53" s="622"/>
      <c r="K53" s="982"/>
      <c r="L53" s="622"/>
      <c r="M53" s="982"/>
      <c r="N53" s="1029"/>
    </row>
    <row r="54" spans="1:38" s="224" customFormat="1" ht="15" customHeight="1" x14ac:dyDescent="0.25">
      <c r="A54" s="215">
        <v>44569</v>
      </c>
      <c r="B54" s="882" t="s">
        <v>3180</v>
      </c>
      <c r="C54" s="879" t="s">
        <v>12</v>
      </c>
      <c r="D54" s="879" t="s">
        <v>2157</v>
      </c>
      <c r="E54" s="875" t="s">
        <v>13</v>
      </c>
      <c r="F54" s="780">
        <v>150</v>
      </c>
      <c r="G54" s="982"/>
      <c r="H54" s="1008"/>
      <c r="I54" s="1063"/>
      <c r="J54" s="622"/>
      <c r="K54" s="982"/>
      <c r="L54" s="622"/>
      <c r="M54" s="982"/>
      <c r="N54" s="1029"/>
    </row>
    <row r="55" spans="1:38" s="224" customFormat="1" ht="15" customHeight="1" x14ac:dyDescent="0.25">
      <c r="A55" s="215">
        <v>44569</v>
      </c>
      <c r="B55" s="882" t="s">
        <v>525</v>
      </c>
      <c r="C55" s="879" t="s">
        <v>12</v>
      </c>
      <c r="D55" s="879" t="s">
        <v>1493</v>
      </c>
      <c r="E55" s="875" t="s">
        <v>13</v>
      </c>
      <c r="F55" s="780">
        <v>18.899999999999999</v>
      </c>
      <c r="G55" s="982"/>
      <c r="H55" s="1008"/>
      <c r="I55" s="1063"/>
      <c r="J55" s="622"/>
      <c r="K55" s="982"/>
      <c r="L55" s="622"/>
      <c r="M55" s="982"/>
      <c r="N55" s="1029"/>
    </row>
    <row r="56" spans="1:38" s="224" customFormat="1" ht="15" customHeight="1" x14ac:dyDescent="0.25">
      <c r="A56" s="215">
        <v>44570</v>
      </c>
      <c r="B56" s="882" t="s">
        <v>14</v>
      </c>
      <c r="C56" s="879" t="s">
        <v>12</v>
      </c>
      <c r="D56" s="879" t="s">
        <v>1486</v>
      </c>
      <c r="E56" s="875" t="s">
        <v>13</v>
      </c>
      <c r="F56" s="780">
        <v>11.79</v>
      </c>
      <c r="G56" s="982"/>
      <c r="H56" s="622"/>
      <c r="I56" s="982"/>
      <c r="J56" s="622"/>
      <c r="K56" s="982"/>
      <c r="L56" s="622"/>
      <c r="M56" s="982"/>
      <c r="N56" s="927"/>
      <c r="O56" s="927"/>
      <c r="P56" s="878"/>
    </row>
    <row r="57" spans="1:38" s="224" customFormat="1" ht="15" customHeight="1" x14ac:dyDescent="0.25">
      <c r="A57" s="215">
        <v>44571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16</v>
      </c>
      <c r="G57" s="982"/>
      <c r="H57" s="1008"/>
      <c r="I57" s="1063"/>
      <c r="J57" s="622"/>
      <c r="K57" s="982"/>
      <c r="L57" s="622"/>
      <c r="M57" s="982"/>
      <c r="N57" s="1029"/>
    </row>
    <row r="58" spans="1:38" s="224" customFormat="1" ht="15" customHeight="1" x14ac:dyDescent="0.25">
      <c r="A58" s="215">
        <v>44571</v>
      </c>
      <c r="B58" s="882" t="s">
        <v>2766</v>
      </c>
      <c r="C58" s="879" t="s">
        <v>12</v>
      </c>
      <c r="D58" s="879" t="s">
        <v>2157</v>
      </c>
      <c r="E58" s="875" t="s">
        <v>13</v>
      </c>
      <c r="F58" s="780">
        <v>100</v>
      </c>
      <c r="G58" s="982"/>
      <c r="H58" s="1008"/>
      <c r="I58" s="1063"/>
      <c r="J58" s="622"/>
      <c r="K58" s="982"/>
      <c r="L58" s="622"/>
      <c r="M58" s="982"/>
      <c r="N58" s="1029"/>
    </row>
    <row r="59" spans="1:38" s="224" customFormat="1" ht="15" customHeight="1" x14ac:dyDescent="0.25">
      <c r="A59" s="215">
        <v>44571</v>
      </c>
      <c r="B59" s="882" t="s">
        <v>14</v>
      </c>
      <c r="C59" s="879" t="s">
        <v>12</v>
      </c>
      <c r="D59" s="879" t="s">
        <v>1486</v>
      </c>
      <c r="E59" s="875" t="s">
        <v>13</v>
      </c>
      <c r="F59" s="780">
        <v>8.7899999999999991</v>
      </c>
      <c r="G59" s="982"/>
      <c r="H59" s="622"/>
      <c r="I59" s="982"/>
      <c r="J59" s="622"/>
      <c r="K59" s="982"/>
      <c r="L59" s="622"/>
      <c r="M59" s="982"/>
      <c r="N59" s="927"/>
      <c r="O59" s="927"/>
      <c r="P59" s="878"/>
    </row>
    <row r="60" spans="1:38" s="224" customFormat="1" ht="15" customHeight="1" x14ac:dyDescent="0.25">
      <c r="A60" s="215">
        <v>44571</v>
      </c>
      <c r="B60" s="873" t="s">
        <v>3138</v>
      </c>
      <c r="C60" s="879" t="s">
        <v>12</v>
      </c>
      <c r="D60" s="879" t="s">
        <v>1506</v>
      </c>
      <c r="E60" s="871" t="s">
        <v>15</v>
      </c>
      <c r="F60" s="780">
        <v>50</v>
      </c>
      <c r="G60" s="982"/>
      <c r="H60" s="622"/>
      <c r="I60" s="982"/>
      <c r="J60" s="622"/>
      <c r="K60" s="982"/>
      <c r="L60" s="1114"/>
      <c r="M60" s="1115"/>
      <c r="N60" s="878"/>
    </row>
    <row r="61" spans="1:38" s="224" customFormat="1" ht="15" customHeight="1" x14ac:dyDescent="0.25">
      <c r="A61" s="215">
        <v>44571</v>
      </c>
      <c r="B61" s="882" t="s">
        <v>3196</v>
      </c>
      <c r="C61" s="879" t="s">
        <v>12</v>
      </c>
      <c r="D61" s="879" t="s">
        <v>1489</v>
      </c>
      <c r="E61" s="875" t="s">
        <v>13</v>
      </c>
      <c r="F61" s="780">
        <v>100</v>
      </c>
      <c r="G61" s="982"/>
      <c r="H61" s="1008"/>
      <c r="I61" s="1063"/>
      <c r="J61" s="622"/>
      <c r="K61" s="982"/>
      <c r="L61" s="622"/>
      <c r="M61" s="982"/>
      <c r="N61" s="861"/>
    </row>
    <row r="62" spans="1:38" s="224" customFormat="1" x14ac:dyDescent="0.25">
      <c r="A62" s="215">
        <v>44571</v>
      </c>
      <c r="B62" s="882" t="s">
        <v>256</v>
      </c>
      <c r="C62" s="879"/>
      <c r="D62" s="879"/>
      <c r="E62" s="875" t="s">
        <v>25</v>
      </c>
      <c r="F62" s="780"/>
      <c r="G62" s="982">
        <v>200</v>
      </c>
      <c r="H62" s="1060">
        <v>200</v>
      </c>
      <c r="I62" s="1063"/>
      <c r="J62" s="622"/>
      <c r="K62" s="982"/>
      <c r="L62" s="622"/>
      <c r="M62" s="982"/>
      <c r="N62" s="861"/>
      <c r="P62" s="878"/>
    </row>
    <row r="63" spans="1:38" s="224" customFormat="1" x14ac:dyDescent="0.25">
      <c r="A63" s="215">
        <v>44572</v>
      </c>
      <c r="B63" s="882" t="s">
        <v>256</v>
      </c>
      <c r="C63" s="879"/>
      <c r="D63" s="879"/>
      <c r="E63" s="875" t="s">
        <v>25</v>
      </c>
      <c r="F63" s="780"/>
      <c r="G63" s="982">
        <v>4200</v>
      </c>
      <c r="H63" s="1060">
        <v>4200</v>
      </c>
      <c r="I63" s="1063"/>
      <c r="J63" s="622"/>
      <c r="K63" s="982"/>
      <c r="L63" s="622"/>
      <c r="M63" s="982"/>
      <c r="N63" s="861"/>
      <c r="P63" s="878"/>
    </row>
    <row r="64" spans="1:38" s="224" customFormat="1" ht="15" customHeight="1" x14ac:dyDescent="0.25">
      <c r="A64" s="215">
        <v>44572</v>
      </c>
      <c r="B64" s="349" t="s">
        <v>1661</v>
      </c>
      <c r="C64" s="352" t="s">
        <v>12</v>
      </c>
      <c r="D64" s="874"/>
      <c r="E64" s="875" t="s">
        <v>13</v>
      </c>
      <c r="F64" s="852">
        <v>4156.26</v>
      </c>
      <c r="G64" s="957"/>
      <c r="H64" s="622"/>
      <c r="I64" s="982"/>
      <c r="J64" s="622"/>
      <c r="K64" s="982">
        <v>4156.26</v>
      </c>
      <c r="L64" s="622"/>
      <c r="M64" s="982"/>
    </row>
    <row r="65" spans="1:43" s="224" customFormat="1" ht="15" customHeight="1" x14ac:dyDescent="0.25">
      <c r="A65" s="215">
        <v>44572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16</v>
      </c>
      <c r="G65" s="982"/>
      <c r="H65" s="1008"/>
      <c r="I65" s="1063"/>
      <c r="J65" s="622"/>
      <c r="K65" s="982"/>
      <c r="L65" s="622"/>
      <c r="M65" s="982"/>
      <c r="N65" s="1029"/>
    </row>
    <row r="66" spans="1:43" s="224" customFormat="1" ht="15" customHeight="1" x14ac:dyDescent="0.25">
      <c r="A66" s="215">
        <v>44572</v>
      </c>
      <c r="B66" s="882" t="s">
        <v>3197</v>
      </c>
      <c r="C66" s="879" t="s">
        <v>12</v>
      </c>
      <c r="D66" s="879" t="s">
        <v>1489</v>
      </c>
      <c r="E66" s="875" t="s">
        <v>13</v>
      </c>
      <c r="F66" s="780">
        <v>35</v>
      </c>
      <c r="G66" s="982"/>
      <c r="H66" s="622"/>
      <c r="I66" s="982"/>
      <c r="J66" s="622"/>
      <c r="K66" s="982"/>
      <c r="L66" s="622"/>
      <c r="M66" s="982"/>
      <c r="N66" s="927"/>
      <c r="O66" s="927"/>
      <c r="P66" s="878"/>
    </row>
    <row r="67" spans="1:43" s="224" customFormat="1" ht="15" customHeight="1" x14ac:dyDescent="0.25">
      <c r="A67" s="215">
        <v>44573</v>
      </c>
      <c r="B67" s="882" t="s">
        <v>32</v>
      </c>
      <c r="C67" s="879" t="s">
        <v>12</v>
      </c>
      <c r="D67" s="879" t="s">
        <v>1485</v>
      </c>
      <c r="E67" s="875" t="s">
        <v>15</v>
      </c>
      <c r="F67" s="780">
        <v>16</v>
      </c>
      <c r="G67" s="982"/>
      <c r="H67" s="1008"/>
      <c r="I67" s="1063"/>
      <c r="J67" s="622"/>
      <c r="K67" s="982"/>
      <c r="L67" s="622"/>
      <c r="M67" s="982"/>
      <c r="N67" s="1029"/>
    </row>
    <row r="68" spans="1:43" s="224" customFormat="1" ht="15" customHeight="1" x14ac:dyDescent="0.25">
      <c r="A68" s="215">
        <v>44573</v>
      </c>
      <c r="B68" s="882" t="s">
        <v>14</v>
      </c>
      <c r="C68" s="879" t="s">
        <v>12</v>
      </c>
      <c r="D68" s="879" t="s">
        <v>1486</v>
      </c>
      <c r="E68" s="875" t="s">
        <v>13</v>
      </c>
      <c r="F68" s="780">
        <v>20.93</v>
      </c>
      <c r="G68" s="982"/>
      <c r="H68" s="622"/>
      <c r="I68" s="982"/>
      <c r="J68" s="622"/>
      <c r="K68" s="982"/>
      <c r="L68" s="622"/>
      <c r="M68" s="982"/>
      <c r="N68" s="927"/>
      <c r="O68" s="927"/>
      <c r="P68" s="878"/>
    </row>
    <row r="69" spans="1:43" s="224" customFormat="1" ht="15" customHeight="1" x14ac:dyDescent="0.25">
      <c r="A69" s="215">
        <v>44574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16</v>
      </c>
      <c r="G69" s="982"/>
      <c r="H69" s="1008"/>
      <c r="I69" s="1063"/>
      <c r="J69" s="622"/>
      <c r="K69" s="982"/>
      <c r="L69" s="622"/>
      <c r="M69" s="982"/>
      <c r="N69" s="1029"/>
    </row>
    <row r="70" spans="1:43" s="224" customFormat="1" ht="15" customHeight="1" x14ac:dyDescent="0.25">
      <c r="A70" s="215">
        <v>44574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780">
        <v>4.5</v>
      </c>
      <c r="G70" s="982"/>
      <c r="H70" s="622"/>
      <c r="I70" s="982"/>
      <c r="J70" s="622"/>
      <c r="K70" s="982"/>
      <c r="L70" s="622"/>
      <c r="M70" s="982"/>
      <c r="N70" s="927"/>
      <c r="O70" s="927"/>
      <c r="P70" s="878"/>
    </row>
    <row r="71" spans="1:43" s="224" customFormat="1" ht="15" customHeight="1" x14ac:dyDescent="0.25">
      <c r="A71" s="215">
        <v>44575</v>
      </c>
      <c r="B71" s="873" t="s">
        <v>3198</v>
      </c>
      <c r="C71" s="879" t="s">
        <v>12</v>
      </c>
      <c r="D71" s="879" t="s">
        <v>1504</v>
      </c>
      <c r="E71" s="871" t="s">
        <v>13</v>
      </c>
      <c r="F71" s="780">
        <v>35</v>
      </c>
      <c r="G71" s="946"/>
      <c r="H71" s="95"/>
      <c r="I71" s="1064"/>
      <c r="J71" s="97"/>
      <c r="K71" s="946"/>
      <c r="L71" s="97"/>
      <c r="M71" s="946"/>
      <c r="N71" s="926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</row>
    <row r="72" spans="1:43" s="224" customFormat="1" ht="15" customHeight="1" x14ac:dyDescent="0.25">
      <c r="A72" s="215">
        <v>44575</v>
      </c>
      <c r="B72" s="882" t="s">
        <v>3199</v>
      </c>
      <c r="C72" s="879" t="s">
        <v>19</v>
      </c>
      <c r="D72" s="879" t="s">
        <v>1525</v>
      </c>
      <c r="E72" s="875" t="s">
        <v>13</v>
      </c>
      <c r="F72" s="780">
        <v>79.599999999999994</v>
      </c>
      <c r="G72" s="982"/>
      <c r="H72" s="622"/>
      <c r="I72" s="982"/>
      <c r="J72" s="622"/>
      <c r="K72" s="982"/>
      <c r="L72" s="622"/>
      <c r="M72" s="982"/>
      <c r="N72" s="927"/>
      <c r="P72" s="878"/>
    </row>
    <row r="73" spans="1:43" s="224" customFormat="1" ht="15" customHeight="1" x14ac:dyDescent="0.25">
      <c r="A73" s="215">
        <v>44575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16</v>
      </c>
      <c r="G73" s="982"/>
      <c r="H73" s="1008"/>
      <c r="I73" s="1063"/>
      <c r="J73" s="622"/>
      <c r="K73" s="982"/>
      <c r="L73" s="622"/>
      <c r="M73" s="982"/>
      <c r="N73" s="1029"/>
    </row>
    <row r="74" spans="1:43" s="224" customFormat="1" ht="15" customHeight="1" x14ac:dyDescent="0.25">
      <c r="A74" s="215">
        <v>44575</v>
      </c>
      <c r="B74" s="364" t="s">
        <v>82</v>
      </c>
      <c r="C74" s="350" t="s">
        <v>12</v>
      </c>
      <c r="D74" s="350" t="s">
        <v>1493</v>
      </c>
      <c r="E74" s="875" t="s">
        <v>13</v>
      </c>
      <c r="F74" s="780">
        <v>33.25</v>
      </c>
      <c r="G74" s="946"/>
      <c r="H74" s="95"/>
      <c r="I74" s="1064"/>
      <c r="J74" s="97"/>
      <c r="K74" s="946"/>
      <c r="L74" s="97"/>
      <c r="M74" s="946"/>
      <c r="N74" s="926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</row>
    <row r="75" spans="1:43" s="224" customFormat="1" ht="15" customHeight="1" x14ac:dyDescent="0.25">
      <c r="A75" s="215">
        <v>44576</v>
      </c>
      <c r="B75" s="882" t="s">
        <v>2629</v>
      </c>
      <c r="C75" s="879" t="s">
        <v>19</v>
      </c>
      <c r="D75" s="879" t="s">
        <v>1489</v>
      </c>
      <c r="E75" s="875" t="s">
        <v>13</v>
      </c>
      <c r="F75" s="780">
        <v>108.5</v>
      </c>
      <c r="G75" s="982"/>
      <c r="H75" s="1008"/>
      <c r="I75" s="1063"/>
      <c r="J75" s="622"/>
      <c r="K75" s="982"/>
      <c r="L75" s="622"/>
      <c r="M75" s="982"/>
      <c r="N75" s="1029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</row>
    <row r="76" spans="1:43" s="224" customFormat="1" ht="15" customHeight="1" x14ac:dyDescent="0.25">
      <c r="A76" s="215">
        <v>44576</v>
      </c>
      <c r="B76" s="882" t="s">
        <v>2766</v>
      </c>
      <c r="C76" s="879" t="s">
        <v>12</v>
      </c>
      <c r="D76" s="879" t="s">
        <v>2157</v>
      </c>
      <c r="E76" s="875" t="s">
        <v>13</v>
      </c>
      <c r="F76" s="780">
        <v>60</v>
      </c>
      <c r="G76" s="982"/>
      <c r="H76" s="1008"/>
      <c r="I76" s="1063"/>
      <c r="J76" s="622"/>
      <c r="K76" s="982"/>
      <c r="L76" s="622"/>
      <c r="M76" s="982"/>
      <c r="N76" s="1029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</row>
    <row r="77" spans="1:43" s="224" customFormat="1" ht="15" customHeight="1" x14ac:dyDescent="0.25">
      <c r="A77" s="215">
        <v>44576</v>
      </c>
      <c r="B77" s="882" t="s">
        <v>80</v>
      </c>
      <c r="C77" s="879" t="s">
        <v>12</v>
      </c>
      <c r="D77" s="879" t="s">
        <v>1523</v>
      </c>
      <c r="E77" s="875" t="s">
        <v>13</v>
      </c>
      <c r="F77" s="780">
        <v>38</v>
      </c>
      <c r="G77" s="982"/>
      <c r="H77" s="1008"/>
      <c r="I77" s="1063"/>
      <c r="J77" s="622"/>
      <c r="K77" s="982"/>
      <c r="L77" s="622"/>
      <c r="M77" s="982"/>
      <c r="N77" s="1029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</row>
    <row r="78" spans="1:43" s="224" customFormat="1" ht="15" customHeight="1" x14ac:dyDescent="0.25">
      <c r="A78" s="215">
        <v>44576</v>
      </c>
      <c r="B78" s="364" t="s">
        <v>82</v>
      </c>
      <c r="C78" s="350" t="s">
        <v>12</v>
      </c>
      <c r="D78" s="350" t="s">
        <v>1493</v>
      </c>
      <c r="E78" s="875" t="s">
        <v>13</v>
      </c>
      <c r="F78" s="780">
        <v>40</v>
      </c>
      <c r="G78" s="982"/>
      <c r="H78" s="1008"/>
      <c r="I78" s="1063"/>
      <c r="J78" s="622"/>
      <c r="K78" s="982"/>
      <c r="L78" s="622"/>
      <c r="M78" s="982"/>
      <c r="N78" s="1029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</row>
    <row r="79" spans="1:43" s="224" customFormat="1" ht="15" customHeight="1" x14ac:dyDescent="0.25">
      <c r="A79" s="215">
        <v>44577</v>
      </c>
      <c r="B79" s="882" t="s">
        <v>14</v>
      </c>
      <c r="C79" s="879" t="s">
        <v>12</v>
      </c>
      <c r="D79" s="879" t="s">
        <v>1486</v>
      </c>
      <c r="E79" s="875" t="s">
        <v>13</v>
      </c>
      <c r="F79" s="780">
        <v>13.64</v>
      </c>
      <c r="G79" s="982"/>
      <c r="H79" s="622"/>
      <c r="I79" s="982"/>
      <c r="J79" s="622"/>
      <c r="K79" s="982"/>
      <c r="L79" s="622"/>
      <c r="M79" s="982"/>
      <c r="N79" s="927"/>
      <c r="O79" s="927"/>
      <c r="P79" s="878"/>
    </row>
    <row r="80" spans="1:43" s="224" customFormat="1" ht="15" customHeight="1" x14ac:dyDescent="0.25">
      <c r="A80" s="215">
        <v>44577</v>
      </c>
      <c r="B80" s="882" t="s">
        <v>3200</v>
      </c>
      <c r="C80" s="879" t="s">
        <v>12</v>
      </c>
      <c r="D80" s="879" t="s">
        <v>1491</v>
      </c>
      <c r="E80" s="871" t="s">
        <v>13</v>
      </c>
      <c r="F80" s="780">
        <v>6</v>
      </c>
      <c r="G80" s="982"/>
      <c r="H80" s="1008"/>
      <c r="I80" s="1063"/>
      <c r="J80" s="622"/>
      <c r="K80" s="982"/>
      <c r="L80" s="622"/>
      <c r="M80" s="982"/>
      <c r="N80" s="1037"/>
      <c r="O80" s="1029"/>
      <c r="P80" s="1029"/>
      <c r="Q80" s="1082"/>
    </row>
    <row r="81" spans="1:43" s="224" customFormat="1" ht="15" customHeight="1" x14ac:dyDescent="0.25">
      <c r="A81" s="215">
        <v>44577</v>
      </c>
      <c r="B81" s="882" t="s">
        <v>3201</v>
      </c>
      <c r="C81" s="879" t="s">
        <v>12</v>
      </c>
      <c r="D81" s="879" t="s">
        <v>1491</v>
      </c>
      <c r="E81" s="871" t="s">
        <v>15</v>
      </c>
      <c r="F81" s="780">
        <v>8</v>
      </c>
      <c r="G81" s="982"/>
      <c r="H81" s="1008"/>
      <c r="I81" s="1063"/>
      <c r="J81" s="622"/>
      <c r="K81" s="982"/>
      <c r="L81" s="622"/>
      <c r="M81" s="982"/>
      <c r="N81" s="1037"/>
      <c r="O81" s="1029"/>
      <c r="P81" s="1029"/>
      <c r="Q81" s="1082"/>
    </row>
    <row r="82" spans="1:43" s="224" customFormat="1" ht="15" customHeight="1" x14ac:dyDescent="0.25">
      <c r="A82" s="215">
        <v>44577</v>
      </c>
      <c r="B82" s="882" t="s">
        <v>3202</v>
      </c>
      <c r="C82" s="879" t="s">
        <v>12</v>
      </c>
      <c r="D82" s="879" t="s">
        <v>1491</v>
      </c>
      <c r="E82" s="871" t="s">
        <v>13</v>
      </c>
      <c r="F82" s="780">
        <v>3</v>
      </c>
      <c r="G82" s="982"/>
      <c r="H82" s="1008"/>
      <c r="I82" s="1063"/>
      <c r="J82" s="622"/>
      <c r="K82" s="982"/>
      <c r="L82" s="622"/>
      <c r="M82" s="982"/>
      <c r="N82" s="1117"/>
      <c r="O82" s="1029"/>
      <c r="P82" s="1029"/>
      <c r="Q82" s="1082"/>
    </row>
    <row r="83" spans="1:43" s="224" customFormat="1" ht="15" customHeight="1" x14ac:dyDescent="0.25">
      <c r="A83" s="215">
        <v>44578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16</v>
      </c>
      <c r="G83" s="982"/>
      <c r="H83" s="1008"/>
      <c r="I83" s="1063"/>
      <c r="J83" s="622"/>
      <c r="K83" s="982"/>
      <c r="L83" s="622"/>
      <c r="M83" s="982"/>
      <c r="N83" s="1028"/>
    </row>
    <row r="84" spans="1:43" s="224" customFormat="1" ht="15" customHeight="1" x14ac:dyDescent="0.25">
      <c r="A84" s="215">
        <v>44578</v>
      </c>
      <c r="B84" s="882" t="s">
        <v>256</v>
      </c>
      <c r="C84" s="879"/>
      <c r="D84" s="879"/>
      <c r="E84" s="875" t="s">
        <v>25</v>
      </c>
      <c r="F84" s="780"/>
      <c r="G84" s="982">
        <v>800</v>
      </c>
      <c r="H84" s="1060">
        <v>800</v>
      </c>
      <c r="I84" s="1033"/>
      <c r="J84" s="880"/>
      <c r="K84" s="1033"/>
      <c r="L84" s="880"/>
      <c r="M84" s="1033"/>
      <c r="N84" s="1080"/>
      <c r="O84" s="927"/>
      <c r="P84" s="878"/>
    </row>
    <row r="85" spans="1:43" s="224" customFormat="1" ht="15" customHeight="1" x14ac:dyDescent="0.25">
      <c r="A85" s="215">
        <v>44578</v>
      </c>
      <c r="B85" s="873" t="s">
        <v>3203</v>
      </c>
      <c r="C85" s="874" t="s">
        <v>12</v>
      </c>
      <c r="D85" s="874" t="s">
        <v>1486</v>
      </c>
      <c r="E85" s="875" t="s">
        <v>13</v>
      </c>
      <c r="F85" s="850">
        <v>16</v>
      </c>
      <c r="G85" s="1033"/>
      <c r="H85" s="880"/>
      <c r="I85" s="1033"/>
      <c r="J85" s="880"/>
      <c r="K85" s="1033"/>
      <c r="L85" s="880"/>
      <c r="M85" s="1033"/>
      <c r="N85" s="1080"/>
      <c r="O85" s="927"/>
      <c r="P85" s="878"/>
    </row>
    <row r="86" spans="1:43" s="224" customFormat="1" ht="15" customHeight="1" x14ac:dyDescent="0.25">
      <c r="A86" s="215">
        <v>44579</v>
      </c>
      <c r="B86" s="873" t="s">
        <v>445</v>
      </c>
      <c r="C86" s="874" t="s">
        <v>12</v>
      </c>
      <c r="D86" s="874" t="s">
        <v>1493</v>
      </c>
      <c r="E86" s="875" t="s">
        <v>13</v>
      </c>
      <c r="F86" s="850">
        <v>6</v>
      </c>
      <c r="G86" s="1033"/>
      <c r="H86" s="880"/>
      <c r="I86" s="1033"/>
      <c r="J86" s="880"/>
      <c r="K86" s="1033"/>
      <c r="L86" s="880"/>
      <c r="M86" s="1033"/>
      <c r="N86" s="1080"/>
      <c r="O86" s="927"/>
      <c r="P86" s="878"/>
    </row>
    <row r="87" spans="1:43" s="224" customFormat="1" ht="15" customHeight="1" x14ac:dyDescent="0.25">
      <c r="A87" s="215">
        <v>44579</v>
      </c>
      <c r="B87" s="882" t="s">
        <v>3204</v>
      </c>
      <c r="C87" s="879" t="s">
        <v>12</v>
      </c>
      <c r="D87" s="879" t="s">
        <v>1489</v>
      </c>
      <c r="E87" s="875" t="s">
        <v>13</v>
      </c>
      <c r="F87" s="780">
        <v>70</v>
      </c>
      <c r="G87" s="982"/>
      <c r="H87" s="622"/>
      <c r="I87" s="982"/>
      <c r="J87" s="622"/>
      <c r="K87" s="982"/>
      <c r="L87" s="622"/>
      <c r="M87" s="982"/>
      <c r="N87" s="1119" t="s">
        <v>3205</v>
      </c>
      <c r="O87" s="1027"/>
      <c r="P87" s="878"/>
    </row>
    <row r="88" spans="1:43" s="224" customFormat="1" ht="15" customHeight="1" x14ac:dyDescent="0.25">
      <c r="A88" s="215">
        <v>44579</v>
      </c>
      <c r="B88" s="882" t="s">
        <v>3206</v>
      </c>
      <c r="C88" s="879" t="s">
        <v>12</v>
      </c>
      <c r="D88" s="879" t="s">
        <v>1489</v>
      </c>
      <c r="E88" s="875" t="s">
        <v>13</v>
      </c>
      <c r="F88" s="780">
        <v>80</v>
      </c>
      <c r="G88" s="982"/>
      <c r="H88" s="622"/>
      <c r="I88" s="982"/>
      <c r="J88" s="622"/>
      <c r="K88" s="982"/>
      <c r="L88" s="622"/>
      <c r="M88" s="982"/>
      <c r="N88" s="3146" t="s">
        <v>3205</v>
      </c>
      <c r="O88" s="3147"/>
      <c r="P88" s="878"/>
    </row>
    <row r="89" spans="1:43" s="224" customFormat="1" ht="15" customHeight="1" x14ac:dyDescent="0.25">
      <c r="A89" s="215">
        <v>44579</v>
      </c>
      <c r="B89" s="882" t="s">
        <v>14</v>
      </c>
      <c r="C89" s="879" t="s">
        <v>12</v>
      </c>
      <c r="D89" s="879" t="s">
        <v>1486</v>
      </c>
      <c r="E89" s="875" t="s">
        <v>13</v>
      </c>
      <c r="F89" s="780">
        <v>4.47</v>
      </c>
      <c r="G89" s="982"/>
      <c r="H89" s="622"/>
      <c r="I89" s="982"/>
      <c r="J89" s="622"/>
      <c r="K89" s="982"/>
      <c r="L89" s="622"/>
      <c r="M89" s="982"/>
      <c r="N89" s="927"/>
      <c r="O89" s="927"/>
      <c r="P89" s="878"/>
    </row>
    <row r="90" spans="1:43" s="224" customFormat="1" ht="15" customHeight="1" x14ac:dyDescent="0.25">
      <c r="A90" s="215">
        <v>44580</v>
      </c>
      <c r="B90" s="882" t="s">
        <v>2766</v>
      </c>
      <c r="C90" s="879" t="s">
        <v>12</v>
      </c>
      <c r="D90" s="879" t="s">
        <v>2157</v>
      </c>
      <c r="E90" s="875" t="s">
        <v>15</v>
      </c>
      <c r="F90" s="780">
        <v>50</v>
      </c>
      <c r="G90" s="982"/>
      <c r="H90" s="1008"/>
      <c r="I90" s="1063"/>
      <c r="J90" s="622"/>
      <c r="K90" s="982"/>
      <c r="L90" s="622"/>
      <c r="M90" s="982"/>
      <c r="N90" s="1029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</row>
    <row r="91" spans="1:43" s="224" customFormat="1" ht="15" customHeight="1" x14ac:dyDescent="0.25">
      <c r="A91" s="215">
        <v>44580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16</v>
      </c>
      <c r="G91" s="982"/>
      <c r="H91" s="1008"/>
      <c r="I91" s="1063"/>
      <c r="J91" s="622"/>
      <c r="K91" s="982"/>
      <c r="L91" s="622"/>
      <c r="M91" s="982"/>
      <c r="N91" s="1028"/>
    </row>
    <row r="92" spans="1:43" s="224" customFormat="1" ht="15" customHeight="1" x14ac:dyDescent="0.25">
      <c r="A92" s="215">
        <v>44581</v>
      </c>
      <c r="B92" s="862" t="s">
        <v>2867</v>
      </c>
      <c r="C92" s="350" t="s">
        <v>12</v>
      </c>
      <c r="D92" s="874" t="s">
        <v>1504</v>
      </c>
      <c r="E92" s="887" t="s">
        <v>13</v>
      </c>
      <c r="F92" s="852"/>
      <c r="G92" s="982"/>
      <c r="H92" s="1009"/>
      <c r="I92" s="1063"/>
      <c r="J92" s="853"/>
      <c r="K92" s="982"/>
      <c r="L92" s="853"/>
      <c r="M92" s="982"/>
      <c r="N92" s="3166" t="s">
        <v>3125</v>
      </c>
      <c r="O92" s="3166"/>
      <c r="P92" s="3166"/>
      <c r="Q92" s="3166"/>
      <c r="R92" s="3166"/>
      <c r="S92" s="3166"/>
      <c r="T92" s="3166"/>
      <c r="U92" s="3166"/>
    </row>
    <row r="93" spans="1:43" s="224" customFormat="1" x14ac:dyDescent="0.25">
      <c r="A93" s="215">
        <v>44581</v>
      </c>
      <c r="B93" s="364" t="s">
        <v>2977</v>
      </c>
      <c r="C93" s="350" t="s">
        <v>12</v>
      </c>
      <c r="D93" s="350" t="s">
        <v>1491</v>
      </c>
      <c r="E93" s="875" t="s">
        <v>13</v>
      </c>
      <c r="F93" s="780">
        <v>300</v>
      </c>
      <c r="G93" s="982"/>
      <c r="H93" s="1008"/>
      <c r="I93" s="1063"/>
      <c r="J93" s="622"/>
      <c r="K93" s="982"/>
      <c r="L93" s="622"/>
      <c r="M93" s="982"/>
      <c r="N93" s="1029"/>
      <c r="O93" s="89"/>
      <c r="P93" s="930"/>
    </row>
    <row r="94" spans="1:43" s="224" customFormat="1" ht="15" customHeight="1" x14ac:dyDescent="0.25">
      <c r="A94" s="215">
        <v>44581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16</v>
      </c>
      <c r="G94" s="982"/>
      <c r="H94" s="1008"/>
      <c r="I94" s="1063"/>
      <c r="J94" s="622"/>
      <c r="K94" s="982"/>
      <c r="L94" s="622"/>
      <c r="M94" s="982"/>
      <c r="N94" s="1028"/>
    </row>
    <row r="95" spans="1:43" s="224" customFormat="1" ht="15" customHeight="1" x14ac:dyDescent="0.25">
      <c r="A95" s="215">
        <v>44581</v>
      </c>
      <c r="B95" s="882" t="s">
        <v>14</v>
      </c>
      <c r="C95" s="879" t="s">
        <v>12</v>
      </c>
      <c r="D95" s="879" t="s">
        <v>1486</v>
      </c>
      <c r="E95" s="875" t="s">
        <v>13</v>
      </c>
      <c r="F95" s="780">
        <v>9.9</v>
      </c>
      <c r="G95" s="982"/>
      <c r="H95" s="622"/>
      <c r="I95" s="982"/>
      <c r="J95" s="622"/>
      <c r="K95" s="982"/>
      <c r="L95" s="622"/>
      <c r="M95" s="982"/>
      <c r="N95" s="927"/>
      <c r="O95" s="927"/>
      <c r="P95" s="878"/>
    </row>
    <row r="96" spans="1:43" s="224" customFormat="1" ht="15" customHeight="1" x14ac:dyDescent="0.25">
      <c r="A96" s="215">
        <v>44582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16</v>
      </c>
      <c r="G96" s="982"/>
      <c r="H96" s="622"/>
      <c r="I96" s="982"/>
      <c r="J96" s="622"/>
      <c r="K96" s="982"/>
      <c r="L96" s="622"/>
      <c r="M96" s="982"/>
      <c r="N96" s="927"/>
      <c r="P96" s="878"/>
    </row>
    <row r="97" spans="1:16" s="224" customFormat="1" ht="15" customHeight="1" x14ac:dyDescent="0.25">
      <c r="A97" s="215">
        <v>44614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780">
        <v>3.27</v>
      </c>
      <c r="G97" s="982"/>
      <c r="H97" s="622"/>
      <c r="I97" s="982"/>
      <c r="J97" s="622"/>
      <c r="K97" s="982"/>
      <c r="L97" s="622"/>
      <c r="M97" s="982"/>
      <c r="N97" s="927"/>
      <c r="P97" s="878"/>
    </row>
    <row r="98" spans="1:16" s="224" customFormat="1" x14ac:dyDescent="0.25">
      <c r="A98" s="215">
        <v>44614</v>
      </c>
      <c r="B98" s="364" t="s">
        <v>3207</v>
      </c>
      <c r="C98" s="350" t="s">
        <v>12</v>
      </c>
      <c r="D98" s="350" t="s">
        <v>1493</v>
      </c>
      <c r="E98" s="875" t="s">
        <v>13</v>
      </c>
      <c r="F98" s="780">
        <v>41.84</v>
      </c>
      <c r="G98" s="982"/>
      <c r="H98" s="1008"/>
      <c r="I98" s="1063"/>
      <c r="J98" s="622"/>
      <c r="K98" s="982"/>
      <c r="L98" s="622"/>
      <c r="M98" s="982"/>
      <c r="N98" s="861"/>
      <c r="P98" s="878"/>
    </row>
    <row r="99" spans="1:16" s="224" customFormat="1" ht="15" customHeight="1" x14ac:dyDescent="0.25">
      <c r="A99" s="215">
        <v>44583</v>
      </c>
      <c r="B99" s="349" t="s">
        <v>82</v>
      </c>
      <c r="C99" s="350" t="s">
        <v>12</v>
      </c>
      <c r="D99" s="350" t="s">
        <v>1493</v>
      </c>
      <c r="E99" s="875" t="s">
        <v>13</v>
      </c>
      <c r="F99" s="780">
        <v>23.6</v>
      </c>
      <c r="G99" s="946"/>
      <c r="H99" s="95"/>
      <c r="I99" s="1064"/>
      <c r="J99" s="622"/>
      <c r="K99" s="982"/>
      <c r="L99" s="622"/>
      <c r="M99" s="982"/>
      <c r="N99" s="861"/>
    </row>
    <row r="100" spans="1:16" s="224" customFormat="1" ht="15" customHeight="1" x14ac:dyDescent="0.25">
      <c r="A100" s="215">
        <v>44584</v>
      </c>
      <c r="B100" s="882" t="s">
        <v>14</v>
      </c>
      <c r="C100" s="879" t="s">
        <v>12</v>
      </c>
      <c r="D100" s="879" t="s">
        <v>1486</v>
      </c>
      <c r="E100" s="875" t="s">
        <v>13</v>
      </c>
      <c r="F100" s="780">
        <v>5.91</v>
      </c>
      <c r="G100" s="982"/>
      <c r="H100" s="622"/>
      <c r="I100" s="982"/>
      <c r="J100" s="622"/>
      <c r="K100" s="982"/>
      <c r="L100" s="622"/>
      <c r="M100" s="982"/>
      <c r="N100" s="927"/>
      <c r="O100" s="927"/>
      <c r="P100" s="878"/>
    </row>
    <row r="101" spans="1:16" s="224" customFormat="1" x14ac:dyDescent="0.25">
      <c r="A101" s="215">
        <v>44584</v>
      </c>
      <c r="B101" s="364" t="s">
        <v>134</v>
      </c>
      <c r="C101" s="350" t="s">
        <v>12</v>
      </c>
      <c r="D101" s="350" t="s">
        <v>1493</v>
      </c>
      <c r="E101" s="875" t="s">
        <v>13</v>
      </c>
      <c r="F101" s="780">
        <v>15.94</v>
      </c>
      <c r="G101" s="982"/>
      <c r="H101" s="1008"/>
      <c r="I101" s="1063"/>
      <c r="J101" s="622"/>
      <c r="K101" s="982"/>
      <c r="L101" s="622"/>
      <c r="M101" s="982"/>
      <c r="N101" s="861"/>
      <c r="P101" s="878"/>
    </row>
    <row r="102" spans="1:16" s="224" customFormat="1" ht="15" customHeight="1" x14ac:dyDescent="0.25">
      <c r="A102" s="215">
        <v>44585</v>
      </c>
      <c r="B102" s="882" t="s">
        <v>3208</v>
      </c>
      <c r="C102" s="879" t="s">
        <v>12</v>
      </c>
      <c r="D102" s="879" t="s">
        <v>1485</v>
      </c>
      <c r="E102" s="875" t="s">
        <v>13</v>
      </c>
      <c r="F102" s="780">
        <v>26</v>
      </c>
      <c r="G102" s="982"/>
      <c r="H102" s="622"/>
      <c r="I102" s="982"/>
      <c r="J102" s="622"/>
      <c r="K102" s="982"/>
      <c r="L102" s="622"/>
      <c r="M102" s="982"/>
      <c r="N102" s="927"/>
      <c r="P102" s="878"/>
    </row>
    <row r="103" spans="1:16" s="224" customFormat="1" ht="15" customHeight="1" x14ac:dyDescent="0.25">
      <c r="A103" s="215">
        <v>44585</v>
      </c>
      <c r="B103" s="882" t="s">
        <v>32</v>
      </c>
      <c r="C103" s="879" t="s">
        <v>12</v>
      </c>
      <c r="D103" s="879" t="s">
        <v>1485</v>
      </c>
      <c r="E103" s="875" t="s">
        <v>13</v>
      </c>
      <c r="F103" s="780">
        <v>16</v>
      </c>
      <c r="G103" s="982"/>
      <c r="H103" s="622"/>
      <c r="I103" s="982"/>
      <c r="J103" s="622"/>
      <c r="K103" s="982"/>
      <c r="L103" s="622"/>
      <c r="M103" s="982"/>
      <c r="N103" s="927"/>
      <c r="P103" s="878"/>
    </row>
    <row r="104" spans="1:16" s="224" customFormat="1" ht="15" customHeight="1" x14ac:dyDescent="0.25">
      <c r="A104" s="215">
        <v>44585</v>
      </c>
      <c r="B104" s="882" t="s">
        <v>14</v>
      </c>
      <c r="C104" s="879" t="s">
        <v>12</v>
      </c>
      <c r="D104" s="879" t="s">
        <v>1486</v>
      </c>
      <c r="E104" s="875" t="s">
        <v>13</v>
      </c>
      <c r="F104" s="780">
        <v>8.7100000000000009</v>
      </c>
      <c r="G104" s="982"/>
      <c r="H104" s="622"/>
      <c r="I104" s="982"/>
      <c r="J104" s="622"/>
      <c r="K104" s="982"/>
      <c r="L104" s="622"/>
      <c r="M104" s="982"/>
      <c r="N104" s="927"/>
      <c r="O104" s="927"/>
      <c r="P104" s="878"/>
    </row>
    <row r="105" spans="1:16" s="224" customFormat="1" x14ac:dyDescent="0.25">
      <c r="A105" s="215">
        <v>44585</v>
      </c>
      <c r="B105" s="882" t="s">
        <v>2766</v>
      </c>
      <c r="C105" s="879" t="s">
        <v>12</v>
      </c>
      <c r="D105" s="879" t="s">
        <v>2157</v>
      </c>
      <c r="E105" s="875" t="s">
        <v>13</v>
      </c>
      <c r="F105" s="780">
        <v>60</v>
      </c>
      <c r="G105" s="982"/>
      <c r="H105" s="1008"/>
      <c r="I105" s="1063"/>
      <c r="J105" s="622"/>
      <c r="K105" s="982"/>
      <c r="L105" s="622"/>
      <c r="M105" s="982"/>
      <c r="N105" s="861"/>
      <c r="P105" s="878"/>
    </row>
    <row r="106" spans="1:16" s="224" customFormat="1" ht="15" customHeight="1" x14ac:dyDescent="0.25">
      <c r="A106" s="215">
        <v>44586</v>
      </c>
      <c r="B106" s="882" t="s">
        <v>3209</v>
      </c>
      <c r="C106" s="879" t="s">
        <v>12</v>
      </c>
      <c r="D106" s="879" t="s">
        <v>1499</v>
      </c>
      <c r="E106" s="871" t="s">
        <v>13</v>
      </c>
      <c r="F106" s="780">
        <v>27.74</v>
      </c>
      <c r="G106" s="946"/>
      <c r="H106" s="95"/>
      <c r="I106" s="1064"/>
      <c r="J106" s="622"/>
      <c r="K106" s="982"/>
      <c r="L106" s="622"/>
      <c r="M106" s="982"/>
      <c r="N106" s="861"/>
    </row>
    <row r="107" spans="1:16" s="224" customFormat="1" ht="15" customHeight="1" x14ac:dyDescent="0.25">
      <c r="A107" s="215">
        <v>44586</v>
      </c>
      <c r="B107" s="882" t="s">
        <v>32</v>
      </c>
      <c r="C107" s="879" t="s">
        <v>12</v>
      </c>
      <c r="D107" s="879" t="s">
        <v>1485</v>
      </c>
      <c r="E107" s="875" t="s">
        <v>13</v>
      </c>
      <c r="F107" s="780">
        <v>16</v>
      </c>
      <c r="G107" s="982"/>
      <c r="H107" s="622"/>
      <c r="I107" s="982"/>
      <c r="J107" s="622"/>
      <c r="K107" s="982"/>
      <c r="L107" s="622"/>
      <c r="M107" s="982"/>
      <c r="N107" s="927"/>
      <c r="P107" s="878"/>
    </row>
    <row r="108" spans="1:16" s="224" customFormat="1" ht="15" customHeight="1" x14ac:dyDescent="0.25">
      <c r="A108" s="215">
        <v>44586</v>
      </c>
      <c r="B108" s="873" t="s">
        <v>445</v>
      </c>
      <c r="C108" s="874" t="s">
        <v>12</v>
      </c>
      <c r="D108" s="874" t="s">
        <v>1493</v>
      </c>
      <c r="E108" s="875" t="s">
        <v>13</v>
      </c>
      <c r="F108" s="850">
        <v>5</v>
      </c>
      <c r="G108" s="1033"/>
      <c r="H108" s="880"/>
      <c r="I108" s="1033"/>
      <c r="J108" s="880"/>
      <c r="K108" s="1033"/>
      <c r="L108" s="880"/>
      <c r="M108" s="1033"/>
      <c r="N108" s="1080"/>
      <c r="O108" s="927"/>
      <c r="P108" s="878"/>
    </row>
    <row r="109" spans="1:16" s="224" customFormat="1" ht="15" customHeight="1" x14ac:dyDescent="0.25">
      <c r="A109" s="215">
        <v>44586</v>
      </c>
      <c r="B109" s="882" t="s">
        <v>3210</v>
      </c>
      <c r="C109" s="879" t="s">
        <v>12</v>
      </c>
      <c r="D109" s="879" t="s">
        <v>1522</v>
      </c>
      <c r="E109" s="871" t="s">
        <v>13</v>
      </c>
      <c r="F109" s="780">
        <v>150</v>
      </c>
      <c r="G109" s="946"/>
      <c r="H109" s="95"/>
      <c r="I109" s="1064"/>
      <c r="J109" s="622"/>
      <c r="K109" s="982"/>
      <c r="L109" s="622"/>
      <c r="M109" s="982"/>
      <c r="N109" s="861"/>
    </row>
    <row r="110" spans="1:16" s="224" customFormat="1" ht="15" customHeight="1" x14ac:dyDescent="0.25">
      <c r="A110" s="215">
        <v>44586</v>
      </c>
      <c r="B110" s="882" t="s">
        <v>256</v>
      </c>
      <c r="C110" s="879"/>
      <c r="D110" s="879"/>
      <c r="E110" s="875" t="s">
        <v>25</v>
      </c>
      <c r="F110" s="780"/>
      <c r="G110" s="982">
        <v>300</v>
      </c>
      <c r="H110" s="1060">
        <v>300</v>
      </c>
      <c r="I110" s="1033"/>
      <c r="J110" s="880"/>
      <c r="K110" s="1033"/>
      <c r="L110" s="880"/>
      <c r="M110" s="1033"/>
      <c r="N110" s="1080"/>
      <c r="O110" s="927"/>
      <c r="P110" s="878"/>
    </row>
    <row r="111" spans="1:16" s="224" customFormat="1" ht="15" customHeight="1" x14ac:dyDescent="0.25">
      <c r="A111" s="215">
        <v>44587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780">
        <v>16</v>
      </c>
      <c r="G111" s="946"/>
      <c r="H111" s="95"/>
      <c r="I111" s="1064"/>
      <c r="J111" s="622"/>
      <c r="K111" s="982"/>
      <c r="L111" s="622"/>
      <c r="M111" s="982"/>
      <c r="N111" s="861"/>
    </row>
    <row r="112" spans="1:16" s="224" customFormat="1" ht="15" customHeight="1" x14ac:dyDescent="0.25">
      <c r="A112" s="215">
        <v>44587</v>
      </c>
      <c r="B112" s="862" t="s">
        <v>3046</v>
      </c>
      <c r="C112" s="879" t="s">
        <v>12</v>
      </c>
      <c r="D112" s="879" t="s">
        <v>1504</v>
      </c>
      <c r="E112" s="871" t="s">
        <v>13</v>
      </c>
      <c r="F112" s="622">
        <v>25.9</v>
      </c>
      <c r="G112" s="1034"/>
      <c r="H112" s="1008"/>
      <c r="I112" s="1063"/>
      <c r="J112" s="622"/>
      <c r="K112" s="982"/>
      <c r="L112" s="622"/>
      <c r="M112" s="982"/>
      <c r="N112" s="475"/>
      <c r="P112" s="878"/>
    </row>
    <row r="113" spans="1:40" s="224" customFormat="1" ht="15" customHeight="1" x14ac:dyDescent="0.25">
      <c r="A113" s="215">
        <v>44587</v>
      </c>
      <c r="B113" s="882" t="s">
        <v>2197</v>
      </c>
      <c r="C113" s="879" t="s">
        <v>12</v>
      </c>
      <c r="D113" s="879" t="s">
        <v>2168</v>
      </c>
      <c r="E113" s="875" t="s">
        <v>13</v>
      </c>
      <c r="F113" s="780">
        <v>40</v>
      </c>
      <c r="G113" s="982"/>
      <c r="H113" s="1008"/>
      <c r="I113" s="1063"/>
      <c r="J113" s="622"/>
      <c r="K113" s="982"/>
      <c r="L113" s="622"/>
      <c r="M113" s="982"/>
      <c r="N113" s="1029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s="224" customFormat="1" ht="15" customHeight="1" x14ac:dyDescent="0.25">
      <c r="A114" s="215">
        <v>44588</v>
      </c>
      <c r="B114" s="882" t="s">
        <v>32</v>
      </c>
      <c r="C114" s="879" t="s">
        <v>12</v>
      </c>
      <c r="D114" s="879" t="s">
        <v>1485</v>
      </c>
      <c r="E114" s="875" t="s">
        <v>13</v>
      </c>
      <c r="F114" s="780">
        <v>16</v>
      </c>
      <c r="G114" s="982"/>
      <c r="H114" s="622"/>
      <c r="I114" s="982"/>
      <c r="J114" s="622"/>
      <c r="K114" s="982"/>
      <c r="L114" s="622"/>
      <c r="M114" s="982"/>
      <c r="N114" s="927"/>
      <c r="P114" s="878"/>
    </row>
    <row r="115" spans="1:40" s="224" customFormat="1" ht="15" customHeight="1" x14ac:dyDescent="0.25">
      <c r="A115" s="215">
        <v>44588</v>
      </c>
      <c r="B115" s="873" t="s">
        <v>445</v>
      </c>
      <c r="C115" s="874" t="s">
        <v>12</v>
      </c>
      <c r="D115" s="874" t="s">
        <v>1493</v>
      </c>
      <c r="E115" s="875" t="s">
        <v>13</v>
      </c>
      <c r="F115" s="780">
        <v>5</v>
      </c>
      <c r="G115" s="982"/>
      <c r="H115" s="1008"/>
      <c r="I115" s="1063"/>
      <c r="J115" s="622"/>
      <c r="K115" s="982"/>
      <c r="L115" s="622"/>
      <c r="M115" s="982"/>
      <c r="N115" s="861"/>
      <c r="P115" s="1035"/>
    </row>
    <row r="116" spans="1:40" s="224" customFormat="1" ht="15" customHeight="1" x14ac:dyDescent="0.25">
      <c r="A116" s="215">
        <v>44589</v>
      </c>
      <c r="B116" s="882" t="s">
        <v>32</v>
      </c>
      <c r="C116" s="879" t="s">
        <v>12</v>
      </c>
      <c r="D116" s="879" t="s">
        <v>1485</v>
      </c>
      <c r="E116" s="875" t="s">
        <v>13</v>
      </c>
      <c r="F116" s="780">
        <v>16</v>
      </c>
      <c r="G116" s="982"/>
      <c r="H116" s="622"/>
      <c r="I116" s="982"/>
      <c r="J116" s="622"/>
      <c r="K116" s="982"/>
      <c r="L116" s="622"/>
      <c r="M116" s="982"/>
      <c r="N116" s="927"/>
      <c r="P116" s="878"/>
    </row>
    <row r="117" spans="1:40" s="224" customFormat="1" ht="15" customHeight="1" x14ac:dyDescent="0.25">
      <c r="A117" s="215">
        <v>44589</v>
      </c>
      <c r="B117" s="349" t="s">
        <v>3211</v>
      </c>
      <c r="C117" s="879" t="s">
        <v>12</v>
      </c>
      <c r="D117" s="350" t="s">
        <v>1522</v>
      </c>
      <c r="E117" s="875" t="s">
        <v>13</v>
      </c>
      <c r="F117" s="780">
        <v>30</v>
      </c>
      <c r="G117" s="946"/>
      <c r="H117" s="95"/>
      <c r="I117" s="1064"/>
      <c r="J117" s="622"/>
      <c r="K117" s="982"/>
      <c r="L117" s="622"/>
      <c r="M117" s="982"/>
      <c r="N117" s="861"/>
      <c r="P117" s="927"/>
      <c r="Q117" s="999"/>
    </row>
    <row r="118" spans="1:40" s="224" customFormat="1" ht="15" customHeight="1" x14ac:dyDescent="0.25">
      <c r="A118" s="215">
        <v>44589</v>
      </c>
      <c r="B118" s="349" t="s">
        <v>3212</v>
      </c>
      <c r="C118" s="879" t="s">
        <v>12</v>
      </c>
      <c r="D118" s="350" t="s">
        <v>1522</v>
      </c>
      <c r="E118" s="875" t="s">
        <v>13</v>
      </c>
      <c r="F118" s="780">
        <v>14</v>
      </c>
      <c r="G118" s="946"/>
      <c r="H118" s="95"/>
      <c r="I118" s="1064"/>
      <c r="J118" s="622"/>
      <c r="K118" s="982"/>
      <c r="L118" s="622"/>
      <c r="M118" s="982"/>
      <c r="N118" s="861"/>
      <c r="P118" s="927"/>
      <c r="Q118" s="999"/>
    </row>
    <row r="119" spans="1:40" s="224" customFormat="1" ht="15" customHeight="1" x14ac:dyDescent="0.25">
      <c r="A119" s="215">
        <v>44589</v>
      </c>
      <c r="B119" s="882" t="s">
        <v>14</v>
      </c>
      <c r="C119" s="879" t="s">
        <v>12</v>
      </c>
      <c r="D119" s="879" t="s">
        <v>1486</v>
      </c>
      <c r="E119" s="875" t="s">
        <v>13</v>
      </c>
      <c r="F119" s="780">
        <v>16</v>
      </c>
      <c r="G119" s="982"/>
      <c r="H119" s="1008"/>
      <c r="I119" s="1063"/>
      <c r="J119" s="622"/>
      <c r="K119" s="982"/>
      <c r="L119" s="622"/>
      <c r="M119" s="982"/>
      <c r="N119" s="861"/>
      <c r="P119" s="1080"/>
      <c r="Q119" s="999"/>
    </row>
    <row r="120" spans="1:40" s="224" customFormat="1" x14ac:dyDescent="0.25">
      <c r="A120" s="215">
        <v>44590</v>
      </c>
      <c r="B120" s="882" t="s">
        <v>3213</v>
      </c>
      <c r="C120" s="879" t="s">
        <v>12</v>
      </c>
      <c r="D120" s="879" t="s">
        <v>2157</v>
      </c>
      <c r="E120" s="875" t="s">
        <v>13</v>
      </c>
      <c r="F120" s="780">
        <v>80</v>
      </c>
      <c r="G120" s="982"/>
      <c r="H120" s="1008"/>
      <c r="I120" s="1063"/>
      <c r="J120" s="622"/>
      <c r="K120" s="982"/>
      <c r="L120" s="622"/>
      <c r="M120" s="982"/>
      <c r="N120" s="861"/>
      <c r="P120" s="878"/>
    </row>
    <row r="121" spans="1:40" s="224" customFormat="1" ht="15" customHeight="1" x14ac:dyDescent="0.25">
      <c r="A121" s="215">
        <v>44590</v>
      </c>
      <c r="B121" s="364" t="s">
        <v>3214</v>
      </c>
      <c r="C121" s="350" t="s">
        <v>12</v>
      </c>
      <c r="D121" s="350" t="s">
        <v>1489</v>
      </c>
      <c r="E121" s="875" t="s">
        <v>13</v>
      </c>
      <c r="F121" s="780">
        <v>30</v>
      </c>
      <c r="G121" s="982"/>
      <c r="H121" s="1008"/>
      <c r="I121" s="1063"/>
      <c r="J121" s="622"/>
      <c r="K121" s="982"/>
      <c r="L121" s="622"/>
      <c r="M121" s="982"/>
      <c r="N121" s="861"/>
      <c r="P121" s="1080"/>
      <c r="Q121" s="999"/>
    </row>
    <row r="122" spans="1:40" s="224" customFormat="1" ht="15" customHeight="1" x14ac:dyDescent="0.25">
      <c r="A122" s="215">
        <v>44590</v>
      </c>
      <c r="B122" s="364" t="s">
        <v>3215</v>
      </c>
      <c r="C122" s="350" t="s">
        <v>12</v>
      </c>
      <c r="D122" s="350" t="s">
        <v>1493</v>
      </c>
      <c r="E122" s="875" t="s">
        <v>13</v>
      </c>
      <c r="F122" s="780">
        <v>20</v>
      </c>
      <c r="G122" s="982"/>
      <c r="H122" s="1008"/>
      <c r="I122" s="1063"/>
      <c r="J122" s="622"/>
      <c r="K122" s="982"/>
      <c r="L122" s="622"/>
      <c r="M122" s="982"/>
      <c r="N122" s="861"/>
      <c r="P122" s="1080"/>
      <c r="Q122" s="999"/>
    </row>
    <row r="123" spans="1:40" s="224" customFormat="1" ht="15" customHeight="1" x14ac:dyDescent="0.25">
      <c r="A123" s="215">
        <v>44590</v>
      </c>
      <c r="B123" s="882" t="s">
        <v>14</v>
      </c>
      <c r="C123" s="879" t="s">
        <v>12</v>
      </c>
      <c r="D123" s="879" t="s">
        <v>1486</v>
      </c>
      <c r="E123" s="875" t="s">
        <v>13</v>
      </c>
      <c r="F123" s="780">
        <v>10.039999999999999</v>
      </c>
      <c r="G123" s="982"/>
      <c r="H123" s="1008"/>
      <c r="I123" s="1063"/>
      <c r="J123" s="622"/>
      <c r="K123" s="982"/>
      <c r="L123" s="622"/>
      <c r="M123" s="982"/>
      <c r="N123" s="861"/>
      <c r="P123" s="1080"/>
      <c r="Q123" s="999"/>
    </row>
    <row r="124" spans="1:40" s="224" customFormat="1" ht="15" customHeight="1" x14ac:dyDescent="0.25">
      <c r="A124" s="215">
        <v>44591</v>
      </c>
      <c r="B124" s="882" t="s">
        <v>14</v>
      </c>
      <c r="C124" s="879" t="s">
        <v>12</v>
      </c>
      <c r="D124" s="879" t="s">
        <v>1486</v>
      </c>
      <c r="E124" s="875" t="s">
        <v>13</v>
      </c>
      <c r="F124" s="780">
        <v>11.73</v>
      </c>
      <c r="G124" s="982"/>
      <c r="H124" s="1008"/>
      <c r="I124" s="1063"/>
      <c r="J124" s="622"/>
      <c r="K124" s="982"/>
      <c r="L124" s="622"/>
      <c r="M124" s="982"/>
      <c r="N124" s="861"/>
      <c r="P124" s="1080"/>
      <c r="Q124" s="999"/>
    </row>
    <row r="125" spans="1:40" s="224" customFormat="1" ht="15" customHeight="1" x14ac:dyDescent="0.25">
      <c r="A125" s="215">
        <v>44591</v>
      </c>
      <c r="B125" s="364" t="s">
        <v>82</v>
      </c>
      <c r="C125" s="350" t="s">
        <v>12</v>
      </c>
      <c r="D125" s="350" t="s">
        <v>1493</v>
      </c>
      <c r="E125" s="875" t="s">
        <v>13</v>
      </c>
      <c r="F125" s="780">
        <v>25</v>
      </c>
      <c r="G125" s="982"/>
      <c r="H125" s="1008"/>
      <c r="I125" s="1063"/>
      <c r="J125" s="622"/>
      <c r="K125" s="982"/>
      <c r="L125" s="622"/>
      <c r="M125" s="982"/>
      <c r="N125" s="1029"/>
      <c r="O125" s="89"/>
      <c r="P125" s="1081"/>
      <c r="Q125" s="1082"/>
    </row>
    <row r="126" spans="1:40" s="224" customFormat="1" ht="15" customHeight="1" x14ac:dyDescent="0.25">
      <c r="A126" s="215">
        <v>44592</v>
      </c>
      <c r="B126" s="882" t="s">
        <v>32</v>
      </c>
      <c r="C126" s="879" t="s">
        <v>12</v>
      </c>
      <c r="D126" s="879" t="s">
        <v>1485</v>
      </c>
      <c r="E126" s="875" t="s">
        <v>13</v>
      </c>
      <c r="F126" s="780">
        <v>16</v>
      </c>
      <c r="G126" s="982"/>
      <c r="H126" s="1008"/>
      <c r="I126" s="1063"/>
      <c r="J126" s="622"/>
      <c r="K126" s="982"/>
      <c r="L126" s="622"/>
      <c r="M126" s="982"/>
      <c r="N126" s="1029"/>
      <c r="O126" s="89"/>
      <c r="P126" s="930"/>
    </row>
    <row r="127" spans="1:40" s="224" customFormat="1" ht="15.75" thickBot="1" x14ac:dyDescent="0.3">
      <c r="A127" s="215">
        <v>44592</v>
      </c>
      <c r="B127" s="862" t="s">
        <v>1666</v>
      </c>
      <c r="C127" s="350" t="s">
        <v>12</v>
      </c>
      <c r="D127" s="1003"/>
      <c r="E127" s="145" t="s">
        <v>25</v>
      </c>
      <c r="F127" s="1036"/>
      <c r="G127" s="1535"/>
      <c r="H127" s="1008"/>
      <c r="I127" s="1063"/>
      <c r="J127" s="622"/>
      <c r="K127" s="982">
        <v>135.94999999999999</v>
      </c>
      <c r="L127" s="1036"/>
      <c r="M127" s="1535"/>
      <c r="N127" s="475"/>
      <c r="P127" s="878"/>
    </row>
    <row r="128" spans="1:40" ht="25.5" customHeight="1" thickBot="1" x14ac:dyDescent="0.3">
      <c r="A128" s="3060"/>
      <c r="B128" s="3061"/>
      <c r="C128" s="3062"/>
      <c r="D128" s="3062"/>
      <c r="E128" s="3062"/>
      <c r="F128" s="1020">
        <f>SUM(F6:F127)</f>
        <v>9490.8150000000005</v>
      </c>
      <c r="G128" s="1534">
        <f>SUM(G5:G127)</f>
        <v>9880.2945833333506</v>
      </c>
      <c r="H128" s="517">
        <f>SUM(H6:H127)</f>
        <v>6200</v>
      </c>
      <c r="I128" s="93">
        <f>SUM(I5:I127)</f>
        <v>7199.9960000000028</v>
      </c>
      <c r="J128" s="1023">
        <f>SUM(J6:J127)</f>
        <v>0</v>
      </c>
      <c r="K128" s="93">
        <f>SUM(K5:K127)</f>
        <v>18003.55</v>
      </c>
      <c r="L128" s="1023">
        <f>SUM(L6:L127)</f>
        <v>0</v>
      </c>
      <c r="M128" s="93">
        <f>SUM(M5:M127)</f>
        <v>7800.12</v>
      </c>
      <c r="O128" s="216"/>
    </row>
    <row r="129" spans="1:22" ht="25.5" customHeight="1" thickBot="1" x14ac:dyDescent="0.3">
      <c r="A129" s="3117" t="s">
        <v>49</v>
      </c>
      <c r="B129" s="3118"/>
      <c r="C129" s="3118"/>
      <c r="D129" s="3118"/>
      <c r="E129" s="3118"/>
      <c r="F129" s="144" t="s">
        <v>280</v>
      </c>
      <c r="G129" s="519">
        <f>G128-F128</f>
        <v>389.47958333335009</v>
      </c>
      <c r="H129" s="555"/>
      <c r="I129" s="772">
        <f>I128-H128</f>
        <v>999.99600000000282</v>
      </c>
      <c r="J129" s="593"/>
      <c r="K129" s="772">
        <f>K128-J128</f>
        <v>18003.55</v>
      </c>
      <c r="L129" s="593"/>
      <c r="M129" s="772">
        <f>M128-L128</f>
        <v>7800.12</v>
      </c>
    </row>
    <row r="130" spans="1:22" x14ac:dyDescent="0.25">
      <c r="N130" s="89"/>
      <c r="P130" s="79"/>
      <c r="S130" s="518"/>
      <c r="T130" s="216"/>
      <c r="V130" s="877"/>
    </row>
    <row r="131" spans="1:22" x14ac:dyDescent="0.25">
      <c r="B131" s="81" t="s">
        <v>3</v>
      </c>
      <c r="C131" s="193" t="s">
        <v>1484</v>
      </c>
      <c r="D131" s="970" t="s">
        <v>2378</v>
      </c>
      <c r="E131" s="193" t="s">
        <v>3216</v>
      </c>
      <c r="F131" s="1061" t="s">
        <v>3217</v>
      </c>
      <c r="G131" s="216"/>
      <c r="K131" s="866"/>
      <c r="M131" s="866"/>
    </row>
    <row r="132" spans="1:22" x14ac:dyDescent="0.25">
      <c r="B132" s="79" t="s">
        <v>32</v>
      </c>
      <c r="C132" s="85" t="s">
        <v>1485</v>
      </c>
      <c r="D132" s="475">
        <f>SUMIF($D$12:$D$127,"A",$F$12:$F$127)</f>
        <v>387.90999999999997</v>
      </c>
      <c r="E132" s="1202">
        <f>D132/$J$151</f>
        <v>12.513225806451612</v>
      </c>
      <c r="F132" s="1203">
        <f>E132/$C$152</f>
        <v>9.5997129316851643E-2</v>
      </c>
      <c r="G132" s="800"/>
      <c r="I132" s="769"/>
      <c r="J132" s="868"/>
      <c r="L132" s="868"/>
    </row>
    <row r="133" spans="1:22" x14ac:dyDescent="0.25">
      <c r="B133" s="79" t="s">
        <v>2187</v>
      </c>
      <c r="C133" s="85" t="s">
        <v>2157</v>
      </c>
      <c r="D133" s="475">
        <f>SUMIF($D$8:$D$127,"GAC",$F$8:$F$127)</f>
        <v>727.2</v>
      </c>
      <c r="E133" s="1202">
        <f t="shared" ref="E133:E149" si="0">D133/$J$151</f>
        <v>23.458064516129035</v>
      </c>
      <c r="F133" s="1203">
        <f t="shared" ref="F133:F149" si="1">E133/$C$152</f>
        <v>0.17996213667916405</v>
      </c>
      <c r="G133" s="609"/>
      <c r="J133" s="754"/>
      <c r="K133" s="886"/>
      <c r="L133" s="754"/>
      <c r="M133" s="886"/>
      <c r="N133" s="1030"/>
    </row>
    <row r="134" spans="1:22" x14ac:dyDescent="0.25">
      <c r="B134" s="79" t="s">
        <v>2188</v>
      </c>
      <c r="C134" s="85" t="s">
        <v>2168</v>
      </c>
      <c r="D134" s="475">
        <f>SUMIF($D$8:$D$127,"GAM",$F$8:$F$127)</f>
        <v>70</v>
      </c>
      <c r="E134" s="1202">
        <f t="shared" si="0"/>
        <v>2.2580645161290325</v>
      </c>
      <c r="F134" s="1203">
        <f t="shared" si="1"/>
        <v>1.7323087964165956E-2</v>
      </c>
      <c r="J134" s="864"/>
      <c r="K134" s="864"/>
      <c r="L134" s="864"/>
      <c r="M134" s="864"/>
      <c r="N134" s="958"/>
    </row>
    <row r="135" spans="1:22" s="85" customFormat="1" x14ac:dyDescent="0.25">
      <c r="A135" s="79"/>
      <c r="B135" s="79" t="s">
        <v>50</v>
      </c>
      <c r="C135" s="85" t="s">
        <v>1493</v>
      </c>
      <c r="D135" s="475">
        <f>SUMIF($D$12:$D$127,"LD",$F$12:$F$127)</f>
        <v>382.52000000000004</v>
      </c>
      <c r="E135" s="1202">
        <f t="shared" si="0"/>
        <v>12.339354838709678</v>
      </c>
      <c r="F135" s="1203">
        <f t="shared" si="1"/>
        <v>9.4663251543610882E-2</v>
      </c>
      <c r="J135" s="864"/>
      <c r="K135" s="1032"/>
      <c r="L135" s="864"/>
      <c r="M135" s="1032"/>
      <c r="N135" s="958"/>
      <c r="P135" s="877"/>
    </row>
    <row r="136" spans="1:22" s="85" customFormat="1" x14ac:dyDescent="0.25">
      <c r="A136" s="79"/>
      <c r="B136" s="79" t="s">
        <v>14</v>
      </c>
      <c r="C136" s="85" t="s">
        <v>1486</v>
      </c>
      <c r="D136" s="475">
        <f>SUMIF($D$8:$D$127,"C",$F$8:$F$127)</f>
        <v>160.02999999999997</v>
      </c>
      <c r="E136" s="1202">
        <f t="shared" si="0"/>
        <v>5.162258064516128</v>
      </c>
      <c r="F136" s="1203">
        <f t="shared" si="1"/>
        <v>3.9603053812935392E-2</v>
      </c>
      <c r="G136" s="79"/>
      <c r="H136" s="79"/>
      <c r="J136" s="864"/>
      <c r="K136" s="1032"/>
      <c r="L136" s="864"/>
      <c r="M136" s="1032"/>
      <c r="N136" s="958"/>
      <c r="P136" s="877"/>
    </row>
    <row r="137" spans="1:22" s="85" customFormat="1" x14ac:dyDescent="0.25">
      <c r="A137" s="79"/>
      <c r="B137" s="79" t="s">
        <v>51</v>
      </c>
      <c r="C137" s="864" t="s">
        <v>1499</v>
      </c>
      <c r="D137" s="475">
        <f>SUMIF($D$42:$D$127,"CAL",$F$42:$F$127)</f>
        <v>87.74</v>
      </c>
      <c r="E137" s="1202">
        <f t="shared" si="0"/>
        <v>2.8303225806451611</v>
      </c>
      <c r="F137" s="1203">
        <f t="shared" si="1"/>
        <v>2.1713253399656011E-2</v>
      </c>
      <c r="G137" s="79"/>
      <c r="H137" s="79"/>
      <c r="I137" s="79"/>
      <c r="K137" s="795"/>
      <c r="M137" s="795"/>
      <c r="N137" s="958"/>
      <c r="P137" s="877"/>
    </row>
    <row r="138" spans="1:22" s="85" customFormat="1" x14ac:dyDescent="0.25">
      <c r="A138" s="79"/>
      <c r="B138" s="79" t="s">
        <v>2189</v>
      </c>
      <c r="C138" s="864" t="s">
        <v>1496</v>
      </c>
      <c r="D138" s="475">
        <f>SUMIF($D$34:$D$127,"AC",$F$34:$F$127)</f>
        <v>80</v>
      </c>
      <c r="E138" s="1202">
        <f t="shared" si="0"/>
        <v>2.5806451612903225</v>
      </c>
      <c r="F138" s="1203">
        <f t="shared" si="1"/>
        <v>1.9797814816189665E-2</v>
      </c>
      <c r="G138" s="79"/>
      <c r="K138" s="177"/>
      <c r="M138" s="177"/>
      <c r="N138" s="941"/>
      <c r="P138" s="877"/>
    </row>
    <row r="139" spans="1:22" s="85" customFormat="1" x14ac:dyDescent="0.25">
      <c r="A139" s="79"/>
      <c r="B139" s="867" t="s">
        <v>53</v>
      </c>
      <c r="C139" s="864" t="s">
        <v>1522</v>
      </c>
      <c r="D139" s="475">
        <f>SUMIF($D$12:$D$127,"DC",$F$12:$F$127)</f>
        <v>194</v>
      </c>
      <c r="E139" s="1202">
        <f t="shared" si="0"/>
        <v>6.258064516129032</v>
      </c>
      <c r="F139" s="1203">
        <f t="shared" si="1"/>
        <v>4.8009700929259935E-2</v>
      </c>
      <c r="K139" s="177"/>
      <c r="M139" s="177"/>
      <c r="N139" s="475"/>
      <c r="P139" s="877"/>
    </row>
    <row r="140" spans="1:22" s="85" customFormat="1" x14ac:dyDescent="0.25">
      <c r="A140" s="79"/>
      <c r="B140" s="867" t="s">
        <v>2149</v>
      </c>
      <c r="C140" s="864" t="s">
        <v>2131</v>
      </c>
      <c r="D140" s="475">
        <f>SUMIF($D$6:$D$127,"DM",$F$6:$F$127)</f>
        <v>84.5</v>
      </c>
      <c r="E140" s="1202">
        <f t="shared" si="0"/>
        <v>2.725806451612903</v>
      </c>
      <c r="F140" s="1203">
        <f t="shared" si="1"/>
        <v>2.0911441899600331E-2</v>
      </c>
      <c r="K140" s="177" t="s">
        <v>280</v>
      </c>
      <c r="M140" s="177" t="s">
        <v>280</v>
      </c>
      <c r="N140" s="475"/>
      <c r="P140" s="877"/>
    </row>
    <row r="141" spans="1:22" s="85" customFormat="1" x14ac:dyDescent="0.25">
      <c r="A141" s="79"/>
      <c r="B141" s="79" t="s">
        <v>3048</v>
      </c>
      <c r="C141" s="864" t="s">
        <v>1523</v>
      </c>
      <c r="D141" s="475">
        <f ca="1">SUMIF($D$7:$D$128,"B",$F$7:$F$127)</f>
        <v>567.02500000000009</v>
      </c>
      <c r="E141" s="1202">
        <f t="shared" ca="1" si="0"/>
        <v>18.291129032258066</v>
      </c>
      <c r="F141" s="1203">
        <f t="shared" ca="1" si="1"/>
        <v>0.14032319932687431</v>
      </c>
      <c r="G141" s="866"/>
      <c r="K141" s="177"/>
      <c r="M141" s="177"/>
      <c r="N141" s="475"/>
      <c r="P141" s="877"/>
    </row>
    <row r="142" spans="1:22" s="85" customFormat="1" x14ac:dyDescent="0.25">
      <c r="A142" s="79"/>
      <c r="B142" s="79" t="s">
        <v>1686</v>
      </c>
      <c r="C142" s="864" t="s">
        <v>1506</v>
      </c>
      <c r="D142" s="475">
        <f>SUMIF($D$8:$D$127,"R",$F$8:$F$127)</f>
        <v>193.8</v>
      </c>
      <c r="E142" s="1202">
        <f t="shared" si="0"/>
        <v>6.2516129032258068</v>
      </c>
      <c r="F142" s="1203">
        <f t="shared" si="1"/>
        <v>4.7960206392219464E-2</v>
      </c>
      <c r="G142" s="868"/>
      <c r="K142" s="866"/>
      <c r="M142" s="866"/>
      <c r="N142" s="475"/>
      <c r="P142" s="877"/>
    </row>
    <row r="143" spans="1:22" x14ac:dyDescent="0.25">
      <c r="B143" s="79" t="s">
        <v>418</v>
      </c>
      <c r="C143" s="85" t="s">
        <v>1524</v>
      </c>
      <c r="D143" s="475">
        <f>SUMIF($D$42:$D$127,"COM",$F$42:$F$127)</f>
        <v>0</v>
      </c>
      <c r="E143" s="1202">
        <f t="shared" si="0"/>
        <v>0</v>
      </c>
      <c r="F143" s="1203">
        <f t="shared" si="1"/>
        <v>0</v>
      </c>
      <c r="G143" s="85"/>
      <c r="H143" s="85"/>
      <c r="I143" s="85"/>
      <c r="J143" s="769"/>
      <c r="K143" s="216"/>
      <c r="L143" s="769"/>
      <c r="M143" s="216"/>
    </row>
    <row r="144" spans="1:22" x14ac:dyDescent="0.25">
      <c r="B144" s="79" t="s">
        <v>419</v>
      </c>
      <c r="C144" s="85" t="s">
        <v>1491</v>
      </c>
      <c r="D144" s="475">
        <f>SUMIF($D$34:$D$127,"F",$F$34:$F$127)</f>
        <v>833.5</v>
      </c>
      <c r="E144" s="1202">
        <f t="shared" si="0"/>
        <v>26.887096774193548</v>
      </c>
      <c r="F144" s="1203">
        <f t="shared" si="1"/>
        <v>0.20626848311617607</v>
      </c>
      <c r="I144" s="85"/>
      <c r="K144" s="216"/>
      <c r="M144" s="216"/>
    </row>
    <row r="145" spans="1:20" x14ac:dyDescent="0.25">
      <c r="B145" s="79" t="s">
        <v>911</v>
      </c>
      <c r="C145" s="85" t="s">
        <v>1525</v>
      </c>
      <c r="D145" s="475">
        <f>SUMIF($D$8:$D$127,"FER",$F$8:$F$127)</f>
        <v>160.78</v>
      </c>
      <c r="E145" s="1202">
        <f t="shared" si="0"/>
        <v>5.1864516129032259</v>
      </c>
      <c r="F145" s="1203">
        <f t="shared" si="1"/>
        <v>3.978865832683718E-2</v>
      </c>
      <c r="J145" s="769"/>
      <c r="K145" s="868"/>
      <c r="L145" s="769"/>
      <c r="M145" s="868"/>
    </row>
    <row r="146" spans="1:20" x14ac:dyDescent="0.25">
      <c r="B146" s="79" t="s">
        <v>1526</v>
      </c>
      <c r="C146" s="85" t="s">
        <v>1504</v>
      </c>
      <c r="D146" s="475">
        <f>SUMIF($D$42:$D$127,"I",$F$42:$F$127)</f>
        <v>110.9</v>
      </c>
      <c r="E146" s="1202">
        <f t="shared" si="0"/>
        <v>3.5774193548387099</v>
      </c>
      <c r="F146" s="1203">
        <f t="shared" si="1"/>
        <v>2.7444720788942924E-2</v>
      </c>
      <c r="J146" s="769"/>
      <c r="K146" s="868"/>
      <c r="L146" s="769"/>
      <c r="M146" s="868"/>
    </row>
    <row r="147" spans="1:20" x14ac:dyDescent="0.25">
      <c r="B147" s="79" t="s">
        <v>2343</v>
      </c>
      <c r="C147" s="85" t="s">
        <v>2315</v>
      </c>
      <c r="D147" s="475">
        <f>SUMIF($D$12:$D$127,"E",$F$12:$F$127)</f>
        <v>0</v>
      </c>
      <c r="E147" s="1202">
        <f t="shared" si="0"/>
        <v>0</v>
      </c>
      <c r="F147" s="1203">
        <f t="shared" si="1"/>
        <v>0</v>
      </c>
      <c r="J147" s="769"/>
      <c r="K147" s="868"/>
      <c r="L147" s="769"/>
      <c r="M147" s="868"/>
    </row>
    <row r="148" spans="1:20" x14ac:dyDescent="0.25">
      <c r="B148" s="79" t="s">
        <v>3019</v>
      </c>
      <c r="C148" s="85" t="s">
        <v>3017</v>
      </c>
      <c r="D148" s="475">
        <f>SUMIF($D$6:$D$127,"IM",$F$6:$F$127)</f>
        <v>636.08000000000004</v>
      </c>
      <c r="E148" s="1202">
        <f t="shared" si="0"/>
        <v>20.518709677419356</v>
      </c>
      <c r="F148" s="1203">
        <f t="shared" si="1"/>
        <v>0.15741242560352403</v>
      </c>
      <c r="J148" s="769"/>
      <c r="L148" s="769"/>
    </row>
    <row r="149" spans="1:20" x14ac:dyDescent="0.25">
      <c r="B149" s="79" t="s">
        <v>1527</v>
      </c>
      <c r="C149" s="85" t="s">
        <v>1489</v>
      </c>
      <c r="D149" s="475">
        <f>SUMIF($D$12:$D$127,"OD",$F$12:$F$127)</f>
        <v>658.56999999999994</v>
      </c>
      <c r="E149" s="1202">
        <f t="shared" si="0"/>
        <v>21.244193548387095</v>
      </c>
      <c r="F149" s="1203">
        <f t="shared" si="1"/>
        <v>0.16297808629372532</v>
      </c>
    </row>
    <row r="150" spans="1:20" x14ac:dyDescent="0.25">
      <c r="C150" s="79"/>
      <c r="D150" s="629"/>
      <c r="E150" s="79"/>
      <c r="F150" s="79"/>
      <c r="N150" s="79"/>
      <c r="P150" s="79"/>
    </row>
    <row r="151" spans="1:20" x14ac:dyDescent="0.25">
      <c r="B151" s="79" t="s">
        <v>486</v>
      </c>
      <c r="C151" s="475">
        <f ca="1">H151/J151</f>
        <v>172.08241935483872</v>
      </c>
      <c r="F151" s="518" t="s">
        <v>487</v>
      </c>
      <c r="H151" s="629">
        <f ca="1">SUM(D132:D149)</f>
        <v>5334.5550000000003</v>
      </c>
      <c r="I151" s="216"/>
      <c r="J151" s="1517">
        <v>31</v>
      </c>
      <c r="L151" s="1517"/>
    </row>
    <row r="152" spans="1:20" ht="15.75" customHeight="1" x14ac:dyDescent="0.25">
      <c r="B152" s="1124" t="s">
        <v>3218</v>
      </c>
      <c r="C152" s="1125">
        <v>130.35</v>
      </c>
      <c r="E152" s="769"/>
      <c r="H152" s="85"/>
      <c r="K152" s="868"/>
      <c r="M152" s="868"/>
    </row>
    <row r="153" spans="1:20" x14ac:dyDescent="0.25">
      <c r="E153" s="79"/>
      <c r="F153" s="79"/>
      <c r="G153" s="85"/>
      <c r="H153" s="459"/>
      <c r="I153" s="85"/>
      <c r="J153" s="89"/>
      <c r="L153" s="89"/>
      <c r="N153" s="769"/>
      <c r="O153" s="518" t="s">
        <v>280</v>
      </c>
      <c r="P153" s="79"/>
      <c r="Q153" s="866"/>
      <c r="R153" s="484"/>
      <c r="T153" s="877"/>
    </row>
    <row r="154" spans="1:20" s="518" customFormat="1" x14ac:dyDescent="0.25">
      <c r="A154" s="79"/>
      <c r="B154" s="79"/>
      <c r="C154" s="1126">
        <f ca="1">C152-C151</f>
        <v>-41.732419354838726</v>
      </c>
      <c r="D154" s="1204">
        <f ca="1">C151/C152</f>
        <v>1.3201566502097333</v>
      </c>
      <c r="E154" s="79"/>
      <c r="F154" s="769"/>
      <c r="G154" s="85"/>
      <c r="H154" s="85"/>
      <c r="I154" s="89"/>
      <c r="J154" s="79"/>
      <c r="K154" s="79"/>
      <c r="L154" s="79"/>
      <c r="M154" s="79"/>
      <c r="N154" s="79"/>
      <c r="O154" s="79"/>
      <c r="P154" s="866"/>
      <c r="Q154" s="484"/>
      <c r="R154" s="79"/>
      <c r="S154" s="877"/>
      <c r="T154" s="79"/>
    </row>
    <row r="155" spans="1:20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484"/>
      <c r="O155" s="79"/>
      <c r="P155" s="877"/>
      <c r="Q155" s="79"/>
    </row>
    <row r="156" spans="1:20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484"/>
      <c r="O156" s="79"/>
      <c r="P156" s="877"/>
      <c r="Q156" s="79"/>
    </row>
    <row r="157" spans="1:20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216"/>
      <c r="J157" s="769"/>
      <c r="K157" s="866"/>
      <c r="L157" s="769"/>
      <c r="M157" s="866"/>
      <c r="N157" s="484"/>
      <c r="O157" s="79"/>
      <c r="P157" s="877"/>
      <c r="Q157" s="79"/>
    </row>
    <row r="158" spans="1:20" s="518" customFormat="1" x14ac:dyDescent="0.25">
      <c r="A158" s="79"/>
      <c r="B158" s="79"/>
      <c r="C158" s="79"/>
      <c r="D158" s="79"/>
      <c r="E158" s="79"/>
      <c r="F158" s="79"/>
      <c r="G158" s="79"/>
      <c r="H158" s="79"/>
      <c r="K158" s="866"/>
      <c r="M158" s="866"/>
      <c r="N158" s="484"/>
      <c r="O158" s="79"/>
      <c r="P158" s="877"/>
      <c r="Q158" s="79"/>
    </row>
    <row r="159" spans="1:20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769"/>
      <c r="M159" s="866"/>
      <c r="N159" s="484"/>
      <c r="O159" s="79"/>
      <c r="P159" s="877"/>
      <c r="Q159" s="79"/>
    </row>
    <row r="160" spans="1:20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8"/>
      <c r="L160" s="769"/>
      <c r="M160" s="868"/>
      <c r="N160" s="484"/>
      <c r="O160" s="79"/>
      <c r="P160" s="877"/>
      <c r="Q160" s="79"/>
    </row>
    <row r="161" spans="1:17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6"/>
      <c r="L161" s="769"/>
      <c r="M161" s="866"/>
      <c r="N161" s="484"/>
      <c r="O161" s="79"/>
      <c r="P161" s="877"/>
      <c r="Q161" s="79"/>
    </row>
    <row r="162" spans="1:17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79"/>
      <c r="J162" s="770"/>
      <c r="K162" s="866"/>
      <c r="L162" s="770"/>
      <c r="M162" s="866"/>
      <c r="N162" s="484"/>
      <c r="O162" s="79"/>
      <c r="P162" s="877"/>
      <c r="Q162" s="79"/>
    </row>
    <row r="163" spans="1:17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769"/>
      <c r="M163" s="868"/>
      <c r="N163" s="484"/>
      <c r="O163" s="79"/>
      <c r="P163" s="877"/>
      <c r="Q163" s="79"/>
    </row>
    <row r="164" spans="1:17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484"/>
      <c r="O164" s="79"/>
      <c r="P164" s="877"/>
      <c r="Q164" s="79"/>
    </row>
    <row r="165" spans="1:17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629"/>
      <c r="J165" s="769"/>
      <c r="K165" s="866"/>
      <c r="L165" s="769"/>
      <c r="M165" s="866"/>
      <c r="N165" s="484"/>
      <c r="O165" s="79"/>
      <c r="P165" s="877"/>
      <c r="Q165" s="79"/>
    </row>
    <row r="166" spans="1:17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484"/>
      <c r="O166" s="79"/>
      <c r="P166" s="877"/>
      <c r="Q166" s="79"/>
    </row>
    <row r="167" spans="1:17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769"/>
      <c r="M167" s="866"/>
      <c r="N167" s="484"/>
      <c r="O167" s="79"/>
      <c r="P167" s="877"/>
      <c r="Q167" s="79"/>
    </row>
    <row r="168" spans="1:17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484"/>
      <c r="O168" s="79"/>
      <c r="P168" s="877"/>
      <c r="Q168" s="79"/>
    </row>
    <row r="169" spans="1:17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484"/>
      <c r="O169" s="79"/>
      <c r="P169" s="877"/>
      <c r="Q169" s="79"/>
    </row>
    <row r="170" spans="1:17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484"/>
      <c r="O170" s="79"/>
      <c r="P170" s="877"/>
      <c r="Q170" s="79"/>
    </row>
    <row r="171" spans="1:17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769"/>
      <c r="M171" s="866"/>
      <c r="N171" s="484"/>
      <c r="O171" s="79"/>
      <c r="P171" s="877"/>
      <c r="Q171" s="79"/>
    </row>
    <row r="172" spans="1:17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769"/>
      <c r="M172" s="866"/>
      <c r="N172" s="484"/>
      <c r="O172" s="79"/>
      <c r="P172" s="877"/>
      <c r="Q172" s="79"/>
    </row>
    <row r="173" spans="1:17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769"/>
      <c r="M173" s="866"/>
      <c r="N173" s="484"/>
      <c r="O173" s="79"/>
      <c r="P173" s="877"/>
      <c r="Q173" s="79"/>
    </row>
    <row r="174" spans="1:17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769"/>
      <c r="M174" s="866"/>
      <c r="N174" s="484"/>
      <c r="O174" s="79"/>
      <c r="P174" s="877"/>
      <c r="Q174" s="79"/>
    </row>
    <row r="175" spans="1:17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769"/>
      <c r="M175" s="868"/>
      <c r="N175" s="484"/>
      <c r="O175" s="79"/>
      <c r="P175" s="877"/>
      <c r="Q175" s="79"/>
    </row>
    <row r="176" spans="1:17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769"/>
      <c r="M176" s="868"/>
      <c r="N176" s="484"/>
      <c r="O176" s="79"/>
      <c r="P176" s="877"/>
      <c r="Q176" s="79"/>
    </row>
    <row r="177" spans="1:17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769"/>
      <c r="M177" s="868"/>
      <c r="N177" s="484"/>
      <c r="O177" s="79"/>
      <c r="P177" s="877"/>
      <c r="Q177" s="79"/>
    </row>
    <row r="178" spans="1:17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769"/>
      <c r="M178" s="868"/>
      <c r="N178" s="484"/>
      <c r="O178" s="79"/>
      <c r="P178" s="877"/>
      <c r="Q178" s="79"/>
    </row>
    <row r="179" spans="1:17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769"/>
      <c r="M179" s="868"/>
      <c r="N179" s="484"/>
      <c r="O179" s="79"/>
      <c r="P179" s="877"/>
      <c r="Q179" s="79"/>
    </row>
    <row r="180" spans="1:17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769"/>
      <c r="M180" s="866"/>
      <c r="N180" s="484"/>
      <c r="O180" s="79"/>
      <c r="P180" s="877"/>
      <c r="Q180" s="79"/>
    </row>
    <row r="181" spans="1:17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769"/>
      <c r="M181" s="866"/>
      <c r="N181" s="484"/>
      <c r="O181" s="79"/>
      <c r="P181" s="877"/>
      <c r="Q181" s="79"/>
    </row>
    <row r="182" spans="1:17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769"/>
      <c r="M182" s="868"/>
      <c r="N182" s="484"/>
      <c r="O182" s="79"/>
      <c r="P182" s="877"/>
      <c r="Q182" s="79"/>
    </row>
    <row r="183" spans="1:17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769"/>
      <c r="M183" s="866"/>
      <c r="N183" s="484"/>
      <c r="O183" s="79"/>
      <c r="P183" s="877"/>
      <c r="Q183" s="79"/>
    </row>
    <row r="184" spans="1:17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769"/>
      <c r="M184" s="866"/>
      <c r="N184" s="484"/>
      <c r="O184" s="79"/>
      <c r="P184" s="877"/>
      <c r="Q184" s="79"/>
    </row>
    <row r="185" spans="1:17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769"/>
      <c r="M185" s="868"/>
      <c r="N185" s="484"/>
      <c r="O185" s="79"/>
      <c r="P185" s="877"/>
      <c r="Q185" s="79"/>
    </row>
    <row r="186" spans="1:17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769"/>
      <c r="M186" s="868"/>
      <c r="N186" s="484"/>
      <c r="O186" s="79"/>
      <c r="P186" s="877"/>
      <c r="Q186" s="79"/>
    </row>
    <row r="187" spans="1:17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769"/>
      <c r="M187" s="868"/>
      <c r="N187" s="484"/>
      <c r="O187" s="79"/>
      <c r="P187" s="877"/>
      <c r="Q187" s="79"/>
    </row>
    <row r="188" spans="1:17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769"/>
      <c r="M188" s="868"/>
      <c r="N188" s="484"/>
      <c r="O188" s="79"/>
      <c r="P188" s="877"/>
      <c r="Q188" s="79"/>
    </row>
    <row r="189" spans="1:17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769"/>
      <c r="M189" s="866"/>
      <c r="N189" s="484"/>
      <c r="O189" s="79"/>
      <c r="P189" s="877"/>
      <c r="Q189" s="79"/>
    </row>
    <row r="190" spans="1:17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223"/>
      <c r="K190" s="629"/>
      <c r="L190" s="223"/>
      <c r="M190" s="629"/>
      <c r="N190" s="484"/>
      <c r="O190" s="79"/>
      <c r="P190" s="877"/>
      <c r="Q190" s="79"/>
    </row>
    <row r="191" spans="1:17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56"/>
      <c r="K191" s="756"/>
      <c r="L191" s="756"/>
      <c r="M191" s="756"/>
      <c r="N191" s="484"/>
      <c r="O191" s="79"/>
      <c r="P191" s="877"/>
      <c r="Q191" s="79"/>
    </row>
    <row r="192" spans="1:17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484"/>
      <c r="O192" s="79"/>
      <c r="P192" s="877"/>
      <c r="Q192" s="79"/>
    </row>
    <row r="193" spans="1:17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484"/>
      <c r="O193" s="79"/>
      <c r="P193" s="877"/>
      <c r="Q193" s="79"/>
    </row>
    <row r="194" spans="1:17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484"/>
      <c r="O194" s="79"/>
      <c r="P194" s="877"/>
      <c r="Q194" s="79"/>
    </row>
    <row r="195" spans="1:17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484"/>
      <c r="O195" s="79"/>
      <c r="P195" s="877"/>
      <c r="Q195" s="79"/>
    </row>
    <row r="196" spans="1:17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85"/>
      <c r="M196" s="85"/>
      <c r="N196" s="484"/>
      <c r="O196" s="79"/>
      <c r="P196" s="877"/>
      <c r="Q196" s="79"/>
    </row>
    <row r="197" spans="1:17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484"/>
      <c r="O197" s="79"/>
      <c r="P197" s="877"/>
      <c r="Q197" s="79"/>
    </row>
    <row r="198" spans="1:17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484"/>
      <c r="O198" s="79"/>
      <c r="P198" s="877"/>
      <c r="Q198" s="79"/>
    </row>
    <row r="199" spans="1:17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484"/>
      <c r="O199" s="79"/>
      <c r="P199" s="877"/>
      <c r="Q199" s="79"/>
    </row>
    <row r="200" spans="1:17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484"/>
      <c r="O200" s="79"/>
      <c r="P200" s="877"/>
      <c r="Q200" s="79"/>
    </row>
    <row r="201" spans="1:17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484"/>
      <c r="O201" s="79"/>
      <c r="P201" s="877"/>
      <c r="Q201" s="79"/>
    </row>
    <row r="202" spans="1:17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484"/>
      <c r="O202" s="79"/>
      <c r="P202" s="877"/>
      <c r="Q202" s="79"/>
    </row>
    <row r="203" spans="1:17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85"/>
      <c r="M203" s="85"/>
      <c r="N203" s="484"/>
      <c r="O203" s="79"/>
      <c r="P203" s="877"/>
      <c r="Q203" s="79"/>
    </row>
    <row r="204" spans="1:17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484"/>
      <c r="O204" s="79"/>
      <c r="P204" s="877"/>
      <c r="Q204" s="79"/>
    </row>
    <row r="205" spans="1:17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484"/>
      <c r="O205" s="79"/>
      <c r="P205" s="877"/>
      <c r="Q205" s="79"/>
    </row>
    <row r="206" spans="1:17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484"/>
      <c r="O206" s="79"/>
      <c r="P206" s="877"/>
      <c r="Q206" s="79"/>
    </row>
    <row r="207" spans="1:17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484"/>
      <c r="O207" s="79"/>
      <c r="P207" s="877"/>
      <c r="Q207" s="79"/>
    </row>
    <row r="208" spans="1:17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484"/>
      <c r="O208" s="79"/>
      <c r="P208" s="877"/>
      <c r="Q208" s="79"/>
    </row>
    <row r="209" spans="1:17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484"/>
      <c r="O209" s="79"/>
      <c r="P209" s="877"/>
      <c r="Q209" s="79"/>
    </row>
    <row r="210" spans="1:17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71"/>
      <c r="L210" s="771"/>
      <c r="N210" s="484"/>
      <c r="O210" s="79"/>
      <c r="P210" s="877"/>
      <c r="Q210" s="79"/>
    </row>
    <row r="211" spans="1:17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484"/>
      <c r="O211" s="79"/>
      <c r="P211" s="877"/>
      <c r="Q211" s="79"/>
    </row>
    <row r="218" spans="1:17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484"/>
      <c r="O218" s="79"/>
      <c r="P218" s="877"/>
      <c r="Q218" s="79"/>
    </row>
    <row r="219" spans="1:17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484"/>
      <c r="O219" s="79"/>
      <c r="P219" s="877"/>
      <c r="Q219" s="79"/>
    </row>
    <row r="220" spans="1:17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484"/>
      <c r="O220" s="79"/>
      <c r="P220" s="877"/>
      <c r="Q220" s="79"/>
    </row>
    <row r="221" spans="1:17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484"/>
      <c r="O221" s="79"/>
      <c r="P221" s="877"/>
      <c r="Q221" s="79"/>
    </row>
    <row r="223" spans="1:17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484"/>
      <c r="O223" s="79"/>
      <c r="P223" s="877"/>
      <c r="Q223" s="79"/>
    </row>
    <row r="225" spans="1:17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629"/>
      <c r="L225" s="79"/>
      <c r="M225" s="629"/>
      <c r="N225" s="484"/>
      <c r="O225" s="79"/>
      <c r="P225" s="877"/>
      <c r="Q225" s="79"/>
    </row>
    <row r="231" spans="1:17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484"/>
      <c r="O231" s="79"/>
      <c r="P231" s="877"/>
      <c r="Q231" s="79"/>
    </row>
    <row r="232" spans="1:17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484"/>
      <c r="O232" s="79"/>
      <c r="P232" s="877"/>
      <c r="Q232" s="79"/>
    </row>
    <row r="233" spans="1:17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484"/>
      <c r="O233" s="79"/>
      <c r="P233" s="877"/>
      <c r="Q233" s="79"/>
    </row>
    <row r="234" spans="1:17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484"/>
      <c r="O234" s="79"/>
      <c r="P234" s="877"/>
      <c r="Q234" s="79"/>
    </row>
    <row r="235" spans="1:17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484"/>
      <c r="O235" s="79"/>
      <c r="P235" s="877"/>
      <c r="Q235" s="79"/>
    </row>
    <row r="236" spans="1:17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484"/>
      <c r="O236" s="79"/>
      <c r="P236" s="877"/>
      <c r="Q236" s="79"/>
    </row>
    <row r="237" spans="1:17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484"/>
      <c r="O237" s="79"/>
      <c r="P237" s="877"/>
      <c r="Q237" s="79"/>
    </row>
    <row r="238" spans="1:17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484"/>
      <c r="O238" s="79"/>
      <c r="P238" s="877"/>
      <c r="Q238" s="79"/>
    </row>
    <row r="239" spans="1:17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484"/>
      <c r="O239" s="79"/>
      <c r="P239" s="877"/>
      <c r="Q239" s="79"/>
    </row>
  </sheetData>
  <autoFilter ref="A2:I129" xr:uid="{00000000-0009-0000-0000-000078000000}"/>
  <mergeCells count="15">
    <mergeCell ref="A128:E128"/>
    <mergeCell ref="A129:E129"/>
    <mergeCell ref="A1:E1"/>
    <mergeCell ref="A2:A4"/>
    <mergeCell ref="B2:B4"/>
    <mergeCell ref="C2:C4"/>
    <mergeCell ref="D2:D4"/>
    <mergeCell ref="E2:E4"/>
    <mergeCell ref="N92:U92"/>
    <mergeCell ref="L2:M3"/>
    <mergeCell ref="N88:O88"/>
    <mergeCell ref="F1:M1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Plan4" filterMode="1"/>
  <dimension ref="A1:AQ234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AQ23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3" width="13.42578125" style="79" customWidth="1"/>
    <col min="14" max="14" width="15" style="484" customWidth="1"/>
    <col min="15" max="15" width="10.28515625" style="79" customWidth="1"/>
    <col min="16" max="16" width="13.28515625" style="877" customWidth="1"/>
    <col min="17" max="17" width="16.140625" style="79" customWidth="1"/>
    <col min="18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3219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</row>
    <row r="3" spans="1:17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hidden="1" x14ac:dyDescent="0.25">
      <c r="A5" s="281">
        <v>44593</v>
      </c>
      <c r="B5" s="369" t="s">
        <v>10</v>
      </c>
      <c r="C5" s="370"/>
      <c r="D5" s="370"/>
      <c r="E5" s="777"/>
      <c r="F5" s="179"/>
      <c r="G5" s="933">
        <f>'Janeiro-22'!G129</f>
        <v>389.47958333335009</v>
      </c>
      <c r="H5" s="163"/>
      <c r="I5" s="1479">
        <f>'Janeiro-22'!I129</f>
        <v>999.99600000000282</v>
      </c>
      <c r="J5" s="179"/>
      <c r="K5" s="933">
        <f>'Janeiro-22'!K129</f>
        <v>18003.55</v>
      </c>
      <c r="L5" s="179"/>
      <c r="M5" s="933">
        <f>'Janeiro-22'!M129</f>
        <v>7800.12</v>
      </c>
    </row>
    <row r="6" spans="1:17" s="224" customFormat="1" hidden="1" x14ac:dyDescent="0.25">
      <c r="A6" s="215">
        <v>44593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1037"/>
      <c r="O6" s="89"/>
      <c r="P6" s="878"/>
    </row>
    <row r="7" spans="1:17" s="224" customFormat="1" hidden="1" x14ac:dyDescent="0.25">
      <c r="A7" s="215">
        <v>44593</v>
      </c>
      <c r="B7" s="882" t="s">
        <v>2766</v>
      </c>
      <c r="C7" s="879" t="s">
        <v>12</v>
      </c>
      <c r="D7" s="879" t="s">
        <v>2157</v>
      </c>
      <c r="E7" s="875" t="s">
        <v>15</v>
      </c>
      <c r="F7" s="780">
        <v>80</v>
      </c>
      <c r="G7" s="982"/>
      <c r="H7" s="1008"/>
      <c r="I7" s="1063"/>
      <c r="J7" s="622"/>
      <c r="K7" s="982"/>
      <c r="L7" s="622"/>
      <c r="M7" s="982"/>
      <c r="N7" s="861"/>
      <c r="P7" s="878"/>
    </row>
    <row r="8" spans="1:17" s="224" customFormat="1" hidden="1" x14ac:dyDescent="0.25">
      <c r="A8" s="215">
        <v>44593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16</v>
      </c>
      <c r="G8" s="982"/>
      <c r="H8" s="1060"/>
      <c r="I8" s="1063"/>
      <c r="J8" s="622"/>
      <c r="K8" s="982"/>
      <c r="L8" s="622"/>
      <c r="M8" s="982"/>
      <c r="N8" s="861"/>
      <c r="P8" s="878"/>
    </row>
    <row r="9" spans="1:17" s="224" customFormat="1" x14ac:dyDescent="0.25">
      <c r="A9" s="215">
        <v>44593</v>
      </c>
      <c r="B9" s="882" t="s">
        <v>3220</v>
      </c>
      <c r="C9" s="879" t="s">
        <v>12</v>
      </c>
      <c r="D9" s="879" t="s">
        <v>1522</v>
      </c>
      <c r="E9" s="875" t="s">
        <v>13</v>
      </c>
      <c r="F9" s="780">
        <v>40</v>
      </c>
      <c r="G9" s="982"/>
      <c r="H9" s="1060"/>
      <c r="I9" s="1063"/>
      <c r="J9" s="622"/>
      <c r="K9" s="982"/>
      <c r="L9" s="622"/>
      <c r="M9" s="982"/>
      <c r="N9" s="861"/>
      <c r="P9" s="878"/>
    </row>
    <row r="10" spans="1:17" s="224" customFormat="1" ht="15" hidden="1" customHeight="1" x14ac:dyDescent="0.25">
      <c r="A10" s="215">
        <v>44593</v>
      </c>
      <c r="B10" s="882" t="s">
        <v>2766</v>
      </c>
      <c r="C10" s="879" t="s">
        <v>12</v>
      </c>
      <c r="D10" s="879" t="s">
        <v>2157</v>
      </c>
      <c r="E10" s="875" t="s">
        <v>13</v>
      </c>
      <c r="F10" s="780">
        <v>100</v>
      </c>
      <c r="G10" s="982"/>
      <c r="H10" s="1008"/>
      <c r="I10" s="1063"/>
      <c r="J10" s="622"/>
      <c r="K10" s="982"/>
      <c r="L10" s="622"/>
      <c r="M10" s="982"/>
      <c r="N10" s="1029"/>
    </row>
    <row r="11" spans="1:17" s="224" customFormat="1" ht="15" hidden="1" customHeight="1" x14ac:dyDescent="0.25">
      <c r="A11" s="215">
        <v>44594</v>
      </c>
      <c r="B11" s="882" t="s">
        <v>32</v>
      </c>
      <c r="C11" s="879" t="s">
        <v>12</v>
      </c>
      <c r="D11" s="879" t="s">
        <v>1485</v>
      </c>
      <c r="E11" s="875" t="s">
        <v>13</v>
      </c>
      <c r="F11" s="780">
        <v>16</v>
      </c>
      <c r="G11" s="982"/>
      <c r="H11" s="1008"/>
      <c r="I11" s="1063"/>
      <c r="J11" s="622"/>
      <c r="K11" s="982"/>
      <c r="L11" s="622"/>
      <c r="M11" s="982"/>
      <c r="N11" s="1029"/>
      <c r="O11" s="89"/>
      <c r="P11" s="1035"/>
    </row>
    <row r="12" spans="1:17" s="224" customFormat="1" ht="15" hidden="1" customHeight="1" x14ac:dyDescent="0.25">
      <c r="A12" s="215">
        <v>44595</v>
      </c>
      <c r="B12" s="882" t="s">
        <v>32</v>
      </c>
      <c r="C12" s="879" t="s">
        <v>12</v>
      </c>
      <c r="D12" s="879" t="s">
        <v>1485</v>
      </c>
      <c r="E12" s="875" t="s">
        <v>13</v>
      </c>
      <c r="F12" s="780">
        <v>16</v>
      </c>
      <c r="G12" s="982"/>
      <c r="H12" s="1008"/>
      <c r="I12" s="1063"/>
      <c r="J12" s="622"/>
      <c r="K12" s="982"/>
      <c r="L12" s="622"/>
      <c r="M12" s="982"/>
      <c r="N12" s="1029"/>
    </row>
    <row r="13" spans="1:17" s="224" customFormat="1" ht="15" hidden="1" customHeight="1" x14ac:dyDescent="0.25">
      <c r="A13" s="215">
        <v>44595</v>
      </c>
      <c r="B13" s="882" t="s">
        <v>478</v>
      </c>
      <c r="C13" s="879" t="s">
        <v>12</v>
      </c>
      <c r="D13" s="879" t="s">
        <v>1493</v>
      </c>
      <c r="E13" s="875" t="s">
        <v>13</v>
      </c>
      <c r="F13" s="780">
        <v>5.71</v>
      </c>
      <c r="G13" s="982"/>
      <c r="H13" s="1008"/>
      <c r="I13" s="1063"/>
      <c r="J13" s="622"/>
      <c r="K13" s="982"/>
      <c r="L13" s="622"/>
      <c r="M13" s="982"/>
      <c r="N13" s="1029"/>
      <c r="O13" s="89"/>
      <c r="P13" s="1035"/>
    </row>
    <row r="14" spans="1:17" s="224" customFormat="1" ht="15" hidden="1" customHeight="1" x14ac:dyDescent="0.25">
      <c r="A14" s="215">
        <v>44595</v>
      </c>
      <c r="B14" s="882" t="s">
        <v>1906</v>
      </c>
      <c r="C14" s="879" t="s">
        <v>12</v>
      </c>
      <c r="D14" s="879" t="s">
        <v>1493</v>
      </c>
      <c r="E14" s="875" t="s">
        <v>15</v>
      </c>
      <c r="F14" s="780">
        <v>14</v>
      </c>
      <c r="G14" s="982"/>
      <c r="H14" s="1008"/>
      <c r="I14" s="1063"/>
      <c r="J14" s="622"/>
      <c r="K14" s="982"/>
      <c r="L14" s="622"/>
      <c r="M14" s="982"/>
      <c r="N14" s="1029"/>
      <c r="O14" s="89"/>
      <c r="P14" s="1035"/>
    </row>
    <row r="15" spans="1:17" s="224" customFormat="1" ht="15.75" hidden="1" customHeight="1" x14ac:dyDescent="0.25">
      <c r="A15" s="215">
        <v>44596</v>
      </c>
      <c r="B15" s="873" t="s">
        <v>3221</v>
      </c>
      <c r="C15" s="879" t="s">
        <v>12</v>
      </c>
      <c r="D15" s="874"/>
      <c r="E15" s="871" t="s">
        <v>25</v>
      </c>
      <c r="F15" s="1524"/>
      <c r="G15" s="1002">
        <v>1537.29</v>
      </c>
      <c r="H15" s="538"/>
      <c r="I15" s="982"/>
      <c r="J15" s="622"/>
      <c r="K15" s="982"/>
      <c r="L15" s="622"/>
      <c r="M15" s="982"/>
      <c r="N15" s="178">
        <v>1537</v>
      </c>
    </row>
    <row r="16" spans="1:17" s="224" customFormat="1" ht="15.75" hidden="1" customHeight="1" x14ac:dyDescent="0.25">
      <c r="A16" s="215">
        <v>44596</v>
      </c>
      <c r="B16" s="873" t="s">
        <v>3222</v>
      </c>
      <c r="C16" s="879" t="s">
        <v>12</v>
      </c>
      <c r="D16" s="874"/>
      <c r="E16" s="871" t="s">
        <v>25</v>
      </c>
      <c r="F16" s="1524"/>
      <c r="G16" s="1002">
        <v>1380</v>
      </c>
      <c r="H16" s="538"/>
      <c r="I16" s="982"/>
      <c r="J16" s="622"/>
      <c r="K16" s="982"/>
      <c r="L16" s="622"/>
      <c r="M16" s="982"/>
      <c r="N16" s="178">
        <v>1380</v>
      </c>
    </row>
    <row r="17" spans="1:38" s="224" customFormat="1" ht="15" hidden="1" customHeight="1" x14ac:dyDescent="0.25">
      <c r="A17" s="215">
        <v>44596</v>
      </c>
      <c r="B17" s="349" t="s">
        <v>3223</v>
      </c>
      <c r="C17" s="887" t="s">
        <v>12</v>
      </c>
      <c r="D17" s="1005" t="s">
        <v>1489</v>
      </c>
      <c r="E17" s="887" t="s">
        <v>13</v>
      </c>
      <c r="F17" s="613">
        <v>113.17</v>
      </c>
      <c r="G17" s="982"/>
      <c r="H17" s="872"/>
      <c r="I17" s="1063"/>
      <c r="J17" s="622"/>
      <c r="K17" s="982"/>
      <c r="L17" s="622"/>
      <c r="M17" s="982"/>
      <c r="N17" s="927"/>
      <c r="O17" s="999"/>
      <c r="P17" s="878"/>
    </row>
    <row r="18" spans="1:38" s="224" customFormat="1" ht="15" hidden="1" customHeight="1" x14ac:dyDescent="0.25">
      <c r="A18" s="215">
        <v>44596</v>
      </c>
      <c r="B18" s="349" t="s">
        <v>3223</v>
      </c>
      <c r="C18" s="887" t="s">
        <v>12</v>
      </c>
      <c r="D18" s="1005" t="s">
        <v>1491</v>
      </c>
      <c r="E18" s="887" t="s">
        <v>13</v>
      </c>
      <c r="F18" s="1116">
        <v>74</v>
      </c>
      <c r="G18" s="982"/>
      <c r="H18" s="941"/>
      <c r="I18" s="1063"/>
      <c r="J18" s="622"/>
      <c r="K18" s="982"/>
      <c r="L18" s="622"/>
      <c r="M18" s="982"/>
      <c r="N18" s="927"/>
      <c r="O18" s="999"/>
      <c r="P18" s="878"/>
    </row>
    <row r="19" spans="1:38" s="224" customFormat="1" ht="15" customHeight="1" x14ac:dyDescent="0.25">
      <c r="A19" s="215">
        <v>44596</v>
      </c>
      <c r="B19" s="349" t="s">
        <v>3223</v>
      </c>
      <c r="C19" s="887" t="s">
        <v>12</v>
      </c>
      <c r="D19" s="1005" t="s">
        <v>1522</v>
      </c>
      <c r="E19" s="887" t="s">
        <v>13</v>
      </c>
      <c r="F19" s="1116">
        <v>85</v>
      </c>
      <c r="G19" s="982"/>
      <c r="H19" s="872"/>
      <c r="I19" s="1063"/>
      <c r="J19" s="622"/>
      <c r="K19" s="982"/>
      <c r="L19" s="622"/>
      <c r="M19" s="982"/>
      <c r="N19" s="927"/>
      <c r="O19" s="999"/>
      <c r="P19" s="878"/>
    </row>
    <row r="20" spans="1:38" s="224" customFormat="1" ht="15" hidden="1" customHeight="1" x14ac:dyDescent="0.25">
      <c r="A20" s="215">
        <v>44596</v>
      </c>
      <c r="B20" s="349" t="s">
        <v>3223</v>
      </c>
      <c r="C20" s="887" t="s">
        <v>12</v>
      </c>
      <c r="D20" s="1005" t="s">
        <v>1489</v>
      </c>
      <c r="E20" s="887" t="s">
        <v>13</v>
      </c>
      <c r="F20" s="613">
        <v>80</v>
      </c>
      <c r="G20" s="982"/>
      <c r="H20" s="872"/>
      <c r="I20" s="1063"/>
      <c r="J20" s="622"/>
      <c r="K20" s="982"/>
      <c r="L20" s="622"/>
      <c r="M20" s="982"/>
      <c r="N20" s="927"/>
      <c r="O20" s="999"/>
      <c r="P20" s="878"/>
    </row>
    <row r="21" spans="1:38" s="224" customFormat="1" ht="15" hidden="1" customHeight="1" x14ac:dyDescent="0.25">
      <c r="A21" s="215">
        <v>44596</v>
      </c>
      <c r="B21" s="349" t="s">
        <v>3223</v>
      </c>
      <c r="C21" s="887" t="s">
        <v>12</v>
      </c>
      <c r="D21" s="1005" t="s">
        <v>1523</v>
      </c>
      <c r="E21" s="887" t="s">
        <v>13</v>
      </c>
      <c r="F21" s="613">
        <v>184</v>
      </c>
      <c r="G21" s="982"/>
      <c r="H21" s="941"/>
      <c r="I21" s="1063"/>
      <c r="J21" s="622"/>
      <c r="K21" s="982"/>
      <c r="L21" s="622"/>
      <c r="M21" s="982"/>
      <c r="N21" s="927"/>
      <c r="O21" s="999"/>
      <c r="P21" s="878"/>
    </row>
    <row r="22" spans="1:38" s="224" customFormat="1" ht="15" hidden="1" customHeight="1" x14ac:dyDescent="0.25">
      <c r="A22" s="215">
        <v>44596</v>
      </c>
      <c r="B22" s="349" t="s">
        <v>3223</v>
      </c>
      <c r="C22" s="887" t="s">
        <v>12</v>
      </c>
      <c r="D22" s="1005" t="s">
        <v>1491</v>
      </c>
      <c r="E22" s="887" t="s">
        <v>13</v>
      </c>
      <c r="F22" s="613">
        <v>113.5</v>
      </c>
      <c r="G22" s="982"/>
      <c r="H22" s="872"/>
      <c r="I22" s="1063"/>
      <c r="J22" s="622"/>
      <c r="K22" s="982"/>
      <c r="L22" s="622"/>
      <c r="M22" s="982"/>
      <c r="N22" s="927"/>
      <c r="O22" s="999"/>
      <c r="P22" s="878"/>
    </row>
    <row r="23" spans="1:38" s="224" customFormat="1" ht="15" hidden="1" customHeight="1" x14ac:dyDescent="0.25">
      <c r="A23" s="215">
        <v>44596</v>
      </c>
      <c r="B23" s="349" t="s">
        <v>3223</v>
      </c>
      <c r="C23" s="887" t="s">
        <v>12</v>
      </c>
      <c r="D23" s="1005" t="s">
        <v>1506</v>
      </c>
      <c r="E23" s="887" t="s">
        <v>13</v>
      </c>
      <c r="F23" s="613">
        <v>30.27</v>
      </c>
      <c r="G23" s="982"/>
      <c r="H23" s="872"/>
      <c r="I23" s="1063"/>
      <c r="J23" s="622"/>
      <c r="K23" s="982"/>
      <c r="L23" s="622"/>
      <c r="M23" s="982"/>
      <c r="N23" s="927"/>
      <c r="O23" s="999"/>
      <c r="P23" s="878"/>
    </row>
    <row r="24" spans="1:38" s="224" customFormat="1" ht="15" hidden="1" customHeight="1" x14ac:dyDescent="0.25">
      <c r="A24" s="215">
        <v>44596</v>
      </c>
      <c r="B24" s="349" t="s">
        <v>3223</v>
      </c>
      <c r="C24" s="887" t="s">
        <v>12</v>
      </c>
      <c r="D24" s="1005" t="s">
        <v>1504</v>
      </c>
      <c r="E24" s="887" t="s">
        <v>13</v>
      </c>
      <c r="F24" s="613">
        <v>9.4499999999999993</v>
      </c>
      <c r="G24" s="982"/>
      <c r="H24" s="941"/>
      <c r="I24" s="1063"/>
      <c r="J24" s="622"/>
      <c r="K24" s="982"/>
      <c r="L24" s="622"/>
      <c r="M24" s="982"/>
      <c r="N24" s="927"/>
      <c r="O24" s="999"/>
      <c r="P24" s="878"/>
    </row>
    <row r="25" spans="1:38" s="224" customFormat="1" ht="15" hidden="1" customHeight="1" x14ac:dyDescent="0.25">
      <c r="A25" s="215">
        <v>44596</v>
      </c>
      <c r="B25" s="862" t="s">
        <v>2385</v>
      </c>
      <c r="C25" s="879" t="s">
        <v>12</v>
      </c>
      <c r="D25" s="879" t="s">
        <v>1504</v>
      </c>
      <c r="E25" s="871" t="s">
        <v>13</v>
      </c>
      <c r="F25" s="780">
        <v>50</v>
      </c>
      <c r="G25" s="982"/>
      <c r="H25" s="1008"/>
      <c r="I25" s="1063"/>
      <c r="J25" s="622"/>
      <c r="K25" s="982"/>
      <c r="L25" s="622"/>
      <c r="M25" s="982"/>
      <c r="N25" s="1028">
        <v>90</v>
      </c>
      <c r="O25" s="999"/>
      <c r="P25" s="1035"/>
    </row>
    <row r="26" spans="1:38" s="224" customFormat="1" ht="15" hidden="1" customHeight="1" x14ac:dyDescent="0.25">
      <c r="A26" s="215">
        <v>44596</v>
      </c>
      <c r="B26" s="882" t="s">
        <v>3224</v>
      </c>
      <c r="C26" s="879" t="s">
        <v>12</v>
      </c>
      <c r="D26" s="879" t="s">
        <v>1499</v>
      </c>
      <c r="E26" s="871" t="s">
        <v>13</v>
      </c>
      <c r="F26" s="780">
        <v>59.3</v>
      </c>
      <c r="G26" s="982"/>
      <c r="H26" s="1008"/>
      <c r="I26" s="1063"/>
      <c r="J26" s="622"/>
      <c r="K26" s="982"/>
      <c r="L26" s="622"/>
      <c r="M26" s="982"/>
      <c r="N26" s="1028">
        <v>139.30000000000001</v>
      </c>
      <c r="O26" s="999"/>
      <c r="P26" s="878"/>
    </row>
    <row r="27" spans="1:38" s="224" customFormat="1" ht="15" hidden="1" customHeight="1" x14ac:dyDescent="0.25">
      <c r="A27" s="215">
        <v>44596</v>
      </c>
      <c r="B27" s="364" t="s">
        <v>2977</v>
      </c>
      <c r="C27" s="350" t="s">
        <v>12</v>
      </c>
      <c r="D27" s="350" t="s">
        <v>1491</v>
      </c>
      <c r="E27" s="875" t="s">
        <v>13</v>
      </c>
      <c r="F27" s="780">
        <v>300</v>
      </c>
      <c r="G27" s="982"/>
      <c r="H27" s="1008"/>
      <c r="I27" s="1063"/>
      <c r="J27" s="622"/>
      <c r="K27" s="982"/>
      <c r="L27" s="622"/>
      <c r="M27" s="982"/>
      <c r="N27" s="861"/>
      <c r="P27" s="1035"/>
    </row>
    <row r="28" spans="1:38" hidden="1" x14ac:dyDescent="0.25">
      <c r="A28" s="215">
        <v>44596</v>
      </c>
      <c r="B28" s="876" t="s">
        <v>3060</v>
      </c>
      <c r="C28" s="879" t="s">
        <v>12</v>
      </c>
      <c r="D28" s="879" t="s">
        <v>1496</v>
      </c>
      <c r="E28" s="871" t="s">
        <v>13</v>
      </c>
      <c r="F28" s="780">
        <v>80</v>
      </c>
      <c r="G28" s="982"/>
      <c r="H28" s="1009"/>
      <c r="I28" s="1063"/>
      <c r="J28" s="622"/>
      <c r="K28" s="982"/>
      <c r="L28" s="622"/>
      <c r="M28" s="982"/>
      <c r="N28" s="1029"/>
    </row>
    <row r="29" spans="1:38" s="224" customFormat="1" hidden="1" x14ac:dyDescent="0.25">
      <c r="A29" s="215">
        <v>44596</v>
      </c>
      <c r="B29" s="882" t="s">
        <v>3225</v>
      </c>
      <c r="C29" s="879" t="s">
        <v>12</v>
      </c>
      <c r="D29" s="879" t="s">
        <v>3017</v>
      </c>
      <c r="E29" s="875" t="s">
        <v>13</v>
      </c>
      <c r="F29" s="780">
        <v>639.38</v>
      </c>
      <c r="G29" s="982"/>
      <c r="H29" s="1008"/>
      <c r="I29" s="1063"/>
      <c r="J29" s="622"/>
      <c r="K29" s="982"/>
      <c r="L29" s="622"/>
      <c r="M29" s="982">
        <v>639.38</v>
      </c>
      <c r="N29" s="861">
        <v>400</v>
      </c>
      <c r="O29" s="878" t="s">
        <v>3018</v>
      </c>
      <c r="P29" s="1035"/>
    </row>
    <row r="30" spans="1:38" s="224" customFormat="1" ht="15" customHeight="1" x14ac:dyDescent="0.25">
      <c r="A30" s="215">
        <v>44596</v>
      </c>
      <c r="B30" s="364" t="s">
        <v>3226</v>
      </c>
      <c r="C30" s="350" t="s">
        <v>12</v>
      </c>
      <c r="D30" s="350" t="s">
        <v>1522</v>
      </c>
      <c r="E30" s="875" t="s">
        <v>13</v>
      </c>
      <c r="F30" s="780">
        <v>151.63999999999999</v>
      </c>
      <c r="G30" s="982"/>
      <c r="H30" s="622"/>
      <c r="I30" s="982"/>
      <c r="J30" s="622"/>
      <c r="K30" s="982"/>
      <c r="L30" s="622"/>
      <c r="M30" s="982"/>
      <c r="N30" s="927">
        <v>151.63999999999999</v>
      </c>
      <c r="O30" s="927"/>
      <c r="P30" s="878"/>
    </row>
    <row r="31" spans="1:38" s="224" customFormat="1" ht="15" hidden="1" customHeight="1" x14ac:dyDescent="0.25">
      <c r="A31" s="215">
        <v>44596</v>
      </c>
      <c r="B31" s="364" t="s">
        <v>1396</v>
      </c>
      <c r="C31" s="350" t="s">
        <v>12</v>
      </c>
      <c r="D31" s="350"/>
      <c r="E31" s="480" t="s">
        <v>25</v>
      </c>
      <c r="F31" s="613"/>
      <c r="G31" s="967">
        <v>70</v>
      </c>
      <c r="H31" s="1008"/>
      <c r="I31" s="1063"/>
      <c r="J31" s="622"/>
      <c r="K31" s="982"/>
      <c r="L31" s="1110"/>
      <c r="M31" s="111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 s="224" customFormat="1" hidden="1" x14ac:dyDescent="0.25">
      <c r="A32" s="215">
        <v>44596</v>
      </c>
      <c r="B32" s="882" t="s">
        <v>32</v>
      </c>
      <c r="C32" s="879" t="s">
        <v>12</v>
      </c>
      <c r="D32" s="879" t="s">
        <v>1485</v>
      </c>
      <c r="E32" s="875" t="s">
        <v>13</v>
      </c>
      <c r="F32" s="780">
        <v>16</v>
      </c>
      <c r="G32" s="982"/>
      <c r="H32" s="1060"/>
      <c r="I32" s="1063"/>
      <c r="J32" s="622"/>
      <c r="K32" s="982"/>
      <c r="L32" s="622"/>
      <c r="M32" s="982"/>
      <c r="N32" s="861"/>
      <c r="P32" s="878"/>
    </row>
    <row r="33" spans="1:16" s="224" customFormat="1" ht="15" hidden="1" customHeight="1" x14ac:dyDescent="0.25">
      <c r="A33" s="215">
        <v>44596</v>
      </c>
      <c r="B33" s="873" t="s">
        <v>445</v>
      </c>
      <c r="C33" s="874" t="s">
        <v>12</v>
      </c>
      <c r="D33" s="874" t="s">
        <v>1493</v>
      </c>
      <c r="E33" s="875" t="s">
        <v>13</v>
      </c>
      <c r="F33" s="850">
        <v>5</v>
      </c>
      <c r="G33" s="1033"/>
      <c r="H33" s="880"/>
      <c r="I33" s="1033"/>
      <c r="J33" s="880"/>
      <c r="K33" s="1033"/>
      <c r="L33" s="880"/>
      <c r="M33" s="1033"/>
      <c r="N33" s="1080"/>
      <c r="O33" s="927"/>
      <c r="P33" s="878"/>
    </row>
    <row r="34" spans="1:16" s="224" customFormat="1" ht="15" hidden="1" customHeight="1" x14ac:dyDescent="0.25">
      <c r="A34" s="215">
        <v>44596</v>
      </c>
      <c r="B34" s="882" t="s">
        <v>14</v>
      </c>
      <c r="C34" s="879" t="s">
        <v>12</v>
      </c>
      <c r="D34" s="879" t="s">
        <v>1486</v>
      </c>
      <c r="E34" s="875" t="s">
        <v>13</v>
      </c>
      <c r="F34" s="780">
        <v>5.62</v>
      </c>
      <c r="G34" s="982"/>
      <c r="H34" s="622"/>
      <c r="I34" s="982"/>
      <c r="J34" s="622"/>
      <c r="K34" s="982"/>
      <c r="L34" s="622"/>
      <c r="M34" s="982"/>
      <c r="N34" s="927"/>
      <c r="O34" s="927"/>
      <c r="P34" s="878"/>
    </row>
    <row r="35" spans="1:16" s="224" customFormat="1" ht="15" hidden="1" customHeight="1" x14ac:dyDescent="0.25">
      <c r="A35" s="215">
        <v>44596</v>
      </c>
      <c r="B35" s="873" t="s">
        <v>445</v>
      </c>
      <c r="C35" s="874" t="s">
        <v>12</v>
      </c>
      <c r="D35" s="874" t="s">
        <v>1493</v>
      </c>
      <c r="E35" s="875" t="s">
        <v>13</v>
      </c>
      <c r="F35" s="780">
        <v>3.4</v>
      </c>
      <c r="G35" s="982"/>
      <c r="H35" s="622"/>
      <c r="I35" s="982"/>
      <c r="J35" s="622"/>
      <c r="K35" s="982"/>
      <c r="L35" s="622"/>
      <c r="M35" s="982"/>
      <c r="N35" s="927"/>
      <c r="O35" s="927"/>
      <c r="P35" s="878"/>
    </row>
    <row r="36" spans="1:16" s="224" customFormat="1" ht="15" hidden="1" customHeight="1" x14ac:dyDescent="0.25">
      <c r="A36" s="215">
        <v>44597</v>
      </c>
      <c r="B36" s="882" t="s">
        <v>14</v>
      </c>
      <c r="C36" s="879" t="s">
        <v>12</v>
      </c>
      <c r="D36" s="879" t="s">
        <v>1486</v>
      </c>
      <c r="E36" s="875" t="s">
        <v>13</v>
      </c>
      <c r="F36" s="780">
        <v>2.76</v>
      </c>
      <c r="G36" s="982"/>
      <c r="H36" s="622"/>
      <c r="I36" s="982"/>
      <c r="J36" s="622"/>
      <c r="K36" s="982"/>
      <c r="L36" s="622"/>
      <c r="M36" s="982"/>
      <c r="N36" s="927"/>
      <c r="O36" s="927"/>
      <c r="P36" s="878"/>
    </row>
    <row r="37" spans="1:16" s="224" customFormat="1" ht="15" hidden="1" customHeight="1" x14ac:dyDescent="0.25">
      <c r="A37" s="215">
        <v>44597</v>
      </c>
      <c r="B37" s="873" t="s">
        <v>3138</v>
      </c>
      <c r="C37" s="879" t="s">
        <v>12</v>
      </c>
      <c r="D37" s="879" t="s">
        <v>1506</v>
      </c>
      <c r="E37" s="871" t="s">
        <v>15</v>
      </c>
      <c r="F37" s="780">
        <v>50</v>
      </c>
      <c r="G37" s="982"/>
      <c r="H37" s="622"/>
      <c r="I37" s="982"/>
      <c r="J37" s="622"/>
      <c r="K37" s="982"/>
      <c r="L37" s="1114"/>
      <c r="M37" s="1115"/>
      <c r="N37" s="878"/>
    </row>
    <row r="38" spans="1:16" s="224" customFormat="1" hidden="1" x14ac:dyDescent="0.25">
      <c r="A38" s="215">
        <v>44597</v>
      </c>
      <c r="B38" s="882" t="s">
        <v>32</v>
      </c>
      <c r="C38" s="879" t="s">
        <v>12</v>
      </c>
      <c r="D38" s="879" t="s">
        <v>1485</v>
      </c>
      <c r="E38" s="875" t="s">
        <v>13</v>
      </c>
      <c r="F38" s="780">
        <v>18</v>
      </c>
      <c r="G38" s="982"/>
      <c r="H38" s="1060"/>
      <c r="I38" s="1063"/>
      <c r="J38" s="622"/>
      <c r="K38" s="982"/>
      <c r="L38" s="622"/>
      <c r="M38" s="982"/>
      <c r="N38" s="861"/>
      <c r="P38" s="878"/>
    </row>
    <row r="39" spans="1:16" s="224" customFormat="1" ht="15" hidden="1" customHeight="1" x14ac:dyDescent="0.25">
      <c r="A39" s="215">
        <v>44597</v>
      </c>
      <c r="B39" s="364" t="s">
        <v>82</v>
      </c>
      <c r="C39" s="350" t="s">
        <v>12</v>
      </c>
      <c r="D39" s="350" t="s">
        <v>1493</v>
      </c>
      <c r="E39" s="875" t="s">
        <v>13</v>
      </c>
      <c r="F39" s="780">
        <v>27.42</v>
      </c>
      <c r="G39" s="982"/>
      <c r="H39" s="622"/>
      <c r="I39" s="982"/>
      <c r="J39" s="622"/>
      <c r="K39" s="982"/>
      <c r="L39" s="622"/>
      <c r="M39" s="982"/>
      <c r="N39" s="927"/>
      <c r="O39" s="927"/>
      <c r="P39" s="878"/>
    </row>
    <row r="40" spans="1:16" s="224" customFormat="1" ht="15" hidden="1" customHeight="1" x14ac:dyDescent="0.25">
      <c r="A40" s="215">
        <v>44598</v>
      </c>
      <c r="B40" s="882" t="s">
        <v>14</v>
      </c>
      <c r="C40" s="879" t="s">
        <v>12</v>
      </c>
      <c r="D40" s="879" t="s">
        <v>1486</v>
      </c>
      <c r="E40" s="875" t="s">
        <v>13</v>
      </c>
      <c r="F40" s="780">
        <v>10.7</v>
      </c>
      <c r="G40" s="982"/>
      <c r="H40" s="622"/>
      <c r="I40" s="982"/>
      <c r="J40" s="622"/>
      <c r="K40" s="982"/>
      <c r="L40" s="622"/>
      <c r="M40" s="982"/>
      <c r="N40" s="927"/>
      <c r="O40" s="927"/>
      <c r="P40" s="878"/>
    </row>
    <row r="41" spans="1:16" s="224" customFormat="1" ht="15" hidden="1" customHeight="1" x14ac:dyDescent="0.25">
      <c r="A41" s="215">
        <v>44598</v>
      </c>
      <c r="B41" s="882" t="s">
        <v>2766</v>
      </c>
      <c r="C41" s="879" t="s">
        <v>19</v>
      </c>
      <c r="D41" s="879" t="s">
        <v>2157</v>
      </c>
      <c r="E41" s="875" t="s">
        <v>13</v>
      </c>
      <c r="F41" s="780">
        <v>80</v>
      </c>
      <c r="G41" s="982"/>
      <c r="H41" s="622"/>
      <c r="I41" s="982"/>
      <c r="J41" s="622"/>
      <c r="K41" s="982"/>
      <c r="L41" s="622"/>
      <c r="M41" s="982"/>
      <c r="N41" s="927"/>
      <c r="O41" s="927"/>
      <c r="P41" s="878"/>
    </row>
    <row r="42" spans="1:16" s="224" customFormat="1" ht="15" hidden="1" customHeight="1" x14ac:dyDescent="0.25">
      <c r="A42" s="215">
        <v>44598</v>
      </c>
      <c r="B42" s="364" t="s">
        <v>3227</v>
      </c>
      <c r="C42" s="350" t="s">
        <v>19</v>
      </c>
      <c r="D42" s="350" t="s">
        <v>1506</v>
      </c>
      <c r="E42" s="875" t="s">
        <v>13</v>
      </c>
      <c r="F42" s="780">
        <v>89.7</v>
      </c>
      <c r="G42" s="982"/>
      <c r="H42" s="622"/>
      <c r="I42" s="982"/>
      <c r="J42" s="622"/>
      <c r="K42" s="982"/>
      <c r="L42" s="622"/>
      <c r="M42" s="982"/>
      <c r="N42" s="927"/>
      <c r="O42" s="927"/>
      <c r="P42" s="878"/>
    </row>
    <row r="43" spans="1:16" s="224" customFormat="1" ht="15" hidden="1" customHeight="1" x14ac:dyDescent="0.25">
      <c r="A43" s="215">
        <v>44598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18</v>
      </c>
      <c r="G43" s="982"/>
      <c r="H43" s="622"/>
      <c r="I43" s="982"/>
      <c r="J43" s="622"/>
      <c r="K43" s="982"/>
      <c r="L43" s="622"/>
      <c r="M43" s="982"/>
      <c r="N43" s="927"/>
      <c r="O43" s="927"/>
      <c r="P43" s="878"/>
    </row>
    <row r="44" spans="1:16" s="224" customFormat="1" ht="15" hidden="1" customHeight="1" x14ac:dyDescent="0.25">
      <c r="A44" s="215">
        <v>44598</v>
      </c>
      <c r="B44" s="364" t="s">
        <v>3228</v>
      </c>
      <c r="C44" s="350" t="s">
        <v>12</v>
      </c>
      <c r="D44" s="350" t="s">
        <v>1489</v>
      </c>
      <c r="E44" s="875" t="s">
        <v>13</v>
      </c>
      <c r="F44" s="780">
        <v>67</v>
      </c>
      <c r="G44" s="982"/>
      <c r="H44" s="622"/>
      <c r="I44" s="982"/>
      <c r="J44" s="622"/>
      <c r="K44" s="982"/>
      <c r="L44" s="622"/>
      <c r="M44" s="982"/>
      <c r="N44" s="1080" t="s">
        <v>3229</v>
      </c>
      <c r="O44" s="927"/>
      <c r="P44" s="878"/>
    </row>
    <row r="45" spans="1:16" s="224" customFormat="1" ht="15" hidden="1" customHeight="1" x14ac:dyDescent="0.25">
      <c r="A45" s="215">
        <v>44598</v>
      </c>
      <c r="B45" s="364" t="s">
        <v>443</v>
      </c>
      <c r="C45" s="350" t="s">
        <v>12</v>
      </c>
      <c r="D45" s="350" t="s">
        <v>1493</v>
      </c>
      <c r="E45" s="875" t="s">
        <v>13</v>
      </c>
      <c r="F45" s="780">
        <v>13.88</v>
      </c>
      <c r="G45" s="982"/>
      <c r="H45" s="622"/>
      <c r="I45" s="982"/>
      <c r="J45" s="622"/>
      <c r="K45" s="982"/>
      <c r="L45" s="622"/>
      <c r="M45" s="982"/>
      <c r="N45" s="927"/>
      <c r="O45" s="927"/>
      <c r="P45" s="878"/>
    </row>
    <row r="46" spans="1:16" s="224" customFormat="1" ht="15" hidden="1" customHeight="1" x14ac:dyDescent="0.25">
      <c r="A46" s="215">
        <v>44599</v>
      </c>
      <c r="B46" s="882" t="s">
        <v>32</v>
      </c>
      <c r="C46" s="879" t="s">
        <v>12</v>
      </c>
      <c r="D46" s="879" t="s">
        <v>1485</v>
      </c>
      <c r="E46" s="875" t="s">
        <v>13</v>
      </c>
      <c r="F46" s="780">
        <v>16</v>
      </c>
      <c r="G46" s="982"/>
      <c r="H46" s="1008"/>
      <c r="I46" s="1063"/>
      <c r="J46" s="622"/>
      <c r="K46" s="982"/>
      <c r="L46" s="622"/>
      <c r="M46" s="982"/>
      <c r="N46" s="1029"/>
    </row>
    <row r="47" spans="1:16" s="224" customFormat="1" ht="15" customHeight="1" x14ac:dyDescent="0.25">
      <c r="A47" s="215">
        <v>44599</v>
      </c>
      <c r="B47" s="882" t="s">
        <v>3230</v>
      </c>
      <c r="C47" s="879" t="s">
        <v>12</v>
      </c>
      <c r="D47" s="879" t="s">
        <v>1522</v>
      </c>
      <c r="E47" s="875" t="s">
        <v>13</v>
      </c>
      <c r="F47" s="780">
        <v>24</v>
      </c>
      <c r="G47" s="982"/>
      <c r="H47" s="1008"/>
      <c r="I47" s="1063"/>
      <c r="J47" s="622"/>
      <c r="K47" s="982"/>
      <c r="L47" s="622"/>
      <c r="M47" s="982"/>
      <c r="N47" s="1029"/>
    </row>
    <row r="48" spans="1:16" s="224" customFormat="1" ht="15" hidden="1" customHeight="1" x14ac:dyDescent="0.25">
      <c r="A48" s="215">
        <v>44600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16</v>
      </c>
      <c r="G48" s="982"/>
      <c r="H48" s="622"/>
      <c r="I48" s="982"/>
      <c r="J48" s="622"/>
      <c r="K48" s="982"/>
      <c r="L48" s="622"/>
      <c r="M48" s="982"/>
      <c r="N48" s="927"/>
      <c r="O48" s="927"/>
      <c r="P48" s="878"/>
    </row>
    <row r="49" spans="1:38" s="224" customFormat="1" ht="15" hidden="1" customHeight="1" x14ac:dyDescent="0.25">
      <c r="A49" s="215">
        <v>44600</v>
      </c>
      <c r="B49" s="882" t="s">
        <v>14</v>
      </c>
      <c r="C49" s="879" t="s">
        <v>12</v>
      </c>
      <c r="D49" s="879" t="s">
        <v>1486</v>
      </c>
      <c r="E49" s="875" t="s">
        <v>13</v>
      </c>
      <c r="F49" s="780">
        <v>8</v>
      </c>
      <c r="G49" s="982"/>
      <c r="H49" s="622"/>
      <c r="I49" s="982"/>
      <c r="J49" s="622"/>
      <c r="K49" s="982"/>
      <c r="L49" s="622"/>
      <c r="M49" s="982"/>
      <c r="N49" s="927"/>
      <c r="O49" s="927"/>
      <c r="P49" s="878"/>
    </row>
    <row r="50" spans="1:38" s="224" customFormat="1" ht="15" hidden="1" customHeight="1" x14ac:dyDescent="0.25">
      <c r="A50" s="215">
        <v>44600</v>
      </c>
      <c r="B50" s="882" t="s">
        <v>256</v>
      </c>
      <c r="C50" s="879"/>
      <c r="D50" s="879"/>
      <c r="E50" s="875" t="s">
        <v>25</v>
      </c>
      <c r="F50" s="780"/>
      <c r="G50" s="982">
        <v>200</v>
      </c>
      <c r="H50" s="1060">
        <v>200</v>
      </c>
      <c r="I50" s="1033"/>
      <c r="J50" s="880"/>
      <c r="K50" s="1033"/>
      <c r="L50" s="880"/>
      <c r="M50" s="1033"/>
      <c r="N50" s="1080"/>
      <c r="O50" s="927"/>
      <c r="P50" s="878"/>
    </row>
    <row r="51" spans="1:38" s="224" customFormat="1" ht="15" hidden="1" customHeight="1" x14ac:dyDescent="0.25">
      <c r="A51" s="215">
        <v>44600</v>
      </c>
      <c r="B51" s="882" t="s">
        <v>3231</v>
      </c>
      <c r="C51" s="879" t="s">
        <v>12</v>
      </c>
      <c r="D51" s="879" t="s">
        <v>1489</v>
      </c>
      <c r="E51" s="875" t="s">
        <v>13</v>
      </c>
      <c r="F51" s="780">
        <v>113</v>
      </c>
      <c r="G51" s="982"/>
      <c r="H51" s="622"/>
      <c r="I51" s="982"/>
      <c r="J51" s="622"/>
      <c r="K51" s="982"/>
      <c r="L51" s="622"/>
      <c r="M51" s="982"/>
      <c r="N51" s="927"/>
      <c r="P51" s="878"/>
    </row>
    <row r="52" spans="1:38" s="224" customFormat="1" ht="15" hidden="1" customHeight="1" x14ac:dyDescent="0.25">
      <c r="A52" s="215">
        <v>44601</v>
      </c>
      <c r="B52" s="364" t="s">
        <v>1241</v>
      </c>
      <c r="C52" s="350" t="s">
        <v>12</v>
      </c>
      <c r="D52" s="350" t="s">
        <v>1504</v>
      </c>
      <c r="E52" s="875" t="s">
        <v>13</v>
      </c>
      <c r="F52" s="780">
        <v>12</v>
      </c>
      <c r="G52" s="982"/>
      <c r="H52" s="622"/>
      <c r="I52" s="982"/>
      <c r="J52" s="622"/>
      <c r="K52" s="982"/>
      <c r="L52" s="622"/>
      <c r="M52" s="982"/>
      <c r="N52" s="927"/>
      <c r="O52" s="927"/>
      <c r="P52" s="878"/>
    </row>
    <row r="53" spans="1:38" s="224" customFormat="1" ht="15" hidden="1" customHeight="1" x14ac:dyDescent="0.25">
      <c r="A53" s="215">
        <v>44601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780">
        <v>6.49</v>
      </c>
      <c r="G53" s="982"/>
      <c r="H53" s="622"/>
      <c r="I53" s="982"/>
      <c r="J53" s="622"/>
      <c r="K53" s="982"/>
      <c r="L53" s="622"/>
      <c r="M53" s="982"/>
      <c r="N53" s="927"/>
      <c r="O53" s="927"/>
      <c r="P53" s="878"/>
    </row>
    <row r="54" spans="1:38" s="224" customFormat="1" ht="15" hidden="1" customHeight="1" x14ac:dyDescent="0.25">
      <c r="A54" s="215">
        <v>44601</v>
      </c>
      <c r="B54" s="882" t="s">
        <v>3232</v>
      </c>
      <c r="C54" s="879" t="s">
        <v>12</v>
      </c>
      <c r="D54" s="879"/>
      <c r="E54" s="875" t="s">
        <v>25</v>
      </c>
      <c r="F54" s="780"/>
      <c r="G54" s="982"/>
      <c r="H54" s="622"/>
      <c r="I54" s="982">
        <v>21800</v>
      </c>
      <c r="J54" s="622"/>
      <c r="K54" s="982"/>
      <c r="L54" s="622"/>
      <c r="M54" s="982"/>
      <c r="N54" s="927"/>
      <c r="O54" s="927"/>
      <c r="P54" s="878"/>
    </row>
    <row r="55" spans="1:38" s="224" customFormat="1" ht="15" hidden="1" customHeight="1" x14ac:dyDescent="0.25">
      <c r="A55" s="215">
        <v>44602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16</v>
      </c>
      <c r="G55" s="982"/>
      <c r="H55" s="622"/>
      <c r="I55" s="982"/>
      <c r="J55" s="622"/>
      <c r="K55" s="982"/>
      <c r="L55" s="622"/>
      <c r="M55" s="982"/>
      <c r="N55" s="927"/>
      <c r="O55" s="927"/>
      <c r="P55" s="878"/>
    </row>
    <row r="56" spans="1:38" s="224" customFormat="1" ht="15" hidden="1" customHeight="1" x14ac:dyDescent="0.25">
      <c r="A56" s="215">
        <v>44602</v>
      </c>
      <c r="B56" s="882" t="s">
        <v>2766</v>
      </c>
      <c r="C56" s="879" t="s">
        <v>12</v>
      </c>
      <c r="D56" s="879" t="s">
        <v>2157</v>
      </c>
      <c r="E56" s="480" t="s">
        <v>15</v>
      </c>
      <c r="F56" s="613">
        <v>70</v>
      </c>
      <c r="G56" s="967"/>
      <c r="H56" s="1008"/>
      <c r="I56" s="1063"/>
      <c r="J56" s="622"/>
      <c r="K56" s="982"/>
      <c r="L56" s="1110"/>
      <c r="M56" s="1111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s="224" customFormat="1" ht="15" hidden="1" customHeight="1" x14ac:dyDescent="0.25">
      <c r="A57" s="215">
        <v>44602</v>
      </c>
      <c r="B57" s="882" t="s">
        <v>14</v>
      </c>
      <c r="C57" s="879" t="s">
        <v>12</v>
      </c>
      <c r="D57" s="879" t="s">
        <v>1486</v>
      </c>
      <c r="E57" s="875" t="s">
        <v>13</v>
      </c>
      <c r="F57" s="780">
        <v>7</v>
      </c>
      <c r="G57" s="982"/>
      <c r="H57" s="622"/>
      <c r="I57" s="982"/>
      <c r="J57" s="622"/>
      <c r="K57" s="982"/>
      <c r="L57" s="622"/>
      <c r="M57" s="982"/>
      <c r="N57" s="927"/>
      <c r="O57" s="927"/>
      <c r="P57" s="878"/>
    </row>
    <row r="58" spans="1:38" s="224" customFormat="1" ht="15" hidden="1" customHeight="1" x14ac:dyDescent="0.25">
      <c r="A58" s="215">
        <v>44603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16</v>
      </c>
      <c r="G58" s="982"/>
      <c r="H58" s="622"/>
      <c r="I58" s="982"/>
      <c r="J58" s="622"/>
      <c r="K58" s="982"/>
      <c r="L58" s="622"/>
      <c r="M58" s="982"/>
      <c r="N58" s="927"/>
      <c r="O58" s="927"/>
      <c r="P58" s="878"/>
    </row>
    <row r="59" spans="1:38" s="224" customFormat="1" ht="15" hidden="1" customHeight="1" x14ac:dyDescent="0.25">
      <c r="A59" s="215">
        <v>44603</v>
      </c>
      <c r="B59" s="873" t="s">
        <v>445</v>
      </c>
      <c r="C59" s="874" t="s">
        <v>12</v>
      </c>
      <c r="D59" s="874" t="s">
        <v>1493</v>
      </c>
      <c r="E59" s="875" t="s">
        <v>13</v>
      </c>
      <c r="F59" s="780">
        <v>5</v>
      </c>
      <c r="G59" s="982"/>
      <c r="H59" s="622"/>
      <c r="I59" s="982"/>
      <c r="J59" s="622"/>
      <c r="K59" s="982"/>
      <c r="L59" s="622"/>
      <c r="M59" s="982"/>
      <c r="N59" s="927"/>
      <c r="O59" s="927"/>
      <c r="P59" s="878"/>
    </row>
    <row r="60" spans="1:38" s="224" customFormat="1" ht="15" hidden="1" customHeight="1" x14ac:dyDescent="0.25">
      <c r="A60" s="215">
        <v>44603</v>
      </c>
      <c r="B60" s="364" t="s">
        <v>82</v>
      </c>
      <c r="C60" s="350" t="s">
        <v>12</v>
      </c>
      <c r="D60" s="350" t="s">
        <v>1493</v>
      </c>
      <c r="E60" s="875" t="s">
        <v>13</v>
      </c>
      <c r="F60" s="780">
        <v>37.840000000000003</v>
      </c>
      <c r="G60" s="982"/>
      <c r="H60" s="1008"/>
      <c r="I60" s="1063"/>
      <c r="J60" s="622"/>
      <c r="K60" s="982"/>
      <c r="L60" s="622"/>
      <c r="M60" s="982"/>
      <c r="N60" s="1029"/>
    </row>
    <row r="61" spans="1:38" s="224" customFormat="1" ht="15" hidden="1" customHeight="1" x14ac:dyDescent="0.25">
      <c r="A61" s="215">
        <v>44604</v>
      </c>
      <c r="B61" s="882" t="s">
        <v>14</v>
      </c>
      <c r="C61" s="879" t="s">
        <v>12</v>
      </c>
      <c r="D61" s="879" t="s">
        <v>1486</v>
      </c>
      <c r="E61" s="875" t="s">
        <v>13</v>
      </c>
      <c r="F61" s="780">
        <v>4.47</v>
      </c>
      <c r="G61" s="982"/>
      <c r="H61" s="622"/>
      <c r="I61" s="982"/>
      <c r="J61" s="622"/>
      <c r="K61" s="982"/>
      <c r="L61" s="622"/>
      <c r="M61" s="982"/>
      <c r="N61" s="927"/>
      <c r="O61" s="927"/>
      <c r="P61" s="878"/>
    </row>
    <row r="62" spans="1:38" s="224" customFormat="1" ht="15" hidden="1" customHeight="1" x14ac:dyDescent="0.25">
      <c r="A62" s="215">
        <v>44604</v>
      </c>
      <c r="B62" s="882" t="s">
        <v>1438</v>
      </c>
      <c r="C62" s="879" t="s">
        <v>19</v>
      </c>
      <c r="D62" s="879" t="s">
        <v>1489</v>
      </c>
      <c r="E62" s="875" t="s">
        <v>13</v>
      </c>
      <c r="F62" s="780">
        <v>116.02</v>
      </c>
      <c r="G62" s="982"/>
      <c r="H62" s="1008"/>
      <c r="I62" s="1063"/>
      <c r="J62" s="622"/>
      <c r="K62" s="982"/>
      <c r="L62" s="622"/>
      <c r="M62" s="982"/>
      <c r="N62" s="1029"/>
    </row>
    <row r="63" spans="1:38" s="224" customFormat="1" ht="15" hidden="1" customHeight="1" x14ac:dyDescent="0.25">
      <c r="A63" s="215">
        <v>44604</v>
      </c>
      <c r="B63" s="882" t="s">
        <v>80</v>
      </c>
      <c r="C63" s="879" t="s">
        <v>12</v>
      </c>
      <c r="D63" s="879" t="s">
        <v>1523</v>
      </c>
      <c r="E63" s="875" t="s">
        <v>13</v>
      </c>
      <c r="F63" s="780">
        <v>39</v>
      </c>
      <c r="G63" s="982"/>
      <c r="H63" s="1008"/>
      <c r="I63" s="1063"/>
      <c r="J63" s="622"/>
      <c r="K63" s="982"/>
      <c r="L63" s="622"/>
      <c r="M63" s="982"/>
      <c r="N63" s="1029"/>
    </row>
    <row r="64" spans="1:38" s="224" customFormat="1" ht="15" hidden="1" customHeight="1" x14ac:dyDescent="0.25">
      <c r="A64" s="215">
        <v>44604</v>
      </c>
      <c r="B64" s="882" t="s">
        <v>3134</v>
      </c>
      <c r="C64" s="879" t="s">
        <v>12</v>
      </c>
      <c r="D64" s="879" t="s">
        <v>1523</v>
      </c>
      <c r="E64" s="875" t="s">
        <v>13</v>
      </c>
      <c r="F64" s="780">
        <v>11</v>
      </c>
      <c r="G64" s="982"/>
      <c r="H64" s="1008"/>
      <c r="I64" s="1063"/>
      <c r="J64" s="622"/>
      <c r="K64" s="982"/>
      <c r="L64" s="622"/>
      <c r="M64" s="982"/>
      <c r="N64" s="1029"/>
    </row>
    <row r="65" spans="1:21" s="224" customFormat="1" ht="15" hidden="1" customHeight="1" x14ac:dyDescent="0.25">
      <c r="A65" s="215">
        <v>44605</v>
      </c>
      <c r="B65" s="882" t="s">
        <v>14</v>
      </c>
      <c r="C65" s="879" t="s">
        <v>12</v>
      </c>
      <c r="D65" s="879" t="s">
        <v>1486</v>
      </c>
      <c r="E65" s="875" t="s">
        <v>13</v>
      </c>
      <c r="F65" s="780">
        <v>8.4</v>
      </c>
      <c r="G65" s="982"/>
      <c r="H65" s="1008"/>
      <c r="I65" s="1063"/>
      <c r="J65" s="622"/>
      <c r="K65" s="982"/>
      <c r="L65" s="622"/>
      <c r="M65" s="982"/>
      <c r="N65" s="1029"/>
    </row>
    <row r="66" spans="1:21" s="224" customFormat="1" ht="15" hidden="1" customHeight="1" x14ac:dyDescent="0.25">
      <c r="A66" s="215">
        <v>44606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16</v>
      </c>
      <c r="G66" s="982"/>
      <c r="H66" s="622"/>
      <c r="I66" s="982"/>
      <c r="J66" s="622"/>
      <c r="K66" s="982"/>
      <c r="L66" s="622"/>
      <c r="M66" s="982"/>
      <c r="N66" s="927"/>
      <c r="O66" s="927"/>
      <c r="P66" s="878"/>
    </row>
    <row r="67" spans="1:21" s="224" customFormat="1" ht="15" hidden="1" customHeight="1" x14ac:dyDescent="0.25">
      <c r="A67" s="215">
        <v>44606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780">
        <v>5.5</v>
      </c>
      <c r="G67" s="982"/>
      <c r="H67" s="622"/>
      <c r="I67" s="982"/>
      <c r="J67" s="622"/>
      <c r="K67" s="982"/>
      <c r="L67" s="622"/>
      <c r="M67" s="982"/>
      <c r="N67" s="927"/>
      <c r="O67" s="927"/>
      <c r="P67" s="878"/>
    </row>
    <row r="68" spans="1:21" s="224" customFormat="1" ht="15" hidden="1" customHeight="1" x14ac:dyDescent="0.25">
      <c r="A68" s="215">
        <v>44607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16</v>
      </c>
      <c r="G68" s="982"/>
      <c r="H68" s="622"/>
      <c r="I68" s="982"/>
      <c r="J68" s="622"/>
      <c r="K68" s="982"/>
      <c r="L68" s="622"/>
      <c r="M68" s="982"/>
      <c r="N68" s="927"/>
      <c r="O68" s="927"/>
      <c r="P68" s="878"/>
    </row>
    <row r="69" spans="1:21" s="224" customFormat="1" ht="15" hidden="1" customHeight="1" x14ac:dyDescent="0.25">
      <c r="A69" s="215">
        <v>44607</v>
      </c>
      <c r="B69" s="882" t="s">
        <v>2766</v>
      </c>
      <c r="C69" s="879" t="s">
        <v>12</v>
      </c>
      <c r="D69" s="879" t="s">
        <v>2157</v>
      </c>
      <c r="E69" s="480" t="s">
        <v>15</v>
      </c>
      <c r="F69" s="613">
        <v>50</v>
      </c>
      <c r="G69" s="982"/>
      <c r="H69" s="1008"/>
      <c r="I69" s="1063"/>
      <c r="J69" s="622"/>
      <c r="K69" s="982"/>
      <c r="L69" s="622"/>
      <c r="M69" s="982"/>
      <c r="N69" s="1029"/>
    </row>
    <row r="70" spans="1:21" s="224" customFormat="1" ht="15" hidden="1" customHeight="1" x14ac:dyDescent="0.25">
      <c r="A70" s="215">
        <v>44607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780">
        <v>7.18</v>
      </c>
      <c r="G70" s="982"/>
      <c r="H70" s="622"/>
      <c r="I70" s="982"/>
      <c r="J70" s="622"/>
      <c r="K70" s="982"/>
      <c r="L70" s="622"/>
      <c r="M70" s="982"/>
      <c r="N70" s="927"/>
      <c r="O70" s="927"/>
      <c r="P70" s="878"/>
    </row>
    <row r="71" spans="1:21" s="224" customFormat="1" ht="15" hidden="1" customHeight="1" x14ac:dyDescent="0.25">
      <c r="A71" s="215">
        <v>44608</v>
      </c>
      <c r="B71" s="882" t="s">
        <v>3233</v>
      </c>
      <c r="C71" s="879" t="s">
        <v>12</v>
      </c>
      <c r="D71" s="879" t="s">
        <v>1496</v>
      </c>
      <c r="E71" s="875" t="s">
        <v>13</v>
      </c>
      <c r="F71" s="780">
        <v>78.900000000000006</v>
      </c>
      <c r="G71" s="982"/>
      <c r="H71" s="1008"/>
      <c r="I71" s="1063"/>
      <c r="J71" s="622"/>
      <c r="K71" s="982"/>
      <c r="L71" s="622"/>
      <c r="M71" s="982"/>
      <c r="N71" s="1029"/>
    </row>
    <row r="72" spans="1:21" s="224" customFormat="1" ht="15" hidden="1" customHeight="1" x14ac:dyDescent="0.25">
      <c r="A72" s="215">
        <v>44608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16</v>
      </c>
      <c r="G72" s="982"/>
      <c r="H72" s="1008"/>
      <c r="I72" s="1063"/>
      <c r="J72" s="622"/>
      <c r="K72" s="982"/>
      <c r="L72" s="622"/>
      <c r="M72" s="982"/>
      <c r="N72" s="1029"/>
    </row>
    <row r="73" spans="1:21" s="224" customFormat="1" ht="15" hidden="1" customHeight="1" x14ac:dyDescent="0.25">
      <c r="A73" s="215">
        <v>44608</v>
      </c>
      <c r="B73" s="873" t="s">
        <v>445</v>
      </c>
      <c r="C73" s="874" t="s">
        <v>12</v>
      </c>
      <c r="D73" s="874" t="s">
        <v>1493</v>
      </c>
      <c r="E73" s="875" t="s">
        <v>13</v>
      </c>
      <c r="F73" s="780">
        <v>7.5</v>
      </c>
      <c r="G73" s="982"/>
      <c r="H73" s="622"/>
      <c r="I73" s="982"/>
      <c r="J73" s="622"/>
      <c r="K73" s="982"/>
      <c r="L73" s="622"/>
      <c r="M73" s="982"/>
      <c r="N73" s="927"/>
      <c r="O73" s="927"/>
      <c r="P73" s="878"/>
    </row>
    <row r="74" spans="1:21" s="224" customFormat="1" ht="15" hidden="1" customHeight="1" x14ac:dyDescent="0.25">
      <c r="A74" s="215">
        <v>44608</v>
      </c>
      <c r="B74" s="882" t="s">
        <v>14</v>
      </c>
      <c r="C74" s="879" t="s">
        <v>12</v>
      </c>
      <c r="D74" s="879" t="s">
        <v>1486</v>
      </c>
      <c r="E74" s="875" t="s">
        <v>13</v>
      </c>
      <c r="F74" s="780">
        <v>17.87</v>
      </c>
      <c r="G74" s="982"/>
      <c r="H74" s="1008"/>
      <c r="I74" s="1063"/>
      <c r="J74" s="622"/>
      <c r="K74" s="982"/>
      <c r="L74" s="622"/>
      <c r="M74" s="982"/>
      <c r="N74" s="1029"/>
    </row>
    <row r="75" spans="1:21" s="224" customFormat="1" ht="15" hidden="1" customHeight="1" x14ac:dyDescent="0.25">
      <c r="A75" s="215">
        <v>44609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16</v>
      </c>
      <c r="G75" s="982"/>
      <c r="H75" s="622"/>
      <c r="I75" s="982"/>
      <c r="J75" s="622"/>
      <c r="K75" s="982"/>
      <c r="L75" s="622"/>
      <c r="M75" s="982"/>
      <c r="N75" s="927"/>
      <c r="O75" s="927"/>
      <c r="P75" s="878"/>
    </row>
    <row r="76" spans="1:21" s="224" customFormat="1" ht="15" hidden="1" customHeight="1" x14ac:dyDescent="0.25">
      <c r="A76" s="215">
        <v>44609</v>
      </c>
      <c r="B76" s="882" t="s">
        <v>3130</v>
      </c>
      <c r="C76" s="879" t="s">
        <v>12</v>
      </c>
      <c r="D76" s="879" t="s">
        <v>1506</v>
      </c>
      <c r="E76" s="875" t="s">
        <v>13</v>
      </c>
      <c r="F76" s="780">
        <v>25</v>
      </c>
      <c r="G76" s="982"/>
      <c r="H76" s="622"/>
      <c r="I76" s="982"/>
      <c r="J76" s="622"/>
      <c r="K76" s="982"/>
      <c r="L76" s="622"/>
      <c r="M76" s="982"/>
      <c r="N76" s="927"/>
      <c r="O76" s="927"/>
      <c r="P76" s="878"/>
    </row>
    <row r="77" spans="1:21" s="224" customFormat="1" ht="15" hidden="1" customHeight="1" x14ac:dyDescent="0.25">
      <c r="A77" s="215">
        <v>44609</v>
      </c>
      <c r="B77" s="882" t="s">
        <v>14</v>
      </c>
      <c r="C77" s="879" t="s">
        <v>12</v>
      </c>
      <c r="D77" s="879" t="s">
        <v>1486</v>
      </c>
      <c r="E77" s="875" t="s">
        <v>13</v>
      </c>
      <c r="F77" s="780">
        <v>6.79</v>
      </c>
      <c r="G77" s="982"/>
      <c r="H77" s="622"/>
      <c r="I77" s="982"/>
      <c r="J77" s="622"/>
      <c r="K77" s="982"/>
      <c r="L77" s="622"/>
      <c r="M77" s="982"/>
      <c r="N77" s="927"/>
      <c r="O77" s="927"/>
      <c r="P77" s="878"/>
    </row>
    <row r="78" spans="1:21" s="224" customFormat="1" ht="15" hidden="1" customHeight="1" x14ac:dyDescent="0.25">
      <c r="A78" s="215">
        <v>44610</v>
      </c>
      <c r="B78" s="882" t="s">
        <v>3234</v>
      </c>
      <c r="C78" s="350" t="s">
        <v>12</v>
      </c>
      <c r="D78" s="350"/>
      <c r="E78" s="480" t="s">
        <v>25</v>
      </c>
      <c r="F78" s="622"/>
      <c r="G78" s="982">
        <v>1840</v>
      </c>
      <c r="H78" s="1008"/>
      <c r="I78" s="1063"/>
      <c r="J78" s="622"/>
      <c r="K78" s="982"/>
      <c r="L78" s="622"/>
      <c r="M78" s="982"/>
      <c r="N78" s="861"/>
    </row>
    <row r="79" spans="1:21" s="224" customFormat="1" ht="15" hidden="1" customHeight="1" x14ac:dyDescent="0.25">
      <c r="A79" s="215">
        <v>44610</v>
      </c>
      <c r="B79" s="862" t="s">
        <v>2867</v>
      </c>
      <c r="C79" s="350" t="s">
        <v>12</v>
      </c>
      <c r="D79" s="874" t="s">
        <v>1504</v>
      </c>
      <c r="E79" s="887" t="s">
        <v>13</v>
      </c>
      <c r="F79" s="1107"/>
      <c r="G79" s="982"/>
      <c r="H79" s="1009"/>
      <c r="I79" s="1063"/>
      <c r="J79" s="853"/>
      <c r="K79" s="982"/>
      <c r="L79" s="853"/>
      <c r="M79" s="982"/>
      <c r="N79" s="3166" t="s">
        <v>3125</v>
      </c>
      <c r="O79" s="3166"/>
      <c r="P79" s="3166"/>
      <c r="Q79" s="3166"/>
      <c r="R79" s="3166"/>
      <c r="S79" s="3166"/>
      <c r="T79" s="3166"/>
      <c r="U79" s="3166"/>
    </row>
    <row r="80" spans="1:21" s="224" customFormat="1" hidden="1" x14ac:dyDescent="0.25">
      <c r="A80" s="215">
        <v>44610</v>
      </c>
      <c r="B80" s="364" t="s">
        <v>2977</v>
      </c>
      <c r="C80" s="350" t="s">
        <v>12</v>
      </c>
      <c r="D80" s="350" t="s">
        <v>1491</v>
      </c>
      <c r="E80" s="875" t="s">
        <v>13</v>
      </c>
      <c r="F80" s="1047">
        <v>300</v>
      </c>
      <c r="G80" s="982"/>
      <c r="H80" s="1008"/>
      <c r="I80" s="1063"/>
      <c r="J80" s="622"/>
      <c r="K80" s="982"/>
      <c r="L80" s="622"/>
      <c r="M80" s="982"/>
      <c r="N80" s="1029"/>
      <c r="O80" s="89"/>
      <c r="P80" s="930"/>
    </row>
    <row r="81" spans="1:43" s="224" customFormat="1" ht="15" hidden="1" customHeight="1" x14ac:dyDescent="0.25">
      <c r="A81" s="215">
        <v>44610</v>
      </c>
      <c r="B81" s="873" t="s">
        <v>3198</v>
      </c>
      <c r="C81" s="879" t="s">
        <v>12</v>
      </c>
      <c r="D81" s="879" t="s">
        <v>1504</v>
      </c>
      <c r="E81" s="871" t="s">
        <v>13</v>
      </c>
      <c r="F81" s="780">
        <v>35</v>
      </c>
      <c r="G81" s="946"/>
      <c r="H81" s="95"/>
      <c r="I81" s="1064"/>
      <c r="J81" s="97"/>
      <c r="K81" s="946"/>
      <c r="L81" s="97"/>
      <c r="M81" s="946"/>
      <c r="N81" s="926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</row>
    <row r="82" spans="1:43" s="224" customFormat="1" ht="15" hidden="1" customHeight="1" x14ac:dyDescent="0.25">
      <c r="A82" s="215">
        <v>44610</v>
      </c>
      <c r="B82" s="349" t="s">
        <v>260</v>
      </c>
      <c r="C82" s="350" t="s">
        <v>12</v>
      </c>
      <c r="D82" s="350"/>
      <c r="E82" s="480"/>
      <c r="F82" s="780">
        <v>600</v>
      </c>
      <c r="G82" s="946"/>
      <c r="H82" s="95"/>
      <c r="I82" s="1064">
        <v>600</v>
      </c>
      <c r="J82" s="622"/>
      <c r="K82" s="982"/>
      <c r="L82" s="1110"/>
      <c r="M82" s="627"/>
    </row>
    <row r="83" spans="1:43" s="224" customFormat="1" ht="15" hidden="1" customHeight="1" x14ac:dyDescent="0.25">
      <c r="A83" s="215">
        <v>44610</v>
      </c>
      <c r="B83" s="882" t="s">
        <v>3235</v>
      </c>
      <c r="C83" s="879" t="s">
        <v>12</v>
      </c>
      <c r="D83" s="879" t="s">
        <v>1499</v>
      </c>
      <c r="E83" s="871" t="s">
        <v>13</v>
      </c>
      <c r="F83" s="780">
        <v>27.74</v>
      </c>
      <c r="G83" s="982"/>
      <c r="H83" s="1008"/>
      <c r="I83" s="1063"/>
      <c r="J83" s="622"/>
      <c r="K83" s="982"/>
      <c r="L83" s="622"/>
      <c r="M83" s="982"/>
      <c r="N83" s="861"/>
      <c r="P83" s="1123"/>
      <c r="Q83" s="999"/>
    </row>
    <row r="84" spans="1:43" s="224" customFormat="1" ht="15" hidden="1" customHeight="1" x14ac:dyDescent="0.25">
      <c r="A84" s="215">
        <v>44610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16</v>
      </c>
      <c r="G84" s="982"/>
      <c r="H84" s="622"/>
      <c r="I84" s="982"/>
      <c r="J84" s="622"/>
      <c r="K84" s="982"/>
      <c r="L84" s="622"/>
      <c r="M84" s="982"/>
      <c r="N84" s="927"/>
      <c r="P84" s="878"/>
    </row>
    <row r="85" spans="1:43" s="224" customFormat="1" ht="15" hidden="1" customHeight="1" x14ac:dyDescent="0.25">
      <c r="A85" s="215">
        <v>44610</v>
      </c>
      <c r="B85" s="873" t="s">
        <v>445</v>
      </c>
      <c r="C85" s="874" t="s">
        <v>12</v>
      </c>
      <c r="D85" s="874" t="s">
        <v>1493</v>
      </c>
      <c r="E85" s="875" t="s">
        <v>13</v>
      </c>
      <c r="F85" s="780">
        <v>5</v>
      </c>
      <c r="G85" s="982"/>
      <c r="H85" s="622"/>
      <c r="I85" s="982"/>
      <c r="J85" s="622"/>
      <c r="K85" s="982"/>
      <c r="L85" s="622"/>
      <c r="M85" s="982"/>
      <c r="N85" s="927"/>
      <c r="O85" s="927"/>
      <c r="P85" s="878"/>
    </row>
    <row r="86" spans="1:43" s="224" customFormat="1" ht="15" hidden="1" customHeight="1" x14ac:dyDescent="0.25">
      <c r="A86" s="215">
        <v>44610</v>
      </c>
      <c r="B86" s="882" t="s">
        <v>2766</v>
      </c>
      <c r="C86" s="879" t="s">
        <v>12</v>
      </c>
      <c r="D86" s="879" t="s">
        <v>2157</v>
      </c>
      <c r="E86" s="480" t="s">
        <v>15</v>
      </c>
      <c r="F86" s="780">
        <v>70</v>
      </c>
      <c r="G86" s="982"/>
      <c r="H86" s="622"/>
      <c r="I86" s="982"/>
      <c r="J86" s="622"/>
      <c r="K86" s="982"/>
      <c r="L86" s="622"/>
      <c r="M86" s="982"/>
      <c r="N86" s="927"/>
      <c r="P86" s="878"/>
    </row>
    <row r="87" spans="1:43" s="224" customFormat="1" ht="15" hidden="1" customHeight="1" x14ac:dyDescent="0.25">
      <c r="A87" s="215">
        <v>44611</v>
      </c>
      <c r="B87" s="364" t="s">
        <v>1241</v>
      </c>
      <c r="C87" s="350" t="s">
        <v>12</v>
      </c>
      <c r="D87" s="350" t="s">
        <v>1504</v>
      </c>
      <c r="E87" s="875" t="s">
        <v>13</v>
      </c>
      <c r="F87" s="780">
        <v>12</v>
      </c>
      <c r="G87" s="982"/>
      <c r="H87" s="622"/>
      <c r="I87" s="982"/>
      <c r="J87" s="622"/>
      <c r="K87" s="982"/>
      <c r="L87" s="622"/>
      <c r="M87" s="982"/>
      <c r="N87" s="927"/>
      <c r="O87" s="927"/>
      <c r="P87" s="878"/>
    </row>
    <row r="88" spans="1:43" s="224" customFormat="1" hidden="1" x14ac:dyDescent="0.25">
      <c r="A88" s="215">
        <v>44611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780">
        <v>18</v>
      </c>
      <c r="G88" s="982"/>
      <c r="H88" s="1008"/>
      <c r="I88" s="1063"/>
      <c r="J88" s="622"/>
      <c r="K88" s="982"/>
      <c r="L88" s="622"/>
      <c r="M88" s="982"/>
      <c r="N88" s="861"/>
      <c r="P88" s="878"/>
    </row>
    <row r="89" spans="1:43" s="224" customFormat="1" ht="15" hidden="1" customHeight="1" x14ac:dyDescent="0.25">
      <c r="A89" s="215">
        <v>44611</v>
      </c>
      <c r="B89" s="364" t="s">
        <v>2595</v>
      </c>
      <c r="C89" s="350" t="s">
        <v>12</v>
      </c>
      <c r="D89" s="350" t="s">
        <v>1506</v>
      </c>
      <c r="E89" s="875" t="s">
        <v>15</v>
      </c>
      <c r="F89" s="780">
        <v>10</v>
      </c>
      <c r="G89" s="982"/>
      <c r="H89" s="622"/>
      <c r="I89" s="982"/>
      <c r="J89" s="622"/>
      <c r="K89" s="982"/>
      <c r="L89" s="1114"/>
      <c r="M89" s="1127"/>
      <c r="N89" s="878"/>
    </row>
    <row r="90" spans="1:43" s="224" customFormat="1" ht="15" hidden="1" customHeight="1" x14ac:dyDescent="0.25">
      <c r="A90" s="215">
        <v>44611</v>
      </c>
      <c r="B90" s="349" t="s">
        <v>81</v>
      </c>
      <c r="C90" s="350" t="s">
        <v>12</v>
      </c>
      <c r="D90" s="350" t="s">
        <v>1493</v>
      </c>
      <c r="E90" s="480" t="s">
        <v>13</v>
      </c>
      <c r="F90" s="780">
        <v>4.5</v>
      </c>
      <c r="G90" s="946"/>
      <c r="H90" s="95"/>
      <c r="I90" s="1064"/>
      <c r="J90" s="622"/>
      <c r="K90" s="982"/>
      <c r="L90" s="622"/>
      <c r="M90" s="982"/>
      <c r="N90" s="861"/>
    </row>
    <row r="91" spans="1:43" s="224" customFormat="1" ht="15" hidden="1" customHeight="1" x14ac:dyDescent="0.25">
      <c r="A91" s="215">
        <v>44612</v>
      </c>
      <c r="B91" s="349" t="s">
        <v>1906</v>
      </c>
      <c r="C91" s="350" t="s">
        <v>12</v>
      </c>
      <c r="D91" s="350" t="s">
        <v>1493</v>
      </c>
      <c r="E91" s="480" t="s">
        <v>13</v>
      </c>
      <c r="F91" s="780">
        <v>14</v>
      </c>
      <c r="G91" s="946"/>
      <c r="H91" s="95"/>
      <c r="I91" s="1064"/>
      <c r="J91" s="622"/>
      <c r="K91" s="982"/>
      <c r="L91" s="622"/>
      <c r="M91" s="982"/>
      <c r="N91" s="861"/>
    </row>
    <row r="92" spans="1:43" s="224" customFormat="1" hidden="1" x14ac:dyDescent="0.25">
      <c r="A92" s="215">
        <v>44612</v>
      </c>
      <c r="B92" s="364" t="s">
        <v>82</v>
      </c>
      <c r="C92" s="350" t="s">
        <v>12</v>
      </c>
      <c r="D92" s="350" t="s">
        <v>1493</v>
      </c>
      <c r="E92" s="480" t="s">
        <v>13</v>
      </c>
      <c r="F92" s="780">
        <v>26.6</v>
      </c>
      <c r="G92" s="982"/>
      <c r="H92" s="1008"/>
      <c r="I92" s="1063"/>
      <c r="J92" s="622"/>
      <c r="K92" s="982"/>
      <c r="L92" s="622"/>
      <c r="M92" s="982"/>
      <c r="N92" s="861"/>
      <c r="P92" s="878"/>
    </row>
    <row r="93" spans="1:43" s="224" customFormat="1" hidden="1" x14ac:dyDescent="0.25">
      <c r="A93" s="215">
        <v>44613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9</v>
      </c>
      <c r="G93" s="982"/>
      <c r="H93" s="1008"/>
      <c r="I93" s="1063"/>
      <c r="J93" s="622"/>
      <c r="K93" s="982"/>
      <c r="L93" s="622"/>
      <c r="M93" s="982"/>
      <c r="N93" s="861"/>
      <c r="P93" s="878"/>
    </row>
    <row r="94" spans="1:43" s="224" customFormat="1" hidden="1" x14ac:dyDescent="0.25">
      <c r="A94" s="215">
        <v>44614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16</v>
      </c>
      <c r="G94" s="982"/>
      <c r="H94" s="1008"/>
      <c r="I94" s="1063"/>
      <c r="J94" s="622"/>
      <c r="K94" s="982"/>
      <c r="L94" s="622"/>
      <c r="M94" s="982"/>
      <c r="N94" s="861"/>
      <c r="P94" s="878"/>
    </row>
    <row r="95" spans="1:43" s="224" customFormat="1" ht="15" customHeight="1" x14ac:dyDescent="0.25">
      <c r="A95" s="215">
        <v>44614</v>
      </c>
      <c r="B95" s="882" t="s">
        <v>3236</v>
      </c>
      <c r="C95" s="879" t="s">
        <v>12</v>
      </c>
      <c r="D95" s="879" t="s">
        <v>1522</v>
      </c>
      <c r="E95" s="871" t="s">
        <v>13</v>
      </c>
      <c r="F95" s="780">
        <v>300</v>
      </c>
      <c r="G95" s="946"/>
      <c r="H95" s="95"/>
      <c r="I95" s="1064"/>
      <c r="J95" s="622"/>
      <c r="K95" s="982"/>
      <c r="L95" s="622"/>
      <c r="M95" s="982"/>
      <c r="N95" s="861"/>
    </row>
    <row r="96" spans="1:43" s="224" customFormat="1" ht="15" hidden="1" customHeight="1" x14ac:dyDescent="0.25">
      <c r="A96" s="215">
        <v>44614</v>
      </c>
      <c r="B96" s="882" t="s">
        <v>2766</v>
      </c>
      <c r="C96" s="879" t="s">
        <v>12</v>
      </c>
      <c r="D96" s="879" t="s">
        <v>2157</v>
      </c>
      <c r="E96" s="480" t="s">
        <v>15</v>
      </c>
      <c r="F96" s="780">
        <v>50</v>
      </c>
      <c r="G96" s="982"/>
      <c r="H96" s="622"/>
      <c r="I96" s="982"/>
      <c r="J96" s="622"/>
      <c r="K96" s="982"/>
      <c r="L96" s="622"/>
      <c r="M96" s="982"/>
      <c r="N96" s="927"/>
      <c r="P96" s="878"/>
    </row>
    <row r="97" spans="1:17" s="224" customFormat="1" hidden="1" x14ac:dyDescent="0.25">
      <c r="A97" s="215">
        <v>44615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16</v>
      </c>
      <c r="G97" s="982"/>
      <c r="H97" s="1008"/>
      <c r="I97" s="1063"/>
      <c r="J97" s="622"/>
      <c r="K97" s="982"/>
      <c r="L97" s="622"/>
      <c r="M97" s="982"/>
      <c r="N97" s="861"/>
      <c r="P97" s="878"/>
    </row>
    <row r="98" spans="1:17" s="224" customFormat="1" ht="15" hidden="1" customHeight="1" x14ac:dyDescent="0.25">
      <c r="A98" s="215">
        <v>44615</v>
      </c>
      <c r="B98" s="873" t="s">
        <v>445</v>
      </c>
      <c r="C98" s="874" t="s">
        <v>12</v>
      </c>
      <c r="D98" s="874" t="s">
        <v>1493</v>
      </c>
      <c r="E98" s="875" t="s">
        <v>13</v>
      </c>
      <c r="F98" s="780">
        <v>5</v>
      </c>
      <c r="G98" s="982"/>
      <c r="H98" s="622"/>
      <c r="I98" s="982"/>
      <c r="J98" s="622"/>
      <c r="K98" s="982"/>
      <c r="L98" s="622"/>
      <c r="M98" s="982"/>
      <c r="N98" s="927"/>
      <c r="O98" s="927"/>
      <c r="P98" s="878"/>
    </row>
    <row r="99" spans="1:17" s="224" customFormat="1" ht="15" hidden="1" customHeight="1" x14ac:dyDescent="0.25">
      <c r="A99" s="215">
        <v>44615</v>
      </c>
      <c r="B99" s="882" t="s">
        <v>14</v>
      </c>
      <c r="C99" s="879" t="s">
        <v>12</v>
      </c>
      <c r="D99" s="879" t="s">
        <v>1486</v>
      </c>
      <c r="E99" s="875" t="s">
        <v>13</v>
      </c>
      <c r="F99" s="780">
        <v>3.72</v>
      </c>
      <c r="G99" s="982"/>
      <c r="H99" s="1008"/>
      <c r="I99" s="1063"/>
      <c r="J99" s="622"/>
      <c r="K99" s="982"/>
      <c r="L99" s="622"/>
      <c r="M99" s="982"/>
      <c r="N99" s="861"/>
      <c r="P99" s="1035"/>
    </row>
    <row r="100" spans="1:17" s="224" customFormat="1" ht="15" hidden="1" customHeight="1" x14ac:dyDescent="0.25">
      <c r="A100" s="215">
        <v>44615</v>
      </c>
      <c r="B100" s="862" t="s">
        <v>3046</v>
      </c>
      <c r="C100" s="879" t="s">
        <v>12</v>
      </c>
      <c r="D100" s="879" t="s">
        <v>1504</v>
      </c>
      <c r="E100" s="871" t="s">
        <v>13</v>
      </c>
      <c r="F100" s="622">
        <v>25.9</v>
      </c>
      <c r="G100" s="1034"/>
      <c r="H100" s="1008"/>
      <c r="I100" s="1063"/>
      <c r="J100" s="622"/>
      <c r="K100" s="982"/>
      <c r="L100" s="622"/>
      <c r="M100" s="982"/>
      <c r="N100" s="475"/>
      <c r="P100" s="878"/>
    </row>
    <row r="101" spans="1:17" s="224" customFormat="1" hidden="1" x14ac:dyDescent="0.25">
      <c r="A101" s="215">
        <v>44616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16</v>
      </c>
      <c r="G101" s="982"/>
      <c r="H101" s="1008"/>
      <c r="I101" s="1063"/>
      <c r="J101" s="622"/>
      <c r="K101" s="982"/>
      <c r="L101" s="622"/>
      <c r="M101" s="982"/>
      <c r="N101" s="861"/>
      <c r="P101" s="878"/>
    </row>
    <row r="102" spans="1:17" s="224" customFormat="1" ht="15" hidden="1" customHeight="1" x14ac:dyDescent="0.25">
      <c r="A102" s="215">
        <v>44616</v>
      </c>
      <c r="B102" s="882" t="s">
        <v>2766</v>
      </c>
      <c r="C102" s="879" t="s">
        <v>12</v>
      </c>
      <c r="D102" s="879" t="s">
        <v>2157</v>
      </c>
      <c r="E102" s="480" t="s">
        <v>15</v>
      </c>
      <c r="F102" s="780">
        <v>70</v>
      </c>
      <c r="G102" s="982"/>
      <c r="H102" s="622"/>
      <c r="I102" s="982"/>
      <c r="J102" s="622"/>
      <c r="K102" s="982"/>
      <c r="L102" s="622"/>
      <c r="M102" s="982"/>
      <c r="N102" s="927"/>
      <c r="P102" s="878"/>
    </row>
    <row r="103" spans="1:17" s="224" customFormat="1" ht="15" hidden="1" customHeight="1" x14ac:dyDescent="0.25">
      <c r="A103" s="215">
        <v>44616</v>
      </c>
      <c r="B103" s="349" t="s">
        <v>3237</v>
      </c>
      <c r="C103" s="350" t="s">
        <v>12</v>
      </c>
      <c r="D103" s="350" t="s">
        <v>1489</v>
      </c>
      <c r="E103" s="480" t="s">
        <v>15</v>
      </c>
      <c r="F103" s="780">
        <v>5</v>
      </c>
      <c r="G103" s="946"/>
      <c r="H103" s="95"/>
      <c r="I103" s="1064"/>
      <c r="J103" s="622"/>
      <c r="K103" s="982"/>
      <c r="L103" s="622"/>
      <c r="M103" s="982"/>
      <c r="N103" s="861"/>
      <c r="P103" s="959"/>
      <c r="Q103" s="999"/>
    </row>
    <row r="104" spans="1:17" s="224" customFormat="1" ht="15" hidden="1" customHeight="1" x14ac:dyDescent="0.25">
      <c r="A104" s="215">
        <v>44616</v>
      </c>
      <c r="B104" s="882" t="s">
        <v>14</v>
      </c>
      <c r="C104" s="879" t="s">
        <v>12</v>
      </c>
      <c r="D104" s="879" t="s">
        <v>1486</v>
      </c>
      <c r="E104" s="875" t="s">
        <v>13</v>
      </c>
      <c r="F104" s="780">
        <v>8.34</v>
      </c>
      <c r="G104" s="982"/>
      <c r="H104" s="1008"/>
      <c r="I104" s="1063"/>
      <c r="J104" s="622"/>
      <c r="K104" s="982"/>
      <c r="L104" s="622"/>
      <c r="M104" s="982"/>
      <c r="N104" s="861"/>
      <c r="P104" s="1035"/>
    </row>
    <row r="105" spans="1:17" s="224" customFormat="1" ht="15" hidden="1" customHeight="1" x14ac:dyDescent="0.25">
      <c r="A105" s="215">
        <v>44617</v>
      </c>
      <c r="B105" s="882" t="s">
        <v>256</v>
      </c>
      <c r="C105" s="879"/>
      <c r="D105" s="879"/>
      <c r="E105" s="875" t="s">
        <v>25</v>
      </c>
      <c r="F105" s="780"/>
      <c r="G105" s="982">
        <v>300</v>
      </c>
      <c r="H105" s="1060">
        <v>300</v>
      </c>
      <c r="I105" s="1033"/>
      <c r="J105" s="880"/>
      <c r="K105" s="1033"/>
      <c r="L105" s="880"/>
      <c r="M105" s="1033"/>
      <c r="N105" s="1080"/>
      <c r="O105" s="927"/>
      <c r="P105" s="878"/>
    </row>
    <row r="106" spans="1:17" s="224" customFormat="1" ht="15" hidden="1" customHeight="1" x14ac:dyDescent="0.25">
      <c r="A106" s="215">
        <v>44617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16</v>
      </c>
      <c r="G106" s="946"/>
      <c r="H106" s="95"/>
      <c r="I106" s="1064"/>
      <c r="J106" s="622"/>
      <c r="K106" s="982"/>
      <c r="L106" s="622"/>
      <c r="M106" s="982"/>
      <c r="N106" s="1028"/>
      <c r="Q106" s="958"/>
    </row>
    <row r="107" spans="1:17" s="224" customFormat="1" ht="15" hidden="1" customHeight="1" x14ac:dyDescent="0.25">
      <c r="A107" s="215">
        <v>44617</v>
      </c>
      <c r="B107" s="882" t="s">
        <v>443</v>
      </c>
      <c r="C107" s="879" t="s">
        <v>12</v>
      </c>
      <c r="D107" s="879" t="s">
        <v>1493</v>
      </c>
      <c r="E107" s="871" t="s">
        <v>13</v>
      </c>
      <c r="F107" s="780">
        <v>23.8</v>
      </c>
      <c r="G107" s="946"/>
      <c r="H107" s="95"/>
      <c r="I107" s="1064"/>
      <c r="J107" s="622"/>
      <c r="K107" s="982"/>
      <c r="L107" s="622"/>
      <c r="M107" s="982"/>
      <c r="N107" s="1028"/>
      <c r="Q107" s="958"/>
    </row>
    <row r="108" spans="1:17" s="224" customFormat="1" ht="15" hidden="1" customHeight="1" x14ac:dyDescent="0.25">
      <c r="A108" s="215">
        <v>44618</v>
      </c>
      <c r="B108" s="882" t="s">
        <v>14</v>
      </c>
      <c r="C108" s="879" t="s">
        <v>12</v>
      </c>
      <c r="D108" s="879" t="s">
        <v>1486</v>
      </c>
      <c r="E108" s="875" t="s">
        <v>13</v>
      </c>
      <c r="F108" s="780">
        <v>4.2</v>
      </c>
      <c r="G108" s="946"/>
      <c r="H108" s="95"/>
      <c r="I108" s="1064"/>
      <c r="J108" s="622"/>
      <c r="K108" s="982"/>
      <c r="L108" s="622"/>
      <c r="M108" s="982"/>
      <c r="N108" s="1028"/>
      <c r="Q108" s="958"/>
    </row>
    <row r="109" spans="1:17" s="224" customFormat="1" ht="15" hidden="1" customHeight="1" x14ac:dyDescent="0.25">
      <c r="A109" s="215">
        <v>44618</v>
      </c>
      <c r="B109" s="882" t="s">
        <v>1438</v>
      </c>
      <c r="C109" s="879" t="s">
        <v>19</v>
      </c>
      <c r="D109" s="879" t="s">
        <v>1489</v>
      </c>
      <c r="E109" s="871" t="s">
        <v>13</v>
      </c>
      <c r="F109" s="780">
        <v>47.06</v>
      </c>
      <c r="G109" s="982"/>
      <c r="H109" s="622"/>
      <c r="I109" s="982"/>
      <c r="J109" s="622"/>
      <c r="K109" s="982"/>
      <c r="L109" s="622"/>
      <c r="M109" s="982"/>
      <c r="N109" s="1028"/>
      <c r="O109" s="927"/>
      <c r="P109" s="878"/>
      <c r="Q109" s="958"/>
    </row>
    <row r="110" spans="1:17" s="224" customFormat="1" ht="15" hidden="1" customHeight="1" x14ac:dyDescent="0.25">
      <c r="A110" s="215">
        <v>44618</v>
      </c>
      <c r="B110" s="882" t="s">
        <v>2766</v>
      </c>
      <c r="C110" s="879" t="s">
        <v>12</v>
      </c>
      <c r="D110" s="879" t="s">
        <v>2157</v>
      </c>
      <c r="E110" s="480" t="s">
        <v>13</v>
      </c>
      <c r="F110" s="780">
        <v>50</v>
      </c>
      <c r="G110" s="982"/>
      <c r="H110" s="1008"/>
      <c r="I110" s="1063"/>
      <c r="J110" s="622"/>
      <c r="K110" s="982"/>
      <c r="L110" s="622"/>
      <c r="M110" s="982"/>
      <c r="N110" s="861"/>
      <c r="P110" s="1123"/>
      <c r="Q110" s="999"/>
    </row>
    <row r="111" spans="1:17" s="224" customFormat="1" ht="15" hidden="1" customHeight="1" x14ac:dyDescent="0.25">
      <c r="A111" s="215">
        <v>44618</v>
      </c>
      <c r="B111" s="882" t="s">
        <v>3238</v>
      </c>
      <c r="C111" s="879" t="s">
        <v>19</v>
      </c>
      <c r="D111" s="879" t="s">
        <v>1489</v>
      </c>
      <c r="E111" s="871" t="s">
        <v>13</v>
      </c>
      <c r="F111" s="780">
        <v>90</v>
      </c>
      <c r="G111" s="982"/>
      <c r="H111" s="622"/>
      <c r="I111" s="982"/>
      <c r="J111" s="622"/>
      <c r="K111" s="982"/>
      <c r="L111" s="622"/>
      <c r="M111" s="982"/>
      <c r="N111" s="1028"/>
      <c r="O111" s="927"/>
      <c r="P111" s="878"/>
      <c r="Q111" s="958"/>
    </row>
    <row r="112" spans="1:17" s="224" customFormat="1" ht="15" hidden="1" customHeight="1" x14ac:dyDescent="0.25">
      <c r="A112" s="215">
        <v>44618</v>
      </c>
      <c r="B112" s="882" t="s">
        <v>80</v>
      </c>
      <c r="C112" s="879" t="s">
        <v>19</v>
      </c>
      <c r="D112" s="879" t="s">
        <v>1523</v>
      </c>
      <c r="E112" s="871" t="s">
        <v>13</v>
      </c>
      <c r="F112" s="780">
        <v>22.58</v>
      </c>
      <c r="G112" s="982"/>
      <c r="H112" s="622"/>
      <c r="I112" s="982"/>
      <c r="J112" s="622"/>
      <c r="K112" s="982"/>
      <c r="L112" s="622"/>
      <c r="M112" s="982"/>
      <c r="N112" s="1028"/>
      <c r="O112" s="927"/>
      <c r="P112" s="878"/>
      <c r="Q112" s="958"/>
    </row>
    <row r="113" spans="1:22" s="224" customFormat="1" ht="15" hidden="1" customHeight="1" x14ac:dyDescent="0.25">
      <c r="A113" s="215">
        <v>44618</v>
      </c>
      <c r="B113" s="364" t="s">
        <v>3239</v>
      </c>
      <c r="C113" s="350" t="s">
        <v>12</v>
      </c>
      <c r="D113" s="350" t="s">
        <v>1523</v>
      </c>
      <c r="E113" s="875" t="s">
        <v>13</v>
      </c>
      <c r="F113" s="780">
        <v>4</v>
      </c>
      <c r="G113" s="982"/>
      <c r="H113" s="1008"/>
      <c r="I113" s="1063"/>
      <c r="J113" s="622"/>
      <c r="K113" s="982"/>
      <c r="L113" s="622"/>
      <c r="M113" s="982"/>
      <c r="N113" s="861"/>
      <c r="P113" s="1123"/>
      <c r="Q113" s="999"/>
    </row>
    <row r="114" spans="1:22" s="224" customFormat="1" ht="15" hidden="1" customHeight="1" x14ac:dyDescent="0.25">
      <c r="A114" s="215">
        <v>44618</v>
      </c>
      <c r="B114" s="364" t="s">
        <v>3240</v>
      </c>
      <c r="C114" s="350" t="s">
        <v>12</v>
      </c>
      <c r="D114" s="350" t="s">
        <v>1489</v>
      </c>
      <c r="E114" s="875" t="s">
        <v>13</v>
      </c>
      <c r="F114" s="780">
        <v>34.39</v>
      </c>
      <c r="G114" s="982"/>
      <c r="H114" s="1008"/>
      <c r="I114" s="1063"/>
      <c r="J114" s="622"/>
      <c r="K114" s="982"/>
      <c r="L114" s="622"/>
      <c r="M114" s="982"/>
      <c r="N114" s="861"/>
      <c r="P114" s="1123"/>
      <c r="Q114" s="999"/>
    </row>
    <row r="115" spans="1:22" s="224" customFormat="1" ht="15" hidden="1" customHeight="1" x14ac:dyDescent="0.25">
      <c r="A115" s="215">
        <v>44619</v>
      </c>
      <c r="B115" s="882" t="s">
        <v>14</v>
      </c>
      <c r="C115" s="879" t="s">
        <v>12</v>
      </c>
      <c r="D115" s="879" t="s">
        <v>1486</v>
      </c>
      <c r="E115" s="875" t="s">
        <v>13</v>
      </c>
      <c r="F115" s="780">
        <v>12.37</v>
      </c>
      <c r="G115" s="982"/>
      <c r="H115" s="1008"/>
      <c r="I115" s="1063"/>
      <c r="J115" s="622"/>
      <c r="K115" s="982"/>
      <c r="L115" s="622"/>
      <c r="M115" s="982"/>
      <c r="N115" s="1029"/>
      <c r="O115" s="89"/>
      <c r="P115" s="1081"/>
      <c r="Q115" s="1082"/>
    </row>
    <row r="116" spans="1:22" s="224" customFormat="1" ht="15" hidden="1" customHeight="1" x14ac:dyDescent="0.25">
      <c r="A116" s="215">
        <v>44619</v>
      </c>
      <c r="B116" s="882" t="s">
        <v>443</v>
      </c>
      <c r="C116" s="879" t="s">
        <v>12</v>
      </c>
      <c r="D116" s="879" t="s">
        <v>1493</v>
      </c>
      <c r="E116" s="871" t="s">
        <v>13</v>
      </c>
      <c r="F116" s="780">
        <v>4.76</v>
      </c>
      <c r="G116" s="946"/>
      <c r="H116" s="95"/>
      <c r="I116" s="1064"/>
      <c r="J116" s="622"/>
      <c r="K116" s="982"/>
      <c r="L116" s="622"/>
      <c r="M116" s="982"/>
      <c r="N116" s="1028"/>
      <c r="Q116" s="958"/>
    </row>
    <row r="117" spans="1:22" s="224" customFormat="1" ht="15" hidden="1" customHeight="1" x14ac:dyDescent="0.25">
      <c r="A117" s="215">
        <v>44620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21</v>
      </c>
      <c r="G117" s="982"/>
      <c r="H117" s="1008"/>
      <c r="I117" s="1063"/>
      <c r="J117" s="622"/>
      <c r="K117" s="982"/>
      <c r="L117" s="622"/>
      <c r="M117" s="982"/>
      <c r="N117" s="1029"/>
      <c r="O117" s="89"/>
      <c r="P117" s="930"/>
    </row>
    <row r="118" spans="1:22" s="224" customFormat="1" ht="15" hidden="1" customHeight="1" x14ac:dyDescent="0.25">
      <c r="A118" s="215">
        <v>44620</v>
      </c>
      <c r="B118" s="882" t="s">
        <v>3241</v>
      </c>
      <c r="C118" s="879" t="s">
        <v>12</v>
      </c>
      <c r="D118" s="879" t="s">
        <v>1489</v>
      </c>
      <c r="E118" s="875" t="s">
        <v>13</v>
      </c>
      <c r="F118" s="780">
        <v>42</v>
      </c>
      <c r="G118" s="982"/>
      <c r="H118" s="1008"/>
      <c r="I118" s="1063"/>
      <c r="J118" s="622"/>
      <c r="K118" s="982"/>
      <c r="L118" s="622"/>
      <c r="M118" s="982"/>
      <c r="N118" s="1029"/>
      <c r="O118" s="89"/>
      <c r="P118" s="930"/>
    </row>
    <row r="119" spans="1:22" s="224" customFormat="1" hidden="1" x14ac:dyDescent="0.25">
      <c r="A119" s="215">
        <v>44620</v>
      </c>
      <c r="B119" s="364" t="s">
        <v>3242</v>
      </c>
      <c r="C119" s="350" t="s">
        <v>12</v>
      </c>
      <c r="D119" s="350" t="s">
        <v>1524</v>
      </c>
      <c r="E119" s="875" t="s">
        <v>13</v>
      </c>
      <c r="F119" s="1047">
        <v>6</v>
      </c>
      <c r="G119" s="982"/>
      <c r="H119" s="1008"/>
      <c r="I119" s="1063"/>
      <c r="J119" s="622"/>
      <c r="K119" s="982"/>
      <c r="L119" s="622"/>
      <c r="M119" s="982"/>
      <c r="N119" s="1029"/>
      <c r="O119" s="89"/>
      <c r="P119" s="930"/>
    </row>
    <row r="120" spans="1:22" s="224" customFormat="1" x14ac:dyDescent="0.25">
      <c r="A120" s="215">
        <v>44620</v>
      </c>
      <c r="B120" s="364" t="s">
        <v>3243</v>
      </c>
      <c r="C120" s="350" t="s">
        <v>12</v>
      </c>
      <c r="D120" s="350" t="s">
        <v>1522</v>
      </c>
      <c r="E120" s="875" t="s">
        <v>13</v>
      </c>
      <c r="F120" s="1047">
        <v>25</v>
      </c>
      <c r="G120" s="982"/>
      <c r="H120" s="1008"/>
      <c r="I120" s="1063"/>
      <c r="J120" s="622"/>
      <c r="K120" s="982"/>
      <c r="L120" s="622"/>
      <c r="M120" s="982"/>
      <c r="N120" s="1029"/>
      <c r="O120" s="89"/>
      <c r="P120" s="930"/>
    </row>
    <row r="121" spans="1:22" s="224" customFormat="1" hidden="1" x14ac:dyDescent="0.25">
      <c r="A121" s="215">
        <v>44620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1047">
        <v>4.2300000000000004</v>
      </c>
      <c r="G121" s="982"/>
      <c r="H121" s="1008"/>
      <c r="I121" s="1063"/>
      <c r="J121" s="622"/>
      <c r="K121" s="982"/>
      <c r="L121" s="622"/>
      <c r="M121" s="982"/>
      <c r="N121" s="1029"/>
      <c r="O121" s="89"/>
      <c r="P121" s="930"/>
    </row>
    <row r="122" spans="1:22" s="224" customFormat="1" ht="15.75" hidden="1" thickBot="1" x14ac:dyDescent="0.3">
      <c r="A122" s="215">
        <v>44620</v>
      </c>
      <c r="B122" s="862" t="s">
        <v>1666</v>
      </c>
      <c r="C122" s="350" t="s">
        <v>12</v>
      </c>
      <c r="D122" s="1003"/>
      <c r="E122" s="145" t="s">
        <v>25</v>
      </c>
      <c r="F122" s="1036"/>
      <c r="G122" s="1535"/>
      <c r="H122" s="1008"/>
      <c r="I122" s="1063"/>
      <c r="J122" s="622"/>
      <c r="K122" s="1538">
        <v>130.44999999999999</v>
      </c>
      <c r="L122" s="1036"/>
      <c r="M122" s="1535"/>
      <c r="N122" s="475"/>
      <c r="P122" s="878"/>
    </row>
    <row r="123" spans="1:22" ht="25.5" hidden="1" customHeight="1" thickBot="1" x14ac:dyDescent="0.3">
      <c r="A123" s="3060"/>
      <c r="B123" s="3061"/>
      <c r="C123" s="3062"/>
      <c r="D123" s="3062"/>
      <c r="E123" s="3062"/>
      <c r="F123" s="1020">
        <f>SUM(F6:F122)</f>
        <v>5525.0499999999993</v>
      </c>
      <c r="G123" s="1534">
        <f>SUM(G5:G122)</f>
        <v>5716.7695833333501</v>
      </c>
      <c r="H123" s="517">
        <f>SUM(H6:H122)</f>
        <v>500</v>
      </c>
      <c r="I123" s="93">
        <f>SUM(I5:I122)</f>
        <v>23399.996000000003</v>
      </c>
      <c r="J123" s="1023">
        <f>SUM(J6:J122)</f>
        <v>0</v>
      </c>
      <c r="K123" s="93">
        <f>SUM(K5:K122)</f>
        <v>18134</v>
      </c>
      <c r="L123" s="1023">
        <f>SUM(L6:L122)</f>
        <v>0</v>
      </c>
      <c r="M123" s="93">
        <f>SUM(M5:M122)</f>
        <v>8439.5</v>
      </c>
      <c r="O123" s="216"/>
    </row>
    <row r="124" spans="1:22" ht="25.5" hidden="1" customHeight="1" thickBot="1" x14ac:dyDescent="0.3">
      <c r="A124" s="3117" t="s">
        <v>49</v>
      </c>
      <c r="B124" s="3118"/>
      <c r="C124" s="3118"/>
      <c r="D124" s="3118"/>
      <c r="E124" s="3118"/>
      <c r="F124" s="144" t="s">
        <v>280</v>
      </c>
      <c r="G124" s="519">
        <f>G123-F123</f>
        <v>191.71958333335078</v>
      </c>
      <c r="H124" s="555"/>
      <c r="I124" s="772">
        <f>I123-H123</f>
        <v>22899.996000000003</v>
      </c>
      <c r="J124" s="593"/>
      <c r="K124" s="772">
        <f>K123-J123</f>
        <v>18134</v>
      </c>
      <c r="L124" s="593"/>
      <c r="M124" s="772">
        <f>M123-L123</f>
        <v>8439.5</v>
      </c>
    </row>
    <row r="125" spans="1:22" x14ac:dyDescent="0.25">
      <c r="N125" s="89"/>
      <c r="P125" s="79"/>
      <c r="S125" s="518"/>
      <c r="T125" s="216"/>
      <c r="V125" s="877"/>
    </row>
    <row r="126" spans="1:22" x14ac:dyDescent="0.25">
      <c r="B126" s="81" t="s">
        <v>3</v>
      </c>
      <c r="C126" s="193" t="s">
        <v>1484</v>
      </c>
      <c r="D126" s="970" t="s">
        <v>2378</v>
      </c>
      <c r="E126" s="193" t="s">
        <v>3216</v>
      </c>
      <c r="F126" s="1061" t="s">
        <v>3217</v>
      </c>
      <c r="G126" s="216"/>
      <c r="K126" s="866"/>
      <c r="L126" s="85"/>
      <c r="M126" s="866"/>
      <c r="N126" s="865"/>
      <c r="P126" s="1129"/>
    </row>
    <row r="127" spans="1:22" x14ac:dyDescent="0.25">
      <c r="B127" s="79" t="s">
        <v>32</v>
      </c>
      <c r="C127" s="85" t="s">
        <v>1485</v>
      </c>
      <c r="D127" s="475">
        <f>SUMIF($D$7:$D$122,"A",$F$7:$F$122)</f>
        <v>356</v>
      </c>
      <c r="E127" s="1202">
        <f>D127/$J$146</f>
        <v>12.714285714285714</v>
      </c>
      <c r="F127" s="1203">
        <f>E127/$C$147</f>
        <v>9.7539591210477283E-2</v>
      </c>
      <c r="G127" s="800"/>
      <c r="I127" s="769"/>
      <c r="J127" s="868"/>
      <c r="K127" s="795"/>
      <c r="L127" s="868"/>
      <c r="M127" s="795"/>
      <c r="N127" s="865"/>
      <c r="P127" s="1129"/>
    </row>
    <row r="128" spans="1:22" x14ac:dyDescent="0.25">
      <c r="B128" s="79" t="s">
        <v>2187</v>
      </c>
      <c r="C128" s="85" t="s">
        <v>2157</v>
      </c>
      <c r="D128" s="475">
        <f>SUMIF($D$7:$D$122,"GAC",$F$7:$F$122)</f>
        <v>620</v>
      </c>
      <c r="E128" s="1202">
        <f t="shared" ref="E128:E144" si="0">D128/$J$146</f>
        <v>22.142857142857142</v>
      </c>
      <c r="F128" s="1203">
        <f t="shared" ref="F128:F143" si="1">E128/$C$147</f>
        <v>0.16987232177105596</v>
      </c>
      <c r="G128" s="609"/>
      <c r="J128" s="85"/>
      <c r="K128" s="85"/>
      <c r="L128" s="85"/>
      <c r="M128" s="85"/>
      <c r="N128" s="85"/>
      <c r="P128" s="1130"/>
    </row>
    <row r="129" spans="1:16" x14ac:dyDescent="0.25">
      <c r="B129" s="79" t="s">
        <v>2188</v>
      </c>
      <c r="C129" s="85" t="s">
        <v>2168</v>
      </c>
      <c r="D129" s="475">
        <f>SUMIF($D$9:$D$122,"GAM",$F$9:$F$122)</f>
        <v>0</v>
      </c>
      <c r="E129" s="1202">
        <f t="shared" si="0"/>
        <v>0</v>
      </c>
      <c r="F129" s="1203">
        <f t="shared" si="1"/>
        <v>0</v>
      </c>
      <c r="J129" s="868"/>
      <c r="K129" s="1128"/>
      <c r="L129" s="1128"/>
      <c r="M129" s="1128"/>
      <c r="N129" s="1128"/>
    </row>
    <row r="130" spans="1:16" s="85" customFormat="1" x14ac:dyDescent="0.25">
      <c r="A130" s="79"/>
      <c r="B130" s="79" t="s">
        <v>50</v>
      </c>
      <c r="C130" s="85" t="s">
        <v>1493</v>
      </c>
      <c r="D130" s="475">
        <f>SUMIF($D$7:$D$122,"LD",$F$7:$F$122)</f>
        <v>203.41</v>
      </c>
      <c r="E130" s="1202">
        <f t="shared" si="0"/>
        <v>7.2646428571428574</v>
      </c>
      <c r="F130" s="1203">
        <f t="shared" si="1"/>
        <v>5.5731820921694347E-2</v>
      </c>
      <c r="N130" s="1038"/>
      <c r="P130" s="877"/>
    </row>
    <row r="131" spans="1:16" s="85" customFormat="1" x14ac:dyDescent="0.25">
      <c r="A131" s="79"/>
      <c r="B131" s="79" t="s">
        <v>14</v>
      </c>
      <c r="C131" s="85" t="s">
        <v>1486</v>
      </c>
      <c r="D131" s="475">
        <f>SUMIF($D$9:$D$122,"C",$F$9:$F$122)</f>
        <v>123.64000000000003</v>
      </c>
      <c r="E131" s="1202">
        <f t="shared" si="0"/>
        <v>4.4157142857142864</v>
      </c>
      <c r="F131" s="1203">
        <f t="shared" si="1"/>
        <v>3.387582881253768E-2</v>
      </c>
      <c r="G131" s="79"/>
      <c r="H131" s="79"/>
      <c r="J131" s="864"/>
      <c r="K131" s="1032"/>
      <c r="L131" s="1032"/>
      <c r="M131" s="1032"/>
      <c r="N131" s="1038"/>
      <c r="P131" s="877"/>
    </row>
    <row r="132" spans="1:16" s="85" customFormat="1" x14ac:dyDescent="0.25">
      <c r="A132" s="79"/>
      <c r="B132" s="79" t="s">
        <v>51</v>
      </c>
      <c r="C132" s="864" t="s">
        <v>1499</v>
      </c>
      <c r="D132" s="475">
        <f>SUMIF($D$25:$D$122,"CAL",$F$25:$F$122)</f>
        <v>87.039999999999992</v>
      </c>
      <c r="E132" s="1202">
        <f t="shared" si="0"/>
        <v>3.1085714285714281</v>
      </c>
      <c r="F132" s="1203">
        <f t="shared" si="1"/>
        <v>2.3847882075730173E-2</v>
      </c>
      <c r="G132" s="79"/>
      <c r="H132" s="79"/>
      <c r="I132" s="79"/>
      <c r="J132" s="864"/>
      <c r="K132" s="1032"/>
      <c r="L132" s="1032"/>
      <c r="M132" s="1032"/>
      <c r="N132" s="1038"/>
      <c r="P132" s="877"/>
    </row>
    <row r="133" spans="1:16" s="85" customFormat="1" x14ac:dyDescent="0.25">
      <c r="A133" s="79"/>
      <c r="B133" s="79" t="s">
        <v>2189</v>
      </c>
      <c r="C133" s="864" t="s">
        <v>1496</v>
      </c>
      <c r="D133" s="475">
        <f>SUMIF($D$16:$D$122,"AC",$F$16:$F$122)</f>
        <v>158.9</v>
      </c>
      <c r="E133" s="1202">
        <f t="shared" si="0"/>
        <v>5.6749999999999998</v>
      </c>
      <c r="F133" s="1203">
        <f t="shared" si="1"/>
        <v>4.353663214422708E-2</v>
      </c>
      <c r="G133" s="79"/>
      <c r="J133" s="864"/>
      <c r="K133" s="1032"/>
      <c r="L133" s="1032"/>
      <c r="M133" s="1032"/>
      <c r="N133" s="1032"/>
      <c r="P133" s="877"/>
    </row>
    <row r="134" spans="1:16" s="85" customFormat="1" x14ac:dyDescent="0.25">
      <c r="A134" s="79"/>
      <c r="B134" s="867" t="s">
        <v>53</v>
      </c>
      <c r="C134" s="864" t="s">
        <v>1522</v>
      </c>
      <c r="D134" s="475">
        <f>SUMIF($D$7:$D$122,"DC",$F$7:$F$122)</f>
        <v>625.64</v>
      </c>
      <c r="E134" s="1202">
        <f t="shared" si="0"/>
        <v>22.344285714285714</v>
      </c>
      <c r="F134" s="1203">
        <f t="shared" si="1"/>
        <v>0.17141761192394103</v>
      </c>
      <c r="K134" s="795"/>
      <c r="L134" s="795"/>
      <c r="M134" s="795"/>
      <c r="N134" s="863"/>
      <c r="P134" s="877"/>
    </row>
    <row r="135" spans="1:16" s="85" customFormat="1" x14ac:dyDescent="0.25">
      <c r="A135" s="79"/>
      <c r="B135" s="867" t="s">
        <v>2149</v>
      </c>
      <c r="C135" s="864" t="s">
        <v>2131</v>
      </c>
      <c r="D135" s="475">
        <f>SUMIF($D$6:$D$122,"DM",$F$6:$F$122)</f>
        <v>0</v>
      </c>
      <c r="E135" s="1202">
        <f t="shared" si="0"/>
        <v>0</v>
      </c>
      <c r="F135" s="1203">
        <f t="shared" si="1"/>
        <v>0</v>
      </c>
      <c r="K135" s="177"/>
      <c r="L135" s="177"/>
      <c r="M135" s="177"/>
      <c r="N135" s="863"/>
      <c r="P135" s="877"/>
    </row>
    <row r="136" spans="1:16" s="85" customFormat="1" x14ac:dyDescent="0.25">
      <c r="A136" s="79"/>
      <c r="B136" s="79" t="s">
        <v>3048</v>
      </c>
      <c r="C136" s="864" t="s">
        <v>1523</v>
      </c>
      <c r="D136" s="475">
        <f ca="1">SUMIF($D$8:$D$123,"B",$F$8:$F$122)</f>
        <v>260.58</v>
      </c>
      <c r="E136" s="1202">
        <f t="shared" ca="1" si="0"/>
        <v>9.3064285714285706</v>
      </c>
      <c r="F136" s="1203">
        <f t="shared" ca="1" si="1"/>
        <v>7.1395692914680259E-2</v>
      </c>
      <c r="G136" s="866"/>
      <c r="J136" s="193"/>
      <c r="K136" s="591"/>
      <c r="L136" s="591"/>
      <c r="M136" s="1131"/>
      <c r="N136" s="1131"/>
      <c r="P136" s="877"/>
    </row>
    <row r="137" spans="1:16" s="85" customFormat="1" x14ac:dyDescent="0.25">
      <c r="A137" s="79"/>
      <c r="B137" s="79" t="s">
        <v>1686</v>
      </c>
      <c r="C137" s="864" t="s">
        <v>1506</v>
      </c>
      <c r="D137" s="475">
        <f>SUMIF($D$9:$D$122,"R",$F$9:$F$122)</f>
        <v>204.97</v>
      </c>
      <c r="E137" s="1202">
        <f t="shared" si="0"/>
        <v>7.3203571428571426</v>
      </c>
      <c r="F137" s="1203">
        <f t="shared" si="1"/>
        <v>5.6159241602279579E-2</v>
      </c>
      <c r="G137" s="868"/>
      <c r="K137" s="866"/>
      <c r="M137" s="866"/>
      <c r="N137" s="475"/>
      <c r="P137" s="877"/>
    </row>
    <row r="138" spans="1:16" x14ac:dyDescent="0.25">
      <c r="B138" s="79" t="s">
        <v>418</v>
      </c>
      <c r="C138" s="85" t="s">
        <v>1524</v>
      </c>
      <c r="D138" s="475">
        <f>SUMIF($D$25:$D$122,"COM",$F$25:$F$122)</f>
        <v>6</v>
      </c>
      <c r="E138" s="1202">
        <f t="shared" si="0"/>
        <v>0.21428571428571427</v>
      </c>
      <c r="F138" s="1203">
        <f t="shared" si="1"/>
        <v>1.643925694558606E-3</v>
      </c>
      <c r="G138" s="85"/>
      <c r="H138" s="85"/>
      <c r="I138" s="85"/>
      <c r="J138" s="769"/>
      <c r="K138" s="216"/>
      <c r="L138" s="769"/>
      <c r="M138" s="216"/>
    </row>
    <row r="139" spans="1:16" x14ac:dyDescent="0.25">
      <c r="B139" s="79" t="s">
        <v>419</v>
      </c>
      <c r="C139" s="85" t="s">
        <v>1491</v>
      </c>
      <c r="D139" s="475">
        <f>SUMIF($D$16:$D$122,"F",$F$16:$F$122)</f>
        <v>787.5</v>
      </c>
      <c r="E139" s="1202">
        <f t="shared" si="0"/>
        <v>28.125</v>
      </c>
      <c r="F139" s="1203">
        <f t="shared" si="1"/>
        <v>0.21576524741081704</v>
      </c>
      <c r="I139" s="85"/>
      <c r="K139" s="216"/>
      <c r="M139" s="1132"/>
    </row>
    <row r="140" spans="1:16" x14ac:dyDescent="0.25">
      <c r="B140" s="79" t="s">
        <v>911</v>
      </c>
      <c r="C140" s="85" t="s">
        <v>1525</v>
      </c>
      <c r="D140" s="475">
        <f>SUMIF($D$9:$D$122,"FER",$F$9:$F$122)</f>
        <v>0</v>
      </c>
      <c r="E140" s="1202">
        <f t="shared" si="0"/>
        <v>0</v>
      </c>
      <c r="F140" s="1203">
        <f t="shared" si="1"/>
        <v>0</v>
      </c>
      <c r="J140" s="769"/>
      <c r="K140" s="868"/>
      <c r="L140" s="769"/>
      <c r="M140" s="868"/>
    </row>
    <row r="141" spans="1:16" x14ac:dyDescent="0.25">
      <c r="B141" s="79" t="s">
        <v>1526</v>
      </c>
      <c r="C141" s="85" t="s">
        <v>1504</v>
      </c>
      <c r="D141" s="475">
        <f>SUMIF($D$7:$D$122,"I",$F$7:$F$122)</f>
        <v>144.35</v>
      </c>
      <c r="E141" s="1202">
        <f t="shared" si="0"/>
        <v>5.1553571428571425</v>
      </c>
      <c r="F141" s="1203">
        <f t="shared" si="1"/>
        <v>3.9550112334922463E-2</v>
      </c>
      <c r="J141" s="769"/>
      <c r="K141" s="868"/>
      <c r="L141" s="769"/>
      <c r="M141" s="868"/>
    </row>
    <row r="142" spans="1:16" x14ac:dyDescent="0.25">
      <c r="B142" s="79" t="s">
        <v>2343</v>
      </c>
      <c r="C142" s="85" t="s">
        <v>2315</v>
      </c>
      <c r="D142" s="475">
        <f>SUMIF($D$12:$D$122,"E",$F$12:$F$122)</f>
        <v>0</v>
      </c>
      <c r="E142" s="1202">
        <f t="shared" si="0"/>
        <v>0</v>
      </c>
      <c r="F142" s="1203">
        <f t="shared" si="1"/>
        <v>0</v>
      </c>
      <c r="J142" s="769"/>
      <c r="K142" s="868"/>
      <c r="L142" s="769"/>
      <c r="M142" s="868"/>
    </row>
    <row r="143" spans="1:16" x14ac:dyDescent="0.25">
      <c r="B143" s="79" t="s">
        <v>3019</v>
      </c>
      <c r="C143" s="85" t="s">
        <v>3017</v>
      </c>
      <c r="D143" s="475">
        <f>SUMIF($D$6:$D$122,"IM",$F$6:$F$122)</f>
        <v>639.38</v>
      </c>
      <c r="E143" s="1202">
        <f t="shared" si="0"/>
        <v>22.835000000000001</v>
      </c>
      <c r="F143" s="1203">
        <f t="shared" si="1"/>
        <v>0.17518220176448027</v>
      </c>
      <c r="J143" s="769"/>
      <c r="L143" s="769"/>
    </row>
    <row r="144" spans="1:16" x14ac:dyDescent="0.25">
      <c r="B144" s="79" t="s">
        <v>1527</v>
      </c>
      <c r="C144" s="85" t="s">
        <v>1489</v>
      </c>
      <c r="D144" s="475">
        <f>SUMIF($D$12:$D$122,"OD",$F$12:$F$122)</f>
        <v>707.64</v>
      </c>
      <c r="E144" s="1202">
        <f t="shared" si="0"/>
        <v>25.272857142857141</v>
      </c>
      <c r="F144" s="1203">
        <f>E144/$C$147</f>
        <v>0.19388459641624198</v>
      </c>
    </row>
    <row r="145" spans="1:20" x14ac:dyDescent="0.25">
      <c r="C145" s="79"/>
      <c r="D145" s="629"/>
      <c r="E145" s="79"/>
      <c r="F145" s="79"/>
      <c r="N145" s="79"/>
      <c r="P145" s="79"/>
    </row>
    <row r="146" spans="1:20" x14ac:dyDescent="0.25">
      <c r="B146" s="79" t="s">
        <v>486</v>
      </c>
      <c r="C146" s="475">
        <f ca="1">H146/J146</f>
        <v>175.89464285714286</v>
      </c>
      <c r="F146" s="518" t="s">
        <v>487</v>
      </c>
      <c r="H146" s="629">
        <f ca="1">SUM(D127:D144)</f>
        <v>4925.05</v>
      </c>
      <c r="I146" s="216"/>
      <c r="J146" s="1517">
        <v>28</v>
      </c>
      <c r="L146" s="1517"/>
    </row>
    <row r="147" spans="1:20" ht="15.75" customHeight="1" x14ac:dyDescent="0.25">
      <c r="B147" s="1124" t="s">
        <v>3218</v>
      </c>
      <c r="C147" s="1125">
        <v>130.35</v>
      </c>
      <c r="E147" s="769"/>
      <c r="H147" s="85"/>
      <c r="K147" s="868"/>
      <c r="M147" s="868"/>
    </row>
    <row r="148" spans="1:20" x14ac:dyDescent="0.25">
      <c r="E148" s="79"/>
      <c r="F148" s="79"/>
      <c r="G148" s="85"/>
      <c r="H148" s="459"/>
      <c r="I148" s="85"/>
      <c r="J148" s="89"/>
      <c r="L148" s="89"/>
      <c r="N148" s="769"/>
      <c r="O148" s="518" t="s">
        <v>280</v>
      </c>
      <c r="P148" s="79"/>
      <c r="Q148" s="866"/>
      <c r="R148" s="484"/>
      <c r="T148" s="877"/>
    </row>
    <row r="149" spans="1:20" s="518" customFormat="1" x14ac:dyDescent="0.25">
      <c r="A149" s="79"/>
      <c r="B149" s="79"/>
      <c r="C149" s="1126">
        <f ca="1">C147-C146</f>
        <v>-45.544642857142861</v>
      </c>
      <c r="D149" s="1204">
        <f ca="1">C146/C147</f>
        <v>1.3494027069976438</v>
      </c>
      <c r="E149" s="79"/>
      <c r="F149" s="769"/>
      <c r="G149" s="85"/>
      <c r="H149" s="85"/>
      <c r="I149" s="89"/>
      <c r="J149" s="79"/>
      <c r="K149" s="79"/>
      <c r="L149" s="79"/>
      <c r="N149" s="79"/>
      <c r="O149" s="79"/>
      <c r="P149" s="866"/>
      <c r="Q149" s="484"/>
      <c r="R149" s="79"/>
      <c r="S149" s="877"/>
      <c r="T149" s="79"/>
    </row>
    <row r="150" spans="1:20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484"/>
      <c r="O150" s="79"/>
      <c r="P150" s="877"/>
      <c r="Q150" s="79"/>
    </row>
    <row r="151" spans="1:20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484"/>
      <c r="O151" s="79"/>
      <c r="P151" s="877"/>
      <c r="Q151" s="79"/>
    </row>
    <row r="152" spans="1:20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216"/>
      <c r="J152" s="769"/>
      <c r="K152" s="866"/>
      <c r="L152" s="769"/>
      <c r="M152" s="866"/>
      <c r="N152" s="484"/>
      <c r="O152" s="79"/>
      <c r="P152" s="877"/>
      <c r="Q152" s="79"/>
    </row>
    <row r="153" spans="1:20" s="518" customFormat="1" x14ac:dyDescent="0.25">
      <c r="A153" s="79"/>
      <c r="B153" s="79"/>
      <c r="C153" s="79"/>
      <c r="D153" s="79"/>
      <c r="E153" s="79"/>
      <c r="F153" s="79"/>
      <c r="G153" s="79"/>
      <c r="H153" s="79"/>
      <c r="K153" s="866"/>
      <c r="M153" s="866"/>
      <c r="N153" s="484"/>
      <c r="O153" s="79"/>
      <c r="P153" s="877"/>
      <c r="Q153" s="79"/>
    </row>
    <row r="154" spans="1:20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L154" s="769"/>
      <c r="M154" s="866"/>
      <c r="N154" s="484"/>
      <c r="O154" s="79"/>
      <c r="P154" s="877"/>
      <c r="Q154" s="79"/>
    </row>
    <row r="155" spans="1:20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216"/>
      <c r="J155" s="769"/>
      <c r="K155" s="868"/>
      <c r="L155" s="769"/>
      <c r="M155" s="868"/>
      <c r="N155" s="484"/>
      <c r="O155" s="79"/>
      <c r="P155" s="877"/>
      <c r="Q155" s="79"/>
    </row>
    <row r="156" spans="1:20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216"/>
      <c r="J156" s="769"/>
      <c r="K156" s="866"/>
      <c r="L156" s="769"/>
      <c r="M156" s="866"/>
      <c r="N156" s="484"/>
      <c r="O156" s="79"/>
      <c r="P156" s="877"/>
      <c r="Q156" s="79"/>
    </row>
    <row r="157" spans="1:20" s="518" customFormat="1" x14ac:dyDescent="0.25">
      <c r="A157" s="79"/>
      <c r="B157" s="79"/>
      <c r="C157" s="79"/>
      <c r="D157" s="79"/>
      <c r="E157" s="79"/>
      <c r="F157" s="79"/>
      <c r="G157" s="216"/>
      <c r="H157" s="79"/>
      <c r="I157" s="79"/>
      <c r="J157" s="770"/>
      <c r="K157" s="866"/>
      <c r="L157" s="770"/>
      <c r="M157" s="866"/>
      <c r="N157" s="484"/>
      <c r="O157" s="79"/>
      <c r="P157" s="877"/>
      <c r="Q157" s="79"/>
    </row>
    <row r="158" spans="1:20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L158" s="769"/>
      <c r="M158" s="868"/>
      <c r="N158" s="484"/>
      <c r="O158" s="79"/>
      <c r="P158" s="877"/>
      <c r="Q158" s="79"/>
    </row>
    <row r="159" spans="1:20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484"/>
      <c r="O159" s="79"/>
      <c r="P159" s="877"/>
      <c r="Q159" s="79"/>
    </row>
    <row r="160" spans="1:20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629"/>
      <c r="J160" s="769"/>
      <c r="K160" s="866"/>
      <c r="L160" s="769"/>
      <c r="M160" s="866"/>
      <c r="N160" s="484"/>
      <c r="O160" s="79"/>
      <c r="P160" s="877"/>
      <c r="Q160" s="79"/>
    </row>
    <row r="161" spans="1:17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484"/>
      <c r="O161" s="79"/>
      <c r="P161" s="877"/>
      <c r="Q161" s="79"/>
    </row>
    <row r="162" spans="1:17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484"/>
      <c r="O162" s="79"/>
      <c r="P162" s="877"/>
      <c r="Q162" s="79"/>
    </row>
    <row r="163" spans="1:17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484"/>
      <c r="O163" s="79"/>
      <c r="P163" s="877"/>
      <c r="Q163" s="79"/>
    </row>
    <row r="164" spans="1:17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484"/>
      <c r="O164" s="79"/>
      <c r="P164" s="877"/>
      <c r="Q164" s="79"/>
    </row>
    <row r="165" spans="1:17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484"/>
      <c r="O165" s="79"/>
      <c r="P165" s="877"/>
      <c r="Q165" s="79"/>
    </row>
    <row r="166" spans="1:17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484"/>
      <c r="O166" s="79"/>
      <c r="P166" s="877"/>
      <c r="Q166" s="79"/>
    </row>
    <row r="167" spans="1:17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484"/>
      <c r="O167" s="79"/>
      <c r="P167" s="877"/>
      <c r="Q167" s="79"/>
    </row>
    <row r="168" spans="1:17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769"/>
      <c r="M168" s="866"/>
      <c r="N168" s="484"/>
      <c r="O168" s="79"/>
      <c r="P168" s="877"/>
      <c r="Q168" s="79"/>
    </row>
    <row r="169" spans="1:17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6"/>
      <c r="L169" s="769"/>
      <c r="M169" s="866"/>
      <c r="N169" s="484"/>
      <c r="O169" s="79"/>
      <c r="P169" s="877"/>
      <c r="Q169" s="79"/>
    </row>
    <row r="170" spans="1:17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484"/>
      <c r="O170" s="79"/>
      <c r="P170" s="877"/>
      <c r="Q170" s="79"/>
    </row>
    <row r="171" spans="1:17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484"/>
      <c r="O171" s="79"/>
      <c r="P171" s="877"/>
      <c r="Q171" s="79"/>
    </row>
    <row r="172" spans="1:17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484"/>
      <c r="O172" s="79"/>
      <c r="P172" s="877"/>
      <c r="Q172" s="79"/>
    </row>
    <row r="173" spans="1:17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769"/>
      <c r="M173" s="868"/>
      <c r="N173" s="484"/>
      <c r="O173" s="79"/>
      <c r="P173" s="877"/>
      <c r="Q173" s="79"/>
    </row>
    <row r="174" spans="1:17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769"/>
      <c r="M174" s="868"/>
      <c r="N174" s="484"/>
      <c r="O174" s="79"/>
      <c r="P174" s="877"/>
      <c r="Q174" s="79"/>
    </row>
    <row r="175" spans="1:17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484"/>
      <c r="O175" s="79"/>
      <c r="P175" s="877"/>
      <c r="Q175" s="79"/>
    </row>
    <row r="176" spans="1:17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484"/>
      <c r="O176" s="79"/>
      <c r="P176" s="877"/>
      <c r="Q176" s="79"/>
    </row>
    <row r="177" spans="1:17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8"/>
      <c r="L177" s="769"/>
      <c r="M177" s="868"/>
      <c r="N177" s="484"/>
      <c r="O177" s="79"/>
      <c r="P177" s="877"/>
      <c r="Q177" s="79"/>
    </row>
    <row r="178" spans="1:17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769"/>
      <c r="M178" s="866"/>
      <c r="N178" s="484"/>
      <c r="O178" s="79"/>
      <c r="P178" s="877"/>
      <c r="Q178" s="79"/>
    </row>
    <row r="179" spans="1:17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769"/>
      <c r="M179" s="866"/>
      <c r="N179" s="484"/>
      <c r="O179" s="79"/>
      <c r="P179" s="877"/>
      <c r="Q179" s="79"/>
    </row>
    <row r="180" spans="1:17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484"/>
      <c r="O180" s="79"/>
      <c r="P180" s="877"/>
      <c r="Q180" s="79"/>
    </row>
    <row r="181" spans="1:17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484"/>
      <c r="O181" s="79"/>
      <c r="P181" s="877"/>
      <c r="Q181" s="79"/>
    </row>
    <row r="182" spans="1:17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769"/>
      <c r="M182" s="868"/>
      <c r="N182" s="484"/>
      <c r="O182" s="79"/>
      <c r="P182" s="877"/>
      <c r="Q182" s="79"/>
    </row>
    <row r="183" spans="1:17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8"/>
      <c r="L183" s="769"/>
      <c r="M183" s="868"/>
      <c r="N183" s="484"/>
      <c r="O183" s="79"/>
      <c r="P183" s="877"/>
      <c r="Q183" s="79"/>
    </row>
    <row r="184" spans="1:17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6"/>
      <c r="L184" s="769"/>
      <c r="M184" s="866"/>
      <c r="N184" s="484"/>
      <c r="O184" s="79"/>
      <c r="P184" s="877"/>
      <c r="Q184" s="79"/>
    </row>
    <row r="185" spans="1:17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223"/>
      <c r="K185" s="629"/>
      <c r="L185" s="223"/>
      <c r="M185" s="629"/>
      <c r="N185" s="484"/>
      <c r="O185" s="79"/>
      <c r="P185" s="877"/>
      <c r="Q185" s="79"/>
    </row>
    <row r="186" spans="1:17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56"/>
      <c r="K186" s="756"/>
      <c r="L186" s="756"/>
      <c r="M186" s="756"/>
      <c r="N186" s="484"/>
      <c r="O186" s="79"/>
      <c r="P186" s="877"/>
      <c r="Q186" s="79"/>
    </row>
    <row r="187" spans="1:17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484"/>
      <c r="O187" s="79"/>
      <c r="P187" s="877"/>
      <c r="Q187" s="79"/>
    </row>
    <row r="188" spans="1:17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484"/>
      <c r="O188" s="79"/>
      <c r="P188" s="877"/>
      <c r="Q188" s="79"/>
    </row>
    <row r="189" spans="1:17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484"/>
      <c r="O189" s="79"/>
      <c r="P189" s="877"/>
      <c r="Q189" s="79"/>
    </row>
    <row r="190" spans="1:17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484"/>
      <c r="O190" s="79"/>
      <c r="P190" s="877"/>
      <c r="Q190" s="79"/>
    </row>
    <row r="191" spans="1:17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85"/>
      <c r="K191" s="85"/>
      <c r="L191" s="85"/>
      <c r="M191" s="85"/>
      <c r="N191" s="484"/>
      <c r="O191" s="79"/>
      <c r="P191" s="877"/>
      <c r="Q191" s="79"/>
    </row>
    <row r="192" spans="1:17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484"/>
      <c r="O192" s="79"/>
      <c r="P192" s="877"/>
      <c r="Q192" s="79"/>
    </row>
    <row r="193" spans="1:17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484"/>
      <c r="O193" s="79"/>
      <c r="P193" s="877"/>
      <c r="Q193" s="79"/>
    </row>
    <row r="194" spans="1:17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484"/>
      <c r="O194" s="79"/>
      <c r="P194" s="877"/>
      <c r="Q194" s="79"/>
    </row>
    <row r="195" spans="1:17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484"/>
      <c r="O195" s="79"/>
      <c r="P195" s="877"/>
      <c r="Q195" s="79"/>
    </row>
    <row r="196" spans="1:17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484"/>
      <c r="O196" s="79"/>
      <c r="P196" s="877"/>
      <c r="Q196" s="79"/>
    </row>
    <row r="197" spans="1:17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484"/>
      <c r="O197" s="79"/>
      <c r="P197" s="877"/>
      <c r="Q197" s="79"/>
    </row>
    <row r="198" spans="1:17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85"/>
      <c r="K198" s="85"/>
      <c r="L198" s="85"/>
      <c r="M198" s="85"/>
      <c r="N198" s="484"/>
      <c r="O198" s="79"/>
      <c r="P198" s="877"/>
      <c r="Q198" s="79"/>
    </row>
    <row r="199" spans="1:17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484"/>
      <c r="O199" s="79"/>
      <c r="P199" s="877"/>
      <c r="Q199" s="79"/>
    </row>
    <row r="200" spans="1:17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484"/>
      <c r="O200" s="79"/>
      <c r="P200" s="877"/>
      <c r="Q200" s="79"/>
    </row>
    <row r="201" spans="1:17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484"/>
      <c r="O201" s="79"/>
      <c r="P201" s="877"/>
      <c r="Q201" s="79"/>
    </row>
    <row r="202" spans="1:17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484"/>
      <c r="O202" s="79"/>
      <c r="P202" s="877"/>
      <c r="Q202" s="79"/>
    </row>
    <row r="203" spans="1:17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484"/>
      <c r="O203" s="79"/>
      <c r="P203" s="877"/>
      <c r="Q203" s="79"/>
    </row>
    <row r="204" spans="1:17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484"/>
      <c r="O204" s="79"/>
      <c r="P204" s="877"/>
      <c r="Q204" s="79"/>
    </row>
    <row r="205" spans="1:17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71"/>
      <c r="L205" s="771"/>
      <c r="N205" s="484"/>
      <c r="O205" s="79"/>
      <c r="P205" s="877"/>
      <c r="Q205" s="79"/>
    </row>
    <row r="206" spans="1:17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484"/>
      <c r="O206" s="79"/>
      <c r="P206" s="877"/>
      <c r="Q206" s="79"/>
    </row>
    <row r="213" spans="1:17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484"/>
      <c r="O213" s="79"/>
      <c r="P213" s="877"/>
      <c r="Q213" s="79"/>
    </row>
    <row r="214" spans="1:17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484"/>
      <c r="O214" s="79"/>
      <c r="P214" s="877"/>
      <c r="Q214" s="79"/>
    </row>
    <row r="215" spans="1:17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484"/>
      <c r="O215" s="79"/>
      <c r="P215" s="877"/>
      <c r="Q215" s="79"/>
    </row>
    <row r="216" spans="1:17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484"/>
      <c r="O216" s="79"/>
      <c r="P216" s="877"/>
      <c r="Q216" s="79"/>
    </row>
    <row r="218" spans="1:17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484"/>
      <c r="O218" s="79"/>
      <c r="P218" s="877"/>
      <c r="Q218" s="79"/>
    </row>
    <row r="220" spans="1:17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629"/>
      <c r="L220" s="79"/>
      <c r="M220" s="629"/>
      <c r="N220" s="484"/>
      <c r="O220" s="79"/>
      <c r="P220" s="877"/>
      <c r="Q220" s="79"/>
    </row>
    <row r="226" spans="1:17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484"/>
      <c r="O226" s="79"/>
      <c r="P226" s="877"/>
      <c r="Q226" s="79"/>
    </row>
    <row r="227" spans="1:17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484"/>
      <c r="O227" s="79"/>
      <c r="P227" s="877"/>
      <c r="Q227" s="79"/>
    </row>
    <row r="228" spans="1:17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484"/>
      <c r="O228" s="79"/>
      <c r="P228" s="877"/>
      <c r="Q228" s="79"/>
    </row>
    <row r="229" spans="1:17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484"/>
      <c r="O229" s="79"/>
      <c r="P229" s="877"/>
      <c r="Q229" s="79"/>
    </row>
    <row r="230" spans="1:17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484"/>
      <c r="O230" s="79"/>
      <c r="P230" s="877"/>
      <c r="Q230" s="79"/>
    </row>
    <row r="231" spans="1:17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484"/>
      <c r="O231" s="79"/>
      <c r="P231" s="877"/>
      <c r="Q231" s="79"/>
    </row>
    <row r="232" spans="1:17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484"/>
      <c r="O232" s="79"/>
      <c r="P232" s="877"/>
      <c r="Q232" s="79"/>
    </row>
    <row r="233" spans="1:17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484"/>
      <c r="O233" s="79"/>
      <c r="P233" s="877"/>
      <c r="Q233" s="79"/>
    </row>
    <row r="234" spans="1:17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484"/>
      <c r="O234" s="79"/>
      <c r="P234" s="877"/>
      <c r="Q234" s="79"/>
    </row>
  </sheetData>
  <autoFilter ref="A2:I124" xr:uid="{00000000-0009-0000-0000-000079000000}">
    <filterColumn colId="3">
      <filters>
        <filter val="DC"/>
      </filters>
    </filterColumn>
  </autoFilter>
  <mergeCells count="14">
    <mergeCell ref="L2:M3"/>
    <mergeCell ref="N79:U79"/>
    <mergeCell ref="A123:E123"/>
    <mergeCell ref="A124:E124"/>
    <mergeCell ref="A1:E1"/>
    <mergeCell ref="F1:M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Plan49" filterMode="1"/>
  <dimension ref="A1:AL240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AL2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3" width="13.42578125" style="79" customWidth="1"/>
    <col min="14" max="14" width="12" style="484" customWidth="1"/>
    <col min="15" max="15" width="10.28515625" style="79" customWidth="1"/>
    <col min="16" max="16" width="12" style="877" customWidth="1"/>
    <col min="17" max="17" width="16.140625" style="79" customWidth="1"/>
    <col min="18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3244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</row>
    <row r="3" spans="1:17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hidden="1" x14ac:dyDescent="0.25">
      <c r="A5" s="281">
        <v>44621</v>
      </c>
      <c r="B5" s="369" t="s">
        <v>10</v>
      </c>
      <c r="C5" s="370"/>
      <c r="D5" s="370"/>
      <c r="E5" s="777"/>
      <c r="F5" s="179"/>
      <c r="G5" s="933">
        <f>'Fevereiro-22'!G124</f>
        <v>191.71958333335078</v>
      </c>
      <c r="H5" s="163"/>
      <c r="I5" s="1479">
        <f>'Fevereiro-22'!I124</f>
        <v>22899.996000000003</v>
      </c>
      <c r="J5" s="179"/>
      <c r="K5" s="933">
        <f>'Fevereiro-22'!K124</f>
        <v>18134</v>
      </c>
      <c r="L5" s="179"/>
      <c r="M5" s="933">
        <f>'Fevereiro-22'!M124</f>
        <v>8439.5</v>
      </c>
    </row>
    <row r="6" spans="1:17" s="224" customFormat="1" hidden="1" x14ac:dyDescent="0.25">
      <c r="A6" s="215">
        <v>44621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1037"/>
      <c r="O6" s="89"/>
      <c r="P6" s="878"/>
    </row>
    <row r="7" spans="1:17" s="224" customFormat="1" ht="15" hidden="1" customHeight="1" x14ac:dyDescent="0.25">
      <c r="A7" s="215">
        <v>44621</v>
      </c>
      <c r="B7" s="882" t="s">
        <v>32</v>
      </c>
      <c r="C7" s="879" t="s">
        <v>12</v>
      </c>
      <c r="D7" s="879" t="s">
        <v>1485</v>
      </c>
      <c r="E7" s="875" t="s">
        <v>13</v>
      </c>
      <c r="F7" s="780">
        <v>16</v>
      </c>
      <c r="G7" s="982"/>
      <c r="H7" s="1008"/>
      <c r="I7" s="1063"/>
      <c r="J7" s="622"/>
      <c r="K7" s="982"/>
      <c r="L7" s="622"/>
      <c r="M7" s="982"/>
      <c r="N7" s="1029"/>
      <c r="O7" s="89"/>
      <c r="P7" s="930"/>
    </row>
    <row r="8" spans="1:17" s="224" customFormat="1" hidden="1" x14ac:dyDescent="0.25">
      <c r="A8" s="215">
        <v>44621</v>
      </c>
      <c r="B8" s="882" t="s">
        <v>2766</v>
      </c>
      <c r="C8" s="879" t="s">
        <v>12</v>
      </c>
      <c r="D8" s="879" t="s">
        <v>2157</v>
      </c>
      <c r="E8" s="480" t="s">
        <v>15</v>
      </c>
      <c r="F8" s="780">
        <v>50</v>
      </c>
      <c r="G8" s="982"/>
      <c r="H8" s="1008"/>
      <c r="I8" s="1063"/>
      <c r="J8" s="622"/>
      <c r="K8" s="982"/>
      <c r="L8" s="622"/>
      <c r="M8" s="982"/>
      <c r="N8" s="861"/>
      <c r="P8" s="878"/>
    </row>
    <row r="9" spans="1:17" s="224" customFormat="1" hidden="1" x14ac:dyDescent="0.25">
      <c r="A9" s="215">
        <v>44621</v>
      </c>
      <c r="B9" s="882" t="s">
        <v>14</v>
      </c>
      <c r="C9" s="879" t="s">
        <v>12</v>
      </c>
      <c r="D9" s="879" t="s">
        <v>1486</v>
      </c>
      <c r="E9" s="875" t="s">
        <v>13</v>
      </c>
      <c r="F9" s="780">
        <v>4.17</v>
      </c>
      <c r="G9" s="982"/>
      <c r="H9" s="1008"/>
      <c r="I9" s="1063"/>
      <c r="J9" s="622"/>
      <c r="K9" s="982"/>
      <c r="L9" s="622"/>
      <c r="M9" s="982"/>
      <c r="N9" s="861"/>
      <c r="P9" s="878"/>
    </row>
    <row r="10" spans="1:17" s="224" customFormat="1" ht="15" hidden="1" customHeight="1" x14ac:dyDescent="0.25">
      <c r="A10" s="215">
        <v>44622</v>
      </c>
      <c r="B10" s="882" t="s">
        <v>3245</v>
      </c>
      <c r="C10" s="879"/>
      <c r="D10" s="879"/>
      <c r="E10" s="871"/>
      <c r="F10" s="780"/>
      <c r="G10" s="946"/>
      <c r="H10" s="95"/>
      <c r="I10" s="1064">
        <v>12406.14</v>
      </c>
      <c r="J10" s="622">
        <v>12406.14</v>
      </c>
      <c r="K10" s="982"/>
      <c r="L10" s="622"/>
      <c r="M10" s="982"/>
      <c r="N10" s="1028"/>
      <c r="Q10" s="958"/>
    </row>
    <row r="11" spans="1:17" s="224" customFormat="1" hidden="1" x14ac:dyDescent="0.25">
      <c r="A11" s="215">
        <v>44622</v>
      </c>
      <c r="B11" s="882" t="s">
        <v>32</v>
      </c>
      <c r="C11" s="879" t="s">
        <v>12</v>
      </c>
      <c r="D11" s="879" t="s">
        <v>1485</v>
      </c>
      <c r="E11" s="875" t="s">
        <v>13</v>
      </c>
      <c r="F11" s="780">
        <v>16</v>
      </c>
      <c r="G11" s="982"/>
      <c r="H11" s="1008"/>
      <c r="I11" s="1063"/>
      <c r="J11" s="622"/>
      <c r="K11" s="982"/>
      <c r="L11" s="622"/>
      <c r="M11" s="982"/>
      <c r="N11" s="861"/>
      <c r="P11" s="878"/>
    </row>
    <row r="12" spans="1:17" s="224" customFormat="1" ht="15" hidden="1" customHeight="1" x14ac:dyDescent="0.25">
      <c r="A12" s="215">
        <v>44622</v>
      </c>
      <c r="B12" s="873" t="s">
        <v>445</v>
      </c>
      <c r="C12" s="874" t="s">
        <v>12</v>
      </c>
      <c r="D12" s="874" t="s">
        <v>1493</v>
      </c>
      <c r="E12" s="875" t="s">
        <v>13</v>
      </c>
      <c r="F12" s="780">
        <v>5</v>
      </c>
      <c r="G12" s="982"/>
      <c r="H12" s="622"/>
      <c r="I12" s="982"/>
      <c r="J12" s="622"/>
      <c r="K12" s="982"/>
      <c r="L12" s="622"/>
      <c r="M12" s="982"/>
      <c r="N12" s="927"/>
      <c r="O12" s="927"/>
      <c r="P12" s="878"/>
    </row>
    <row r="13" spans="1:17" s="224" customFormat="1" hidden="1" x14ac:dyDescent="0.25">
      <c r="A13" s="215">
        <v>44623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780">
        <v>16</v>
      </c>
      <c r="G13" s="982"/>
      <c r="H13" s="1008"/>
      <c r="I13" s="1063"/>
      <c r="J13" s="622"/>
      <c r="K13" s="982"/>
      <c r="L13" s="622"/>
      <c r="M13" s="982"/>
      <c r="N13" s="861"/>
      <c r="P13" s="878"/>
    </row>
    <row r="14" spans="1:17" s="224" customFormat="1" ht="15.75" hidden="1" customHeight="1" x14ac:dyDescent="0.25">
      <c r="A14" s="215">
        <v>44624</v>
      </c>
      <c r="B14" s="873" t="s">
        <v>3246</v>
      </c>
      <c r="C14" s="879" t="s">
        <v>12</v>
      </c>
      <c r="D14" s="874"/>
      <c r="E14" s="871" t="s">
        <v>25</v>
      </c>
      <c r="F14" s="1524"/>
      <c r="G14" s="1002">
        <v>2013.33</v>
      </c>
      <c r="H14" s="538"/>
      <c r="I14" s="982"/>
      <c r="J14" s="622"/>
      <c r="K14" s="982"/>
      <c r="L14" s="622"/>
      <c r="M14" s="982"/>
      <c r="N14" s="178"/>
    </row>
    <row r="15" spans="1:17" s="224" customFormat="1" ht="15" customHeight="1" x14ac:dyDescent="0.25">
      <c r="A15" s="215">
        <v>44624</v>
      </c>
      <c r="B15" s="349" t="s">
        <v>3247</v>
      </c>
      <c r="C15" s="887" t="s">
        <v>12</v>
      </c>
      <c r="D15" s="1005" t="s">
        <v>1522</v>
      </c>
      <c r="E15" s="887" t="s">
        <v>13</v>
      </c>
      <c r="F15" s="613">
        <v>42.68</v>
      </c>
      <c r="G15" s="982"/>
      <c r="H15" s="872"/>
      <c r="I15" s="1063"/>
      <c r="J15" s="622"/>
      <c r="K15" s="982"/>
      <c r="L15" s="622"/>
      <c r="M15" s="982"/>
      <c r="N15" s="927"/>
      <c r="O15" s="999"/>
      <c r="P15" s="878"/>
    </row>
    <row r="16" spans="1:17" s="224" customFormat="1" ht="15" hidden="1" customHeight="1" x14ac:dyDescent="0.25">
      <c r="A16" s="215">
        <v>44624</v>
      </c>
      <c r="B16" s="349" t="s">
        <v>3247</v>
      </c>
      <c r="C16" s="887" t="s">
        <v>12</v>
      </c>
      <c r="D16" s="1005" t="s">
        <v>1506</v>
      </c>
      <c r="E16" s="887" t="s">
        <v>13</v>
      </c>
      <c r="F16" s="1116">
        <v>110</v>
      </c>
      <c r="G16" s="982"/>
      <c r="H16" s="861"/>
      <c r="I16" s="1063"/>
      <c r="J16" s="622"/>
      <c r="K16" s="982"/>
      <c r="L16" s="622"/>
      <c r="M16" s="982"/>
      <c r="N16" s="927"/>
      <c r="O16" s="999"/>
      <c r="P16" s="878"/>
    </row>
    <row r="17" spans="1:16" s="224" customFormat="1" ht="15" hidden="1" customHeight="1" x14ac:dyDescent="0.25">
      <c r="A17" s="215">
        <v>44624</v>
      </c>
      <c r="B17" s="349" t="s">
        <v>3247</v>
      </c>
      <c r="C17" s="887" t="s">
        <v>12</v>
      </c>
      <c r="D17" s="1005" t="s">
        <v>1496</v>
      </c>
      <c r="E17" s="887" t="s">
        <v>13</v>
      </c>
      <c r="F17" s="1116">
        <v>55</v>
      </c>
      <c r="G17" s="982"/>
      <c r="H17" s="872"/>
      <c r="I17" s="1063"/>
      <c r="J17" s="622"/>
      <c r="K17" s="982"/>
      <c r="L17" s="622"/>
      <c r="M17" s="982"/>
      <c r="N17" s="927"/>
      <c r="O17" s="999"/>
      <c r="P17" s="878"/>
    </row>
    <row r="18" spans="1:16" s="224" customFormat="1" ht="15" customHeight="1" x14ac:dyDescent="0.25">
      <c r="A18" s="215">
        <v>44624</v>
      </c>
      <c r="B18" s="349" t="s">
        <v>3247</v>
      </c>
      <c r="C18" s="887" t="s">
        <v>12</v>
      </c>
      <c r="D18" s="1005" t="s">
        <v>1522</v>
      </c>
      <c r="E18" s="887" t="s">
        <v>13</v>
      </c>
      <c r="F18" s="613">
        <v>200</v>
      </c>
      <c r="G18" s="982"/>
      <c r="H18" s="872"/>
      <c r="I18" s="1063"/>
      <c r="J18" s="622"/>
      <c r="K18" s="982"/>
      <c r="L18" s="622"/>
      <c r="M18" s="982"/>
      <c r="N18" s="927"/>
      <c r="O18" s="999"/>
      <c r="P18" s="878"/>
    </row>
    <row r="19" spans="1:16" s="224" customFormat="1" ht="15" hidden="1" customHeight="1" x14ac:dyDescent="0.25">
      <c r="A19" s="215">
        <v>44624</v>
      </c>
      <c r="B19" s="862" t="s">
        <v>2385</v>
      </c>
      <c r="C19" s="879" t="s">
        <v>12</v>
      </c>
      <c r="D19" s="879" t="s">
        <v>1504</v>
      </c>
      <c r="E19" s="871" t="s">
        <v>13</v>
      </c>
      <c r="F19" s="780">
        <v>50</v>
      </c>
      <c r="G19" s="982"/>
      <c r="H19" s="1008"/>
      <c r="I19" s="1063"/>
      <c r="J19" s="622"/>
      <c r="K19" s="982"/>
      <c r="L19" s="622"/>
      <c r="M19" s="982"/>
      <c r="N19" s="1028">
        <v>90</v>
      </c>
      <c r="O19" s="999"/>
      <c r="P19" s="1035"/>
    </row>
    <row r="20" spans="1:16" s="224" customFormat="1" ht="15" hidden="1" customHeight="1" x14ac:dyDescent="0.25">
      <c r="A20" s="215">
        <v>44624</v>
      </c>
      <c r="B20" s="882" t="s">
        <v>3248</v>
      </c>
      <c r="C20" s="879" t="s">
        <v>12</v>
      </c>
      <c r="D20" s="879" t="s">
        <v>1499</v>
      </c>
      <c r="E20" s="871" t="s">
        <v>13</v>
      </c>
      <c r="F20" s="780">
        <v>60</v>
      </c>
      <c r="G20" s="982"/>
      <c r="H20" s="1008"/>
      <c r="I20" s="1063"/>
      <c r="J20" s="622"/>
      <c r="K20" s="982"/>
      <c r="L20" s="622"/>
      <c r="M20" s="982"/>
      <c r="N20" s="1028">
        <v>138.68</v>
      </c>
      <c r="O20" s="999"/>
      <c r="P20" s="878"/>
    </row>
    <row r="21" spans="1:16" s="224" customFormat="1" ht="15" hidden="1" customHeight="1" x14ac:dyDescent="0.25">
      <c r="A21" s="215">
        <v>44624</v>
      </c>
      <c r="B21" s="364" t="s">
        <v>2977</v>
      </c>
      <c r="C21" s="350" t="s">
        <v>12</v>
      </c>
      <c r="D21" s="350" t="s">
        <v>1491</v>
      </c>
      <c r="E21" s="875" t="s">
        <v>13</v>
      </c>
      <c r="F21" s="780">
        <v>300</v>
      </c>
      <c r="G21" s="982"/>
      <c r="H21" s="1008"/>
      <c r="I21" s="1063"/>
      <c r="J21" s="622"/>
      <c r="K21" s="982"/>
      <c r="L21" s="622"/>
      <c r="M21" s="982"/>
      <c r="N21" s="861"/>
      <c r="P21" s="1035"/>
    </row>
    <row r="22" spans="1:16" hidden="1" x14ac:dyDescent="0.25">
      <c r="A22" s="215">
        <v>44624</v>
      </c>
      <c r="B22" s="876" t="s">
        <v>3060</v>
      </c>
      <c r="C22" s="879" t="s">
        <v>12</v>
      </c>
      <c r="D22" s="879" t="s">
        <v>1496</v>
      </c>
      <c r="E22" s="871" t="s">
        <v>13</v>
      </c>
      <c r="F22" s="780">
        <v>80</v>
      </c>
      <c r="G22" s="982"/>
      <c r="H22" s="1009"/>
      <c r="I22" s="1063"/>
      <c r="J22" s="622"/>
      <c r="K22" s="982"/>
      <c r="L22" s="622"/>
      <c r="M22" s="982"/>
      <c r="N22" s="1029"/>
    </row>
    <row r="23" spans="1:16" s="224" customFormat="1" hidden="1" x14ac:dyDescent="0.25">
      <c r="A23" s="215">
        <v>44624</v>
      </c>
      <c r="B23" s="882" t="s">
        <v>3249</v>
      </c>
      <c r="C23" s="879" t="s">
        <v>12</v>
      </c>
      <c r="D23" s="879" t="s">
        <v>3017</v>
      </c>
      <c r="E23" s="875" t="s">
        <v>13</v>
      </c>
      <c r="F23" s="780">
        <v>646.48</v>
      </c>
      <c r="G23" s="982"/>
      <c r="H23" s="1008"/>
      <c r="I23" s="1063"/>
      <c r="J23" s="622"/>
      <c r="K23" s="982"/>
      <c r="L23" s="622"/>
      <c r="M23" s="982">
        <v>646.48</v>
      </c>
      <c r="N23" s="861">
        <v>400</v>
      </c>
      <c r="O23" s="878" t="s">
        <v>3018</v>
      </c>
      <c r="P23" s="1035"/>
    </row>
    <row r="24" spans="1:16" s="224" customFormat="1" ht="15" hidden="1" customHeight="1" x14ac:dyDescent="0.25">
      <c r="A24" s="215">
        <v>44624</v>
      </c>
      <c r="B24" s="882" t="s">
        <v>32</v>
      </c>
      <c r="C24" s="879" t="s">
        <v>12</v>
      </c>
      <c r="D24" s="879" t="s">
        <v>1485</v>
      </c>
      <c r="E24" s="875" t="s">
        <v>13</v>
      </c>
      <c r="F24" s="780">
        <v>16</v>
      </c>
      <c r="G24" s="982"/>
      <c r="H24" s="622"/>
      <c r="I24" s="982"/>
      <c r="J24" s="622"/>
      <c r="K24" s="982"/>
      <c r="L24" s="622"/>
      <c r="M24" s="982"/>
      <c r="N24" s="927"/>
      <c r="O24" s="927"/>
      <c r="P24" s="878"/>
    </row>
    <row r="25" spans="1:16" s="224" customFormat="1" ht="15" hidden="1" customHeight="1" x14ac:dyDescent="0.25">
      <c r="A25" s="215">
        <v>44624</v>
      </c>
      <c r="B25" s="873" t="s">
        <v>445</v>
      </c>
      <c r="C25" s="874" t="s">
        <v>12</v>
      </c>
      <c r="D25" s="874" t="s">
        <v>1493</v>
      </c>
      <c r="E25" s="875" t="s">
        <v>13</v>
      </c>
      <c r="F25" s="780">
        <v>5</v>
      </c>
      <c r="G25" s="982"/>
      <c r="H25" s="622"/>
      <c r="I25" s="982"/>
      <c r="J25" s="622"/>
      <c r="K25" s="982"/>
      <c r="L25" s="622"/>
      <c r="M25" s="982"/>
      <c r="N25" s="927"/>
      <c r="O25" s="927"/>
      <c r="P25" s="878"/>
    </row>
    <row r="26" spans="1:16" s="224" customFormat="1" hidden="1" x14ac:dyDescent="0.25">
      <c r="A26" s="215">
        <v>44624</v>
      </c>
      <c r="B26" s="882" t="s">
        <v>2766</v>
      </c>
      <c r="C26" s="879" t="s">
        <v>12</v>
      </c>
      <c r="D26" s="879" t="s">
        <v>2157</v>
      </c>
      <c r="E26" s="480" t="s">
        <v>13</v>
      </c>
      <c r="F26" s="780">
        <v>60</v>
      </c>
      <c r="G26" s="982"/>
      <c r="H26" s="1008"/>
      <c r="I26" s="1063"/>
      <c r="J26" s="622"/>
      <c r="K26" s="982"/>
      <c r="L26" s="622"/>
      <c r="M26" s="982"/>
      <c r="N26" s="861"/>
      <c r="P26" s="878"/>
    </row>
    <row r="27" spans="1:16" s="224" customFormat="1" ht="15" hidden="1" customHeight="1" x14ac:dyDescent="0.25">
      <c r="A27" s="215">
        <v>44624</v>
      </c>
      <c r="B27" s="364" t="s">
        <v>443</v>
      </c>
      <c r="C27" s="350" t="s">
        <v>12</v>
      </c>
      <c r="D27" s="350" t="s">
        <v>1493</v>
      </c>
      <c r="E27" s="875" t="s">
        <v>13</v>
      </c>
      <c r="F27" s="780">
        <v>15.04</v>
      </c>
      <c r="G27" s="982"/>
      <c r="H27" s="622"/>
      <c r="I27" s="982"/>
      <c r="J27" s="622"/>
      <c r="K27" s="982"/>
      <c r="L27" s="622"/>
      <c r="M27" s="982"/>
      <c r="N27" s="927"/>
      <c r="O27" s="927"/>
      <c r="P27" s="878"/>
    </row>
    <row r="28" spans="1:16" s="224" customFormat="1" ht="15" hidden="1" customHeight="1" x14ac:dyDescent="0.25">
      <c r="A28" s="215">
        <v>44625</v>
      </c>
      <c r="B28" s="364" t="s">
        <v>1241</v>
      </c>
      <c r="C28" s="350" t="s">
        <v>12</v>
      </c>
      <c r="D28" s="350" t="s">
        <v>1504</v>
      </c>
      <c r="E28" s="875" t="s">
        <v>13</v>
      </c>
      <c r="F28" s="780">
        <v>12</v>
      </c>
      <c r="G28" s="982"/>
      <c r="H28" s="622"/>
      <c r="I28" s="982"/>
      <c r="J28" s="622"/>
      <c r="K28" s="982"/>
      <c r="L28" s="622"/>
      <c r="M28" s="982"/>
      <c r="N28" s="927"/>
      <c r="O28" s="927"/>
      <c r="P28" s="878"/>
    </row>
    <row r="29" spans="1:16" s="224" customFormat="1" ht="15" hidden="1" customHeight="1" x14ac:dyDescent="0.25">
      <c r="A29" s="215">
        <v>44625</v>
      </c>
      <c r="B29" s="882" t="s">
        <v>14</v>
      </c>
      <c r="C29" s="879" t="s">
        <v>12</v>
      </c>
      <c r="D29" s="879" t="s">
        <v>1486</v>
      </c>
      <c r="E29" s="875" t="s">
        <v>13</v>
      </c>
      <c r="F29" s="780">
        <v>8.5</v>
      </c>
      <c r="G29" s="982"/>
      <c r="H29" s="622"/>
      <c r="I29" s="982"/>
      <c r="J29" s="622"/>
      <c r="K29" s="982"/>
      <c r="L29" s="622"/>
      <c r="M29" s="982"/>
      <c r="N29" s="927"/>
      <c r="O29" s="927"/>
      <c r="P29" s="878"/>
    </row>
    <row r="30" spans="1:16" s="224" customFormat="1" ht="15" hidden="1" customHeight="1" x14ac:dyDescent="0.25">
      <c r="A30" s="215">
        <v>44625</v>
      </c>
      <c r="B30" s="882" t="s">
        <v>256</v>
      </c>
      <c r="C30" s="879"/>
      <c r="D30" s="879"/>
      <c r="E30" s="875" t="s">
        <v>25</v>
      </c>
      <c r="F30" s="780"/>
      <c r="G30" s="982">
        <v>30500</v>
      </c>
      <c r="H30" s="1060">
        <v>30500</v>
      </c>
      <c r="I30" s="1033"/>
      <c r="J30" s="880"/>
      <c r="K30" s="1033"/>
      <c r="L30" s="880"/>
      <c r="M30" s="1033"/>
      <c r="N30" s="1080"/>
      <c r="O30" s="927"/>
      <c r="P30" s="878"/>
    </row>
    <row r="31" spans="1:16" s="224" customFormat="1" ht="15" customHeight="1" x14ac:dyDescent="0.25">
      <c r="A31" s="215">
        <v>44625</v>
      </c>
      <c r="B31" s="364" t="s">
        <v>3250</v>
      </c>
      <c r="C31" s="350" t="s">
        <v>12</v>
      </c>
      <c r="D31" s="350" t="s">
        <v>1522</v>
      </c>
      <c r="E31" s="875" t="s">
        <v>13</v>
      </c>
      <c r="F31" s="780">
        <v>70</v>
      </c>
      <c r="G31" s="982"/>
      <c r="H31" s="622"/>
      <c r="I31" s="982"/>
      <c r="J31" s="622"/>
      <c r="K31" s="982"/>
      <c r="L31" s="622"/>
      <c r="M31" s="982"/>
      <c r="N31" s="927"/>
      <c r="O31" s="927"/>
      <c r="P31" s="878"/>
    </row>
    <row r="32" spans="1:16" s="224" customFormat="1" ht="15" hidden="1" customHeight="1" x14ac:dyDescent="0.25">
      <c r="A32" s="215">
        <v>44625</v>
      </c>
      <c r="B32" s="364" t="s">
        <v>3251</v>
      </c>
      <c r="C32" s="350" t="s">
        <v>12</v>
      </c>
      <c r="D32" s="350"/>
      <c r="E32" s="875" t="s">
        <v>13</v>
      </c>
      <c r="F32" s="780">
        <v>30000</v>
      </c>
      <c r="G32" s="982"/>
      <c r="H32" s="622"/>
      <c r="I32" s="982"/>
      <c r="J32" s="622"/>
      <c r="K32" s="982"/>
      <c r="L32" s="622"/>
      <c r="M32" s="982"/>
      <c r="N32" s="927"/>
      <c r="O32" s="927"/>
      <c r="P32" s="878"/>
    </row>
    <row r="33" spans="1:38" s="224" customFormat="1" ht="15" customHeight="1" x14ac:dyDescent="0.25">
      <c r="A33" s="215">
        <v>44625</v>
      </c>
      <c r="B33" s="364" t="s">
        <v>3252</v>
      </c>
      <c r="C33" s="350" t="s">
        <v>12</v>
      </c>
      <c r="D33" s="350" t="s">
        <v>1522</v>
      </c>
      <c r="E33" s="875" t="s">
        <v>15</v>
      </c>
      <c r="F33" s="780">
        <v>39</v>
      </c>
      <c r="G33" s="982"/>
      <c r="H33" s="622"/>
      <c r="I33" s="982"/>
      <c r="J33" s="622"/>
      <c r="K33" s="982"/>
      <c r="L33" s="622"/>
      <c r="M33" s="982"/>
      <c r="N33" s="927"/>
      <c r="O33" s="927"/>
      <c r="P33" s="878"/>
    </row>
    <row r="34" spans="1:38" s="224" customFormat="1" ht="15" customHeight="1" x14ac:dyDescent="0.25">
      <c r="A34" s="215">
        <v>44625</v>
      </c>
      <c r="B34" s="364" t="s">
        <v>3253</v>
      </c>
      <c r="C34" s="350" t="s">
        <v>12</v>
      </c>
      <c r="D34" s="350" t="s">
        <v>1522</v>
      </c>
      <c r="E34" s="875" t="s">
        <v>15</v>
      </c>
      <c r="F34" s="780">
        <v>5</v>
      </c>
      <c r="G34" s="982"/>
      <c r="H34" s="622"/>
      <c r="I34" s="982"/>
      <c r="J34" s="622"/>
      <c r="K34" s="982"/>
      <c r="L34" s="622"/>
      <c r="M34" s="982"/>
      <c r="N34" s="927"/>
      <c r="O34" s="927"/>
      <c r="P34" s="878"/>
    </row>
    <row r="35" spans="1:38" s="224" customFormat="1" ht="15" hidden="1" customHeight="1" x14ac:dyDescent="0.25">
      <c r="A35" s="215">
        <v>44625</v>
      </c>
      <c r="B35" s="364" t="s">
        <v>82</v>
      </c>
      <c r="C35" s="350" t="s">
        <v>12</v>
      </c>
      <c r="D35" s="350" t="s">
        <v>1493</v>
      </c>
      <c r="E35" s="875" t="s">
        <v>13</v>
      </c>
      <c r="F35" s="780">
        <v>35</v>
      </c>
      <c r="G35" s="982"/>
      <c r="H35" s="622"/>
      <c r="I35" s="982"/>
      <c r="J35" s="622"/>
      <c r="K35" s="982"/>
      <c r="L35" s="622"/>
      <c r="M35" s="982"/>
      <c r="N35" s="927"/>
      <c r="O35" s="927"/>
      <c r="P35" s="878"/>
    </row>
    <row r="36" spans="1:38" s="224" customFormat="1" ht="15" hidden="1" customHeight="1" x14ac:dyDescent="0.25">
      <c r="A36" s="215">
        <v>44626</v>
      </c>
      <c r="B36" s="882" t="s">
        <v>14</v>
      </c>
      <c r="C36" s="879" t="s">
        <v>12</v>
      </c>
      <c r="D36" s="879" t="s">
        <v>1486</v>
      </c>
      <c r="E36" s="875" t="s">
        <v>13</v>
      </c>
      <c r="F36" s="780">
        <v>10.31</v>
      </c>
      <c r="G36" s="982"/>
      <c r="H36" s="622"/>
      <c r="I36" s="982"/>
      <c r="J36" s="622"/>
      <c r="K36" s="982"/>
      <c r="L36" s="622"/>
      <c r="M36" s="982"/>
      <c r="N36" s="927"/>
      <c r="O36" s="927"/>
      <c r="P36" s="878"/>
    </row>
    <row r="37" spans="1:38" s="224" customFormat="1" ht="15" hidden="1" customHeight="1" x14ac:dyDescent="0.25">
      <c r="A37" s="215">
        <v>44626</v>
      </c>
      <c r="B37" s="873" t="s">
        <v>3138</v>
      </c>
      <c r="C37" s="879" t="s">
        <v>12</v>
      </c>
      <c r="D37" s="879" t="s">
        <v>1506</v>
      </c>
      <c r="E37" s="871" t="s">
        <v>13</v>
      </c>
      <c r="F37" s="780">
        <v>50</v>
      </c>
      <c r="G37" s="982"/>
      <c r="H37" s="622"/>
      <c r="I37" s="982"/>
      <c r="J37" s="622"/>
      <c r="K37" s="982"/>
      <c r="L37" s="622"/>
      <c r="M37" s="982"/>
      <c r="N37" s="927"/>
      <c r="O37" s="927"/>
      <c r="P37" s="878"/>
    </row>
    <row r="38" spans="1:38" s="224" customFormat="1" hidden="1" x14ac:dyDescent="0.25">
      <c r="A38" s="215">
        <v>44626</v>
      </c>
      <c r="B38" s="882" t="s">
        <v>2766</v>
      </c>
      <c r="C38" s="879" t="s">
        <v>12</v>
      </c>
      <c r="D38" s="879" t="s">
        <v>2157</v>
      </c>
      <c r="E38" s="480" t="s">
        <v>13</v>
      </c>
      <c r="F38" s="780">
        <v>30</v>
      </c>
      <c r="G38" s="982"/>
      <c r="H38" s="1008"/>
      <c r="I38" s="1063"/>
      <c r="J38" s="622"/>
      <c r="K38" s="982"/>
      <c r="L38" s="622"/>
      <c r="M38" s="982"/>
      <c r="N38" s="861"/>
      <c r="P38" s="878"/>
    </row>
    <row r="39" spans="1:38" s="224" customFormat="1" hidden="1" x14ac:dyDescent="0.25">
      <c r="A39" s="215">
        <v>44626</v>
      </c>
      <c r="B39" s="882" t="s">
        <v>43</v>
      </c>
      <c r="C39" s="879" t="s">
        <v>12</v>
      </c>
      <c r="D39" s="879" t="s">
        <v>1493</v>
      </c>
      <c r="E39" s="480" t="s">
        <v>13</v>
      </c>
      <c r="F39" s="780">
        <v>20</v>
      </c>
      <c r="G39" s="982"/>
      <c r="H39" s="1008"/>
      <c r="I39" s="1063"/>
      <c r="J39" s="622"/>
      <c r="K39" s="982"/>
      <c r="L39" s="622"/>
      <c r="M39" s="982"/>
      <c r="N39" s="861"/>
      <c r="P39" s="878"/>
    </row>
    <row r="40" spans="1:38" s="224" customFormat="1" ht="15" hidden="1" customHeight="1" x14ac:dyDescent="0.25">
      <c r="A40" s="215">
        <v>44626</v>
      </c>
      <c r="B40" s="364" t="s">
        <v>443</v>
      </c>
      <c r="C40" s="350" t="s">
        <v>12</v>
      </c>
      <c r="D40" s="350" t="s">
        <v>1493</v>
      </c>
      <c r="E40" s="875" t="s">
        <v>13</v>
      </c>
      <c r="F40" s="780">
        <v>24.36</v>
      </c>
      <c r="G40" s="982"/>
      <c r="H40" s="622"/>
      <c r="I40" s="982"/>
      <c r="J40" s="622"/>
      <c r="K40" s="982"/>
      <c r="L40" s="622"/>
      <c r="M40" s="982"/>
      <c r="N40" s="927"/>
      <c r="O40" s="927"/>
      <c r="P40" s="878"/>
    </row>
    <row r="41" spans="1:38" s="224" customFormat="1" ht="15" hidden="1" customHeight="1" x14ac:dyDescent="0.25">
      <c r="A41" s="215">
        <v>44627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16</v>
      </c>
      <c r="G41" s="982"/>
      <c r="H41" s="622"/>
      <c r="I41" s="982"/>
      <c r="J41" s="622"/>
      <c r="K41" s="982"/>
      <c r="L41" s="622"/>
      <c r="M41" s="982"/>
      <c r="N41" s="927"/>
      <c r="O41" s="927"/>
      <c r="P41" s="878"/>
    </row>
    <row r="42" spans="1:38" s="224" customFormat="1" hidden="1" x14ac:dyDescent="0.25">
      <c r="A42" s="215">
        <v>44627</v>
      </c>
      <c r="B42" s="882" t="s">
        <v>2766</v>
      </c>
      <c r="C42" s="879" t="s">
        <v>12</v>
      </c>
      <c r="D42" s="879" t="s">
        <v>2157</v>
      </c>
      <c r="E42" s="480" t="s">
        <v>13</v>
      </c>
      <c r="F42" s="780">
        <v>50</v>
      </c>
      <c r="G42" s="982"/>
      <c r="H42" s="1008"/>
      <c r="I42" s="1063"/>
      <c r="J42" s="622"/>
      <c r="K42" s="982"/>
      <c r="L42" s="622"/>
      <c r="M42" s="982"/>
      <c r="N42" s="861"/>
      <c r="P42" s="878"/>
    </row>
    <row r="43" spans="1:38" s="224" customFormat="1" ht="15" hidden="1" customHeight="1" x14ac:dyDescent="0.25">
      <c r="A43" s="215">
        <v>44627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5</v>
      </c>
      <c r="G43" s="982"/>
      <c r="H43" s="622"/>
      <c r="I43" s="982"/>
      <c r="J43" s="622"/>
      <c r="K43" s="982"/>
      <c r="L43" s="622"/>
      <c r="M43" s="982"/>
      <c r="N43" s="927"/>
      <c r="O43" s="927"/>
      <c r="P43" s="878"/>
    </row>
    <row r="44" spans="1:38" s="224" customFormat="1" ht="15" hidden="1" customHeight="1" x14ac:dyDescent="0.25">
      <c r="A44" s="215">
        <v>44627</v>
      </c>
      <c r="B44" s="364" t="s">
        <v>1396</v>
      </c>
      <c r="C44" s="350" t="s">
        <v>12</v>
      </c>
      <c r="D44" s="350"/>
      <c r="E44" s="480" t="s">
        <v>25</v>
      </c>
      <c r="F44" s="613"/>
      <c r="G44" s="967">
        <v>70</v>
      </c>
      <c r="H44" s="1008"/>
      <c r="I44" s="1063"/>
      <c r="J44" s="622"/>
      <c r="K44" s="982"/>
      <c r="L44" s="1110"/>
      <c r="M44" s="1111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 s="224" customFormat="1" ht="15" hidden="1" customHeight="1" x14ac:dyDescent="0.25">
      <c r="A45" s="215">
        <v>44628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16</v>
      </c>
      <c r="G45" s="982"/>
      <c r="H45" s="622"/>
      <c r="I45" s="982"/>
      <c r="J45" s="622"/>
      <c r="K45" s="982"/>
      <c r="L45" s="622"/>
      <c r="M45" s="982"/>
      <c r="N45" s="927"/>
      <c r="O45" s="927"/>
      <c r="P45" s="878"/>
    </row>
    <row r="46" spans="1:38" s="224" customFormat="1" ht="15" hidden="1" customHeight="1" x14ac:dyDescent="0.25">
      <c r="A46" s="215">
        <v>44628</v>
      </c>
      <c r="B46" s="882" t="s">
        <v>3254</v>
      </c>
      <c r="C46" s="879" t="s">
        <v>12</v>
      </c>
      <c r="D46" s="879" t="s">
        <v>1489</v>
      </c>
      <c r="E46" s="875" t="s">
        <v>13</v>
      </c>
      <c r="F46" s="780">
        <v>16</v>
      </c>
      <c r="G46" s="982"/>
      <c r="H46" s="622"/>
      <c r="I46" s="982"/>
      <c r="J46" s="622"/>
      <c r="K46" s="982"/>
      <c r="L46" s="622"/>
      <c r="M46" s="982"/>
      <c r="N46" s="927"/>
      <c r="O46" s="927"/>
      <c r="P46" s="878"/>
    </row>
    <row r="47" spans="1:38" s="224" customFormat="1" ht="15" hidden="1" customHeight="1" x14ac:dyDescent="0.25">
      <c r="A47" s="215">
        <v>44628</v>
      </c>
      <c r="B47" s="873" t="s">
        <v>445</v>
      </c>
      <c r="C47" s="874" t="s">
        <v>12</v>
      </c>
      <c r="D47" s="874" t="s">
        <v>1493</v>
      </c>
      <c r="E47" s="875" t="s">
        <v>13</v>
      </c>
      <c r="F47" s="780">
        <v>5</v>
      </c>
      <c r="G47" s="982"/>
      <c r="H47" s="622"/>
      <c r="I47" s="982"/>
      <c r="J47" s="622"/>
      <c r="K47" s="982"/>
      <c r="L47" s="622"/>
      <c r="M47" s="982"/>
      <c r="N47" s="927"/>
      <c r="O47" s="927"/>
      <c r="P47" s="878"/>
    </row>
    <row r="48" spans="1:38" s="224" customFormat="1" ht="15" customHeight="1" x14ac:dyDescent="0.25">
      <c r="A48" s="215">
        <v>44629</v>
      </c>
      <c r="B48" s="882" t="s">
        <v>3255</v>
      </c>
      <c r="C48" s="879" t="s">
        <v>12</v>
      </c>
      <c r="D48" s="879" t="s">
        <v>1522</v>
      </c>
      <c r="E48" s="875" t="s">
        <v>13</v>
      </c>
      <c r="F48" s="780">
        <v>110</v>
      </c>
      <c r="G48" s="982"/>
      <c r="H48" s="622"/>
      <c r="I48" s="982"/>
      <c r="J48" s="622"/>
      <c r="K48" s="982"/>
      <c r="L48" s="622"/>
      <c r="M48" s="982"/>
      <c r="N48" s="927"/>
      <c r="O48" s="927"/>
      <c r="P48" s="878"/>
    </row>
    <row r="49" spans="1:38" s="224" customFormat="1" ht="15" hidden="1" customHeight="1" x14ac:dyDescent="0.25">
      <c r="A49" s="215">
        <v>44629</v>
      </c>
      <c r="B49" s="882" t="s">
        <v>32</v>
      </c>
      <c r="C49" s="879" t="s">
        <v>12</v>
      </c>
      <c r="D49" s="879" t="s">
        <v>1485</v>
      </c>
      <c r="E49" s="875" t="s">
        <v>13</v>
      </c>
      <c r="F49" s="780">
        <v>9.5</v>
      </c>
      <c r="G49" s="982"/>
      <c r="H49" s="622"/>
      <c r="I49" s="982"/>
      <c r="J49" s="622"/>
      <c r="K49" s="982"/>
      <c r="L49" s="622"/>
      <c r="M49" s="982"/>
      <c r="N49" s="927"/>
      <c r="O49" s="927"/>
      <c r="P49" s="878"/>
    </row>
    <row r="50" spans="1:38" s="224" customFormat="1" ht="15" hidden="1" customHeight="1" x14ac:dyDescent="0.25">
      <c r="A50" s="215">
        <v>44629</v>
      </c>
      <c r="B50" s="882" t="s">
        <v>14</v>
      </c>
      <c r="C50" s="879" t="s">
        <v>12</v>
      </c>
      <c r="D50" s="879" t="s">
        <v>1486</v>
      </c>
      <c r="E50" s="875" t="s">
        <v>13</v>
      </c>
      <c r="F50" s="780">
        <v>8.2799999999999994</v>
      </c>
      <c r="G50" s="982"/>
      <c r="H50" s="622"/>
      <c r="I50" s="982"/>
      <c r="J50" s="622"/>
      <c r="K50" s="982"/>
      <c r="L50" s="622"/>
      <c r="M50" s="982"/>
      <c r="N50" s="927"/>
      <c r="O50" s="927"/>
      <c r="P50" s="878"/>
    </row>
    <row r="51" spans="1:38" s="224" customFormat="1" ht="15" hidden="1" customHeight="1" x14ac:dyDescent="0.25">
      <c r="A51" s="215">
        <v>44630</v>
      </c>
      <c r="B51" s="882" t="s">
        <v>2766</v>
      </c>
      <c r="C51" s="879" t="s">
        <v>12</v>
      </c>
      <c r="D51" s="879" t="s">
        <v>2157</v>
      </c>
      <c r="E51" s="480" t="s">
        <v>15</v>
      </c>
      <c r="F51" s="780">
        <v>60</v>
      </c>
      <c r="G51" s="982"/>
      <c r="H51" s="622"/>
      <c r="I51" s="982"/>
      <c r="J51" s="622"/>
      <c r="K51" s="982"/>
      <c r="L51" s="622"/>
      <c r="M51" s="982"/>
      <c r="N51" s="927"/>
      <c r="O51" s="927"/>
      <c r="P51" s="878"/>
    </row>
    <row r="52" spans="1:38" s="224" customFormat="1" ht="15" hidden="1" customHeight="1" x14ac:dyDescent="0.25">
      <c r="A52" s="215">
        <v>44630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16</v>
      </c>
      <c r="G52" s="982"/>
      <c r="H52" s="622"/>
      <c r="I52" s="982"/>
      <c r="J52" s="622"/>
      <c r="K52" s="982"/>
      <c r="L52" s="622"/>
      <c r="M52" s="982"/>
      <c r="N52" s="927"/>
      <c r="O52" s="927"/>
      <c r="P52" s="878"/>
    </row>
    <row r="53" spans="1:38" s="224" customFormat="1" ht="15" hidden="1" customHeight="1" x14ac:dyDescent="0.25">
      <c r="A53" s="215">
        <v>44630</v>
      </c>
      <c r="B53" s="882" t="s">
        <v>256</v>
      </c>
      <c r="C53" s="879"/>
      <c r="D53" s="879"/>
      <c r="E53" s="875" t="s">
        <v>25</v>
      </c>
      <c r="F53" s="780"/>
      <c r="G53" s="982">
        <v>1800</v>
      </c>
      <c r="H53" s="1060">
        <v>1800</v>
      </c>
      <c r="I53" s="1033"/>
      <c r="J53" s="880"/>
      <c r="K53" s="1033"/>
      <c r="L53" s="880"/>
      <c r="M53" s="1033"/>
      <c r="N53" s="1080"/>
      <c r="O53" s="927"/>
      <c r="P53" s="878"/>
    </row>
    <row r="54" spans="1:38" s="224" customFormat="1" ht="15" customHeight="1" x14ac:dyDescent="0.25">
      <c r="A54" s="215">
        <v>44630</v>
      </c>
      <c r="B54" s="364" t="s">
        <v>3256</v>
      </c>
      <c r="C54" s="350" t="s">
        <v>12</v>
      </c>
      <c r="D54" s="350" t="s">
        <v>1522</v>
      </c>
      <c r="E54" s="480" t="s">
        <v>13</v>
      </c>
      <c r="F54" s="613">
        <v>1203.56</v>
      </c>
      <c r="G54" s="967"/>
      <c r="H54" s="1008"/>
      <c r="I54" s="1063"/>
      <c r="J54" s="622"/>
      <c r="K54" s="982"/>
      <c r="L54" s="1110"/>
      <c r="M54" s="1111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 s="224" customFormat="1" ht="15" customHeight="1" x14ac:dyDescent="0.25">
      <c r="A55" s="215">
        <v>44630</v>
      </c>
      <c r="B55" s="364" t="s">
        <v>3257</v>
      </c>
      <c r="C55" s="350" t="s">
        <v>12</v>
      </c>
      <c r="D55" s="350" t="s">
        <v>1522</v>
      </c>
      <c r="E55" s="480" t="s">
        <v>13</v>
      </c>
      <c r="F55" s="613">
        <v>144.86000000000001</v>
      </c>
      <c r="G55" s="967"/>
      <c r="H55" s="1008"/>
      <c r="I55" s="1063"/>
      <c r="J55" s="622"/>
      <c r="K55" s="982"/>
      <c r="L55" s="613"/>
      <c r="M55" s="6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 s="224" customFormat="1" ht="15" customHeight="1" x14ac:dyDescent="0.25">
      <c r="A56" s="215">
        <v>44630</v>
      </c>
      <c r="B56" s="364" t="s">
        <v>3258</v>
      </c>
      <c r="C56" s="350" t="s">
        <v>12</v>
      </c>
      <c r="D56" s="350" t="s">
        <v>1522</v>
      </c>
      <c r="E56" s="480" t="s">
        <v>13</v>
      </c>
      <c r="F56" s="613">
        <v>246.17</v>
      </c>
      <c r="G56" s="967"/>
      <c r="H56" s="1008"/>
      <c r="I56" s="1063"/>
      <c r="J56" s="622"/>
      <c r="K56" s="982"/>
      <c r="L56" s="613"/>
      <c r="M56" s="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 s="224" customFormat="1" hidden="1" x14ac:dyDescent="0.25">
      <c r="A57" s="215">
        <v>44630</v>
      </c>
      <c r="B57" s="882" t="s">
        <v>256</v>
      </c>
      <c r="C57" s="879"/>
      <c r="D57" s="879"/>
      <c r="E57" s="875" t="s">
        <v>25</v>
      </c>
      <c r="F57" s="780"/>
      <c r="G57" s="982">
        <v>2102.14</v>
      </c>
      <c r="H57" s="1060">
        <v>2102.14</v>
      </c>
      <c r="I57" s="1063"/>
      <c r="J57" s="622"/>
      <c r="K57" s="982"/>
      <c r="L57" s="622"/>
      <c r="M57" s="982"/>
      <c r="N57" s="861"/>
      <c r="P57" s="878"/>
    </row>
    <row r="58" spans="1:38" s="224" customFormat="1" ht="15" hidden="1" customHeight="1" x14ac:dyDescent="0.25">
      <c r="A58" s="215">
        <v>44630</v>
      </c>
      <c r="B58" s="349" t="s">
        <v>3259</v>
      </c>
      <c r="C58" s="352" t="s">
        <v>12</v>
      </c>
      <c r="D58" s="874"/>
      <c r="E58" s="875" t="s">
        <v>13</v>
      </c>
      <c r="F58" s="852">
        <v>2055.4</v>
      </c>
      <c r="G58" s="957"/>
      <c r="H58" s="622"/>
      <c r="I58" s="982"/>
      <c r="J58" s="622"/>
      <c r="K58" s="982">
        <v>2055.4</v>
      </c>
      <c r="L58" s="622"/>
      <c r="M58" s="982"/>
    </row>
    <row r="59" spans="1:38" s="224" customFormat="1" ht="15" hidden="1" customHeight="1" x14ac:dyDescent="0.25">
      <c r="A59" s="215">
        <v>44630</v>
      </c>
      <c r="B59" s="349" t="s">
        <v>1981</v>
      </c>
      <c r="C59" s="352" t="s">
        <v>12</v>
      </c>
      <c r="D59" s="874" t="s">
        <v>1489</v>
      </c>
      <c r="E59" s="875" t="s">
        <v>15</v>
      </c>
      <c r="F59" s="852">
        <v>7.5</v>
      </c>
      <c r="G59" s="957"/>
      <c r="H59" s="622"/>
      <c r="I59" s="982"/>
      <c r="J59" s="622"/>
      <c r="K59" s="982"/>
      <c r="L59" s="622"/>
      <c r="M59" s="982"/>
    </row>
    <row r="60" spans="1:38" s="224" customFormat="1" ht="15" hidden="1" customHeight="1" x14ac:dyDescent="0.25">
      <c r="A60" s="215">
        <v>44631</v>
      </c>
      <c r="B60" s="873" t="s">
        <v>445</v>
      </c>
      <c r="C60" s="874" t="s">
        <v>12</v>
      </c>
      <c r="D60" s="874" t="s">
        <v>1493</v>
      </c>
      <c r="E60" s="875" t="s">
        <v>13</v>
      </c>
      <c r="F60" s="780">
        <v>5</v>
      </c>
      <c r="G60" s="967"/>
      <c r="H60" s="1008"/>
      <c r="I60" s="1063"/>
      <c r="J60" s="622"/>
      <c r="K60" s="982"/>
      <c r="L60" s="1110"/>
      <c r="M60" s="1111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 s="224" customFormat="1" ht="15" hidden="1" customHeight="1" x14ac:dyDescent="0.25">
      <c r="A61" s="215">
        <v>44631</v>
      </c>
      <c r="B61" s="882" t="s">
        <v>3260</v>
      </c>
      <c r="C61" s="879" t="s">
        <v>12</v>
      </c>
      <c r="D61" s="879" t="s">
        <v>1525</v>
      </c>
      <c r="E61" s="875" t="s">
        <v>13</v>
      </c>
      <c r="F61" s="780">
        <v>11.89</v>
      </c>
      <c r="G61" s="982"/>
      <c r="H61" s="1008"/>
      <c r="I61" s="1063"/>
      <c r="J61" s="622"/>
      <c r="K61" s="982"/>
      <c r="L61" s="622"/>
      <c r="M61" s="982"/>
      <c r="N61" s="1029"/>
    </row>
    <row r="62" spans="1:38" s="224" customFormat="1" ht="15" hidden="1" customHeight="1" x14ac:dyDescent="0.25">
      <c r="A62" s="215">
        <v>44631</v>
      </c>
      <c r="B62" s="882" t="s">
        <v>525</v>
      </c>
      <c r="C62" s="879" t="s">
        <v>19</v>
      </c>
      <c r="D62" s="879" t="s">
        <v>1493</v>
      </c>
      <c r="E62" s="875" t="s">
        <v>13</v>
      </c>
      <c r="F62" s="780">
        <v>35.9</v>
      </c>
      <c r="G62" s="982"/>
      <c r="H62" s="1008"/>
      <c r="I62" s="1063"/>
      <c r="J62" s="622"/>
      <c r="K62" s="982"/>
      <c r="L62" s="622"/>
      <c r="M62" s="982"/>
      <c r="N62" s="1029"/>
    </row>
    <row r="63" spans="1:38" s="224" customFormat="1" ht="15" hidden="1" customHeight="1" x14ac:dyDescent="0.25">
      <c r="A63" s="215">
        <v>44632</v>
      </c>
      <c r="B63" s="882" t="s">
        <v>2629</v>
      </c>
      <c r="C63" s="879" t="s">
        <v>19</v>
      </c>
      <c r="D63" s="879" t="s">
        <v>1489</v>
      </c>
      <c r="E63" s="875" t="s">
        <v>13</v>
      </c>
      <c r="F63" s="780">
        <v>83.18</v>
      </c>
      <c r="G63" s="982"/>
      <c r="H63" s="1008"/>
      <c r="I63" s="1063"/>
      <c r="J63" s="622"/>
      <c r="K63" s="982"/>
      <c r="L63" s="622"/>
      <c r="M63" s="982"/>
      <c r="N63" s="1029"/>
    </row>
    <row r="64" spans="1:38" s="224" customFormat="1" ht="15" hidden="1" customHeight="1" x14ac:dyDescent="0.25">
      <c r="A64" s="215">
        <v>44632</v>
      </c>
      <c r="B64" s="882" t="s">
        <v>2766</v>
      </c>
      <c r="C64" s="879" t="s">
        <v>12</v>
      </c>
      <c r="D64" s="879" t="s">
        <v>2157</v>
      </c>
      <c r="E64" s="480" t="s">
        <v>13</v>
      </c>
      <c r="F64" s="780">
        <v>40</v>
      </c>
      <c r="G64" s="982"/>
      <c r="H64" s="1008"/>
      <c r="I64" s="1063"/>
      <c r="J64" s="622"/>
      <c r="K64" s="982"/>
      <c r="L64" s="622"/>
      <c r="M64" s="982"/>
      <c r="N64" s="1029"/>
    </row>
    <row r="65" spans="1:21" s="224" customFormat="1" ht="15" hidden="1" customHeight="1" x14ac:dyDescent="0.25">
      <c r="A65" s="215">
        <v>44632</v>
      </c>
      <c r="B65" s="882" t="s">
        <v>80</v>
      </c>
      <c r="C65" s="879" t="s">
        <v>12</v>
      </c>
      <c r="D65" s="879" t="s">
        <v>1523</v>
      </c>
      <c r="E65" s="480" t="s">
        <v>13</v>
      </c>
      <c r="F65" s="780">
        <v>42</v>
      </c>
      <c r="G65" s="982"/>
      <c r="H65" s="1008"/>
      <c r="I65" s="1063"/>
      <c r="J65" s="622"/>
      <c r="K65" s="982"/>
      <c r="L65" s="622"/>
      <c r="M65" s="982"/>
      <c r="N65" s="1029"/>
    </row>
    <row r="66" spans="1:21" s="224" customFormat="1" ht="15" hidden="1" customHeight="1" x14ac:dyDescent="0.25">
      <c r="A66" s="215">
        <v>44633</v>
      </c>
      <c r="B66" s="882" t="s">
        <v>14</v>
      </c>
      <c r="C66" s="879" t="s">
        <v>12</v>
      </c>
      <c r="D66" s="879" t="s">
        <v>1486</v>
      </c>
      <c r="E66" s="875" t="s">
        <v>13</v>
      </c>
      <c r="F66" s="780">
        <v>10.87</v>
      </c>
      <c r="G66" s="982"/>
      <c r="H66" s="622"/>
      <c r="I66" s="982"/>
      <c r="J66" s="622"/>
      <c r="K66" s="982"/>
      <c r="L66" s="622"/>
      <c r="M66" s="982"/>
      <c r="N66" s="927"/>
      <c r="O66" s="927"/>
      <c r="P66" s="878"/>
    </row>
    <row r="67" spans="1:21" s="224" customFormat="1" ht="15" hidden="1" customHeight="1" x14ac:dyDescent="0.25">
      <c r="A67" s="215">
        <v>44633</v>
      </c>
      <c r="B67" s="882" t="s">
        <v>134</v>
      </c>
      <c r="C67" s="879" t="s">
        <v>12</v>
      </c>
      <c r="D67" s="879" t="s">
        <v>1493</v>
      </c>
      <c r="E67" s="875" t="s">
        <v>13</v>
      </c>
      <c r="F67" s="780">
        <v>12.9</v>
      </c>
      <c r="G67" s="982"/>
      <c r="H67" s="1008"/>
      <c r="I67" s="1063"/>
      <c r="J67" s="622"/>
      <c r="K67" s="982"/>
      <c r="L67" s="622"/>
      <c r="M67" s="982"/>
      <c r="N67" s="1029"/>
    </row>
    <row r="68" spans="1:21" s="224" customFormat="1" ht="15" hidden="1" customHeight="1" x14ac:dyDescent="0.25">
      <c r="A68" s="215">
        <v>44634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16</v>
      </c>
      <c r="G68" s="982"/>
      <c r="H68" s="622"/>
      <c r="I68" s="982"/>
      <c r="J68" s="622"/>
      <c r="K68" s="982"/>
      <c r="L68" s="622"/>
      <c r="M68" s="982"/>
      <c r="N68" s="927"/>
      <c r="O68" s="927"/>
      <c r="P68" s="878"/>
    </row>
    <row r="69" spans="1:21" s="224" customFormat="1" ht="15" hidden="1" customHeight="1" x14ac:dyDescent="0.25">
      <c r="A69" s="215">
        <v>44635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10.5</v>
      </c>
      <c r="G69" s="982"/>
      <c r="H69" s="622"/>
      <c r="I69" s="982"/>
      <c r="J69" s="622"/>
      <c r="K69" s="982"/>
      <c r="L69" s="622"/>
      <c r="M69" s="982"/>
      <c r="N69" s="927"/>
      <c r="O69" s="927"/>
      <c r="P69" s="878"/>
    </row>
    <row r="70" spans="1:21" s="224" customFormat="1" ht="15" customHeight="1" x14ac:dyDescent="0.25">
      <c r="A70" s="215">
        <v>44635</v>
      </c>
      <c r="B70" s="882" t="s">
        <v>3261</v>
      </c>
      <c r="C70" s="879" t="s">
        <v>12</v>
      </c>
      <c r="D70" s="879" t="s">
        <v>1522</v>
      </c>
      <c r="E70" s="875" t="s">
        <v>13</v>
      </c>
      <c r="F70" s="780">
        <v>3.9</v>
      </c>
      <c r="G70" s="982"/>
      <c r="H70" s="1008"/>
      <c r="I70" s="1063"/>
      <c r="J70" s="622"/>
      <c r="K70" s="982"/>
      <c r="L70" s="622"/>
      <c r="M70" s="982"/>
      <c r="N70" s="1029"/>
    </row>
    <row r="71" spans="1:21" s="224" customFormat="1" ht="15" hidden="1" customHeight="1" x14ac:dyDescent="0.25">
      <c r="A71" s="215">
        <v>44635</v>
      </c>
      <c r="B71" s="882" t="s">
        <v>2251</v>
      </c>
      <c r="C71" s="879" t="s">
        <v>12</v>
      </c>
      <c r="D71" s="879" t="s">
        <v>2157</v>
      </c>
      <c r="E71" s="480" t="s">
        <v>15</v>
      </c>
      <c r="F71" s="780">
        <v>50</v>
      </c>
      <c r="G71" s="982"/>
      <c r="H71" s="1008"/>
      <c r="I71" s="1063"/>
      <c r="J71" s="622"/>
      <c r="K71" s="982"/>
      <c r="L71" s="622"/>
      <c r="M71" s="982"/>
      <c r="N71" s="1029"/>
    </row>
    <row r="72" spans="1:21" s="224" customFormat="1" ht="15" hidden="1" customHeight="1" x14ac:dyDescent="0.25">
      <c r="A72" s="215">
        <v>44635</v>
      </c>
      <c r="B72" s="882" t="s">
        <v>14</v>
      </c>
      <c r="C72" s="879" t="s">
        <v>12</v>
      </c>
      <c r="D72" s="879" t="s">
        <v>1486</v>
      </c>
      <c r="E72" s="875" t="s">
        <v>13</v>
      </c>
      <c r="F72" s="780">
        <v>16.05</v>
      </c>
      <c r="G72" s="982"/>
      <c r="H72" s="1008"/>
      <c r="I72" s="1063"/>
      <c r="J72" s="622"/>
      <c r="K72" s="982"/>
      <c r="L72" s="622"/>
      <c r="M72" s="982"/>
      <c r="N72" s="1029"/>
    </row>
    <row r="73" spans="1:21" s="224" customFormat="1" ht="15" hidden="1" customHeight="1" x14ac:dyDescent="0.25">
      <c r="A73" s="215">
        <v>44636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16</v>
      </c>
      <c r="G73" s="982"/>
      <c r="H73" s="622"/>
      <c r="I73" s="982"/>
      <c r="J73" s="622"/>
      <c r="K73" s="982"/>
      <c r="L73" s="622"/>
      <c r="M73" s="982"/>
      <c r="N73" s="927"/>
      <c r="O73" s="927"/>
      <c r="P73" s="878"/>
    </row>
    <row r="74" spans="1:21" s="224" customFormat="1" ht="15" hidden="1" customHeight="1" x14ac:dyDescent="0.25">
      <c r="A74" s="215">
        <v>44637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18</v>
      </c>
      <c r="G74" s="982"/>
      <c r="H74" s="622"/>
      <c r="I74" s="982"/>
      <c r="J74" s="622"/>
      <c r="K74" s="982"/>
      <c r="L74" s="622"/>
      <c r="M74" s="982"/>
      <c r="N74" s="927"/>
      <c r="O74" s="927"/>
      <c r="P74" s="878"/>
    </row>
    <row r="75" spans="1:21" s="224" customFormat="1" ht="15" hidden="1" customHeight="1" x14ac:dyDescent="0.25">
      <c r="A75" s="215">
        <v>44637</v>
      </c>
      <c r="B75" s="873" t="s">
        <v>445</v>
      </c>
      <c r="C75" s="874" t="s">
        <v>12</v>
      </c>
      <c r="D75" s="874" t="s">
        <v>1493</v>
      </c>
      <c r="E75" s="875" t="s">
        <v>13</v>
      </c>
      <c r="F75" s="780">
        <v>5</v>
      </c>
      <c r="G75" s="982"/>
      <c r="H75" s="1008"/>
      <c r="I75" s="1063"/>
      <c r="J75" s="622"/>
      <c r="K75" s="982"/>
      <c r="L75" s="622"/>
      <c r="M75" s="982"/>
      <c r="N75" s="1029"/>
    </row>
    <row r="76" spans="1:21" s="224" customFormat="1" ht="15" hidden="1" customHeight="1" x14ac:dyDescent="0.25">
      <c r="A76" s="215">
        <v>44637</v>
      </c>
      <c r="B76" s="882" t="s">
        <v>14</v>
      </c>
      <c r="C76" s="879" t="s">
        <v>12</v>
      </c>
      <c r="D76" s="879" t="s">
        <v>1486</v>
      </c>
      <c r="E76" s="875" t="s">
        <v>13</v>
      </c>
      <c r="F76" s="780">
        <v>5.34</v>
      </c>
      <c r="G76" s="982"/>
      <c r="H76" s="622"/>
      <c r="I76" s="982"/>
      <c r="J76" s="622"/>
      <c r="K76" s="982"/>
      <c r="L76" s="622"/>
      <c r="M76" s="982"/>
      <c r="N76" s="927"/>
      <c r="O76" s="927"/>
      <c r="P76" s="878"/>
    </row>
    <row r="77" spans="1:21" s="224" customFormat="1" ht="15" hidden="1" customHeight="1" x14ac:dyDescent="0.25">
      <c r="A77" s="215">
        <v>44638</v>
      </c>
      <c r="B77" s="882" t="s">
        <v>3262</v>
      </c>
      <c r="C77" s="350" t="s">
        <v>12</v>
      </c>
      <c r="D77" s="350"/>
      <c r="E77" s="480" t="s">
        <v>25</v>
      </c>
      <c r="F77" s="622"/>
      <c r="G77" s="982">
        <v>1840</v>
      </c>
      <c r="H77" s="1008"/>
      <c r="I77" s="1063"/>
      <c r="J77" s="622"/>
      <c r="K77" s="982"/>
      <c r="L77" s="622"/>
      <c r="M77" s="982"/>
      <c r="N77" s="861"/>
    </row>
    <row r="78" spans="1:21" s="224" customFormat="1" ht="15" hidden="1" customHeight="1" x14ac:dyDescent="0.25">
      <c r="A78" s="215">
        <v>44638</v>
      </c>
      <c r="B78" s="862" t="s">
        <v>2867</v>
      </c>
      <c r="C78" s="350" t="s">
        <v>12</v>
      </c>
      <c r="D78" s="874" t="s">
        <v>1504</v>
      </c>
      <c r="E78" s="887" t="s">
        <v>13</v>
      </c>
      <c r="F78" s="1107"/>
      <c r="G78" s="982"/>
      <c r="H78" s="1009"/>
      <c r="I78" s="1063"/>
      <c r="J78" s="853"/>
      <c r="K78" s="982"/>
      <c r="L78" s="853"/>
      <c r="M78" s="982"/>
      <c r="N78" s="3166" t="s">
        <v>3125</v>
      </c>
      <c r="O78" s="3166"/>
      <c r="P78" s="3166"/>
      <c r="Q78" s="3166"/>
      <c r="R78" s="3166"/>
      <c r="S78" s="3166"/>
      <c r="T78" s="3166"/>
      <c r="U78" s="3166"/>
    </row>
    <row r="79" spans="1:21" s="224" customFormat="1" hidden="1" x14ac:dyDescent="0.25">
      <c r="A79" s="215">
        <v>44638</v>
      </c>
      <c r="B79" s="364" t="s">
        <v>2977</v>
      </c>
      <c r="C79" s="350" t="s">
        <v>12</v>
      </c>
      <c r="D79" s="350" t="s">
        <v>1491</v>
      </c>
      <c r="E79" s="875" t="s">
        <v>13</v>
      </c>
      <c r="F79" s="1047">
        <v>300</v>
      </c>
      <c r="G79" s="982"/>
      <c r="H79" s="1008"/>
      <c r="I79" s="1063"/>
      <c r="J79" s="622"/>
      <c r="K79" s="982"/>
      <c r="L79" s="622"/>
      <c r="M79" s="982"/>
      <c r="N79" s="1029"/>
      <c r="O79" s="89"/>
      <c r="P79" s="930"/>
    </row>
    <row r="80" spans="1:21" s="224" customFormat="1" ht="15" hidden="1" customHeight="1" x14ac:dyDescent="0.25">
      <c r="A80" s="215">
        <v>44638</v>
      </c>
      <c r="B80" s="882" t="s">
        <v>3263</v>
      </c>
      <c r="C80" s="879" t="s">
        <v>19</v>
      </c>
      <c r="D80" s="879" t="s">
        <v>1506</v>
      </c>
      <c r="E80" s="871" t="s">
        <v>13</v>
      </c>
      <c r="F80" s="780">
        <v>45</v>
      </c>
      <c r="G80" s="946"/>
      <c r="H80" s="95"/>
      <c r="I80" s="1064"/>
      <c r="J80" s="622"/>
      <c r="K80" s="982"/>
      <c r="L80" s="622"/>
      <c r="M80" s="982"/>
      <c r="N80" s="1028"/>
      <c r="Q80" s="958"/>
    </row>
    <row r="81" spans="1:17" s="224" customFormat="1" ht="15" hidden="1" customHeight="1" x14ac:dyDescent="0.25">
      <c r="A81" s="215">
        <v>44638</v>
      </c>
      <c r="B81" s="882" t="s">
        <v>3264</v>
      </c>
      <c r="C81" s="879" t="s">
        <v>19</v>
      </c>
      <c r="D81" s="879" t="s">
        <v>1506</v>
      </c>
      <c r="E81" s="871" t="s">
        <v>13</v>
      </c>
      <c r="F81" s="780">
        <v>81</v>
      </c>
      <c r="G81" s="946"/>
      <c r="H81" s="95"/>
      <c r="I81" s="1064"/>
      <c r="J81" s="622"/>
      <c r="K81" s="982"/>
      <c r="L81" s="622"/>
      <c r="M81" s="982"/>
      <c r="N81" s="1028"/>
      <c r="Q81" s="958"/>
    </row>
    <row r="82" spans="1:17" s="224" customFormat="1" ht="15" hidden="1" customHeight="1" x14ac:dyDescent="0.25">
      <c r="A82" s="215">
        <v>44638</v>
      </c>
      <c r="B82" s="882" t="s">
        <v>3265</v>
      </c>
      <c r="C82" s="879" t="s">
        <v>19</v>
      </c>
      <c r="D82" s="879" t="s">
        <v>1506</v>
      </c>
      <c r="E82" s="871" t="s">
        <v>13</v>
      </c>
      <c r="F82" s="780">
        <v>72</v>
      </c>
      <c r="G82" s="946"/>
      <c r="H82" s="95"/>
      <c r="I82" s="1064"/>
      <c r="J82" s="622"/>
      <c r="K82" s="982"/>
      <c r="L82" s="622"/>
      <c r="M82" s="982"/>
      <c r="N82" s="1028"/>
      <c r="Q82" s="958"/>
    </row>
    <row r="83" spans="1:17" s="224" customFormat="1" ht="15" hidden="1" customHeight="1" x14ac:dyDescent="0.25">
      <c r="A83" s="215">
        <v>44638</v>
      </c>
      <c r="B83" s="882" t="s">
        <v>3266</v>
      </c>
      <c r="C83" s="879" t="s">
        <v>19</v>
      </c>
      <c r="D83" s="879" t="s">
        <v>1506</v>
      </c>
      <c r="E83" s="871" t="s">
        <v>13</v>
      </c>
      <c r="F83" s="780">
        <v>72</v>
      </c>
      <c r="G83" s="982"/>
      <c r="H83" s="622"/>
      <c r="I83" s="982"/>
      <c r="J83" s="622"/>
      <c r="K83" s="982"/>
      <c r="L83" s="622"/>
      <c r="M83" s="982"/>
      <c r="N83" s="1028"/>
      <c r="O83" s="927"/>
      <c r="P83" s="878"/>
      <c r="Q83" s="958"/>
    </row>
    <row r="84" spans="1:17" s="224" customFormat="1" ht="15" hidden="1" customHeight="1" x14ac:dyDescent="0.25">
      <c r="A84" s="215">
        <v>44638</v>
      </c>
      <c r="B84" s="349" t="s">
        <v>260</v>
      </c>
      <c r="C84" s="350" t="s">
        <v>12</v>
      </c>
      <c r="D84" s="350"/>
      <c r="E84" s="480"/>
      <c r="F84" s="780">
        <v>500</v>
      </c>
      <c r="G84" s="946"/>
      <c r="H84" s="95"/>
      <c r="I84" s="1064">
        <v>500</v>
      </c>
      <c r="J84" s="622"/>
      <c r="K84" s="982"/>
      <c r="L84" s="1110"/>
      <c r="M84" s="627"/>
    </row>
    <row r="85" spans="1:17" s="224" customFormat="1" ht="15" hidden="1" customHeight="1" x14ac:dyDescent="0.25">
      <c r="A85" s="215">
        <v>44638</v>
      </c>
      <c r="B85" s="882" t="s">
        <v>2766</v>
      </c>
      <c r="C85" s="879" t="s">
        <v>12</v>
      </c>
      <c r="D85" s="879" t="s">
        <v>2157</v>
      </c>
      <c r="E85" s="480" t="s">
        <v>13</v>
      </c>
      <c r="F85" s="780">
        <v>60</v>
      </c>
      <c r="G85" s="982"/>
      <c r="H85" s="1008"/>
      <c r="I85" s="1063"/>
      <c r="J85" s="622"/>
      <c r="K85" s="982"/>
      <c r="L85" s="622"/>
      <c r="M85" s="982"/>
      <c r="N85" s="1029"/>
    </row>
    <row r="86" spans="1:17" s="224" customFormat="1" ht="15" hidden="1" customHeight="1" x14ac:dyDescent="0.25">
      <c r="A86" s="215">
        <v>44638</v>
      </c>
      <c r="B86" s="882" t="s">
        <v>3267</v>
      </c>
      <c r="C86" s="879" t="s">
        <v>12</v>
      </c>
      <c r="D86" s="879" t="s">
        <v>1491</v>
      </c>
      <c r="E86" s="875" t="s">
        <v>13</v>
      </c>
      <c r="F86" s="780">
        <v>25.8</v>
      </c>
      <c r="G86" s="982"/>
      <c r="H86" s="622"/>
      <c r="I86" s="982"/>
      <c r="J86" s="622"/>
      <c r="K86" s="982"/>
      <c r="L86" s="622"/>
      <c r="M86" s="982"/>
      <c r="N86" s="927"/>
      <c r="P86" s="878"/>
    </row>
    <row r="87" spans="1:17" s="224" customFormat="1" ht="15" hidden="1" customHeight="1" x14ac:dyDescent="0.25">
      <c r="A87" s="215">
        <v>44639</v>
      </c>
      <c r="B87" s="882" t="s">
        <v>14</v>
      </c>
      <c r="C87" s="879" t="s">
        <v>12</v>
      </c>
      <c r="D87" s="879" t="s">
        <v>1486</v>
      </c>
      <c r="E87" s="875" t="s">
        <v>13</v>
      </c>
      <c r="F87" s="780">
        <v>10.42</v>
      </c>
      <c r="G87" s="982"/>
      <c r="H87" s="622"/>
      <c r="I87" s="982"/>
      <c r="J87" s="622"/>
      <c r="K87" s="982"/>
      <c r="L87" s="622"/>
      <c r="M87" s="982"/>
      <c r="N87" s="927"/>
      <c r="O87" s="927"/>
      <c r="P87" s="878"/>
    </row>
    <row r="88" spans="1:17" s="224" customFormat="1" ht="15" hidden="1" customHeight="1" x14ac:dyDescent="0.25">
      <c r="A88" s="215">
        <v>44639</v>
      </c>
      <c r="B88" s="882" t="s">
        <v>82</v>
      </c>
      <c r="C88" s="879" t="s">
        <v>12</v>
      </c>
      <c r="D88" s="879" t="s">
        <v>1493</v>
      </c>
      <c r="E88" s="875" t="s">
        <v>13</v>
      </c>
      <c r="F88" s="780">
        <v>34.770000000000003</v>
      </c>
      <c r="G88" s="982"/>
      <c r="H88" s="622"/>
      <c r="I88" s="982"/>
      <c r="J88" s="622"/>
      <c r="K88" s="982"/>
      <c r="L88" s="622"/>
      <c r="M88" s="982"/>
      <c r="N88" s="927"/>
      <c r="P88" s="878"/>
    </row>
    <row r="89" spans="1:17" s="224" customFormat="1" ht="15" hidden="1" customHeight="1" x14ac:dyDescent="0.25">
      <c r="A89" s="215">
        <v>44640</v>
      </c>
      <c r="B89" s="882" t="s">
        <v>14</v>
      </c>
      <c r="C89" s="879" t="s">
        <v>12</v>
      </c>
      <c r="D89" s="879" t="s">
        <v>1486</v>
      </c>
      <c r="E89" s="875" t="s">
        <v>13</v>
      </c>
      <c r="F89" s="780">
        <v>10.7</v>
      </c>
      <c r="G89" s="982"/>
      <c r="H89" s="622"/>
      <c r="I89" s="982"/>
      <c r="J89" s="622"/>
      <c r="K89" s="982"/>
      <c r="L89" s="622"/>
      <c r="M89" s="982"/>
      <c r="N89" s="927"/>
      <c r="O89" s="927"/>
      <c r="P89" s="878"/>
    </row>
    <row r="90" spans="1:17" s="224" customFormat="1" ht="15" hidden="1" customHeight="1" x14ac:dyDescent="0.25">
      <c r="A90" s="215">
        <v>44641</v>
      </c>
      <c r="B90" s="882" t="s">
        <v>3268</v>
      </c>
      <c r="C90" s="879" t="s">
        <v>12</v>
      </c>
      <c r="D90" s="879" t="s">
        <v>1499</v>
      </c>
      <c r="E90" s="871" t="s">
        <v>13</v>
      </c>
      <c r="F90" s="780">
        <v>54.29</v>
      </c>
      <c r="G90" s="982"/>
      <c r="H90" s="1008"/>
      <c r="I90" s="1063"/>
      <c r="J90" s="622"/>
      <c r="K90" s="982"/>
      <c r="L90" s="622"/>
      <c r="M90" s="982"/>
      <c r="N90" s="861"/>
      <c r="P90" s="1080"/>
      <c r="Q90" s="999"/>
    </row>
    <row r="91" spans="1:17" s="224" customFormat="1" hidden="1" x14ac:dyDescent="0.25">
      <c r="A91" s="215">
        <v>44641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18</v>
      </c>
      <c r="G91" s="982"/>
      <c r="H91" s="1008"/>
      <c r="I91" s="1063"/>
      <c r="J91" s="622"/>
      <c r="K91" s="982"/>
      <c r="L91" s="622"/>
      <c r="M91" s="982"/>
      <c r="N91" s="861"/>
      <c r="P91" s="878"/>
    </row>
    <row r="92" spans="1:17" s="224" customFormat="1" ht="15" hidden="1" customHeight="1" x14ac:dyDescent="0.25">
      <c r="A92" s="215">
        <v>44641</v>
      </c>
      <c r="B92" s="882" t="s">
        <v>2251</v>
      </c>
      <c r="C92" s="879" t="s">
        <v>12</v>
      </c>
      <c r="D92" s="879" t="s">
        <v>2157</v>
      </c>
      <c r="E92" s="480" t="s">
        <v>13</v>
      </c>
      <c r="F92" s="780">
        <v>30</v>
      </c>
      <c r="G92" s="982"/>
      <c r="H92" s="1008"/>
      <c r="I92" s="1063"/>
      <c r="J92" s="622"/>
      <c r="K92" s="982"/>
      <c r="L92" s="622"/>
      <c r="M92" s="982"/>
      <c r="N92" s="1029"/>
    </row>
    <row r="93" spans="1:17" s="224" customFormat="1" ht="15" hidden="1" customHeight="1" x14ac:dyDescent="0.25">
      <c r="A93" s="215">
        <v>44641</v>
      </c>
      <c r="B93" s="882" t="s">
        <v>2766</v>
      </c>
      <c r="C93" s="879" t="s">
        <v>12</v>
      </c>
      <c r="D93" s="879" t="s">
        <v>2157</v>
      </c>
      <c r="E93" s="480" t="s">
        <v>13</v>
      </c>
      <c r="F93" s="780">
        <v>30</v>
      </c>
      <c r="G93" s="982"/>
      <c r="H93" s="1008"/>
      <c r="I93" s="1063"/>
      <c r="J93" s="622"/>
      <c r="K93" s="982"/>
      <c r="L93" s="622"/>
      <c r="M93" s="982"/>
      <c r="N93" s="1029"/>
    </row>
    <row r="94" spans="1:17" s="224" customFormat="1" ht="15" hidden="1" customHeight="1" x14ac:dyDescent="0.25">
      <c r="A94" s="215">
        <v>44641</v>
      </c>
      <c r="B94" s="882" t="s">
        <v>14</v>
      </c>
      <c r="C94" s="879" t="s">
        <v>12</v>
      </c>
      <c r="D94" s="879" t="s">
        <v>1486</v>
      </c>
      <c r="E94" s="875" t="s">
        <v>13</v>
      </c>
      <c r="F94" s="780">
        <v>8.3000000000000007</v>
      </c>
      <c r="G94" s="946"/>
      <c r="H94" s="95"/>
      <c r="I94" s="1064"/>
      <c r="J94" s="622"/>
      <c r="K94" s="982"/>
      <c r="L94" s="622"/>
      <c r="M94" s="982"/>
      <c r="N94" s="861"/>
    </row>
    <row r="95" spans="1:17" s="224" customFormat="1" ht="15" hidden="1" customHeight="1" x14ac:dyDescent="0.25">
      <c r="A95" s="215">
        <v>44642</v>
      </c>
      <c r="B95" s="882" t="s">
        <v>32</v>
      </c>
      <c r="C95" s="879" t="s">
        <v>12</v>
      </c>
      <c r="D95" s="879" t="s">
        <v>1485</v>
      </c>
      <c r="E95" s="875" t="s">
        <v>13</v>
      </c>
      <c r="F95" s="780">
        <v>18</v>
      </c>
      <c r="G95" s="982"/>
      <c r="H95" s="622"/>
      <c r="I95" s="982"/>
      <c r="J95" s="622"/>
      <c r="K95" s="982"/>
      <c r="L95" s="622"/>
      <c r="M95" s="982"/>
      <c r="N95" s="927"/>
      <c r="O95" s="927"/>
      <c r="P95" s="878"/>
    </row>
    <row r="96" spans="1:17" s="224" customFormat="1" ht="15" hidden="1" customHeight="1" x14ac:dyDescent="0.25">
      <c r="A96" s="215">
        <v>44642</v>
      </c>
      <c r="B96" s="873" t="s">
        <v>445</v>
      </c>
      <c r="C96" s="874" t="s">
        <v>12</v>
      </c>
      <c r="D96" s="874" t="s">
        <v>1493</v>
      </c>
      <c r="E96" s="875" t="s">
        <v>13</v>
      </c>
      <c r="F96" s="780">
        <v>5</v>
      </c>
      <c r="G96" s="982"/>
      <c r="H96" s="1008"/>
      <c r="I96" s="1063"/>
      <c r="J96" s="622"/>
      <c r="K96" s="982"/>
      <c r="L96" s="622"/>
      <c r="M96" s="982"/>
      <c r="N96" s="1029"/>
    </row>
    <row r="97" spans="1:17" s="224" customFormat="1" ht="15" hidden="1" customHeight="1" x14ac:dyDescent="0.25">
      <c r="A97" s="215">
        <v>44642</v>
      </c>
      <c r="B97" s="873" t="s">
        <v>3269</v>
      </c>
      <c r="C97" s="874" t="s">
        <v>12</v>
      </c>
      <c r="D97" s="874" t="s">
        <v>1524</v>
      </c>
      <c r="E97" s="875" t="s">
        <v>13</v>
      </c>
      <c r="F97" s="780">
        <v>5</v>
      </c>
      <c r="G97" s="982"/>
      <c r="H97" s="1008"/>
      <c r="I97" s="1063"/>
      <c r="J97" s="622"/>
      <c r="K97" s="982"/>
      <c r="L97" s="622"/>
      <c r="M97" s="982"/>
      <c r="N97" s="1029"/>
    </row>
    <row r="98" spans="1:17" s="224" customFormat="1" ht="15" hidden="1" customHeight="1" x14ac:dyDescent="0.25">
      <c r="A98" s="215">
        <v>44642</v>
      </c>
      <c r="B98" s="882" t="s">
        <v>14</v>
      </c>
      <c r="C98" s="879" t="s">
        <v>12</v>
      </c>
      <c r="D98" s="879" t="s">
        <v>1486</v>
      </c>
      <c r="E98" s="875" t="s">
        <v>13</v>
      </c>
      <c r="F98" s="780">
        <v>7</v>
      </c>
      <c r="G98" s="946"/>
      <c r="H98" s="95"/>
      <c r="I98" s="1064"/>
      <c r="J98" s="622"/>
      <c r="K98" s="982"/>
      <c r="L98" s="622"/>
      <c r="M98" s="982"/>
      <c r="N98" s="861"/>
    </row>
    <row r="99" spans="1:17" s="224" customFormat="1" ht="15" hidden="1" customHeight="1" x14ac:dyDescent="0.25">
      <c r="A99" s="215">
        <v>44643</v>
      </c>
      <c r="B99" s="862" t="s">
        <v>3046</v>
      </c>
      <c r="C99" s="879" t="s">
        <v>12</v>
      </c>
      <c r="D99" s="879" t="s">
        <v>1504</v>
      </c>
      <c r="E99" s="871" t="s">
        <v>13</v>
      </c>
      <c r="F99" s="622">
        <v>25.9</v>
      </c>
      <c r="G99" s="1034"/>
      <c r="H99" s="1008"/>
      <c r="I99" s="1063"/>
      <c r="J99" s="622"/>
      <c r="K99" s="982"/>
      <c r="L99" s="622"/>
      <c r="M99" s="982"/>
      <c r="N99" s="475"/>
      <c r="P99" s="878"/>
    </row>
    <row r="100" spans="1:17" s="224" customFormat="1" ht="15" hidden="1" customHeight="1" x14ac:dyDescent="0.25">
      <c r="A100" s="215">
        <v>44643</v>
      </c>
      <c r="B100" s="873" t="s">
        <v>3269</v>
      </c>
      <c r="C100" s="874" t="s">
        <v>12</v>
      </c>
      <c r="D100" s="874" t="s">
        <v>1524</v>
      </c>
      <c r="E100" s="875" t="s">
        <v>13</v>
      </c>
      <c r="F100" s="780">
        <v>5</v>
      </c>
      <c r="G100" s="982"/>
      <c r="H100" s="1008"/>
      <c r="I100" s="1063"/>
      <c r="J100" s="622"/>
      <c r="K100" s="982"/>
      <c r="L100" s="622"/>
      <c r="M100" s="982"/>
      <c r="N100" s="1029"/>
    </row>
    <row r="101" spans="1:17" s="224" customFormat="1" ht="15" hidden="1" customHeight="1" x14ac:dyDescent="0.25">
      <c r="A101" s="215">
        <v>44643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13.5</v>
      </c>
      <c r="G101" s="982"/>
      <c r="H101" s="622"/>
      <c r="I101" s="982"/>
      <c r="J101" s="622"/>
      <c r="K101" s="982"/>
      <c r="L101" s="622"/>
      <c r="M101" s="982"/>
      <c r="N101" s="927"/>
      <c r="O101" s="927"/>
      <c r="P101" s="878"/>
    </row>
    <row r="102" spans="1:17" s="224" customFormat="1" hidden="1" x14ac:dyDescent="0.25">
      <c r="A102" s="215">
        <v>44644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10.5</v>
      </c>
      <c r="G102" s="982"/>
      <c r="H102" s="1008"/>
      <c r="I102" s="1063"/>
      <c r="J102" s="622"/>
      <c r="K102" s="982"/>
      <c r="L102" s="622"/>
      <c r="M102" s="982"/>
      <c r="N102" s="861"/>
      <c r="P102" s="878"/>
    </row>
    <row r="103" spans="1:17" s="224" customFormat="1" hidden="1" x14ac:dyDescent="0.25">
      <c r="A103" s="215">
        <v>44644</v>
      </c>
      <c r="B103" s="882" t="s">
        <v>2251</v>
      </c>
      <c r="C103" s="879" t="s">
        <v>12</v>
      </c>
      <c r="D103" s="879" t="s">
        <v>2157</v>
      </c>
      <c r="E103" s="480" t="s">
        <v>13</v>
      </c>
      <c r="F103" s="780">
        <v>30</v>
      </c>
      <c r="G103" s="982"/>
      <c r="H103" s="1008"/>
      <c r="I103" s="1063"/>
      <c r="J103" s="622"/>
      <c r="K103" s="982"/>
      <c r="L103" s="622"/>
      <c r="M103" s="982"/>
      <c r="N103" s="861"/>
      <c r="P103" s="878"/>
    </row>
    <row r="104" spans="1:17" s="224" customFormat="1" ht="15" hidden="1" customHeight="1" x14ac:dyDescent="0.25">
      <c r="A104" s="215">
        <v>44644</v>
      </c>
      <c r="B104" s="882" t="s">
        <v>2766</v>
      </c>
      <c r="C104" s="879" t="s">
        <v>12</v>
      </c>
      <c r="D104" s="879" t="s">
        <v>2157</v>
      </c>
      <c r="E104" s="480" t="s">
        <v>13</v>
      </c>
      <c r="F104" s="780">
        <v>30</v>
      </c>
      <c r="G104" s="946"/>
      <c r="H104" s="95"/>
      <c r="I104" s="1064"/>
      <c r="J104" s="622"/>
      <c r="K104" s="982"/>
      <c r="L104" s="622"/>
      <c r="M104" s="982"/>
      <c r="N104" s="861"/>
    </row>
    <row r="105" spans="1:17" s="224" customFormat="1" ht="15" hidden="1" customHeight="1" x14ac:dyDescent="0.25">
      <c r="A105" s="215">
        <v>44644</v>
      </c>
      <c r="B105" s="882" t="s">
        <v>14</v>
      </c>
      <c r="C105" s="879" t="s">
        <v>12</v>
      </c>
      <c r="D105" s="879" t="s">
        <v>1486</v>
      </c>
      <c r="E105" s="875" t="s">
        <v>13</v>
      </c>
      <c r="F105" s="780">
        <v>7.87</v>
      </c>
      <c r="G105" s="946"/>
      <c r="H105" s="95"/>
      <c r="I105" s="1064"/>
      <c r="J105" s="622"/>
      <c r="K105" s="982"/>
      <c r="L105" s="622"/>
      <c r="M105" s="982"/>
      <c r="N105" s="861"/>
    </row>
    <row r="106" spans="1:17" s="224" customFormat="1" ht="15" hidden="1" customHeight="1" x14ac:dyDescent="0.25">
      <c r="A106" s="215">
        <v>44645</v>
      </c>
      <c r="B106" s="364" t="s">
        <v>3270</v>
      </c>
      <c r="C106" s="350" t="s">
        <v>12</v>
      </c>
      <c r="D106" s="350"/>
      <c r="E106" s="875" t="s">
        <v>25</v>
      </c>
      <c r="F106" s="780"/>
      <c r="G106" s="982">
        <v>300</v>
      </c>
      <c r="H106" s="1008"/>
      <c r="I106" s="1063"/>
      <c r="J106" s="622"/>
      <c r="K106" s="982"/>
      <c r="L106" s="622"/>
      <c r="M106" s="982"/>
      <c r="N106" s="861"/>
      <c r="P106" s="1035"/>
    </row>
    <row r="107" spans="1:17" s="224" customFormat="1" ht="15" hidden="1" customHeight="1" x14ac:dyDescent="0.25">
      <c r="A107" s="215">
        <v>44645</v>
      </c>
      <c r="B107" s="882" t="s">
        <v>32</v>
      </c>
      <c r="C107" s="879" t="s">
        <v>12</v>
      </c>
      <c r="D107" s="879" t="s">
        <v>1485</v>
      </c>
      <c r="E107" s="875" t="s">
        <v>13</v>
      </c>
      <c r="F107" s="780">
        <v>18</v>
      </c>
      <c r="G107" s="982"/>
      <c r="H107" s="1008"/>
      <c r="I107" s="1063"/>
      <c r="J107" s="622"/>
      <c r="K107" s="982"/>
      <c r="L107" s="622"/>
      <c r="M107" s="982"/>
      <c r="N107" s="861"/>
      <c r="P107" s="1035"/>
    </row>
    <row r="108" spans="1:17" s="224" customFormat="1" ht="15" hidden="1" customHeight="1" x14ac:dyDescent="0.25">
      <c r="A108" s="215">
        <v>44645</v>
      </c>
      <c r="B108" s="364" t="s">
        <v>82</v>
      </c>
      <c r="C108" s="350" t="s">
        <v>12</v>
      </c>
      <c r="D108" s="350" t="s">
        <v>1493</v>
      </c>
      <c r="E108" s="875" t="s">
        <v>13</v>
      </c>
      <c r="F108" s="780">
        <v>27</v>
      </c>
      <c r="G108" s="982"/>
      <c r="H108" s="1008"/>
      <c r="I108" s="1063"/>
      <c r="J108" s="622"/>
      <c r="K108" s="982"/>
      <c r="L108" s="622"/>
      <c r="M108" s="982"/>
      <c r="N108" s="861"/>
      <c r="P108" s="1035"/>
    </row>
    <row r="109" spans="1:17" s="224" customFormat="1" ht="15" hidden="1" customHeight="1" x14ac:dyDescent="0.25">
      <c r="A109" s="215">
        <v>44646</v>
      </c>
      <c r="B109" s="364" t="s">
        <v>80</v>
      </c>
      <c r="C109" s="350" t="s">
        <v>19</v>
      </c>
      <c r="D109" s="350" t="s">
        <v>1523</v>
      </c>
      <c r="E109" s="875" t="s">
        <v>13</v>
      </c>
      <c r="F109" s="780">
        <v>29</v>
      </c>
      <c r="G109" s="982"/>
      <c r="H109" s="1008"/>
      <c r="I109" s="1063"/>
      <c r="J109" s="622"/>
      <c r="K109" s="982"/>
      <c r="L109" s="622"/>
      <c r="M109" s="982"/>
      <c r="N109" s="861"/>
      <c r="P109" s="1035"/>
    </row>
    <row r="110" spans="1:17" s="224" customFormat="1" ht="15" hidden="1" customHeight="1" x14ac:dyDescent="0.25">
      <c r="A110" s="215">
        <v>44646</v>
      </c>
      <c r="B110" s="364" t="s">
        <v>2629</v>
      </c>
      <c r="C110" s="350" t="s">
        <v>19</v>
      </c>
      <c r="D110" s="350" t="s">
        <v>1489</v>
      </c>
      <c r="E110" s="875" t="s">
        <v>13</v>
      </c>
      <c r="F110" s="780">
        <v>59.03</v>
      </c>
      <c r="G110" s="982"/>
      <c r="H110" s="1008"/>
      <c r="I110" s="1063"/>
      <c r="J110" s="622"/>
      <c r="K110" s="982"/>
      <c r="L110" s="622"/>
      <c r="M110" s="982"/>
      <c r="N110" s="861"/>
      <c r="P110" s="1035"/>
    </row>
    <row r="111" spans="1:17" s="224" customFormat="1" ht="15" hidden="1" customHeight="1" x14ac:dyDescent="0.25">
      <c r="A111" s="215">
        <v>44647</v>
      </c>
      <c r="B111" s="882" t="s">
        <v>14</v>
      </c>
      <c r="C111" s="879" t="s">
        <v>12</v>
      </c>
      <c r="D111" s="879" t="s">
        <v>1486</v>
      </c>
      <c r="E111" s="875" t="s">
        <v>13</v>
      </c>
      <c r="F111" s="780">
        <v>8.91</v>
      </c>
      <c r="G111" s="982"/>
      <c r="H111" s="1008"/>
      <c r="I111" s="1063"/>
      <c r="J111" s="622"/>
      <c r="K111" s="982"/>
      <c r="L111" s="622"/>
      <c r="M111" s="982"/>
      <c r="N111" s="861"/>
      <c r="P111" s="1080"/>
      <c r="Q111" s="999"/>
    </row>
    <row r="112" spans="1:17" s="224" customFormat="1" hidden="1" x14ac:dyDescent="0.25">
      <c r="A112" s="215">
        <v>44647</v>
      </c>
      <c r="B112" s="882" t="s">
        <v>2251</v>
      </c>
      <c r="C112" s="879" t="s">
        <v>12</v>
      </c>
      <c r="D112" s="879" t="s">
        <v>2157</v>
      </c>
      <c r="E112" s="480" t="s">
        <v>15</v>
      </c>
      <c r="F112" s="780">
        <v>40</v>
      </c>
      <c r="G112" s="982"/>
      <c r="H112" s="1008"/>
      <c r="I112" s="1063"/>
      <c r="J112" s="622"/>
      <c r="K112" s="982"/>
      <c r="L112" s="622"/>
      <c r="M112" s="982"/>
      <c r="N112" s="861"/>
      <c r="P112" s="878"/>
    </row>
    <row r="113" spans="1:17" s="224" customFormat="1" ht="15" hidden="1" customHeight="1" x14ac:dyDescent="0.25">
      <c r="A113" s="215">
        <v>44647</v>
      </c>
      <c r="B113" s="882" t="s">
        <v>2766</v>
      </c>
      <c r="C113" s="879" t="s">
        <v>12</v>
      </c>
      <c r="D113" s="879" t="s">
        <v>2157</v>
      </c>
      <c r="E113" s="480" t="s">
        <v>15</v>
      </c>
      <c r="F113" s="780">
        <v>40</v>
      </c>
      <c r="G113" s="946"/>
      <c r="H113" s="95"/>
      <c r="I113" s="1064"/>
      <c r="J113" s="622"/>
      <c r="K113" s="982"/>
      <c r="L113" s="622"/>
      <c r="M113" s="982"/>
      <c r="N113" s="861"/>
    </row>
    <row r="114" spans="1:17" s="224" customFormat="1" ht="15" hidden="1" customHeight="1" x14ac:dyDescent="0.25">
      <c r="A114" s="215">
        <v>44647</v>
      </c>
      <c r="B114" s="882" t="s">
        <v>32</v>
      </c>
      <c r="C114" s="879" t="s">
        <v>12</v>
      </c>
      <c r="D114" s="879" t="s">
        <v>1485</v>
      </c>
      <c r="E114" s="875" t="s">
        <v>13</v>
      </c>
      <c r="F114" s="780">
        <v>22</v>
      </c>
      <c r="G114" s="982"/>
      <c r="H114" s="1008"/>
      <c r="I114" s="1063"/>
      <c r="J114" s="622"/>
      <c r="K114" s="982"/>
      <c r="L114" s="622"/>
      <c r="M114" s="982"/>
      <c r="N114" s="861"/>
      <c r="P114" s="1035"/>
    </row>
    <row r="115" spans="1:17" s="224" customFormat="1" ht="15" hidden="1" customHeight="1" x14ac:dyDescent="0.25">
      <c r="A115" s="215">
        <v>44647</v>
      </c>
      <c r="B115" s="364" t="s">
        <v>3271</v>
      </c>
      <c r="C115" s="350" t="s">
        <v>12</v>
      </c>
      <c r="D115" s="350" t="s">
        <v>1491</v>
      </c>
      <c r="E115" s="875" t="s">
        <v>15</v>
      </c>
      <c r="F115" s="780">
        <v>40</v>
      </c>
      <c r="G115" s="982"/>
      <c r="H115" s="1008"/>
      <c r="I115" s="1063"/>
      <c r="J115" s="622"/>
      <c r="K115" s="982"/>
      <c r="L115" s="622"/>
      <c r="M115" s="982"/>
      <c r="N115" s="1029"/>
      <c r="O115" s="89"/>
      <c r="P115" s="1081"/>
      <c r="Q115" s="1082"/>
    </row>
    <row r="116" spans="1:17" s="224" customFormat="1" ht="15" hidden="1" customHeight="1" x14ac:dyDescent="0.25">
      <c r="A116" s="215">
        <v>44647</v>
      </c>
      <c r="B116" s="873" t="s">
        <v>445</v>
      </c>
      <c r="C116" s="874" t="s">
        <v>12</v>
      </c>
      <c r="D116" s="874" t="s">
        <v>1493</v>
      </c>
      <c r="E116" s="875" t="s">
        <v>13</v>
      </c>
      <c r="F116" s="780">
        <v>6</v>
      </c>
      <c r="G116" s="982"/>
      <c r="H116" s="1008"/>
      <c r="I116" s="1063"/>
      <c r="J116" s="622"/>
      <c r="K116" s="982"/>
      <c r="L116" s="622"/>
      <c r="M116" s="982"/>
      <c r="N116" s="1029"/>
    </row>
    <row r="117" spans="1:17" s="224" customFormat="1" ht="15" hidden="1" customHeight="1" x14ac:dyDescent="0.25">
      <c r="A117" s="215">
        <v>44647</v>
      </c>
      <c r="B117" s="364" t="s">
        <v>134</v>
      </c>
      <c r="C117" s="350" t="s">
        <v>12</v>
      </c>
      <c r="D117" s="350" t="s">
        <v>1493</v>
      </c>
      <c r="E117" s="875" t="s">
        <v>13</v>
      </c>
      <c r="F117" s="780">
        <v>8.75</v>
      </c>
      <c r="G117" s="982"/>
      <c r="H117" s="1008"/>
      <c r="I117" s="1063"/>
      <c r="J117" s="622"/>
      <c r="K117" s="982"/>
      <c r="L117" s="622"/>
      <c r="M117" s="982"/>
      <c r="N117" s="1029"/>
      <c r="O117" s="89"/>
      <c r="P117" s="1081"/>
      <c r="Q117" s="1082"/>
    </row>
    <row r="118" spans="1:17" s="224" customFormat="1" ht="15" hidden="1" customHeight="1" x14ac:dyDescent="0.25">
      <c r="A118" s="215">
        <v>44648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18</v>
      </c>
      <c r="G118" s="982"/>
      <c r="H118" s="1008"/>
      <c r="I118" s="1063"/>
      <c r="J118" s="622"/>
      <c r="K118" s="982"/>
      <c r="L118" s="622"/>
      <c r="M118" s="982"/>
      <c r="N118" s="861"/>
      <c r="P118" s="1035"/>
    </row>
    <row r="119" spans="1:17" s="224" customFormat="1" ht="15" hidden="1" customHeight="1" x14ac:dyDescent="0.25">
      <c r="A119" s="215">
        <v>44648</v>
      </c>
      <c r="B119" s="364" t="s">
        <v>521</v>
      </c>
      <c r="C119" s="350" t="s">
        <v>12</v>
      </c>
      <c r="D119" s="350" t="s">
        <v>1496</v>
      </c>
      <c r="E119" s="875" t="s">
        <v>13</v>
      </c>
      <c r="F119" s="780">
        <v>16.88</v>
      </c>
      <c r="G119" s="982"/>
      <c r="H119" s="1008"/>
      <c r="I119" s="1063"/>
      <c r="J119" s="622"/>
      <c r="K119" s="982"/>
      <c r="L119" s="622"/>
      <c r="M119" s="982"/>
      <c r="N119" s="1029"/>
      <c r="O119" s="89"/>
      <c r="P119" s="1081"/>
      <c r="Q119" s="1082"/>
    </row>
    <row r="120" spans="1:17" s="224" customFormat="1" ht="15" hidden="1" customHeight="1" x14ac:dyDescent="0.25">
      <c r="A120" s="215">
        <v>44649</v>
      </c>
      <c r="B120" s="882" t="s">
        <v>32</v>
      </c>
      <c r="C120" s="879" t="s">
        <v>12</v>
      </c>
      <c r="D120" s="879" t="s">
        <v>1485</v>
      </c>
      <c r="E120" s="875" t="s">
        <v>13</v>
      </c>
      <c r="F120" s="780">
        <v>9</v>
      </c>
      <c r="G120" s="982"/>
      <c r="H120" s="1008"/>
      <c r="I120" s="1063"/>
      <c r="J120" s="622"/>
      <c r="K120" s="982"/>
      <c r="L120" s="622"/>
      <c r="M120" s="982"/>
      <c r="N120" s="1029"/>
      <c r="O120" s="89"/>
      <c r="P120" s="1081"/>
      <c r="Q120" s="1082"/>
    </row>
    <row r="121" spans="1:17" s="224" customFormat="1" ht="15" hidden="1" customHeight="1" x14ac:dyDescent="0.25">
      <c r="A121" s="215">
        <v>44649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8.17</v>
      </c>
      <c r="G121" s="982"/>
      <c r="H121" s="1008"/>
      <c r="I121" s="1063"/>
      <c r="J121" s="622"/>
      <c r="K121" s="982"/>
      <c r="L121" s="622"/>
      <c r="M121" s="982"/>
      <c r="N121" s="1029"/>
      <c r="O121" s="89"/>
      <c r="P121" s="930"/>
    </row>
    <row r="122" spans="1:17" s="224" customFormat="1" ht="15" hidden="1" customHeight="1" x14ac:dyDescent="0.25">
      <c r="A122" s="215">
        <v>44650</v>
      </c>
      <c r="B122" s="882" t="s">
        <v>256</v>
      </c>
      <c r="C122" s="879"/>
      <c r="D122" s="879"/>
      <c r="E122" s="875" t="s">
        <v>25</v>
      </c>
      <c r="F122" s="780"/>
      <c r="G122" s="982">
        <v>204</v>
      </c>
      <c r="H122" s="1060">
        <v>204</v>
      </c>
      <c r="I122" s="1033"/>
      <c r="J122" s="880"/>
      <c r="K122" s="1033"/>
      <c r="L122" s="880"/>
      <c r="M122" s="1033"/>
      <c r="N122" s="1080"/>
      <c r="O122" s="927"/>
      <c r="P122" s="878"/>
    </row>
    <row r="123" spans="1:17" s="224" customFormat="1" ht="15" hidden="1" customHeight="1" x14ac:dyDescent="0.25">
      <c r="A123" s="215">
        <v>44650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18</v>
      </c>
      <c r="G123" s="982"/>
      <c r="H123" s="1008"/>
      <c r="I123" s="1063"/>
      <c r="J123" s="622"/>
      <c r="K123" s="982"/>
      <c r="L123" s="622"/>
      <c r="M123" s="982"/>
      <c r="N123" s="1029"/>
      <c r="O123" s="89"/>
      <c r="P123" s="1081"/>
      <c r="Q123" s="1082"/>
    </row>
    <row r="124" spans="1:17" s="224" customFormat="1" ht="15" hidden="1" customHeight="1" x14ac:dyDescent="0.25">
      <c r="A124" s="215">
        <v>44650</v>
      </c>
      <c r="B124" s="873" t="s">
        <v>445</v>
      </c>
      <c r="C124" s="874" t="s">
        <v>12</v>
      </c>
      <c r="D124" s="874" t="s">
        <v>1493</v>
      </c>
      <c r="E124" s="875" t="s">
        <v>13</v>
      </c>
      <c r="F124" s="780">
        <v>5</v>
      </c>
      <c r="G124" s="982"/>
      <c r="H124" s="1008"/>
      <c r="I124" s="1063"/>
      <c r="J124" s="622"/>
      <c r="K124" s="982"/>
      <c r="L124" s="622"/>
      <c r="M124" s="982"/>
      <c r="N124" s="1029"/>
    </row>
    <row r="125" spans="1:17" s="224" customFormat="1" ht="15" hidden="1" customHeight="1" x14ac:dyDescent="0.25">
      <c r="A125" s="215">
        <v>44650</v>
      </c>
      <c r="B125" s="364" t="s">
        <v>3269</v>
      </c>
      <c r="C125" s="350" t="s">
        <v>12</v>
      </c>
      <c r="D125" s="350" t="s">
        <v>1524</v>
      </c>
      <c r="E125" s="875" t="s">
        <v>13</v>
      </c>
      <c r="F125" s="780">
        <v>7.5</v>
      </c>
      <c r="G125" s="982"/>
      <c r="H125" s="1008"/>
      <c r="I125" s="1063"/>
      <c r="J125" s="622"/>
      <c r="K125" s="982"/>
      <c r="L125" s="622"/>
      <c r="M125" s="982"/>
      <c r="N125" s="1029"/>
      <c r="O125" s="89"/>
      <c r="P125" s="930"/>
    </row>
    <row r="126" spans="1:17" s="224" customFormat="1" ht="15" hidden="1" customHeight="1" x14ac:dyDescent="0.25">
      <c r="A126" s="215">
        <v>44651</v>
      </c>
      <c r="B126" s="882" t="s">
        <v>32</v>
      </c>
      <c r="C126" s="879" t="s">
        <v>12</v>
      </c>
      <c r="D126" s="879" t="s">
        <v>1485</v>
      </c>
      <c r="E126" s="875" t="s">
        <v>13</v>
      </c>
      <c r="F126" s="780">
        <v>18</v>
      </c>
      <c r="G126" s="982"/>
      <c r="H126" s="1008"/>
      <c r="I126" s="1063"/>
      <c r="J126" s="622"/>
      <c r="K126" s="982"/>
      <c r="L126" s="622"/>
      <c r="M126" s="982"/>
      <c r="N126" s="1029"/>
      <c r="O126" s="89"/>
      <c r="P126" s="1081"/>
      <c r="Q126" s="1082"/>
    </row>
    <row r="127" spans="1:17" s="224" customFormat="1" hidden="1" x14ac:dyDescent="0.25">
      <c r="A127" s="215">
        <v>44651</v>
      </c>
      <c r="B127" s="364" t="s">
        <v>14</v>
      </c>
      <c r="C127" s="350" t="s">
        <v>12</v>
      </c>
      <c r="D127" s="350" t="s">
        <v>1486</v>
      </c>
      <c r="E127" s="875" t="s">
        <v>13</v>
      </c>
      <c r="F127" s="1047">
        <v>8.5</v>
      </c>
      <c r="G127" s="982"/>
      <c r="H127" s="1008"/>
      <c r="I127" s="1063"/>
      <c r="J127" s="622"/>
      <c r="K127" s="982"/>
      <c r="L127" s="622"/>
      <c r="M127" s="982"/>
      <c r="N127" s="1029"/>
      <c r="O127" s="89"/>
      <c r="P127" s="930"/>
    </row>
    <row r="128" spans="1:17" s="224" customFormat="1" ht="15.75" hidden="1" thickBot="1" x14ac:dyDescent="0.3">
      <c r="A128" s="215">
        <v>44651</v>
      </c>
      <c r="B128" s="862" t="s">
        <v>1666</v>
      </c>
      <c r="C128" s="350" t="s">
        <v>12</v>
      </c>
      <c r="D128" s="1003"/>
      <c r="E128" s="145" t="s">
        <v>25</v>
      </c>
      <c r="F128" s="1036"/>
      <c r="G128" s="1535"/>
      <c r="H128" s="1008"/>
      <c r="I128" s="1063"/>
      <c r="J128" s="622"/>
      <c r="K128" s="982">
        <v>57.16</v>
      </c>
      <c r="L128" s="1036"/>
      <c r="M128" s="1535"/>
      <c r="N128" s="475"/>
      <c r="P128" s="878"/>
    </row>
    <row r="129" spans="1:22" ht="25.5" hidden="1" customHeight="1" thickBot="1" x14ac:dyDescent="0.3">
      <c r="A129" s="3060"/>
      <c r="B129" s="3061"/>
      <c r="C129" s="3062"/>
      <c r="D129" s="3062"/>
      <c r="E129" s="3062"/>
      <c r="F129" s="1020">
        <f>SUM(F6:F128)</f>
        <v>38321.130000000005</v>
      </c>
      <c r="G129" s="1534">
        <f>SUM(G5:G128)</f>
        <v>39021.189583333355</v>
      </c>
      <c r="H129" s="517">
        <f>SUM(H6:H128)</f>
        <v>34606.14</v>
      </c>
      <c r="I129" s="93">
        <f>SUM(I5:I128)</f>
        <v>35806.135999999999</v>
      </c>
      <c r="J129" s="1023">
        <f>SUM(J6:J128)</f>
        <v>12406.14</v>
      </c>
      <c r="K129" s="93">
        <f>SUM(K5:K128)</f>
        <v>20246.560000000001</v>
      </c>
      <c r="L129" s="1023">
        <f>SUM(L6:L128)</f>
        <v>0</v>
      </c>
      <c r="M129" s="93">
        <f>SUM(M5:M128)</f>
        <v>9085.98</v>
      </c>
      <c r="O129" s="216"/>
    </row>
    <row r="130" spans="1:22" ht="25.5" hidden="1" customHeight="1" thickBot="1" x14ac:dyDescent="0.3">
      <c r="A130" s="3117" t="s">
        <v>49</v>
      </c>
      <c r="B130" s="3118"/>
      <c r="C130" s="3118"/>
      <c r="D130" s="3118"/>
      <c r="E130" s="3118"/>
      <c r="F130" s="144" t="s">
        <v>280</v>
      </c>
      <c r="G130" s="519">
        <f>G129-F129</f>
        <v>700.05958333335002</v>
      </c>
      <c r="H130" s="555"/>
      <c r="I130" s="772">
        <f>I129-H129</f>
        <v>1199.9959999999992</v>
      </c>
      <c r="J130" s="593"/>
      <c r="K130" s="772">
        <f>K129-J129</f>
        <v>7840.4200000000019</v>
      </c>
      <c r="L130" s="593"/>
      <c r="M130" s="772">
        <f>M129-L129</f>
        <v>9085.98</v>
      </c>
    </row>
    <row r="131" spans="1:22" x14ac:dyDescent="0.25">
      <c r="N131" s="89"/>
      <c r="P131" s="79"/>
      <c r="S131" s="518"/>
      <c r="T131" s="216"/>
      <c r="V131" s="877"/>
    </row>
    <row r="132" spans="1:22" x14ac:dyDescent="0.25">
      <c r="B132" s="81" t="s">
        <v>3</v>
      </c>
      <c r="C132" s="193" t="s">
        <v>1484</v>
      </c>
      <c r="D132" s="970" t="s">
        <v>2378</v>
      </c>
      <c r="E132" s="193" t="s">
        <v>3216</v>
      </c>
      <c r="F132" s="1061" t="s">
        <v>3217</v>
      </c>
      <c r="G132" s="216"/>
      <c r="K132" s="866"/>
      <c r="M132" s="866"/>
    </row>
    <row r="133" spans="1:22" x14ac:dyDescent="0.25">
      <c r="B133" s="79" t="s">
        <v>32</v>
      </c>
      <c r="C133" s="85" t="s">
        <v>1485</v>
      </c>
      <c r="D133" s="475">
        <f>SUMIF($D$7:$D$128,"A",$F$7:$F$128)</f>
        <v>345</v>
      </c>
      <c r="E133" s="1202">
        <f>D133/$J$152</f>
        <v>11.129032258064516</v>
      </c>
      <c r="F133" s="1203">
        <f>E133/$C$153</f>
        <v>7.9103221679326999E-2</v>
      </c>
      <c r="G133" s="800"/>
      <c r="I133" s="769"/>
      <c r="J133" s="868"/>
      <c r="L133" s="868"/>
    </row>
    <row r="134" spans="1:22" x14ac:dyDescent="0.25">
      <c r="B134" s="79" t="s">
        <v>2187</v>
      </c>
      <c r="C134" s="85" t="s">
        <v>2157</v>
      </c>
      <c r="D134" s="475">
        <f>SUMIF($D$7:$D$128,"gac",$F$7:$F$128)</f>
        <v>600</v>
      </c>
      <c r="E134" s="1202">
        <f t="shared" ref="E134:E150" si="0">D134/$J$152</f>
        <v>19.35483870967742</v>
      </c>
      <c r="F134" s="1203">
        <f t="shared" ref="F134:F150" si="1">E134/$C$153</f>
        <v>0.13757082031187307</v>
      </c>
      <c r="G134" s="609"/>
      <c r="J134" s="754"/>
      <c r="K134" s="886"/>
      <c r="L134" s="754"/>
      <c r="M134" s="886"/>
      <c r="N134" s="1030"/>
    </row>
    <row r="135" spans="1:22" x14ac:dyDescent="0.25">
      <c r="B135" s="79" t="s">
        <v>2188</v>
      </c>
      <c r="C135" s="85" t="s">
        <v>2168</v>
      </c>
      <c r="D135" s="475">
        <f>SUMIF($D$7:$D$128,"gam",$F$7:$F$128)</f>
        <v>0</v>
      </c>
      <c r="E135" s="1202">
        <f t="shared" si="0"/>
        <v>0</v>
      </c>
      <c r="F135" s="1203">
        <f t="shared" si="1"/>
        <v>0</v>
      </c>
      <c r="J135" s="864"/>
      <c r="K135" s="864"/>
      <c r="L135" s="864"/>
      <c r="M135" s="864"/>
      <c r="N135" s="958"/>
    </row>
    <row r="136" spans="1:22" s="85" customFormat="1" x14ac:dyDescent="0.25">
      <c r="A136" s="79"/>
      <c r="B136" s="79" t="s">
        <v>50</v>
      </c>
      <c r="C136" s="85" t="s">
        <v>1493</v>
      </c>
      <c r="D136" s="475">
        <f>SUMIF($D$7:$D$128,"ld",$F$7:$F$128)</f>
        <v>254.72</v>
      </c>
      <c r="E136" s="1202">
        <f t="shared" si="0"/>
        <v>8.2167741935483871</v>
      </c>
      <c r="F136" s="1203">
        <f t="shared" si="1"/>
        <v>5.8403398916400506E-2</v>
      </c>
      <c r="G136" s="795"/>
      <c r="H136" s="795"/>
      <c r="I136" s="795"/>
      <c r="J136" s="1032"/>
      <c r="K136" s="1032"/>
      <c r="L136" s="1032"/>
      <c r="M136" s="1032"/>
      <c r="N136" s="958"/>
      <c r="O136" s="177"/>
      <c r="P136" s="877"/>
    </row>
    <row r="137" spans="1:22" s="85" customFormat="1" x14ac:dyDescent="0.25">
      <c r="A137" s="79"/>
      <c r="B137" s="79" t="s">
        <v>14</v>
      </c>
      <c r="C137" s="85" t="s">
        <v>1486</v>
      </c>
      <c r="D137" s="475">
        <f>SUMIF($D$7:$D$128,"c",$F$7:$F$128)</f>
        <v>138.38999999999999</v>
      </c>
      <c r="E137" s="1202">
        <f t="shared" si="0"/>
        <v>4.4641935483870965</v>
      </c>
      <c r="F137" s="1203">
        <f t="shared" si="1"/>
        <v>3.1730709704933517E-2</v>
      </c>
      <c r="G137" s="800"/>
      <c r="H137" s="795"/>
      <c r="I137" s="795"/>
      <c r="J137" s="1032"/>
      <c r="K137" s="1032"/>
      <c r="L137" s="1032"/>
      <c r="M137" s="1032"/>
      <c r="N137" s="958"/>
      <c r="O137" s="177"/>
      <c r="P137" s="877"/>
    </row>
    <row r="138" spans="1:22" s="85" customFormat="1" x14ac:dyDescent="0.25">
      <c r="A138" s="79"/>
      <c r="B138" s="79" t="s">
        <v>51</v>
      </c>
      <c r="C138" s="864" t="s">
        <v>1499</v>
      </c>
      <c r="D138" s="475">
        <f>SUMIF($D$7:$D$128,"Cal",$F$7:$F$128)</f>
        <v>114.28999999999999</v>
      </c>
      <c r="E138" s="1202">
        <f t="shared" si="0"/>
        <v>3.6867741935483869</v>
      </c>
      <c r="F138" s="1203">
        <f t="shared" si="1"/>
        <v>2.6204948422406615E-2</v>
      </c>
      <c r="G138" s="800"/>
      <c r="H138" s="795"/>
      <c r="I138" s="800"/>
      <c r="J138" s="1032"/>
      <c r="K138" s="1032"/>
      <c r="L138" s="1032"/>
      <c r="M138" s="1032"/>
      <c r="N138" s="958"/>
      <c r="O138" s="177"/>
      <c r="P138" s="877"/>
    </row>
    <row r="139" spans="1:22" s="85" customFormat="1" x14ac:dyDescent="0.25">
      <c r="A139" s="79"/>
      <c r="B139" s="79" t="s">
        <v>2189</v>
      </c>
      <c r="C139" s="864" t="s">
        <v>1496</v>
      </c>
      <c r="D139" s="475">
        <f>SUMIF($D$7:$D$128,"ac",$F$7:$F$128)</f>
        <v>151.88</v>
      </c>
      <c r="E139" s="1202">
        <f t="shared" si="0"/>
        <v>4.8993548387096775</v>
      </c>
      <c r="F139" s="1203">
        <f t="shared" si="1"/>
        <v>3.4823760314945468E-2</v>
      </c>
      <c r="G139" s="79"/>
      <c r="I139" s="177"/>
      <c r="J139" s="1032"/>
      <c r="K139" s="1032"/>
      <c r="L139" s="1032"/>
      <c r="M139" s="1032"/>
      <c r="N139" s="958"/>
      <c r="O139" s="177"/>
      <c r="P139" s="877"/>
    </row>
    <row r="140" spans="1:22" s="85" customFormat="1" x14ac:dyDescent="0.25">
      <c r="A140" s="79"/>
      <c r="B140" s="867" t="s">
        <v>53</v>
      </c>
      <c r="C140" s="864" t="s">
        <v>1522</v>
      </c>
      <c r="D140" s="475">
        <f>SUMIF($D$15:$D$128,"dc",$F$15:$F$128)</f>
        <v>2065.17</v>
      </c>
      <c r="E140" s="1202">
        <f t="shared" si="0"/>
        <v>66.6183870967742</v>
      </c>
      <c r="F140" s="1203">
        <f t="shared" si="1"/>
        <v>0.4735118849724515</v>
      </c>
      <c r="I140" s="177"/>
      <c r="J140" s="1032"/>
      <c r="K140" s="1032"/>
      <c r="L140" s="1032"/>
      <c r="M140" s="1032"/>
      <c r="N140" s="958"/>
      <c r="O140" s="177"/>
      <c r="P140" s="877"/>
    </row>
    <row r="141" spans="1:22" s="85" customFormat="1" x14ac:dyDescent="0.25">
      <c r="A141" s="79"/>
      <c r="B141" s="867" t="s">
        <v>2149</v>
      </c>
      <c r="C141" s="864" t="s">
        <v>2131</v>
      </c>
      <c r="D141" s="475">
        <f>SUMIF($D$14:$D$128,"dm",$F$14:$F$128)</f>
        <v>0</v>
      </c>
      <c r="E141" s="1202">
        <f t="shared" si="0"/>
        <v>0</v>
      </c>
      <c r="F141" s="1203">
        <f t="shared" si="1"/>
        <v>0</v>
      </c>
      <c r="I141" s="177"/>
      <c r="J141" s="1032"/>
      <c r="K141" s="1032"/>
      <c r="L141" s="1032"/>
      <c r="M141" s="1032"/>
      <c r="N141" s="958"/>
      <c r="O141" s="177"/>
      <c r="P141" s="877"/>
    </row>
    <row r="142" spans="1:22" s="85" customFormat="1" x14ac:dyDescent="0.25">
      <c r="A142" s="79"/>
      <c r="B142" s="79" t="s">
        <v>3048</v>
      </c>
      <c r="C142" s="864" t="s">
        <v>1523</v>
      </c>
      <c r="D142" s="475">
        <f>SUMIF($D$6:$D$128,"b",$F$6:$F$128)</f>
        <v>71</v>
      </c>
      <c r="E142" s="1202">
        <f t="shared" si="0"/>
        <v>2.2903225806451615</v>
      </c>
      <c r="F142" s="1203">
        <f t="shared" si="1"/>
        <v>1.6279213736904979E-2</v>
      </c>
      <c r="G142" s="866"/>
      <c r="I142" s="177"/>
      <c r="J142" s="1032"/>
      <c r="K142" s="1032"/>
      <c r="L142" s="1032"/>
      <c r="M142" s="1032"/>
      <c r="N142" s="958"/>
      <c r="O142" s="177"/>
      <c r="P142" s="877"/>
    </row>
    <row r="143" spans="1:22" s="85" customFormat="1" x14ac:dyDescent="0.25">
      <c r="A143" s="79"/>
      <c r="B143" s="79" t="s">
        <v>1686</v>
      </c>
      <c r="C143" s="864" t="s">
        <v>1506</v>
      </c>
      <c r="D143" s="475">
        <f ca="1">SUMIF($D$14:$D$129,"r",$F$14:$F$128)</f>
        <v>430</v>
      </c>
      <c r="E143" s="1202">
        <f t="shared" ca="1" si="0"/>
        <v>13.870967741935484</v>
      </c>
      <c r="F143" s="1203">
        <f t="shared" ca="1" si="1"/>
        <v>9.8592421223509016E-2</v>
      </c>
      <c r="G143" s="868"/>
      <c r="I143" s="177"/>
      <c r="J143" s="1032"/>
      <c r="K143" s="1032"/>
      <c r="L143" s="1032"/>
      <c r="M143" s="1032"/>
      <c r="N143" s="958"/>
      <c r="O143" s="177"/>
      <c r="P143" s="877"/>
    </row>
    <row r="144" spans="1:22" x14ac:dyDescent="0.25">
      <c r="B144" s="79" t="s">
        <v>418</v>
      </c>
      <c r="C144" s="85" t="s">
        <v>1524</v>
      </c>
      <c r="D144" s="475">
        <f>SUMIF($D$14:$D$128,"com",$F$14:$F$128)</f>
        <v>17.5</v>
      </c>
      <c r="E144" s="1202">
        <f t="shared" si="0"/>
        <v>0.56451612903225812</v>
      </c>
      <c r="F144" s="1203">
        <f t="shared" si="1"/>
        <v>4.0124822590962977E-3</v>
      </c>
      <c r="G144" s="85"/>
      <c r="H144" s="85"/>
      <c r="I144" s="177"/>
      <c r="J144" s="1032"/>
      <c r="K144" s="1032"/>
      <c r="L144" s="1032"/>
      <c r="M144" s="1032"/>
      <c r="N144" s="958"/>
      <c r="O144" s="177"/>
    </row>
    <row r="145" spans="1:20" x14ac:dyDescent="0.25">
      <c r="B145" s="79" t="s">
        <v>419</v>
      </c>
      <c r="C145" s="85" t="s">
        <v>1491</v>
      </c>
      <c r="D145" s="475">
        <f>SUMIF($D$19:$D$128,"f",$F$19:$F$128)</f>
        <v>665.8</v>
      </c>
      <c r="E145" s="1202">
        <f t="shared" si="0"/>
        <v>21.477419354838709</v>
      </c>
      <c r="F145" s="1203">
        <f t="shared" si="1"/>
        <v>0.15265775360607511</v>
      </c>
      <c r="I145" s="177"/>
      <c r="J145" s="1032"/>
      <c r="K145" s="1032"/>
      <c r="L145" s="1032"/>
      <c r="M145" s="1032"/>
      <c r="N145" s="958"/>
      <c r="O145" s="177"/>
    </row>
    <row r="146" spans="1:20" x14ac:dyDescent="0.25">
      <c r="B146" s="79" t="s">
        <v>911</v>
      </c>
      <c r="C146" s="85" t="s">
        <v>1525</v>
      </c>
      <c r="D146" s="475">
        <f>SUMIF($D$15:$D$128,"Fer",$F$15:$F$128)</f>
        <v>11.89</v>
      </c>
      <c r="E146" s="1202">
        <f t="shared" si="0"/>
        <v>0.38354838709677419</v>
      </c>
      <c r="F146" s="1203">
        <f t="shared" si="1"/>
        <v>2.7261950891802841E-3</v>
      </c>
      <c r="I146" s="177"/>
      <c r="J146" s="1032"/>
      <c r="K146" s="1032"/>
      <c r="L146" s="1032"/>
      <c r="M146" s="1032"/>
      <c r="N146" s="958"/>
      <c r="O146" s="177"/>
    </row>
    <row r="147" spans="1:20" x14ac:dyDescent="0.25">
      <c r="B147" s="79" t="s">
        <v>1526</v>
      </c>
      <c r="C147" s="85" t="s">
        <v>1504</v>
      </c>
      <c r="D147" s="475">
        <f>SUMIF($D$6:$D$128,"i",$F$6:$F$128)</f>
        <v>87.9</v>
      </c>
      <c r="E147" s="1202">
        <f t="shared" si="0"/>
        <v>2.8354838709677419</v>
      </c>
      <c r="F147" s="1203">
        <f t="shared" si="1"/>
        <v>2.0154125175689402E-2</v>
      </c>
      <c r="I147" s="177"/>
      <c r="J147" s="1032"/>
      <c r="K147" s="1032"/>
      <c r="L147" s="1032"/>
      <c r="M147" s="1032"/>
      <c r="N147" s="958"/>
      <c r="O147" s="177"/>
    </row>
    <row r="148" spans="1:20" x14ac:dyDescent="0.25">
      <c r="B148" s="79" t="s">
        <v>2343</v>
      </c>
      <c r="C148" s="85" t="s">
        <v>2315</v>
      </c>
      <c r="D148" s="475">
        <f>SUMIF($D$6:$D$128,"e",$F$6:$F$128)</f>
        <v>0</v>
      </c>
      <c r="E148" s="1202">
        <f t="shared" si="0"/>
        <v>0</v>
      </c>
      <c r="F148" s="1203">
        <f t="shared" si="1"/>
        <v>0</v>
      </c>
      <c r="I148" s="177"/>
      <c r="J148" s="1032"/>
      <c r="K148" s="1032"/>
      <c r="L148" s="1032"/>
      <c r="M148" s="1032"/>
      <c r="N148" s="958"/>
      <c r="O148" s="177"/>
    </row>
    <row r="149" spans="1:20" x14ac:dyDescent="0.25">
      <c r="B149" s="79" t="s">
        <v>3019</v>
      </c>
      <c r="C149" s="85" t="s">
        <v>3017</v>
      </c>
      <c r="D149" s="475">
        <f>SUMIF($D$6:$D$128,"im",$F$6:$F$128)</f>
        <v>646.48</v>
      </c>
      <c r="E149" s="1202">
        <f t="shared" si="0"/>
        <v>20.854193548387098</v>
      </c>
      <c r="F149" s="1203">
        <f t="shared" si="1"/>
        <v>0.14822797319203282</v>
      </c>
      <c r="J149" s="769"/>
      <c r="L149" s="769"/>
    </row>
    <row r="150" spans="1:20" x14ac:dyDescent="0.25">
      <c r="B150" s="79" t="s">
        <v>1527</v>
      </c>
      <c r="C150" s="85" t="s">
        <v>1489</v>
      </c>
      <c r="D150" s="475">
        <f>SUMIF($D$6:$D$128,"od",$F$6:$F$128)</f>
        <v>165.71</v>
      </c>
      <c r="E150" s="1202">
        <f t="shared" si="0"/>
        <v>5.3454838709677421</v>
      </c>
      <c r="F150" s="1203">
        <f t="shared" si="1"/>
        <v>3.7994767723134142E-2</v>
      </c>
    </row>
    <row r="151" spans="1:20" x14ac:dyDescent="0.25">
      <c r="C151" s="79"/>
      <c r="D151" s="475"/>
      <c r="F151" s="79"/>
      <c r="N151" s="79"/>
      <c r="P151" s="79"/>
    </row>
    <row r="152" spans="1:20" x14ac:dyDescent="0.25">
      <c r="B152" s="79" t="s">
        <v>486</v>
      </c>
      <c r="C152" s="475">
        <f ca="1">H152/J152</f>
        <v>185.99129032258065</v>
      </c>
      <c r="D152" s="629"/>
      <c r="E152" s="79"/>
      <c r="F152" s="518" t="s">
        <v>487</v>
      </c>
      <c r="H152" s="629">
        <f ca="1">SUM(D133:D150)</f>
        <v>5765.7300000000005</v>
      </c>
      <c r="I152" s="216"/>
      <c r="J152" s="1517">
        <v>31</v>
      </c>
      <c r="L152" s="1517"/>
    </row>
    <row r="153" spans="1:20" ht="15.75" customHeight="1" x14ac:dyDescent="0.25">
      <c r="B153" s="1124" t="s">
        <v>3272</v>
      </c>
      <c r="C153" s="1125">
        <v>140.69</v>
      </c>
      <c r="H153" s="85"/>
      <c r="K153" s="868"/>
      <c r="M153" s="868"/>
    </row>
    <row r="154" spans="1:20" x14ac:dyDescent="0.25">
      <c r="E154" s="769"/>
      <c r="F154" s="79"/>
      <c r="G154" s="85"/>
      <c r="H154" s="459"/>
      <c r="I154" s="85"/>
      <c r="J154" s="89"/>
      <c r="L154" s="89"/>
      <c r="N154" s="769"/>
      <c r="O154" s="518" t="s">
        <v>280</v>
      </c>
      <c r="P154" s="79"/>
      <c r="Q154" s="866"/>
      <c r="R154" s="484"/>
      <c r="T154" s="877"/>
    </row>
    <row r="155" spans="1:20" s="518" customFormat="1" x14ac:dyDescent="0.25">
      <c r="A155" s="79"/>
      <c r="B155" s="79"/>
      <c r="C155" s="1126">
        <f ca="1">C153-C152</f>
        <v>-45.301290322580655</v>
      </c>
      <c r="D155" s="1204">
        <f ca="1">C152/C153</f>
        <v>1.3219936763279598</v>
      </c>
      <c r="E155" s="79"/>
      <c r="F155" s="769"/>
      <c r="G155" s="85"/>
      <c r="H155" s="85"/>
      <c r="I155" s="89"/>
      <c r="J155" s="79"/>
      <c r="K155" s="79"/>
      <c r="L155" s="79"/>
      <c r="M155" s="79"/>
      <c r="N155" s="79"/>
      <c r="O155" s="79"/>
      <c r="P155" s="866"/>
      <c r="Q155" s="484"/>
      <c r="R155" s="79"/>
      <c r="S155" s="877"/>
      <c r="T155" s="79"/>
    </row>
    <row r="156" spans="1:20" s="518" customFormat="1" x14ac:dyDescent="0.25">
      <c r="A156" s="79"/>
      <c r="B156" s="79"/>
      <c r="C156" s="85"/>
      <c r="E156" s="79"/>
      <c r="F156" s="89"/>
      <c r="G156" s="79"/>
      <c r="H156" s="79"/>
      <c r="I156" s="79"/>
      <c r="J156" s="769"/>
      <c r="K156" s="866"/>
      <c r="L156" s="769"/>
      <c r="M156" s="866"/>
      <c r="N156" s="484"/>
      <c r="O156" s="79"/>
      <c r="P156" s="877"/>
      <c r="Q156" s="79"/>
    </row>
    <row r="157" spans="1:20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484"/>
      <c r="O157" s="79"/>
      <c r="P157" s="877"/>
      <c r="Q157" s="79"/>
    </row>
    <row r="158" spans="1:20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216"/>
      <c r="J158" s="769"/>
      <c r="K158" s="866"/>
      <c r="L158" s="769"/>
      <c r="M158" s="866"/>
      <c r="N158" s="484"/>
      <c r="O158" s="79"/>
      <c r="P158" s="877"/>
      <c r="Q158" s="79"/>
    </row>
    <row r="159" spans="1:20" s="518" customFormat="1" x14ac:dyDescent="0.25">
      <c r="A159" s="79"/>
      <c r="B159" s="79"/>
      <c r="C159" s="79"/>
      <c r="D159" s="79"/>
      <c r="E159" s="79"/>
      <c r="F159" s="79"/>
      <c r="G159" s="79"/>
      <c r="H159" s="79"/>
      <c r="K159" s="866"/>
      <c r="M159" s="866"/>
      <c r="N159" s="484"/>
      <c r="O159" s="79"/>
      <c r="P159" s="877"/>
      <c r="Q159" s="79"/>
    </row>
    <row r="160" spans="1:20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6"/>
      <c r="L160" s="769"/>
      <c r="M160" s="866"/>
      <c r="N160" s="484"/>
      <c r="O160" s="79"/>
      <c r="P160" s="877"/>
      <c r="Q160" s="79"/>
    </row>
    <row r="161" spans="1:17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216"/>
      <c r="J161" s="769"/>
      <c r="K161" s="868"/>
      <c r="L161" s="769"/>
      <c r="M161" s="868"/>
      <c r="N161" s="484"/>
      <c r="O161" s="79"/>
      <c r="P161" s="877"/>
      <c r="Q161" s="79"/>
    </row>
    <row r="162" spans="1:17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216"/>
      <c r="J162" s="769"/>
      <c r="K162" s="866"/>
      <c r="L162" s="769"/>
      <c r="M162" s="866"/>
      <c r="N162" s="484"/>
      <c r="O162" s="79"/>
      <c r="P162" s="877"/>
      <c r="Q162" s="79"/>
    </row>
    <row r="163" spans="1:17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79"/>
      <c r="J163" s="770"/>
      <c r="K163" s="866"/>
      <c r="L163" s="770"/>
      <c r="M163" s="866"/>
      <c r="N163" s="484"/>
      <c r="O163" s="79"/>
      <c r="P163" s="877"/>
      <c r="Q163" s="79"/>
    </row>
    <row r="164" spans="1:17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8"/>
      <c r="L164" s="769"/>
      <c r="M164" s="868"/>
      <c r="N164" s="484"/>
      <c r="O164" s="79"/>
      <c r="P164" s="877"/>
      <c r="Q164" s="79"/>
    </row>
    <row r="165" spans="1:17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484"/>
      <c r="O165" s="79"/>
      <c r="P165" s="877"/>
      <c r="Q165" s="79"/>
    </row>
    <row r="166" spans="1:17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629"/>
      <c r="J166" s="769"/>
      <c r="K166" s="866"/>
      <c r="L166" s="769"/>
      <c r="M166" s="866"/>
      <c r="N166" s="484"/>
      <c r="O166" s="79"/>
      <c r="P166" s="877"/>
      <c r="Q166" s="79"/>
    </row>
    <row r="167" spans="1:17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769"/>
      <c r="M167" s="866"/>
      <c r="N167" s="484"/>
      <c r="O167" s="79"/>
      <c r="P167" s="877"/>
      <c r="Q167" s="79"/>
    </row>
    <row r="168" spans="1:17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484"/>
      <c r="O168" s="79"/>
      <c r="P168" s="877"/>
      <c r="Q168" s="79"/>
    </row>
    <row r="169" spans="1:17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484"/>
      <c r="O169" s="79"/>
      <c r="P169" s="877"/>
      <c r="Q169" s="79"/>
    </row>
    <row r="170" spans="1:17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484"/>
      <c r="O170" s="79"/>
      <c r="P170" s="877"/>
      <c r="Q170" s="79"/>
    </row>
    <row r="171" spans="1:17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484"/>
      <c r="O171" s="79"/>
      <c r="P171" s="877"/>
      <c r="Q171" s="79"/>
    </row>
    <row r="172" spans="1:17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769"/>
      <c r="M172" s="866"/>
      <c r="N172" s="484"/>
      <c r="O172" s="79"/>
      <c r="P172" s="877"/>
      <c r="Q172" s="79"/>
    </row>
    <row r="173" spans="1:17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769"/>
      <c r="M173" s="866"/>
      <c r="N173" s="484"/>
      <c r="O173" s="79"/>
      <c r="P173" s="877"/>
      <c r="Q173" s="79"/>
    </row>
    <row r="174" spans="1:17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6"/>
      <c r="L174" s="769"/>
      <c r="M174" s="866"/>
      <c r="N174" s="484"/>
      <c r="O174" s="79"/>
      <c r="P174" s="877"/>
      <c r="Q174" s="79"/>
    </row>
    <row r="175" spans="1:17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769"/>
      <c r="M175" s="866"/>
      <c r="N175" s="484"/>
      <c r="O175" s="79"/>
      <c r="P175" s="877"/>
      <c r="Q175" s="79"/>
    </row>
    <row r="176" spans="1:17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769"/>
      <c r="M176" s="868"/>
      <c r="N176" s="484"/>
      <c r="O176" s="79"/>
      <c r="P176" s="877"/>
      <c r="Q176" s="79"/>
    </row>
    <row r="177" spans="1:17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769"/>
      <c r="M177" s="868"/>
      <c r="N177" s="484"/>
      <c r="O177" s="79"/>
      <c r="P177" s="877"/>
      <c r="Q177" s="79"/>
    </row>
    <row r="178" spans="1:17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769"/>
      <c r="M178" s="868"/>
      <c r="N178" s="484"/>
      <c r="O178" s="79"/>
      <c r="P178" s="877"/>
      <c r="Q178" s="79"/>
    </row>
    <row r="179" spans="1:17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769"/>
      <c r="M179" s="868"/>
      <c r="N179" s="484"/>
      <c r="O179" s="79"/>
      <c r="P179" s="877"/>
      <c r="Q179" s="79"/>
    </row>
    <row r="180" spans="1:17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769"/>
      <c r="M180" s="868"/>
      <c r="N180" s="484"/>
      <c r="O180" s="79"/>
      <c r="P180" s="877"/>
      <c r="Q180" s="79"/>
    </row>
    <row r="181" spans="1:17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6"/>
      <c r="L181" s="769"/>
      <c r="M181" s="866"/>
      <c r="N181" s="484"/>
      <c r="O181" s="79"/>
      <c r="P181" s="877"/>
      <c r="Q181" s="79"/>
    </row>
    <row r="182" spans="1:17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L182" s="769"/>
      <c r="M182" s="866"/>
      <c r="N182" s="484"/>
      <c r="O182" s="79"/>
      <c r="P182" s="877"/>
      <c r="Q182" s="79"/>
    </row>
    <row r="183" spans="1:17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8"/>
      <c r="L183" s="769"/>
      <c r="M183" s="868"/>
      <c r="N183" s="484"/>
      <c r="O183" s="79"/>
      <c r="P183" s="877"/>
      <c r="Q183" s="79"/>
    </row>
    <row r="184" spans="1:17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769"/>
      <c r="M184" s="866"/>
      <c r="N184" s="484"/>
      <c r="O184" s="79"/>
      <c r="P184" s="877"/>
      <c r="Q184" s="79"/>
    </row>
    <row r="185" spans="1:17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769"/>
      <c r="M185" s="866"/>
      <c r="N185" s="484"/>
      <c r="O185" s="79"/>
      <c r="P185" s="877"/>
      <c r="Q185" s="79"/>
    </row>
    <row r="186" spans="1:17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769"/>
      <c r="M186" s="868"/>
      <c r="N186" s="484"/>
      <c r="O186" s="79"/>
      <c r="P186" s="877"/>
      <c r="Q186" s="79"/>
    </row>
    <row r="187" spans="1:17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769"/>
      <c r="M187" s="868"/>
      <c r="N187" s="484"/>
      <c r="O187" s="79"/>
      <c r="P187" s="877"/>
      <c r="Q187" s="79"/>
    </row>
    <row r="188" spans="1:17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8"/>
      <c r="L188" s="769"/>
      <c r="M188" s="868"/>
      <c r="N188" s="484"/>
      <c r="O188" s="79"/>
      <c r="P188" s="877"/>
      <c r="Q188" s="79"/>
    </row>
    <row r="189" spans="1:17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769"/>
      <c r="M189" s="868"/>
      <c r="N189" s="484"/>
      <c r="O189" s="79"/>
      <c r="P189" s="877"/>
      <c r="Q189" s="79"/>
    </row>
    <row r="190" spans="1:17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6"/>
      <c r="L190" s="769"/>
      <c r="M190" s="866"/>
      <c r="N190" s="484"/>
      <c r="O190" s="79"/>
      <c r="P190" s="877"/>
      <c r="Q190" s="79"/>
    </row>
    <row r="191" spans="1:17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223"/>
      <c r="K191" s="629"/>
      <c r="L191" s="223"/>
      <c r="M191" s="629"/>
      <c r="N191" s="484"/>
      <c r="O191" s="79"/>
      <c r="P191" s="877"/>
      <c r="Q191" s="79"/>
    </row>
    <row r="192" spans="1:17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56"/>
      <c r="K192" s="756"/>
      <c r="L192" s="756"/>
      <c r="M192" s="756"/>
      <c r="N192" s="484"/>
      <c r="O192" s="79"/>
      <c r="P192" s="877"/>
      <c r="Q192" s="79"/>
    </row>
    <row r="193" spans="1:17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484"/>
      <c r="O193" s="79"/>
      <c r="P193" s="877"/>
      <c r="Q193" s="79"/>
    </row>
    <row r="194" spans="1:17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484"/>
      <c r="O194" s="79"/>
      <c r="P194" s="877"/>
      <c r="Q194" s="79"/>
    </row>
    <row r="195" spans="1:17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484"/>
      <c r="O195" s="79"/>
      <c r="P195" s="877"/>
      <c r="Q195" s="79"/>
    </row>
    <row r="196" spans="1:17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484"/>
      <c r="O196" s="79"/>
      <c r="P196" s="877"/>
      <c r="Q196" s="79"/>
    </row>
    <row r="197" spans="1:17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85"/>
      <c r="K197" s="85"/>
      <c r="L197" s="85"/>
      <c r="M197" s="85"/>
      <c r="N197" s="484"/>
      <c r="O197" s="79"/>
      <c r="P197" s="877"/>
      <c r="Q197" s="79"/>
    </row>
    <row r="198" spans="1:17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484"/>
      <c r="O198" s="79"/>
      <c r="P198" s="877"/>
      <c r="Q198" s="79"/>
    </row>
    <row r="199" spans="1:17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484"/>
      <c r="O199" s="79"/>
      <c r="P199" s="877"/>
      <c r="Q199" s="79"/>
    </row>
    <row r="200" spans="1:17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484"/>
      <c r="O200" s="79"/>
      <c r="P200" s="877"/>
      <c r="Q200" s="79"/>
    </row>
    <row r="201" spans="1:17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484"/>
      <c r="O201" s="79"/>
      <c r="P201" s="877"/>
      <c r="Q201" s="79"/>
    </row>
    <row r="202" spans="1:17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484"/>
      <c r="O202" s="79"/>
      <c r="P202" s="877"/>
      <c r="Q202" s="79"/>
    </row>
    <row r="203" spans="1:17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484"/>
      <c r="O203" s="79"/>
      <c r="P203" s="877"/>
      <c r="Q203" s="79"/>
    </row>
    <row r="204" spans="1:17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85"/>
      <c r="K204" s="85"/>
      <c r="L204" s="85"/>
      <c r="M204" s="85"/>
      <c r="N204" s="484"/>
      <c r="O204" s="79"/>
      <c r="P204" s="877"/>
      <c r="Q204" s="79"/>
    </row>
    <row r="205" spans="1:17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484"/>
      <c r="O205" s="79"/>
      <c r="P205" s="877"/>
      <c r="Q205" s="79"/>
    </row>
    <row r="206" spans="1:17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484"/>
      <c r="O206" s="79"/>
      <c r="P206" s="877"/>
      <c r="Q206" s="79"/>
    </row>
    <row r="207" spans="1:17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484"/>
      <c r="O207" s="79"/>
      <c r="P207" s="877"/>
      <c r="Q207" s="79"/>
    </row>
    <row r="208" spans="1:17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484"/>
      <c r="O208" s="79"/>
      <c r="P208" s="877"/>
      <c r="Q208" s="79"/>
    </row>
    <row r="209" spans="1:17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484"/>
      <c r="O209" s="79"/>
      <c r="P209" s="877"/>
      <c r="Q209" s="79"/>
    </row>
    <row r="210" spans="1:17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484"/>
      <c r="O210" s="79"/>
      <c r="P210" s="877"/>
      <c r="Q210" s="79"/>
    </row>
    <row r="211" spans="1:17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71"/>
      <c r="L211" s="771"/>
      <c r="N211" s="484"/>
      <c r="O211" s="79"/>
      <c r="P211" s="877"/>
      <c r="Q211" s="79"/>
    </row>
    <row r="212" spans="1:17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484"/>
      <c r="O212" s="79"/>
      <c r="P212" s="877"/>
      <c r="Q212" s="79"/>
    </row>
    <row r="219" spans="1:17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484"/>
      <c r="O219" s="79"/>
      <c r="P219" s="877"/>
      <c r="Q219" s="79"/>
    </row>
    <row r="220" spans="1:17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484"/>
      <c r="O220" s="79"/>
      <c r="P220" s="877"/>
      <c r="Q220" s="79"/>
    </row>
    <row r="221" spans="1:17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484"/>
      <c r="O221" s="79"/>
      <c r="P221" s="877"/>
      <c r="Q221" s="79"/>
    </row>
    <row r="222" spans="1:17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484"/>
      <c r="O222" s="79"/>
      <c r="P222" s="877"/>
      <c r="Q222" s="79"/>
    </row>
    <row r="224" spans="1:17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484"/>
      <c r="O224" s="79"/>
      <c r="P224" s="877"/>
      <c r="Q224" s="79"/>
    </row>
    <row r="226" spans="1:17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629"/>
      <c r="L226" s="79"/>
      <c r="M226" s="629"/>
      <c r="N226" s="484"/>
      <c r="O226" s="79"/>
      <c r="P226" s="877"/>
      <c r="Q226" s="79"/>
    </row>
    <row r="232" spans="1:17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484"/>
      <c r="O232" s="79"/>
      <c r="P232" s="877"/>
      <c r="Q232" s="79"/>
    </row>
    <row r="233" spans="1:17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484"/>
      <c r="O233" s="79"/>
      <c r="P233" s="877"/>
      <c r="Q233" s="79"/>
    </row>
    <row r="234" spans="1:17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484"/>
      <c r="O234" s="79"/>
      <c r="P234" s="877"/>
      <c r="Q234" s="79"/>
    </row>
    <row r="235" spans="1:17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484"/>
      <c r="O235" s="79"/>
      <c r="P235" s="877"/>
      <c r="Q235" s="79"/>
    </row>
    <row r="236" spans="1:17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484"/>
      <c r="O236" s="79"/>
      <c r="P236" s="877"/>
      <c r="Q236" s="79"/>
    </row>
    <row r="237" spans="1:17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484"/>
      <c r="O237" s="79"/>
      <c r="P237" s="877"/>
      <c r="Q237" s="79"/>
    </row>
    <row r="238" spans="1:17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484"/>
      <c r="O238" s="79"/>
      <c r="P238" s="877"/>
      <c r="Q238" s="79"/>
    </row>
    <row r="239" spans="1:17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484"/>
      <c r="O239" s="79"/>
      <c r="P239" s="877"/>
      <c r="Q239" s="79"/>
    </row>
    <row r="240" spans="1:17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484"/>
      <c r="O240" s="79"/>
      <c r="P240" s="877"/>
      <c r="Q240" s="79"/>
    </row>
  </sheetData>
  <autoFilter ref="A2:I130" xr:uid="{00000000-0009-0000-0000-00007A000000}">
    <filterColumn colId="3">
      <filters>
        <filter val="DC"/>
      </filters>
    </filterColumn>
  </autoFilter>
  <mergeCells count="14">
    <mergeCell ref="L2:M3"/>
    <mergeCell ref="N78:U78"/>
    <mergeCell ref="A129:E129"/>
    <mergeCell ref="A130:E130"/>
    <mergeCell ref="A1:E1"/>
    <mergeCell ref="F1:M1"/>
    <mergeCell ref="A2:A4"/>
    <mergeCell ref="B2:B4"/>
    <mergeCell ref="C2:C4"/>
    <mergeCell ref="D2:D4"/>
    <mergeCell ref="E2:E4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Plan105" filterMode="1"/>
  <dimension ref="A1:AL233"/>
  <sheetViews>
    <sheetView zoomScale="85" zoomScaleNormal="85" workbookViewId="0">
      <pane ySplit="4" topLeftCell="A5" activePane="bottomLeft" state="frozen"/>
      <selection activeCell="C114" sqref="C114"/>
      <selection pane="bottomLeft" activeCell="C114" sqref="A1:AL23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3" width="13.42578125" style="79" customWidth="1"/>
    <col min="14" max="14" width="12" style="484" customWidth="1"/>
    <col min="15" max="15" width="10.28515625" style="79" customWidth="1"/>
    <col min="16" max="16" width="12" style="877" customWidth="1"/>
    <col min="17" max="17" width="16.140625" style="79" customWidth="1"/>
    <col min="18" max="16384" width="9.140625" style="79"/>
  </cols>
  <sheetData>
    <row r="1" spans="1:17" ht="27" customHeight="1" thickBot="1" x14ac:dyDescent="0.3">
      <c r="A1" s="3053" t="s">
        <v>0</v>
      </c>
      <c r="B1" s="3054"/>
      <c r="C1" s="3055"/>
      <c r="D1" s="3055"/>
      <c r="E1" s="3056"/>
      <c r="F1" s="3057" t="s">
        <v>3273</v>
      </c>
      <c r="G1" s="3058"/>
      <c r="H1" s="3058"/>
      <c r="I1" s="3058"/>
      <c r="J1" s="3058"/>
      <c r="K1" s="3058"/>
      <c r="L1" s="3058"/>
      <c r="M1" s="3059"/>
    </row>
    <row r="2" spans="1:17" ht="13.5" customHeight="1" x14ac:dyDescent="0.25">
      <c r="A2" s="3089" t="s">
        <v>2</v>
      </c>
      <c r="B2" s="3089" t="s">
        <v>3</v>
      </c>
      <c r="C2" s="3089" t="s">
        <v>4</v>
      </c>
      <c r="D2" s="3089" t="s">
        <v>1484</v>
      </c>
      <c r="E2" s="3089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</row>
    <row r="3" spans="1:17" ht="13.5" hidden="1" customHeight="1" thickBot="1" x14ac:dyDescent="0.3">
      <c r="A3" s="3090"/>
      <c r="B3" s="3090"/>
      <c r="C3" s="3090"/>
      <c r="D3" s="3090"/>
      <c r="E3" s="3090"/>
      <c r="F3" s="3071"/>
      <c r="G3" s="3072"/>
      <c r="H3" s="3087"/>
      <c r="I3" s="3088"/>
      <c r="J3" s="3087"/>
      <c r="K3" s="3088"/>
      <c r="L3" s="3087"/>
      <c r="M3" s="3088"/>
      <c r="Q3" s="948"/>
    </row>
    <row r="4" spans="1:17" ht="13.5" hidden="1" customHeight="1" thickBot="1" x14ac:dyDescent="0.3">
      <c r="A4" s="3091"/>
      <c r="B4" s="3091"/>
      <c r="C4" s="3091"/>
      <c r="D4" s="3091"/>
      <c r="E4" s="3091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Q4" s="948"/>
    </row>
    <row r="5" spans="1:17" hidden="1" x14ac:dyDescent="0.25">
      <c r="A5" s="281">
        <v>44652</v>
      </c>
      <c r="B5" s="369" t="s">
        <v>10</v>
      </c>
      <c r="C5" s="370"/>
      <c r="D5" s="370"/>
      <c r="E5" s="777"/>
      <c r="F5" s="179"/>
      <c r="G5" s="933">
        <f>'Março-22'!G130</f>
        <v>700.05958333335002</v>
      </c>
      <c r="H5" s="163"/>
      <c r="I5" s="1479">
        <f>'Março-22'!I130</f>
        <v>1199.9959999999992</v>
      </c>
      <c r="J5" s="179"/>
      <c r="K5" s="933">
        <f>'Março-22'!K130</f>
        <v>7840.4200000000019</v>
      </c>
      <c r="L5" s="179"/>
      <c r="M5" s="933">
        <f>'Março-22'!M130</f>
        <v>9085.98</v>
      </c>
    </row>
    <row r="6" spans="1:17" s="224" customFormat="1" hidden="1" x14ac:dyDescent="0.25">
      <c r="A6" s="215">
        <v>44652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1037"/>
      <c r="O6" s="89"/>
      <c r="P6" s="878"/>
    </row>
    <row r="7" spans="1:17" s="224" customFormat="1" ht="15" hidden="1" customHeight="1" x14ac:dyDescent="0.25">
      <c r="A7" s="215">
        <v>44652</v>
      </c>
      <c r="B7" s="882" t="s">
        <v>32</v>
      </c>
      <c r="C7" s="879" t="s">
        <v>12</v>
      </c>
      <c r="D7" s="879" t="s">
        <v>1485</v>
      </c>
      <c r="E7" s="875" t="s">
        <v>13</v>
      </c>
      <c r="F7" s="780">
        <v>24</v>
      </c>
      <c r="G7" s="982"/>
      <c r="H7" s="1008"/>
      <c r="I7" s="1063"/>
      <c r="J7" s="622"/>
      <c r="K7" s="982"/>
      <c r="L7" s="622"/>
      <c r="M7" s="982"/>
      <c r="N7" s="1029"/>
      <c r="O7" s="89"/>
      <c r="P7" s="930"/>
    </row>
    <row r="8" spans="1:17" s="224" customFormat="1" hidden="1" x14ac:dyDescent="0.25">
      <c r="A8" s="215">
        <v>44652</v>
      </c>
      <c r="B8" s="882" t="s">
        <v>2251</v>
      </c>
      <c r="C8" s="879" t="s">
        <v>12</v>
      </c>
      <c r="D8" s="879" t="s">
        <v>2157</v>
      </c>
      <c r="E8" s="480" t="s">
        <v>15</v>
      </c>
      <c r="F8" s="780">
        <v>30</v>
      </c>
      <c r="G8" s="982"/>
      <c r="H8" s="1008"/>
      <c r="I8" s="1063"/>
      <c r="J8" s="622"/>
      <c r="K8" s="982"/>
      <c r="L8" s="622"/>
      <c r="M8" s="982"/>
      <c r="N8" s="861"/>
      <c r="P8" s="878"/>
    </row>
    <row r="9" spans="1:17" s="224" customFormat="1" hidden="1" x14ac:dyDescent="0.25">
      <c r="A9" s="215">
        <v>44652</v>
      </c>
      <c r="B9" s="882" t="s">
        <v>2766</v>
      </c>
      <c r="C9" s="879" t="s">
        <v>12</v>
      </c>
      <c r="D9" s="879" t="s">
        <v>2157</v>
      </c>
      <c r="E9" s="480" t="s">
        <v>15</v>
      </c>
      <c r="F9" s="780">
        <v>30</v>
      </c>
      <c r="G9" s="982"/>
      <c r="H9" s="1008"/>
      <c r="I9" s="1063"/>
      <c r="J9" s="622"/>
      <c r="K9" s="982"/>
      <c r="L9" s="622"/>
      <c r="M9" s="982"/>
      <c r="N9" s="861"/>
      <c r="P9" s="878"/>
    </row>
    <row r="10" spans="1:17" s="224" customFormat="1" hidden="1" x14ac:dyDescent="0.25">
      <c r="A10" s="215">
        <v>44652</v>
      </c>
      <c r="B10" s="882" t="s">
        <v>443</v>
      </c>
      <c r="C10" s="879" t="s">
        <v>12</v>
      </c>
      <c r="D10" s="879" t="s">
        <v>1493</v>
      </c>
      <c r="E10" s="480" t="s">
        <v>13</v>
      </c>
      <c r="F10" s="780">
        <v>14.59</v>
      </c>
      <c r="G10" s="982"/>
      <c r="H10" s="1008"/>
      <c r="I10" s="1063"/>
      <c r="J10" s="622"/>
      <c r="K10" s="982"/>
      <c r="L10" s="622"/>
      <c r="M10" s="982"/>
      <c r="N10" s="861"/>
      <c r="P10" s="878"/>
    </row>
    <row r="11" spans="1:17" s="224" customFormat="1" ht="15" hidden="1" customHeight="1" x14ac:dyDescent="0.25">
      <c r="A11" s="215">
        <v>44653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780">
        <v>9.07</v>
      </c>
      <c r="G11" s="982"/>
      <c r="H11" s="1008"/>
      <c r="I11" s="1063"/>
      <c r="J11" s="622"/>
      <c r="K11" s="982"/>
      <c r="L11" s="622"/>
      <c r="M11" s="982"/>
      <c r="N11" s="1029"/>
      <c r="O11" s="89"/>
      <c r="P11" s="930"/>
    </row>
    <row r="12" spans="1:17" s="224" customFormat="1" hidden="1" x14ac:dyDescent="0.25">
      <c r="A12" s="215">
        <v>44653</v>
      </c>
      <c r="B12" s="364" t="s">
        <v>82</v>
      </c>
      <c r="C12" s="350" t="s">
        <v>12</v>
      </c>
      <c r="D12" s="350" t="s">
        <v>1493</v>
      </c>
      <c r="E12" s="875" t="s">
        <v>13</v>
      </c>
      <c r="F12" s="780">
        <v>39.74</v>
      </c>
      <c r="G12" s="982"/>
      <c r="H12" s="1008"/>
      <c r="I12" s="1063"/>
      <c r="J12" s="622"/>
      <c r="K12" s="982"/>
      <c r="L12" s="622"/>
      <c r="M12" s="982"/>
      <c r="N12" s="861"/>
      <c r="P12" s="878"/>
    </row>
    <row r="13" spans="1:17" s="224" customFormat="1" hidden="1" x14ac:dyDescent="0.25">
      <c r="A13" s="215">
        <v>44654</v>
      </c>
      <c r="B13" s="882" t="s">
        <v>2300</v>
      </c>
      <c r="C13" s="879" t="s">
        <v>12</v>
      </c>
      <c r="D13" s="879" t="s">
        <v>1493</v>
      </c>
      <c r="E13" s="875" t="s">
        <v>13</v>
      </c>
      <c r="F13" s="780">
        <v>14</v>
      </c>
      <c r="G13" s="982"/>
      <c r="H13" s="1008"/>
      <c r="I13" s="1063"/>
      <c r="J13" s="622"/>
      <c r="K13" s="982"/>
      <c r="L13" s="622"/>
      <c r="M13" s="982"/>
      <c r="N13" s="861"/>
      <c r="P13" s="878"/>
    </row>
    <row r="14" spans="1:17" s="224" customFormat="1" ht="15" hidden="1" customHeight="1" x14ac:dyDescent="0.25">
      <c r="A14" s="215">
        <v>44654</v>
      </c>
      <c r="B14" s="882" t="s">
        <v>443</v>
      </c>
      <c r="C14" s="879" t="s">
        <v>12</v>
      </c>
      <c r="D14" s="879" t="s">
        <v>1493</v>
      </c>
      <c r="E14" s="480" t="s">
        <v>13</v>
      </c>
      <c r="F14" s="780">
        <v>12.66</v>
      </c>
      <c r="G14" s="946"/>
      <c r="H14" s="95"/>
      <c r="I14" s="1064"/>
      <c r="J14" s="622"/>
      <c r="K14" s="982"/>
      <c r="L14" s="622"/>
      <c r="M14" s="982"/>
      <c r="N14" s="1028"/>
      <c r="Q14" s="958"/>
    </row>
    <row r="15" spans="1:17" s="224" customFormat="1" ht="15" hidden="1" customHeight="1" x14ac:dyDescent="0.25">
      <c r="A15" s="215">
        <v>44655</v>
      </c>
      <c r="B15" s="882" t="s">
        <v>256</v>
      </c>
      <c r="C15" s="879"/>
      <c r="D15" s="879"/>
      <c r="E15" s="875" t="s">
        <v>25</v>
      </c>
      <c r="F15" s="780"/>
      <c r="G15" s="982">
        <v>200</v>
      </c>
      <c r="H15" s="1060">
        <v>200</v>
      </c>
      <c r="I15" s="1033"/>
      <c r="J15" s="880"/>
      <c r="K15" s="1033"/>
      <c r="L15" s="880"/>
      <c r="M15" s="1033"/>
      <c r="N15" s="1080"/>
      <c r="O15" s="927"/>
      <c r="P15" s="878"/>
    </row>
    <row r="16" spans="1:17" s="224" customFormat="1" hidden="1" x14ac:dyDescent="0.25">
      <c r="A16" s="215">
        <v>44655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18</v>
      </c>
      <c r="G16" s="982"/>
      <c r="H16" s="1008"/>
      <c r="I16" s="1063"/>
      <c r="J16" s="622"/>
      <c r="K16" s="982"/>
      <c r="L16" s="622"/>
      <c r="M16" s="982"/>
      <c r="N16" s="861"/>
      <c r="P16" s="878"/>
    </row>
    <row r="17" spans="1:16" s="224" customFormat="1" x14ac:dyDescent="0.25">
      <c r="A17" s="215">
        <v>44655</v>
      </c>
      <c r="B17" s="882" t="s">
        <v>3274</v>
      </c>
      <c r="C17" s="879" t="s">
        <v>12</v>
      </c>
      <c r="D17" s="879" t="s">
        <v>1522</v>
      </c>
      <c r="E17" s="875" t="s">
        <v>15</v>
      </c>
      <c r="F17" s="780">
        <v>20</v>
      </c>
      <c r="G17" s="982"/>
      <c r="H17" s="1008"/>
      <c r="I17" s="1063"/>
      <c r="J17" s="622"/>
      <c r="K17" s="982"/>
      <c r="L17" s="622"/>
      <c r="M17" s="982"/>
      <c r="N17" s="861"/>
      <c r="P17" s="878"/>
    </row>
    <row r="18" spans="1:16" s="224" customFormat="1" hidden="1" x14ac:dyDescent="0.25">
      <c r="A18" s="215">
        <v>44655</v>
      </c>
      <c r="B18" s="882" t="s">
        <v>14</v>
      </c>
      <c r="C18" s="879" t="s">
        <v>12</v>
      </c>
      <c r="D18" s="879" t="s">
        <v>1486</v>
      </c>
      <c r="E18" s="875" t="s">
        <v>13</v>
      </c>
      <c r="F18" s="780">
        <v>6</v>
      </c>
      <c r="G18" s="982"/>
      <c r="H18" s="1008"/>
      <c r="I18" s="1063"/>
      <c r="J18" s="622"/>
      <c r="K18" s="982"/>
      <c r="L18" s="622"/>
      <c r="M18" s="982"/>
      <c r="N18" s="861"/>
      <c r="P18" s="878"/>
    </row>
    <row r="19" spans="1:16" s="224" customFormat="1" hidden="1" x14ac:dyDescent="0.25">
      <c r="A19" s="215">
        <v>44656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18</v>
      </c>
      <c r="G19" s="982"/>
      <c r="H19" s="1008"/>
      <c r="I19" s="1063"/>
      <c r="J19" s="622"/>
      <c r="K19" s="982"/>
      <c r="L19" s="622"/>
      <c r="M19" s="982"/>
      <c r="N19" s="861"/>
      <c r="P19" s="878"/>
    </row>
    <row r="20" spans="1:16" s="224" customFormat="1" ht="15" hidden="1" customHeight="1" x14ac:dyDescent="0.25">
      <c r="A20" s="215">
        <v>44656</v>
      </c>
      <c r="B20" s="873" t="s">
        <v>3275</v>
      </c>
      <c r="C20" s="874" t="s">
        <v>12</v>
      </c>
      <c r="D20" s="874" t="s">
        <v>1525</v>
      </c>
      <c r="E20" s="875" t="s">
        <v>13</v>
      </c>
      <c r="F20" s="780">
        <v>100</v>
      </c>
      <c r="G20" s="982"/>
      <c r="H20" s="622"/>
      <c r="I20" s="982"/>
      <c r="J20" s="622"/>
      <c r="K20" s="982"/>
      <c r="L20" s="622"/>
      <c r="M20" s="982"/>
      <c r="N20" s="927"/>
      <c r="O20" s="927"/>
      <c r="P20" s="878"/>
    </row>
    <row r="21" spans="1:16" s="224" customFormat="1" hidden="1" x14ac:dyDescent="0.25">
      <c r="A21" s="215">
        <v>44656</v>
      </c>
      <c r="B21" s="882" t="s">
        <v>2251</v>
      </c>
      <c r="C21" s="879" t="s">
        <v>12</v>
      </c>
      <c r="D21" s="879" t="s">
        <v>2157</v>
      </c>
      <c r="E21" s="480" t="s">
        <v>15</v>
      </c>
      <c r="F21" s="780">
        <v>30</v>
      </c>
      <c r="G21" s="982"/>
      <c r="H21" s="1008"/>
      <c r="I21" s="1063"/>
      <c r="J21" s="622"/>
      <c r="K21" s="982"/>
      <c r="L21" s="622"/>
      <c r="M21" s="982"/>
      <c r="N21" s="861"/>
      <c r="P21" s="878"/>
    </row>
    <row r="22" spans="1:16" s="224" customFormat="1" hidden="1" x14ac:dyDescent="0.25">
      <c r="A22" s="215">
        <v>44656</v>
      </c>
      <c r="B22" s="882" t="s">
        <v>2766</v>
      </c>
      <c r="C22" s="879" t="s">
        <v>12</v>
      </c>
      <c r="D22" s="879" t="s">
        <v>2157</v>
      </c>
      <c r="E22" s="480" t="s">
        <v>15</v>
      </c>
      <c r="F22" s="780">
        <v>30</v>
      </c>
      <c r="G22" s="982"/>
      <c r="H22" s="1008"/>
      <c r="I22" s="1063"/>
      <c r="J22" s="622"/>
      <c r="K22" s="982"/>
      <c r="L22" s="622"/>
      <c r="M22" s="982"/>
      <c r="N22" s="861"/>
      <c r="P22" s="878"/>
    </row>
    <row r="23" spans="1:16" s="224" customFormat="1" ht="15.75" hidden="1" customHeight="1" x14ac:dyDescent="0.25">
      <c r="A23" s="215">
        <v>44657</v>
      </c>
      <c r="B23" s="873" t="s">
        <v>3276</v>
      </c>
      <c r="C23" s="879" t="s">
        <v>12</v>
      </c>
      <c r="D23" s="874"/>
      <c r="E23" s="871" t="s">
        <v>25</v>
      </c>
      <c r="F23" s="1524"/>
      <c r="G23" s="1002">
        <v>2280.71</v>
      </c>
      <c r="H23" s="538"/>
      <c r="I23" s="982"/>
      <c r="J23" s="622"/>
      <c r="K23" s="982"/>
      <c r="L23" s="622"/>
      <c r="M23" s="982"/>
      <c r="N23" s="178"/>
    </row>
    <row r="24" spans="1:16" s="224" customFormat="1" ht="15" customHeight="1" x14ac:dyDescent="0.25">
      <c r="A24" s="215">
        <v>44657</v>
      </c>
      <c r="B24" s="349" t="s">
        <v>3277</v>
      </c>
      <c r="C24" s="887" t="s">
        <v>12</v>
      </c>
      <c r="D24" s="1005" t="s">
        <v>1522</v>
      </c>
      <c r="E24" s="887" t="s">
        <v>13</v>
      </c>
      <c r="F24" s="613">
        <v>42.68</v>
      </c>
      <c r="G24" s="982"/>
      <c r="H24" s="872"/>
      <c r="I24" s="1063"/>
      <c r="J24" s="622"/>
      <c r="K24" s="982"/>
      <c r="L24" s="622"/>
      <c r="M24" s="982"/>
      <c r="N24" s="927"/>
      <c r="O24" s="999"/>
      <c r="P24" s="878"/>
    </row>
    <row r="25" spans="1:16" s="224" customFormat="1" ht="15" hidden="1" customHeight="1" x14ac:dyDescent="0.25">
      <c r="A25" s="215">
        <v>44657</v>
      </c>
      <c r="B25" s="349" t="s">
        <v>3277</v>
      </c>
      <c r="C25" s="887" t="s">
        <v>12</v>
      </c>
      <c r="D25" s="1005" t="s">
        <v>1506</v>
      </c>
      <c r="E25" s="887" t="s">
        <v>13</v>
      </c>
      <c r="F25" s="1116">
        <v>110</v>
      </c>
      <c r="G25" s="982"/>
      <c r="H25" s="861"/>
      <c r="I25" s="1063"/>
      <c r="J25" s="622"/>
      <c r="K25" s="982"/>
      <c r="L25" s="622"/>
      <c r="M25" s="982"/>
      <c r="N25" s="927"/>
      <c r="O25" s="999"/>
      <c r="P25" s="878"/>
    </row>
    <row r="26" spans="1:16" s="224" customFormat="1" ht="15" customHeight="1" x14ac:dyDescent="0.25">
      <c r="A26" s="215">
        <v>44657</v>
      </c>
      <c r="B26" s="349" t="s">
        <v>3277</v>
      </c>
      <c r="C26" s="887" t="s">
        <v>12</v>
      </c>
      <c r="D26" s="1005" t="s">
        <v>1522</v>
      </c>
      <c r="E26" s="887" t="s">
        <v>13</v>
      </c>
      <c r="F26" s="1116">
        <v>200</v>
      </c>
      <c r="G26" s="982"/>
      <c r="H26" s="872"/>
      <c r="I26" s="1063"/>
      <c r="J26" s="622"/>
      <c r="K26" s="982"/>
      <c r="L26" s="622"/>
      <c r="M26" s="982"/>
      <c r="N26" s="927"/>
      <c r="O26" s="999"/>
      <c r="P26" s="878"/>
    </row>
    <row r="27" spans="1:16" s="224" customFormat="1" ht="15" hidden="1" customHeight="1" x14ac:dyDescent="0.25">
      <c r="A27" s="215">
        <v>44657</v>
      </c>
      <c r="B27" s="349" t="s">
        <v>3277</v>
      </c>
      <c r="C27" s="887" t="s">
        <v>12</v>
      </c>
      <c r="D27" s="1005" t="s">
        <v>1525</v>
      </c>
      <c r="E27" s="887" t="s">
        <v>13</v>
      </c>
      <c r="F27" s="613">
        <v>390</v>
      </c>
      <c r="G27" s="982"/>
      <c r="H27" s="872"/>
      <c r="I27" s="1063"/>
      <c r="J27" s="622"/>
      <c r="K27" s="982"/>
      <c r="L27" s="622"/>
      <c r="M27" s="982"/>
      <c r="N27" s="927"/>
      <c r="O27" s="999"/>
      <c r="P27" s="878"/>
    </row>
    <row r="28" spans="1:16" s="224" customFormat="1" ht="15" hidden="1" customHeight="1" x14ac:dyDescent="0.25">
      <c r="A28" s="215">
        <v>44657</v>
      </c>
      <c r="B28" s="862" t="s">
        <v>2385</v>
      </c>
      <c r="C28" s="879" t="s">
        <v>12</v>
      </c>
      <c r="D28" s="879" t="s">
        <v>1504</v>
      </c>
      <c r="E28" s="871" t="s">
        <v>13</v>
      </c>
      <c r="F28" s="780">
        <v>50</v>
      </c>
      <c r="G28" s="982"/>
      <c r="H28" s="1008"/>
      <c r="I28" s="1063"/>
      <c r="J28" s="622"/>
      <c r="K28" s="982"/>
      <c r="L28" s="622"/>
      <c r="M28" s="982"/>
      <c r="N28" s="1028">
        <v>90</v>
      </c>
      <c r="O28" s="999"/>
      <c r="P28" s="1035"/>
    </row>
    <row r="29" spans="1:16" s="224" customFormat="1" ht="15" hidden="1" customHeight="1" x14ac:dyDescent="0.25">
      <c r="A29" s="215">
        <v>44657</v>
      </c>
      <c r="B29" s="882" t="s">
        <v>3278</v>
      </c>
      <c r="C29" s="879" t="s">
        <v>12</v>
      </c>
      <c r="D29" s="879" t="s">
        <v>1499</v>
      </c>
      <c r="E29" s="871" t="s">
        <v>13</v>
      </c>
      <c r="F29" s="780">
        <v>147.19</v>
      </c>
      <c r="G29" s="982"/>
      <c r="H29" s="1008"/>
      <c r="I29" s="1063"/>
      <c r="J29" s="622"/>
      <c r="K29" s="982"/>
      <c r="L29" s="622"/>
      <c r="M29" s="982"/>
      <c r="N29" s="1028">
        <v>397.19</v>
      </c>
      <c r="O29" s="999"/>
      <c r="P29" s="878"/>
    </row>
    <row r="30" spans="1:16" s="224" customFormat="1" ht="15" hidden="1" customHeight="1" x14ac:dyDescent="0.25">
      <c r="A30" s="215">
        <v>44657</v>
      </c>
      <c r="B30" s="364" t="s">
        <v>2977</v>
      </c>
      <c r="C30" s="350" t="s">
        <v>12</v>
      </c>
      <c r="D30" s="350" t="s">
        <v>1491</v>
      </c>
      <c r="E30" s="875" t="s">
        <v>13</v>
      </c>
      <c r="F30" s="780">
        <v>300</v>
      </c>
      <c r="G30" s="982"/>
      <c r="H30" s="1008"/>
      <c r="I30" s="1063"/>
      <c r="J30" s="622"/>
      <c r="K30" s="982"/>
      <c r="L30" s="622"/>
      <c r="M30" s="982"/>
      <c r="N30" s="861"/>
      <c r="P30" s="1035"/>
    </row>
    <row r="31" spans="1:16" hidden="1" x14ac:dyDescent="0.25">
      <c r="A31" s="215">
        <v>44657</v>
      </c>
      <c r="B31" s="876" t="s">
        <v>3060</v>
      </c>
      <c r="C31" s="879" t="s">
        <v>12</v>
      </c>
      <c r="D31" s="879" t="s">
        <v>1496</v>
      </c>
      <c r="E31" s="871" t="s">
        <v>13</v>
      </c>
      <c r="F31" s="780">
        <v>80</v>
      </c>
      <c r="G31" s="982"/>
      <c r="H31" s="1009"/>
      <c r="I31" s="1063"/>
      <c r="J31" s="622"/>
      <c r="K31" s="982"/>
      <c r="L31" s="622"/>
      <c r="M31" s="982"/>
      <c r="N31" s="1029"/>
    </row>
    <row r="32" spans="1:16" s="224" customFormat="1" hidden="1" x14ac:dyDescent="0.25">
      <c r="A32" s="215">
        <v>44657</v>
      </c>
      <c r="B32" s="882" t="s">
        <v>3279</v>
      </c>
      <c r="C32" s="879" t="s">
        <v>12</v>
      </c>
      <c r="D32" s="879" t="s">
        <v>3017</v>
      </c>
      <c r="E32" s="875" t="s">
        <v>13</v>
      </c>
      <c r="F32" s="780">
        <v>649.41999999999996</v>
      </c>
      <c r="G32" s="982"/>
      <c r="H32" s="1008"/>
      <c r="I32" s="1063"/>
      <c r="J32" s="622"/>
      <c r="K32" s="982"/>
      <c r="L32" s="622"/>
      <c r="M32" s="982">
        <f>F32</f>
        <v>649.41999999999996</v>
      </c>
      <c r="N32" s="861">
        <v>400</v>
      </c>
      <c r="O32" s="878" t="s">
        <v>3018</v>
      </c>
      <c r="P32" s="1035"/>
    </row>
    <row r="33" spans="1:38" s="224" customFormat="1" ht="15" hidden="1" customHeight="1" x14ac:dyDescent="0.25">
      <c r="A33" s="215">
        <v>44657</v>
      </c>
      <c r="B33" s="364" t="s">
        <v>1396</v>
      </c>
      <c r="C33" s="350" t="s">
        <v>12</v>
      </c>
      <c r="D33" s="350"/>
      <c r="E33" s="480" t="s">
        <v>25</v>
      </c>
      <c r="F33" s="613"/>
      <c r="G33" s="967">
        <v>100</v>
      </c>
      <c r="H33" s="1008"/>
      <c r="I33" s="1063"/>
      <c r="J33" s="622"/>
      <c r="K33" s="982"/>
      <c r="L33" s="1110"/>
      <c r="M33" s="1111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 s="224" customFormat="1" ht="15" hidden="1" customHeight="1" x14ac:dyDescent="0.25">
      <c r="A34" s="215">
        <v>44657</v>
      </c>
      <c r="B34" s="882" t="s">
        <v>32</v>
      </c>
      <c r="C34" s="879" t="s">
        <v>12</v>
      </c>
      <c r="D34" s="879" t="s">
        <v>1485</v>
      </c>
      <c r="E34" s="875" t="s">
        <v>13</v>
      </c>
      <c r="F34" s="780">
        <v>13.5</v>
      </c>
      <c r="G34" s="982"/>
      <c r="H34" s="1008"/>
      <c r="I34" s="1063"/>
      <c r="J34" s="622"/>
      <c r="K34" s="982"/>
      <c r="L34" s="622"/>
      <c r="M34" s="982"/>
      <c r="N34" s="1029"/>
      <c r="O34" s="89"/>
      <c r="P34" s="1081"/>
      <c r="Q34" s="1082"/>
    </row>
    <row r="35" spans="1:38" s="224" customFormat="1" ht="15" hidden="1" customHeight="1" x14ac:dyDescent="0.25">
      <c r="A35" s="215">
        <v>44657</v>
      </c>
      <c r="B35" s="873" t="s">
        <v>445</v>
      </c>
      <c r="C35" s="874" t="s">
        <v>12</v>
      </c>
      <c r="D35" s="874" t="s">
        <v>1493</v>
      </c>
      <c r="E35" s="875" t="s">
        <v>13</v>
      </c>
      <c r="F35" s="780">
        <v>5</v>
      </c>
      <c r="G35" s="982"/>
      <c r="H35" s="1008"/>
      <c r="I35" s="1063"/>
      <c r="J35" s="622"/>
      <c r="K35" s="982"/>
      <c r="L35" s="622"/>
      <c r="M35" s="982"/>
      <c r="N35" s="1029"/>
    </row>
    <row r="36" spans="1:38" s="224" customFormat="1" hidden="1" x14ac:dyDescent="0.25">
      <c r="A36" s="215">
        <v>44657</v>
      </c>
      <c r="B36" s="882" t="s">
        <v>14</v>
      </c>
      <c r="C36" s="879" t="s">
        <v>12</v>
      </c>
      <c r="D36" s="879" t="s">
        <v>1486</v>
      </c>
      <c r="E36" s="875" t="s">
        <v>13</v>
      </c>
      <c r="F36" s="780">
        <v>4.47</v>
      </c>
      <c r="G36" s="982"/>
      <c r="H36" s="1008"/>
      <c r="I36" s="1063"/>
      <c r="J36" s="622"/>
      <c r="K36" s="982"/>
      <c r="L36" s="622"/>
      <c r="M36" s="982"/>
      <c r="N36" s="861"/>
      <c r="P36" s="878"/>
    </row>
    <row r="37" spans="1:38" s="224" customFormat="1" ht="15" hidden="1" customHeight="1" x14ac:dyDescent="0.25">
      <c r="A37" s="215">
        <v>44658</v>
      </c>
      <c r="B37" s="882" t="s">
        <v>32</v>
      </c>
      <c r="C37" s="879" t="s">
        <v>12</v>
      </c>
      <c r="D37" s="879" t="s">
        <v>1485</v>
      </c>
      <c r="E37" s="875" t="s">
        <v>13</v>
      </c>
      <c r="F37" s="780">
        <v>18</v>
      </c>
      <c r="G37" s="982"/>
      <c r="H37" s="622"/>
      <c r="I37" s="982"/>
      <c r="J37" s="622"/>
      <c r="K37" s="982"/>
      <c r="L37" s="622"/>
      <c r="M37" s="982"/>
      <c r="N37" s="927"/>
      <c r="O37" s="927"/>
      <c r="P37" s="878"/>
    </row>
    <row r="38" spans="1:38" s="224" customFormat="1" ht="15" hidden="1" customHeight="1" x14ac:dyDescent="0.25">
      <c r="A38" s="215">
        <v>44658</v>
      </c>
      <c r="B38" s="882" t="s">
        <v>134</v>
      </c>
      <c r="C38" s="879" t="s">
        <v>12</v>
      </c>
      <c r="D38" s="879" t="s">
        <v>1486</v>
      </c>
      <c r="E38" s="875" t="s">
        <v>13</v>
      </c>
      <c r="F38" s="780">
        <v>12</v>
      </c>
      <c r="G38" s="982"/>
      <c r="H38" s="622"/>
      <c r="I38" s="982"/>
      <c r="J38" s="622"/>
      <c r="K38" s="982"/>
      <c r="L38" s="622"/>
      <c r="M38" s="982"/>
      <c r="N38" s="927"/>
      <c r="O38" s="927"/>
      <c r="P38" s="878"/>
    </row>
    <row r="39" spans="1:38" s="224" customFormat="1" hidden="1" x14ac:dyDescent="0.25">
      <c r="A39" s="215">
        <v>44659</v>
      </c>
      <c r="B39" s="882" t="s">
        <v>3280</v>
      </c>
      <c r="C39" s="879" t="s">
        <v>12</v>
      </c>
      <c r="D39" s="879" t="s">
        <v>1489</v>
      </c>
      <c r="E39" s="480" t="s">
        <v>13</v>
      </c>
      <c r="F39" s="780">
        <v>35</v>
      </c>
      <c r="G39" s="982"/>
      <c r="H39" s="1008"/>
      <c r="I39" s="1063"/>
      <c r="J39" s="622"/>
      <c r="K39" s="982"/>
      <c r="L39" s="622"/>
      <c r="M39" s="982"/>
      <c r="N39" s="861"/>
      <c r="P39" s="878"/>
    </row>
    <row r="40" spans="1:38" s="224" customFormat="1" ht="15" hidden="1" customHeight="1" x14ac:dyDescent="0.25">
      <c r="A40" s="215">
        <v>44659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18</v>
      </c>
      <c r="G40" s="982"/>
      <c r="H40" s="1008"/>
      <c r="I40" s="1063"/>
      <c r="J40" s="622"/>
      <c r="K40" s="982"/>
      <c r="L40" s="622"/>
      <c r="M40" s="982"/>
      <c r="N40" s="1029"/>
      <c r="O40" s="89"/>
      <c r="P40" s="1081"/>
      <c r="Q40" s="1082"/>
    </row>
    <row r="41" spans="1:38" s="224" customFormat="1" ht="15" hidden="1" customHeight="1" x14ac:dyDescent="0.25">
      <c r="A41" s="215">
        <v>44659</v>
      </c>
      <c r="B41" s="873" t="s">
        <v>445</v>
      </c>
      <c r="C41" s="874" t="s">
        <v>12</v>
      </c>
      <c r="D41" s="874" t="s">
        <v>1493</v>
      </c>
      <c r="E41" s="875" t="s">
        <v>13</v>
      </c>
      <c r="F41" s="780">
        <v>5</v>
      </c>
      <c r="G41" s="982"/>
      <c r="H41" s="1008"/>
      <c r="I41" s="1063"/>
      <c r="J41" s="622"/>
      <c r="K41" s="982"/>
      <c r="L41" s="622"/>
      <c r="M41" s="982"/>
      <c r="N41" s="1029"/>
    </row>
    <row r="42" spans="1:38" s="224" customFormat="1" hidden="1" x14ac:dyDescent="0.25">
      <c r="A42" s="215">
        <v>44659</v>
      </c>
      <c r="B42" s="882" t="s">
        <v>3281</v>
      </c>
      <c r="C42" s="879" t="s">
        <v>12</v>
      </c>
      <c r="D42" s="879" t="s">
        <v>1489</v>
      </c>
      <c r="E42" s="480" t="s">
        <v>13</v>
      </c>
      <c r="F42" s="780">
        <v>50</v>
      </c>
      <c r="G42" s="982"/>
      <c r="H42" s="1008"/>
      <c r="I42" s="1063"/>
      <c r="J42" s="622"/>
      <c r="K42" s="982"/>
      <c r="L42" s="622"/>
      <c r="M42" s="982"/>
      <c r="N42" s="861"/>
      <c r="P42" s="878"/>
    </row>
    <row r="43" spans="1:38" s="224" customFormat="1" hidden="1" x14ac:dyDescent="0.25">
      <c r="A43" s="215">
        <v>44659</v>
      </c>
      <c r="B43" s="882" t="s">
        <v>2251</v>
      </c>
      <c r="C43" s="879" t="s">
        <v>12</v>
      </c>
      <c r="D43" s="879" t="s">
        <v>2157</v>
      </c>
      <c r="E43" s="480" t="s">
        <v>13</v>
      </c>
      <c r="F43" s="780">
        <v>40</v>
      </c>
      <c r="G43" s="982"/>
      <c r="H43" s="1008"/>
      <c r="I43" s="1063"/>
      <c r="J43" s="622"/>
      <c r="K43" s="982"/>
      <c r="L43" s="622"/>
      <c r="M43" s="982"/>
      <c r="N43" s="861"/>
      <c r="P43" s="878"/>
    </row>
    <row r="44" spans="1:38" s="224" customFormat="1" hidden="1" x14ac:dyDescent="0.25">
      <c r="A44" s="215">
        <v>44659</v>
      </c>
      <c r="B44" s="882" t="s">
        <v>2766</v>
      </c>
      <c r="C44" s="879" t="s">
        <v>12</v>
      </c>
      <c r="D44" s="879" t="s">
        <v>2157</v>
      </c>
      <c r="E44" s="480" t="s">
        <v>13</v>
      </c>
      <c r="F44" s="780">
        <v>40</v>
      </c>
      <c r="G44" s="982"/>
      <c r="H44" s="1008"/>
      <c r="I44" s="1063"/>
      <c r="J44" s="622"/>
      <c r="K44" s="982"/>
      <c r="L44" s="622"/>
      <c r="M44" s="982"/>
      <c r="N44" s="861"/>
      <c r="P44" s="878"/>
    </row>
    <row r="45" spans="1:38" s="224" customFormat="1" hidden="1" x14ac:dyDescent="0.25">
      <c r="A45" s="215">
        <v>44659</v>
      </c>
      <c r="B45" s="364" t="s">
        <v>82</v>
      </c>
      <c r="C45" s="350" t="s">
        <v>12</v>
      </c>
      <c r="D45" s="350" t="s">
        <v>1493</v>
      </c>
      <c r="E45" s="875" t="s">
        <v>13</v>
      </c>
      <c r="F45" s="780">
        <v>29.25</v>
      </c>
      <c r="G45" s="982"/>
      <c r="H45" s="1008"/>
      <c r="I45" s="1063"/>
      <c r="J45" s="622"/>
      <c r="K45" s="982"/>
      <c r="L45" s="622"/>
      <c r="M45" s="982"/>
      <c r="N45" s="861"/>
      <c r="P45" s="878"/>
    </row>
    <row r="46" spans="1:38" s="224" customFormat="1" ht="15" customHeight="1" x14ac:dyDescent="0.25">
      <c r="A46" s="215">
        <v>44660</v>
      </c>
      <c r="B46" s="364" t="s">
        <v>3282</v>
      </c>
      <c r="C46" s="350" t="s">
        <v>12</v>
      </c>
      <c r="D46" s="350" t="s">
        <v>1522</v>
      </c>
      <c r="E46" s="875" t="s">
        <v>13</v>
      </c>
      <c r="F46" s="780">
        <v>150</v>
      </c>
      <c r="G46" s="982"/>
      <c r="H46" s="622"/>
      <c r="I46" s="982"/>
      <c r="J46" s="622"/>
      <c r="K46" s="982"/>
      <c r="L46" s="622"/>
      <c r="M46" s="982"/>
      <c r="N46" s="927"/>
      <c r="O46" s="927"/>
      <c r="P46" s="878"/>
    </row>
    <row r="47" spans="1:38" s="224" customFormat="1" ht="15" hidden="1" customHeight="1" x14ac:dyDescent="0.25">
      <c r="A47" s="215">
        <v>44660</v>
      </c>
      <c r="B47" s="364" t="s">
        <v>80</v>
      </c>
      <c r="C47" s="350" t="s">
        <v>12</v>
      </c>
      <c r="D47" s="350" t="s">
        <v>1523</v>
      </c>
      <c r="E47" s="875" t="s">
        <v>13</v>
      </c>
      <c r="F47" s="780">
        <v>30</v>
      </c>
      <c r="G47" s="982"/>
      <c r="H47" s="622"/>
      <c r="I47" s="982"/>
      <c r="J47" s="622"/>
      <c r="K47" s="982"/>
      <c r="L47" s="622"/>
      <c r="M47" s="982"/>
      <c r="N47" s="927"/>
      <c r="O47" s="927"/>
      <c r="P47" s="927"/>
    </row>
    <row r="48" spans="1:38" s="224" customFormat="1" ht="15" hidden="1" customHeight="1" x14ac:dyDescent="0.25">
      <c r="A48" s="215">
        <v>44660</v>
      </c>
      <c r="B48" s="364" t="s">
        <v>2629</v>
      </c>
      <c r="C48" s="350" t="s">
        <v>12</v>
      </c>
      <c r="D48" s="350" t="s">
        <v>1489</v>
      </c>
      <c r="E48" s="875" t="s">
        <v>13</v>
      </c>
      <c r="F48" s="780">
        <v>110.7</v>
      </c>
      <c r="G48" s="982"/>
      <c r="H48" s="622"/>
      <c r="I48" s="982"/>
      <c r="J48" s="622"/>
      <c r="K48" s="982"/>
      <c r="L48" s="622"/>
      <c r="M48" s="982"/>
      <c r="N48" s="927"/>
      <c r="O48" s="927"/>
      <c r="P48" s="878"/>
    </row>
    <row r="49" spans="1:16" s="224" customFormat="1" ht="15" hidden="1" customHeight="1" x14ac:dyDescent="0.25">
      <c r="A49" s="215">
        <v>44660</v>
      </c>
      <c r="B49" s="882" t="s">
        <v>2251</v>
      </c>
      <c r="C49" s="879" t="s">
        <v>12</v>
      </c>
      <c r="D49" s="879" t="s">
        <v>2157</v>
      </c>
      <c r="E49" s="480" t="s">
        <v>13</v>
      </c>
      <c r="F49" s="780">
        <v>40</v>
      </c>
      <c r="G49" s="982"/>
      <c r="H49" s="622"/>
      <c r="I49" s="982"/>
      <c r="J49" s="622"/>
      <c r="K49" s="982"/>
      <c r="L49" s="622"/>
      <c r="M49" s="982"/>
      <c r="N49" s="927"/>
      <c r="O49" s="927"/>
      <c r="P49" s="878"/>
    </row>
    <row r="50" spans="1:16" s="224" customFormat="1" ht="15" hidden="1" customHeight="1" x14ac:dyDescent="0.25">
      <c r="A50" s="215">
        <v>44661</v>
      </c>
      <c r="B50" s="882" t="s">
        <v>14</v>
      </c>
      <c r="C50" s="879" t="s">
        <v>12</v>
      </c>
      <c r="D50" s="879" t="s">
        <v>1486</v>
      </c>
      <c r="E50" s="875" t="s">
        <v>13</v>
      </c>
      <c r="F50" s="780">
        <v>11.54</v>
      </c>
      <c r="G50" s="982"/>
      <c r="H50" s="622"/>
      <c r="I50" s="982"/>
      <c r="J50" s="622"/>
      <c r="K50" s="982"/>
      <c r="L50" s="622"/>
      <c r="M50" s="982"/>
      <c r="N50" s="927"/>
      <c r="O50" s="927"/>
      <c r="P50" s="878"/>
    </row>
    <row r="51" spans="1:16" s="224" customFormat="1" ht="15" hidden="1" customHeight="1" x14ac:dyDescent="0.25">
      <c r="A51" s="215">
        <v>44661</v>
      </c>
      <c r="B51" s="364" t="s">
        <v>3283</v>
      </c>
      <c r="C51" s="350" t="s">
        <v>12</v>
      </c>
      <c r="D51" s="350" t="s">
        <v>1506</v>
      </c>
      <c r="E51" s="875" t="s">
        <v>13</v>
      </c>
      <c r="F51" s="780">
        <v>50</v>
      </c>
      <c r="G51" s="982"/>
      <c r="H51" s="622"/>
      <c r="I51" s="982"/>
      <c r="J51" s="622"/>
      <c r="K51" s="982"/>
      <c r="L51" s="622"/>
      <c r="M51" s="982"/>
      <c r="N51" s="927"/>
      <c r="O51" s="927"/>
      <c r="P51" s="878"/>
    </row>
    <row r="52" spans="1:16" s="224" customFormat="1" ht="15" hidden="1" customHeight="1" x14ac:dyDescent="0.25">
      <c r="A52" s="215">
        <v>44661</v>
      </c>
      <c r="B52" s="364" t="s">
        <v>2375</v>
      </c>
      <c r="C52" s="350" t="s">
        <v>12</v>
      </c>
      <c r="D52" s="350" t="s">
        <v>1506</v>
      </c>
      <c r="E52" s="875" t="s">
        <v>13</v>
      </c>
      <c r="F52" s="780">
        <v>10</v>
      </c>
      <c r="G52" s="982"/>
      <c r="H52" s="622"/>
      <c r="I52" s="982"/>
      <c r="J52" s="622"/>
      <c r="K52" s="982"/>
      <c r="L52" s="622"/>
      <c r="M52" s="982"/>
      <c r="N52" s="927"/>
      <c r="O52" s="927"/>
      <c r="P52" s="878"/>
    </row>
    <row r="53" spans="1:16" s="224" customFormat="1" ht="15" hidden="1" customHeight="1" x14ac:dyDescent="0.25">
      <c r="A53" s="215">
        <v>44661</v>
      </c>
      <c r="B53" s="364" t="s">
        <v>2631</v>
      </c>
      <c r="C53" s="350" t="s">
        <v>12</v>
      </c>
      <c r="D53" s="350" t="s">
        <v>1489</v>
      </c>
      <c r="E53" s="875" t="s">
        <v>15</v>
      </c>
      <c r="F53" s="780">
        <v>4</v>
      </c>
      <c r="G53" s="982"/>
      <c r="H53" s="622"/>
      <c r="I53" s="982"/>
      <c r="J53" s="622"/>
      <c r="K53" s="982"/>
      <c r="L53" s="622"/>
      <c r="M53" s="982"/>
      <c r="N53" s="927"/>
      <c r="O53" s="927"/>
      <c r="P53" s="878"/>
    </row>
    <row r="54" spans="1:16" s="224" customFormat="1" ht="15" hidden="1" customHeight="1" x14ac:dyDescent="0.25">
      <c r="A54" s="215">
        <v>44662</v>
      </c>
      <c r="B54" s="882" t="s">
        <v>256</v>
      </c>
      <c r="C54" s="879"/>
      <c r="D54" s="879"/>
      <c r="E54" s="875" t="s">
        <v>25</v>
      </c>
      <c r="F54" s="780"/>
      <c r="G54" s="982">
        <v>400</v>
      </c>
      <c r="H54" s="1060">
        <v>400</v>
      </c>
      <c r="I54" s="1033"/>
      <c r="J54" s="880"/>
      <c r="K54" s="1033"/>
      <c r="L54" s="880"/>
      <c r="M54" s="1033"/>
      <c r="N54" s="1080"/>
      <c r="O54" s="927"/>
      <c r="P54" s="878"/>
    </row>
    <row r="55" spans="1:16" s="224" customFormat="1" ht="15" hidden="1" customHeight="1" x14ac:dyDescent="0.25">
      <c r="A55" s="215">
        <v>44662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18</v>
      </c>
      <c r="G55" s="982"/>
      <c r="H55" s="622"/>
      <c r="I55" s="982"/>
      <c r="J55" s="622"/>
      <c r="K55" s="982"/>
      <c r="L55" s="622"/>
      <c r="M55" s="982"/>
      <c r="N55" s="927"/>
      <c r="O55" s="927"/>
      <c r="P55" s="878"/>
    </row>
    <row r="56" spans="1:16" s="224" customFormat="1" ht="15" hidden="1" customHeight="1" x14ac:dyDescent="0.25">
      <c r="A56" s="215">
        <v>44662</v>
      </c>
      <c r="B56" s="882" t="s">
        <v>2251</v>
      </c>
      <c r="C56" s="879" t="s">
        <v>19</v>
      </c>
      <c r="D56" s="879" t="s">
        <v>2157</v>
      </c>
      <c r="E56" s="480" t="s">
        <v>13</v>
      </c>
      <c r="F56" s="780">
        <v>80</v>
      </c>
      <c r="G56" s="982"/>
      <c r="H56" s="622"/>
      <c r="I56" s="982"/>
      <c r="J56" s="622"/>
      <c r="K56" s="982"/>
      <c r="L56" s="622"/>
      <c r="M56" s="982"/>
      <c r="N56" s="927"/>
      <c r="O56" s="927"/>
      <c r="P56" s="878"/>
    </row>
    <row r="57" spans="1:16" s="224" customFormat="1" ht="15" hidden="1" customHeight="1" x14ac:dyDescent="0.25">
      <c r="A57" s="215">
        <v>44662</v>
      </c>
      <c r="B57" s="882" t="s">
        <v>3284</v>
      </c>
      <c r="C57" s="879" t="s">
        <v>12</v>
      </c>
      <c r="D57" s="879" t="s">
        <v>1491</v>
      </c>
      <c r="E57" s="875" t="s">
        <v>13</v>
      </c>
      <c r="F57" s="780">
        <v>50</v>
      </c>
      <c r="G57" s="982"/>
      <c r="H57" s="622"/>
      <c r="I57" s="982"/>
      <c r="J57" s="622"/>
      <c r="K57" s="982"/>
      <c r="L57" s="622"/>
      <c r="M57" s="982"/>
      <c r="N57" s="927"/>
      <c r="O57" s="927"/>
      <c r="P57" s="878"/>
    </row>
    <row r="58" spans="1:16" s="224" customFormat="1" ht="15" hidden="1" customHeight="1" x14ac:dyDescent="0.25">
      <c r="A58" s="215">
        <v>44663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18</v>
      </c>
      <c r="G58" s="982"/>
      <c r="H58" s="622"/>
      <c r="I58" s="982"/>
      <c r="J58" s="622"/>
      <c r="K58" s="982"/>
      <c r="L58" s="622"/>
      <c r="M58" s="982"/>
      <c r="N58" s="927"/>
      <c r="O58" s="927"/>
      <c r="P58" s="878"/>
    </row>
    <row r="59" spans="1:16" s="224" customFormat="1" ht="15" hidden="1" customHeight="1" x14ac:dyDescent="0.25">
      <c r="A59" s="215">
        <v>44664</v>
      </c>
      <c r="B59" s="882" t="s">
        <v>32</v>
      </c>
      <c r="C59" s="879" t="s">
        <v>12</v>
      </c>
      <c r="D59" s="879" t="s">
        <v>1485</v>
      </c>
      <c r="E59" s="875" t="s">
        <v>13</v>
      </c>
      <c r="F59" s="780">
        <v>18</v>
      </c>
      <c r="G59" s="982"/>
      <c r="H59" s="622"/>
      <c r="I59" s="982"/>
      <c r="J59" s="622"/>
      <c r="K59" s="982"/>
      <c r="L59" s="622"/>
      <c r="M59" s="982"/>
      <c r="N59" s="927"/>
      <c r="O59" s="927"/>
      <c r="P59" s="878"/>
    </row>
    <row r="60" spans="1:16" s="224" customFormat="1" ht="15" hidden="1" customHeight="1" x14ac:dyDescent="0.25">
      <c r="A60" s="215">
        <v>44664</v>
      </c>
      <c r="B60" s="882" t="s">
        <v>14</v>
      </c>
      <c r="C60" s="879" t="s">
        <v>12</v>
      </c>
      <c r="D60" s="879" t="s">
        <v>1486</v>
      </c>
      <c r="E60" s="875" t="s">
        <v>13</v>
      </c>
      <c r="F60" s="780">
        <v>7.5</v>
      </c>
      <c r="G60" s="982"/>
      <c r="H60" s="1060"/>
      <c r="I60" s="1033"/>
      <c r="J60" s="880"/>
      <c r="K60" s="1033"/>
      <c r="L60" s="880"/>
      <c r="M60" s="1033"/>
      <c r="N60" s="1080"/>
      <c r="O60" s="927"/>
      <c r="P60" s="878"/>
    </row>
    <row r="61" spans="1:16" s="224" customFormat="1" ht="15" hidden="1" customHeight="1" x14ac:dyDescent="0.25">
      <c r="A61" s="215">
        <v>44665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18</v>
      </c>
      <c r="G61" s="982"/>
      <c r="H61" s="622"/>
      <c r="I61" s="982"/>
      <c r="J61" s="622"/>
      <c r="K61" s="982"/>
      <c r="L61" s="622"/>
      <c r="M61" s="982"/>
      <c r="N61" s="927"/>
      <c r="O61" s="927"/>
      <c r="P61" s="878"/>
    </row>
    <row r="62" spans="1:16" s="224" customFormat="1" ht="15" hidden="1" customHeight="1" x14ac:dyDescent="0.25">
      <c r="A62" s="215">
        <v>44665</v>
      </c>
      <c r="B62" s="364" t="s">
        <v>14</v>
      </c>
      <c r="C62" s="350" t="s">
        <v>12</v>
      </c>
      <c r="D62" s="350" t="s">
        <v>1486</v>
      </c>
      <c r="E62" s="875" t="s">
        <v>13</v>
      </c>
      <c r="F62" s="780">
        <v>7</v>
      </c>
      <c r="G62" s="982"/>
      <c r="H62" s="622"/>
      <c r="I62" s="982"/>
      <c r="J62" s="622"/>
      <c r="K62" s="982"/>
      <c r="L62" s="622"/>
      <c r="M62" s="982"/>
      <c r="N62" s="927"/>
      <c r="O62" s="927"/>
      <c r="P62" s="878"/>
    </row>
    <row r="63" spans="1:16" s="224" customFormat="1" ht="15" hidden="1" customHeight="1" x14ac:dyDescent="0.25">
      <c r="A63" s="215">
        <v>44665</v>
      </c>
      <c r="B63" s="364" t="s">
        <v>3285</v>
      </c>
      <c r="C63" s="350" t="s">
        <v>12</v>
      </c>
      <c r="D63" s="350" t="s">
        <v>1489</v>
      </c>
      <c r="E63" s="875" t="s">
        <v>13</v>
      </c>
      <c r="F63" s="780">
        <v>5</v>
      </c>
      <c r="G63" s="982"/>
      <c r="H63" s="622"/>
      <c r="I63" s="982"/>
      <c r="J63" s="622"/>
      <c r="K63" s="982"/>
      <c r="L63" s="622"/>
      <c r="M63" s="982"/>
      <c r="N63" s="927"/>
      <c r="O63" s="927"/>
      <c r="P63" s="878"/>
    </row>
    <row r="64" spans="1:16" s="224" customFormat="1" ht="15" hidden="1" customHeight="1" x14ac:dyDescent="0.25">
      <c r="A64" s="215">
        <v>44666</v>
      </c>
      <c r="B64" s="882" t="s">
        <v>14</v>
      </c>
      <c r="C64" s="879" t="s">
        <v>12</v>
      </c>
      <c r="D64" s="879" t="s">
        <v>1486</v>
      </c>
      <c r="E64" s="875" t="s">
        <v>13</v>
      </c>
      <c r="F64" s="780">
        <v>6.15</v>
      </c>
      <c r="G64" s="982"/>
      <c r="H64" s="622"/>
      <c r="I64" s="982"/>
      <c r="J64" s="622"/>
      <c r="K64" s="982"/>
      <c r="L64" s="622"/>
      <c r="M64" s="982"/>
      <c r="N64" s="927"/>
      <c r="O64" s="927"/>
      <c r="P64" s="878"/>
    </row>
    <row r="65" spans="1:21" s="224" customFormat="1" ht="15" hidden="1" customHeight="1" x14ac:dyDescent="0.25">
      <c r="A65" s="215">
        <v>44666</v>
      </c>
      <c r="B65" s="882" t="s">
        <v>3286</v>
      </c>
      <c r="C65" s="879" t="s">
        <v>12</v>
      </c>
      <c r="D65" s="879" t="s">
        <v>1489</v>
      </c>
      <c r="E65" s="875" t="s">
        <v>13</v>
      </c>
      <c r="F65" s="780">
        <v>3.5</v>
      </c>
      <c r="G65" s="982"/>
      <c r="H65" s="622"/>
      <c r="I65" s="982"/>
      <c r="J65" s="622"/>
      <c r="K65" s="982"/>
      <c r="L65" s="622"/>
      <c r="M65" s="982"/>
      <c r="N65" s="927"/>
      <c r="O65" s="927"/>
      <c r="P65" s="878"/>
    </row>
    <row r="66" spans="1:21" s="224" customFormat="1" ht="15" hidden="1" customHeight="1" x14ac:dyDescent="0.25">
      <c r="A66" s="215">
        <v>44666</v>
      </c>
      <c r="B66" s="882" t="s">
        <v>14</v>
      </c>
      <c r="C66" s="879" t="s">
        <v>12</v>
      </c>
      <c r="D66" s="879" t="s">
        <v>1486</v>
      </c>
      <c r="E66" s="875" t="s">
        <v>13</v>
      </c>
      <c r="F66" s="780">
        <v>6.39</v>
      </c>
      <c r="G66" s="982"/>
      <c r="H66" s="622"/>
      <c r="I66" s="982"/>
      <c r="J66" s="622"/>
      <c r="K66" s="982"/>
      <c r="L66" s="622"/>
      <c r="M66" s="982"/>
      <c r="N66" s="927"/>
      <c r="O66" s="927"/>
      <c r="P66" s="878"/>
    </row>
    <row r="67" spans="1:21" s="224" customFormat="1" ht="15" hidden="1" customHeight="1" x14ac:dyDescent="0.25">
      <c r="A67" s="215">
        <v>44667</v>
      </c>
      <c r="B67" s="364" t="s">
        <v>82</v>
      </c>
      <c r="C67" s="350" t="s">
        <v>12</v>
      </c>
      <c r="D67" s="350" t="s">
        <v>1493</v>
      </c>
      <c r="E67" s="875" t="s">
        <v>15</v>
      </c>
      <c r="F67" s="780">
        <v>26</v>
      </c>
      <c r="G67" s="982"/>
      <c r="H67" s="622"/>
      <c r="I67" s="982"/>
      <c r="J67" s="622"/>
      <c r="K67" s="982"/>
      <c r="L67" s="622"/>
      <c r="M67" s="982"/>
      <c r="N67" s="927"/>
      <c r="O67" s="927"/>
      <c r="P67" s="878"/>
    </row>
    <row r="68" spans="1:21" s="224" customFormat="1" ht="15" hidden="1" customHeight="1" x14ac:dyDescent="0.25">
      <c r="A68" s="215">
        <v>44668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26</v>
      </c>
      <c r="G68" s="982"/>
      <c r="H68" s="622"/>
      <c r="I68" s="982"/>
      <c r="J68" s="622"/>
      <c r="K68" s="982"/>
      <c r="L68" s="622"/>
      <c r="M68" s="982"/>
      <c r="N68" s="927"/>
      <c r="O68" s="927"/>
      <c r="P68" s="878"/>
    </row>
    <row r="69" spans="1:21" s="224" customFormat="1" ht="15" hidden="1" customHeight="1" x14ac:dyDescent="0.25">
      <c r="A69" s="215">
        <v>44668</v>
      </c>
      <c r="B69" s="364" t="s">
        <v>443</v>
      </c>
      <c r="C69" s="350" t="s">
        <v>12</v>
      </c>
      <c r="D69" s="350" t="s">
        <v>1493</v>
      </c>
      <c r="E69" s="875" t="s">
        <v>13</v>
      </c>
      <c r="F69" s="780">
        <v>10.28</v>
      </c>
      <c r="G69" s="982"/>
      <c r="H69" s="622"/>
      <c r="I69" s="982"/>
      <c r="J69" s="622"/>
      <c r="K69" s="982"/>
      <c r="L69" s="622"/>
      <c r="M69" s="982"/>
      <c r="N69" s="927"/>
      <c r="O69" s="927"/>
      <c r="P69" s="878"/>
    </row>
    <row r="70" spans="1:21" s="224" customFormat="1" ht="15" hidden="1" customHeight="1" x14ac:dyDescent="0.25">
      <c r="A70" s="215">
        <v>44669</v>
      </c>
      <c r="B70" s="882" t="s">
        <v>14</v>
      </c>
      <c r="C70" s="879" t="s">
        <v>12</v>
      </c>
      <c r="D70" s="879" t="s">
        <v>1486</v>
      </c>
      <c r="E70" s="875" t="s">
        <v>13</v>
      </c>
      <c r="F70" s="780">
        <v>3.38</v>
      </c>
      <c r="G70" s="982"/>
      <c r="H70" s="622"/>
      <c r="I70" s="982"/>
      <c r="J70" s="622"/>
      <c r="K70" s="982"/>
      <c r="L70" s="622"/>
      <c r="M70" s="982"/>
      <c r="N70" s="927"/>
      <c r="O70" s="927"/>
      <c r="P70" s="878"/>
    </row>
    <row r="71" spans="1:21" s="224" customFormat="1" ht="15" hidden="1" customHeight="1" x14ac:dyDescent="0.25">
      <c r="A71" s="215">
        <v>44669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18</v>
      </c>
      <c r="G71" s="982"/>
      <c r="H71" s="622"/>
      <c r="I71" s="982"/>
      <c r="J71" s="622"/>
      <c r="K71" s="982"/>
      <c r="L71" s="622"/>
      <c r="M71" s="982"/>
      <c r="N71" s="927"/>
      <c r="O71" s="927"/>
      <c r="P71" s="878"/>
    </row>
    <row r="72" spans="1:21" s="224" customFormat="1" ht="15" hidden="1" customHeight="1" x14ac:dyDescent="0.25">
      <c r="A72" s="215">
        <v>44669</v>
      </c>
      <c r="B72" s="882" t="s">
        <v>539</v>
      </c>
      <c r="C72" s="879" t="s">
        <v>12</v>
      </c>
      <c r="D72" s="879" t="s">
        <v>1506</v>
      </c>
      <c r="E72" s="875" t="s">
        <v>13</v>
      </c>
      <c r="F72" s="780">
        <v>7.9</v>
      </c>
      <c r="G72" s="982"/>
      <c r="H72" s="622"/>
      <c r="I72" s="982"/>
      <c r="J72" s="622"/>
      <c r="K72" s="982"/>
      <c r="L72" s="622"/>
      <c r="M72" s="982"/>
      <c r="N72" s="927"/>
      <c r="O72" s="927"/>
      <c r="P72" s="878"/>
    </row>
    <row r="73" spans="1:21" s="224" customFormat="1" ht="15" customHeight="1" x14ac:dyDescent="0.25">
      <c r="A73" s="215">
        <v>44669</v>
      </c>
      <c r="B73" s="882" t="s">
        <v>3287</v>
      </c>
      <c r="C73" s="879" t="s">
        <v>12</v>
      </c>
      <c r="D73" s="879" t="s">
        <v>1522</v>
      </c>
      <c r="E73" s="875" t="s">
        <v>13</v>
      </c>
      <c r="F73" s="780">
        <v>6</v>
      </c>
      <c r="G73" s="982"/>
      <c r="H73" s="622"/>
      <c r="I73" s="982"/>
      <c r="J73" s="622"/>
      <c r="K73" s="982"/>
      <c r="L73" s="622"/>
      <c r="M73" s="982"/>
      <c r="N73" s="927"/>
      <c r="O73" s="927"/>
      <c r="P73" s="878"/>
    </row>
    <row r="74" spans="1:21" s="224" customFormat="1" ht="15" hidden="1" customHeight="1" x14ac:dyDescent="0.25">
      <c r="A74" s="215">
        <v>44669</v>
      </c>
      <c r="B74" s="882" t="s">
        <v>3288</v>
      </c>
      <c r="C74" s="879" t="s">
        <v>12</v>
      </c>
      <c r="D74" s="879" t="s">
        <v>1489</v>
      </c>
      <c r="E74" s="875" t="s">
        <v>15</v>
      </c>
      <c r="F74" s="780">
        <v>14</v>
      </c>
      <c r="G74" s="982"/>
      <c r="H74" s="622"/>
      <c r="I74" s="982"/>
      <c r="J74" s="622"/>
      <c r="K74" s="982"/>
      <c r="L74" s="622"/>
      <c r="M74" s="982"/>
      <c r="N74" s="927"/>
      <c r="O74" s="927"/>
      <c r="P74" s="878"/>
    </row>
    <row r="75" spans="1:21" s="224" customFormat="1" ht="15" hidden="1" customHeight="1" x14ac:dyDescent="0.25">
      <c r="A75" s="215">
        <v>44669</v>
      </c>
      <c r="B75" s="882" t="s">
        <v>2251</v>
      </c>
      <c r="C75" s="879" t="s">
        <v>12</v>
      </c>
      <c r="D75" s="879" t="s">
        <v>2157</v>
      </c>
      <c r="E75" s="480" t="s">
        <v>15</v>
      </c>
      <c r="F75" s="780">
        <v>40</v>
      </c>
      <c r="G75" s="982"/>
      <c r="H75" s="622"/>
      <c r="I75" s="982"/>
      <c r="J75" s="622"/>
      <c r="K75" s="982"/>
      <c r="L75" s="622"/>
      <c r="M75" s="982"/>
      <c r="N75" s="927"/>
      <c r="O75" s="927"/>
      <c r="P75" s="878"/>
    </row>
    <row r="76" spans="1:21" s="224" customFormat="1" ht="15" hidden="1" customHeight="1" x14ac:dyDescent="0.25">
      <c r="A76" s="215">
        <v>44669</v>
      </c>
      <c r="B76" s="882" t="s">
        <v>2766</v>
      </c>
      <c r="C76" s="879" t="s">
        <v>12</v>
      </c>
      <c r="D76" s="879" t="s">
        <v>2157</v>
      </c>
      <c r="E76" s="480" t="s">
        <v>15</v>
      </c>
      <c r="F76" s="780">
        <v>40</v>
      </c>
      <c r="G76" s="982"/>
      <c r="H76" s="622"/>
      <c r="I76" s="982"/>
      <c r="J76" s="622"/>
      <c r="K76" s="982"/>
      <c r="L76" s="622"/>
      <c r="M76" s="982"/>
      <c r="N76" s="927"/>
      <c r="O76" s="927"/>
      <c r="P76" s="878"/>
    </row>
    <row r="77" spans="1:21" s="224" customFormat="1" ht="15" hidden="1" customHeight="1" x14ac:dyDescent="0.25">
      <c r="A77" s="215">
        <v>44670</v>
      </c>
      <c r="B77" s="882" t="s">
        <v>32</v>
      </c>
      <c r="C77" s="879" t="s">
        <v>12</v>
      </c>
      <c r="D77" s="879" t="s">
        <v>1485</v>
      </c>
      <c r="E77" s="875" t="s">
        <v>13</v>
      </c>
      <c r="F77" s="780">
        <v>18</v>
      </c>
      <c r="G77" s="982"/>
      <c r="H77" s="622"/>
      <c r="I77" s="982"/>
      <c r="J77" s="622"/>
      <c r="K77" s="982"/>
      <c r="L77" s="622"/>
      <c r="M77" s="982"/>
      <c r="N77" s="927"/>
      <c r="O77" s="927"/>
      <c r="P77" s="878"/>
    </row>
    <row r="78" spans="1:21" s="224" customFormat="1" ht="15" hidden="1" customHeight="1" x14ac:dyDescent="0.25">
      <c r="A78" s="215">
        <v>44671</v>
      </c>
      <c r="B78" s="882" t="s">
        <v>3289</v>
      </c>
      <c r="C78" s="350" t="s">
        <v>12</v>
      </c>
      <c r="D78" s="350"/>
      <c r="E78" s="480" t="s">
        <v>25</v>
      </c>
      <c r="F78" s="622"/>
      <c r="G78" s="982">
        <v>2000</v>
      </c>
      <c r="H78" s="1008"/>
      <c r="I78" s="1063"/>
      <c r="J78" s="622"/>
      <c r="K78" s="982"/>
      <c r="L78" s="622"/>
      <c r="M78" s="982"/>
      <c r="N78" s="861"/>
    </row>
    <row r="79" spans="1:21" s="224" customFormat="1" ht="15" hidden="1" customHeight="1" x14ac:dyDescent="0.25">
      <c r="A79" s="215">
        <v>44671</v>
      </c>
      <c r="B79" s="862" t="s">
        <v>2867</v>
      </c>
      <c r="C79" s="350" t="s">
        <v>12</v>
      </c>
      <c r="D79" s="874" t="s">
        <v>1504</v>
      </c>
      <c r="E79" s="887" t="s">
        <v>13</v>
      </c>
      <c r="F79" s="1107"/>
      <c r="G79" s="982"/>
      <c r="H79" s="1009"/>
      <c r="I79" s="1063"/>
      <c r="J79" s="853"/>
      <c r="K79" s="982"/>
      <c r="L79" s="853"/>
      <c r="M79" s="982"/>
      <c r="N79" s="3166" t="s">
        <v>3125</v>
      </c>
      <c r="O79" s="3166"/>
      <c r="P79" s="3166"/>
      <c r="Q79" s="3166"/>
      <c r="R79" s="3166"/>
      <c r="S79" s="3166"/>
      <c r="T79" s="3166"/>
      <c r="U79" s="3166"/>
    </row>
    <row r="80" spans="1:21" s="224" customFormat="1" hidden="1" x14ac:dyDescent="0.25">
      <c r="A80" s="215">
        <v>44671</v>
      </c>
      <c r="B80" s="364" t="s">
        <v>2977</v>
      </c>
      <c r="C80" s="350" t="s">
        <v>12</v>
      </c>
      <c r="D80" s="350" t="s">
        <v>1491</v>
      </c>
      <c r="E80" s="875" t="s">
        <v>13</v>
      </c>
      <c r="F80" s="1047">
        <v>300</v>
      </c>
      <c r="G80" s="982"/>
      <c r="H80" s="1008"/>
      <c r="I80" s="1063"/>
      <c r="J80" s="622"/>
      <c r="K80" s="982"/>
      <c r="L80" s="622"/>
      <c r="M80" s="982"/>
      <c r="N80" s="1029"/>
      <c r="O80" s="89"/>
      <c r="P80" s="930"/>
    </row>
    <row r="81" spans="1:17" s="224" customFormat="1" ht="15" hidden="1" customHeight="1" x14ac:dyDescent="0.25">
      <c r="A81" s="215">
        <v>44671</v>
      </c>
      <c r="B81" s="882" t="s">
        <v>3290</v>
      </c>
      <c r="C81" s="879" t="s">
        <v>12</v>
      </c>
      <c r="D81" s="879" t="s">
        <v>1499</v>
      </c>
      <c r="E81" s="871" t="s">
        <v>13</v>
      </c>
      <c r="F81" s="780">
        <v>29.31</v>
      </c>
      <c r="G81" s="982"/>
      <c r="H81" s="1008"/>
      <c r="I81" s="1063"/>
      <c r="J81" s="622"/>
      <c r="K81" s="982"/>
      <c r="L81" s="622"/>
      <c r="M81" s="982"/>
      <c r="N81" s="861"/>
      <c r="P81" s="1123"/>
      <c r="Q81" s="999"/>
    </row>
    <row r="82" spans="1:17" s="224" customFormat="1" ht="15" customHeight="1" x14ac:dyDescent="0.25">
      <c r="A82" s="215">
        <v>44671</v>
      </c>
      <c r="B82" s="882" t="s">
        <v>3291</v>
      </c>
      <c r="C82" s="879" t="s">
        <v>12</v>
      </c>
      <c r="D82" s="879" t="s">
        <v>1522</v>
      </c>
      <c r="E82" s="871" t="s">
        <v>13</v>
      </c>
      <c r="F82" s="780">
        <v>157.19999999999999</v>
      </c>
      <c r="G82" s="982"/>
      <c r="H82" s="622"/>
      <c r="I82" s="982"/>
      <c r="J82" s="622"/>
      <c r="K82" s="982"/>
      <c r="L82" s="622"/>
      <c r="M82" s="982"/>
      <c r="N82" s="1080" t="s">
        <v>3292</v>
      </c>
      <c r="P82" s="878"/>
    </row>
    <row r="83" spans="1:17" s="224" customFormat="1" ht="15" hidden="1" customHeight="1" x14ac:dyDescent="0.25">
      <c r="A83" s="215">
        <v>44671</v>
      </c>
      <c r="B83" s="882" t="s">
        <v>3293</v>
      </c>
      <c r="C83" s="879" t="s">
        <v>12</v>
      </c>
      <c r="D83" s="879" t="s">
        <v>1489</v>
      </c>
      <c r="E83" s="871" t="s">
        <v>13</v>
      </c>
      <c r="F83" s="780">
        <v>50</v>
      </c>
      <c r="G83" s="982"/>
      <c r="H83" s="622"/>
      <c r="I83" s="982"/>
      <c r="J83" s="622"/>
      <c r="K83" s="982"/>
      <c r="L83" s="622"/>
      <c r="M83" s="982"/>
      <c r="N83" s="1080" t="s">
        <v>3292</v>
      </c>
      <c r="P83" s="878"/>
    </row>
    <row r="84" spans="1:17" s="224" customFormat="1" ht="15" hidden="1" customHeight="1" x14ac:dyDescent="0.25">
      <c r="A84" s="215">
        <v>44671</v>
      </c>
      <c r="B84" s="882" t="s">
        <v>3294</v>
      </c>
      <c r="C84" s="879" t="s">
        <v>12</v>
      </c>
      <c r="D84" s="879" t="s">
        <v>1506</v>
      </c>
      <c r="E84" s="871" t="s">
        <v>13</v>
      </c>
      <c r="F84" s="780">
        <v>50</v>
      </c>
      <c r="G84" s="982"/>
      <c r="H84" s="622"/>
      <c r="I84" s="982"/>
      <c r="J84" s="622"/>
      <c r="K84" s="982"/>
      <c r="L84" s="622"/>
      <c r="M84" s="982"/>
      <c r="N84" s="1080" t="s">
        <v>3292</v>
      </c>
      <c r="P84" s="878"/>
    </row>
    <row r="85" spans="1:17" s="224" customFormat="1" ht="15" hidden="1" customHeight="1" x14ac:dyDescent="0.25">
      <c r="A85" s="215">
        <v>44671</v>
      </c>
      <c r="B85" s="882" t="s">
        <v>3295</v>
      </c>
      <c r="C85" s="879" t="s">
        <v>12</v>
      </c>
      <c r="D85" s="879" t="s">
        <v>1524</v>
      </c>
      <c r="E85" s="871" t="s">
        <v>13</v>
      </c>
      <c r="F85" s="780">
        <v>35.9</v>
      </c>
      <c r="G85" s="982"/>
      <c r="H85" s="622"/>
      <c r="I85" s="982"/>
      <c r="J85" s="622"/>
      <c r="K85" s="982"/>
      <c r="L85" s="622"/>
      <c r="M85" s="982"/>
      <c r="N85" s="1080" t="s">
        <v>3292</v>
      </c>
      <c r="P85" s="878"/>
    </row>
    <row r="86" spans="1:17" s="224" customFormat="1" ht="15" hidden="1" customHeight="1" x14ac:dyDescent="0.25">
      <c r="A86" s="215">
        <v>44671</v>
      </c>
      <c r="B86" s="349" t="s">
        <v>260</v>
      </c>
      <c r="C86" s="350" t="s">
        <v>12</v>
      </c>
      <c r="D86" s="350"/>
      <c r="E86" s="480"/>
      <c r="F86" s="780">
        <v>400</v>
      </c>
      <c r="G86" s="946"/>
      <c r="H86" s="95"/>
      <c r="I86" s="1064">
        <v>400</v>
      </c>
      <c r="J86" s="622"/>
      <c r="K86" s="982"/>
      <c r="L86" s="1110"/>
      <c r="M86" s="627"/>
      <c r="N86" s="1080"/>
    </row>
    <row r="87" spans="1:17" s="224" customFormat="1" ht="15" hidden="1" customHeight="1" x14ac:dyDescent="0.25">
      <c r="A87" s="215">
        <v>44671</v>
      </c>
      <c r="B87" s="882" t="s">
        <v>32</v>
      </c>
      <c r="C87" s="879" t="s">
        <v>12</v>
      </c>
      <c r="D87" s="879" t="s">
        <v>1485</v>
      </c>
      <c r="E87" s="875" t="s">
        <v>13</v>
      </c>
      <c r="F87" s="780">
        <v>11</v>
      </c>
      <c r="G87" s="982"/>
      <c r="H87" s="622"/>
      <c r="I87" s="982"/>
      <c r="J87" s="622"/>
      <c r="K87" s="982"/>
      <c r="L87" s="622"/>
      <c r="M87" s="982"/>
      <c r="N87" s="927"/>
      <c r="O87" s="927"/>
      <c r="P87" s="878"/>
    </row>
    <row r="88" spans="1:17" s="224" customFormat="1" ht="15" hidden="1" customHeight="1" x14ac:dyDescent="0.25">
      <c r="A88" s="215">
        <v>44671</v>
      </c>
      <c r="B88" s="882" t="s">
        <v>14</v>
      </c>
      <c r="C88" s="879" t="s">
        <v>12</v>
      </c>
      <c r="D88" s="879" t="s">
        <v>1486</v>
      </c>
      <c r="E88" s="875" t="s">
        <v>13</v>
      </c>
      <c r="F88" s="780">
        <v>6.58</v>
      </c>
      <c r="G88" s="982"/>
      <c r="H88" s="622"/>
      <c r="I88" s="982"/>
      <c r="J88" s="622"/>
      <c r="K88" s="982"/>
      <c r="L88" s="622"/>
      <c r="M88" s="982"/>
      <c r="N88" s="927"/>
      <c r="P88" s="878"/>
    </row>
    <row r="89" spans="1:17" s="224" customFormat="1" ht="14.25" hidden="1" customHeight="1" x14ac:dyDescent="0.25">
      <c r="A89" s="215">
        <v>44672</v>
      </c>
      <c r="B89" s="882" t="s">
        <v>3296</v>
      </c>
      <c r="C89" s="879" t="s">
        <v>12</v>
      </c>
      <c r="D89" s="879" t="s">
        <v>1524</v>
      </c>
      <c r="E89" s="875" t="s">
        <v>13</v>
      </c>
      <c r="F89" s="780">
        <v>105</v>
      </c>
      <c r="G89" s="982"/>
      <c r="H89" s="622"/>
      <c r="I89" s="982"/>
      <c r="J89" s="622"/>
      <c r="K89" s="982"/>
      <c r="L89" s="622"/>
      <c r="M89" s="982"/>
      <c r="N89" s="927"/>
      <c r="P89" s="878"/>
    </row>
    <row r="90" spans="1:17" s="224" customFormat="1" ht="15" hidden="1" customHeight="1" x14ac:dyDescent="0.25">
      <c r="A90" s="215">
        <v>44672</v>
      </c>
      <c r="B90" s="882" t="s">
        <v>32</v>
      </c>
      <c r="C90" s="879" t="s">
        <v>12</v>
      </c>
      <c r="D90" s="879" t="s">
        <v>1485</v>
      </c>
      <c r="E90" s="875" t="s">
        <v>13</v>
      </c>
      <c r="F90" s="780">
        <v>18</v>
      </c>
      <c r="G90" s="982"/>
      <c r="H90" s="622"/>
      <c r="I90" s="982"/>
      <c r="J90" s="622"/>
      <c r="K90" s="982"/>
      <c r="L90" s="622"/>
      <c r="M90" s="982"/>
      <c r="N90" s="927"/>
      <c r="O90" s="927"/>
      <c r="P90" s="878"/>
    </row>
    <row r="91" spans="1:17" s="224" customFormat="1" ht="14.25" hidden="1" customHeight="1" x14ac:dyDescent="0.25">
      <c r="A91" s="215">
        <v>44672</v>
      </c>
      <c r="B91" s="882" t="s">
        <v>3297</v>
      </c>
      <c r="C91" s="879" t="s">
        <v>12</v>
      </c>
      <c r="D91" s="879" t="s">
        <v>1524</v>
      </c>
      <c r="E91" s="875" t="s">
        <v>15</v>
      </c>
      <c r="F91" s="780">
        <v>80</v>
      </c>
      <c r="G91" s="982"/>
      <c r="H91" s="622"/>
      <c r="I91" s="982"/>
      <c r="J91" s="622"/>
      <c r="K91" s="982"/>
      <c r="L91" s="622"/>
      <c r="M91" s="982"/>
      <c r="N91" s="927">
        <v>70</v>
      </c>
      <c r="P91" s="878"/>
    </row>
    <row r="92" spans="1:17" s="224" customFormat="1" ht="14.25" hidden="1" customHeight="1" x14ac:dyDescent="0.25">
      <c r="A92" s="215">
        <v>44673</v>
      </c>
      <c r="B92" s="882" t="s">
        <v>134</v>
      </c>
      <c r="C92" s="879" t="s">
        <v>12</v>
      </c>
      <c r="D92" s="879" t="s">
        <v>1493</v>
      </c>
      <c r="E92" s="875" t="s">
        <v>13</v>
      </c>
      <c r="F92" s="780">
        <v>12.91</v>
      </c>
      <c r="G92" s="982"/>
      <c r="H92" s="622"/>
      <c r="I92" s="982"/>
      <c r="J92" s="622"/>
      <c r="K92" s="982"/>
      <c r="L92" s="622"/>
      <c r="M92" s="982"/>
      <c r="N92" s="927"/>
      <c r="P92" s="878"/>
    </row>
    <row r="93" spans="1:17" s="224" customFormat="1" ht="14.25" hidden="1" customHeight="1" x14ac:dyDescent="0.25">
      <c r="A93" s="215">
        <v>44673</v>
      </c>
      <c r="B93" s="882" t="s">
        <v>3298</v>
      </c>
      <c r="C93" s="879" t="s">
        <v>12</v>
      </c>
      <c r="D93" s="879" t="s">
        <v>1524</v>
      </c>
      <c r="E93" s="875" t="s">
        <v>13</v>
      </c>
      <c r="F93" s="780">
        <v>41</v>
      </c>
      <c r="G93" s="982"/>
      <c r="H93" s="622"/>
      <c r="I93" s="982"/>
      <c r="J93" s="622"/>
      <c r="K93" s="982"/>
      <c r="L93" s="622"/>
      <c r="M93" s="982"/>
      <c r="N93" s="927"/>
      <c r="P93" s="878"/>
    </row>
    <row r="94" spans="1:17" s="224" customFormat="1" ht="15" hidden="1" customHeight="1" x14ac:dyDescent="0.25">
      <c r="A94" s="215">
        <v>44673</v>
      </c>
      <c r="B94" s="882" t="s">
        <v>3299</v>
      </c>
      <c r="C94" s="879" t="s">
        <v>12</v>
      </c>
      <c r="D94" s="879" t="s">
        <v>1489</v>
      </c>
      <c r="E94" s="871" t="s">
        <v>13</v>
      </c>
      <c r="F94" s="780">
        <v>55</v>
      </c>
      <c r="G94" s="946"/>
      <c r="H94" s="95"/>
      <c r="I94" s="1064"/>
      <c r="J94" s="622"/>
      <c r="K94" s="982"/>
      <c r="L94" s="622"/>
      <c r="M94" s="982"/>
      <c r="N94" s="861"/>
    </row>
    <row r="95" spans="1:17" s="224" customFormat="1" ht="14.25" hidden="1" customHeight="1" x14ac:dyDescent="0.25">
      <c r="A95" s="215">
        <v>44673</v>
      </c>
      <c r="B95" s="882" t="s">
        <v>2251</v>
      </c>
      <c r="C95" s="879" t="s">
        <v>12</v>
      </c>
      <c r="D95" s="879" t="s">
        <v>2157</v>
      </c>
      <c r="E95" s="871" t="s">
        <v>13</v>
      </c>
      <c r="F95" s="780">
        <v>30</v>
      </c>
      <c r="G95" s="982"/>
      <c r="H95" s="622"/>
      <c r="I95" s="982"/>
      <c r="J95" s="622"/>
      <c r="K95" s="982"/>
      <c r="L95" s="622"/>
      <c r="M95" s="982"/>
      <c r="N95" s="927"/>
      <c r="P95" s="878"/>
    </row>
    <row r="96" spans="1:17" s="224" customFormat="1" ht="15" hidden="1" customHeight="1" x14ac:dyDescent="0.25">
      <c r="A96" s="215">
        <v>44673</v>
      </c>
      <c r="B96" s="882" t="s">
        <v>2766</v>
      </c>
      <c r="C96" s="879" t="s">
        <v>12</v>
      </c>
      <c r="D96" s="879" t="s">
        <v>2157</v>
      </c>
      <c r="E96" s="871" t="s">
        <v>13</v>
      </c>
      <c r="F96" s="780">
        <v>30</v>
      </c>
      <c r="G96" s="946"/>
      <c r="H96" s="95"/>
      <c r="I96" s="1064"/>
      <c r="J96" s="622"/>
      <c r="K96" s="982"/>
      <c r="L96" s="622"/>
      <c r="M96" s="982"/>
      <c r="N96" s="861"/>
    </row>
    <row r="97" spans="1:17" s="224" customFormat="1" ht="15" hidden="1" customHeight="1" x14ac:dyDescent="0.25">
      <c r="A97" s="215">
        <v>44673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780">
        <v>10.220000000000001</v>
      </c>
      <c r="G97" s="982"/>
      <c r="H97" s="622"/>
      <c r="I97" s="982"/>
      <c r="J97" s="622"/>
      <c r="K97" s="982"/>
      <c r="L97" s="622"/>
      <c r="M97" s="982"/>
      <c r="N97" s="927"/>
      <c r="P97" s="878"/>
    </row>
    <row r="98" spans="1:17" s="224" customFormat="1" ht="15" hidden="1" customHeight="1" x14ac:dyDescent="0.25">
      <c r="A98" s="215">
        <v>44674</v>
      </c>
      <c r="B98" s="882" t="s">
        <v>14</v>
      </c>
      <c r="C98" s="879" t="s">
        <v>12</v>
      </c>
      <c r="D98" s="879" t="s">
        <v>1486</v>
      </c>
      <c r="E98" s="875" t="s">
        <v>13</v>
      </c>
      <c r="F98" s="780">
        <v>7.14</v>
      </c>
      <c r="G98" s="982"/>
      <c r="H98" s="622"/>
      <c r="I98" s="982"/>
      <c r="J98" s="622"/>
      <c r="K98" s="982"/>
      <c r="L98" s="622"/>
      <c r="M98" s="982"/>
      <c r="N98" s="927"/>
      <c r="P98" s="878"/>
    </row>
    <row r="99" spans="1:17" s="224" customFormat="1" ht="15" hidden="1" customHeight="1" x14ac:dyDescent="0.25">
      <c r="A99" s="215">
        <v>44674</v>
      </c>
      <c r="B99" s="882" t="s">
        <v>3300</v>
      </c>
      <c r="C99" s="879" t="s">
        <v>12</v>
      </c>
      <c r="D99" s="879" t="s">
        <v>1523</v>
      </c>
      <c r="E99" s="871" t="s">
        <v>13</v>
      </c>
      <c r="F99" s="780">
        <v>44</v>
      </c>
      <c r="G99" s="946"/>
      <c r="H99" s="95"/>
      <c r="I99" s="1064"/>
      <c r="J99" s="622"/>
      <c r="K99" s="982"/>
      <c r="L99" s="622"/>
      <c r="M99" s="982"/>
      <c r="N99" s="1028"/>
      <c r="Q99" s="958"/>
    </row>
    <row r="100" spans="1:17" s="224" customFormat="1" ht="15" hidden="1" customHeight="1" x14ac:dyDescent="0.25">
      <c r="A100" s="215">
        <v>44674</v>
      </c>
      <c r="B100" s="882" t="s">
        <v>2629</v>
      </c>
      <c r="C100" s="879" t="s">
        <v>12</v>
      </c>
      <c r="D100" s="879" t="s">
        <v>1489</v>
      </c>
      <c r="E100" s="871" t="s">
        <v>13</v>
      </c>
      <c r="F100" s="780">
        <v>30.29</v>
      </c>
      <c r="G100" s="946"/>
      <c r="H100" s="95"/>
      <c r="I100" s="1064"/>
      <c r="J100" s="622"/>
      <c r="K100" s="982"/>
      <c r="L100" s="622"/>
      <c r="M100" s="982"/>
      <c r="N100" s="1028"/>
      <c r="Q100" s="958"/>
    </row>
    <row r="101" spans="1:17" s="224" customFormat="1" ht="15" hidden="1" customHeight="1" x14ac:dyDescent="0.25">
      <c r="A101" s="215">
        <v>44674</v>
      </c>
      <c r="B101" s="882" t="s">
        <v>3301</v>
      </c>
      <c r="C101" s="879" t="s">
        <v>12</v>
      </c>
      <c r="D101" s="879" t="s">
        <v>1525</v>
      </c>
      <c r="E101" s="871" t="s">
        <v>13</v>
      </c>
      <c r="F101" s="780">
        <v>5</v>
      </c>
      <c r="G101" s="946"/>
      <c r="H101" s="95"/>
      <c r="I101" s="1064"/>
      <c r="J101" s="622"/>
      <c r="K101" s="982"/>
      <c r="L101" s="622"/>
      <c r="M101" s="982"/>
      <c r="N101" s="1028"/>
      <c r="Q101" s="958"/>
    </row>
    <row r="102" spans="1:17" s="224" customFormat="1" ht="15" hidden="1" customHeight="1" x14ac:dyDescent="0.25">
      <c r="A102" s="215">
        <v>44674</v>
      </c>
      <c r="B102" s="882" t="s">
        <v>3302</v>
      </c>
      <c r="C102" s="879" t="s">
        <v>12</v>
      </c>
      <c r="D102" s="879" t="s">
        <v>1489</v>
      </c>
      <c r="E102" s="871" t="s">
        <v>13</v>
      </c>
      <c r="F102" s="780">
        <v>24</v>
      </c>
      <c r="G102" s="946"/>
      <c r="H102" s="95"/>
      <c r="I102" s="1064"/>
      <c r="J102" s="622"/>
      <c r="K102" s="982"/>
      <c r="L102" s="622"/>
      <c r="M102" s="982"/>
      <c r="N102" s="1028"/>
      <c r="Q102" s="958"/>
    </row>
    <row r="103" spans="1:17" s="224" customFormat="1" ht="15" hidden="1" customHeight="1" x14ac:dyDescent="0.25">
      <c r="A103" s="215">
        <v>44675</v>
      </c>
      <c r="B103" s="882"/>
      <c r="C103" s="879"/>
      <c r="D103" s="879"/>
      <c r="E103" s="871"/>
      <c r="F103" s="780"/>
      <c r="G103" s="946"/>
      <c r="H103" s="95"/>
      <c r="I103" s="1064"/>
      <c r="J103" s="622"/>
      <c r="K103" s="982"/>
      <c r="L103" s="622"/>
      <c r="M103" s="982"/>
      <c r="N103" s="1028"/>
      <c r="Q103" s="958"/>
    </row>
    <row r="104" spans="1:17" s="224" customFormat="1" ht="15" hidden="1" customHeight="1" x14ac:dyDescent="0.25">
      <c r="A104" s="215">
        <v>44676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82"/>
      <c r="H104" s="622"/>
      <c r="I104" s="982"/>
      <c r="J104" s="622"/>
      <c r="K104" s="982"/>
      <c r="L104" s="622"/>
      <c r="M104" s="982"/>
      <c r="N104" s="927"/>
      <c r="O104" s="927"/>
      <c r="P104" s="878"/>
    </row>
    <row r="105" spans="1:17" s="224" customFormat="1" ht="15" hidden="1" customHeight="1" x14ac:dyDescent="0.25">
      <c r="A105" s="215">
        <v>44676</v>
      </c>
      <c r="B105" s="882" t="s">
        <v>2766</v>
      </c>
      <c r="C105" s="879" t="s">
        <v>12</v>
      </c>
      <c r="D105" s="879" t="s">
        <v>2157</v>
      </c>
      <c r="E105" s="871" t="s">
        <v>13</v>
      </c>
      <c r="F105" s="780">
        <v>80</v>
      </c>
      <c r="G105" s="946"/>
      <c r="H105" s="95"/>
      <c r="I105" s="1064"/>
      <c r="J105" s="622"/>
      <c r="K105" s="982"/>
      <c r="L105" s="622"/>
      <c r="M105" s="982"/>
      <c r="N105" s="861"/>
    </row>
    <row r="106" spans="1:17" s="224" customFormat="1" ht="15" hidden="1" customHeight="1" x14ac:dyDescent="0.25">
      <c r="A106" s="215">
        <v>44676</v>
      </c>
      <c r="B106" s="882" t="s">
        <v>3130</v>
      </c>
      <c r="C106" s="879" t="s">
        <v>12</v>
      </c>
      <c r="D106" s="879" t="s">
        <v>1506</v>
      </c>
      <c r="E106" s="875" t="s">
        <v>13</v>
      </c>
      <c r="F106" s="780">
        <v>25</v>
      </c>
      <c r="G106" s="946"/>
      <c r="H106" s="95"/>
      <c r="I106" s="1064"/>
      <c r="J106" s="622"/>
      <c r="K106" s="982"/>
      <c r="L106" s="622"/>
      <c r="M106" s="982"/>
      <c r="N106" s="1028"/>
      <c r="Q106" s="958"/>
    </row>
    <row r="107" spans="1:17" s="224" customFormat="1" ht="15" hidden="1" customHeight="1" x14ac:dyDescent="0.25">
      <c r="A107" s="215">
        <v>44676</v>
      </c>
      <c r="B107" s="882" t="s">
        <v>14</v>
      </c>
      <c r="C107" s="879" t="s">
        <v>12</v>
      </c>
      <c r="D107" s="879" t="s">
        <v>1486</v>
      </c>
      <c r="E107" s="875" t="s">
        <v>13</v>
      </c>
      <c r="F107" s="780">
        <v>3.6</v>
      </c>
      <c r="G107" s="946"/>
      <c r="H107" s="95"/>
      <c r="I107" s="1064"/>
      <c r="J107" s="622"/>
      <c r="K107" s="982"/>
      <c r="L107" s="622"/>
      <c r="M107" s="982"/>
      <c r="N107" s="1028"/>
      <c r="Q107" s="958"/>
    </row>
    <row r="108" spans="1:17" s="224" customFormat="1" ht="15" hidden="1" customHeight="1" x14ac:dyDescent="0.25">
      <c r="A108" s="215">
        <v>44677</v>
      </c>
      <c r="B108" s="862" t="s">
        <v>3046</v>
      </c>
      <c r="C108" s="879" t="s">
        <v>12</v>
      </c>
      <c r="D108" s="879" t="s">
        <v>1504</v>
      </c>
      <c r="E108" s="871" t="s">
        <v>13</v>
      </c>
      <c r="F108" s="622">
        <v>25.9</v>
      </c>
      <c r="G108" s="1034"/>
      <c r="H108" s="1008"/>
      <c r="I108" s="1063"/>
      <c r="J108" s="622"/>
      <c r="K108" s="982"/>
      <c r="L108" s="622"/>
      <c r="M108" s="982"/>
      <c r="N108" s="475"/>
      <c r="P108" s="878"/>
    </row>
    <row r="109" spans="1:17" s="224" customFormat="1" ht="15" hidden="1" customHeight="1" x14ac:dyDescent="0.25">
      <c r="A109" s="215">
        <v>44677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18</v>
      </c>
      <c r="G109" s="982"/>
      <c r="H109" s="1008"/>
      <c r="I109" s="1063"/>
      <c r="J109" s="622"/>
      <c r="K109" s="982"/>
      <c r="L109" s="622"/>
      <c r="M109" s="982"/>
      <c r="N109" s="1029"/>
      <c r="O109" s="89"/>
      <c r="P109" s="1081"/>
      <c r="Q109" s="1082"/>
    </row>
    <row r="110" spans="1:17" s="224" customFormat="1" ht="15" hidden="1" customHeight="1" x14ac:dyDescent="0.25">
      <c r="A110" s="215">
        <v>44677</v>
      </c>
      <c r="B110" s="873" t="s">
        <v>445</v>
      </c>
      <c r="C110" s="874" t="s">
        <v>12</v>
      </c>
      <c r="D110" s="874" t="s">
        <v>1493</v>
      </c>
      <c r="E110" s="875" t="s">
        <v>13</v>
      </c>
      <c r="F110" s="780">
        <v>5</v>
      </c>
      <c r="G110" s="982"/>
      <c r="H110" s="1008"/>
      <c r="I110" s="1063"/>
      <c r="J110" s="622"/>
      <c r="K110" s="982"/>
      <c r="L110" s="622"/>
      <c r="M110" s="982"/>
      <c r="N110" s="1029"/>
    </row>
    <row r="111" spans="1:17" s="224" customFormat="1" ht="15" hidden="1" customHeight="1" x14ac:dyDescent="0.25">
      <c r="A111" s="215">
        <v>44677</v>
      </c>
      <c r="B111" s="882" t="s">
        <v>3303</v>
      </c>
      <c r="C111" s="879" t="s">
        <v>12</v>
      </c>
      <c r="D111" s="879" t="s">
        <v>1489</v>
      </c>
      <c r="E111" s="871" t="s">
        <v>13</v>
      </c>
      <c r="F111" s="780">
        <v>15.94</v>
      </c>
      <c r="G111" s="982"/>
      <c r="H111" s="622"/>
      <c r="I111" s="982"/>
      <c r="J111" s="622"/>
      <c r="K111" s="982"/>
      <c r="L111" s="622"/>
      <c r="M111" s="982"/>
      <c r="N111" s="1028"/>
      <c r="O111" s="959"/>
      <c r="P111" s="878"/>
      <c r="Q111" s="958"/>
    </row>
    <row r="112" spans="1:17" s="224" customFormat="1" ht="15" hidden="1" customHeight="1" x14ac:dyDescent="0.25">
      <c r="A112" s="215">
        <v>44678</v>
      </c>
      <c r="B112" s="882" t="s">
        <v>32</v>
      </c>
      <c r="C112" s="879" t="s">
        <v>12</v>
      </c>
      <c r="D112" s="879" t="s">
        <v>1485</v>
      </c>
      <c r="E112" s="875" t="s">
        <v>13</v>
      </c>
      <c r="F112" s="780">
        <v>18</v>
      </c>
      <c r="G112" s="982"/>
      <c r="H112" s="622"/>
      <c r="I112" s="982"/>
      <c r="J112" s="622"/>
      <c r="K112" s="982"/>
      <c r="L112" s="622"/>
      <c r="M112" s="982"/>
      <c r="N112" s="927"/>
      <c r="O112" s="927"/>
      <c r="P112" s="878"/>
    </row>
    <row r="113" spans="1:22" s="224" customFormat="1" ht="15" hidden="1" customHeight="1" x14ac:dyDescent="0.25">
      <c r="A113" s="215">
        <v>44679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18</v>
      </c>
      <c r="G113" s="982"/>
      <c r="H113" s="1008"/>
      <c r="I113" s="1063"/>
      <c r="J113" s="622"/>
      <c r="K113" s="982"/>
      <c r="L113" s="622"/>
      <c r="M113" s="982"/>
      <c r="N113" s="1029"/>
      <c r="O113" s="89"/>
      <c r="P113" s="1081"/>
      <c r="Q113" s="1082"/>
    </row>
    <row r="114" spans="1:22" s="224" customFormat="1" ht="15" hidden="1" customHeight="1" x14ac:dyDescent="0.25">
      <c r="A114" s="215">
        <v>44679</v>
      </c>
      <c r="B114" s="873" t="s">
        <v>445</v>
      </c>
      <c r="C114" s="874" t="s">
        <v>12</v>
      </c>
      <c r="D114" s="874" t="s">
        <v>1493</v>
      </c>
      <c r="E114" s="875" t="s">
        <v>13</v>
      </c>
      <c r="F114" s="780">
        <v>5</v>
      </c>
      <c r="G114" s="982"/>
      <c r="H114" s="1008"/>
      <c r="I114" s="1063" t="s">
        <v>2009</v>
      </c>
      <c r="J114" s="622"/>
      <c r="K114" s="982"/>
      <c r="L114" s="622"/>
      <c r="M114" s="982"/>
      <c r="N114" s="1029"/>
    </row>
    <row r="115" spans="1:22" s="224" customFormat="1" ht="15" hidden="1" customHeight="1" x14ac:dyDescent="0.25">
      <c r="A115" s="215">
        <v>44680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18</v>
      </c>
      <c r="G115" s="982"/>
      <c r="H115" s="1008"/>
      <c r="I115" s="1063"/>
      <c r="J115" s="622"/>
      <c r="K115" s="982"/>
      <c r="L115" s="622"/>
      <c r="M115" s="982"/>
      <c r="N115" s="861"/>
      <c r="P115" s="1035"/>
    </row>
    <row r="116" spans="1:22" s="224" customFormat="1" ht="15" hidden="1" customHeight="1" x14ac:dyDescent="0.25">
      <c r="A116" s="215">
        <v>44680</v>
      </c>
      <c r="B116" s="349" t="s">
        <v>443</v>
      </c>
      <c r="C116" s="350" t="s">
        <v>12</v>
      </c>
      <c r="D116" s="350" t="s">
        <v>1493</v>
      </c>
      <c r="E116" s="480" t="s">
        <v>13</v>
      </c>
      <c r="F116" s="780">
        <v>15.35</v>
      </c>
      <c r="G116" s="946"/>
      <c r="H116" s="95"/>
      <c r="I116" s="1064"/>
      <c r="J116" s="622"/>
      <c r="K116" s="982"/>
      <c r="L116" s="622"/>
      <c r="M116" s="982"/>
      <c r="N116" s="861"/>
      <c r="P116" s="927"/>
      <c r="Q116" s="999"/>
    </row>
    <row r="117" spans="1:22" s="224" customFormat="1" ht="15" hidden="1" customHeight="1" x14ac:dyDescent="0.25">
      <c r="A117" s="215">
        <v>44680</v>
      </c>
      <c r="B117" s="882" t="s">
        <v>2251</v>
      </c>
      <c r="C117" s="879" t="s">
        <v>12</v>
      </c>
      <c r="D117" s="879" t="s">
        <v>2157</v>
      </c>
      <c r="E117" s="871" t="s">
        <v>15</v>
      </c>
      <c r="F117" s="780">
        <v>50</v>
      </c>
      <c r="G117" s="982"/>
      <c r="H117" s="1008"/>
      <c r="I117" s="1063"/>
      <c r="J117" s="622"/>
      <c r="K117" s="982"/>
      <c r="L117" s="622"/>
      <c r="M117" s="982"/>
      <c r="N117" s="861"/>
      <c r="P117" s="1080"/>
      <c r="Q117" s="999"/>
    </row>
    <row r="118" spans="1:22" s="224" customFormat="1" ht="15" hidden="1" customHeight="1" x14ac:dyDescent="0.25">
      <c r="A118" s="215">
        <v>44680</v>
      </c>
      <c r="B118" s="882" t="s">
        <v>3304</v>
      </c>
      <c r="C118" s="879" t="s">
        <v>12</v>
      </c>
      <c r="D118" s="879" t="s">
        <v>1489</v>
      </c>
      <c r="E118" s="871" t="s">
        <v>15</v>
      </c>
      <c r="F118" s="780">
        <v>5</v>
      </c>
      <c r="G118" s="982"/>
      <c r="H118" s="1008"/>
      <c r="I118" s="1063"/>
      <c r="J118" s="622"/>
      <c r="K118" s="982"/>
      <c r="L118" s="622"/>
      <c r="M118" s="982"/>
      <c r="N118" s="861"/>
      <c r="P118" s="1080"/>
      <c r="Q118" s="999"/>
    </row>
    <row r="119" spans="1:22" s="224" customFormat="1" ht="15" hidden="1" customHeight="1" x14ac:dyDescent="0.25">
      <c r="A119" s="215">
        <v>44681</v>
      </c>
      <c r="B119" s="882" t="s">
        <v>14</v>
      </c>
      <c r="C119" s="879" t="s">
        <v>12</v>
      </c>
      <c r="D119" s="879" t="s">
        <v>1486</v>
      </c>
      <c r="E119" s="875" t="s">
        <v>13</v>
      </c>
      <c r="F119" s="780">
        <v>10.16</v>
      </c>
      <c r="G119" s="982"/>
      <c r="H119" s="1008"/>
      <c r="I119" s="1063"/>
      <c r="J119" s="622"/>
      <c r="K119" s="982"/>
      <c r="L119" s="622"/>
      <c r="M119" s="982"/>
      <c r="N119" s="1029"/>
      <c r="O119" s="89"/>
      <c r="P119" s="1081"/>
      <c r="Q119" s="1082"/>
    </row>
    <row r="120" spans="1:22" s="224" customFormat="1" hidden="1" x14ac:dyDescent="0.25">
      <c r="A120" s="215">
        <v>44681</v>
      </c>
      <c r="B120" s="364" t="s">
        <v>82</v>
      </c>
      <c r="C120" s="350" t="s">
        <v>12</v>
      </c>
      <c r="D120" s="350" t="s">
        <v>1493</v>
      </c>
      <c r="E120" s="875" t="s">
        <v>13</v>
      </c>
      <c r="F120" s="1047">
        <v>30</v>
      </c>
      <c r="G120" s="982"/>
      <c r="H120" s="1008"/>
      <c r="I120" s="1063"/>
      <c r="J120" s="622"/>
      <c r="K120" s="982"/>
      <c r="L120" s="622"/>
      <c r="M120" s="982"/>
      <c r="N120" s="1029"/>
      <c r="O120" s="89"/>
      <c r="P120" s="930"/>
    </row>
    <row r="121" spans="1:22" s="224" customFormat="1" ht="15.75" hidden="1" thickBot="1" x14ac:dyDescent="0.3">
      <c r="A121" s="215">
        <v>44681</v>
      </c>
      <c r="B121" s="862" t="s">
        <v>1666</v>
      </c>
      <c r="C121" s="350" t="s">
        <v>12</v>
      </c>
      <c r="D121" s="1003"/>
      <c r="E121" s="145" t="s">
        <v>25</v>
      </c>
      <c r="F121" s="1036"/>
      <c r="G121" s="1535"/>
      <c r="H121" s="1008"/>
      <c r="I121" s="1063"/>
      <c r="J121" s="622"/>
      <c r="K121" s="982">
        <v>44.83</v>
      </c>
      <c r="L121" s="1036"/>
      <c r="M121" s="1535"/>
      <c r="N121" s="475"/>
      <c r="P121" s="878"/>
    </row>
    <row r="122" spans="1:22" ht="25.5" hidden="1" customHeight="1" thickBot="1" x14ac:dyDescent="0.3">
      <c r="A122" s="3060"/>
      <c r="B122" s="3061"/>
      <c r="C122" s="3062"/>
      <c r="D122" s="3062"/>
      <c r="E122" s="3062"/>
      <c r="F122" s="1020">
        <f>SUM(F6:F121)</f>
        <v>5382.41</v>
      </c>
      <c r="G122" s="1534">
        <f>SUM(G5:G121)</f>
        <v>5680.7695833333501</v>
      </c>
      <c r="H122" s="517">
        <f>SUM(H6:H121)</f>
        <v>600</v>
      </c>
      <c r="I122" s="93">
        <f>SUM(I5:I121)</f>
        <v>1599.9959999999992</v>
      </c>
      <c r="J122" s="1023">
        <f>SUM(J6:J121)</f>
        <v>0</v>
      </c>
      <c r="K122" s="93">
        <f>SUM(K5:K121)</f>
        <v>7885.2500000000018</v>
      </c>
      <c r="L122" s="1023">
        <f>SUM(L6:L121)</f>
        <v>0</v>
      </c>
      <c r="M122" s="93">
        <f>SUM(M5:M121)</f>
        <v>9735.4</v>
      </c>
      <c r="O122" s="216"/>
    </row>
    <row r="123" spans="1:22" ht="25.5" hidden="1" customHeight="1" thickBot="1" x14ac:dyDescent="0.3">
      <c r="A123" s="3117" t="s">
        <v>49</v>
      </c>
      <c r="B123" s="3118"/>
      <c r="C123" s="3118"/>
      <c r="D123" s="3118"/>
      <c r="E123" s="3118"/>
      <c r="F123" s="144" t="s">
        <v>280</v>
      </c>
      <c r="G123" s="519">
        <f>G122-F122</f>
        <v>298.3595833333502</v>
      </c>
      <c r="H123" s="555"/>
      <c r="I123" s="772">
        <f>I122-H122</f>
        <v>999.99599999999919</v>
      </c>
      <c r="J123" s="593"/>
      <c r="K123" s="772">
        <f>K122-J122</f>
        <v>7885.2500000000018</v>
      </c>
      <c r="L123" s="593"/>
      <c r="M123" s="772">
        <f>M122-L122</f>
        <v>9735.4</v>
      </c>
    </row>
    <row r="124" spans="1:22" x14ac:dyDescent="0.25">
      <c r="N124" s="89"/>
      <c r="P124" s="79"/>
      <c r="S124" s="518"/>
      <c r="T124" s="216"/>
      <c r="V124" s="877"/>
    </row>
    <row r="125" spans="1:22" x14ac:dyDescent="0.25">
      <c r="B125" s="81" t="s">
        <v>3</v>
      </c>
      <c r="C125" s="193" t="s">
        <v>1484</v>
      </c>
      <c r="D125" s="970" t="s">
        <v>2378</v>
      </c>
      <c r="E125" s="193" t="s">
        <v>3216</v>
      </c>
      <c r="F125" s="1061" t="s">
        <v>3217</v>
      </c>
      <c r="G125" s="216"/>
      <c r="K125" s="866"/>
      <c r="M125" s="866"/>
    </row>
    <row r="126" spans="1:22" x14ac:dyDescent="0.25">
      <c r="B126" s="79" t="s">
        <v>32</v>
      </c>
      <c r="C126" s="85" t="s">
        <v>1485</v>
      </c>
      <c r="D126" s="475">
        <f>SUMIF($D$7:$D$121,"A",$F$7:$F$121)</f>
        <v>362.5</v>
      </c>
      <c r="E126" s="1202">
        <f>D126/$J$145</f>
        <v>12.083333333333334</v>
      </c>
      <c r="F126" s="1203">
        <f>E126/$C$146</f>
        <v>8.5886227403037418E-2</v>
      </c>
      <c r="G126" s="800"/>
      <c r="I126" s="769"/>
      <c r="J126" s="868"/>
      <c r="L126" s="868"/>
    </row>
    <row r="127" spans="1:22" x14ac:dyDescent="0.25">
      <c r="B127" s="79" t="s">
        <v>2187</v>
      </c>
      <c r="C127" s="85" t="s">
        <v>2157</v>
      </c>
      <c r="D127" s="475">
        <f>SUMIF($D$7:$D$121,"GAC",$F$7:$F$121)</f>
        <v>590</v>
      </c>
      <c r="E127" s="1202">
        <f t="shared" ref="E127:E143" si="0">D127/$J$145</f>
        <v>19.666666666666668</v>
      </c>
      <c r="F127" s="1203">
        <f t="shared" ref="F127:F143" si="1">E127/$C$146</f>
        <v>0.13978723908356436</v>
      </c>
      <c r="G127" s="609"/>
      <c r="J127" s="754"/>
      <c r="K127" s="886"/>
      <c r="L127" s="754"/>
      <c r="M127" s="886"/>
      <c r="N127" s="1030"/>
    </row>
    <row r="128" spans="1:22" x14ac:dyDescent="0.25">
      <c r="B128" s="79" t="s">
        <v>2188</v>
      </c>
      <c r="C128" s="85" t="s">
        <v>2168</v>
      </c>
      <c r="D128" s="475">
        <f>SUMIF($D$23:$D$121,"GAM",$F$23:$F$121)</f>
        <v>0</v>
      </c>
      <c r="E128" s="1202">
        <f t="shared" si="0"/>
        <v>0</v>
      </c>
      <c r="F128" s="1203">
        <f t="shared" si="1"/>
        <v>0</v>
      </c>
      <c r="J128" s="864"/>
      <c r="K128" s="864"/>
      <c r="L128" s="864"/>
      <c r="M128" s="864"/>
      <c r="N128" s="958"/>
    </row>
    <row r="129" spans="1:16" s="85" customFormat="1" x14ac:dyDescent="0.25">
      <c r="A129" s="79"/>
      <c r="B129" s="79" t="s">
        <v>50</v>
      </c>
      <c r="C129" s="85" t="s">
        <v>1493</v>
      </c>
      <c r="D129" s="475">
        <f>SUMIF($D$7:$D$121,"LD",$F$7:$F$121)</f>
        <v>224.78</v>
      </c>
      <c r="E129" s="1202">
        <f t="shared" si="0"/>
        <v>7.4926666666666666</v>
      </c>
      <c r="F129" s="1203">
        <f t="shared" si="1"/>
        <v>5.3256568815599307E-2</v>
      </c>
      <c r="J129" s="864"/>
      <c r="K129" s="1032"/>
      <c r="L129" s="864"/>
      <c r="M129" s="1032"/>
      <c r="N129" s="958"/>
      <c r="P129" s="877"/>
    </row>
    <row r="130" spans="1:16" s="85" customFormat="1" x14ac:dyDescent="0.25">
      <c r="A130" s="79"/>
      <c r="B130" s="79" t="s">
        <v>14</v>
      </c>
      <c r="C130" s="85" t="s">
        <v>1486</v>
      </c>
      <c r="D130" s="475">
        <f>SUMIF($D$7:$D$121,"C",$F$7:$F$121)</f>
        <v>111.19999999999997</v>
      </c>
      <c r="E130" s="1202">
        <f t="shared" si="0"/>
        <v>3.7066666666666657</v>
      </c>
      <c r="F130" s="1203">
        <f t="shared" si="1"/>
        <v>2.6346340654393813E-2</v>
      </c>
      <c r="G130" s="79"/>
      <c r="H130" s="79"/>
      <c r="J130" s="864"/>
      <c r="K130" s="1032"/>
      <c r="L130" s="864"/>
      <c r="M130" s="1032"/>
      <c r="N130" s="958"/>
      <c r="P130" s="877"/>
    </row>
    <row r="131" spans="1:16" s="85" customFormat="1" x14ac:dyDescent="0.25">
      <c r="A131" s="79"/>
      <c r="B131" s="79" t="s">
        <v>51</v>
      </c>
      <c r="C131" s="864" t="s">
        <v>1499</v>
      </c>
      <c r="D131" s="475">
        <f>SUMIF($D$28:$D$121,"CAL",$F$28:$F$121)</f>
        <v>176.5</v>
      </c>
      <c r="E131" s="1202">
        <f t="shared" si="0"/>
        <v>5.8833333333333337</v>
      </c>
      <c r="F131" s="1203">
        <f t="shared" si="1"/>
        <v>4.1817707963134082E-2</v>
      </c>
      <c r="G131" s="79"/>
      <c r="H131" s="79"/>
      <c r="I131" s="79"/>
      <c r="K131" s="795"/>
      <c r="M131" s="795"/>
      <c r="N131" s="958"/>
      <c r="P131" s="877"/>
    </row>
    <row r="132" spans="1:16" s="85" customFormat="1" x14ac:dyDescent="0.25">
      <c r="A132" s="79"/>
      <c r="B132" s="79" t="s">
        <v>2189</v>
      </c>
      <c r="C132" s="864" t="s">
        <v>1496</v>
      </c>
      <c r="D132" s="475">
        <f>SUMIF($D$24:$D$121,"AC",$F$24:$F$121)</f>
        <v>80</v>
      </c>
      <c r="E132" s="1202">
        <f t="shared" si="0"/>
        <v>2.6666666666666665</v>
      </c>
      <c r="F132" s="1203">
        <f t="shared" si="1"/>
        <v>1.8954201909635843E-2</v>
      </c>
      <c r="G132" s="79"/>
      <c r="K132" s="177"/>
      <c r="M132" s="177"/>
      <c r="N132" s="941"/>
      <c r="P132" s="877"/>
    </row>
    <row r="133" spans="1:16" s="85" customFormat="1" x14ac:dyDescent="0.25">
      <c r="A133" s="79"/>
      <c r="B133" s="867" t="s">
        <v>53</v>
      </c>
      <c r="C133" s="864" t="s">
        <v>1522</v>
      </c>
      <c r="D133" s="475">
        <f>SUMIF($D$7:$D$121,"DC",$F$7:$F$121)</f>
        <v>575.88</v>
      </c>
      <c r="E133" s="1202">
        <f t="shared" si="0"/>
        <v>19.196000000000002</v>
      </c>
      <c r="F133" s="1203">
        <f t="shared" si="1"/>
        <v>0.13644182244651362</v>
      </c>
      <c r="K133" s="177"/>
      <c r="M133" s="177"/>
      <c r="N133" s="475"/>
      <c r="P133" s="877"/>
    </row>
    <row r="134" spans="1:16" s="85" customFormat="1" x14ac:dyDescent="0.25">
      <c r="A134" s="79"/>
      <c r="B134" s="867" t="s">
        <v>2149</v>
      </c>
      <c r="C134" s="864" t="s">
        <v>2131</v>
      </c>
      <c r="D134" s="475">
        <f>SUMIF($D$6:$D$121,"DM",$F$6:$F$121)</f>
        <v>0</v>
      </c>
      <c r="E134" s="1202">
        <f t="shared" si="0"/>
        <v>0</v>
      </c>
      <c r="F134" s="1203">
        <f t="shared" si="1"/>
        <v>0</v>
      </c>
      <c r="K134" s="177" t="s">
        <v>280</v>
      </c>
      <c r="M134" s="177" t="s">
        <v>280</v>
      </c>
      <c r="N134" s="475"/>
      <c r="P134" s="877"/>
    </row>
    <row r="135" spans="1:16" s="85" customFormat="1" x14ac:dyDescent="0.25">
      <c r="A135" s="79"/>
      <c r="B135" s="79" t="s">
        <v>3048</v>
      </c>
      <c r="C135" s="864" t="s">
        <v>1523</v>
      </c>
      <c r="D135" s="475">
        <f ca="1">SUMIF($D$23:$D$122,"B",$F$23:$F$121)</f>
        <v>74</v>
      </c>
      <c r="E135" s="1202">
        <f t="shared" ca="1" si="0"/>
        <v>2.4666666666666668</v>
      </c>
      <c r="F135" s="1203">
        <f t="shared" ca="1" si="1"/>
        <v>1.7532636766413156E-2</v>
      </c>
      <c r="G135" s="866"/>
      <c r="K135" s="177"/>
      <c r="M135" s="177"/>
      <c r="N135" s="475"/>
      <c r="P135" s="877"/>
    </row>
    <row r="136" spans="1:16" s="85" customFormat="1" x14ac:dyDescent="0.25">
      <c r="A136" s="79"/>
      <c r="B136" s="79" t="s">
        <v>1686</v>
      </c>
      <c r="C136" s="864" t="s">
        <v>1506</v>
      </c>
      <c r="D136" s="475">
        <f>SUMIF($D$23:$D$121,"R",$F$23:$F$121)</f>
        <v>252.9</v>
      </c>
      <c r="E136" s="1202">
        <f t="shared" si="0"/>
        <v>8.43</v>
      </c>
      <c r="F136" s="1203">
        <f t="shared" si="1"/>
        <v>5.9918970786836306E-2</v>
      </c>
      <c r="G136" s="868"/>
      <c r="K136" s="866"/>
      <c r="M136" s="866"/>
      <c r="N136" s="475"/>
      <c r="P136" s="877"/>
    </row>
    <row r="137" spans="1:16" x14ac:dyDescent="0.25">
      <c r="B137" s="79" t="s">
        <v>418</v>
      </c>
      <c r="C137" s="85" t="s">
        <v>1524</v>
      </c>
      <c r="D137" s="475">
        <f>SUMIF($D$28:$D$121,"COM",$F$28:$F$121)</f>
        <v>261.89999999999998</v>
      </c>
      <c r="E137" s="1202">
        <f t="shared" si="0"/>
        <v>8.7299999999999986</v>
      </c>
      <c r="F137" s="1203">
        <f t="shared" si="1"/>
        <v>6.2051318501670331E-2</v>
      </c>
      <c r="G137" s="85"/>
      <c r="H137" s="85"/>
      <c r="I137" s="85"/>
      <c r="J137" s="769"/>
      <c r="K137" s="216"/>
      <c r="L137" s="769"/>
      <c r="M137" s="216"/>
    </row>
    <row r="138" spans="1:16" x14ac:dyDescent="0.25">
      <c r="B138" s="79" t="s">
        <v>419</v>
      </c>
      <c r="C138" s="85" t="s">
        <v>1491</v>
      </c>
      <c r="D138" s="475">
        <f>SUMIF($D$24:$D$121,"F",$F$24:$F$121)</f>
        <v>650</v>
      </c>
      <c r="E138" s="1202">
        <f t="shared" si="0"/>
        <v>21.666666666666668</v>
      </c>
      <c r="F138" s="1203">
        <f t="shared" si="1"/>
        <v>0.15400289051579122</v>
      </c>
      <c r="I138" s="85"/>
      <c r="K138" s="216"/>
      <c r="M138" s="216"/>
    </row>
    <row r="139" spans="1:16" x14ac:dyDescent="0.25">
      <c r="B139" s="79" t="s">
        <v>911</v>
      </c>
      <c r="C139" s="85" t="s">
        <v>1525</v>
      </c>
      <c r="D139" s="475">
        <f>SUMIF($D$7:$D$121,"FER",$F$7:$F$121)</f>
        <v>495</v>
      </c>
      <c r="E139" s="1202">
        <f t="shared" si="0"/>
        <v>16.5</v>
      </c>
      <c r="F139" s="1203">
        <f t="shared" si="1"/>
        <v>0.11727912431587177</v>
      </c>
      <c r="J139" s="769"/>
      <c r="K139" s="868"/>
      <c r="L139" s="769"/>
      <c r="M139" s="868"/>
    </row>
    <row r="140" spans="1:16" x14ac:dyDescent="0.25">
      <c r="B140" s="79" t="s">
        <v>1526</v>
      </c>
      <c r="C140" s="85" t="s">
        <v>1504</v>
      </c>
      <c r="D140" s="475">
        <f>SUMIF($D$28:$D$121,"I",$F$28:$F$121)</f>
        <v>75.900000000000006</v>
      </c>
      <c r="E140" s="1202">
        <f t="shared" si="0"/>
        <v>2.5300000000000002</v>
      </c>
      <c r="F140" s="1203">
        <f t="shared" si="1"/>
        <v>1.7982799061767009E-2</v>
      </c>
      <c r="J140" s="769"/>
      <c r="K140" s="868"/>
      <c r="L140" s="769"/>
      <c r="M140" s="868"/>
    </row>
    <row r="141" spans="1:16" x14ac:dyDescent="0.25">
      <c r="B141" s="79" t="s">
        <v>2343</v>
      </c>
      <c r="C141" s="85" t="s">
        <v>2315</v>
      </c>
      <c r="D141" s="475">
        <f>SUMIF($D$23:$D$121,"E",$F$23:$F$121)</f>
        <v>0</v>
      </c>
      <c r="E141" s="1202">
        <f t="shared" si="0"/>
        <v>0</v>
      </c>
      <c r="F141" s="1203">
        <f t="shared" si="1"/>
        <v>0</v>
      </c>
      <c r="J141" s="769"/>
      <c r="K141" s="868"/>
      <c r="L141" s="769"/>
      <c r="M141" s="868"/>
    </row>
    <row r="142" spans="1:16" x14ac:dyDescent="0.25">
      <c r="B142" s="79" t="s">
        <v>3019</v>
      </c>
      <c r="C142" s="85" t="s">
        <v>3017</v>
      </c>
      <c r="D142" s="475">
        <f>SUMIF($D$6:$D$121,"IM",$F$6:$F$121)</f>
        <v>649.41999999999996</v>
      </c>
      <c r="E142" s="1202">
        <f t="shared" si="0"/>
        <v>21.647333333333332</v>
      </c>
      <c r="F142" s="1203">
        <f t="shared" si="1"/>
        <v>0.15386547255194635</v>
      </c>
      <c r="J142" s="769"/>
      <c r="L142" s="769"/>
    </row>
    <row r="143" spans="1:16" x14ac:dyDescent="0.25">
      <c r="B143" s="79" t="s">
        <v>1527</v>
      </c>
      <c r="C143" s="85" t="s">
        <v>1489</v>
      </c>
      <c r="D143" s="475">
        <f>SUMIF($D$23:$D$121,"OD",$F$23:$F$121)</f>
        <v>402.43</v>
      </c>
      <c r="E143" s="1202">
        <f t="shared" si="0"/>
        <v>13.414333333333333</v>
      </c>
      <c r="F143" s="1203">
        <f t="shared" si="1"/>
        <v>9.5346743431184405E-2</v>
      </c>
    </row>
    <row r="144" spans="1:16" x14ac:dyDescent="0.25">
      <c r="C144" s="79"/>
      <c r="D144" s="629"/>
      <c r="E144" s="79"/>
      <c r="F144" s="79"/>
      <c r="N144" s="79"/>
      <c r="P144" s="79"/>
    </row>
    <row r="145" spans="1:20" x14ac:dyDescent="0.25">
      <c r="B145" s="79" t="s">
        <v>486</v>
      </c>
      <c r="C145" s="475">
        <f ca="1">H145/J145</f>
        <v>166.08033333333336</v>
      </c>
      <c r="F145" s="518" t="s">
        <v>487</v>
      </c>
      <c r="H145" s="629">
        <f ca="1">SUM(D126:D143)</f>
        <v>4982.4100000000008</v>
      </c>
      <c r="I145" s="216"/>
      <c r="J145" s="1517">
        <v>30</v>
      </c>
      <c r="L145" s="1517"/>
    </row>
    <row r="146" spans="1:20" ht="15.75" customHeight="1" x14ac:dyDescent="0.25">
      <c r="B146" s="1124" t="s">
        <v>3272</v>
      </c>
      <c r="C146" s="1125">
        <v>140.69</v>
      </c>
      <c r="E146" s="769"/>
      <c r="H146" s="85"/>
      <c r="K146" s="868"/>
      <c r="M146" s="868"/>
    </row>
    <row r="147" spans="1:20" x14ac:dyDescent="0.25">
      <c r="E147" s="79"/>
      <c r="F147" s="79"/>
      <c r="G147" s="85"/>
      <c r="H147" s="459"/>
      <c r="I147" s="85"/>
      <c r="J147" s="89"/>
      <c r="L147" s="89"/>
      <c r="N147" s="769"/>
      <c r="O147" s="518" t="s">
        <v>280</v>
      </c>
      <c r="P147" s="79"/>
      <c r="Q147" s="866"/>
      <c r="R147" s="484"/>
      <c r="T147" s="877"/>
    </row>
    <row r="148" spans="1:20" s="518" customFormat="1" x14ac:dyDescent="0.25">
      <c r="A148" s="79"/>
      <c r="B148" s="79"/>
      <c r="C148" s="1126">
        <f ca="1">C146-C145</f>
        <v>-25.390333333333359</v>
      </c>
      <c r="D148" s="1204">
        <f ca="1">C145/C146</f>
        <v>1.1804700642073591</v>
      </c>
      <c r="E148" s="79"/>
      <c r="F148" s="769"/>
      <c r="G148" s="85"/>
      <c r="H148" s="85"/>
      <c r="I148" s="89"/>
      <c r="J148" s="79"/>
      <c r="K148" s="79"/>
      <c r="L148" s="79"/>
      <c r="M148" s="79"/>
      <c r="N148" s="79"/>
      <c r="O148" s="79"/>
      <c r="P148" s="866"/>
      <c r="Q148" s="484"/>
      <c r="R148" s="79"/>
      <c r="S148" s="877"/>
      <c r="T148" s="79"/>
    </row>
    <row r="149" spans="1:20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484"/>
      <c r="O149" s="79"/>
      <c r="P149" s="877"/>
      <c r="Q149" s="79"/>
    </row>
    <row r="150" spans="1:20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484"/>
      <c r="O150" s="79"/>
      <c r="P150" s="877"/>
      <c r="Q150" s="79"/>
    </row>
    <row r="151" spans="1:20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216"/>
      <c r="J151" s="769"/>
      <c r="K151" s="866"/>
      <c r="L151" s="769"/>
      <c r="M151" s="866"/>
      <c r="N151" s="484"/>
      <c r="O151" s="79"/>
      <c r="P151" s="877"/>
      <c r="Q151" s="79"/>
    </row>
    <row r="152" spans="1:20" s="518" customFormat="1" x14ac:dyDescent="0.25">
      <c r="A152" s="79"/>
      <c r="B152" s="79"/>
      <c r="C152" s="79"/>
      <c r="D152" s="79"/>
      <c r="E152" s="79"/>
      <c r="F152" s="79"/>
      <c r="G152" s="79"/>
      <c r="H152" s="79"/>
      <c r="K152" s="866"/>
      <c r="M152" s="866"/>
      <c r="N152" s="484"/>
      <c r="O152" s="79"/>
      <c r="P152" s="877"/>
      <c r="Q152" s="79"/>
    </row>
    <row r="153" spans="1:20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484"/>
      <c r="O153" s="79"/>
      <c r="P153" s="877"/>
      <c r="Q153" s="79"/>
    </row>
    <row r="154" spans="1:20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8"/>
      <c r="L154" s="769"/>
      <c r="M154" s="868"/>
      <c r="N154" s="484"/>
      <c r="O154" s="79"/>
      <c r="P154" s="877"/>
      <c r="Q154" s="79"/>
    </row>
    <row r="155" spans="1:20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216"/>
      <c r="J155" s="769"/>
      <c r="K155" s="866"/>
      <c r="L155" s="769"/>
      <c r="M155" s="866"/>
      <c r="N155" s="484"/>
      <c r="O155" s="79"/>
      <c r="P155" s="877"/>
      <c r="Q155" s="79"/>
    </row>
    <row r="156" spans="1:20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79"/>
      <c r="J156" s="770"/>
      <c r="K156" s="866"/>
      <c r="L156" s="770"/>
      <c r="M156" s="866"/>
      <c r="N156" s="484"/>
      <c r="O156" s="79"/>
      <c r="P156" s="877"/>
      <c r="Q156" s="79"/>
    </row>
    <row r="157" spans="1:20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484"/>
      <c r="O157" s="79"/>
      <c r="P157" s="877"/>
      <c r="Q157" s="79"/>
    </row>
    <row r="158" spans="1:20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484"/>
      <c r="O158" s="79"/>
      <c r="P158" s="877"/>
      <c r="Q158" s="79"/>
    </row>
    <row r="159" spans="1:20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629"/>
      <c r="J159" s="769"/>
      <c r="K159" s="866"/>
      <c r="L159" s="769"/>
      <c r="M159" s="866"/>
      <c r="N159" s="484"/>
      <c r="O159" s="79"/>
      <c r="P159" s="877"/>
      <c r="Q159" s="79"/>
    </row>
    <row r="160" spans="1:20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484"/>
      <c r="O160" s="79"/>
      <c r="P160" s="877"/>
      <c r="Q160" s="79"/>
    </row>
    <row r="161" spans="1:17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484"/>
      <c r="O161" s="79"/>
      <c r="P161" s="877"/>
      <c r="Q161" s="79"/>
    </row>
    <row r="162" spans="1:17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484"/>
      <c r="O162" s="79"/>
      <c r="P162" s="877"/>
      <c r="Q162" s="79"/>
    </row>
    <row r="163" spans="1:17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484"/>
      <c r="O163" s="79"/>
      <c r="P163" s="877"/>
      <c r="Q163" s="79"/>
    </row>
    <row r="164" spans="1:17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484"/>
      <c r="O164" s="79"/>
      <c r="P164" s="877"/>
      <c r="Q164" s="79"/>
    </row>
    <row r="165" spans="1:17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484"/>
      <c r="O165" s="79"/>
      <c r="P165" s="877"/>
      <c r="Q165" s="79"/>
    </row>
    <row r="166" spans="1:17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484"/>
      <c r="O166" s="79"/>
      <c r="P166" s="877"/>
      <c r="Q166" s="79"/>
    </row>
    <row r="167" spans="1:17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484"/>
      <c r="O167" s="79"/>
      <c r="P167" s="877"/>
      <c r="Q167" s="79"/>
    </row>
    <row r="168" spans="1:17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769"/>
      <c r="M168" s="866"/>
      <c r="N168" s="484"/>
      <c r="O168" s="79"/>
      <c r="P168" s="877"/>
      <c r="Q168" s="79"/>
    </row>
    <row r="169" spans="1:17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484"/>
      <c r="O169" s="79"/>
      <c r="P169" s="877"/>
      <c r="Q169" s="79"/>
    </row>
    <row r="170" spans="1:17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484"/>
      <c r="O170" s="79"/>
      <c r="P170" s="877"/>
      <c r="Q170" s="79"/>
    </row>
    <row r="171" spans="1:17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484"/>
      <c r="O171" s="79"/>
      <c r="P171" s="877"/>
      <c r="Q171" s="79"/>
    </row>
    <row r="172" spans="1:17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484"/>
      <c r="O172" s="79"/>
      <c r="P172" s="877"/>
      <c r="Q172" s="79"/>
    </row>
    <row r="173" spans="1:17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769"/>
      <c r="M173" s="868"/>
      <c r="N173" s="484"/>
      <c r="O173" s="79"/>
      <c r="P173" s="877"/>
      <c r="Q173" s="79"/>
    </row>
    <row r="174" spans="1:17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484"/>
      <c r="O174" s="79"/>
      <c r="P174" s="877"/>
      <c r="Q174" s="79"/>
    </row>
    <row r="175" spans="1:17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484"/>
      <c r="O175" s="79"/>
      <c r="P175" s="877"/>
      <c r="Q175" s="79"/>
    </row>
    <row r="176" spans="1:17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8"/>
      <c r="L176" s="769"/>
      <c r="M176" s="868"/>
      <c r="N176" s="484"/>
      <c r="O176" s="79"/>
      <c r="P176" s="877"/>
      <c r="Q176" s="79"/>
    </row>
    <row r="177" spans="1:17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484"/>
      <c r="O177" s="79"/>
      <c r="P177" s="877"/>
      <c r="Q177" s="79"/>
    </row>
    <row r="178" spans="1:17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769"/>
      <c r="M178" s="866"/>
      <c r="N178" s="484"/>
      <c r="O178" s="79"/>
      <c r="P178" s="877"/>
      <c r="Q178" s="79"/>
    </row>
    <row r="179" spans="1:17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484"/>
      <c r="O179" s="79"/>
      <c r="P179" s="877"/>
      <c r="Q179" s="79"/>
    </row>
    <row r="180" spans="1:17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484"/>
      <c r="O180" s="79"/>
      <c r="P180" s="877"/>
      <c r="Q180" s="79"/>
    </row>
    <row r="181" spans="1:17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484"/>
      <c r="O181" s="79"/>
      <c r="P181" s="877"/>
      <c r="Q181" s="79"/>
    </row>
    <row r="182" spans="1:17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769"/>
      <c r="M182" s="868"/>
      <c r="N182" s="484"/>
      <c r="O182" s="79"/>
      <c r="P182" s="877"/>
      <c r="Q182" s="79"/>
    </row>
    <row r="183" spans="1:17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6"/>
      <c r="L183" s="769"/>
      <c r="M183" s="866"/>
      <c r="N183" s="484"/>
      <c r="O183" s="79"/>
      <c r="P183" s="877"/>
      <c r="Q183" s="79"/>
    </row>
    <row r="184" spans="1:17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223"/>
      <c r="K184" s="629"/>
      <c r="L184" s="223"/>
      <c r="M184" s="629"/>
      <c r="N184" s="484"/>
      <c r="O184" s="79"/>
      <c r="P184" s="877"/>
      <c r="Q184" s="79"/>
    </row>
    <row r="185" spans="1:17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56"/>
      <c r="K185" s="756"/>
      <c r="L185" s="756"/>
      <c r="M185" s="756"/>
      <c r="N185" s="484"/>
      <c r="O185" s="79"/>
      <c r="P185" s="877"/>
      <c r="Q185" s="79"/>
    </row>
    <row r="186" spans="1:17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484"/>
      <c r="O186" s="79"/>
      <c r="P186" s="877"/>
      <c r="Q186" s="79"/>
    </row>
    <row r="187" spans="1:17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484"/>
      <c r="O187" s="79"/>
      <c r="P187" s="877"/>
      <c r="Q187" s="79"/>
    </row>
    <row r="188" spans="1:17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484"/>
      <c r="O188" s="79"/>
      <c r="P188" s="877"/>
      <c r="Q188" s="79"/>
    </row>
    <row r="189" spans="1:17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484"/>
      <c r="O189" s="79"/>
      <c r="P189" s="877"/>
      <c r="Q189" s="79"/>
    </row>
    <row r="190" spans="1:17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85"/>
      <c r="K190" s="85"/>
      <c r="L190" s="85"/>
      <c r="M190" s="85"/>
      <c r="N190" s="484"/>
      <c r="O190" s="79"/>
      <c r="P190" s="877"/>
      <c r="Q190" s="79"/>
    </row>
    <row r="191" spans="1:17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484"/>
      <c r="O191" s="79"/>
      <c r="P191" s="877"/>
      <c r="Q191" s="79"/>
    </row>
    <row r="192" spans="1:17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484"/>
      <c r="O192" s="79"/>
      <c r="P192" s="877"/>
      <c r="Q192" s="79"/>
    </row>
    <row r="193" spans="1:17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484"/>
      <c r="O193" s="79"/>
      <c r="P193" s="877"/>
      <c r="Q193" s="79"/>
    </row>
    <row r="194" spans="1:17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484"/>
      <c r="O194" s="79"/>
      <c r="P194" s="877"/>
      <c r="Q194" s="79"/>
    </row>
    <row r="195" spans="1:17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484"/>
      <c r="O195" s="79"/>
      <c r="P195" s="877"/>
      <c r="Q195" s="79"/>
    </row>
    <row r="196" spans="1:17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484"/>
      <c r="O196" s="79"/>
      <c r="P196" s="877"/>
      <c r="Q196" s="79"/>
    </row>
    <row r="197" spans="1:17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85"/>
      <c r="K197" s="85"/>
      <c r="L197" s="85"/>
      <c r="M197" s="85"/>
      <c r="N197" s="484"/>
      <c r="O197" s="79"/>
      <c r="P197" s="877"/>
      <c r="Q197" s="79"/>
    </row>
    <row r="198" spans="1:17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484"/>
      <c r="O198" s="79"/>
      <c r="P198" s="877"/>
      <c r="Q198" s="79"/>
    </row>
    <row r="199" spans="1:17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484"/>
      <c r="O199" s="79"/>
      <c r="P199" s="877"/>
      <c r="Q199" s="79"/>
    </row>
    <row r="200" spans="1:17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484"/>
      <c r="O200" s="79"/>
      <c r="P200" s="877"/>
      <c r="Q200" s="79"/>
    </row>
    <row r="201" spans="1:17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484"/>
      <c r="O201" s="79"/>
      <c r="P201" s="877"/>
      <c r="Q201" s="79"/>
    </row>
    <row r="202" spans="1:17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484"/>
      <c r="O202" s="79"/>
      <c r="P202" s="877"/>
      <c r="Q202" s="79"/>
    </row>
    <row r="203" spans="1:17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484"/>
      <c r="O203" s="79"/>
      <c r="P203" s="877"/>
      <c r="Q203" s="79"/>
    </row>
    <row r="204" spans="1:17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71"/>
      <c r="L204" s="771"/>
      <c r="N204" s="484"/>
      <c r="O204" s="79"/>
      <c r="P204" s="877"/>
      <c r="Q204" s="79"/>
    </row>
    <row r="205" spans="1:17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484"/>
      <c r="O205" s="79"/>
      <c r="P205" s="877"/>
      <c r="Q205" s="79"/>
    </row>
    <row r="212" spans="1:17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484"/>
      <c r="O212" s="79"/>
      <c r="P212" s="877"/>
      <c r="Q212" s="79"/>
    </row>
    <row r="213" spans="1:17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484"/>
      <c r="O213" s="79"/>
      <c r="P213" s="877"/>
      <c r="Q213" s="79"/>
    </row>
    <row r="214" spans="1:17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484"/>
      <c r="O214" s="79"/>
      <c r="P214" s="877"/>
      <c r="Q214" s="79"/>
    </row>
    <row r="215" spans="1:17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484"/>
      <c r="O215" s="79"/>
      <c r="P215" s="877"/>
      <c r="Q215" s="79"/>
    </row>
    <row r="217" spans="1:17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484"/>
      <c r="O217" s="79"/>
      <c r="P217" s="877"/>
      <c r="Q217" s="79"/>
    </row>
    <row r="219" spans="1:17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629"/>
      <c r="L219" s="79"/>
      <c r="M219" s="629"/>
      <c r="N219" s="484"/>
      <c r="O219" s="79"/>
      <c r="P219" s="877"/>
      <c r="Q219" s="79"/>
    </row>
    <row r="225" spans="1:17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484"/>
      <c r="O225" s="79"/>
      <c r="P225" s="877"/>
      <c r="Q225" s="79"/>
    </row>
    <row r="226" spans="1:17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484"/>
      <c r="O226" s="79"/>
      <c r="P226" s="877"/>
      <c r="Q226" s="79"/>
    </row>
    <row r="227" spans="1:17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484"/>
      <c r="O227" s="79"/>
      <c r="P227" s="877"/>
      <c r="Q227" s="79"/>
    </row>
    <row r="228" spans="1:17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484"/>
      <c r="O228" s="79"/>
      <c r="P228" s="877"/>
      <c r="Q228" s="79"/>
    </row>
    <row r="229" spans="1:17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484"/>
      <c r="O229" s="79"/>
      <c r="P229" s="877"/>
      <c r="Q229" s="79"/>
    </row>
    <row r="230" spans="1:17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484"/>
      <c r="O230" s="79"/>
      <c r="P230" s="877"/>
      <c r="Q230" s="79"/>
    </row>
    <row r="231" spans="1:17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484"/>
      <c r="O231" s="79"/>
      <c r="P231" s="877"/>
      <c r="Q231" s="79"/>
    </row>
    <row r="232" spans="1:17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484"/>
      <c r="O232" s="79"/>
      <c r="P232" s="877"/>
      <c r="Q232" s="79"/>
    </row>
    <row r="233" spans="1:17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484"/>
      <c r="O233" s="79"/>
      <c r="P233" s="877"/>
      <c r="Q233" s="79"/>
    </row>
  </sheetData>
  <autoFilter ref="A2:M123" xr:uid="{00000000-0009-0000-0000-00007B000000}">
    <filterColumn colId="3">
      <filters>
        <filter val="DC"/>
      </filters>
    </filterColumn>
    <filterColumn colId="5" showButton="0"/>
    <filterColumn colId="7" showButton="0"/>
    <filterColumn colId="9" showButton="0"/>
    <filterColumn colId="11" showButton="0"/>
  </autoFilter>
  <mergeCells count="14">
    <mergeCell ref="L2:M3"/>
    <mergeCell ref="N79:U79"/>
    <mergeCell ref="A122:E122"/>
    <mergeCell ref="A123:E123"/>
    <mergeCell ref="A1:E1"/>
    <mergeCell ref="F1:M1"/>
    <mergeCell ref="A2:A4"/>
    <mergeCell ref="B2:B4"/>
    <mergeCell ref="C2:C4"/>
    <mergeCell ref="D2:D4"/>
    <mergeCell ref="E2:E4"/>
    <mergeCell ref="H2:I3"/>
    <mergeCell ref="J2:K3"/>
    <mergeCell ref="F2:G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Plan106"/>
  <dimension ref="A1:AN230"/>
  <sheetViews>
    <sheetView zoomScale="85" zoomScaleNormal="85" workbookViewId="0">
      <pane ySplit="4" topLeftCell="A8" activePane="bottomLeft" state="frozen"/>
      <selection activeCell="C44" sqref="C44"/>
      <selection pane="bottomLeft" activeCell="C44" sqref="C4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5" width="13.42578125" style="79" customWidth="1"/>
    <col min="16" max="16" width="12" style="484" customWidth="1"/>
    <col min="17" max="17" width="10.28515625" style="79" customWidth="1"/>
    <col min="18" max="18" width="12" style="877" customWidth="1"/>
    <col min="19" max="19" width="16.140625" style="79" customWidth="1"/>
    <col min="20" max="16384" width="9.140625" style="79"/>
  </cols>
  <sheetData>
    <row r="1" spans="1:19" ht="27" customHeight="1" thickBot="1" x14ac:dyDescent="0.3">
      <c r="A1" s="3053" t="s">
        <v>0</v>
      </c>
      <c r="B1" s="3054"/>
      <c r="C1" s="3055"/>
      <c r="D1" s="3055"/>
      <c r="E1" s="3056"/>
      <c r="F1" s="3057" t="s">
        <v>3305</v>
      </c>
      <c r="G1" s="3058"/>
      <c r="H1" s="3058"/>
      <c r="I1" s="3058"/>
      <c r="J1" s="3058"/>
      <c r="K1" s="3058"/>
      <c r="L1" s="3058"/>
      <c r="M1" s="3058"/>
      <c r="N1" s="3058"/>
      <c r="O1" s="3059"/>
    </row>
    <row r="2" spans="1:19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3306</v>
      </c>
      <c r="O2" s="3086"/>
    </row>
    <row r="3" spans="1:19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S3" s="948"/>
    </row>
    <row r="4" spans="1:19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S4" s="948"/>
    </row>
    <row r="5" spans="1:19" x14ac:dyDescent="0.25">
      <c r="A5" s="281">
        <v>44682</v>
      </c>
      <c r="B5" s="369" t="s">
        <v>10</v>
      </c>
      <c r="C5" s="370"/>
      <c r="D5" s="370"/>
      <c r="E5" s="777"/>
      <c r="F5" s="179"/>
      <c r="G5" s="933">
        <f>'Abril-22'!G123</f>
        <v>298.3595833333502</v>
      </c>
      <c r="H5" s="163"/>
      <c r="I5" s="1479">
        <f>'Abril-22'!I123</f>
        <v>999.99599999999919</v>
      </c>
      <c r="J5" s="179"/>
      <c r="K5" s="933">
        <f>'Abril-22'!K123</f>
        <v>7885.2500000000018</v>
      </c>
      <c r="L5" s="179"/>
      <c r="M5" s="933">
        <f>'Abril-22'!M123</f>
        <v>9735.4</v>
      </c>
      <c r="N5" s="179"/>
      <c r="O5" s="933">
        <v>47804.76</v>
      </c>
    </row>
    <row r="6" spans="1:19" s="224" customFormat="1" x14ac:dyDescent="0.25">
      <c r="A6" s="215">
        <v>44682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1037"/>
      <c r="Q6" s="89"/>
      <c r="R6" s="878"/>
    </row>
    <row r="7" spans="1:19" s="224" customFormat="1" ht="15" customHeight="1" x14ac:dyDescent="0.25">
      <c r="A7" s="215">
        <v>44682</v>
      </c>
      <c r="B7" s="882" t="s">
        <v>2766</v>
      </c>
      <c r="C7" s="879" t="s">
        <v>12</v>
      </c>
      <c r="D7" s="879" t="s">
        <v>2157</v>
      </c>
      <c r="E7" s="871" t="s">
        <v>15</v>
      </c>
      <c r="F7" s="780">
        <v>50</v>
      </c>
      <c r="G7" s="982"/>
      <c r="H7" s="1008"/>
      <c r="I7" s="1063"/>
      <c r="J7" s="622"/>
      <c r="K7" s="982"/>
      <c r="L7" s="622"/>
      <c r="M7" s="982"/>
      <c r="N7" s="622"/>
      <c r="O7" s="982"/>
      <c r="P7" s="1029"/>
      <c r="Q7" s="89"/>
      <c r="R7" s="930"/>
    </row>
    <row r="8" spans="1:19" s="224" customFormat="1" x14ac:dyDescent="0.25">
      <c r="A8" s="215">
        <v>44682</v>
      </c>
      <c r="B8" s="882" t="s">
        <v>14</v>
      </c>
      <c r="C8" s="879" t="s">
        <v>12</v>
      </c>
      <c r="D8" s="879" t="s">
        <v>1486</v>
      </c>
      <c r="E8" s="875" t="s">
        <v>13</v>
      </c>
      <c r="F8" s="780">
        <v>11.1</v>
      </c>
      <c r="G8" s="982"/>
      <c r="H8" s="1008"/>
      <c r="I8" s="1063"/>
      <c r="J8" s="622"/>
      <c r="K8" s="982"/>
      <c r="L8" s="622"/>
      <c r="M8" s="982"/>
      <c r="N8" s="622"/>
      <c r="O8" s="982"/>
      <c r="P8" s="861"/>
      <c r="R8" s="878"/>
    </row>
    <row r="9" spans="1:19" s="224" customFormat="1" x14ac:dyDescent="0.25">
      <c r="A9" s="215">
        <v>44682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24.64</v>
      </c>
      <c r="G9" s="982"/>
      <c r="H9" s="1008"/>
      <c r="I9" s="1063"/>
      <c r="J9" s="622"/>
      <c r="K9" s="982"/>
      <c r="L9" s="622"/>
      <c r="M9" s="982"/>
      <c r="N9" s="622"/>
      <c r="O9" s="982"/>
      <c r="P9" s="861"/>
      <c r="R9" s="878"/>
    </row>
    <row r="10" spans="1:19" s="224" customFormat="1" x14ac:dyDescent="0.25">
      <c r="A10" s="215">
        <v>44683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18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861"/>
      <c r="R10" s="878"/>
    </row>
    <row r="11" spans="1:19" s="224" customFormat="1" x14ac:dyDescent="0.25">
      <c r="A11" s="215">
        <v>44683</v>
      </c>
      <c r="B11" s="882" t="s">
        <v>478</v>
      </c>
      <c r="C11" s="879" t="s">
        <v>12</v>
      </c>
      <c r="D11" s="879" t="s">
        <v>1489</v>
      </c>
      <c r="E11" s="480" t="s">
        <v>13</v>
      </c>
      <c r="F11" s="780">
        <v>4.5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861"/>
      <c r="R11" s="878"/>
    </row>
    <row r="12" spans="1:19" s="224" customFormat="1" ht="15" customHeight="1" x14ac:dyDescent="0.25">
      <c r="A12" s="215">
        <v>44684</v>
      </c>
      <c r="B12" s="882" t="s">
        <v>3304</v>
      </c>
      <c r="C12" s="879" t="s">
        <v>12</v>
      </c>
      <c r="D12" s="879" t="s">
        <v>1489</v>
      </c>
      <c r="E12" s="871" t="s">
        <v>15</v>
      </c>
      <c r="F12" s="780">
        <v>5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861"/>
      <c r="R12" s="1080"/>
      <c r="S12" s="999"/>
    </row>
    <row r="13" spans="1:19" s="224" customFormat="1" x14ac:dyDescent="0.25">
      <c r="A13" s="215">
        <v>44684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780">
        <v>18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861"/>
      <c r="R13" s="878"/>
    </row>
    <row r="14" spans="1:19" s="224" customFormat="1" ht="15" customHeight="1" x14ac:dyDescent="0.25">
      <c r="A14" s="215">
        <v>44684</v>
      </c>
      <c r="B14" s="882" t="s">
        <v>14</v>
      </c>
      <c r="C14" s="879" t="s">
        <v>12</v>
      </c>
      <c r="D14" s="879" t="s">
        <v>1486</v>
      </c>
      <c r="E14" s="875" t="s">
        <v>13</v>
      </c>
      <c r="F14" s="780">
        <v>5.33</v>
      </c>
      <c r="G14" s="982"/>
      <c r="H14" s="1008"/>
      <c r="I14" s="1063"/>
      <c r="J14" s="622"/>
      <c r="K14" s="982"/>
      <c r="L14" s="622"/>
      <c r="M14" s="982"/>
      <c r="N14" s="622"/>
      <c r="O14" s="982"/>
      <c r="P14" s="1029"/>
      <c r="Q14" s="89"/>
      <c r="R14" s="930"/>
    </row>
    <row r="15" spans="1:19" s="224" customFormat="1" x14ac:dyDescent="0.25">
      <c r="A15" s="215">
        <v>44685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780">
        <v>18</v>
      </c>
      <c r="G15" s="982"/>
      <c r="H15" s="1008"/>
      <c r="I15" s="1063"/>
      <c r="J15" s="622"/>
      <c r="K15" s="982"/>
      <c r="L15" s="622"/>
      <c r="M15" s="982"/>
      <c r="N15" s="622"/>
      <c r="O15" s="982"/>
      <c r="P15" s="861"/>
      <c r="R15" s="878"/>
    </row>
    <row r="16" spans="1:19" s="224" customFormat="1" ht="15" customHeight="1" x14ac:dyDescent="0.25">
      <c r="A16" s="215">
        <v>44685</v>
      </c>
      <c r="B16" s="882" t="s">
        <v>2766</v>
      </c>
      <c r="C16" s="879" t="s">
        <v>12</v>
      </c>
      <c r="D16" s="879" t="s">
        <v>2157</v>
      </c>
      <c r="E16" s="871" t="s">
        <v>13</v>
      </c>
      <c r="F16" s="780">
        <v>50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1029"/>
      <c r="Q16" s="89"/>
      <c r="R16" s="930"/>
    </row>
    <row r="17" spans="1:40" s="224" customFormat="1" x14ac:dyDescent="0.25">
      <c r="A17" s="215">
        <v>44685</v>
      </c>
      <c r="B17" s="364" t="s">
        <v>3307</v>
      </c>
      <c r="C17" s="350" t="s">
        <v>12</v>
      </c>
      <c r="D17" s="350" t="s">
        <v>1489</v>
      </c>
      <c r="E17" s="875" t="s">
        <v>13</v>
      </c>
      <c r="F17" s="780">
        <v>18.09</v>
      </c>
      <c r="G17" s="982"/>
      <c r="H17" s="1008"/>
      <c r="I17" s="1063"/>
      <c r="J17" s="622"/>
      <c r="K17" s="982"/>
      <c r="L17" s="622"/>
      <c r="M17" s="982"/>
      <c r="N17" s="622"/>
      <c r="O17" s="982"/>
      <c r="P17" s="861"/>
      <c r="R17" s="878"/>
    </row>
    <row r="18" spans="1:40" s="224" customFormat="1" x14ac:dyDescent="0.25">
      <c r="A18" s="215">
        <v>44686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18</v>
      </c>
      <c r="G18" s="982"/>
      <c r="H18" s="1008"/>
      <c r="I18" s="1063"/>
      <c r="J18" s="622"/>
      <c r="K18" s="982"/>
      <c r="L18" s="622"/>
      <c r="M18" s="982"/>
      <c r="N18" s="622"/>
      <c r="O18" s="982"/>
      <c r="P18" s="861"/>
      <c r="R18" s="878"/>
    </row>
    <row r="19" spans="1:40" s="224" customFormat="1" ht="15" customHeight="1" x14ac:dyDescent="0.25">
      <c r="A19" s="215">
        <v>44686</v>
      </c>
      <c r="B19" s="882" t="s">
        <v>3245</v>
      </c>
      <c r="C19" s="879"/>
      <c r="D19" s="879"/>
      <c r="E19" s="871"/>
      <c r="F19" s="780"/>
      <c r="G19" s="946">
        <v>1370</v>
      </c>
      <c r="H19" s="95"/>
      <c r="I19" s="1064"/>
      <c r="J19" s="622">
        <v>1370</v>
      </c>
      <c r="K19" s="982"/>
      <c r="L19" s="622"/>
      <c r="M19" s="982"/>
      <c r="N19" s="622"/>
      <c r="O19" s="982"/>
      <c r="P19" s="1028"/>
      <c r="S19" s="958"/>
    </row>
    <row r="20" spans="1:40" s="224" customFormat="1" x14ac:dyDescent="0.25">
      <c r="A20" s="215">
        <v>44686</v>
      </c>
      <c r="B20" s="882" t="s">
        <v>3308</v>
      </c>
      <c r="C20" s="879" t="s">
        <v>12</v>
      </c>
      <c r="D20" s="879" t="s">
        <v>1525</v>
      </c>
      <c r="E20" s="875" t="s">
        <v>13</v>
      </c>
      <c r="F20" s="780">
        <v>1700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861"/>
      <c r="R20" s="878"/>
    </row>
    <row r="21" spans="1:40" s="224" customFormat="1" x14ac:dyDescent="0.25">
      <c r="A21" s="215">
        <v>44686</v>
      </c>
      <c r="B21" s="882" t="s">
        <v>14</v>
      </c>
      <c r="C21" s="879" t="s">
        <v>12</v>
      </c>
      <c r="D21" s="879" t="s">
        <v>1486</v>
      </c>
      <c r="E21" s="875" t="s">
        <v>13</v>
      </c>
      <c r="F21" s="780">
        <v>8.57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861"/>
      <c r="R21" s="878"/>
    </row>
    <row r="22" spans="1:40" s="224" customFormat="1" ht="15.75" customHeight="1" x14ac:dyDescent="0.25">
      <c r="A22" s="215">
        <v>44687</v>
      </c>
      <c r="B22" s="873" t="s">
        <v>3309</v>
      </c>
      <c r="C22" s="879" t="s">
        <v>12</v>
      </c>
      <c r="D22" s="874"/>
      <c r="E22" s="871" t="s">
        <v>25</v>
      </c>
      <c r="F22" s="1524"/>
      <c r="G22" s="1002">
        <v>2120.71</v>
      </c>
      <c r="H22" s="538"/>
      <c r="I22" s="982"/>
      <c r="J22" s="622"/>
      <c r="K22" s="982"/>
      <c r="L22" s="622"/>
      <c r="M22" s="982"/>
      <c r="N22" s="622"/>
      <c r="O22" s="982"/>
      <c r="P22" s="178"/>
    </row>
    <row r="23" spans="1:40" s="224" customFormat="1" ht="15" customHeight="1" x14ac:dyDescent="0.25">
      <c r="A23" s="215">
        <v>44687</v>
      </c>
      <c r="B23" s="862" t="s">
        <v>3310</v>
      </c>
      <c r="C23" s="879" t="s">
        <v>12</v>
      </c>
      <c r="D23" s="879" t="s">
        <v>1504</v>
      </c>
      <c r="E23" s="871" t="s">
        <v>13</v>
      </c>
      <c r="F23" s="780">
        <v>30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1028">
        <v>70</v>
      </c>
      <c r="Q23" s="999"/>
      <c r="R23" s="1035"/>
    </row>
    <row r="24" spans="1:40" s="224" customFormat="1" ht="15" customHeight="1" x14ac:dyDescent="0.25">
      <c r="A24" s="215">
        <v>44687</v>
      </c>
      <c r="B24" s="882" t="s">
        <v>3311</v>
      </c>
      <c r="C24" s="879" t="s">
        <v>12</v>
      </c>
      <c r="D24" s="879" t="s">
        <v>1499</v>
      </c>
      <c r="E24" s="871" t="s">
        <v>13</v>
      </c>
      <c r="F24" s="780">
        <v>117.44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1028">
        <v>317.44</v>
      </c>
      <c r="Q24" s="999"/>
      <c r="R24" s="878"/>
    </row>
    <row r="25" spans="1:40" s="224" customFormat="1" ht="15" customHeight="1" x14ac:dyDescent="0.25">
      <c r="A25" s="215">
        <v>44687</v>
      </c>
      <c r="B25" s="364" t="s">
        <v>2977</v>
      </c>
      <c r="C25" s="350" t="s">
        <v>12</v>
      </c>
      <c r="D25" s="350" t="s">
        <v>1491</v>
      </c>
      <c r="E25" s="875" t="s">
        <v>13</v>
      </c>
      <c r="F25" s="780">
        <v>300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861"/>
      <c r="R25" s="1035"/>
    </row>
    <row r="26" spans="1:40" x14ac:dyDescent="0.25">
      <c r="A26" s="215">
        <v>44687</v>
      </c>
      <c r="B26" s="876" t="s">
        <v>3060</v>
      </c>
      <c r="C26" s="879" t="s">
        <v>12</v>
      </c>
      <c r="D26" s="879" t="s">
        <v>1496</v>
      </c>
      <c r="E26" s="871" t="s">
        <v>13</v>
      </c>
      <c r="F26" s="780">
        <v>80</v>
      </c>
      <c r="G26" s="982"/>
      <c r="H26" s="1009"/>
      <c r="I26" s="1063"/>
      <c r="J26" s="622"/>
      <c r="K26" s="982"/>
      <c r="L26" s="622"/>
      <c r="M26" s="982"/>
      <c r="N26" s="622"/>
      <c r="O26" s="982"/>
      <c r="P26" s="1029"/>
    </row>
    <row r="27" spans="1:40" s="224" customFormat="1" x14ac:dyDescent="0.25">
      <c r="A27" s="215">
        <v>44687</v>
      </c>
      <c r="B27" s="882" t="s">
        <v>3312</v>
      </c>
      <c r="C27" s="879" t="s">
        <v>12</v>
      </c>
      <c r="D27" s="879" t="s">
        <v>3017</v>
      </c>
      <c r="E27" s="875" t="s">
        <v>13</v>
      </c>
      <c r="F27" s="780">
        <v>529</v>
      </c>
      <c r="G27" s="982"/>
      <c r="H27" s="1008"/>
      <c r="I27" s="1063"/>
      <c r="J27" s="622"/>
      <c r="K27" s="982"/>
      <c r="L27" s="622"/>
      <c r="M27" s="982">
        <v>529</v>
      </c>
      <c r="N27" s="622"/>
      <c r="O27" s="982"/>
      <c r="P27" s="861">
        <v>529</v>
      </c>
      <c r="Q27" s="878" t="s">
        <v>3018</v>
      </c>
      <c r="R27" s="1035"/>
    </row>
    <row r="28" spans="1:40" s="224" customFormat="1" ht="15" customHeight="1" x14ac:dyDescent="0.25">
      <c r="A28" s="215">
        <v>44687</v>
      </c>
      <c r="B28" s="882" t="s">
        <v>32</v>
      </c>
      <c r="C28" s="879" t="s">
        <v>12</v>
      </c>
      <c r="D28" s="879" t="s">
        <v>1485</v>
      </c>
      <c r="E28" s="875" t="s">
        <v>13</v>
      </c>
      <c r="F28" s="780">
        <v>18</v>
      </c>
      <c r="G28" s="982"/>
      <c r="H28" s="622"/>
      <c r="I28" s="982"/>
      <c r="J28" s="622"/>
      <c r="K28" s="982"/>
      <c r="L28" s="622"/>
      <c r="M28" s="982"/>
      <c r="N28" s="622"/>
      <c r="O28" s="982"/>
      <c r="P28" s="927"/>
      <c r="Q28" s="927"/>
      <c r="R28" s="878"/>
    </row>
    <row r="29" spans="1:40" s="224" customFormat="1" ht="15" customHeight="1" x14ac:dyDescent="0.25">
      <c r="A29" s="215">
        <v>44687</v>
      </c>
      <c r="B29" s="882" t="s">
        <v>478</v>
      </c>
      <c r="C29" s="879" t="s">
        <v>12</v>
      </c>
      <c r="D29" s="879" t="s">
        <v>1489</v>
      </c>
      <c r="E29" s="875" t="s">
        <v>13</v>
      </c>
      <c r="F29" s="780">
        <v>4.8499999999999996</v>
      </c>
      <c r="G29" s="982"/>
      <c r="H29" s="622"/>
      <c r="I29" s="982"/>
      <c r="J29" s="622"/>
      <c r="K29" s="982"/>
      <c r="L29" s="622"/>
      <c r="M29" s="982"/>
      <c r="N29" s="622"/>
      <c r="O29" s="982"/>
      <c r="P29" s="927"/>
      <c r="Q29" s="927"/>
      <c r="R29" s="878"/>
    </row>
    <row r="30" spans="1:40" s="224" customFormat="1" ht="15" customHeight="1" x14ac:dyDescent="0.25">
      <c r="A30" s="215">
        <v>44687</v>
      </c>
      <c r="B30" s="364" t="s">
        <v>1396</v>
      </c>
      <c r="C30" s="350" t="s">
        <v>12</v>
      </c>
      <c r="D30" s="350"/>
      <c r="E30" s="480" t="s">
        <v>25</v>
      </c>
      <c r="F30" s="613"/>
      <c r="G30" s="967">
        <v>100</v>
      </c>
      <c r="H30" s="1008"/>
      <c r="I30" s="1063"/>
      <c r="J30" s="622"/>
      <c r="K30" s="982"/>
      <c r="L30" s="1116"/>
      <c r="M30" s="1207"/>
      <c r="N30" s="1116"/>
      <c r="O30" s="1207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 s="224" customFormat="1" ht="15" customHeight="1" x14ac:dyDescent="0.25">
      <c r="A31" s="215">
        <v>44687</v>
      </c>
      <c r="B31" s="364" t="s">
        <v>3313</v>
      </c>
      <c r="C31" s="350" t="s">
        <v>12</v>
      </c>
      <c r="D31" s="350"/>
      <c r="E31" s="480" t="s">
        <v>25</v>
      </c>
      <c r="F31" s="613"/>
      <c r="G31" s="967"/>
      <c r="H31" s="1008"/>
      <c r="I31" s="1063"/>
      <c r="J31" s="622"/>
      <c r="K31" s="1033"/>
      <c r="L31" s="1110"/>
      <c r="M31" s="1111"/>
      <c r="N31" s="1110"/>
      <c r="O31" s="1208">
        <v>400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 s="224" customFormat="1" ht="15" customHeight="1" x14ac:dyDescent="0.25">
      <c r="A32" s="215">
        <v>44688</v>
      </c>
      <c r="B32" s="882" t="s">
        <v>81</v>
      </c>
      <c r="C32" s="879" t="s">
        <v>12</v>
      </c>
      <c r="D32" s="879" t="s">
        <v>1493</v>
      </c>
      <c r="E32" s="875" t="s">
        <v>13</v>
      </c>
      <c r="F32" s="780">
        <v>4.5</v>
      </c>
      <c r="G32" s="982"/>
      <c r="H32" s="622"/>
      <c r="I32" s="982"/>
      <c r="J32" s="622"/>
      <c r="K32" s="982"/>
      <c r="L32" s="622"/>
      <c r="M32" s="982"/>
      <c r="N32" s="622"/>
      <c r="O32" s="982"/>
      <c r="P32" s="927"/>
      <c r="Q32" s="927"/>
      <c r="R32" s="878"/>
    </row>
    <row r="33" spans="1:18" s="224" customFormat="1" ht="15" customHeight="1" x14ac:dyDescent="0.25">
      <c r="A33" s="215">
        <v>44688</v>
      </c>
      <c r="B33" s="882" t="s">
        <v>80</v>
      </c>
      <c r="C33" s="879" t="s">
        <v>12</v>
      </c>
      <c r="D33" s="879" t="s">
        <v>1523</v>
      </c>
      <c r="E33" s="875" t="s">
        <v>13</v>
      </c>
      <c r="F33" s="780">
        <v>30</v>
      </c>
      <c r="G33" s="982"/>
      <c r="H33" s="622"/>
      <c r="I33" s="982"/>
      <c r="J33" s="622"/>
      <c r="K33" s="982"/>
      <c r="L33" s="622"/>
      <c r="M33" s="982"/>
      <c r="N33" s="622"/>
      <c r="O33" s="982"/>
      <c r="P33" s="927"/>
      <c r="Q33" s="927"/>
      <c r="R33" s="878"/>
    </row>
    <row r="34" spans="1:18" s="224" customFormat="1" ht="15" customHeight="1" x14ac:dyDescent="0.25">
      <c r="A34" s="215">
        <v>44688</v>
      </c>
      <c r="B34" s="873" t="s">
        <v>1906</v>
      </c>
      <c r="C34" s="874" t="s">
        <v>12</v>
      </c>
      <c r="D34" s="874" t="s">
        <v>1493</v>
      </c>
      <c r="E34" s="875" t="s">
        <v>13</v>
      </c>
      <c r="F34" s="780">
        <v>10</v>
      </c>
      <c r="G34" s="982"/>
      <c r="H34" s="622"/>
      <c r="I34" s="982"/>
      <c r="J34" s="622"/>
      <c r="K34" s="982"/>
      <c r="L34" s="622"/>
      <c r="M34" s="982"/>
      <c r="N34" s="622"/>
      <c r="O34" s="982"/>
      <c r="P34" s="927"/>
      <c r="Q34" s="927"/>
      <c r="R34" s="878"/>
    </row>
    <row r="35" spans="1:18" s="224" customFormat="1" ht="15" customHeight="1" x14ac:dyDescent="0.25">
      <c r="A35" s="215">
        <v>44689</v>
      </c>
      <c r="B35" s="364" t="s">
        <v>3283</v>
      </c>
      <c r="C35" s="350" t="s">
        <v>12</v>
      </c>
      <c r="D35" s="350" t="s">
        <v>1506</v>
      </c>
      <c r="E35" s="875" t="s">
        <v>13</v>
      </c>
      <c r="F35" s="780">
        <v>50</v>
      </c>
      <c r="G35" s="982"/>
      <c r="H35" s="622"/>
      <c r="I35" s="982"/>
      <c r="J35" s="622"/>
      <c r="K35" s="982"/>
      <c r="L35" s="622"/>
      <c r="M35" s="982"/>
      <c r="N35" s="622"/>
      <c r="O35" s="982"/>
      <c r="P35" s="927"/>
      <c r="Q35" s="927"/>
      <c r="R35" s="878"/>
    </row>
    <row r="36" spans="1:18" s="224" customFormat="1" x14ac:dyDescent="0.25">
      <c r="A36" s="215">
        <v>44689</v>
      </c>
      <c r="B36" s="882" t="s">
        <v>81</v>
      </c>
      <c r="C36" s="879" t="s">
        <v>12</v>
      </c>
      <c r="D36" s="879" t="s">
        <v>1493</v>
      </c>
      <c r="E36" s="875" t="s">
        <v>13</v>
      </c>
      <c r="F36" s="780">
        <v>4.5</v>
      </c>
      <c r="G36" s="982"/>
      <c r="H36" s="1008"/>
      <c r="I36" s="1063"/>
      <c r="J36" s="622"/>
      <c r="K36" s="982"/>
      <c r="L36" s="622"/>
      <c r="M36" s="982"/>
      <c r="N36" s="622"/>
      <c r="O36" s="982"/>
      <c r="P36" s="861"/>
      <c r="R36" s="878"/>
    </row>
    <row r="37" spans="1:18" s="224" customFormat="1" x14ac:dyDescent="0.25">
      <c r="A37" s="215">
        <v>44689</v>
      </c>
      <c r="B37" s="882" t="s">
        <v>14</v>
      </c>
      <c r="C37" s="879" t="s">
        <v>12</v>
      </c>
      <c r="D37" s="879" t="s">
        <v>1486</v>
      </c>
      <c r="E37" s="875" t="s">
        <v>13</v>
      </c>
      <c r="F37" s="780">
        <v>9.51</v>
      </c>
      <c r="G37" s="982"/>
      <c r="H37" s="1008"/>
      <c r="I37" s="1063"/>
      <c r="J37" s="622"/>
      <c r="K37" s="982"/>
      <c r="L37" s="622"/>
      <c r="M37" s="982"/>
      <c r="N37" s="622"/>
      <c r="O37" s="982"/>
      <c r="P37" s="861"/>
      <c r="R37" s="878"/>
    </row>
    <row r="38" spans="1:18" s="224" customFormat="1" ht="15" customHeight="1" x14ac:dyDescent="0.25">
      <c r="A38" s="215">
        <v>44690</v>
      </c>
      <c r="B38" s="364" t="s">
        <v>3314</v>
      </c>
      <c r="C38" s="879" t="s">
        <v>12</v>
      </c>
      <c r="D38" s="350" t="s">
        <v>1524</v>
      </c>
      <c r="E38" s="875" t="s">
        <v>13</v>
      </c>
      <c r="F38" s="780">
        <v>44.2</v>
      </c>
      <c r="G38" s="982"/>
      <c r="H38" s="622"/>
      <c r="I38" s="982"/>
      <c r="J38" s="622"/>
      <c r="K38" s="982"/>
      <c r="L38" s="622"/>
      <c r="M38" s="982"/>
      <c r="N38" s="622"/>
      <c r="O38" s="982"/>
      <c r="P38" s="1080" t="s">
        <v>3292</v>
      </c>
      <c r="Q38" s="927"/>
      <c r="R38" s="878"/>
    </row>
    <row r="39" spans="1:18" s="224" customFormat="1" ht="15" customHeight="1" x14ac:dyDescent="0.25">
      <c r="A39" s="215">
        <v>44690</v>
      </c>
      <c r="B39" s="364" t="s">
        <v>3315</v>
      </c>
      <c r="C39" s="879" t="s">
        <v>12</v>
      </c>
      <c r="D39" s="350" t="s">
        <v>1525</v>
      </c>
      <c r="E39" s="875" t="s">
        <v>13</v>
      </c>
      <c r="F39" s="780">
        <v>17</v>
      </c>
      <c r="G39" s="982"/>
      <c r="H39" s="622"/>
      <c r="I39" s="982"/>
      <c r="J39" s="622"/>
      <c r="K39" s="982"/>
      <c r="L39" s="622"/>
      <c r="M39" s="982"/>
      <c r="N39" s="622"/>
      <c r="O39" s="982"/>
      <c r="P39" s="1080" t="s">
        <v>3292</v>
      </c>
      <c r="Q39" s="927"/>
      <c r="R39" s="878"/>
    </row>
    <row r="40" spans="1:18" s="224" customFormat="1" ht="15" customHeight="1" x14ac:dyDescent="0.25">
      <c r="A40" s="215">
        <v>44690</v>
      </c>
      <c r="B40" s="364" t="s">
        <v>3316</v>
      </c>
      <c r="C40" s="879" t="s">
        <v>12</v>
      </c>
      <c r="D40" s="350" t="s">
        <v>1525</v>
      </c>
      <c r="E40" s="875" t="s">
        <v>13</v>
      </c>
      <c r="F40" s="780">
        <v>5</v>
      </c>
      <c r="G40" s="982"/>
      <c r="H40" s="622"/>
      <c r="I40" s="982"/>
      <c r="J40" s="622"/>
      <c r="K40" s="982"/>
      <c r="L40" s="622"/>
      <c r="M40" s="982"/>
      <c r="N40" s="622"/>
      <c r="O40" s="982"/>
      <c r="P40" s="1080" t="s">
        <v>3292</v>
      </c>
      <c r="Q40" s="927"/>
      <c r="R40" s="878"/>
    </row>
    <row r="41" spans="1:18" s="224" customFormat="1" ht="15" customHeight="1" x14ac:dyDescent="0.25">
      <c r="A41" s="215">
        <v>44690</v>
      </c>
      <c r="B41" s="364" t="s">
        <v>3317</v>
      </c>
      <c r="C41" s="879" t="s">
        <v>12</v>
      </c>
      <c r="D41" s="350" t="s">
        <v>1525</v>
      </c>
      <c r="E41" s="875" t="s">
        <v>13</v>
      </c>
      <c r="F41" s="780">
        <v>76.760000000000005</v>
      </c>
      <c r="G41" s="982"/>
      <c r="H41" s="622"/>
      <c r="I41" s="982"/>
      <c r="J41" s="622"/>
      <c r="K41" s="982"/>
      <c r="L41" s="622"/>
      <c r="M41" s="982"/>
      <c r="N41" s="622"/>
      <c r="O41" s="982"/>
      <c r="P41" s="1080" t="s">
        <v>3292</v>
      </c>
      <c r="Q41" s="927"/>
      <c r="R41" s="878"/>
    </row>
    <row r="42" spans="1:18" s="224" customFormat="1" ht="15" customHeight="1" x14ac:dyDescent="0.25">
      <c r="A42" s="215">
        <v>44690</v>
      </c>
      <c r="B42" s="364" t="s">
        <v>3318</v>
      </c>
      <c r="C42" s="879" t="s">
        <v>12</v>
      </c>
      <c r="D42" s="350" t="s">
        <v>1525</v>
      </c>
      <c r="E42" s="875" t="s">
        <v>13</v>
      </c>
      <c r="F42" s="780">
        <v>19.899999999999999</v>
      </c>
      <c r="G42" s="982"/>
      <c r="H42" s="622"/>
      <c r="I42" s="982"/>
      <c r="J42" s="622"/>
      <c r="K42" s="982"/>
      <c r="L42" s="622"/>
      <c r="M42" s="982"/>
      <c r="N42" s="622"/>
      <c r="O42" s="982"/>
      <c r="P42" s="1080" t="s">
        <v>3292</v>
      </c>
      <c r="Q42" s="927"/>
      <c r="R42" s="878"/>
    </row>
    <row r="43" spans="1:18" s="224" customFormat="1" ht="15" customHeight="1" x14ac:dyDescent="0.25">
      <c r="A43" s="215">
        <v>44690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9.75</v>
      </c>
      <c r="G43" s="982"/>
      <c r="H43" s="622"/>
      <c r="I43" s="982"/>
      <c r="J43" s="622"/>
      <c r="K43" s="982"/>
      <c r="L43" s="622"/>
      <c r="M43" s="982"/>
      <c r="N43" s="622"/>
      <c r="O43" s="982"/>
      <c r="P43" s="927"/>
      <c r="Q43" s="927"/>
      <c r="R43" s="878"/>
    </row>
    <row r="44" spans="1:18" s="224" customFormat="1" ht="15" customHeight="1" x14ac:dyDescent="0.25">
      <c r="A44" s="215">
        <v>44690</v>
      </c>
      <c r="B44" s="364" t="s">
        <v>3319</v>
      </c>
      <c r="C44" s="350" t="s">
        <v>12</v>
      </c>
      <c r="D44" s="350" t="s">
        <v>1491</v>
      </c>
      <c r="E44" s="875" t="s">
        <v>13</v>
      </c>
      <c r="F44" s="780">
        <v>31</v>
      </c>
      <c r="G44" s="982"/>
      <c r="H44" s="622"/>
      <c r="I44" s="982"/>
      <c r="J44" s="622"/>
      <c r="K44" s="982"/>
      <c r="L44" s="622"/>
      <c r="M44" s="982"/>
      <c r="N44" s="622"/>
      <c r="O44" s="982"/>
      <c r="P44" s="927"/>
      <c r="Q44" s="927"/>
      <c r="R44" s="878"/>
    </row>
    <row r="45" spans="1:18" s="224" customFormat="1" ht="15" customHeight="1" x14ac:dyDescent="0.25">
      <c r="A45" s="215">
        <v>44690</v>
      </c>
      <c r="B45" s="882" t="s">
        <v>2251</v>
      </c>
      <c r="C45" s="879" t="s">
        <v>12</v>
      </c>
      <c r="D45" s="879" t="s">
        <v>2157</v>
      </c>
      <c r="E45" s="871" t="s">
        <v>13</v>
      </c>
      <c r="F45" s="780">
        <v>86.88</v>
      </c>
      <c r="G45" s="982"/>
      <c r="H45" s="622"/>
      <c r="I45" s="982"/>
      <c r="J45" s="622"/>
      <c r="K45" s="982"/>
      <c r="L45" s="622"/>
      <c r="M45" s="982"/>
      <c r="N45" s="622"/>
      <c r="O45" s="982"/>
      <c r="P45" s="927"/>
      <c r="Q45" s="927"/>
      <c r="R45" s="878"/>
    </row>
    <row r="46" spans="1:18" s="224" customFormat="1" ht="15" customHeight="1" x14ac:dyDescent="0.25">
      <c r="A46" s="215">
        <v>44690</v>
      </c>
      <c r="B46" s="364" t="s">
        <v>3320</v>
      </c>
      <c r="C46" s="350" t="s">
        <v>12</v>
      </c>
      <c r="D46" s="350" t="s">
        <v>1522</v>
      </c>
      <c r="E46" s="875" t="s">
        <v>13</v>
      </c>
      <c r="F46" s="780">
        <v>30</v>
      </c>
      <c r="G46" s="982"/>
      <c r="H46" s="622"/>
      <c r="I46" s="982"/>
      <c r="J46" s="622"/>
      <c r="K46" s="982"/>
      <c r="L46" s="622"/>
      <c r="M46" s="982"/>
      <c r="N46" s="622"/>
      <c r="O46" s="982"/>
      <c r="P46" s="927"/>
      <c r="Q46" s="927"/>
      <c r="R46" s="878"/>
    </row>
    <row r="47" spans="1:18" s="224" customFormat="1" ht="15" customHeight="1" x14ac:dyDescent="0.25">
      <c r="A47" s="215">
        <v>44690</v>
      </c>
      <c r="B47" s="882" t="s">
        <v>14</v>
      </c>
      <c r="C47" s="879" t="s">
        <v>12</v>
      </c>
      <c r="D47" s="879" t="s">
        <v>1486</v>
      </c>
      <c r="E47" s="875" t="s">
        <v>13</v>
      </c>
      <c r="F47" s="780">
        <v>4</v>
      </c>
      <c r="G47" s="982"/>
      <c r="H47" s="1008"/>
      <c r="I47" s="1063"/>
      <c r="J47" s="622"/>
      <c r="K47" s="982"/>
      <c r="L47" s="622"/>
      <c r="M47" s="982"/>
      <c r="N47" s="622"/>
      <c r="O47" s="982"/>
      <c r="P47" s="1029"/>
      <c r="Q47" s="89"/>
      <c r="R47" s="930"/>
    </row>
    <row r="48" spans="1:18" s="224" customFormat="1" ht="15" customHeight="1" x14ac:dyDescent="0.25">
      <c r="A48" s="215">
        <v>44691</v>
      </c>
      <c r="B48" s="882" t="s">
        <v>256</v>
      </c>
      <c r="C48" s="879"/>
      <c r="D48" s="879"/>
      <c r="E48" s="875" t="s">
        <v>25</v>
      </c>
      <c r="F48" s="780"/>
      <c r="G48" s="982">
        <v>500</v>
      </c>
      <c r="H48" s="1060">
        <v>500</v>
      </c>
      <c r="I48" s="1033"/>
      <c r="J48" s="880"/>
      <c r="K48" s="1033"/>
      <c r="L48" s="880"/>
      <c r="M48" s="1033"/>
      <c r="N48" s="880"/>
      <c r="O48" s="1033"/>
      <c r="P48" s="1080"/>
      <c r="Q48" s="927"/>
      <c r="R48" s="878"/>
    </row>
    <row r="49" spans="1:40" s="224" customFormat="1" ht="15" customHeight="1" x14ac:dyDescent="0.25">
      <c r="A49" s="215">
        <v>44691</v>
      </c>
      <c r="B49" s="882" t="s">
        <v>32</v>
      </c>
      <c r="C49" s="879" t="s">
        <v>12</v>
      </c>
      <c r="D49" s="879" t="s">
        <v>1485</v>
      </c>
      <c r="E49" s="875" t="s">
        <v>13</v>
      </c>
      <c r="F49" s="780">
        <v>18</v>
      </c>
      <c r="G49" s="982"/>
      <c r="H49" s="622"/>
      <c r="I49" s="982"/>
      <c r="J49" s="622"/>
      <c r="K49" s="982"/>
      <c r="L49" s="622"/>
      <c r="M49" s="982"/>
      <c r="N49" s="622"/>
      <c r="O49" s="982"/>
      <c r="P49" s="927"/>
      <c r="Q49" s="927"/>
      <c r="R49" s="878"/>
    </row>
    <row r="50" spans="1:40" s="224" customFormat="1" x14ac:dyDescent="0.25">
      <c r="A50" s="215">
        <v>44691</v>
      </c>
      <c r="B50" s="882" t="s">
        <v>14</v>
      </c>
      <c r="C50" s="879" t="s">
        <v>12</v>
      </c>
      <c r="D50" s="879" t="s">
        <v>1486</v>
      </c>
      <c r="E50" s="875" t="s">
        <v>13</v>
      </c>
      <c r="F50" s="780">
        <v>8.86</v>
      </c>
      <c r="G50" s="982"/>
      <c r="H50" s="1008"/>
      <c r="I50" s="1063"/>
      <c r="J50" s="622"/>
      <c r="K50" s="982"/>
      <c r="L50" s="622"/>
      <c r="M50" s="982"/>
      <c r="N50" s="622"/>
      <c r="O50" s="982"/>
      <c r="P50" s="861"/>
      <c r="R50" s="878"/>
    </row>
    <row r="51" spans="1:40" s="224" customFormat="1" ht="15" customHeight="1" x14ac:dyDescent="0.25">
      <c r="A51" s="215">
        <v>44692</v>
      </c>
      <c r="B51" s="364" t="s">
        <v>3321</v>
      </c>
      <c r="C51" s="350" t="s">
        <v>12</v>
      </c>
      <c r="D51" s="350"/>
      <c r="E51" s="480" t="s">
        <v>25</v>
      </c>
      <c r="F51" s="613"/>
      <c r="G51" s="967"/>
      <c r="H51" s="1008"/>
      <c r="I51" s="1063"/>
      <c r="J51" s="622"/>
      <c r="K51" s="1033"/>
      <c r="L51" s="1110"/>
      <c r="M51" s="1111"/>
      <c r="N51" s="1110"/>
      <c r="O51" s="1208">
        <f>O5*P51</f>
        <v>144.46598471999999</v>
      </c>
      <c r="P51" s="1209">
        <v>3.0219999999999999E-3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s="224" customFormat="1" ht="15" customHeight="1" x14ac:dyDescent="0.25">
      <c r="A52" s="215">
        <v>44692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18</v>
      </c>
      <c r="G52" s="982"/>
      <c r="H52" s="622"/>
      <c r="I52" s="982"/>
      <c r="J52" s="622"/>
      <c r="K52" s="982"/>
      <c r="L52" s="622"/>
      <c r="M52" s="982"/>
      <c r="N52" s="622"/>
      <c r="O52" s="982"/>
      <c r="P52" s="927"/>
      <c r="Q52" s="927"/>
      <c r="R52" s="878"/>
    </row>
    <row r="53" spans="1:40" s="224" customFormat="1" ht="15" customHeight="1" x14ac:dyDescent="0.25">
      <c r="A53" s="215">
        <v>44692</v>
      </c>
      <c r="B53" s="882" t="s">
        <v>2251</v>
      </c>
      <c r="C53" s="879" t="s">
        <v>12</v>
      </c>
      <c r="D53" s="879" t="s">
        <v>2157</v>
      </c>
      <c r="E53" s="871" t="s">
        <v>13</v>
      </c>
      <c r="F53" s="780">
        <v>80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927"/>
      <c r="Q53" s="927"/>
      <c r="R53" s="878"/>
    </row>
    <row r="54" spans="1:40" s="224" customFormat="1" ht="15" customHeight="1" x14ac:dyDescent="0.25">
      <c r="A54" s="215">
        <v>44692</v>
      </c>
      <c r="B54" s="882" t="s">
        <v>14</v>
      </c>
      <c r="C54" s="879" t="s">
        <v>12</v>
      </c>
      <c r="D54" s="879" t="s">
        <v>1486</v>
      </c>
      <c r="E54" s="875" t="s">
        <v>13</v>
      </c>
      <c r="F54" s="780">
        <v>8.7100000000000009</v>
      </c>
      <c r="G54" s="982"/>
      <c r="H54" s="622"/>
      <c r="I54" s="982"/>
      <c r="J54" s="622"/>
      <c r="K54" s="982"/>
      <c r="L54" s="622"/>
      <c r="M54" s="982"/>
      <c r="N54" s="622"/>
      <c r="O54" s="982"/>
      <c r="P54" s="927"/>
      <c r="Q54" s="927"/>
      <c r="R54" s="878"/>
    </row>
    <row r="55" spans="1:40" s="224" customFormat="1" ht="15" customHeight="1" x14ac:dyDescent="0.25">
      <c r="A55" s="215">
        <v>44693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18</v>
      </c>
      <c r="G55" s="982"/>
      <c r="H55" s="622"/>
      <c r="I55" s="982"/>
      <c r="J55" s="622"/>
      <c r="K55" s="982"/>
      <c r="L55" s="622"/>
      <c r="M55" s="982"/>
      <c r="N55" s="622"/>
      <c r="O55" s="982"/>
      <c r="P55" s="927"/>
      <c r="Q55" s="927"/>
      <c r="R55" s="878"/>
    </row>
    <row r="56" spans="1:40" s="224" customFormat="1" ht="15" customHeight="1" x14ac:dyDescent="0.25">
      <c r="A56" s="215">
        <v>44693</v>
      </c>
      <c r="B56" s="882" t="s">
        <v>443</v>
      </c>
      <c r="C56" s="879" t="s">
        <v>12</v>
      </c>
      <c r="D56" s="879" t="s">
        <v>1493</v>
      </c>
      <c r="E56" s="875" t="s">
        <v>13</v>
      </c>
      <c r="F56" s="780">
        <v>7.9</v>
      </c>
      <c r="G56" s="982"/>
      <c r="H56" s="1060"/>
      <c r="I56" s="1033"/>
      <c r="J56" s="880"/>
      <c r="K56" s="1033"/>
      <c r="L56" s="880"/>
      <c r="M56" s="1033"/>
      <c r="N56" s="880"/>
      <c r="O56" s="1033"/>
      <c r="P56" s="1080"/>
      <c r="Q56" s="927"/>
      <c r="R56" s="878"/>
    </row>
    <row r="57" spans="1:40" s="224" customFormat="1" ht="15" customHeight="1" x14ac:dyDescent="0.25">
      <c r="A57" s="215">
        <v>44694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82"/>
      <c r="H57" s="622"/>
      <c r="I57" s="982"/>
      <c r="J57" s="622"/>
      <c r="K57" s="982"/>
      <c r="L57" s="622"/>
      <c r="M57" s="982"/>
      <c r="N57" s="622"/>
      <c r="O57" s="982"/>
      <c r="P57" s="927"/>
      <c r="Q57" s="927"/>
      <c r="R57" s="878"/>
    </row>
    <row r="58" spans="1:40" s="224" customFormat="1" ht="15" customHeight="1" x14ac:dyDescent="0.25">
      <c r="A58" s="215">
        <v>44694</v>
      </c>
      <c r="B58" s="364" t="s">
        <v>1906</v>
      </c>
      <c r="C58" s="350" t="s">
        <v>12</v>
      </c>
      <c r="D58" s="350" t="s">
        <v>1493</v>
      </c>
      <c r="E58" s="875" t="s">
        <v>13</v>
      </c>
      <c r="F58" s="780">
        <v>14</v>
      </c>
      <c r="G58" s="982"/>
      <c r="H58" s="622"/>
      <c r="I58" s="982"/>
      <c r="J58" s="622"/>
      <c r="K58" s="982"/>
      <c r="L58" s="622"/>
      <c r="M58" s="982"/>
      <c r="N58" s="622"/>
      <c r="O58" s="982"/>
      <c r="P58" s="927"/>
      <c r="Q58" s="927"/>
      <c r="R58" s="878"/>
    </row>
    <row r="59" spans="1:40" s="224" customFormat="1" ht="14.25" customHeight="1" x14ac:dyDescent="0.25">
      <c r="A59" s="215">
        <v>44695</v>
      </c>
      <c r="B59" s="882" t="s">
        <v>3322</v>
      </c>
      <c r="C59" s="879" t="s">
        <v>12</v>
      </c>
      <c r="D59" s="879" t="s">
        <v>1489</v>
      </c>
      <c r="E59" s="871" t="s">
        <v>13</v>
      </c>
      <c r="F59" s="780">
        <v>100</v>
      </c>
      <c r="G59" s="982"/>
      <c r="H59" s="622"/>
      <c r="I59" s="982"/>
      <c r="J59" s="622"/>
      <c r="K59" s="982"/>
      <c r="L59" s="622"/>
      <c r="M59" s="982"/>
      <c r="N59" s="622"/>
      <c r="O59" s="982"/>
      <c r="P59" s="927"/>
      <c r="R59" s="878"/>
    </row>
    <row r="60" spans="1:40" s="224" customFormat="1" ht="14.25" customHeight="1" x14ac:dyDescent="0.25">
      <c r="A60" s="215">
        <v>44695</v>
      </c>
      <c r="B60" s="882" t="s">
        <v>2251</v>
      </c>
      <c r="C60" s="879" t="s">
        <v>12</v>
      </c>
      <c r="D60" s="879" t="s">
        <v>2157</v>
      </c>
      <c r="E60" s="871" t="s">
        <v>13</v>
      </c>
      <c r="F60" s="780">
        <v>40</v>
      </c>
      <c r="G60" s="982"/>
      <c r="H60" s="622"/>
      <c r="I60" s="982"/>
      <c r="J60" s="622"/>
      <c r="K60" s="982"/>
      <c r="L60" s="622"/>
      <c r="M60" s="982"/>
      <c r="N60" s="622"/>
      <c r="O60" s="982"/>
      <c r="P60" s="927"/>
      <c r="R60" s="878"/>
    </row>
    <row r="61" spans="1:40" s="224" customFormat="1" ht="15" customHeight="1" x14ac:dyDescent="0.25">
      <c r="A61" s="215">
        <v>44695</v>
      </c>
      <c r="B61" s="882" t="s">
        <v>2766</v>
      </c>
      <c r="C61" s="879" t="s">
        <v>12</v>
      </c>
      <c r="D61" s="879" t="s">
        <v>2157</v>
      </c>
      <c r="E61" s="871" t="s">
        <v>13</v>
      </c>
      <c r="F61" s="780">
        <v>40</v>
      </c>
      <c r="G61" s="946"/>
      <c r="H61" s="95"/>
      <c r="I61" s="1064"/>
      <c r="J61" s="622"/>
      <c r="K61" s="982"/>
      <c r="L61" s="622"/>
      <c r="M61" s="982"/>
      <c r="N61" s="622"/>
      <c r="O61" s="982"/>
      <c r="P61" s="861"/>
    </row>
    <row r="62" spans="1:40" s="224" customFormat="1" ht="15" customHeight="1" x14ac:dyDescent="0.25">
      <c r="A62" s="215">
        <v>44696</v>
      </c>
      <c r="B62" s="882" t="s">
        <v>14</v>
      </c>
      <c r="C62" s="879" t="s">
        <v>12</v>
      </c>
      <c r="D62" s="879" t="s">
        <v>1486</v>
      </c>
      <c r="E62" s="875" t="s">
        <v>13</v>
      </c>
      <c r="F62" s="780">
        <v>11.66</v>
      </c>
      <c r="G62" s="982"/>
      <c r="H62" s="622"/>
      <c r="I62" s="982"/>
      <c r="J62" s="622"/>
      <c r="K62" s="982"/>
      <c r="L62" s="622"/>
      <c r="M62" s="982"/>
      <c r="N62" s="622"/>
      <c r="O62" s="982"/>
      <c r="P62" s="927"/>
      <c r="Q62" s="927"/>
      <c r="R62" s="878"/>
    </row>
    <row r="63" spans="1:40" s="224" customFormat="1" ht="15" customHeight="1" x14ac:dyDescent="0.25">
      <c r="A63" s="215">
        <v>44696</v>
      </c>
      <c r="B63" s="882" t="s">
        <v>14</v>
      </c>
      <c r="C63" s="879" t="s">
        <v>12</v>
      </c>
      <c r="D63" s="879" t="s">
        <v>1486</v>
      </c>
      <c r="E63" s="875" t="s">
        <v>13</v>
      </c>
      <c r="F63" s="780">
        <v>6.66</v>
      </c>
      <c r="G63" s="982"/>
      <c r="H63" s="622"/>
      <c r="I63" s="982"/>
      <c r="J63" s="622"/>
      <c r="K63" s="982"/>
      <c r="L63" s="622"/>
      <c r="M63" s="982"/>
      <c r="N63" s="622"/>
      <c r="O63" s="982"/>
      <c r="P63" s="927"/>
      <c r="Q63" s="927"/>
      <c r="R63" s="878"/>
    </row>
    <row r="64" spans="1:40" s="224" customFormat="1" ht="15" customHeight="1" x14ac:dyDescent="0.25">
      <c r="A64" s="215">
        <v>44697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18</v>
      </c>
      <c r="G64" s="982"/>
      <c r="H64" s="622"/>
      <c r="I64" s="982"/>
      <c r="J64" s="622"/>
      <c r="K64" s="982"/>
      <c r="L64" s="622"/>
      <c r="M64" s="982"/>
      <c r="N64" s="622"/>
      <c r="O64" s="982"/>
      <c r="P64" s="927"/>
      <c r="Q64" s="927"/>
      <c r="R64" s="878"/>
    </row>
    <row r="65" spans="1:23" s="224" customFormat="1" ht="14.25" customHeight="1" x14ac:dyDescent="0.25">
      <c r="A65" s="215">
        <v>44697</v>
      </c>
      <c r="B65" s="882" t="s">
        <v>2251</v>
      </c>
      <c r="C65" s="879" t="s">
        <v>19</v>
      </c>
      <c r="D65" s="879" t="s">
        <v>2157</v>
      </c>
      <c r="E65" s="871" t="s">
        <v>13</v>
      </c>
      <c r="F65" s="780">
        <v>80</v>
      </c>
      <c r="G65" s="982"/>
      <c r="H65" s="622"/>
      <c r="I65" s="982"/>
      <c r="J65" s="622"/>
      <c r="K65" s="982"/>
      <c r="L65" s="622"/>
      <c r="M65" s="982"/>
      <c r="N65" s="622"/>
      <c r="O65" s="982"/>
      <c r="P65" s="927"/>
      <c r="R65" s="878"/>
    </row>
    <row r="66" spans="1:23" s="224" customFormat="1" ht="15" customHeight="1" x14ac:dyDescent="0.25">
      <c r="A66" s="215">
        <v>44697</v>
      </c>
      <c r="B66" s="364" t="s">
        <v>3323</v>
      </c>
      <c r="C66" s="350" t="s">
        <v>19</v>
      </c>
      <c r="D66" s="350" t="s">
        <v>1506</v>
      </c>
      <c r="E66" s="875" t="s">
        <v>13</v>
      </c>
      <c r="F66" s="780">
        <v>25.9</v>
      </c>
      <c r="G66" s="982"/>
      <c r="H66" s="622"/>
      <c r="I66" s="982"/>
      <c r="J66" s="622"/>
      <c r="K66" s="982"/>
      <c r="L66" s="622"/>
      <c r="M66" s="982"/>
      <c r="N66" s="622"/>
      <c r="O66" s="982"/>
      <c r="P66" s="927"/>
      <c r="Q66" s="927"/>
      <c r="R66" s="878"/>
    </row>
    <row r="67" spans="1:23" s="224" customFormat="1" ht="15" customHeight="1" x14ac:dyDescent="0.25">
      <c r="A67" s="215">
        <v>44697</v>
      </c>
      <c r="B67" s="364" t="s">
        <v>3324</v>
      </c>
      <c r="C67" s="350" t="s">
        <v>19</v>
      </c>
      <c r="D67" s="350" t="s">
        <v>1506</v>
      </c>
      <c r="E67" s="875" t="s">
        <v>13</v>
      </c>
      <c r="F67" s="780">
        <v>100</v>
      </c>
      <c r="G67" s="982"/>
      <c r="H67" s="622"/>
      <c r="I67" s="982"/>
      <c r="J67" s="622"/>
      <c r="K67" s="982"/>
      <c r="L67" s="622"/>
      <c r="M67" s="982"/>
      <c r="N67" s="622"/>
      <c r="O67" s="982"/>
      <c r="P67" s="927"/>
      <c r="Q67" s="927"/>
      <c r="R67" s="878"/>
    </row>
    <row r="68" spans="1:23" s="224" customFormat="1" ht="15" customHeight="1" x14ac:dyDescent="0.25">
      <c r="A68" s="215">
        <v>44697</v>
      </c>
      <c r="B68" s="882" t="s">
        <v>14</v>
      </c>
      <c r="C68" s="879" t="s">
        <v>12</v>
      </c>
      <c r="D68" s="879" t="s">
        <v>1486</v>
      </c>
      <c r="E68" s="875" t="s">
        <v>13</v>
      </c>
      <c r="F68" s="780">
        <v>5.7</v>
      </c>
      <c r="G68" s="982"/>
      <c r="H68" s="622"/>
      <c r="I68" s="982"/>
      <c r="J68" s="622"/>
      <c r="K68" s="982"/>
      <c r="L68" s="622"/>
      <c r="M68" s="982"/>
      <c r="N68" s="622"/>
      <c r="O68" s="982"/>
      <c r="P68" s="927"/>
      <c r="Q68" s="927"/>
      <c r="R68" s="878"/>
    </row>
    <row r="69" spans="1:23" s="224" customFormat="1" ht="15" customHeight="1" x14ac:dyDescent="0.25">
      <c r="A69" s="215">
        <v>44698</v>
      </c>
      <c r="B69" s="364" t="s">
        <v>3325</v>
      </c>
      <c r="C69" s="350" t="s">
        <v>12</v>
      </c>
      <c r="D69" s="350" t="s">
        <v>1504</v>
      </c>
      <c r="E69" s="875" t="s">
        <v>13</v>
      </c>
      <c r="F69" s="780">
        <v>35</v>
      </c>
      <c r="G69" s="982"/>
      <c r="H69" s="622"/>
      <c r="I69" s="982"/>
      <c r="J69" s="622"/>
      <c r="K69" s="982"/>
      <c r="L69" s="622"/>
      <c r="M69" s="982"/>
      <c r="N69" s="622"/>
      <c r="O69" s="982"/>
      <c r="P69" s="927"/>
      <c r="Q69" s="927"/>
      <c r="R69" s="878"/>
    </row>
    <row r="70" spans="1:23" s="224" customFormat="1" ht="15" customHeight="1" x14ac:dyDescent="0.25">
      <c r="A70" s="215">
        <v>44698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18</v>
      </c>
      <c r="G70" s="982"/>
      <c r="H70" s="622"/>
      <c r="I70" s="982"/>
      <c r="J70" s="622"/>
      <c r="K70" s="982"/>
      <c r="L70" s="622"/>
      <c r="M70" s="982"/>
      <c r="N70" s="622"/>
      <c r="O70" s="982"/>
      <c r="P70" s="927"/>
      <c r="Q70" s="927"/>
      <c r="R70" s="878"/>
    </row>
    <row r="71" spans="1:23" s="224" customFormat="1" ht="15" customHeight="1" x14ac:dyDescent="0.25">
      <c r="A71" s="215">
        <v>44698</v>
      </c>
      <c r="B71" s="882" t="s">
        <v>14</v>
      </c>
      <c r="C71" s="879" t="s">
        <v>12</v>
      </c>
      <c r="D71" s="879" t="s">
        <v>1486</v>
      </c>
      <c r="E71" s="875" t="s">
        <v>13</v>
      </c>
      <c r="F71" s="780">
        <v>7.1</v>
      </c>
      <c r="G71" s="982"/>
      <c r="H71" s="622"/>
      <c r="I71" s="982"/>
      <c r="J71" s="622"/>
      <c r="K71" s="982"/>
      <c r="L71" s="622"/>
      <c r="M71" s="982"/>
      <c r="N71" s="622"/>
      <c r="O71" s="982"/>
      <c r="P71" s="927"/>
      <c r="Q71" s="927"/>
      <c r="R71" s="878"/>
    </row>
    <row r="72" spans="1:23" s="224" customFormat="1" ht="15" customHeight="1" x14ac:dyDescent="0.25">
      <c r="A72" s="215">
        <v>44699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18</v>
      </c>
      <c r="G72" s="982"/>
      <c r="H72" s="622"/>
      <c r="I72" s="982"/>
      <c r="J72" s="622"/>
      <c r="K72" s="982"/>
      <c r="L72" s="622"/>
      <c r="M72" s="982"/>
      <c r="N72" s="622"/>
      <c r="O72" s="982"/>
      <c r="P72" s="927"/>
      <c r="Q72" s="927"/>
      <c r="R72" s="878"/>
    </row>
    <row r="73" spans="1:23" s="224" customFormat="1" ht="15" customHeight="1" x14ac:dyDescent="0.25">
      <c r="A73" s="215">
        <v>44700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18</v>
      </c>
      <c r="G73" s="982"/>
      <c r="H73" s="622"/>
      <c r="I73" s="982"/>
      <c r="J73" s="622"/>
      <c r="K73" s="982"/>
      <c r="L73" s="622"/>
      <c r="M73" s="982"/>
      <c r="N73" s="622"/>
      <c r="O73" s="982"/>
      <c r="P73" s="927"/>
      <c r="Q73" s="927"/>
      <c r="R73" s="878"/>
    </row>
    <row r="74" spans="1:23" s="224" customFormat="1" ht="15" customHeight="1" x14ac:dyDescent="0.25">
      <c r="A74" s="215">
        <v>44700</v>
      </c>
      <c r="B74" s="882" t="s">
        <v>14</v>
      </c>
      <c r="C74" s="879" t="s">
        <v>12</v>
      </c>
      <c r="D74" s="879" t="s">
        <v>1486</v>
      </c>
      <c r="E74" s="875" t="s">
        <v>13</v>
      </c>
      <c r="F74" s="780">
        <v>5.51</v>
      </c>
      <c r="G74" s="982"/>
      <c r="H74" s="622"/>
      <c r="I74" s="982"/>
      <c r="J74" s="622"/>
      <c r="K74" s="982"/>
      <c r="L74" s="622"/>
      <c r="M74" s="982"/>
      <c r="N74" s="622"/>
      <c r="O74" s="982"/>
      <c r="P74" s="927"/>
      <c r="Q74" s="927"/>
      <c r="R74" s="878"/>
    </row>
    <row r="75" spans="1:23" s="224" customFormat="1" ht="15" customHeight="1" x14ac:dyDescent="0.25">
      <c r="A75" s="215">
        <v>44701</v>
      </c>
      <c r="B75" s="882" t="s">
        <v>3326</v>
      </c>
      <c r="C75" s="145" t="s">
        <v>12</v>
      </c>
      <c r="D75" s="350"/>
      <c r="E75" s="480" t="s">
        <v>25</v>
      </c>
      <c r="F75" s="622"/>
      <c r="G75" s="982">
        <v>2000</v>
      </c>
      <c r="H75" s="1008"/>
      <c r="I75" s="1063"/>
      <c r="J75" s="622"/>
      <c r="K75" s="982"/>
      <c r="L75" s="622"/>
      <c r="M75" s="982"/>
      <c r="N75" s="622"/>
      <c r="O75" s="982"/>
      <c r="P75" s="861"/>
    </row>
    <row r="76" spans="1:23" s="224" customFormat="1" ht="15" customHeight="1" x14ac:dyDescent="0.25">
      <c r="A76" s="215">
        <v>44701</v>
      </c>
      <c r="B76" s="862" t="s">
        <v>2867</v>
      </c>
      <c r="C76" s="145" t="s">
        <v>12</v>
      </c>
      <c r="D76" s="879" t="s">
        <v>1504</v>
      </c>
      <c r="E76" s="887" t="s">
        <v>13</v>
      </c>
      <c r="F76" s="852">
        <v>30</v>
      </c>
      <c r="G76" s="982"/>
      <c r="H76" s="1009"/>
      <c r="I76" s="1063"/>
      <c r="J76" s="853"/>
      <c r="K76" s="982"/>
      <c r="L76" s="853"/>
      <c r="M76" s="982"/>
      <c r="N76" s="853"/>
      <c r="O76" s="982"/>
      <c r="P76" s="3166" t="s">
        <v>3125</v>
      </c>
      <c r="Q76" s="3166"/>
      <c r="R76" s="3166"/>
      <c r="S76" s="3166"/>
      <c r="T76" s="3166"/>
      <c r="U76" s="3166"/>
      <c r="V76" s="3166"/>
      <c r="W76" s="3166"/>
    </row>
    <row r="77" spans="1:23" s="224" customFormat="1" x14ac:dyDescent="0.25">
      <c r="A77" s="215">
        <v>44701</v>
      </c>
      <c r="B77" s="364" t="s">
        <v>2977</v>
      </c>
      <c r="C77" s="145" t="s">
        <v>12</v>
      </c>
      <c r="D77" s="350" t="s">
        <v>1491</v>
      </c>
      <c r="E77" s="875" t="s">
        <v>13</v>
      </c>
      <c r="F77" s="780">
        <v>300</v>
      </c>
      <c r="G77" s="982"/>
      <c r="H77" s="1008"/>
      <c r="I77" s="1063"/>
      <c r="J77" s="622"/>
      <c r="K77" s="982"/>
      <c r="L77" s="622"/>
      <c r="M77" s="982"/>
      <c r="N77" s="622"/>
      <c r="O77" s="982"/>
      <c r="P77" s="1029"/>
      <c r="Q77" s="89"/>
      <c r="R77" s="930"/>
    </row>
    <row r="78" spans="1:23" s="224" customFormat="1" ht="15" customHeight="1" x14ac:dyDescent="0.25">
      <c r="A78" s="215">
        <v>44701</v>
      </c>
      <c r="B78" s="349" t="s">
        <v>3327</v>
      </c>
      <c r="C78" s="887" t="s">
        <v>12</v>
      </c>
      <c r="D78" s="350" t="s">
        <v>1525</v>
      </c>
      <c r="E78" s="887" t="s">
        <v>13</v>
      </c>
      <c r="F78" s="613">
        <v>390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927"/>
      <c r="Q78" s="999"/>
      <c r="R78" s="878"/>
    </row>
    <row r="79" spans="1:23" s="224" customFormat="1" ht="15" customHeight="1" x14ac:dyDescent="0.25">
      <c r="A79" s="215">
        <v>44701</v>
      </c>
      <c r="B79" s="349" t="s">
        <v>3327</v>
      </c>
      <c r="C79" s="887" t="s">
        <v>12</v>
      </c>
      <c r="D79" s="1005" t="s">
        <v>1489</v>
      </c>
      <c r="E79" s="887" t="s">
        <v>13</v>
      </c>
      <c r="F79" s="1116">
        <v>155.77000000000001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927"/>
      <c r="Q79" s="999"/>
      <c r="R79" s="878"/>
    </row>
    <row r="80" spans="1:23" s="224" customFormat="1" ht="15" customHeight="1" x14ac:dyDescent="0.25">
      <c r="A80" s="215">
        <v>44701</v>
      </c>
      <c r="B80" s="882" t="s">
        <v>3328</v>
      </c>
      <c r="C80" s="887" t="s">
        <v>12</v>
      </c>
      <c r="D80" s="879" t="s">
        <v>1499</v>
      </c>
      <c r="E80" s="871" t="s">
        <v>13</v>
      </c>
      <c r="F80" s="780">
        <v>32.44</v>
      </c>
      <c r="G80" s="982"/>
      <c r="H80" s="1008"/>
      <c r="I80" s="1063"/>
      <c r="J80" s="622"/>
      <c r="K80" s="982"/>
      <c r="L80" s="622"/>
      <c r="M80" s="982"/>
      <c r="N80" s="622"/>
      <c r="O80" s="982"/>
      <c r="P80" s="861"/>
      <c r="R80" s="1123"/>
      <c r="S80" s="999"/>
    </row>
    <row r="81" spans="1:19" s="224" customFormat="1" ht="15" customHeight="1" x14ac:dyDescent="0.25">
      <c r="A81" s="215">
        <v>44701</v>
      </c>
      <c r="B81" s="349" t="s">
        <v>260</v>
      </c>
      <c r="C81" s="350" t="s">
        <v>12</v>
      </c>
      <c r="D81" s="350"/>
      <c r="E81" s="480"/>
      <c r="F81" s="780">
        <v>400</v>
      </c>
      <c r="G81" s="946"/>
      <c r="H81" s="95"/>
      <c r="I81" s="1064">
        <v>400</v>
      </c>
      <c r="J81" s="622"/>
      <c r="K81" s="982"/>
      <c r="L81" s="1110"/>
      <c r="M81" s="627"/>
      <c r="N81" s="1110"/>
      <c r="O81" s="627"/>
      <c r="P81" s="1080"/>
    </row>
    <row r="82" spans="1:19" s="224" customFormat="1" ht="15" customHeight="1" x14ac:dyDescent="0.25">
      <c r="A82" s="215">
        <v>44701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18</v>
      </c>
      <c r="G82" s="982"/>
      <c r="H82" s="622"/>
      <c r="I82" s="982"/>
      <c r="J82" s="622"/>
      <c r="K82" s="982"/>
      <c r="L82" s="622"/>
      <c r="M82" s="982"/>
      <c r="N82" s="622"/>
      <c r="O82" s="982"/>
      <c r="P82" s="927"/>
      <c r="Q82" s="927"/>
      <c r="R82" s="878"/>
    </row>
    <row r="83" spans="1:19" s="224" customFormat="1" x14ac:dyDescent="0.25">
      <c r="A83" s="215">
        <v>44701</v>
      </c>
      <c r="B83" s="882" t="s">
        <v>443</v>
      </c>
      <c r="C83" s="887" t="s">
        <v>12</v>
      </c>
      <c r="D83" s="879" t="s">
        <v>1493</v>
      </c>
      <c r="E83" s="480" t="s">
        <v>13</v>
      </c>
      <c r="F83" s="780">
        <v>24.01</v>
      </c>
      <c r="G83" s="982"/>
      <c r="H83" s="1008"/>
      <c r="I83" s="1063"/>
      <c r="J83" s="622"/>
      <c r="K83" s="982"/>
      <c r="L83" s="622"/>
      <c r="M83" s="982"/>
      <c r="N83" s="622"/>
      <c r="O83" s="982"/>
      <c r="P83" s="861"/>
      <c r="R83" s="878"/>
    </row>
    <row r="84" spans="1:19" s="224" customFormat="1" ht="15" customHeight="1" x14ac:dyDescent="0.25">
      <c r="A84" s="215">
        <v>44702</v>
      </c>
      <c r="B84" s="882" t="s">
        <v>14</v>
      </c>
      <c r="C84" s="879" t="s">
        <v>12</v>
      </c>
      <c r="D84" s="879" t="s">
        <v>1486</v>
      </c>
      <c r="E84" s="875" t="s">
        <v>13</v>
      </c>
      <c r="F84" s="780">
        <v>11.94</v>
      </c>
      <c r="G84" s="982"/>
      <c r="H84" s="622"/>
      <c r="I84" s="982"/>
      <c r="J84" s="622"/>
      <c r="K84" s="982"/>
      <c r="L84" s="622"/>
      <c r="M84" s="982"/>
      <c r="N84" s="622"/>
      <c r="O84" s="982"/>
      <c r="P84" s="927"/>
      <c r="R84" s="878"/>
    </row>
    <row r="85" spans="1:19" s="224" customFormat="1" ht="14.25" customHeight="1" x14ac:dyDescent="0.25">
      <c r="A85" s="215">
        <v>44702</v>
      </c>
      <c r="B85" s="882" t="s">
        <v>2251</v>
      </c>
      <c r="C85" s="879" t="s">
        <v>12</v>
      </c>
      <c r="D85" s="879" t="s">
        <v>2157</v>
      </c>
      <c r="E85" s="871" t="s">
        <v>13</v>
      </c>
      <c r="F85" s="780">
        <v>40</v>
      </c>
      <c r="G85" s="982"/>
      <c r="H85" s="622"/>
      <c r="I85" s="982"/>
      <c r="J85" s="622"/>
      <c r="K85" s="982"/>
      <c r="L85" s="622"/>
      <c r="M85" s="982"/>
      <c r="N85" s="622"/>
      <c r="O85" s="982"/>
      <c r="P85" s="927"/>
      <c r="R85" s="878"/>
    </row>
    <row r="86" spans="1:19" s="224" customFormat="1" ht="15" customHeight="1" x14ac:dyDescent="0.25">
      <c r="A86" s="215">
        <v>44702</v>
      </c>
      <c r="B86" s="882" t="s">
        <v>2766</v>
      </c>
      <c r="C86" s="879" t="s">
        <v>12</v>
      </c>
      <c r="D86" s="879" t="s">
        <v>2157</v>
      </c>
      <c r="E86" s="871" t="s">
        <v>13</v>
      </c>
      <c r="F86" s="780">
        <v>40</v>
      </c>
      <c r="G86" s="946"/>
      <c r="H86" s="95"/>
      <c r="I86" s="1064"/>
      <c r="J86" s="622"/>
      <c r="K86" s="982"/>
      <c r="L86" s="622"/>
      <c r="M86" s="982"/>
      <c r="N86" s="622"/>
      <c r="O86" s="982"/>
      <c r="P86" s="861"/>
    </row>
    <row r="87" spans="1:19" s="224" customFormat="1" ht="15" customHeight="1" x14ac:dyDescent="0.25">
      <c r="A87" s="215">
        <v>44702</v>
      </c>
      <c r="B87" s="882" t="s">
        <v>82</v>
      </c>
      <c r="C87" s="879" t="s">
        <v>12</v>
      </c>
      <c r="D87" s="879" t="s">
        <v>1493</v>
      </c>
      <c r="E87" s="875" t="s">
        <v>13</v>
      </c>
      <c r="F87" s="780">
        <v>30</v>
      </c>
      <c r="G87" s="982"/>
      <c r="H87" s="622"/>
      <c r="I87" s="982"/>
      <c r="J87" s="622"/>
      <c r="K87" s="982"/>
      <c r="L87" s="622"/>
      <c r="M87" s="982"/>
      <c r="N87" s="622"/>
      <c r="O87" s="982"/>
      <c r="P87" s="927"/>
      <c r="R87" s="878"/>
    </row>
    <row r="88" spans="1:19" s="224" customFormat="1" ht="15" customHeight="1" x14ac:dyDescent="0.25">
      <c r="A88" s="215">
        <v>44703</v>
      </c>
      <c r="B88" s="882" t="s">
        <v>14</v>
      </c>
      <c r="C88" s="879" t="s">
        <v>12</v>
      </c>
      <c r="D88" s="879" t="s">
        <v>1486</v>
      </c>
      <c r="E88" s="875" t="s">
        <v>13</v>
      </c>
      <c r="F88" s="780">
        <v>7.89</v>
      </c>
      <c r="G88" s="982"/>
      <c r="H88" s="622"/>
      <c r="I88" s="982"/>
      <c r="J88" s="622"/>
      <c r="K88" s="982"/>
      <c r="L88" s="622"/>
      <c r="M88" s="982"/>
      <c r="N88" s="622"/>
      <c r="O88" s="982"/>
      <c r="P88" s="927"/>
      <c r="Q88" s="927"/>
      <c r="R88" s="878"/>
    </row>
    <row r="89" spans="1:19" s="224" customFormat="1" ht="15" customHeight="1" x14ac:dyDescent="0.25">
      <c r="A89" s="215">
        <v>44703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30</v>
      </c>
      <c r="G89" s="946"/>
      <c r="H89" s="95"/>
      <c r="I89" s="1064"/>
      <c r="J89" s="622"/>
      <c r="K89" s="982"/>
      <c r="L89" s="622"/>
      <c r="M89" s="982"/>
      <c r="N89" s="622"/>
      <c r="O89" s="982"/>
      <c r="P89" s="861"/>
    </row>
    <row r="90" spans="1:19" s="224" customFormat="1" ht="15" customHeight="1" x14ac:dyDescent="0.25">
      <c r="A90" s="215">
        <v>44703</v>
      </c>
      <c r="B90" s="882" t="s">
        <v>2851</v>
      </c>
      <c r="C90" s="879" t="s">
        <v>12</v>
      </c>
      <c r="D90" s="879" t="s">
        <v>1493</v>
      </c>
      <c r="E90" s="871" t="s">
        <v>13</v>
      </c>
      <c r="F90" s="780">
        <v>10</v>
      </c>
      <c r="G90" s="946"/>
      <c r="H90" s="95"/>
      <c r="I90" s="1064"/>
      <c r="J90" s="622"/>
      <c r="K90" s="982"/>
      <c r="L90" s="622"/>
      <c r="M90" s="982"/>
      <c r="N90" s="622"/>
      <c r="O90" s="982"/>
      <c r="P90" s="861"/>
    </row>
    <row r="91" spans="1:19" s="224" customFormat="1" ht="15" customHeight="1" x14ac:dyDescent="0.25">
      <c r="A91" s="215">
        <v>44703</v>
      </c>
      <c r="B91" s="882" t="s">
        <v>3329</v>
      </c>
      <c r="C91" s="879" t="s">
        <v>12</v>
      </c>
      <c r="D91" s="879" t="s">
        <v>1493</v>
      </c>
      <c r="E91" s="871" t="s">
        <v>13</v>
      </c>
      <c r="F91" s="780">
        <v>13</v>
      </c>
      <c r="G91" s="946"/>
      <c r="H91" s="95"/>
      <c r="I91" s="1064"/>
      <c r="J91" s="622"/>
      <c r="K91" s="982"/>
      <c r="L91" s="622"/>
      <c r="M91" s="982"/>
      <c r="N91" s="622"/>
      <c r="O91" s="982"/>
      <c r="P91" s="861"/>
    </row>
    <row r="92" spans="1:19" s="224" customFormat="1" ht="15" customHeight="1" x14ac:dyDescent="0.25">
      <c r="A92" s="215">
        <v>44704</v>
      </c>
      <c r="B92" s="882" t="s">
        <v>32</v>
      </c>
      <c r="C92" s="879" t="s">
        <v>12</v>
      </c>
      <c r="D92" s="879" t="s">
        <v>1485</v>
      </c>
      <c r="E92" s="875" t="s">
        <v>13</v>
      </c>
      <c r="F92" s="780">
        <v>18</v>
      </c>
      <c r="G92" s="946"/>
      <c r="H92" s="95"/>
      <c r="I92" s="1064"/>
      <c r="J92" s="622"/>
      <c r="K92" s="982"/>
      <c r="L92" s="622"/>
      <c r="M92" s="982"/>
      <c r="N92" s="622"/>
      <c r="O92" s="982"/>
      <c r="P92" s="861"/>
    </row>
    <row r="93" spans="1:19" s="224" customFormat="1" ht="15" customHeight="1" x14ac:dyDescent="0.25">
      <c r="A93" s="215">
        <v>44704</v>
      </c>
      <c r="B93" s="882" t="s">
        <v>14</v>
      </c>
      <c r="C93" s="879" t="s">
        <v>12</v>
      </c>
      <c r="D93" s="879" t="s">
        <v>1486</v>
      </c>
      <c r="E93" s="875" t="s">
        <v>13</v>
      </c>
      <c r="F93" s="780">
        <v>6.91</v>
      </c>
      <c r="G93" s="946"/>
      <c r="H93" s="95"/>
      <c r="I93" s="1064"/>
      <c r="J93" s="622"/>
      <c r="K93" s="982"/>
      <c r="L93" s="622"/>
      <c r="M93" s="982"/>
      <c r="N93" s="622"/>
      <c r="O93" s="982"/>
      <c r="P93" s="1028"/>
      <c r="S93" s="958"/>
    </row>
    <row r="94" spans="1:19" s="224" customFormat="1" ht="15" customHeight="1" x14ac:dyDescent="0.25">
      <c r="A94" s="215">
        <v>44705</v>
      </c>
      <c r="B94" s="882" t="s">
        <v>81</v>
      </c>
      <c r="C94" s="879" t="s">
        <v>12</v>
      </c>
      <c r="D94" s="879" t="s">
        <v>1493</v>
      </c>
      <c r="E94" s="871" t="s">
        <v>13</v>
      </c>
      <c r="F94" s="780">
        <v>4</v>
      </c>
      <c r="G94" s="946"/>
      <c r="H94" s="95"/>
      <c r="I94" s="1064"/>
      <c r="J94" s="622"/>
      <c r="K94" s="982"/>
      <c r="L94" s="622"/>
      <c r="M94" s="982"/>
      <c r="N94" s="622"/>
      <c r="O94" s="982"/>
      <c r="P94" s="1028"/>
      <c r="S94" s="958"/>
    </row>
    <row r="95" spans="1:19" s="224" customFormat="1" ht="15" customHeight="1" x14ac:dyDescent="0.25">
      <c r="A95" s="215">
        <v>44706</v>
      </c>
      <c r="B95" s="862" t="s">
        <v>3330</v>
      </c>
      <c r="C95" s="879" t="s">
        <v>12</v>
      </c>
      <c r="D95" s="879" t="s">
        <v>1504</v>
      </c>
      <c r="E95" s="871" t="s">
        <v>13</v>
      </c>
      <c r="F95" s="622">
        <v>25.9</v>
      </c>
      <c r="G95" s="1034"/>
      <c r="H95" s="1008"/>
      <c r="I95" s="1063"/>
      <c r="J95" s="622"/>
      <c r="K95" s="982"/>
      <c r="L95" s="622"/>
      <c r="M95" s="982"/>
      <c r="N95" s="622"/>
      <c r="O95" s="982"/>
      <c r="P95" s="475"/>
      <c r="R95" s="878"/>
    </row>
    <row r="96" spans="1:19" s="224" customFormat="1" ht="15" customHeight="1" x14ac:dyDescent="0.25">
      <c r="A96" s="215">
        <v>44706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18</v>
      </c>
      <c r="G96" s="946"/>
      <c r="H96" s="95"/>
      <c r="I96" s="1064"/>
      <c r="J96" s="622"/>
      <c r="K96" s="982"/>
      <c r="L96" s="622"/>
      <c r="M96" s="982"/>
      <c r="N96" s="622"/>
      <c r="O96" s="982"/>
      <c r="P96" s="1028"/>
      <c r="S96" s="958"/>
    </row>
    <row r="97" spans="1:19" s="224" customFormat="1" ht="15" customHeight="1" x14ac:dyDescent="0.25">
      <c r="A97" s="215">
        <v>44706</v>
      </c>
      <c r="B97" s="882" t="s">
        <v>2629</v>
      </c>
      <c r="C97" s="879" t="s">
        <v>12</v>
      </c>
      <c r="D97" s="879" t="s">
        <v>1489</v>
      </c>
      <c r="E97" s="871" t="s">
        <v>13</v>
      </c>
      <c r="F97" s="780">
        <v>16.93</v>
      </c>
      <c r="G97" s="946"/>
      <c r="H97" s="95"/>
      <c r="I97" s="1064"/>
      <c r="J97" s="622"/>
      <c r="K97" s="982"/>
      <c r="L97" s="622"/>
      <c r="M97" s="982"/>
      <c r="N97" s="622"/>
      <c r="O97" s="982"/>
      <c r="P97" s="1028"/>
      <c r="S97" s="958"/>
    </row>
    <row r="98" spans="1:19" s="224" customFormat="1" ht="14.25" customHeight="1" x14ac:dyDescent="0.25">
      <c r="A98" s="215">
        <v>44706</v>
      </c>
      <c r="B98" s="882" t="s">
        <v>2251</v>
      </c>
      <c r="C98" s="879" t="s">
        <v>12</v>
      </c>
      <c r="D98" s="879" t="s">
        <v>2157</v>
      </c>
      <c r="E98" s="871" t="s">
        <v>15</v>
      </c>
      <c r="F98" s="780">
        <v>40</v>
      </c>
      <c r="G98" s="982"/>
      <c r="H98" s="622"/>
      <c r="I98" s="982"/>
      <c r="J98" s="622"/>
      <c r="K98" s="982"/>
      <c r="L98" s="622"/>
      <c r="M98" s="982"/>
      <c r="N98" s="622"/>
      <c r="O98" s="982"/>
      <c r="P98" s="927"/>
      <c r="R98" s="878"/>
    </row>
    <row r="99" spans="1:19" s="224" customFormat="1" ht="15" customHeight="1" x14ac:dyDescent="0.25">
      <c r="A99" s="215">
        <v>44707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18</v>
      </c>
      <c r="G99" s="946"/>
      <c r="H99" s="95"/>
      <c r="I99" s="1064"/>
      <c r="J99" s="622"/>
      <c r="K99" s="982"/>
      <c r="L99" s="622"/>
      <c r="M99" s="982"/>
      <c r="N99" s="622"/>
      <c r="O99" s="982"/>
      <c r="P99" s="1028"/>
      <c r="S99" s="958"/>
    </row>
    <row r="100" spans="1:19" s="224" customFormat="1" ht="15" customHeight="1" x14ac:dyDescent="0.25">
      <c r="A100" s="215">
        <v>44707</v>
      </c>
      <c r="B100" s="882" t="s">
        <v>478</v>
      </c>
      <c r="C100" s="879" t="s">
        <v>12</v>
      </c>
      <c r="D100" s="879" t="s">
        <v>1489</v>
      </c>
      <c r="E100" s="875" t="s">
        <v>13</v>
      </c>
      <c r="F100" s="780">
        <v>12.54</v>
      </c>
      <c r="G100" s="982"/>
      <c r="H100" s="622"/>
      <c r="I100" s="982"/>
      <c r="J100" s="622"/>
      <c r="K100" s="982"/>
      <c r="L100" s="622"/>
      <c r="M100" s="982"/>
      <c r="N100" s="622"/>
      <c r="O100" s="982"/>
      <c r="P100" s="927"/>
      <c r="Q100" s="927"/>
      <c r="R100" s="878"/>
    </row>
    <row r="101" spans="1:19" s="224" customFormat="1" ht="15" customHeight="1" x14ac:dyDescent="0.25">
      <c r="A101" s="215">
        <v>44708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18</v>
      </c>
      <c r="G101" s="946"/>
      <c r="H101" s="95"/>
      <c r="I101" s="1064"/>
      <c r="J101" s="622"/>
      <c r="K101" s="982"/>
      <c r="L101" s="622"/>
      <c r="M101" s="982"/>
      <c r="N101" s="622"/>
      <c r="O101" s="982"/>
      <c r="P101" s="1028"/>
      <c r="S101" s="958"/>
    </row>
    <row r="102" spans="1:19" s="224" customFormat="1" ht="15" customHeight="1" x14ac:dyDescent="0.25">
      <c r="A102" s="215">
        <v>44708</v>
      </c>
      <c r="B102" s="882" t="s">
        <v>2629</v>
      </c>
      <c r="C102" s="879" t="s">
        <v>19</v>
      </c>
      <c r="D102" s="879" t="s">
        <v>1489</v>
      </c>
      <c r="E102" s="871" t="s">
        <v>13</v>
      </c>
      <c r="F102" s="780">
        <v>73.510000000000005</v>
      </c>
      <c r="G102" s="982"/>
      <c r="H102" s="622"/>
      <c r="I102" s="982"/>
      <c r="J102" s="622"/>
      <c r="K102" s="982"/>
      <c r="L102" s="622"/>
      <c r="M102" s="982"/>
      <c r="N102" s="622"/>
      <c r="O102" s="982"/>
      <c r="P102" s="1028"/>
      <c r="Q102" s="959"/>
      <c r="R102" s="878"/>
      <c r="S102" s="958"/>
    </row>
    <row r="103" spans="1:19" s="224" customFormat="1" ht="15" customHeight="1" x14ac:dyDescent="0.25">
      <c r="A103" s="215">
        <v>44709</v>
      </c>
      <c r="B103" s="364" t="s">
        <v>3036</v>
      </c>
      <c r="C103" s="350" t="s">
        <v>12</v>
      </c>
      <c r="D103" s="350" t="s">
        <v>1523</v>
      </c>
      <c r="E103" s="875" t="s">
        <v>13</v>
      </c>
      <c r="F103" s="780">
        <v>15</v>
      </c>
      <c r="G103" s="982"/>
      <c r="H103" s="1008"/>
      <c r="I103" s="1063"/>
      <c r="J103" s="622"/>
      <c r="K103" s="982"/>
      <c r="L103" s="622"/>
      <c r="M103" s="982"/>
      <c r="N103" s="622"/>
      <c r="O103" s="982"/>
      <c r="P103" s="861"/>
      <c r="R103" s="1035"/>
    </row>
    <row r="104" spans="1:19" s="224" customFormat="1" ht="15" customHeight="1" x14ac:dyDescent="0.25">
      <c r="A104" s="215">
        <v>44709</v>
      </c>
      <c r="B104" s="364" t="s">
        <v>3331</v>
      </c>
      <c r="C104" s="350" t="s">
        <v>12</v>
      </c>
      <c r="D104" s="350" t="s">
        <v>1523</v>
      </c>
      <c r="E104" s="875" t="s">
        <v>13</v>
      </c>
      <c r="F104" s="780">
        <v>50</v>
      </c>
      <c r="G104" s="982"/>
      <c r="H104" s="1008"/>
      <c r="I104" s="1063"/>
      <c r="J104" s="622"/>
      <c r="K104" s="982"/>
      <c r="L104" s="622"/>
      <c r="M104" s="982"/>
      <c r="N104" s="622"/>
      <c r="O104" s="982"/>
      <c r="P104" s="861"/>
      <c r="R104" s="1035"/>
    </row>
    <row r="105" spans="1:19" s="224" customFormat="1" ht="15" customHeight="1" x14ac:dyDescent="0.25">
      <c r="A105" s="215">
        <v>44709</v>
      </c>
      <c r="B105" s="364" t="s">
        <v>3332</v>
      </c>
      <c r="C105" s="350" t="s">
        <v>12</v>
      </c>
      <c r="D105" s="350" t="s">
        <v>1523</v>
      </c>
      <c r="E105" s="875" t="s">
        <v>13</v>
      </c>
      <c r="F105" s="780">
        <v>25</v>
      </c>
      <c r="G105" s="982"/>
      <c r="H105" s="1008"/>
      <c r="I105" s="1063"/>
      <c r="J105" s="622"/>
      <c r="K105" s="982"/>
      <c r="L105" s="622"/>
      <c r="M105" s="982"/>
      <c r="N105" s="622"/>
      <c r="O105" s="982"/>
      <c r="P105" s="861"/>
      <c r="R105" s="1035"/>
    </row>
    <row r="106" spans="1:19" s="224" customFormat="1" ht="15" customHeight="1" x14ac:dyDescent="0.25">
      <c r="A106" s="215">
        <v>44709</v>
      </c>
      <c r="B106" s="364" t="s">
        <v>525</v>
      </c>
      <c r="C106" s="350" t="s">
        <v>12</v>
      </c>
      <c r="D106" s="350" t="s">
        <v>1493</v>
      </c>
      <c r="E106" s="875" t="s">
        <v>13</v>
      </c>
      <c r="F106" s="780">
        <v>17</v>
      </c>
      <c r="G106" s="982"/>
      <c r="H106" s="1008"/>
      <c r="I106" s="1063"/>
      <c r="J106" s="622"/>
      <c r="K106" s="982"/>
      <c r="L106" s="622"/>
      <c r="M106" s="982"/>
      <c r="N106" s="622"/>
      <c r="O106" s="982"/>
      <c r="P106" s="861"/>
      <c r="R106" s="1035"/>
    </row>
    <row r="107" spans="1:19" s="224" customFormat="1" ht="15" customHeight="1" x14ac:dyDescent="0.25">
      <c r="A107" s="215">
        <v>44710</v>
      </c>
      <c r="B107" s="882" t="s">
        <v>14</v>
      </c>
      <c r="C107" s="879" t="s">
        <v>12</v>
      </c>
      <c r="D107" s="879" t="s">
        <v>1486</v>
      </c>
      <c r="E107" s="875" t="s">
        <v>13</v>
      </c>
      <c r="F107" s="780">
        <v>16.899999999999999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1028"/>
      <c r="S107" s="958"/>
    </row>
    <row r="108" spans="1:19" s="224" customFormat="1" ht="15" customHeight="1" x14ac:dyDescent="0.25">
      <c r="A108" s="215">
        <v>44710</v>
      </c>
      <c r="B108" s="882" t="s">
        <v>256</v>
      </c>
      <c r="C108" s="879"/>
      <c r="D108" s="879"/>
      <c r="E108" s="875" t="s">
        <v>25</v>
      </c>
      <c r="F108" s="780"/>
      <c r="G108" s="982">
        <v>200</v>
      </c>
      <c r="H108" s="1060">
        <v>200</v>
      </c>
      <c r="I108" s="1033"/>
      <c r="J108" s="880"/>
      <c r="K108" s="1033"/>
      <c r="L108" s="880"/>
      <c r="M108" s="1033"/>
      <c r="N108" s="880"/>
      <c r="O108" s="1033"/>
      <c r="P108" s="1080"/>
      <c r="Q108" s="927"/>
      <c r="R108" s="878"/>
    </row>
    <row r="109" spans="1:19" s="224" customFormat="1" ht="15" customHeight="1" x14ac:dyDescent="0.25">
      <c r="A109" s="215">
        <v>44710</v>
      </c>
      <c r="B109" s="349" t="s">
        <v>3333</v>
      </c>
      <c r="C109" s="350" t="s">
        <v>12</v>
      </c>
      <c r="D109" s="350" t="s">
        <v>1489</v>
      </c>
      <c r="E109" s="480" t="s">
        <v>15</v>
      </c>
      <c r="F109" s="780">
        <v>15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861"/>
      <c r="R109" s="927"/>
      <c r="S109" s="999"/>
    </row>
    <row r="110" spans="1:19" s="224" customFormat="1" ht="15" customHeight="1" x14ac:dyDescent="0.25">
      <c r="A110" s="215">
        <v>44710</v>
      </c>
      <c r="B110" s="349" t="s">
        <v>3334</v>
      </c>
      <c r="C110" s="350" t="s">
        <v>12</v>
      </c>
      <c r="D110" s="350" t="s">
        <v>1493</v>
      </c>
      <c r="E110" s="480" t="s">
        <v>13</v>
      </c>
      <c r="F110" s="780">
        <v>12</v>
      </c>
      <c r="G110" s="946"/>
      <c r="H110" s="95"/>
      <c r="I110" s="1064"/>
      <c r="J110" s="622"/>
      <c r="K110" s="982"/>
      <c r="L110" s="622"/>
      <c r="M110" s="982"/>
      <c r="N110" s="622"/>
      <c r="O110" s="982"/>
      <c r="P110" s="861"/>
      <c r="R110" s="927"/>
      <c r="S110" s="999"/>
    </row>
    <row r="111" spans="1:19" s="224" customFormat="1" ht="15" customHeight="1" x14ac:dyDescent="0.25">
      <c r="A111" s="215">
        <v>44710</v>
      </c>
      <c r="B111" s="349" t="s">
        <v>3335</v>
      </c>
      <c r="C111" s="350" t="s">
        <v>12</v>
      </c>
      <c r="D111" s="350" t="s">
        <v>1485</v>
      </c>
      <c r="E111" s="480" t="s">
        <v>13</v>
      </c>
      <c r="F111" s="780">
        <v>40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861"/>
      <c r="R111" s="927"/>
      <c r="S111" s="999"/>
    </row>
    <row r="112" spans="1:19" s="224" customFormat="1" ht="15" customHeight="1" x14ac:dyDescent="0.25">
      <c r="A112" s="215">
        <v>44710</v>
      </c>
      <c r="B112" s="349" t="s">
        <v>3336</v>
      </c>
      <c r="C112" s="350" t="s">
        <v>12</v>
      </c>
      <c r="D112" s="350" t="s">
        <v>1489</v>
      </c>
      <c r="E112" s="480" t="s">
        <v>13</v>
      </c>
      <c r="F112" s="780">
        <v>45</v>
      </c>
      <c r="G112" s="946"/>
      <c r="H112" s="95"/>
      <c r="I112" s="1064"/>
      <c r="J112" s="622"/>
      <c r="K112" s="982"/>
      <c r="L112" s="622"/>
      <c r="M112" s="982"/>
      <c r="N112" s="622"/>
      <c r="O112" s="982"/>
      <c r="P112" s="861"/>
      <c r="R112" s="927"/>
      <c r="S112" s="999"/>
    </row>
    <row r="113" spans="1:24" s="224" customFormat="1" ht="15" customHeight="1" x14ac:dyDescent="0.25">
      <c r="A113" s="215">
        <v>44711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18</v>
      </c>
      <c r="G113" s="946"/>
      <c r="H113" s="95"/>
      <c r="I113" s="1064"/>
      <c r="J113" s="622"/>
      <c r="K113" s="982"/>
      <c r="L113" s="622"/>
      <c r="M113" s="982"/>
      <c r="N113" s="622"/>
      <c r="O113" s="982"/>
      <c r="P113" s="1028"/>
      <c r="S113" s="958"/>
    </row>
    <row r="114" spans="1:24" s="224" customFormat="1" ht="15" customHeight="1" x14ac:dyDescent="0.25">
      <c r="A114" s="215">
        <v>44711</v>
      </c>
      <c r="B114" s="364" t="s">
        <v>81</v>
      </c>
      <c r="C114" s="350" t="s">
        <v>12</v>
      </c>
      <c r="D114" s="350" t="s">
        <v>1493</v>
      </c>
      <c r="E114" s="875" t="s">
        <v>13</v>
      </c>
      <c r="F114" s="780">
        <v>2</v>
      </c>
      <c r="G114" s="982"/>
      <c r="H114" s="1008"/>
      <c r="I114" s="1063"/>
      <c r="J114" s="622"/>
      <c r="K114" s="982"/>
      <c r="L114" s="622"/>
      <c r="M114" s="982"/>
      <c r="N114" s="622"/>
      <c r="O114" s="982"/>
      <c r="P114" s="861"/>
      <c r="R114" s="1080"/>
      <c r="S114" s="999"/>
    </row>
    <row r="115" spans="1:24" s="224" customFormat="1" ht="15" customHeight="1" x14ac:dyDescent="0.25">
      <c r="A115" s="215">
        <v>44712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9</v>
      </c>
      <c r="G115" s="982"/>
      <c r="H115" s="1008"/>
      <c r="I115" s="1063"/>
      <c r="J115" s="622"/>
      <c r="K115" s="982"/>
      <c r="L115" s="622"/>
      <c r="M115" s="982"/>
      <c r="N115" s="622"/>
      <c r="O115" s="982"/>
      <c r="P115" s="1029"/>
      <c r="Q115" s="89"/>
      <c r="R115" s="1081"/>
      <c r="S115" s="1082"/>
    </row>
    <row r="116" spans="1:24" s="224" customFormat="1" x14ac:dyDescent="0.25">
      <c r="A116" s="215">
        <v>44712</v>
      </c>
      <c r="B116" s="364" t="s">
        <v>81</v>
      </c>
      <c r="C116" s="350" t="s">
        <v>12</v>
      </c>
      <c r="D116" s="350" t="s">
        <v>1493</v>
      </c>
      <c r="E116" s="875" t="s">
        <v>13</v>
      </c>
      <c r="F116" s="780">
        <v>2.5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1029"/>
      <c r="Q116" s="89"/>
      <c r="R116" s="930"/>
    </row>
    <row r="117" spans="1:24" s="224" customFormat="1" x14ac:dyDescent="0.25">
      <c r="A117" s="215">
        <v>44712</v>
      </c>
      <c r="B117" s="882" t="s">
        <v>14</v>
      </c>
      <c r="C117" s="879" t="s">
        <v>12</v>
      </c>
      <c r="D117" s="879" t="s">
        <v>1486</v>
      </c>
      <c r="E117" s="875" t="s">
        <v>13</v>
      </c>
      <c r="F117" s="780">
        <v>11.14</v>
      </c>
      <c r="G117" s="982"/>
      <c r="H117" s="1008"/>
      <c r="I117" s="1063"/>
      <c r="J117" s="622"/>
      <c r="K117" s="982"/>
      <c r="L117" s="622"/>
      <c r="M117" s="982"/>
      <c r="N117" s="622"/>
      <c r="O117" s="982"/>
      <c r="P117" s="1029"/>
      <c r="Q117" s="89"/>
      <c r="R117" s="930"/>
    </row>
    <row r="118" spans="1:24" s="224" customFormat="1" ht="15.75" thickBot="1" x14ac:dyDescent="0.3">
      <c r="A118" s="215">
        <v>44712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622"/>
      <c r="K118" s="982">
        <v>57.4</v>
      </c>
      <c r="L118" s="1036"/>
      <c r="M118" s="1535"/>
      <c r="N118" s="1036"/>
      <c r="O118" s="1535"/>
      <c r="P118" s="475"/>
      <c r="R118" s="878"/>
    </row>
    <row r="119" spans="1:24" ht="25.5" customHeight="1" thickBot="1" x14ac:dyDescent="0.3">
      <c r="A119" s="3060"/>
      <c r="B119" s="3061"/>
      <c r="C119" s="3062"/>
      <c r="D119" s="3062"/>
      <c r="E119" s="3062"/>
      <c r="F119" s="1020">
        <f>SUM(F6:F118)</f>
        <v>6245.9000000000005</v>
      </c>
      <c r="G119" s="1534">
        <f>SUM(G5:G118)</f>
        <v>6589.0695833333502</v>
      </c>
      <c r="H119" s="517">
        <f>SUM(H6:H118)</f>
        <v>700</v>
      </c>
      <c r="I119" s="93">
        <f>SUM(I5:I118)</f>
        <v>1399.9959999999992</v>
      </c>
      <c r="J119" s="1023">
        <f>SUM(J6:J118)</f>
        <v>1370</v>
      </c>
      <c r="K119" s="93">
        <f>SUM(K5:K118)</f>
        <v>7942.6500000000015</v>
      </c>
      <c r="L119" s="1023">
        <f>SUM(L6:L118)</f>
        <v>0</v>
      </c>
      <c r="M119" s="93">
        <f>SUM(M5:M118)</f>
        <v>10264.4</v>
      </c>
      <c r="N119" s="1023">
        <f>SUM(N6:N118)</f>
        <v>0</v>
      </c>
      <c r="O119" s="93">
        <f>SUM(O5:O118)</f>
        <v>48349.225984720004</v>
      </c>
      <c r="Q119" s="216"/>
    </row>
    <row r="120" spans="1:24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343.16958333334969</v>
      </c>
      <c r="H120" s="555"/>
      <c r="I120" s="772">
        <f>I119-H119</f>
        <v>699.99599999999919</v>
      </c>
      <c r="J120" s="593"/>
      <c r="K120" s="772">
        <f>K119-J119</f>
        <v>6572.6500000000015</v>
      </c>
      <c r="L120" s="593"/>
      <c r="M120" s="772">
        <f>M119-L119</f>
        <v>10264.4</v>
      </c>
      <c r="N120" s="593"/>
      <c r="O120" s="772">
        <f>O119-N119</f>
        <v>48349.225984720004</v>
      </c>
    </row>
    <row r="121" spans="1:24" x14ac:dyDescent="0.25">
      <c r="P121" s="89"/>
      <c r="R121" s="79"/>
      <c r="U121" s="518"/>
      <c r="V121" s="216"/>
      <c r="X121" s="877"/>
    </row>
    <row r="122" spans="1:24" s="81" customFormat="1" x14ac:dyDescent="0.25">
      <c r="B122" s="81" t="s">
        <v>3</v>
      </c>
      <c r="C122" s="193" t="s">
        <v>1484</v>
      </c>
      <c r="D122" s="970" t="s">
        <v>2378</v>
      </c>
      <c r="E122" s="193" t="s">
        <v>3216</v>
      </c>
      <c r="F122" s="1061" t="s">
        <v>3217</v>
      </c>
      <c r="G122" s="632"/>
      <c r="K122" s="755"/>
      <c r="M122" s="755"/>
      <c r="O122" s="755"/>
      <c r="P122" s="1001"/>
      <c r="R122" s="1201"/>
    </row>
    <row r="123" spans="1:24" x14ac:dyDescent="0.25">
      <c r="B123" s="79" t="s">
        <v>32</v>
      </c>
      <c r="C123" s="85" t="s">
        <v>1485</v>
      </c>
      <c r="D123" s="475">
        <f>SUMIF($D$7:$D$118,"A",$F$7:$F$118)</f>
        <v>455.39</v>
      </c>
      <c r="E123" s="1202">
        <f t="shared" ref="E123:E140" si="0">D123/$K$142</f>
        <v>14.69</v>
      </c>
      <c r="F123" s="1203">
        <f t="shared" ref="F123:F140" si="1">E123/$E$143</f>
        <v>0.10441395976970644</v>
      </c>
      <c r="G123" s="800"/>
      <c r="I123" s="769"/>
      <c r="J123" s="868"/>
      <c r="L123" s="868"/>
      <c r="N123" s="868"/>
    </row>
    <row r="124" spans="1:24" x14ac:dyDescent="0.25">
      <c r="B124" s="79" t="s">
        <v>2187</v>
      </c>
      <c r="C124" s="85" t="s">
        <v>2157</v>
      </c>
      <c r="D124" s="475">
        <f>SUMIF($D$7:$D$118,"GAC",$F$7:$F$118)</f>
        <v>546.88</v>
      </c>
      <c r="E124" s="1202">
        <f t="shared" si="0"/>
        <v>17.641290322580645</v>
      </c>
      <c r="F124" s="1203">
        <f t="shared" si="1"/>
        <v>0.12539121702026187</v>
      </c>
      <c r="G124" s="609"/>
      <c r="J124" s="754"/>
      <c r="K124" s="886"/>
      <c r="L124" s="754"/>
      <c r="M124" s="886"/>
      <c r="N124" s="754"/>
      <c r="O124" s="886"/>
      <c r="P124" s="1030"/>
    </row>
    <row r="125" spans="1:24" x14ac:dyDescent="0.25">
      <c r="B125" s="79" t="s">
        <v>2188</v>
      </c>
      <c r="C125" s="85" t="s">
        <v>2168</v>
      </c>
      <c r="D125" s="475">
        <f>SUMIF($D$22:$D$118,"GAM",$F$22:$F$118)</f>
        <v>0</v>
      </c>
      <c r="E125" s="1202">
        <f t="shared" si="0"/>
        <v>0</v>
      </c>
      <c r="F125" s="1203">
        <f t="shared" si="1"/>
        <v>0</v>
      </c>
      <c r="J125" s="864"/>
      <c r="K125" s="864"/>
      <c r="L125" s="864"/>
      <c r="M125" s="864"/>
      <c r="N125" s="864"/>
      <c r="O125" s="864"/>
      <c r="P125" s="958"/>
    </row>
    <row r="126" spans="1:24" s="85" customFormat="1" x14ac:dyDescent="0.25">
      <c r="A126" s="79"/>
      <c r="B126" s="79" t="s">
        <v>50</v>
      </c>
      <c r="C126" s="85" t="s">
        <v>1493</v>
      </c>
      <c r="D126" s="475">
        <f>SUMIF($D$7:$D$118,"LD",$F$7:$F$118)</f>
        <v>155.41</v>
      </c>
      <c r="E126" s="1202">
        <f t="shared" si="0"/>
        <v>5.0132258064516124</v>
      </c>
      <c r="F126" s="1203">
        <f t="shared" si="1"/>
        <v>3.5633135307780311E-2</v>
      </c>
      <c r="J126" s="864"/>
      <c r="K126" s="1032"/>
      <c r="L126" s="864"/>
      <c r="M126" s="1032"/>
      <c r="N126" s="864"/>
      <c r="O126" s="1032"/>
      <c r="P126" s="958"/>
      <c r="R126" s="877"/>
    </row>
    <row r="127" spans="1:24" s="85" customFormat="1" x14ac:dyDescent="0.25">
      <c r="A127" s="79"/>
      <c r="B127" s="79" t="s">
        <v>14</v>
      </c>
      <c r="C127" s="85" t="s">
        <v>1486</v>
      </c>
      <c r="D127" s="475">
        <f>SUMIF($D$7:$D$118,"C",$F$7:$F$118)</f>
        <v>147.49</v>
      </c>
      <c r="E127" s="1202">
        <f t="shared" si="0"/>
        <v>4.757741935483871</v>
      </c>
      <c r="F127" s="1203">
        <f t="shared" si="1"/>
        <v>3.3817200479663592E-2</v>
      </c>
      <c r="G127" s="79"/>
      <c r="H127" s="79"/>
      <c r="J127" s="864"/>
      <c r="K127" s="1032"/>
      <c r="L127" s="864"/>
      <c r="M127" s="1032"/>
      <c r="N127" s="864"/>
      <c r="O127" s="1032"/>
      <c r="P127" s="958"/>
      <c r="R127" s="877"/>
    </row>
    <row r="128" spans="1:24" s="85" customFormat="1" x14ac:dyDescent="0.25">
      <c r="A128" s="79"/>
      <c r="B128" s="79" t="s">
        <v>51</v>
      </c>
      <c r="C128" s="864" t="s">
        <v>1499</v>
      </c>
      <c r="D128" s="475">
        <f>SUMIF($D$7:$D$118,"CAL",$F$7:$F$118)</f>
        <v>149.88</v>
      </c>
      <c r="E128" s="1202">
        <f>D128/$K$142</f>
        <v>4.8348387096774195</v>
      </c>
      <c r="F128" s="1203">
        <f t="shared" si="1"/>
        <v>3.4365190913905892E-2</v>
      </c>
      <c r="G128" s="79"/>
      <c r="H128" s="79"/>
      <c r="I128" s="79"/>
      <c r="K128" s="795"/>
      <c r="M128" s="795"/>
      <c r="O128" s="795"/>
      <c r="P128" s="958"/>
      <c r="R128" s="877"/>
    </row>
    <row r="129" spans="1:22" s="85" customFormat="1" x14ac:dyDescent="0.25">
      <c r="A129" s="79"/>
      <c r="B129" s="79" t="s">
        <v>2189</v>
      </c>
      <c r="C129" s="864" t="s">
        <v>1496</v>
      </c>
      <c r="D129" s="475">
        <f>SUMIF($D$23:$D$118,"AC",$F$23:$F$118)</f>
        <v>80</v>
      </c>
      <c r="E129" s="1202">
        <f t="shared" si="0"/>
        <v>2.5806451612903225</v>
      </c>
      <c r="F129" s="1203">
        <f t="shared" si="1"/>
        <v>1.8342776041583072E-2</v>
      </c>
      <c r="G129" s="79"/>
      <c r="K129" s="177"/>
      <c r="M129" s="177"/>
      <c r="O129" s="177"/>
      <c r="P129" s="941"/>
      <c r="R129" s="877"/>
    </row>
    <row r="130" spans="1:22" s="85" customFormat="1" x14ac:dyDescent="0.25">
      <c r="A130" s="629"/>
      <c r="B130" s="867" t="s">
        <v>53</v>
      </c>
      <c r="C130" s="864" t="s">
        <v>1522</v>
      </c>
      <c r="D130" s="475">
        <f>SUMIF($D$7:$D$118,"DC",$F$7:$F$118)</f>
        <v>30</v>
      </c>
      <c r="E130" s="1202">
        <f t="shared" si="0"/>
        <v>0.967741935483871</v>
      </c>
      <c r="F130" s="1203">
        <f t="shared" si="1"/>
        <v>6.8785410155936524E-3</v>
      </c>
      <c r="K130" s="177"/>
      <c r="M130" s="177"/>
      <c r="O130" s="177"/>
      <c r="P130" s="475"/>
      <c r="R130" s="877"/>
    </row>
    <row r="131" spans="1:22" s="85" customFormat="1" x14ac:dyDescent="0.25">
      <c r="A131" s="79"/>
      <c r="B131" s="867" t="s">
        <v>2149</v>
      </c>
      <c r="C131" s="864" t="s">
        <v>2131</v>
      </c>
      <c r="D131" s="475">
        <f>SUMIF($D$6:$D$118,"DM",$F$6:$F$118)</f>
        <v>0</v>
      </c>
      <c r="E131" s="1202">
        <f t="shared" si="0"/>
        <v>0</v>
      </c>
      <c r="F131" s="1203">
        <f t="shared" si="1"/>
        <v>0</v>
      </c>
      <c r="K131" s="177" t="s">
        <v>280</v>
      </c>
      <c r="M131" s="177" t="s">
        <v>280</v>
      </c>
      <c r="O131" s="177" t="s">
        <v>280</v>
      </c>
      <c r="P131" s="475"/>
      <c r="R131" s="877"/>
    </row>
    <row r="132" spans="1:22" s="85" customFormat="1" x14ac:dyDescent="0.25">
      <c r="A132" s="79"/>
      <c r="B132" s="79" t="s">
        <v>3048</v>
      </c>
      <c r="C132" s="864" t="s">
        <v>1523</v>
      </c>
      <c r="D132" s="475">
        <f ca="1">SUMIF($D$22:$D$119,"B",$F$22:$F$118)</f>
        <v>120</v>
      </c>
      <c r="E132" s="1202">
        <f t="shared" ca="1" si="0"/>
        <v>3.870967741935484</v>
      </c>
      <c r="F132" s="1203">
        <f t="shared" ca="1" si="1"/>
        <v>2.751416406237461E-2</v>
      </c>
      <c r="G132" s="866"/>
      <c r="K132" s="177"/>
      <c r="M132" s="177"/>
      <c r="O132" s="177"/>
      <c r="P132" s="475"/>
      <c r="R132" s="877"/>
    </row>
    <row r="133" spans="1:22" s="85" customFormat="1" x14ac:dyDescent="0.25">
      <c r="A133" s="79"/>
      <c r="B133" s="79" t="s">
        <v>1686</v>
      </c>
      <c r="C133" s="864" t="s">
        <v>1506</v>
      </c>
      <c r="D133" s="475">
        <f>SUMIF($D$22:$D$118,"R",$F$22:$F$118)</f>
        <v>175.9</v>
      </c>
      <c r="E133" s="1202">
        <f>D133/$K$142</f>
        <v>5.6741935483870973</v>
      </c>
      <c r="F133" s="1203">
        <f t="shared" si="1"/>
        <v>4.0331178821430787E-2</v>
      </c>
      <c r="G133" s="868"/>
      <c r="K133" s="866"/>
      <c r="M133" s="866"/>
      <c r="O133" s="866"/>
      <c r="P133" s="475"/>
      <c r="R133" s="877"/>
    </row>
    <row r="134" spans="1:22" x14ac:dyDescent="0.25">
      <c r="B134" s="79" t="s">
        <v>418</v>
      </c>
      <c r="C134" s="85" t="s">
        <v>1524</v>
      </c>
      <c r="D134" s="475">
        <f>SUMIF($D$23:$D$118,"COM",$F$23:$F$118)</f>
        <v>44.2</v>
      </c>
      <c r="E134" s="1202">
        <f t="shared" si="0"/>
        <v>1.4258064516129034</v>
      </c>
      <c r="F134" s="1203">
        <f t="shared" si="1"/>
        <v>1.0134383762974649E-2</v>
      </c>
      <c r="G134" s="85"/>
      <c r="H134" s="85"/>
      <c r="I134" s="85"/>
      <c r="J134" s="769"/>
      <c r="K134" s="216"/>
      <c r="L134" s="769"/>
      <c r="M134" s="216"/>
      <c r="N134" s="769"/>
      <c r="O134" s="216"/>
    </row>
    <row r="135" spans="1:22" x14ac:dyDescent="0.25">
      <c r="B135" s="79" t="s">
        <v>419</v>
      </c>
      <c r="C135" s="85" t="s">
        <v>1491</v>
      </c>
      <c r="D135" s="475">
        <f>SUMIF($D$23:$D$118,"F",$F$23:$F$118)</f>
        <v>631</v>
      </c>
      <c r="E135" s="1202">
        <f>D135/$K$142</f>
        <v>20.35483870967742</v>
      </c>
      <c r="F135" s="1203">
        <f t="shared" si="1"/>
        <v>0.1446786460279865</v>
      </c>
      <c r="I135" s="85"/>
      <c r="K135" s="216"/>
      <c r="M135" s="216"/>
      <c r="O135" s="216"/>
    </row>
    <row r="136" spans="1:22" x14ac:dyDescent="0.25">
      <c r="B136" s="79" t="s">
        <v>911</v>
      </c>
      <c r="C136" s="85" t="s">
        <v>1525</v>
      </c>
      <c r="D136" s="475">
        <f>SUMIF($D$7:$D$118,"FER",$F$7:$F$118)</f>
        <v>2208.66</v>
      </c>
      <c r="E136" s="1202">
        <f t="shared" si="0"/>
        <v>71.247096774193537</v>
      </c>
      <c r="F136" s="1203">
        <f t="shared" si="1"/>
        <v>0.50641194665003586</v>
      </c>
      <c r="J136" s="769"/>
      <c r="K136" s="868"/>
      <c r="L136" s="769"/>
      <c r="M136" s="868"/>
      <c r="N136" s="769"/>
      <c r="O136" s="868"/>
    </row>
    <row r="137" spans="1:22" x14ac:dyDescent="0.25">
      <c r="B137" s="79" t="s">
        <v>1526</v>
      </c>
      <c r="C137" s="85" t="s">
        <v>1504</v>
      </c>
      <c r="D137" s="475">
        <f>SUMIF($D$23:$D$118,"I",$F$23:$F$118)</f>
        <v>120.9</v>
      </c>
      <c r="E137" s="1202">
        <f t="shared" si="0"/>
        <v>3.9000000000000004</v>
      </c>
      <c r="F137" s="1203">
        <f t="shared" si="1"/>
        <v>2.7720520292842422E-2</v>
      </c>
      <c r="J137" s="769"/>
      <c r="K137" s="868"/>
      <c r="L137" s="769"/>
      <c r="M137" s="868"/>
      <c r="N137" s="769"/>
      <c r="O137" s="868"/>
    </row>
    <row r="138" spans="1:22" x14ac:dyDescent="0.25">
      <c r="B138" s="79" t="s">
        <v>2343</v>
      </c>
      <c r="C138" s="85" t="s">
        <v>2315</v>
      </c>
      <c r="D138" s="475">
        <f>SUMIF($D$22:$D$118,"E",$F$22:$F$118)</f>
        <v>0</v>
      </c>
      <c r="E138" s="1202">
        <f t="shared" si="0"/>
        <v>0</v>
      </c>
      <c r="F138" s="1203">
        <f t="shared" si="1"/>
        <v>0</v>
      </c>
      <c r="J138" s="769"/>
      <c r="K138" s="868"/>
      <c r="L138" s="769"/>
      <c r="M138" s="868"/>
      <c r="N138" s="769"/>
      <c r="O138" s="868"/>
    </row>
    <row r="139" spans="1:22" x14ac:dyDescent="0.25">
      <c r="B139" s="79" t="s">
        <v>3019</v>
      </c>
      <c r="C139" s="85" t="s">
        <v>3017</v>
      </c>
      <c r="D139" s="475">
        <f>SUMIF($D$6:$D$118,"IM",$F$6:$F$118)</f>
        <v>529</v>
      </c>
      <c r="E139" s="1202">
        <f t="shared" si="0"/>
        <v>17.06451612903226</v>
      </c>
      <c r="F139" s="1203">
        <f t="shared" si="1"/>
        <v>0.12129160657496808</v>
      </c>
      <c r="J139" s="769"/>
      <c r="L139" s="769"/>
      <c r="N139" s="769"/>
    </row>
    <row r="140" spans="1:22" x14ac:dyDescent="0.25">
      <c r="B140" s="79" t="s">
        <v>1527</v>
      </c>
      <c r="C140" s="85" t="s">
        <v>1489</v>
      </c>
      <c r="D140" s="475">
        <f>SUMIF($D$7:$D$118,"OD",$F$7:$F$118)</f>
        <v>451.19000000000005</v>
      </c>
      <c r="E140" s="1202">
        <f t="shared" si="0"/>
        <v>14.55451612903226</v>
      </c>
      <c r="F140" s="1203">
        <f t="shared" si="1"/>
        <v>0.10345096402752335</v>
      </c>
    </row>
    <row r="141" spans="1:22" x14ac:dyDescent="0.25">
      <c r="F141" s="79"/>
      <c r="P141" s="79"/>
      <c r="R141" s="79"/>
    </row>
    <row r="142" spans="1:22" x14ac:dyDescent="0.25">
      <c r="C142" s="3168" t="s">
        <v>486</v>
      </c>
      <c r="D142" s="3168"/>
      <c r="E142" s="863">
        <f ca="1">I142/K142</f>
        <v>188.5774193548387</v>
      </c>
      <c r="G142" s="518" t="s">
        <v>487</v>
      </c>
      <c r="I142" s="629">
        <f ca="1">SUM(D123:D140)</f>
        <v>5845.9</v>
      </c>
      <c r="J142" s="216"/>
      <c r="K142" s="1517">
        <v>31</v>
      </c>
      <c r="L142" s="1517"/>
      <c r="N142" s="1517"/>
    </row>
    <row r="143" spans="1:22" ht="15.75" customHeight="1" x14ac:dyDescent="0.25">
      <c r="B143" s="3167" t="s">
        <v>3272</v>
      </c>
      <c r="C143" s="3167"/>
      <c r="D143" s="3167"/>
      <c r="E143" s="1125">
        <v>140.69</v>
      </c>
      <c r="H143" s="85"/>
      <c r="K143" s="868"/>
      <c r="M143" s="868"/>
      <c r="O143" s="868"/>
    </row>
    <row r="144" spans="1:22" x14ac:dyDescent="0.25">
      <c r="E144" s="769"/>
      <c r="F144" s="79"/>
      <c r="G144" s="85"/>
      <c r="H144" s="459"/>
      <c r="I144" s="85"/>
      <c r="J144" s="89"/>
      <c r="L144" s="89"/>
      <c r="N144" s="89"/>
      <c r="P144" s="769"/>
      <c r="Q144" s="518" t="s">
        <v>280</v>
      </c>
      <c r="R144" s="79"/>
      <c r="S144" s="866"/>
      <c r="T144" s="484"/>
      <c r="V144" s="877"/>
    </row>
    <row r="145" spans="1:22" s="518" customFormat="1" x14ac:dyDescent="0.25">
      <c r="A145" s="79"/>
      <c r="B145" s="79"/>
      <c r="C145" s="85"/>
      <c r="E145" s="1126">
        <f ca="1">E143-E142</f>
        <v>-47.887419354838698</v>
      </c>
      <c r="F145" s="1205">
        <f ca="1">SUM(F123:F144)</f>
        <v>1.3403754307686311</v>
      </c>
      <c r="G145" s="85"/>
      <c r="H145" s="85"/>
      <c r="I145" s="89"/>
      <c r="J145" s="79"/>
      <c r="K145" s="79"/>
      <c r="L145" s="79"/>
      <c r="M145" s="79"/>
      <c r="N145" s="79"/>
      <c r="O145" s="79"/>
      <c r="P145" s="79"/>
      <c r="Q145" s="79"/>
      <c r="R145" s="866"/>
      <c r="S145" s="484"/>
      <c r="T145" s="79"/>
      <c r="U145" s="877"/>
      <c r="V145" s="79"/>
    </row>
    <row r="146" spans="1:22" s="518" customFormat="1" x14ac:dyDescent="0.25">
      <c r="A146" s="79"/>
      <c r="B146" s="79"/>
      <c r="C146" s="85"/>
      <c r="D146" s="85"/>
      <c r="E146" s="85"/>
      <c r="G146" s="79"/>
      <c r="H146" s="79"/>
      <c r="I146" s="79"/>
      <c r="J146" s="769"/>
      <c r="K146" s="866"/>
      <c r="L146" s="769"/>
      <c r="M146" s="866"/>
      <c r="N146" s="769"/>
      <c r="O146" s="866"/>
      <c r="P146" s="484"/>
      <c r="Q146" s="79"/>
      <c r="R146" s="877"/>
      <c r="S146" s="79"/>
    </row>
    <row r="147" spans="1:22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769"/>
      <c r="O147" s="866"/>
      <c r="P147" s="484"/>
      <c r="Q147" s="79"/>
      <c r="R147" s="877"/>
      <c r="S147" s="79"/>
    </row>
    <row r="148" spans="1:22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769"/>
      <c r="M148" s="866"/>
      <c r="N148" s="769"/>
      <c r="O148" s="866"/>
      <c r="P148" s="484"/>
      <c r="Q148" s="79"/>
      <c r="R148" s="877"/>
      <c r="S148" s="79"/>
    </row>
    <row r="149" spans="1:22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M149" s="866"/>
      <c r="O149" s="866"/>
      <c r="P149" s="484"/>
      <c r="Q149" s="79"/>
      <c r="R149" s="877"/>
      <c r="S149" s="79"/>
    </row>
    <row r="150" spans="1:22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769"/>
      <c r="M150" s="866"/>
      <c r="N150" s="769"/>
      <c r="O150" s="866"/>
      <c r="P150" s="484"/>
      <c r="Q150" s="79"/>
      <c r="R150" s="877"/>
      <c r="S150" s="79"/>
    </row>
    <row r="151" spans="1:22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769"/>
      <c r="M151" s="868"/>
      <c r="N151" s="769"/>
      <c r="O151" s="868"/>
      <c r="P151" s="484"/>
      <c r="Q151" s="79"/>
      <c r="R151" s="877"/>
      <c r="S151" s="79"/>
    </row>
    <row r="152" spans="1:22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769"/>
      <c r="M152" s="866"/>
      <c r="N152" s="769"/>
      <c r="O152" s="866"/>
      <c r="P152" s="484"/>
      <c r="Q152" s="79"/>
      <c r="R152" s="877"/>
      <c r="S152" s="79"/>
    </row>
    <row r="153" spans="1:22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770"/>
      <c r="M153" s="866"/>
      <c r="N153" s="770"/>
      <c r="O153" s="866"/>
      <c r="P153" s="484"/>
      <c r="Q153" s="79"/>
      <c r="R153" s="877"/>
      <c r="S153" s="79"/>
    </row>
    <row r="154" spans="1:22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769"/>
      <c r="M154" s="868"/>
      <c r="N154" s="769"/>
      <c r="O154" s="868"/>
      <c r="P154" s="484"/>
      <c r="Q154" s="79"/>
      <c r="R154" s="877"/>
      <c r="S154" s="79"/>
    </row>
    <row r="155" spans="1:22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484"/>
      <c r="Q155" s="79"/>
      <c r="R155" s="877"/>
      <c r="S155" s="79"/>
    </row>
    <row r="156" spans="1:22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769"/>
      <c r="M156" s="866"/>
      <c r="N156" s="769"/>
      <c r="O156" s="866"/>
      <c r="P156" s="484"/>
      <c r="Q156" s="79"/>
      <c r="R156" s="877"/>
      <c r="S156" s="79"/>
    </row>
    <row r="157" spans="1:22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484"/>
      <c r="Q157" s="79"/>
      <c r="R157" s="877"/>
      <c r="S157" s="79"/>
    </row>
    <row r="158" spans="1:22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484"/>
      <c r="Q158" s="79"/>
      <c r="R158" s="877"/>
      <c r="S158" s="79"/>
    </row>
    <row r="159" spans="1:22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484"/>
      <c r="Q159" s="79"/>
      <c r="R159" s="877"/>
      <c r="S159" s="79"/>
    </row>
    <row r="160" spans="1:22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484"/>
      <c r="Q160" s="79"/>
      <c r="R160" s="877"/>
      <c r="S160" s="79"/>
    </row>
    <row r="161" spans="1:19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484"/>
      <c r="Q161" s="79"/>
      <c r="R161" s="877"/>
      <c r="S161" s="79"/>
    </row>
    <row r="162" spans="1:19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769"/>
      <c r="O162" s="866"/>
      <c r="P162" s="484"/>
      <c r="Q162" s="79"/>
      <c r="R162" s="877"/>
      <c r="S162" s="79"/>
    </row>
    <row r="163" spans="1:19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769"/>
      <c r="O163" s="866"/>
      <c r="P163" s="484"/>
      <c r="Q163" s="79"/>
      <c r="R163" s="877"/>
      <c r="S163" s="79"/>
    </row>
    <row r="164" spans="1:19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484"/>
      <c r="Q164" s="79"/>
      <c r="R164" s="877"/>
      <c r="S164" s="79"/>
    </row>
    <row r="165" spans="1:19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P165" s="484"/>
      <c r="Q165" s="79"/>
      <c r="R165" s="877"/>
      <c r="S165" s="79"/>
    </row>
    <row r="166" spans="1:19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69"/>
      <c r="O166" s="868"/>
      <c r="P166" s="484"/>
      <c r="Q166" s="79"/>
      <c r="R166" s="877"/>
      <c r="S166" s="79"/>
    </row>
    <row r="167" spans="1:19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484"/>
      <c r="Q167" s="79"/>
      <c r="R167" s="877"/>
      <c r="S167" s="79"/>
    </row>
    <row r="168" spans="1:19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484"/>
      <c r="Q168" s="79"/>
      <c r="R168" s="877"/>
      <c r="S168" s="79"/>
    </row>
    <row r="169" spans="1:19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484"/>
      <c r="Q169" s="79"/>
      <c r="R169" s="877"/>
      <c r="S169" s="79"/>
    </row>
    <row r="170" spans="1:19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484"/>
      <c r="Q170" s="79"/>
      <c r="R170" s="877"/>
      <c r="S170" s="79"/>
    </row>
    <row r="171" spans="1:19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769"/>
      <c r="O171" s="866"/>
      <c r="P171" s="484"/>
      <c r="Q171" s="79"/>
      <c r="R171" s="877"/>
      <c r="S171" s="79"/>
    </row>
    <row r="172" spans="1:19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484"/>
      <c r="Q172" s="79"/>
      <c r="R172" s="877"/>
      <c r="S172" s="79"/>
    </row>
    <row r="173" spans="1:19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769"/>
      <c r="M173" s="868"/>
      <c r="N173" s="769"/>
      <c r="O173" s="868"/>
      <c r="P173" s="484"/>
      <c r="Q173" s="79"/>
      <c r="R173" s="877"/>
      <c r="S173" s="79"/>
    </row>
    <row r="174" spans="1:19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484"/>
      <c r="Q174" s="79"/>
      <c r="R174" s="877"/>
      <c r="S174" s="79"/>
    </row>
    <row r="175" spans="1:19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484"/>
      <c r="Q175" s="79"/>
      <c r="R175" s="877"/>
      <c r="S175" s="79"/>
    </row>
    <row r="176" spans="1:19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769"/>
      <c r="O176" s="868"/>
      <c r="P176" s="484"/>
      <c r="Q176" s="79"/>
      <c r="R176" s="877"/>
      <c r="S176" s="79"/>
    </row>
    <row r="177" spans="1:19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769"/>
      <c r="O177" s="868"/>
      <c r="P177" s="484"/>
      <c r="Q177" s="79"/>
      <c r="R177" s="877"/>
      <c r="S177" s="79"/>
    </row>
    <row r="178" spans="1:19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484"/>
      <c r="Q178" s="79"/>
      <c r="R178" s="877"/>
      <c r="S178" s="79"/>
    </row>
    <row r="179" spans="1:19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484"/>
      <c r="Q179" s="79"/>
      <c r="R179" s="877"/>
      <c r="S179" s="79"/>
    </row>
    <row r="180" spans="1:19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769"/>
      <c r="M180" s="866"/>
      <c r="N180" s="769"/>
      <c r="O180" s="866"/>
      <c r="P180" s="484"/>
      <c r="Q180" s="79"/>
      <c r="R180" s="877"/>
      <c r="S180" s="79"/>
    </row>
    <row r="181" spans="1:19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223"/>
      <c r="M181" s="629"/>
      <c r="N181" s="223"/>
      <c r="O181" s="629"/>
      <c r="P181" s="484"/>
      <c r="Q181" s="79"/>
      <c r="R181" s="877"/>
      <c r="S181" s="79"/>
    </row>
    <row r="182" spans="1:19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756"/>
      <c r="M182" s="756"/>
      <c r="N182" s="756"/>
      <c r="O182" s="756"/>
      <c r="P182" s="484"/>
      <c r="Q182" s="79"/>
      <c r="R182" s="877"/>
      <c r="S182" s="79"/>
    </row>
    <row r="183" spans="1:19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484"/>
      <c r="Q183" s="79"/>
      <c r="R183" s="877"/>
      <c r="S183" s="79"/>
    </row>
    <row r="184" spans="1:19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484"/>
      <c r="Q184" s="79"/>
      <c r="R184" s="877"/>
      <c r="S184" s="79"/>
    </row>
    <row r="185" spans="1:19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484"/>
      <c r="Q185" s="79"/>
      <c r="R185" s="877"/>
      <c r="S185" s="79"/>
    </row>
    <row r="186" spans="1:19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484"/>
      <c r="Q186" s="79"/>
      <c r="R186" s="877"/>
      <c r="S186" s="79"/>
    </row>
    <row r="187" spans="1:19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85"/>
      <c r="M187" s="85"/>
      <c r="N187" s="85"/>
      <c r="O187" s="85"/>
      <c r="P187" s="484"/>
      <c r="Q187" s="79"/>
      <c r="R187" s="877"/>
      <c r="S187" s="79"/>
    </row>
    <row r="188" spans="1:19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484"/>
      <c r="Q188" s="79"/>
      <c r="R188" s="877"/>
      <c r="S188" s="79"/>
    </row>
    <row r="189" spans="1:19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484"/>
      <c r="Q189" s="79"/>
      <c r="R189" s="877"/>
      <c r="S189" s="79"/>
    </row>
    <row r="190" spans="1:19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484"/>
      <c r="Q190" s="79"/>
      <c r="R190" s="877"/>
      <c r="S190" s="79"/>
    </row>
    <row r="191" spans="1:19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484"/>
      <c r="Q191" s="79"/>
      <c r="R191" s="877"/>
      <c r="S191" s="79"/>
    </row>
    <row r="192" spans="1:19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484"/>
      <c r="Q192" s="79"/>
      <c r="R192" s="877"/>
      <c r="S192" s="79"/>
    </row>
    <row r="193" spans="1:19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484"/>
      <c r="Q193" s="79"/>
      <c r="R193" s="877"/>
      <c r="S193" s="79"/>
    </row>
    <row r="194" spans="1:19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85"/>
      <c r="M194" s="85"/>
      <c r="N194" s="85"/>
      <c r="O194" s="85"/>
      <c r="P194" s="484"/>
      <c r="Q194" s="79"/>
      <c r="R194" s="877"/>
      <c r="S194" s="79"/>
    </row>
    <row r="195" spans="1:19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484"/>
      <c r="Q195" s="79"/>
      <c r="R195" s="877"/>
      <c r="S195" s="79"/>
    </row>
    <row r="196" spans="1:19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484"/>
      <c r="Q196" s="79"/>
      <c r="R196" s="877"/>
      <c r="S196" s="79"/>
    </row>
    <row r="197" spans="1:19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484"/>
      <c r="Q197" s="79"/>
      <c r="R197" s="877"/>
      <c r="S197" s="79"/>
    </row>
    <row r="198" spans="1:19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484"/>
      <c r="Q198" s="79"/>
      <c r="R198" s="877"/>
      <c r="S198" s="79"/>
    </row>
    <row r="199" spans="1:19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484"/>
      <c r="Q199" s="79"/>
      <c r="R199" s="877"/>
      <c r="S199" s="79"/>
    </row>
    <row r="200" spans="1:19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484"/>
      <c r="Q200" s="79"/>
      <c r="R200" s="877"/>
      <c r="S200" s="79"/>
    </row>
    <row r="201" spans="1:19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771"/>
      <c r="N201" s="771"/>
      <c r="P201" s="484"/>
      <c r="Q201" s="79"/>
      <c r="R201" s="877"/>
      <c r="S201" s="79"/>
    </row>
    <row r="202" spans="1:19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484"/>
      <c r="Q202" s="79"/>
      <c r="R202" s="877"/>
      <c r="S202" s="79"/>
    </row>
    <row r="209" spans="1:19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9"/>
      <c r="O209" s="216"/>
      <c r="P209" s="484"/>
      <c r="Q209" s="79"/>
      <c r="R209" s="877"/>
      <c r="S209" s="79"/>
    </row>
    <row r="210" spans="1:19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484"/>
      <c r="Q210" s="79"/>
      <c r="R210" s="877"/>
      <c r="S210" s="79"/>
    </row>
    <row r="211" spans="1:19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484"/>
      <c r="Q211" s="79"/>
      <c r="R211" s="877"/>
      <c r="S211" s="79"/>
    </row>
    <row r="212" spans="1:19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484"/>
      <c r="Q212" s="79"/>
      <c r="R212" s="877"/>
      <c r="S212" s="79"/>
    </row>
    <row r="214" spans="1:19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484"/>
      <c r="Q214" s="79"/>
      <c r="R214" s="877"/>
      <c r="S214" s="79"/>
    </row>
    <row r="216" spans="1:19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79"/>
      <c r="M216" s="629"/>
      <c r="N216" s="79"/>
      <c r="O216" s="629"/>
      <c r="P216" s="484"/>
      <c r="Q216" s="79"/>
      <c r="R216" s="877"/>
      <c r="S216" s="79"/>
    </row>
    <row r="222" spans="1:19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484"/>
      <c r="Q222" s="79"/>
      <c r="R222" s="877"/>
      <c r="S222" s="79"/>
    </row>
    <row r="223" spans="1:19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484"/>
      <c r="Q223" s="79"/>
      <c r="R223" s="877"/>
      <c r="S223" s="79"/>
    </row>
    <row r="224" spans="1:19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484"/>
      <c r="Q224" s="79"/>
      <c r="R224" s="877"/>
      <c r="S224" s="79"/>
    </row>
    <row r="225" spans="1:19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484"/>
      <c r="Q225" s="79"/>
      <c r="R225" s="877"/>
      <c r="S225" s="79"/>
    </row>
    <row r="226" spans="1:19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484"/>
      <c r="Q226" s="79"/>
      <c r="R226" s="877"/>
      <c r="S226" s="79"/>
    </row>
    <row r="227" spans="1:19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484"/>
      <c r="Q227" s="79"/>
      <c r="R227" s="877"/>
      <c r="S227" s="79"/>
    </row>
    <row r="228" spans="1:19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484"/>
      <c r="Q228" s="79"/>
      <c r="R228" s="877"/>
      <c r="S228" s="79"/>
    </row>
    <row r="229" spans="1:19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484"/>
      <c r="Q229" s="79"/>
      <c r="R229" s="877"/>
      <c r="S229" s="79"/>
    </row>
    <row r="230" spans="1:19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484"/>
      <c r="Q230" s="79"/>
      <c r="R230" s="877"/>
      <c r="S230" s="79"/>
    </row>
  </sheetData>
  <autoFilter ref="A2:I120" xr:uid="{00000000-0009-0000-0000-00007C000000}"/>
  <mergeCells count="17">
    <mergeCell ref="F1:O1"/>
    <mergeCell ref="C142:D142"/>
    <mergeCell ref="A1:E1"/>
    <mergeCell ref="A2:A4"/>
    <mergeCell ref="B2:B4"/>
    <mergeCell ref="C2:C4"/>
    <mergeCell ref="D2:D4"/>
    <mergeCell ref="E2:E4"/>
    <mergeCell ref="B143:D143"/>
    <mergeCell ref="L2:M3"/>
    <mergeCell ref="P76:W76"/>
    <mergeCell ref="A119:E119"/>
    <mergeCell ref="A120:E120"/>
    <mergeCell ref="N2:O3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Plan137"/>
  <dimension ref="A1:AP283"/>
  <sheetViews>
    <sheetView zoomScale="85" zoomScaleNormal="85" workbookViewId="0">
      <pane ySplit="4" topLeftCell="A5" activePane="bottomLeft" state="frozen"/>
      <selection activeCell="C44" sqref="C44"/>
      <selection pane="bottomLeft" activeCell="B13" sqref="B1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9" width="13.42578125" style="79" customWidth="1"/>
    <col min="10" max="10" width="13.28515625" style="79" customWidth="1"/>
    <col min="11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6.140625" style="79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3337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44713</v>
      </c>
      <c r="B5" s="369" t="s">
        <v>10</v>
      </c>
      <c r="C5" s="370"/>
      <c r="D5" s="370"/>
      <c r="E5" s="777"/>
      <c r="F5" s="179"/>
      <c r="G5" s="933">
        <f>'Maio-22'!G120</f>
        <v>343.16958333334969</v>
      </c>
      <c r="H5" s="163"/>
      <c r="I5" s="1479">
        <f>'Maio-22'!I120</f>
        <v>699.99599999999919</v>
      </c>
      <c r="J5" s="179"/>
      <c r="K5" s="933">
        <f>'Maio-22'!K120</f>
        <v>6572.6500000000015</v>
      </c>
      <c r="L5" s="179"/>
      <c r="M5" s="933">
        <f>'Maio-22'!M120</f>
        <v>10264.4</v>
      </c>
      <c r="N5" s="179"/>
      <c r="O5" s="933">
        <v>0</v>
      </c>
      <c r="P5" s="179"/>
      <c r="Q5" s="933">
        <f>'Maio-22'!O120</f>
        <v>48349.225984720004</v>
      </c>
    </row>
    <row r="6" spans="1:21" s="224" customFormat="1" x14ac:dyDescent="0.25">
      <c r="A6" s="215">
        <v>44713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4.25" customHeight="1" x14ac:dyDescent="0.25">
      <c r="A7" s="215">
        <v>44713</v>
      </c>
      <c r="B7" s="882" t="s">
        <v>2251</v>
      </c>
      <c r="C7" s="879" t="s">
        <v>12</v>
      </c>
      <c r="D7" s="879" t="s">
        <v>2157</v>
      </c>
      <c r="E7" s="871" t="s">
        <v>15</v>
      </c>
      <c r="F7" s="780">
        <v>50</v>
      </c>
      <c r="G7" s="982"/>
      <c r="H7" s="622"/>
      <c r="I7" s="982"/>
      <c r="J7" s="622"/>
      <c r="K7" s="982"/>
      <c r="L7" s="622"/>
      <c r="M7" s="982"/>
      <c r="N7" s="622"/>
      <c r="O7" s="982"/>
      <c r="P7" s="622"/>
      <c r="Q7" s="982"/>
      <c r="R7" s="927"/>
      <c r="T7" s="878"/>
    </row>
    <row r="8" spans="1:21" s="224" customFormat="1" ht="15" customHeight="1" x14ac:dyDescent="0.25">
      <c r="A8" s="215">
        <v>44713</v>
      </c>
      <c r="B8" s="882" t="s">
        <v>2766</v>
      </c>
      <c r="C8" s="879" t="s">
        <v>12</v>
      </c>
      <c r="D8" s="879" t="s">
        <v>2157</v>
      </c>
      <c r="E8" s="871" t="s">
        <v>15</v>
      </c>
      <c r="F8" s="780">
        <v>50</v>
      </c>
      <c r="G8" s="946"/>
      <c r="H8" s="95"/>
      <c r="I8" s="1064"/>
      <c r="J8" s="622"/>
      <c r="K8" s="982"/>
      <c r="L8" s="622"/>
      <c r="M8" s="982"/>
      <c r="N8" s="622"/>
      <c r="O8" s="982"/>
      <c r="P8" s="622"/>
      <c r="Q8" s="982"/>
      <c r="R8" s="861"/>
    </row>
    <row r="9" spans="1:21" s="224" customFormat="1" ht="15" customHeight="1" x14ac:dyDescent="0.25">
      <c r="A9" s="215">
        <v>44713</v>
      </c>
      <c r="B9" s="882" t="s">
        <v>3339</v>
      </c>
      <c r="C9" s="879" t="s">
        <v>12</v>
      </c>
      <c r="D9" s="879"/>
      <c r="E9" s="871" t="s">
        <v>25</v>
      </c>
      <c r="F9" s="780"/>
      <c r="G9" s="982">
        <v>1000</v>
      </c>
      <c r="H9" s="1008"/>
      <c r="I9" s="1063"/>
      <c r="J9" s="622"/>
      <c r="K9" s="982"/>
      <c r="L9" s="622"/>
      <c r="M9" s="982"/>
      <c r="N9" s="622"/>
      <c r="O9" s="982"/>
      <c r="P9" s="622">
        <v>1000</v>
      </c>
      <c r="Q9" s="982"/>
      <c r="R9" s="1029"/>
      <c r="S9" s="89"/>
      <c r="T9" s="930"/>
    </row>
    <row r="10" spans="1:21" s="224" customFormat="1" x14ac:dyDescent="0.25">
      <c r="A10" s="215">
        <v>44713</v>
      </c>
      <c r="B10" s="882" t="s">
        <v>3340</v>
      </c>
      <c r="C10" s="879" t="s">
        <v>19</v>
      </c>
      <c r="D10" s="879" t="s">
        <v>1506</v>
      </c>
      <c r="E10" s="480" t="s">
        <v>13</v>
      </c>
      <c r="F10" s="780">
        <v>39.75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982"/>
      <c r="R10" s="1080" t="s">
        <v>3292</v>
      </c>
      <c r="T10" s="878"/>
    </row>
    <row r="11" spans="1:21" s="224" customFormat="1" x14ac:dyDescent="0.25">
      <c r="A11" s="215">
        <v>44713</v>
      </c>
      <c r="B11" s="882" t="s">
        <v>3341</v>
      </c>
      <c r="C11" s="879" t="s">
        <v>19</v>
      </c>
      <c r="D11" s="879" t="s">
        <v>1525</v>
      </c>
      <c r="E11" s="480" t="s">
        <v>13</v>
      </c>
      <c r="F11" s="780">
        <v>41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982"/>
      <c r="R11" s="1080" t="s">
        <v>3292</v>
      </c>
      <c r="T11" s="878"/>
    </row>
    <row r="12" spans="1:21" s="224" customFormat="1" x14ac:dyDescent="0.25">
      <c r="A12" s="215">
        <v>44713</v>
      </c>
      <c r="B12" s="882" t="s">
        <v>3342</v>
      </c>
      <c r="C12" s="879" t="s">
        <v>19</v>
      </c>
      <c r="D12" s="879" t="s">
        <v>1506</v>
      </c>
      <c r="E12" s="480" t="s">
        <v>13</v>
      </c>
      <c r="F12" s="780">
        <v>69.900000000000006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622"/>
      <c r="Q12" s="982"/>
      <c r="R12" s="1080" t="s">
        <v>3292</v>
      </c>
      <c r="T12" s="878"/>
    </row>
    <row r="13" spans="1:21" s="224" customFormat="1" x14ac:dyDescent="0.25">
      <c r="A13" s="215">
        <v>44713</v>
      </c>
      <c r="B13" s="882" t="s">
        <v>3343</v>
      </c>
      <c r="C13" s="879" t="s">
        <v>19</v>
      </c>
      <c r="D13" s="879" t="s">
        <v>1506</v>
      </c>
      <c r="E13" s="480" t="s">
        <v>13</v>
      </c>
      <c r="F13" s="780">
        <v>72.819999999999993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982"/>
      <c r="R13" s="1080" t="s">
        <v>3292</v>
      </c>
      <c r="T13" s="878"/>
    </row>
    <row r="14" spans="1:21" s="224" customFormat="1" x14ac:dyDescent="0.25">
      <c r="A14" s="215">
        <v>44713</v>
      </c>
      <c r="B14" s="882" t="s">
        <v>3344</v>
      </c>
      <c r="C14" s="879" t="s">
        <v>12</v>
      </c>
      <c r="D14" s="879" t="s">
        <v>1525</v>
      </c>
      <c r="E14" s="480" t="s">
        <v>13</v>
      </c>
      <c r="F14" s="780">
        <v>11.5</v>
      </c>
      <c r="G14" s="982"/>
      <c r="H14" s="1008"/>
      <c r="I14" s="1063"/>
      <c r="J14" s="622"/>
      <c r="K14" s="982"/>
      <c r="L14" s="622"/>
      <c r="M14" s="982"/>
      <c r="N14" s="622"/>
      <c r="O14" s="982"/>
      <c r="P14" s="622"/>
      <c r="Q14" s="982"/>
      <c r="R14" s="1080" t="s">
        <v>3292</v>
      </c>
      <c r="T14" s="878"/>
    </row>
    <row r="15" spans="1:21" s="224" customFormat="1" ht="15" customHeight="1" x14ac:dyDescent="0.25">
      <c r="A15" s="215">
        <v>44713</v>
      </c>
      <c r="B15" s="349" t="s">
        <v>260</v>
      </c>
      <c r="C15" s="350" t="s">
        <v>12</v>
      </c>
      <c r="D15" s="350"/>
      <c r="E15" s="480"/>
      <c r="F15" s="780">
        <v>400</v>
      </c>
      <c r="G15" s="946"/>
      <c r="H15" s="95"/>
      <c r="I15" s="1064">
        <v>400</v>
      </c>
      <c r="J15" s="622"/>
      <c r="K15" s="982"/>
      <c r="L15" s="1110"/>
      <c r="M15" s="627"/>
      <c r="N15" s="1110"/>
      <c r="O15" s="627"/>
      <c r="P15" s="1110"/>
      <c r="Q15" s="627"/>
      <c r="R15" s="1080"/>
    </row>
    <row r="16" spans="1:21" s="224" customFormat="1" x14ac:dyDescent="0.25">
      <c r="A16" s="215">
        <v>44713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18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622"/>
      <c r="Q16" s="982"/>
      <c r="R16" s="861"/>
      <c r="T16" s="878"/>
    </row>
    <row r="17" spans="1:20" s="224" customFormat="1" ht="15" customHeight="1" x14ac:dyDescent="0.25">
      <c r="A17" s="215">
        <v>44713</v>
      </c>
      <c r="B17" s="364" t="s">
        <v>3345</v>
      </c>
      <c r="C17" s="879" t="s">
        <v>12</v>
      </c>
      <c r="D17" s="350" t="s">
        <v>1525</v>
      </c>
      <c r="E17" s="875" t="s">
        <v>13</v>
      </c>
      <c r="F17" s="780">
        <v>19.899999999999999</v>
      </c>
      <c r="G17" s="982"/>
      <c r="H17" s="622"/>
      <c r="I17" s="982"/>
      <c r="J17" s="622"/>
      <c r="K17" s="982"/>
      <c r="L17" s="622"/>
      <c r="M17" s="982"/>
      <c r="N17" s="622"/>
      <c r="O17" s="982"/>
      <c r="P17" s="622"/>
      <c r="Q17" s="982"/>
      <c r="R17" s="1080"/>
      <c r="S17" s="927"/>
      <c r="T17" s="878"/>
    </row>
    <row r="18" spans="1:20" s="224" customFormat="1" x14ac:dyDescent="0.25">
      <c r="A18" s="215">
        <v>44714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18</v>
      </c>
      <c r="G18" s="982"/>
      <c r="H18" s="1008"/>
      <c r="I18" s="1063"/>
      <c r="J18" s="622"/>
      <c r="K18" s="982"/>
      <c r="L18" s="622"/>
      <c r="M18" s="982"/>
      <c r="N18" s="622"/>
      <c r="O18" s="982"/>
      <c r="P18" s="622"/>
      <c r="Q18" s="982"/>
      <c r="R18" s="861"/>
      <c r="T18" s="878"/>
    </row>
    <row r="19" spans="1:20" s="224" customFormat="1" x14ac:dyDescent="0.25">
      <c r="A19" s="215">
        <v>44714</v>
      </c>
      <c r="B19" s="882" t="s">
        <v>3346</v>
      </c>
      <c r="C19" s="879" t="s">
        <v>12</v>
      </c>
      <c r="D19" s="879" t="s">
        <v>1489</v>
      </c>
      <c r="E19" s="480" t="s">
        <v>13</v>
      </c>
      <c r="F19" s="780">
        <v>9.6</v>
      </c>
      <c r="G19" s="982"/>
      <c r="H19" s="1008"/>
      <c r="I19" s="1063"/>
      <c r="J19" s="622"/>
      <c r="K19" s="982"/>
      <c r="L19" s="622"/>
      <c r="M19" s="982"/>
      <c r="N19" s="622"/>
      <c r="O19" s="982"/>
      <c r="P19" s="622"/>
      <c r="Q19" s="982"/>
      <c r="R19" s="861"/>
      <c r="T19" s="878"/>
    </row>
    <row r="20" spans="1:20" s="224" customFormat="1" x14ac:dyDescent="0.25">
      <c r="A20" s="215">
        <v>44715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780">
        <v>18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622"/>
      <c r="Q20" s="982"/>
      <c r="R20" s="861"/>
      <c r="T20" s="878"/>
    </row>
    <row r="21" spans="1:20" s="224" customFormat="1" ht="15" customHeight="1" x14ac:dyDescent="0.25">
      <c r="A21" s="215">
        <v>44715</v>
      </c>
      <c r="B21" s="364" t="s">
        <v>81</v>
      </c>
      <c r="C21" s="350" t="s">
        <v>12</v>
      </c>
      <c r="D21" s="350" t="s">
        <v>1493</v>
      </c>
      <c r="E21" s="875" t="s">
        <v>13</v>
      </c>
      <c r="F21" s="780">
        <v>4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622"/>
      <c r="Q21" s="982"/>
      <c r="R21" s="1029"/>
      <c r="S21" s="89"/>
      <c r="T21" s="930"/>
    </row>
    <row r="22" spans="1:20" s="224" customFormat="1" x14ac:dyDescent="0.25">
      <c r="A22" s="215">
        <v>44716</v>
      </c>
      <c r="B22" s="364" t="s">
        <v>3347</v>
      </c>
      <c r="C22" s="350" t="s">
        <v>12</v>
      </c>
      <c r="D22" s="350" t="s">
        <v>1489</v>
      </c>
      <c r="E22" s="875" t="s">
        <v>15</v>
      </c>
      <c r="F22" s="780">
        <v>55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982"/>
      <c r="R22" s="861"/>
      <c r="T22" s="878"/>
    </row>
    <row r="23" spans="1:20" s="224" customFormat="1" x14ac:dyDescent="0.25">
      <c r="A23" s="215">
        <v>44716</v>
      </c>
      <c r="B23" s="364" t="s">
        <v>1906</v>
      </c>
      <c r="C23" s="350" t="s">
        <v>12</v>
      </c>
      <c r="D23" s="350" t="s">
        <v>1493</v>
      </c>
      <c r="E23" s="875" t="s">
        <v>13</v>
      </c>
      <c r="F23" s="780">
        <v>7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982"/>
      <c r="R23" s="861"/>
      <c r="T23" s="878"/>
    </row>
    <row r="24" spans="1:20" s="224" customFormat="1" x14ac:dyDescent="0.25">
      <c r="A24" s="215">
        <v>44716</v>
      </c>
      <c r="B24" s="364" t="s">
        <v>82</v>
      </c>
      <c r="C24" s="350" t="s">
        <v>12</v>
      </c>
      <c r="D24" s="350" t="s">
        <v>1493</v>
      </c>
      <c r="E24" s="875" t="s">
        <v>13</v>
      </c>
      <c r="F24" s="780">
        <v>30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982"/>
      <c r="R24" s="861"/>
      <c r="T24" s="878"/>
    </row>
    <row r="25" spans="1:20" s="224" customFormat="1" x14ac:dyDescent="0.25">
      <c r="A25" s="215">
        <v>44717</v>
      </c>
      <c r="B25" s="364" t="s">
        <v>525</v>
      </c>
      <c r="C25" s="350" t="s">
        <v>12</v>
      </c>
      <c r="D25" s="350" t="s">
        <v>1493</v>
      </c>
      <c r="E25" s="875" t="s">
        <v>13</v>
      </c>
      <c r="F25" s="780">
        <v>30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982"/>
      <c r="R25" s="861"/>
      <c r="T25" s="878"/>
    </row>
    <row r="26" spans="1:20" s="224" customFormat="1" x14ac:dyDescent="0.25">
      <c r="A26" s="215">
        <v>44717</v>
      </c>
      <c r="B26" s="364" t="s">
        <v>81</v>
      </c>
      <c r="C26" s="350" t="s">
        <v>12</v>
      </c>
      <c r="D26" s="350" t="s">
        <v>1493</v>
      </c>
      <c r="E26" s="875" t="s">
        <v>13</v>
      </c>
      <c r="F26" s="780">
        <v>20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982"/>
      <c r="R26" s="861"/>
      <c r="T26" s="878"/>
    </row>
    <row r="27" spans="1:20" s="224" customFormat="1" ht="15.75" customHeight="1" x14ac:dyDescent="0.25">
      <c r="A27" s="215">
        <v>44718</v>
      </c>
      <c r="B27" s="873" t="s">
        <v>3348</v>
      </c>
      <c r="C27" s="879" t="s">
        <v>12</v>
      </c>
      <c r="D27" s="874"/>
      <c r="E27" s="871" t="s">
        <v>25</v>
      </c>
      <c r="F27" s="1524"/>
      <c r="G27" s="1002">
        <v>2120.71</v>
      </c>
      <c r="H27" s="538"/>
      <c r="I27" s="982"/>
      <c r="J27" s="622"/>
      <c r="K27" s="982"/>
      <c r="L27" s="622"/>
      <c r="M27" s="982"/>
      <c r="N27" s="622"/>
      <c r="O27" s="982"/>
      <c r="P27" s="622"/>
      <c r="Q27" s="982"/>
      <c r="R27" s="178"/>
    </row>
    <row r="28" spans="1:20" s="224" customFormat="1" ht="15" customHeight="1" x14ac:dyDescent="0.25">
      <c r="A28" s="215">
        <v>44718</v>
      </c>
      <c r="B28" s="862" t="s">
        <v>3310</v>
      </c>
      <c r="C28" s="879" t="s">
        <v>12</v>
      </c>
      <c r="D28" s="879" t="s">
        <v>1504</v>
      </c>
      <c r="E28" s="871" t="s">
        <v>13</v>
      </c>
      <c r="F28" s="780">
        <v>30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982"/>
      <c r="R28" s="1028">
        <v>70</v>
      </c>
      <c r="S28" s="999"/>
      <c r="T28" s="1035"/>
    </row>
    <row r="29" spans="1:20" s="224" customFormat="1" ht="15" customHeight="1" x14ac:dyDescent="0.25">
      <c r="A29" s="215">
        <v>44718</v>
      </c>
      <c r="B29" s="882" t="s">
        <v>3349</v>
      </c>
      <c r="C29" s="879" t="s">
        <v>12</v>
      </c>
      <c r="D29" s="879" t="s">
        <v>1499</v>
      </c>
      <c r="E29" s="871" t="s">
        <v>13</v>
      </c>
      <c r="F29" s="780">
        <v>77.61</v>
      </c>
      <c r="G29" s="982"/>
      <c r="H29" s="1008"/>
      <c r="I29" s="1063"/>
      <c r="J29" s="622"/>
      <c r="K29" s="982"/>
      <c r="L29" s="622"/>
      <c r="M29" s="982"/>
      <c r="N29" s="622"/>
      <c r="O29" s="982"/>
      <c r="P29" s="622"/>
      <c r="Q29" s="982"/>
      <c r="R29" s="1028">
        <v>177.61</v>
      </c>
      <c r="S29" s="999"/>
      <c r="T29" s="878"/>
    </row>
    <row r="30" spans="1:20" s="224" customFormat="1" ht="15" customHeight="1" x14ac:dyDescent="0.25">
      <c r="A30" s="215">
        <v>44718</v>
      </c>
      <c r="B30" s="364" t="s">
        <v>2977</v>
      </c>
      <c r="C30" s="350" t="s">
        <v>12</v>
      </c>
      <c r="D30" s="350" t="s">
        <v>1491</v>
      </c>
      <c r="E30" s="875" t="s">
        <v>13</v>
      </c>
      <c r="F30" s="780">
        <v>300</v>
      </c>
      <c r="G30" s="982"/>
      <c r="H30" s="1008"/>
      <c r="I30" s="1063"/>
      <c r="J30" s="622"/>
      <c r="K30" s="982"/>
      <c r="L30" s="622"/>
      <c r="M30" s="982"/>
      <c r="N30" s="622"/>
      <c r="O30" s="982"/>
      <c r="P30" s="622"/>
      <c r="Q30" s="982"/>
      <c r="R30" s="861"/>
      <c r="T30" s="1035"/>
    </row>
    <row r="31" spans="1:20" x14ac:dyDescent="0.25">
      <c r="A31" s="215">
        <v>44718</v>
      </c>
      <c r="B31" s="876" t="s">
        <v>3060</v>
      </c>
      <c r="C31" s="879" t="s">
        <v>12</v>
      </c>
      <c r="D31" s="879" t="s">
        <v>1496</v>
      </c>
      <c r="E31" s="871" t="s">
        <v>13</v>
      </c>
      <c r="F31" s="780">
        <v>80</v>
      </c>
      <c r="G31" s="982"/>
      <c r="H31" s="1009"/>
      <c r="I31" s="1063"/>
      <c r="J31" s="622"/>
      <c r="K31" s="982"/>
      <c r="L31" s="622"/>
      <c r="M31" s="982"/>
      <c r="N31" s="622"/>
      <c r="O31" s="982"/>
      <c r="P31" s="622"/>
      <c r="Q31" s="982"/>
      <c r="R31" s="1029"/>
    </row>
    <row r="32" spans="1:20" s="224" customFormat="1" x14ac:dyDescent="0.25">
      <c r="A32" s="215">
        <v>44718</v>
      </c>
      <c r="B32" s="882" t="s">
        <v>3350</v>
      </c>
      <c r="C32" s="879" t="s">
        <v>12</v>
      </c>
      <c r="D32" s="879" t="s">
        <v>3017</v>
      </c>
      <c r="E32" s="875" t="s">
        <v>13</v>
      </c>
      <c r="F32" s="780">
        <v>557.74</v>
      </c>
      <c r="G32" s="982"/>
      <c r="H32" s="1008"/>
      <c r="I32" s="1063"/>
      <c r="J32" s="622"/>
      <c r="K32" s="982"/>
      <c r="L32" s="622"/>
      <c r="M32" s="982">
        <v>557.74</v>
      </c>
      <c r="N32" s="622"/>
      <c r="O32" s="982"/>
      <c r="P32" s="622"/>
      <c r="Q32" s="982"/>
      <c r="R32" s="861">
        <v>500</v>
      </c>
      <c r="S32" s="878" t="s">
        <v>3018</v>
      </c>
      <c r="T32" s="1035"/>
    </row>
    <row r="33" spans="1:42" s="224" customFormat="1" ht="15" customHeight="1" x14ac:dyDescent="0.25">
      <c r="A33" s="215">
        <v>44718</v>
      </c>
      <c r="B33" s="364" t="s">
        <v>3351</v>
      </c>
      <c r="C33" s="879" t="s">
        <v>12</v>
      </c>
      <c r="D33" s="879"/>
      <c r="E33" s="871" t="s">
        <v>25</v>
      </c>
      <c r="F33" s="780"/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982">
        <v>400</v>
      </c>
      <c r="R33" s="927"/>
      <c r="S33" s="927"/>
      <c r="T33" s="878"/>
    </row>
    <row r="34" spans="1:42" s="224" customFormat="1" ht="15" customHeight="1" x14ac:dyDescent="0.25">
      <c r="A34" s="215">
        <v>44718</v>
      </c>
      <c r="B34" s="349" t="s">
        <v>260</v>
      </c>
      <c r="C34" s="350" t="s">
        <v>12</v>
      </c>
      <c r="D34" s="350"/>
      <c r="E34" s="480"/>
      <c r="F34" s="780">
        <v>400</v>
      </c>
      <c r="G34" s="946"/>
      <c r="H34" s="95"/>
      <c r="I34" s="1064">
        <v>400</v>
      </c>
      <c r="J34" s="622"/>
      <c r="K34" s="982"/>
      <c r="L34" s="1110"/>
      <c r="M34" s="627"/>
      <c r="N34" s="1110"/>
      <c r="O34" s="627"/>
      <c r="P34" s="1110"/>
      <c r="Q34" s="627"/>
      <c r="R34" s="1080"/>
    </row>
    <row r="35" spans="1:42" s="224" customFormat="1" x14ac:dyDescent="0.25">
      <c r="A35" s="215">
        <v>44718</v>
      </c>
      <c r="B35" s="882" t="s">
        <v>32</v>
      </c>
      <c r="C35" s="879" t="s">
        <v>12</v>
      </c>
      <c r="D35" s="879" t="s">
        <v>1485</v>
      </c>
      <c r="E35" s="875" t="s">
        <v>13</v>
      </c>
      <c r="F35" s="780">
        <v>18</v>
      </c>
      <c r="G35" s="982"/>
      <c r="H35" s="1008"/>
      <c r="I35" s="1063"/>
      <c r="J35" s="622"/>
      <c r="K35" s="982"/>
      <c r="L35" s="622"/>
      <c r="M35" s="982"/>
      <c r="N35" s="622"/>
      <c r="O35" s="982"/>
      <c r="P35" s="622"/>
      <c r="Q35" s="982"/>
      <c r="R35" s="861"/>
      <c r="T35" s="878"/>
    </row>
    <row r="36" spans="1:42" s="224" customFormat="1" ht="15" customHeight="1" x14ac:dyDescent="0.25">
      <c r="A36" s="215">
        <v>44718</v>
      </c>
      <c r="B36" s="882" t="s">
        <v>3352</v>
      </c>
      <c r="C36" s="879" t="s">
        <v>12</v>
      </c>
      <c r="D36" s="879" t="s">
        <v>1506</v>
      </c>
      <c r="E36" s="871" t="s">
        <v>13</v>
      </c>
      <c r="F36" s="780">
        <v>45</v>
      </c>
      <c r="G36" s="982"/>
      <c r="H36" s="622"/>
      <c r="I36" s="982"/>
      <c r="J36" s="622"/>
      <c r="K36" s="982"/>
      <c r="L36" s="622"/>
      <c r="M36" s="982"/>
      <c r="N36" s="622"/>
      <c r="O36" s="982"/>
      <c r="P36" s="622"/>
      <c r="Q36" s="982"/>
      <c r="R36" s="927"/>
      <c r="S36" s="927"/>
      <c r="T36" s="878"/>
    </row>
    <row r="37" spans="1:42" s="224" customFormat="1" ht="15" customHeight="1" x14ac:dyDescent="0.25">
      <c r="A37" s="215">
        <v>44718</v>
      </c>
      <c r="B37" s="882" t="s">
        <v>2251</v>
      </c>
      <c r="C37" s="879" t="s">
        <v>12</v>
      </c>
      <c r="D37" s="879" t="s">
        <v>2157</v>
      </c>
      <c r="E37" s="871" t="s">
        <v>15</v>
      </c>
      <c r="F37" s="780">
        <v>50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982"/>
      <c r="R37" s="927"/>
      <c r="S37" s="927"/>
      <c r="T37" s="878"/>
    </row>
    <row r="38" spans="1:42" s="224" customFormat="1" ht="15" customHeight="1" x14ac:dyDescent="0.25">
      <c r="A38" s="215">
        <v>44718</v>
      </c>
      <c r="B38" s="873" t="s">
        <v>3353</v>
      </c>
      <c r="C38" s="874" t="s">
        <v>12</v>
      </c>
      <c r="D38" s="874" t="s">
        <v>1525</v>
      </c>
      <c r="E38" s="875" t="s">
        <v>13</v>
      </c>
      <c r="F38" s="780">
        <v>50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982"/>
      <c r="R38" s="927"/>
      <c r="S38" s="927"/>
      <c r="T38" s="878"/>
    </row>
    <row r="39" spans="1:42" s="224" customFormat="1" ht="15" customHeight="1" x14ac:dyDescent="0.25">
      <c r="A39" s="215">
        <v>44718</v>
      </c>
      <c r="B39" s="364" t="s">
        <v>1396</v>
      </c>
      <c r="C39" s="350" t="s">
        <v>12</v>
      </c>
      <c r="D39" s="350"/>
      <c r="E39" s="480" t="s">
        <v>25</v>
      </c>
      <c r="F39" s="613"/>
      <c r="G39" s="967">
        <v>100</v>
      </c>
      <c r="H39" s="1008"/>
      <c r="I39" s="1063"/>
      <c r="J39" s="622"/>
      <c r="K39" s="982"/>
      <c r="L39" s="1116"/>
      <c r="M39" s="1207"/>
      <c r="N39" s="1116"/>
      <c r="O39" s="1207"/>
      <c r="P39" s="1116"/>
      <c r="Q39" s="1207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customHeight="1" x14ac:dyDescent="0.25">
      <c r="A40" s="215">
        <v>44719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18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982"/>
      <c r="R40" s="927"/>
      <c r="S40" s="927"/>
      <c r="T40" s="878"/>
    </row>
    <row r="41" spans="1:42" s="224" customFormat="1" ht="15" customHeight="1" x14ac:dyDescent="0.25">
      <c r="A41" s="215">
        <v>44720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18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982"/>
      <c r="R41" s="927"/>
      <c r="S41" s="927"/>
      <c r="T41" s="878"/>
    </row>
    <row r="42" spans="1:42" s="224" customFormat="1" x14ac:dyDescent="0.25">
      <c r="A42" s="215">
        <v>44720</v>
      </c>
      <c r="B42" s="882" t="s">
        <v>14</v>
      </c>
      <c r="C42" s="879" t="s">
        <v>12</v>
      </c>
      <c r="D42" s="879" t="s">
        <v>1486</v>
      </c>
      <c r="E42" s="875" t="s">
        <v>13</v>
      </c>
      <c r="F42" s="780">
        <v>15.36</v>
      </c>
      <c r="G42" s="982"/>
      <c r="H42" s="1008"/>
      <c r="I42" s="1063"/>
      <c r="J42" s="622"/>
      <c r="K42" s="982"/>
      <c r="L42" s="622"/>
      <c r="M42" s="982"/>
      <c r="N42" s="622"/>
      <c r="O42" s="982"/>
      <c r="P42" s="622"/>
      <c r="Q42" s="982"/>
      <c r="R42" s="861"/>
      <c r="T42" s="878"/>
    </row>
    <row r="43" spans="1:42" s="224" customFormat="1" ht="14.25" customHeight="1" x14ac:dyDescent="0.25">
      <c r="A43" s="215">
        <v>44720</v>
      </c>
      <c r="B43" s="882" t="s">
        <v>2251</v>
      </c>
      <c r="C43" s="879" t="s">
        <v>12</v>
      </c>
      <c r="D43" s="879" t="s">
        <v>2157</v>
      </c>
      <c r="E43" s="871" t="s">
        <v>15</v>
      </c>
      <c r="F43" s="780">
        <v>50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T43" s="878"/>
    </row>
    <row r="44" spans="1:42" s="224" customFormat="1" ht="15" customHeight="1" x14ac:dyDescent="0.25">
      <c r="A44" s="215">
        <v>44720</v>
      </c>
      <c r="B44" s="882" t="s">
        <v>2766</v>
      </c>
      <c r="C44" s="879" t="s">
        <v>12</v>
      </c>
      <c r="D44" s="879" t="s">
        <v>2157</v>
      </c>
      <c r="E44" s="871" t="s">
        <v>15</v>
      </c>
      <c r="F44" s="780">
        <v>50</v>
      </c>
      <c r="G44" s="946"/>
      <c r="H44" s="95"/>
      <c r="I44" s="1064"/>
      <c r="J44" s="622"/>
      <c r="K44" s="982"/>
      <c r="L44" s="622"/>
      <c r="M44" s="982"/>
      <c r="N44" s="622"/>
      <c r="O44" s="982"/>
      <c r="P44" s="622"/>
      <c r="Q44" s="982"/>
      <c r="R44" s="861"/>
    </row>
    <row r="45" spans="1:42" s="224" customFormat="1" ht="15" customHeight="1" x14ac:dyDescent="0.25">
      <c r="A45" s="215">
        <v>44721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18</v>
      </c>
      <c r="G45" s="982"/>
      <c r="H45" s="622"/>
      <c r="I45" s="982"/>
      <c r="J45" s="622"/>
      <c r="K45" s="982"/>
      <c r="L45" s="622"/>
      <c r="M45" s="982"/>
      <c r="N45" s="622"/>
      <c r="O45" s="982"/>
      <c r="P45" s="622"/>
      <c r="Q45" s="982"/>
      <c r="R45" s="927"/>
      <c r="S45" s="927"/>
      <c r="T45" s="878"/>
    </row>
    <row r="46" spans="1:42" s="224" customFormat="1" ht="15" customHeight="1" x14ac:dyDescent="0.25">
      <c r="A46" s="215">
        <v>44721</v>
      </c>
      <c r="B46" s="364" t="s">
        <v>1906</v>
      </c>
      <c r="C46" s="350" t="s">
        <v>12</v>
      </c>
      <c r="D46" s="350" t="s">
        <v>1493</v>
      </c>
      <c r="E46" s="875" t="s">
        <v>13</v>
      </c>
      <c r="F46" s="780">
        <v>7</v>
      </c>
      <c r="G46" s="982"/>
      <c r="H46" s="622"/>
      <c r="I46" s="982"/>
      <c r="J46" s="622"/>
      <c r="K46" s="982"/>
      <c r="L46" s="622"/>
      <c r="M46" s="982"/>
      <c r="N46" s="622"/>
      <c r="O46" s="982"/>
      <c r="P46" s="622"/>
      <c r="Q46" s="982"/>
      <c r="R46" s="927"/>
      <c r="S46" s="927"/>
      <c r="T46" s="878"/>
    </row>
    <row r="47" spans="1:42" s="224" customFormat="1" ht="15" customHeight="1" x14ac:dyDescent="0.25">
      <c r="A47" s="215">
        <v>44722</v>
      </c>
      <c r="B47" s="364" t="s">
        <v>3354</v>
      </c>
      <c r="C47" s="350" t="s">
        <v>12</v>
      </c>
      <c r="D47" s="350"/>
      <c r="E47" s="480" t="s">
        <v>25</v>
      </c>
      <c r="F47" s="613"/>
      <c r="G47" s="967"/>
      <c r="H47" s="1008"/>
      <c r="I47" s="1063"/>
      <c r="J47" s="622"/>
      <c r="K47" s="1033"/>
      <c r="L47" s="1110"/>
      <c r="M47" s="6"/>
      <c r="N47" s="1110"/>
      <c r="O47" s="6"/>
      <c r="P47" s="613"/>
      <c r="Q47" s="162">
        <v>195.69</v>
      </c>
      <c r="R47" s="1209">
        <v>0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customHeight="1" x14ac:dyDescent="0.25">
      <c r="A48" s="215">
        <v>44722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18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982"/>
      <c r="R48" s="927"/>
      <c r="S48" s="927"/>
      <c r="T48" s="878"/>
    </row>
    <row r="49" spans="1:20" s="224" customFormat="1" ht="15" customHeight="1" x14ac:dyDescent="0.25">
      <c r="A49" s="215">
        <v>44722</v>
      </c>
      <c r="B49" s="364" t="s">
        <v>81</v>
      </c>
      <c r="C49" s="350" t="s">
        <v>12</v>
      </c>
      <c r="D49" s="350" t="s">
        <v>1493</v>
      </c>
      <c r="E49" s="875" t="s">
        <v>13</v>
      </c>
      <c r="F49" s="780">
        <v>2.5</v>
      </c>
      <c r="G49" s="982"/>
      <c r="H49" s="622"/>
      <c r="I49" s="982"/>
      <c r="J49" s="622"/>
      <c r="K49" s="982"/>
      <c r="L49" s="622"/>
      <c r="M49" s="1033"/>
      <c r="N49" s="622"/>
      <c r="O49" s="1033"/>
      <c r="P49" s="1116"/>
      <c r="Q49" s="1207"/>
      <c r="R49" s="927"/>
      <c r="S49" s="927"/>
      <c r="T49" s="878"/>
    </row>
    <row r="50" spans="1:20" s="224" customFormat="1" ht="15" customHeight="1" x14ac:dyDescent="0.25">
      <c r="A50" s="215">
        <v>44722</v>
      </c>
      <c r="B50" s="882" t="s">
        <v>14</v>
      </c>
      <c r="C50" s="879" t="s">
        <v>12</v>
      </c>
      <c r="D50" s="879" t="s">
        <v>1486</v>
      </c>
      <c r="E50" s="875" t="s">
        <v>13</v>
      </c>
      <c r="F50" s="780">
        <v>4.8</v>
      </c>
      <c r="G50" s="982"/>
      <c r="H50" s="622"/>
      <c r="I50" s="982"/>
      <c r="J50" s="622"/>
      <c r="K50" s="982"/>
      <c r="L50" s="622"/>
      <c r="M50" s="1033"/>
      <c r="N50" s="622"/>
      <c r="O50" s="1033"/>
      <c r="P50" s="1116"/>
      <c r="Q50" s="1207"/>
      <c r="R50" s="927"/>
      <c r="S50" s="927"/>
      <c r="T50" s="878"/>
    </row>
    <row r="51" spans="1:20" s="224" customFormat="1" ht="15" customHeight="1" x14ac:dyDescent="0.25">
      <c r="A51" s="215">
        <v>44722</v>
      </c>
      <c r="B51" s="364" t="s">
        <v>134</v>
      </c>
      <c r="C51" s="350" t="s">
        <v>12</v>
      </c>
      <c r="D51" s="350" t="s">
        <v>1493</v>
      </c>
      <c r="E51" s="875" t="s">
        <v>13</v>
      </c>
      <c r="F51" s="780">
        <v>8</v>
      </c>
      <c r="G51" s="982"/>
      <c r="H51" s="622"/>
      <c r="I51" s="982"/>
      <c r="J51" s="622"/>
      <c r="K51" s="982"/>
      <c r="L51" s="622"/>
      <c r="M51" s="1033"/>
      <c r="N51" s="622"/>
      <c r="O51" s="1033"/>
      <c r="P51" s="1116"/>
      <c r="Q51" s="1207"/>
      <c r="R51" s="927"/>
      <c r="S51" s="927"/>
      <c r="T51" s="878"/>
    </row>
    <row r="52" spans="1:20" s="224" customFormat="1" x14ac:dyDescent="0.25">
      <c r="A52" s="215">
        <v>44723</v>
      </c>
      <c r="B52" s="882" t="s">
        <v>14</v>
      </c>
      <c r="C52" s="879" t="s">
        <v>12</v>
      </c>
      <c r="D52" s="879" t="s">
        <v>1486</v>
      </c>
      <c r="E52" s="875" t="s">
        <v>13</v>
      </c>
      <c r="F52" s="780">
        <v>8.49</v>
      </c>
      <c r="G52" s="982"/>
      <c r="H52" s="1008"/>
      <c r="I52" s="1063"/>
      <c r="J52" s="622"/>
      <c r="K52" s="982"/>
      <c r="L52" s="622"/>
      <c r="M52" s="982"/>
      <c r="N52" s="622"/>
      <c r="O52" s="982"/>
      <c r="P52" s="622"/>
      <c r="Q52" s="982"/>
      <c r="R52" s="861"/>
      <c r="T52" s="878"/>
    </row>
    <row r="53" spans="1:20" s="224" customFormat="1" ht="15" customHeight="1" x14ac:dyDescent="0.25">
      <c r="A53" s="215">
        <v>44723</v>
      </c>
      <c r="B53" s="882" t="s">
        <v>2629</v>
      </c>
      <c r="C53" s="879" t="s">
        <v>19</v>
      </c>
      <c r="D53" s="879" t="s">
        <v>1489</v>
      </c>
      <c r="E53" s="875" t="s">
        <v>13</v>
      </c>
      <c r="F53" s="780">
        <v>111.32</v>
      </c>
      <c r="G53" s="982"/>
      <c r="H53" s="622"/>
      <c r="I53" s="982"/>
      <c r="J53" s="622"/>
      <c r="K53" s="982"/>
      <c r="L53" s="622"/>
      <c r="M53" s="982"/>
      <c r="N53" s="622"/>
      <c r="O53" s="982"/>
      <c r="P53" s="1110"/>
      <c r="Q53" s="1208"/>
      <c r="R53" s="927"/>
      <c r="S53" s="927"/>
      <c r="T53" s="878"/>
    </row>
    <row r="54" spans="1:20" s="224" customFormat="1" ht="15" customHeight="1" x14ac:dyDescent="0.25">
      <c r="A54" s="215">
        <v>44723</v>
      </c>
      <c r="B54" s="882" t="s">
        <v>2766</v>
      </c>
      <c r="C54" s="879" t="s">
        <v>12</v>
      </c>
      <c r="D54" s="879" t="s">
        <v>2157</v>
      </c>
      <c r="E54" s="871" t="s">
        <v>15</v>
      </c>
      <c r="F54" s="780">
        <v>50</v>
      </c>
      <c r="G54" s="946"/>
      <c r="H54" s="95"/>
      <c r="I54" s="1064"/>
      <c r="J54" s="622"/>
      <c r="K54" s="982"/>
      <c r="L54" s="622"/>
      <c r="M54" s="982"/>
      <c r="N54" s="622"/>
      <c r="O54" s="982"/>
      <c r="P54" s="622"/>
      <c r="Q54" s="982"/>
      <c r="R54" s="861"/>
    </row>
    <row r="55" spans="1:20" s="224" customFormat="1" ht="15" customHeight="1" x14ac:dyDescent="0.25">
      <c r="A55" s="215">
        <v>44723</v>
      </c>
      <c r="B55" s="882" t="s">
        <v>3355</v>
      </c>
      <c r="C55" s="879" t="s">
        <v>12</v>
      </c>
      <c r="D55" s="879" t="s">
        <v>1489</v>
      </c>
      <c r="E55" s="875" t="s">
        <v>13</v>
      </c>
      <c r="F55" s="780">
        <v>7.9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13"/>
      <c r="Q55" s="64"/>
      <c r="R55" s="927"/>
      <c r="S55" s="927"/>
      <c r="T55" s="878"/>
    </row>
    <row r="56" spans="1:20" s="224" customFormat="1" ht="15" customHeight="1" x14ac:dyDescent="0.25">
      <c r="A56" s="215">
        <v>44723</v>
      </c>
      <c r="B56" s="364" t="s">
        <v>3120</v>
      </c>
      <c r="C56" s="350" t="s">
        <v>12</v>
      </c>
      <c r="D56" s="350" t="s">
        <v>1493</v>
      </c>
      <c r="E56" s="875" t="s">
        <v>13</v>
      </c>
      <c r="F56" s="780">
        <v>17</v>
      </c>
      <c r="G56" s="982"/>
      <c r="H56" s="622"/>
      <c r="I56" s="982"/>
      <c r="J56" s="622"/>
      <c r="K56" s="982"/>
      <c r="L56" s="622"/>
      <c r="M56" s="1033"/>
      <c r="N56" s="622"/>
      <c r="O56" s="1033"/>
      <c r="P56" s="1116"/>
      <c r="Q56" s="1215"/>
      <c r="R56" s="927"/>
      <c r="S56" s="927"/>
      <c r="T56" s="878"/>
    </row>
    <row r="57" spans="1:20" s="224" customFormat="1" ht="15" customHeight="1" x14ac:dyDescent="0.25">
      <c r="A57" s="215">
        <v>44723</v>
      </c>
      <c r="B57" s="364" t="s">
        <v>3356</v>
      </c>
      <c r="C57" s="350" t="s">
        <v>12</v>
      </c>
      <c r="D57" s="350" t="s">
        <v>1493</v>
      </c>
      <c r="E57" s="875" t="s">
        <v>13</v>
      </c>
      <c r="F57" s="780">
        <v>33</v>
      </c>
      <c r="G57" s="982"/>
      <c r="H57" s="622"/>
      <c r="I57" s="982"/>
      <c r="J57" s="622"/>
      <c r="K57" s="982"/>
      <c r="L57" s="622"/>
      <c r="M57" s="982"/>
      <c r="N57" s="622"/>
      <c r="O57" s="982"/>
      <c r="P57" s="1116"/>
      <c r="Q57" s="1215"/>
      <c r="R57" s="927"/>
      <c r="S57" s="927"/>
      <c r="T57" s="878"/>
    </row>
    <row r="58" spans="1:20" s="224" customFormat="1" x14ac:dyDescent="0.25">
      <c r="A58" s="215">
        <v>44724</v>
      </c>
      <c r="B58" s="882" t="s">
        <v>14</v>
      </c>
      <c r="C58" s="879" t="s">
        <v>12</v>
      </c>
      <c r="D58" s="879" t="s">
        <v>1486</v>
      </c>
      <c r="E58" s="875" t="s">
        <v>13</v>
      </c>
      <c r="F58" s="780">
        <v>12.88</v>
      </c>
      <c r="G58" s="982"/>
      <c r="H58" s="1008"/>
      <c r="I58" s="1063"/>
      <c r="J58" s="622"/>
      <c r="K58" s="982"/>
      <c r="L58" s="622"/>
      <c r="M58" s="982"/>
      <c r="N58" s="622"/>
      <c r="O58" s="982"/>
      <c r="P58" s="622"/>
      <c r="Q58" s="982"/>
      <c r="R58" s="861"/>
      <c r="T58" s="878"/>
    </row>
    <row r="59" spans="1:20" s="224" customFormat="1" ht="15" customHeight="1" x14ac:dyDescent="0.25">
      <c r="A59" s="215">
        <v>44724</v>
      </c>
      <c r="B59" s="364" t="s">
        <v>3283</v>
      </c>
      <c r="C59" s="350" t="s">
        <v>12</v>
      </c>
      <c r="D59" s="350" t="s">
        <v>1506</v>
      </c>
      <c r="E59" s="875" t="s">
        <v>15</v>
      </c>
      <c r="F59" s="780">
        <v>50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20" s="224" customFormat="1" x14ac:dyDescent="0.25">
      <c r="A60" s="215">
        <v>44724</v>
      </c>
      <c r="B60" s="364" t="s">
        <v>525</v>
      </c>
      <c r="C60" s="350" t="s">
        <v>12</v>
      </c>
      <c r="D60" s="350" t="s">
        <v>1493</v>
      </c>
      <c r="E60" s="875" t="s">
        <v>13</v>
      </c>
      <c r="F60" s="780">
        <v>30</v>
      </c>
      <c r="G60" s="982"/>
      <c r="H60" s="1008"/>
      <c r="I60" s="1063"/>
      <c r="J60" s="622"/>
      <c r="K60" s="982"/>
      <c r="L60" s="622"/>
      <c r="M60" s="982"/>
      <c r="N60" s="622"/>
      <c r="O60" s="982"/>
      <c r="P60" s="622"/>
      <c r="Q60" s="982"/>
      <c r="R60" s="861"/>
      <c r="T60" s="878"/>
    </row>
    <row r="61" spans="1:20" s="224" customFormat="1" ht="15" customHeight="1" x14ac:dyDescent="0.25">
      <c r="A61" s="215">
        <v>44724</v>
      </c>
      <c r="B61" s="364" t="s">
        <v>81</v>
      </c>
      <c r="C61" s="350" t="s">
        <v>12</v>
      </c>
      <c r="D61" s="350" t="s">
        <v>1493</v>
      </c>
      <c r="E61" s="875" t="s">
        <v>13</v>
      </c>
      <c r="F61" s="780">
        <v>12.5</v>
      </c>
      <c r="G61" s="982"/>
      <c r="H61" s="1060"/>
      <c r="I61" s="1033"/>
      <c r="J61" s="880"/>
      <c r="K61" s="1033"/>
      <c r="L61" s="880"/>
      <c r="M61" s="1033"/>
      <c r="N61" s="880"/>
      <c r="O61" s="1033"/>
      <c r="P61" s="622"/>
      <c r="Q61" s="982"/>
      <c r="R61" s="1080"/>
      <c r="S61" s="927"/>
      <c r="T61" s="878"/>
    </row>
    <row r="62" spans="1:20" s="224" customFormat="1" ht="15" customHeight="1" x14ac:dyDescent="0.25">
      <c r="A62" s="215">
        <v>44725</v>
      </c>
      <c r="B62" s="882" t="s">
        <v>256</v>
      </c>
      <c r="C62" s="879"/>
      <c r="D62" s="879"/>
      <c r="E62" s="875" t="s">
        <v>25</v>
      </c>
      <c r="F62" s="780"/>
      <c r="G62" s="982">
        <v>300</v>
      </c>
      <c r="H62" s="1060">
        <v>300</v>
      </c>
      <c r="I62" s="1033"/>
      <c r="J62" s="880"/>
      <c r="K62" s="1033"/>
      <c r="L62" s="880"/>
      <c r="M62" s="1033"/>
      <c r="N62" s="880"/>
      <c r="O62" s="1033"/>
      <c r="P62" s="880"/>
      <c r="Q62" s="1033"/>
      <c r="R62" s="1080"/>
      <c r="S62" s="927"/>
      <c r="T62" s="878"/>
    </row>
    <row r="63" spans="1:20" s="224" customFormat="1" ht="14.25" customHeight="1" x14ac:dyDescent="0.25">
      <c r="A63" s="215">
        <v>44725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18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982"/>
      <c r="R63" s="927"/>
      <c r="S63" s="927"/>
      <c r="T63" s="878"/>
    </row>
    <row r="64" spans="1:20" s="224" customFormat="1" ht="15" customHeight="1" x14ac:dyDescent="0.25">
      <c r="A64" s="215">
        <v>44726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18</v>
      </c>
      <c r="G64" s="982"/>
      <c r="H64" s="622"/>
      <c r="I64" s="982"/>
      <c r="J64" s="622"/>
      <c r="K64" s="982"/>
      <c r="L64" s="622"/>
      <c r="M64" s="982"/>
      <c r="N64" s="622"/>
      <c r="O64" s="982">
        <f>P64</f>
        <v>10018.26</v>
      </c>
      <c r="P64" s="622">
        <v>10018.26</v>
      </c>
      <c r="Q64" s="982"/>
      <c r="R64" s="927"/>
      <c r="S64" s="927"/>
      <c r="T64" s="878"/>
    </row>
    <row r="65" spans="1:20" s="224" customFormat="1" ht="15" customHeight="1" x14ac:dyDescent="0.25">
      <c r="A65" s="215">
        <v>44727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18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982"/>
      <c r="R65" s="927"/>
      <c r="S65" s="927"/>
      <c r="T65" s="878"/>
    </row>
    <row r="66" spans="1:20" s="224" customFormat="1" ht="15" customHeight="1" x14ac:dyDescent="0.25">
      <c r="A66" s="215">
        <v>44728</v>
      </c>
      <c r="B66" s="882" t="s">
        <v>14</v>
      </c>
      <c r="C66" s="879" t="s">
        <v>12</v>
      </c>
      <c r="D66" s="879" t="s">
        <v>1486</v>
      </c>
      <c r="E66" s="875" t="s">
        <v>13</v>
      </c>
      <c r="F66" s="780">
        <v>7.29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982"/>
      <c r="R66" s="927"/>
      <c r="S66" s="927"/>
      <c r="T66" s="878"/>
    </row>
    <row r="67" spans="1:20" s="224" customFormat="1" ht="15" customHeight="1" x14ac:dyDescent="0.25">
      <c r="A67" s="215">
        <v>44728</v>
      </c>
      <c r="B67" s="364" t="s">
        <v>81</v>
      </c>
      <c r="C67" s="350" t="s">
        <v>12</v>
      </c>
      <c r="D67" s="350" t="s">
        <v>1493</v>
      </c>
      <c r="E67" s="875" t="s">
        <v>13</v>
      </c>
      <c r="F67" s="780">
        <v>4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982"/>
      <c r="R67" s="927"/>
      <c r="S67" s="927"/>
      <c r="T67" s="878"/>
    </row>
    <row r="68" spans="1:20" s="224" customFormat="1" ht="15" customHeight="1" x14ac:dyDescent="0.25">
      <c r="A68" s="215">
        <v>44728</v>
      </c>
      <c r="B68" s="882" t="s">
        <v>14</v>
      </c>
      <c r="C68" s="879" t="s">
        <v>12</v>
      </c>
      <c r="D68" s="879" t="s">
        <v>1486</v>
      </c>
      <c r="E68" s="875" t="s">
        <v>13</v>
      </c>
      <c r="F68" s="780">
        <v>13.13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982"/>
      <c r="R68" s="927"/>
      <c r="S68" s="927"/>
      <c r="T68" s="878"/>
    </row>
    <row r="69" spans="1:20" s="224" customFormat="1" ht="15" customHeight="1" x14ac:dyDescent="0.25">
      <c r="A69" s="215">
        <v>44728</v>
      </c>
      <c r="B69" s="882" t="s">
        <v>82</v>
      </c>
      <c r="C69" s="879" t="s">
        <v>12</v>
      </c>
      <c r="D69" s="879" t="s">
        <v>1493</v>
      </c>
      <c r="E69" s="875" t="s">
        <v>13</v>
      </c>
      <c r="F69" s="780">
        <v>25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0" s="224" customFormat="1" ht="15" customHeight="1" x14ac:dyDescent="0.25">
      <c r="A70" s="215">
        <v>44729</v>
      </c>
      <c r="B70" s="364" t="s">
        <v>3325</v>
      </c>
      <c r="C70" s="350" t="s">
        <v>12</v>
      </c>
      <c r="D70" s="350" t="s">
        <v>1504</v>
      </c>
      <c r="E70" s="875" t="s">
        <v>13</v>
      </c>
      <c r="F70" s="780">
        <v>35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982"/>
      <c r="R70" s="927"/>
      <c r="S70" s="927"/>
      <c r="T70" s="878"/>
    </row>
    <row r="71" spans="1:20" s="224" customFormat="1" ht="15" customHeight="1" x14ac:dyDescent="0.25">
      <c r="A71" s="215">
        <v>44729</v>
      </c>
      <c r="B71" s="882" t="s">
        <v>14</v>
      </c>
      <c r="C71" s="879" t="s">
        <v>12</v>
      </c>
      <c r="D71" s="879" t="s">
        <v>1486</v>
      </c>
      <c r="E71" s="875" t="s">
        <v>13</v>
      </c>
      <c r="F71" s="780">
        <v>7.35</v>
      </c>
      <c r="G71" s="982"/>
      <c r="H71" s="622"/>
      <c r="I71" s="982"/>
      <c r="J71" s="622"/>
      <c r="K71" s="982"/>
      <c r="L71" s="622"/>
      <c r="M71" s="982"/>
      <c r="N71" s="622"/>
      <c r="O71" s="982"/>
      <c r="P71" s="622"/>
      <c r="Q71" s="982"/>
      <c r="R71" s="927"/>
      <c r="S71" s="927"/>
      <c r="T71" s="878"/>
    </row>
    <row r="72" spans="1:20" s="224" customFormat="1" ht="14.25" customHeight="1" x14ac:dyDescent="0.25">
      <c r="A72" s="215">
        <v>44729</v>
      </c>
      <c r="B72" s="882" t="s">
        <v>2251</v>
      </c>
      <c r="C72" s="879" t="s">
        <v>12</v>
      </c>
      <c r="D72" s="879" t="s">
        <v>2157</v>
      </c>
      <c r="E72" s="871" t="s">
        <v>13</v>
      </c>
      <c r="F72" s="780">
        <v>40</v>
      </c>
      <c r="G72" s="982"/>
      <c r="H72" s="622"/>
      <c r="I72" s="982"/>
      <c r="J72" s="622"/>
      <c r="K72" s="982"/>
      <c r="L72" s="622"/>
      <c r="M72" s="982"/>
      <c r="N72" s="622"/>
      <c r="O72" s="982"/>
      <c r="P72" s="622"/>
      <c r="Q72" s="982"/>
      <c r="R72" s="927"/>
      <c r="T72" s="878"/>
    </row>
    <row r="73" spans="1:20" s="224" customFormat="1" ht="15" customHeight="1" x14ac:dyDescent="0.25">
      <c r="A73" s="215">
        <v>44729</v>
      </c>
      <c r="B73" s="882" t="s">
        <v>2766</v>
      </c>
      <c r="C73" s="879" t="s">
        <v>12</v>
      </c>
      <c r="D73" s="879" t="s">
        <v>2157</v>
      </c>
      <c r="E73" s="871" t="s">
        <v>13</v>
      </c>
      <c r="F73" s="780">
        <v>40</v>
      </c>
      <c r="G73" s="946"/>
      <c r="H73" s="95"/>
      <c r="I73" s="1064"/>
      <c r="J73" s="622"/>
      <c r="K73" s="982"/>
      <c r="L73" s="622"/>
      <c r="M73" s="982"/>
      <c r="N73" s="622"/>
      <c r="O73" s="982"/>
      <c r="P73" s="622"/>
      <c r="Q73" s="982"/>
      <c r="R73" s="861"/>
    </row>
    <row r="74" spans="1:20" s="224" customFormat="1" ht="15" customHeight="1" x14ac:dyDescent="0.25">
      <c r="A74" s="215">
        <v>44729</v>
      </c>
      <c r="B74" s="364" t="s">
        <v>3357</v>
      </c>
      <c r="C74" s="350" t="s">
        <v>12</v>
      </c>
      <c r="D74" s="350" t="s">
        <v>1491</v>
      </c>
      <c r="E74" s="875" t="s">
        <v>15</v>
      </c>
      <c r="F74" s="780">
        <v>50</v>
      </c>
      <c r="G74" s="982"/>
      <c r="H74" s="622"/>
      <c r="I74" s="982"/>
      <c r="J74" s="622"/>
      <c r="K74" s="982"/>
      <c r="L74" s="622"/>
      <c r="M74" s="982"/>
      <c r="N74" s="622"/>
      <c r="O74" s="982"/>
      <c r="P74" s="622"/>
      <c r="Q74" s="982"/>
      <c r="R74" s="927"/>
      <c r="S74" s="927"/>
      <c r="T74" s="878"/>
    </row>
    <row r="75" spans="1:20" s="224" customFormat="1" ht="15" customHeight="1" x14ac:dyDescent="0.25">
      <c r="A75" s="215">
        <v>44729</v>
      </c>
      <c r="B75" s="364" t="s">
        <v>3358</v>
      </c>
      <c r="C75" s="350" t="s">
        <v>12</v>
      </c>
      <c r="D75" s="350" t="s">
        <v>1491</v>
      </c>
      <c r="E75" s="875" t="s">
        <v>13</v>
      </c>
      <c r="F75" s="780">
        <v>16</v>
      </c>
      <c r="G75" s="982"/>
      <c r="H75" s="622"/>
      <c r="I75" s="982"/>
      <c r="J75" s="622"/>
      <c r="K75" s="982"/>
      <c r="L75" s="622"/>
      <c r="M75" s="982"/>
      <c r="N75" s="622"/>
      <c r="O75" s="982"/>
      <c r="P75" s="622"/>
      <c r="Q75" s="982"/>
      <c r="R75" s="927"/>
      <c r="S75" s="927"/>
      <c r="T75" s="878"/>
    </row>
    <row r="76" spans="1:20" s="224" customFormat="1" ht="15" customHeight="1" x14ac:dyDescent="0.25">
      <c r="A76" s="215">
        <v>44730</v>
      </c>
      <c r="B76" s="882" t="s">
        <v>14</v>
      </c>
      <c r="C76" s="879" t="s">
        <v>12</v>
      </c>
      <c r="D76" s="879" t="s">
        <v>1486</v>
      </c>
      <c r="E76" s="875" t="s">
        <v>13</v>
      </c>
      <c r="F76" s="780">
        <v>8.3699999999999992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982"/>
      <c r="R76" s="927"/>
      <c r="S76" s="927"/>
      <c r="T76" s="878"/>
    </row>
    <row r="77" spans="1:20" s="224" customFormat="1" ht="15" customHeight="1" x14ac:dyDescent="0.25">
      <c r="A77" s="215">
        <v>44730</v>
      </c>
      <c r="B77" s="364" t="s">
        <v>81</v>
      </c>
      <c r="C77" s="350" t="s">
        <v>12</v>
      </c>
      <c r="D77" s="350" t="s">
        <v>1493</v>
      </c>
      <c r="E77" s="875" t="s">
        <v>13</v>
      </c>
      <c r="F77" s="780">
        <v>4.5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S77" s="927"/>
      <c r="T77" s="878"/>
    </row>
    <row r="78" spans="1:20" s="224" customFormat="1" ht="15" customHeight="1" x14ac:dyDescent="0.25">
      <c r="A78" s="215">
        <v>44730</v>
      </c>
      <c r="B78" s="364" t="s">
        <v>2851</v>
      </c>
      <c r="C78" s="350" t="s">
        <v>12</v>
      </c>
      <c r="D78" s="350" t="s">
        <v>1493</v>
      </c>
      <c r="E78" s="875" t="s">
        <v>13</v>
      </c>
      <c r="F78" s="780">
        <v>13.38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982"/>
      <c r="R78" s="927"/>
      <c r="S78" s="927"/>
      <c r="T78" s="878"/>
    </row>
    <row r="79" spans="1:20" s="224" customFormat="1" ht="15" customHeight="1" x14ac:dyDescent="0.25">
      <c r="A79" s="215">
        <v>44730</v>
      </c>
      <c r="B79" s="364" t="s">
        <v>3359</v>
      </c>
      <c r="C79" s="350" t="s">
        <v>12</v>
      </c>
      <c r="D79" s="350" t="s">
        <v>1489</v>
      </c>
      <c r="E79" s="875" t="s">
        <v>15</v>
      </c>
      <c r="F79" s="780">
        <v>10</v>
      </c>
      <c r="G79" s="982"/>
      <c r="H79" s="622"/>
      <c r="I79" s="982"/>
      <c r="J79" s="622"/>
      <c r="K79" s="982"/>
      <c r="L79" s="622"/>
      <c r="M79" s="982"/>
      <c r="N79" s="622"/>
      <c r="O79" s="982"/>
      <c r="P79" s="622"/>
      <c r="Q79" s="982"/>
      <c r="R79" s="927"/>
      <c r="S79" s="927"/>
      <c r="T79" s="878"/>
    </row>
    <row r="80" spans="1:20" s="224" customFormat="1" ht="15" customHeight="1" x14ac:dyDescent="0.25">
      <c r="A80" s="215">
        <v>44730</v>
      </c>
      <c r="B80" s="364" t="s">
        <v>3360</v>
      </c>
      <c r="C80" s="350" t="s">
        <v>12</v>
      </c>
      <c r="D80" s="350" t="s">
        <v>1489</v>
      </c>
      <c r="E80" s="875" t="s">
        <v>15</v>
      </c>
      <c r="F80" s="780">
        <v>120</v>
      </c>
      <c r="G80" s="982"/>
      <c r="H80" s="622"/>
      <c r="I80" s="982"/>
      <c r="J80" s="622"/>
      <c r="K80" s="982"/>
      <c r="L80" s="622"/>
      <c r="M80" s="982"/>
      <c r="N80" s="622"/>
      <c r="O80" s="982"/>
      <c r="P80" s="622"/>
      <c r="Q80" s="982"/>
      <c r="R80" s="927"/>
      <c r="S80" s="927"/>
      <c r="T80" s="878"/>
    </row>
    <row r="81" spans="1:26" s="224" customFormat="1" ht="15" customHeight="1" x14ac:dyDescent="0.25">
      <c r="A81" s="215">
        <v>44731</v>
      </c>
      <c r="B81" s="882" t="s">
        <v>14</v>
      </c>
      <c r="C81" s="879" t="s">
        <v>12</v>
      </c>
      <c r="D81" s="879" t="s">
        <v>1486</v>
      </c>
      <c r="E81" s="875" t="s">
        <v>13</v>
      </c>
      <c r="F81" s="780">
        <v>8.9700000000000006</v>
      </c>
      <c r="G81" s="982"/>
      <c r="H81" s="622"/>
      <c r="I81" s="982"/>
      <c r="J81" s="622"/>
      <c r="K81" s="982"/>
      <c r="L81" s="622"/>
      <c r="M81" s="982"/>
      <c r="N81" s="622"/>
      <c r="O81" s="982"/>
      <c r="P81" s="622"/>
      <c r="Q81" s="982"/>
      <c r="R81" s="927"/>
      <c r="S81" s="927"/>
      <c r="T81" s="878"/>
    </row>
    <row r="82" spans="1:26" s="224" customFormat="1" ht="15" customHeight="1" x14ac:dyDescent="0.25">
      <c r="A82" s="215">
        <v>44731</v>
      </c>
      <c r="B82" s="873" t="s">
        <v>443</v>
      </c>
      <c r="C82" s="879" t="s">
        <v>12</v>
      </c>
      <c r="D82" s="879" t="s">
        <v>1493</v>
      </c>
      <c r="E82" s="871" t="s">
        <v>13</v>
      </c>
      <c r="F82" s="780">
        <v>10.62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982"/>
      <c r="R82" s="927"/>
      <c r="S82" s="927"/>
      <c r="T82" s="878"/>
    </row>
    <row r="83" spans="1:26" s="224" customFormat="1" ht="15" customHeight="1" x14ac:dyDescent="0.25">
      <c r="A83" s="215">
        <v>44732</v>
      </c>
      <c r="B83" s="882" t="s">
        <v>3361</v>
      </c>
      <c r="C83" s="350" t="s">
        <v>12</v>
      </c>
      <c r="D83" s="350"/>
      <c r="E83" s="480" t="s">
        <v>25</v>
      </c>
      <c r="F83" s="622"/>
      <c r="G83" s="982">
        <v>2000</v>
      </c>
      <c r="H83" s="1008"/>
      <c r="I83" s="1063"/>
      <c r="J83" s="622"/>
      <c r="K83" s="982"/>
      <c r="L83" s="622"/>
      <c r="M83" s="982"/>
      <c r="N83" s="622"/>
      <c r="O83" s="982"/>
      <c r="P83" s="622"/>
      <c r="Q83" s="982"/>
      <c r="R83" s="861"/>
    </row>
    <row r="84" spans="1:26" s="224" customFormat="1" ht="15" customHeight="1" x14ac:dyDescent="0.25">
      <c r="A84" s="215">
        <v>44732</v>
      </c>
      <c r="B84" s="862" t="s">
        <v>2867</v>
      </c>
      <c r="C84" s="350" t="s">
        <v>12</v>
      </c>
      <c r="D84" s="874" t="s">
        <v>1504</v>
      </c>
      <c r="E84" s="887" t="s">
        <v>13</v>
      </c>
      <c r="F84" s="852">
        <v>160</v>
      </c>
      <c r="G84" s="982"/>
      <c r="H84" s="1009"/>
      <c r="I84" s="1063"/>
      <c r="J84" s="853"/>
      <c r="K84" s="982"/>
      <c r="L84" s="853"/>
      <c r="M84" s="982"/>
      <c r="N84" s="853"/>
      <c r="O84" s="982"/>
      <c r="P84" s="622"/>
      <c r="Q84" s="982"/>
      <c r="R84" s="3166" t="s">
        <v>3362</v>
      </c>
      <c r="S84" s="3166"/>
      <c r="T84" s="3166"/>
      <c r="U84" s="3166"/>
      <c r="V84" s="3166"/>
      <c r="W84" s="3166"/>
      <c r="X84" s="3166"/>
      <c r="Y84" s="3166"/>
      <c r="Z84" s="3166"/>
    </row>
    <row r="85" spans="1:26" s="224" customFormat="1" x14ac:dyDescent="0.25">
      <c r="A85" s="215">
        <v>44732</v>
      </c>
      <c r="B85" s="364" t="s">
        <v>2977</v>
      </c>
      <c r="C85" s="350" t="s">
        <v>12</v>
      </c>
      <c r="D85" s="350" t="s">
        <v>1491</v>
      </c>
      <c r="E85" s="875" t="s">
        <v>13</v>
      </c>
      <c r="F85" s="1047">
        <v>300</v>
      </c>
      <c r="G85" s="982"/>
      <c r="H85" s="1008"/>
      <c r="I85" s="1063"/>
      <c r="J85" s="622"/>
      <c r="K85" s="982"/>
      <c r="L85" s="622"/>
      <c r="M85" s="982"/>
      <c r="N85" s="622"/>
      <c r="O85" s="982"/>
      <c r="P85" s="622"/>
      <c r="Q85" s="982"/>
      <c r="R85" s="1029"/>
      <c r="S85" s="89"/>
      <c r="T85" s="930"/>
    </row>
    <row r="86" spans="1:26" s="224" customFormat="1" ht="15" customHeight="1" x14ac:dyDescent="0.25">
      <c r="A86" s="215">
        <v>44732</v>
      </c>
      <c r="B86" s="349" t="s">
        <v>3363</v>
      </c>
      <c r="C86" s="887" t="s">
        <v>12</v>
      </c>
      <c r="D86" s="350" t="s">
        <v>1489</v>
      </c>
      <c r="E86" s="887" t="s">
        <v>13</v>
      </c>
      <c r="F86" s="613">
        <v>155.77000000000001</v>
      </c>
      <c r="G86" s="982"/>
      <c r="H86" s="872"/>
      <c r="I86" s="1063"/>
      <c r="J86" s="622"/>
      <c r="K86" s="982"/>
      <c r="L86" s="622"/>
      <c r="M86" s="982"/>
      <c r="N86" s="622"/>
      <c r="O86" s="982"/>
      <c r="P86" s="622"/>
      <c r="Q86" s="982"/>
      <c r="R86" s="927"/>
      <c r="S86" s="999"/>
      <c r="T86" s="878"/>
    </row>
    <row r="87" spans="1:26" s="224" customFormat="1" ht="15" customHeight="1" x14ac:dyDescent="0.25">
      <c r="A87" s="215">
        <v>44732</v>
      </c>
      <c r="B87" s="349" t="s">
        <v>3363</v>
      </c>
      <c r="C87" s="887" t="s">
        <v>12</v>
      </c>
      <c r="D87" s="1005" t="s">
        <v>1491</v>
      </c>
      <c r="E87" s="887" t="s">
        <v>13</v>
      </c>
      <c r="F87" s="1116">
        <v>71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982"/>
      <c r="R87" s="927"/>
      <c r="S87" s="999"/>
      <c r="T87" s="878"/>
    </row>
    <row r="88" spans="1:26" s="224" customFormat="1" ht="15" customHeight="1" x14ac:dyDescent="0.25">
      <c r="A88" s="215">
        <v>44732</v>
      </c>
      <c r="B88" s="882" t="s">
        <v>3364</v>
      </c>
      <c r="C88" s="879" t="s">
        <v>12</v>
      </c>
      <c r="D88" s="879" t="s">
        <v>1499</v>
      </c>
      <c r="E88" s="871" t="s">
        <v>13</v>
      </c>
      <c r="F88" s="780">
        <v>37.85</v>
      </c>
      <c r="G88" s="982"/>
      <c r="H88" s="1008"/>
      <c r="I88" s="1063"/>
      <c r="J88" s="622"/>
      <c r="K88" s="982"/>
      <c r="L88" s="622"/>
      <c r="M88" s="982"/>
      <c r="N88" s="622"/>
      <c r="O88" s="982"/>
      <c r="P88" s="622"/>
      <c r="Q88" s="982"/>
      <c r="R88" s="861"/>
      <c r="T88" s="1123"/>
      <c r="U88" s="999"/>
    </row>
    <row r="89" spans="1:26" s="224" customFormat="1" ht="15" customHeight="1" x14ac:dyDescent="0.25">
      <c r="A89" s="215">
        <v>44732</v>
      </c>
      <c r="B89" s="882" t="s">
        <v>3365</v>
      </c>
      <c r="C89" s="879" t="s">
        <v>12</v>
      </c>
      <c r="D89" s="879" t="s">
        <v>1506</v>
      </c>
      <c r="E89" s="875" t="s">
        <v>13</v>
      </c>
      <c r="F89" s="780">
        <v>100</v>
      </c>
      <c r="G89" s="982"/>
      <c r="H89" s="622"/>
      <c r="I89" s="982"/>
      <c r="J89" s="622"/>
      <c r="K89" s="982"/>
      <c r="L89" s="622"/>
      <c r="M89" s="982"/>
      <c r="N89" s="622"/>
      <c r="O89" s="982"/>
      <c r="P89" s="622"/>
      <c r="Q89" s="982"/>
      <c r="R89" s="927"/>
      <c r="T89" s="878"/>
    </row>
    <row r="90" spans="1:26" s="224" customFormat="1" ht="15" customHeight="1" x14ac:dyDescent="0.25">
      <c r="A90" s="215">
        <v>44732</v>
      </c>
      <c r="B90" s="882" t="s">
        <v>3366</v>
      </c>
      <c r="C90" s="879" t="s">
        <v>12</v>
      </c>
      <c r="D90" s="879" t="s">
        <v>1491</v>
      </c>
      <c r="E90" s="875" t="s">
        <v>13</v>
      </c>
      <c r="F90" s="780">
        <v>50</v>
      </c>
      <c r="G90" s="982"/>
      <c r="H90" s="622"/>
      <c r="I90" s="982"/>
      <c r="J90" s="622"/>
      <c r="K90" s="982"/>
      <c r="L90" s="622"/>
      <c r="M90" s="982"/>
      <c r="N90" s="622"/>
      <c r="O90" s="982"/>
      <c r="P90" s="622"/>
      <c r="Q90" s="982"/>
      <c r="R90" s="927"/>
      <c r="T90" s="878"/>
    </row>
    <row r="91" spans="1:26" s="224" customFormat="1" ht="15" customHeight="1" x14ac:dyDescent="0.25">
      <c r="A91" s="215">
        <v>44732</v>
      </c>
      <c r="B91" s="882" t="s">
        <v>3367</v>
      </c>
      <c r="C91" s="879" t="s">
        <v>12</v>
      </c>
      <c r="D91" s="879" t="s">
        <v>1489</v>
      </c>
      <c r="E91" s="871" t="s">
        <v>15</v>
      </c>
      <c r="F91" s="780">
        <v>15</v>
      </c>
      <c r="G91" s="946"/>
      <c r="H91" s="95"/>
      <c r="I91" s="1064"/>
      <c r="J91" s="622"/>
      <c r="K91" s="982"/>
      <c r="L91" s="622"/>
      <c r="M91" s="982"/>
      <c r="N91" s="622"/>
      <c r="O91" s="982"/>
      <c r="P91" s="622"/>
      <c r="Q91" s="982"/>
      <c r="R91" s="861"/>
    </row>
    <row r="92" spans="1:26" s="224" customFormat="1" ht="15" customHeight="1" x14ac:dyDescent="0.25">
      <c r="A92" s="215">
        <v>44732</v>
      </c>
      <c r="B92" s="349" t="s">
        <v>260</v>
      </c>
      <c r="C92" s="350" t="s">
        <v>12</v>
      </c>
      <c r="D92" s="350"/>
      <c r="E92" s="480"/>
      <c r="F92" s="780">
        <v>400</v>
      </c>
      <c r="G92" s="946"/>
      <c r="H92" s="95"/>
      <c r="I92" s="1064">
        <v>400</v>
      </c>
      <c r="J92" s="622"/>
      <c r="K92" s="982"/>
      <c r="L92" s="1116"/>
      <c r="M92" s="627"/>
      <c r="N92" s="1116"/>
      <c r="O92" s="627"/>
      <c r="P92" s="1216"/>
      <c r="Q92" s="1217"/>
    </row>
    <row r="93" spans="1:26" s="224" customFormat="1" ht="15" customHeight="1" x14ac:dyDescent="0.25">
      <c r="A93" s="215">
        <v>44732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780">
        <v>18</v>
      </c>
      <c r="G93" s="982"/>
      <c r="H93" s="1060"/>
      <c r="I93" s="1033"/>
      <c r="J93" s="880"/>
      <c r="K93" s="1033"/>
      <c r="L93" s="880"/>
      <c r="M93" s="1033"/>
      <c r="N93" s="880"/>
      <c r="O93" s="1033"/>
      <c r="P93" s="880"/>
      <c r="Q93" s="1033"/>
      <c r="R93" s="1080"/>
      <c r="S93" s="927"/>
      <c r="T93" s="878"/>
    </row>
    <row r="94" spans="1:26" s="224" customFormat="1" ht="14.25" customHeight="1" x14ac:dyDescent="0.25">
      <c r="A94" s="215">
        <v>44732</v>
      </c>
      <c r="B94" s="882" t="s">
        <v>2251</v>
      </c>
      <c r="C94" s="879" t="s">
        <v>12</v>
      </c>
      <c r="D94" s="879" t="s">
        <v>2157</v>
      </c>
      <c r="E94" s="871" t="s">
        <v>15</v>
      </c>
      <c r="F94" s="780">
        <v>70</v>
      </c>
      <c r="G94" s="982"/>
      <c r="H94" s="622"/>
      <c r="I94" s="982"/>
      <c r="J94" s="622"/>
      <c r="K94" s="982"/>
      <c r="L94" s="622"/>
      <c r="M94" s="982"/>
      <c r="N94" s="622"/>
      <c r="O94" s="982"/>
      <c r="P94" s="622"/>
      <c r="Q94" s="982"/>
      <c r="R94" s="927"/>
      <c r="T94" s="878"/>
    </row>
    <row r="95" spans="1:26" s="224" customFormat="1" ht="15" customHeight="1" x14ac:dyDescent="0.25">
      <c r="A95" s="215">
        <v>44732</v>
      </c>
      <c r="B95" s="882" t="s">
        <v>478</v>
      </c>
      <c r="C95" s="879" t="s">
        <v>12</v>
      </c>
      <c r="D95" s="879" t="s">
        <v>1489</v>
      </c>
      <c r="E95" s="871" t="s">
        <v>13</v>
      </c>
      <c r="F95" s="780">
        <v>11.95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982"/>
      <c r="R95" s="861"/>
    </row>
    <row r="96" spans="1:26" s="224" customFormat="1" ht="15" customHeight="1" x14ac:dyDescent="0.25">
      <c r="A96" s="215">
        <v>44733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18</v>
      </c>
      <c r="G96" s="982"/>
      <c r="H96" s="1060"/>
      <c r="I96" s="1033"/>
      <c r="J96" s="880"/>
      <c r="K96" s="1033"/>
      <c r="L96" s="880"/>
      <c r="M96" s="1033"/>
      <c r="N96" s="880"/>
      <c r="O96" s="1033"/>
      <c r="P96" s="880"/>
      <c r="Q96" s="1033"/>
      <c r="R96" s="1080"/>
      <c r="S96" s="927"/>
      <c r="T96" s="878"/>
    </row>
    <row r="97" spans="1:21" s="224" customFormat="1" ht="15" customHeight="1" x14ac:dyDescent="0.25">
      <c r="A97" s="215">
        <v>44733</v>
      </c>
      <c r="B97" s="882" t="s">
        <v>1761</v>
      </c>
      <c r="C97" s="879" t="s">
        <v>12</v>
      </c>
      <c r="D97" s="879" t="s">
        <v>1493</v>
      </c>
      <c r="E97" s="875" t="s">
        <v>13</v>
      </c>
      <c r="F97" s="780">
        <v>11</v>
      </c>
      <c r="G97" s="982"/>
      <c r="H97" s="622"/>
      <c r="I97" s="982"/>
      <c r="J97" s="622"/>
      <c r="K97" s="982"/>
      <c r="L97" s="622"/>
      <c r="M97" s="982"/>
      <c r="N97" s="622"/>
      <c r="O97" s="982"/>
      <c r="P97" s="880"/>
      <c r="Q97" s="1033"/>
      <c r="R97" s="927"/>
      <c r="T97" s="878"/>
    </row>
    <row r="98" spans="1:21" s="224" customFormat="1" ht="15" customHeight="1" x14ac:dyDescent="0.25">
      <c r="A98" s="215">
        <v>44733</v>
      </c>
      <c r="B98" s="882" t="s">
        <v>3368</v>
      </c>
      <c r="C98" s="879" t="s">
        <v>12</v>
      </c>
      <c r="D98" s="879" t="s">
        <v>1489</v>
      </c>
      <c r="E98" s="875" t="s">
        <v>13</v>
      </c>
      <c r="F98" s="780">
        <v>4.5</v>
      </c>
      <c r="G98" s="982"/>
      <c r="H98" s="622"/>
      <c r="I98" s="982"/>
      <c r="J98" s="622"/>
      <c r="K98" s="982"/>
      <c r="L98" s="622"/>
      <c r="M98" s="982"/>
      <c r="N98" s="622"/>
      <c r="O98" s="982"/>
      <c r="P98" s="880"/>
      <c r="Q98" s="1033"/>
      <c r="R98" s="927"/>
      <c r="T98" s="878"/>
    </row>
    <row r="99" spans="1:21" s="224" customFormat="1" ht="15" customHeight="1" x14ac:dyDescent="0.25">
      <c r="A99" s="215">
        <v>44734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18</v>
      </c>
      <c r="G99" s="982"/>
      <c r="H99" s="1060"/>
      <c r="I99" s="1033"/>
      <c r="J99" s="880"/>
      <c r="K99" s="1033"/>
      <c r="L99" s="880"/>
      <c r="M99" s="1033"/>
      <c r="N99" s="880"/>
      <c r="O99" s="1033"/>
      <c r="P99" s="880"/>
      <c r="Q99" s="1033"/>
      <c r="R99" s="1080"/>
      <c r="S99" s="927"/>
      <c r="T99" s="878"/>
    </row>
    <row r="100" spans="1:21" s="224" customFormat="1" ht="15" customHeight="1" x14ac:dyDescent="0.25">
      <c r="A100" s="215">
        <v>44734</v>
      </c>
      <c r="B100" s="882" t="s">
        <v>3369</v>
      </c>
      <c r="C100" s="879" t="s">
        <v>12</v>
      </c>
      <c r="D100" s="879" t="s">
        <v>1506</v>
      </c>
      <c r="E100" s="875" t="s">
        <v>15</v>
      </c>
      <c r="F100" s="780">
        <v>60</v>
      </c>
      <c r="G100" s="982"/>
      <c r="H100" s="1060"/>
      <c r="I100" s="1033"/>
      <c r="J100" s="880"/>
      <c r="K100" s="1033"/>
      <c r="L100" s="880"/>
      <c r="M100" s="1033"/>
      <c r="N100" s="880"/>
      <c r="O100" s="1033"/>
      <c r="P100" s="880"/>
      <c r="Q100" s="1033"/>
      <c r="R100" s="1080"/>
      <c r="S100" s="927"/>
      <c r="T100" s="878"/>
    </row>
    <row r="101" spans="1:21" s="224" customFormat="1" ht="15" customHeight="1" x14ac:dyDescent="0.25">
      <c r="A101" s="215">
        <v>44734</v>
      </c>
      <c r="B101" s="882" t="s">
        <v>14</v>
      </c>
      <c r="C101" s="879" t="s">
        <v>12</v>
      </c>
      <c r="D101" s="879" t="s">
        <v>1486</v>
      </c>
      <c r="E101" s="875" t="s">
        <v>13</v>
      </c>
      <c r="F101" s="780">
        <v>7.15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622"/>
      <c r="Q101" s="982"/>
      <c r="R101" s="959"/>
      <c r="S101" s="959"/>
      <c r="T101" s="878"/>
    </row>
    <row r="102" spans="1:21" s="224" customFormat="1" ht="15" customHeight="1" x14ac:dyDescent="0.25">
      <c r="A102" s="215">
        <v>44735</v>
      </c>
      <c r="B102" s="862" t="s">
        <v>3330</v>
      </c>
      <c r="C102" s="879" t="s">
        <v>12</v>
      </c>
      <c r="D102" s="879" t="s">
        <v>1504</v>
      </c>
      <c r="E102" s="871" t="s">
        <v>13</v>
      </c>
      <c r="F102" s="622">
        <v>25.9</v>
      </c>
      <c r="G102" s="1034"/>
      <c r="H102" s="1008"/>
      <c r="I102" s="1063"/>
      <c r="J102" s="622"/>
      <c r="K102" s="982"/>
      <c r="L102" s="622"/>
      <c r="M102" s="982"/>
      <c r="N102" s="622"/>
      <c r="O102" s="982"/>
      <c r="P102" s="622"/>
      <c r="Q102" s="982"/>
      <c r="R102" s="941"/>
      <c r="T102" s="878"/>
    </row>
    <row r="103" spans="1:21" s="224" customFormat="1" ht="15" customHeight="1" x14ac:dyDescent="0.25">
      <c r="A103" s="215">
        <v>44735</v>
      </c>
      <c r="B103" s="882" t="s">
        <v>3370</v>
      </c>
      <c r="C103" s="879" t="s">
        <v>12</v>
      </c>
      <c r="D103" s="879" t="s">
        <v>1523</v>
      </c>
      <c r="E103" s="875" t="s">
        <v>13</v>
      </c>
      <c r="F103" s="780">
        <v>25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622"/>
      <c r="Q103" s="982"/>
      <c r="R103" s="867"/>
    </row>
    <row r="104" spans="1:21" s="224" customFormat="1" ht="15" customHeight="1" x14ac:dyDescent="0.25">
      <c r="A104" s="215">
        <v>44735</v>
      </c>
      <c r="B104" s="882" t="s">
        <v>3371</v>
      </c>
      <c r="C104" s="879" t="s">
        <v>12</v>
      </c>
      <c r="D104" s="879" t="s">
        <v>1489</v>
      </c>
      <c r="E104" s="875" t="s">
        <v>13</v>
      </c>
      <c r="F104" s="780">
        <v>50</v>
      </c>
      <c r="G104" s="946"/>
      <c r="H104" s="95"/>
      <c r="I104" s="1064"/>
      <c r="J104" s="622"/>
      <c r="K104" s="982"/>
      <c r="L104" s="622"/>
      <c r="M104" s="982"/>
      <c r="N104" s="622"/>
      <c r="O104" s="982"/>
      <c r="P104" s="622"/>
      <c r="Q104" s="982"/>
      <c r="R104" s="867"/>
    </row>
    <row r="105" spans="1:21" s="224" customFormat="1" ht="15" customHeight="1" x14ac:dyDescent="0.25">
      <c r="A105" s="215">
        <v>44735</v>
      </c>
      <c r="B105" s="882" t="s">
        <v>32</v>
      </c>
      <c r="C105" s="879" t="s">
        <v>12</v>
      </c>
      <c r="D105" s="879" t="s">
        <v>1485</v>
      </c>
      <c r="E105" s="875" t="s">
        <v>13</v>
      </c>
      <c r="F105" s="780">
        <v>18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982"/>
      <c r="R105" s="867"/>
    </row>
    <row r="106" spans="1:21" s="224" customFormat="1" ht="15" customHeight="1" x14ac:dyDescent="0.25">
      <c r="A106" s="215">
        <v>44735</v>
      </c>
      <c r="B106" s="882" t="s">
        <v>2251</v>
      </c>
      <c r="C106" s="879" t="s">
        <v>12</v>
      </c>
      <c r="D106" s="879" t="s">
        <v>2157</v>
      </c>
      <c r="E106" s="871" t="s">
        <v>15</v>
      </c>
      <c r="F106" s="780">
        <v>50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982"/>
      <c r="R106" s="1117"/>
      <c r="U106" s="958"/>
    </row>
    <row r="107" spans="1:21" s="224" customFormat="1" ht="15" customHeight="1" x14ac:dyDescent="0.25">
      <c r="A107" s="215">
        <v>44735</v>
      </c>
      <c r="B107" s="882" t="s">
        <v>1906</v>
      </c>
      <c r="C107" s="879" t="s">
        <v>12</v>
      </c>
      <c r="D107" s="879" t="s">
        <v>1493</v>
      </c>
      <c r="E107" s="871" t="s">
        <v>13</v>
      </c>
      <c r="F107" s="780">
        <v>7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622"/>
      <c r="Q107" s="982"/>
      <c r="R107" s="1028"/>
      <c r="U107" s="958"/>
    </row>
    <row r="108" spans="1:21" s="224" customFormat="1" ht="15" customHeight="1" x14ac:dyDescent="0.25">
      <c r="A108" s="215">
        <v>44736</v>
      </c>
      <c r="B108" s="882" t="s">
        <v>14</v>
      </c>
      <c r="C108" s="879" t="s">
        <v>12</v>
      </c>
      <c r="D108" s="879" t="s">
        <v>1486</v>
      </c>
      <c r="E108" s="875" t="s">
        <v>13</v>
      </c>
      <c r="F108" s="780">
        <v>13.11</v>
      </c>
      <c r="G108" s="982"/>
      <c r="H108" s="622"/>
      <c r="I108" s="982"/>
      <c r="J108" s="622"/>
      <c r="K108" s="982"/>
      <c r="L108" s="622"/>
      <c r="M108" s="982"/>
      <c r="N108" s="622"/>
      <c r="O108" s="982"/>
      <c r="P108" s="622"/>
      <c r="Q108" s="982"/>
      <c r="R108" s="927"/>
      <c r="S108" s="927"/>
      <c r="T108" s="878"/>
    </row>
    <row r="109" spans="1:21" s="224" customFormat="1" ht="15" customHeight="1" x14ac:dyDescent="0.25">
      <c r="A109" s="215">
        <v>44737</v>
      </c>
      <c r="B109" s="882" t="s">
        <v>2251</v>
      </c>
      <c r="C109" s="879" t="s">
        <v>12</v>
      </c>
      <c r="D109" s="879" t="s">
        <v>2157</v>
      </c>
      <c r="E109" s="871" t="s">
        <v>15</v>
      </c>
      <c r="F109" s="780">
        <v>50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622"/>
      <c r="Q109" s="982"/>
      <c r="R109" s="1028"/>
      <c r="U109" s="958"/>
    </row>
    <row r="110" spans="1:21" s="224" customFormat="1" ht="15" customHeight="1" x14ac:dyDescent="0.25">
      <c r="A110" s="215">
        <v>44737</v>
      </c>
      <c r="B110" s="882" t="s">
        <v>3372</v>
      </c>
      <c r="C110" s="879" t="s">
        <v>19</v>
      </c>
      <c r="D110" s="879" t="s">
        <v>1523</v>
      </c>
      <c r="E110" s="871" t="s">
        <v>13</v>
      </c>
      <c r="F110" s="780">
        <v>67.28</v>
      </c>
      <c r="G110" s="946"/>
      <c r="H110" s="95"/>
      <c r="I110" s="1064"/>
      <c r="J110" s="622"/>
      <c r="K110" s="982"/>
      <c r="L110" s="622"/>
      <c r="M110" s="982"/>
      <c r="N110" s="622"/>
      <c r="O110" s="982"/>
      <c r="P110" s="622"/>
      <c r="Q110" s="982"/>
      <c r="R110" s="861"/>
    </row>
    <row r="111" spans="1:21" s="224" customFormat="1" ht="15" customHeight="1" x14ac:dyDescent="0.25">
      <c r="A111" s="215">
        <v>44738</v>
      </c>
      <c r="B111" s="882" t="s">
        <v>3373</v>
      </c>
      <c r="C111" s="879" t="s">
        <v>12</v>
      </c>
      <c r="D111" s="879" t="s">
        <v>1491</v>
      </c>
      <c r="E111" s="871" t="s">
        <v>15</v>
      </c>
      <c r="F111" s="780">
        <v>10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1110"/>
      <c r="Q111" s="1208"/>
      <c r="R111" s="1028"/>
      <c r="U111" s="958"/>
    </row>
    <row r="112" spans="1:21" s="224" customFormat="1" ht="15" customHeight="1" x14ac:dyDescent="0.25">
      <c r="A112" s="215">
        <v>44738</v>
      </c>
      <c r="B112" s="882" t="s">
        <v>443</v>
      </c>
      <c r="C112" s="879" t="s">
        <v>12</v>
      </c>
      <c r="D112" s="879" t="s">
        <v>1493</v>
      </c>
      <c r="E112" s="871" t="s">
        <v>13</v>
      </c>
      <c r="F112" s="780">
        <v>12.93</v>
      </c>
      <c r="G112" s="946"/>
      <c r="H112" s="95"/>
      <c r="I112" s="1064"/>
      <c r="J112" s="622"/>
      <c r="K112" s="982"/>
      <c r="L112" s="622"/>
      <c r="M112" s="982"/>
      <c r="N112" s="622"/>
      <c r="O112" s="982"/>
      <c r="P112" s="622"/>
      <c r="Q112" s="982"/>
      <c r="R112" s="1028"/>
      <c r="U112" s="958"/>
    </row>
    <row r="113" spans="1:21" s="224" customFormat="1" ht="15" customHeight="1" x14ac:dyDescent="0.25">
      <c r="A113" s="215">
        <v>44739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18</v>
      </c>
      <c r="G113" s="946"/>
      <c r="H113" s="95"/>
      <c r="I113" s="1064"/>
      <c r="J113" s="622"/>
      <c r="K113" s="982"/>
      <c r="L113" s="622"/>
      <c r="M113" s="982"/>
      <c r="N113" s="622"/>
      <c r="O113" s="982"/>
      <c r="P113" s="622"/>
      <c r="Q113" s="982"/>
      <c r="R113" s="867"/>
    </row>
    <row r="114" spans="1:21" s="224" customFormat="1" ht="15" customHeight="1" x14ac:dyDescent="0.25">
      <c r="A114" s="215">
        <v>44739</v>
      </c>
      <c r="B114" s="882" t="s">
        <v>3374</v>
      </c>
      <c r="C114" s="879" t="s">
        <v>12</v>
      </c>
      <c r="D114" s="879" t="s">
        <v>1525</v>
      </c>
      <c r="E114" s="871" t="s">
        <v>13</v>
      </c>
      <c r="F114" s="780">
        <v>52.19</v>
      </c>
      <c r="G114" s="982"/>
      <c r="H114" s="622"/>
      <c r="I114" s="982"/>
      <c r="J114" s="622"/>
      <c r="K114" s="982"/>
      <c r="L114" s="622"/>
      <c r="M114" s="982"/>
      <c r="N114" s="622"/>
      <c r="O114" s="982"/>
      <c r="P114" s="622"/>
      <c r="Q114" s="982"/>
      <c r="R114" s="1028"/>
      <c r="S114" s="959"/>
      <c r="T114" s="878"/>
      <c r="U114" s="958"/>
    </row>
    <row r="115" spans="1:21" s="224" customFormat="1" ht="15" customHeight="1" x14ac:dyDescent="0.25">
      <c r="A115" s="215">
        <v>44740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18</v>
      </c>
      <c r="G115" s="946"/>
      <c r="H115" s="95"/>
      <c r="I115" s="1064"/>
      <c r="J115" s="622"/>
      <c r="K115" s="982"/>
      <c r="L115" s="622"/>
      <c r="M115" s="982"/>
      <c r="N115" s="622"/>
      <c r="O115" s="982"/>
      <c r="P115" s="622"/>
      <c r="Q115" s="982"/>
      <c r="R115" s="867"/>
    </row>
    <row r="116" spans="1:21" s="224" customFormat="1" ht="15" customHeight="1" x14ac:dyDescent="0.25">
      <c r="A116" s="215">
        <v>44740</v>
      </c>
      <c r="B116" s="882" t="s">
        <v>14</v>
      </c>
      <c r="C116" s="879" t="s">
        <v>12</v>
      </c>
      <c r="D116" s="879" t="s">
        <v>1486</v>
      </c>
      <c r="E116" s="875" t="s">
        <v>13</v>
      </c>
      <c r="F116" s="780">
        <v>6.73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622"/>
      <c r="Q116" s="982"/>
      <c r="R116" s="861"/>
      <c r="T116" s="1035"/>
    </row>
    <row r="117" spans="1:21" s="224" customFormat="1" ht="15" customHeight="1" x14ac:dyDescent="0.25">
      <c r="A117" s="215">
        <v>44740</v>
      </c>
      <c r="B117" s="882" t="s">
        <v>2251</v>
      </c>
      <c r="C117" s="879" t="s">
        <v>12</v>
      </c>
      <c r="D117" s="879" t="s">
        <v>2157</v>
      </c>
      <c r="E117" s="871" t="s">
        <v>13</v>
      </c>
      <c r="F117" s="780">
        <v>80</v>
      </c>
      <c r="G117" s="946"/>
      <c r="H117" s="95"/>
      <c r="I117" s="1064"/>
      <c r="J117" s="622"/>
      <c r="K117" s="982"/>
      <c r="L117" s="622"/>
      <c r="M117" s="982"/>
      <c r="N117" s="622"/>
      <c r="O117" s="982"/>
      <c r="P117" s="622"/>
      <c r="Q117" s="982"/>
      <c r="R117" s="1117"/>
      <c r="U117" s="958"/>
    </row>
    <row r="118" spans="1:21" s="224" customFormat="1" ht="15" customHeight="1" x14ac:dyDescent="0.25">
      <c r="A118" s="215">
        <v>44741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18</v>
      </c>
      <c r="G118" s="946"/>
      <c r="H118" s="95"/>
      <c r="I118" s="1064"/>
      <c r="J118" s="622"/>
      <c r="K118" s="982"/>
      <c r="L118" s="622"/>
      <c r="M118" s="982"/>
      <c r="N118" s="622"/>
      <c r="O118" s="982"/>
      <c r="P118" s="622"/>
      <c r="Q118" s="982"/>
      <c r="R118" s="867"/>
    </row>
    <row r="119" spans="1:21" s="224" customFormat="1" ht="15" customHeight="1" x14ac:dyDescent="0.25">
      <c r="A119" s="215">
        <v>44741</v>
      </c>
      <c r="B119" s="349" t="s">
        <v>3375</v>
      </c>
      <c r="C119" s="350" t="s">
        <v>12</v>
      </c>
      <c r="D119" s="350" t="s">
        <v>1522</v>
      </c>
      <c r="E119" s="480" t="s">
        <v>13</v>
      </c>
      <c r="F119" s="780">
        <v>50</v>
      </c>
      <c r="G119" s="946"/>
      <c r="H119" s="95"/>
      <c r="I119" s="1064"/>
      <c r="J119" s="622"/>
      <c r="K119" s="982"/>
      <c r="L119" s="622"/>
      <c r="M119" s="982"/>
      <c r="N119" s="622"/>
      <c r="O119" s="982"/>
      <c r="P119" s="622"/>
      <c r="Q119" s="982"/>
      <c r="R119" s="861"/>
      <c r="T119" s="927"/>
      <c r="U119" s="999"/>
    </row>
    <row r="120" spans="1:21" s="224" customFormat="1" ht="15" customHeight="1" x14ac:dyDescent="0.25">
      <c r="A120" s="215">
        <v>44741</v>
      </c>
      <c r="B120" s="882" t="s">
        <v>256</v>
      </c>
      <c r="C120" s="879"/>
      <c r="D120" s="879"/>
      <c r="E120" s="875" t="s">
        <v>25</v>
      </c>
      <c r="F120" s="780"/>
      <c r="G120" s="982">
        <v>100</v>
      </c>
      <c r="H120" s="1060">
        <v>100</v>
      </c>
      <c r="I120" s="1033"/>
      <c r="J120" s="880"/>
      <c r="K120" s="1033"/>
      <c r="L120" s="880"/>
      <c r="M120" s="1033"/>
      <c r="N120" s="880"/>
      <c r="O120" s="1033"/>
      <c r="P120" s="880"/>
      <c r="Q120" s="1033"/>
      <c r="R120" s="1080"/>
      <c r="S120" s="927"/>
      <c r="T120" s="878"/>
    </row>
    <row r="121" spans="1:21" s="224" customFormat="1" ht="15" customHeight="1" x14ac:dyDescent="0.25">
      <c r="A121" s="215">
        <v>44741</v>
      </c>
      <c r="B121" s="882" t="s">
        <v>14</v>
      </c>
      <c r="C121" s="879" t="s">
        <v>12</v>
      </c>
      <c r="D121" s="879" t="s">
        <v>1486</v>
      </c>
      <c r="E121" s="875" t="s">
        <v>13</v>
      </c>
      <c r="F121" s="780">
        <v>8.39</v>
      </c>
      <c r="G121" s="946"/>
      <c r="H121" s="95"/>
      <c r="I121" s="1064"/>
      <c r="J121" s="622"/>
      <c r="K121" s="982"/>
      <c r="L121" s="622"/>
      <c r="M121" s="982"/>
      <c r="N121" s="622"/>
      <c r="O121" s="982"/>
      <c r="P121" s="622"/>
      <c r="Q121" s="982"/>
      <c r="R121" s="861"/>
      <c r="T121" s="927"/>
      <c r="U121" s="999"/>
    </row>
    <row r="122" spans="1:21" s="224" customFormat="1" ht="15" customHeight="1" x14ac:dyDescent="0.25">
      <c r="A122" s="215">
        <v>44742</v>
      </c>
      <c r="B122" s="364" t="s">
        <v>3376</v>
      </c>
      <c r="C122" s="350" t="s">
        <v>12</v>
      </c>
      <c r="D122" s="350"/>
      <c r="E122" s="875" t="s">
        <v>25</v>
      </c>
      <c r="F122" s="780"/>
      <c r="G122" s="982">
        <v>151.51</v>
      </c>
      <c r="H122" s="1008"/>
      <c r="I122" s="1063"/>
      <c r="J122" s="622"/>
      <c r="K122" s="982"/>
      <c r="L122" s="622"/>
      <c r="M122" s="982"/>
      <c r="N122" s="622"/>
      <c r="O122" s="982"/>
      <c r="P122" s="880"/>
      <c r="Q122" s="1033"/>
      <c r="R122" s="861"/>
      <c r="T122" s="1080"/>
      <c r="U122" s="999"/>
    </row>
    <row r="123" spans="1:21" s="224" customFormat="1" ht="15" customHeight="1" x14ac:dyDescent="0.25">
      <c r="A123" s="215">
        <v>44742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18</v>
      </c>
      <c r="G123" s="946"/>
      <c r="H123" s="95"/>
      <c r="I123" s="1064"/>
      <c r="J123" s="622"/>
      <c r="K123" s="982"/>
      <c r="L123" s="622"/>
      <c r="M123" s="982"/>
      <c r="N123" s="622"/>
      <c r="O123" s="982"/>
      <c r="P123" s="622"/>
      <c r="Q123" s="982"/>
      <c r="R123" s="867"/>
    </row>
    <row r="124" spans="1:21" s="224" customFormat="1" ht="15" customHeight="1" x14ac:dyDescent="0.25">
      <c r="A124" s="215">
        <v>44742</v>
      </c>
      <c r="B124" s="882" t="s">
        <v>17</v>
      </c>
      <c r="C124" s="879" t="s">
        <v>12</v>
      </c>
      <c r="D124" s="879" t="s">
        <v>1493</v>
      </c>
      <c r="E124" s="875" t="s">
        <v>13</v>
      </c>
      <c r="F124" s="780">
        <v>5</v>
      </c>
      <c r="G124" s="946"/>
      <c r="H124" s="95"/>
      <c r="I124" s="1064"/>
      <c r="J124" s="622"/>
      <c r="K124" s="982"/>
      <c r="L124" s="622"/>
      <c r="M124" s="982"/>
      <c r="N124" s="622"/>
      <c r="O124" s="982"/>
      <c r="P124" s="622"/>
      <c r="Q124" s="982"/>
      <c r="R124" s="867"/>
    </row>
    <row r="125" spans="1:21" s="224" customFormat="1" x14ac:dyDescent="0.25">
      <c r="A125" s="215">
        <v>44742</v>
      </c>
      <c r="B125" s="882" t="s">
        <v>14</v>
      </c>
      <c r="C125" s="879" t="s">
        <v>12</v>
      </c>
      <c r="D125" s="879" t="s">
        <v>1486</v>
      </c>
      <c r="E125" s="875" t="s">
        <v>13</v>
      </c>
      <c r="F125" s="1047">
        <v>8.49</v>
      </c>
      <c r="G125" s="982"/>
      <c r="H125" s="1008"/>
      <c r="I125" s="1063"/>
      <c r="J125" s="622"/>
      <c r="K125" s="982"/>
      <c r="L125" s="622"/>
      <c r="M125" s="982"/>
      <c r="N125" s="622"/>
      <c r="O125" s="982"/>
      <c r="P125" s="622"/>
      <c r="Q125" s="982"/>
      <c r="R125" s="1029"/>
      <c r="S125" s="89"/>
      <c r="T125" s="930"/>
    </row>
    <row r="126" spans="1:21" s="224" customFormat="1" ht="15.75" thickBot="1" x14ac:dyDescent="0.3">
      <c r="A126" s="215">
        <v>44742</v>
      </c>
      <c r="B126" s="862" t="s">
        <v>1666</v>
      </c>
      <c r="C126" s="350" t="s">
        <v>12</v>
      </c>
      <c r="D126" s="1003"/>
      <c r="E126" s="145" t="s">
        <v>25</v>
      </c>
      <c r="F126" s="1036"/>
      <c r="G126" s="1535"/>
      <c r="H126" s="1008"/>
      <c r="I126" s="1063"/>
      <c r="J126" s="622"/>
      <c r="K126" s="982">
        <v>60.27</v>
      </c>
      <c r="L126" s="1036"/>
      <c r="M126" s="1535"/>
      <c r="N126" s="1036"/>
      <c r="O126" s="1535"/>
      <c r="P126" s="622"/>
      <c r="Q126" s="982"/>
      <c r="R126" s="475"/>
      <c r="T126" s="878"/>
    </row>
    <row r="127" spans="1:21" ht="25.5" customHeight="1" thickBot="1" x14ac:dyDescent="0.3">
      <c r="A127" s="3060"/>
      <c r="B127" s="3061"/>
      <c r="C127" s="3062"/>
      <c r="D127" s="3062"/>
      <c r="E127" s="3062"/>
      <c r="F127" s="1020">
        <f>SUM(F6:F126)</f>
        <v>5703.4199999999983</v>
      </c>
      <c r="G127" s="1534">
        <f>SUM(G5:G126)</f>
        <v>6115.3895833333499</v>
      </c>
      <c r="H127" s="517">
        <f>SUM(H6:H126)</f>
        <v>400</v>
      </c>
      <c r="I127" s="93">
        <f>SUM(I5:I126)</f>
        <v>1899.9959999999992</v>
      </c>
      <c r="J127" s="1023">
        <f>SUM(J6:J126)</f>
        <v>0</v>
      </c>
      <c r="K127" s="93">
        <f>SUM(K5:K126)</f>
        <v>6632.9200000000019</v>
      </c>
      <c r="L127" s="1023">
        <f>SUM(L6:L126)</f>
        <v>0</v>
      </c>
      <c r="M127" s="93">
        <f>SUM(M5:M126)</f>
        <v>10822.14</v>
      </c>
      <c r="N127" s="1023">
        <f>SUM(N6:N126)</f>
        <v>0</v>
      </c>
      <c r="O127" s="93">
        <f>SUM(O5:O126)</f>
        <v>10018.26</v>
      </c>
      <c r="P127" s="1211">
        <f>SUM(P6:P126)</f>
        <v>11018.26</v>
      </c>
      <c r="Q127" s="93">
        <f>SUM(Q5:Q126)</f>
        <v>48944.915984720006</v>
      </c>
      <c r="S127" s="216"/>
    </row>
    <row r="128" spans="1:21" ht="25.5" customHeight="1" thickBot="1" x14ac:dyDescent="0.3">
      <c r="A128" s="3117" t="s">
        <v>49</v>
      </c>
      <c r="B128" s="3118"/>
      <c r="C128" s="3118"/>
      <c r="D128" s="3118"/>
      <c r="E128" s="3118"/>
      <c r="F128" s="144" t="s">
        <v>280</v>
      </c>
      <c r="G128" s="519">
        <f>G127-F127</f>
        <v>411.96958333335169</v>
      </c>
      <c r="H128" s="555"/>
      <c r="I128" s="772">
        <f>I127-H127</f>
        <v>1499.9959999999992</v>
      </c>
      <c r="J128" s="593"/>
      <c r="K128" s="772">
        <f>K127-J127</f>
        <v>6632.9200000000019</v>
      </c>
      <c r="L128" s="593"/>
      <c r="M128" s="993">
        <f>M127-L127</f>
        <v>10822.14</v>
      </c>
      <c r="N128" s="593"/>
      <c r="O128" s="993">
        <f>O127-N127</f>
        <v>10018.26</v>
      </c>
      <c r="P128" s="593"/>
      <c r="Q128" s="556">
        <f>Q127-P127</f>
        <v>37926.655984720004</v>
      </c>
    </row>
    <row r="129" spans="1:26" x14ac:dyDescent="0.25">
      <c r="M129" s="89"/>
      <c r="O129" s="89"/>
      <c r="P129" s="1210"/>
      <c r="Q129" s="1038"/>
      <c r="R129" s="89"/>
      <c r="T129" s="79"/>
      <c r="W129" s="518"/>
      <c r="X129" s="216"/>
      <c r="Z129" s="877"/>
    </row>
    <row r="130" spans="1:26" x14ac:dyDescent="0.25">
      <c r="B130" s="81" t="s">
        <v>3</v>
      </c>
      <c r="C130" s="193" t="s">
        <v>1484</v>
      </c>
      <c r="D130" s="970" t="s">
        <v>2378</v>
      </c>
      <c r="E130" s="193" t="s">
        <v>3216</v>
      </c>
      <c r="F130" s="1061" t="s">
        <v>3217</v>
      </c>
      <c r="G130" s="216"/>
      <c r="K130" s="866"/>
      <c r="M130" s="866"/>
      <c r="O130" s="866"/>
      <c r="P130" s="1210"/>
      <c r="Q130" s="1038"/>
    </row>
    <row r="131" spans="1:26" x14ac:dyDescent="0.25">
      <c r="B131" s="79" t="s">
        <v>32</v>
      </c>
      <c r="C131" s="85" t="s">
        <v>1485</v>
      </c>
      <c r="D131" s="475">
        <f>SUMIF($D$9:$D$126,"A",$F$9:$F$126)</f>
        <v>342</v>
      </c>
      <c r="E131" s="1202">
        <f t="shared" ref="E131:E148" si="0">D131/$K$150</f>
        <v>11.4</v>
      </c>
      <c r="F131" s="1203">
        <f t="shared" ref="F131:F148" si="1">E131/$E$151</f>
        <v>8.1029213163693228E-2</v>
      </c>
      <c r="G131" s="800"/>
      <c r="I131" s="769"/>
      <c r="J131" s="868"/>
      <c r="L131" s="868"/>
      <c r="N131" s="868"/>
      <c r="P131" s="1210"/>
      <c r="Q131" s="1038"/>
    </row>
    <row r="132" spans="1:26" x14ac:dyDescent="0.25">
      <c r="B132" s="79" t="s">
        <v>2187</v>
      </c>
      <c r="C132" s="85" t="s">
        <v>2157</v>
      </c>
      <c r="D132" s="475">
        <f>SUMIF($D$7:$D$126,"GAC",$F$7:$F$126)</f>
        <v>630</v>
      </c>
      <c r="E132" s="1202">
        <f>D132/$K$150</f>
        <v>21</v>
      </c>
      <c r="F132" s="1203">
        <f t="shared" si="1"/>
        <v>0.14926434003838226</v>
      </c>
      <c r="G132" s="609"/>
      <c r="J132" s="754"/>
      <c r="K132" s="886"/>
      <c r="L132" s="754"/>
      <c r="M132" s="886"/>
      <c r="N132" s="754"/>
      <c r="O132" s="886"/>
      <c r="P132" s="1210"/>
      <c r="Q132" s="1038"/>
      <c r="R132" s="1030"/>
    </row>
    <row r="133" spans="1:26" x14ac:dyDescent="0.25">
      <c r="B133" s="79" t="s">
        <v>2188</v>
      </c>
      <c r="C133" s="85" t="s">
        <v>2168</v>
      </c>
      <c r="D133" s="475">
        <f>SUMIF($D$27:$D$126,"GAM",$F$27:$F$126)</f>
        <v>0</v>
      </c>
      <c r="E133" s="1202">
        <f t="shared" si="0"/>
        <v>0</v>
      </c>
      <c r="F133" s="1203">
        <f t="shared" si="1"/>
        <v>0</v>
      </c>
      <c r="J133" s="864"/>
      <c r="K133" s="864"/>
      <c r="L133" s="864"/>
      <c r="M133" s="864"/>
      <c r="N133" s="864"/>
      <c r="O133" s="864"/>
      <c r="P133" s="1210"/>
      <c r="Q133" s="1038"/>
      <c r="R133" s="958"/>
    </row>
    <row r="134" spans="1:26" s="85" customFormat="1" x14ac:dyDescent="0.25">
      <c r="A134" s="79"/>
      <c r="B134" s="79" t="s">
        <v>50</v>
      </c>
      <c r="C134" s="85" t="s">
        <v>1493</v>
      </c>
      <c r="D134" s="475">
        <f>SUMIF($D$9:$D$126,"LD",$F$9:$F$126)</f>
        <v>294.43</v>
      </c>
      <c r="E134" s="1202">
        <f t="shared" si="0"/>
        <v>9.8143333333333338</v>
      </c>
      <c r="F134" s="1203">
        <f t="shared" si="1"/>
        <v>6.9758570853176022E-2</v>
      </c>
      <c r="J134" s="864"/>
      <c r="K134" s="1032"/>
      <c r="L134" s="864"/>
      <c r="M134" s="1032"/>
      <c r="N134" s="864"/>
      <c r="O134" s="1032"/>
      <c r="P134" s="1210"/>
      <c r="Q134" s="1038"/>
      <c r="R134" s="958"/>
      <c r="T134" s="877"/>
    </row>
    <row r="135" spans="1:26" s="85" customFormat="1" x14ac:dyDescent="0.25">
      <c r="A135" s="79"/>
      <c r="B135" s="79" t="s">
        <v>14</v>
      </c>
      <c r="C135" s="85" t="s">
        <v>1486</v>
      </c>
      <c r="D135" s="475">
        <f>SUMIF($D$9:$D$126,"C",$F$9:$F$126)</f>
        <v>130.51000000000002</v>
      </c>
      <c r="E135" s="1202">
        <f t="shared" si="0"/>
        <v>4.3503333333333343</v>
      </c>
      <c r="F135" s="1203">
        <f t="shared" si="1"/>
        <v>3.0921411140332179E-2</v>
      </c>
      <c r="G135" s="79"/>
      <c r="H135" s="79"/>
      <c r="J135" s="864"/>
      <c r="K135" s="1032"/>
      <c r="L135" s="864"/>
      <c r="M135" s="1032"/>
      <c r="N135" s="864"/>
      <c r="O135" s="1032"/>
      <c r="P135" s="1210"/>
      <c r="Q135" s="1038"/>
      <c r="R135" s="958"/>
      <c r="T135" s="877"/>
    </row>
    <row r="136" spans="1:26" s="85" customFormat="1" x14ac:dyDescent="0.25">
      <c r="A136" s="79"/>
      <c r="B136" s="79" t="s">
        <v>51</v>
      </c>
      <c r="C136" s="864" t="s">
        <v>1499</v>
      </c>
      <c r="D136" s="475">
        <f>SUMIF($D$28:$D$126,"CAL",$F$28:$F$126)</f>
        <v>115.46000000000001</v>
      </c>
      <c r="E136" s="1202">
        <f>D136/$K$150</f>
        <v>3.8486666666666669</v>
      </c>
      <c r="F136" s="1203">
        <f t="shared" si="1"/>
        <v>2.7355651906081933E-2</v>
      </c>
      <c r="G136" s="79"/>
      <c r="H136" s="79"/>
      <c r="I136" s="79"/>
      <c r="K136" s="795"/>
      <c r="M136" s="795"/>
      <c r="O136" s="795"/>
      <c r="P136" s="1210"/>
      <c r="Q136" s="1038"/>
      <c r="R136" s="958"/>
      <c r="T136" s="877"/>
    </row>
    <row r="137" spans="1:26" s="85" customFormat="1" x14ac:dyDescent="0.25">
      <c r="A137" s="79"/>
      <c r="B137" s="79" t="s">
        <v>2189</v>
      </c>
      <c r="C137" s="864" t="s">
        <v>1496</v>
      </c>
      <c r="D137" s="475">
        <f>SUMIF($D$28:$D$126,"AC",$F$28:$F$126)</f>
        <v>80</v>
      </c>
      <c r="E137" s="1202">
        <f t="shared" si="0"/>
        <v>2.6666666666666665</v>
      </c>
      <c r="F137" s="1203">
        <f t="shared" si="1"/>
        <v>1.8954201909635843E-2</v>
      </c>
      <c r="G137" s="79"/>
      <c r="I137" s="85" t="s">
        <v>280</v>
      </c>
      <c r="K137" s="177"/>
      <c r="M137" s="177"/>
      <c r="O137" s="177"/>
      <c r="P137" s="1210"/>
      <c r="Q137" s="1038"/>
      <c r="R137" s="941"/>
      <c r="T137" s="877"/>
    </row>
    <row r="138" spans="1:26" s="85" customFormat="1" x14ac:dyDescent="0.25">
      <c r="A138" s="79"/>
      <c r="B138" s="867" t="s">
        <v>53</v>
      </c>
      <c r="C138" s="864" t="s">
        <v>1522</v>
      </c>
      <c r="D138" s="475">
        <f>SUMIF($D$9:$D$126,"DC",$F$9:$F$126)</f>
        <v>50</v>
      </c>
      <c r="E138" s="1202">
        <f t="shared" si="0"/>
        <v>1.6666666666666667</v>
      </c>
      <c r="F138" s="1203">
        <f t="shared" si="1"/>
        <v>1.1846376193522402E-2</v>
      </c>
      <c r="K138" s="177"/>
      <c r="M138" s="177"/>
      <c r="O138" s="177"/>
      <c r="P138" s="1210"/>
      <c r="Q138" s="1038"/>
      <c r="R138" s="475"/>
      <c r="T138" s="877"/>
    </row>
    <row r="139" spans="1:26" s="85" customFormat="1" x14ac:dyDescent="0.25">
      <c r="A139" s="79"/>
      <c r="B139" s="867" t="s">
        <v>2149</v>
      </c>
      <c r="C139" s="864" t="s">
        <v>2131</v>
      </c>
      <c r="D139" s="475">
        <f>SUMIF($D$6:$D$126,"DM",$F$6:$F$126)</f>
        <v>0</v>
      </c>
      <c r="E139" s="1202">
        <f t="shared" si="0"/>
        <v>0</v>
      </c>
      <c r="F139" s="1203">
        <f t="shared" si="1"/>
        <v>0</v>
      </c>
      <c r="K139" s="177" t="s">
        <v>280</v>
      </c>
      <c r="M139" s="177" t="s">
        <v>280</v>
      </c>
      <c r="O139" s="177" t="s">
        <v>280</v>
      </c>
      <c r="P139" s="1210"/>
      <c r="Q139" s="1038"/>
      <c r="R139" s="475"/>
      <c r="T139" s="877"/>
    </row>
    <row r="140" spans="1:26" s="85" customFormat="1" x14ac:dyDescent="0.25">
      <c r="A140" s="79"/>
      <c r="B140" s="79" t="s">
        <v>3048</v>
      </c>
      <c r="C140" s="864" t="s">
        <v>1523</v>
      </c>
      <c r="D140" s="475">
        <f ca="1">SUMIF($D$27:$D$127,"B",$F$27:$F$126)</f>
        <v>92.28</v>
      </c>
      <c r="E140" s="1202">
        <f t="shared" ca="1" si="0"/>
        <v>3.0760000000000001</v>
      </c>
      <c r="F140" s="1203">
        <f t="shared" ca="1" si="1"/>
        <v>2.1863671902764944E-2</v>
      </c>
      <c r="G140" s="866"/>
      <c r="K140" s="177"/>
      <c r="M140" s="177"/>
      <c r="O140" s="177"/>
      <c r="P140" s="1210"/>
      <c r="Q140" s="1038"/>
      <c r="R140" s="475"/>
      <c r="T140" s="877"/>
    </row>
    <row r="141" spans="1:26" s="85" customFormat="1" x14ac:dyDescent="0.25">
      <c r="A141" s="79"/>
      <c r="B141" s="79" t="s">
        <v>1686</v>
      </c>
      <c r="C141" s="864" t="s">
        <v>1506</v>
      </c>
      <c r="D141" s="475">
        <f ca="1">SUMIF($D$7:$D$127,"R",$F$7:$F$126)</f>
        <v>437.47</v>
      </c>
      <c r="E141" s="1202">
        <f t="shared" ca="1" si="0"/>
        <v>14.582333333333334</v>
      </c>
      <c r="F141" s="1203">
        <f t="shared" ca="1" si="1"/>
        <v>0.10364868386760491</v>
      </c>
      <c r="G141" s="868"/>
      <c r="K141" s="866"/>
      <c r="M141" s="866"/>
      <c r="O141" s="866"/>
      <c r="P141" s="1210"/>
      <c r="Q141" s="1038"/>
      <c r="R141" s="475"/>
      <c r="T141" s="877"/>
    </row>
    <row r="142" spans="1:26" x14ac:dyDescent="0.25">
      <c r="B142" s="79" t="s">
        <v>418</v>
      </c>
      <c r="C142" s="85" t="s">
        <v>1524</v>
      </c>
      <c r="D142" s="475">
        <f>SUMIF($D$28:$D$126,"COM",$F$28:$F$126)</f>
        <v>0</v>
      </c>
      <c r="E142" s="1202">
        <f t="shared" si="0"/>
        <v>0</v>
      </c>
      <c r="F142" s="1203">
        <f t="shared" si="1"/>
        <v>0</v>
      </c>
      <c r="G142" s="85"/>
      <c r="H142" s="85"/>
      <c r="I142" s="85"/>
      <c r="J142" s="769"/>
      <c r="K142" s="216"/>
      <c r="L142" s="769"/>
      <c r="M142" s="216"/>
      <c r="N142" s="769"/>
      <c r="O142" s="216"/>
      <c r="P142" s="1210"/>
      <c r="Q142" s="1038"/>
    </row>
    <row r="143" spans="1:26" x14ac:dyDescent="0.25">
      <c r="B143" s="79" t="s">
        <v>419</v>
      </c>
      <c r="C143" s="85" t="s">
        <v>1491</v>
      </c>
      <c r="D143" s="475">
        <f>SUMIF($D$28:$D$126,"F",$F$28:$F$126)</f>
        <v>797</v>
      </c>
      <c r="E143" s="1202">
        <f t="shared" si="0"/>
        <v>26.566666666666666</v>
      </c>
      <c r="F143" s="1203">
        <f t="shared" si="1"/>
        <v>0.18883123652474709</v>
      </c>
      <c r="I143" s="85"/>
      <c r="K143" s="216"/>
      <c r="M143" s="216"/>
      <c r="O143" s="216"/>
      <c r="P143" s="1210"/>
      <c r="Q143" s="1038"/>
    </row>
    <row r="144" spans="1:26" x14ac:dyDescent="0.25">
      <c r="B144" s="79" t="s">
        <v>911</v>
      </c>
      <c r="C144" s="85" t="s">
        <v>1525</v>
      </c>
      <c r="D144" s="475">
        <f>SUMIF($D$7:$D$126,"FER",$F$7:$F$126)</f>
        <v>174.59</v>
      </c>
      <c r="E144" s="1202">
        <f t="shared" si="0"/>
        <v>5.8196666666666665</v>
      </c>
      <c r="F144" s="1203">
        <f t="shared" si="1"/>
        <v>4.1365176392541524E-2</v>
      </c>
      <c r="J144" s="769"/>
      <c r="K144" s="868"/>
      <c r="L144" s="769"/>
      <c r="M144" s="868"/>
      <c r="N144" s="769"/>
      <c r="O144" s="868"/>
      <c r="P144" s="1210"/>
      <c r="Q144" s="1038"/>
    </row>
    <row r="145" spans="1:24" x14ac:dyDescent="0.25">
      <c r="B145" s="79" t="s">
        <v>1526</v>
      </c>
      <c r="C145" s="85" t="s">
        <v>1504</v>
      </c>
      <c r="D145" s="475">
        <f>SUMIF($D$28:$D$126,"I",$F$28:$F$126)</f>
        <v>250.9</v>
      </c>
      <c r="E145" s="1202">
        <f t="shared" si="0"/>
        <v>8.3633333333333333</v>
      </c>
      <c r="F145" s="1203">
        <f t="shared" si="1"/>
        <v>5.944511573909541E-2</v>
      </c>
      <c r="J145" s="769"/>
      <c r="K145" s="868"/>
      <c r="L145" s="769"/>
      <c r="M145" s="868"/>
      <c r="N145" s="769"/>
      <c r="O145" s="868"/>
      <c r="P145" s="1210"/>
      <c r="Q145" s="1038"/>
    </row>
    <row r="146" spans="1:24" x14ac:dyDescent="0.25">
      <c r="B146" s="79" t="s">
        <v>2343</v>
      </c>
      <c r="C146" s="85" t="s">
        <v>2315</v>
      </c>
      <c r="D146" s="475">
        <f>SUMIF($D$27:$D$126,"E",$F$27:$F$126)</f>
        <v>0</v>
      </c>
      <c r="E146" s="1202">
        <f t="shared" si="0"/>
        <v>0</v>
      </c>
      <c r="F146" s="1203">
        <f t="shared" si="1"/>
        <v>0</v>
      </c>
      <c r="J146" s="769"/>
      <c r="K146" s="868"/>
      <c r="L146" s="769"/>
      <c r="M146" s="868"/>
      <c r="N146" s="769"/>
      <c r="O146" s="868"/>
      <c r="P146" s="1210"/>
      <c r="Q146" s="1038"/>
    </row>
    <row r="147" spans="1:24" x14ac:dyDescent="0.25">
      <c r="B147" s="79" t="s">
        <v>3019</v>
      </c>
      <c r="C147" s="85" t="s">
        <v>3017</v>
      </c>
      <c r="D147" s="475">
        <f>SUMIF($D$6:$D$126,"IM",$F$6:$F$126)</f>
        <v>557.74</v>
      </c>
      <c r="E147" s="1202">
        <f t="shared" si="0"/>
        <v>18.591333333333335</v>
      </c>
      <c r="F147" s="1203">
        <f t="shared" si="1"/>
        <v>0.13214395716350369</v>
      </c>
      <c r="J147" s="769"/>
      <c r="L147" s="769"/>
      <c r="N147" s="769"/>
      <c r="P147" s="941"/>
      <c r="Q147" s="224"/>
    </row>
    <row r="148" spans="1:24" x14ac:dyDescent="0.25">
      <c r="B148" s="79" t="s">
        <v>1527</v>
      </c>
      <c r="C148" s="85" t="s">
        <v>1489</v>
      </c>
      <c r="D148" s="475">
        <f>SUMIF($D$7:$D$126,"OD",$F$7:$F$126)</f>
        <v>551.04</v>
      </c>
      <c r="E148" s="1202">
        <f t="shared" si="0"/>
        <v>18.367999999999999</v>
      </c>
      <c r="F148" s="1203">
        <f t="shared" si="1"/>
        <v>0.13055654275357167</v>
      </c>
      <c r="P148" s="1210"/>
      <c r="Q148" s="1038"/>
    </row>
    <row r="149" spans="1:24" x14ac:dyDescent="0.25">
      <c r="C149" s="79"/>
      <c r="D149" s="629"/>
      <c r="E149" s="79"/>
      <c r="F149" s="79"/>
      <c r="P149" s="1210"/>
      <c r="Q149" s="1038"/>
      <c r="R149" s="79"/>
      <c r="T149" s="79"/>
    </row>
    <row r="150" spans="1:24" x14ac:dyDescent="0.25">
      <c r="C150" s="3168" t="s">
        <v>486</v>
      </c>
      <c r="D150" s="3168"/>
      <c r="E150" s="863">
        <f ca="1">I150/K150</f>
        <v>150.114</v>
      </c>
      <c r="G150" s="518" t="s">
        <v>487</v>
      </c>
      <c r="I150" s="629">
        <f ca="1">SUM(D131:D148)</f>
        <v>4503.42</v>
      </c>
      <c r="J150" s="216"/>
      <c r="K150" s="1517">
        <v>30</v>
      </c>
      <c r="L150" s="1517"/>
      <c r="N150" s="1517"/>
      <c r="P150" s="1210"/>
      <c r="Q150" s="1038"/>
    </row>
    <row r="151" spans="1:24" ht="15.75" customHeight="1" x14ac:dyDescent="0.25">
      <c r="B151" s="3167" t="s">
        <v>3377</v>
      </c>
      <c r="C151" s="3167"/>
      <c r="D151" s="3167"/>
      <c r="E151" s="1125">
        <v>140.69</v>
      </c>
      <c r="H151" s="85"/>
      <c r="K151" s="868"/>
      <c r="M151" s="868"/>
      <c r="O151" s="868"/>
      <c r="P151" s="1210"/>
      <c r="Q151" s="1038"/>
    </row>
    <row r="152" spans="1:24" x14ac:dyDescent="0.25">
      <c r="E152" s="79"/>
      <c r="F152" s="79"/>
      <c r="G152" s="85"/>
      <c r="H152" s="459"/>
      <c r="I152" s="85"/>
      <c r="J152" s="89"/>
      <c r="L152" s="89"/>
      <c r="N152" s="89"/>
      <c r="P152" s="1210"/>
      <c r="Q152" s="1038"/>
      <c r="R152" s="769"/>
      <c r="S152" s="518" t="s">
        <v>280</v>
      </c>
      <c r="T152" s="79"/>
      <c r="U152" s="866"/>
      <c r="V152" s="484"/>
      <c r="X152" s="877"/>
    </row>
    <row r="153" spans="1:24" s="518" customFormat="1" x14ac:dyDescent="0.25">
      <c r="A153" s="79"/>
      <c r="B153" s="79"/>
      <c r="E153" s="1126">
        <f ca="1">E151-E150</f>
        <v>-9.4240000000000066</v>
      </c>
      <c r="F153" s="1205">
        <f ca="1">SUM(F131:F152)</f>
        <v>1.0669841495486532</v>
      </c>
      <c r="G153" s="85"/>
      <c r="H153" s="85"/>
      <c r="I153" s="89"/>
      <c r="J153" s="79"/>
      <c r="K153" s="79"/>
      <c r="L153" s="79"/>
      <c r="M153" s="79"/>
      <c r="N153" s="79"/>
      <c r="O153" s="79"/>
      <c r="P153" s="1210"/>
      <c r="Q153" s="1038"/>
      <c r="R153" s="79"/>
      <c r="S153" s="79"/>
      <c r="T153" s="866"/>
      <c r="U153" s="484"/>
      <c r="V153" s="79"/>
      <c r="W153" s="877"/>
      <c r="X153" s="79"/>
    </row>
    <row r="154" spans="1:24" s="518" customFormat="1" ht="15.75" customHeight="1" x14ac:dyDescent="0.25">
      <c r="A154" s="79"/>
      <c r="B154" s="79"/>
      <c r="C154" s="85"/>
      <c r="D154" s="85"/>
      <c r="E154" s="85"/>
      <c r="G154" s="79"/>
      <c r="H154" s="79"/>
      <c r="I154" s="79"/>
      <c r="J154" s="769"/>
      <c r="K154" s="866"/>
      <c r="L154" s="769"/>
      <c r="M154" s="866"/>
      <c r="N154" s="769"/>
      <c r="O154" s="866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216"/>
      <c r="J156" s="769"/>
      <c r="K156" s="866"/>
      <c r="L156" s="769"/>
      <c r="M156" s="866"/>
      <c r="N156" s="769"/>
      <c r="O156" s="866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79"/>
      <c r="D157" s="79"/>
      <c r="E157" s="79"/>
      <c r="F157" s="79"/>
      <c r="G157" s="79"/>
      <c r="H157" s="79"/>
      <c r="K157" s="866"/>
      <c r="M157" s="866"/>
      <c r="O157" s="866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6"/>
      <c r="L158" s="769"/>
      <c r="M158" s="866"/>
      <c r="N158" s="769"/>
      <c r="O158" s="866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79"/>
      <c r="D159" s="79"/>
      <c r="E159" s="79"/>
      <c r="F159" s="79"/>
      <c r="G159" s="216"/>
      <c r="H159" s="79"/>
      <c r="I159" s="216"/>
      <c r="J159" s="769"/>
      <c r="K159" s="868"/>
      <c r="L159" s="769"/>
      <c r="M159" s="868"/>
      <c r="N159" s="769"/>
      <c r="O159" s="868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79"/>
      <c r="D160" s="79"/>
      <c r="E160" s="79"/>
      <c r="F160" s="79"/>
      <c r="G160" s="216"/>
      <c r="H160" s="79"/>
      <c r="I160" s="216"/>
      <c r="J160" s="769"/>
      <c r="K160" s="866"/>
      <c r="L160" s="769"/>
      <c r="M160" s="866"/>
      <c r="N160" s="769"/>
      <c r="O160" s="866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79"/>
      <c r="D161" s="79"/>
      <c r="E161" s="79"/>
      <c r="F161" s="79"/>
      <c r="G161" s="216"/>
      <c r="H161" s="79"/>
      <c r="I161" s="79"/>
      <c r="J161" s="770"/>
      <c r="K161" s="866"/>
      <c r="L161" s="770"/>
      <c r="M161" s="866"/>
      <c r="N161" s="770"/>
      <c r="O161" s="866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8"/>
      <c r="L162" s="769"/>
      <c r="M162" s="868"/>
      <c r="N162" s="769"/>
      <c r="O162" s="86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629"/>
      <c r="J164" s="769"/>
      <c r="K164" s="866"/>
      <c r="L164" s="769"/>
      <c r="M164" s="866"/>
      <c r="N164" s="769"/>
      <c r="O164" s="866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769"/>
      <c r="O165" s="866"/>
      <c r="P165" s="1210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769"/>
      <c r="O166" s="866"/>
      <c r="P166" s="1210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769"/>
      <c r="M167" s="866"/>
      <c r="N167" s="769"/>
      <c r="O167" s="866"/>
      <c r="P167" s="1210"/>
      <c r="Q167" s="1038"/>
      <c r="R167" s="484"/>
      <c r="S167" s="79"/>
      <c r="T167" s="877"/>
      <c r="U167" s="79"/>
    </row>
    <row r="168" spans="1:21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769"/>
      <c r="O168" s="866"/>
      <c r="P168" s="1210"/>
      <c r="Q168" s="1038"/>
      <c r="R168" s="484"/>
      <c r="S168" s="79"/>
      <c r="T168" s="877"/>
      <c r="U168" s="79"/>
    </row>
    <row r="169" spans="1:21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769"/>
      <c r="O169" s="866"/>
      <c r="P169" s="1210"/>
      <c r="Q169" s="103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6"/>
      <c r="L170" s="769"/>
      <c r="M170" s="866"/>
      <c r="N170" s="769"/>
      <c r="O170" s="866"/>
      <c r="P170" s="1210"/>
      <c r="Q170" s="1038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6"/>
      <c r="L171" s="769"/>
      <c r="M171" s="866"/>
      <c r="N171" s="769"/>
      <c r="O171" s="866"/>
      <c r="P171" s="1210"/>
      <c r="Q171" s="1038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6"/>
      <c r="L172" s="769"/>
      <c r="M172" s="866"/>
      <c r="N172" s="769"/>
      <c r="O172" s="86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6"/>
      <c r="L173" s="769"/>
      <c r="M173" s="866"/>
      <c r="N173" s="769"/>
      <c r="O173" s="866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69"/>
      <c r="K174" s="868"/>
      <c r="L174" s="769"/>
      <c r="M174" s="868"/>
      <c r="N174" s="769"/>
      <c r="O174" s="868"/>
      <c r="P174" s="79"/>
      <c r="Q174" s="79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8"/>
      <c r="L175" s="769"/>
      <c r="M175" s="868"/>
      <c r="N175" s="769"/>
      <c r="O175" s="868"/>
      <c r="P175" s="81"/>
      <c r="Q175" s="755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8"/>
      <c r="L176" s="769"/>
      <c r="M176" s="868"/>
      <c r="N176" s="769"/>
      <c r="O176" s="868"/>
      <c r="P176" s="868"/>
      <c r="Q176" s="79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8"/>
      <c r="L177" s="769"/>
      <c r="M177" s="868"/>
      <c r="N177" s="769"/>
      <c r="O177" s="868"/>
      <c r="P177" s="754"/>
      <c r="Q177" s="886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8"/>
      <c r="L178" s="769"/>
      <c r="M178" s="868"/>
      <c r="N178" s="769"/>
      <c r="O178" s="868"/>
      <c r="P178" s="864"/>
      <c r="Q178" s="864"/>
      <c r="R178" s="484"/>
      <c r="S178" s="79"/>
      <c r="T178" s="877"/>
      <c r="U178" s="79"/>
    </row>
    <row r="179" spans="1:21" s="518" customFormat="1" x14ac:dyDescent="0.25">
      <c r="A179" s="79"/>
      <c r="B179" s="79"/>
      <c r="C179" s="85"/>
      <c r="D179" s="85"/>
      <c r="E179" s="85"/>
      <c r="F179" s="89"/>
      <c r="G179" s="79"/>
      <c r="H179" s="79"/>
      <c r="I179" s="79"/>
      <c r="J179" s="769"/>
      <c r="K179" s="866"/>
      <c r="L179" s="769"/>
      <c r="M179" s="866"/>
      <c r="N179" s="769"/>
      <c r="O179" s="866"/>
      <c r="P179" s="864"/>
      <c r="Q179" s="1032"/>
      <c r="R179" s="484"/>
      <c r="S179" s="79"/>
      <c r="T179" s="877"/>
      <c r="U179" s="79"/>
    </row>
    <row r="180" spans="1:21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769"/>
      <c r="M180" s="866"/>
      <c r="N180" s="769"/>
      <c r="O180" s="866"/>
      <c r="P180" s="864"/>
      <c r="Q180" s="1032"/>
      <c r="R180" s="484"/>
      <c r="S180" s="79"/>
      <c r="T180" s="877"/>
      <c r="U180" s="79"/>
    </row>
    <row r="181" spans="1:21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69"/>
      <c r="K181" s="868"/>
      <c r="L181" s="769"/>
      <c r="M181" s="868"/>
      <c r="N181" s="769"/>
      <c r="O181" s="868"/>
      <c r="P181" s="85"/>
      <c r="Q181" s="795"/>
      <c r="R181" s="484"/>
      <c r="S181" s="79"/>
      <c r="T181" s="877"/>
      <c r="U181" s="79"/>
    </row>
    <row r="182" spans="1:21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L182" s="769"/>
      <c r="M182" s="866"/>
      <c r="N182" s="769"/>
      <c r="O182" s="866"/>
      <c r="P182" s="85"/>
      <c r="Q182" s="177"/>
      <c r="R182" s="484"/>
      <c r="S182" s="79"/>
      <c r="T182" s="877"/>
      <c r="U182" s="79"/>
    </row>
    <row r="183" spans="1:21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769"/>
      <c r="M183" s="866"/>
      <c r="N183" s="769"/>
      <c r="O183" s="866"/>
      <c r="P183" s="85"/>
      <c r="Q183" s="177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69"/>
      <c r="K184" s="868"/>
      <c r="L184" s="769"/>
      <c r="M184" s="868"/>
      <c r="N184" s="769"/>
      <c r="O184" s="868"/>
      <c r="P184" s="85"/>
      <c r="Q184" s="177" t="s">
        <v>280</v>
      </c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69"/>
      <c r="K185" s="868"/>
      <c r="L185" s="769"/>
      <c r="M185" s="868"/>
      <c r="N185" s="769"/>
      <c r="O185" s="868"/>
      <c r="P185" s="85"/>
      <c r="Q185" s="177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69"/>
      <c r="K186" s="868"/>
      <c r="L186" s="769"/>
      <c r="M186" s="868"/>
      <c r="N186" s="769"/>
      <c r="O186" s="868"/>
      <c r="P186" s="85"/>
      <c r="Q186" s="866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769"/>
      <c r="M187" s="868"/>
      <c r="N187" s="769"/>
      <c r="O187" s="868"/>
      <c r="P187" s="769"/>
      <c r="Q187" s="216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6"/>
      <c r="L188" s="769"/>
      <c r="M188" s="866"/>
      <c r="N188" s="769"/>
      <c r="O188" s="866"/>
      <c r="P188" s="79"/>
      <c r="Q188" s="216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223"/>
      <c r="K189" s="629"/>
      <c r="L189" s="223"/>
      <c r="M189" s="629"/>
      <c r="N189" s="223"/>
      <c r="O189" s="629"/>
      <c r="P189" s="769"/>
      <c r="Q189" s="868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56"/>
      <c r="K190" s="756"/>
      <c r="L190" s="756"/>
      <c r="M190" s="756"/>
      <c r="N190" s="756"/>
      <c r="O190" s="756"/>
      <c r="P190" s="769"/>
      <c r="Q190" s="868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69"/>
      <c r="Q191" s="868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79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85"/>
      <c r="K195" s="85"/>
      <c r="L195" s="85"/>
      <c r="M195" s="85"/>
      <c r="N195" s="85"/>
      <c r="O195" s="85"/>
      <c r="P195" s="1517"/>
      <c r="Q195" s="79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89"/>
      <c r="Q197" s="79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6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85"/>
      <c r="K202" s="85"/>
      <c r="L202" s="85"/>
      <c r="M202" s="85"/>
      <c r="N202" s="85"/>
      <c r="O202" s="85"/>
      <c r="Q202" s="866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69"/>
      <c r="Q203" s="866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69"/>
      <c r="Q204" s="86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69"/>
      <c r="Q205" s="866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70"/>
      <c r="Q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69"/>
      <c r="Q207" s="868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69"/>
      <c r="Q208" s="866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71"/>
      <c r="L209" s="771"/>
      <c r="N209" s="771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69"/>
      <c r="Q210" s="866"/>
      <c r="R210" s="484"/>
      <c r="S210" s="79"/>
      <c r="T210" s="877"/>
      <c r="U210" s="79"/>
    </row>
    <row r="211" spans="1:21" x14ac:dyDescent="0.25">
      <c r="P211" s="769"/>
      <c r="Q211" s="866"/>
    </row>
    <row r="212" spans="1:21" x14ac:dyDescent="0.25">
      <c r="P212" s="769"/>
      <c r="Q212" s="866"/>
    </row>
    <row r="213" spans="1:21" x14ac:dyDescent="0.25">
      <c r="P213" s="769"/>
      <c r="Q213" s="866"/>
    </row>
    <row r="214" spans="1:21" x14ac:dyDescent="0.25">
      <c r="P214" s="769"/>
      <c r="Q214" s="866"/>
    </row>
    <row r="215" spans="1:21" x14ac:dyDescent="0.25">
      <c r="P215" s="769"/>
      <c r="Q215" s="866"/>
    </row>
    <row r="216" spans="1:21" x14ac:dyDescent="0.25">
      <c r="P216" s="769"/>
      <c r="Q216" s="866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769"/>
      <c r="Q217" s="86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79"/>
      <c r="O218" s="216"/>
      <c r="P218" s="769"/>
      <c r="Q218" s="866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69"/>
      <c r="Q219" s="868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769"/>
      <c r="Q220" s="868"/>
      <c r="R220" s="484"/>
      <c r="S220" s="79"/>
      <c r="T220" s="877"/>
      <c r="U220" s="79"/>
    </row>
    <row r="221" spans="1:21" x14ac:dyDescent="0.25">
      <c r="P221" s="769"/>
      <c r="Q221" s="868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69"/>
      <c r="Q222" s="868"/>
      <c r="R222" s="484"/>
      <c r="S222" s="79"/>
      <c r="T222" s="877"/>
      <c r="U222" s="79"/>
    </row>
    <row r="223" spans="1:21" x14ac:dyDescent="0.25">
      <c r="P223" s="769"/>
      <c r="Q223" s="868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629"/>
      <c r="L224" s="79"/>
      <c r="M224" s="629"/>
      <c r="N224" s="79"/>
      <c r="O224" s="629"/>
      <c r="P224" s="769"/>
      <c r="Q224" s="866"/>
      <c r="R224" s="484"/>
      <c r="S224" s="79"/>
      <c r="T224" s="877"/>
      <c r="U224" s="79"/>
    </row>
    <row r="225" spans="1:21" x14ac:dyDescent="0.25">
      <c r="P225" s="769"/>
      <c r="Q225" s="866"/>
    </row>
    <row r="226" spans="1:21" x14ac:dyDescent="0.25">
      <c r="P226" s="769"/>
      <c r="Q226" s="868"/>
    </row>
    <row r="227" spans="1:21" x14ac:dyDescent="0.25">
      <c r="P227" s="769"/>
      <c r="Q227" s="866"/>
    </row>
    <row r="228" spans="1:21" x14ac:dyDescent="0.25">
      <c r="P228" s="769"/>
      <c r="Q228" s="866"/>
    </row>
    <row r="229" spans="1:21" x14ac:dyDescent="0.25">
      <c r="P229" s="769"/>
      <c r="Q229" s="868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69"/>
      <c r="Q230" s="86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69"/>
      <c r="Q231" s="868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216"/>
      <c r="P232" s="769"/>
      <c r="Q232" s="868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79"/>
      <c r="O233" s="216"/>
      <c r="P233" s="769"/>
      <c r="Q233" s="866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79"/>
      <c r="O234" s="216"/>
      <c r="P234" s="223"/>
      <c r="Q234" s="629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79"/>
      <c r="O235" s="216"/>
      <c r="P235" s="756"/>
      <c r="Q235" s="756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79"/>
      <c r="O236" s="216"/>
      <c r="P236" s="7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9"/>
      <c r="O237" s="216"/>
      <c r="P237" s="7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9"/>
      <c r="O238" s="216"/>
      <c r="P238" s="79"/>
      <c r="Q238" s="79"/>
      <c r="R238" s="484"/>
      <c r="S238" s="79"/>
      <c r="T238" s="877"/>
      <c r="U238" s="79"/>
    </row>
    <row r="240" spans="1:21" x14ac:dyDescent="0.25">
      <c r="P240" s="85"/>
      <c r="Q240" s="85"/>
    </row>
    <row r="247" spans="16:17" x14ac:dyDescent="0.25">
      <c r="P247" s="85"/>
      <c r="Q247" s="85"/>
    </row>
    <row r="254" spans="16:17" x14ac:dyDescent="0.25">
      <c r="P254" s="771"/>
      <c r="Q254" s="518"/>
    </row>
    <row r="262" spans="17:17" x14ac:dyDescent="0.25">
      <c r="Q262" s="216"/>
    </row>
    <row r="263" spans="17:17" x14ac:dyDescent="0.25">
      <c r="Q263" s="216"/>
    </row>
    <row r="264" spans="17:17" x14ac:dyDescent="0.25">
      <c r="Q264" s="216"/>
    </row>
    <row r="265" spans="17:17" x14ac:dyDescent="0.25">
      <c r="Q265" s="216"/>
    </row>
    <row r="267" spans="17:17" x14ac:dyDescent="0.25">
      <c r="Q267" s="216"/>
    </row>
    <row r="269" spans="17:17" x14ac:dyDescent="0.25">
      <c r="Q269" s="629"/>
    </row>
    <row r="275" spans="17:17" x14ac:dyDescent="0.25">
      <c r="Q275" s="216"/>
    </row>
    <row r="276" spans="17:17" x14ac:dyDescent="0.25">
      <c r="Q276" s="216"/>
    </row>
    <row r="277" spans="17:17" x14ac:dyDescent="0.25">
      <c r="Q277" s="216"/>
    </row>
    <row r="278" spans="17:17" x14ac:dyDescent="0.25">
      <c r="Q278" s="216"/>
    </row>
    <row r="279" spans="17:17" x14ac:dyDescent="0.25">
      <c r="Q279" s="216"/>
    </row>
    <row r="280" spans="17:17" x14ac:dyDescent="0.25">
      <c r="Q280" s="216"/>
    </row>
    <row r="281" spans="17:17" x14ac:dyDescent="0.25">
      <c r="Q281" s="216"/>
    </row>
    <row r="282" spans="17:17" x14ac:dyDescent="0.25">
      <c r="Q282" s="216"/>
    </row>
    <row r="283" spans="17:17" x14ac:dyDescent="0.25">
      <c r="Q283" s="216"/>
    </row>
  </sheetData>
  <autoFilter ref="A2:I128" xr:uid="{00000000-0009-0000-0000-00007D000000}"/>
  <mergeCells count="18">
    <mergeCell ref="F1:Q1"/>
    <mergeCell ref="C150:D150"/>
    <mergeCell ref="A1:E1"/>
    <mergeCell ref="A2:A4"/>
    <mergeCell ref="B2:B4"/>
    <mergeCell ref="C2:C4"/>
    <mergeCell ref="D2:D4"/>
    <mergeCell ref="E2:E4"/>
    <mergeCell ref="L2:M3"/>
    <mergeCell ref="R84:Z84"/>
    <mergeCell ref="B151:D151"/>
    <mergeCell ref="N2:O3"/>
    <mergeCell ref="A127:E127"/>
    <mergeCell ref="A128:E128"/>
    <mergeCell ref="P2:Q3"/>
    <mergeCell ref="F2:G3"/>
    <mergeCell ref="H2:I3"/>
    <mergeCell ref="J2:K3"/>
  </mergeCells>
  <pageMargins left="0.18" right="0.49" top="0.15" bottom="0.16" header="0.15" footer="0.13"/>
  <pageSetup paperSize="9" scale="85" orientation="portrait" horizontalDpi="300" verticalDpi="300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Plan141" filterMode="1"/>
  <dimension ref="A1:AP291"/>
  <sheetViews>
    <sheetView zoomScale="85" zoomScaleNormal="85" workbookViewId="0">
      <pane ySplit="4" topLeftCell="A5" activePane="bottomLeft" state="frozen"/>
      <selection activeCell="C44" sqref="C44"/>
      <selection pane="bottomLeft" activeCell="C44" sqref="A1:AP29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6.140625" style="79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3378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hidden="1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hidden="1" x14ac:dyDescent="0.25">
      <c r="A5" s="281">
        <v>44743</v>
      </c>
      <c r="B5" s="369" t="s">
        <v>10</v>
      </c>
      <c r="C5" s="370"/>
      <c r="D5" s="370"/>
      <c r="E5" s="777"/>
      <c r="F5" s="179"/>
      <c r="G5" s="933">
        <f>'Junho-22'!G128</f>
        <v>411.96958333335169</v>
      </c>
      <c r="H5" s="163"/>
      <c r="I5" s="1479">
        <f>'Junho-22'!I128</f>
        <v>1499.9959999999992</v>
      </c>
      <c r="J5" s="179"/>
      <c r="K5" s="933">
        <f>'Junho-22'!K128</f>
        <v>6632.9200000000019</v>
      </c>
      <c r="L5" s="179"/>
      <c r="M5" s="933">
        <f>'Junho-22'!M128</f>
        <v>10822.14</v>
      </c>
      <c r="N5" s="179"/>
      <c r="O5" s="933">
        <f>'Junho-22'!O128</f>
        <v>10018.26</v>
      </c>
      <c r="P5" s="179"/>
      <c r="Q5" s="933">
        <f>'Junho-22'!Q128</f>
        <v>37926.655984720004</v>
      </c>
    </row>
    <row r="6" spans="1:21" s="224" customFormat="1" hidden="1" x14ac:dyDescent="0.25">
      <c r="A6" s="215">
        <v>44743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hidden="1" customHeight="1" x14ac:dyDescent="0.25">
      <c r="A7" s="215">
        <v>44743</v>
      </c>
      <c r="B7" s="882" t="s">
        <v>138</v>
      </c>
      <c r="C7" s="879" t="s">
        <v>12</v>
      </c>
      <c r="D7" s="879" t="s">
        <v>2157</v>
      </c>
      <c r="E7" s="871" t="s">
        <v>15</v>
      </c>
      <c r="F7" s="780">
        <v>50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982"/>
      <c r="R7" s="1117"/>
      <c r="U7" s="958"/>
    </row>
    <row r="8" spans="1:21" s="224" customFormat="1" ht="14.25" hidden="1" customHeight="1" x14ac:dyDescent="0.25">
      <c r="A8" s="215">
        <v>44743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18</v>
      </c>
      <c r="G8" s="982"/>
      <c r="H8" s="622"/>
      <c r="I8" s="982"/>
      <c r="J8" s="622"/>
      <c r="K8" s="982"/>
      <c r="L8" s="622"/>
      <c r="M8" s="982"/>
      <c r="N8" s="622"/>
      <c r="O8" s="982"/>
      <c r="P8" s="622"/>
      <c r="Q8" s="982"/>
      <c r="R8" s="927"/>
      <c r="T8" s="878"/>
    </row>
    <row r="9" spans="1:21" s="224" customFormat="1" ht="15" hidden="1" customHeight="1" x14ac:dyDescent="0.25">
      <c r="A9" s="215">
        <v>44743</v>
      </c>
      <c r="B9" s="882" t="s">
        <v>14</v>
      </c>
      <c r="C9" s="879" t="s">
        <v>12</v>
      </c>
      <c r="D9" s="879" t="s">
        <v>1486</v>
      </c>
      <c r="E9" s="875" t="s">
        <v>13</v>
      </c>
      <c r="F9" s="780">
        <v>32.26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982"/>
      <c r="R9" s="861"/>
    </row>
    <row r="10" spans="1:21" s="224" customFormat="1" ht="15" hidden="1" customHeight="1" x14ac:dyDescent="0.25">
      <c r="A10" s="215">
        <v>44744</v>
      </c>
      <c r="B10" s="882" t="s">
        <v>3379</v>
      </c>
      <c r="C10" s="879" t="s">
        <v>12</v>
      </c>
      <c r="D10" s="879" t="s">
        <v>1525</v>
      </c>
      <c r="E10" s="871" t="s">
        <v>13</v>
      </c>
      <c r="F10" s="780">
        <v>190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982"/>
      <c r="R10" s="1029"/>
      <c r="S10" s="89"/>
      <c r="T10" s="930"/>
    </row>
    <row r="11" spans="1:21" s="224" customFormat="1" ht="15" hidden="1" customHeight="1" x14ac:dyDescent="0.25">
      <c r="A11" s="215">
        <v>44744</v>
      </c>
      <c r="B11" s="882" t="s">
        <v>3380</v>
      </c>
      <c r="C11" s="879" t="s">
        <v>12</v>
      </c>
      <c r="D11" s="879" t="s">
        <v>1525</v>
      </c>
      <c r="E11" s="871" t="s">
        <v>15</v>
      </c>
      <c r="F11" s="780">
        <v>2.5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982"/>
      <c r="R11" s="1029"/>
      <c r="S11" s="89"/>
      <c r="T11" s="930"/>
    </row>
    <row r="12" spans="1:21" s="224" customFormat="1" ht="15" hidden="1" customHeight="1" x14ac:dyDescent="0.25">
      <c r="A12" s="215">
        <v>44744</v>
      </c>
      <c r="B12" s="882" t="s">
        <v>256</v>
      </c>
      <c r="C12" s="879"/>
      <c r="D12" s="879"/>
      <c r="E12" s="875" t="s">
        <v>25</v>
      </c>
      <c r="F12" s="780"/>
      <c r="G12" s="982">
        <v>300</v>
      </c>
      <c r="H12" s="1060">
        <v>300</v>
      </c>
      <c r="I12" s="1033"/>
      <c r="J12" s="880"/>
      <c r="K12" s="1033"/>
      <c r="L12" s="880"/>
      <c r="M12" s="1033"/>
      <c r="N12" s="880"/>
      <c r="O12" s="1033"/>
      <c r="P12" s="880"/>
      <c r="Q12" s="1033"/>
      <c r="R12" s="1080"/>
      <c r="S12" s="927"/>
      <c r="T12" s="878"/>
    </row>
    <row r="13" spans="1:21" s="224" customFormat="1" ht="15" hidden="1" customHeight="1" x14ac:dyDescent="0.25">
      <c r="A13" s="215">
        <v>44744</v>
      </c>
      <c r="B13" s="882" t="s">
        <v>138</v>
      </c>
      <c r="C13" s="879" t="s">
        <v>12</v>
      </c>
      <c r="D13" s="879" t="s">
        <v>2157</v>
      </c>
      <c r="E13" s="871" t="s">
        <v>13</v>
      </c>
      <c r="F13" s="780">
        <v>50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982"/>
      <c r="R13" s="1029"/>
      <c r="S13" s="89"/>
      <c r="T13" s="930"/>
    </row>
    <row r="14" spans="1:21" s="224" customFormat="1" hidden="1" x14ac:dyDescent="0.25">
      <c r="A14" s="215">
        <v>44744</v>
      </c>
      <c r="B14" s="364" t="s">
        <v>2375</v>
      </c>
      <c r="C14" s="350" t="s">
        <v>12</v>
      </c>
      <c r="D14" s="350" t="s">
        <v>1506</v>
      </c>
      <c r="E14" s="875" t="s">
        <v>13</v>
      </c>
      <c r="F14" s="780">
        <v>10</v>
      </c>
      <c r="G14" s="982"/>
      <c r="H14" s="1008"/>
      <c r="I14" s="1063"/>
      <c r="J14" s="622"/>
      <c r="K14" s="982"/>
      <c r="L14" s="622"/>
      <c r="M14" s="982"/>
      <c r="N14" s="622"/>
      <c r="O14" s="982"/>
      <c r="P14" s="622"/>
      <c r="Q14" s="982"/>
      <c r="R14" s="861"/>
      <c r="T14" s="878"/>
    </row>
    <row r="15" spans="1:21" s="224" customFormat="1" hidden="1" x14ac:dyDescent="0.25">
      <c r="A15" s="215">
        <v>44744</v>
      </c>
      <c r="B15" s="882" t="s">
        <v>81</v>
      </c>
      <c r="C15" s="879" t="s">
        <v>12</v>
      </c>
      <c r="D15" s="879" t="s">
        <v>1493</v>
      </c>
      <c r="E15" s="480" t="s">
        <v>13</v>
      </c>
      <c r="F15" s="780">
        <v>10</v>
      </c>
      <c r="G15" s="982"/>
      <c r="H15" s="1008"/>
      <c r="I15" s="1063"/>
      <c r="J15" s="622"/>
      <c r="K15" s="982"/>
      <c r="L15" s="622"/>
      <c r="M15" s="982"/>
      <c r="N15" s="622"/>
      <c r="O15" s="982"/>
      <c r="P15" s="622"/>
      <c r="Q15" s="982"/>
      <c r="R15" s="861"/>
      <c r="T15" s="878"/>
    </row>
    <row r="16" spans="1:21" s="224" customFormat="1" hidden="1" x14ac:dyDescent="0.25">
      <c r="A16" s="215">
        <v>44744</v>
      </c>
      <c r="B16" s="882" t="s">
        <v>82</v>
      </c>
      <c r="C16" s="879" t="s">
        <v>12</v>
      </c>
      <c r="D16" s="879" t="s">
        <v>1493</v>
      </c>
      <c r="E16" s="480" t="s">
        <v>13</v>
      </c>
      <c r="F16" s="780">
        <v>25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622"/>
      <c r="Q16" s="982"/>
      <c r="R16" s="861"/>
      <c r="T16" s="878"/>
    </row>
    <row r="17" spans="1:21" s="224" customFormat="1" hidden="1" x14ac:dyDescent="0.25">
      <c r="A17" s="215">
        <v>44744</v>
      </c>
      <c r="B17" s="882" t="s">
        <v>3381</v>
      </c>
      <c r="C17" s="879" t="s">
        <v>12</v>
      </c>
      <c r="D17" s="879" t="s">
        <v>1493</v>
      </c>
      <c r="E17" s="480" t="s">
        <v>13</v>
      </c>
      <c r="F17" s="780">
        <v>14.9</v>
      </c>
      <c r="G17" s="982"/>
      <c r="H17" s="1008"/>
      <c r="I17" s="1063"/>
      <c r="J17" s="622"/>
      <c r="K17" s="982"/>
      <c r="L17" s="622"/>
      <c r="M17" s="982"/>
      <c r="N17" s="622"/>
      <c r="O17" s="982"/>
      <c r="P17" s="622"/>
      <c r="Q17" s="982"/>
      <c r="R17" s="861"/>
      <c r="T17" s="878"/>
    </row>
    <row r="18" spans="1:21" s="224" customFormat="1" hidden="1" x14ac:dyDescent="0.25">
      <c r="A18" s="215">
        <v>44744</v>
      </c>
      <c r="B18" s="882" t="s">
        <v>14</v>
      </c>
      <c r="C18" s="879" t="s">
        <v>12</v>
      </c>
      <c r="D18" s="879" t="s">
        <v>1486</v>
      </c>
      <c r="E18" s="480" t="s">
        <v>13</v>
      </c>
      <c r="F18" s="780">
        <v>10.44</v>
      </c>
      <c r="G18" s="982"/>
      <c r="H18" s="1008"/>
      <c r="I18" s="1063"/>
      <c r="J18" s="622"/>
      <c r="K18" s="982"/>
      <c r="L18" s="622"/>
      <c r="M18" s="982"/>
      <c r="N18" s="622"/>
      <c r="O18" s="982"/>
      <c r="P18" s="622"/>
      <c r="Q18" s="982"/>
      <c r="R18" s="1028"/>
      <c r="T18" s="878"/>
    </row>
    <row r="19" spans="1:21" s="224" customFormat="1" hidden="1" x14ac:dyDescent="0.25">
      <c r="A19" s="215">
        <v>44745</v>
      </c>
      <c r="B19" s="882" t="s">
        <v>32</v>
      </c>
      <c r="C19" s="879" t="s">
        <v>12</v>
      </c>
      <c r="D19" s="879" t="s">
        <v>1485</v>
      </c>
      <c r="E19" s="480" t="s">
        <v>13</v>
      </c>
      <c r="F19" s="780">
        <v>26</v>
      </c>
      <c r="G19" s="982"/>
      <c r="H19" s="1008"/>
      <c r="I19" s="1063"/>
      <c r="J19" s="622"/>
      <c r="K19" s="982"/>
      <c r="L19" s="622"/>
      <c r="M19" s="982"/>
      <c r="N19" s="622"/>
      <c r="O19" s="982"/>
      <c r="P19" s="622"/>
      <c r="Q19" s="982"/>
      <c r="R19" s="861"/>
      <c r="T19" s="878"/>
    </row>
    <row r="20" spans="1:21" s="224" customFormat="1" hidden="1" x14ac:dyDescent="0.25">
      <c r="A20" s="215">
        <v>44745</v>
      </c>
      <c r="B20" s="882" t="s">
        <v>81</v>
      </c>
      <c r="C20" s="879" t="s">
        <v>12</v>
      </c>
      <c r="D20" s="879" t="s">
        <v>1493</v>
      </c>
      <c r="E20" s="480" t="s">
        <v>13</v>
      </c>
      <c r="F20" s="780">
        <v>8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622"/>
      <c r="Q20" s="982"/>
      <c r="R20" s="861"/>
      <c r="T20" s="878"/>
    </row>
    <row r="21" spans="1:21" s="224" customFormat="1" ht="15" hidden="1" customHeight="1" x14ac:dyDescent="0.25">
      <c r="A21" s="215">
        <v>44745</v>
      </c>
      <c r="B21" s="882" t="s">
        <v>443</v>
      </c>
      <c r="C21" s="879" t="s">
        <v>12</v>
      </c>
      <c r="D21" s="879" t="s">
        <v>1493</v>
      </c>
      <c r="E21" s="871" t="s">
        <v>13</v>
      </c>
      <c r="F21" s="780">
        <v>15</v>
      </c>
      <c r="G21" s="946"/>
      <c r="H21" s="95"/>
      <c r="I21" s="1064"/>
      <c r="J21" s="622"/>
      <c r="K21" s="982"/>
      <c r="L21" s="622"/>
      <c r="M21" s="982"/>
      <c r="N21" s="622"/>
      <c r="O21" s="982"/>
      <c r="P21" s="622"/>
      <c r="Q21" s="982"/>
      <c r="R21" s="1028"/>
      <c r="U21" s="958"/>
    </row>
    <row r="22" spans="1:21" s="224" customFormat="1" ht="14.25" hidden="1" customHeight="1" x14ac:dyDescent="0.25">
      <c r="A22" s="215">
        <v>44746</v>
      </c>
      <c r="B22" s="882" t="s">
        <v>32</v>
      </c>
      <c r="C22" s="879" t="s">
        <v>12</v>
      </c>
      <c r="D22" s="879" t="s">
        <v>1485</v>
      </c>
      <c r="E22" s="875" t="s">
        <v>13</v>
      </c>
      <c r="F22" s="780">
        <v>18</v>
      </c>
      <c r="G22" s="982"/>
      <c r="H22" s="622"/>
      <c r="I22" s="982"/>
      <c r="J22" s="622"/>
      <c r="K22" s="982"/>
      <c r="L22" s="622"/>
      <c r="M22" s="982"/>
      <c r="N22" s="622"/>
      <c r="O22" s="982"/>
      <c r="P22" s="622"/>
      <c r="Q22" s="982"/>
      <c r="R22" s="927"/>
      <c r="T22" s="878"/>
    </row>
    <row r="23" spans="1:21" s="224" customFormat="1" hidden="1" x14ac:dyDescent="0.25">
      <c r="A23" s="215">
        <v>44746</v>
      </c>
      <c r="B23" s="882" t="s">
        <v>478</v>
      </c>
      <c r="C23" s="879" t="s">
        <v>12</v>
      </c>
      <c r="D23" s="879" t="s">
        <v>1489</v>
      </c>
      <c r="E23" s="480" t="s">
        <v>13</v>
      </c>
      <c r="F23" s="780">
        <v>16.79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982"/>
      <c r="R23" s="861"/>
      <c r="T23" s="878"/>
    </row>
    <row r="24" spans="1:21" s="224" customFormat="1" hidden="1" x14ac:dyDescent="0.25">
      <c r="A24" s="215">
        <v>44747</v>
      </c>
      <c r="B24" s="882" t="s">
        <v>32</v>
      </c>
      <c r="C24" s="879" t="s">
        <v>12</v>
      </c>
      <c r="D24" s="879" t="s">
        <v>1485</v>
      </c>
      <c r="E24" s="875" t="s">
        <v>13</v>
      </c>
      <c r="F24" s="780">
        <v>18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982"/>
      <c r="R24" s="861"/>
      <c r="T24" s="878"/>
    </row>
    <row r="25" spans="1:21" s="224" customFormat="1" ht="15" hidden="1" customHeight="1" x14ac:dyDescent="0.25">
      <c r="A25" s="215">
        <v>44747</v>
      </c>
      <c r="B25" s="882" t="s">
        <v>17</v>
      </c>
      <c r="C25" s="879" t="s">
        <v>12</v>
      </c>
      <c r="D25" s="879" t="s">
        <v>1493</v>
      </c>
      <c r="E25" s="875" t="s">
        <v>13</v>
      </c>
      <c r="F25" s="780">
        <v>5</v>
      </c>
      <c r="G25" s="946"/>
      <c r="H25" s="95"/>
      <c r="I25" s="1064"/>
      <c r="J25" s="622"/>
      <c r="K25" s="982"/>
      <c r="L25" s="622"/>
      <c r="M25" s="982"/>
      <c r="N25" s="622"/>
      <c r="O25" s="982"/>
      <c r="P25" s="622"/>
      <c r="Q25" s="982"/>
      <c r="R25" s="867"/>
    </row>
    <row r="26" spans="1:21" s="224" customFormat="1" ht="15.75" hidden="1" customHeight="1" x14ac:dyDescent="0.25">
      <c r="A26" s="215">
        <v>44748</v>
      </c>
      <c r="B26" s="873" t="s">
        <v>3382</v>
      </c>
      <c r="C26" s="879" t="s">
        <v>12</v>
      </c>
      <c r="D26" s="874"/>
      <c r="E26" s="871" t="s">
        <v>25</v>
      </c>
      <c r="F26" s="1524"/>
      <c r="G26" s="1002">
        <v>2120.71</v>
      </c>
      <c r="H26" s="538"/>
      <c r="I26" s="982"/>
      <c r="J26" s="622"/>
      <c r="K26" s="982"/>
      <c r="L26" s="622"/>
      <c r="M26" s="982"/>
      <c r="N26" s="622"/>
      <c r="O26" s="982"/>
      <c r="P26" s="622"/>
      <c r="Q26" s="982"/>
      <c r="R26" s="178"/>
    </row>
    <row r="27" spans="1:21" s="224" customFormat="1" ht="15" hidden="1" customHeight="1" x14ac:dyDescent="0.25">
      <c r="A27" s="215">
        <v>44748</v>
      </c>
      <c r="B27" s="862" t="s">
        <v>3310</v>
      </c>
      <c r="C27" s="879" t="s">
        <v>12</v>
      </c>
      <c r="D27" s="879" t="s">
        <v>1504</v>
      </c>
      <c r="E27" s="871" t="s">
        <v>13</v>
      </c>
      <c r="F27" s="780">
        <v>30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982"/>
      <c r="R27" s="1028"/>
      <c r="S27" s="999"/>
      <c r="T27" s="1035"/>
    </row>
    <row r="28" spans="1:21" s="224" customFormat="1" ht="15" hidden="1" customHeight="1" x14ac:dyDescent="0.25">
      <c r="A28" s="215">
        <v>44748</v>
      </c>
      <c r="B28" s="882" t="s">
        <v>3383</v>
      </c>
      <c r="C28" s="879" t="s">
        <v>12</v>
      </c>
      <c r="D28" s="879" t="s">
        <v>1499</v>
      </c>
      <c r="E28" s="871" t="s">
        <v>13</v>
      </c>
      <c r="F28" s="780">
        <v>58.98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982"/>
      <c r="R28" s="1028">
        <v>138.97999999999999</v>
      </c>
      <c r="S28" s="999"/>
      <c r="T28" s="878"/>
    </row>
    <row r="29" spans="1:21" s="224" customFormat="1" ht="15" hidden="1" customHeight="1" x14ac:dyDescent="0.25">
      <c r="A29" s="215">
        <v>44748</v>
      </c>
      <c r="B29" s="364" t="s">
        <v>2977</v>
      </c>
      <c r="C29" s="350" t="s">
        <v>12</v>
      </c>
      <c r="D29" s="350" t="s">
        <v>1491</v>
      </c>
      <c r="E29" s="875" t="s">
        <v>13</v>
      </c>
      <c r="F29" s="780">
        <v>300</v>
      </c>
      <c r="G29" s="982"/>
      <c r="H29" s="1008"/>
      <c r="I29" s="1063"/>
      <c r="J29" s="622"/>
      <c r="K29" s="982"/>
      <c r="L29" s="622"/>
      <c r="M29" s="982"/>
      <c r="N29" s="622"/>
      <c r="O29" s="982"/>
      <c r="P29" s="622"/>
      <c r="Q29" s="982"/>
      <c r="R29" s="861"/>
      <c r="T29" s="1035"/>
    </row>
    <row r="30" spans="1:21" hidden="1" x14ac:dyDescent="0.25">
      <c r="A30" s="215">
        <v>44748</v>
      </c>
      <c r="B30" s="876" t="s">
        <v>3060</v>
      </c>
      <c r="C30" s="879" t="s">
        <v>12</v>
      </c>
      <c r="D30" s="879" t="s">
        <v>1496</v>
      </c>
      <c r="E30" s="871" t="s">
        <v>13</v>
      </c>
      <c r="F30" s="780">
        <v>80</v>
      </c>
      <c r="G30" s="982"/>
      <c r="H30" s="1009"/>
      <c r="I30" s="1063"/>
      <c r="J30" s="622"/>
      <c r="K30" s="982"/>
      <c r="L30" s="622"/>
      <c r="M30" s="982"/>
      <c r="N30" s="622"/>
      <c r="O30" s="982"/>
      <c r="P30" s="622"/>
      <c r="Q30" s="982"/>
      <c r="R30" s="1029"/>
    </row>
    <row r="31" spans="1:21" s="224" customFormat="1" ht="14.25" hidden="1" customHeight="1" x14ac:dyDescent="0.25">
      <c r="A31" s="215">
        <v>44748</v>
      </c>
      <c r="B31" s="882" t="s">
        <v>3384</v>
      </c>
      <c r="C31" s="879" t="s">
        <v>12</v>
      </c>
      <c r="D31" s="879" t="s">
        <v>3017</v>
      </c>
      <c r="E31" s="875" t="s">
        <v>13</v>
      </c>
      <c r="F31" s="780">
        <v>557.54999999999995</v>
      </c>
      <c r="G31" s="982"/>
      <c r="H31" s="1008"/>
      <c r="I31" s="1063"/>
      <c r="J31" s="622"/>
      <c r="K31" s="982"/>
      <c r="L31" s="622"/>
      <c r="M31" s="982">
        <v>557.54999999999995</v>
      </c>
      <c r="N31" s="622"/>
      <c r="O31" s="982"/>
      <c r="P31" s="622"/>
      <c r="Q31" s="982"/>
      <c r="R31" s="861">
        <v>500</v>
      </c>
      <c r="S31" s="878" t="s">
        <v>3018</v>
      </c>
      <c r="T31" s="1035"/>
    </row>
    <row r="32" spans="1:21" s="224" customFormat="1" ht="15" hidden="1" customHeight="1" x14ac:dyDescent="0.25">
      <c r="A32" s="215">
        <v>44748</v>
      </c>
      <c r="B32" s="364" t="s">
        <v>3385</v>
      </c>
      <c r="C32" s="879"/>
      <c r="D32" s="879"/>
      <c r="E32" s="875" t="s">
        <v>25</v>
      </c>
      <c r="F32" s="780"/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982">
        <v>400</v>
      </c>
      <c r="R32" s="927"/>
      <c r="S32" s="927"/>
      <c r="T32" s="878"/>
    </row>
    <row r="33" spans="1:42" s="224" customFormat="1" ht="15" hidden="1" customHeight="1" x14ac:dyDescent="0.25">
      <c r="A33" s="215">
        <v>44748</v>
      </c>
      <c r="B33" s="873" t="s">
        <v>3386</v>
      </c>
      <c r="C33" s="874" t="s">
        <v>19</v>
      </c>
      <c r="D33" s="874" t="s">
        <v>1491</v>
      </c>
      <c r="E33" s="875" t="s">
        <v>13</v>
      </c>
      <c r="F33" s="780">
        <v>71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982"/>
      <c r="R33" s="1080" t="s">
        <v>3292</v>
      </c>
      <c r="S33" s="927"/>
      <c r="T33" s="878"/>
    </row>
    <row r="34" spans="1:42" s="224" customFormat="1" ht="15" hidden="1" customHeight="1" x14ac:dyDescent="0.25">
      <c r="A34" s="215">
        <v>44748</v>
      </c>
      <c r="B34" s="873" t="s">
        <v>3387</v>
      </c>
      <c r="C34" s="874" t="s">
        <v>12</v>
      </c>
      <c r="D34" s="874" t="s">
        <v>1506</v>
      </c>
      <c r="E34" s="875" t="s">
        <v>13</v>
      </c>
      <c r="F34" s="780">
        <v>31.9</v>
      </c>
      <c r="G34" s="982"/>
      <c r="H34" s="622"/>
      <c r="I34" s="982"/>
      <c r="J34" s="622"/>
      <c r="K34" s="982"/>
      <c r="L34" s="622"/>
      <c r="M34" s="982"/>
      <c r="N34" s="622"/>
      <c r="O34" s="982"/>
      <c r="P34" s="622"/>
      <c r="Q34" s="982"/>
      <c r="R34" s="1080" t="s">
        <v>3292</v>
      </c>
      <c r="S34" s="927"/>
      <c r="T34" s="878"/>
    </row>
    <row r="35" spans="1:42" s="224" customFormat="1" ht="15" hidden="1" customHeight="1" x14ac:dyDescent="0.25">
      <c r="A35" s="215">
        <v>44748</v>
      </c>
      <c r="B35" s="873" t="s">
        <v>3388</v>
      </c>
      <c r="C35" s="874" t="s">
        <v>12</v>
      </c>
      <c r="D35" s="874" t="s">
        <v>1504</v>
      </c>
      <c r="E35" s="875" t="s">
        <v>13</v>
      </c>
      <c r="F35" s="780">
        <v>20.9</v>
      </c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982"/>
      <c r="R35" s="1080" t="s">
        <v>3292</v>
      </c>
      <c r="S35" s="927"/>
      <c r="T35" s="878"/>
    </row>
    <row r="36" spans="1:42" s="224" customFormat="1" ht="15" hidden="1" customHeight="1" x14ac:dyDescent="0.25">
      <c r="A36" s="215">
        <v>44748</v>
      </c>
      <c r="B36" s="873" t="s">
        <v>3389</v>
      </c>
      <c r="C36" s="874" t="s">
        <v>19</v>
      </c>
      <c r="D36" s="874" t="s">
        <v>1506</v>
      </c>
      <c r="E36" s="875" t="s">
        <v>13</v>
      </c>
      <c r="F36" s="780">
        <v>76</v>
      </c>
      <c r="G36" s="982"/>
      <c r="H36" s="622"/>
      <c r="I36" s="982"/>
      <c r="J36" s="622"/>
      <c r="K36" s="982"/>
      <c r="L36" s="622"/>
      <c r="M36" s="982"/>
      <c r="N36" s="622"/>
      <c r="O36" s="982"/>
      <c r="P36" s="622"/>
      <c r="Q36" s="982"/>
      <c r="R36" s="1080" t="s">
        <v>3292</v>
      </c>
      <c r="S36" s="927"/>
      <c r="T36" s="878"/>
    </row>
    <row r="37" spans="1:42" s="224" customFormat="1" ht="15" hidden="1" customHeight="1" x14ac:dyDescent="0.25">
      <c r="A37" s="215">
        <v>44748</v>
      </c>
      <c r="B37" s="873" t="s">
        <v>3390</v>
      </c>
      <c r="C37" s="874" t="s">
        <v>19</v>
      </c>
      <c r="D37" s="874" t="s">
        <v>1496</v>
      </c>
      <c r="E37" s="875" t="s">
        <v>13</v>
      </c>
      <c r="F37" s="780">
        <v>15.3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982"/>
      <c r="R37" s="1080" t="s">
        <v>3292</v>
      </c>
      <c r="S37" s="927"/>
      <c r="T37" s="878"/>
    </row>
    <row r="38" spans="1:42" s="224" customFormat="1" ht="15" hidden="1" customHeight="1" x14ac:dyDescent="0.25">
      <c r="A38" s="215">
        <v>44748</v>
      </c>
      <c r="B38" s="873" t="s">
        <v>3391</v>
      </c>
      <c r="C38" s="874" t="s">
        <v>19</v>
      </c>
      <c r="D38" s="874" t="s">
        <v>1496</v>
      </c>
      <c r="E38" s="875" t="s">
        <v>13</v>
      </c>
      <c r="F38" s="780">
        <v>74.31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982"/>
      <c r="R38" s="1080" t="s">
        <v>3292</v>
      </c>
      <c r="S38" s="927"/>
      <c r="T38" s="878"/>
    </row>
    <row r="39" spans="1:42" s="224" customFormat="1" ht="15" hidden="1" customHeight="1" x14ac:dyDescent="0.25">
      <c r="A39" s="215">
        <v>44748</v>
      </c>
      <c r="B39" s="364" t="s">
        <v>1396</v>
      </c>
      <c r="C39" s="350" t="s">
        <v>12</v>
      </c>
      <c r="D39" s="350"/>
      <c r="E39" s="480" t="s">
        <v>25</v>
      </c>
      <c r="F39" s="613"/>
      <c r="G39" s="967">
        <v>100</v>
      </c>
      <c r="H39" s="1008"/>
      <c r="I39" s="1063"/>
      <c r="J39" s="622"/>
      <c r="K39" s="982"/>
      <c r="L39" s="1116"/>
      <c r="M39" s="1207"/>
      <c r="N39" s="1116"/>
      <c r="O39" s="1207"/>
      <c r="P39" s="1116"/>
      <c r="Q39" s="1207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hidden="1" customHeight="1" x14ac:dyDescent="0.25">
      <c r="A40" s="215">
        <v>44748</v>
      </c>
      <c r="B40" s="873" t="s">
        <v>3392</v>
      </c>
      <c r="C40" s="874" t="s">
        <v>12</v>
      </c>
      <c r="D40" s="874" t="s">
        <v>1506</v>
      </c>
      <c r="E40" s="875" t="s">
        <v>13</v>
      </c>
      <c r="F40" s="780">
        <v>150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982"/>
      <c r="R40" s="927"/>
      <c r="S40" s="927"/>
      <c r="T40" s="878"/>
    </row>
    <row r="41" spans="1:42" s="224" customFormat="1" ht="15" hidden="1" customHeight="1" x14ac:dyDescent="0.25">
      <c r="A41" s="215">
        <v>44748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18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982"/>
      <c r="R41" s="927"/>
      <c r="S41" s="927"/>
      <c r="T41" s="878"/>
    </row>
    <row r="42" spans="1:42" s="224" customFormat="1" ht="15" hidden="1" customHeight="1" x14ac:dyDescent="0.25">
      <c r="A42" s="215">
        <v>44748</v>
      </c>
      <c r="B42" s="882" t="s">
        <v>3393</v>
      </c>
      <c r="C42" s="879" t="s">
        <v>12</v>
      </c>
      <c r="D42" s="879" t="s">
        <v>1493</v>
      </c>
      <c r="E42" s="875" t="s">
        <v>15</v>
      </c>
      <c r="F42" s="780">
        <v>3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982"/>
      <c r="R42" s="927"/>
      <c r="S42" s="927"/>
      <c r="T42" s="878"/>
    </row>
    <row r="43" spans="1:42" s="224" customFormat="1" ht="15" hidden="1" customHeight="1" x14ac:dyDescent="0.25">
      <c r="A43" s="215">
        <v>44749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18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S43" s="927"/>
      <c r="T43" s="878"/>
    </row>
    <row r="44" spans="1:42" s="224" customFormat="1" ht="15" hidden="1" customHeight="1" x14ac:dyDescent="0.25">
      <c r="A44" s="215">
        <v>44749</v>
      </c>
      <c r="B44" s="882" t="s">
        <v>1820</v>
      </c>
      <c r="C44" s="879" t="s">
        <v>12</v>
      </c>
      <c r="D44" s="879" t="s">
        <v>1496</v>
      </c>
      <c r="E44" s="875" t="s">
        <v>13</v>
      </c>
      <c r="F44" s="780">
        <v>10</v>
      </c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982"/>
      <c r="R44" s="927"/>
      <c r="S44" s="927"/>
      <c r="T44" s="878"/>
    </row>
    <row r="45" spans="1:42" s="224" customFormat="1" ht="15" hidden="1" customHeight="1" x14ac:dyDescent="0.25">
      <c r="A45" s="215">
        <v>44749</v>
      </c>
      <c r="B45" s="882" t="s">
        <v>2251</v>
      </c>
      <c r="C45" s="879" t="s">
        <v>12</v>
      </c>
      <c r="D45" s="879" t="s">
        <v>2157</v>
      </c>
      <c r="E45" s="871" t="s">
        <v>15</v>
      </c>
      <c r="F45" s="780">
        <v>80</v>
      </c>
      <c r="G45" s="946"/>
      <c r="H45" s="95"/>
      <c r="I45" s="1064"/>
      <c r="J45" s="622"/>
      <c r="K45" s="982"/>
      <c r="L45" s="622"/>
      <c r="M45" s="982"/>
      <c r="N45" s="622"/>
      <c r="O45" s="982"/>
      <c r="P45" s="622"/>
      <c r="Q45" s="982"/>
      <c r="R45" s="1117"/>
      <c r="U45" s="958"/>
    </row>
    <row r="46" spans="1:42" s="224" customFormat="1" hidden="1" x14ac:dyDescent="0.25">
      <c r="A46" s="215">
        <v>44749</v>
      </c>
      <c r="B46" s="882" t="s">
        <v>478</v>
      </c>
      <c r="C46" s="879" t="s">
        <v>12</v>
      </c>
      <c r="D46" s="879" t="s">
        <v>1489</v>
      </c>
      <c r="E46" s="480" t="s">
        <v>13</v>
      </c>
      <c r="F46" s="780">
        <v>14.16</v>
      </c>
      <c r="G46" s="982"/>
      <c r="H46" s="1008"/>
      <c r="I46" s="1063"/>
      <c r="J46" s="622"/>
      <c r="K46" s="982"/>
      <c r="L46" s="622"/>
      <c r="M46" s="982"/>
      <c r="N46" s="622"/>
      <c r="O46" s="982"/>
      <c r="P46" s="622"/>
      <c r="Q46" s="982"/>
      <c r="R46" s="861"/>
      <c r="T46" s="878"/>
    </row>
    <row r="47" spans="1:42" s="224" customFormat="1" hidden="1" x14ac:dyDescent="0.25">
      <c r="A47" s="215">
        <v>44749</v>
      </c>
      <c r="B47" s="882" t="s">
        <v>3394</v>
      </c>
      <c r="C47" s="879" t="s">
        <v>12</v>
      </c>
      <c r="D47" s="879" t="s">
        <v>1493</v>
      </c>
      <c r="E47" s="480" t="s">
        <v>13</v>
      </c>
      <c r="F47" s="780">
        <v>2.5</v>
      </c>
      <c r="G47" s="982"/>
      <c r="H47" s="1008"/>
      <c r="I47" s="1063"/>
      <c r="J47" s="622"/>
      <c r="K47" s="982"/>
      <c r="L47" s="622"/>
      <c r="M47" s="982"/>
      <c r="N47" s="622"/>
      <c r="O47" s="982"/>
      <c r="P47" s="622"/>
      <c r="Q47" s="982"/>
      <c r="R47" s="861"/>
      <c r="T47" s="878"/>
    </row>
    <row r="48" spans="1:42" s="224" customFormat="1" ht="15" hidden="1" customHeight="1" x14ac:dyDescent="0.25">
      <c r="A48" s="215">
        <v>44750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18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982"/>
      <c r="R48" s="927"/>
      <c r="S48" s="927"/>
      <c r="T48" s="878"/>
    </row>
    <row r="49" spans="1:42" s="224" customFormat="1" ht="15" hidden="1" customHeight="1" x14ac:dyDescent="0.25">
      <c r="A49" s="215">
        <v>44750</v>
      </c>
      <c r="B49" s="364" t="s">
        <v>3395</v>
      </c>
      <c r="C49" s="350" t="s">
        <v>12</v>
      </c>
      <c r="D49" s="350" t="s">
        <v>1489</v>
      </c>
      <c r="E49" s="875" t="s">
        <v>13</v>
      </c>
      <c r="F49" s="780">
        <v>98</v>
      </c>
      <c r="G49" s="982"/>
      <c r="H49" s="622"/>
      <c r="I49" s="982"/>
      <c r="J49" s="622"/>
      <c r="K49" s="982"/>
      <c r="L49" s="622"/>
      <c r="M49" s="982"/>
      <c r="N49" s="622"/>
      <c r="O49" s="982"/>
      <c r="P49" s="622"/>
      <c r="Q49" s="982"/>
      <c r="R49" s="927"/>
      <c r="S49" s="927"/>
      <c r="T49" s="878"/>
    </row>
    <row r="50" spans="1:42" s="224" customFormat="1" ht="15" hidden="1" customHeight="1" x14ac:dyDescent="0.25">
      <c r="A50" s="215">
        <v>44751</v>
      </c>
      <c r="B50" s="364" t="s">
        <v>3396</v>
      </c>
      <c r="C50" s="350" t="s">
        <v>12</v>
      </c>
      <c r="D50" s="350" t="s">
        <v>1524</v>
      </c>
      <c r="E50" s="875" t="s">
        <v>13</v>
      </c>
      <c r="F50" s="780">
        <v>27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982"/>
      <c r="R50" s="927"/>
      <c r="S50" s="927"/>
      <c r="T50" s="878"/>
    </row>
    <row r="51" spans="1:42" s="224" customFormat="1" ht="15" hidden="1" customHeight="1" x14ac:dyDescent="0.25">
      <c r="A51" s="215">
        <v>44751</v>
      </c>
      <c r="B51" s="364" t="s">
        <v>3397</v>
      </c>
      <c r="C51" s="350" t="s">
        <v>12</v>
      </c>
      <c r="D51" s="350" t="s">
        <v>1523</v>
      </c>
      <c r="E51" s="875" t="s">
        <v>13</v>
      </c>
      <c r="F51" s="780">
        <v>56.25</v>
      </c>
      <c r="G51" s="982"/>
      <c r="H51" s="622"/>
      <c r="I51" s="982"/>
      <c r="J51" s="622"/>
      <c r="K51" s="982"/>
      <c r="L51" s="622"/>
      <c r="M51" s="982"/>
      <c r="N51" s="622"/>
      <c r="O51" s="982"/>
      <c r="P51" s="622"/>
      <c r="Q51" s="982"/>
      <c r="R51" s="927"/>
      <c r="S51" s="927"/>
      <c r="T51" s="878"/>
    </row>
    <row r="52" spans="1:42" s="224" customFormat="1" ht="15" hidden="1" customHeight="1" x14ac:dyDescent="0.25">
      <c r="A52" s="215">
        <v>44751</v>
      </c>
      <c r="B52" s="364" t="s">
        <v>2881</v>
      </c>
      <c r="C52" s="350" t="s">
        <v>12</v>
      </c>
      <c r="D52" s="350" t="s">
        <v>1493</v>
      </c>
      <c r="E52" s="875" t="s">
        <v>13</v>
      </c>
      <c r="F52" s="780">
        <v>28</v>
      </c>
      <c r="G52" s="982"/>
      <c r="H52" s="622"/>
      <c r="I52" s="982"/>
      <c r="J52" s="622"/>
      <c r="K52" s="982"/>
      <c r="L52" s="622"/>
      <c r="M52" s="982"/>
      <c r="N52" s="622"/>
      <c r="O52" s="982"/>
      <c r="P52" s="622"/>
      <c r="Q52" s="982"/>
      <c r="R52" s="927"/>
      <c r="S52" s="927"/>
      <c r="T52" s="878"/>
    </row>
    <row r="53" spans="1:42" s="224" customFormat="1" ht="15" hidden="1" customHeight="1" x14ac:dyDescent="0.25">
      <c r="A53" s="215">
        <v>44752</v>
      </c>
      <c r="B53" s="364" t="s">
        <v>14</v>
      </c>
      <c r="C53" s="350" t="s">
        <v>12</v>
      </c>
      <c r="D53" s="350" t="s">
        <v>1486</v>
      </c>
      <c r="E53" s="875" t="s">
        <v>13</v>
      </c>
      <c r="F53" s="780">
        <v>9.4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982"/>
      <c r="R53" s="927"/>
      <c r="S53" s="927"/>
      <c r="T53" s="878"/>
    </row>
    <row r="54" spans="1:42" s="224" customFormat="1" ht="15" hidden="1" customHeight="1" x14ac:dyDescent="0.25">
      <c r="A54" s="215">
        <v>44752</v>
      </c>
      <c r="B54" s="364" t="s">
        <v>3283</v>
      </c>
      <c r="C54" s="350" t="s">
        <v>12</v>
      </c>
      <c r="D54" s="350" t="s">
        <v>1506</v>
      </c>
      <c r="E54" s="875" t="s">
        <v>13</v>
      </c>
      <c r="F54" s="780">
        <v>50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982"/>
      <c r="R54" s="927"/>
      <c r="S54" s="927"/>
      <c r="T54" s="878"/>
    </row>
    <row r="55" spans="1:42" s="224" customFormat="1" ht="15" hidden="1" customHeight="1" x14ac:dyDescent="0.25">
      <c r="A55" s="215">
        <v>44752</v>
      </c>
      <c r="B55" s="364" t="s">
        <v>82</v>
      </c>
      <c r="C55" s="350" t="s">
        <v>12</v>
      </c>
      <c r="D55" s="350" t="s">
        <v>1493</v>
      </c>
      <c r="E55" s="875" t="s">
        <v>13</v>
      </c>
      <c r="F55" s="780">
        <v>33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22"/>
      <c r="Q55" s="982"/>
      <c r="R55" s="927"/>
      <c r="S55" s="927"/>
      <c r="T55" s="878"/>
    </row>
    <row r="56" spans="1:42" s="224" customFormat="1" ht="15" hidden="1" customHeight="1" x14ac:dyDescent="0.25">
      <c r="A56" s="215">
        <v>44752</v>
      </c>
      <c r="B56" s="364" t="s">
        <v>3354</v>
      </c>
      <c r="C56" s="350" t="s">
        <v>12</v>
      </c>
      <c r="D56" s="350"/>
      <c r="E56" s="480" t="s">
        <v>25</v>
      </c>
      <c r="F56" s="613"/>
      <c r="G56" s="967"/>
      <c r="H56" s="1008"/>
      <c r="I56" s="1063"/>
      <c r="J56" s="622"/>
      <c r="K56" s="1033"/>
      <c r="L56" s="1110"/>
      <c r="M56" s="6"/>
      <c r="N56" s="613"/>
      <c r="O56" s="64"/>
      <c r="P56" s="613"/>
      <c r="Q56" s="64">
        <v>149.91999999999999</v>
      </c>
      <c r="R56" s="1209">
        <v>0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hidden="1" customHeight="1" x14ac:dyDescent="0.25">
      <c r="A57" s="215">
        <v>44753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82"/>
      <c r="H57" s="622"/>
      <c r="I57" s="982"/>
      <c r="J57" s="622"/>
      <c r="K57" s="982"/>
      <c r="L57" s="622"/>
      <c r="M57" s="1033"/>
      <c r="N57" s="1116"/>
      <c r="O57" s="1207"/>
      <c r="P57" s="1116"/>
      <c r="Q57" s="1207"/>
      <c r="R57" s="927"/>
      <c r="S57" s="927"/>
      <c r="T57" s="878"/>
    </row>
    <row r="58" spans="1:42" s="224" customFormat="1" ht="15" hidden="1" customHeight="1" x14ac:dyDescent="0.25">
      <c r="A58" s="215">
        <v>44753</v>
      </c>
      <c r="B58" s="882" t="s">
        <v>138</v>
      </c>
      <c r="C58" s="879" t="s">
        <v>12</v>
      </c>
      <c r="D58" s="879" t="s">
        <v>2157</v>
      </c>
      <c r="E58" s="871" t="s">
        <v>15</v>
      </c>
      <c r="F58" s="780">
        <v>60</v>
      </c>
      <c r="G58" s="982"/>
      <c r="H58" s="622"/>
      <c r="I58" s="982"/>
      <c r="J58" s="622"/>
      <c r="K58" s="982"/>
      <c r="L58" s="622"/>
      <c r="M58" s="1033"/>
      <c r="N58" s="1116"/>
      <c r="O58" s="1207"/>
      <c r="P58" s="1116"/>
      <c r="Q58" s="1207"/>
      <c r="R58" s="927"/>
      <c r="S58" s="927"/>
      <c r="T58" s="878"/>
    </row>
    <row r="59" spans="1:42" s="224" customFormat="1" ht="15" hidden="1" customHeight="1" x14ac:dyDescent="0.25">
      <c r="A59" s="215">
        <v>44754</v>
      </c>
      <c r="B59" s="882" t="s">
        <v>32</v>
      </c>
      <c r="C59" s="879" t="s">
        <v>12</v>
      </c>
      <c r="D59" s="879" t="s">
        <v>1485</v>
      </c>
      <c r="E59" s="875" t="s">
        <v>13</v>
      </c>
      <c r="F59" s="780">
        <v>18</v>
      </c>
      <c r="G59" s="982"/>
      <c r="H59" s="622"/>
      <c r="I59" s="982"/>
      <c r="J59" s="622"/>
      <c r="K59" s="982"/>
      <c r="L59" s="622"/>
      <c r="M59" s="982"/>
      <c r="N59" s="613"/>
      <c r="O59" s="6"/>
      <c r="P59" s="613"/>
      <c r="Q59" s="6"/>
      <c r="R59" s="927"/>
      <c r="S59" s="927"/>
      <c r="T59" s="878"/>
    </row>
    <row r="60" spans="1:42" s="224" customFormat="1" ht="15" hidden="1" customHeight="1" x14ac:dyDescent="0.25">
      <c r="A60" s="215">
        <v>44754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780">
        <v>11.36</v>
      </c>
      <c r="G60" s="982"/>
      <c r="H60" s="622"/>
      <c r="I60" s="982"/>
      <c r="J60" s="622"/>
      <c r="K60" s="982"/>
      <c r="L60" s="622"/>
      <c r="M60" s="982"/>
      <c r="N60" s="1116"/>
      <c r="O60" s="1215"/>
      <c r="P60" s="1116"/>
      <c r="Q60" s="1215"/>
      <c r="R60" s="927"/>
      <c r="S60" s="927"/>
      <c r="T60" s="878"/>
    </row>
    <row r="61" spans="1:42" s="224" customFormat="1" ht="15" hidden="1" customHeight="1" x14ac:dyDescent="0.25">
      <c r="A61" s="215">
        <v>44755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18</v>
      </c>
      <c r="G61" s="982"/>
      <c r="H61" s="622"/>
      <c r="I61" s="982"/>
      <c r="J61" s="622"/>
      <c r="K61" s="1033"/>
      <c r="L61" s="880"/>
      <c r="M61" s="1033"/>
      <c r="N61" s="1116"/>
      <c r="O61" s="1207"/>
      <c r="P61" s="1116"/>
      <c r="Q61" s="1207"/>
      <c r="R61" s="927"/>
      <c r="S61" s="927"/>
      <c r="T61" s="878"/>
    </row>
    <row r="62" spans="1:42" s="224" customFormat="1" ht="15" hidden="1" customHeight="1" x14ac:dyDescent="0.25">
      <c r="A62" s="215">
        <v>44755</v>
      </c>
      <c r="B62" s="882" t="s">
        <v>256</v>
      </c>
      <c r="C62" s="879"/>
      <c r="D62" s="879"/>
      <c r="E62" s="875" t="s">
        <v>25</v>
      </c>
      <c r="F62" s="780"/>
      <c r="G62" s="982">
        <v>400</v>
      </c>
      <c r="H62" s="1060">
        <v>400</v>
      </c>
      <c r="I62" s="1033"/>
      <c r="J62" s="880"/>
      <c r="K62" s="1033"/>
      <c r="L62" s="880"/>
      <c r="M62" s="1033"/>
      <c r="N62" s="880"/>
      <c r="O62" s="1033"/>
      <c r="P62" s="880"/>
      <c r="Q62" s="1033"/>
      <c r="R62" s="1080"/>
      <c r="S62" s="927"/>
      <c r="T62" s="878"/>
    </row>
    <row r="63" spans="1:42" s="224" customFormat="1" ht="15" customHeight="1" x14ac:dyDescent="0.25">
      <c r="A63" s="215">
        <v>44755</v>
      </c>
      <c r="B63" s="882" t="s">
        <v>3398</v>
      </c>
      <c r="C63" s="879" t="s">
        <v>12</v>
      </c>
      <c r="D63" s="879" t="s">
        <v>1522</v>
      </c>
      <c r="E63" s="875" t="s">
        <v>15</v>
      </c>
      <c r="F63" s="780">
        <v>100</v>
      </c>
      <c r="G63" s="982"/>
      <c r="H63" s="1060"/>
      <c r="I63" s="1033"/>
      <c r="J63" s="880"/>
      <c r="K63" s="1033"/>
      <c r="L63" s="880"/>
      <c r="M63" s="1033"/>
      <c r="N63" s="622"/>
      <c r="O63" s="982"/>
      <c r="P63" s="622"/>
      <c r="Q63" s="982"/>
      <c r="R63" s="1080"/>
      <c r="S63" s="927"/>
      <c r="T63" s="878"/>
    </row>
    <row r="64" spans="1:42" s="224" customFormat="1" ht="15" hidden="1" customHeight="1" x14ac:dyDescent="0.25">
      <c r="A64" s="215">
        <v>44756</v>
      </c>
      <c r="B64" s="882" t="s">
        <v>1820</v>
      </c>
      <c r="C64" s="879" t="s">
        <v>12</v>
      </c>
      <c r="D64" s="879" t="s">
        <v>1489</v>
      </c>
      <c r="E64" s="871" t="s">
        <v>13</v>
      </c>
      <c r="F64" s="780">
        <v>10</v>
      </c>
      <c r="G64" s="982"/>
      <c r="H64" s="622"/>
      <c r="I64" s="982"/>
      <c r="J64" s="622"/>
      <c r="K64" s="982"/>
      <c r="L64" s="622"/>
      <c r="M64" s="982"/>
      <c r="N64" s="622"/>
      <c r="O64" s="982"/>
      <c r="P64" s="622"/>
      <c r="Q64" s="982"/>
      <c r="R64" s="927"/>
      <c r="S64" s="927"/>
      <c r="T64" s="878"/>
    </row>
    <row r="65" spans="1:20" s="224" customFormat="1" ht="15" hidden="1" customHeight="1" x14ac:dyDescent="0.25">
      <c r="A65" s="215">
        <v>44756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18</v>
      </c>
      <c r="G65" s="982"/>
      <c r="H65" s="1060"/>
      <c r="I65" s="1033"/>
      <c r="J65" s="880"/>
      <c r="K65" s="1033"/>
      <c r="L65" s="880"/>
      <c r="M65" s="1033"/>
      <c r="N65" s="622"/>
      <c r="O65" s="982"/>
      <c r="P65" s="622"/>
      <c r="Q65" s="982"/>
      <c r="R65" s="1080"/>
      <c r="S65" s="927"/>
      <c r="T65" s="878"/>
    </row>
    <row r="66" spans="1:20" s="224" customFormat="1" ht="15" hidden="1" customHeight="1" x14ac:dyDescent="0.25">
      <c r="A66" s="215">
        <v>44756</v>
      </c>
      <c r="B66" s="882" t="s">
        <v>138</v>
      </c>
      <c r="C66" s="879" t="s">
        <v>12</v>
      </c>
      <c r="D66" s="879" t="s">
        <v>2157</v>
      </c>
      <c r="E66" s="871" t="s">
        <v>15</v>
      </c>
      <c r="F66" s="780">
        <v>60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982"/>
      <c r="R66" s="927"/>
      <c r="S66" s="927"/>
      <c r="T66" s="878"/>
    </row>
    <row r="67" spans="1:20" s="224" customFormat="1" ht="15" hidden="1" customHeight="1" x14ac:dyDescent="0.25">
      <c r="A67" s="215">
        <v>44757</v>
      </c>
      <c r="B67" s="882" t="s">
        <v>17</v>
      </c>
      <c r="C67" s="879" t="s">
        <v>12</v>
      </c>
      <c r="D67" s="879" t="s">
        <v>1493</v>
      </c>
      <c r="E67" s="875" t="s">
        <v>13</v>
      </c>
      <c r="F67" s="780">
        <v>5</v>
      </c>
      <c r="G67" s="946"/>
      <c r="H67" s="95"/>
      <c r="I67" s="1064"/>
      <c r="J67" s="622"/>
      <c r="K67" s="982"/>
      <c r="L67" s="622"/>
      <c r="M67" s="982"/>
      <c r="N67" s="622"/>
      <c r="O67" s="982"/>
      <c r="P67" s="622"/>
      <c r="Q67" s="982"/>
      <c r="R67" s="867"/>
    </row>
    <row r="68" spans="1:20" s="224" customFormat="1" ht="15" hidden="1" customHeight="1" x14ac:dyDescent="0.25">
      <c r="A68" s="215">
        <v>44757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18</v>
      </c>
      <c r="G68" s="982"/>
      <c r="H68" s="1060"/>
      <c r="I68" s="1033"/>
      <c r="J68" s="880"/>
      <c r="K68" s="1033"/>
      <c r="L68" s="880"/>
      <c r="M68" s="1033"/>
      <c r="N68" s="622"/>
      <c r="O68" s="982"/>
      <c r="P68" s="622"/>
      <c r="Q68" s="982"/>
      <c r="R68" s="1080"/>
      <c r="S68" s="927"/>
      <c r="T68" s="878"/>
    </row>
    <row r="69" spans="1:20" s="224" customFormat="1" ht="15" hidden="1" customHeight="1" x14ac:dyDescent="0.25">
      <c r="A69" s="215">
        <v>44757</v>
      </c>
      <c r="B69" s="364" t="s">
        <v>3399</v>
      </c>
      <c r="C69" s="350" t="s">
        <v>12</v>
      </c>
      <c r="D69" s="350" t="s">
        <v>1524</v>
      </c>
      <c r="E69" s="875" t="s">
        <v>13</v>
      </c>
      <c r="F69" s="780">
        <v>29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0" s="224" customFormat="1" ht="15" hidden="1" customHeight="1" x14ac:dyDescent="0.25">
      <c r="A70" s="215">
        <v>44757</v>
      </c>
      <c r="B70" s="364" t="s">
        <v>2881</v>
      </c>
      <c r="C70" s="350" t="s">
        <v>12</v>
      </c>
      <c r="D70" s="350" t="s">
        <v>1493</v>
      </c>
      <c r="E70" s="875" t="s">
        <v>13</v>
      </c>
      <c r="F70" s="780">
        <v>24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982"/>
      <c r="R70" s="927"/>
      <c r="S70" s="927"/>
      <c r="T70" s="878"/>
    </row>
    <row r="71" spans="1:20" s="224" customFormat="1" ht="15" hidden="1" customHeight="1" x14ac:dyDescent="0.25">
      <c r="A71" s="215">
        <v>44758</v>
      </c>
      <c r="B71" s="364" t="s">
        <v>14</v>
      </c>
      <c r="C71" s="350" t="s">
        <v>12</v>
      </c>
      <c r="D71" s="350" t="s">
        <v>1486</v>
      </c>
      <c r="E71" s="875" t="s">
        <v>13</v>
      </c>
      <c r="F71" s="780">
        <v>9.69</v>
      </c>
      <c r="G71" s="982"/>
      <c r="H71" s="622"/>
      <c r="I71" s="982"/>
      <c r="J71" s="622"/>
      <c r="K71" s="982"/>
      <c r="L71" s="622"/>
      <c r="M71" s="982"/>
      <c r="N71" s="622"/>
      <c r="O71" s="982"/>
      <c r="P71" s="622"/>
      <c r="Q71" s="982"/>
      <c r="R71" s="927"/>
      <c r="S71" s="927"/>
      <c r="T71" s="878"/>
    </row>
    <row r="72" spans="1:20" s="224" customFormat="1" ht="15" hidden="1" customHeight="1" x14ac:dyDescent="0.25">
      <c r="A72" s="215">
        <v>44758</v>
      </c>
      <c r="B72" s="364" t="s">
        <v>3400</v>
      </c>
      <c r="C72" s="350" t="s">
        <v>12</v>
      </c>
      <c r="D72" s="350" t="s">
        <v>1523</v>
      </c>
      <c r="E72" s="875" t="s">
        <v>13</v>
      </c>
      <c r="F72" s="780">
        <v>25</v>
      </c>
      <c r="G72" s="982"/>
      <c r="H72" s="622"/>
      <c r="I72" s="982"/>
      <c r="J72" s="622"/>
      <c r="K72" s="982"/>
      <c r="L72" s="622"/>
      <c r="M72" s="982"/>
      <c r="N72" s="622"/>
      <c r="O72" s="982"/>
      <c r="P72" s="622"/>
      <c r="Q72" s="982"/>
      <c r="R72" s="927"/>
      <c r="S72" s="927"/>
      <c r="T72" s="878"/>
    </row>
    <row r="73" spans="1:20" s="224" customFormat="1" ht="15" hidden="1" customHeight="1" x14ac:dyDescent="0.25">
      <c r="A73" s="215">
        <v>44758</v>
      </c>
      <c r="B73" s="364" t="s">
        <v>3401</v>
      </c>
      <c r="C73" s="350" t="s">
        <v>12</v>
      </c>
      <c r="D73" s="350" t="s">
        <v>1523</v>
      </c>
      <c r="E73" s="875" t="s">
        <v>13</v>
      </c>
      <c r="F73" s="780">
        <v>25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982"/>
      <c r="R73" s="927"/>
      <c r="S73" s="927"/>
      <c r="T73" s="878"/>
    </row>
    <row r="74" spans="1:20" s="224" customFormat="1" ht="15" hidden="1" customHeight="1" x14ac:dyDescent="0.25">
      <c r="A74" s="215">
        <v>44758</v>
      </c>
      <c r="B74" s="364" t="s">
        <v>3402</v>
      </c>
      <c r="C74" s="350" t="s">
        <v>12</v>
      </c>
      <c r="D74" s="350" t="s">
        <v>1523</v>
      </c>
      <c r="E74" s="875" t="s">
        <v>13</v>
      </c>
      <c r="F74" s="780">
        <v>55</v>
      </c>
      <c r="G74" s="982"/>
      <c r="H74" s="622"/>
      <c r="I74" s="982"/>
      <c r="J74" s="622"/>
      <c r="K74" s="982"/>
      <c r="L74" s="622"/>
      <c r="M74" s="982"/>
      <c r="N74" s="622"/>
      <c r="O74" s="982"/>
      <c r="P74" s="622"/>
      <c r="Q74" s="982"/>
      <c r="R74" s="927"/>
      <c r="S74" s="927"/>
      <c r="T74" s="878"/>
    </row>
    <row r="75" spans="1:20" s="224" customFormat="1" ht="15" hidden="1" customHeight="1" x14ac:dyDescent="0.25">
      <c r="A75" s="215">
        <v>44758</v>
      </c>
      <c r="B75" s="364" t="s">
        <v>3401</v>
      </c>
      <c r="C75" s="350" t="s">
        <v>12</v>
      </c>
      <c r="D75" s="350" t="s">
        <v>1523</v>
      </c>
      <c r="E75" s="875" t="s">
        <v>13</v>
      </c>
      <c r="F75" s="780">
        <v>25</v>
      </c>
      <c r="G75" s="982"/>
      <c r="H75" s="622"/>
      <c r="I75" s="982"/>
      <c r="J75" s="622"/>
      <c r="K75" s="982"/>
      <c r="L75" s="622"/>
      <c r="M75" s="982"/>
      <c r="N75" s="622"/>
      <c r="O75" s="982"/>
      <c r="P75" s="622"/>
      <c r="Q75" s="982"/>
      <c r="R75" s="927"/>
      <c r="S75" s="927"/>
      <c r="T75" s="878"/>
    </row>
    <row r="76" spans="1:20" s="224" customFormat="1" ht="15" hidden="1" customHeight="1" x14ac:dyDescent="0.25">
      <c r="A76" s="215">
        <v>44758</v>
      </c>
      <c r="B76" s="364" t="s">
        <v>3403</v>
      </c>
      <c r="C76" s="350" t="s">
        <v>12</v>
      </c>
      <c r="D76" s="350" t="s">
        <v>1523</v>
      </c>
      <c r="E76" s="875" t="s">
        <v>13</v>
      </c>
      <c r="F76" s="780">
        <v>4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982"/>
      <c r="R76" s="927"/>
      <c r="S76" s="927"/>
      <c r="T76" s="878"/>
    </row>
    <row r="77" spans="1:20" s="224" customFormat="1" ht="15" hidden="1" customHeight="1" x14ac:dyDescent="0.25">
      <c r="A77" s="215">
        <v>44758</v>
      </c>
      <c r="B77" s="364" t="s">
        <v>3079</v>
      </c>
      <c r="C77" s="350" t="s">
        <v>12</v>
      </c>
      <c r="D77" s="350" t="s">
        <v>1493</v>
      </c>
      <c r="E77" s="875" t="s">
        <v>13</v>
      </c>
      <c r="F77" s="780">
        <v>25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S77" s="927"/>
      <c r="T77" s="878"/>
    </row>
    <row r="78" spans="1:20" s="224" customFormat="1" ht="15" hidden="1" customHeight="1" x14ac:dyDescent="0.25">
      <c r="A78" s="215">
        <v>44759</v>
      </c>
      <c r="B78" s="364" t="s">
        <v>443</v>
      </c>
      <c r="C78" s="350" t="s">
        <v>12</v>
      </c>
      <c r="D78" s="350" t="s">
        <v>1493</v>
      </c>
      <c r="E78" s="875" t="s">
        <v>13</v>
      </c>
      <c r="F78" s="780">
        <v>17.91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982"/>
      <c r="R78" s="927"/>
      <c r="S78" s="927"/>
      <c r="T78" s="878"/>
    </row>
    <row r="79" spans="1:20" s="224" customFormat="1" ht="15" hidden="1" customHeight="1" x14ac:dyDescent="0.25">
      <c r="A79" s="215">
        <v>44760</v>
      </c>
      <c r="B79" s="364" t="s">
        <v>3325</v>
      </c>
      <c r="C79" s="350" t="s">
        <v>12</v>
      </c>
      <c r="D79" s="350" t="s">
        <v>1504</v>
      </c>
      <c r="E79" s="875" t="s">
        <v>13</v>
      </c>
      <c r="F79" s="780">
        <v>35</v>
      </c>
      <c r="G79" s="982"/>
      <c r="H79" s="622"/>
      <c r="I79" s="982"/>
      <c r="J79" s="622"/>
      <c r="K79" s="982"/>
      <c r="L79" s="622"/>
      <c r="M79" s="982"/>
      <c r="N79" s="622"/>
      <c r="O79" s="982">
        <v>485.17</v>
      </c>
      <c r="P79" s="622"/>
      <c r="Q79" s="982"/>
      <c r="R79" s="1080" t="s">
        <v>3404</v>
      </c>
      <c r="S79" s="927"/>
      <c r="T79" s="878"/>
    </row>
    <row r="80" spans="1:20" s="224" customFormat="1" ht="15" hidden="1" customHeight="1" x14ac:dyDescent="0.25">
      <c r="A80" s="215">
        <v>44760</v>
      </c>
      <c r="B80" s="364" t="s">
        <v>3405</v>
      </c>
      <c r="C80" s="350" t="s">
        <v>12</v>
      </c>
      <c r="D80" s="350" t="s">
        <v>1496</v>
      </c>
      <c r="E80" s="875" t="s">
        <v>13</v>
      </c>
      <c r="F80" s="780">
        <v>32</v>
      </c>
      <c r="G80" s="982"/>
      <c r="H80" s="622"/>
      <c r="I80" s="982"/>
      <c r="J80" s="622"/>
      <c r="K80" s="982"/>
      <c r="L80" s="622"/>
      <c r="M80" s="982"/>
      <c r="N80" s="622"/>
      <c r="O80" s="982"/>
      <c r="P80" s="622"/>
      <c r="Q80" s="982"/>
      <c r="R80" s="927"/>
      <c r="S80" s="927"/>
      <c r="T80" s="878"/>
    </row>
    <row r="81" spans="1:26" s="224" customFormat="1" ht="15" hidden="1" customHeight="1" x14ac:dyDescent="0.25">
      <c r="A81" s="215">
        <v>44760</v>
      </c>
      <c r="B81" s="882" t="s">
        <v>32</v>
      </c>
      <c r="C81" s="879" t="s">
        <v>12</v>
      </c>
      <c r="D81" s="879" t="s">
        <v>1485</v>
      </c>
      <c r="E81" s="875" t="s">
        <v>13</v>
      </c>
      <c r="F81" s="780">
        <v>18</v>
      </c>
      <c r="G81" s="982"/>
      <c r="H81" s="622"/>
      <c r="I81" s="982"/>
      <c r="J81" s="622"/>
      <c r="K81" s="982"/>
      <c r="L81" s="622"/>
      <c r="M81" s="982"/>
      <c r="N81" s="622"/>
      <c r="O81" s="982"/>
      <c r="P81" s="622"/>
      <c r="Q81" s="982"/>
      <c r="R81" s="927"/>
      <c r="S81" s="927"/>
      <c r="T81" s="878"/>
    </row>
    <row r="82" spans="1:26" s="224" customFormat="1" ht="15" hidden="1" customHeight="1" x14ac:dyDescent="0.25">
      <c r="A82" s="215">
        <v>44760</v>
      </c>
      <c r="B82" s="364" t="s">
        <v>3406</v>
      </c>
      <c r="C82" s="350" t="s">
        <v>12</v>
      </c>
      <c r="D82" s="350" t="s">
        <v>1524</v>
      </c>
      <c r="E82" s="875" t="s">
        <v>13</v>
      </c>
      <c r="F82" s="780">
        <v>10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982"/>
      <c r="R82" s="927"/>
      <c r="S82" s="927"/>
      <c r="T82" s="878"/>
    </row>
    <row r="83" spans="1:26" s="224" customFormat="1" ht="15" hidden="1" customHeight="1" x14ac:dyDescent="0.25">
      <c r="A83" s="215">
        <v>44761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18</v>
      </c>
      <c r="G83" s="982"/>
      <c r="H83" s="622"/>
      <c r="I83" s="982"/>
      <c r="J83" s="622"/>
      <c r="K83" s="982"/>
      <c r="L83" s="622"/>
      <c r="M83" s="982"/>
      <c r="N83" s="622"/>
      <c r="O83" s="982"/>
      <c r="P83" s="622"/>
      <c r="Q83" s="982"/>
      <c r="R83" s="927"/>
      <c r="S83" s="927"/>
      <c r="T83" s="878"/>
    </row>
    <row r="84" spans="1:26" s="224" customFormat="1" ht="15" hidden="1" customHeight="1" x14ac:dyDescent="0.25">
      <c r="A84" s="215">
        <v>44761</v>
      </c>
      <c r="B84" s="882" t="s">
        <v>138</v>
      </c>
      <c r="C84" s="879" t="s">
        <v>12</v>
      </c>
      <c r="D84" s="879" t="s">
        <v>2157</v>
      </c>
      <c r="E84" s="871" t="s">
        <v>13</v>
      </c>
      <c r="F84" s="780">
        <v>80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982"/>
      <c r="R84" s="927"/>
      <c r="S84" s="927"/>
      <c r="T84" s="878"/>
    </row>
    <row r="85" spans="1:26" s="224" customFormat="1" ht="15" hidden="1" customHeight="1" x14ac:dyDescent="0.25">
      <c r="A85" s="215">
        <v>44762</v>
      </c>
      <c r="B85" s="882" t="s">
        <v>3407</v>
      </c>
      <c r="C85" s="350" t="s">
        <v>12</v>
      </c>
      <c r="D85" s="350"/>
      <c r="E85" s="480" t="s">
        <v>25</v>
      </c>
      <c r="F85" s="622"/>
      <c r="G85" s="982">
        <v>2000</v>
      </c>
      <c r="H85" s="1008"/>
      <c r="I85" s="1063"/>
      <c r="J85" s="622"/>
      <c r="K85" s="982"/>
      <c r="L85" s="622"/>
      <c r="M85" s="982"/>
      <c r="N85" s="622"/>
      <c r="O85" s="982"/>
      <c r="P85" s="622"/>
      <c r="Q85" s="982"/>
      <c r="R85" s="861"/>
    </row>
    <row r="86" spans="1:26" s="224" customFormat="1" ht="15" hidden="1" customHeight="1" x14ac:dyDescent="0.25">
      <c r="A86" s="215">
        <v>44762</v>
      </c>
      <c r="B86" s="862" t="s">
        <v>2867</v>
      </c>
      <c r="C86" s="350" t="s">
        <v>12</v>
      </c>
      <c r="D86" s="874" t="s">
        <v>1504</v>
      </c>
      <c r="E86" s="887" t="s">
        <v>13</v>
      </c>
      <c r="F86" s="1107"/>
      <c r="G86" s="982"/>
      <c r="H86" s="1009"/>
      <c r="I86" s="1063"/>
      <c r="J86" s="853"/>
      <c r="K86" s="982"/>
      <c r="L86" s="853"/>
      <c r="M86" s="982"/>
      <c r="N86" s="622"/>
      <c r="O86" s="982"/>
      <c r="P86" s="622"/>
      <c r="Q86" s="982"/>
      <c r="R86" s="3166" t="s">
        <v>3362</v>
      </c>
      <c r="S86" s="3166"/>
      <c r="T86" s="3166"/>
      <c r="U86" s="3166"/>
      <c r="V86" s="3166"/>
      <c r="W86" s="3166"/>
      <c r="X86" s="3166"/>
      <c r="Y86" s="3166"/>
      <c r="Z86" s="3166"/>
    </row>
    <row r="87" spans="1:26" s="224" customFormat="1" hidden="1" x14ac:dyDescent="0.25">
      <c r="A87" s="215">
        <v>44762</v>
      </c>
      <c r="B87" s="364" t="s">
        <v>2977</v>
      </c>
      <c r="C87" s="350" t="s">
        <v>12</v>
      </c>
      <c r="D87" s="350" t="s">
        <v>1491</v>
      </c>
      <c r="E87" s="875" t="s">
        <v>13</v>
      </c>
      <c r="F87" s="1047">
        <v>300</v>
      </c>
      <c r="G87" s="982"/>
      <c r="H87" s="1008"/>
      <c r="I87" s="1063"/>
      <c r="J87" s="622"/>
      <c r="K87" s="982"/>
      <c r="L87" s="622"/>
      <c r="M87" s="982"/>
      <c r="N87" s="622"/>
      <c r="O87" s="982"/>
      <c r="P87" s="622"/>
      <c r="Q87" s="982"/>
      <c r="R87" s="1029"/>
      <c r="S87" s="89"/>
      <c r="T87" s="930"/>
    </row>
    <row r="88" spans="1:26" s="224" customFormat="1" ht="15" hidden="1" customHeight="1" x14ac:dyDescent="0.25">
      <c r="A88" s="215">
        <v>44762</v>
      </c>
      <c r="B88" s="349" t="s">
        <v>3408</v>
      </c>
      <c r="C88" s="887" t="s">
        <v>12</v>
      </c>
      <c r="D88" s="350" t="s">
        <v>1525</v>
      </c>
      <c r="E88" s="887" t="s">
        <v>13</v>
      </c>
      <c r="F88" s="613">
        <v>250</v>
      </c>
      <c r="G88" s="982"/>
      <c r="H88" s="872"/>
      <c r="I88" s="1063"/>
      <c r="J88" s="622"/>
      <c r="K88" s="982"/>
      <c r="L88" s="622"/>
      <c r="M88" s="982"/>
      <c r="N88" s="622"/>
      <c r="O88" s="982"/>
      <c r="P88" s="622"/>
      <c r="Q88" s="982"/>
      <c r="R88" s="927"/>
      <c r="S88" s="999"/>
      <c r="T88" s="878"/>
    </row>
    <row r="89" spans="1:26" s="224" customFormat="1" ht="15" hidden="1" customHeight="1" x14ac:dyDescent="0.25">
      <c r="A89" s="215">
        <v>44762</v>
      </c>
      <c r="B89" s="349" t="s">
        <v>3408</v>
      </c>
      <c r="C89" s="887" t="s">
        <v>12</v>
      </c>
      <c r="D89" s="1005" t="s">
        <v>1525</v>
      </c>
      <c r="E89" s="887" t="s">
        <v>13</v>
      </c>
      <c r="F89" s="1116">
        <v>5.75</v>
      </c>
      <c r="G89" s="982"/>
      <c r="H89" s="872"/>
      <c r="I89" s="1063"/>
      <c r="J89" s="622"/>
      <c r="K89" s="982"/>
      <c r="L89" s="622"/>
      <c r="M89" s="982"/>
      <c r="N89" s="622"/>
      <c r="O89" s="982"/>
      <c r="P89" s="622"/>
      <c r="Q89" s="982"/>
      <c r="R89" s="927"/>
      <c r="S89" s="999"/>
      <c r="T89" s="878"/>
    </row>
    <row r="90" spans="1:26" s="224" customFormat="1" ht="15" hidden="1" customHeight="1" x14ac:dyDescent="0.25">
      <c r="A90" s="215">
        <v>44762</v>
      </c>
      <c r="B90" s="349" t="s">
        <v>3408</v>
      </c>
      <c r="C90" s="887" t="s">
        <v>12</v>
      </c>
      <c r="D90" s="350" t="s">
        <v>1504</v>
      </c>
      <c r="E90" s="887" t="s">
        <v>13</v>
      </c>
      <c r="F90" s="613">
        <v>53.5</v>
      </c>
      <c r="G90" s="982"/>
      <c r="H90" s="872"/>
      <c r="I90" s="1063"/>
      <c r="J90" s="622"/>
      <c r="K90" s="982"/>
      <c r="L90" s="622"/>
      <c r="M90" s="982"/>
      <c r="N90" s="622"/>
      <c r="O90" s="982"/>
      <c r="P90" s="622"/>
      <c r="Q90" s="982"/>
      <c r="R90" s="927"/>
      <c r="S90" s="999"/>
      <c r="T90" s="878"/>
    </row>
    <row r="91" spans="1:26" s="224" customFormat="1" ht="15" customHeight="1" x14ac:dyDescent="0.25">
      <c r="A91" s="215">
        <v>44762</v>
      </c>
      <c r="B91" s="349" t="s">
        <v>3408</v>
      </c>
      <c r="C91" s="887" t="s">
        <v>12</v>
      </c>
      <c r="D91" s="1005" t="s">
        <v>1522</v>
      </c>
      <c r="E91" s="887" t="s">
        <v>13</v>
      </c>
      <c r="F91" s="1116">
        <v>49.94</v>
      </c>
      <c r="G91" s="982"/>
      <c r="H91" s="872"/>
      <c r="I91" s="1063"/>
      <c r="J91" s="622"/>
      <c r="K91" s="982"/>
      <c r="L91" s="622"/>
      <c r="M91" s="982"/>
      <c r="N91" s="622"/>
      <c r="O91" s="982"/>
      <c r="P91" s="622"/>
      <c r="Q91" s="982"/>
      <c r="R91" s="927"/>
      <c r="S91" s="999"/>
      <c r="T91" s="878"/>
    </row>
    <row r="92" spans="1:26" s="224" customFormat="1" ht="15" customHeight="1" x14ac:dyDescent="0.25">
      <c r="A92" s="215">
        <v>44762</v>
      </c>
      <c r="B92" s="349" t="s">
        <v>3408</v>
      </c>
      <c r="C92" s="887" t="s">
        <v>12</v>
      </c>
      <c r="D92" s="350" t="s">
        <v>1522</v>
      </c>
      <c r="E92" s="887" t="s">
        <v>13</v>
      </c>
      <c r="F92" s="613">
        <v>46.19</v>
      </c>
      <c r="G92" s="982"/>
      <c r="H92" s="872"/>
      <c r="I92" s="1063"/>
      <c r="J92" s="622"/>
      <c r="K92" s="982"/>
      <c r="L92" s="622"/>
      <c r="M92" s="982"/>
      <c r="N92" s="622"/>
      <c r="O92" s="982"/>
      <c r="P92" s="622"/>
      <c r="Q92" s="982"/>
      <c r="R92" s="927"/>
      <c r="S92" s="999"/>
      <c r="T92" s="878"/>
    </row>
    <row r="93" spans="1:26" s="224" customFormat="1" ht="15" hidden="1" customHeight="1" x14ac:dyDescent="0.25">
      <c r="A93" s="215">
        <v>44762</v>
      </c>
      <c r="B93" s="349" t="s">
        <v>3408</v>
      </c>
      <c r="C93" s="887" t="s">
        <v>12</v>
      </c>
      <c r="D93" s="1005" t="s">
        <v>1524</v>
      </c>
      <c r="E93" s="887" t="s">
        <v>13</v>
      </c>
      <c r="F93" s="1116">
        <v>16.599999999999998</v>
      </c>
      <c r="G93" s="982"/>
      <c r="H93" s="872"/>
      <c r="I93" s="1063"/>
      <c r="J93" s="622"/>
      <c r="K93" s="982"/>
      <c r="L93" s="622"/>
      <c r="M93" s="982"/>
      <c r="N93" s="622"/>
      <c r="O93" s="982"/>
      <c r="P93" s="622"/>
      <c r="Q93" s="982"/>
      <c r="R93" s="927"/>
      <c r="S93" s="999"/>
      <c r="T93" s="878"/>
    </row>
    <row r="94" spans="1:26" s="224" customFormat="1" ht="15" customHeight="1" x14ac:dyDescent="0.25">
      <c r="A94" s="215">
        <v>44762</v>
      </c>
      <c r="B94" s="349" t="s">
        <v>3408</v>
      </c>
      <c r="C94" s="887" t="s">
        <v>12</v>
      </c>
      <c r="D94" s="1005" t="s">
        <v>1522</v>
      </c>
      <c r="E94" s="887" t="s">
        <v>13</v>
      </c>
      <c r="F94" s="1116">
        <v>85</v>
      </c>
      <c r="G94" s="982"/>
      <c r="H94" s="872"/>
      <c r="I94" s="1063"/>
      <c r="J94" s="622"/>
      <c r="K94" s="982"/>
      <c r="L94" s="622"/>
      <c r="M94" s="982"/>
      <c r="N94" s="622"/>
      <c r="O94" s="982"/>
      <c r="P94" s="622"/>
      <c r="Q94" s="982"/>
      <c r="R94" s="927"/>
      <c r="S94" s="999"/>
      <c r="T94" s="878"/>
    </row>
    <row r="95" spans="1:26" s="224" customFormat="1" ht="15" hidden="1" customHeight="1" x14ac:dyDescent="0.25">
      <c r="A95" s="215">
        <v>44762</v>
      </c>
      <c r="B95" s="882" t="s">
        <v>3409</v>
      </c>
      <c r="C95" s="879" t="s">
        <v>12</v>
      </c>
      <c r="D95" s="879" t="s">
        <v>1499</v>
      </c>
      <c r="E95" s="871" t="s">
        <v>13</v>
      </c>
      <c r="F95" s="780">
        <v>36.619999999999997</v>
      </c>
      <c r="G95" s="982"/>
      <c r="H95" s="1008"/>
      <c r="I95" s="1063"/>
      <c r="J95" s="622"/>
      <c r="K95" s="982"/>
      <c r="L95" s="622"/>
      <c r="M95" s="982"/>
      <c r="N95" s="622"/>
      <c r="O95" s="982"/>
      <c r="P95" s="622"/>
      <c r="Q95" s="982"/>
      <c r="R95" s="861"/>
      <c r="T95" s="1123"/>
      <c r="U95" s="999"/>
    </row>
    <row r="96" spans="1:26" s="224" customFormat="1" ht="15" hidden="1" customHeight="1" x14ac:dyDescent="0.25">
      <c r="A96" s="215">
        <v>44762</v>
      </c>
      <c r="B96" s="882" t="s">
        <v>3410</v>
      </c>
      <c r="C96" s="879" t="s">
        <v>19</v>
      </c>
      <c r="D96" s="879" t="s">
        <v>1506</v>
      </c>
      <c r="E96" s="875" t="s">
        <v>13</v>
      </c>
      <c r="F96" s="780">
        <v>100</v>
      </c>
      <c r="G96" s="982"/>
      <c r="H96" s="622"/>
      <c r="I96" s="982"/>
      <c r="J96" s="622"/>
      <c r="K96" s="982"/>
      <c r="L96" s="622"/>
      <c r="M96" s="982"/>
      <c r="N96" s="622"/>
      <c r="O96" s="982"/>
      <c r="P96" s="622"/>
      <c r="Q96" s="982"/>
      <c r="R96" s="927"/>
      <c r="T96" s="878"/>
    </row>
    <row r="97" spans="1:21" s="224" customFormat="1" ht="15" hidden="1" customHeight="1" x14ac:dyDescent="0.25">
      <c r="A97" s="215">
        <v>44762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9</v>
      </c>
      <c r="G97" s="982"/>
      <c r="H97" s="622"/>
      <c r="I97" s="982"/>
      <c r="J97" s="622"/>
      <c r="K97" s="982"/>
      <c r="L97" s="622"/>
      <c r="M97" s="982"/>
      <c r="N97" s="622"/>
      <c r="O97" s="982"/>
      <c r="P97" s="622"/>
      <c r="Q97" s="982"/>
      <c r="R97" s="927"/>
      <c r="S97" s="927"/>
      <c r="T97" s="878"/>
    </row>
    <row r="98" spans="1:21" s="224" customFormat="1" ht="15" hidden="1" customHeight="1" x14ac:dyDescent="0.25">
      <c r="A98" s="215">
        <v>44762</v>
      </c>
      <c r="B98" s="882" t="s">
        <v>2230</v>
      </c>
      <c r="C98" s="879" t="s">
        <v>12</v>
      </c>
      <c r="D98" s="879" t="s">
        <v>1491</v>
      </c>
      <c r="E98" s="875" t="s">
        <v>13</v>
      </c>
      <c r="F98" s="780">
        <v>40</v>
      </c>
      <c r="G98" s="982"/>
      <c r="H98" s="622"/>
      <c r="I98" s="982"/>
      <c r="J98" s="622"/>
      <c r="K98" s="982"/>
      <c r="L98" s="622"/>
      <c r="M98" s="982"/>
      <c r="N98" s="880"/>
      <c r="O98" s="1033"/>
      <c r="P98" s="880"/>
      <c r="Q98" s="1033"/>
      <c r="R98" s="927"/>
      <c r="T98" s="878"/>
    </row>
    <row r="99" spans="1:21" s="224" customFormat="1" ht="15" hidden="1" customHeight="1" x14ac:dyDescent="0.25">
      <c r="A99" s="215">
        <v>44762</v>
      </c>
      <c r="B99" s="882" t="s">
        <v>17</v>
      </c>
      <c r="C99" s="879" t="s">
        <v>12</v>
      </c>
      <c r="D99" s="879" t="s">
        <v>1493</v>
      </c>
      <c r="E99" s="875" t="s">
        <v>13</v>
      </c>
      <c r="F99" s="780">
        <v>5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982"/>
      <c r="R99" s="867"/>
    </row>
    <row r="100" spans="1:21" s="224" customFormat="1" ht="15" hidden="1" customHeight="1" x14ac:dyDescent="0.25">
      <c r="A100" s="215">
        <v>44762</v>
      </c>
      <c r="B100" s="882" t="s">
        <v>3411</v>
      </c>
      <c r="C100" s="879" t="s">
        <v>12</v>
      </c>
      <c r="D100" s="879" t="s">
        <v>1524</v>
      </c>
      <c r="E100" s="875" t="s">
        <v>15</v>
      </c>
      <c r="F100" s="780">
        <v>50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622"/>
      <c r="Q100" s="982"/>
      <c r="R100" s="867"/>
    </row>
    <row r="101" spans="1:21" s="224" customFormat="1" ht="15" hidden="1" customHeight="1" x14ac:dyDescent="0.25">
      <c r="A101" s="215">
        <v>44762</v>
      </c>
      <c r="B101" s="364" t="s">
        <v>14</v>
      </c>
      <c r="C101" s="350" t="s">
        <v>12</v>
      </c>
      <c r="D101" s="350" t="s">
        <v>1486</v>
      </c>
      <c r="E101" s="875" t="s">
        <v>13</v>
      </c>
      <c r="F101" s="780">
        <v>10.36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622"/>
      <c r="Q101" s="982"/>
      <c r="R101" s="927"/>
      <c r="S101" s="927"/>
      <c r="T101" s="878"/>
    </row>
    <row r="102" spans="1:21" s="224" customFormat="1" ht="15" hidden="1" customHeight="1" x14ac:dyDescent="0.25">
      <c r="A102" s="215">
        <v>44763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18</v>
      </c>
      <c r="G102" s="982"/>
      <c r="H102" s="622"/>
      <c r="I102" s="982"/>
      <c r="J102" s="622"/>
      <c r="K102" s="982"/>
      <c r="L102" s="622"/>
      <c r="M102" s="982"/>
      <c r="N102" s="622"/>
      <c r="O102" s="982"/>
      <c r="P102" s="622"/>
      <c r="Q102" s="982"/>
      <c r="R102" s="927"/>
      <c r="S102" s="927"/>
      <c r="T102" s="878"/>
    </row>
    <row r="103" spans="1:21" s="224" customFormat="1" ht="15" hidden="1" customHeight="1" x14ac:dyDescent="0.25">
      <c r="A103" s="215">
        <v>44763</v>
      </c>
      <c r="B103" s="882" t="s">
        <v>2300</v>
      </c>
      <c r="C103" s="879" t="s">
        <v>12</v>
      </c>
      <c r="D103" s="879" t="s">
        <v>1493</v>
      </c>
      <c r="E103" s="875" t="s">
        <v>13</v>
      </c>
      <c r="F103" s="780">
        <v>5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982"/>
      <c r="R103" s="927"/>
      <c r="S103" s="927"/>
      <c r="T103" s="878"/>
    </row>
    <row r="104" spans="1:21" s="224" customFormat="1" ht="15" hidden="1" customHeight="1" x14ac:dyDescent="0.25">
      <c r="A104" s="215">
        <v>44764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82"/>
      <c r="H104" s="622"/>
      <c r="I104" s="982"/>
      <c r="J104" s="622"/>
      <c r="K104" s="982"/>
      <c r="L104" s="622"/>
      <c r="M104" s="982"/>
      <c r="N104" s="622"/>
      <c r="O104" s="982"/>
      <c r="P104" s="622"/>
      <c r="Q104" s="982"/>
      <c r="R104" s="927"/>
      <c r="S104" s="927"/>
      <c r="T104" s="878"/>
    </row>
    <row r="105" spans="1:21" s="224" customFormat="1" ht="15" hidden="1" customHeight="1" x14ac:dyDescent="0.25">
      <c r="A105" s="215">
        <v>44764</v>
      </c>
      <c r="B105" s="882" t="s">
        <v>82</v>
      </c>
      <c r="C105" s="879" t="s">
        <v>12</v>
      </c>
      <c r="D105" s="879" t="s">
        <v>1493</v>
      </c>
      <c r="E105" s="871" t="s">
        <v>13</v>
      </c>
      <c r="F105" s="780">
        <v>30.79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982"/>
      <c r="R105" s="861"/>
    </row>
    <row r="106" spans="1:21" s="224" customFormat="1" ht="15" hidden="1" customHeight="1" x14ac:dyDescent="0.25">
      <c r="A106" s="215">
        <v>44765</v>
      </c>
      <c r="B106" s="882" t="s">
        <v>3412</v>
      </c>
      <c r="C106" s="879" t="s">
        <v>12</v>
      </c>
      <c r="D106" s="879" t="s">
        <v>1491</v>
      </c>
      <c r="E106" s="875" t="s">
        <v>13</v>
      </c>
      <c r="F106" s="780">
        <v>36.5</v>
      </c>
      <c r="G106" s="982"/>
      <c r="H106" s="622"/>
      <c r="I106" s="982"/>
      <c r="J106" s="622"/>
      <c r="K106" s="982"/>
      <c r="L106" s="622"/>
      <c r="M106" s="982"/>
      <c r="N106" s="880"/>
      <c r="O106" s="982">
        <v>121.05</v>
      </c>
      <c r="P106" s="622"/>
      <c r="Q106" s="982"/>
      <c r="R106" s="1080" t="s">
        <v>3413</v>
      </c>
      <c r="T106" s="878"/>
    </row>
    <row r="107" spans="1:21" s="224" customFormat="1" ht="15" hidden="1" customHeight="1" x14ac:dyDescent="0.25">
      <c r="A107" s="215">
        <v>44765</v>
      </c>
      <c r="B107" s="882" t="s">
        <v>80</v>
      </c>
      <c r="C107" s="879" t="s">
        <v>19</v>
      </c>
      <c r="D107" s="879" t="s">
        <v>1523</v>
      </c>
      <c r="E107" s="871" t="s">
        <v>13</v>
      </c>
      <c r="F107" s="780">
        <v>40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622"/>
      <c r="Q107" s="982"/>
      <c r="R107" s="861"/>
    </row>
    <row r="108" spans="1:21" s="224" customFormat="1" ht="15" hidden="1" customHeight="1" x14ac:dyDescent="0.25">
      <c r="A108" s="215">
        <v>44765</v>
      </c>
      <c r="B108" s="882" t="s">
        <v>3322</v>
      </c>
      <c r="C108" s="879" t="s">
        <v>19</v>
      </c>
      <c r="D108" s="879" t="s">
        <v>1489</v>
      </c>
      <c r="E108" s="871" t="s">
        <v>13</v>
      </c>
      <c r="F108" s="780">
        <v>60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982"/>
      <c r="R108" s="861"/>
    </row>
    <row r="109" spans="1:21" s="224" customFormat="1" ht="15" hidden="1" customHeight="1" x14ac:dyDescent="0.25">
      <c r="A109" s="215">
        <v>44765</v>
      </c>
      <c r="B109" s="882" t="s">
        <v>3414</v>
      </c>
      <c r="C109" s="879" t="s">
        <v>12</v>
      </c>
      <c r="D109" s="879" t="s">
        <v>1493</v>
      </c>
      <c r="E109" s="871" t="s">
        <v>13</v>
      </c>
      <c r="F109" s="780">
        <v>35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622"/>
      <c r="Q109" s="982"/>
      <c r="R109" s="861"/>
    </row>
    <row r="110" spans="1:21" s="224" customFormat="1" ht="15" hidden="1" customHeight="1" x14ac:dyDescent="0.25">
      <c r="A110" s="215">
        <v>44766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780">
        <v>7.88</v>
      </c>
      <c r="G110" s="982"/>
      <c r="H110" s="1008"/>
      <c r="I110" s="1063"/>
      <c r="J110" s="622"/>
      <c r="K110" s="982"/>
      <c r="L110" s="622"/>
      <c r="M110" s="982"/>
      <c r="N110" s="622"/>
      <c r="O110" s="982"/>
      <c r="P110" s="622"/>
      <c r="Q110" s="982"/>
      <c r="R110" s="1028"/>
      <c r="U110" s="958"/>
    </row>
    <row r="111" spans="1:21" s="224" customFormat="1" ht="15" hidden="1" customHeight="1" x14ac:dyDescent="0.25">
      <c r="A111" s="215">
        <v>44767</v>
      </c>
      <c r="B111" s="862" t="s">
        <v>3330</v>
      </c>
      <c r="C111" s="879" t="s">
        <v>12</v>
      </c>
      <c r="D111" s="879" t="s">
        <v>1504</v>
      </c>
      <c r="E111" s="871" t="s">
        <v>13</v>
      </c>
      <c r="F111" s="622">
        <v>25.9</v>
      </c>
      <c r="G111" s="1034"/>
      <c r="H111" s="1008"/>
      <c r="I111" s="1063"/>
      <c r="J111" s="622"/>
      <c r="K111" s="982"/>
      <c r="L111" s="622"/>
      <c r="M111" s="982"/>
      <c r="N111" s="622"/>
      <c r="O111" s="982"/>
      <c r="P111" s="622"/>
      <c r="Q111" s="982"/>
      <c r="R111" s="475"/>
      <c r="T111" s="878"/>
    </row>
    <row r="112" spans="1:21" s="224" customFormat="1" ht="15" hidden="1" customHeight="1" x14ac:dyDescent="0.25">
      <c r="A112" s="215">
        <v>44767</v>
      </c>
      <c r="B112" s="882" t="s">
        <v>32</v>
      </c>
      <c r="C112" s="879" t="s">
        <v>12</v>
      </c>
      <c r="D112" s="879" t="s">
        <v>1485</v>
      </c>
      <c r="E112" s="875" t="s">
        <v>13</v>
      </c>
      <c r="F112" s="780">
        <v>18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622"/>
      <c r="Q112" s="982"/>
      <c r="R112" s="927"/>
      <c r="S112" s="927"/>
      <c r="T112" s="878"/>
    </row>
    <row r="113" spans="1:21" s="224" customFormat="1" ht="15" hidden="1" customHeight="1" x14ac:dyDescent="0.25">
      <c r="A113" s="215">
        <v>44767</v>
      </c>
      <c r="B113" s="882" t="s">
        <v>138</v>
      </c>
      <c r="C113" s="879" t="s">
        <v>12</v>
      </c>
      <c r="D113" s="879" t="s">
        <v>2157</v>
      </c>
      <c r="E113" s="871" t="s">
        <v>13</v>
      </c>
      <c r="F113" s="780">
        <v>120</v>
      </c>
      <c r="G113" s="982"/>
      <c r="H113" s="622"/>
      <c r="I113" s="982"/>
      <c r="J113" s="622"/>
      <c r="K113" s="982"/>
      <c r="L113" s="622"/>
      <c r="M113" s="982"/>
      <c r="N113" s="622"/>
      <c r="O113" s="982"/>
      <c r="P113" s="622"/>
      <c r="Q113" s="982"/>
      <c r="R113" s="927"/>
      <c r="S113" s="927"/>
      <c r="T113" s="878"/>
    </row>
    <row r="114" spans="1:21" s="224" customFormat="1" ht="15" hidden="1" customHeight="1" x14ac:dyDescent="0.25">
      <c r="A114" s="215">
        <v>44767</v>
      </c>
      <c r="B114" s="364" t="s">
        <v>81</v>
      </c>
      <c r="C114" s="350" t="s">
        <v>12</v>
      </c>
      <c r="D114" s="350" t="s">
        <v>1493</v>
      </c>
      <c r="E114" s="875" t="s">
        <v>13</v>
      </c>
      <c r="F114" s="780">
        <v>5.73</v>
      </c>
      <c r="G114" s="982"/>
      <c r="H114" s="1008"/>
      <c r="I114" s="1063"/>
      <c r="J114" s="622"/>
      <c r="K114" s="982"/>
      <c r="L114" s="622"/>
      <c r="M114" s="982"/>
      <c r="N114" s="1110"/>
      <c r="O114" s="1208"/>
      <c r="P114" s="1110"/>
      <c r="Q114" s="1208"/>
      <c r="R114" s="1028"/>
      <c r="U114" s="958"/>
    </row>
    <row r="115" spans="1:21" s="224" customFormat="1" ht="15" hidden="1" customHeight="1" x14ac:dyDescent="0.25">
      <c r="A115" s="215">
        <v>44768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9</v>
      </c>
      <c r="G115" s="982"/>
      <c r="H115" s="622"/>
      <c r="I115" s="982"/>
      <c r="J115" s="622"/>
      <c r="K115" s="982"/>
      <c r="L115" s="622"/>
      <c r="M115" s="982"/>
      <c r="N115" s="622"/>
      <c r="O115" s="982"/>
      <c r="P115" s="622"/>
      <c r="Q115" s="982"/>
      <c r="R115" s="927"/>
      <c r="S115" s="927"/>
      <c r="T115" s="878"/>
    </row>
    <row r="116" spans="1:21" s="224" customFormat="1" ht="15" hidden="1" customHeight="1" x14ac:dyDescent="0.25">
      <c r="A116" s="215">
        <v>44768</v>
      </c>
      <c r="B116" s="364" t="s">
        <v>14</v>
      </c>
      <c r="C116" s="350" t="s">
        <v>12</v>
      </c>
      <c r="D116" s="350" t="s">
        <v>1486</v>
      </c>
      <c r="E116" s="875" t="s">
        <v>13</v>
      </c>
      <c r="F116" s="780">
        <v>9.82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622"/>
      <c r="Q116" s="982"/>
      <c r="R116" s="1028"/>
      <c r="U116" s="958"/>
    </row>
    <row r="117" spans="1:21" s="224" customFormat="1" ht="15" hidden="1" customHeight="1" x14ac:dyDescent="0.25">
      <c r="A117" s="215">
        <v>44769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18</v>
      </c>
      <c r="G117" s="982"/>
      <c r="H117" s="622"/>
      <c r="I117" s="982"/>
      <c r="J117" s="622"/>
      <c r="K117" s="982"/>
      <c r="L117" s="622"/>
      <c r="M117" s="982"/>
      <c r="N117" s="622"/>
      <c r="O117" s="982"/>
      <c r="P117" s="622"/>
      <c r="Q117" s="982"/>
      <c r="R117" s="927"/>
      <c r="S117" s="927"/>
      <c r="T117" s="878"/>
    </row>
    <row r="118" spans="1:21" s="224" customFormat="1" ht="15" hidden="1" customHeight="1" x14ac:dyDescent="0.25">
      <c r="A118" s="215">
        <v>44769</v>
      </c>
      <c r="B118" s="882" t="s">
        <v>17</v>
      </c>
      <c r="C118" s="879" t="s">
        <v>12</v>
      </c>
      <c r="D118" s="879" t="s">
        <v>1493</v>
      </c>
      <c r="E118" s="875" t="s">
        <v>13</v>
      </c>
      <c r="F118" s="780">
        <v>5</v>
      </c>
      <c r="G118" s="946"/>
      <c r="H118" s="95"/>
      <c r="I118" s="1064"/>
      <c r="J118" s="622"/>
      <c r="K118" s="982"/>
      <c r="L118" s="622"/>
      <c r="M118" s="982"/>
      <c r="N118" s="622"/>
      <c r="O118" s="982"/>
      <c r="P118" s="622"/>
      <c r="Q118" s="982"/>
      <c r="R118" s="867"/>
    </row>
    <row r="119" spans="1:21" s="224" customFormat="1" ht="15" hidden="1" customHeight="1" x14ac:dyDescent="0.25">
      <c r="A119" s="215">
        <v>44769</v>
      </c>
      <c r="B119" s="364" t="s">
        <v>81</v>
      </c>
      <c r="C119" s="350" t="s">
        <v>12</v>
      </c>
      <c r="D119" s="350" t="s">
        <v>1493</v>
      </c>
      <c r="E119" s="875" t="s">
        <v>13</v>
      </c>
      <c r="F119" s="780">
        <v>5.73</v>
      </c>
      <c r="G119" s="982"/>
      <c r="H119" s="1008"/>
      <c r="I119" s="1063"/>
      <c r="J119" s="622"/>
      <c r="K119" s="982"/>
      <c r="L119" s="622"/>
      <c r="M119" s="982"/>
      <c r="N119" s="622"/>
      <c r="O119" s="982"/>
      <c r="P119" s="622"/>
      <c r="Q119" s="982"/>
      <c r="R119" s="1028"/>
      <c r="U119" s="958"/>
    </row>
    <row r="120" spans="1:21" s="224" customFormat="1" ht="15" hidden="1" customHeight="1" x14ac:dyDescent="0.25">
      <c r="A120" s="215">
        <v>44769</v>
      </c>
      <c r="B120" s="882" t="s">
        <v>3415</v>
      </c>
      <c r="C120" s="879" t="s">
        <v>12</v>
      </c>
      <c r="D120" s="879"/>
      <c r="E120" s="871" t="s">
        <v>25</v>
      </c>
      <c r="F120" s="780"/>
      <c r="G120" s="982"/>
      <c r="H120" s="622"/>
      <c r="I120" s="982"/>
      <c r="J120" s="622"/>
      <c r="K120" s="982"/>
      <c r="L120" s="622"/>
      <c r="M120" s="982"/>
      <c r="N120" s="622"/>
      <c r="O120" s="982"/>
      <c r="P120" s="622"/>
      <c r="Q120" s="982">
        <v>1249.04</v>
      </c>
      <c r="R120" s="1028"/>
      <c r="S120" s="959"/>
      <c r="T120" s="878"/>
      <c r="U120" s="958"/>
    </row>
    <row r="121" spans="1:21" s="224" customFormat="1" ht="15" hidden="1" customHeight="1" x14ac:dyDescent="0.25">
      <c r="A121" s="215">
        <v>44770</v>
      </c>
      <c r="B121" s="882" t="s">
        <v>32</v>
      </c>
      <c r="C121" s="879" t="s">
        <v>12</v>
      </c>
      <c r="D121" s="879" t="s">
        <v>1485</v>
      </c>
      <c r="E121" s="875" t="s">
        <v>13</v>
      </c>
      <c r="F121" s="780">
        <v>18</v>
      </c>
      <c r="G121" s="982"/>
      <c r="H121" s="622"/>
      <c r="I121" s="982"/>
      <c r="J121" s="622"/>
      <c r="K121" s="982"/>
      <c r="L121" s="622"/>
      <c r="M121" s="982"/>
      <c r="N121" s="622"/>
      <c r="O121" s="982"/>
      <c r="P121" s="622"/>
      <c r="Q121" s="982"/>
      <c r="R121" s="927"/>
      <c r="S121" s="927"/>
      <c r="T121" s="878"/>
    </row>
    <row r="122" spans="1:21" s="224" customFormat="1" ht="15" hidden="1" customHeight="1" x14ac:dyDescent="0.25">
      <c r="A122" s="215">
        <v>44770</v>
      </c>
      <c r="B122" s="364" t="s">
        <v>3416</v>
      </c>
      <c r="C122" s="350" t="s">
        <v>12</v>
      </c>
      <c r="D122" s="350" t="s">
        <v>1506</v>
      </c>
      <c r="E122" s="875" t="s">
        <v>13</v>
      </c>
      <c r="F122" s="780">
        <v>33</v>
      </c>
      <c r="G122" s="982"/>
      <c r="H122" s="1008"/>
      <c r="I122" s="1063"/>
      <c r="J122" s="622"/>
      <c r="K122" s="982"/>
      <c r="L122" s="622"/>
      <c r="M122" s="982"/>
      <c r="N122" s="622"/>
      <c r="O122" s="982"/>
      <c r="P122" s="622"/>
      <c r="Q122" s="982"/>
      <c r="R122" s="861"/>
      <c r="T122" s="1035"/>
    </row>
    <row r="123" spans="1:21" s="224" customFormat="1" ht="15" hidden="1" customHeight="1" x14ac:dyDescent="0.25">
      <c r="A123" s="215">
        <v>44770</v>
      </c>
      <c r="B123" s="364" t="s">
        <v>3417</v>
      </c>
      <c r="C123" s="350" t="s">
        <v>12</v>
      </c>
      <c r="D123" s="350" t="s">
        <v>1491</v>
      </c>
      <c r="E123" s="875"/>
      <c r="F123" s="780">
        <v>10.9</v>
      </c>
      <c r="G123" s="982"/>
      <c r="H123" s="1008"/>
      <c r="I123" s="1063"/>
      <c r="J123" s="622"/>
      <c r="K123" s="982"/>
      <c r="L123" s="622"/>
      <c r="M123" s="982"/>
      <c r="N123" s="622"/>
      <c r="O123" s="982"/>
      <c r="P123" s="622"/>
      <c r="Q123" s="982"/>
      <c r="R123" s="861"/>
      <c r="T123" s="1035"/>
    </row>
    <row r="124" spans="1:21" s="224" customFormat="1" ht="15" hidden="1" customHeight="1" x14ac:dyDescent="0.25">
      <c r="A124" s="215">
        <v>44770</v>
      </c>
      <c r="B124" s="364" t="s">
        <v>14</v>
      </c>
      <c r="C124" s="350" t="s">
        <v>12</v>
      </c>
      <c r="D124" s="350" t="s">
        <v>1486</v>
      </c>
      <c r="E124" s="875" t="s">
        <v>13</v>
      </c>
      <c r="F124" s="780">
        <v>5</v>
      </c>
      <c r="G124" s="982"/>
      <c r="H124" s="1008"/>
      <c r="I124" s="1063"/>
      <c r="J124" s="622"/>
      <c r="K124" s="982"/>
      <c r="L124" s="622"/>
      <c r="M124" s="982"/>
      <c r="N124" s="622"/>
      <c r="O124" s="982"/>
      <c r="P124" s="622"/>
      <c r="Q124" s="982"/>
      <c r="R124" s="861"/>
      <c r="T124" s="1035"/>
    </row>
    <row r="125" spans="1:21" s="224" customFormat="1" ht="15" hidden="1" customHeight="1" x14ac:dyDescent="0.25">
      <c r="A125" s="215">
        <v>44771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18</v>
      </c>
      <c r="G125" s="982"/>
      <c r="H125" s="622"/>
      <c r="I125" s="982"/>
      <c r="J125" s="622"/>
      <c r="K125" s="982"/>
      <c r="L125" s="622"/>
      <c r="M125" s="982"/>
      <c r="N125" s="622"/>
      <c r="O125" s="982"/>
      <c r="P125" s="622"/>
      <c r="Q125" s="982"/>
      <c r="R125" s="927"/>
      <c r="S125" s="927"/>
      <c r="T125" s="878"/>
    </row>
    <row r="126" spans="1:21" s="224" customFormat="1" ht="15" hidden="1" customHeight="1" x14ac:dyDescent="0.25">
      <c r="A126" s="215">
        <v>44772</v>
      </c>
      <c r="B126" s="882" t="s">
        <v>256</v>
      </c>
      <c r="C126" s="879"/>
      <c r="D126" s="879"/>
      <c r="E126" s="875" t="s">
        <v>25</v>
      </c>
      <c r="F126" s="780"/>
      <c r="G126" s="982">
        <v>240</v>
      </c>
      <c r="H126" s="1060">
        <v>240</v>
      </c>
      <c r="I126" s="1033"/>
      <c r="J126" s="880"/>
      <c r="K126" s="1033"/>
      <c r="L126" s="880"/>
      <c r="M126" s="1033"/>
      <c r="N126" s="880"/>
      <c r="O126" s="1033"/>
      <c r="P126" s="880"/>
      <c r="Q126" s="1033"/>
      <c r="R126" s="1080"/>
      <c r="S126" s="927"/>
      <c r="T126" s="878"/>
    </row>
    <row r="127" spans="1:21" s="224" customFormat="1" ht="15" hidden="1" customHeight="1" x14ac:dyDescent="0.25">
      <c r="A127" s="215">
        <v>44772</v>
      </c>
      <c r="B127" s="364" t="s">
        <v>14</v>
      </c>
      <c r="C127" s="350" t="s">
        <v>12</v>
      </c>
      <c r="D127" s="350" t="s">
        <v>1486</v>
      </c>
      <c r="E127" s="875" t="s">
        <v>13</v>
      </c>
      <c r="F127" s="780">
        <v>7.7</v>
      </c>
      <c r="G127" s="946"/>
      <c r="H127" s="95"/>
      <c r="I127" s="1064"/>
      <c r="J127" s="622"/>
      <c r="K127" s="982"/>
      <c r="L127" s="622"/>
      <c r="M127" s="982"/>
      <c r="N127" s="622"/>
      <c r="O127" s="982"/>
      <c r="P127" s="622"/>
      <c r="Q127" s="982"/>
      <c r="R127" s="861"/>
      <c r="T127" s="927"/>
      <c r="U127" s="999"/>
    </row>
    <row r="128" spans="1:21" s="224" customFormat="1" ht="15" hidden="1" customHeight="1" x14ac:dyDescent="0.25">
      <c r="A128" s="215">
        <v>44772</v>
      </c>
      <c r="B128" s="364" t="s">
        <v>3418</v>
      </c>
      <c r="C128" s="350" t="s">
        <v>12</v>
      </c>
      <c r="D128" s="350" t="s">
        <v>1489</v>
      </c>
      <c r="E128" s="875" t="s">
        <v>13</v>
      </c>
      <c r="F128" s="780">
        <v>160</v>
      </c>
      <c r="G128" s="982"/>
      <c r="H128" s="1008"/>
      <c r="I128" s="1063"/>
      <c r="J128" s="622"/>
      <c r="K128" s="982"/>
      <c r="L128" s="622"/>
      <c r="M128" s="982"/>
      <c r="N128" s="880"/>
      <c r="O128" s="1033"/>
      <c r="P128" s="880"/>
      <c r="Q128" s="1033"/>
      <c r="R128" s="861"/>
      <c r="T128" s="1080"/>
      <c r="U128" s="999"/>
    </row>
    <row r="129" spans="1:26" s="224" customFormat="1" ht="15" hidden="1" customHeight="1" x14ac:dyDescent="0.25">
      <c r="A129" s="215">
        <v>44772</v>
      </c>
      <c r="B129" s="364" t="s">
        <v>3402</v>
      </c>
      <c r="C129" s="350" t="s">
        <v>12</v>
      </c>
      <c r="D129" s="350" t="s">
        <v>1523</v>
      </c>
      <c r="E129" s="875" t="s">
        <v>13</v>
      </c>
      <c r="F129" s="780">
        <v>50</v>
      </c>
      <c r="G129" s="982"/>
      <c r="H129" s="1008"/>
      <c r="I129" s="1063"/>
      <c r="J129" s="622"/>
      <c r="K129" s="982"/>
      <c r="L129" s="622"/>
      <c r="M129" s="982"/>
      <c r="N129" s="880"/>
      <c r="O129" s="1033"/>
      <c r="P129" s="880"/>
      <c r="Q129" s="1033"/>
      <c r="R129" s="861"/>
      <c r="T129" s="1080"/>
      <c r="U129" s="999"/>
    </row>
    <row r="130" spans="1:26" s="224" customFormat="1" ht="15" hidden="1" customHeight="1" x14ac:dyDescent="0.25">
      <c r="A130" s="215">
        <v>44772</v>
      </c>
      <c r="B130" s="364" t="s">
        <v>3402</v>
      </c>
      <c r="C130" s="350" t="s">
        <v>12</v>
      </c>
      <c r="D130" s="350" t="s">
        <v>1523</v>
      </c>
      <c r="E130" s="875" t="s">
        <v>13</v>
      </c>
      <c r="F130" s="780">
        <v>100</v>
      </c>
      <c r="G130" s="982"/>
      <c r="H130" s="1008"/>
      <c r="I130" s="1063"/>
      <c r="J130" s="622"/>
      <c r="K130" s="982"/>
      <c r="L130" s="622"/>
      <c r="M130" s="982"/>
      <c r="N130" s="880"/>
      <c r="O130" s="1033"/>
      <c r="P130" s="880"/>
      <c r="Q130" s="1033"/>
      <c r="R130" s="861"/>
      <c r="T130" s="1080"/>
      <c r="U130" s="999"/>
    </row>
    <row r="131" spans="1:26" s="224" customFormat="1" ht="15" hidden="1" customHeight="1" x14ac:dyDescent="0.25">
      <c r="A131" s="215">
        <v>44773</v>
      </c>
      <c r="B131" s="364" t="s">
        <v>14</v>
      </c>
      <c r="C131" s="350" t="s">
        <v>12</v>
      </c>
      <c r="D131" s="350" t="s">
        <v>1486</v>
      </c>
      <c r="E131" s="875" t="s">
        <v>13</v>
      </c>
      <c r="F131" s="780">
        <v>7.93</v>
      </c>
      <c r="G131" s="982"/>
      <c r="H131" s="1008"/>
      <c r="I131" s="1063"/>
      <c r="J131" s="622"/>
      <c r="K131" s="982"/>
      <c r="L131" s="622"/>
      <c r="M131" s="982"/>
      <c r="N131" s="880"/>
      <c r="O131" s="1033"/>
      <c r="P131" s="880"/>
      <c r="Q131" s="1033"/>
      <c r="R131" s="861"/>
      <c r="T131" s="1080"/>
      <c r="U131" s="999"/>
    </row>
    <row r="132" spans="1:26" s="224" customFormat="1" ht="15" hidden="1" customHeight="1" x14ac:dyDescent="0.25">
      <c r="A132" s="215">
        <v>44773</v>
      </c>
      <c r="B132" s="882" t="s">
        <v>32</v>
      </c>
      <c r="C132" s="879" t="s">
        <v>12</v>
      </c>
      <c r="D132" s="879" t="s">
        <v>1485</v>
      </c>
      <c r="E132" s="875" t="s">
        <v>13</v>
      </c>
      <c r="F132" s="780">
        <v>30</v>
      </c>
      <c r="G132" s="982"/>
      <c r="H132" s="1008"/>
      <c r="I132" s="1063"/>
      <c r="J132" s="622"/>
      <c r="K132" s="982"/>
      <c r="L132" s="622"/>
      <c r="M132" s="982"/>
      <c r="N132" s="880"/>
      <c r="O132" s="1033"/>
      <c r="P132" s="880"/>
      <c r="Q132" s="1033"/>
      <c r="R132" s="861"/>
      <c r="T132" s="1080"/>
      <c r="U132" s="999"/>
    </row>
    <row r="133" spans="1:26" s="224" customFormat="1" ht="15" hidden="1" customHeight="1" x14ac:dyDescent="0.25">
      <c r="A133" s="215">
        <v>44773</v>
      </c>
      <c r="B133" s="364" t="s">
        <v>443</v>
      </c>
      <c r="C133" s="350" t="s">
        <v>12</v>
      </c>
      <c r="D133" s="350" t="s">
        <v>1493</v>
      </c>
      <c r="E133" s="875" t="s">
        <v>13</v>
      </c>
      <c r="F133" s="780">
        <v>13.83</v>
      </c>
      <c r="G133" s="982"/>
      <c r="H133" s="1008"/>
      <c r="I133" s="1063"/>
      <c r="J133" s="622"/>
      <c r="K133" s="982"/>
      <c r="L133" s="622"/>
      <c r="M133" s="982"/>
      <c r="N133" s="622"/>
      <c r="O133" s="982"/>
      <c r="P133" s="622"/>
      <c r="Q133" s="982"/>
      <c r="R133" s="1029"/>
      <c r="S133" s="89"/>
      <c r="T133" s="1081"/>
      <c r="U133" s="1082"/>
    </row>
    <row r="134" spans="1:26" s="224" customFormat="1" ht="15.75" hidden="1" thickBot="1" x14ac:dyDescent="0.3">
      <c r="A134" s="215">
        <v>44773</v>
      </c>
      <c r="B134" s="862" t="s">
        <v>1666</v>
      </c>
      <c r="C134" s="350" t="s">
        <v>12</v>
      </c>
      <c r="D134" s="1003"/>
      <c r="E134" s="145" t="s">
        <v>25</v>
      </c>
      <c r="F134" s="1036"/>
      <c r="G134" s="1535"/>
      <c r="H134" s="1008"/>
      <c r="I134" s="1063"/>
      <c r="J134" s="622"/>
      <c r="K134" s="982">
        <v>60.15</v>
      </c>
      <c r="L134" s="1036"/>
      <c r="M134" s="1535"/>
      <c r="N134" s="622"/>
      <c r="O134" s="982"/>
      <c r="P134" s="622"/>
      <c r="Q134" s="982"/>
      <c r="R134" s="475"/>
      <c r="T134" s="878"/>
    </row>
    <row r="135" spans="1:26" ht="25.5" hidden="1" customHeight="1" thickBot="1" x14ac:dyDescent="0.3">
      <c r="A135" s="3060"/>
      <c r="B135" s="3061"/>
      <c r="C135" s="3062"/>
      <c r="D135" s="3062"/>
      <c r="E135" s="3062"/>
      <c r="F135" s="1020">
        <f>SUM(F6:F134)</f>
        <v>5200.7699999999977</v>
      </c>
      <c r="G135" s="1534">
        <f>SUM(G5:G134)</f>
        <v>5572.6795833333517</v>
      </c>
      <c r="H135" s="1023">
        <f>SUM(H6:H134)</f>
        <v>940</v>
      </c>
      <c r="I135" s="93">
        <f>SUM(I5:I134)</f>
        <v>1499.9959999999992</v>
      </c>
      <c r="J135" s="1023">
        <f>SUM(J6:J134)</f>
        <v>0</v>
      </c>
      <c r="K135" s="93">
        <f>SUM(K5:K134)</f>
        <v>6693.0700000000015</v>
      </c>
      <c r="L135" s="1023">
        <f>SUM(L6:L134)</f>
        <v>0</v>
      </c>
      <c r="M135" s="93">
        <f>SUM(M5:M134)</f>
        <v>11379.689999999999</v>
      </c>
      <c r="N135" s="1023">
        <f>SUM(N6:N134)</f>
        <v>0</v>
      </c>
      <c r="O135" s="93">
        <f>SUM(O5:O134)</f>
        <v>10624.48</v>
      </c>
      <c r="P135" s="1023">
        <f>SUM(P6:P134)</f>
        <v>0</v>
      </c>
      <c r="Q135" s="93">
        <f>SUM(Q5:Q134)</f>
        <v>39725.615984720003</v>
      </c>
      <c r="S135" s="216"/>
    </row>
    <row r="136" spans="1:26" ht="25.5" hidden="1" customHeight="1" thickBot="1" x14ac:dyDescent="0.3">
      <c r="A136" s="3117" t="s">
        <v>49</v>
      </c>
      <c r="B136" s="3118"/>
      <c r="C136" s="3118"/>
      <c r="D136" s="3118"/>
      <c r="E136" s="3118"/>
      <c r="F136" s="144" t="s">
        <v>280</v>
      </c>
      <c r="G136" s="519">
        <f>G135-F135</f>
        <v>371.90958333335402</v>
      </c>
      <c r="H136" s="1221"/>
      <c r="I136" s="772">
        <f>I135-H135</f>
        <v>559.99599999999919</v>
      </c>
      <c r="J136" s="1222"/>
      <c r="K136" s="772">
        <f>K135-J135</f>
        <v>6693.0700000000015</v>
      </c>
      <c r="L136" s="1222"/>
      <c r="M136" s="993">
        <f>M135-L135</f>
        <v>11379.689999999999</v>
      </c>
      <c r="N136" s="993"/>
      <c r="O136" s="993">
        <f>O135-N135</f>
        <v>10624.48</v>
      </c>
      <c r="P136" s="1222"/>
      <c r="Q136" s="772">
        <f>Q135-P135</f>
        <v>39725.615984720003</v>
      </c>
    </row>
    <row r="137" spans="1:26" x14ac:dyDescent="0.25">
      <c r="M137" s="89"/>
      <c r="N137" s="1210"/>
      <c r="O137" s="1038"/>
      <c r="P137" s="1210"/>
      <c r="Q137" s="1038"/>
      <c r="R137" s="89"/>
      <c r="T137" s="79"/>
      <c r="W137" s="518"/>
      <c r="X137" s="216"/>
      <c r="Z137" s="877"/>
    </row>
    <row r="138" spans="1:26" x14ac:dyDescent="0.25">
      <c r="B138" s="81" t="s">
        <v>3</v>
      </c>
      <c r="C138" s="193" t="s">
        <v>1484</v>
      </c>
      <c r="D138" s="970" t="s">
        <v>2378</v>
      </c>
      <c r="E138" s="193" t="s">
        <v>3216</v>
      </c>
      <c r="F138" s="1061" t="s">
        <v>3217</v>
      </c>
      <c r="G138" s="216"/>
      <c r="K138" s="866"/>
      <c r="M138" s="866"/>
      <c r="N138" s="1210"/>
      <c r="O138" s="1038"/>
      <c r="P138" s="1210"/>
      <c r="Q138" s="1038"/>
    </row>
    <row r="139" spans="1:26" x14ac:dyDescent="0.25">
      <c r="B139" s="79" t="s">
        <v>32</v>
      </c>
      <c r="C139" s="85" t="s">
        <v>1485</v>
      </c>
      <c r="D139" s="475">
        <f>SUMIF($D$7:$D$134,"A",$F$7:$F$134)</f>
        <v>416</v>
      </c>
      <c r="E139" s="1202">
        <f t="shared" ref="E139:E141" si="0">D139/$K$158</f>
        <v>13.419354838709678</v>
      </c>
      <c r="F139" s="1203">
        <f t="shared" ref="F139:F141" si="1">E139/$E$159</f>
        <v>9.5382435416231981E-2</v>
      </c>
      <c r="G139" s="800"/>
      <c r="I139" s="769"/>
      <c r="J139" s="868"/>
      <c r="L139" s="868"/>
      <c r="N139" s="1210"/>
      <c r="O139" s="1038"/>
      <c r="P139" s="1210"/>
      <c r="Q139" s="1038"/>
    </row>
    <row r="140" spans="1:26" x14ac:dyDescent="0.25">
      <c r="B140" s="79" t="s">
        <v>2187</v>
      </c>
      <c r="C140" s="85" t="s">
        <v>2157</v>
      </c>
      <c r="D140" s="475">
        <f>SUMIF($D$7:$D$134,"GAC",$F$7:$F$134)</f>
        <v>500</v>
      </c>
      <c r="E140" s="1202">
        <f t="shared" si="0"/>
        <v>16.129032258064516</v>
      </c>
      <c r="F140" s="1203">
        <f t="shared" si="1"/>
        <v>0.11464235025989421</v>
      </c>
      <c r="G140" s="609"/>
      <c r="J140" s="754"/>
      <c r="K140" s="886"/>
      <c r="L140" s="754"/>
      <c r="M140" s="886"/>
      <c r="N140" s="1210"/>
      <c r="O140" s="1038"/>
      <c r="P140" s="1210"/>
      <c r="Q140" s="1038"/>
      <c r="R140" s="1030"/>
    </row>
    <row r="141" spans="1:26" x14ac:dyDescent="0.25">
      <c r="B141" s="79" t="s">
        <v>2188</v>
      </c>
      <c r="C141" s="85" t="s">
        <v>2168</v>
      </c>
      <c r="D141" s="475">
        <f>SUMIF($D$26:$D$134,"GAM",$F$26:$F$134)</f>
        <v>0</v>
      </c>
      <c r="E141" s="1202">
        <f t="shared" si="0"/>
        <v>0</v>
      </c>
      <c r="F141" s="1203">
        <f t="shared" si="1"/>
        <v>0</v>
      </c>
      <c r="J141" s="864"/>
      <c r="K141" s="864"/>
      <c r="L141" s="864"/>
      <c r="M141" s="864"/>
      <c r="N141" s="1210"/>
      <c r="O141" s="1038"/>
      <c r="P141" s="1210"/>
      <c r="Q141" s="1038"/>
      <c r="R141" s="958"/>
    </row>
    <row r="142" spans="1:26" s="85" customFormat="1" x14ac:dyDescent="0.25">
      <c r="A142" s="79"/>
      <c r="B142" s="79" t="s">
        <v>50</v>
      </c>
      <c r="C142" s="85" t="s">
        <v>1493</v>
      </c>
      <c r="D142" s="475">
        <f>SUMIF($D$13:$D$134,"LD",$F$13:$F$134)</f>
        <v>322.39000000000004</v>
      </c>
      <c r="E142" s="1202">
        <f t="shared" ref="E142:E156" si="2">D142/$K$158</f>
        <v>10.399677419354839</v>
      </c>
      <c r="F142" s="1203">
        <f t="shared" ref="F142:F156" si="3">E142/$E$159</f>
        <v>7.3919094600574595E-2</v>
      </c>
      <c r="J142" s="864"/>
      <c r="K142" s="1032"/>
      <c r="L142" s="864"/>
      <c r="M142" s="1032"/>
      <c r="N142" s="1210"/>
      <c r="O142" s="1038"/>
      <c r="P142" s="1210"/>
      <c r="Q142" s="1038"/>
      <c r="R142" s="958"/>
      <c r="T142" s="877"/>
    </row>
    <row r="143" spans="1:26" s="85" customFormat="1" x14ac:dyDescent="0.25">
      <c r="A143" s="79"/>
      <c r="B143" s="79" t="s">
        <v>14</v>
      </c>
      <c r="C143" s="85" t="s">
        <v>1486</v>
      </c>
      <c r="D143" s="475">
        <f>SUMIF($D$7:$D$134,"C",$F$7:$F$134)</f>
        <v>121.83999999999997</v>
      </c>
      <c r="E143" s="1202">
        <f t="shared" si="2"/>
        <v>3.9303225806451603</v>
      </c>
      <c r="F143" s="1203">
        <f t="shared" si="3"/>
        <v>2.7936047911331013E-2</v>
      </c>
      <c r="G143" s="79"/>
      <c r="H143" s="79"/>
      <c r="J143" s="864"/>
      <c r="K143" s="1032"/>
      <c r="L143" s="864"/>
      <c r="M143" s="1032"/>
      <c r="N143" s="1210"/>
      <c r="O143" s="1038"/>
      <c r="P143" s="1210"/>
      <c r="Q143" s="1038"/>
      <c r="R143" s="958"/>
      <c r="T143" s="877"/>
    </row>
    <row r="144" spans="1:26" s="85" customFormat="1" x14ac:dyDescent="0.25">
      <c r="A144" s="79"/>
      <c r="B144" s="79" t="s">
        <v>51</v>
      </c>
      <c r="C144" s="864" t="s">
        <v>1499</v>
      </c>
      <c r="D144" s="475">
        <f>SUMIF($D$27:$D$134,"CAL",$F$27:$F$134)</f>
        <v>95.6</v>
      </c>
      <c r="E144" s="1202">
        <f t="shared" si="2"/>
        <v>3.0838709677419351</v>
      </c>
      <c r="F144" s="1203">
        <f t="shared" si="3"/>
        <v>2.1919617369691769E-2</v>
      </c>
      <c r="G144" s="79"/>
      <c r="H144" s="79"/>
      <c r="I144" s="79"/>
      <c r="K144" s="795"/>
      <c r="M144" s="795"/>
      <c r="N144" s="1210"/>
      <c r="O144" s="1038"/>
      <c r="P144" s="1210"/>
      <c r="Q144" s="1038"/>
      <c r="R144" s="958"/>
      <c r="T144" s="877"/>
    </row>
    <row r="145" spans="1:24" s="85" customFormat="1" x14ac:dyDescent="0.25">
      <c r="A145" s="79"/>
      <c r="B145" s="79" t="s">
        <v>2189</v>
      </c>
      <c r="C145" s="864" t="s">
        <v>1496</v>
      </c>
      <c r="D145" s="475">
        <f>SUMIF($D$27:$D$134,"AC",$F$27:$F$134)</f>
        <v>211.61</v>
      </c>
      <c r="E145" s="1202">
        <f t="shared" si="2"/>
        <v>6.8261290322580646</v>
      </c>
      <c r="F145" s="1203">
        <f t="shared" si="3"/>
        <v>4.8518935476992431E-2</v>
      </c>
      <c r="G145" s="79"/>
      <c r="K145" s="177"/>
      <c r="M145" s="177"/>
      <c r="N145" s="1210"/>
      <c r="O145" s="1038"/>
      <c r="P145" s="1210"/>
      <c r="Q145" s="1038"/>
      <c r="R145" s="941"/>
      <c r="T145" s="877"/>
    </row>
    <row r="146" spans="1:24" s="85" customFormat="1" x14ac:dyDescent="0.25">
      <c r="A146" s="79"/>
      <c r="B146" s="867" t="s">
        <v>53</v>
      </c>
      <c r="C146" s="864" t="s">
        <v>1522</v>
      </c>
      <c r="D146" s="475">
        <f>SUMIF($D$13:$D$134,"DC",$F$13:$F$134)</f>
        <v>281.13</v>
      </c>
      <c r="E146" s="1202">
        <f t="shared" si="2"/>
        <v>9.0687096774193545</v>
      </c>
      <c r="F146" s="1203">
        <f t="shared" si="3"/>
        <v>6.4458807857128111E-2</v>
      </c>
      <c r="K146" s="177"/>
      <c r="M146" s="177"/>
      <c r="N146" s="1210"/>
      <c r="O146" s="1038"/>
      <c r="P146" s="1210"/>
      <c r="Q146" s="1038"/>
      <c r="R146" s="475"/>
      <c r="T146" s="877"/>
    </row>
    <row r="147" spans="1:24" s="85" customFormat="1" x14ac:dyDescent="0.25">
      <c r="A147" s="79"/>
      <c r="B147" s="867" t="s">
        <v>2149</v>
      </c>
      <c r="C147" s="864" t="s">
        <v>2131</v>
      </c>
      <c r="D147" s="475">
        <f>SUMIF($D$6:$D$134,"DM",$F$6:$F$134)</f>
        <v>0</v>
      </c>
      <c r="E147" s="1202">
        <f t="shared" si="2"/>
        <v>0</v>
      </c>
      <c r="F147" s="1203">
        <f t="shared" si="3"/>
        <v>0</v>
      </c>
      <c r="K147" s="177" t="s">
        <v>280</v>
      </c>
      <c r="M147" s="177" t="s">
        <v>280</v>
      </c>
      <c r="N147" s="1210"/>
      <c r="O147" s="1038"/>
      <c r="P147" s="1210"/>
      <c r="Q147" s="1038"/>
      <c r="R147" s="475"/>
      <c r="T147" s="877"/>
    </row>
    <row r="148" spans="1:24" s="85" customFormat="1" x14ac:dyDescent="0.25">
      <c r="A148" s="79"/>
      <c r="B148" s="79" t="s">
        <v>3048</v>
      </c>
      <c r="C148" s="864" t="s">
        <v>1523</v>
      </c>
      <c r="D148" s="475">
        <f ca="1">SUMIF($D$26:$D$135,"B",$F$26:$F$134)</f>
        <v>380.25</v>
      </c>
      <c r="E148" s="1202">
        <f t="shared" ca="1" si="2"/>
        <v>12.266129032258064</v>
      </c>
      <c r="F148" s="1203">
        <f t="shared" ca="1" si="3"/>
        <v>8.7185507372649546E-2</v>
      </c>
      <c r="G148" s="866"/>
      <c r="K148" s="177"/>
      <c r="M148" s="177"/>
      <c r="N148" s="1210"/>
      <c r="O148" s="1038"/>
      <c r="P148" s="1210"/>
      <c r="Q148" s="1038"/>
      <c r="R148" s="475"/>
      <c r="T148" s="877"/>
    </row>
    <row r="149" spans="1:24" s="85" customFormat="1" x14ac:dyDescent="0.25">
      <c r="A149" s="79"/>
      <c r="B149" s="79" t="s">
        <v>1686</v>
      </c>
      <c r="C149" s="864" t="s">
        <v>1506</v>
      </c>
      <c r="D149" s="475">
        <f>SUMIF($D$8:$D$134,"R",$F$8:$F$134)</f>
        <v>450.9</v>
      </c>
      <c r="E149" s="1202">
        <f t="shared" si="2"/>
        <v>14.54516129032258</v>
      </c>
      <c r="F149" s="1203">
        <f t="shared" si="3"/>
        <v>0.1033844714643726</v>
      </c>
      <c r="G149" s="868"/>
      <c r="K149" s="866"/>
      <c r="M149" s="866"/>
      <c r="N149" s="1210"/>
      <c r="O149" s="1038"/>
      <c r="P149" s="1210"/>
      <c r="Q149" s="1038"/>
      <c r="R149" s="475"/>
      <c r="T149" s="877"/>
    </row>
    <row r="150" spans="1:24" x14ac:dyDescent="0.25">
      <c r="B150" s="79" t="s">
        <v>418</v>
      </c>
      <c r="C150" s="85" t="s">
        <v>1524</v>
      </c>
      <c r="D150" s="475">
        <f>SUMIF($D$27:$D$134,"COM",$F$27:$F$134)</f>
        <v>132.6</v>
      </c>
      <c r="E150" s="1202">
        <f t="shared" si="2"/>
        <v>4.2774193548387096</v>
      </c>
      <c r="F150" s="1203">
        <f t="shared" si="3"/>
        <v>3.0403151288923944E-2</v>
      </c>
      <c r="G150" s="85"/>
      <c r="H150" s="85"/>
      <c r="I150" s="85"/>
      <c r="J150" s="769"/>
      <c r="K150" s="216"/>
      <c r="L150" s="769"/>
      <c r="M150" s="216"/>
      <c r="N150" s="1210"/>
      <c r="O150" s="1038"/>
      <c r="P150" s="1210"/>
      <c r="Q150" s="1038"/>
    </row>
    <row r="151" spans="1:24" x14ac:dyDescent="0.25">
      <c r="B151" s="79" t="s">
        <v>419</v>
      </c>
      <c r="C151" s="85" t="s">
        <v>1491</v>
      </c>
      <c r="D151" s="475">
        <f>SUMIF($D$27:$D$134,"F",$F$27:$F$134)</f>
        <v>758.4</v>
      </c>
      <c r="E151" s="1202">
        <f t="shared" si="2"/>
        <v>24.464516129032258</v>
      </c>
      <c r="F151" s="1203">
        <f t="shared" si="3"/>
        <v>0.17388951687420753</v>
      </c>
      <c r="I151" s="85"/>
      <c r="K151" s="216"/>
      <c r="M151" s="216"/>
      <c r="N151" s="1210"/>
      <c r="O151" s="1038"/>
      <c r="P151" s="1210"/>
      <c r="Q151" s="1038"/>
    </row>
    <row r="152" spans="1:24" x14ac:dyDescent="0.25">
      <c r="B152" s="79" t="s">
        <v>911</v>
      </c>
      <c r="C152" s="85" t="s">
        <v>1525</v>
      </c>
      <c r="D152" s="475">
        <f>SUMIF($D$8:$D$134,"FER",$F$8:$F$134)</f>
        <v>448.25</v>
      </c>
      <c r="E152" s="1202">
        <f t="shared" si="2"/>
        <v>14.459677419354838</v>
      </c>
      <c r="F152" s="1203">
        <f t="shared" si="3"/>
        <v>0.10277686700799515</v>
      </c>
      <c r="J152" s="769"/>
      <c r="K152" s="868"/>
      <c r="L152" s="769"/>
      <c r="M152" s="868"/>
      <c r="N152" s="1210"/>
      <c r="O152" s="1038"/>
      <c r="P152" s="1210"/>
      <c r="Q152" s="1038"/>
    </row>
    <row r="153" spans="1:24" x14ac:dyDescent="0.25">
      <c r="B153" s="79" t="s">
        <v>1526</v>
      </c>
      <c r="C153" s="85" t="s">
        <v>1504</v>
      </c>
      <c r="D153" s="475">
        <f>SUMIF($D$27:$D$134,"I",$F$27:$F$134)</f>
        <v>165.3</v>
      </c>
      <c r="E153" s="1202">
        <f t="shared" si="2"/>
        <v>5.3322580645161297</v>
      </c>
      <c r="F153" s="1203">
        <f t="shared" si="3"/>
        <v>3.7900760995921032E-2</v>
      </c>
      <c r="J153" s="769"/>
      <c r="K153" s="868"/>
      <c r="L153" s="769"/>
      <c r="M153" s="868"/>
      <c r="N153" s="1210"/>
      <c r="O153" s="1038"/>
      <c r="P153" s="1210"/>
      <c r="Q153" s="1038"/>
    </row>
    <row r="154" spans="1:24" x14ac:dyDescent="0.25">
      <c r="B154" s="79" t="s">
        <v>2343</v>
      </c>
      <c r="C154" s="85" t="s">
        <v>2315</v>
      </c>
      <c r="D154" s="475">
        <f>SUMIF($D$26:$D$134,"E",$F$26:$F$134)</f>
        <v>0</v>
      </c>
      <c r="E154" s="1202">
        <f t="shared" si="2"/>
        <v>0</v>
      </c>
      <c r="F154" s="1203">
        <f t="shared" si="3"/>
        <v>0</v>
      </c>
      <c r="J154" s="769"/>
      <c r="K154" s="868"/>
      <c r="L154" s="769"/>
      <c r="M154" s="868"/>
      <c r="N154" s="1210"/>
      <c r="O154" s="1038"/>
      <c r="P154" s="1210"/>
      <c r="Q154" s="1038"/>
    </row>
    <row r="155" spans="1:24" x14ac:dyDescent="0.25">
      <c r="B155" s="79" t="s">
        <v>3019</v>
      </c>
      <c r="C155" s="85" t="s">
        <v>3017</v>
      </c>
      <c r="D155" s="475">
        <f>SUMIF($D$6:$D$134,"IM",$F$6:$F$134)</f>
        <v>557.54999999999995</v>
      </c>
      <c r="E155" s="1202">
        <f t="shared" si="2"/>
        <v>17.985483870967741</v>
      </c>
      <c r="F155" s="1203">
        <f t="shared" si="3"/>
        <v>0.12783768477480803</v>
      </c>
      <c r="J155" s="769"/>
      <c r="L155" s="769"/>
      <c r="N155" s="941"/>
      <c r="O155" s="224"/>
      <c r="P155" s="941"/>
      <c r="Q155" s="224"/>
    </row>
    <row r="156" spans="1:24" x14ac:dyDescent="0.25">
      <c r="B156" s="79" t="s">
        <v>1527</v>
      </c>
      <c r="C156" s="85" t="s">
        <v>1489</v>
      </c>
      <c r="D156" s="475">
        <f>SUMIF($D$7:$D$134,"OD",$F$7:$F$134)</f>
        <v>358.95</v>
      </c>
      <c r="E156" s="1202">
        <f t="shared" si="2"/>
        <v>11.579032258064515</v>
      </c>
      <c r="F156" s="1203">
        <f t="shared" si="3"/>
        <v>8.2301743251578047E-2</v>
      </c>
      <c r="N156" s="1210"/>
      <c r="O156" s="1038"/>
      <c r="P156" s="1210"/>
      <c r="Q156" s="1038"/>
    </row>
    <row r="157" spans="1:24" x14ac:dyDescent="0.25">
      <c r="C157" s="79"/>
      <c r="D157" s="629"/>
      <c r="E157" s="79"/>
      <c r="F157" s="79"/>
      <c r="N157" s="1210"/>
      <c r="O157" s="1038"/>
      <c r="P157" s="1210"/>
      <c r="Q157" s="1038"/>
      <c r="R157" s="79"/>
      <c r="T157" s="79"/>
    </row>
    <row r="158" spans="1:24" x14ac:dyDescent="0.25">
      <c r="C158" s="3168" t="s">
        <v>486</v>
      </c>
      <c r="D158" s="3168"/>
      <c r="E158" s="863">
        <f ca="1">I158/K158</f>
        <v>167.7667741935484</v>
      </c>
      <c r="G158" s="518" t="s">
        <v>487</v>
      </c>
      <c r="I158" s="629">
        <f ca="1">SUM(D139:D156)</f>
        <v>5200.7700000000004</v>
      </c>
      <c r="J158" s="216"/>
      <c r="K158" s="1517">
        <v>31</v>
      </c>
      <c r="L158" s="1517"/>
      <c r="N158" s="1210"/>
      <c r="O158" s="1038"/>
      <c r="P158" s="1210"/>
      <c r="Q158" s="1038"/>
    </row>
    <row r="159" spans="1:24" ht="15.75" customHeight="1" x14ac:dyDescent="0.25">
      <c r="B159" s="3167" t="s">
        <v>3377</v>
      </c>
      <c r="C159" s="3167"/>
      <c r="D159" s="3167"/>
      <c r="E159" s="1125">
        <v>140.69</v>
      </c>
      <c r="H159" s="85"/>
      <c r="K159" s="868"/>
      <c r="M159" s="868"/>
      <c r="N159" s="1210"/>
      <c r="O159" s="1038"/>
      <c r="P159" s="1210"/>
      <c r="Q159" s="1038"/>
    </row>
    <row r="160" spans="1:24" x14ac:dyDescent="0.25">
      <c r="B160" s="89"/>
      <c r="E160" s="79"/>
      <c r="F160" s="79"/>
      <c r="G160" s="85"/>
      <c r="H160" s="459"/>
      <c r="I160" s="85"/>
      <c r="J160" s="89"/>
      <c r="L160" s="89"/>
      <c r="N160" s="1210"/>
      <c r="O160" s="1038"/>
      <c r="P160" s="1210"/>
      <c r="Q160" s="1038"/>
      <c r="R160" s="769"/>
      <c r="S160" s="518" t="s">
        <v>280</v>
      </c>
      <c r="T160" s="79"/>
      <c r="U160" s="866"/>
      <c r="V160" s="484"/>
      <c r="X160" s="877"/>
    </row>
    <row r="161" spans="1:24" s="518" customFormat="1" x14ac:dyDescent="0.25">
      <c r="A161" s="79"/>
      <c r="B161" s="79"/>
      <c r="E161" s="1126">
        <f ca="1">E159-E158</f>
        <v>-27.076774193548403</v>
      </c>
      <c r="F161" s="1205">
        <f ca="1">SUM(F139:F160)</f>
        <v>1.1924569919222998</v>
      </c>
      <c r="G161" s="85"/>
      <c r="H161" s="85"/>
      <c r="J161" s="79"/>
      <c r="K161" s="79"/>
      <c r="L161" s="79"/>
      <c r="M161" s="79"/>
      <c r="N161" s="1210"/>
      <c r="O161" s="1038"/>
      <c r="P161" s="1210"/>
      <c r="Q161" s="1038"/>
      <c r="R161" s="79"/>
      <c r="S161" s="79"/>
      <c r="T161" s="866"/>
      <c r="U161" s="484"/>
      <c r="V161" s="79"/>
      <c r="W161" s="877"/>
      <c r="X161" s="79"/>
    </row>
    <row r="162" spans="1:24" s="518" customFormat="1" x14ac:dyDescent="0.25">
      <c r="A162" s="79"/>
      <c r="B162" s="79"/>
      <c r="C162" s="85"/>
      <c r="D162" s="85"/>
      <c r="E162" s="85"/>
      <c r="G162" s="79"/>
      <c r="H162" s="79"/>
      <c r="I162" s="79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4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4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216"/>
      <c r="J164" s="769"/>
      <c r="K164" s="866"/>
      <c r="L164" s="769"/>
      <c r="M164" s="866"/>
      <c r="N164" s="1210"/>
      <c r="O164" s="1038"/>
      <c r="P164" s="1210"/>
      <c r="Q164" s="1038"/>
      <c r="R164" s="484"/>
      <c r="S164" s="79"/>
      <c r="T164" s="877"/>
      <c r="U164" s="79"/>
    </row>
    <row r="165" spans="1:24" s="518" customFormat="1" x14ac:dyDescent="0.25">
      <c r="A165" s="79"/>
      <c r="B165" s="79"/>
      <c r="C165" s="79"/>
      <c r="D165" s="79"/>
      <c r="E165" s="79"/>
      <c r="F165" s="79"/>
      <c r="G165" s="79"/>
      <c r="H165" s="79"/>
      <c r="K165" s="866"/>
      <c r="M165" s="866"/>
      <c r="N165" s="1210"/>
      <c r="O165" s="1038"/>
      <c r="P165" s="1210"/>
      <c r="Q165" s="1038"/>
      <c r="R165" s="484"/>
      <c r="S165" s="79"/>
      <c r="T165" s="877"/>
      <c r="U165" s="79"/>
    </row>
    <row r="166" spans="1:24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1210"/>
      <c r="O166" s="1038"/>
      <c r="P166" s="1210"/>
      <c r="Q166" s="1038"/>
      <c r="R166" s="484"/>
      <c r="S166" s="79"/>
      <c r="T166" s="877"/>
      <c r="U166" s="79"/>
    </row>
    <row r="167" spans="1:24" s="518" customFormat="1" x14ac:dyDescent="0.25">
      <c r="A167" s="79"/>
      <c r="B167" s="79"/>
      <c r="C167" s="79"/>
      <c r="D167" s="79"/>
      <c r="E167" s="79"/>
      <c r="F167" s="79"/>
      <c r="G167" s="216"/>
      <c r="H167" s="79"/>
      <c r="I167" s="216"/>
      <c r="J167" s="769"/>
      <c r="K167" s="868"/>
      <c r="L167" s="769"/>
      <c r="M167" s="868"/>
      <c r="N167" s="1210"/>
      <c r="O167" s="1038"/>
      <c r="P167" s="1210"/>
      <c r="Q167" s="1038"/>
      <c r="R167" s="484"/>
      <c r="S167" s="79"/>
      <c r="T167" s="877"/>
      <c r="U167" s="79"/>
    </row>
    <row r="168" spans="1:24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216"/>
      <c r="J168" s="769"/>
      <c r="K168" s="866"/>
      <c r="L168" s="769"/>
      <c r="M168" s="866"/>
      <c r="N168" s="1210"/>
      <c r="O168" s="1038"/>
      <c r="P168" s="1210"/>
      <c r="Q168" s="1038"/>
      <c r="R168" s="484"/>
      <c r="S168" s="79"/>
      <c r="T168" s="877"/>
      <c r="U168" s="79"/>
    </row>
    <row r="169" spans="1:24" s="518" customFormat="1" x14ac:dyDescent="0.25">
      <c r="A169" s="79"/>
      <c r="B169" s="79"/>
      <c r="C169" s="79"/>
      <c r="D169" s="79"/>
      <c r="E169" s="79"/>
      <c r="F169" s="79"/>
      <c r="G169" s="216"/>
      <c r="H169" s="79"/>
      <c r="I169" s="79"/>
      <c r="J169" s="770"/>
      <c r="K169" s="866"/>
      <c r="L169" s="770"/>
      <c r="M169" s="866"/>
      <c r="N169" s="1210"/>
      <c r="O169" s="1038"/>
      <c r="P169" s="1210"/>
      <c r="Q169" s="1038"/>
      <c r="R169" s="484"/>
      <c r="S169" s="79"/>
      <c r="T169" s="877"/>
      <c r="U169" s="79"/>
    </row>
    <row r="170" spans="1:24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1210"/>
      <c r="O170" s="1038"/>
      <c r="P170" s="1210"/>
      <c r="Q170" s="1038"/>
      <c r="R170" s="484"/>
      <c r="S170" s="79"/>
      <c r="T170" s="877"/>
      <c r="U170" s="79"/>
    </row>
    <row r="171" spans="1:24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1210"/>
      <c r="O171" s="1038"/>
      <c r="P171" s="1210"/>
      <c r="Q171" s="1038"/>
      <c r="R171" s="484"/>
      <c r="S171" s="79"/>
      <c r="T171" s="877"/>
      <c r="U171" s="79"/>
    </row>
    <row r="172" spans="1:24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629"/>
      <c r="J172" s="769"/>
      <c r="K172" s="866"/>
      <c r="L172" s="769"/>
      <c r="M172" s="866"/>
      <c r="N172" s="1210"/>
      <c r="O172" s="1038"/>
      <c r="P172" s="1210"/>
      <c r="Q172" s="1038"/>
      <c r="R172" s="484"/>
      <c r="S172" s="79"/>
      <c r="T172" s="877"/>
      <c r="U172" s="79"/>
    </row>
    <row r="173" spans="1:24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1210"/>
      <c r="O173" s="1038"/>
      <c r="P173" s="1210"/>
      <c r="Q173" s="1038"/>
      <c r="R173" s="484"/>
      <c r="S173" s="79"/>
      <c r="T173" s="877"/>
      <c r="U173" s="79"/>
    </row>
    <row r="174" spans="1:24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1210"/>
      <c r="O174" s="1038"/>
      <c r="P174" s="1210"/>
      <c r="Q174" s="1038"/>
      <c r="R174" s="484"/>
      <c r="S174" s="79"/>
      <c r="T174" s="877"/>
      <c r="U174" s="79"/>
    </row>
    <row r="175" spans="1:24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1210"/>
      <c r="O175" s="1038"/>
      <c r="P175" s="1210"/>
      <c r="Q175" s="1038"/>
      <c r="R175" s="484"/>
      <c r="S175" s="79"/>
      <c r="T175" s="877"/>
      <c r="U175" s="79"/>
    </row>
    <row r="176" spans="1:24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1210"/>
      <c r="O176" s="1038"/>
      <c r="P176" s="1210"/>
      <c r="Q176" s="1038"/>
      <c r="R176" s="484"/>
      <c r="S176" s="79"/>
      <c r="T176" s="877"/>
      <c r="U176" s="79"/>
    </row>
    <row r="177" spans="1:21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1210"/>
      <c r="O177" s="1038"/>
      <c r="P177" s="1210"/>
      <c r="Q177" s="1038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769"/>
      <c r="M178" s="866"/>
      <c r="N178" s="1210"/>
      <c r="O178" s="1038"/>
      <c r="P178" s="1210"/>
      <c r="Q178" s="1038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769"/>
      <c r="M179" s="866"/>
      <c r="N179" s="1210"/>
      <c r="O179" s="1038"/>
      <c r="P179" s="1210"/>
      <c r="Q179" s="1038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769"/>
      <c r="M180" s="86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769"/>
      <c r="M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769"/>
      <c r="M182" s="868"/>
      <c r="N182" s="79"/>
      <c r="O182" s="79"/>
      <c r="P182" s="79"/>
      <c r="Q182" s="79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769"/>
      <c r="M183" s="868"/>
      <c r="N183" s="81"/>
      <c r="O183" s="755"/>
      <c r="P183" s="81"/>
      <c r="Q183" s="755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769"/>
      <c r="M184" s="868"/>
      <c r="N184" s="868"/>
      <c r="O184" s="79"/>
      <c r="P184" s="868"/>
      <c r="Q184" s="79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769"/>
      <c r="M185" s="868"/>
      <c r="N185" s="754"/>
      <c r="O185" s="886"/>
      <c r="P185" s="754"/>
      <c r="Q185" s="886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69"/>
      <c r="K186" s="868"/>
      <c r="L186" s="769"/>
      <c r="M186" s="868"/>
      <c r="N186" s="864"/>
      <c r="O186" s="864"/>
      <c r="P186" s="864"/>
      <c r="Q186" s="864"/>
      <c r="R186" s="484"/>
      <c r="S186" s="79"/>
      <c r="T186" s="877"/>
      <c r="U186" s="79"/>
    </row>
    <row r="187" spans="1:21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769"/>
      <c r="M187" s="866"/>
      <c r="N187" s="864"/>
      <c r="O187" s="1032"/>
      <c r="P187" s="864"/>
      <c r="Q187" s="1032"/>
      <c r="R187" s="484"/>
      <c r="S187" s="79"/>
      <c r="T187" s="877"/>
      <c r="U187" s="79"/>
    </row>
    <row r="188" spans="1:21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6"/>
      <c r="L188" s="769"/>
      <c r="M188" s="866"/>
      <c r="N188" s="864"/>
      <c r="O188" s="1032"/>
      <c r="P188" s="864"/>
      <c r="Q188" s="1032"/>
      <c r="R188" s="484"/>
      <c r="S188" s="79"/>
      <c r="T188" s="877"/>
      <c r="U188" s="79"/>
    </row>
    <row r="189" spans="1:21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8"/>
      <c r="L189" s="769"/>
      <c r="M189" s="868"/>
      <c r="N189" s="85"/>
      <c r="O189" s="795"/>
      <c r="P189" s="85"/>
      <c r="Q189" s="795"/>
      <c r="R189" s="484"/>
      <c r="S189" s="79"/>
      <c r="T189" s="877"/>
      <c r="U189" s="79"/>
    </row>
    <row r="190" spans="1:21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769"/>
      <c r="M190" s="866"/>
      <c r="N190" s="85"/>
      <c r="O190" s="177"/>
      <c r="P190" s="85"/>
      <c r="Q190" s="177"/>
      <c r="R190" s="484"/>
      <c r="S190" s="79"/>
      <c r="T190" s="877"/>
      <c r="U190" s="79"/>
    </row>
    <row r="191" spans="1:21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69"/>
      <c r="K191" s="866"/>
      <c r="L191" s="769"/>
      <c r="M191" s="866"/>
      <c r="N191" s="85"/>
      <c r="O191" s="177"/>
      <c r="P191" s="85"/>
      <c r="Q191" s="177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769"/>
      <c r="M192" s="868"/>
      <c r="N192" s="85"/>
      <c r="O192" s="177" t="s">
        <v>280</v>
      </c>
      <c r="P192" s="85"/>
      <c r="Q192" s="177" t="s">
        <v>280</v>
      </c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769"/>
      <c r="M193" s="868"/>
      <c r="N193" s="85"/>
      <c r="O193" s="177"/>
      <c r="P193" s="85"/>
      <c r="Q193" s="177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769"/>
      <c r="M194" s="868"/>
      <c r="N194" s="85"/>
      <c r="O194" s="866"/>
      <c r="P194" s="85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8"/>
      <c r="L195" s="769"/>
      <c r="M195" s="868"/>
      <c r="N195" s="769"/>
      <c r="O195" s="216"/>
      <c r="P195" s="769"/>
      <c r="Q195" s="21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6"/>
      <c r="L196" s="769"/>
      <c r="M196" s="866"/>
      <c r="N196" s="79"/>
      <c r="O196" s="216"/>
      <c r="P196" s="79"/>
      <c r="Q196" s="216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223"/>
      <c r="K197" s="629"/>
      <c r="L197" s="223"/>
      <c r="M197" s="629"/>
      <c r="N197" s="769"/>
      <c r="O197" s="868"/>
      <c r="P197" s="769"/>
      <c r="Q197" s="86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56"/>
      <c r="K198" s="756"/>
      <c r="L198" s="756"/>
      <c r="M198" s="756"/>
      <c r="N198" s="769"/>
      <c r="O198" s="868"/>
      <c r="P198" s="769"/>
      <c r="Q198" s="86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868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69"/>
      <c r="O200" s="79"/>
      <c r="P200" s="769"/>
      <c r="Q200" s="79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85"/>
      <c r="K203" s="85"/>
      <c r="L203" s="85"/>
      <c r="M203" s="85"/>
      <c r="N203" s="1517"/>
      <c r="O203" s="79"/>
      <c r="P203" s="1517"/>
      <c r="Q203" s="79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868"/>
      <c r="P204" s="79"/>
      <c r="Q204" s="86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89"/>
      <c r="O205" s="79"/>
      <c r="P205" s="89"/>
      <c r="Q205" s="79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69"/>
      <c r="O207" s="866"/>
      <c r="P207" s="769"/>
      <c r="Q207" s="866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69"/>
      <c r="O208" s="866"/>
      <c r="P208" s="769"/>
      <c r="Q208" s="866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69"/>
      <c r="O209" s="866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85"/>
      <c r="K210" s="85"/>
      <c r="L210" s="85"/>
      <c r="M210" s="85"/>
      <c r="O210" s="866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69"/>
      <c r="O211" s="866"/>
      <c r="P211" s="769"/>
      <c r="Q211" s="866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69"/>
      <c r="O212" s="868"/>
      <c r="P212" s="769"/>
      <c r="Q212" s="86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69"/>
      <c r="O213" s="866"/>
      <c r="P213" s="769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70"/>
      <c r="O214" s="866"/>
      <c r="P214" s="770"/>
      <c r="Q214" s="866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69"/>
      <c r="O215" s="868"/>
      <c r="P215" s="769"/>
      <c r="Q215" s="86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69"/>
      <c r="O216" s="866"/>
      <c r="P216" s="769"/>
      <c r="Q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71"/>
      <c r="L217" s="771"/>
      <c r="N217" s="769"/>
      <c r="O217" s="866"/>
      <c r="P217" s="769"/>
      <c r="Q217" s="86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69"/>
      <c r="O218" s="866"/>
      <c r="P218" s="769"/>
      <c r="Q218" s="866"/>
      <c r="R218" s="484"/>
      <c r="S218" s="79"/>
      <c r="T218" s="877"/>
      <c r="U218" s="79"/>
    </row>
    <row r="219" spans="1:21" x14ac:dyDescent="0.25">
      <c r="N219" s="769"/>
      <c r="O219" s="866"/>
      <c r="P219" s="769"/>
      <c r="Q219" s="866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6"/>
      <c r="P221" s="769"/>
      <c r="Q221" s="866"/>
    </row>
    <row r="222" spans="1:21" x14ac:dyDescent="0.25">
      <c r="N222" s="769"/>
      <c r="O222" s="866"/>
      <c r="P222" s="769"/>
      <c r="Q222" s="866"/>
    </row>
    <row r="223" spans="1:21" x14ac:dyDescent="0.25">
      <c r="N223" s="769"/>
      <c r="O223" s="866"/>
      <c r="P223" s="769"/>
      <c r="Q223" s="866"/>
    </row>
    <row r="224" spans="1:21" x14ac:dyDescent="0.25">
      <c r="N224" s="769"/>
      <c r="O224" s="866"/>
      <c r="P224" s="769"/>
      <c r="Q224" s="866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69"/>
      <c r="O226" s="866"/>
      <c r="P226" s="769"/>
      <c r="Q226" s="86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69"/>
      <c r="O227" s="868"/>
      <c r="P227" s="769"/>
      <c r="Q227" s="86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69"/>
      <c r="O228" s="868"/>
      <c r="P228" s="769"/>
      <c r="Q228" s="868"/>
      <c r="R228" s="484"/>
      <c r="S228" s="79"/>
      <c r="T228" s="877"/>
      <c r="U228" s="79"/>
    </row>
    <row r="229" spans="1:21" x14ac:dyDescent="0.25">
      <c r="N229" s="769"/>
      <c r="O229" s="868"/>
      <c r="P229" s="769"/>
      <c r="Q229" s="868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69"/>
      <c r="O230" s="868"/>
      <c r="P230" s="769"/>
      <c r="Q230" s="868"/>
      <c r="R230" s="484"/>
      <c r="S230" s="79"/>
      <c r="T230" s="877"/>
      <c r="U230" s="79"/>
    </row>
    <row r="231" spans="1:21" x14ac:dyDescent="0.25">
      <c r="N231" s="769"/>
      <c r="O231" s="868"/>
      <c r="P231" s="769"/>
      <c r="Q231" s="868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629"/>
      <c r="L232" s="79"/>
      <c r="M232" s="629"/>
      <c r="N232" s="769"/>
      <c r="O232" s="866"/>
      <c r="P232" s="769"/>
      <c r="Q232" s="866"/>
      <c r="R232" s="484"/>
      <c r="S232" s="79"/>
      <c r="T232" s="877"/>
      <c r="U232" s="79"/>
    </row>
    <row r="233" spans="1:21" x14ac:dyDescent="0.25">
      <c r="N233" s="769"/>
      <c r="O233" s="866"/>
      <c r="P233" s="769"/>
      <c r="Q233" s="866"/>
    </row>
    <row r="234" spans="1:21" x14ac:dyDescent="0.25">
      <c r="N234" s="769"/>
      <c r="O234" s="868"/>
      <c r="P234" s="769"/>
      <c r="Q234" s="868"/>
    </row>
    <row r="235" spans="1:21" x14ac:dyDescent="0.25">
      <c r="N235" s="769"/>
      <c r="O235" s="866"/>
      <c r="P235" s="769"/>
      <c r="Q235" s="866"/>
    </row>
    <row r="236" spans="1:21" x14ac:dyDescent="0.25">
      <c r="N236" s="769"/>
      <c r="O236" s="866"/>
      <c r="P236" s="769"/>
      <c r="Q236" s="866"/>
    </row>
    <row r="237" spans="1:21" x14ac:dyDescent="0.25">
      <c r="N237" s="769"/>
      <c r="O237" s="868"/>
      <c r="P237" s="769"/>
      <c r="Q237" s="868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69"/>
      <c r="O238" s="868"/>
      <c r="P238" s="769"/>
      <c r="Q238" s="868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69"/>
      <c r="O239" s="868"/>
      <c r="P239" s="76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769"/>
      <c r="O240" s="868"/>
      <c r="P240" s="76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79"/>
      <c r="M241" s="216"/>
      <c r="N241" s="769"/>
      <c r="O241" s="866"/>
      <c r="P241" s="769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79"/>
      <c r="M242" s="216"/>
      <c r="N242" s="223"/>
      <c r="O242" s="629"/>
      <c r="P242" s="223"/>
      <c r="Q242" s="629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79"/>
      <c r="M243" s="216"/>
      <c r="N243" s="756"/>
      <c r="O243" s="756"/>
      <c r="P243" s="756"/>
      <c r="Q243" s="75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79"/>
      <c r="M244" s="216"/>
      <c r="N244" s="79"/>
      <c r="O244" s="79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79"/>
      <c r="M245" s="216"/>
      <c r="N245" s="79"/>
      <c r="O245" s="79"/>
      <c r="P245" s="79"/>
      <c r="Q245" s="79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216"/>
      <c r="L246" s="79"/>
      <c r="M246" s="216"/>
      <c r="N246" s="79"/>
      <c r="O246" s="79"/>
      <c r="P246" s="79"/>
      <c r="Q246" s="79"/>
      <c r="R246" s="484"/>
      <c r="S246" s="79"/>
      <c r="T246" s="877"/>
      <c r="U246" s="79"/>
    </row>
    <row r="248" spans="1:21" x14ac:dyDescent="0.25">
      <c r="N248" s="85"/>
      <c r="O248" s="85"/>
      <c r="P248" s="85"/>
      <c r="Q248" s="85"/>
    </row>
    <row r="255" spans="1:21" x14ac:dyDescent="0.25">
      <c r="N255" s="85"/>
      <c r="O255" s="85"/>
      <c r="P255" s="85"/>
      <c r="Q255" s="85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71"/>
      <c r="O262" s="518"/>
      <c r="P262" s="771"/>
      <c r="Q262" s="518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3" spans="1:42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S263" s="79"/>
      <c r="T263" s="877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216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216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  <row r="277" spans="1:42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629"/>
      <c r="P277" s="79"/>
      <c r="Q277" s="629"/>
      <c r="S277" s="79"/>
      <c r="T277" s="877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</row>
    <row r="283" spans="1:42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216"/>
      <c r="P283" s="79"/>
      <c r="Q283" s="216"/>
      <c r="S283" s="79"/>
      <c r="T283" s="877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</row>
    <row r="284" spans="1:42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216"/>
      <c r="P284" s="79"/>
      <c r="Q284" s="216"/>
      <c r="S284" s="79"/>
      <c r="T284" s="877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</row>
    <row r="285" spans="1:42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216"/>
      <c r="P285" s="79"/>
      <c r="Q285" s="216"/>
      <c r="S285" s="79"/>
      <c r="T285" s="877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</row>
    <row r="286" spans="1:42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216"/>
      <c r="P286" s="79"/>
      <c r="Q286" s="216"/>
      <c r="S286" s="79"/>
      <c r="T286" s="877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</row>
    <row r="287" spans="1:42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216"/>
      <c r="P287" s="79"/>
      <c r="Q287" s="216"/>
      <c r="S287" s="79"/>
      <c r="T287" s="877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216"/>
      <c r="P288" s="79"/>
      <c r="Q288" s="216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216"/>
      <c r="P289" s="79"/>
      <c r="Q289" s="216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216"/>
      <c r="P290" s="79"/>
      <c r="Q290" s="216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79"/>
      <c r="L291" s="79"/>
      <c r="M291" s="79"/>
      <c r="N291" s="79"/>
      <c r="O291" s="216"/>
      <c r="P291" s="79"/>
      <c r="Q291" s="216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</sheetData>
  <autoFilter ref="A2:I136" xr:uid="{00000000-0009-0000-0000-00007E000000}">
    <filterColumn colId="3">
      <filters>
        <filter val="DC"/>
      </filters>
    </filterColumn>
  </autoFilter>
  <mergeCells count="18">
    <mergeCell ref="R86:Z86"/>
    <mergeCell ref="B159:D159"/>
    <mergeCell ref="L2:M3"/>
    <mergeCell ref="P2:Q3"/>
    <mergeCell ref="A135:E135"/>
    <mergeCell ref="A136:E136"/>
    <mergeCell ref="C158:D158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N2:O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Plan142"/>
  <dimension ref="A1:AP267"/>
  <sheetViews>
    <sheetView zoomScale="85" zoomScaleNormal="85" workbookViewId="0">
      <selection activeCell="B27" sqref="A1:AP26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6.140625" style="79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3419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44774</v>
      </c>
      <c r="B5" s="369" t="s">
        <v>10</v>
      </c>
      <c r="C5" s="370"/>
      <c r="D5" s="370"/>
      <c r="E5" s="777"/>
      <c r="F5" s="179"/>
      <c r="G5" s="933">
        <f>'Julho-22'!G136</f>
        <v>371.90958333335402</v>
      </c>
      <c r="H5" s="163"/>
      <c r="I5" s="1479">
        <f>'Julho-22'!I136</f>
        <v>559.99599999999919</v>
      </c>
      <c r="J5" s="179"/>
      <c r="K5" s="933">
        <f>'Julho-22'!K136</f>
        <v>6693.0700000000015</v>
      </c>
      <c r="L5" s="179"/>
      <c r="M5" s="933">
        <f>'Julho-22'!M136</f>
        <v>11379.689999999999</v>
      </c>
      <c r="N5" s="179"/>
      <c r="O5" s="933">
        <f>'Julho-22'!O136</f>
        <v>10624.48</v>
      </c>
      <c r="P5" s="179"/>
      <c r="Q5" s="933">
        <f>'Julho-22'!Q136</f>
        <v>39725.615984720003</v>
      </c>
    </row>
    <row r="6" spans="1:21" s="224" customFormat="1" x14ac:dyDescent="0.25">
      <c r="A6" s="215">
        <v>44774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customHeight="1" x14ac:dyDescent="0.25">
      <c r="A7" s="215">
        <v>44774</v>
      </c>
      <c r="B7" s="882" t="s">
        <v>138</v>
      </c>
      <c r="C7" s="879" t="s">
        <v>12</v>
      </c>
      <c r="D7" s="879" t="s">
        <v>2157</v>
      </c>
      <c r="E7" s="871" t="s">
        <v>13</v>
      </c>
      <c r="F7" s="780">
        <v>60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982"/>
      <c r="R7" s="1117"/>
      <c r="U7" s="958"/>
    </row>
    <row r="8" spans="1:21" s="224" customFormat="1" ht="14.25" customHeight="1" x14ac:dyDescent="0.25">
      <c r="A8" s="215">
        <v>44774</v>
      </c>
      <c r="B8" s="882" t="s">
        <v>32</v>
      </c>
      <c r="C8" s="879" t="s">
        <v>12</v>
      </c>
      <c r="D8" s="879" t="s">
        <v>1485</v>
      </c>
      <c r="E8" s="875" t="s">
        <v>13</v>
      </c>
      <c r="F8" s="780">
        <v>18</v>
      </c>
      <c r="G8" s="982"/>
      <c r="H8" s="622"/>
      <c r="I8" s="982"/>
      <c r="J8" s="622"/>
      <c r="K8" s="982"/>
      <c r="L8" s="622"/>
      <c r="M8" s="982"/>
      <c r="N8" s="622"/>
      <c r="O8" s="982"/>
      <c r="P8" s="622"/>
      <c r="Q8" s="982"/>
      <c r="R8" s="927"/>
      <c r="T8" s="878"/>
    </row>
    <row r="9" spans="1:21" s="224" customFormat="1" ht="15" customHeight="1" x14ac:dyDescent="0.25">
      <c r="A9" s="215">
        <v>44775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18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982"/>
      <c r="R9" s="861"/>
    </row>
    <row r="10" spans="1:21" s="224" customFormat="1" ht="15" customHeight="1" x14ac:dyDescent="0.25">
      <c r="A10" s="215">
        <v>44775</v>
      </c>
      <c r="B10" s="882" t="s">
        <v>3420</v>
      </c>
      <c r="C10" s="879" t="s">
        <v>12</v>
      </c>
      <c r="D10" s="879" t="s">
        <v>1524</v>
      </c>
      <c r="E10" s="871" t="s">
        <v>13</v>
      </c>
      <c r="F10" s="780">
        <v>6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982"/>
      <c r="R10" s="1029"/>
      <c r="S10" s="89"/>
      <c r="T10" s="930"/>
    </row>
    <row r="11" spans="1:21" s="224" customFormat="1" ht="15" customHeight="1" x14ac:dyDescent="0.25">
      <c r="A11" s="215">
        <v>44775</v>
      </c>
      <c r="B11" s="882" t="s">
        <v>2300</v>
      </c>
      <c r="C11" s="879" t="s">
        <v>12</v>
      </c>
      <c r="D11" s="879" t="s">
        <v>1493</v>
      </c>
      <c r="E11" s="871" t="s">
        <v>13</v>
      </c>
      <c r="F11" s="780">
        <v>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982"/>
      <c r="R11" s="1029"/>
      <c r="S11" s="89"/>
      <c r="T11" s="930"/>
    </row>
    <row r="12" spans="1:21" s="224" customFormat="1" ht="15" customHeight="1" x14ac:dyDescent="0.25">
      <c r="A12" s="215">
        <v>44776</v>
      </c>
      <c r="B12" s="882" t="s">
        <v>32</v>
      </c>
      <c r="C12" s="879" t="s">
        <v>12</v>
      </c>
      <c r="D12" s="879" t="s">
        <v>1485</v>
      </c>
      <c r="E12" s="875" t="s">
        <v>13</v>
      </c>
      <c r="F12" s="780">
        <v>10.5</v>
      </c>
      <c r="G12" s="946"/>
      <c r="H12" s="95"/>
      <c r="I12" s="1064"/>
      <c r="J12" s="622"/>
      <c r="K12" s="982"/>
      <c r="L12" s="622"/>
      <c r="M12" s="982"/>
      <c r="N12" s="622"/>
      <c r="O12" s="982"/>
      <c r="P12" s="622"/>
      <c r="Q12" s="982"/>
      <c r="R12" s="861"/>
    </row>
    <row r="13" spans="1:21" s="224" customFormat="1" ht="15" customHeight="1" x14ac:dyDescent="0.25">
      <c r="A13" s="215">
        <v>44776</v>
      </c>
      <c r="B13" s="882" t="s">
        <v>17</v>
      </c>
      <c r="C13" s="879" t="s">
        <v>12</v>
      </c>
      <c r="D13" s="879" t="s">
        <v>1493</v>
      </c>
      <c r="E13" s="875" t="s">
        <v>13</v>
      </c>
      <c r="F13" s="780">
        <v>5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982"/>
      <c r="R13" s="861"/>
    </row>
    <row r="14" spans="1:21" s="224" customFormat="1" ht="15" customHeight="1" x14ac:dyDescent="0.25">
      <c r="A14" s="215">
        <v>44776</v>
      </c>
      <c r="B14" s="364" t="s">
        <v>14</v>
      </c>
      <c r="C14" s="350" t="s">
        <v>12</v>
      </c>
      <c r="D14" s="350" t="s">
        <v>1486</v>
      </c>
      <c r="E14" s="875" t="s">
        <v>13</v>
      </c>
      <c r="F14" s="780">
        <v>6.65</v>
      </c>
      <c r="G14" s="982"/>
      <c r="H14" s="1060"/>
      <c r="I14" s="1033"/>
      <c r="J14" s="880"/>
      <c r="K14" s="1033"/>
      <c r="L14" s="880"/>
      <c r="M14" s="1033"/>
      <c r="N14" s="880"/>
      <c r="O14" s="1033"/>
      <c r="P14" s="880"/>
      <c r="Q14" s="1033"/>
      <c r="R14" s="1080"/>
      <c r="S14" s="927"/>
      <c r="T14" s="878"/>
    </row>
    <row r="15" spans="1:21" s="224" customFormat="1" ht="15" customHeight="1" x14ac:dyDescent="0.25">
      <c r="A15" s="215">
        <v>44776</v>
      </c>
      <c r="B15" s="882" t="s">
        <v>138</v>
      </c>
      <c r="C15" s="879" t="s">
        <v>12</v>
      </c>
      <c r="D15" s="879" t="s">
        <v>2157</v>
      </c>
      <c r="E15" s="871" t="s">
        <v>15</v>
      </c>
      <c r="F15" s="780">
        <v>100</v>
      </c>
      <c r="G15" s="946"/>
      <c r="H15" s="95"/>
      <c r="I15" s="1064"/>
      <c r="J15" s="622"/>
      <c r="K15" s="982"/>
      <c r="L15" s="622"/>
      <c r="M15" s="982"/>
      <c r="N15" s="622"/>
      <c r="O15" s="982"/>
      <c r="P15" s="622"/>
      <c r="Q15" s="982"/>
      <c r="R15" s="1117"/>
      <c r="U15" s="958"/>
    </row>
    <row r="16" spans="1:21" s="224" customFormat="1" ht="15" customHeight="1" x14ac:dyDescent="0.25">
      <c r="A16" s="215">
        <v>44777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18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982"/>
      <c r="R16" s="861"/>
    </row>
    <row r="17" spans="1:42" s="224" customFormat="1" ht="15" customHeight="1" x14ac:dyDescent="0.25">
      <c r="A17" s="215">
        <v>44777</v>
      </c>
      <c r="B17" s="364" t="s">
        <v>81</v>
      </c>
      <c r="C17" s="350" t="s">
        <v>12</v>
      </c>
      <c r="D17" s="350" t="s">
        <v>1493</v>
      </c>
      <c r="E17" s="875" t="s">
        <v>13</v>
      </c>
      <c r="F17" s="780">
        <v>5.73</v>
      </c>
      <c r="G17" s="982"/>
      <c r="H17" s="1008"/>
      <c r="I17" s="1063"/>
      <c r="J17" s="622"/>
      <c r="K17" s="982"/>
      <c r="L17" s="622"/>
      <c r="M17" s="982"/>
      <c r="N17" s="622"/>
      <c r="O17" s="982"/>
      <c r="P17" s="622"/>
      <c r="Q17" s="982"/>
      <c r="R17" s="1029"/>
      <c r="S17" s="89"/>
      <c r="T17" s="930"/>
    </row>
    <row r="18" spans="1:42" s="224" customFormat="1" ht="15.75" customHeight="1" x14ac:dyDescent="0.25">
      <c r="A18" s="215">
        <v>44778</v>
      </c>
      <c r="B18" s="873" t="s">
        <v>3421</v>
      </c>
      <c r="C18" s="879" t="s">
        <v>12</v>
      </c>
      <c r="D18" s="874"/>
      <c r="E18" s="871" t="s">
        <v>25</v>
      </c>
      <c r="F18" s="1524"/>
      <c r="G18" s="1002">
        <v>2120.71</v>
      </c>
      <c r="H18" s="538"/>
      <c r="I18" s="982"/>
      <c r="J18" s="622"/>
      <c r="K18" s="982"/>
      <c r="L18" s="622"/>
      <c r="M18" s="982"/>
      <c r="N18" s="622"/>
      <c r="O18" s="982"/>
      <c r="P18" s="622"/>
      <c r="Q18" s="982"/>
      <c r="R18" s="178"/>
    </row>
    <row r="19" spans="1:42" s="224" customFormat="1" ht="15" customHeight="1" x14ac:dyDescent="0.25">
      <c r="A19" s="215">
        <v>44778</v>
      </c>
      <c r="B19" s="862" t="s">
        <v>3422</v>
      </c>
      <c r="C19" s="879" t="s">
        <v>12</v>
      </c>
      <c r="D19" s="879" t="s">
        <v>1504</v>
      </c>
      <c r="E19" s="871" t="s">
        <v>13</v>
      </c>
      <c r="F19" s="780">
        <v>29.9</v>
      </c>
      <c r="G19" s="982"/>
      <c r="H19" s="1008"/>
      <c r="I19" s="1063"/>
      <c r="J19" s="622"/>
      <c r="K19" s="982"/>
      <c r="L19" s="622"/>
      <c r="M19" s="982"/>
      <c r="N19" s="622"/>
      <c r="O19" s="982"/>
      <c r="P19" s="622"/>
      <c r="Q19" s="982"/>
      <c r="R19" s="1028">
        <v>89.9</v>
      </c>
      <c r="S19" s="999"/>
      <c r="T19" s="1035"/>
    </row>
    <row r="20" spans="1:42" s="224" customFormat="1" ht="15" customHeight="1" x14ac:dyDescent="0.25">
      <c r="A20" s="215">
        <v>44778</v>
      </c>
      <c r="B20" s="882" t="s">
        <v>3423</v>
      </c>
      <c r="C20" s="879" t="s">
        <v>12</v>
      </c>
      <c r="D20" s="879" t="s">
        <v>1499</v>
      </c>
      <c r="E20" s="871" t="s">
        <v>13</v>
      </c>
      <c r="F20" s="780">
        <v>65.86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622"/>
      <c r="Q20" s="982"/>
      <c r="R20" s="1028">
        <v>155.86000000000001</v>
      </c>
      <c r="S20" s="999"/>
      <c r="T20" s="878"/>
    </row>
    <row r="21" spans="1:42" s="224" customFormat="1" ht="15" customHeight="1" x14ac:dyDescent="0.25">
      <c r="A21" s="215">
        <v>44778</v>
      </c>
      <c r="B21" s="364" t="s">
        <v>2977</v>
      </c>
      <c r="C21" s="350" t="s">
        <v>12</v>
      </c>
      <c r="D21" s="350" t="s">
        <v>1491</v>
      </c>
      <c r="E21" s="875" t="s">
        <v>13</v>
      </c>
      <c r="F21" s="780">
        <v>300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622"/>
      <c r="Q21" s="982"/>
      <c r="R21" s="861"/>
      <c r="T21" s="1035"/>
    </row>
    <row r="22" spans="1:42" x14ac:dyDescent="0.25">
      <c r="A22" s="215">
        <v>44778</v>
      </c>
      <c r="B22" s="876" t="s">
        <v>3060</v>
      </c>
      <c r="C22" s="879" t="s">
        <v>12</v>
      </c>
      <c r="D22" s="879" t="s">
        <v>1496</v>
      </c>
      <c r="E22" s="871" t="s">
        <v>13</v>
      </c>
      <c r="F22" s="780">
        <v>80</v>
      </c>
      <c r="G22" s="982"/>
      <c r="H22" s="1009"/>
      <c r="I22" s="1063"/>
      <c r="J22" s="622"/>
      <c r="K22" s="982"/>
      <c r="L22" s="622"/>
      <c r="M22" s="982"/>
      <c r="N22" s="622"/>
      <c r="O22" s="982"/>
      <c r="P22" s="622"/>
      <c r="Q22" s="982"/>
      <c r="R22" s="1029"/>
    </row>
    <row r="23" spans="1:42" s="224" customFormat="1" ht="14.25" customHeight="1" x14ac:dyDescent="0.25">
      <c r="A23" s="215">
        <v>44778</v>
      </c>
      <c r="B23" s="882" t="s">
        <v>3424</v>
      </c>
      <c r="C23" s="879" t="s">
        <v>12</v>
      </c>
      <c r="D23" s="879" t="s">
        <v>3017</v>
      </c>
      <c r="E23" s="875" t="s">
        <v>13</v>
      </c>
      <c r="F23" s="780">
        <v>557.42999999999995</v>
      </c>
      <c r="G23" s="982"/>
      <c r="H23" s="1008"/>
      <c r="I23" s="1063"/>
      <c r="J23" s="622"/>
      <c r="K23" s="982"/>
      <c r="L23" s="622"/>
      <c r="M23" s="982">
        <v>557.42999999999995</v>
      </c>
      <c r="N23" s="622"/>
      <c r="O23" s="982"/>
      <c r="P23" s="622"/>
      <c r="Q23" s="982"/>
      <c r="R23" s="861">
        <v>500</v>
      </c>
      <c r="S23" s="878" t="s">
        <v>3018</v>
      </c>
      <c r="T23" s="1035"/>
    </row>
    <row r="24" spans="1:42" s="224" customFormat="1" ht="15" customHeight="1" x14ac:dyDescent="0.25">
      <c r="A24" s="215">
        <v>44778</v>
      </c>
      <c r="B24" s="364" t="s">
        <v>3425</v>
      </c>
      <c r="C24" s="879"/>
      <c r="D24" s="879"/>
      <c r="E24" s="875" t="s">
        <v>25</v>
      </c>
      <c r="F24" s="780"/>
      <c r="G24" s="982"/>
      <c r="H24" s="622"/>
      <c r="I24" s="982"/>
      <c r="J24" s="622"/>
      <c r="K24" s="982"/>
      <c r="L24" s="622"/>
      <c r="M24" s="982"/>
      <c r="N24" s="622"/>
      <c r="O24" s="982"/>
      <c r="P24" s="622"/>
      <c r="Q24" s="982">
        <v>400</v>
      </c>
      <c r="R24" s="927"/>
      <c r="S24" s="927"/>
      <c r="T24" s="878"/>
    </row>
    <row r="25" spans="1:42" s="224" customFormat="1" ht="15" customHeight="1" x14ac:dyDescent="0.25">
      <c r="A25" s="215">
        <v>44778</v>
      </c>
      <c r="B25" s="349" t="s">
        <v>260</v>
      </c>
      <c r="C25" s="350" t="s">
        <v>12</v>
      </c>
      <c r="D25" s="350"/>
      <c r="E25" s="480"/>
      <c r="F25" s="780">
        <v>140</v>
      </c>
      <c r="G25" s="946"/>
      <c r="H25" s="95"/>
      <c r="I25" s="1064">
        <v>140</v>
      </c>
      <c r="J25" s="622"/>
      <c r="K25" s="982"/>
      <c r="L25" s="1110"/>
      <c r="M25" s="627"/>
      <c r="N25" s="1110"/>
      <c r="O25" s="627"/>
      <c r="P25" s="1110"/>
      <c r="Q25" s="627"/>
      <c r="R25" s="1080"/>
    </row>
    <row r="26" spans="1:42" s="224" customFormat="1" ht="15" customHeight="1" x14ac:dyDescent="0.25">
      <c r="A26" s="215">
        <v>44778</v>
      </c>
      <c r="B26" s="873" t="s">
        <v>3426</v>
      </c>
      <c r="C26" s="874" t="s">
        <v>19</v>
      </c>
      <c r="D26" s="874" t="s">
        <v>1504</v>
      </c>
      <c r="E26" s="875" t="s">
        <v>13</v>
      </c>
      <c r="F26" s="780">
        <v>53.5</v>
      </c>
      <c r="G26" s="982"/>
      <c r="H26" s="622"/>
      <c r="I26" s="982"/>
      <c r="J26" s="622"/>
      <c r="K26" s="982"/>
      <c r="L26" s="622"/>
      <c r="M26" s="982"/>
      <c r="N26" s="622"/>
      <c r="O26" s="982"/>
      <c r="P26" s="622"/>
      <c r="Q26" s="982"/>
      <c r="R26" s="1080" t="s">
        <v>3292</v>
      </c>
      <c r="S26" s="927"/>
      <c r="T26" s="878"/>
    </row>
    <row r="27" spans="1:42" s="224" customFormat="1" x14ac:dyDescent="0.25">
      <c r="A27" s="215">
        <v>44778</v>
      </c>
      <c r="B27" s="882" t="s">
        <v>3427</v>
      </c>
      <c r="C27" s="874" t="s">
        <v>19</v>
      </c>
      <c r="D27" s="879" t="s">
        <v>1522</v>
      </c>
      <c r="E27" s="480" t="s">
        <v>13</v>
      </c>
      <c r="F27" s="780">
        <v>49.94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982"/>
      <c r="R27" s="1080" t="s">
        <v>3292</v>
      </c>
      <c r="T27" s="878"/>
    </row>
    <row r="28" spans="1:42" s="224" customFormat="1" ht="15" customHeight="1" x14ac:dyDescent="0.25">
      <c r="A28" s="215">
        <v>44778</v>
      </c>
      <c r="B28" s="873" t="s">
        <v>3428</v>
      </c>
      <c r="C28" s="874" t="s">
        <v>19</v>
      </c>
      <c r="D28" s="874" t="s">
        <v>1524</v>
      </c>
      <c r="E28" s="875" t="s">
        <v>13</v>
      </c>
      <c r="F28" s="780">
        <v>16.600000000000001</v>
      </c>
      <c r="G28" s="982"/>
      <c r="H28" s="622"/>
      <c r="I28" s="982"/>
      <c r="J28" s="622"/>
      <c r="K28" s="982"/>
      <c r="L28" s="622"/>
      <c r="M28" s="982"/>
      <c r="N28" s="622"/>
      <c r="O28" s="982"/>
      <c r="P28" s="622"/>
      <c r="Q28" s="982"/>
      <c r="R28" s="1080" t="s">
        <v>3292</v>
      </c>
      <c r="S28" s="927"/>
      <c r="T28" s="878"/>
    </row>
    <row r="29" spans="1:42" s="224" customFormat="1" ht="15" customHeight="1" x14ac:dyDescent="0.25">
      <c r="A29" s="215">
        <v>44778</v>
      </c>
      <c r="B29" s="882" t="s">
        <v>32</v>
      </c>
      <c r="C29" s="879" t="s">
        <v>12</v>
      </c>
      <c r="D29" s="879" t="s">
        <v>1485</v>
      </c>
      <c r="E29" s="875" t="s">
        <v>13</v>
      </c>
      <c r="F29" s="780">
        <v>18</v>
      </c>
      <c r="G29" s="946"/>
      <c r="H29" s="95"/>
      <c r="I29" s="1064"/>
      <c r="J29" s="622"/>
      <c r="K29" s="982"/>
      <c r="L29" s="622"/>
      <c r="M29" s="982"/>
      <c r="N29" s="622"/>
      <c r="O29" s="982"/>
      <c r="P29" s="622"/>
      <c r="Q29" s="982"/>
      <c r="R29" s="861"/>
    </row>
    <row r="30" spans="1:42" s="224" customFormat="1" ht="15" customHeight="1" x14ac:dyDescent="0.25">
      <c r="A30" s="215">
        <v>44778</v>
      </c>
      <c r="B30" s="882" t="s">
        <v>82</v>
      </c>
      <c r="C30" s="879" t="s">
        <v>12</v>
      </c>
      <c r="D30" s="879" t="s">
        <v>1493</v>
      </c>
      <c r="E30" s="871" t="s">
        <v>13</v>
      </c>
      <c r="F30" s="780">
        <v>40</v>
      </c>
      <c r="G30" s="946"/>
      <c r="H30" s="95"/>
      <c r="I30" s="1064"/>
      <c r="J30" s="622"/>
      <c r="K30" s="982"/>
      <c r="L30" s="622"/>
      <c r="M30" s="982"/>
      <c r="N30" s="622"/>
      <c r="O30" s="982"/>
      <c r="P30" s="622"/>
      <c r="Q30" s="982"/>
      <c r="R30" s="861"/>
    </row>
    <row r="31" spans="1:42" s="224" customFormat="1" ht="15" customHeight="1" x14ac:dyDescent="0.25">
      <c r="A31" s="215">
        <v>44778</v>
      </c>
      <c r="B31" s="364" t="s">
        <v>1396</v>
      </c>
      <c r="C31" s="350" t="s">
        <v>12</v>
      </c>
      <c r="D31" s="350"/>
      <c r="E31" s="480" t="s">
        <v>25</v>
      </c>
      <c r="F31" s="613"/>
      <c r="G31" s="967">
        <v>100</v>
      </c>
      <c r="H31" s="1008"/>
      <c r="I31" s="1063"/>
      <c r="J31" s="622"/>
      <c r="K31" s="982"/>
      <c r="L31" s="1116"/>
      <c r="M31" s="1207"/>
      <c r="N31" s="1116"/>
      <c r="O31" s="1207"/>
      <c r="P31" s="1116"/>
      <c r="Q31" s="1207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x14ac:dyDescent="0.25">
      <c r="A32" s="215">
        <v>44779</v>
      </c>
      <c r="B32" s="882" t="s">
        <v>1438</v>
      </c>
      <c r="C32" s="879" t="s">
        <v>19</v>
      </c>
      <c r="D32" s="879" t="s">
        <v>1489</v>
      </c>
      <c r="E32" s="480" t="s">
        <v>13</v>
      </c>
      <c r="F32" s="780">
        <v>113.83</v>
      </c>
      <c r="G32" s="982"/>
      <c r="H32" s="1008"/>
      <c r="I32" s="1063"/>
      <c r="J32" s="622"/>
      <c r="K32" s="982"/>
      <c r="L32" s="622"/>
      <c r="M32" s="982"/>
      <c r="N32" s="622"/>
      <c r="O32" s="982"/>
      <c r="P32" s="622"/>
      <c r="Q32" s="982"/>
      <c r="R32" s="861"/>
      <c r="T32" s="878"/>
    </row>
    <row r="33" spans="1:42" s="224" customFormat="1" ht="15" customHeight="1" x14ac:dyDescent="0.25">
      <c r="A33" s="215">
        <v>44779</v>
      </c>
      <c r="B33" s="364" t="s">
        <v>3429</v>
      </c>
      <c r="C33" s="350" t="s">
        <v>12</v>
      </c>
      <c r="D33" s="350" t="s">
        <v>1491</v>
      </c>
      <c r="E33" s="875" t="s">
        <v>13</v>
      </c>
      <c r="F33" s="780">
        <v>40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982"/>
      <c r="R33" s="927"/>
      <c r="S33" s="927"/>
      <c r="T33" s="878"/>
    </row>
    <row r="34" spans="1:42" s="224" customFormat="1" ht="15" customHeight="1" x14ac:dyDescent="0.25">
      <c r="A34" s="215">
        <v>44779</v>
      </c>
      <c r="B34" s="364" t="s">
        <v>421</v>
      </c>
      <c r="C34" s="350" t="s">
        <v>12</v>
      </c>
      <c r="D34" s="350" t="s">
        <v>1493</v>
      </c>
      <c r="E34" s="875" t="s">
        <v>13</v>
      </c>
      <c r="F34" s="780">
        <v>44.7</v>
      </c>
      <c r="G34" s="982"/>
      <c r="H34" s="622"/>
      <c r="I34" s="982"/>
      <c r="J34" s="622"/>
      <c r="K34" s="982"/>
      <c r="L34" s="622"/>
      <c r="M34" s="982"/>
      <c r="N34" s="622"/>
      <c r="O34" s="982"/>
      <c r="P34" s="622"/>
      <c r="Q34" s="982"/>
      <c r="R34" s="927"/>
      <c r="S34" s="927"/>
      <c r="T34" s="878"/>
    </row>
    <row r="35" spans="1:42" s="224" customFormat="1" x14ac:dyDescent="0.25">
      <c r="A35" s="215">
        <v>44779</v>
      </c>
      <c r="B35" s="882" t="s">
        <v>3430</v>
      </c>
      <c r="C35" s="879" t="s">
        <v>12</v>
      </c>
      <c r="D35" s="879" t="s">
        <v>1489</v>
      </c>
      <c r="E35" s="480" t="s">
        <v>13</v>
      </c>
      <c r="F35" s="780">
        <v>12</v>
      </c>
      <c r="G35" s="982"/>
      <c r="H35" s="1008"/>
      <c r="I35" s="1063"/>
      <c r="J35" s="622"/>
      <c r="K35" s="982"/>
      <c r="L35" s="622"/>
      <c r="M35" s="982"/>
      <c r="N35" s="622"/>
      <c r="O35" s="982"/>
      <c r="P35" s="622"/>
      <c r="Q35" s="982"/>
      <c r="R35" s="861"/>
      <c r="T35" s="878"/>
    </row>
    <row r="36" spans="1:42" s="224" customFormat="1" ht="15" customHeight="1" x14ac:dyDescent="0.25">
      <c r="A36" s="215">
        <v>44779</v>
      </c>
      <c r="B36" s="364" t="s">
        <v>14</v>
      </c>
      <c r="C36" s="350" t="s">
        <v>12</v>
      </c>
      <c r="D36" s="350" t="s">
        <v>1486</v>
      </c>
      <c r="E36" s="875" t="s">
        <v>13</v>
      </c>
      <c r="F36" s="780">
        <v>6.84</v>
      </c>
      <c r="G36" s="982"/>
      <c r="H36" s="622"/>
      <c r="I36" s="982"/>
      <c r="J36" s="622"/>
      <c r="K36" s="982"/>
      <c r="L36" s="622"/>
      <c r="M36" s="982"/>
      <c r="N36" s="622"/>
      <c r="O36" s="982"/>
      <c r="P36" s="622"/>
      <c r="Q36" s="982"/>
      <c r="R36" s="927"/>
      <c r="S36" s="927"/>
      <c r="T36" s="878"/>
    </row>
    <row r="37" spans="1:42" s="224" customFormat="1" ht="15" customHeight="1" x14ac:dyDescent="0.25">
      <c r="A37" s="215">
        <v>44780</v>
      </c>
      <c r="B37" s="364" t="s">
        <v>2595</v>
      </c>
      <c r="C37" s="350" t="s">
        <v>12</v>
      </c>
      <c r="D37" s="350" t="s">
        <v>1506</v>
      </c>
      <c r="E37" s="875" t="s">
        <v>13</v>
      </c>
      <c r="F37" s="780">
        <v>10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982"/>
      <c r="R37" s="927"/>
      <c r="S37" s="927"/>
      <c r="T37" s="878"/>
    </row>
    <row r="38" spans="1:42" s="224" customFormat="1" ht="15" customHeight="1" x14ac:dyDescent="0.25">
      <c r="A38" s="215">
        <v>44780</v>
      </c>
      <c r="B38" s="364" t="s">
        <v>443</v>
      </c>
      <c r="C38" s="350" t="s">
        <v>12</v>
      </c>
      <c r="D38" s="350" t="s">
        <v>1493</v>
      </c>
      <c r="E38" s="875" t="s">
        <v>13</v>
      </c>
      <c r="F38" s="780">
        <v>9.9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982"/>
      <c r="R38" s="927"/>
      <c r="S38" s="927"/>
      <c r="T38" s="878"/>
    </row>
    <row r="39" spans="1:42" s="224" customFormat="1" ht="15" customHeight="1" x14ac:dyDescent="0.25">
      <c r="A39" s="215">
        <v>44781</v>
      </c>
      <c r="B39" s="882" t="s">
        <v>32</v>
      </c>
      <c r="C39" s="879" t="s">
        <v>12</v>
      </c>
      <c r="D39" s="879" t="s">
        <v>1485</v>
      </c>
      <c r="E39" s="875" t="s">
        <v>13</v>
      </c>
      <c r="F39" s="780">
        <v>18</v>
      </c>
      <c r="G39" s="946"/>
      <c r="H39" s="95"/>
      <c r="I39" s="1064"/>
      <c r="J39" s="622"/>
      <c r="K39" s="982"/>
      <c r="L39" s="622"/>
      <c r="M39" s="982"/>
      <c r="N39" s="622"/>
      <c r="O39" s="982"/>
      <c r="P39" s="622"/>
      <c r="Q39" s="982"/>
      <c r="R39" s="861"/>
    </row>
    <row r="40" spans="1:42" s="224" customFormat="1" ht="15" customHeight="1" x14ac:dyDescent="0.25">
      <c r="A40" s="215">
        <v>44781</v>
      </c>
      <c r="B40" s="882" t="s">
        <v>138</v>
      </c>
      <c r="C40" s="879" t="s">
        <v>19</v>
      </c>
      <c r="D40" s="879" t="s">
        <v>2157</v>
      </c>
      <c r="E40" s="871" t="s">
        <v>13</v>
      </c>
      <c r="F40" s="780">
        <v>80</v>
      </c>
      <c r="G40" s="946"/>
      <c r="H40" s="95"/>
      <c r="I40" s="1064"/>
      <c r="J40" s="622"/>
      <c r="K40" s="982"/>
      <c r="L40" s="622"/>
      <c r="M40" s="982"/>
      <c r="N40" s="622"/>
      <c r="O40" s="982"/>
      <c r="P40" s="622"/>
      <c r="Q40" s="982"/>
      <c r="R40" s="1117"/>
      <c r="U40" s="958"/>
    </row>
    <row r="41" spans="1:42" s="224" customFormat="1" ht="15" customHeight="1" x14ac:dyDescent="0.25">
      <c r="A41" s="215">
        <v>44781</v>
      </c>
      <c r="B41" s="882" t="s">
        <v>17</v>
      </c>
      <c r="C41" s="879" t="s">
        <v>12</v>
      </c>
      <c r="D41" s="879" t="s">
        <v>1493</v>
      </c>
      <c r="E41" s="875" t="s">
        <v>13</v>
      </c>
      <c r="F41" s="780">
        <v>6</v>
      </c>
      <c r="G41" s="982"/>
      <c r="H41" s="622"/>
      <c r="I41" s="982"/>
      <c r="J41" s="622"/>
      <c r="K41" s="982"/>
      <c r="L41" s="622"/>
      <c r="M41" s="1033"/>
      <c r="N41" s="1116"/>
      <c r="O41" s="1207"/>
      <c r="P41" s="1116"/>
      <c r="Q41" s="1207"/>
      <c r="R41" s="927"/>
      <c r="S41" s="927"/>
      <c r="T41" s="878"/>
    </row>
    <row r="42" spans="1:42" s="224" customFormat="1" ht="15" customHeight="1" x14ac:dyDescent="0.25">
      <c r="A42" s="215">
        <v>44782</v>
      </c>
      <c r="B42" s="882" t="s">
        <v>1820</v>
      </c>
      <c r="C42" s="879" t="s">
        <v>12</v>
      </c>
      <c r="D42" s="879" t="s">
        <v>1496</v>
      </c>
      <c r="E42" s="875" t="s">
        <v>13</v>
      </c>
      <c r="F42" s="780">
        <v>10</v>
      </c>
      <c r="G42" s="982"/>
      <c r="H42" s="622"/>
      <c r="I42" s="982"/>
      <c r="J42" s="622"/>
      <c r="K42" s="982"/>
      <c r="L42" s="622"/>
      <c r="M42" s="982"/>
      <c r="N42" s="1110"/>
      <c r="O42" s="1208"/>
      <c r="P42" s="1110"/>
      <c r="Q42" s="1208"/>
      <c r="R42" s="927"/>
      <c r="S42" s="927"/>
      <c r="T42" s="878"/>
    </row>
    <row r="43" spans="1:42" s="224" customFormat="1" ht="15" customHeight="1" x14ac:dyDescent="0.25">
      <c r="A43" s="215">
        <v>44782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18</v>
      </c>
      <c r="G43" s="946"/>
      <c r="H43" s="95"/>
      <c r="I43" s="1064"/>
      <c r="J43" s="622"/>
      <c r="K43" s="982"/>
      <c r="L43" s="622"/>
      <c r="M43" s="982"/>
      <c r="N43" s="622"/>
      <c r="O43" s="982"/>
      <c r="P43" s="622"/>
      <c r="Q43" s="982"/>
      <c r="R43" s="861"/>
    </row>
    <row r="44" spans="1:42" s="224" customFormat="1" ht="15" customHeight="1" x14ac:dyDescent="0.25">
      <c r="A44" s="215">
        <v>44782</v>
      </c>
      <c r="B44" s="882" t="s">
        <v>2300</v>
      </c>
      <c r="C44" s="879" t="s">
        <v>12</v>
      </c>
      <c r="D44" s="879" t="s">
        <v>1493</v>
      </c>
      <c r="E44" s="875" t="s">
        <v>13</v>
      </c>
      <c r="F44" s="780">
        <v>5</v>
      </c>
      <c r="G44" s="982"/>
      <c r="H44" s="622"/>
      <c r="I44" s="982"/>
      <c r="J44" s="622"/>
      <c r="K44" s="982"/>
      <c r="L44" s="622"/>
      <c r="M44" s="982"/>
      <c r="N44" s="1110"/>
      <c r="O44" s="1208"/>
      <c r="P44" s="1110"/>
      <c r="Q44" s="1208"/>
      <c r="R44" s="927"/>
      <c r="S44" s="927"/>
      <c r="T44" s="878"/>
    </row>
    <row r="45" spans="1:42" s="224" customFormat="1" ht="15" customHeight="1" x14ac:dyDescent="0.25">
      <c r="A45" s="215">
        <v>44783</v>
      </c>
      <c r="B45" s="364" t="s">
        <v>3354</v>
      </c>
      <c r="C45" s="350" t="s">
        <v>12</v>
      </c>
      <c r="D45" s="350"/>
      <c r="E45" s="480" t="s">
        <v>25</v>
      </c>
      <c r="F45" s="613"/>
      <c r="G45" s="967"/>
      <c r="H45" s="1008"/>
      <c r="I45" s="1063"/>
      <c r="J45" s="622"/>
      <c r="K45" s="1033"/>
      <c r="L45" s="1110"/>
      <c r="M45" s="6"/>
      <c r="N45" s="613"/>
      <c r="O45" s="64"/>
      <c r="P45" s="613"/>
      <c r="Q45" s="64">
        <v>162.91</v>
      </c>
      <c r="R45" s="1209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15">
        <v>44783</v>
      </c>
      <c r="B46" s="364" t="s">
        <v>3283</v>
      </c>
      <c r="C46" s="350" t="s">
        <v>12</v>
      </c>
      <c r="D46" s="350" t="s">
        <v>1506</v>
      </c>
      <c r="E46" s="875" t="s">
        <v>13</v>
      </c>
      <c r="F46" s="780">
        <v>50</v>
      </c>
      <c r="G46" s="982"/>
      <c r="H46" s="622"/>
      <c r="I46" s="982"/>
      <c r="J46" s="622"/>
      <c r="K46" s="982"/>
      <c r="L46" s="622"/>
      <c r="M46" s="982"/>
      <c r="N46" s="622"/>
      <c r="O46" s="982"/>
      <c r="P46" s="622"/>
      <c r="Q46" s="982"/>
      <c r="R46" s="927"/>
      <c r="S46" s="927"/>
      <c r="T46" s="878"/>
    </row>
    <row r="47" spans="1:42" s="224" customFormat="1" ht="15" customHeight="1" x14ac:dyDescent="0.25">
      <c r="A47" s="215">
        <v>44783</v>
      </c>
      <c r="B47" s="882" t="s">
        <v>32</v>
      </c>
      <c r="C47" s="879" t="s">
        <v>12</v>
      </c>
      <c r="D47" s="879" t="s">
        <v>1485</v>
      </c>
      <c r="E47" s="875" t="s">
        <v>13</v>
      </c>
      <c r="F47" s="780">
        <v>8.5</v>
      </c>
      <c r="G47" s="946"/>
      <c r="H47" s="95"/>
      <c r="I47" s="1064"/>
      <c r="J47" s="622"/>
      <c r="K47" s="982"/>
      <c r="L47" s="622"/>
      <c r="M47" s="982"/>
      <c r="N47" s="622"/>
      <c r="O47" s="982"/>
      <c r="P47" s="622"/>
      <c r="Q47" s="982"/>
      <c r="R47" s="861"/>
    </row>
    <row r="48" spans="1:42" s="224" customFormat="1" ht="15" customHeight="1" x14ac:dyDescent="0.25">
      <c r="A48" s="215">
        <v>44783</v>
      </c>
      <c r="B48" s="882" t="s">
        <v>81</v>
      </c>
      <c r="C48" s="879" t="s">
        <v>12</v>
      </c>
      <c r="D48" s="879" t="s">
        <v>1493</v>
      </c>
      <c r="E48" s="875" t="s">
        <v>13</v>
      </c>
      <c r="F48" s="780">
        <v>3.7</v>
      </c>
      <c r="G48" s="946"/>
      <c r="H48" s="95"/>
      <c r="I48" s="1064"/>
      <c r="J48" s="622"/>
      <c r="K48" s="982"/>
      <c r="L48" s="622"/>
      <c r="M48" s="982"/>
      <c r="N48" s="622"/>
      <c r="O48" s="982"/>
      <c r="P48" s="622"/>
      <c r="Q48" s="982"/>
      <c r="R48" s="861"/>
    </row>
    <row r="49" spans="1:21" s="224" customFormat="1" ht="15" customHeight="1" x14ac:dyDescent="0.25">
      <c r="A49" s="215">
        <v>44783</v>
      </c>
      <c r="B49" s="364" t="s">
        <v>14</v>
      </c>
      <c r="C49" s="350" t="s">
        <v>12</v>
      </c>
      <c r="D49" s="350" t="s">
        <v>1486</v>
      </c>
      <c r="E49" s="875" t="s">
        <v>13</v>
      </c>
      <c r="F49" s="780">
        <v>14.24</v>
      </c>
      <c r="G49" s="982"/>
      <c r="H49" s="1060"/>
      <c r="I49" s="1033"/>
      <c r="J49" s="880"/>
      <c r="K49" s="1033"/>
      <c r="L49" s="880"/>
      <c r="M49" s="1033"/>
      <c r="N49" s="622"/>
      <c r="O49" s="982"/>
      <c r="P49" s="622"/>
      <c r="Q49" s="982"/>
      <c r="R49" s="1080"/>
      <c r="S49" s="927"/>
      <c r="T49" s="878"/>
    </row>
    <row r="50" spans="1:21" s="224" customFormat="1" ht="15" customHeight="1" x14ac:dyDescent="0.25">
      <c r="A50" s="215">
        <v>44784</v>
      </c>
      <c r="B50" s="364" t="s">
        <v>478</v>
      </c>
      <c r="C50" s="350" t="s">
        <v>12</v>
      </c>
      <c r="D50" s="350" t="s">
        <v>1496</v>
      </c>
      <c r="E50" s="875" t="s">
        <v>13</v>
      </c>
      <c r="F50" s="780">
        <v>11.43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982"/>
      <c r="R50" s="927"/>
      <c r="S50" s="927"/>
      <c r="T50" s="878"/>
    </row>
    <row r="51" spans="1:21" s="224" customFormat="1" ht="15" customHeight="1" x14ac:dyDescent="0.25">
      <c r="A51" s="215">
        <v>44785</v>
      </c>
      <c r="B51" s="882" t="s">
        <v>32</v>
      </c>
      <c r="C51" s="879" t="s">
        <v>12</v>
      </c>
      <c r="D51" s="879" t="s">
        <v>1485</v>
      </c>
      <c r="E51" s="875" t="s">
        <v>13</v>
      </c>
      <c r="F51" s="780">
        <v>18</v>
      </c>
      <c r="G51" s="946"/>
      <c r="H51" s="95"/>
      <c r="I51" s="1064"/>
      <c r="J51" s="622"/>
      <c r="K51" s="982"/>
      <c r="L51" s="622"/>
      <c r="M51" s="982"/>
      <c r="N51" s="622"/>
      <c r="O51" s="982"/>
      <c r="P51" s="622"/>
      <c r="Q51" s="982"/>
      <c r="R51" s="861"/>
    </row>
    <row r="52" spans="1:21" s="224" customFormat="1" ht="15" customHeight="1" x14ac:dyDescent="0.25">
      <c r="A52" s="215">
        <v>44785</v>
      </c>
      <c r="B52" s="882" t="s">
        <v>3431</v>
      </c>
      <c r="C52" s="879" t="s">
        <v>12</v>
      </c>
      <c r="D52" s="879" t="s">
        <v>1489</v>
      </c>
      <c r="E52" s="875" t="s">
        <v>13</v>
      </c>
      <c r="F52" s="780">
        <v>60</v>
      </c>
      <c r="G52" s="946"/>
      <c r="H52" s="95"/>
      <c r="I52" s="1064"/>
      <c r="J52" s="622"/>
      <c r="K52" s="982"/>
      <c r="L52" s="622"/>
      <c r="M52" s="982"/>
      <c r="N52" s="622"/>
      <c r="O52" s="982"/>
      <c r="P52" s="622"/>
      <c r="Q52" s="982"/>
      <c r="R52" s="861"/>
    </row>
    <row r="53" spans="1:21" s="224" customFormat="1" ht="15" customHeight="1" x14ac:dyDescent="0.25">
      <c r="A53" s="215">
        <v>44786</v>
      </c>
      <c r="B53" s="364" t="s">
        <v>3432</v>
      </c>
      <c r="C53" s="350" t="s">
        <v>12</v>
      </c>
      <c r="D53" s="350" t="s">
        <v>1523</v>
      </c>
      <c r="E53" s="875" t="s">
        <v>13</v>
      </c>
      <c r="F53" s="780">
        <v>38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982"/>
      <c r="R53" s="927"/>
      <c r="S53" s="927"/>
      <c r="T53" s="878"/>
    </row>
    <row r="54" spans="1:21" s="224" customFormat="1" ht="15" customHeight="1" x14ac:dyDescent="0.25">
      <c r="A54" s="215">
        <v>44786</v>
      </c>
      <c r="B54" s="364" t="s">
        <v>1906</v>
      </c>
      <c r="C54" s="350" t="s">
        <v>12</v>
      </c>
      <c r="D54" s="350" t="s">
        <v>1493</v>
      </c>
      <c r="E54" s="875" t="s">
        <v>13</v>
      </c>
      <c r="F54" s="780">
        <v>16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982"/>
      <c r="R54" s="927"/>
      <c r="S54" s="927"/>
      <c r="T54" s="878"/>
    </row>
    <row r="55" spans="1:21" s="224" customFormat="1" ht="15" customHeight="1" x14ac:dyDescent="0.25">
      <c r="A55" s="215">
        <v>44786</v>
      </c>
      <c r="B55" s="364" t="s">
        <v>14</v>
      </c>
      <c r="C55" s="350" t="s">
        <v>12</v>
      </c>
      <c r="D55" s="350" t="s">
        <v>1486</v>
      </c>
      <c r="E55" s="875" t="s">
        <v>13</v>
      </c>
      <c r="F55" s="780">
        <v>8.7799999999999994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22"/>
      <c r="Q55" s="982"/>
      <c r="R55" s="927"/>
      <c r="S55" s="927"/>
      <c r="T55" s="878"/>
    </row>
    <row r="56" spans="1:21" s="224" customFormat="1" ht="15" customHeight="1" x14ac:dyDescent="0.25">
      <c r="A56" s="215">
        <v>44787</v>
      </c>
      <c r="B56" s="364" t="s">
        <v>443</v>
      </c>
      <c r="C56" s="350" t="s">
        <v>12</v>
      </c>
      <c r="D56" s="350" t="s">
        <v>1493</v>
      </c>
      <c r="E56" s="875" t="s">
        <v>13</v>
      </c>
      <c r="F56" s="780">
        <v>11.28</v>
      </c>
      <c r="G56" s="982"/>
      <c r="H56" s="622"/>
      <c r="I56" s="982"/>
      <c r="J56" s="622"/>
      <c r="K56" s="982"/>
      <c r="L56" s="622"/>
      <c r="M56" s="982"/>
      <c r="N56" s="622"/>
      <c r="O56" s="982"/>
      <c r="P56" s="622"/>
      <c r="Q56" s="982"/>
      <c r="R56" s="927"/>
      <c r="S56" s="927"/>
      <c r="T56" s="878"/>
    </row>
    <row r="57" spans="1:21" s="224" customFormat="1" ht="15" customHeight="1" x14ac:dyDescent="0.25">
      <c r="A57" s="215">
        <v>44788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46"/>
      <c r="H57" s="95"/>
      <c r="I57" s="1064"/>
      <c r="J57" s="622"/>
      <c r="K57" s="982"/>
      <c r="L57" s="622"/>
      <c r="M57" s="982"/>
      <c r="N57" s="622"/>
      <c r="O57" s="982"/>
      <c r="P57" s="622"/>
      <c r="Q57" s="982"/>
      <c r="R57" s="861"/>
    </row>
    <row r="58" spans="1:21" s="224" customFormat="1" ht="15" customHeight="1" x14ac:dyDescent="0.25">
      <c r="A58" s="215">
        <v>44788</v>
      </c>
      <c r="B58" s="882" t="s">
        <v>138</v>
      </c>
      <c r="C58" s="879" t="s">
        <v>19</v>
      </c>
      <c r="D58" s="879" t="s">
        <v>2157</v>
      </c>
      <c r="E58" s="871" t="s">
        <v>15</v>
      </c>
      <c r="F58" s="780">
        <v>100</v>
      </c>
      <c r="G58" s="946"/>
      <c r="H58" s="95"/>
      <c r="I58" s="1064"/>
      <c r="J58" s="622"/>
      <c r="K58" s="982"/>
      <c r="L58" s="622"/>
      <c r="M58" s="982"/>
      <c r="N58" s="622"/>
      <c r="O58" s="982"/>
      <c r="P58" s="622"/>
      <c r="Q58" s="982"/>
      <c r="R58" s="1117"/>
      <c r="U58" s="958"/>
    </row>
    <row r="59" spans="1:21" s="224" customFormat="1" ht="15" customHeight="1" x14ac:dyDescent="0.25">
      <c r="A59" s="215">
        <v>44788</v>
      </c>
      <c r="B59" s="364" t="s">
        <v>478</v>
      </c>
      <c r="C59" s="350" t="s">
        <v>12</v>
      </c>
      <c r="D59" s="350" t="s">
        <v>1496</v>
      </c>
      <c r="E59" s="875" t="s">
        <v>13</v>
      </c>
      <c r="F59" s="780">
        <v>11.43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21" s="224" customFormat="1" ht="15" customHeight="1" x14ac:dyDescent="0.25">
      <c r="A60" s="215">
        <v>44789</v>
      </c>
      <c r="B60" s="882" t="s">
        <v>1820</v>
      </c>
      <c r="C60" s="879" t="s">
        <v>12</v>
      </c>
      <c r="D60" s="879" t="s">
        <v>1496</v>
      </c>
      <c r="E60" s="875" t="s">
        <v>13</v>
      </c>
      <c r="F60" s="780">
        <v>10</v>
      </c>
      <c r="G60" s="946"/>
      <c r="H60" s="95"/>
      <c r="I60" s="1064"/>
      <c r="J60" s="622"/>
      <c r="K60" s="982"/>
      <c r="L60" s="622"/>
      <c r="M60" s="982"/>
      <c r="N60" s="622"/>
      <c r="O60" s="982"/>
      <c r="P60" s="622"/>
      <c r="Q60" s="982"/>
      <c r="R60" s="861"/>
    </row>
    <row r="61" spans="1:21" s="224" customFormat="1" ht="15" customHeight="1" x14ac:dyDescent="0.25">
      <c r="A61" s="215">
        <v>44789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18</v>
      </c>
      <c r="G61" s="946"/>
      <c r="H61" s="95"/>
      <c r="I61" s="1064"/>
      <c r="J61" s="622"/>
      <c r="K61" s="982"/>
      <c r="L61" s="622"/>
      <c r="M61" s="982"/>
      <c r="N61" s="622"/>
      <c r="O61" s="982"/>
      <c r="P61" s="622"/>
      <c r="Q61" s="982"/>
      <c r="R61" s="861"/>
    </row>
    <row r="62" spans="1:21" s="224" customFormat="1" ht="15" customHeight="1" x14ac:dyDescent="0.25">
      <c r="A62" s="215">
        <v>44790</v>
      </c>
      <c r="B62" s="364" t="s">
        <v>3325</v>
      </c>
      <c r="C62" s="350" t="s">
        <v>12</v>
      </c>
      <c r="D62" s="350" t="s">
        <v>1504</v>
      </c>
      <c r="E62" s="875" t="s">
        <v>13</v>
      </c>
      <c r="F62" s="780">
        <v>35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982"/>
      <c r="R62" s="927"/>
      <c r="S62" s="927"/>
      <c r="T62" s="878"/>
    </row>
    <row r="63" spans="1:21" s="224" customFormat="1" ht="15" customHeight="1" x14ac:dyDescent="0.25">
      <c r="A63" s="215">
        <v>44790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780">
        <v>9.25</v>
      </c>
      <c r="G63" s="946"/>
      <c r="H63" s="95"/>
      <c r="I63" s="1064"/>
      <c r="J63" s="622"/>
      <c r="K63" s="982"/>
      <c r="L63" s="622"/>
      <c r="M63" s="982"/>
      <c r="N63" s="622"/>
      <c r="O63" s="982"/>
      <c r="P63" s="622"/>
      <c r="Q63" s="982"/>
      <c r="R63" s="861"/>
    </row>
    <row r="64" spans="1:21" s="224" customFormat="1" ht="15" customHeight="1" x14ac:dyDescent="0.25">
      <c r="A64" s="215">
        <v>44790</v>
      </c>
      <c r="B64" s="882" t="s">
        <v>17</v>
      </c>
      <c r="C64" s="879" t="s">
        <v>12</v>
      </c>
      <c r="D64" s="879" t="s">
        <v>1493</v>
      </c>
      <c r="E64" s="875" t="s">
        <v>13</v>
      </c>
      <c r="F64" s="780">
        <v>2.5</v>
      </c>
      <c r="G64" s="946"/>
      <c r="H64" s="95"/>
      <c r="I64" s="1064"/>
      <c r="J64" s="622"/>
      <c r="K64" s="982"/>
      <c r="L64" s="622"/>
      <c r="M64" s="982"/>
      <c r="N64" s="622"/>
      <c r="O64" s="982"/>
      <c r="P64" s="622"/>
      <c r="Q64" s="982"/>
      <c r="R64" s="861"/>
    </row>
    <row r="65" spans="1:26" s="224" customFormat="1" ht="15" customHeight="1" x14ac:dyDescent="0.25">
      <c r="A65" s="215">
        <v>44790</v>
      </c>
      <c r="B65" s="364" t="s">
        <v>14</v>
      </c>
      <c r="C65" s="350" t="s">
        <v>12</v>
      </c>
      <c r="D65" s="350" t="s">
        <v>1486</v>
      </c>
      <c r="E65" s="875" t="s">
        <v>13</v>
      </c>
      <c r="F65" s="780">
        <v>12.12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982"/>
      <c r="R65" s="927"/>
      <c r="S65" s="927"/>
      <c r="T65" s="878"/>
    </row>
    <row r="66" spans="1:26" s="224" customFormat="1" ht="15" customHeight="1" x14ac:dyDescent="0.25">
      <c r="A66" s="215">
        <v>44791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18</v>
      </c>
      <c r="G66" s="946"/>
      <c r="H66" s="95"/>
      <c r="I66" s="1064"/>
      <c r="J66" s="622"/>
      <c r="K66" s="982"/>
      <c r="L66" s="622"/>
      <c r="M66" s="982"/>
      <c r="N66" s="622"/>
      <c r="O66" s="982"/>
      <c r="P66" s="622"/>
      <c r="Q66" s="982"/>
      <c r="R66" s="861"/>
    </row>
    <row r="67" spans="1:26" s="224" customFormat="1" ht="15" customHeight="1" x14ac:dyDescent="0.25">
      <c r="A67" s="215">
        <v>44791</v>
      </c>
      <c r="B67" s="882" t="s">
        <v>17</v>
      </c>
      <c r="C67" s="879" t="s">
        <v>12</v>
      </c>
      <c r="D67" s="879" t="s">
        <v>1493</v>
      </c>
      <c r="E67" s="875" t="s">
        <v>13</v>
      </c>
      <c r="F67" s="780">
        <v>5</v>
      </c>
      <c r="G67" s="946"/>
      <c r="H67" s="95"/>
      <c r="I67" s="1064"/>
      <c r="J67" s="622"/>
      <c r="K67" s="982"/>
      <c r="L67" s="622"/>
      <c r="M67" s="982"/>
      <c r="N67" s="622"/>
      <c r="O67" s="982"/>
      <c r="P67" s="622"/>
      <c r="Q67" s="982"/>
      <c r="R67" s="861"/>
    </row>
    <row r="68" spans="1:26" s="224" customFormat="1" ht="15" customHeight="1" x14ac:dyDescent="0.25">
      <c r="A68" s="215">
        <v>44791</v>
      </c>
      <c r="B68" s="882" t="s">
        <v>138</v>
      </c>
      <c r="C68" s="879" t="s">
        <v>19</v>
      </c>
      <c r="D68" s="879" t="s">
        <v>2157</v>
      </c>
      <c r="E68" s="871" t="s">
        <v>13</v>
      </c>
      <c r="F68" s="780">
        <v>50</v>
      </c>
      <c r="G68" s="946"/>
      <c r="H68" s="95"/>
      <c r="I68" s="1064"/>
      <c r="J68" s="622"/>
      <c r="K68" s="982"/>
      <c r="L68" s="622"/>
      <c r="M68" s="982"/>
      <c r="N68" s="622"/>
      <c r="O68" s="982"/>
      <c r="P68" s="622"/>
      <c r="Q68" s="982"/>
      <c r="R68" s="1117"/>
      <c r="U68" s="958"/>
    </row>
    <row r="69" spans="1:26" s="224" customFormat="1" ht="15" customHeight="1" x14ac:dyDescent="0.25">
      <c r="A69" s="215">
        <v>44791</v>
      </c>
      <c r="B69" s="364" t="s">
        <v>81</v>
      </c>
      <c r="C69" s="350" t="s">
        <v>12</v>
      </c>
      <c r="D69" s="350" t="s">
        <v>1493</v>
      </c>
      <c r="E69" s="875" t="s">
        <v>13</v>
      </c>
      <c r="F69" s="780">
        <v>5.73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6" s="224" customFormat="1" ht="15" customHeight="1" x14ac:dyDescent="0.25">
      <c r="A70" s="215">
        <v>44792</v>
      </c>
      <c r="B70" s="882" t="s">
        <v>3433</v>
      </c>
      <c r="C70" s="350" t="s">
        <v>12</v>
      </c>
      <c r="D70" s="350"/>
      <c r="E70" s="480" t="s">
        <v>25</v>
      </c>
      <c r="F70" s="622"/>
      <c r="G70" s="982">
        <v>2000</v>
      </c>
      <c r="H70" s="1008"/>
      <c r="I70" s="1063"/>
      <c r="J70" s="622"/>
      <c r="K70" s="982"/>
      <c r="L70" s="622"/>
      <c r="M70" s="982"/>
      <c r="N70" s="622"/>
      <c r="O70" s="982"/>
      <c r="P70" s="622"/>
      <c r="Q70" s="982"/>
      <c r="R70" s="861"/>
    </row>
    <row r="71" spans="1:26" s="224" customFormat="1" ht="15" customHeight="1" x14ac:dyDescent="0.25">
      <c r="A71" s="215">
        <v>44792</v>
      </c>
      <c r="B71" s="862" t="s">
        <v>2867</v>
      </c>
      <c r="C71" s="350" t="s">
        <v>12</v>
      </c>
      <c r="D71" s="874" t="s">
        <v>1504</v>
      </c>
      <c r="E71" s="887" t="s">
        <v>13</v>
      </c>
      <c r="F71" s="1107"/>
      <c r="G71" s="982"/>
      <c r="H71" s="1009"/>
      <c r="I71" s="1063"/>
      <c r="J71" s="853"/>
      <c r="K71" s="982"/>
      <c r="L71" s="853"/>
      <c r="M71" s="982"/>
      <c r="N71" s="622"/>
      <c r="O71" s="982"/>
      <c r="P71" s="622"/>
      <c r="Q71" s="982"/>
      <c r="R71" s="3166" t="s">
        <v>3362</v>
      </c>
      <c r="S71" s="3166"/>
      <c r="T71" s="3166"/>
      <c r="U71" s="3166"/>
      <c r="V71" s="3166"/>
      <c r="W71" s="3166"/>
      <c r="X71" s="3166"/>
      <c r="Y71" s="3166"/>
      <c r="Z71" s="3166"/>
    </row>
    <row r="72" spans="1:26" s="224" customFormat="1" x14ac:dyDescent="0.25">
      <c r="A72" s="215">
        <v>44792</v>
      </c>
      <c r="B72" s="364" t="s">
        <v>2977</v>
      </c>
      <c r="C72" s="350" t="s">
        <v>12</v>
      </c>
      <c r="D72" s="350" t="s">
        <v>1491</v>
      </c>
      <c r="E72" s="875" t="s">
        <v>13</v>
      </c>
      <c r="F72" s="780">
        <v>300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982"/>
      <c r="R72" s="1029"/>
      <c r="S72" s="89"/>
      <c r="T72" s="930"/>
    </row>
    <row r="73" spans="1:26" s="224" customFormat="1" ht="15" customHeight="1" x14ac:dyDescent="0.25">
      <c r="A73" s="215">
        <v>44792</v>
      </c>
      <c r="B73" s="349" t="s">
        <v>3408</v>
      </c>
      <c r="C73" s="887" t="s">
        <v>12</v>
      </c>
      <c r="D73" s="350" t="s">
        <v>1525</v>
      </c>
      <c r="E73" s="887" t="s">
        <v>13</v>
      </c>
      <c r="F73" s="613">
        <v>250</v>
      </c>
      <c r="G73" s="982"/>
      <c r="H73" s="872"/>
      <c r="I73" s="1063"/>
      <c r="J73" s="622"/>
      <c r="K73" s="982"/>
      <c r="L73" s="622"/>
      <c r="M73" s="982"/>
      <c r="N73" s="622"/>
      <c r="O73" s="982"/>
      <c r="P73" s="622"/>
      <c r="Q73" s="982"/>
      <c r="R73" s="927"/>
      <c r="S73" s="999"/>
      <c r="T73" s="878"/>
    </row>
    <row r="74" spans="1:26" s="224" customFormat="1" ht="15" customHeight="1" x14ac:dyDescent="0.25">
      <c r="A74" s="215">
        <v>44792</v>
      </c>
      <c r="B74" s="349" t="s">
        <v>3408</v>
      </c>
      <c r="C74" s="887" t="s">
        <v>12</v>
      </c>
      <c r="D74" s="1005" t="s">
        <v>1489</v>
      </c>
      <c r="E74" s="887" t="s">
        <v>13</v>
      </c>
      <c r="F74" s="1116">
        <v>60</v>
      </c>
      <c r="G74" s="982"/>
      <c r="H74" s="872"/>
      <c r="I74" s="1063"/>
      <c r="J74" s="622"/>
      <c r="K74" s="982"/>
      <c r="L74" s="622"/>
      <c r="M74" s="982"/>
      <c r="N74" s="622"/>
      <c r="O74" s="982"/>
      <c r="P74" s="622"/>
      <c r="Q74" s="982"/>
      <c r="R74" s="927"/>
      <c r="S74" s="999"/>
      <c r="T74" s="878"/>
    </row>
    <row r="75" spans="1:26" s="224" customFormat="1" ht="15" customHeight="1" x14ac:dyDescent="0.25">
      <c r="A75" s="215">
        <v>44792</v>
      </c>
      <c r="B75" s="882" t="s">
        <v>3434</v>
      </c>
      <c r="C75" s="879" t="s">
        <v>12</v>
      </c>
      <c r="D75" s="879" t="s">
        <v>1499</v>
      </c>
      <c r="E75" s="871" t="s">
        <v>13</v>
      </c>
      <c r="F75" s="780">
        <v>36.619999999999997</v>
      </c>
      <c r="G75" s="982"/>
      <c r="H75" s="1008"/>
      <c r="I75" s="1063"/>
      <c r="J75" s="622"/>
      <c r="K75" s="982"/>
      <c r="L75" s="622"/>
      <c r="M75" s="982"/>
      <c r="N75" s="622"/>
      <c r="O75" s="982"/>
      <c r="P75" s="622"/>
      <c r="Q75" s="982"/>
      <c r="R75" s="1028" t="s">
        <v>3435</v>
      </c>
      <c r="T75" s="1123"/>
      <c r="U75" s="999"/>
    </row>
    <row r="76" spans="1:26" s="224" customFormat="1" ht="15" customHeight="1" x14ac:dyDescent="0.25">
      <c r="A76" s="215">
        <v>44792</v>
      </c>
      <c r="B76" s="349" t="s">
        <v>260</v>
      </c>
      <c r="C76" s="350" t="s">
        <v>12</v>
      </c>
      <c r="D76" s="350"/>
      <c r="E76" s="480"/>
      <c r="F76" s="780">
        <v>300</v>
      </c>
      <c r="G76" s="946"/>
      <c r="H76" s="95"/>
      <c r="I76" s="1064">
        <v>300</v>
      </c>
      <c r="J76" s="622"/>
      <c r="K76" s="982"/>
      <c r="L76" s="1110"/>
      <c r="M76" s="627"/>
      <c r="N76" s="1110"/>
      <c r="O76" s="627"/>
      <c r="P76" s="1110"/>
      <c r="Q76" s="627"/>
      <c r="R76" s="1080"/>
    </row>
    <row r="77" spans="1:26" s="224" customFormat="1" ht="15" customHeight="1" x14ac:dyDescent="0.25">
      <c r="A77" s="215">
        <v>44792</v>
      </c>
      <c r="B77" s="882" t="s">
        <v>3436</v>
      </c>
      <c r="C77" s="879" t="s">
        <v>12</v>
      </c>
      <c r="D77" s="879" t="s">
        <v>1491</v>
      </c>
      <c r="E77" s="875" t="s">
        <v>13</v>
      </c>
      <c r="F77" s="780">
        <v>100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T77" s="878"/>
    </row>
    <row r="78" spans="1:26" s="224" customFormat="1" ht="15" customHeight="1" x14ac:dyDescent="0.25">
      <c r="A78" s="215">
        <v>44792</v>
      </c>
      <c r="B78" s="882" t="s">
        <v>32</v>
      </c>
      <c r="C78" s="879" t="s">
        <v>12</v>
      </c>
      <c r="D78" s="879" t="s">
        <v>1485</v>
      </c>
      <c r="E78" s="875" t="s">
        <v>13</v>
      </c>
      <c r="F78" s="780">
        <v>18</v>
      </c>
      <c r="G78" s="946"/>
      <c r="H78" s="95"/>
      <c r="I78" s="1064"/>
      <c r="J78" s="622"/>
      <c r="K78" s="982"/>
      <c r="L78" s="622"/>
      <c r="M78" s="982"/>
      <c r="N78" s="622"/>
      <c r="O78" s="982"/>
      <c r="P78" s="622"/>
      <c r="Q78" s="982"/>
      <c r="R78" s="861"/>
    </row>
    <row r="79" spans="1:26" s="224" customFormat="1" ht="15" customHeight="1" x14ac:dyDescent="0.25">
      <c r="A79" s="215">
        <v>44792</v>
      </c>
      <c r="B79" s="882" t="s">
        <v>3120</v>
      </c>
      <c r="C79" s="879" t="s">
        <v>12</v>
      </c>
      <c r="D79" s="879" t="s">
        <v>1493</v>
      </c>
      <c r="E79" s="875" t="s">
        <v>13</v>
      </c>
      <c r="F79" s="780">
        <v>24</v>
      </c>
      <c r="G79" s="982"/>
      <c r="H79" s="622"/>
      <c r="I79" s="982"/>
      <c r="J79" s="622"/>
      <c r="K79" s="982"/>
      <c r="L79" s="622"/>
      <c r="M79" s="982"/>
      <c r="N79" s="622"/>
      <c r="O79" s="982"/>
      <c r="P79" s="622"/>
      <c r="Q79" s="982"/>
      <c r="R79" s="927"/>
      <c r="T79" s="878"/>
    </row>
    <row r="80" spans="1:26" s="224" customFormat="1" ht="15" customHeight="1" x14ac:dyDescent="0.25">
      <c r="A80" s="215">
        <v>44793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780">
        <v>30</v>
      </c>
      <c r="G80" s="946"/>
      <c r="H80" s="95"/>
      <c r="I80" s="1064"/>
      <c r="J80" s="622"/>
      <c r="K80" s="982"/>
      <c r="L80" s="622"/>
      <c r="M80" s="982"/>
      <c r="N80" s="622"/>
      <c r="O80" s="982"/>
      <c r="P80" s="622"/>
      <c r="Q80" s="982"/>
      <c r="R80" s="861"/>
    </row>
    <row r="81" spans="1:21" s="224" customFormat="1" ht="15" customHeight="1" x14ac:dyDescent="0.25">
      <c r="A81" s="215">
        <v>44793</v>
      </c>
      <c r="B81" s="882" t="s">
        <v>82</v>
      </c>
      <c r="C81" s="879" t="s">
        <v>12</v>
      </c>
      <c r="D81" s="879" t="s">
        <v>1493</v>
      </c>
      <c r="E81" s="875" t="s">
        <v>13</v>
      </c>
      <c r="F81" s="780">
        <v>45</v>
      </c>
      <c r="G81" s="982"/>
      <c r="H81" s="622"/>
      <c r="I81" s="982"/>
      <c r="J81" s="622"/>
      <c r="K81" s="982"/>
      <c r="L81" s="622"/>
      <c r="M81" s="982"/>
      <c r="N81" s="880"/>
      <c r="O81" s="1033"/>
      <c r="P81" s="880"/>
      <c r="Q81" s="1033"/>
      <c r="R81" s="927"/>
      <c r="T81" s="878"/>
    </row>
    <row r="82" spans="1:21" s="224" customFormat="1" ht="15" customHeight="1" x14ac:dyDescent="0.25">
      <c r="A82" s="215">
        <v>44794</v>
      </c>
      <c r="B82" s="364" t="s">
        <v>14</v>
      </c>
      <c r="C82" s="350" t="s">
        <v>12</v>
      </c>
      <c r="D82" s="350" t="s">
        <v>1486</v>
      </c>
      <c r="E82" s="875" t="s">
        <v>13</v>
      </c>
      <c r="F82" s="780">
        <v>6.39</v>
      </c>
      <c r="G82" s="946"/>
      <c r="H82" s="95"/>
      <c r="I82" s="1064"/>
      <c r="J82" s="622"/>
      <c r="K82" s="982"/>
      <c r="L82" s="622"/>
      <c r="M82" s="982"/>
      <c r="N82" s="622"/>
      <c r="O82" s="982"/>
      <c r="P82" s="622"/>
      <c r="Q82" s="982"/>
      <c r="R82" s="861"/>
    </row>
    <row r="83" spans="1:21" s="224" customFormat="1" ht="15" customHeight="1" x14ac:dyDescent="0.25">
      <c r="A83" s="215">
        <v>44795</v>
      </c>
      <c r="B83" s="882" t="s">
        <v>32</v>
      </c>
      <c r="C83" s="879" t="s">
        <v>12</v>
      </c>
      <c r="D83" s="879" t="s">
        <v>1485</v>
      </c>
      <c r="E83" s="875" t="s">
        <v>13</v>
      </c>
      <c r="F83" s="780">
        <v>18</v>
      </c>
      <c r="G83" s="946"/>
      <c r="H83" s="95"/>
      <c r="I83" s="1064"/>
      <c r="J83" s="622"/>
      <c r="K83" s="982"/>
      <c r="L83" s="622"/>
      <c r="M83" s="982"/>
      <c r="N83" s="622"/>
      <c r="O83" s="982"/>
      <c r="P83" s="622"/>
      <c r="Q83" s="982"/>
      <c r="R83" s="861"/>
    </row>
    <row r="84" spans="1:21" s="224" customFormat="1" ht="15" customHeight="1" x14ac:dyDescent="0.25">
      <c r="A84" s="215">
        <v>44795</v>
      </c>
      <c r="B84" s="364" t="s">
        <v>478</v>
      </c>
      <c r="C84" s="350" t="s">
        <v>12</v>
      </c>
      <c r="D84" s="350" t="s">
        <v>1496</v>
      </c>
      <c r="E84" s="875" t="s">
        <v>13</v>
      </c>
      <c r="F84" s="780">
        <v>12.23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982"/>
      <c r="R84" s="927"/>
      <c r="S84" s="927"/>
      <c r="T84" s="878"/>
    </row>
    <row r="85" spans="1:21" s="224" customFormat="1" ht="15" customHeight="1" x14ac:dyDescent="0.25">
      <c r="A85" s="215">
        <v>44796</v>
      </c>
      <c r="B85" s="882" t="s">
        <v>32</v>
      </c>
      <c r="C85" s="879" t="s">
        <v>12</v>
      </c>
      <c r="D85" s="879" t="s">
        <v>1485</v>
      </c>
      <c r="E85" s="875" t="s">
        <v>13</v>
      </c>
      <c r="F85" s="780">
        <v>18</v>
      </c>
      <c r="G85" s="946"/>
      <c r="H85" s="95"/>
      <c r="I85" s="1064"/>
      <c r="J85" s="622"/>
      <c r="K85" s="982"/>
      <c r="L85" s="622"/>
      <c r="M85" s="982"/>
      <c r="N85" s="622"/>
      <c r="O85" s="982"/>
      <c r="P85" s="622"/>
      <c r="Q85" s="982"/>
      <c r="R85" s="861"/>
    </row>
    <row r="86" spans="1:21" s="224" customFormat="1" ht="15" customHeight="1" x14ac:dyDescent="0.25">
      <c r="A86" s="215">
        <v>44796</v>
      </c>
      <c r="B86" s="882" t="s">
        <v>1820</v>
      </c>
      <c r="C86" s="879" t="s">
        <v>12</v>
      </c>
      <c r="D86" s="879" t="s">
        <v>1496</v>
      </c>
      <c r="E86" s="875" t="s">
        <v>13</v>
      </c>
      <c r="F86" s="780">
        <v>20</v>
      </c>
      <c r="G86" s="982"/>
      <c r="H86" s="622"/>
      <c r="I86" s="982"/>
      <c r="J86" s="622"/>
      <c r="K86" s="982"/>
      <c r="L86" s="622"/>
      <c r="M86" s="982"/>
      <c r="N86" s="1110"/>
      <c r="O86" s="1208"/>
      <c r="P86" s="1110"/>
      <c r="Q86" s="1208"/>
      <c r="R86" s="927"/>
      <c r="S86" s="927"/>
      <c r="T86" s="878"/>
    </row>
    <row r="87" spans="1:21" s="224" customFormat="1" ht="15" customHeight="1" x14ac:dyDescent="0.25">
      <c r="A87" s="215">
        <v>44796</v>
      </c>
      <c r="B87" s="882" t="s">
        <v>3437</v>
      </c>
      <c r="C87" s="879" t="s">
        <v>12</v>
      </c>
      <c r="D87" s="879" t="s">
        <v>1506</v>
      </c>
      <c r="E87" s="871" t="s">
        <v>13</v>
      </c>
      <c r="F87" s="780">
        <v>40</v>
      </c>
      <c r="G87" s="946"/>
      <c r="H87" s="95"/>
      <c r="I87" s="1064"/>
      <c r="J87" s="622"/>
      <c r="K87" s="982"/>
      <c r="L87" s="622"/>
      <c r="M87" s="982"/>
      <c r="N87" s="622"/>
      <c r="O87" s="982"/>
      <c r="P87" s="622"/>
      <c r="Q87" s="982"/>
      <c r="R87" s="1028"/>
      <c r="U87" s="958"/>
    </row>
    <row r="88" spans="1:21" s="224" customFormat="1" ht="15" customHeight="1" x14ac:dyDescent="0.25">
      <c r="A88" s="215">
        <v>44797</v>
      </c>
      <c r="B88" s="862" t="s">
        <v>3330</v>
      </c>
      <c r="C88" s="879" t="s">
        <v>12</v>
      </c>
      <c r="D88" s="879" t="s">
        <v>1504</v>
      </c>
      <c r="E88" s="871" t="s">
        <v>13</v>
      </c>
      <c r="F88" s="780">
        <v>25.9</v>
      </c>
      <c r="G88" s="982"/>
      <c r="H88" s="622"/>
      <c r="I88" s="982"/>
      <c r="J88" s="622"/>
      <c r="K88" s="982"/>
      <c r="L88" s="622"/>
      <c r="M88" s="982"/>
      <c r="N88" s="880"/>
      <c r="O88" s="1033"/>
      <c r="P88" s="880"/>
      <c r="Q88" s="1033"/>
      <c r="R88" s="927"/>
      <c r="T88" s="878"/>
    </row>
    <row r="89" spans="1:21" s="224" customFormat="1" ht="15" customHeight="1" x14ac:dyDescent="0.25">
      <c r="A89" s="215">
        <v>44797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11</v>
      </c>
      <c r="G89" s="946"/>
      <c r="H89" s="95"/>
      <c r="I89" s="1064"/>
      <c r="J89" s="622"/>
      <c r="K89" s="982"/>
      <c r="L89" s="622"/>
      <c r="M89" s="982"/>
      <c r="N89" s="622"/>
      <c r="O89" s="982"/>
      <c r="P89" s="622"/>
      <c r="Q89" s="982"/>
      <c r="R89" s="861"/>
    </row>
    <row r="90" spans="1:21" s="224" customFormat="1" ht="15" customHeight="1" x14ac:dyDescent="0.25">
      <c r="A90" s="215">
        <v>44797</v>
      </c>
      <c r="B90" s="882" t="s">
        <v>17</v>
      </c>
      <c r="C90" s="879" t="s">
        <v>12</v>
      </c>
      <c r="D90" s="879" t="s">
        <v>1493</v>
      </c>
      <c r="E90" s="871" t="s">
        <v>13</v>
      </c>
      <c r="F90" s="780">
        <v>5</v>
      </c>
      <c r="G90" s="946"/>
      <c r="H90" s="95"/>
      <c r="I90" s="1064"/>
      <c r="J90" s="622"/>
      <c r="K90" s="982"/>
      <c r="L90" s="622"/>
      <c r="M90" s="982"/>
      <c r="N90" s="622"/>
      <c r="O90" s="982"/>
      <c r="P90" s="622"/>
      <c r="Q90" s="982"/>
      <c r="R90" s="1028"/>
      <c r="U90" s="958"/>
    </row>
    <row r="91" spans="1:21" s="224" customFormat="1" ht="15" customHeight="1" x14ac:dyDescent="0.25">
      <c r="A91" s="215">
        <v>44797</v>
      </c>
      <c r="B91" s="364" t="s">
        <v>14</v>
      </c>
      <c r="C91" s="350" t="s">
        <v>12</v>
      </c>
      <c r="D91" s="350" t="s">
        <v>1486</v>
      </c>
      <c r="E91" s="875" t="s">
        <v>15</v>
      </c>
      <c r="F91" s="622">
        <v>13</v>
      </c>
      <c r="G91" s="1034"/>
      <c r="H91" s="1008"/>
      <c r="I91" s="1063"/>
      <c r="J91" s="622"/>
      <c r="K91" s="982"/>
      <c r="L91" s="622"/>
      <c r="M91" s="982"/>
      <c r="N91" s="622"/>
      <c r="O91" s="982"/>
      <c r="P91" s="622"/>
      <c r="Q91" s="982"/>
      <c r="R91" s="475"/>
      <c r="T91" s="878"/>
    </row>
    <row r="92" spans="1:21" s="224" customFormat="1" ht="15" customHeight="1" x14ac:dyDescent="0.25">
      <c r="A92" s="215">
        <v>44798</v>
      </c>
      <c r="B92" s="882" t="s">
        <v>32</v>
      </c>
      <c r="C92" s="879" t="s">
        <v>12</v>
      </c>
      <c r="D92" s="879" t="s">
        <v>1485</v>
      </c>
      <c r="E92" s="875" t="s">
        <v>13</v>
      </c>
      <c r="F92" s="780">
        <v>18</v>
      </c>
      <c r="G92" s="946"/>
      <c r="H92" s="95"/>
      <c r="I92" s="1064"/>
      <c r="J92" s="622"/>
      <c r="K92" s="982"/>
      <c r="L92" s="622"/>
      <c r="M92" s="982"/>
      <c r="N92" s="622"/>
      <c r="O92" s="982"/>
      <c r="P92" s="622"/>
      <c r="Q92" s="982"/>
      <c r="R92" s="861"/>
    </row>
    <row r="93" spans="1:21" s="224" customFormat="1" ht="15" customHeight="1" x14ac:dyDescent="0.25">
      <c r="A93" s="215">
        <v>44798</v>
      </c>
      <c r="B93" s="882" t="s">
        <v>138</v>
      </c>
      <c r="C93" s="879" t="s">
        <v>19</v>
      </c>
      <c r="D93" s="879" t="s">
        <v>2157</v>
      </c>
      <c r="E93" s="871" t="s">
        <v>15</v>
      </c>
      <c r="F93" s="780">
        <v>100</v>
      </c>
      <c r="G93" s="946"/>
      <c r="H93" s="95"/>
      <c r="I93" s="1064"/>
      <c r="J93" s="622"/>
      <c r="K93" s="982"/>
      <c r="L93" s="622"/>
      <c r="M93" s="982"/>
      <c r="N93" s="1110"/>
      <c r="O93" s="1208"/>
      <c r="P93" s="1110"/>
      <c r="Q93" s="1208"/>
      <c r="R93" s="1028"/>
      <c r="U93" s="958"/>
    </row>
    <row r="94" spans="1:21" s="224" customFormat="1" ht="15" customHeight="1" x14ac:dyDescent="0.25">
      <c r="A94" s="215">
        <v>44798</v>
      </c>
      <c r="B94" s="364" t="s">
        <v>81</v>
      </c>
      <c r="C94" s="350" t="s">
        <v>12</v>
      </c>
      <c r="D94" s="350" t="s">
        <v>1493</v>
      </c>
      <c r="E94" s="875" t="s">
        <v>13</v>
      </c>
      <c r="F94" s="780">
        <v>5.73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982"/>
      <c r="R94" s="1028"/>
      <c r="U94" s="958"/>
    </row>
    <row r="95" spans="1:21" s="224" customFormat="1" ht="15" customHeight="1" x14ac:dyDescent="0.25">
      <c r="A95" s="215">
        <v>44799</v>
      </c>
      <c r="B95" s="882" t="s">
        <v>32</v>
      </c>
      <c r="C95" s="879" t="s">
        <v>12</v>
      </c>
      <c r="D95" s="879" t="s">
        <v>1485</v>
      </c>
      <c r="E95" s="875" t="s">
        <v>13</v>
      </c>
      <c r="F95" s="780">
        <v>22.5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982"/>
      <c r="R95" s="861"/>
    </row>
    <row r="96" spans="1:21" s="224" customFormat="1" ht="15" customHeight="1" x14ac:dyDescent="0.25">
      <c r="A96" s="215">
        <v>44799</v>
      </c>
      <c r="B96" s="882" t="s">
        <v>443</v>
      </c>
      <c r="C96" s="879" t="s">
        <v>12</v>
      </c>
      <c r="D96" s="879" t="s">
        <v>1493</v>
      </c>
      <c r="E96" s="871" t="s">
        <v>13</v>
      </c>
      <c r="F96" s="780">
        <v>15</v>
      </c>
      <c r="G96" s="982"/>
      <c r="H96" s="622"/>
      <c r="I96" s="982"/>
      <c r="J96" s="622"/>
      <c r="K96" s="982"/>
      <c r="L96" s="622"/>
      <c r="M96" s="982"/>
      <c r="N96" s="622"/>
      <c r="O96" s="982"/>
      <c r="P96" s="622"/>
      <c r="Q96" s="982"/>
      <c r="R96" s="1028"/>
      <c r="S96" s="959"/>
      <c r="T96" s="878"/>
      <c r="U96" s="958"/>
    </row>
    <row r="97" spans="1:21" s="224" customFormat="1" ht="15" customHeight="1" x14ac:dyDescent="0.25">
      <c r="A97" s="215">
        <v>44800</v>
      </c>
      <c r="B97" s="882" t="s">
        <v>32</v>
      </c>
      <c r="C97" s="879" t="s">
        <v>12</v>
      </c>
      <c r="D97" s="879" t="s">
        <v>1485</v>
      </c>
      <c r="E97" s="875" t="s">
        <v>13</v>
      </c>
      <c r="F97" s="780">
        <v>20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982"/>
      <c r="R97" s="861"/>
    </row>
    <row r="98" spans="1:21" s="224" customFormat="1" ht="15" customHeight="1" x14ac:dyDescent="0.25">
      <c r="A98" s="215">
        <v>44800</v>
      </c>
      <c r="B98" s="364" t="s">
        <v>3438</v>
      </c>
      <c r="C98" s="350" t="s">
        <v>12</v>
      </c>
      <c r="D98" s="350" t="s">
        <v>1523</v>
      </c>
      <c r="E98" s="875" t="s">
        <v>13</v>
      </c>
      <c r="F98" s="780">
        <v>26</v>
      </c>
      <c r="G98" s="982"/>
      <c r="H98" s="1008"/>
      <c r="I98" s="1063"/>
      <c r="J98" s="622"/>
      <c r="K98" s="982"/>
      <c r="L98" s="622"/>
      <c r="M98" s="982"/>
      <c r="N98" s="622"/>
      <c r="O98" s="982"/>
      <c r="P98" s="622"/>
      <c r="Q98" s="982"/>
      <c r="R98" s="861"/>
      <c r="T98" s="1035"/>
    </row>
    <row r="99" spans="1:21" s="224" customFormat="1" ht="15" customHeight="1" x14ac:dyDescent="0.25">
      <c r="A99" s="215">
        <v>44800</v>
      </c>
      <c r="B99" s="364" t="s">
        <v>1438</v>
      </c>
      <c r="C99" s="350" t="s">
        <v>12</v>
      </c>
      <c r="D99" s="350" t="s">
        <v>1489</v>
      </c>
      <c r="E99" s="875" t="s">
        <v>13</v>
      </c>
      <c r="F99" s="780">
        <v>40.85</v>
      </c>
      <c r="G99" s="982"/>
      <c r="H99" s="1008"/>
      <c r="I99" s="1063"/>
      <c r="J99" s="622"/>
      <c r="K99" s="982"/>
      <c r="L99" s="622"/>
      <c r="M99" s="982"/>
      <c r="N99" s="622"/>
      <c r="O99" s="982"/>
      <c r="P99" s="622"/>
      <c r="Q99" s="982"/>
      <c r="R99" s="861"/>
      <c r="T99" s="1035"/>
    </row>
    <row r="100" spans="1:21" s="224" customFormat="1" ht="15" customHeight="1" x14ac:dyDescent="0.25">
      <c r="A100" s="215">
        <v>44800</v>
      </c>
      <c r="B100" s="364" t="s">
        <v>2300</v>
      </c>
      <c r="C100" s="350" t="s">
        <v>12</v>
      </c>
      <c r="D100" s="350" t="s">
        <v>1493</v>
      </c>
      <c r="E100" s="875" t="s">
        <v>13</v>
      </c>
      <c r="F100" s="780">
        <v>7.5</v>
      </c>
      <c r="G100" s="982"/>
      <c r="H100" s="1008"/>
      <c r="I100" s="1063"/>
      <c r="J100" s="622"/>
      <c r="K100" s="982"/>
      <c r="L100" s="622"/>
      <c r="M100" s="982"/>
      <c r="N100" s="622"/>
      <c r="O100" s="982"/>
      <c r="P100" s="622"/>
      <c r="Q100" s="982"/>
      <c r="R100" s="861"/>
      <c r="T100" s="1035"/>
    </row>
    <row r="101" spans="1:21" s="224" customFormat="1" ht="15" customHeight="1" x14ac:dyDescent="0.25">
      <c r="A101" s="215">
        <v>44800</v>
      </c>
      <c r="B101" s="364" t="s">
        <v>3439</v>
      </c>
      <c r="C101" s="350" t="s">
        <v>12</v>
      </c>
      <c r="D101" s="350" t="s">
        <v>1493</v>
      </c>
      <c r="E101" s="875" t="s">
        <v>13</v>
      </c>
      <c r="F101" s="780">
        <v>21.7</v>
      </c>
      <c r="G101" s="982"/>
      <c r="H101" s="1008"/>
      <c r="I101" s="1063"/>
      <c r="J101" s="622"/>
      <c r="K101" s="982"/>
      <c r="L101" s="622"/>
      <c r="M101" s="982"/>
      <c r="N101" s="622"/>
      <c r="O101" s="982"/>
      <c r="P101" s="622"/>
      <c r="Q101" s="982"/>
      <c r="R101" s="861"/>
      <c r="T101" s="1035"/>
    </row>
    <row r="102" spans="1:21" s="224" customFormat="1" ht="15" customHeight="1" x14ac:dyDescent="0.25">
      <c r="A102" s="215">
        <v>44801</v>
      </c>
      <c r="B102" s="364" t="s">
        <v>14</v>
      </c>
      <c r="C102" s="350" t="s">
        <v>12</v>
      </c>
      <c r="D102" s="350" t="s">
        <v>1486</v>
      </c>
      <c r="E102" s="875" t="s">
        <v>13</v>
      </c>
      <c r="F102" s="780">
        <v>8.35</v>
      </c>
      <c r="G102" s="982"/>
      <c r="H102" s="1008"/>
      <c r="I102" s="1063"/>
      <c r="J102" s="622"/>
      <c r="K102" s="982"/>
      <c r="L102" s="622"/>
      <c r="M102" s="982"/>
      <c r="N102" s="622"/>
      <c r="O102" s="982"/>
      <c r="P102" s="622"/>
      <c r="Q102" s="982"/>
      <c r="R102" s="861"/>
      <c r="T102" s="1035"/>
    </row>
    <row r="103" spans="1:21" s="224" customFormat="1" ht="15" customHeight="1" x14ac:dyDescent="0.25">
      <c r="A103" s="215">
        <v>44801</v>
      </c>
      <c r="B103" s="349" t="s">
        <v>134</v>
      </c>
      <c r="C103" s="350" t="s">
        <v>12</v>
      </c>
      <c r="D103" s="350" t="s">
        <v>1493</v>
      </c>
      <c r="E103" s="480" t="s">
        <v>13</v>
      </c>
      <c r="F103" s="780">
        <v>13.5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622"/>
      <c r="Q103" s="982"/>
      <c r="R103" s="861"/>
      <c r="T103" s="927"/>
      <c r="U103" s="999"/>
    </row>
    <row r="104" spans="1:21" s="224" customFormat="1" ht="15" customHeight="1" x14ac:dyDescent="0.25">
      <c r="A104" s="215">
        <v>44802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46"/>
      <c r="H104" s="95"/>
      <c r="I104" s="1064"/>
      <c r="J104" s="622"/>
      <c r="K104" s="982"/>
      <c r="L104" s="622"/>
      <c r="M104" s="982"/>
      <c r="N104" s="622"/>
      <c r="O104" s="982"/>
      <c r="P104" s="622"/>
      <c r="Q104" s="982"/>
      <c r="R104" s="861"/>
    </row>
    <row r="105" spans="1:21" s="224" customFormat="1" ht="15" customHeight="1" x14ac:dyDescent="0.25">
      <c r="A105" s="215">
        <v>44802</v>
      </c>
      <c r="B105" s="364" t="s">
        <v>478</v>
      </c>
      <c r="C105" s="350" t="s">
        <v>12</v>
      </c>
      <c r="D105" s="350" t="s">
        <v>1496</v>
      </c>
      <c r="E105" s="875" t="s">
        <v>13</v>
      </c>
      <c r="F105" s="780">
        <v>12.28</v>
      </c>
      <c r="G105" s="982"/>
      <c r="H105" s="1008"/>
      <c r="I105" s="1063"/>
      <c r="J105" s="622"/>
      <c r="K105" s="982"/>
      <c r="L105" s="622"/>
      <c r="M105" s="982"/>
      <c r="N105" s="880"/>
      <c r="O105" s="1033"/>
      <c r="P105" s="880"/>
      <c r="Q105" s="1033"/>
      <c r="R105" s="861"/>
      <c r="T105" s="1080"/>
      <c r="U105" s="999"/>
    </row>
    <row r="106" spans="1:21" s="224" customFormat="1" ht="15" customHeight="1" x14ac:dyDescent="0.25">
      <c r="A106" s="215">
        <v>44803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18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982"/>
      <c r="R106" s="861"/>
    </row>
    <row r="107" spans="1:21" s="224" customFormat="1" ht="15" customHeight="1" x14ac:dyDescent="0.25">
      <c r="A107" s="215">
        <v>44803</v>
      </c>
      <c r="B107" s="364" t="s">
        <v>2300</v>
      </c>
      <c r="C107" s="350" t="s">
        <v>12</v>
      </c>
      <c r="D107" s="350" t="s">
        <v>1493</v>
      </c>
      <c r="E107" s="875" t="s">
        <v>13</v>
      </c>
      <c r="F107" s="780">
        <v>5</v>
      </c>
      <c r="G107" s="982"/>
      <c r="H107" s="1008"/>
      <c r="I107" s="1063"/>
      <c r="J107" s="622"/>
      <c r="K107" s="982"/>
      <c r="L107" s="622"/>
      <c r="M107" s="982"/>
      <c r="N107" s="622"/>
      <c r="O107" s="982">
        <v>331.71</v>
      </c>
      <c r="P107" s="622"/>
      <c r="Q107" s="982"/>
      <c r="R107" s="1028" t="s">
        <v>3435</v>
      </c>
      <c r="S107" s="89"/>
      <c r="T107" s="1081"/>
      <c r="U107" s="1082"/>
    </row>
    <row r="108" spans="1:21" s="224" customFormat="1" ht="15" customHeight="1" x14ac:dyDescent="0.25">
      <c r="A108" s="215">
        <v>44804</v>
      </c>
      <c r="B108" s="882" t="s">
        <v>32</v>
      </c>
      <c r="C108" s="879" t="s">
        <v>12</v>
      </c>
      <c r="D108" s="879" t="s">
        <v>1485</v>
      </c>
      <c r="E108" s="875" t="s">
        <v>13</v>
      </c>
      <c r="F108" s="780">
        <v>11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982"/>
      <c r="R108" s="861"/>
    </row>
    <row r="109" spans="1:21" s="224" customFormat="1" x14ac:dyDescent="0.25">
      <c r="A109" s="215">
        <v>44804</v>
      </c>
      <c r="B109" s="364" t="s">
        <v>14</v>
      </c>
      <c r="C109" s="350" t="s">
        <v>12</v>
      </c>
      <c r="D109" s="350" t="s">
        <v>1486</v>
      </c>
      <c r="E109" s="875" t="s">
        <v>13</v>
      </c>
      <c r="F109" s="1047">
        <v>7.67</v>
      </c>
      <c r="G109" s="982"/>
      <c r="H109" s="1008"/>
      <c r="I109" s="1063"/>
      <c r="J109" s="622"/>
      <c r="K109" s="982"/>
      <c r="L109" s="622"/>
      <c r="M109" s="982"/>
      <c r="N109" s="622"/>
      <c r="O109" s="982"/>
      <c r="P109" s="622"/>
      <c r="Q109" s="982"/>
      <c r="R109" s="1029"/>
      <c r="S109" s="89"/>
      <c r="T109" s="930"/>
    </row>
    <row r="110" spans="1:21" s="224" customFormat="1" ht="15.75" thickBot="1" x14ac:dyDescent="0.3">
      <c r="A110" s="215">
        <v>44804</v>
      </c>
      <c r="B110" s="862" t="s">
        <v>1666</v>
      </c>
      <c r="C110" s="350" t="s">
        <v>12</v>
      </c>
      <c r="D110" s="1003"/>
      <c r="E110" s="145" t="s">
        <v>25</v>
      </c>
      <c r="F110" s="1036"/>
      <c r="G110" s="1535"/>
      <c r="H110" s="1008"/>
      <c r="I110" s="1063"/>
      <c r="J110" s="622"/>
      <c r="K110" s="982">
        <v>63.66</v>
      </c>
      <c r="L110" s="1036"/>
      <c r="M110" s="1535"/>
      <c r="N110" s="622"/>
      <c r="O110" s="982"/>
      <c r="P110" s="622"/>
      <c r="Q110" s="982"/>
      <c r="R110" s="475"/>
      <c r="T110" s="878"/>
    </row>
    <row r="111" spans="1:21" ht="25.5" customHeight="1" thickBot="1" x14ac:dyDescent="0.3">
      <c r="A111" s="3060"/>
      <c r="B111" s="3061"/>
      <c r="C111" s="3062"/>
      <c r="D111" s="3062"/>
      <c r="E111" s="3062"/>
      <c r="F111" s="1020">
        <f>SUM(F6:F110)</f>
        <v>4217.5599999999995</v>
      </c>
      <c r="G111" s="1534">
        <f>SUM(G5:G110)</f>
        <v>4592.6195833333541</v>
      </c>
      <c r="H111" s="517">
        <f>SUM(H6:H110)</f>
        <v>0</v>
      </c>
      <c r="I111" s="93">
        <f>SUM(I5:I110)</f>
        <v>999.99599999999919</v>
      </c>
      <c r="J111" s="1023">
        <f>SUM(J6:J110)</f>
        <v>0</v>
      </c>
      <c r="K111" s="93">
        <f>SUM(K5:K110)</f>
        <v>6756.7300000000014</v>
      </c>
      <c r="L111" s="1023">
        <f>SUM(L6:L110)</f>
        <v>0</v>
      </c>
      <c r="M111" s="93">
        <f>SUM(M5:M110)</f>
        <v>11937.119999999999</v>
      </c>
      <c r="N111" s="1211">
        <f>SUM(N6:N110)</f>
        <v>0</v>
      </c>
      <c r="O111" s="93">
        <f>SUM(O5:O110)</f>
        <v>10956.189999999999</v>
      </c>
      <c r="P111" s="1211">
        <f>SUM(P6:P110)</f>
        <v>0</v>
      </c>
      <c r="Q111" s="93">
        <f>SUM(Q5:Q110)</f>
        <v>40288.525984720007</v>
      </c>
      <c r="S111" s="216"/>
    </row>
    <row r="112" spans="1:21" ht="25.5" customHeight="1" thickBot="1" x14ac:dyDescent="0.3">
      <c r="A112" s="3117" t="s">
        <v>49</v>
      </c>
      <c r="B112" s="3118"/>
      <c r="C112" s="3118"/>
      <c r="D112" s="3118"/>
      <c r="E112" s="3118"/>
      <c r="F112" s="144" t="s">
        <v>280</v>
      </c>
      <c r="G112" s="519">
        <f>G111-F111</f>
        <v>375.05958333335457</v>
      </c>
      <c r="H112" s="555"/>
      <c r="I112" s="772">
        <f>I111-H111</f>
        <v>999.99599999999919</v>
      </c>
      <c r="J112" s="593"/>
      <c r="K112" s="772">
        <f>K111-J111</f>
        <v>6756.7300000000014</v>
      </c>
      <c r="L112" s="593"/>
      <c r="M112" s="993">
        <f>M111-L111</f>
        <v>11937.119999999999</v>
      </c>
      <c r="N112" s="593"/>
      <c r="O112" s="556">
        <f>O111-N111</f>
        <v>10956.189999999999</v>
      </c>
      <c r="P112" s="593"/>
      <c r="Q112" s="556">
        <f>Q111-P111</f>
        <v>40288.525984720007</v>
      </c>
    </row>
    <row r="113" spans="1:26" x14ac:dyDescent="0.25">
      <c r="M113" s="89"/>
      <c r="N113" s="1210"/>
      <c r="O113" s="1038"/>
      <c r="P113" s="1210"/>
      <c r="Q113" s="1038"/>
      <c r="R113" s="89"/>
      <c r="T113" s="79"/>
      <c r="W113" s="518"/>
      <c r="X113" s="216"/>
      <c r="Z113" s="877"/>
    </row>
    <row r="114" spans="1:26" x14ac:dyDescent="0.25">
      <c r="B114" s="81" t="s">
        <v>3</v>
      </c>
      <c r="C114" s="193" t="s">
        <v>1484</v>
      </c>
      <c r="D114" s="970" t="s">
        <v>2378</v>
      </c>
      <c r="E114" s="193" t="s">
        <v>3216</v>
      </c>
      <c r="F114" s="1061" t="s">
        <v>3217</v>
      </c>
      <c r="G114" s="216"/>
      <c r="K114" s="866"/>
      <c r="M114" s="866"/>
      <c r="N114" s="1210"/>
      <c r="O114" s="1038"/>
      <c r="P114" s="1210"/>
      <c r="Q114" s="1038"/>
    </row>
    <row r="115" spans="1:26" x14ac:dyDescent="0.25">
      <c r="B115" s="79" t="s">
        <v>32</v>
      </c>
      <c r="C115" s="85" t="s">
        <v>1485</v>
      </c>
      <c r="D115" s="475">
        <f>SUMIF($D$7:$D$110,"A",$F$7:$F$110)</f>
        <v>410.75</v>
      </c>
      <c r="E115" s="1202">
        <f t="shared" ref="E115:E131" si="0">D115/$K$134</f>
        <v>13.25</v>
      </c>
      <c r="F115" s="1203">
        <f t="shared" ref="F115:F132" si="1">E115/$E$135</f>
        <v>9.4178690738503087E-2</v>
      </c>
      <c r="G115" s="800"/>
      <c r="I115" s="769"/>
      <c r="J115" s="868"/>
      <c r="L115" s="868"/>
      <c r="N115" s="1210"/>
      <c r="O115" s="1038"/>
      <c r="P115" s="1210"/>
      <c r="Q115" s="1038"/>
    </row>
    <row r="116" spans="1:26" x14ac:dyDescent="0.25">
      <c r="B116" s="79" t="s">
        <v>2187</v>
      </c>
      <c r="C116" s="85" t="s">
        <v>2157</v>
      </c>
      <c r="D116" s="475">
        <f>SUMIF($D$7:$D$110,"GAC",$F$7:$F$110)</f>
        <v>490</v>
      </c>
      <c r="E116" s="1202">
        <f t="shared" si="0"/>
        <v>15.806451612903226</v>
      </c>
      <c r="F116" s="1203">
        <f t="shared" si="1"/>
        <v>0.11234950325469632</v>
      </c>
      <c r="G116" s="609"/>
      <c r="J116" s="754"/>
      <c r="K116" s="886"/>
      <c r="L116" s="754"/>
      <c r="M116" s="886"/>
      <c r="N116" s="1210"/>
      <c r="O116" s="1038"/>
      <c r="P116" s="1210"/>
      <c r="Q116" s="1038"/>
      <c r="R116" s="1030"/>
    </row>
    <row r="117" spans="1:26" x14ac:dyDescent="0.25">
      <c r="B117" s="79" t="s">
        <v>2188</v>
      </c>
      <c r="C117" s="85" t="s">
        <v>2168</v>
      </c>
      <c r="D117" s="475">
        <f>SUMIF($D$18:$D$110,"GAM",$F$18:$F$110)</f>
        <v>0</v>
      </c>
      <c r="E117" s="1202">
        <f t="shared" si="0"/>
        <v>0</v>
      </c>
      <c r="F117" s="1203">
        <f t="shared" si="1"/>
        <v>0</v>
      </c>
      <c r="J117" s="864"/>
      <c r="K117" s="864"/>
      <c r="L117" s="864"/>
      <c r="M117" s="864"/>
      <c r="N117" s="1210"/>
      <c r="O117" s="1038"/>
      <c r="P117" s="1210"/>
      <c r="Q117" s="1038"/>
      <c r="R117" s="958"/>
    </row>
    <row r="118" spans="1:26" s="85" customFormat="1" x14ac:dyDescent="0.25">
      <c r="A118" s="79"/>
      <c r="B118" s="79" t="s">
        <v>50</v>
      </c>
      <c r="C118" s="85" t="s">
        <v>1493</v>
      </c>
      <c r="D118" s="475">
        <f>SUMIF($D$7:$D$110,"LD",$F$7:$F$110)</f>
        <v>307.96999999999997</v>
      </c>
      <c r="E118" s="1202">
        <f t="shared" si="0"/>
        <v>9.9345161290322572</v>
      </c>
      <c r="F118" s="1203">
        <f t="shared" si="1"/>
        <v>7.0612809219079239E-2</v>
      </c>
      <c r="J118" s="864"/>
      <c r="K118" s="1032"/>
      <c r="L118" s="864"/>
      <c r="M118" s="1032"/>
      <c r="N118" s="1210"/>
      <c r="O118" s="1038"/>
      <c r="P118" s="1210"/>
      <c r="Q118" s="1038"/>
      <c r="R118" s="958"/>
      <c r="T118" s="877"/>
    </row>
    <row r="119" spans="1:26" s="85" customFormat="1" x14ac:dyDescent="0.25">
      <c r="A119" s="79"/>
      <c r="B119" s="79" t="s">
        <v>14</v>
      </c>
      <c r="C119" s="85" t="s">
        <v>1486</v>
      </c>
      <c r="D119" s="475">
        <f>SUMIF($D$7:$D$110,"C",$F$7:$F$110)</f>
        <v>84.039999999999992</v>
      </c>
      <c r="E119" s="1202">
        <f t="shared" si="0"/>
        <v>2.7109677419354834</v>
      </c>
      <c r="F119" s="1203">
        <f t="shared" si="1"/>
        <v>1.9269086231683014E-2</v>
      </c>
      <c r="G119" s="79"/>
      <c r="H119" s="79"/>
      <c r="J119" s="864"/>
      <c r="K119" s="1032"/>
      <c r="L119" s="864"/>
      <c r="M119" s="1032"/>
      <c r="N119" s="1210"/>
      <c r="O119" s="1038"/>
      <c r="P119" s="1210"/>
      <c r="Q119" s="1038"/>
      <c r="R119" s="958"/>
      <c r="T119" s="877"/>
    </row>
    <row r="120" spans="1:26" s="85" customFormat="1" x14ac:dyDescent="0.25">
      <c r="A120" s="79"/>
      <c r="B120" s="79" t="s">
        <v>51</v>
      </c>
      <c r="C120" s="864" t="s">
        <v>1499</v>
      </c>
      <c r="D120" s="475">
        <f>SUMIF($D$19:$D$110,"CAL",$F$19:$F$110)</f>
        <v>102.47999999999999</v>
      </c>
      <c r="E120" s="1202">
        <f t="shared" si="0"/>
        <v>3.3058064516129031</v>
      </c>
      <c r="F120" s="1203">
        <f t="shared" si="1"/>
        <v>2.3497096109267916E-2</v>
      </c>
      <c r="G120" s="79"/>
      <c r="H120" s="79"/>
      <c r="I120" s="79"/>
      <c r="K120" s="795"/>
      <c r="M120" s="795"/>
      <c r="N120" s="1210"/>
      <c r="O120" s="1038"/>
      <c r="P120" s="1210"/>
      <c r="Q120" s="1038"/>
      <c r="R120" s="958"/>
      <c r="T120" s="877"/>
    </row>
    <row r="121" spans="1:26" s="85" customFormat="1" x14ac:dyDescent="0.25">
      <c r="A121" s="79"/>
      <c r="B121" s="79" t="s">
        <v>2189</v>
      </c>
      <c r="C121" s="864" t="s">
        <v>1496</v>
      </c>
      <c r="D121" s="475">
        <f>SUMIF($D$19:$D$110,"AC",$F$19:$F$110)</f>
        <v>167.37</v>
      </c>
      <c r="E121" s="1202">
        <f t="shared" si="0"/>
        <v>5.3990322580645165</v>
      </c>
      <c r="F121" s="1203">
        <f t="shared" si="1"/>
        <v>3.8375380325996987E-2</v>
      </c>
      <c r="G121" s="79"/>
      <c r="K121" s="177"/>
      <c r="M121" s="177"/>
      <c r="N121" s="1210"/>
      <c r="O121" s="1038"/>
      <c r="P121" s="1210"/>
      <c r="Q121" s="1038"/>
      <c r="R121" s="941"/>
      <c r="T121" s="877"/>
    </row>
    <row r="122" spans="1:26" s="85" customFormat="1" x14ac:dyDescent="0.25">
      <c r="A122" s="79"/>
      <c r="B122" s="867" t="s">
        <v>53</v>
      </c>
      <c r="C122" s="864" t="s">
        <v>1522</v>
      </c>
      <c r="D122" s="475">
        <f>SUMIF($D$17:$D$110,"DC",$F$17:$F$110)</f>
        <v>49.94</v>
      </c>
      <c r="E122" s="1202">
        <f t="shared" si="0"/>
        <v>1.6109677419354838</v>
      </c>
      <c r="F122" s="1203">
        <f t="shared" si="1"/>
        <v>1.1450477943958233E-2</v>
      </c>
      <c r="K122" s="177"/>
      <c r="M122" s="177"/>
      <c r="N122" s="1210"/>
      <c r="O122" s="1038"/>
      <c r="P122" s="1210"/>
      <c r="Q122" s="1038"/>
      <c r="R122" s="475"/>
      <c r="T122" s="877"/>
    </row>
    <row r="123" spans="1:26" s="85" customFormat="1" x14ac:dyDescent="0.25">
      <c r="A123" s="79"/>
      <c r="B123" s="867" t="s">
        <v>2149</v>
      </c>
      <c r="C123" s="864" t="s">
        <v>2131</v>
      </c>
      <c r="D123" s="475">
        <f>SUMIF($D$6:$D$110,"DM",$F$6:$F$110)</f>
        <v>0</v>
      </c>
      <c r="E123" s="1202">
        <f t="shared" si="0"/>
        <v>0</v>
      </c>
      <c r="F123" s="1203">
        <f t="shared" si="1"/>
        <v>0</v>
      </c>
      <c r="K123" s="177" t="s">
        <v>280</v>
      </c>
      <c r="M123" s="177" t="s">
        <v>280</v>
      </c>
      <c r="N123" s="1210"/>
      <c r="O123" s="1038"/>
      <c r="P123" s="1210"/>
      <c r="Q123" s="1038"/>
      <c r="R123" s="475"/>
      <c r="T123" s="877"/>
    </row>
    <row r="124" spans="1:26" s="85" customFormat="1" x14ac:dyDescent="0.25">
      <c r="A124" s="79"/>
      <c r="B124" s="79" t="s">
        <v>3048</v>
      </c>
      <c r="C124" s="864" t="s">
        <v>1523</v>
      </c>
      <c r="D124" s="475">
        <f ca="1">SUMIF($D$18:$D$111,"B",$F$18:$F$110)</f>
        <v>64</v>
      </c>
      <c r="E124" s="1202">
        <f t="shared" ca="1" si="0"/>
        <v>2.064516129032258</v>
      </c>
      <c r="F124" s="1203">
        <f t="shared" ca="1" si="1"/>
        <v>1.4674220833266459E-2</v>
      </c>
      <c r="G124" s="866"/>
      <c r="K124" s="177"/>
      <c r="M124" s="177"/>
      <c r="N124" s="1210"/>
      <c r="O124" s="1038"/>
      <c r="P124" s="1210"/>
      <c r="Q124" s="1038"/>
      <c r="R124" s="475"/>
      <c r="T124" s="877"/>
    </row>
    <row r="125" spans="1:26" s="85" customFormat="1" x14ac:dyDescent="0.25">
      <c r="A125" s="79"/>
      <c r="B125" s="79" t="s">
        <v>1686</v>
      </c>
      <c r="C125" s="864" t="s">
        <v>1506</v>
      </c>
      <c r="D125" s="475">
        <f>SUMIF($D$8:$D$110,"R",$F$8:$F$110)</f>
        <v>100</v>
      </c>
      <c r="E125" s="1202">
        <f t="shared" si="0"/>
        <v>3.225806451612903</v>
      </c>
      <c r="F125" s="1203">
        <f t="shared" si="1"/>
        <v>2.2928470051978841E-2</v>
      </c>
      <c r="G125" s="868"/>
      <c r="K125" s="866"/>
      <c r="M125" s="866"/>
      <c r="N125" s="1210"/>
      <c r="O125" s="1038"/>
      <c r="P125" s="1210"/>
      <c r="Q125" s="1038"/>
      <c r="R125" s="475"/>
      <c r="T125" s="877"/>
    </row>
    <row r="126" spans="1:26" x14ac:dyDescent="0.25">
      <c r="B126" s="79" t="s">
        <v>418</v>
      </c>
      <c r="C126" s="85" t="s">
        <v>1524</v>
      </c>
      <c r="D126" s="475">
        <f>SUMIF($D$7:$D$110,"COM",$F$7:$F$110)</f>
        <v>22.6</v>
      </c>
      <c r="E126" s="1202">
        <f t="shared" si="0"/>
        <v>0.72903225806451621</v>
      </c>
      <c r="F126" s="1203">
        <f t="shared" si="1"/>
        <v>5.1818342317472193E-3</v>
      </c>
      <c r="G126" s="85"/>
      <c r="H126" s="85"/>
      <c r="I126" s="85"/>
      <c r="J126" s="769"/>
      <c r="K126" s="216"/>
      <c r="L126" s="769"/>
      <c r="M126" s="216"/>
      <c r="N126" s="1210"/>
      <c r="O126" s="1038"/>
      <c r="P126" s="1210"/>
      <c r="Q126" s="1038"/>
    </row>
    <row r="127" spans="1:26" x14ac:dyDescent="0.25">
      <c r="B127" s="79" t="s">
        <v>419</v>
      </c>
      <c r="C127" s="85" t="s">
        <v>1491</v>
      </c>
      <c r="D127" s="475">
        <f>SUMIF($D$19:$D$110,"F",$F$19:$F$110)</f>
        <v>740</v>
      </c>
      <c r="E127" s="1202">
        <f t="shared" si="0"/>
        <v>23.870967741935484</v>
      </c>
      <c r="F127" s="1203">
        <f t="shared" si="1"/>
        <v>0.16967067838464342</v>
      </c>
      <c r="I127" s="85"/>
      <c r="K127" s="216"/>
      <c r="M127" s="216"/>
      <c r="N127" s="1210"/>
      <c r="O127" s="1038"/>
      <c r="P127" s="1210"/>
      <c r="Q127" s="1038"/>
    </row>
    <row r="128" spans="1:26" x14ac:dyDescent="0.25">
      <c r="B128" s="79" t="s">
        <v>911</v>
      </c>
      <c r="C128" s="85" t="s">
        <v>1525</v>
      </c>
      <c r="D128" s="475">
        <f>SUMIF($D$8:$D$110,"FER",$F$8:$F$110)</f>
        <v>250</v>
      </c>
      <c r="E128" s="1202">
        <f t="shared" si="0"/>
        <v>8.064516129032258</v>
      </c>
      <c r="F128" s="1203">
        <f t="shared" si="1"/>
        <v>5.7321175129947104E-2</v>
      </c>
      <c r="J128" s="769"/>
      <c r="K128" s="868"/>
      <c r="L128" s="769"/>
      <c r="M128" s="868"/>
      <c r="N128" s="1210"/>
      <c r="O128" s="1038"/>
      <c r="P128" s="1210"/>
      <c r="Q128" s="1038"/>
    </row>
    <row r="129" spans="1:24" x14ac:dyDescent="0.25">
      <c r="B129" s="79" t="s">
        <v>1526</v>
      </c>
      <c r="C129" s="85" t="s">
        <v>1504</v>
      </c>
      <c r="D129" s="475">
        <f>SUMIF($D$19:$D$110,"I",$F$19:$F$110)</f>
        <v>144.30000000000001</v>
      </c>
      <c r="E129" s="1202">
        <f t="shared" si="0"/>
        <v>4.6548387096774198</v>
      </c>
      <c r="F129" s="1203">
        <f t="shared" si="1"/>
        <v>3.3085782285005472E-2</v>
      </c>
      <c r="J129" s="769"/>
      <c r="K129" s="868"/>
      <c r="L129" s="769"/>
      <c r="M129" s="868"/>
      <c r="N129" s="1210"/>
      <c r="O129" s="1038"/>
      <c r="P129" s="1210"/>
      <c r="Q129" s="1038"/>
    </row>
    <row r="130" spans="1:24" x14ac:dyDescent="0.25">
      <c r="B130" s="79" t="s">
        <v>2343</v>
      </c>
      <c r="C130" s="85" t="s">
        <v>2315</v>
      </c>
      <c r="D130" s="475">
        <f>SUMIF($D$18:$D$110,"E",$F$18:$F$110)</f>
        <v>0</v>
      </c>
      <c r="E130" s="1202">
        <f t="shared" si="0"/>
        <v>0</v>
      </c>
      <c r="F130" s="1203">
        <f t="shared" si="1"/>
        <v>0</v>
      </c>
      <c r="J130" s="769"/>
      <c r="K130" s="868"/>
      <c r="L130" s="769"/>
      <c r="M130" s="868"/>
      <c r="N130" s="1210"/>
      <c r="O130" s="1038"/>
      <c r="P130" s="1210"/>
      <c r="Q130" s="1038"/>
    </row>
    <row r="131" spans="1:24" x14ac:dyDescent="0.25">
      <c r="B131" s="79" t="s">
        <v>3019</v>
      </c>
      <c r="C131" s="85" t="s">
        <v>3017</v>
      </c>
      <c r="D131" s="475">
        <f>SUMIF($D$6:$D$110,"IM",$F$6:$F$110)</f>
        <v>557.42999999999995</v>
      </c>
      <c r="E131" s="1202">
        <f t="shared" si="0"/>
        <v>17.981612903225805</v>
      </c>
      <c r="F131" s="1203">
        <f t="shared" si="1"/>
        <v>0.12781017061074565</v>
      </c>
      <c r="J131" s="769"/>
      <c r="L131" s="769"/>
      <c r="N131" s="941"/>
      <c r="O131" s="224"/>
      <c r="P131" s="941"/>
      <c r="Q131" s="224"/>
    </row>
    <row r="132" spans="1:24" x14ac:dyDescent="0.25">
      <c r="B132" s="79" t="s">
        <v>1527</v>
      </c>
      <c r="C132" s="85" t="s">
        <v>1489</v>
      </c>
      <c r="D132" s="475">
        <f>SUMIF($D$7:$D$110,"OD",$F$7:$F$110)</f>
        <v>286.68</v>
      </c>
      <c r="E132" s="1202">
        <f t="shared" ref="E132" si="2">D132/$K$134</f>
        <v>9.2477419354838712</v>
      </c>
      <c r="F132" s="1203">
        <f t="shared" si="1"/>
        <v>6.5731337945012944E-2</v>
      </c>
      <c r="N132" s="1210"/>
      <c r="O132" s="1038"/>
      <c r="P132" s="1210"/>
      <c r="Q132" s="1038"/>
    </row>
    <row r="133" spans="1:24" x14ac:dyDescent="0.25">
      <c r="C133" s="79"/>
      <c r="D133" s="629"/>
      <c r="E133" s="79"/>
      <c r="F133" s="79"/>
      <c r="N133" s="1210"/>
      <c r="O133" s="1038"/>
      <c r="P133" s="1210"/>
      <c r="Q133" s="1038"/>
      <c r="R133" s="79"/>
      <c r="T133" s="79"/>
    </row>
    <row r="134" spans="1:24" x14ac:dyDescent="0.25">
      <c r="C134" s="3168" t="s">
        <v>486</v>
      </c>
      <c r="D134" s="3168"/>
      <c r="E134" s="863">
        <f ca="1">I134/K134</f>
        <v>121.85677419354839</v>
      </c>
      <c r="G134" s="518" t="s">
        <v>487</v>
      </c>
      <c r="I134" s="629">
        <f ca="1">SUM(D115:D132)</f>
        <v>3777.56</v>
      </c>
      <c r="J134" s="216"/>
      <c r="K134" s="1517">
        <v>31</v>
      </c>
      <c r="L134" s="1517"/>
      <c r="N134" s="1210"/>
      <c r="O134" s="1038"/>
      <c r="P134" s="1210"/>
      <c r="Q134" s="1038"/>
    </row>
    <row r="135" spans="1:24" ht="15.75" customHeight="1" x14ac:dyDescent="0.25">
      <c r="B135" s="3167" t="s">
        <v>3377</v>
      </c>
      <c r="C135" s="3167"/>
      <c r="D135" s="3167"/>
      <c r="E135" s="1125">
        <v>140.69</v>
      </c>
      <c r="H135" s="85"/>
      <c r="K135" s="868"/>
      <c r="M135" s="868"/>
      <c r="N135" s="1210"/>
      <c r="O135" s="1038"/>
      <c r="P135" s="1210"/>
      <c r="Q135" s="1038"/>
    </row>
    <row r="136" spans="1:24" x14ac:dyDescent="0.25">
      <c r="E136" s="79"/>
      <c r="F136" s="79"/>
      <c r="G136" s="85"/>
      <c r="H136" s="459"/>
      <c r="I136" s="85"/>
      <c r="J136" s="89"/>
      <c r="L136" s="89"/>
      <c r="N136" s="1210"/>
      <c r="O136" s="1038"/>
      <c r="P136" s="1210"/>
      <c r="Q136" s="1038"/>
      <c r="R136" s="769"/>
      <c r="S136" s="518" t="s">
        <v>280</v>
      </c>
      <c r="T136" s="79"/>
      <c r="U136" s="866"/>
      <c r="V136" s="484"/>
      <c r="X136" s="877"/>
    </row>
    <row r="137" spans="1:24" s="518" customFormat="1" x14ac:dyDescent="0.25">
      <c r="A137" s="79"/>
      <c r="B137" s="79"/>
      <c r="E137" s="1000">
        <f ca="1">E135-E134</f>
        <v>18.833225806451608</v>
      </c>
      <c r="F137" s="1184">
        <f ca="1">SUM(F115:F136)</f>
        <v>0.86613671329553188</v>
      </c>
      <c r="G137" s="85"/>
      <c r="H137" s="85"/>
      <c r="I137" s="89"/>
      <c r="J137" s="79"/>
      <c r="K137" s="79"/>
      <c r="L137" s="79"/>
      <c r="M137" s="79"/>
      <c r="N137" s="1210"/>
      <c r="O137" s="1038"/>
      <c r="P137" s="1210"/>
      <c r="Q137" s="1038"/>
      <c r="R137" s="79"/>
      <c r="S137" s="79"/>
      <c r="T137" s="866"/>
      <c r="U137" s="484"/>
      <c r="V137" s="79"/>
      <c r="W137" s="877"/>
      <c r="X137" s="79"/>
    </row>
    <row r="138" spans="1:24" s="518" customFormat="1" x14ac:dyDescent="0.25">
      <c r="A138" s="79"/>
      <c r="B138" s="79"/>
      <c r="C138" s="85"/>
      <c r="D138" s="85"/>
      <c r="E138" s="85"/>
      <c r="G138" s="79"/>
      <c r="H138" s="79"/>
      <c r="I138" s="79"/>
      <c r="J138" s="769"/>
      <c r="K138" s="866"/>
      <c r="L138" s="769"/>
      <c r="M138" s="866"/>
      <c r="N138" s="1210"/>
      <c r="O138" s="1038"/>
      <c r="P138" s="1210"/>
      <c r="Q138" s="1038"/>
      <c r="R138" s="484"/>
      <c r="S138" s="79"/>
      <c r="T138" s="877"/>
      <c r="U138" s="79"/>
    </row>
    <row r="139" spans="1:24" s="518" customFormat="1" x14ac:dyDescent="0.25">
      <c r="A139" s="79"/>
      <c r="B139" s="79"/>
      <c r="C139" s="85"/>
      <c r="D139" s="85"/>
      <c r="E139" s="85"/>
      <c r="F139" s="89"/>
      <c r="G139" s="79"/>
      <c r="H139" s="79"/>
      <c r="I139" s="79"/>
      <c r="J139" s="769"/>
      <c r="K139" s="866"/>
      <c r="L139" s="769"/>
      <c r="M139" s="866"/>
      <c r="N139" s="1210"/>
      <c r="O139" s="1038"/>
      <c r="P139" s="1210"/>
      <c r="Q139" s="1038"/>
      <c r="R139" s="484"/>
      <c r="S139" s="79"/>
      <c r="T139" s="877"/>
      <c r="U139" s="79"/>
    </row>
    <row r="140" spans="1:24" s="518" customFormat="1" x14ac:dyDescent="0.25">
      <c r="A140" s="79"/>
      <c r="B140" s="79"/>
      <c r="C140" s="85"/>
      <c r="D140" s="85"/>
      <c r="E140" s="85"/>
      <c r="F140" s="89"/>
      <c r="G140" s="79"/>
      <c r="H140" s="79"/>
      <c r="I140" s="216"/>
      <c r="J140" s="769"/>
      <c r="K140" s="866"/>
      <c r="L140" s="769"/>
      <c r="M140" s="866"/>
      <c r="N140" s="1210"/>
      <c r="O140" s="1038"/>
      <c r="P140" s="1210"/>
      <c r="Q140" s="1038"/>
      <c r="R140" s="484"/>
      <c r="S140" s="79"/>
      <c r="T140" s="877"/>
      <c r="U140" s="79"/>
    </row>
    <row r="141" spans="1:24" s="518" customFormat="1" x14ac:dyDescent="0.25">
      <c r="A141" s="79"/>
      <c r="B141" s="79"/>
      <c r="C141" s="79"/>
      <c r="D141" s="79"/>
      <c r="E141" s="79"/>
      <c r="F141" s="79"/>
      <c r="G141" s="79"/>
      <c r="H141" s="79"/>
      <c r="K141" s="866"/>
      <c r="M141" s="866"/>
      <c r="N141" s="1210"/>
      <c r="O141" s="1038"/>
      <c r="P141" s="1210"/>
      <c r="Q141" s="1038"/>
      <c r="R141" s="484"/>
      <c r="S141" s="79"/>
      <c r="T141" s="877"/>
      <c r="U141" s="79"/>
    </row>
    <row r="142" spans="1:24" s="518" customFormat="1" x14ac:dyDescent="0.25">
      <c r="A142" s="79"/>
      <c r="B142" s="79"/>
      <c r="C142" s="79"/>
      <c r="D142" s="79"/>
      <c r="E142" s="79"/>
      <c r="F142" s="79"/>
      <c r="G142" s="79"/>
      <c r="H142" s="79"/>
      <c r="I142" s="216"/>
      <c r="J142" s="769"/>
      <c r="K142" s="866"/>
      <c r="L142" s="769"/>
      <c r="M142" s="866"/>
      <c r="N142" s="1210"/>
      <c r="O142" s="1038"/>
      <c r="P142" s="1210"/>
      <c r="Q142" s="1038"/>
      <c r="R142" s="484"/>
      <c r="S142" s="79"/>
      <c r="T142" s="877"/>
      <c r="U142" s="79"/>
    </row>
    <row r="143" spans="1:24" s="518" customFormat="1" x14ac:dyDescent="0.25">
      <c r="A143" s="79"/>
      <c r="B143" s="79"/>
      <c r="C143" s="79"/>
      <c r="D143" s="79"/>
      <c r="E143" s="79"/>
      <c r="F143" s="79"/>
      <c r="G143" s="216"/>
      <c r="H143" s="79"/>
      <c r="I143" s="216"/>
      <c r="J143" s="769"/>
      <c r="K143" s="868"/>
      <c r="L143" s="769"/>
      <c r="M143" s="868"/>
      <c r="N143" s="1210"/>
      <c r="O143" s="1038"/>
      <c r="P143" s="1210"/>
      <c r="Q143" s="1038"/>
      <c r="R143" s="484"/>
      <c r="S143" s="79"/>
      <c r="T143" s="877"/>
      <c r="U143" s="79"/>
    </row>
    <row r="144" spans="1:24" s="518" customFormat="1" x14ac:dyDescent="0.25">
      <c r="A144" s="79"/>
      <c r="B144" s="79"/>
      <c r="C144" s="79"/>
      <c r="D144" s="79"/>
      <c r="E144" s="79"/>
      <c r="F144" s="79"/>
      <c r="G144" s="216"/>
      <c r="H144" s="79"/>
      <c r="I144" s="216"/>
      <c r="J144" s="769"/>
      <c r="K144" s="866"/>
      <c r="L144" s="769"/>
      <c r="M144" s="866"/>
      <c r="N144" s="1210"/>
      <c r="O144" s="1038"/>
      <c r="P144" s="1210"/>
      <c r="Q144" s="1038"/>
      <c r="R144" s="484"/>
      <c r="S144" s="79"/>
      <c r="T144" s="877"/>
      <c r="U144" s="79"/>
    </row>
    <row r="145" spans="1:21" s="518" customFormat="1" x14ac:dyDescent="0.25">
      <c r="A145" s="79"/>
      <c r="B145" s="79"/>
      <c r="C145" s="79"/>
      <c r="D145" s="79"/>
      <c r="E145" s="79"/>
      <c r="F145" s="79"/>
      <c r="G145" s="216"/>
      <c r="H145" s="79"/>
      <c r="I145" s="79"/>
      <c r="J145" s="770"/>
      <c r="K145" s="866"/>
      <c r="L145" s="770"/>
      <c r="M145" s="866"/>
      <c r="N145" s="1210"/>
      <c r="O145" s="1038"/>
      <c r="P145" s="1210"/>
      <c r="Q145" s="1038"/>
      <c r="R145" s="484"/>
      <c r="S145" s="79"/>
      <c r="T145" s="877"/>
      <c r="U145" s="79"/>
    </row>
    <row r="146" spans="1:21" s="518" customFormat="1" x14ac:dyDescent="0.25">
      <c r="A146" s="79"/>
      <c r="B146" s="79"/>
      <c r="C146" s="79"/>
      <c r="D146" s="79"/>
      <c r="E146" s="79"/>
      <c r="F146" s="79"/>
      <c r="G146" s="79"/>
      <c r="H146" s="79"/>
      <c r="I146" s="216"/>
      <c r="J146" s="769"/>
      <c r="K146" s="868"/>
      <c r="L146" s="769"/>
      <c r="M146" s="868"/>
      <c r="N146" s="1210"/>
      <c r="O146" s="1038"/>
      <c r="P146" s="1210"/>
      <c r="Q146" s="1038"/>
      <c r="R146" s="484"/>
      <c r="S146" s="79"/>
      <c r="T146" s="877"/>
      <c r="U146" s="79"/>
    </row>
    <row r="147" spans="1:21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1210"/>
      <c r="O147" s="1038"/>
      <c r="P147" s="1210"/>
      <c r="Q147" s="1038"/>
      <c r="R147" s="484"/>
      <c r="S147" s="79"/>
      <c r="T147" s="877"/>
      <c r="U147" s="79"/>
    </row>
    <row r="148" spans="1:21" s="518" customFormat="1" x14ac:dyDescent="0.25">
      <c r="A148" s="79"/>
      <c r="B148" s="79"/>
      <c r="C148" s="79"/>
      <c r="D148" s="79"/>
      <c r="E148" s="79"/>
      <c r="F148" s="79"/>
      <c r="G148" s="79"/>
      <c r="H148" s="79"/>
      <c r="I148" s="629"/>
      <c r="J148" s="769"/>
      <c r="K148" s="866"/>
      <c r="L148" s="769"/>
      <c r="M148" s="866"/>
      <c r="N148" s="1210"/>
      <c r="O148" s="1038"/>
      <c r="P148" s="1210"/>
      <c r="Q148" s="1038"/>
      <c r="R148" s="484"/>
      <c r="S148" s="79"/>
      <c r="T148" s="877"/>
      <c r="U148" s="79"/>
    </row>
    <row r="149" spans="1:21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1210"/>
      <c r="O149" s="1038"/>
      <c r="P149" s="1210"/>
      <c r="Q149" s="1038"/>
      <c r="R149" s="484"/>
      <c r="S149" s="79"/>
      <c r="T149" s="877"/>
      <c r="U149" s="79"/>
    </row>
    <row r="150" spans="1:21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1210"/>
      <c r="O150" s="1038"/>
      <c r="P150" s="1210"/>
      <c r="Q150" s="1038"/>
      <c r="R150" s="484"/>
      <c r="S150" s="79"/>
      <c r="T150" s="877"/>
      <c r="U150" s="79"/>
    </row>
    <row r="151" spans="1:21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1210"/>
      <c r="O151" s="1038"/>
      <c r="P151" s="1210"/>
      <c r="Q151" s="1038"/>
      <c r="R151" s="484"/>
      <c r="S151" s="79"/>
      <c r="T151" s="877"/>
      <c r="U151" s="79"/>
    </row>
    <row r="152" spans="1:21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1210"/>
      <c r="O152" s="1038"/>
      <c r="P152" s="1210"/>
      <c r="Q152" s="1038"/>
      <c r="R152" s="484"/>
      <c r="S152" s="79"/>
      <c r="T152" s="877"/>
      <c r="U152" s="79"/>
    </row>
    <row r="153" spans="1:21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L153" s="769"/>
      <c r="M153" s="866"/>
      <c r="N153" s="1210"/>
      <c r="O153" s="1038"/>
      <c r="P153" s="1210"/>
      <c r="Q153" s="1038"/>
      <c r="R153" s="484"/>
      <c r="S153" s="79"/>
      <c r="T153" s="877"/>
      <c r="U153" s="79"/>
    </row>
    <row r="154" spans="1:21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L154" s="769"/>
      <c r="M154" s="866"/>
      <c r="N154" s="1210"/>
      <c r="O154" s="1038"/>
      <c r="P154" s="1210"/>
      <c r="Q154" s="1038"/>
      <c r="R154" s="484"/>
      <c r="S154" s="79"/>
      <c r="T154" s="877"/>
      <c r="U154" s="79"/>
    </row>
    <row r="155" spans="1:21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769"/>
      <c r="M155" s="866"/>
      <c r="N155" s="1210"/>
      <c r="O155" s="1038"/>
      <c r="P155" s="1210"/>
      <c r="Q155" s="1038"/>
      <c r="R155" s="484"/>
      <c r="S155" s="79"/>
      <c r="T155" s="877"/>
      <c r="U155" s="79"/>
    </row>
    <row r="156" spans="1:21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L156" s="769"/>
      <c r="M156" s="866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6"/>
      <c r="L157" s="769"/>
      <c r="M157" s="866"/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L158" s="769"/>
      <c r="M158" s="868"/>
      <c r="N158" s="79"/>
      <c r="O158" s="79"/>
      <c r="P158" s="79"/>
      <c r="Q158" s="79"/>
      <c r="R158" s="484"/>
      <c r="S158" s="79"/>
      <c r="T158" s="877"/>
      <c r="U158" s="79"/>
    </row>
    <row r="159" spans="1:21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769"/>
      <c r="M159" s="868"/>
      <c r="N159" s="81"/>
      <c r="O159" s="755"/>
      <c r="P159" s="81"/>
      <c r="Q159" s="755"/>
      <c r="R159" s="484"/>
      <c r="S159" s="79"/>
      <c r="T159" s="877"/>
      <c r="U159" s="79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L160" s="769"/>
      <c r="M160" s="868"/>
      <c r="N160" s="868"/>
      <c r="O160" s="79"/>
      <c r="P160" s="868"/>
      <c r="Q160" s="79"/>
      <c r="R160" s="484"/>
      <c r="S160" s="79"/>
      <c r="T160" s="877"/>
      <c r="U160" s="79"/>
    </row>
    <row r="161" spans="1:21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8"/>
      <c r="L161" s="769"/>
      <c r="M161" s="868"/>
      <c r="N161" s="754"/>
      <c r="O161" s="886"/>
      <c r="P161" s="754"/>
      <c r="Q161" s="886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8"/>
      <c r="L162" s="769"/>
      <c r="M162" s="868"/>
      <c r="N162" s="864"/>
      <c r="O162" s="864"/>
      <c r="P162" s="864"/>
      <c r="Q162" s="864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864"/>
      <c r="O163" s="1032"/>
      <c r="P163" s="864"/>
      <c r="Q163" s="1032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864"/>
      <c r="O164" s="1032"/>
      <c r="P164" s="864"/>
      <c r="Q164" s="1032"/>
      <c r="R164" s="484"/>
      <c r="S164" s="79"/>
      <c r="T164" s="877"/>
      <c r="U164" s="79"/>
    </row>
    <row r="165" spans="1:21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8"/>
      <c r="L165" s="769"/>
      <c r="M165" s="868"/>
      <c r="N165" s="85"/>
      <c r="O165" s="795"/>
      <c r="P165" s="85"/>
      <c r="Q165" s="795"/>
      <c r="R165" s="484"/>
      <c r="S165" s="79"/>
      <c r="T165" s="877"/>
      <c r="U165" s="79"/>
    </row>
    <row r="166" spans="1:21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85"/>
      <c r="O166" s="177"/>
      <c r="P166" s="85"/>
      <c r="Q166" s="177"/>
      <c r="R166" s="484"/>
      <c r="S166" s="79"/>
      <c r="T166" s="877"/>
      <c r="U166" s="79"/>
    </row>
    <row r="167" spans="1:21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6"/>
      <c r="L167" s="769"/>
      <c r="M167" s="866"/>
      <c r="N167" s="85"/>
      <c r="O167" s="177"/>
      <c r="P167" s="85"/>
      <c r="Q167" s="177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L168" s="769"/>
      <c r="M168" s="868"/>
      <c r="N168" s="85"/>
      <c r="O168" s="177" t="s">
        <v>280</v>
      </c>
      <c r="P168" s="85"/>
      <c r="Q168" s="177" t="s">
        <v>280</v>
      </c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8"/>
      <c r="L169" s="769"/>
      <c r="M169" s="868"/>
      <c r="N169" s="85"/>
      <c r="O169" s="177"/>
      <c r="P169" s="85"/>
      <c r="Q169" s="177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8"/>
      <c r="L170" s="769"/>
      <c r="M170" s="868"/>
      <c r="N170" s="85"/>
      <c r="O170" s="866"/>
      <c r="P170" s="85"/>
      <c r="Q170" s="866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69"/>
      <c r="K171" s="868"/>
      <c r="L171" s="769"/>
      <c r="M171" s="868"/>
      <c r="N171" s="769"/>
      <c r="O171" s="216"/>
      <c r="P171" s="769"/>
      <c r="Q171" s="216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69"/>
      <c r="K172" s="866"/>
      <c r="L172" s="769"/>
      <c r="M172" s="866"/>
      <c r="N172" s="79"/>
      <c r="O172" s="216"/>
      <c r="P172" s="79"/>
      <c r="Q172" s="21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223"/>
      <c r="K173" s="629"/>
      <c r="L173" s="223"/>
      <c r="M173" s="629"/>
      <c r="N173" s="769"/>
      <c r="O173" s="868"/>
      <c r="P173" s="769"/>
      <c r="Q173" s="86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56"/>
      <c r="K174" s="756"/>
      <c r="L174" s="756"/>
      <c r="M174" s="756"/>
      <c r="N174" s="769"/>
      <c r="O174" s="868"/>
      <c r="P174" s="769"/>
      <c r="Q174" s="868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69"/>
      <c r="O175" s="868"/>
      <c r="P175" s="769"/>
      <c r="Q175" s="868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69"/>
      <c r="O176" s="79"/>
      <c r="P176" s="769"/>
      <c r="Q176" s="79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85"/>
      <c r="K179" s="85"/>
      <c r="L179" s="85"/>
      <c r="M179" s="85"/>
      <c r="N179" s="1517"/>
      <c r="O179" s="79"/>
      <c r="P179" s="1517"/>
      <c r="Q179" s="79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868"/>
      <c r="P180" s="79"/>
      <c r="Q180" s="868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89"/>
      <c r="O181" s="79"/>
      <c r="P181" s="89"/>
      <c r="Q181" s="79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69"/>
      <c r="O183" s="866"/>
      <c r="P183" s="769"/>
      <c r="Q183" s="86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69"/>
      <c r="O184" s="866"/>
      <c r="P184" s="769"/>
      <c r="Q184" s="86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69"/>
      <c r="O185" s="866"/>
      <c r="P185" s="769"/>
      <c r="Q185" s="866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85"/>
      <c r="K186" s="85"/>
      <c r="L186" s="85"/>
      <c r="M186" s="85"/>
      <c r="O186" s="866"/>
      <c r="Q186" s="866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69"/>
      <c r="O187" s="866"/>
      <c r="P187" s="769"/>
      <c r="Q187" s="866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69"/>
      <c r="O188" s="868"/>
      <c r="P188" s="769"/>
      <c r="Q188" s="868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69"/>
      <c r="O189" s="866"/>
      <c r="P189" s="769"/>
      <c r="Q189" s="866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70"/>
      <c r="O190" s="866"/>
      <c r="P190" s="770"/>
      <c r="Q190" s="866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69"/>
      <c r="O191" s="868"/>
      <c r="P191" s="769"/>
      <c r="Q191" s="868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69"/>
      <c r="O192" s="866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71"/>
      <c r="L193" s="771"/>
      <c r="N193" s="769"/>
      <c r="O193" s="866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69"/>
      <c r="O194" s="866"/>
      <c r="P194" s="769"/>
      <c r="Q194" s="866"/>
      <c r="R194" s="484"/>
      <c r="S194" s="79"/>
      <c r="T194" s="877"/>
      <c r="U194" s="79"/>
    </row>
    <row r="195" spans="1:21" x14ac:dyDescent="0.25">
      <c r="N195" s="769"/>
      <c r="O195" s="866"/>
      <c r="P195" s="769"/>
      <c r="Q195" s="866"/>
    </row>
    <row r="196" spans="1:21" x14ac:dyDescent="0.25">
      <c r="N196" s="769"/>
      <c r="O196" s="866"/>
      <c r="P196" s="769"/>
      <c r="Q196" s="866"/>
    </row>
    <row r="197" spans="1:21" x14ac:dyDescent="0.25">
      <c r="N197" s="769"/>
      <c r="O197" s="866"/>
      <c r="P197" s="769"/>
      <c r="Q197" s="866"/>
    </row>
    <row r="198" spans="1:21" x14ac:dyDescent="0.25">
      <c r="N198" s="769"/>
      <c r="O198" s="866"/>
      <c r="P198" s="769"/>
      <c r="Q198" s="866"/>
    </row>
    <row r="199" spans="1:21" x14ac:dyDescent="0.25">
      <c r="N199" s="769"/>
      <c r="O199" s="866"/>
      <c r="P199" s="769"/>
      <c r="Q199" s="866"/>
    </row>
    <row r="200" spans="1:21" x14ac:dyDescent="0.25">
      <c r="N200" s="769"/>
      <c r="O200" s="866"/>
      <c r="P200" s="769"/>
      <c r="Q200" s="866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L201" s="79"/>
      <c r="M201" s="216"/>
      <c r="N201" s="769"/>
      <c r="O201" s="866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216"/>
      <c r="L202" s="79"/>
      <c r="M202" s="216"/>
      <c r="N202" s="769"/>
      <c r="O202" s="866"/>
      <c r="P202" s="769"/>
      <c r="Q202" s="866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L203" s="79"/>
      <c r="M203" s="216"/>
      <c r="N203" s="769"/>
      <c r="O203" s="868"/>
      <c r="P203" s="769"/>
      <c r="Q203" s="86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L204" s="79"/>
      <c r="M204" s="216"/>
      <c r="N204" s="769"/>
      <c r="O204" s="868"/>
      <c r="P204" s="769"/>
      <c r="Q204" s="868"/>
      <c r="R204" s="484"/>
      <c r="S204" s="79"/>
      <c r="T204" s="877"/>
      <c r="U204" s="79"/>
    </row>
    <row r="205" spans="1:21" x14ac:dyDescent="0.25">
      <c r="N205" s="769"/>
      <c r="O205" s="868"/>
      <c r="P205" s="769"/>
      <c r="Q205" s="868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L206" s="79"/>
      <c r="M206" s="216"/>
      <c r="N206" s="769"/>
      <c r="O206" s="868"/>
      <c r="P206" s="769"/>
      <c r="Q206" s="868"/>
      <c r="R206" s="484"/>
      <c r="S206" s="79"/>
      <c r="T206" s="877"/>
      <c r="U206" s="79"/>
    </row>
    <row r="207" spans="1:21" x14ac:dyDescent="0.25">
      <c r="N207" s="769"/>
      <c r="O207" s="868"/>
      <c r="P207" s="769"/>
      <c r="Q207" s="868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629"/>
      <c r="L208" s="79"/>
      <c r="M208" s="629"/>
      <c r="N208" s="769"/>
      <c r="O208" s="866"/>
      <c r="P208" s="769"/>
      <c r="Q208" s="866"/>
      <c r="R208" s="484"/>
      <c r="S208" s="79"/>
      <c r="T208" s="877"/>
      <c r="U208" s="79"/>
    </row>
    <row r="209" spans="1:21" x14ac:dyDescent="0.25">
      <c r="N209" s="769"/>
      <c r="O209" s="866"/>
      <c r="P209" s="769"/>
      <c r="Q209" s="866"/>
    </row>
    <row r="210" spans="1:21" x14ac:dyDescent="0.25">
      <c r="N210" s="769"/>
      <c r="O210" s="868"/>
      <c r="P210" s="769"/>
      <c r="Q210" s="868"/>
    </row>
    <row r="211" spans="1:21" x14ac:dyDescent="0.25">
      <c r="N211" s="769"/>
      <c r="O211" s="866"/>
      <c r="P211" s="769"/>
      <c r="Q211" s="866"/>
    </row>
    <row r="212" spans="1:21" x14ac:dyDescent="0.25">
      <c r="N212" s="769"/>
      <c r="O212" s="866"/>
      <c r="P212" s="769"/>
      <c r="Q212" s="866"/>
    </row>
    <row r="213" spans="1:21" x14ac:dyDescent="0.25">
      <c r="N213" s="769"/>
      <c r="O213" s="868"/>
      <c r="P213" s="769"/>
      <c r="Q213" s="868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69"/>
      <c r="O214" s="868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69"/>
      <c r="O215" s="868"/>
      <c r="P215" s="769"/>
      <c r="Q215" s="86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69"/>
      <c r="O216" s="868"/>
      <c r="P216" s="769"/>
      <c r="Q216" s="868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69"/>
      <c r="O217" s="866"/>
      <c r="P217" s="769"/>
      <c r="Q217" s="86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223"/>
      <c r="O218" s="629"/>
      <c r="P218" s="223"/>
      <c r="Q218" s="629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56"/>
      <c r="O219" s="756"/>
      <c r="P219" s="756"/>
      <c r="Q219" s="756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79"/>
      <c r="P220" s="79"/>
      <c r="Q220" s="79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79"/>
      <c r="O221" s="79"/>
      <c r="P221" s="79"/>
      <c r="Q221" s="79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79"/>
      <c r="P222" s="79"/>
      <c r="Q222" s="79"/>
      <c r="R222" s="484"/>
      <c r="S222" s="79"/>
      <c r="T222" s="877"/>
      <c r="U222" s="79"/>
    </row>
    <row r="224" spans="1:21" x14ac:dyDescent="0.25">
      <c r="N224" s="85"/>
      <c r="O224" s="85"/>
      <c r="P224" s="85"/>
      <c r="Q224" s="85"/>
    </row>
    <row r="231" spans="1:42" x14ac:dyDescent="0.25">
      <c r="N231" s="85"/>
      <c r="O231" s="85"/>
      <c r="P231" s="85"/>
      <c r="Q231" s="85"/>
    </row>
    <row r="235" spans="1:42" s="484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S235" s="79"/>
      <c r="T235" s="877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</row>
    <row r="236" spans="1:42" s="484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S236" s="79"/>
      <c r="T236" s="877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</row>
    <row r="237" spans="1:42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S237" s="79"/>
      <c r="T237" s="877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</row>
    <row r="238" spans="1:42" s="484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9"/>
      <c r="M238" s="79"/>
      <c r="N238" s="771"/>
      <c r="O238" s="518"/>
      <c r="P238" s="771"/>
      <c r="Q238" s="518"/>
      <c r="S238" s="79"/>
      <c r="T238" s="877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</row>
    <row r="239" spans="1:42" s="484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S239" s="79"/>
      <c r="T239" s="877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216"/>
      <c r="P246" s="79"/>
      <c r="Q246" s="216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216"/>
      <c r="P247" s="79"/>
      <c r="Q247" s="216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216"/>
      <c r="P248" s="79"/>
      <c r="Q248" s="216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216"/>
      <c r="P249" s="79"/>
      <c r="Q249" s="216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1" spans="1:42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216"/>
      <c r="P251" s="79"/>
      <c r="Q251" s="216"/>
      <c r="S251" s="79"/>
      <c r="T251" s="877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</row>
    <row r="253" spans="1:42" s="484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9"/>
      <c r="K253" s="79"/>
      <c r="L253" s="79"/>
      <c r="M253" s="79"/>
      <c r="N253" s="79"/>
      <c r="O253" s="629"/>
      <c r="P253" s="79"/>
      <c r="Q253" s="629"/>
      <c r="S253" s="79"/>
      <c r="T253" s="877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216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216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216"/>
      <c r="P261" s="79"/>
      <c r="Q261" s="216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216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3" spans="1:42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216"/>
      <c r="P263" s="79"/>
      <c r="Q263" s="216"/>
      <c r="S263" s="79"/>
      <c r="T263" s="877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216"/>
      <c r="P264" s="79"/>
      <c r="Q264" s="216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65" spans="1:42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216"/>
      <c r="P265" s="79"/>
      <c r="Q265" s="216"/>
      <c r="S265" s="79"/>
      <c r="T265" s="877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</row>
    <row r="266" spans="1:42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216"/>
      <c r="P266" s="79"/>
      <c r="Q266" s="216"/>
      <c r="S266" s="79"/>
      <c r="T266" s="877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</row>
    <row r="267" spans="1:42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216"/>
      <c r="P267" s="79"/>
      <c r="Q267" s="216"/>
      <c r="S267" s="79"/>
      <c r="T267" s="877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</row>
  </sheetData>
  <autoFilter ref="A2:I112" xr:uid="{00000000-0009-0000-0000-00007F000000}"/>
  <mergeCells count="18">
    <mergeCell ref="C134:D134"/>
    <mergeCell ref="B135:D135"/>
    <mergeCell ref="L2:M3"/>
    <mergeCell ref="N2:O3"/>
    <mergeCell ref="P2:Q3"/>
    <mergeCell ref="A111:E111"/>
    <mergeCell ref="A112:E112"/>
    <mergeCell ref="R71:Z71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Plan143"/>
  <dimension ref="A1:AP290"/>
  <sheetViews>
    <sheetView zoomScale="85" zoomScaleNormal="85" workbookViewId="0">
      <pane ySplit="4" topLeftCell="A5" activePane="bottomLeft" state="frozen"/>
      <selection pane="bottomLeft" activeCell="D150" sqref="D15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3440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44805</v>
      </c>
      <c r="B5" s="369" t="s">
        <v>10</v>
      </c>
      <c r="C5" s="370"/>
      <c r="D5" s="370"/>
      <c r="E5" s="777"/>
      <c r="F5" s="179"/>
      <c r="G5" s="933">
        <f>'Agosto-22'!G112</f>
        <v>375.05958333335457</v>
      </c>
      <c r="H5" s="163"/>
      <c r="I5" s="1479">
        <f>'Agosto-22'!I112</f>
        <v>999.99599999999919</v>
      </c>
      <c r="J5" s="179"/>
      <c r="K5" s="933">
        <f>'Agosto-22'!K112</f>
        <v>6756.7300000000014</v>
      </c>
      <c r="L5" s="179"/>
      <c r="M5" s="933">
        <f>'Agosto-22'!M112</f>
        <v>11937.119999999999</v>
      </c>
      <c r="N5" s="179"/>
      <c r="O5" s="933">
        <f>'Agosto-22'!O112</f>
        <v>10956.189999999999</v>
      </c>
      <c r="P5" s="179"/>
      <c r="Q5" s="933">
        <f>'Agosto-22'!Q112</f>
        <v>40288.525984720007</v>
      </c>
    </row>
    <row r="6" spans="1:21" s="224" customFormat="1" x14ac:dyDescent="0.25">
      <c r="A6" s="215">
        <v>44805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customHeight="1" x14ac:dyDescent="0.25">
      <c r="A7" s="215">
        <v>44805</v>
      </c>
      <c r="B7" s="882" t="s">
        <v>138</v>
      </c>
      <c r="C7" s="879" t="s">
        <v>19</v>
      </c>
      <c r="D7" s="879" t="s">
        <v>2157</v>
      </c>
      <c r="E7" s="871" t="s">
        <v>15</v>
      </c>
      <c r="F7" s="780">
        <v>45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982"/>
      <c r="R7" s="1117"/>
      <c r="U7" s="958"/>
    </row>
    <row r="8" spans="1:21" s="224" customFormat="1" ht="15" customHeight="1" x14ac:dyDescent="0.25">
      <c r="A8" s="215">
        <v>44805</v>
      </c>
      <c r="B8" s="882" t="s">
        <v>256</v>
      </c>
      <c r="C8" s="879"/>
      <c r="D8" s="879"/>
      <c r="E8" s="875" t="s">
        <v>25</v>
      </c>
      <c r="F8" s="780"/>
      <c r="G8" s="982">
        <v>150</v>
      </c>
      <c r="H8" s="1060">
        <v>150</v>
      </c>
      <c r="I8" s="1033"/>
      <c r="J8" s="880"/>
      <c r="K8" s="1033"/>
      <c r="L8" s="880"/>
      <c r="M8" s="1033"/>
      <c r="N8" s="880"/>
      <c r="O8" s="1033"/>
      <c r="P8" s="880"/>
      <c r="Q8" s="1033"/>
      <c r="R8" s="1080"/>
      <c r="S8" s="927"/>
      <c r="T8" s="878"/>
    </row>
    <row r="9" spans="1:21" s="224" customFormat="1" ht="15" customHeight="1" x14ac:dyDescent="0.25">
      <c r="A9" s="215">
        <v>44805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18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982"/>
      <c r="R9" s="861"/>
    </row>
    <row r="10" spans="1:21" s="224" customFormat="1" ht="14.25" customHeight="1" x14ac:dyDescent="0.25">
      <c r="A10" s="215">
        <v>44805</v>
      </c>
      <c r="B10" s="882" t="s">
        <v>3441</v>
      </c>
      <c r="C10" s="879" t="s">
        <v>12</v>
      </c>
      <c r="D10" s="879" t="s">
        <v>1522</v>
      </c>
      <c r="E10" s="875" t="s">
        <v>13</v>
      </c>
      <c r="F10" s="780">
        <v>40</v>
      </c>
      <c r="G10" s="982"/>
      <c r="H10" s="622"/>
      <c r="I10" s="982"/>
      <c r="J10" s="622"/>
      <c r="K10" s="982"/>
      <c r="L10" s="622"/>
      <c r="M10" s="982"/>
      <c r="N10" s="622"/>
      <c r="O10" s="982"/>
      <c r="P10" s="622"/>
      <c r="Q10" s="982"/>
      <c r="R10" s="927"/>
      <c r="T10" s="878"/>
    </row>
    <row r="11" spans="1:21" s="224" customFormat="1" ht="14.25" customHeight="1" x14ac:dyDescent="0.25">
      <c r="A11" s="215">
        <v>44805</v>
      </c>
      <c r="B11" s="364" t="s">
        <v>14</v>
      </c>
      <c r="C11" s="350" t="s">
        <v>12</v>
      </c>
      <c r="D11" s="350" t="s">
        <v>1486</v>
      </c>
      <c r="E11" s="875" t="s">
        <v>13</v>
      </c>
      <c r="F11" s="780">
        <v>5.73</v>
      </c>
      <c r="G11" s="982"/>
      <c r="H11" s="622"/>
      <c r="I11" s="982"/>
      <c r="J11" s="622"/>
      <c r="K11" s="982"/>
      <c r="L11" s="622"/>
      <c r="M11" s="982"/>
      <c r="N11" s="622"/>
      <c r="O11" s="982"/>
      <c r="P11" s="622"/>
      <c r="Q11" s="982"/>
      <c r="R11" s="927"/>
      <c r="T11" s="878"/>
    </row>
    <row r="12" spans="1:21" s="224" customFormat="1" ht="15" customHeight="1" x14ac:dyDescent="0.25">
      <c r="A12" s="215">
        <v>44806</v>
      </c>
      <c r="B12" s="882" t="s">
        <v>3442</v>
      </c>
      <c r="C12" s="879" t="s">
        <v>12</v>
      </c>
      <c r="D12" s="879" t="s">
        <v>1489</v>
      </c>
      <c r="E12" s="875" t="s">
        <v>13</v>
      </c>
      <c r="F12" s="780">
        <v>22</v>
      </c>
      <c r="G12" s="946"/>
      <c r="H12" s="95"/>
      <c r="I12" s="1064"/>
      <c r="J12" s="622"/>
      <c r="K12" s="982"/>
      <c r="L12" s="622"/>
      <c r="M12" s="982"/>
      <c r="N12" s="622"/>
      <c r="O12" s="982"/>
      <c r="P12" s="622"/>
      <c r="Q12" s="982"/>
      <c r="R12" s="861"/>
    </row>
    <row r="13" spans="1:21" s="224" customFormat="1" ht="15" customHeight="1" x14ac:dyDescent="0.25">
      <c r="A13" s="215">
        <v>44806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780">
        <v>18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982"/>
      <c r="R13" s="861"/>
    </row>
    <row r="14" spans="1:21" s="224" customFormat="1" ht="15" customHeight="1" x14ac:dyDescent="0.25">
      <c r="A14" s="215">
        <v>44806</v>
      </c>
      <c r="B14" s="882" t="s">
        <v>17</v>
      </c>
      <c r="C14" s="879" t="s">
        <v>12</v>
      </c>
      <c r="D14" s="879" t="s">
        <v>1493</v>
      </c>
      <c r="E14" s="875" t="s">
        <v>13</v>
      </c>
      <c r="F14" s="780">
        <v>6</v>
      </c>
      <c r="G14" s="982"/>
      <c r="H14" s="622"/>
      <c r="I14" s="982"/>
      <c r="J14" s="622"/>
      <c r="K14" s="982"/>
      <c r="L14" s="622"/>
      <c r="M14" s="1033"/>
      <c r="N14" s="1116"/>
      <c r="O14" s="1207"/>
      <c r="P14" s="1116"/>
      <c r="Q14" s="1207"/>
      <c r="R14" s="927"/>
      <c r="S14" s="927"/>
      <c r="T14" s="878"/>
    </row>
    <row r="15" spans="1:21" s="224" customFormat="1" ht="15" customHeight="1" x14ac:dyDescent="0.25">
      <c r="A15" s="215">
        <v>44806</v>
      </c>
      <c r="B15" s="882" t="s">
        <v>443</v>
      </c>
      <c r="C15" s="879" t="s">
        <v>12</v>
      </c>
      <c r="D15" s="879" t="s">
        <v>1493</v>
      </c>
      <c r="E15" s="875" t="s">
        <v>13</v>
      </c>
      <c r="F15" s="780">
        <v>20.39</v>
      </c>
      <c r="G15" s="946"/>
      <c r="H15" s="95"/>
      <c r="I15" s="1064"/>
      <c r="J15" s="622"/>
      <c r="K15" s="982"/>
      <c r="L15" s="622"/>
      <c r="M15" s="982"/>
      <c r="N15" s="622"/>
      <c r="O15" s="982"/>
      <c r="P15" s="622"/>
      <c r="Q15" s="982"/>
      <c r="R15" s="861"/>
    </row>
    <row r="16" spans="1:21" s="224" customFormat="1" ht="15" customHeight="1" x14ac:dyDescent="0.25">
      <c r="A16" s="215">
        <v>44807</v>
      </c>
      <c r="B16" s="882" t="s">
        <v>3443</v>
      </c>
      <c r="C16" s="879" t="s">
        <v>12</v>
      </c>
      <c r="D16" s="879" t="s">
        <v>1489</v>
      </c>
      <c r="E16" s="875" t="s">
        <v>13</v>
      </c>
      <c r="F16" s="780">
        <v>8.25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982"/>
      <c r="R16" s="861"/>
    </row>
    <row r="17" spans="1:21" s="224" customFormat="1" ht="15" customHeight="1" x14ac:dyDescent="0.25">
      <c r="A17" s="215">
        <v>44807</v>
      </c>
      <c r="B17" s="882" t="s">
        <v>2300</v>
      </c>
      <c r="C17" s="879" t="s">
        <v>12</v>
      </c>
      <c r="D17" s="879" t="s">
        <v>1493</v>
      </c>
      <c r="E17" s="875" t="s">
        <v>13</v>
      </c>
      <c r="F17" s="780">
        <v>5</v>
      </c>
      <c r="G17" s="946"/>
      <c r="H17" s="95"/>
      <c r="I17" s="1064"/>
      <c r="J17" s="622"/>
      <c r="K17" s="982"/>
      <c r="L17" s="622"/>
      <c r="M17" s="982"/>
      <c r="N17" s="622"/>
      <c r="O17" s="982"/>
      <c r="P17" s="622"/>
      <c r="Q17" s="982"/>
      <c r="R17" s="861"/>
    </row>
    <row r="18" spans="1:21" s="224" customFormat="1" ht="15" customHeight="1" x14ac:dyDescent="0.25">
      <c r="A18" s="215">
        <v>44807</v>
      </c>
      <c r="B18" s="882" t="s">
        <v>82</v>
      </c>
      <c r="C18" s="879" t="s">
        <v>12</v>
      </c>
      <c r="D18" s="879" t="s">
        <v>1493</v>
      </c>
      <c r="E18" s="875" t="s">
        <v>13</v>
      </c>
      <c r="F18" s="780">
        <v>45</v>
      </c>
      <c r="G18" s="946"/>
      <c r="H18" s="95"/>
      <c r="I18" s="1064"/>
      <c r="J18" s="622"/>
      <c r="K18" s="982"/>
      <c r="L18" s="622"/>
      <c r="M18" s="982"/>
      <c r="N18" s="622"/>
      <c r="O18" s="982"/>
      <c r="P18" s="622"/>
      <c r="Q18" s="982"/>
      <c r="R18" s="861"/>
    </row>
    <row r="19" spans="1:21" s="224" customFormat="1" ht="15" customHeight="1" x14ac:dyDescent="0.25">
      <c r="A19" s="215">
        <v>44808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20</v>
      </c>
      <c r="G19" s="946"/>
      <c r="H19" s="95"/>
      <c r="I19" s="1064"/>
      <c r="J19" s="622"/>
      <c r="K19" s="982"/>
      <c r="L19" s="622"/>
      <c r="M19" s="982"/>
      <c r="N19" s="622"/>
      <c r="O19" s="982"/>
      <c r="P19" s="622"/>
      <c r="Q19" s="982"/>
      <c r="R19" s="861"/>
    </row>
    <row r="20" spans="1:21" s="224" customFormat="1" ht="15" customHeight="1" x14ac:dyDescent="0.25">
      <c r="A20" s="215">
        <v>44808</v>
      </c>
      <c r="B20" s="882" t="s">
        <v>2851</v>
      </c>
      <c r="C20" s="879" t="s">
        <v>12</v>
      </c>
      <c r="D20" s="879" t="s">
        <v>1493</v>
      </c>
      <c r="E20" s="875" t="s">
        <v>13</v>
      </c>
      <c r="F20" s="780">
        <v>15.46</v>
      </c>
      <c r="G20" s="946"/>
      <c r="H20" s="95"/>
      <c r="I20" s="1064"/>
      <c r="J20" s="622"/>
      <c r="K20" s="982"/>
      <c r="L20" s="622"/>
      <c r="M20" s="982"/>
      <c r="N20" s="622"/>
      <c r="O20" s="982"/>
      <c r="P20" s="622"/>
      <c r="Q20" s="982"/>
      <c r="R20" s="861"/>
    </row>
    <row r="21" spans="1:21" s="224" customFormat="1" ht="15" customHeight="1" x14ac:dyDescent="0.25">
      <c r="A21" s="215">
        <v>44809</v>
      </c>
      <c r="B21" s="882" t="s">
        <v>1820</v>
      </c>
      <c r="C21" s="879" t="s">
        <v>12</v>
      </c>
      <c r="D21" s="879" t="s">
        <v>1496</v>
      </c>
      <c r="E21" s="875" t="s">
        <v>13</v>
      </c>
      <c r="F21" s="780">
        <v>20</v>
      </c>
      <c r="G21" s="982"/>
      <c r="H21" s="622"/>
      <c r="I21" s="982"/>
      <c r="J21" s="622"/>
      <c r="K21" s="982"/>
      <c r="L21" s="622"/>
      <c r="M21" s="982"/>
      <c r="N21" s="1110"/>
      <c r="O21" s="1208"/>
      <c r="P21" s="1110"/>
      <c r="Q21" s="1208"/>
      <c r="R21" s="927"/>
      <c r="S21" s="927"/>
      <c r="T21" s="878"/>
    </row>
    <row r="22" spans="1:21" s="224" customFormat="1" ht="15" customHeight="1" x14ac:dyDescent="0.25">
      <c r="A22" s="215">
        <v>44809</v>
      </c>
      <c r="B22" s="882" t="s">
        <v>3444</v>
      </c>
      <c r="C22" s="879" t="s">
        <v>12</v>
      </c>
      <c r="D22" s="879" t="s">
        <v>1489</v>
      </c>
      <c r="E22" s="875" t="s">
        <v>13</v>
      </c>
      <c r="F22" s="780">
        <v>13</v>
      </c>
      <c r="G22" s="946"/>
      <c r="H22" s="95"/>
      <c r="I22" s="1064"/>
      <c r="J22" s="622"/>
      <c r="K22" s="982"/>
      <c r="L22" s="622"/>
      <c r="M22" s="982"/>
      <c r="N22" s="622"/>
      <c r="O22" s="982"/>
      <c r="P22" s="622"/>
      <c r="Q22" s="982"/>
      <c r="R22" s="861"/>
    </row>
    <row r="23" spans="1:21" s="224" customFormat="1" ht="15" customHeight="1" x14ac:dyDescent="0.25">
      <c r="A23" s="215">
        <v>44809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18</v>
      </c>
      <c r="G23" s="946"/>
      <c r="H23" s="95"/>
      <c r="I23" s="1064"/>
      <c r="J23" s="622"/>
      <c r="K23" s="982"/>
      <c r="L23" s="622"/>
      <c r="M23" s="982"/>
      <c r="N23" s="622"/>
      <c r="O23" s="982"/>
      <c r="P23" s="622"/>
      <c r="Q23" s="982"/>
      <c r="R23" s="861"/>
    </row>
    <row r="24" spans="1:21" s="224" customFormat="1" ht="15" customHeight="1" x14ac:dyDescent="0.25">
      <c r="A24" s="215">
        <v>44809</v>
      </c>
      <c r="B24" s="364" t="s">
        <v>478</v>
      </c>
      <c r="C24" s="350" t="s">
        <v>12</v>
      </c>
      <c r="D24" s="350" t="s">
        <v>1496</v>
      </c>
      <c r="E24" s="875" t="s">
        <v>13</v>
      </c>
      <c r="F24" s="780">
        <v>12.66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982"/>
      <c r="R24" s="1118"/>
      <c r="U24" s="958"/>
    </row>
    <row r="25" spans="1:21" s="224" customFormat="1" ht="15" customHeight="1" x14ac:dyDescent="0.25">
      <c r="A25" s="215">
        <v>44809</v>
      </c>
      <c r="B25" s="882" t="s">
        <v>138</v>
      </c>
      <c r="C25" s="879" t="s">
        <v>12</v>
      </c>
      <c r="D25" s="879" t="s">
        <v>2157</v>
      </c>
      <c r="E25" s="871" t="s">
        <v>15</v>
      </c>
      <c r="F25" s="780">
        <v>100</v>
      </c>
      <c r="G25" s="946"/>
      <c r="H25" s="95"/>
      <c r="I25" s="1064"/>
      <c r="J25" s="622"/>
      <c r="K25" s="982"/>
      <c r="L25" s="622"/>
      <c r="M25" s="982"/>
      <c r="N25" s="1110"/>
      <c r="O25" s="1208"/>
      <c r="P25" s="1110"/>
      <c r="Q25" s="1208"/>
      <c r="R25" s="1028"/>
      <c r="U25" s="958"/>
    </row>
    <row r="26" spans="1:21" s="224" customFormat="1" ht="15.75" customHeight="1" x14ac:dyDescent="0.25">
      <c r="A26" s="215">
        <v>44810</v>
      </c>
      <c r="B26" s="873" t="s">
        <v>3445</v>
      </c>
      <c r="C26" s="879" t="s">
        <v>12</v>
      </c>
      <c r="D26" s="874"/>
      <c r="E26" s="871" t="s">
        <v>25</v>
      </c>
      <c r="F26" s="1524"/>
      <c r="G26" s="1002">
        <v>2120.71</v>
      </c>
      <c r="H26" s="538"/>
      <c r="I26" s="982"/>
      <c r="J26" s="622"/>
      <c r="K26" s="982"/>
      <c r="L26" s="622"/>
      <c r="M26" s="982"/>
      <c r="N26" s="622"/>
      <c r="O26" s="982"/>
      <c r="P26" s="622"/>
      <c r="Q26" s="982"/>
      <c r="R26" s="178"/>
    </row>
    <row r="27" spans="1:21" s="224" customFormat="1" ht="15" customHeight="1" x14ac:dyDescent="0.25">
      <c r="A27" s="215">
        <v>44810</v>
      </c>
      <c r="B27" s="862" t="s">
        <v>3422</v>
      </c>
      <c r="C27" s="879" t="s">
        <v>12</v>
      </c>
      <c r="D27" s="879" t="s">
        <v>1504</v>
      </c>
      <c r="E27" s="871" t="s">
        <v>13</v>
      </c>
      <c r="F27" s="780">
        <v>30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982"/>
      <c r="R27" s="1028">
        <v>90</v>
      </c>
      <c r="S27" s="999"/>
      <c r="T27" s="1035"/>
    </row>
    <row r="28" spans="1:21" s="224" customFormat="1" ht="15" customHeight="1" x14ac:dyDescent="0.25">
      <c r="A28" s="215">
        <v>44810</v>
      </c>
      <c r="B28" s="882" t="s">
        <v>3446</v>
      </c>
      <c r="C28" s="879" t="s">
        <v>12</v>
      </c>
      <c r="D28" s="879" t="s">
        <v>1499</v>
      </c>
      <c r="E28" s="871" t="s">
        <v>13</v>
      </c>
      <c r="F28" s="780">
        <v>52.76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982"/>
      <c r="R28" s="1028">
        <v>122.76</v>
      </c>
      <c r="S28" s="999"/>
      <c r="T28" s="878"/>
    </row>
    <row r="29" spans="1:21" s="224" customFormat="1" ht="15" customHeight="1" x14ac:dyDescent="0.25">
      <c r="A29" s="215">
        <v>44810</v>
      </c>
      <c r="B29" s="364" t="s">
        <v>2977</v>
      </c>
      <c r="C29" s="350" t="s">
        <v>12</v>
      </c>
      <c r="D29" s="350" t="s">
        <v>1491</v>
      </c>
      <c r="E29" s="875" t="s">
        <v>13</v>
      </c>
      <c r="F29" s="780">
        <v>300</v>
      </c>
      <c r="G29" s="982"/>
      <c r="H29" s="1008"/>
      <c r="I29" s="1063"/>
      <c r="J29" s="622"/>
      <c r="K29" s="982"/>
      <c r="L29" s="622"/>
      <c r="M29" s="982"/>
      <c r="N29" s="622"/>
      <c r="O29" s="982"/>
      <c r="P29" s="622"/>
      <c r="Q29" s="982"/>
      <c r="R29" s="861"/>
      <c r="T29" s="1035"/>
    </row>
    <row r="30" spans="1:21" x14ac:dyDescent="0.25">
      <c r="A30" s="215">
        <v>44810</v>
      </c>
      <c r="B30" s="876" t="s">
        <v>3060</v>
      </c>
      <c r="C30" s="879" t="s">
        <v>12</v>
      </c>
      <c r="D30" s="879" t="s">
        <v>1496</v>
      </c>
      <c r="E30" s="871" t="s">
        <v>13</v>
      </c>
      <c r="F30" s="780">
        <v>80</v>
      </c>
      <c r="G30" s="982"/>
      <c r="H30" s="1009"/>
      <c r="I30" s="1063"/>
      <c r="J30" s="622"/>
      <c r="K30" s="982"/>
      <c r="L30" s="622"/>
      <c r="M30" s="982"/>
      <c r="N30" s="622"/>
      <c r="O30" s="982"/>
      <c r="P30" s="622"/>
      <c r="Q30" s="982"/>
      <c r="R30" s="1029"/>
    </row>
    <row r="31" spans="1:21" s="224" customFormat="1" ht="14.25" customHeight="1" x14ac:dyDescent="0.25">
      <c r="A31" s="215">
        <v>44810</v>
      </c>
      <c r="B31" s="882" t="s">
        <v>3447</v>
      </c>
      <c r="C31" s="879" t="s">
        <v>12</v>
      </c>
      <c r="D31" s="879" t="s">
        <v>3017</v>
      </c>
      <c r="E31" s="875" t="s">
        <v>13</v>
      </c>
      <c r="F31" s="780">
        <v>657.43</v>
      </c>
      <c r="G31" s="982"/>
      <c r="H31" s="1008"/>
      <c r="I31" s="1063"/>
      <c r="J31" s="622"/>
      <c r="K31" s="982"/>
      <c r="L31" s="622"/>
      <c r="M31" s="982">
        <v>657.43</v>
      </c>
      <c r="N31" s="622"/>
      <c r="O31" s="982"/>
      <c r="P31" s="622"/>
      <c r="Q31" s="982"/>
      <c r="R31" s="861">
        <v>400</v>
      </c>
      <c r="S31" s="878" t="s">
        <v>3018</v>
      </c>
      <c r="T31" s="1035"/>
    </row>
    <row r="32" spans="1:21" s="224" customFormat="1" ht="15" customHeight="1" x14ac:dyDescent="0.25">
      <c r="A32" s="215">
        <v>44810</v>
      </c>
      <c r="B32" s="882" t="s">
        <v>3448</v>
      </c>
      <c r="C32" s="879" t="s">
        <v>19</v>
      </c>
      <c r="D32" s="879" t="s">
        <v>1504</v>
      </c>
      <c r="E32" s="875" t="s">
        <v>13</v>
      </c>
      <c r="F32" s="780">
        <v>53.5</v>
      </c>
      <c r="G32" s="946"/>
      <c r="H32" s="95"/>
      <c r="I32" s="1064"/>
      <c r="J32" s="622"/>
      <c r="K32" s="982"/>
      <c r="L32" s="622"/>
      <c r="M32" s="982"/>
      <c r="N32" s="622"/>
      <c r="O32" s="982"/>
      <c r="P32" s="622"/>
      <c r="Q32" s="982"/>
      <c r="R32" s="1080" t="s">
        <v>3292</v>
      </c>
    </row>
    <row r="33" spans="1:42" s="224" customFormat="1" ht="15" customHeight="1" x14ac:dyDescent="0.25">
      <c r="A33" s="215">
        <v>44810</v>
      </c>
      <c r="B33" s="882" t="s">
        <v>3449</v>
      </c>
      <c r="C33" s="879" t="s">
        <v>19</v>
      </c>
      <c r="D33" s="879" t="s">
        <v>1522</v>
      </c>
      <c r="E33" s="875" t="s">
        <v>13</v>
      </c>
      <c r="F33" s="780">
        <v>49.94</v>
      </c>
      <c r="G33" s="946"/>
      <c r="H33" s="95"/>
      <c r="I33" s="1064"/>
      <c r="J33" s="622"/>
      <c r="K33" s="982"/>
      <c r="L33" s="622"/>
      <c r="M33" s="982"/>
      <c r="N33" s="622"/>
      <c r="O33" s="982"/>
      <c r="P33" s="622"/>
      <c r="Q33" s="982"/>
      <c r="R33" s="1080" t="s">
        <v>3292</v>
      </c>
    </row>
    <row r="34" spans="1:42" s="224" customFormat="1" ht="15" customHeight="1" x14ac:dyDescent="0.25">
      <c r="A34" s="215">
        <v>44810</v>
      </c>
      <c r="B34" s="364" t="s">
        <v>3450</v>
      </c>
      <c r="C34" s="879" t="s">
        <v>19</v>
      </c>
      <c r="D34" s="350" t="s">
        <v>1524</v>
      </c>
      <c r="E34" s="875" t="s">
        <v>13</v>
      </c>
      <c r="F34" s="780">
        <v>16.599999999999998</v>
      </c>
      <c r="G34" s="982"/>
      <c r="H34" s="1008"/>
      <c r="I34" s="1063"/>
      <c r="J34" s="622"/>
      <c r="K34" s="982"/>
      <c r="L34" s="622"/>
      <c r="M34" s="982"/>
      <c r="N34" s="622"/>
      <c r="O34" s="982"/>
      <c r="P34" s="622"/>
      <c r="Q34" s="982"/>
      <c r="R34" s="1080" t="s">
        <v>3292</v>
      </c>
      <c r="S34" s="89"/>
      <c r="T34" s="930"/>
    </row>
    <row r="35" spans="1:42" s="224" customFormat="1" ht="15" customHeight="1" x14ac:dyDescent="0.25">
      <c r="A35" s="215">
        <v>44810</v>
      </c>
      <c r="B35" s="364" t="s">
        <v>3451</v>
      </c>
      <c r="C35" s="879"/>
      <c r="D35" s="879"/>
      <c r="E35" s="875" t="s">
        <v>25</v>
      </c>
      <c r="F35" s="780"/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982">
        <v>400</v>
      </c>
      <c r="R35" s="927"/>
      <c r="S35" s="927"/>
      <c r="T35" s="878"/>
    </row>
    <row r="36" spans="1:42" s="224" customFormat="1" ht="15" customHeight="1" x14ac:dyDescent="0.25">
      <c r="A36" s="215">
        <v>44810</v>
      </c>
      <c r="B36" s="364" t="s">
        <v>1396</v>
      </c>
      <c r="C36" s="350" t="s">
        <v>12</v>
      </c>
      <c r="D36" s="350"/>
      <c r="E36" s="480" t="s">
        <v>25</v>
      </c>
      <c r="F36" s="613"/>
      <c r="G36" s="967">
        <v>100</v>
      </c>
      <c r="H36" s="1008"/>
      <c r="I36" s="1063"/>
      <c r="J36" s="622"/>
      <c r="K36" s="982"/>
      <c r="L36" s="1116"/>
      <c r="M36" s="1207"/>
      <c r="N36" s="1116"/>
      <c r="O36" s="1207"/>
      <c r="P36" s="1116"/>
      <c r="Q36" s="1207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15">
        <v>44810</v>
      </c>
      <c r="B37" s="882" t="s">
        <v>32</v>
      </c>
      <c r="C37" s="879" t="s">
        <v>12</v>
      </c>
      <c r="D37" s="879" t="s">
        <v>1485</v>
      </c>
      <c r="E37" s="875" t="s">
        <v>13</v>
      </c>
      <c r="F37" s="780">
        <v>18</v>
      </c>
      <c r="G37" s="946"/>
      <c r="H37" s="95"/>
      <c r="I37" s="1064"/>
      <c r="J37" s="622"/>
      <c r="K37" s="982"/>
      <c r="L37" s="622"/>
      <c r="M37" s="982"/>
      <c r="N37" s="622"/>
      <c r="O37" s="982"/>
      <c r="P37" s="622"/>
      <c r="Q37" s="982"/>
      <c r="R37" s="861"/>
    </row>
    <row r="38" spans="1:42" s="224" customFormat="1" ht="15" customHeight="1" x14ac:dyDescent="0.25">
      <c r="A38" s="215">
        <v>44811</v>
      </c>
      <c r="B38" s="882" t="s">
        <v>3452</v>
      </c>
      <c r="C38" s="879" t="s">
        <v>12</v>
      </c>
      <c r="D38" s="879" t="s">
        <v>1491</v>
      </c>
      <c r="E38" s="875" t="s">
        <v>13</v>
      </c>
      <c r="F38" s="780">
        <v>35</v>
      </c>
      <c r="G38" s="946"/>
      <c r="H38" s="95"/>
      <c r="I38" s="1064"/>
      <c r="J38" s="622"/>
      <c r="K38" s="982"/>
      <c r="L38" s="622"/>
      <c r="M38" s="982"/>
      <c r="N38" s="622"/>
      <c r="O38" s="982"/>
      <c r="P38" s="622"/>
      <c r="Q38" s="982"/>
      <c r="R38" s="861"/>
    </row>
    <row r="39" spans="1:42" s="224" customFormat="1" ht="15" customHeight="1" x14ac:dyDescent="0.25">
      <c r="A39" s="215">
        <v>44811</v>
      </c>
      <c r="B39" s="882" t="s">
        <v>3453</v>
      </c>
      <c r="C39" s="879" t="s">
        <v>12</v>
      </c>
      <c r="D39" s="879" t="s">
        <v>1485</v>
      </c>
      <c r="E39" s="875" t="s">
        <v>13</v>
      </c>
      <c r="F39" s="780">
        <v>18</v>
      </c>
      <c r="G39" s="982"/>
      <c r="H39" s="1008"/>
      <c r="I39" s="1063"/>
      <c r="J39" s="622"/>
      <c r="K39" s="982"/>
      <c r="L39" s="622"/>
      <c r="M39" s="982"/>
      <c r="N39" s="622"/>
      <c r="O39" s="982"/>
      <c r="P39" s="622"/>
      <c r="Q39" s="982"/>
      <c r="R39" s="1029"/>
      <c r="S39" s="89"/>
      <c r="T39" s="930"/>
    </row>
    <row r="40" spans="1:42" s="224" customFormat="1" ht="15" customHeight="1" x14ac:dyDescent="0.25">
      <c r="A40" s="215">
        <v>44811</v>
      </c>
      <c r="B40" s="364" t="s">
        <v>14</v>
      </c>
      <c r="C40" s="350" t="s">
        <v>12</v>
      </c>
      <c r="D40" s="350" t="s">
        <v>1486</v>
      </c>
      <c r="E40" s="875" t="s">
        <v>13</v>
      </c>
      <c r="F40" s="780">
        <v>7.4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982"/>
      <c r="R40" s="927"/>
      <c r="S40" s="927"/>
      <c r="T40" s="878"/>
    </row>
    <row r="41" spans="1:42" s="224" customFormat="1" ht="15" customHeight="1" x14ac:dyDescent="0.25">
      <c r="A41" s="215">
        <v>44812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18</v>
      </c>
      <c r="G41" s="946"/>
      <c r="H41" s="95"/>
      <c r="I41" s="1064"/>
      <c r="J41" s="622"/>
      <c r="K41" s="982"/>
      <c r="L41" s="622"/>
      <c r="M41" s="982"/>
      <c r="N41" s="622"/>
      <c r="O41" s="982"/>
      <c r="P41" s="622"/>
      <c r="Q41" s="982"/>
      <c r="R41" s="861"/>
    </row>
    <row r="42" spans="1:42" s="224" customFormat="1" ht="15" customHeight="1" x14ac:dyDescent="0.25">
      <c r="A42" s="215">
        <v>44812</v>
      </c>
      <c r="B42" s="882" t="s">
        <v>17</v>
      </c>
      <c r="C42" s="879" t="s">
        <v>12</v>
      </c>
      <c r="D42" s="879" t="s">
        <v>1493</v>
      </c>
      <c r="E42" s="875" t="s">
        <v>13</v>
      </c>
      <c r="F42" s="780">
        <v>6</v>
      </c>
      <c r="G42" s="982"/>
      <c r="H42" s="622"/>
      <c r="I42" s="982"/>
      <c r="J42" s="622"/>
      <c r="K42" s="982"/>
      <c r="L42" s="622"/>
      <c r="M42" s="1033"/>
      <c r="N42" s="1116"/>
      <c r="O42" s="1207"/>
      <c r="P42" s="1116"/>
      <c r="Q42" s="1207"/>
      <c r="R42" s="927"/>
      <c r="S42" s="927"/>
      <c r="T42" s="878"/>
    </row>
    <row r="43" spans="1:42" s="224" customFormat="1" ht="15" customHeight="1" x14ac:dyDescent="0.25">
      <c r="A43" s="215">
        <v>44812</v>
      </c>
      <c r="B43" s="364" t="s">
        <v>3454</v>
      </c>
      <c r="C43" s="350" t="s">
        <v>12</v>
      </c>
      <c r="D43" s="350" t="s">
        <v>1524</v>
      </c>
      <c r="E43" s="875" t="s">
        <v>13</v>
      </c>
      <c r="F43" s="780">
        <v>8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S43" s="927"/>
      <c r="T43" s="878"/>
    </row>
    <row r="44" spans="1:42" s="224" customFormat="1" x14ac:dyDescent="0.25">
      <c r="A44" s="215">
        <v>44812</v>
      </c>
      <c r="B44" s="882" t="s">
        <v>81</v>
      </c>
      <c r="C44" s="879" t="s">
        <v>12</v>
      </c>
      <c r="D44" s="879" t="s">
        <v>1493</v>
      </c>
      <c r="E44" s="875" t="s">
        <v>13</v>
      </c>
      <c r="F44" s="780">
        <v>5.73</v>
      </c>
      <c r="G44" s="982"/>
      <c r="H44" s="1008"/>
      <c r="I44" s="1063"/>
      <c r="J44" s="622"/>
      <c r="K44" s="982"/>
      <c r="L44" s="622"/>
      <c r="M44" s="982"/>
      <c r="N44" s="622"/>
      <c r="O44" s="982"/>
      <c r="P44" s="622"/>
      <c r="Q44" s="982"/>
      <c r="R44" s="861"/>
      <c r="T44" s="878"/>
    </row>
    <row r="45" spans="1:42" s="224" customFormat="1" ht="15.75" customHeight="1" x14ac:dyDescent="0.25">
      <c r="A45" s="215">
        <v>44813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18</v>
      </c>
      <c r="G45" s="946"/>
      <c r="H45" s="95"/>
      <c r="I45" s="1064"/>
      <c r="J45" s="622"/>
      <c r="K45" s="982"/>
      <c r="L45" s="622"/>
      <c r="M45" s="982"/>
      <c r="N45" s="622"/>
      <c r="O45" s="982"/>
      <c r="P45" s="622"/>
      <c r="Q45" s="982"/>
      <c r="R45" s="861"/>
    </row>
    <row r="46" spans="1:42" s="224" customFormat="1" ht="15" customHeight="1" x14ac:dyDescent="0.25">
      <c r="A46" s="215">
        <v>44813</v>
      </c>
      <c r="B46" s="882" t="s">
        <v>81</v>
      </c>
      <c r="C46" s="879" t="s">
        <v>12</v>
      </c>
      <c r="D46" s="879" t="s">
        <v>1493</v>
      </c>
      <c r="E46" s="875" t="s">
        <v>13</v>
      </c>
      <c r="F46" s="780">
        <v>16.13</v>
      </c>
      <c r="G46" s="946"/>
      <c r="H46" s="95"/>
      <c r="I46" s="1064"/>
      <c r="J46" s="622"/>
      <c r="K46" s="982"/>
      <c r="L46" s="622"/>
      <c r="M46" s="982"/>
      <c r="N46" s="622"/>
      <c r="O46" s="982"/>
      <c r="P46" s="622"/>
      <c r="Q46" s="982"/>
      <c r="R46" s="861"/>
    </row>
    <row r="47" spans="1:42" s="224" customFormat="1" ht="15" customHeight="1" x14ac:dyDescent="0.25">
      <c r="A47" s="215">
        <v>44813</v>
      </c>
      <c r="B47" s="882" t="s">
        <v>443</v>
      </c>
      <c r="C47" s="879" t="s">
        <v>12</v>
      </c>
      <c r="D47" s="879" t="s">
        <v>1493</v>
      </c>
      <c r="E47" s="875" t="s">
        <v>13</v>
      </c>
      <c r="F47" s="780">
        <v>20.32</v>
      </c>
      <c r="G47" s="946"/>
      <c r="H47" s="95"/>
      <c r="I47" s="1064"/>
      <c r="J47" s="622"/>
      <c r="K47" s="982"/>
      <c r="L47" s="622"/>
      <c r="M47" s="982"/>
      <c r="N47" s="622"/>
      <c r="O47" s="982"/>
      <c r="P47" s="622"/>
      <c r="Q47" s="982"/>
      <c r="R47" s="861"/>
    </row>
    <row r="48" spans="1:42" s="224" customFormat="1" ht="15" customHeight="1" x14ac:dyDescent="0.25">
      <c r="A48" s="215">
        <v>44814</v>
      </c>
      <c r="B48" s="364" t="s">
        <v>2629</v>
      </c>
      <c r="C48" s="350" t="s">
        <v>19</v>
      </c>
      <c r="D48" s="350" t="s">
        <v>1489</v>
      </c>
      <c r="E48" s="875" t="s">
        <v>13</v>
      </c>
      <c r="F48" s="780">
        <v>131.27000000000001</v>
      </c>
      <c r="G48" s="982"/>
      <c r="H48" s="622"/>
      <c r="I48" s="982"/>
      <c r="J48" s="622"/>
      <c r="K48" s="982"/>
      <c r="L48" s="622"/>
      <c r="M48" s="1033"/>
      <c r="N48" s="1116"/>
      <c r="O48" s="1207"/>
      <c r="P48" s="1116"/>
      <c r="Q48" s="1207"/>
      <c r="R48" s="927"/>
      <c r="S48" s="927"/>
      <c r="T48" s="878"/>
    </row>
    <row r="49" spans="1:42" s="224" customFormat="1" ht="15" customHeight="1" x14ac:dyDescent="0.25">
      <c r="A49" s="215">
        <v>44814</v>
      </c>
      <c r="B49" s="364" t="s">
        <v>1906</v>
      </c>
      <c r="C49" s="350" t="s">
        <v>12</v>
      </c>
      <c r="D49" s="350" t="s">
        <v>1493</v>
      </c>
      <c r="E49" s="875" t="s">
        <v>13</v>
      </c>
      <c r="F49" s="780">
        <v>36</v>
      </c>
      <c r="G49" s="982"/>
      <c r="H49" s="622"/>
      <c r="I49" s="982"/>
      <c r="J49" s="622"/>
      <c r="K49" s="982"/>
      <c r="L49" s="622"/>
      <c r="M49" s="1033"/>
      <c r="N49" s="1116"/>
      <c r="O49" s="1207"/>
      <c r="P49" s="1116"/>
      <c r="Q49" s="1207"/>
      <c r="R49" s="927"/>
      <c r="S49" s="927"/>
      <c r="T49" s="878"/>
    </row>
    <row r="50" spans="1:42" s="224" customFormat="1" ht="15" customHeight="1" x14ac:dyDescent="0.25">
      <c r="A50" s="215">
        <v>44814</v>
      </c>
      <c r="B50" s="364" t="s">
        <v>3354</v>
      </c>
      <c r="C50" s="350" t="s">
        <v>12</v>
      </c>
      <c r="D50" s="350"/>
      <c r="E50" s="480" t="s">
        <v>25</v>
      </c>
      <c r="F50" s="613"/>
      <c r="G50" s="967"/>
      <c r="H50" s="1008"/>
      <c r="I50" s="1063"/>
      <c r="J50" s="622"/>
      <c r="K50" s="1033"/>
      <c r="L50" s="1110"/>
      <c r="M50" s="6"/>
      <c r="N50" s="613"/>
      <c r="O50" s="64"/>
      <c r="P50" s="613"/>
      <c r="Q50" s="162">
        <v>196.64</v>
      </c>
      <c r="R50" s="1209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15">
        <v>44815</v>
      </c>
      <c r="B51" s="364" t="s">
        <v>14</v>
      </c>
      <c r="C51" s="350" t="s">
        <v>12</v>
      </c>
      <c r="D51" s="350" t="s">
        <v>1486</v>
      </c>
      <c r="E51" s="875" t="s">
        <v>13</v>
      </c>
      <c r="F51" s="780">
        <v>10.66</v>
      </c>
      <c r="G51" s="982"/>
      <c r="H51" s="622"/>
      <c r="I51" s="982"/>
      <c r="J51" s="622"/>
      <c r="K51" s="982"/>
      <c r="L51" s="622"/>
      <c r="M51" s="982"/>
      <c r="N51" s="622"/>
      <c r="O51" s="982"/>
      <c r="P51" s="622"/>
      <c r="Q51" s="982"/>
      <c r="R51" s="927"/>
      <c r="S51" s="927"/>
      <c r="T51" s="878"/>
    </row>
    <row r="52" spans="1:42" s="224" customFormat="1" ht="15" customHeight="1" x14ac:dyDescent="0.25">
      <c r="A52" s="215">
        <v>44815</v>
      </c>
      <c r="B52" s="364" t="s">
        <v>3283</v>
      </c>
      <c r="C52" s="350" t="s">
        <v>12</v>
      </c>
      <c r="D52" s="350" t="s">
        <v>1506</v>
      </c>
      <c r="E52" s="875" t="s">
        <v>13</v>
      </c>
      <c r="F52" s="780">
        <v>50</v>
      </c>
      <c r="G52" s="982"/>
      <c r="H52" s="622"/>
      <c r="I52" s="982"/>
      <c r="J52" s="622"/>
      <c r="K52" s="982"/>
      <c r="L52" s="622"/>
      <c r="M52" s="982"/>
      <c r="N52" s="622"/>
      <c r="O52" s="982"/>
      <c r="P52" s="622"/>
      <c r="Q52" s="982"/>
      <c r="R52" s="927"/>
      <c r="S52" s="927"/>
      <c r="T52" s="878"/>
    </row>
    <row r="53" spans="1:42" s="224" customFormat="1" ht="15" customHeight="1" x14ac:dyDescent="0.25">
      <c r="A53" s="215">
        <v>44815</v>
      </c>
      <c r="B53" s="882" t="s">
        <v>443</v>
      </c>
      <c r="C53" s="879" t="s">
        <v>12</v>
      </c>
      <c r="D53" s="879" t="s">
        <v>1493</v>
      </c>
      <c r="E53" s="875" t="s">
        <v>13</v>
      </c>
      <c r="F53" s="780">
        <v>9.9</v>
      </c>
      <c r="G53" s="982"/>
      <c r="H53" s="622"/>
      <c r="I53" s="982"/>
      <c r="J53" s="622"/>
      <c r="K53" s="982"/>
      <c r="L53" s="622"/>
      <c r="M53" s="982"/>
      <c r="N53" s="1110"/>
      <c r="O53" s="1208"/>
      <c r="P53" s="1110"/>
      <c r="Q53" s="1208"/>
      <c r="R53" s="927"/>
      <c r="S53" s="927"/>
      <c r="T53" s="878"/>
    </row>
    <row r="54" spans="1:42" s="224" customFormat="1" ht="15" customHeight="1" x14ac:dyDescent="0.25">
      <c r="A54" s="215">
        <v>44816</v>
      </c>
      <c r="B54" s="882" t="s">
        <v>32</v>
      </c>
      <c r="C54" s="879" t="s">
        <v>12</v>
      </c>
      <c r="D54" s="879" t="s">
        <v>1485</v>
      </c>
      <c r="E54" s="875" t="s">
        <v>13</v>
      </c>
      <c r="F54" s="780">
        <v>18</v>
      </c>
      <c r="G54" s="946"/>
      <c r="H54" s="95"/>
      <c r="I54" s="1064"/>
      <c r="J54" s="622"/>
      <c r="K54" s="982"/>
      <c r="L54" s="622"/>
      <c r="M54" s="982"/>
      <c r="N54" s="622"/>
      <c r="O54" s="982"/>
      <c r="P54" s="622"/>
      <c r="Q54" s="982"/>
      <c r="R54" s="861"/>
    </row>
    <row r="55" spans="1:42" s="224" customFormat="1" ht="15" customHeight="1" x14ac:dyDescent="0.25">
      <c r="A55" s="215">
        <v>44816</v>
      </c>
      <c r="B55" s="364" t="s">
        <v>478</v>
      </c>
      <c r="C55" s="350" t="s">
        <v>12</v>
      </c>
      <c r="D55" s="350" t="s">
        <v>1496</v>
      </c>
      <c r="E55" s="875" t="s">
        <v>13</v>
      </c>
      <c r="F55" s="780">
        <v>9.2100000000000009</v>
      </c>
      <c r="G55" s="982"/>
      <c r="H55" s="1060"/>
      <c r="I55" s="1033"/>
      <c r="J55" s="880"/>
      <c r="K55" s="1033"/>
      <c r="L55" s="880"/>
      <c r="M55" s="1033"/>
      <c r="N55" s="622"/>
      <c r="O55" s="982"/>
      <c r="P55" s="622"/>
      <c r="Q55" s="982"/>
      <c r="R55" s="1080"/>
      <c r="S55" s="927"/>
      <c r="T55" s="878"/>
    </row>
    <row r="56" spans="1:42" s="224" customFormat="1" ht="15" customHeight="1" x14ac:dyDescent="0.25">
      <c r="A56" s="215">
        <v>44817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18</v>
      </c>
      <c r="G56" s="946"/>
      <c r="H56" s="95"/>
      <c r="I56" s="1064"/>
      <c r="J56" s="622"/>
      <c r="K56" s="982"/>
      <c r="L56" s="622"/>
      <c r="M56" s="982"/>
      <c r="N56" s="622"/>
      <c r="O56" s="982"/>
      <c r="P56" s="622"/>
      <c r="Q56" s="982"/>
      <c r="R56" s="861"/>
    </row>
    <row r="57" spans="1:42" s="224" customFormat="1" ht="15" customHeight="1" x14ac:dyDescent="0.25">
      <c r="A57" s="215">
        <v>44817</v>
      </c>
      <c r="B57" s="882" t="s">
        <v>1331</v>
      </c>
      <c r="C57" s="879" t="s">
        <v>12</v>
      </c>
      <c r="D57" s="879" t="s">
        <v>2157</v>
      </c>
      <c r="E57" s="871" t="s">
        <v>15</v>
      </c>
      <c r="F57" s="780">
        <v>70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982"/>
      <c r="R57" s="927"/>
      <c r="S57" s="927"/>
      <c r="T57" s="878"/>
    </row>
    <row r="58" spans="1:42" s="224" customFormat="1" ht="15" customHeight="1" x14ac:dyDescent="0.25">
      <c r="A58" s="215">
        <v>44818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10</v>
      </c>
      <c r="G58" s="946"/>
      <c r="H58" s="95"/>
      <c r="I58" s="1064"/>
      <c r="J58" s="622"/>
      <c r="K58" s="982"/>
      <c r="L58" s="622"/>
      <c r="M58" s="982"/>
      <c r="N58" s="622"/>
      <c r="O58" s="982"/>
      <c r="P58" s="622"/>
      <c r="Q58" s="982"/>
      <c r="R58" s="861"/>
    </row>
    <row r="59" spans="1:42" s="224" customFormat="1" ht="15" customHeight="1" x14ac:dyDescent="0.25">
      <c r="A59" s="215">
        <v>44818</v>
      </c>
      <c r="B59" s="364" t="s">
        <v>3454</v>
      </c>
      <c r="C59" s="350" t="s">
        <v>12</v>
      </c>
      <c r="D59" s="350" t="s">
        <v>1524</v>
      </c>
      <c r="E59" s="875" t="s">
        <v>13</v>
      </c>
      <c r="F59" s="780">
        <v>8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42" s="224" customFormat="1" ht="15" customHeight="1" x14ac:dyDescent="0.25">
      <c r="A60" s="215">
        <v>44818</v>
      </c>
      <c r="B60" s="364" t="s">
        <v>14</v>
      </c>
      <c r="C60" s="350" t="s">
        <v>12</v>
      </c>
      <c r="D60" s="350" t="s">
        <v>1486</v>
      </c>
      <c r="E60" s="875" t="s">
        <v>13</v>
      </c>
      <c r="F60" s="780">
        <v>13.44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982"/>
      <c r="R60" s="927"/>
      <c r="S60" s="927"/>
      <c r="T60" s="878"/>
    </row>
    <row r="61" spans="1:42" s="224" customFormat="1" ht="15" customHeight="1" x14ac:dyDescent="0.25">
      <c r="A61" s="215">
        <v>44819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18</v>
      </c>
      <c r="G61" s="946"/>
      <c r="H61" s="95"/>
      <c r="I61" s="1064"/>
      <c r="J61" s="622"/>
      <c r="K61" s="982"/>
      <c r="L61" s="622"/>
      <c r="M61" s="982"/>
      <c r="N61" s="622"/>
      <c r="O61" s="982"/>
      <c r="P61" s="622"/>
      <c r="Q61" s="982"/>
      <c r="R61" s="861"/>
    </row>
    <row r="62" spans="1:42" s="224" customFormat="1" ht="15" customHeight="1" x14ac:dyDescent="0.25">
      <c r="A62" s="215">
        <v>44819</v>
      </c>
      <c r="B62" s="882" t="s">
        <v>81</v>
      </c>
      <c r="C62" s="879" t="s">
        <v>12</v>
      </c>
      <c r="D62" s="879" t="s">
        <v>1493</v>
      </c>
      <c r="E62" s="875" t="s">
        <v>13</v>
      </c>
      <c r="F62" s="780">
        <v>3.2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982"/>
      <c r="R62" s="927"/>
      <c r="S62" s="927"/>
      <c r="T62" s="878"/>
    </row>
    <row r="63" spans="1:42" s="224" customFormat="1" ht="15" customHeight="1" x14ac:dyDescent="0.25">
      <c r="A63" s="215">
        <v>44819</v>
      </c>
      <c r="B63" s="882" t="s">
        <v>81</v>
      </c>
      <c r="C63" s="879" t="s">
        <v>12</v>
      </c>
      <c r="D63" s="879" t="s">
        <v>1493</v>
      </c>
      <c r="E63" s="875" t="s">
        <v>13</v>
      </c>
      <c r="F63" s="780">
        <v>5.73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982"/>
      <c r="R63" s="927"/>
      <c r="S63" s="927"/>
      <c r="T63" s="878"/>
    </row>
    <row r="64" spans="1:42" s="224" customFormat="1" ht="15" customHeight="1" x14ac:dyDescent="0.25">
      <c r="A64" s="215">
        <v>44820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18</v>
      </c>
      <c r="G64" s="946"/>
      <c r="H64" s="95"/>
      <c r="I64" s="1064"/>
      <c r="J64" s="622"/>
      <c r="K64" s="982"/>
      <c r="L64" s="622"/>
      <c r="M64" s="982"/>
      <c r="N64" s="622"/>
      <c r="O64" s="982"/>
      <c r="P64" s="622"/>
      <c r="Q64" s="982"/>
      <c r="R64" s="861"/>
    </row>
    <row r="65" spans="1:26" s="224" customFormat="1" ht="15" customHeight="1" x14ac:dyDescent="0.25">
      <c r="A65" s="215">
        <v>44820</v>
      </c>
      <c r="B65" s="364" t="s">
        <v>14</v>
      </c>
      <c r="C65" s="350" t="s">
        <v>12</v>
      </c>
      <c r="D65" s="350" t="s">
        <v>1486</v>
      </c>
      <c r="E65" s="875" t="s">
        <v>13</v>
      </c>
      <c r="F65" s="780">
        <v>8.9600000000000009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982"/>
      <c r="R65" s="927"/>
      <c r="S65" s="927"/>
      <c r="T65" s="878"/>
    </row>
    <row r="66" spans="1:26" s="224" customFormat="1" ht="15" customHeight="1" x14ac:dyDescent="0.25">
      <c r="A66" s="215">
        <v>44821</v>
      </c>
      <c r="B66" s="364" t="s">
        <v>2595</v>
      </c>
      <c r="C66" s="350" t="s">
        <v>12</v>
      </c>
      <c r="D66" s="350" t="s">
        <v>1506</v>
      </c>
      <c r="E66" s="875" t="s">
        <v>13</v>
      </c>
      <c r="F66" s="780">
        <v>10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982"/>
      <c r="R66" s="927"/>
      <c r="S66" s="927"/>
      <c r="T66" s="878"/>
    </row>
    <row r="67" spans="1:26" s="224" customFormat="1" ht="15" customHeight="1" x14ac:dyDescent="0.25">
      <c r="A67" s="215">
        <v>44821</v>
      </c>
      <c r="B67" s="364" t="s">
        <v>3455</v>
      </c>
      <c r="C67" s="350" t="s">
        <v>12</v>
      </c>
      <c r="D67" s="350" t="s">
        <v>1523</v>
      </c>
      <c r="E67" s="875" t="s">
        <v>13</v>
      </c>
      <c r="F67" s="780">
        <v>20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982"/>
      <c r="R67" s="927"/>
      <c r="S67" s="927"/>
      <c r="T67" s="878"/>
    </row>
    <row r="68" spans="1:26" s="224" customFormat="1" ht="15" customHeight="1" x14ac:dyDescent="0.25">
      <c r="A68" s="215">
        <v>44822</v>
      </c>
      <c r="B68" s="364" t="s">
        <v>14</v>
      </c>
      <c r="C68" s="350" t="s">
        <v>12</v>
      </c>
      <c r="D68" s="350" t="s">
        <v>1486</v>
      </c>
      <c r="E68" s="875" t="s">
        <v>13</v>
      </c>
      <c r="F68" s="780">
        <v>10.71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982"/>
      <c r="R68" s="927"/>
      <c r="S68" s="927"/>
      <c r="T68" s="878"/>
    </row>
    <row r="69" spans="1:26" s="224" customFormat="1" ht="15" customHeight="1" x14ac:dyDescent="0.25">
      <c r="A69" s="215">
        <v>44822</v>
      </c>
      <c r="B69" s="882" t="s">
        <v>1331</v>
      </c>
      <c r="C69" s="879" t="s">
        <v>19</v>
      </c>
      <c r="D69" s="879" t="s">
        <v>2157</v>
      </c>
      <c r="E69" s="871" t="s">
        <v>13</v>
      </c>
      <c r="F69" s="780">
        <v>80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6" s="224" customFormat="1" ht="15" customHeight="1" x14ac:dyDescent="0.25">
      <c r="A70" s="215">
        <v>44822</v>
      </c>
      <c r="B70" s="882" t="s">
        <v>3456</v>
      </c>
      <c r="C70" s="879" t="s">
        <v>19</v>
      </c>
      <c r="D70" s="879" t="s">
        <v>1506</v>
      </c>
      <c r="E70" s="875" t="s">
        <v>13</v>
      </c>
      <c r="F70" s="780">
        <v>40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982"/>
      <c r="R70" s="927"/>
      <c r="S70" s="927"/>
      <c r="T70" s="878"/>
    </row>
    <row r="71" spans="1:26" s="224" customFormat="1" ht="15" customHeight="1" x14ac:dyDescent="0.25">
      <c r="A71" s="215">
        <v>44822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20</v>
      </c>
      <c r="G71" s="982"/>
      <c r="H71" s="622"/>
      <c r="I71" s="982"/>
      <c r="J71" s="622"/>
      <c r="K71" s="982"/>
      <c r="L71" s="622"/>
      <c r="M71" s="982"/>
      <c r="N71" s="622"/>
      <c r="O71" s="982"/>
      <c r="P71" s="622"/>
      <c r="Q71" s="982"/>
      <c r="R71" s="927"/>
      <c r="S71" s="927"/>
      <c r="T71" s="878"/>
    </row>
    <row r="72" spans="1:26" s="224" customFormat="1" ht="15" customHeight="1" x14ac:dyDescent="0.25">
      <c r="A72" s="215">
        <v>44822</v>
      </c>
      <c r="B72" s="364" t="s">
        <v>3325</v>
      </c>
      <c r="C72" s="350" t="s">
        <v>12</v>
      </c>
      <c r="D72" s="350" t="s">
        <v>1504</v>
      </c>
      <c r="E72" s="875" t="s">
        <v>13</v>
      </c>
      <c r="F72" s="780">
        <v>35</v>
      </c>
      <c r="G72" s="982"/>
      <c r="H72" s="622"/>
      <c r="I72" s="982"/>
      <c r="J72" s="622"/>
      <c r="K72" s="982"/>
      <c r="L72" s="622"/>
      <c r="M72" s="982"/>
      <c r="N72" s="622"/>
      <c r="O72" s="982"/>
      <c r="P72" s="622"/>
      <c r="Q72" s="982"/>
      <c r="R72" s="927"/>
      <c r="S72" s="927"/>
      <c r="T72" s="878"/>
    </row>
    <row r="73" spans="1:26" s="224" customFormat="1" ht="15" customHeight="1" x14ac:dyDescent="0.25">
      <c r="A73" s="215">
        <v>44822</v>
      </c>
      <c r="B73" s="882" t="s">
        <v>443</v>
      </c>
      <c r="C73" s="879" t="s">
        <v>12</v>
      </c>
      <c r="D73" s="879" t="s">
        <v>1493</v>
      </c>
      <c r="E73" s="875" t="s">
        <v>13</v>
      </c>
      <c r="F73" s="780">
        <v>20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982"/>
      <c r="R73" s="927"/>
      <c r="S73" s="927"/>
      <c r="T73" s="878"/>
    </row>
    <row r="74" spans="1:26" s="224" customFormat="1" ht="15" customHeight="1" x14ac:dyDescent="0.25">
      <c r="A74" s="215">
        <v>44823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18</v>
      </c>
      <c r="G74" s="946"/>
      <c r="H74" s="95"/>
      <c r="I74" s="1064"/>
      <c r="J74" s="622"/>
      <c r="K74" s="982"/>
      <c r="L74" s="622"/>
      <c r="M74" s="982"/>
      <c r="N74" s="622"/>
      <c r="O74" s="982"/>
      <c r="P74" s="622"/>
      <c r="Q74" s="982"/>
      <c r="R74" s="861"/>
    </row>
    <row r="75" spans="1:26" s="224" customFormat="1" ht="15" customHeight="1" x14ac:dyDescent="0.25">
      <c r="A75" s="215">
        <v>44823</v>
      </c>
      <c r="B75" s="364" t="s">
        <v>3457</v>
      </c>
      <c r="C75" s="350" t="s">
        <v>12</v>
      </c>
      <c r="D75" s="350" t="s">
        <v>1491</v>
      </c>
      <c r="E75" s="875" t="s">
        <v>13</v>
      </c>
      <c r="F75" s="780">
        <v>25</v>
      </c>
      <c r="G75" s="982"/>
      <c r="H75" s="622"/>
      <c r="I75" s="982"/>
      <c r="J75" s="622"/>
      <c r="K75" s="982"/>
      <c r="L75" s="622"/>
      <c r="M75" s="982"/>
      <c r="N75" s="622"/>
      <c r="O75" s="982"/>
      <c r="P75" s="622"/>
      <c r="Q75" s="982"/>
      <c r="R75" s="927"/>
      <c r="S75" s="927"/>
      <c r="T75" s="878"/>
    </row>
    <row r="76" spans="1:26" s="224" customFormat="1" ht="15" customHeight="1" x14ac:dyDescent="0.25">
      <c r="A76" s="215">
        <v>44823</v>
      </c>
      <c r="B76" s="364" t="s">
        <v>3458</v>
      </c>
      <c r="C76" s="350" t="s">
        <v>12</v>
      </c>
      <c r="D76" s="350" t="s">
        <v>1491</v>
      </c>
      <c r="E76" s="875" t="s">
        <v>13</v>
      </c>
      <c r="F76" s="780">
        <v>14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982"/>
      <c r="R76" s="927"/>
      <c r="S76" s="927"/>
      <c r="T76" s="878"/>
    </row>
    <row r="77" spans="1:26" s="224" customFormat="1" ht="15" customHeight="1" x14ac:dyDescent="0.25">
      <c r="A77" s="215">
        <v>44823</v>
      </c>
      <c r="B77" s="364" t="s">
        <v>3459</v>
      </c>
      <c r="C77" s="350" t="s">
        <v>12</v>
      </c>
      <c r="D77" s="350" t="s">
        <v>1491</v>
      </c>
      <c r="E77" s="875" t="s">
        <v>13</v>
      </c>
      <c r="F77" s="780">
        <v>6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S77" s="927"/>
      <c r="T77" s="878"/>
    </row>
    <row r="78" spans="1:26" s="224" customFormat="1" ht="15" customHeight="1" x14ac:dyDescent="0.25">
      <c r="A78" s="215">
        <v>44824</v>
      </c>
      <c r="B78" s="882" t="s">
        <v>3460</v>
      </c>
      <c r="C78" s="350" t="s">
        <v>12</v>
      </c>
      <c r="D78" s="350"/>
      <c r="E78" s="480" t="s">
        <v>25</v>
      </c>
      <c r="F78" s="622"/>
      <c r="G78" s="982">
        <v>2000</v>
      </c>
      <c r="H78" s="1008"/>
      <c r="I78" s="1063"/>
      <c r="J78" s="622"/>
      <c r="K78" s="982"/>
      <c r="L78" s="622"/>
      <c r="M78" s="982"/>
      <c r="N78" s="622"/>
      <c r="O78" s="982"/>
      <c r="P78" s="622"/>
      <c r="Q78" s="982"/>
      <c r="R78" s="861"/>
    </row>
    <row r="79" spans="1:26" s="224" customFormat="1" ht="15" customHeight="1" x14ac:dyDescent="0.25">
      <c r="A79" s="215">
        <v>44824</v>
      </c>
      <c r="B79" s="862" t="s">
        <v>2867</v>
      </c>
      <c r="C79" s="350" t="s">
        <v>12</v>
      </c>
      <c r="D79" s="874" t="s">
        <v>1504</v>
      </c>
      <c r="E79" s="887" t="s">
        <v>13</v>
      </c>
      <c r="F79" s="1107"/>
      <c r="G79" s="982"/>
      <c r="H79" s="1009"/>
      <c r="I79" s="1063"/>
      <c r="J79" s="853"/>
      <c r="K79" s="982"/>
      <c r="L79" s="853"/>
      <c r="M79" s="982"/>
      <c r="N79" s="622"/>
      <c r="O79" s="982"/>
      <c r="P79" s="622"/>
      <c r="Q79" s="982"/>
      <c r="R79" s="3166" t="s">
        <v>3362</v>
      </c>
      <c r="S79" s="3166"/>
      <c r="T79" s="3166"/>
      <c r="U79" s="3166"/>
      <c r="V79" s="3166"/>
      <c r="W79" s="3166"/>
      <c r="X79" s="3166"/>
      <c r="Y79" s="3166"/>
      <c r="Z79" s="3166"/>
    </row>
    <row r="80" spans="1:26" s="224" customFormat="1" x14ac:dyDescent="0.25">
      <c r="A80" s="215">
        <v>44824</v>
      </c>
      <c r="B80" s="364" t="s">
        <v>2977</v>
      </c>
      <c r="C80" s="350" t="s">
        <v>12</v>
      </c>
      <c r="D80" s="350" t="s">
        <v>1491</v>
      </c>
      <c r="E80" s="875" t="s">
        <v>13</v>
      </c>
      <c r="F80" s="1047">
        <v>300</v>
      </c>
      <c r="G80" s="982"/>
      <c r="H80" s="1008"/>
      <c r="I80" s="1063"/>
      <c r="J80" s="622"/>
      <c r="K80" s="982"/>
      <c r="L80" s="622"/>
      <c r="M80" s="982"/>
      <c r="N80" s="622"/>
      <c r="O80" s="982"/>
      <c r="P80" s="622"/>
      <c r="Q80" s="982"/>
      <c r="R80" s="1029"/>
      <c r="S80" s="89"/>
      <c r="T80" s="930"/>
    </row>
    <row r="81" spans="1:21" s="224" customFormat="1" ht="15" customHeight="1" x14ac:dyDescent="0.25">
      <c r="A81" s="215">
        <v>44824</v>
      </c>
      <c r="B81" s="349" t="s">
        <v>3461</v>
      </c>
      <c r="C81" s="887" t="s">
        <v>12</v>
      </c>
      <c r="D81" s="350" t="s">
        <v>1522</v>
      </c>
      <c r="E81" s="887" t="s">
        <v>13</v>
      </c>
      <c r="F81" s="613">
        <v>46.19</v>
      </c>
      <c r="G81" s="982"/>
      <c r="H81" s="872"/>
      <c r="I81" s="1063"/>
      <c r="J81" s="622"/>
      <c r="K81" s="982"/>
      <c r="L81" s="622"/>
      <c r="M81" s="982"/>
      <c r="N81" s="622"/>
      <c r="O81" s="982"/>
      <c r="P81" s="622"/>
      <c r="Q81" s="982"/>
      <c r="R81" s="927"/>
      <c r="S81" s="999"/>
      <c r="T81" s="878"/>
    </row>
    <row r="82" spans="1:21" s="224" customFormat="1" ht="15" customHeight="1" x14ac:dyDescent="0.25">
      <c r="A82" s="215">
        <v>44824</v>
      </c>
      <c r="B82" s="349" t="s">
        <v>3461</v>
      </c>
      <c r="C82" s="887" t="s">
        <v>12</v>
      </c>
      <c r="D82" s="350" t="s">
        <v>1489</v>
      </c>
      <c r="E82" s="887" t="s">
        <v>13</v>
      </c>
      <c r="F82" s="613">
        <v>59.98</v>
      </c>
      <c r="G82" s="982"/>
      <c r="H82" s="872"/>
      <c r="I82" s="1063"/>
      <c r="J82" s="622"/>
      <c r="K82" s="982"/>
      <c r="L82" s="622"/>
      <c r="M82" s="982"/>
      <c r="N82" s="622"/>
      <c r="O82" s="982"/>
      <c r="P82" s="622"/>
      <c r="Q82" s="982"/>
      <c r="R82" s="927"/>
      <c r="S82" s="999"/>
      <c r="T82" s="878"/>
    </row>
    <row r="83" spans="1:21" s="224" customFormat="1" ht="15" customHeight="1" x14ac:dyDescent="0.25">
      <c r="A83" s="215">
        <v>44824</v>
      </c>
      <c r="B83" s="349" t="s">
        <v>3461</v>
      </c>
      <c r="C83" s="887" t="s">
        <v>12</v>
      </c>
      <c r="D83" s="350" t="s">
        <v>1506</v>
      </c>
      <c r="E83" s="887" t="s">
        <v>13</v>
      </c>
      <c r="F83" s="613">
        <v>64.834999999999994</v>
      </c>
      <c r="G83" s="982"/>
      <c r="H83" s="872"/>
      <c r="I83" s="1063"/>
      <c r="J83" s="622"/>
      <c r="K83" s="982"/>
      <c r="L83" s="622"/>
      <c r="M83" s="982"/>
      <c r="N83" s="622"/>
      <c r="O83" s="982"/>
      <c r="P83" s="622"/>
      <c r="Q83" s="982"/>
      <c r="R83" s="927"/>
      <c r="S83" s="999"/>
      <c r="T83" s="878"/>
    </row>
    <row r="84" spans="1:21" s="224" customFormat="1" ht="15" customHeight="1" x14ac:dyDescent="0.25">
      <c r="A84" s="215">
        <v>44824</v>
      </c>
      <c r="B84" s="349" t="s">
        <v>3461</v>
      </c>
      <c r="C84" s="887" t="s">
        <v>12</v>
      </c>
      <c r="D84" s="350" t="s">
        <v>1506</v>
      </c>
      <c r="E84" s="887" t="s">
        <v>13</v>
      </c>
      <c r="F84" s="613">
        <v>41.5</v>
      </c>
      <c r="G84" s="982"/>
      <c r="H84" s="872"/>
      <c r="I84" s="1063"/>
      <c r="J84" s="622"/>
      <c r="K84" s="982"/>
      <c r="L84" s="622"/>
      <c r="M84" s="982"/>
      <c r="N84" s="622"/>
      <c r="O84" s="982"/>
      <c r="P84" s="622"/>
      <c r="Q84" s="982"/>
      <c r="R84" s="927"/>
      <c r="S84" s="999"/>
      <c r="T84" s="878"/>
    </row>
    <row r="85" spans="1:21" s="224" customFormat="1" ht="15" customHeight="1" x14ac:dyDescent="0.25">
      <c r="A85" s="215">
        <v>44824</v>
      </c>
      <c r="B85" s="349" t="s">
        <v>3461</v>
      </c>
      <c r="C85" s="887" t="s">
        <v>12</v>
      </c>
      <c r="D85" s="1005" t="s">
        <v>1522</v>
      </c>
      <c r="E85" s="887" t="s">
        <v>13</v>
      </c>
      <c r="F85" s="1116">
        <v>29.9</v>
      </c>
      <c r="G85" s="982"/>
      <c r="H85" s="872"/>
      <c r="I85" s="1063"/>
      <c r="J85" s="622"/>
      <c r="K85" s="982"/>
      <c r="L85" s="622"/>
      <c r="M85" s="982"/>
      <c r="N85" s="622"/>
      <c r="O85" s="982"/>
      <c r="P85" s="622"/>
      <c r="Q85" s="982"/>
      <c r="R85" s="927"/>
      <c r="S85" s="999"/>
      <c r="T85" s="878"/>
    </row>
    <row r="86" spans="1:21" s="224" customFormat="1" ht="15" customHeight="1" x14ac:dyDescent="0.25">
      <c r="A86" s="215">
        <v>44824</v>
      </c>
      <c r="B86" s="349" t="s">
        <v>3461</v>
      </c>
      <c r="C86" s="887" t="s">
        <v>12</v>
      </c>
      <c r="D86" s="350" t="s">
        <v>1525</v>
      </c>
      <c r="E86" s="887" t="s">
        <v>13</v>
      </c>
      <c r="F86" s="613">
        <v>27</v>
      </c>
      <c r="G86" s="982"/>
      <c r="H86" s="872"/>
      <c r="I86" s="1063"/>
      <c r="J86" s="622"/>
      <c r="K86" s="982"/>
      <c r="L86" s="622"/>
      <c r="M86" s="982"/>
      <c r="N86" s="622"/>
      <c r="O86" s="982"/>
      <c r="P86" s="622"/>
      <c r="Q86" s="982"/>
      <c r="R86" s="927"/>
      <c r="S86" s="999"/>
      <c r="T86" s="878"/>
    </row>
    <row r="87" spans="1:21" s="224" customFormat="1" ht="15" customHeight="1" x14ac:dyDescent="0.25">
      <c r="A87" s="215">
        <v>44824</v>
      </c>
      <c r="B87" s="349" t="s">
        <v>3461</v>
      </c>
      <c r="C87" s="887" t="s">
        <v>12</v>
      </c>
      <c r="D87" s="350" t="s">
        <v>1491</v>
      </c>
      <c r="E87" s="887" t="s">
        <v>13</v>
      </c>
      <c r="F87" s="613">
        <v>139.43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982"/>
      <c r="R87" s="927"/>
      <c r="S87" s="999"/>
      <c r="T87" s="878"/>
    </row>
    <row r="88" spans="1:21" s="224" customFormat="1" ht="15" customHeight="1" x14ac:dyDescent="0.25">
      <c r="A88" s="215">
        <v>44824</v>
      </c>
      <c r="B88" s="349" t="s">
        <v>3461</v>
      </c>
      <c r="C88" s="887" t="s">
        <v>12</v>
      </c>
      <c r="D88" s="1005" t="s">
        <v>1525</v>
      </c>
      <c r="E88" s="887" t="s">
        <v>13</v>
      </c>
      <c r="F88" s="1116">
        <v>60</v>
      </c>
      <c r="G88" s="982"/>
      <c r="H88" s="872"/>
      <c r="I88" s="1063"/>
      <c r="J88" s="622"/>
      <c r="K88" s="982"/>
      <c r="L88" s="622"/>
      <c r="M88" s="982"/>
      <c r="N88" s="622"/>
      <c r="O88" s="982"/>
      <c r="P88" s="622"/>
      <c r="Q88" s="982"/>
      <c r="R88" s="927"/>
      <c r="S88" s="999"/>
      <c r="T88" s="878"/>
    </row>
    <row r="89" spans="1:21" s="224" customFormat="1" ht="15" customHeight="1" x14ac:dyDescent="0.25">
      <c r="A89" s="215">
        <v>44824</v>
      </c>
      <c r="B89" s="882" t="s">
        <v>3462</v>
      </c>
      <c r="C89" s="879" t="s">
        <v>12</v>
      </c>
      <c r="D89" s="879" t="s">
        <v>1499</v>
      </c>
      <c r="E89" s="871" t="s">
        <v>13</v>
      </c>
      <c r="F89" s="780">
        <v>11.21</v>
      </c>
      <c r="G89" s="982"/>
      <c r="H89" s="1008"/>
      <c r="I89" s="1063"/>
      <c r="J89" s="622"/>
      <c r="K89" s="982"/>
      <c r="L89" s="622"/>
      <c r="M89" s="982"/>
      <c r="N89" s="622"/>
      <c r="O89" s="982"/>
      <c r="P89" s="622"/>
      <c r="Q89" s="982"/>
      <c r="R89" s="861"/>
      <c r="T89" s="1123"/>
      <c r="U89" s="999"/>
    </row>
    <row r="90" spans="1:21" s="224" customFormat="1" ht="15" customHeight="1" x14ac:dyDescent="0.25">
      <c r="A90" s="215">
        <v>44824</v>
      </c>
      <c r="B90" s="882" t="s">
        <v>1820</v>
      </c>
      <c r="C90" s="879" t="s">
        <v>12</v>
      </c>
      <c r="D90" s="879" t="s">
        <v>1496</v>
      </c>
      <c r="E90" s="875" t="s">
        <v>13</v>
      </c>
      <c r="F90" s="780">
        <v>20</v>
      </c>
      <c r="G90" s="982"/>
      <c r="H90" s="622"/>
      <c r="I90" s="982"/>
      <c r="J90" s="622"/>
      <c r="K90" s="982"/>
      <c r="L90" s="622"/>
      <c r="M90" s="982"/>
      <c r="N90" s="1110"/>
      <c r="O90" s="1208"/>
      <c r="P90" s="1110"/>
      <c r="Q90" s="1208"/>
      <c r="R90" s="927"/>
      <c r="S90" s="927"/>
      <c r="T90" s="878"/>
    </row>
    <row r="91" spans="1:21" s="224" customFormat="1" ht="15" customHeight="1" x14ac:dyDescent="0.25">
      <c r="A91" s="215">
        <v>44824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9.25</v>
      </c>
      <c r="G91" s="946"/>
      <c r="H91" s="95"/>
      <c r="I91" s="1064"/>
      <c r="J91" s="622"/>
      <c r="K91" s="982"/>
      <c r="L91" s="622"/>
      <c r="M91" s="982"/>
      <c r="N91" s="622"/>
      <c r="O91" s="982"/>
      <c r="P91" s="622"/>
      <c r="Q91" s="982"/>
      <c r="R91" s="861"/>
    </row>
    <row r="92" spans="1:21" s="224" customFormat="1" ht="15" customHeight="1" x14ac:dyDescent="0.25">
      <c r="A92" s="215">
        <v>44824</v>
      </c>
      <c r="B92" s="882" t="s">
        <v>17</v>
      </c>
      <c r="C92" s="879" t="s">
        <v>12</v>
      </c>
      <c r="D92" s="879" t="s">
        <v>1493</v>
      </c>
      <c r="E92" s="875" t="s">
        <v>13</v>
      </c>
      <c r="F92" s="780">
        <v>6</v>
      </c>
      <c r="G92" s="982"/>
      <c r="H92" s="622"/>
      <c r="I92" s="982"/>
      <c r="J92" s="622"/>
      <c r="K92" s="982"/>
      <c r="L92" s="622"/>
      <c r="M92" s="1033"/>
      <c r="N92" s="1116"/>
      <c r="O92" s="1207"/>
      <c r="P92" s="1116"/>
      <c r="Q92" s="1207"/>
      <c r="R92" s="927"/>
      <c r="S92" s="927"/>
      <c r="T92" s="878"/>
    </row>
    <row r="93" spans="1:21" s="224" customFormat="1" ht="15" customHeight="1" x14ac:dyDescent="0.25">
      <c r="A93" s="215">
        <v>44824</v>
      </c>
      <c r="B93" s="364" t="s">
        <v>14</v>
      </c>
      <c r="C93" s="350" t="s">
        <v>12</v>
      </c>
      <c r="D93" s="350" t="s">
        <v>1486</v>
      </c>
      <c r="E93" s="875" t="s">
        <v>13</v>
      </c>
      <c r="F93" s="780">
        <v>7.88</v>
      </c>
      <c r="G93" s="982"/>
      <c r="H93" s="622"/>
      <c r="I93" s="982"/>
      <c r="J93" s="622"/>
      <c r="K93" s="982"/>
      <c r="L93" s="622"/>
      <c r="M93" s="982"/>
      <c r="N93" s="622"/>
      <c r="O93" s="982"/>
      <c r="P93" s="622"/>
      <c r="Q93" s="982"/>
      <c r="R93" s="927"/>
      <c r="T93" s="878"/>
    </row>
    <row r="94" spans="1:21" s="224" customFormat="1" ht="15" customHeight="1" x14ac:dyDescent="0.25">
      <c r="A94" s="215">
        <v>44825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18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982"/>
      <c r="R94" s="861"/>
    </row>
    <row r="95" spans="1:21" s="224" customFormat="1" ht="15" customHeight="1" x14ac:dyDescent="0.25">
      <c r="A95" s="215">
        <v>44825</v>
      </c>
      <c r="B95" s="882" t="s">
        <v>3463</v>
      </c>
      <c r="C95" s="879" t="s">
        <v>19</v>
      </c>
      <c r="D95" s="879" t="s">
        <v>1491</v>
      </c>
      <c r="E95" s="875" t="s">
        <v>13</v>
      </c>
      <c r="F95" s="780">
        <v>100</v>
      </c>
      <c r="G95" s="982"/>
      <c r="H95" s="622"/>
      <c r="I95" s="982"/>
      <c r="J95" s="880"/>
      <c r="K95" s="1033"/>
      <c r="L95" s="880"/>
      <c r="M95" s="1033"/>
      <c r="N95" s="880"/>
      <c r="O95" s="1033"/>
      <c r="P95" s="880"/>
      <c r="Q95" s="1033"/>
      <c r="R95" s="927"/>
      <c r="T95" s="878"/>
    </row>
    <row r="96" spans="1:21" s="224" customFormat="1" ht="15" customHeight="1" x14ac:dyDescent="0.25">
      <c r="A96" s="215">
        <v>44826</v>
      </c>
      <c r="B96" s="882" t="s">
        <v>3464</v>
      </c>
      <c r="C96" s="879" t="s">
        <v>19</v>
      </c>
      <c r="D96" s="879" t="s">
        <v>1491</v>
      </c>
      <c r="E96" s="871" t="s">
        <v>13</v>
      </c>
      <c r="F96" s="780">
        <v>62.97</v>
      </c>
      <c r="G96" s="946"/>
      <c r="H96" s="95"/>
      <c r="I96" s="1064"/>
      <c r="J96" s="622"/>
      <c r="K96" s="982"/>
      <c r="L96" s="622"/>
      <c r="M96" s="982"/>
      <c r="N96" s="622"/>
      <c r="O96" s="982"/>
      <c r="P96" s="622"/>
      <c r="Q96" s="982"/>
      <c r="R96" s="861"/>
    </row>
    <row r="97" spans="1:21" s="224" customFormat="1" ht="15" customHeight="1" x14ac:dyDescent="0.25">
      <c r="A97" s="215">
        <v>44826</v>
      </c>
      <c r="B97" s="882" t="s">
        <v>3465</v>
      </c>
      <c r="C97" s="879" t="s">
        <v>19</v>
      </c>
      <c r="D97" s="879" t="s">
        <v>1491</v>
      </c>
      <c r="E97" s="871" t="s">
        <v>13</v>
      </c>
      <c r="F97" s="780">
        <v>15.1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982"/>
      <c r="R97" s="861"/>
    </row>
    <row r="98" spans="1:21" s="224" customFormat="1" ht="15" customHeight="1" x14ac:dyDescent="0.25">
      <c r="A98" s="215">
        <v>44826</v>
      </c>
      <c r="B98" s="882" t="s">
        <v>3466</v>
      </c>
      <c r="C98" s="879" t="s">
        <v>12</v>
      </c>
      <c r="D98" s="879" t="s">
        <v>1489</v>
      </c>
      <c r="E98" s="875" t="s">
        <v>13</v>
      </c>
      <c r="F98" s="780">
        <v>55</v>
      </c>
      <c r="G98" s="982"/>
      <c r="H98" s="622"/>
      <c r="I98" s="982"/>
      <c r="J98" s="622"/>
      <c r="K98" s="982"/>
      <c r="L98" s="622"/>
      <c r="M98" s="982"/>
      <c r="N98" s="622"/>
      <c r="O98" s="982"/>
      <c r="P98" s="622"/>
      <c r="Q98" s="982"/>
      <c r="R98" s="927"/>
      <c r="T98" s="878"/>
    </row>
    <row r="99" spans="1:21" s="224" customFormat="1" ht="15" customHeight="1" x14ac:dyDescent="0.25">
      <c r="A99" s="215">
        <v>44826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18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982"/>
      <c r="R99" s="861"/>
    </row>
    <row r="100" spans="1:21" s="224" customFormat="1" ht="15" customHeight="1" x14ac:dyDescent="0.25">
      <c r="A100" s="215">
        <v>44826</v>
      </c>
      <c r="B100" s="364" t="s">
        <v>14</v>
      </c>
      <c r="C100" s="350" t="s">
        <v>12</v>
      </c>
      <c r="D100" s="350" t="s">
        <v>1486</v>
      </c>
      <c r="E100" s="875" t="s">
        <v>13</v>
      </c>
      <c r="F100" s="780">
        <v>4.71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622"/>
      <c r="Q100" s="982"/>
      <c r="R100" s="861"/>
    </row>
    <row r="101" spans="1:21" s="224" customFormat="1" ht="15" customHeight="1" x14ac:dyDescent="0.25">
      <c r="A101" s="215">
        <v>44827</v>
      </c>
      <c r="B101" s="862" t="s">
        <v>3330</v>
      </c>
      <c r="C101" s="879" t="s">
        <v>12</v>
      </c>
      <c r="D101" s="879" t="s">
        <v>1504</v>
      </c>
      <c r="E101" s="871" t="s">
        <v>13</v>
      </c>
      <c r="F101" s="622">
        <v>25.9</v>
      </c>
      <c r="G101" s="1034"/>
      <c r="H101" s="1008"/>
      <c r="I101" s="1063"/>
      <c r="J101" s="622"/>
      <c r="K101" s="982"/>
      <c r="L101" s="622"/>
      <c r="M101" s="982"/>
      <c r="N101" s="622"/>
      <c r="O101" s="982"/>
      <c r="P101" s="622"/>
      <c r="Q101" s="982"/>
      <c r="R101" s="475"/>
      <c r="T101" s="878"/>
    </row>
    <row r="102" spans="1:21" s="224" customFormat="1" ht="15" customHeight="1" x14ac:dyDescent="0.25">
      <c r="A102" s="215">
        <v>44827</v>
      </c>
      <c r="B102" s="882" t="s">
        <v>3467</v>
      </c>
      <c r="C102" s="879" t="s">
        <v>12</v>
      </c>
      <c r="D102" s="879" t="s">
        <v>1491</v>
      </c>
      <c r="E102" s="875" t="s">
        <v>13</v>
      </c>
      <c r="F102" s="780">
        <v>10</v>
      </c>
      <c r="G102" s="946"/>
      <c r="H102" s="95"/>
      <c r="I102" s="1064"/>
      <c r="J102" s="622"/>
      <c r="K102" s="982"/>
      <c r="L102" s="622"/>
      <c r="M102" s="982"/>
      <c r="N102" s="622"/>
      <c r="O102" s="982"/>
      <c r="P102" s="622"/>
      <c r="Q102" s="982"/>
      <c r="R102" s="1028"/>
      <c r="U102" s="958"/>
    </row>
    <row r="103" spans="1:21" s="224" customFormat="1" ht="15" customHeight="1" x14ac:dyDescent="0.25">
      <c r="A103" s="215">
        <v>44827</v>
      </c>
      <c r="B103" s="882" t="s">
        <v>3468</v>
      </c>
      <c r="C103" s="879" t="s">
        <v>12</v>
      </c>
      <c r="D103" s="879" t="s">
        <v>1491</v>
      </c>
      <c r="E103" s="875" t="s">
        <v>13</v>
      </c>
      <c r="F103" s="780">
        <v>220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622"/>
      <c r="Q103" s="982"/>
      <c r="R103" s="861"/>
    </row>
    <row r="104" spans="1:21" s="224" customFormat="1" ht="15" customHeight="1" x14ac:dyDescent="0.25">
      <c r="A104" s="215">
        <v>44827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46"/>
      <c r="H104" s="95"/>
      <c r="I104" s="1064"/>
      <c r="J104" s="622"/>
      <c r="K104" s="982"/>
      <c r="L104" s="622"/>
      <c r="M104" s="982"/>
      <c r="N104" s="622"/>
      <c r="O104" s="982"/>
      <c r="P104" s="622"/>
      <c r="Q104" s="982"/>
      <c r="R104" s="861"/>
    </row>
    <row r="105" spans="1:21" s="224" customFormat="1" ht="15" customHeight="1" x14ac:dyDescent="0.25">
      <c r="A105" s="215">
        <v>44827</v>
      </c>
      <c r="B105" s="882" t="s">
        <v>3469</v>
      </c>
      <c r="C105" s="879" t="s">
        <v>12</v>
      </c>
      <c r="D105" s="879" t="s">
        <v>1491</v>
      </c>
      <c r="E105" s="871" t="s">
        <v>13</v>
      </c>
      <c r="F105" s="780">
        <v>15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982"/>
      <c r="R105" s="1028"/>
      <c r="U105" s="958"/>
    </row>
    <row r="106" spans="1:21" s="224" customFormat="1" ht="15" customHeight="1" x14ac:dyDescent="0.25">
      <c r="A106" s="215">
        <v>44827</v>
      </c>
      <c r="B106" s="882" t="s">
        <v>3470</v>
      </c>
      <c r="C106" s="879" t="s">
        <v>12</v>
      </c>
      <c r="D106" s="879" t="s">
        <v>1489</v>
      </c>
      <c r="E106" s="871" t="s">
        <v>13</v>
      </c>
      <c r="F106" s="780">
        <v>23.18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982"/>
      <c r="R106" s="1028"/>
      <c r="U106" s="958"/>
    </row>
    <row r="107" spans="1:21" s="224" customFormat="1" ht="15" customHeight="1" x14ac:dyDescent="0.25">
      <c r="A107" s="215">
        <v>44827</v>
      </c>
      <c r="B107" s="364" t="s">
        <v>14</v>
      </c>
      <c r="C107" s="350" t="s">
        <v>12</v>
      </c>
      <c r="D107" s="350" t="s">
        <v>1486</v>
      </c>
      <c r="E107" s="875" t="s">
        <v>13</v>
      </c>
      <c r="F107" s="780">
        <v>7.67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622"/>
      <c r="Q107" s="982"/>
      <c r="R107" s="1028"/>
      <c r="U107" s="958"/>
    </row>
    <row r="108" spans="1:21" s="224" customFormat="1" ht="15" customHeight="1" x14ac:dyDescent="0.25">
      <c r="A108" s="215">
        <v>44828</v>
      </c>
      <c r="B108" s="882" t="s">
        <v>3471</v>
      </c>
      <c r="C108" s="879" t="s">
        <v>12</v>
      </c>
      <c r="D108" s="879" t="s">
        <v>1491</v>
      </c>
      <c r="E108" s="875" t="s">
        <v>13</v>
      </c>
      <c r="F108" s="780">
        <v>30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982"/>
      <c r="R108" s="861"/>
    </row>
    <row r="109" spans="1:21" s="224" customFormat="1" ht="15" customHeight="1" x14ac:dyDescent="0.25">
      <c r="A109" s="215">
        <v>44828</v>
      </c>
      <c r="B109" s="882" t="s">
        <v>3472</v>
      </c>
      <c r="C109" s="879" t="s">
        <v>12</v>
      </c>
      <c r="D109" s="879" t="s">
        <v>1491</v>
      </c>
      <c r="E109" s="871" t="s">
        <v>13</v>
      </c>
      <c r="F109" s="780">
        <v>10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622"/>
      <c r="Q109" s="982"/>
      <c r="R109" s="1028"/>
      <c r="U109" s="958"/>
    </row>
    <row r="110" spans="1:21" s="224" customFormat="1" ht="15" customHeight="1" x14ac:dyDescent="0.25">
      <c r="A110" s="215">
        <v>44828</v>
      </c>
      <c r="B110" s="364" t="s">
        <v>14</v>
      </c>
      <c r="C110" s="350" t="s">
        <v>12</v>
      </c>
      <c r="D110" s="350" t="s">
        <v>1486</v>
      </c>
      <c r="E110" s="875" t="s">
        <v>13</v>
      </c>
      <c r="F110" s="780">
        <v>6.92</v>
      </c>
      <c r="G110" s="946"/>
      <c r="H110" s="95"/>
      <c r="I110" s="1064"/>
      <c r="J110" s="622"/>
      <c r="K110" s="982"/>
      <c r="L110" s="622"/>
      <c r="M110" s="982"/>
      <c r="N110" s="1110"/>
      <c r="O110" s="1208"/>
      <c r="P110" s="1110"/>
      <c r="Q110" s="1208"/>
      <c r="R110" s="1028"/>
      <c r="U110" s="958"/>
    </row>
    <row r="111" spans="1:21" s="224" customFormat="1" ht="15" customHeight="1" x14ac:dyDescent="0.25">
      <c r="A111" s="215">
        <v>44828</v>
      </c>
      <c r="B111" s="882" t="s">
        <v>1331</v>
      </c>
      <c r="C111" s="879" t="s">
        <v>12</v>
      </c>
      <c r="D111" s="879" t="s">
        <v>2157</v>
      </c>
      <c r="E111" s="871" t="s">
        <v>13</v>
      </c>
      <c r="F111" s="780">
        <v>40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622"/>
      <c r="Q111" s="982"/>
      <c r="R111" s="1028"/>
      <c r="U111" s="958"/>
    </row>
    <row r="112" spans="1:21" s="224" customFormat="1" ht="15" customHeight="1" x14ac:dyDescent="0.25">
      <c r="A112" s="215">
        <v>44828</v>
      </c>
      <c r="B112" s="882" t="s">
        <v>3473</v>
      </c>
      <c r="C112" s="879" t="s">
        <v>12</v>
      </c>
      <c r="D112" s="879" t="s">
        <v>1491</v>
      </c>
      <c r="E112" s="871" t="s">
        <v>13</v>
      </c>
      <c r="F112" s="780">
        <v>26</v>
      </c>
      <c r="G112" s="946"/>
      <c r="H112" s="95"/>
      <c r="I112" s="1064"/>
      <c r="J112" s="622"/>
      <c r="K112" s="982"/>
      <c r="L112" s="622"/>
      <c r="M112" s="982"/>
      <c r="N112" s="1110"/>
      <c r="O112" s="1208"/>
      <c r="P112" s="1110"/>
      <c r="Q112" s="1208"/>
      <c r="R112" s="1028"/>
      <c r="U112" s="958"/>
    </row>
    <row r="113" spans="1:21" s="224" customFormat="1" ht="15" customHeight="1" x14ac:dyDescent="0.25">
      <c r="A113" s="215">
        <v>44828</v>
      </c>
      <c r="B113" s="882" t="s">
        <v>3474</v>
      </c>
      <c r="C113" s="879" t="s">
        <v>12</v>
      </c>
      <c r="D113" s="879" t="s">
        <v>1489</v>
      </c>
      <c r="E113" s="871" t="s">
        <v>13</v>
      </c>
      <c r="F113" s="780">
        <v>6.5</v>
      </c>
      <c r="G113" s="946"/>
      <c r="H113" s="95"/>
      <c r="I113" s="1064"/>
      <c r="J113" s="622"/>
      <c r="K113" s="982"/>
      <c r="L113" s="622"/>
      <c r="M113" s="982"/>
      <c r="N113" s="613"/>
      <c r="O113" s="64"/>
      <c r="P113" s="613"/>
      <c r="Q113" s="64"/>
      <c r="R113" s="1028"/>
      <c r="U113" s="958"/>
    </row>
    <row r="114" spans="1:21" s="224" customFormat="1" ht="15" customHeight="1" x14ac:dyDescent="0.25">
      <c r="A114" s="215">
        <v>44828</v>
      </c>
      <c r="B114" s="882" t="s">
        <v>3475</v>
      </c>
      <c r="C114" s="879" t="s">
        <v>12</v>
      </c>
      <c r="D114" s="879" t="s">
        <v>1491</v>
      </c>
      <c r="E114" s="871" t="s">
        <v>13</v>
      </c>
      <c r="F114" s="780">
        <v>5</v>
      </c>
      <c r="G114" s="946"/>
      <c r="H114" s="95"/>
      <c r="I114" s="1064"/>
      <c r="J114" s="622"/>
      <c r="K114" s="982"/>
      <c r="L114" s="622"/>
      <c r="M114" s="982"/>
      <c r="N114" s="613"/>
      <c r="O114" s="64"/>
      <c r="P114" s="613"/>
      <c r="Q114" s="64"/>
      <c r="R114" s="1028"/>
      <c r="U114" s="958"/>
    </row>
    <row r="115" spans="1:21" s="224" customFormat="1" ht="15" customHeight="1" x14ac:dyDescent="0.25">
      <c r="A115" s="215">
        <v>44829</v>
      </c>
      <c r="B115" s="364" t="s">
        <v>14</v>
      </c>
      <c r="C115" s="350" t="s">
        <v>12</v>
      </c>
      <c r="D115" s="350" t="s">
        <v>1486</v>
      </c>
      <c r="E115" s="875" t="s">
        <v>13</v>
      </c>
      <c r="F115" s="780">
        <v>7.94</v>
      </c>
      <c r="G115" s="946"/>
      <c r="H115" s="95"/>
      <c r="I115" s="1064"/>
      <c r="J115" s="622"/>
      <c r="K115" s="982"/>
      <c r="L115" s="622"/>
      <c r="M115" s="1033"/>
      <c r="N115" s="1110"/>
      <c r="O115" s="1208"/>
      <c r="P115" s="1110"/>
      <c r="Q115" s="1208"/>
      <c r="R115" s="1028"/>
      <c r="U115" s="958"/>
    </row>
    <row r="116" spans="1:21" s="224" customFormat="1" ht="15" customHeight="1" x14ac:dyDescent="0.25">
      <c r="A116" s="215">
        <v>44829</v>
      </c>
      <c r="B116" s="882" t="s">
        <v>2881</v>
      </c>
      <c r="C116" s="879" t="s">
        <v>12</v>
      </c>
      <c r="D116" s="879" t="s">
        <v>1493</v>
      </c>
      <c r="E116" s="871" t="s">
        <v>13</v>
      </c>
      <c r="F116" s="780">
        <v>20</v>
      </c>
      <c r="G116" s="946"/>
      <c r="H116" s="95"/>
      <c r="I116" s="1064"/>
      <c r="J116" s="622"/>
      <c r="K116" s="982"/>
      <c r="L116" s="622"/>
      <c r="M116" s="982"/>
      <c r="N116" s="622"/>
      <c r="O116" s="982"/>
      <c r="P116" s="622"/>
      <c r="Q116" s="982"/>
      <c r="R116" s="1028"/>
      <c r="U116" s="958"/>
    </row>
    <row r="117" spans="1:21" s="224" customFormat="1" ht="15" customHeight="1" x14ac:dyDescent="0.25">
      <c r="A117" s="215">
        <v>44830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18</v>
      </c>
      <c r="G117" s="946"/>
      <c r="H117" s="95"/>
      <c r="I117" s="1064"/>
      <c r="J117" s="622"/>
      <c r="K117" s="982"/>
      <c r="L117" s="622"/>
      <c r="M117" s="982"/>
      <c r="N117" s="622"/>
      <c r="O117" s="982"/>
      <c r="P117" s="622"/>
      <c r="Q117" s="982"/>
      <c r="R117" s="861"/>
    </row>
    <row r="118" spans="1:21" s="224" customFormat="1" ht="15" customHeight="1" x14ac:dyDescent="0.25">
      <c r="A118" s="215">
        <v>44830</v>
      </c>
      <c r="B118" s="882" t="s">
        <v>3476</v>
      </c>
      <c r="C118" s="879" t="s">
        <v>12</v>
      </c>
      <c r="D118" s="879" t="s">
        <v>1489</v>
      </c>
      <c r="E118" s="875" t="s">
        <v>13</v>
      </c>
      <c r="F118" s="780">
        <v>10</v>
      </c>
      <c r="G118" s="946"/>
      <c r="H118" s="95"/>
      <c r="I118" s="1064"/>
      <c r="J118" s="622"/>
      <c r="K118" s="982"/>
      <c r="L118" s="622"/>
      <c r="M118" s="982"/>
      <c r="N118" s="622"/>
      <c r="O118" s="982"/>
      <c r="P118" s="622"/>
      <c r="Q118" s="982"/>
      <c r="R118" s="861"/>
    </row>
    <row r="119" spans="1:21" s="224" customFormat="1" ht="15" customHeight="1" x14ac:dyDescent="0.25">
      <c r="A119" s="215">
        <v>44830</v>
      </c>
      <c r="B119" s="882" t="s">
        <v>3130</v>
      </c>
      <c r="C119" s="879" t="s">
        <v>12</v>
      </c>
      <c r="D119" s="879" t="s">
        <v>1506</v>
      </c>
      <c r="E119" s="875" t="s">
        <v>15</v>
      </c>
      <c r="F119" s="780">
        <v>30</v>
      </c>
      <c r="G119" s="946"/>
      <c r="H119" s="95"/>
      <c r="I119" s="1064"/>
      <c r="J119" s="622"/>
      <c r="K119" s="982"/>
      <c r="L119" s="622"/>
      <c r="M119" s="982"/>
      <c r="N119" s="622"/>
      <c r="O119" s="982"/>
      <c r="P119" s="622"/>
      <c r="Q119" s="982"/>
    </row>
    <row r="120" spans="1:21" s="224" customFormat="1" ht="15" customHeight="1" x14ac:dyDescent="0.25">
      <c r="A120" s="215">
        <v>44830</v>
      </c>
      <c r="B120" s="364" t="s">
        <v>478</v>
      </c>
      <c r="C120" s="350" t="s">
        <v>12</v>
      </c>
      <c r="D120" s="350" t="s">
        <v>1496</v>
      </c>
      <c r="E120" s="875" t="s">
        <v>13</v>
      </c>
      <c r="F120" s="780">
        <v>14.68</v>
      </c>
      <c r="G120" s="982"/>
      <c r="H120" s="622"/>
      <c r="I120" s="982"/>
      <c r="J120" s="622"/>
      <c r="K120" s="982"/>
      <c r="L120" s="622"/>
      <c r="M120" s="982"/>
      <c r="N120" s="622"/>
      <c r="O120" s="982"/>
      <c r="P120" s="622"/>
      <c r="Q120" s="982"/>
      <c r="R120" s="1028"/>
      <c r="S120" s="959"/>
      <c r="T120" s="878"/>
      <c r="U120" s="958"/>
    </row>
    <row r="121" spans="1:21" s="224" customFormat="1" ht="15" customHeight="1" x14ac:dyDescent="0.25">
      <c r="A121" s="215">
        <v>44831</v>
      </c>
      <c r="B121" s="882" t="s">
        <v>32</v>
      </c>
      <c r="C121" s="879" t="s">
        <v>12</v>
      </c>
      <c r="D121" s="879" t="s">
        <v>1485</v>
      </c>
      <c r="E121" s="875" t="s">
        <v>13</v>
      </c>
      <c r="F121" s="780">
        <v>18</v>
      </c>
      <c r="G121" s="946"/>
      <c r="H121" s="95"/>
      <c r="I121" s="1064"/>
      <c r="J121" s="622"/>
      <c r="K121" s="982"/>
      <c r="L121" s="622"/>
      <c r="M121" s="982"/>
      <c r="N121" s="622"/>
      <c r="O121" s="982"/>
      <c r="P121" s="622"/>
      <c r="Q121" s="982"/>
      <c r="R121" s="861"/>
    </row>
    <row r="122" spans="1:21" s="224" customFormat="1" ht="15" customHeight="1" x14ac:dyDescent="0.25">
      <c r="A122" s="215">
        <v>44831</v>
      </c>
      <c r="B122" s="364" t="s">
        <v>3477</v>
      </c>
      <c r="C122" s="350" t="s">
        <v>12</v>
      </c>
      <c r="D122" s="350" t="s">
        <v>1525</v>
      </c>
      <c r="E122" s="875" t="s">
        <v>13</v>
      </c>
      <c r="F122" s="780">
        <v>16</v>
      </c>
      <c r="G122" s="982"/>
      <c r="H122" s="1008"/>
      <c r="I122" s="1063"/>
      <c r="J122" s="622"/>
      <c r="K122" s="982"/>
      <c r="L122" s="622"/>
      <c r="M122" s="982"/>
      <c r="N122" s="622"/>
      <c r="O122" s="982"/>
      <c r="P122" s="622"/>
      <c r="Q122" s="982"/>
      <c r="R122" s="861"/>
      <c r="T122" s="1035"/>
    </row>
    <row r="123" spans="1:21" s="224" customFormat="1" ht="15" customHeight="1" x14ac:dyDescent="0.25">
      <c r="A123" s="215">
        <v>44831</v>
      </c>
      <c r="B123" s="882" t="s">
        <v>1331</v>
      </c>
      <c r="C123" s="879" t="s">
        <v>12</v>
      </c>
      <c r="D123" s="879" t="s">
        <v>2157</v>
      </c>
      <c r="E123" s="871" t="s">
        <v>15</v>
      </c>
      <c r="F123" s="780">
        <v>50</v>
      </c>
      <c r="G123" s="946"/>
      <c r="H123" s="95"/>
      <c r="I123" s="1064"/>
      <c r="J123" s="622"/>
      <c r="K123" s="982"/>
      <c r="L123" s="622"/>
      <c r="M123" s="982"/>
      <c r="N123" s="622"/>
      <c r="O123" s="982"/>
      <c r="P123" s="622"/>
      <c r="Q123" s="982"/>
      <c r="R123" s="1028"/>
      <c r="U123" s="958"/>
    </row>
    <row r="124" spans="1:21" s="224" customFormat="1" ht="15" customHeight="1" x14ac:dyDescent="0.25">
      <c r="A124" s="215">
        <v>44832</v>
      </c>
      <c r="B124" s="882" t="s">
        <v>32</v>
      </c>
      <c r="C124" s="879" t="s">
        <v>12</v>
      </c>
      <c r="D124" s="879" t="s">
        <v>1485</v>
      </c>
      <c r="E124" s="875" t="s">
        <v>13</v>
      </c>
      <c r="F124" s="780">
        <v>10.5</v>
      </c>
      <c r="G124" s="946"/>
      <c r="H124" s="95"/>
      <c r="I124" s="1064"/>
      <c r="J124" s="622"/>
      <c r="K124" s="982"/>
      <c r="L124" s="622"/>
      <c r="M124" s="982"/>
      <c r="N124" s="622"/>
      <c r="O124" s="982"/>
      <c r="P124" s="622"/>
      <c r="Q124" s="982"/>
      <c r="R124" s="861"/>
    </row>
    <row r="125" spans="1:21" s="224" customFormat="1" ht="15" customHeight="1" x14ac:dyDescent="0.25">
      <c r="A125" s="215">
        <v>44832</v>
      </c>
      <c r="B125" s="882" t="s">
        <v>81</v>
      </c>
      <c r="C125" s="879" t="s">
        <v>12</v>
      </c>
      <c r="D125" s="879" t="s">
        <v>1493</v>
      </c>
      <c r="E125" s="875" t="s">
        <v>13</v>
      </c>
      <c r="F125" s="780">
        <v>4.2</v>
      </c>
      <c r="G125" s="982"/>
      <c r="H125" s="622"/>
      <c r="I125" s="982"/>
      <c r="J125" s="622"/>
      <c r="K125" s="982"/>
      <c r="L125" s="622"/>
      <c r="M125" s="982"/>
      <c r="N125" s="622"/>
      <c r="O125" s="982"/>
      <c r="P125" s="622"/>
      <c r="Q125" s="982"/>
      <c r="R125" s="927"/>
      <c r="S125" s="927"/>
      <c r="T125" s="878"/>
    </row>
    <row r="126" spans="1:21" s="224" customFormat="1" ht="15" customHeight="1" x14ac:dyDescent="0.25">
      <c r="A126" s="215">
        <v>44832</v>
      </c>
      <c r="B126" s="364" t="s">
        <v>14</v>
      </c>
      <c r="C126" s="350" t="s">
        <v>12</v>
      </c>
      <c r="D126" s="350" t="s">
        <v>1486</v>
      </c>
      <c r="E126" s="875" t="s">
        <v>13</v>
      </c>
      <c r="F126" s="780">
        <v>8.5299999999999994</v>
      </c>
      <c r="G126" s="946"/>
      <c r="H126" s="95"/>
      <c r="I126" s="1064"/>
      <c r="J126" s="622"/>
      <c r="K126" s="982"/>
      <c r="L126" s="622"/>
      <c r="M126" s="982"/>
      <c r="N126" s="622"/>
      <c r="O126" s="982"/>
      <c r="P126" s="622"/>
      <c r="Q126" s="982"/>
      <c r="R126" s="861"/>
      <c r="T126" s="927"/>
      <c r="U126" s="999"/>
    </row>
    <row r="127" spans="1:21" s="224" customFormat="1" ht="15" customHeight="1" x14ac:dyDescent="0.25">
      <c r="A127" s="215">
        <v>44833</v>
      </c>
      <c r="B127" s="882" t="s">
        <v>32</v>
      </c>
      <c r="C127" s="879" t="s">
        <v>12</v>
      </c>
      <c r="D127" s="879" t="s">
        <v>1485</v>
      </c>
      <c r="E127" s="875" t="s">
        <v>13</v>
      </c>
      <c r="F127" s="780">
        <v>18</v>
      </c>
      <c r="G127" s="946"/>
      <c r="H127" s="95"/>
      <c r="I127" s="1064"/>
      <c r="J127" s="622"/>
      <c r="K127" s="982"/>
      <c r="L127" s="622"/>
      <c r="M127" s="982"/>
      <c r="N127" s="622"/>
      <c r="O127" s="982"/>
      <c r="P127" s="622"/>
      <c r="Q127" s="982"/>
      <c r="R127" s="861"/>
    </row>
    <row r="128" spans="1:21" s="224" customFormat="1" ht="15" customHeight="1" x14ac:dyDescent="0.25">
      <c r="A128" s="215">
        <v>44833</v>
      </c>
      <c r="B128" s="882" t="s">
        <v>81</v>
      </c>
      <c r="C128" s="879" t="s">
        <v>12</v>
      </c>
      <c r="D128" s="879" t="s">
        <v>1493</v>
      </c>
      <c r="E128" s="875" t="s">
        <v>13</v>
      </c>
      <c r="F128" s="780">
        <v>5.73</v>
      </c>
      <c r="G128" s="982"/>
      <c r="H128" s="1008"/>
      <c r="I128" s="1063"/>
      <c r="J128" s="622"/>
      <c r="K128" s="982"/>
      <c r="L128" s="622"/>
      <c r="M128" s="982"/>
      <c r="N128" s="880"/>
      <c r="O128" s="1033"/>
      <c r="P128" s="880"/>
      <c r="Q128" s="1033"/>
      <c r="R128" s="861"/>
      <c r="T128" s="1080"/>
      <c r="U128" s="999"/>
    </row>
    <row r="129" spans="1:26" s="224" customFormat="1" ht="15" customHeight="1" x14ac:dyDescent="0.25">
      <c r="A129" s="215">
        <v>44834</v>
      </c>
      <c r="B129" s="882" t="s">
        <v>3476</v>
      </c>
      <c r="C129" s="879" t="s">
        <v>12</v>
      </c>
      <c r="D129" s="879" t="s">
        <v>1489</v>
      </c>
      <c r="E129" s="875" t="s">
        <v>13</v>
      </c>
      <c r="F129" s="780">
        <v>20</v>
      </c>
      <c r="G129" s="946"/>
      <c r="H129" s="95"/>
      <c r="I129" s="1064"/>
      <c r="J129" s="622"/>
      <c r="K129" s="982"/>
      <c r="L129" s="622"/>
      <c r="M129" s="982"/>
      <c r="N129" s="622"/>
      <c r="O129" s="982"/>
      <c r="P129" s="622"/>
      <c r="Q129" s="982"/>
      <c r="R129" s="861"/>
    </row>
    <row r="130" spans="1:26" s="224" customFormat="1" ht="15" customHeight="1" x14ac:dyDescent="0.25">
      <c r="A130" s="215">
        <v>44834</v>
      </c>
      <c r="B130" s="882" t="s">
        <v>32</v>
      </c>
      <c r="C130" s="879" t="s">
        <v>12</v>
      </c>
      <c r="D130" s="879" t="s">
        <v>1485</v>
      </c>
      <c r="E130" s="875" t="s">
        <v>13</v>
      </c>
      <c r="F130" s="780">
        <v>18</v>
      </c>
      <c r="G130" s="982"/>
      <c r="H130" s="1008"/>
      <c r="I130" s="1063"/>
      <c r="J130" s="622"/>
      <c r="K130" s="982"/>
      <c r="L130" s="622"/>
      <c r="M130" s="982"/>
      <c r="N130" s="622"/>
      <c r="O130" s="982"/>
      <c r="P130" s="622"/>
      <c r="Q130" s="982"/>
      <c r="R130" s="1029"/>
      <c r="S130" s="89"/>
      <c r="T130" s="1081"/>
      <c r="U130" s="1082"/>
    </row>
    <row r="131" spans="1:26" s="224" customFormat="1" x14ac:dyDescent="0.25">
      <c r="A131" s="215">
        <v>44834</v>
      </c>
      <c r="B131" s="364" t="s">
        <v>2629</v>
      </c>
      <c r="C131" s="350" t="s">
        <v>12</v>
      </c>
      <c r="D131" s="350" t="s">
        <v>1489</v>
      </c>
      <c r="E131" s="875" t="s">
        <v>13</v>
      </c>
      <c r="F131" s="1047">
        <v>12.66</v>
      </c>
      <c r="G131" s="982"/>
      <c r="H131" s="1008"/>
      <c r="I131" s="1063"/>
      <c r="J131" s="622"/>
      <c r="K131" s="982"/>
      <c r="L131" s="622"/>
      <c r="M131" s="982"/>
      <c r="N131" s="622"/>
      <c r="O131" s="982"/>
      <c r="P131" s="622"/>
      <c r="Q131" s="982"/>
      <c r="R131" s="1029"/>
      <c r="S131" s="89"/>
      <c r="T131" s="930"/>
    </row>
    <row r="132" spans="1:26" s="224" customFormat="1" x14ac:dyDescent="0.25">
      <c r="A132" s="215">
        <v>44834</v>
      </c>
      <c r="B132" s="364" t="s">
        <v>14</v>
      </c>
      <c r="C132" s="350" t="s">
        <v>12</v>
      </c>
      <c r="D132" s="350" t="s">
        <v>1486</v>
      </c>
      <c r="E132" s="875" t="s">
        <v>13</v>
      </c>
      <c r="F132" s="1047">
        <v>12.64</v>
      </c>
      <c r="G132" s="982"/>
      <c r="H132" s="1008"/>
      <c r="I132" s="1063"/>
      <c r="J132" s="622"/>
      <c r="K132" s="982"/>
      <c r="L132" s="622"/>
      <c r="M132" s="982"/>
      <c r="N132" s="622"/>
      <c r="O132" s="982"/>
      <c r="P132" s="622"/>
      <c r="Q132" s="982"/>
      <c r="R132" s="1029"/>
      <c r="S132" s="89"/>
      <c r="T132" s="930"/>
    </row>
    <row r="133" spans="1:26" s="224" customFormat="1" ht="15.75" thickBot="1" x14ac:dyDescent="0.3">
      <c r="A133" s="215">
        <v>44834</v>
      </c>
      <c r="B133" s="862" t="s">
        <v>1666</v>
      </c>
      <c r="C133" s="350" t="s">
        <v>12</v>
      </c>
      <c r="D133" s="1003"/>
      <c r="E133" s="145" t="s">
        <v>25</v>
      </c>
      <c r="F133" s="1036"/>
      <c r="G133" s="1535"/>
      <c r="H133" s="1008"/>
      <c r="I133" s="1063"/>
      <c r="J133" s="622"/>
      <c r="K133" s="1538">
        <v>66.44</v>
      </c>
      <c r="L133" s="1036"/>
      <c r="M133" s="1535"/>
      <c r="N133" s="622"/>
      <c r="O133" s="982"/>
      <c r="P133" s="622"/>
      <c r="Q133" s="982"/>
      <c r="R133" s="475"/>
      <c r="T133" s="878"/>
    </row>
    <row r="134" spans="1:26" ht="25.5" customHeight="1" thickBot="1" x14ac:dyDescent="0.3">
      <c r="A134" s="3060"/>
      <c r="B134" s="3061"/>
      <c r="C134" s="3062"/>
      <c r="D134" s="3062"/>
      <c r="E134" s="3062"/>
      <c r="F134" s="1020">
        <f>SUM(F6:F133)</f>
        <v>4416.3849999999993</v>
      </c>
      <c r="G134" s="1534">
        <f>SUM(G5:G133)</f>
        <v>4745.7695833333546</v>
      </c>
      <c r="H134" s="517">
        <f>SUM(H6:H133)</f>
        <v>150</v>
      </c>
      <c r="I134" s="93">
        <f>SUM(I5:I133)</f>
        <v>999.99599999999919</v>
      </c>
      <c r="J134" s="1023">
        <f>SUM(J6:J133)</f>
        <v>0</v>
      </c>
      <c r="K134" s="93">
        <f>SUM(K5:K133)</f>
        <v>6823.170000000001</v>
      </c>
      <c r="L134" s="1023">
        <f>SUM(L6:L133)</f>
        <v>0</v>
      </c>
      <c r="M134" s="93">
        <f>SUM(M5:M133)</f>
        <v>12594.55</v>
      </c>
      <c r="N134" s="1211">
        <f>SUM(N6:N133)</f>
        <v>0</v>
      </c>
      <c r="O134" s="93">
        <f>SUM(O5:O133)</f>
        <v>10956.189999999999</v>
      </c>
      <c r="P134" s="1211">
        <f>SUM(P6:P133)</f>
        <v>0</v>
      </c>
      <c r="Q134" s="93">
        <f>SUM(Q5:Q133)</f>
        <v>40885.165984720006</v>
      </c>
      <c r="S134" s="216"/>
    </row>
    <row r="135" spans="1:26" ht="25.5" customHeight="1" thickBot="1" x14ac:dyDescent="0.3">
      <c r="A135" s="3117" t="s">
        <v>49</v>
      </c>
      <c r="B135" s="3118"/>
      <c r="C135" s="3118"/>
      <c r="D135" s="3118"/>
      <c r="E135" s="3118"/>
      <c r="F135" s="144" t="s">
        <v>280</v>
      </c>
      <c r="G135" s="519">
        <f>G134-F134</f>
        <v>329.38458333335529</v>
      </c>
      <c r="H135" s="555"/>
      <c r="I135" s="772">
        <f>I134-H134</f>
        <v>849.99599999999919</v>
      </c>
      <c r="J135" s="593"/>
      <c r="K135" s="772">
        <f>K134-J134</f>
        <v>6823.170000000001</v>
      </c>
      <c r="L135" s="593"/>
      <c r="M135" s="993">
        <f>M134-L134</f>
        <v>12594.55</v>
      </c>
      <c r="N135" s="593"/>
      <c r="O135" s="556">
        <f>O134-N134</f>
        <v>10956.189999999999</v>
      </c>
      <c r="P135" s="593"/>
      <c r="Q135" s="556">
        <f>Q134-P134</f>
        <v>40885.165984720006</v>
      </c>
    </row>
    <row r="136" spans="1:26" x14ac:dyDescent="0.25">
      <c r="M136" s="89"/>
      <c r="N136" s="1210"/>
      <c r="O136" s="1038"/>
      <c r="P136" s="1210"/>
      <c r="Q136" s="1038"/>
      <c r="R136" s="89"/>
      <c r="T136" s="79"/>
      <c r="W136" s="518"/>
      <c r="X136" s="216"/>
      <c r="Z136" s="877"/>
    </row>
    <row r="137" spans="1:26" x14ac:dyDescent="0.25">
      <c r="B137" s="81" t="s">
        <v>3</v>
      </c>
      <c r="C137" s="193" t="s">
        <v>1484</v>
      </c>
      <c r="D137" s="970" t="s">
        <v>2378</v>
      </c>
      <c r="E137" s="193" t="s">
        <v>3216</v>
      </c>
      <c r="F137" s="1061" t="s">
        <v>3217</v>
      </c>
      <c r="G137" s="216"/>
      <c r="K137" s="866"/>
      <c r="M137" s="866"/>
      <c r="N137" s="1210"/>
      <c r="O137" s="1038"/>
      <c r="P137" s="1210"/>
      <c r="Q137" s="1038"/>
    </row>
    <row r="138" spans="1:26" x14ac:dyDescent="0.25">
      <c r="B138" s="79" t="s">
        <v>32</v>
      </c>
      <c r="C138" s="85" t="s">
        <v>1485</v>
      </c>
      <c r="D138" s="475">
        <f>SUMIF($D$7:$D$133,"A",$F$7:$F$133)</f>
        <v>411.75</v>
      </c>
      <c r="E138" s="1202">
        <f t="shared" ref="E138" si="0">D138/$K$157</f>
        <v>13.725</v>
      </c>
      <c r="F138" s="1203">
        <f t="shared" ref="F138" si="1">E138/$E$158</f>
        <v>9.7554907953656969E-2</v>
      </c>
      <c r="G138" s="800"/>
      <c r="I138" s="769"/>
      <c r="J138" s="868"/>
      <c r="L138" s="868"/>
      <c r="N138" s="1210"/>
      <c r="O138" s="1038"/>
      <c r="P138" s="1210"/>
      <c r="Q138" s="1038"/>
      <c r="R138" s="1224"/>
      <c r="S138" s="1201"/>
      <c r="T138" s="1201"/>
      <c r="U138" s="1201"/>
      <c r="V138" s="877"/>
    </row>
    <row r="139" spans="1:26" x14ac:dyDescent="0.25">
      <c r="B139" s="79" t="s">
        <v>2187</v>
      </c>
      <c r="C139" s="85" t="s">
        <v>2157</v>
      </c>
      <c r="D139" s="475">
        <f>SUMIF($D$7:$D$133,"GAC",$F$7:$F$133)</f>
        <v>385</v>
      </c>
      <c r="E139" s="1202">
        <f t="shared" ref="E139:E155" si="2">D139/$K$157</f>
        <v>12.833333333333334</v>
      </c>
      <c r="F139" s="1203">
        <f t="shared" ref="F139:F155" si="3">E139/$E$158</f>
        <v>9.1217096690122498E-2</v>
      </c>
      <c r="G139" s="609"/>
      <c r="J139" s="754"/>
      <c r="K139" s="886"/>
      <c r="L139" s="754"/>
      <c r="M139" s="886"/>
      <c r="N139" s="1210"/>
      <c r="O139" s="1038"/>
      <c r="P139" s="1210"/>
      <c r="Q139" s="1038"/>
      <c r="R139" s="1225"/>
      <c r="S139" s="1129"/>
      <c r="T139" s="1129"/>
      <c r="U139" s="877"/>
      <c r="V139" s="877"/>
    </row>
    <row r="140" spans="1:26" x14ac:dyDescent="0.25">
      <c r="B140" s="79" t="s">
        <v>2188</v>
      </c>
      <c r="C140" s="85" t="s">
        <v>2168</v>
      </c>
      <c r="D140" s="475">
        <f>SUMIF($D$26:$D$133,"GAM",$F$26:$F$133)</f>
        <v>0</v>
      </c>
      <c r="E140" s="1202">
        <f t="shared" si="2"/>
        <v>0</v>
      </c>
      <c r="F140" s="1203">
        <f t="shared" si="3"/>
        <v>0</v>
      </c>
      <c r="J140" s="864"/>
      <c r="K140" s="864"/>
      <c r="L140" s="864"/>
      <c r="M140" s="864"/>
      <c r="N140" s="1210"/>
      <c r="O140" s="1038"/>
      <c r="P140" s="1210"/>
      <c r="Q140" s="1038"/>
      <c r="R140" s="1118"/>
      <c r="S140" s="1129"/>
      <c r="T140" s="1129"/>
      <c r="U140" s="877"/>
      <c r="V140" s="877"/>
    </row>
    <row r="141" spans="1:26" s="85" customFormat="1" x14ac:dyDescent="0.25">
      <c r="A141" s="79"/>
      <c r="B141" s="79" t="s">
        <v>50</v>
      </c>
      <c r="C141" s="85" t="s">
        <v>1493</v>
      </c>
      <c r="D141" s="475">
        <f>SUMIF($D$7:$D$133,"LD",$F$7:$F$133)</f>
        <v>250.78999999999996</v>
      </c>
      <c r="E141" s="1202">
        <f t="shared" si="2"/>
        <v>8.3596666666666657</v>
      </c>
      <c r="F141" s="1203">
        <f t="shared" si="3"/>
        <v>5.9419053711469653E-2</v>
      </c>
      <c r="J141" s="864"/>
      <c r="K141" s="1032"/>
      <c r="L141" s="864"/>
      <c r="M141" s="1032"/>
      <c r="N141" s="1210"/>
      <c r="O141" s="1038"/>
      <c r="P141" s="1210"/>
      <c r="Q141" s="1038"/>
      <c r="R141" s="1118"/>
      <c r="S141" s="1129"/>
      <c r="T141" s="1129"/>
      <c r="U141" s="877"/>
      <c r="V141" s="877"/>
    </row>
    <row r="142" spans="1:26" s="85" customFormat="1" x14ac:dyDescent="0.25">
      <c r="A142" s="79"/>
      <c r="B142" s="79" t="s">
        <v>14</v>
      </c>
      <c r="C142" s="85" t="s">
        <v>1486</v>
      </c>
      <c r="D142" s="475">
        <f>SUMIF($D$7:$D$133,"C",$F$7:$F$133)</f>
        <v>113.19</v>
      </c>
      <c r="E142" s="1202">
        <f t="shared" si="2"/>
        <v>3.7730000000000001</v>
      </c>
      <c r="F142" s="1203">
        <f t="shared" si="3"/>
        <v>2.6817826426896015E-2</v>
      </c>
      <c r="G142" s="79"/>
      <c r="H142" s="79"/>
      <c r="J142" s="864"/>
      <c r="K142" s="1032"/>
      <c r="L142" s="864"/>
      <c r="M142" s="1032"/>
      <c r="N142" s="1210"/>
      <c r="O142" s="1038"/>
      <c r="P142" s="1210"/>
      <c r="Q142" s="1038"/>
      <c r="R142" s="1118"/>
      <c r="S142" s="1129"/>
      <c r="T142" s="1129"/>
      <c r="U142" s="877"/>
      <c r="V142" s="877"/>
    </row>
    <row r="143" spans="1:26" s="85" customFormat="1" x14ac:dyDescent="0.25">
      <c r="A143" s="79"/>
      <c r="B143" s="79" t="s">
        <v>51</v>
      </c>
      <c r="C143" s="864" t="s">
        <v>1499</v>
      </c>
      <c r="D143" s="475">
        <f>SUMIF($D$27:$D$133,"CAL",$F$27:$F$133)</f>
        <v>63.97</v>
      </c>
      <c r="E143" s="1202">
        <f t="shared" si="2"/>
        <v>2.1323333333333334</v>
      </c>
      <c r="F143" s="1203">
        <f t="shared" si="3"/>
        <v>1.5156253701992561E-2</v>
      </c>
      <c r="G143" s="79"/>
      <c r="H143" s="79"/>
      <c r="I143" s="79"/>
      <c r="K143" s="795"/>
      <c r="M143" s="795"/>
      <c r="N143" s="1210"/>
      <c r="O143" s="1038"/>
      <c r="P143" s="1210"/>
      <c r="Q143" s="1038"/>
      <c r="R143" s="1118"/>
      <c r="S143" s="1129"/>
      <c r="T143" s="1129"/>
      <c r="U143" s="877"/>
      <c r="V143" s="877"/>
    </row>
    <row r="144" spans="1:26" s="85" customFormat="1" x14ac:dyDescent="0.25">
      <c r="A144" s="79"/>
      <c r="B144" s="79" t="s">
        <v>2189</v>
      </c>
      <c r="C144" s="864" t="s">
        <v>1496</v>
      </c>
      <c r="D144" s="475">
        <f>SUMIF($D$7:$D$133,"AC",$F$7:$F$133)</f>
        <v>156.55000000000001</v>
      </c>
      <c r="E144" s="1202">
        <f t="shared" si="2"/>
        <v>5.2183333333333337</v>
      </c>
      <c r="F144" s="1203">
        <f t="shared" si="3"/>
        <v>3.7091003861918645E-2</v>
      </c>
      <c r="G144" s="79"/>
      <c r="K144" s="177"/>
      <c r="M144" s="177"/>
      <c r="N144" s="1210"/>
      <c r="O144" s="1038"/>
      <c r="P144" s="1210"/>
      <c r="Q144" s="1038"/>
      <c r="R144" s="1118"/>
      <c r="S144" s="1129"/>
      <c r="T144" s="1129"/>
      <c r="U144" s="877"/>
      <c r="V144" s="877"/>
    </row>
    <row r="145" spans="1:24" s="85" customFormat="1" x14ac:dyDescent="0.25">
      <c r="A145" s="79"/>
      <c r="B145" s="867" t="s">
        <v>53</v>
      </c>
      <c r="C145" s="864" t="s">
        <v>1522</v>
      </c>
      <c r="D145" s="475">
        <f>SUMIF($D$7:$D$133,"DC",$F$7:$F$133)</f>
        <v>166.03</v>
      </c>
      <c r="E145" s="1202">
        <f t="shared" si="2"/>
        <v>5.5343333333333335</v>
      </c>
      <c r="F145" s="1203">
        <f t="shared" si="3"/>
        <v>3.9337076788210489E-2</v>
      </c>
      <c r="K145" s="177"/>
      <c r="M145" s="177"/>
      <c r="N145" s="1210"/>
      <c r="O145" s="1038"/>
      <c r="P145" s="1210"/>
      <c r="Q145" s="1038"/>
      <c r="R145" s="1226"/>
      <c r="S145" s="1129"/>
      <c r="T145" s="1129"/>
      <c r="U145" s="877"/>
      <c r="V145" s="877"/>
    </row>
    <row r="146" spans="1:24" s="85" customFormat="1" x14ac:dyDescent="0.25">
      <c r="A146" s="79"/>
      <c r="B146" s="867" t="s">
        <v>2149</v>
      </c>
      <c r="C146" s="864" t="s">
        <v>2131</v>
      </c>
      <c r="D146" s="475">
        <f>SUMIF($D$6:$D$133,"DM",$F$6:$F$133)</f>
        <v>0</v>
      </c>
      <c r="E146" s="1202">
        <f t="shared" si="2"/>
        <v>0</v>
      </c>
      <c r="F146" s="1203">
        <f t="shared" si="3"/>
        <v>0</v>
      </c>
      <c r="K146" s="177" t="s">
        <v>280</v>
      </c>
      <c r="M146" s="177" t="s">
        <v>280</v>
      </c>
      <c r="N146" s="1210"/>
      <c r="O146" s="1038"/>
      <c r="P146" s="1210"/>
      <c r="Q146" s="1038"/>
      <c r="R146" s="1226"/>
      <c r="S146" s="1129"/>
      <c r="T146" s="1129"/>
      <c r="U146" s="877"/>
      <c r="V146" s="877"/>
    </row>
    <row r="147" spans="1:24" s="85" customFormat="1" x14ac:dyDescent="0.25">
      <c r="A147" s="79"/>
      <c r="B147" s="79" t="s">
        <v>3048</v>
      </c>
      <c r="C147" s="864" t="s">
        <v>1523</v>
      </c>
      <c r="D147" s="475">
        <f ca="1">SUMIF($D$26:$D$134,"B",$F$26:$F$133)</f>
        <v>20</v>
      </c>
      <c r="E147" s="1202">
        <f t="shared" ca="1" si="2"/>
        <v>0.66666666666666663</v>
      </c>
      <c r="F147" s="1203">
        <f t="shared" ca="1" si="3"/>
        <v>4.7385504774089607E-3</v>
      </c>
      <c r="G147" s="866"/>
      <c r="K147" s="177"/>
      <c r="M147" s="177"/>
      <c r="N147" s="1210"/>
      <c r="O147" s="1038"/>
      <c r="P147" s="1210"/>
      <c r="Q147" s="1038"/>
      <c r="R147" s="1223"/>
      <c r="S147" s="1223"/>
      <c r="T147" s="1129"/>
      <c r="U147" s="877"/>
      <c r="V147" s="877"/>
    </row>
    <row r="148" spans="1:24" s="85" customFormat="1" x14ac:dyDescent="0.25">
      <c r="A148" s="79"/>
      <c r="B148" s="79" t="s">
        <v>1686</v>
      </c>
      <c r="C148" s="864" t="s">
        <v>1506</v>
      </c>
      <c r="D148" s="475">
        <f>SUMIF($D$11:$D$133,"R",$F$11:$F$133)</f>
        <v>236.33499999999998</v>
      </c>
      <c r="E148" s="1202">
        <f t="shared" si="2"/>
        <v>7.8778333333333324</v>
      </c>
      <c r="F148" s="1203">
        <f t="shared" si="3"/>
        <v>5.599426635392233E-2</v>
      </c>
      <c r="G148" s="868"/>
      <c r="K148" s="866"/>
      <c r="M148" s="866"/>
      <c r="N148" s="1210"/>
      <c r="O148" s="1038"/>
      <c r="P148" s="1210"/>
      <c r="Q148" s="1038"/>
      <c r="R148" s="1226"/>
      <c r="S148" s="1129"/>
      <c r="T148" s="1129"/>
      <c r="U148" s="877"/>
      <c r="V148" s="877"/>
    </row>
    <row r="149" spans="1:24" x14ac:dyDescent="0.25">
      <c r="B149" s="79" t="s">
        <v>418</v>
      </c>
      <c r="C149" s="85" t="s">
        <v>1524</v>
      </c>
      <c r="D149" s="475">
        <f>SUMIF($D$7:$D$133,"COM",$F$7:$F$133)</f>
        <v>32.599999999999994</v>
      </c>
      <c r="E149" s="1202">
        <f t="shared" si="2"/>
        <v>1.0866666666666664</v>
      </c>
      <c r="F149" s="1203">
        <f t="shared" si="3"/>
        <v>7.723837278176604E-3</v>
      </c>
      <c r="G149" s="85"/>
      <c r="H149" s="85"/>
      <c r="I149" s="85"/>
      <c r="J149" s="769"/>
      <c r="K149" s="216"/>
      <c r="L149" s="769"/>
      <c r="M149" s="216"/>
      <c r="N149" s="1210"/>
      <c r="O149" s="1038"/>
      <c r="P149" s="1210"/>
      <c r="Q149" s="1038"/>
      <c r="R149" s="1226"/>
      <c r="S149" s="1129"/>
      <c r="T149" s="1129"/>
      <c r="U149" s="877"/>
      <c r="V149" s="877"/>
    </row>
    <row r="150" spans="1:24" x14ac:dyDescent="0.25">
      <c r="B150" s="79" t="s">
        <v>419</v>
      </c>
      <c r="C150" s="85" t="s">
        <v>1491</v>
      </c>
      <c r="D150" s="475">
        <f>SUMIF($D$27:$D$133,"F",$F$27:$F$133)</f>
        <v>1313.5</v>
      </c>
      <c r="E150" s="1202">
        <f t="shared" si="2"/>
        <v>43.783333333333331</v>
      </c>
      <c r="F150" s="1203">
        <f t="shared" si="3"/>
        <v>0.31120430260383347</v>
      </c>
      <c r="I150" s="85"/>
      <c r="K150" s="216"/>
      <c r="M150" s="216"/>
      <c r="N150" s="1210"/>
      <c r="O150" s="1038"/>
      <c r="P150" s="1210"/>
      <c r="Q150" s="1038"/>
      <c r="R150" s="1226"/>
      <c r="S150" s="1129"/>
      <c r="T150" s="1129"/>
      <c r="U150" s="877"/>
      <c r="V150" s="877"/>
    </row>
    <row r="151" spans="1:24" x14ac:dyDescent="0.25">
      <c r="B151" s="79" t="s">
        <v>911</v>
      </c>
      <c r="C151" s="85" t="s">
        <v>1525</v>
      </c>
      <c r="D151" s="475">
        <f>SUMIF($D$11:$D$133,"FER",$F$11:$F$133)</f>
        <v>103</v>
      </c>
      <c r="E151" s="1202">
        <f t="shared" si="2"/>
        <v>3.4333333333333331</v>
      </c>
      <c r="F151" s="1203">
        <f t="shared" si="3"/>
        <v>2.4403534958656145E-2</v>
      </c>
      <c r="J151" s="769"/>
      <c r="K151" s="868"/>
      <c r="L151" s="769"/>
      <c r="M151" s="868"/>
      <c r="N151" s="1210"/>
      <c r="O151" s="1038"/>
      <c r="P151" s="1210"/>
      <c r="Q151" s="1038"/>
      <c r="R151" s="1226"/>
      <c r="S151" s="1129"/>
      <c r="T151" s="1129"/>
      <c r="U151" s="877"/>
      <c r="V151" s="877"/>
    </row>
    <row r="152" spans="1:24" x14ac:dyDescent="0.25">
      <c r="B152" s="79" t="s">
        <v>1526</v>
      </c>
      <c r="C152" s="85" t="s">
        <v>1504</v>
      </c>
      <c r="D152" s="475">
        <f>SUMIF($D$27:$D$133,"I",$F$27:$F$133)</f>
        <v>144.4</v>
      </c>
      <c r="E152" s="1202">
        <f t="shared" si="2"/>
        <v>4.8133333333333335</v>
      </c>
      <c r="F152" s="1203">
        <f t="shared" si="3"/>
        <v>3.42123344468927E-2</v>
      </c>
      <c r="J152" s="769"/>
      <c r="K152" s="868"/>
      <c r="L152" s="769"/>
      <c r="M152" s="868"/>
      <c r="N152" s="1210"/>
      <c r="O152" s="1038"/>
      <c r="P152" s="1210"/>
      <c r="Q152" s="1038"/>
      <c r="R152" s="1226"/>
      <c r="S152" s="1129"/>
      <c r="T152" s="1129"/>
      <c r="U152" s="877"/>
      <c r="V152" s="877"/>
    </row>
    <row r="153" spans="1:24" x14ac:dyDescent="0.25">
      <c r="B153" s="79" t="s">
        <v>2343</v>
      </c>
      <c r="C153" s="85" t="s">
        <v>2315</v>
      </c>
      <c r="D153" s="475">
        <f>SUMIF($D$26:$D$133,"E",$F$26:$F$133)</f>
        <v>0</v>
      </c>
      <c r="E153" s="1202">
        <f t="shared" si="2"/>
        <v>0</v>
      </c>
      <c r="F153" s="1203">
        <f t="shared" si="3"/>
        <v>0</v>
      </c>
      <c r="J153" s="769"/>
      <c r="K153" s="868"/>
      <c r="L153" s="769"/>
      <c r="M153" s="868"/>
      <c r="N153" s="1210"/>
      <c r="O153" s="1038"/>
      <c r="P153" s="1210"/>
      <c r="Q153" s="1038"/>
      <c r="R153" s="1226"/>
      <c r="S153" s="1129"/>
      <c r="T153" s="1129"/>
      <c r="U153" s="877"/>
      <c r="V153" s="877"/>
    </row>
    <row r="154" spans="1:24" x14ac:dyDescent="0.25">
      <c r="B154" s="79" t="s">
        <v>3019</v>
      </c>
      <c r="C154" s="85" t="s">
        <v>3017</v>
      </c>
      <c r="D154" s="475">
        <f>SUMIF($D$6:$D$133,"IM",$F$6:$F$133)</f>
        <v>657.43</v>
      </c>
      <c r="E154" s="1202">
        <f t="shared" si="2"/>
        <v>21.914333333333332</v>
      </c>
      <c r="F154" s="1203">
        <f t="shared" si="3"/>
        <v>0.15576326201814863</v>
      </c>
      <c r="J154" s="769"/>
      <c r="L154" s="769"/>
      <c r="N154" s="941"/>
      <c r="O154" s="224"/>
      <c r="P154" s="941"/>
      <c r="Q154" s="224"/>
      <c r="R154" s="1226"/>
      <c r="S154" s="1129"/>
      <c r="T154" s="1129"/>
      <c r="U154" s="877"/>
      <c r="V154" s="877"/>
    </row>
    <row r="155" spans="1:24" x14ac:dyDescent="0.25">
      <c r="B155" s="79" t="s">
        <v>1527</v>
      </c>
      <c r="C155" s="85" t="s">
        <v>1489</v>
      </c>
      <c r="D155" s="475">
        <f>SUMIF($D$7:$D$133,"OD",$F$7:$F$133)</f>
        <v>361.84000000000003</v>
      </c>
      <c r="E155" s="1202">
        <f t="shared" si="2"/>
        <v>12.061333333333334</v>
      </c>
      <c r="F155" s="1203">
        <f t="shared" si="3"/>
        <v>8.5729855237282923E-2</v>
      </c>
      <c r="N155" s="1210"/>
      <c r="O155" s="1038"/>
      <c r="P155" s="1210"/>
      <c r="Q155" s="1038"/>
      <c r="R155" s="1226"/>
      <c r="S155" s="1129"/>
      <c r="T155" s="1129"/>
      <c r="U155" s="877"/>
      <c r="V155" s="877"/>
    </row>
    <row r="156" spans="1:24" x14ac:dyDescent="0.25">
      <c r="C156" s="79"/>
      <c r="D156" s="629"/>
      <c r="E156" s="79"/>
      <c r="F156" s="79"/>
      <c r="N156" s="1210"/>
      <c r="O156" s="1038"/>
      <c r="P156" s="1210"/>
      <c r="Q156" s="1038"/>
      <c r="R156" s="1227"/>
      <c r="S156" s="1129"/>
      <c r="T156" s="1129"/>
      <c r="U156" s="877"/>
      <c r="V156" s="877"/>
    </row>
    <row r="157" spans="1:24" x14ac:dyDescent="0.25">
      <c r="C157" s="3168" t="s">
        <v>486</v>
      </c>
      <c r="D157" s="3168"/>
      <c r="E157" s="863">
        <f ca="1">I157/K157</f>
        <v>147.21283333333335</v>
      </c>
      <c r="G157" s="518" t="s">
        <v>487</v>
      </c>
      <c r="I157" s="629">
        <f ca="1">SUM(D138:D155)</f>
        <v>4416.3850000000002</v>
      </c>
      <c r="J157" s="216"/>
      <c r="K157" s="1517">
        <v>30</v>
      </c>
      <c r="L157"/>
      <c r="N157" s="1210"/>
      <c r="O157" s="1038"/>
      <c r="P157" s="1210"/>
      <c r="Q157" s="1038"/>
      <c r="R157" s="1226"/>
      <c r="S157" s="1129"/>
      <c r="T157" s="1129"/>
      <c r="U157" s="877"/>
      <c r="V157" s="877"/>
    </row>
    <row r="158" spans="1:24" ht="15.75" customHeight="1" x14ac:dyDescent="0.25">
      <c r="B158" s="3167" t="s">
        <v>3377</v>
      </c>
      <c r="C158" s="3167"/>
      <c r="D158" s="3167"/>
      <c r="E158" s="1125">
        <v>140.69</v>
      </c>
      <c r="H158" s="85"/>
      <c r="K158" s="868"/>
      <c r="M158" s="868"/>
      <c r="N158" s="1210"/>
      <c r="O158" s="1038"/>
      <c r="P158" s="1210"/>
      <c r="Q158" s="1038"/>
      <c r="R158" s="1226"/>
      <c r="S158" s="1129"/>
      <c r="T158" s="1129"/>
      <c r="U158" s="877"/>
      <c r="V158" s="877"/>
    </row>
    <row r="159" spans="1:24" ht="0.75" customHeight="1" x14ac:dyDescent="0.25">
      <c r="E159" s="79"/>
      <c r="F159" s="79"/>
      <c r="G159" s="85"/>
      <c r="H159" s="459"/>
      <c r="I159" s="85"/>
      <c r="J159" s="89"/>
      <c r="L159" s="89"/>
      <c r="N159" s="1210"/>
      <c r="O159" s="1038"/>
      <c r="P159" s="1210"/>
      <c r="Q159" s="1038"/>
      <c r="R159" s="769"/>
      <c r="S159" s="484"/>
      <c r="T159" s="216"/>
      <c r="U159" s="866"/>
      <c r="V159" s="484"/>
      <c r="X159" s="877"/>
    </row>
    <row r="160" spans="1:24" s="518" customFormat="1" x14ac:dyDescent="0.25">
      <c r="A160" s="79"/>
      <c r="B160" s="79"/>
      <c r="E160" s="1126">
        <f ca="1">E158-E157</f>
        <v>-6.5228333333333524</v>
      </c>
      <c r="F160" s="1205">
        <f ca="1">SUM(F138:F159)</f>
        <v>1.0463631625085885</v>
      </c>
      <c r="G160" s="85"/>
      <c r="H160" s="85"/>
      <c r="I160" s="89"/>
      <c r="J160" s="79"/>
      <c r="K160" s="79"/>
      <c r="L160" s="79"/>
      <c r="M160" s="79"/>
      <c r="N160" s="1210"/>
      <c r="O160" s="1038"/>
      <c r="P160" s="1210"/>
      <c r="Q160" s="1038"/>
      <c r="R160" s="79"/>
      <c r="S160" s="79"/>
      <c r="T160" s="866"/>
      <c r="U160" s="484"/>
      <c r="V160" s="79"/>
      <c r="W160" s="877"/>
      <c r="X160" s="79"/>
    </row>
    <row r="161" spans="1:21" s="518" customFormat="1" x14ac:dyDescent="0.25">
      <c r="A161" s="79"/>
      <c r="B161" s="79"/>
      <c r="C161" s="85"/>
      <c r="D161" s="85"/>
      <c r="E161" s="85"/>
      <c r="G161" s="79"/>
      <c r="H161" s="79"/>
      <c r="I161" s="79"/>
      <c r="J161" s="769"/>
      <c r="K161" s="866"/>
      <c r="L161" s="769"/>
      <c r="M161" s="866"/>
      <c r="N161" s="1210"/>
      <c r="O161" s="1038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216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K164" s="866"/>
      <c r="M164" s="866"/>
      <c r="N164" s="1210"/>
      <c r="O164" s="1038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1210"/>
      <c r="O165" s="1038"/>
      <c r="P165" s="1210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216"/>
      <c r="H166" s="79"/>
      <c r="I166" s="216"/>
      <c r="J166" s="769"/>
      <c r="K166" s="868"/>
      <c r="L166" s="769"/>
      <c r="M166" s="868"/>
      <c r="N166" s="1210"/>
      <c r="O166" s="1038"/>
      <c r="P166" s="1210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216"/>
      <c r="H167" s="79"/>
      <c r="I167" s="216"/>
      <c r="J167" s="769"/>
      <c r="K167" s="866"/>
      <c r="L167" s="769"/>
      <c r="M167" s="866"/>
      <c r="N167" s="1210"/>
      <c r="O167" s="1038"/>
      <c r="P167" s="1210"/>
      <c r="Q167" s="1038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79"/>
      <c r="J168" s="770"/>
      <c r="K168" s="866"/>
      <c r="L168" s="770"/>
      <c r="M168" s="866"/>
      <c r="N168" s="1210"/>
      <c r="O168" s="1038"/>
      <c r="P168" s="1210"/>
      <c r="Q168" s="1038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1210"/>
      <c r="O169" s="1038"/>
      <c r="P169" s="1210"/>
      <c r="Q169" s="103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1210"/>
      <c r="O170" s="1038"/>
      <c r="P170" s="1210"/>
      <c r="Q170" s="1038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629"/>
      <c r="J171" s="769"/>
      <c r="K171" s="866"/>
      <c r="L171" s="769"/>
      <c r="M171" s="866"/>
      <c r="N171" s="1210"/>
      <c r="O171" s="1038"/>
      <c r="P171" s="1210"/>
      <c r="Q171" s="1038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1210"/>
      <c r="O172" s="1038"/>
      <c r="P172" s="1210"/>
      <c r="Q172" s="1038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1210"/>
      <c r="O173" s="1038"/>
      <c r="P173" s="1210"/>
      <c r="Q173" s="103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1210"/>
      <c r="O174" s="1038"/>
      <c r="P174" s="1210"/>
      <c r="Q174" s="1038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1210"/>
      <c r="O175" s="1038"/>
      <c r="P175" s="1210"/>
      <c r="Q175" s="1038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1210"/>
      <c r="O176" s="1038"/>
      <c r="P176" s="1210"/>
      <c r="Q176" s="1038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769"/>
      <c r="M177" s="866"/>
      <c r="N177" s="1210"/>
      <c r="O177" s="1038"/>
      <c r="P177" s="1210"/>
      <c r="Q177" s="1038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769"/>
      <c r="M178" s="866"/>
      <c r="N178" s="1210"/>
      <c r="O178" s="1038"/>
      <c r="P178" s="1210"/>
      <c r="Q178" s="1038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769"/>
      <c r="M179" s="86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769"/>
      <c r="M180" s="86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769"/>
      <c r="M181" s="868"/>
      <c r="N181" s="79"/>
      <c r="O181" s="79"/>
      <c r="P181" s="79"/>
      <c r="Q181" s="79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769"/>
      <c r="M182" s="868"/>
      <c r="N182" s="81"/>
      <c r="O182" s="755"/>
      <c r="P182" s="81"/>
      <c r="Q182" s="755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769"/>
      <c r="M183" s="868"/>
      <c r="N183" s="868"/>
      <c r="O183" s="79"/>
      <c r="P183" s="868"/>
      <c r="Q183" s="79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769"/>
      <c r="M184" s="868"/>
      <c r="N184" s="754"/>
      <c r="O184" s="886"/>
      <c r="P184" s="754"/>
      <c r="Q184" s="88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769"/>
      <c r="M185" s="868"/>
      <c r="N185" s="864"/>
      <c r="O185" s="864"/>
      <c r="P185" s="864"/>
      <c r="Q185" s="864"/>
      <c r="R185" s="484"/>
      <c r="S185" s="79"/>
      <c r="T185" s="877"/>
      <c r="U185" s="79"/>
    </row>
    <row r="186" spans="1:21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769"/>
      <c r="M186" s="866"/>
      <c r="N186" s="864"/>
      <c r="O186" s="1032"/>
      <c r="P186" s="864"/>
      <c r="Q186" s="1032"/>
      <c r="R186" s="484"/>
      <c r="S186" s="79"/>
      <c r="T186" s="877"/>
      <c r="U186" s="79"/>
    </row>
    <row r="187" spans="1:21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769"/>
      <c r="M187" s="866"/>
      <c r="N187" s="864"/>
      <c r="O187" s="1032"/>
      <c r="P187" s="864"/>
      <c r="Q187" s="1032"/>
      <c r="R187" s="484"/>
      <c r="S187" s="79"/>
      <c r="T187" s="877"/>
      <c r="U187" s="79"/>
    </row>
    <row r="188" spans="1:21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8"/>
      <c r="L188" s="769"/>
      <c r="M188" s="868"/>
      <c r="N188" s="85"/>
      <c r="O188" s="795"/>
      <c r="P188" s="85"/>
      <c r="Q188" s="795"/>
      <c r="R188" s="484"/>
      <c r="S188" s="79"/>
      <c r="T188" s="877"/>
      <c r="U188" s="79"/>
    </row>
    <row r="189" spans="1:21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6"/>
      <c r="L189" s="769"/>
      <c r="M189" s="866"/>
      <c r="N189" s="85"/>
      <c r="O189" s="177"/>
      <c r="P189" s="85"/>
      <c r="Q189" s="177"/>
      <c r="R189" s="484"/>
      <c r="S189" s="79"/>
      <c r="T189" s="877"/>
      <c r="U189" s="79"/>
    </row>
    <row r="190" spans="1:21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769"/>
      <c r="M190" s="866"/>
      <c r="N190" s="85"/>
      <c r="O190" s="177"/>
      <c r="P190" s="85"/>
      <c r="Q190" s="177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769"/>
      <c r="M191" s="868"/>
      <c r="N191" s="85"/>
      <c r="O191" s="177" t="s">
        <v>280</v>
      </c>
      <c r="P191" s="85"/>
      <c r="Q191" s="177" t="s">
        <v>280</v>
      </c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769"/>
      <c r="M192" s="868"/>
      <c r="N192" s="85"/>
      <c r="O192" s="177"/>
      <c r="P192" s="85"/>
      <c r="Q192" s="177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769"/>
      <c r="M193" s="868"/>
      <c r="N193" s="85"/>
      <c r="O193" s="866"/>
      <c r="P193" s="85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769"/>
      <c r="M194" s="868"/>
      <c r="N194" s="769"/>
      <c r="O194" s="216"/>
      <c r="P194" s="769"/>
      <c r="Q194" s="21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6"/>
      <c r="L195" s="769"/>
      <c r="M195" s="866"/>
      <c r="N195" s="79"/>
      <c r="O195" s="216"/>
      <c r="P195" s="79"/>
      <c r="Q195" s="21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223"/>
      <c r="K196" s="629"/>
      <c r="L196" s="223"/>
      <c r="M196" s="629"/>
      <c r="N196" s="769"/>
      <c r="O196" s="868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56"/>
      <c r="K197" s="756"/>
      <c r="L197" s="756"/>
      <c r="M197" s="756"/>
      <c r="N197" s="769"/>
      <c r="O197" s="868"/>
      <c r="P197" s="769"/>
      <c r="Q197" s="86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69"/>
      <c r="O198" s="868"/>
      <c r="P198" s="769"/>
      <c r="Q198" s="86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79"/>
      <c r="P199" s="769"/>
      <c r="Q199" s="79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85"/>
      <c r="K202" s="85"/>
      <c r="L202" s="85"/>
      <c r="M202" s="85"/>
      <c r="N202" s="1517"/>
      <c r="O202" s="79"/>
      <c r="P202" s="1517"/>
      <c r="Q202" s="79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868"/>
      <c r="P203" s="79"/>
      <c r="Q203" s="86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89"/>
      <c r="O204" s="79"/>
      <c r="P204" s="89"/>
      <c r="Q204" s="79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69"/>
      <c r="O206" s="866"/>
      <c r="P206" s="769"/>
      <c r="Q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69"/>
      <c r="O207" s="866"/>
      <c r="P207" s="769"/>
      <c r="Q207" s="866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69"/>
      <c r="O208" s="866"/>
      <c r="P208" s="769"/>
      <c r="Q208" s="866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85"/>
      <c r="K209" s="85"/>
      <c r="L209" s="85"/>
      <c r="M209" s="85"/>
      <c r="O209" s="866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69"/>
      <c r="O210" s="86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69"/>
      <c r="O211" s="868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69"/>
      <c r="O212" s="866"/>
      <c r="P212" s="769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70"/>
      <c r="O213" s="866"/>
      <c r="P213" s="770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69"/>
      <c r="O214" s="868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69"/>
      <c r="O215" s="866"/>
      <c r="P215" s="769"/>
      <c r="Q215" s="86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71"/>
      <c r="L216" s="771"/>
      <c r="N216" s="769"/>
      <c r="O216" s="866"/>
      <c r="P216" s="769"/>
      <c r="Q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69"/>
      <c r="O217" s="866"/>
      <c r="P217" s="769"/>
      <c r="Q217" s="866"/>
      <c r="R217" s="484"/>
      <c r="S217" s="79"/>
      <c r="T217" s="877"/>
      <c r="U217" s="79"/>
    </row>
    <row r="218" spans="1:21" x14ac:dyDescent="0.25">
      <c r="N218" s="769"/>
      <c r="O218" s="866"/>
      <c r="P218" s="769"/>
      <c r="Q218" s="866"/>
    </row>
    <row r="219" spans="1:21" x14ac:dyDescent="0.25">
      <c r="N219" s="769"/>
      <c r="O219" s="866"/>
      <c r="P219" s="769"/>
      <c r="Q219" s="866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6"/>
      <c r="P221" s="769"/>
      <c r="Q221" s="866"/>
    </row>
    <row r="222" spans="1:21" x14ac:dyDescent="0.25">
      <c r="N222" s="769"/>
      <c r="O222" s="866"/>
      <c r="P222" s="769"/>
      <c r="Q222" s="866"/>
    </row>
    <row r="223" spans="1:21" x14ac:dyDescent="0.25">
      <c r="N223" s="769"/>
      <c r="O223" s="866"/>
      <c r="P223" s="769"/>
      <c r="Q223" s="866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69"/>
      <c r="O224" s="866"/>
      <c r="P224" s="769"/>
      <c r="Q224" s="866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69"/>
      <c r="O226" s="868"/>
      <c r="P226" s="769"/>
      <c r="Q226" s="86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69"/>
      <c r="O227" s="868"/>
      <c r="P227" s="769"/>
      <c r="Q227" s="868"/>
      <c r="R227" s="484"/>
      <c r="S227" s="79"/>
      <c r="T227" s="877"/>
      <c r="U227" s="79"/>
    </row>
    <row r="228" spans="1:21" x14ac:dyDescent="0.25">
      <c r="N228" s="769"/>
      <c r="O228" s="868"/>
      <c r="P228" s="769"/>
      <c r="Q228" s="868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69"/>
      <c r="O229" s="868"/>
      <c r="P229" s="769"/>
      <c r="Q229" s="868"/>
      <c r="R229" s="484"/>
      <c r="S229" s="79"/>
      <c r="T229" s="877"/>
      <c r="U229" s="79"/>
    </row>
    <row r="230" spans="1:21" x14ac:dyDescent="0.25">
      <c r="N230" s="769"/>
      <c r="O230" s="868"/>
      <c r="P230" s="769"/>
      <c r="Q230" s="868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629"/>
      <c r="L231" s="79"/>
      <c r="M231" s="629"/>
      <c r="N231" s="769"/>
      <c r="O231" s="866"/>
      <c r="P231" s="769"/>
      <c r="Q231" s="866"/>
      <c r="R231" s="484"/>
      <c r="S231" s="79"/>
      <c r="T231" s="877"/>
      <c r="U231" s="79"/>
    </row>
    <row r="232" spans="1:21" x14ac:dyDescent="0.25">
      <c r="N232" s="769"/>
      <c r="O232" s="866"/>
      <c r="P232" s="769"/>
      <c r="Q232" s="866"/>
    </row>
    <row r="233" spans="1:21" x14ac:dyDescent="0.25">
      <c r="N233" s="769"/>
      <c r="O233" s="868"/>
      <c r="P233" s="769"/>
      <c r="Q233" s="868"/>
    </row>
    <row r="234" spans="1:21" x14ac:dyDescent="0.25">
      <c r="N234" s="769"/>
      <c r="O234" s="866"/>
      <c r="P234" s="769"/>
      <c r="Q234" s="866"/>
    </row>
    <row r="235" spans="1:21" x14ac:dyDescent="0.25">
      <c r="N235" s="769"/>
      <c r="O235" s="866"/>
      <c r="P235" s="769"/>
      <c r="Q235" s="866"/>
    </row>
    <row r="236" spans="1:21" x14ac:dyDescent="0.25">
      <c r="N236" s="769"/>
      <c r="O236" s="868"/>
      <c r="P236" s="769"/>
      <c r="Q236" s="868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69"/>
      <c r="O237" s="868"/>
      <c r="P237" s="769"/>
      <c r="Q237" s="868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69"/>
      <c r="O238" s="868"/>
      <c r="P238" s="769"/>
      <c r="Q238" s="868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69"/>
      <c r="O239" s="868"/>
      <c r="P239" s="76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769"/>
      <c r="O240" s="866"/>
      <c r="P240" s="769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79"/>
      <c r="M241" s="216"/>
      <c r="N241" s="223"/>
      <c r="O241" s="629"/>
      <c r="P241" s="223"/>
      <c r="Q241" s="629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79"/>
      <c r="M242" s="216"/>
      <c r="N242" s="756"/>
      <c r="O242" s="756"/>
      <c r="P242" s="756"/>
      <c r="Q242" s="75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79"/>
      <c r="M243" s="216"/>
      <c r="N243" s="79"/>
      <c r="O243" s="79"/>
      <c r="P243" s="79"/>
      <c r="Q243" s="79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79"/>
      <c r="M244" s="216"/>
      <c r="N244" s="79"/>
      <c r="O244" s="79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79"/>
      <c r="M245" s="216"/>
      <c r="N245" s="79"/>
      <c r="O245" s="79"/>
      <c r="P245" s="79"/>
      <c r="Q245" s="79"/>
      <c r="R245" s="484"/>
      <c r="S245" s="79"/>
      <c r="T245" s="877"/>
      <c r="U245" s="79"/>
    </row>
    <row r="247" spans="1:21" x14ac:dyDescent="0.25">
      <c r="N247" s="85"/>
      <c r="O247" s="85"/>
      <c r="P247" s="85"/>
      <c r="Q247" s="85"/>
    </row>
    <row r="254" spans="1:21" x14ac:dyDescent="0.25">
      <c r="N254" s="85"/>
      <c r="O254" s="85"/>
      <c r="P254" s="85"/>
      <c r="Q254" s="85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71"/>
      <c r="O261" s="518"/>
      <c r="P261" s="771"/>
      <c r="Q261" s="518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216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216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629"/>
      <c r="P276" s="79"/>
      <c r="Q276" s="629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  <row r="282" spans="1:42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216"/>
      <c r="P282" s="79"/>
      <c r="Q282" s="216"/>
      <c r="S282" s="79"/>
      <c r="T282" s="877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</row>
    <row r="283" spans="1:42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216"/>
      <c r="P283" s="79"/>
      <c r="Q283" s="216"/>
      <c r="S283" s="79"/>
      <c r="T283" s="877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</row>
    <row r="284" spans="1:42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216"/>
      <c r="P284" s="79"/>
      <c r="Q284" s="216"/>
      <c r="S284" s="79"/>
      <c r="T284" s="877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</row>
    <row r="285" spans="1:42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216"/>
      <c r="P285" s="79"/>
      <c r="Q285" s="216"/>
      <c r="S285" s="79"/>
      <c r="T285" s="877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</row>
    <row r="286" spans="1:42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216"/>
      <c r="P286" s="79"/>
      <c r="Q286" s="216"/>
      <c r="S286" s="79"/>
      <c r="T286" s="877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</row>
    <row r="287" spans="1:42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216"/>
      <c r="P287" s="79"/>
      <c r="Q287" s="216"/>
      <c r="S287" s="79"/>
      <c r="T287" s="877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216"/>
      <c r="P288" s="79"/>
      <c r="Q288" s="216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216"/>
      <c r="P289" s="79"/>
      <c r="Q289" s="216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216"/>
      <c r="P290" s="79"/>
      <c r="Q290" s="216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</sheetData>
  <autoFilter ref="A2:I135" xr:uid="{00000000-0009-0000-0000-000080000000}"/>
  <mergeCells count="18">
    <mergeCell ref="C157:D157"/>
    <mergeCell ref="B158:D158"/>
    <mergeCell ref="L2:M3"/>
    <mergeCell ref="N2:O3"/>
    <mergeCell ref="P2:Q3"/>
    <mergeCell ref="A134:E134"/>
    <mergeCell ref="A135:E135"/>
    <mergeCell ref="R79:Z79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Plan144"/>
  <dimension ref="A1:AP275"/>
  <sheetViews>
    <sheetView zoomScale="85" zoomScaleNormal="85" workbookViewId="0">
      <pane ySplit="4" topLeftCell="A101" activePane="bottomLeft" state="frozen"/>
      <selection pane="bottomLeft" activeCell="O120" sqref="O120:Q12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3478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44835</v>
      </c>
      <c r="B5" s="369" t="s">
        <v>10</v>
      </c>
      <c r="C5" s="370"/>
      <c r="D5" s="370"/>
      <c r="E5" s="777"/>
      <c r="F5" s="179"/>
      <c r="G5" s="933">
        <f>'Setembro-22'!G135</f>
        <v>329.38458333335529</v>
      </c>
      <c r="H5" s="163"/>
      <c r="I5" s="1479">
        <f>'Setembro-22'!I135</f>
        <v>849.99599999999919</v>
      </c>
      <c r="J5" s="179"/>
      <c r="K5" s="933">
        <f>'Setembro-22'!K135</f>
        <v>6823.170000000001</v>
      </c>
      <c r="L5" s="179"/>
      <c r="M5" s="933">
        <f>'Setembro-22'!M135</f>
        <v>12594.55</v>
      </c>
      <c r="N5" s="179"/>
      <c r="O5" s="933">
        <f>'Setembro-22'!O135</f>
        <v>10956.189999999999</v>
      </c>
      <c r="P5" s="179"/>
      <c r="Q5" s="933">
        <f>'Setembro-22'!Q135</f>
        <v>40885.165984720006</v>
      </c>
    </row>
    <row r="6" spans="1:21" s="224" customFormat="1" x14ac:dyDescent="0.25">
      <c r="A6" s="215">
        <v>44835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customHeight="1" x14ac:dyDescent="0.25">
      <c r="A7" s="215">
        <v>44835</v>
      </c>
      <c r="B7" s="882" t="s">
        <v>1331</v>
      </c>
      <c r="C7" s="879" t="s">
        <v>12</v>
      </c>
      <c r="D7" s="879" t="s">
        <v>2157</v>
      </c>
      <c r="E7" s="871" t="s">
        <v>15</v>
      </c>
      <c r="F7" s="780">
        <v>50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982"/>
      <c r="R7" s="1117"/>
      <c r="U7" s="958"/>
    </row>
    <row r="8" spans="1:21" s="224" customFormat="1" ht="15" customHeight="1" x14ac:dyDescent="0.25">
      <c r="A8" s="215">
        <v>44835</v>
      </c>
      <c r="B8" s="882" t="s">
        <v>82</v>
      </c>
      <c r="C8" s="879" t="s">
        <v>12</v>
      </c>
      <c r="D8" s="879" t="s">
        <v>1493</v>
      </c>
      <c r="E8" s="875" t="s">
        <v>13</v>
      </c>
      <c r="F8" s="780">
        <v>52.8</v>
      </c>
      <c r="G8" s="982"/>
      <c r="H8" s="1060"/>
      <c r="I8" s="1033"/>
      <c r="J8" s="880"/>
      <c r="K8" s="1033"/>
      <c r="L8" s="880"/>
      <c r="M8" s="1033"/>
      <c r="N8" s="880"/>
      <c r="O8" s="1033"/>
      <c r="P8" s="880"/>
      <c r="Q8" s="1033"/>
      <c r="R8" s="1080"/>
      <c r="S8" s="927"/>
      <c r="T8" s="878"/>
    </row>
    <row r="9" spans="1:21" s="224" customFormat="1" ht="15" customHeight="1" x14ac:dyDescent="0.25">
      <c r="A9" s="215">
        <v>44836</v>
      </c>
      <c r="B9" s="364" t="s">
        <v>14</v>
      </c>
      <c r="C9" s="350" t="s">
        <v>12</v>
      </c>
      <c r="D9" s="350" t="s">
        <v>1486</v>
      </c>
      <c r="E9" s="875" t="s">
        <v>13</v>
      </c>
      <c r="F9" s="780">
        <v>15.07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982"/>
      <c r="R9" s="861"/>
    </row>
    <row r="10" spans="1:21" s="224" customFormat="1" ht="15" customHeight="1" x14ac:dyDescent="0.25">
      <c r="A10" s="215">
        <v>44836</v>
      </c>
      <c r="B10" s="364" t="s">
        <v>14</v>
      </c>
      <c r="C10" s="350" t="s">
        <v>12</v>
      </c>
      <c r="D10" s="350" t="s">
        <v>1486</v>
      </c>
      <c r="E10" s="875" t="s">
        <v>13</v>
      </c>
      <c r="F10" s="780">
        <v>6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982"/>
      <c r="R10" s="861"/>
    </row>
    <row r="11" spans="1:21" s="224" customFormat="1" ht="14.25" customHeight="1" x14ac:dyDescent="0.25">
      <c r="A11" s="215">
        <v>44836</v>
      </c>
      <c r="B11" s="882" t="s">
        <v>2300</v>
      </c>
      <c r="C11" s="879" t="s">
        <v>12</v>
      </c>
      <c r="D11" s="879" t="s">
        <v>1493</v>
      </c>
      <c r="E11" s="875" t="s">
        <v>13</v>
      </c>
      <c r="F11" s="780">
        <v>5</v>
      </c>
      <c r="G11" s="982"/>
      <c r="H11" s="622"/>
      <c r="I11" s="982"/>
      <c r="J11" s="622"/>
      <c r="K11" s="982"/>
      <c r="L11" s="622"/>
      <c r="M11" s="982"/>
      <c r="N11" s="622"/>
      <c r="O11" s="982"/>
      <c r="P11" s="622"/>
      <c r="Q11" s="982"/>
      <c r="R11" s="927"/>
      <c r="T11" s="878"/>
    </row>
    <row r="12" spans="1:21" s="224" customFormat="1" ht="14.25" customHeight="1" x14ac:dyDescent="0.25">
      <c r="A12" s="215">
        <v>44836</v>
      </c>
      <c r="B12" s="882" t="s">
        <v>1906</v>
      </c>
      <c r="C12" s="879" t="s">
        <v>12</v>
      </c>
      <c r="D12" s="879" t="s">
        <v>1493</v>
      </c>
      <c r="E12" s="875" t="s">
        <v>13</v>
      </c>
      <c r="F12" s="780">
        <v>39</v>
      </c>
      <c r="G12" s="982"/>
      <c r="H12" s="622"/>
      <c r="I12" s="982"/>
      <c r="J12" s="622"/>
      <c r="K12" s="982"/>
      <c r="L12" s="622"/>
      <c r="M12" s="982"/>
      <c r="N12" s="622"/>
      <c r="O12" s="982"/>
      <c r="P12" s="622"/>
      <c r="Q12" s="982"/>
      <c r="R12" s="927"/>
      <c r="T12" s="878"/>
    </row>
    <row r="13" spans="1:21" s="224" customFormat="1" ht="15" customHeight="1" x14ac:dyDescent="0.25">
      <c r="A13" s="215">
        <v>44837</v>
      </c>
      <c r="B13" s="882" t="s">
        <v>3479</v>
      </c>
      <c r="C13" s="879" t="s">
        <v>12</v>
      </c>
      <c r="D13" s="879"/>
      <c r="E13" s="875" t="s">
        <v>25</v>
      </c>
      <c r="F13" s="780"/>
      <c r="G13" s="982">
        <v>4944.25</v>
      </c>
      <c r="H13" s="622"/>
      <c r="I13" s="982"/>
      <c r="J13" s="622"/>
      <c r="K13" s="982"/>
      <c r="L13" s="622"/>
      <c r="M13" s="982"/>
      <c r="N13" s="622"/>
      <c r="O13" s="982"/>
      <c r="P13" s="622">
        <f>G13</f>
        <v>4944.25</v>
      </c>
      <c r="Q13" s="982"/>
      <c r="R13" s="178"/>
    </row>
    <row r="14" spans="1:21" s="224" customFormat="1" x14ac:dyDescent="0.25">
      <c r="A14" s="215">
        <v>44837</v>
      </c>
      <c r="B14" s="882" t="s">
        <v>3480</v>
      </c>
      <c r="C14" s="879" t="s">
        <v>12</v>
      </c>
      <c r="D14" s="879" t="s">
        <v>3017</v>
      </c>
      <c r="E14" s="875" t="s">
        <v>13</v>
      </c>
      <c r="F14" s="780">
        <v>2038.37</v>
      </c>
      <c r="G14" s="982"/>
      <c r="H14" s="1008"/>
      <c r="I14" s="1063"/>
      <c r="J14" s="622"/>
      <c r="K14" s="982"/>
      <c r="L14" s="1008"/>
      <c r="M14" s="1063">
        <f>F14</f>
        <v>2038.37</v>
      </c>
      <c r="N14" s="622"/>
      <c r="O14" s="982"/>
      <c r="P14" s="622"/>
      <c r="Q14" s="982"/>
    </row>
    <row r="15" spans="1:21" s="224" customFormat="1" ht="14.25" customHeight="1" x14ac:dyDescent="0.25">
      <c r="A15" s="215">
        <v>44837</v>
      </c>
      <c r="B15" s="364" t="s">
        <v>3481</v>
      </c>
      <c r="C15" s="879" t="s">
        <v>19</v>
      </c>
      <c r="D15" s="350" t="s">
        <v>1504</v>
      </c>
      <c r="E15" s="875" t="s">
        <v>13</v>
      </c>
      <c r="F15" s="780">
        <v>53.5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982"/>
      <c r="R15" s="1080" t="s">
        <v>3292</v>
      </c>
      <c r="T15" s="878"/>
    </row>
    <row r="16" spans="1:21" s="224" customFormat="1" ht="14.25" customHeight="1" x14ac:dyDescent="0.25">
      <c r="A16" s="215">
        <v>44837</v>
      </c>
      <c r="B16" s="364" t="s">
        <v>3482</v>
      </c>
      <c r="C16" s="879" t="s">
        <v>19</v>
      </c>
      <c r="D16" s="350" t="s">
        <v>1489</v>
      </c>
      <c r="E16" s="875" t="s">
        <v>13</v>
      </c>
      <c r="F16" s="780">
        <v>60</v>
      </c>
      <c r="G16" s="982"/>
      <c r="H16" s="622"/>
      <c r="I16" s="982"/>
      <c r="J16" s="622"/>
      <c r="K16" s="982"/>
      <c r="L16" s="622"/>
      <c r="M16" s="982"/>
      <c r="N16" s="622"/>
      <c r="O16" s="982"/>
      <c r="P16" s="622"/>
      <c r="Q16" s="982"/>
      <c r="R16" s="1080" t="s">
        <v>3292</v>
      </c>
      <c r="T16" s="878"/>
    </row>
    <row r="17" spans="1:21" s="224" customFormat="1" ht="14.25" customHeight="1" x14ac:dyDescent="0.25">
      <c r="A17" s="215">
        <v>44837</v>
      </c>
      <c r="B17" s="364" t="s">
        <v>3483</v>
      </c>
      <c r="C17" s="879" t="s">
        <v>19</v>
      </c>
      <c r="D17" s="350" t="s">
        <v>1506</v>
      </c>
      <c r="E17" s="875" t="s">
        <v>13</v>
      </c>
      <c r="F17" s="780">
        <v>64.834999999999994</v>
      </c>
      <c r="G17" s="982"/>
      <c r="H17" s="622"/>
      <c r="I17" s="982"/>
      <c r="J17" s="622"/>
      <c r="K17" s="982"/>
      <c r="L17" s="622"/>
      <c r="M17" s="982"/>
      <c r="N17" s="622"/>
      <c r="O17" s="982"/>
      <c r="P17" s="622"/>
      <c r="Q17" s="982"/>
      <c r="R17" s="1080" t="s">
        <v>3292</v>
      </c>
      <c r="T17" s="878"/>
    </row>
    <row r="18" spans="1:21" s="224" customFormat="1" ht="14.25" customHeight="1" x14ac:dyDescent="0.25">
      <c r="A18" s="215">
        <v>44837</v>
      </c>
      <c r="B18" s="364" t="s">
        <v>3484</v>
      </c>
      <c r="C18" s="879" t="s">
        <v>19</v>
      </c>
      <c r="D18" s="350" t="s">
        <v>1506</v>
      </c>
      <c r="E18" s="875" t="s">
        <v>13</v>
      </c>
      <c r="F18" s="780">
        <v>41.5</v>
      </c>
      <c r="G18" s="982"/>
      <c r="H18" s="622"/>
      <c r="I18" s="982"/>
      <c r="J18" s="622"/>
      <c r="K18" s="982"/>
      <c r="L18" s="622"/>
      <c r="M18" s="982"/>
      <c r="N18" s="622"/>
      <c r="O18" s="982"/>
      <c r="P18" s="622"/>
      <c r="Q18" s="982"/>
      <c r="R18" s="1080" t="s">
        <v>3292</v>
      </c>
      <c r="T18" s="878"/>
    </row>
    <row r="19" spans="1:21" s="224" customFormat="1" ht="14.25" customHeight="1" x14ac:dyDescent="0.25">
      <c r="A19" s="215">
        <v>44837</v>
      </c>
      <c r="B19" s="364" t="s">
        <v>3485</v>
      </c>
      <c r="C19" s="879" t="s">
        <v>12</v>
      </c>
      <c r="D19" s="350" t="s">
        <v>1525</v>
      </c>
      <c r="E19" s="875" t="s">
        <v>13</v>
      </c>
      <c r="F19" s="780">
        <v>60</v>
      </c>
      <c r="G19" s="982"/>
      <c r="H19" s="622"/>
      <c r="I19" s="982"/>
      <c r="J19" s="622"/>
      <c r="K19" s="982"/>
      <c r="L19" s="622"/>
      <c r="M19" s="982"/>
      <c r="N19" s="622"/>
      <c r="O19" s="982"/>
      <c r="P19" s="622"/>
      <c r="Q19" s="982"/>
      <c r="R19" s="1080" t="s">
        <v>3292</v>
      </c>
      <c r="T19" s="878"/>
    </row>
    <row r="20" spans="1:21" s="224" customFormat="1" ht="14.25" customHeight="1" x14ac:dyDescent="0.25">
      <c r="A20" s="215">
        <v>44837</v>
      </c>
      <c r="B20" s="364" t="s">
        <v>3316</v>
      </c>
      <c r="C20" s="879" t="s">
        <v>12</v>
      </c>
      <c r="D20" s="350" t="s">
        <v>1525</v>
      </c>
      <c r="E20" s="875" t="s">
        <v>13</v>
      </c>
      <c r="F20" s="780">
        <v>5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982"/>
      <c r="R20" s="1080" t="s">
        <v>3292</v>
      </c>
      <c r="T20" s="878"/>
    </row>
    <row r="21" spans="1:21" s="224" customFormat="1" ht="14.25" customHeight="1" x14ac:dyDescent="0.25">
      <c r="A21" s="215">
        <v>44837</v>
      </c>
      <c r="B21" s="364" t="s">
        <v>3486</v>
      </c>
      <c r="C21" s="879" t="s">
        <v>12</v>
      </c>
      <c r="D21" s="350" t="s">
        <v>1491</v>
      </c>
      <c r="E21" s="875" t="s">
        <v>13</v>
      </c>
      <c r="F21" s="780">
        <v>28</v>
      </c>
      <c r="G21" s="982"/>
      <c r="H21" s="622"/>
      <c r="I21" s="982"/>
      <c r="J21" s="622"/>
      <c r="K21" s="982"/>
      <c r="L21" s="622"/>
      <c r="M21" s="982"/>
      <c r="N21" s="622"/>
      <c r="O21" s="982"/>
      <c r="P21" s="622"/>
      <c r="Q21" s="982"/>
      <c r="R21" s="1080" t="s">
        <v>3292</v>
      </c>
      <c r="T21" s="878"/>
    </row>
    <row r="22" spans="1:21" s="224" customFormat="1" ht="14.25" customHeight="1" x14ac:dyDescent="0.25">
      <c r="A22" s="215">
        <v>44837</v>
      </c>
      <c r="B22" s="364" t="s">
        <v>3487</v>
      </c>
      <c r="C22" s="879" t="s">
        <v>12</v>
      </c>
      <c r="D22" s="350" t="s">
        <v>1491</v>
      </c>
      <c r="E22" s="875" t="s">
        <v>13</v>
      </c>
      <c r="F22" s="780">
        <v>25</v>
      </c>
      <c r="G22" s="982"/>
      <c r="H22" s="622"/>
      <c r="I22" s="982"/>
      <c r="J22" s="622"/>
      <c r="K22" s="982"/>
      <c r="L22" s="622"/>
      <c r="M22" s="982"/>
      <c r="N22" s="622"/>
      <c r="O22" s="982"/>
      <c r="P22" s="622"/>
      <c r="Q22" s="982"/>
      <c r="R22" s="1080" t="s">
        <v>3292</v>
      </c>
      <c r="T22" s="878"/>
    </row>
    <row r="23" spans="1:21" s="224" customFormat="1" ht="14.25" customHeight="1" x14ac:dyDescent="0.25">
      <c r="A23" s="215">
        <v>44837</v>
      </c>
      <c r="B23" s="364" t="s">
        <v>3488</v>
      </c>
      <c r="C23" s="879" t="s">
        <v>19</v>
      </c>
      <c r="D23" s="350" t="s">
        <v>1491</v>
      </c>
      <c r="E23" s="875" t="s">
        <v>13</v>
      </c>
      <c r="F23" s="780">
        <v>103.92</v>
      </c>
      <c r="G23" s="982"/>
      <c r="H23" s="622"/>
      <c r="I23" s="982"/>
      <c r="J23" s="622"/>
      <c r="K23" s="982"/>
      <c r="L23" s="622"/>
      <c r="M23" s="982"/>
      <c r="N23" s="622"/>
      <c r="O23" s="982"/>
      <c r="P23" s="622"/>
      <c r="Q23" s="982"/>
      <c r="R23" s="1080" t="s">
        <v>3292</v>
      </c>
      <c r="T23" s="878"/>
    </row>
    <row r="24" spans="1:21" s="224" customFormat="1" ht="14.25" customHeight="1" x14ac:dyDescent="0.25">
      <c r="A24" s="215">
        <v>44837</v>
      </c>
      <c r="B24" s="364" t="s">
        <v>3489</v>
      </c>
      <c r="C24" s="879" t="s">
        <v>19</v>
      </c>
      <c r="D24" s="350" t="s">
        <v>1491</v>
      </c>
      <c r="E24" s="875" t="s">
        <v>13</v>
      </c>
      <c r="F24" s="780">
        <v>166.04</v>
      </c>
      <c r="G24" s="982"/>
      <c r="H24" s="622"/>
      <c r="I24" s="982"/>
      <c r="J24" s="622"/>
      <c r="K24" s="982"/>
      <c r="L24" s="622"/>
      <c r="M24" s="982"/>
      <c r="N24" s="622"/>
      <c r="O24" s="982"/>
      <c r="P24" s="622"/>
      <c r="Q24" s="982"/>
      <c r="R24" s="1080" t="s">
        <v>3292</v>
      </c>
      <c r="T24" s="878"/>
    </row>
    <row r="25" spans="1:21" s="224" customFormat="1" ht="14.25" customHeight="1" x14ac:dyDescent="0.25">
      <c r="A25" s="215">
        <v>44837</v>
      </c>
      <c r="B25" s="364" t="s">
        <v>3490</v>
      </c>
      <c r="C25" s="879" t="s">
        <v>12</v>
      </c>
      <c r="D25" s="350" t="s">
        <v>1491</v>
      </c>
      <c r="E25" s="875" t="s">
        <v>13</v>
      </c>
      <c r="F25" s="780">
        <v>183.55</v>
      </c>
      <c r="G25" s="982"/>
      <c r="H25" s="622"/>
      <c r="I25" s="982"/>
      <c r="J25" s="622"/>
      <c r="K25" s="982"/>
      <c r="L25" s="622"/>
      <c r="M25" s="982"/>
      <c r="N25" s="622"/>
      <c r="O25" s="982"/>
      <c r="P25" s="622"/>
      <c r="Q25" s="982"/>
      <c r="R25" s="1080" t="s">
        <v>3292</v>
      </c>
      <c r="T25" s="878"/>
    </row>
    <row r="26" spans="1:21" s="224" customFormat="1" ht="15" customHeight="1" x14ac:dyDescent="0.25">
      <c r="A26" s="215">
        <v>44837</v>
      </c>
      <c r="B26" s="349" t="s">
        <v>260</v>
      </c>
      <c r="C26" s="350" t="s">
        <v>12</v>
      </c>
      <c r="D26" s="350"/>
      <c r="E26" s="480"/>
      <c r="F26" s="780">
        <v>1450</v>
      </c>
      <c r="G26" s="946"/>
      <c r="H26" s="95"/>
      <c r="I26" s="1064">
        <v>1450</v>
      </c>
      <c r="J26" s="622"/>
      <c r="K26" s="982"/>
      <c r="L26" s="1110"/>
      <c r="M26" s="627"/>
      <c r="N26" s="1110"/>
      <c r="O26" s="627"/>
      <c r="P26" s="1110"/>
      <c r="Q26" s="627"/>
      <c r="R26" s="1080"/>
    </row>
    <row r="27" spans="1:21" s="224" customFormat="1" ht="14.25" customHeight="1" x14ac:dyDescent="0.25">
      <c r="A27" s="215">
        <v>44837</v>
      </c>
      <c r="B27" s="882" t="s">
        <v>32</v>
      </c>
      <c r="C27" s="879" t="s">
        <v>12</v>
      </c>
      <c r="D27" s="879" t="s">
        <v>1485</v>
      </c>
      <c r="E27" s="875" t="s">
        <v>13</v>
      </c>
      <c r="F27" s="780">
        <v>18</v>
      </c>
      <c r="G27" s="982"/>
      <c r="H27" s="622"/>
      <c r="I27" s="982"/>
      <c r="J27" s="622"/>
      <c r="K27" s="982"/>
      <c r="L27" s="622"/>
      <c r="M27" s="982"/>
      <c r="N27" s="622"/>
      <c r="O27" s="982"/>
      <c r="P27" s="622"/>
      <c r="Q27" s="982"/>
      <c r="R27" s="927"/>
      <c r="T27" s="878"/>
    </row>
    <row r="28" spans="1:21" s="224" customFormat="1" ht="14.25" customHeight="1" x14ac:dyDescent="0.25">
      <c r="A28" s="215">
        <v>44838</v>
      </c>
      <c r="B28" s="882" t="s">
        <v>32</v>
      </c>
      <c r="C28" s="879" t="s">
        <v>12</v>
      </c>
      <c r="D28" s="879" t="s">
        <v>1485</v>
      </c>
      <c r="E28" s="875" t="s">
        <v>13</v>
      </c>
      <c r="F28" s="780">
        <v>18</v>
      </c>
      <c r="G28" s="982"/>
      <c r="H28" s="622"/>
      <c r="I28" s="982"/>
      <c r="J28" s="622"/>
      <c r="K28" s="982"/>
      <c r="L28" s="622"/>
      <c r="M28" s="982"/>
      <c r="N28" s="622"/>
      <c r="O28" s="982"/>
      <c r="P28" s="622"/>
      <c r="Q28" s="982"/>
      <c r="R28" s="927"/>
      <c r="T28" s="878"/>
    </row>
    <row r="29" spans="1:21" s="224" customFormat="1" ht="15" customHeight="1" x14ac:dyDescent="0.25">
      <c r="A29" s="215">
        <v>44838</v>
      </c>
      <c r="B29" s="882" t="s">
        <v>1331</v>
      </c>
      <c r="C29" s="879" t="s">
        <v>12</v>
      </c>
      <c r="D29" s="879" t="s">
        <v>2157</v>
      </c>
      <c r="E29" s="871" t="s">
        <v>13</v>
      </c>
      <c r="F29" s="780">
        <v>80</v>
      </c>
      <c r="G29" s="946"/>
      <c r="H29" s="95"/>
      <c r="I29" s="1064"/>
      <c r="J29" s="622"/>
      <c r="K29" s="982"/>
      <c r="L29" s="622"/>
      <c r="M29" s="982"/>
      <c r="N29" s="622"/>
      <c r="O29" s="982"/>
      <c r="P29" s="622"/>
      <c r="Q29" s="982"/>
      <c r="R29" s="1028"/>
      <c r="U29" s="958"/>
    </row>
    <row r="30" spans="1:21" s="224" customFormat="1" ht="15" customHeight="1" x14ac:dyDescent="0.25">
      <c r="A30" s="215">
        <v>44839</v>
      </c>
      <c r="B30" s="882" t="s">
        <v>1820</v>
      </c>
      <c r="C30" s="879" t="s">
        <v>12</v>
      </c>
      <c r="D30" s="879" t="s">
        <v>1496</v>
      </c>
      <c r="E30" s="875" t="s">
        <v>13</v>
      </c>
      <c r="F30" s="780">
        <v>20</v>
      </c>
      <c r="G30" s="982"/>
      <c r="H30" s="622"/>
      <c r="I30" s="982"/>
      <c r="J30" s="622"/>
      <c r="K30" s="982"/>
      <c r="L30" s="622"/>
      <c r="M30" s="982"/>
      <c r="N30" s="1110"/>
      <c r="O30" s="1208"/>
      <c r="P30" s="1110"/>
      <c r="Q30" s="1208"/>
      <c r="R30" s="927"/>
      <c r="S30" s="927"/>
      <c r="T30" s="878"/>
    </row>
    <row r="31" spans="1:21" s="224" customFormat="1" ht="15" customHeight="1" x14ac:dyDescent="0.25">
      <c r="A31" s="215">
        <v>44839</v>
      </c>
      <c r="B31" s="882" t="s">
        <v>32</v>
      </c>
      <c r="C31" s="879" t="s">
        <v>12</v>
      </c>
      <c r="D31" s="879" t="s">
        <v>1485</v>
      </c>
      <c r="E31" s="875" t="s">
        <v>13</v>
      </c>
      <c r="F31" s="780">
        <v>8.5</v>
      </c>
      <c r="G31" s="946"/>
      <c r="H31" s="95"/>
      <c r="I31" s="1064"/>
      <c r="J31" s="622"/>
      <c r="K31" s="982"/>
      <c r="L31" s="622"/>
      <c r="M31" s="982"/>
      <c r="N31" s="622"/>
      <c r="O31" s="982"/>
      <c r="P31" s="622"/>
      <c r="Q31" s="982"/>
      <c r="R31" s="861"/>
    </row>
    <row r="32" spans="1:21" s="224" customFormat="1" ht="15" customHeight="1" x14ac:dyDescent="0.25">
      <c r="A32" s="215">
        <v>44839</v>
      </c>
      <c r="B32" s="882" t="s">
        <v>17</v>
      </c>
      <c r="C32" s="879" t="s">
        <v>12</v>
      </c>
      <c r="D32" s="879" t="s">
        <v>1493</v>
      </c>
      <c r="E32" s="875" t="s">
        <v>13</v>
      </c>
      <c r="F32" s="780">
        <v>6</v>
      </c>
      <c r="G32" s="982"/>
      <c r="H32" s="622"/>
      <c r="I32" s="982"/>
      <c r="J32" s="622"/>
      <c r="K32" s="982"/>
      <c r="L32" s="622"/>
      <c r="M32" s="1033"/>
      <c r="N32" s="1116"/>
      <c r="O32" s="1207"/>
      <c r="P32" s="1116"/>
      <c r="Q32" s="1207"/>
      <c r="R32" s="927"/>
      <c r="S32" s="927"/>
      <c r="T32" s="878"/>
    </row>
    <row r="33" spans="1:42" s="224" customFormat="1" ht="15" customHeight="1" x14ac:dyDescent="0.25">
      <c r="A33" s="215">
        <v>44839</v>
      </c>
      <c r="B33" s="364" t="s">
        <v>14</v>
      </c>
      <c r="C33" s="350" t="s">
        <v>12</v>
      </c>
      <c r="D33" s="350" t="s">
        <v>1486</v>
      </c>
      <c r="E33" s="875" t="s">
        <v>13</v>
      </c>
      <c r="F33" s="780">
        <v>8.0500000000000007</v>
      </c>
      <c r="G33" s="946"/>
      <c r="H33" s="95"/>
      <c r="I33" s="1064"/>
      <c r="J33" s="622"/>
      <c r="K33" s="982"/>
      <c r="L33" s="95"/>
      <c r="M33" s="1064"/>
      <c r="N33" s="622"/>
      <c r="O33" s="982"/>
      <c r="P33" s="622"/>
      <c r="Q33" s="982"/>
      <c r="R33" s="861"/>
    </row>
    <row r="34" spans="1:42" s="224" customFormat="1" ht="15" customHeight="1" x14ac:dyDescent="0.25">
      <c r="A34" s="215">
        <v>44840</v>
      </c>
      <c r="B34" s="882" t="s">
        <v>32</v>
      </c>
      <c r="C34" s="879" t="s">
        <v>12</v>
      </c>
      <c r="D34" s="879" t="s">
        <v>1485</v>
      </c>
      <c r="E34" s="875" t="s">
        <v>13</v>
      </c>
      <c r="F34" s="780">
        <v>18</v>
      </c>
      <c r="G34" s="946"/>
      <c r="H34" s="95"/>
      <c r="I34" s="1064"/>
      <c r="J34" s="622"/>
      <c r="K34" s="982"/>
      <c r="L34" s="622"/>
      <c r="M34" s="982"/>
      <c r="N34" s="622"/>
      <c r="O34" s="982"/>
      <c r="P34" s="622"/>
      <c r="Q34" s="982"/>
      <c r="R34" s="861"/>
    </row>
    <row r="35" spans="1:42" s="224" customFormat="1" ht="15" customHeight="1" x14ac:dyDescent="0.25">
      <c r="A35" s="215">
        <v>44840</v>
      </c>
      <c r="B35" s="882" t="s">
        <v>17</v>
      </c>
      <c r="C35" s="879" t="s">
        <v>12</v>
      </c>
      <c r="D35" s="879" t="s">
        <v>1493</v>
      </c>
      <c r="E35" s="875" t="s">
        <v>13</v>
      </c>
      <c r="F35" s="780">
        <v>6</v>
      </c>
      <c r="G35" s="982"/>
      <c r="H35" s="622"/>
      <c r="I35" s="982"/>
      <c r="J35" s="622"/>
      <c r="K35" s="982"/>
      <c r="L35" s="622"/>
      <c r="M35" s="1033"/>
      <c r="N35" s="1116"/>
      <c r="O35" s="1207"/>
      <c r="P35" s="1116"/>
      <c r="Q35" s="1207"/>
      <c r="R35" s="927"/>
      <c r="S35" s="927"/>
      <c r="T35" s="878"/>
    </row>
    <row r="36" spans="1:42" s="224" customFormat="1" ht="15" customHeight="1" x14ac:dyDescent="0.25">
      <c r="A36" s="215">
        <v>44840</v>
      </c>
      <c r="B36" s="882" t="s">
        <v>81</v>
      </c>
      <c r="C36" s="879" t="s">
        <v>12</v>
      </c>
      <c r="D36" s="879" t="s">
        <v>1493</v>
      </c>
      <c r="E36" s="875" t="s">
        <v>13</v>
      </c>
      <c r="F36" s="780">
        <v>5.73</v>
      </c>
      <c r="G36" s="946"/>
      <c r="H36" s="95"/>
      <c r="I36" s="1064"/>
      <c r="J36" s="622"/>
      <c r="K36" s="982"/>
      <c r="L36" s="95"/>
      <c r="M36" s="1064"/>
      <c r="N36" s="622"/>
      <c r="O36" s="982"/>
      <c r="P36" s="622"/>
      <c r="Q36" s="982"/>
      <c r="R36" s="861"/>
    </row>
    <row r="37" spans="1:42" s="224" customFormat="1" ht="15.75" customHeight="1" x14ac:dyDescent="0.25">
      <c r="A37" s="215">
        <v>44841</v>
      </c>
      <c r="B37" s="873" t="s">
        <v>3491</v>
      </c>
      <c r="C37" s="879" t="s">
        <v>12</v>
      </c>
      <c r="D37" s="874"/>
      <c r="E37" s="871" t="s">
        <v>25</v>
      </c>
      <c r="F37" s="1524"/>
      <c r="G37" s="1002">
        <v>2120.71</v>
      </c>
      <c r="H37" s="538"/>
      <c r="I37" s="982"/>
      <c r="J37" s="622"/>
      <c r="K37" s="982"/>
      <c r="L37" s="622"/>
      <c r="M37" s="982"/>
      <c r="N37" s="622"/>
      <c r="O37" s="982"/>
      <c r="P37" s="622"/>
      <c r="Q37" s="982"/>
      <c r="R37" s="178"/>
    </row>
    <row r="38" spans="1:42" s="224" customFormat="1" ht="15" customHeight="1" x14ac:dyDescent="0.25">
      <c r="A38" s="215">
        <v>44841</v>
      </c>
      <c r="B38" s="862" t="s">
        <v>3422</v>
      </c>
      <c r="C38" s="879" t="s">
        <v>12</v>
      </c>
      <c r="D38" s="879" t="s">
        <v>1504</v>
      </c>
      <c r="E38" s="871" t="s">
        <v>13</v>
      </c>
      <c r="F38" s="780">
        <v>30</v>
      </c>
      <c r="G38" s="982"/>
      <c r="H38" s="1008"/>
      <c r="I38" s="1063"/>
      <c r="J38" s="622"/>
      <c r="K38" s="982"/>
      <c r="L38" s="622"/>
      <c r="M38" s="982"/>
      <c r="N38" s="622"/>
      <c r="O38" s="982"/>
      <c r="P38" s="622"/>
      <c r="Q38" s="982"/>
      <c r="R38" s="1028">
        <v>89.9</v>
      </c>
      <c r="S38" s="999"/>
      <c r="T38" s="1035"/>
    </row>
    <row r="39" spans="1:42" s="224" customFormat="1" ht="15" customHeight="1" x14ac:dyDescent="0.25">
      <c r="A39" s="215">
        <v>44841</v>
      </c>
      <c r="B39" s="882" t="s">
        <v>3492</v>
      </c>
      <c r="C39" s="879" t="s">
        <v>12</v>
      </c>
      <c r="D39" s="879" t="s">
        <v>1499</v>
      </c>
      <c r="E39" s="871" t="s">
        <v>13</v>
      </c>
      <c r="F39" s="780">
        <v>73.7</v>
      </c>
      <c r="G39" s="982"/>
      <c r="H39" s="1008"/>
      <c r="I39" s="1063"/>
      <c r="J39" s="622"/>
      <c r="K39" s="982"/>
      <c r="L39" s="622"/>
      <c r="M39" s="982"/>
      <c r="N39" s="622"/>
      <c r="O39" s="982"/>
      <c r="P39" s="622"/>
      <c r="Q39" s="982"/>
      <c r="R39" s="1028">
        <v>173.7</v>
      </c>
      <c r="S39" s="999"/>
      <c r="T39" s="878"/>
    </row>
    <row r="40" spans="1:42" s="224" customFormat="1" ht="15" customHeight="1" x14ac:dyDescent="0.25">
      <c r="A40" s="215">
        <v>44841</v>
      </c>
      <c r="B40" s="364" t="s">
        <v>2977</v>
      </c>
      <c r="C40" s="350" t="s">
        <v>12</v>
      </c>
      <c r="D40" s="350" t="s">
        <v>1491</v>
      </c>
      <c r="E40" s="875" t="s">
        <v>13</v>
      </c>
      <c r="F40" s="780">
        <v>300</v>
      </c>
      <c r="G40" s="982"/>
      <c r="H40" s="1008"/>
      <c r="I40" s="1063"/>
      <c r="J40" s="622"/>
      <c r="K40" s="982"/>
      <c r="L40" s="622"/>
      <c r="M40" s="982"/>
      <c r="N40" s="622"/>
      <c r="O40" s="982"/>
      <c r="P40" s="622"/>
      <c r="Q40" s="982"/>
      <c r="R40" s="861"/>
      <c r="T40" s="1035"/>
    </row>
    <row r="41" spans="1:42" x14ac:dyDescent="0.25">
      <c r="A41" s="215">
        <v>44841</v>
      </c>
      <c r="B41" s="876" t="s">
        <v>3060</v>
      </c>
      <c r="C41" s="879" t="s">
        <v>12</v>
      </c>
      <c r="D41" s="879" t="s">
        <v>1496</v>
      </c>
      <c r="E41" s="871" t="s">
        <v>13</v>
      </c>
      <c r="F41" s="780">
        <v>80</v>
      </c>
      <c r="G41" s="982"/>
      <c r="H41" s="1009"/>
      <c r="I41" s="1063"/>
      <c r="J41" s="622"/>
      <c r="K41" s="982"/>
      <c r="L41" s="622"/>
      <c r="M41" s="982"/>
      <c r="N41" s="622"/>
      <c r="O41" s="982"/>
      <c r="P41" s="622"/>
      <c r="Q41" s="982"/>
      <c r="R41" s="1029"/>
    </row>
    <row r="42" spans="1:42" s="224" customFormat="1" ht="14.25" customHeight="1" x14ac:dyDescent="0.25">
      <c r="A42" s="215">
        <v>44841</v>
      </c>
      <c r="B42" s="882" t="s">
        <v>3493</v>
      </c>
      <c r="C42" s="879" t="s">
        <v>12</v>
      </c>
      <c r="D42" s="879" t="s">
        <v>3017</v>
      </c>
      <c r="E42" s="875" t="s">
        <v>13</v>
      </c>
      <c r="F42" s="780">
        <v>657</v>
      </c>
      <c r="G42" s="982"/>
      <c r="H42" s="1008"/>
      <c r="I42" s="1063"/>
      <c r="J42" s="622"/>
      <c r="K42" s="982"/>
      <c r="L42" s="622"/>
      <c r="M42" s="982">
        <v>657</v>
      </c>
      <c r="N42" s="622"/>
      <c r="O42" s="982"/>
      <c r="P42" s="622"/>
      <c r="Q42" s="982"/>
      <c r="R42" s="861">
        <v>400</v>
      </c>
      <c r="S42" s="878" t="s">
        <v>3018</v>
      </c>
      <c r="T42" s="1035"/>
    </row>
    <row r="43" spans="1:42" s="224" customFormat="1" ht="15" customHeight="1" x14ac:dyDescent="0.25">
      <c r="A43" s="215">
        <v>44841</v>
      </c>
      <c r="B43" s="882" t="s">
        <v>3494</v>
      </c>
      <c r="C43" s="879" t="s">
        <v>12</v>
      </c>
      <c r="D43" s="879" t="s">
        <v>1489</v>
      </c>
      <c r="E43" s="875" t="s">
        <v>13</v>
      </c>
      <c r="F43" s="780">
        <v>62</v>
      </c>
      <c r="G43" s="946"/>
      <c r="H43" s="95"/>
      <c r="I43" s="1064"/>
      <c r="J43" s="622"/>
      <c r="K43" s="982"/>
      <c r="L43" s="622"/>
      <c r="M43" s="982"/>
      <c r="N43" s="622"/>
      <c r="O43" s="982"/>
      <c r="P43" s="622"/>
      <c r="Q43" s="982"/>
      <c r="R43" s="861"/>
    </row>
    <row r="44" spans="1:42" s="224" customFormat="1" ht="15" customHeight="1" x14ac:dyDescent="0.25">
      <c r="A44" s="215">
        <v>44841</v>
      </c>
      <c r="B44" s="364" t="s">
        <v>3495</v>
      </c>
      <c r="C44" s="879"/>
      <c r="D44" s="879"/>
      <c r="E44" s="875" t="s">
        <v>25</v>
      </c>
      <c r="F44" s="780"/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982">
        <v>400</v>
      </c>
      <c r="R44" s="927"/>
      <c r="S44" s="927"/>
      <c r="T44" s="878"/>
    </row>
    <row r="45" spans="1:42" s="224" customFormat="1" ht="15" customHeight="1" x14ac:dyDescent="0.25">
      <c r="A45" s="215">
        <v>44841</v>
      </c>
      <c r="B45" s="364" t="s">
        <v>1396</v>
      </c>
      <c r="C45" s="350" t="s">
        <v>12</v>
      </c>
      <c r="D45" s="350"/>
      <c r="E45" s="480" t="s">
        <v>25</v>
      </c>
      <c r="F45" s="613"/>
      <c r="G45" s="967">
        <v>100</v>
      </c>
      <c r="H45" s="1008"/>
      <c r="I45" s="1063"/>
      <c r="J45" s="622"/>
      <c r="K45" s="982"/>
      <c r="L45" s="1116"/>
      <c r="M45" s="1207"/>
      <c r="N45" s="1116"/>
      <c r="O45" s="1207"/>
      <c r="P45" s="1116"/>
      <c r="Q45" s="1207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15">
        <v>44841</v>
      </c>
      <c r="B46" s="349" t="s">
        <v>260</v>
      </c>
      <c r="C46" s="350" t="s">
        <v>12</v>
      </c>
      <c r="D46" s="350"/>
      <c r="E46" s="480"/>
      <c r="F46" s="780">
        <v>350</v>
      </c>
      <c r="G46" s="946"/>
      <c r="H46" s="95"/>
      <c r="I46" s="1064">
        <v>350</v>
      </c>
      <c r="J46" s="622"/>
      <c r="K46" s="982"/>
      <c r="L46" s="1110"/>
      <c r="M46" s="627"/>
      <c r="N46" s="1110"/>
      <c r="O46" s="627"/>
      <c r="P46" s="1110"/>
      <c r="Q46" s="627"/>
      <c r="R46" s="1080"/>
    </row>
    <row r="47" spans="1:42" s="224" customFormat="1" ht="15" customHeight="1" x14ac:dyDescent="0.25">
      <c r="A47" s="215">
        <v>44841</v>
      </c>
      <c r="B47" s="882" t="s">
        <v>32</v>
      </c>
      <c r="C47" s="879" t="s">
        <v>12</v>
      </c>
      <c r="D47" s="879" t="s">
        <v>1485</v>
      </c>
      <c r="E47" s="875" t="s">
        <v>13</v>
      </c>
      <c r="F47" s="780">
        <v>18</v>
      </c>
      <c r="G47" s="946"/>
      <c r="H47" s="95"/>
      <c r="I47" s="1064"/>
      <c r="J47" s="622"/>
      <c r="K47" s="982"/>
      <c r="L47" s="622"/>
      <c r="M47" s="982"/>
      <c r="N47" s="622"/>
      <c r="O47" s="982"/>
      <c r="P47" s="622"/>
      <c r="Q47" s="982"/>
      <c r="R47" s="861"/>
    </row>
    <row r="48" spans="1:42" s="224" customFormat="1" ht="15" customHeight="1" x14ac:dyDescent="0.25">
      <c r="A48" s="215">
        <v>44841</v>
      </c>
      <c r="B48" s="882" t="s">
        <v>82</v>
      </c>
      <c r="C48" s="879" t="s">
        <v>12</v>
      </c>
      <c r="D48" s="879" t="s">
        <v>1493</v>
      </c>
      <c r="E48" s="875" t="s">
        <v>13</v>
      </c>
      <c r="F48" s="780">
        <v>55.89</v>
      </c>
      <c r="G48" s="946"/>
      <c r="H48" s="95"/>
      <c r="I48" s="1064"/>
      <c r="J48" s="622"/>
      <c r="K48" s="982"/>
      <c r="L48" s="622"/>
      <c r="M48" s="982"/>
      <c r="N48" s="622"/>
      <c r="O48" s="982"/>
      <c r="P48" s="622"/>
      <c r="Q48" s="982"/>
      <c r="R48" s="861"/>
    </row>
    <row r="49" spans="1:42" s="224" customFormat="1" ht="15" customHeight="1" x14ac:dyDescent="0.25">
      <c r="A49" s="215">
        <v>44842</v>
      </c>
      <c r="B49" s="364" t="s">
        <v>2629</v>
      </c>
      <c r="C49" s="350" t="s">
        <v>19</v>
      </c>
      <c r="D49" s="350" t="s">
        <v>1489</v>
      </c>
      <c r="E49" s="875" t="s">
        <v>13</v>
      </c>
      <c r="F49" s="780">
        <v>136.49</v>
      </c>
      <c r="G49" s="982"/>
      <c r="H49" s="1008"/>
      <c r="I49" s="1063"/>
      <c r="J49" s="622"/>
      <c r="K49" s="982"/>
      <c r="L49" s="622"/>
      <c r="M49" s="982"/>
      <c r="N49" s="622"/>
      <c r="O49" s="982"/>
      <c r="P49" s="622"/>
      <c r="Q49" s="982"/>
      <c r="R49" s="1029"/>
      <c r="S49" s="89"/>
      <c r="T49" s="930"/>
    </row>
    <row r="50" spans="1:42" s="224" customFormat="1" ht="15" customHeight="1" x14ac:dyDescent="0.25">
      <c r="A50" s="215">
        <v>44842</v>
      </c>
      <c r="B50" s="882" t="s">
        <v>1331</v>
      </c>
      <c r="C50" s="879" t="s">
        <v>12</v>
      </c>
      <c r="D50" s="879" t="s">
        <v>2157</v>
      </c>
      <c r="E50" s="871" t="s">
        <v>13</v>
      </c>
      <c r="F50" s="780">
        <v>50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982"/>
      <c r="R50" s="927"/>
      <c r="S50" s="927"/>
      <c r="T50" s="878"/>
    </row>
    <row r="51" spans="1:42" s="224" customFormat="1" ht="15" customHeight="1" x14ac:dyDescent="0.25">
      <c r="A51" s="215">
        <v>44842</v>
      </c>
      <c r="B51" s="364" t="s">
        <v>14</v>
      </c>
      <c r="C51" s="350" t="s">
        <v>12</v>
      </c>
      <c r="D51" s="350" t="s">
        <v>1486</v>
      </c>
      <c r="E51" s="875" t="s">
        <v>13</v>
      </c>
      <c r="F51" s="780">
        <v>18.37</v>
      </c>
      <c r="G51" s="946"/>
      <c r="H51" s="95"/>
      <c r="I51" s="1064"/>
      <c r="J51" s="622"/>
      <c r="K51" s="982"/>
      <c r="L51" s="95"/>
      <c r="M51" s="1064"/>
      <c r="N51" s="622"/>
      <c r="O51" s="982"/>
      <c r="P51" s="622"/>
      <c r="Q51" s="982"/>
      <c r="R51" s="861"/>
    </row>
    <row r="52" spans="1:42" s="224" customFormat="1" ht="15" customHeight="1" x14ac:dyDescent="0.25">
      <c r="A52" s="215">
        <v>44843</v>
      </c>
      <c r="B52" s="364" t="s">
        <v>14</v>
      </c>
      <c r="C52" s="350" t="s">
        <v>12</v>
      </c>
      <c r="D52" s="350" t="s">
        <v>1486</v>
      </c>
      <c r="E52" s="875" t="s">
        <v>13</v>
      </c>
      <c r="F52" s="780">
        <v>11.71</v>
      </c>
      <c r="G52" s="946"/>
      <c r="H52" s="95"/>
      <c r="I52" s="1064"/>
      <c r="J52" s="622"/>
      <c r="K52" s="982"/>
      <c r="L52" s="95"/>
      <c r="M52" s="1064"/>
      <c r="N52" s="622"/>
      <c r="O52" s="982"/>
      <c r="P52" s="622"/>
      <c r="Q52" s="982"/>
      <c r="R52" s="861"/>
    </row>
    <row r="53" spans="1:42" s="224" customFormat="1" ht="15" customHeight="1" x14ac:dyDescent="0.25">
      <c r="A53" s="215">
        <v>44843</v>
      </c>
      <c r="B53" s="364" t="s">
        <v>3283</v>
      </c>
      <c r="C53" s="350" t="s">
        <v>12</v>
      </c>
      <c r="D53" s="350" t="s">
        <v>1506</v>
      </c>
      <c r="E53" s="875" t="s">
        <v>13</v>
      </c>
      <c r="F53" s="780">
        <v>50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982"/>
      <c r="R53" s="927"/>
      <c r="S53" s="927"/>
      <c r="T53" s="878"/>
    </row>
    <row r="54" spans="1:42" s="224" customFormat="1" x14ac:dyDescent="0.25">
      <c r="A54" s="215">
        <v>44843</v>
      </c>
      <c r="B54" s="882" t="s">
        <v>3496</v>
      </c>
      <c r="C54" s="879" t="s">
        <v>12</v>
      </c>
      <c r="D54" s="879" t="s">
        <v>1491</v>
      </c>
      <c r="E54" s="480" t="s">
        <v>13</v>
      </c>
      <c r="F54" s="780">
        <v>6</v>
      </c>
      <c r="G54" s="982"/>
      <c r="H54" s="1008"/>
      <c r="I54" s="1063"/>
      <c r="J54" s="622"/>
      <c r="K54" s="982"/>
      <c r="L54" s="622"/>
      <c r="M54" s="982"/>
      <c r="N54" s="622"/>
      <c r="O54" s="982"/>
      <c r="P54" s="622"/>
      <c r="Q54" s="982"/>
      <c r="R54" s="861"/>
      <c r="T54" s="878"/>
    </row>
    <row r="55" spans="1:42" s="224" customFormat="1" x14ac:dyDescent="0.25">
      <c r="A55" s="215">
        <v>44843</v>
      </c>
      <c r="B55" s="882" t="s">
        <v>3497</v>
      </c>
      <c r="C55" s="879" t="s">
        <v>12</v>
      </c>
      <c r="D55" s="879" t="s">
        <v>1491</v>
      </c>
      <c r="E55" s="480" t="s">
        <v>13</v>
      </c>
      <c r="F55" s="780">
        <v>10</v>
      </c>
      <c r="G55" s="982"/>
      <c r="H55" s="1008"/>
      <c r="I55" s="1063"/>
      <c r="J55" s="622"/>
      <c r="K55" s="982"/>
      <c r="L55" s="622"/>
      <c r="M55" s="982"/>
      <c r="N55" s="622"/>
      <c r="O55" s="982"/>
      <c r="P55" s="622"/>
      <c r="Q55" s="982"/>
      <c r="R55" s="861"/>
      <c r="T55" s="878"/>
    </row>
    <row r="56" spans="1:42" s="224" customFormat="1" ht="15" customHeight="1" x14ac:dyDescent="0.25">
      <c r="A56" s="215">
        <v>44844</v>
      </c>
      <c r="B56" s="364" t="s">
        <v>3354</v>
      </c>
      <c r="C56" s="350" t="s">
        <v>12</v>
      </c>
      <c r="D56" s="350"/>
      <c r="E56" s="480" t="s">
        <v>25</v>
      </c>
      <c r="F56" s="613"/>
      <c r="G56" s="967"/>
      <c r="H56" s="1008"/>
      <c r="I56" s="1063"/>
      <c r="J56" s="622"/>
      <c r="K56" s="1033"/>
      <c r="L56" s="1110"/>
      <c r="M56" s="6"/>
      <c r="N56" s="613"/>
      <c r="O56" s="64"/>
      <c r="P56" s="613"/>
      <c r="Q56" s="64">
        <v>153.63999999999999</v>
      </c>
      <c r="R56" s="1209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customHeight="1" x14ac:dyDescent="0.25">
      <c r="A57" s="215">
        <v>44844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18</v>
      </c>
      <c r="G57" s="946"/>
      <c r="H57" s="95"/>
      <c r="I57" s="1064"/>
      <c r="J57" s="622"/>
      <c r="K57" s="982"/>
      <c r="L57" s="622"/>
      <c r="M57" s="982"/>
      <c r="N57" s="622"/>
      <c r="O57" s="982"/>
      <c r="P57" s="622"/>
      <c r="Q57" s="982"/>
      <c r="R57" s="861"/>
    </row>
    <row r="58" spans="1:42" s="224" customFormat="1" ht="15" customHeight="1" x14ac:dyDescent="0.25">
      <c r="A58" s="215">
        <v>44844</v>
      </c>
      <c r="B58" s="882" t="s">
        <v>3498</v>
      </c>
      <c r="C58" s="879" t="s">
        <v>19</v>
      </c>
      <c r="D58" s="879" t="s">
        <v>1525</v>
      </c>
      <c r="E58" s="875" t="s">
        <v>13</v>
      </c>
      <c r="F58" s="780">
        <v>28.5</v>
      </c>
      <c r="G58" s="982"/>
      <c r="H58" s="622"/>
      <c r="I58" s="982"/>
      <c r="J58" s="622"/>
      <c r="K58" s="982"/>
      <c r="L58" s="622"/>
      <c r="M58" s="982"/>
      <c r="N58" s="622"/>
      <c r="O58" s="982"/>
      <c r="P58" s="622"/>
      <c r="Q58" s="982"/>
      <c r="R58" s="927"/>
      <c r="S58" s="927"/>
      <c r="T58" s="878"/>
    </row>
    <row r="59" spans="1:42" s="224" customFormat="1" ht="15" customHeight="1" x14ac:dyDescent="0.25">
      <c r="A59" s="215">
        <v>44844</v>
      </c>
      <c r="B59" s="882" t="s">
        <v>256</v>
      </c>
      <c r="C59" s="879"/>
      <c r="D59" s="879"/>
      <c r="E59" s="875" t="s">
        <v>25</v>
      </c>
      <c r="F59" s="780"/>
      <c r="G59" s="982">
        <v>1150</v>
      </c>
      <c r="H59" s="622">
        <v>1150</v>
      </c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42" s="224" customFormat="1" ht="15" customHeight="1" x14ac:dyDescent="0.25">
      <c r="A60" s="215">
        <v>44844</v>
      </c>
      <c r="B60" s="349" t="s">
        <v>3259</v>
      </c>
      <c r="C60" s="352" t="s">
        <v>12</v>
      </c>
      <c r="D60" s="874"/>
      <c r="E60" s="875" t="s">
        <v>13</v>
      </c>
      <c r="F60" s="780">
        <v>1226.03</v>
      </c>
      <c r="G60" s="982"/>
      <c r="H60" s="622"/>
      <c r="I60" s="982"/>
      <c r="J60" s="622"/>
      <c r="K60" s="982">
        <v>1226.03</v>
      </c>
      <c r="L60" s="622"/>
      <c r="M60" s="1033"/>
      <c r="N60" s="1116"/>
      <c r="O60" s="1207"/>
      <c r="P60" s="1116"/>
      <c r="Q60" s="1207"/>
      <c r="R60" s="927"/>
      <c r="S60" s="927"/>
      <c r="T60" s="878"/>
    </row>
    <row r="61" spans="1:42" s="224" customFormat="1" ht="15" customHeight="1" x14ac:dyDescent="0.25">
      <c r="A61" s="215">
        <v>44844</v>
      </c>
      <c r="B61" s="364" t="s">
        <v>478</v>
      </c>
      <c r="C61" s="350" t="s">
        <v>12</v>
      </c>
      <c r="D61" s="350" t="s">
        <v>1496</v>
      </c>
      <c r="E61" s="875" t="s">
        <v>13</v>
      </c>
      <c r="F61" s="780">
        <v>11.58</v>
      </c>
      <c r="G61" s="982"/>
      <c r="H61" s="622"/>
      <c r="I61" s="982"/>
      <c r="J61" s="622"/>
      <c r="K61" s="982"/>
      <c r="L61" s="622"/>
      <c r="M61" s="1033"/>
      <c r="N61" s="1116"/>
      <c r="O61" s="1207"/>
      <c r="P61" s="1116"/>
      <c r="Q61" s="1207"/>
      <c r="R61" s="927"/>
      <c r="S61" s="927"/>
      <c r="T61" s="878"/>
    </row>
    <row r="62" spans="1:42" s="224" customFormat="1" ht="15" customHeight="1" x14ac:dyDescent="0.25">
      <c r="A62" s="215">
        <v>44845</v>
      </c>
      <c r="B62" s="882" t="s">
        <v>32</v>
      </c>
      <c r="C62" s="879" t="s">
        <v>12</v>
      </c>
      <c r="D62" s="879" t="s">
        <v>1485</v>
      </c>
      <c r="E62" s="875" t="s">
        <v>13</v>
      </c>
      <c r="F62" s="780">
        <v>18</v>
      </c>
      <c r="G62" s="946"/>
      <c r="H62" s="95"/>
      <c r="I62" s="1064"/>
      <c r="J62" s="622"/>
      <c r="K62" s="982"/>
      <c r="L62" s="622"/>
      <c r="M62" s="982"/>
      <c r="N62" s="622"/>
      <c r="O62" s="982"/>
      <c r="P62" s="622"/>
      <c r="Q62" s="982"/>
      <c r="R62" s="861"/>
    </row>
    <row r="63" spans="1:42" s="224" customFormat="1" ht="15" customHeight="1" x14ac:dyDescent="0.25">
      <c r="A63" s="215">
        <v>44845</v>
      </c>
      <c r="B63" s="882" t="s">
        <v>17</v>
      </c>
      <c r="C63" s="879" t="s">
        <v>12</v>
      </c>
      <c r="D63" s="879" t="s">
        <v>1493</v>
      </c>
      <c r="E63" s="875" t="s">
        <v>13</v>
      </c>
      <c r="F63" s="780">
        <v>6</v>
      </c>
      <c r="G63" s="982"/>
      <c r="H63" s="622"/>
      <c r="I63" s="982"/>
      <c r="J63" s="622"/>
      <c r="K63" s="982"/>
      <c r="L63" s="622"/>
      <c r="M63" s="1033"/>
      <c r="N63" s="1116"/>
      <c r="O63" s="1207"/>
      <c r="P63" s="1116"/>
      <c r="Q63" s="1207"/>
      <c r="R63" s="927"/>
      <c r="S63" s="927"/>
      <c r="T63" s="878"/>
    </row>
    <row r="64" spans="1:42" s="224" customFormat="1" ht="15" customHeight="1" x14ac:dyDescent="0.25">
      <c r="A64" s="215">
        <v>44846</v>
      </c>
      <c r="B64" s="882"/>
      <c r="C64" s="879"/>
      <c r="D64" s="879"/>
      <c r="E64" s="875"/>
      <c r="F64" s="780"/>
      <c r="G64" s="946"/>
      <c r="H64" s="95"/>
      <c r="I64" s="1064"/>
      <c r="J64" s="622"/>
      <c r="K64" s="982"/>
      <c r="L64" s="622"/>
      <c r="M64" s="982"/>
      <c r="N64" s="622"/>
      <c r="O64" s="982"/>
      <c r="P64" s="622"/>
      <c r="Q64" s="982"/>
      <c r="R64" s="861"/>
    </row>
    <row r="65" spans="1:20" s="224" customFormat="1" ht="15" customHeight="1" x14ac:dyDescent="0.25">
      <c r="A65" s="215">
        <v>44847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18</v>
      </c>
      <c r="G65" s="946"/>
      <c r="H65" s="95"/>
      <c r="I65" s="1064"/>
      <c r="J65" s="622"/>
      <c r="K65" s="982"/>
      <c r="L65" s="622"/>
      <c r="M65" s="982"/>
      <c r="N65" s="622"/>
      <c r="O65" s="982"/>
      <c r="P65" s="622"/>
      <c r="Q65" s="982"/>
      <c r="R65" s="861"/>
    </row>
    <row r="66" spans="1:20" s="224" customFormat="1" ht="15" customHeight="1" x14ac:dyDescent="0.25">
      <c r="A66" s="215">
        <v>44847</v>
      </c>
      <c r="B66" s="882" t="s">
        <v>81</v>
      </c>
      <c r="C66" s="879" t="s">
        <v>12</v>
      </c>
      <c r="D66" s="879" t="s">
        <v>1493</v>
      </c>
      <c r="E66" s="875" t="s">
        <v>13</v>
      </c>
      <c r="F66" s="780">
        <v>5.73</v>
      </c>
      <c r="G66" s="982"/>
      <c r="H66" s="1060"/>
      <c r="I66" s="1033"/>
      <c r="J66" s="880"/>
      <c r="K66" s="1033"/>
      <c r="L66" s="880"/>
      <c r="M66" s="1033"/>
      <c r="N66" s="622"/>
      <c r="O66" s="982"/>
      <c r="P66" s="622"/>
      <c r="Q66" s="982"/>
      <c r="R66" s="1080"/>
      <c r="S66" s="927"/>
      <c r="T66" s="878"/>
    </row>
    <row r="67" spans="1:20" s="224" customFormat="1" ht="15" customHeight="1" x14ac:dyDescent="0.25">
      <c r="A67" s="215">
        <v>44848</v>
      </c>
      <c r="B67" s="882" t="s">
        <v>32</v>
      </c>
      <c r="C67" s="879" t="s">
        <v>12</v>
      </c>
      <c r="D67" s="879" t="s">
        <v>1485</v>
      </c>
      <c r="E67" s="875" t="s">
        <v>13</v>
      </c>
      <c r="F67" s="780">
        <v>18</v>
      </c>
      <c r="G67" s="946"/>
      <c r="H67" s="95"/>
      <c r="I67" s="1064"/>
      <c r="J67" s="622"/>
      <c r="K67" s="982"/>
      <c r="L67" s="622"/>
      <c r="M67" s="982"/>
      <c r="N67" s="622"/>
      <c r="O67" s="982"/>
      <c r="P67" s="622"/>
      <c r="Q67" s="982"/>
      <c r="R67" s="861"/>
    </row>
    <row r="68" spans="1:20" s="224" customFormat="1" ht="15" customHeight="1" x14ac:dyDescent="0.25">
      <c r="A68" s="215">
        <v>44848</v>
      </c>
      <c r="B68" s="882" t="s">
        <v>17</v>
      </c>
      <c r="C68" s="879" t="s">
        <v>12</v>
      </c>
      <c r="D68" s="879" t="s">
        <v>1493</v>
      </c>
      <c r="E68" s="875" t="s">
        <v>13</v>
      </c>
      <c r="F68" s="780">
        <v>6</v>
      </c>
      <c r="G68" s="982"/>
      <c r="H68" s="622"/>
      <c r="I68" s="982"/>
      <c r="J68" s="622"/>
      <c r="K68" s="982"/>
      <c r="L68" s="622"/>
      <c r="M68" s="1033"/>
      <c r="N68" s="1116"/>
      <c r="O68" s="1207"/>
      <c r="P68" s="1116"/>
      <c r="Q68" s="1207"/>
      <c r="R68" s="927"/>
      <c r="S68" s="927"/>
      <c r="T68" s="878"/>
    </row>
    <row r="69" spans="1:20" s="224" customFormat="1" ht="15" customHeight="1" x14ac:dyDescent="0.25">
      <c r="A69" s="215">
        <v>44848</v>
      </c>
      <c r="B69" s="364" t="s">
        <v>3499</v>
      </c>
      <c r="C69" s="350" t="s">
        <v>19</v>
      </c>
      <c r="D69" s="350" t="s">
        <v>1506</v>
      </c>
      <c r="E69" s="875" t="s">
        <v>13</v>
      </c>
      <c r="F69" s="780">
        <v>75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0" s="224" customFormat="1" ht="15" customHeight="1" x14ac:dyDescent="0.25">
      <c r="A70" s="215">
        <v>44848</v>
      </c>
      <c r="B70" s="364" t="s">
        <v>14</v>
      </c>
      <c r="C70" s="350" t="s">
        <v>12</v>
      </c>
      <c r="D70" s="350" t="s">
        <v>1486</v>
      </c>
      <c r="E70" s="875" t="s">
        <v>13</v>
      </c>
      <c r="F70" s="780">
        <v>24.78</v>
      </c>
      <c r="G70" s="946"/>
      <c r="H70" s="95"/>
      <c r="I70" s="1064"/>
      <c r="J70" s="622"/>
      <c r="K70" s="982"/>
      <c r="L70" s="95"/>
      <c r="M70" s="1064"/>
      <c r="N70" s="622"/>
      <c r="O70" s="982"/>
      <c r="P70" s="622"/>
      <c r="Q70" s="982"/>
      <c r="R70" s="861"/>
    </row>
    <row r="71" spans="1:20" s="224" customFormat="1" ht="15" customHeight="1" x14ac:dyDescent="0.25">
      <c r="A71" s="215">
        <v>44849</v>
      </c>
      <c r="B71" s="364" t="s">
        <v>14</v>
      </c>
      <c r="C71" s="350" t="s">
        <v>12</v>
      </c>
      <c r="D71" s="350" t="s">
        <v>1486</v>
      </c>
      <c r="E71" s="875" t="s">
        <v>13</v>
      </c>
      <c r="F71" s="780">
        <v>7.45</v>
      </c>
      <c r="G71" s="946"/>
      <c r="H71" s="95"/>
      <c r="I71" s="1064"/>
      <c r="J71" s="622"/>
      <c r="K71" s="982"/>
      <c r="L71" s="95"/>
      <c r="M71" s="1064"/>
      <c r="N71" s="622"/>
      <c r="O71" s="982"/>
      <c r="P71" s="622"/>
      <c r="Q71" s="982"/>
      <c r="R71" s="861"/>
    </row>
    <row r="72" spans="1:20" s="224" customFormat="1" ht="15" customHeight="1" x14ac:dyDescent="0.25">
      <c r="A72" s="215">
        <v>44849</v>
      </c>
      <c r="B72" s="882" t="s">
        <v>1331</v>
      </c>
      <c r="C72" s="879" t="s">
        <v>12</v>
      </c>
      <c r="D72" s="879" t="s">
        <v>2157</v>
      </c>
      <c r="E72" s="871" t="s">
        <v>13</v>
      </c>
      <c r="F72" s="780">
        <v>90</v>
      </c>
      <c r="G72" s="982"/>
      <c r="H72" s="622"/>
      <c r="I72" s="982"/>
      <c r="J72" s="622"/>
      <c r="K72" s="982"/>
      <c r="L72" s="622"/>
      <c r="M72" s="982"/>
      <c r="N72" s="622"/>
      <c r="O72" s="982"/>
      <c r="P72" s="622"/>
      <c r="Q72" s="982"/>
      <c r="R72" s="927"/>
      <c r="S72" s="927"/>
      <c r="T72" s="878"/>
    </row>
    <row r="73" spans="1:20" s="224" customFormat="1" ht="15" customHeight="1" x14ac:dyDescent="0.25">
      <c r="A73" s="215">
        <v>44849</v>
      </c>
      <c r="B73" s="364" t="s">
        <v>80</v>
      </c>
      <c r="C73" s="350" t="s">
        <v>12</v>
      </c>
      <c r="D73" s="350" t="s">
        <v>1523</v>
      </c>
      <c r="E73" s="875" t="s">
        <v>13</v>
      </c>
      <c r="F73" s="780">
        <v>31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982"/>
      <c r="R73" s="927"/>
      <c r="S73" s="927"/>
      <c r="T73" s="878"/>
    </row>
    <row r="74" spans="1:20" s="224" customFormat="1" ht="15" customHeight="1" x14ac:dyDescent="0.25">
      <c r="A74" s="215">
        <v>44850</v>
      </c>
      <c r="B74" s="364" t="s">
        <v>3500</v>
      </c>
      <c r="C74" s="350" t="s">
        <v>12</v>
      </c>
      <c r="D74" s="350" t="s">
        <v>1493</v>
      </c>
      <c r="E74" s="875" t="s">
        <v>13</v>
      </c>
      <c r="F74" s="780">
        <v>51</v>
      </c>
      <c r="G74" s="982"/>
      <c r="H74" s="622"/>
      <c r="I74" s="982"/>
      <c r="J74" s="622"/>
      <c r="K74" s="982"/>
      <c r="L74" s="622"/>
      <c r="M74" s="982"/>
      <c r="N74" s="622"/>
      <c r="O74" s="982"/>
      <c r="P74" s="622"/>
      <c r="Q74" s="982"/>
      <c r="R74" s="927"/>
      <c r="S74" s="927"/>
      <c r="T74" s="878"/>
    </row>
    <row r="75" spans="1:20" s="224" customFormat="1" ht="15" customHeight="1" x14ac:dyDescent="0.25">
      <c r="A75" s="215">
        <v>44851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18</v>
      </c>
      <c r="G75" s="946"/>
      <c r="H75" s="95"/>
      <c r="I75" s="1064"/>
      <c r="J75" s="622"/>
      <c r="K75" s="982"/>
      <c r="L75" s="622"/>
      <c r="M75" s="982"/>
      <c r="N75" s="622"/>
      <c r="O75" s="982"/>
      <c r="P75" s="622"/>
      <c r="Q75" s="982"/>
      <c r="R75" s="861"/>
    </row>
    <row r="76" spans="1:20" s="224" customFormat="1" ht="15" customHeight="1" x14ac:dyDescent="0.25">
      <c r="A76" s="215">
        <v>44851</v>
      </c>
      <c r="B76" s="882" t="s">
        <v>478</v>
      </c>
      <c r="C76" s="879" t="s">
        <v>12</v>
      </c>
      <c r="D76" s="879" t="s">
        <v>1496</v>
      </c>
      <c r="E76" s="875" t="s">
        <v>13</v>
      </c>
      <c r="F76" s="780">
        <v>14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982"/>
      <c r="R76" s="927"/>
      <c r="S76" s="927"/>
      <c r="T76" s="878"/>
    </row>
    <row r="77" spans="1:20" s="224" customFormat="1" ht="15" customHeight="1" x14ac:dyDescent="0.25">
      <c r="A77" s="215">
        <v>44852</v>
      </c>
      <c r="B77" s="364" t="s">
        <v>3325</v>
      </c>
      <c r="C77" s="350" t="s">
        <v>12</v>
      </c>
      <c r="D77" s="350" t="s">
        <v>1504</v>
      </c>
      <c r="E77" s="875" t="s">
        <v>13</v>
      </c>
      <c r="F77" s="780">
        <v>32.5</v>
      </c>
      <c r="G77" s="982"/>
      <c r="H77" s="622"/>
      <c r="I77" s="982"/>
      <c r="J77" s="622"/>
      <c r="K77" s="982"/>
      <c r="L77" s="622"/>
      <c r="M77" s="982"/>
      <c r="N77" s="622"/>
      <c r="O77" s="982"/>
      <c r="P77" s="622"/>
      <c r="Q77" s="982"/>
      <c r="R77" s="927"/>
      <c r="S77" s="927"/>
      <c r="T77" s="878"/>
    </row>
    <row r="78" spans="1:20" s="224" customFormat="1" ht="15" customHeight="1" x14ac:dyDescent="0.25">
      <c r="A78" s="215">
        <v>44852</v>
      </c>
      <c r="B78" s="364" t="s">
        <v>3501</v>
      </c>
      <c r="C78" s="350" t="s">
        <v>12</v>
      </c>
      <c r="D78" s="350" t="s">
        <v>1489</v>
      </c>
      <c r="E78" s="875" t="s">
        <v>13</v>
      </c>
      <c r="F78" s="780">
        <v>20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982"/>
      <c r="R78" s="927"/>
      <c r="S78" s="927"/>
      <c r="T78" s="878"/>
    </row>
    <row r="79" spans="1:20" s="224" customFormat="1" ht="15" customHeight="1" x14ac:dyDescent="0.25">
      <c r="A79" s="215">
        <v>44852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18</v>
      </c>
      <c r="G79" s="946"/>
      <c r="H79" s="95"/>
      <c r="I79" s="1064"/>
      <c r="J79" s="622"/>
      <c r="K79" s="982"/>
      <c r="L79" s="622"/>
      <c r="M79" s="982"/>
      <c r="N79" s="622"/>
      <c r="O79" s="982"/>
      <c r="P79" s="622"/>
      <c r="Q79" s="982"/>
      <c r="R79" s="861"/>
    </row>
    <row r="80" spans="1:20" s="224" customFormat="1" ht="15" customHeight="1" x14ac:dyDescent="0.25">
      <c r="A80" s="215">
        <v>44853</v>
      </c>
      <c r="B80" s="882" t="s">
        <v>3476</v>
      </c>
      <c r="C80" s="879" t="s">
        <v>12</v>
      </c>
      <c r="D80" s="879" t="s">
        <v>1489</v>
      </c>
      <c r="E80" s="875" t="s">
        <v>13</v>
      </c>
      <c r="F80" s="780">
        <v>10</v>
      </c>
      <c r="G80" s="946"/>
      <c r="H80" s="95"/>
      <c r="I80" s="1064"/>
      <c r="J80" s="622"/>
      <c r="K80" s="982"/>
      <c r="L80" s="622"/>
      <c r="M80" s="982"/>
      <c r="N80" s="622"/>
      <c r="O80" s="982"/>
      <c r="P80" s="622"/>
      <c r="Q80" s="982"/>
      <c r="R80" s="861"/>
    </row>
    <row r="81" spans="1:26" s="224" customFormat="1" ht="15" customHeight="1" x14ac:dyDescent="0.25">
      <c r="A81" s="215">
        <v>44853</v>
      </c>
      <c r="B81" s="882" t="s">
        <v>32</v>
      </c>
      <c r="C81" s="879" t="s">
        <v>12</v>
      </c>
      <c r="D81" s="879" t="s">
        <v>1485</v>
      </c>
      <c r="E81" s="875" t="s">
        <v>13</v>
      </c>
      <c r="F81" s="780">
        <v>10</v>
      </c>
      <c r="G81" s="946"/>
      <c r="H81" s="95"/>
      <c r="I81" s="1064"/>
      <c r="J81" s="622"/>
      <c r="K81" s="982"/>
      <c r="L81" s="622"/>
      <c r="M81" s="982"/>
      <c r="N81" s="622"/>
      <c r="O81" s="982"/>
      <c r="P81" s="622"/>
      <c r="Q81" s="982"/>
      <c r="R81" s="861"/>
    </row>
    <row r="82" spans="1:26" s="224" customFormat="1" ht="15" customHeight="1" x14ac:dyDescent="0.25">
      <c r="A82" s="215">
        <v>44853</v>
      </c>
      <c r="B82" s="862" t="s">
        <v>3330</v>
      </c>
      <c r="C82" s="879" t="s">
        <v>12</v>
      </c>
      <c r="D82" s="879" t="s">
        <v>1504</v>
      </c>
      <c r="E82" s="871" t="s">
        <v>13</v>
      </c>
      <c r="F82" s="622">
        <v>40</v>
      </c>
      <c r="G82" s="1034"/>
      <c r="H82" s="1008"/>
      <c r="I82" s="1063"/>
      <c r="J82" s="622"/>
      <c r="K82" s="982"/>
      <c r="L82" s="622"/>
      <c r="M82" s="982"/>
      <c r="N82" s="622"/>
      <c r="O82" s="982"/>
      <c r="P82" s="622"/>
      <c r="Q82" s="982"/>
      <c r="R82" s="1223" t="s">
        <v>3502</v>
      </c>
      <c r="T82" s="878"/>
    </row>
    <row r="83" spans="1:26" s="224" customFormat="1" ht="15" customHeight="1" x14ac:dyDescent="0.25">
      <c r="A83" s="215">
        <v>44853</v>
      </c>
      <c r="B83" s="364" t="s">
        <v>14</v>
      </c>
      <c r="C83" s="350" t="s">
        <v>12</v>
      </c>
      <c r="D83" s="350" t="s">
        <v>1486</v>
      </c>
      <c r="E83" s="875" t="s">
        <v>13</v>
      </c>
      <c r="F83" s="780">
        <v>6.94</v>
      </c>
      <c r="G83" s="982"/>
      <c r="H83" s="622"/>
      <c r="I83" s="982"/>
      <c r="J83" s="622"/>
      <c r="K83" s="982"/>
      <c r="L83" s="622"/>
      <c r="M83" s="982"/>
      <c r="N83" s="622"/>
      <c r="O83" s="982"/>
      <c r="P83" s="622"/>
      <c r="Q83" s="982"/>
      <c r="R83" s="927"/>
      <c r="S83" s="927"/>
      <c r="T83" s="878"/>
    </row>
    <row r="84" spans="1:26" s="224" customFormat="1" ht="15" customHeight="1" x14ac:dyDescent="0.25">
      <c r="A84" s="215">
        <v>44854</v>
      </c>
      <c r="B84" s="882" t="s">
        <v>3503</v>
      </c>
      <c r="C84" s="350" t="s">
        <v>12</v>
      </c>
      <c r="D84" s="350"/>
      <c r="E84" s="480" t="s">
        <v>25</v>
      </c>
      <c r="F84" s="622"/>
      <c r="G84" s="982">
        <v>2000</v>
      </c>
      <c r="H84" s="1008"/>
      <c r="I84" s="1063"/>
      <c r="J84" s="622"/>
      <c r="K84" s="982"/>
      <c r="L84" s="622"/>
      <c r="M84" s="982"/>
      <c r="N84" s="622"/>
      <c r="O84" s="982"/>
      <c r="P84" s="622"/>
      <c r="Q84" s="982"/>
      <c r="R84" s="861"/>
    </row>
    <row r="85" spans="1:26" s="224" customFormat="1" ht="15" customHeight="1" x14ac:dyDescent="0.25">
      <c r="A85" s="215">
        <v>44854</v>
      </c>
      <c r="B85" s="862" t="s">
        <v>2867</v>
      </c>
      <c r="C85" s="350" t="s">
        <v>12</v>
      </c>
      <c r="D85" s="874" t="s">
        <v>1504</v>
      </c>
      <c r="E85" s="887" t="s">
        <v>13</v>
      </c>
      <c r="F85" s="1107"/>
      <c r="G85" s="982"/>
      <c r="H85" s="1009"/>
      <c r="I85" s="1063"/>
      <c r="J85" s="853"/>
      <c r="K85" s="982"/>
      <c r="L85" s="853"/>
      <c r="M85" s="982"/>
      <c r="N85" s="622"/>
      <c r="O85" s="982"/>
      <c r="P85" s="622"/>
      <c r="Q85" s="982"/>
      <c r="R85" s="3166" t="s">
        <v>3362</v>
      </c>
      <c r="S85" s="3166"/>
      <c r="T85" s="3166"/>
      <c r="U85" s="3166"/>
      <c r="V85" s="3166"/>
      <c r="W85" s="3166"/>
      <c r="X85" s="3166"/>
      <c r="Y85" s="3166"/>
      <c r="Z85" s="3166"/>
    </row>
    <row r="86" spans="1:26" s="224" customFormat="1" x14ac:dyDescent="0.25">
      <c r="A86" s="215">
        <v>44854</v>
      </c>
      <c r="B86" s="364" t="s">
        <v>2977</v>
      </c>
      <c r="C86" s="350" t="s">
        <v>12</v>
      </c>
      <c r="D86" s="350" t="s">
        <v>1491</v>
      </c>
      <c r="E86" s="875" t="s">
        <v>13</v>
      </c>
      <c r="F86" s="1047">
        <v>300</v>
      </c>
      <c r="G86" s="982"/>
      <c r="H86" s="1008"/>
      <c r="I86" s="1063"/>
      <c r="J86" s="622"/>
      <c r="K86" s="982"/>
      <c r="L86" s="622"/>
      <c r="M86" s="982"/>
      <c r="N86" s="622"/>
      <c r="O86" s="982"/>
      <c r="P86" s="622"/>
      <c r="Q86" s="982"/>
      <c r="R86" s="1029"/>
      <c r="S86" s="89"/>
      <c r="T86" s="930"/>
    </row>
    <row r="87" spans="1:26" s="224" customFormat="1" ht="15" customHeight="1" x14ac:dyDescent="0.25">
      <c r="A87" s="215">
        <v>44854</v>
      </c>
      <c r="B87" s="349" t="s">
        <v>3504</v>
      </c>
      <c r="C87" s="887" t="s">
        <v>12</v>
      </c>
      <c r="D87" s="350" t="s">
        <v>1506</v>
      </c>
      <c r="E87" s="887" t="s">
        <v>13</v>
      </c>
      <c r="F87" s="613">
        <v>74.12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982"/>
      <c r="R87" s="927"/>
      <c r="S87" s="999"/>
      <c r="T87" s="878"/>
    </row>
    <row r="88" spans="1:26" s="224" customFormat="1" ht="15" customHeight="1" x14ac:dyDescent="0.25">
      <c r="A88" s="215">
        <v>44854</v>
      </c>
      <c r="B88" s="349" t="s">
        <v>3504</v>
      </c>
      <c r="C88" s="887" t="s">
        <v>12</v>
      </c>
      <c r="D88" s="350" t="s">
        <v>1525</v>
      </c>
      <c r="E88" s="887" t="s">
        <v>13</v>
      </c>
      <c r="F88" s="613">
        <v>5</v>
      </c>
      <c r="G88" s="982"/>
      <c r="H88" s="872"/>
      <c r="I88" s="1063"/>
      <c r="J88" s="622"/>
      <c r="K88" s="982"/>
      <c r="L88" s="622"/>
      <c r="M88" s="982"/>
      <c r="N88" s="622"/>
      <c r="O88" s="982"/>
      <c r="P88" s="622"/>
      <c r="Q88" s="982"/>
      <c r="R88" s="927"/>
      <c r="S88" s="999"/>
      <c r="T88" s="878"/>
    </row>
    <row r="89" spans="1:26" s="224" customFormat="1" ht="15" customHeight="1" x14ac:dyDescent="0.25">
      <c r="A89" s="215">
        <v>44854</v>
      </c>
      <c r="B89" s="349" t="s">
        <v>3504</v>
      </c>
      <c r="C89" s="887" t="s">
        <v>12</v>
      </c>
      <c r="D89" s="350" t="s">
        <v>1506</v>
      </c>
      <c r="E89" s="887" t="s">
        <v>13</v>
      </c>
      <c r="F89" s="613">
        <v>75</v>
      </c>
      <c r="G89" s="982"/>
      <c r="H89" s="872"/>
      <c r="I89" s="1063"/>
      <c r="J89" s="622"/>
      <c r="K89" s="982"/>
      <c r="L89" s="622"/>
      <c r="M89" s="982"/>
      <c r="N89" s="622"/>
      <c r="O89" s="982"/>
      <c r="P89" s="622"/>
      <c r="Q89" s="982"/>
      <c r="R89" s="927"/>
      <c r="S89" s="999"/>
      <c r="T89" s="878"/>
    </row>
    <row r="90" spans="1:26" s="224" customFormat="1" ht="15" customHeight="1" x14ac:dyDescent="0.25">
      <c r="A90" s="215">
        <v>44854</v>
      </c>
      <c r="B90" s="882" t="s">
        <v>3505</v>
      </c>
      <c r="C90" s="879" t="s">
        <v>12</v>
      </c>
      <c r="D90" s="879" t="s">
        <v>1499</v>
      </c>
      <c r="E90" s="871" t="s">
        <v>13</v>
      </c>
      <c r="F90" s="780">
        <v>31.32</v>
      </c>
      <c r="G90" s="982"/>
      <c r="H90" s="1008"/>
      <c r="I90" s="1063"/>
      <c r="J90" s="622"/>
      <c r="K90" s="982"/>
      <c r="L90" s="622"/>
      <c r="M90" s="982"/>
      <c r="N90" s="622"/>
      <c r="O90" s="982"/>
      <c r="P90" s="622"/>
      <c r="Q90" s="982"/>
      <c r="R90" s="861"/>
      <c r="T90" s="1123"/>
      <c r="U90" s="999"/>
    </row>
    <row r="91" spans="1:26" s="224" customFormat="1" ht="15" customHeight="1" x14ac:dyDescent="0.25">
      <c r="A91" s="215">
        <v>44854</v>
      </c>
      <c r="B91" s="882" t="s">
        <v>3506</v>
      </c>
      <c r="C91" s="879" t="s">
        <v>12</v>
      </c>
      <c r="D91" s="879" t="s">
        <v>1506</v>
      </c>
      <c r="E91" s="875" t="s">
        <v>13</v>
      </c>
      <c r="F91" s="780">
        <v>80</v>
      </c>
      <c r="G91" s="982"/>
      <c r="H91" s="622"/>
      <c r="I91" s="982"/>
      <c r="J91" s="622"/>
      <c r="K91" s="982"/>
      <c r="L91" s="622"/>
      <c r="M91" s="982"/>
      <c r="N91" s="622"/>
      <c r="O91" s="982"/>
      <c r="P91" s="622"/>
      <c r="Q91" s="982"/>
      <c r="R91" s="927">
        <v>80</v>
      </c>
      <c r="T91" s="878"/>
    </row>
    <row r="92" spans="1:26" s="224" customFormat="1" ht="15" customHeight="1" x14ac:dyDescent="0.25">
      <c r="A92" s="215">
        <v>44854</v>
      </c>
      <c r="B92" s="349" t="s">
        <v>260</v>
      </c>
      <c r="C92" s="350" t="s">
        <v>12</v>
      </c>
      <c r="D92" s="350"/>
      <c r="E92" s="480"/>
      <c r="F92" s="780">
        <v>700</v>
      </c>
      <c r="G92" s="946"/>
      <c r="H92" s="95"/>
      <c r="I92" s="1064">
        <v>700</v>
      </c>
      <c r="J92" s="622"/>
      <c r="K92" s="982"/>
      <c r="L92" s="613"/>
      <c r="M92" s="627"/>
      <c r="N92" s="613"/>
      <c r="O92" s="627"/>
      <c r="P92" s="613"/>
      <c r="Q92" s="627"/>
      <c r="R92" s="1080"/>
    </row>
    <row r="93" spans="1:26" s="224" customFormat="1" ht="15" customHeight="1" x14ac:dyDescent="0.25">
      <c r="A93" s="215">
        <v>44854</v>
      </c>
      <c r="B93" s="882" t="s">
        <v>17</v>
      </c>
      <c r="C93" s="879" t="s">
        <v>12</v>
      </c>
      <c r="D93" s="879" t="s">
        <v>1493</v>
      </c>
      <c r="E93" s="875" t="s">
        <v>13</v>
      </c>
      <c r="F93" s="780">
        <v>6</v>
      </c>
      <c r="G93" s="982"/>
      <c r="H93" s="622"/>
      <c r="I93" s="982"/>
      <c r="J93" s="880"/>
      <c r="K93" s="1033"/>
      <c r="L93" s="880"/>
      <c r="M93" s="1033"/>
      <c r="N93" s="1116"/>
      <c r="O93" s="1207"/>
      <c r="P93" s="1116"/>
      <c r="Q93" s="1207"/>
      <c r="R93" s="927"/>
      <c r="S93" s="927"/>
      <c r="T93" s="878"/>
    </row>
    <row r="94" spans="1:26" s="224" customFormat="1" ht="15" customHeight="1" x14ac:dyDescent="0.25">
      <c r="A94" s="215">
        <v>44855</v>
      </c>
      <c r="B94" s="882" t="s">
        <v>32</v>
      </c>
      <c r="C94" s="879" t="s">
        <v>12</v>
      </c>
      <c r="D94" s="879" t="s">
        <v>1485</v>
      </c>
      <c r="E94" s="875" t="s">
        <v>13</v>
      </c>
      <c r="F94" s="780">
        <v>18</v>
      </c>
      <c r="G94" s="982"/>
      <c r="H94" s="622"/>
      <c r="I94" s="982"/>
      <c r="J94" s="622"/>
      <c r="K94" s="982"/>
      <c r="L94" s="622"/>
      <c r="M94" s="982"/>
      <c r="N94" s="622"/>
      <c r="O94" s="982"/>
      <c r="P94" s="622"/>
      <c r="Q94" s="982"/>
      <c r="R94" s="927"/>
      <c r="T94" s="878"/>
    </row>
    <row r="95" spans="1:26" s="224" customFormat="1" ht="15" customHeight="1" x14ac:dyDescent="0.25">
      <c r="A95" s="215">
        <v>44855</v>
      </c>
      <c r="B95" s="882" t="s">
        <v>1331</v>
      </c>
      <c r="C95" s="879" t="s">
        <v>12</v>
      </c>
      <c r="D95" s="879" t="s">
        <v>2157</v>
      </c>
      <c r="E95" s="871" t="s">
        <v>13</v>
      </c>
      <c r="F95" s="780">
        <v>80</v>
      </c>
      <c r="G95" s="982"/>
      <c r="H95" s="622"/>
      <c r="I95" s="982"/>
      <c r="J95" s="622"/>
      <c r="K95" s="982"/>
      <c r="L95" s="622"/>
      <c r="M95" s="982"/>
      <c r="N95" s="622"/>
      <c r="O95" s="982"/>
      <c r="P95" s="622"/>
      <c r="Q95" s="982"/>
      <c r="R95" s="927"/>
      <c r="S95" s="927"/>
      <c r="T95" s="878"/>
    </row>
    <row r="96" spans="1:26" s="224" customFormat="1" ht="15" customHeight="1" x14ac:dyDescent="0.25">
      <c r="A96" s="215">
        <v>44855</v>
      </c>
      <c r="B96" s="882" t="s">
        <v>443</v>
      </c>
      <c r="C96" s="879" t="s">
        <v>12</v>
      </c>
      <c r="D96" s="879" t="s">
        <v>1493</v>
      </c>
      <c r="E96" s="875" t="s">
        <v>13</v>
      </c>
      <c r="F96" s="780">
        <v>18.5</v>
      </c>
      <c r="G96" s="982"/>
      <c r="H96" s="622"/>
      <c r="I96" s="982"/>
      <c r="J96" s="622"/>
      <c r="K96" s="982"/>
      <c r="L96" s="622"/>
      <c r="M96" s="982"/>
      <c r="N96" s="880"/>
      <c r="O96" s="1033"/>
      <c r="P96" s="880"/>
      <c r="Q96" s="1033"/>
      <c r="R96" s="927"/>
      <c r="T96" s="878"/>
    </row>
    <row r="97" spans="1:21" s="224" customFormat="1" ht="15" customHeight="1" x14ac:dyDescent="0.25">
      <c r="A97" s="215">
        <v>44855</v>
      </c>
      <c r="B97" s="364" t="s">
        <v>14</v>
      </c>
      <c r="C97" s="350" t="s">
        <v>12</v>
      </c>
      <c r="D97" s="350" t="s">
        <v>1486</v>
      </c>
      <c r="E97" s="875" t="s">
        <v>13</v>
      </c>
      <c r="F97" s="780">
        <v>6.55</v>
      </c>
      <c r="G97" s="982"/>
      <c r="H97" s="622"/>
      <c r="I97" s="982"/>
      <c r="J97" s="622"/>
      <c r="K97" s="982"/>
      <c r="L97" s="622"/>
      <c r="M97" s="982"/>
      <c r="N97" s="622"/>
      <c r="O97" s="982"/>
      <c r="P97" s="622"/>
      <c r="Q97" s="982"/>
      <c r="R97" s="927"/>
      <c r="S97" s="927"/>
      <c r="T97" s="878"/>
    </row>
    <row r="98" spans="1:21" s="224" customFormat="1" ht="15" customHeight="1" x14ac:dyDescent="0.25">
      <c r="A98" s="215">
        <v>44856</v>
      </c>
      <c r="B98" s="882" t="s">
        <v>1906</v>
      </c>
      <c r="C98" s="879" t="s">
        <v>12</v>
      </c>
      <c r="D98" s="879" t="s">
        <v>1493</v>
      </c>
      <c r="E98" s="871" t="s">
        <v>13</v>
      </c>
      <c r="F98" s="780">
        <v>36</v>
      </c>
      <c r="G98" s="946"/>
      <c r="H98" s="95"/>
      <c r="I98" s="1064"/>
      <c r="J98" s="622"/>
      <c r="K98" s="982"/>
      <c r="L98" s="622"/>
      <c r="M98" s="982"/>
      <c r="N98" s="622"/>
      <c r="O98" s="982"/>
      <c r="P98" s="622"/>
      <c r="Q98" s="982"/>
      <c r="R98" s="861"/>
    </row>
    <row r="99" spans="1:21" s="224" customFormat="1" ht="15" customHeight="1" x14ac:dyDescent="0.25">
      <c r="A99" s="215">
        <v>44857</v>
      </c>
      <c r="B99" s="364" t="s">
        <v>14</v>
      </c>
      <c r="C99" s="350" t="s">
        <v>12</v>
      </c>
      <c r="D99" s="350" t="s">
        <v>1486</v>
      </c>
      <c r="E99" s="875" t="s">
        <v>13</v>
      </c>
      <c r="F99" s="780">
        <v>10</v>
      </c>
      <c r="G99" s="982"/>
      <c r="H99" s="622"/>
      <c r="I99" s="982"/>
      <c r="J99" s="622"/>
      <c r="K99" s="982"/>
      <c r="L99" s="622"/>
      <c r="M99" s="982"/>
      <c r="N99" s="622"/>
      <c r="O99" s="982"/>
      <c r="P99" s="622"/>
      <c r="Q99" s="982"/>
      <c r="R99" s="927"/>
      <c r="S99" s="927"/>
      <c r="T99" s="878"/>
    </row>
    <row r="100" spans="1:21" s="224" customFormat="1" ht="15" customHeight="1" x14ac:dyDescent="0.25">
      <c r="A100" s="215">
        <v>44857</v>
      </c>
      <c r="B100" s="882" t="s">
        <v>1820</v>
      </c>
      <c r="C100" s="879" t="s">
        <v>12</v>
      </c>
      <c r="D100" s="879" t="s">
        <v>1496</v>
      </c>
      <c r="E100" s="871" t="s">
        <v>13</v>
      </c>
      <c r="F100" s="780">
        <v>20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622"/>
      <c r="Q100" s="982"/>
      <c r="R100" s="1028"/>
      <c r="U100" s="958"/>
    </row>
    <row r="101" spans="1:21" s="224" customFormat="1" ht="15" customHeight="1" x14ac:dyDescent="0.25">
      <c r="A101" s="215">
        <v>44857</v>
      </c>
      <c r="B101" s="882" t="s">
        <v>443</v>
      </c>
      <c r="C101" s="879" t="s">
        <v>12</v>
      </c>
      <c r="D101" s="879" t="s">
        <v>1493</v>
      </c>
      <c r="E101" s="875" t="s">
        <v>13</v>
      </c>
      <c r="F101" s="780">
        <v>18.5</v>
      </c>
      <c r="G101" s="982"/>
      <c r="H101" s="622"/>
      <c r="I101" s="982"/>
      <c r="J101" s="622"/>
      <c r="K101" s="982"/>
      <c r="L101" s="622"/>
      <c r="M101" s="982"/>
      <c r="N101" s="880"/>
      <c r="O101" s="1033"/>
      <c r="P101" s="880"/>
      <c r="Q101" s="1033"/>
      <c r="R101" s="927"/>
      <c r="T101" s="878"/>
    </row>
    <row r="102" spans="1:21" s="224" customFormat="1" ht="15" customHeight="1" x14ac:dyDescent="0.25">
      <c r="A102" s="215">
        <v>44858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18</v>
      </c>
      <c r="G102" s="982"/>
      <c r="H102" s="622"/>
      <c r="I102" s="982"/>
      <c r="J102" s="622"/>
      <c r="K102" s="982"/>
      <c r="L102" s="622"/>
      <c r="M102" s="982"/>
      <c r="N102" s="622"/>
      <c r="O102" s="982"/>
      <c r="P102" s="622"/>
      <c r="Q102" s="982"/>
      <c r="R102" s="927"/>
      <c r="T102" s="878"/>
    </row>
    <row r="103" spans="1:21" s="224" customFormat="1" ht="15" customHeight="1" x14ac:dyDescent="0.25">
      <c r="A103" s="215">
        <v>44858</v>
      </c>
      <c r="B103" s="882" t="s">
        <v>478</v>
      </c>
      <c r="C103" s="879" t="s">
        <v>12</v>
      </c>
      <c r="D103" s="879" t="s">
        <v>1496</v>
      </c>
      <c r="E103" s="875" t="s">
        <v>13</v>
      </c>
      <c r="F103" s="780">
        <v>14.72</v>
      </c>
      <c r="G103" s="982"/>
      <c r="H103" s="622"/>
      <c r="I103" s="982"/>
      <c r="J103" s="622"/>
      <c r="K103" s="982"/>
      <c r="L103" s="622"/>
      <c r="M103" s="982"/>
      <c r="N103" s="880"/>
      <c r="O103" s="1033"/>
      <c r="P103" s="880"/>
      <c r="Q103" s="1033"/>
      <c r="R103" s="927"/>
      <c r="T103" s="878"/>
    </row>
    <row r="104" spans="1:21" s="224" customFormat="1" ht="15" customHeight="1" x14ac:dyDescent="0.25">
      <c r="A104" s="215">
        <v>44859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18</v>
      </c>
      <c r="G104" s="982"/>
      <c r="H104" s="622"/>
      <c r="I104" s="982"/>
      <c r="J104" s="622"/>
      <c r="K104" s="982"/>
      <c r="L104" s="622"/>
      <c r="M104" s="982"/>
      <c r="N104" s="622"/>
      <c r="O104" s="982"/>
      <c r="P104" s="622"/>
      <c r="Q104" s="982"/>
      <c r="R104" s="927"/>
      <c r="T104" s="878"/>
    </row>
    <row r="105" spans="1:21" s="224" customFormat="1" ht="15" customHeight="1" x14ac:dyDescent="0.25">
      <c r="A105" s="215">
        <v>44859</v>
      </c>
      <c r="B105" s="882" t="s">
        <v>17</v>
      </c>
      <c r="C105" s="879" t="s">
        <v>12</v>
      </c>
      <c r="D105" s="879" t="s">
        <v>1493</v>
      </c>
      <c r="E105" s="875" t="s">
        <v>13</v>
      </c>
      <c r="F105" s="780">
        <v>6</v>
      </c>
      <c r="G105" s="946"/>
      <c r="H105" s="95"/>
      <c r="I105" s="1064"/>
      <c r="J105" s="622"/>
      <c r="K105" s="982"/>
      <c r="L105" s="622"/>
      <c r="M105" s="982"/>
      <c r="N105" s="1110"/>
      <c r="O105" s="1208"/>
      <c r="P105" s="1110"/>
      <c r="Q105" s="1208"/>
      <c r="R105" s="1028"/>
      <c r="U105" s="958"/>
    </row>
    <row r="106" spans="1:21" s="224" customFormat="1" ht="15" customHeight="1" x14ac:dyDescent="0.25">
      <c r="A106" s="215">
        <v>44860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11.5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982"/>
      <c r="R106" s="927"/>
      <c r="T106" s="878"/>
    </row>
    <row r="107" spans="1:21" s="224" customFormat="1" ht="15" customHeight="1" x14ac:dyDescent="0.25">
      <c r="A107" s="215">
        <v>44860</v>
      </c>
      <c r="B107" s="882" t="s">
        <v>1331</v>
      </c>
      <c r="C107" s="879" t="s">
        <v>12</v>
      </c>
      <c r="D107" s="879" t="s">
        <v>2157</v>
      </c>
      <c r="E107" s="871" t="s">
        <v>13</v>
      </c>
      <c r="F107" s="780">
        <v>70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982"/>
      <c r="R107" s="927"/>
      <c r="S107" s="927"/>
      <c r="T107" s="878"/>
    </row>
    <row r="108" spans="1:21" s="224" customFormat="1" ht="15" customHeight="1" x14ac:dyDescent="0.25">
      <c r="A108" s="215">
        <v>44860</v>
      </c>
      <c r="B108" s="882" t="s">
        <v>2629</v>
      </c>
      <c r="C108" s="879" t="s">
        <v>12</v>
      </c>
      <c r="D108" s="879" t="s">
        <v>1489</v>
      </c>
      <c r="E108" s="871" t="s">
        <v>13</v>
      </c>
      <c r="F108" s="780">
        <v>25.79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982"/>
      <c r="R108" s="1028"/>
      <c r="U108" s="958"/>
    </row>
    <row r="109" spans="1:21" s="224" customFormat="1" ht="15" customHeight="1" x14ac:dyDescent="0.25">
      <c r="A109" s="215">
        <v>44860</v>
      </c>
      <c r="B109" s="364" t="s">
        <v>14</v>
      </c>
      <c r="C109" s="350" t="s">
        <v>12</v>
      </c>
      <c r="D109" s="350" t="s">
        <v>1486</v>
      </c>
      <c r="E109" s="875" t="s">
        <v>13</v>
      </c>
      <c r="F109" s="780">
        <v>8</v>
      </c>
      <c r="G109" s="982"/>
      <c r="H109" s="622"/>
      <c r="I109" s="982"/>
      <c r="J109" s="622"/>
      <c r="K109" s="982"/>
      <c r="L109" s="622"/>
      <c r="M109" s="982"/>
      <c r="N109" s="622"/>
      <c r="O109" s="982"/>
      <c r="P109" s="622"/>
      <c r="Q109" s="982"/>
      <c r="R109" s="927"/>
      <c r="S109" s="927"/>
      <c r="T109" s="878"/>
    </row>
    <row r="110" spans="1:21" s="224" customFormat="1" ht="15" customHeight="1" x14ac:dyDescent="0.25">
      <c r="A110" s="215">
        <v>44861</v>
      </c>
      <c r="B110" s="882" t="s">
        <v>32</v>
      </c>
      <c r="C110" s="879" t="s">
        <v>12</v>
      </c>
      <c r="D110" s="879" t="s">
        <v>1485</v>
      </c>
      <c r="E110" s="875" t="s">
        <v>13</v>
      </c>
      <c r="F110" s="780">
        <v>18</v>
      </c>
      <c r="G110" s="982"/>
      <c r="H110" s="622"/>
      <c r="I110" s="982"/>
      <c r="J110" s="622"/>
      <c r="K110" s="982"/>
      <c r="L110" s="622"/>
      <c r="M110" s="982"/>
      <c r="N110" s="622"/>
      <c r="O110" s="982"/>
      <c r="P110" s="622"/>
      <c r="Q110" s="982"/>
      <c r="R110" s="927"/>
      <c r="T110" s="878"/>
    </row>
    <row r="111" spans="1:21" s="224" customFormat="1" ht="15" customHeight="1" x14ac:dyDescent="0.25">
      <c r="A111" s="215">
        <v>44861</v>
      </c>
      <c r="B111" s="364" t="s">
        <v>14</v>
      </c>
      <c r="C111" s="350" t="s">
        <v>12</v>
      </c>
      <c r="D111" s="350" t="s">
        <v>1486</v>
      </c>
      <c r="E111" s="875" t="s">
        <v>13</v>
      </c>
      <c r="F111" s="780">
        <v>5.73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622"/>
      <c r="Q111" s="982"/>
      <c r="R111" s="1028"/>
      <c r="U111" s="958"/>
    </row>
    <row r="112" spans="1:21" s="224" customFormat="1" ht="15" customHeight="1" x14ac:dyDescent="0.25">
      <c r="A112" s="215">
        <v>44862</v>
      </c>
      <c r="B112" s="882" t="s">
        <v>32</v>
      </c>
      <c r="C112" s="879" t="s">
        <v>12</v>
      </c>
      <c r="D112" s="879" t="s">
        <v>1485</v>
      </c>
      <c r="E112" s="875" t="s">
        <v>13</v>
      </c>
      <c r="F112" s="780">
        <v>18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622"/>
      <c r="Q112" s="982"/>
      <c r="R112" s="927"/>
      <c r="T112" s="878"/>
    </row>
    <row r="113" spans="1:26" s="224" customFormat="1" ht="15" customHeight="1" x14ac:dyDescent="0.25">
      <c r="A113" s="215">
        <v>44862</v>
      </c>
      <c r="B113" s="882" t="s">
        <v>443</v>
      </c>
      <c r="C113" s="879" t="s">
        <v>12</v>
      </c>
      <c r="D113" s="879" t="s">
        <v>1493</v>
      </c>
      <c r="E113" s="871" t="s">
        <v>13</v>
      </c>
      <c r="F113" s="780">
        <v>18.5</v>
      </c>
      <c r="G113" s="982"/>
      <c r="H113" s="622"/>
      <c r="I113" s="982"/>
      <c r="J113" s="622"/>
      <c r="K113" s="982"/>
      <c r="L113" s="622"/>
      <c r="M113" s="982"/>
      <c r="N113" s="622"/>
      <c r="O113" s="982"/>
      <c r="P113" s="622"/>
      <c r="Q113" s="982"/>
      <c r="R113" s="1028"/>
      <c r="S113" s="959"/>
      <c r="T113" s="878"/>
      <c r="U113" s="958"/>
    </row>
    <row r="114" spans="1:26" s="224" customFormat="1" ht="15" customHeight="1" x14ac:dyDescent="0.25">
      <c r="A114" s="215">
        <v>44863</v>
      </c>
      <c r="B114" s="364" t="s">
        <v>82</v>
      </c>
      <c r="C114" s="350" t="s">
        <v>12</v>
      </c>
      <c r="D114" s="350" t="s">
        <v>1493</v>
      </c>
      <c r="E114" s="875" t="s">
        <v>13</v>
      </c>
      <c r="F114" s="780">
        <v>55.89</v>
      </c>
      <c r="G114" s="982"/>
      <c r="H114" s="1008"/>
      <c r="I114" s="1063"/>
      <c r="J114" s="622"/>
      <c r="K114" s="982"/>
      <c r="L114" s="622"/>
      <c r="M114" s="982"/>
      <c r="N114" s="622"/>
      <c r="O114" s="982"/>
      <c r="P114" s="622"/>
      <c r="Q114" s="982"/>
      <c r="R114" s="861"/>
      <c r="T114" s="1035"/>
    </row>
    <row r="115" spans="1:26" s="224" customFormat="1" ht="15" customHeight="1" x14ac:dyDescent="0.25">
      <c r="A115" s="215">
        <v>44863</v>
      </c>
      <c r="B115" s="364" t="s">
        <v>14</v>
      </c>
      <c r="C115" s="350" t="s">
        <v>12</v>
      </c>
      <c r="D115" s="350" t="s">
        <v>1486</v>
      </c>
      <c r="E115" s="875" t="s">
        <v>13</v>
      </c>
      <c r="F115" s="780">
        <v>11.67</v>
      </c>
      <c r="G115" s="946"/>
      <c r="H115" s="95"/>
      <c r="I115" s="1064"/>
      <c r="J115" s="622"/>
      <c r="K115" s="982"/>
      <c r="L115" s="622"/>
      <c r="M115" s="982"/>
      <c r="N115" s="622"/>
      <c r="O115" s="982"/>
      <c r="P115" s="622"/>
      <c r="Q115" s="982"/>
      <c r="R115" s="1028"/>
      <c r="U115" s="958"/>
    </row>
    <row r="116" spans="1:26" s="224" customFormat="1" ht="15" customHeight="1" x14ac:dyDescent="0.25">
      <c r="A116" s="215">
        <v>44864</v>
      </c>
      <c r="B116" s="349"/>
      <c r="C116" s="350"/>
      <c r="D116" s="350"/>
      <c r="E116" s="480"/>
      <c r="F116" s="780"/>
      <c r="G116" s="946"/>
      <c r="H116" s="95"/>
      <c r="I116" s="1064"/>
      <c r="J116" s="622"/>
      <c r="K116" s="982"/>
      <c r="L116" s="622"/>
      <c r="M116" s="982"/>
      <c r="N116" s="622"/>
      <c r="O116" s="982"/>
      <c r="P116" s="622"/>
      <c r="Q116" s="982"/>
      <c r="R116" s="861"/>
      <c r="T116" s="927"/>
      <c r="U116" s="999"/>
    </row>
    <row r="117" spans="1:26" s="224" customFormat="1" ht="15" customHeight="1" x14ac:dyDescent="0.25">
      <c r="A117" s="215">
        <v>44865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14.37</v>
      </c>
      <c r="G117" s="982"/>
      <c r="H117" s="1008"/>
      <c r="I117" s="1063"/>
      <c r="J117" s="622"/>
      <c r="K117" s="982"/>
      <c r="L117" s="622"/>
      <c r="M117" s="982"/>
      <c r="N117" s="880"/>
      <c r="O117" s="1033"/>
      <c r="P117" s="880"/>
      <c r="Q117" s="1033"/>
      <c r="R117" s="861"/>
      <c r="T117" s="1080"/>
      <c r="U117" s="999"/>
    </row>
    <row r="118" spans="1:26" s="224" customFormat="1" ht="15.75" thickBot="1" x14ac:dyDescent="0.3">
      <c r="A118" s="215">
        <v>44865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622"/>
      <c r="K118" s="982">
        <v>65.45</v>
      </c>
      <c r="L118" s="1036"/>
      <c r="M118" s="1535"/>
      <c r="N118" s="622"/>
      <c r="O118" s="982"/>
      <c r="P118" s="622"/>
      <c r="Q118" s="982"/>
      <c r="R118" s="475"/>
      <c r="T118" s="878"/>
    </row>
    <row r="119" spans="1:26" ht="25.5" customHeight="1" thickBot="1" x14ac:dyDescent="0.3">
      <c r="A119" s="3060"/>
      <c r="B119" s="3061"/>
      <c r="C119" s="3062"/>
      <c r="D119" s="3062"/>
      <c r="E119" s="3062"/>
      <c r="F119" s="1020">
        <f>SUM(F6:F118)</f>
        <v>10142.694999999998</v>
      </c>
      <c r="G119" s="1534">
        <f>SUM(G5:G118)</f>
        <v>10644.344583333355</v>
      </c>
      <c r="H119" s="517">
        <f>SUM(H6:H118)</f>
        <v>1150</v>
      </c>
      <c r="I119" s="93">
        <f>SUM(I5:I118)</f>
        <v>3349.9959999999992</v>
      </c>
      <c r="J119" s="1023">
        <f>SUM(J6:J118)</f>
        <v>0</v>
      </c>
      <c r="K119" s="93">
        <f>SUM(K5:K118)</f>
        <v>8114.6500000000005</v>
      </c>
      <c r="L119" s="1023">
        <f>SUM(L6:L118)</f>
        <v>0</v>
      </c>
      <c r="M119" s="93">
        <f>SUM(M5:M118)</f>
        <v>15289.919999999998</v>
      </c>
      <c r="N119" s="1211">
        <f>SUM(N6:N118)</f>
        <v>0</v>
      </c>
      <c r="O119" s="93">
        <f>SUM(O5:O118)</f>
        <v>10956.189999999999</v>
      </c>
      <c r="P119" s="1211">
        <f>SUM(P6:P118)</f>
        <v>4944.25</v>
      </c>
      <c r="Q119" s="93">
        <f>SUM(Q5:Q118)</f>
        <v>41438.805984720006</v>
      </c>
      <c r="S119" s="216"/>
    </row>
    <row r="120" spans="1:26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501.64958333335744</v>
      </c>
      <c r="H120" s="555"/>
      <c r="I120" s="772">
        <f>I119-H119</f>
        <v>2199.9959999999992</v>
      </c>
      <c r="J120" s="593"/>
      <c r="K120" s="772">
        <f>K119-J119</f>
        <v>8114.6500000000005</v>
      </c>
      <c r="L120" s="593"/>
      <c r="M120" s="993">
        <f>M119-L119</f>
        <v>15289.919999999998</v>
      </c>
      <c r="N120" s="593"/>
      <c r="O120" s="556">
        <f>O119-N119</f>
        <v>10956.189999999999</v>
      </c>
      <c r="P120" s="593"/>
      <c r="Q120" s="556">
        <f>Q119-P119</f>
        <v>36494.555984720006</v>
      </c>
      <c r="R120" s="484">
        <f>Q120+O120+M120+K120</f>
        <v>70855.31598472</v>
      </c>
    </row>
    <row r="121" spans="1:26" x14ac:dyDescent="0.25">
      <c r="K121" s="225">
        <f>K120/R120</f>
        <v>0.11452422287905584</v>
      </c>
      <c r="L121" s="671"/>
      <c r="M121" s="225">
        <f>M120/R120</f>
        <v>0.21579072490901433</v>
      </c>
      <c r="N121" s="1237"/>
      <c r="O121" s="225">
        <f>O120/R120</f>
        <v>0.15462763587650513</v>
      </c>
      <c r="P121" s="1237"/>
      <c r="Q121" s="1239">
        <f>Q120/R120</f>
        <v>0.51505741633542479</v>
      </c>
      <c r="R121" s="89"/>
      <c r="T121" s="79"/>
      <c r="W121" s="518"/>
      <c r="X121" s="216"/>
      <c r="Z121" s="877"/>
    </row>
    <row r="122" spans="1:26" x14ac:dyDescent="0.25">
      <c r="B122" s="81" t="s">
        <v>3</v>
      </c>
      <c r="C122" s="193" t="s">
        <v>1484</v>
      </c>
      <c r="D122" s="970" t="s">
        <v>2378</v>
      </c>
      <c r="E122" s="193" t="s">
        <v>3216</v>
      </c>
      <c r="F122" s="1061" t="s">
        <v>3217</v>
      </c>
      <c r="G122" s="216"/>
      <c r="K122" s="866"/>
      <c r="M122" s="866"/>
      <c r="N122" s="1210"/>
      <c r="O122" s="1038"/>
      <c r="P122" s="1210"/>
      <c r="Q122" s="1038"/>
    </row>
    <row r="123" spans="1:26" x14ac:dyDescent="0.25">
      <c r="B123" s="79" t="s">
        <v>32</v>
      </c>
      <c r="C123" s="85" t="s">
        <v>1485</v>
      </c>
      <c r="D123" s="475">
        <f>SUMIF($D$7:$D$118,"A",$F$7:$F$118)</f>
        <v>314.37</v>
      </c>
      <c r="E123" s="1202">
        <f t="shared" ref="E123:E138" si="0">D123/$K$142</f>
        <v>10.140967741935484</v>
      </c>
      <c r="F123" s="1203">
        <f t="shared" ref="F123:F140" si="1">E123/$E$143</f>
        <v>7.2080231302405887E-2</v>
      </c>
      <c r="G123" s="800"/>
      <c r="I123" s="769"/>
      <c r="J123" s="868"/>
      <c r="L123" s="868"/>
      <c r="N123" s="1210"/>
      <c r="O123" s="1038"/>
      <c r="P123" s="1210"/>
      <c r="Q123" s="1038"/>
      <c r="R123" s="1224"/>
      <c r="S123" s="1201"/>
      <c r="T123" s="1201"/>
      <c r="U123" s="1201"/>
      <c r="V123" s="877"/>
    </row>
    <row r="124" spans="1:26" x14ac:dyDescent="0.25">
      <c r="B124" s="79" t="s">
        <v>2187</v>
      </c>
      <c r="C124" s="85" t="s">
        <v>2157</v>
      </c>
      <c r="D124" s="475">
        <f>SUMIF($D$7:$D$118,"GAC",$F$7:$F$118)</f>
        <v>420</v>
      </c>
      <c r="E124" s="1202">
        <f t="shared" si="0"/>
        <v>13.548387096774194</v>
      </c>
      <c r="F124" s="1203">
        <f>E124/$E$143</f>
        <v>9.6299574218311146E-2</v>
      </c>
      <c r="G124" s="609"/>
      <c r="J124" s="754"/>
      <c r="K124" s="886"/>
      <c r="L124" s="754"/>
      <c r="M124" s="886"/>
      <c r="N124" s="1210"/>
      <c r="O124" s="1038"/>
      <c r="P124" s="1210"/>
      <c r="Q124" s="1038"/>
      <c r="R124" s="1225"/>
      <c r="S124" s="1129"/>
      <c r="T124" s="1129"/>
      <c r="U124" s="877"/>
      <c r="V124" s="877"/>
    </row>
    <row r="125" spans="1:26" x14ac:dyDescent="0.25">
      <c r="B125" s="79" t="s">
        <v>2188</v>
      </c>
      <c r="C125" s="85" t="s">
        <v>2168</v>
      </c>
      <c r="D125" s="475">
        <f>SUMIF($D$37:$D$118,"GAM",$F$37:$F$118)</f>
        <v>0</v>
      </c>
      <c r="E125" s="1202">
        <f t="shared" si="0"/>
        <v>0</v>
      </c>
      <c r="F125" s="1203">
        <f>E125/$E$143</f>
        <v>0</v>
      </c>
      <c r="J125" s="864"/>
      <c r="K125" s="864"/>
      <c r="L125" s="864"/>
      <c r="M125" s="864"/>
      <c r="N125" s="1210"/>
      <c r="O125" s="1038"/>
      <c r="P125" s="1210"/>
      <c r="Q125" s="1038"/>
      <c r="R125" s="1118"/>
      <c r="S125" s="1129"/>
      <c r="T125" s="1129"/>
      <c r="U125" s="877"/>
      <c r="V125" s="877"/>
    </row>
    <row r="126" spans="1:26" s="85" customFormat="1" x14ac:dyDescent="0.25">
      <c r="A126" s="79"/>
      <c r="B126" s="79" t="s">
        <v>50</v>
      </c>
      <c r="C126" s="85" t="s">
        <v>1493</v>
      </c>
      <c r="D126" s="475">
        <f>SUMIF($D$7:$D$118,"LD",$F$7:$F$118)</f>
        <v>398.53999999999996</v>
      </c>
      <c r="E126" s="1202">
        <f t="shared" si="0"/>
        <v>12.856129032258064</v>
      </c>
      <c r="F126" s="1203">
        <f t="shared" si="1"/>
        <v>9.1379124545156468E-2</v>
      </c>
      <c r="J126" s="864"/>
      <c r="K126" s="1032"/>
      <c r="L126" s="864"/>
      <c r="M126" s="1032"/>
      <c r="N126" s="1210"/>
      <c r="O126" s="1038"/>
      <c r="P126" s="1210"/>
      <c r="Q126" s="1038"/>
      <c r="R126" s="1118"/>
      <c r="S126" s="1129"/>
      <c r="T126" s="1129"/>
      <c r="U126" s="877"/>
      <c r="V126" s="877"/>
    </row>
    <row r="127" spans="1:26" s="85" customFormat="1" x14ac:dyDescent="0.25">
      <c r="A127" s="79"/>
      <c r="B127" s="79" t="s">
        <v>14</v>
      </c>
      <c r="C127" s="85" t="s">
        <v>1486</v>
      </c>
      <c r="D127" s="475">
        <f>SUMIF($D$7:$D$118,"C",$F$7:$F$118)</f>
        <v>140.32</v>
      </c>
      <c r="E127" s="1202">
        <f t="shared" si="0"/>
        <v>4.5264516129032257</v>
      </c>
      <c r="F127" s="1203">
        <f t="shared" si="1"/>
        <v>3.2173229176936713E-2</v>
      </c>
      <c r="G127" s="79"/>
      <c r="H127" s="79"/>
      <c r="J127" s="1032"/>
      <c r="K127" s="1032"/>
      <c r="L127" s="864"/>
      <c r="M127" s="1032"/>
      <c r="N127" s="1210"/>
      <c r="O127" s="1038"/>
      <c r="P127" s="1210"/>
      <c r="Q127" s="1038"/>
      <c r="R127" s="1118"/>
      <c r="S127" s="1129"/>
      <c r="T127" s="1129"/>
      <c r="U127" s="877"/>
      <c r="V127" s="877"/>
    </row>
    <row r="128" spans="1:26" s="85" customFormat="1" x14ac:dyDescent="0.25">
      <c r="A128" s="79"/>
      <c r="B128" s="79" t="s">
        <v>51</v>
      </c>
      <c r="C128" s="864" t="s">
        <v>1499</v>
      </c>
      <c r="D128" s="475">
        <f>SUMIF($D$38:$D$118,"CAL",$F$38:$F$118)</f>
        <v>105.02000000000001</v>
      </c>
      <c r="E128" s="1202">
        <f t="shared" si="0"/>
        <v>3.3877419354838714</v>
      </c>
      <c r="F128" s="1203">
        <f t="shared" si="1"/>
        <v>2.4079479248588182E-2</v>
      </c>
      <c r="G128" s="79"/>
      <c r="H128" s="79"/>
      <c r="I128" s="79"/>
      <c r="J128" s="796"/>
      <c r="K128" s="795"/>
      <c r="M128" s="795"/>
      <c r="N128" s="1210"/>
      <c r="O128" s="1038"/>
      <c r="P128" s="1210"/>
      <c r="Q128" s="1038"/>
      <c r="R128" s="1118"/>
      <c r="S128" s="1129"/>
      <c r="T128" s="1129"/>
      <c r="U128" s="877"/>
      <c r="V128" s="877"/>
    </row>
    <row r="129" spans="1:24" s="85" customFormat="1" x14ac:dyDescent="0.25">
      <c r="A129" s="79"/>
      <c r="B129" s="79" t="s">
        <v>2189</v>
      </c>
      <c r="C129" s="864" t="s">
        <v>1496</v>
      </c>
      <c r="D129" s="475">
        <f>SUMIF($D$7:$D$118,"AC",$F$7:$F$118)</f>
        <v>160.29999999999998</v>
      </c>
      <c r="E129" s="1202">
        <f t="shared" si="0"/>
        <v>5.1709677419354829</v>
      </c>
      <c r="F129" s="1203">
        <f t="shared" si="1"/>
        <v>3.6754337493322076E-2</v>
      </c>
      <c r="G129" s="79"/>
      <c r="J129" s="475"/>
      <c r="K129" s="177"/>
      <c r="M129" s="177"/>
      <c r="N129" s="1210"/>
      <c r="O129" s="1038"/>
      <c r="P129" s="1210"/>
      <c r="Q129" s="1038"/>
      <c r="R129" s="1118"/>
      <c r="S129" s="1129"/>
      <c r="T129" s="1129"/>
      <c r="U129" s="877"/>
      <c r="V129" s="877"/>
    </row>
    <row r="130" spans="1:24" s="85" customFormat="1" x14ac:dyDescent="0.25">
      <c r="A130" s="79"/>
      <c r="B130" s="867" t="s">
        <v>53</v>
      </c>
      <c r="C130" s="864" t="s">
        <v>1522</v>
      </c>
      <c r="D130" s="475">
        <f>SUMIF($D$7:$D$118,"DC",$F$7:$F$118)</f>
        <v>0</v>
      </c>
      <c r="E130" s="1202">
        <f t="shared" si="0"/>
        <v>0</v>
      </c>
      <c r="F130" s="1203">
        <f t="shared" si="1"/>
        <v>0</v>
      </c>
      <c r="J130" s="1235"/>
      <c r="K130" s="177"/>
      <c r="M130" s="177"/>
      <c r="N130" s="1210"/>
      <c r="O130" s="1038"/>
      <c r="P130" s="1210"/>
      <c r="Q130" s="1038"/>
      <c r="R130" s="1226"/>
      <c r="S130" s="1129"/>
      <c r="T130" s="1129"/>
      <c r="U130" s="877"/>
      <c r="V130" s="877"/>
    </row>
    <row r="131" spans="1:24" s="85" customFormat="1" x14ac:dyDescent="0.25">
      <c r="A131" s="79"/>
      <c r="B131" s="867" t="s">
        <v>2149</v>
      </c>
      <c r="C131" s="864" t="s">
        <v>2131</v>
      </c>
      <c r="D131" s="475">
        <f>SUMIF($D$6:$D$118,"DM",$F$6:$F$118)</f>
        <v>0</v>
      </c>
      <c r="E131" s="1202">
        <f t="shared" si="0"/>
        <v>0</v>
      </c>
      <c r="F131" s="1203">
        <f t="shared" si="1"/>
        <v>0</v>
      </c>
      <c r="K131" s="177" t="s">
        <v>280</v>
      </c>
      <c r="M131" s="177" t="s">
        <v>280</v>
      </c>
      <c r="N131" s="1210"/>
      <c r="O131" s="1038"/>
      <c r="P131" s="1210"/>
      <c r="Q131" s="1038"/>
      <c r="R131" s="1226"/>
      <c r="S131" s="1129"/>
      <c r="T131" s="1129"/>
      <c r="U131" s="877"/>
      <c r="V131" s="877"/>
    </row>
    <row r="132" spans="1:24" s="85" customFormat="1" x14ac:dyDescent="0.25">
      <c r="A132" s="79"/>
      <c r="B132" s="79" t="s">
        <v>3048</v>
      </c>
      <c r="C132" s="864" t="s">
        <v>1523</v>
      </c>
      <c r="D132" s="475">
        <f ca="1">SUMIF($D$37:$D$119,"B",$F$37:$F$118)</f>
        <v>31</v>
      </c>
      <c r="E132" s="1202">
        <f t="shared" ca="1" si="0"/>
        <v>1</v>
      </c>
      <c r="F132" s="1203">
        <f t="shared" ca="1" si="1"/>
        <v>7.107825716113441E-3</v>
      </c>
      <c r="G132" s="866"/>
      <c r="K132" s="177"/>
      <c r="M132" s="177"/>
      <c r="N132" s="1210"/>
      <c r="O132" s="1038"/>
      <c r="P132" s="1210"/>
      <c r="Q132" s="1038"/>
      <c r="R132" s="1223"/>
      <c r="S132" s="1223"/>
      <c r="T132" s="1129"/>
      <c r="U132" s="877"/>
      <c r="V132" s="877"/>
    </row>
    <row r="133" spans="1:24" s="85" customFormat="1" x14ac:dyDescent="0.25">
      <c r="A133" s="79"/>
      <c r="B133" s="79" t="s">
        <v>1686</v>
      </c>
      <c r="C133" s="864" t="s">
        <v>1506</v>
      </c>
      <c r="D133" s="475">
        <f>SUMIF($D$7:$D$118,"R",$F$7:$F$118)</f>
        <v>460.45499999999998</v>
      </c>
      <c r="E133" s="1202">
        <f t="shared" si="0"/>
        <v>14.853387096774194</v>
      </c>
      <c r="F133" s="1203">
        <f t="shared" si="1"/>
        <v>0.10557528677783917</v>
      </c>
      <c r="G133" s="868"/>
      <c r="K133" s="866"/>
      <c r="M133" s="866"/>
      <c r="N133" s="1210"/>
      <c r="O133" s="1038"/>
      <c r="P133" s="1210"/>
      <c r="Q133" s="1038"/>
      <c r="R133" s="1226"/>
      <c r="S133" s="1129"/>
      <c r="T133" s="1129"/>
      <c r="U133" s="877"/>
      <c r="V133" s="877"/>
    </row>
    <row r="134" spans="1:24" x14ac:dyDescent="0.25">
      <c r="B134" s="79" t="s">
        <v>418</v>
      </c>
      <c r="C134" s="85" t="s">
        <v>1524</v>
      </c>
      <c r="D134" s="475">
        <f>SUMIF($D$7:$D$118,"COM",$F$7:$F$118)</f>
        <v>0</v>
      </c>
      <c r="E134" s="1202">
        <f t="shared" si="0"/>
        <v>0</v>
      </c>
      <c r="F134" s="1203">
        <f>E134/$E$143</f>
        <v>0</v>
      </c>
      <c r="G134" s="85"/>
      <c r="H134" s="85"/>
      <c r="I134" s="85"/>
      <c r="J134" s="769"/>
      <c r="K134" s="216"/>
      <c r="L134" s="769"/>
      <c r="M134" s="216"/>
      <c r="N134" s="1210"/>
      <c r="O134" s="1038"/>
      <c r="P134" s="1210"/>
      <c r="Q134" s="1038"/>
      <c r="R134" s="1226"/>
      <c r="S134" s="1129"/>
      <c r="T134" s="1129"/>
      <c r="U134" s="877"/>
      <c r="V134" s="877"/>
    </row>
    <row r="135" spans="1:24" x14ac:dyDescent="0.25">
      <c r="B135" s="79" t="s">
        <v>419</v>
      </c>
      <c r="C135" s="85" t="s">
        <v>1491</v>
      </c>
      <c r="D135" s="475">
        <f>SUMIF($D$7:$D$118,"F",$F$7:$F$118)</f>
        <v>1122.51</v>
      </c>
      <c r="E135" s="1202">
        <f t="shared" si="0"/>
        <v>36.21</v>
      </c>
      <c r="F135" s="1203">
        <f>E135/$E$143</f>
        <v>0.25737436918046769</v>
      </c>
      <c r="I135" s="85"/>
      <c r="K135" s="216"/>
      <c r="M135" s="216"/>
      <c r="N135" s="1210"/>
      <c r="O135" s="1038"/>
      <c r="P135" s="1210"/>
      <c r="Q135" s="1038"/>
      <c r="R135" s="1226"/>
      <c r="S135" s="1129"/>
      <c r="T135" s="1129"/>
      <c r="U135" s="877"/>
      <c r="V135" s="877"/>
    </row>
    <row r="136" spans="1:24" x14ac:dyDescent="0.25">
      <c r="B136" s="79" t="s">
        <v>911</v>
      </c>
      <c r="C136" s="85" t="s">
        <v>1525</v>
      </c>
      <c r="D136" s="475">
        <f>SUMIF($D$7:$D$118,"FER",$F$7:$F$118)</f>
        <v>98.5</v>
      </c>
      <c r="E136" s="1202">
        <f t="shared" si="0"/>
        <v>3.1774193548387095</v>
      </c>
      <c r="F136" s="1203">
        <f t="shared" si="1"/>
        <v>2.2584543001199157E-2</v>
      </c>
      <c r="J136" s="769"/>
      <c r="K136" s="868"/>
      <c r="L136" s="769"/>
      <c r="M136" s="868"/>
      <c r="N136" s="1210"/>
      <c r="O136" s="1038"/>
      <c r="P136" s="1210"/>
      <c r="Q136" s="1038"/>
      <c r="R136" s="1226"/>
      <c r="S136" s="1129"/>
      <c r="T136" s="1129"/>
      <c r="U136" s="877"/>
      <c r="V136" s="877"/>
    </row>
    <row r="137" spans="1:24" x14ac:dyDescent="0.25">
      <c r="B137" s="79" t="s">
        <v>1526</v>
      </c>
      <c r="C137" s="85" t="s">
        <v>1504</v>
      </c>
      <c r="D137" s="475">
        <f>SUMIF($D$7:$D$118,"I",$F$7:$F$118)</f>
        <v>156</v>
      </c>
      <c r="E137" s="1202">
        <f t="shared" si="0"/>
        <v>5.032258064516129</v>
      </c>
      <c r="F137" s="1203">
        <f t="shared" si="1"/>
        <v>3.5768413281086993E-2</v>
      </c>
      <c r="J137" s="769"/>
      <c r="K137" s="868"/>
      <c r="L137" s="769"/>
      <c r="M137" s="868"/>
      <c r="N137" s="1210"/>
      <c r="O137" s="1038"/>
      <c r="P137" s="1210"/>
      <c r="Q137" s="1038"/>
      <c r="R137" s="1226"/>
      <c r="S137" s="1129"/>
      <c r="T137" s="1129"/>
      <c r="U137" s="877"/>
      <c r="V137" s="877"/>
    </row>
    <row r="138" spans="1:24" x14ac:dyDescent="0.25">
      <c r="B138" s="79" t="s">
        <v>2343</v>
      </c>
      <c r="C138" s="85" t="s">
        <v>2315</v>
      </c>
      <c r="D138" s="475">
        <f>SUMIF($D$37:$D$118,"E",$F$37:$F$118)</f>
        <v>0</v>
      </c>
      <c r="E138" s="1202">
        <f t="shared" si="0"/>
        <v>0</v>
      </c>
      <c r="F138" s="1203">
        <f t="shared" si="1"/>
        <v>0</v>
      </c>
      <c r="J138" s="769"/>
      <c r="K138" s="868"/>
      <c r="L138" s="769"/>
      <c r="M138" s="868"/>
      <c r="N138" s="1210"/>
      <c r="O138" s="1038"/>
      <c r="P138" s="1210"/>
      <c r="Q138" s="1038"/>
      <c r="R138" s="1226"/>
      <c r="S138" s="1129"/>
      <c r="T138" s="1129"/>
      <c r="U138" s="877"/>
      <c r="V138" s="877"/>
    </row>
    <row r="139" spans="1:24" x14ac:dyDescent="0.25">
      <c r="B139" s="79" t="s">
        <v>3019</v>
      </c>
      <c r="C139" s="85" t="s">
        <v>3017</v>
      </c>
      <c r="D139" s="475">
        <f>SUMIF($D$6:$D$118,"IM",$F$6:$F$118)</f>
        <v>2695.37</v>
      </c>
      <c r="E139" s="1202">
        <f t="shared" ref="E139:E140" si="2">D139/$K$142</f>
        <v>86.947419354838701</v>
      </c>
      <c r="F139" s="1203">
        <f t="shared" si="1"/>
        <v>0.61800710324002206</v>
      </c>
      <c r="J139" s="769"/>
      <c r="L139" s="769"/>
      <c r="N139" s="941"/>
      <c r="O139" s="224"/>
      <c r="P139" s="941"/>
      <c r="Q139" s="224"/>
      <c r="R139" s="1226"/>
      <c r="S139" s="1129"/>
      <c r="T139" s="1129"/>
      <c r="U139" s="877"/>
      <c r="V139" s="877"/>
    </row>
    <row r="140" spans="1:24" x14ac:dyDescent="0.25">
      <c r="B140" s="79" t="s">
        <v>1527</v>
      </c>
      <c r="C140" s="85" t="s">
        <v>1489</v>
      </c>
      <c r="D140" s="475">
        <f>SUMIF($D$7:$D$118,"OD",$F$7:$F$118)</f>
        <v>314.28000000000003</v>
      </c>
      <c r="E140" s="1202">
        <f t="shared" si="2"/>
        <v>10.138064516129033</v>
      </c>
      <c r="F140" s="1203">
        <f t="shared" si="1"/>
        <v>7.2059595679359115E-2</v>
      </c>
      <c r="N140" s="1210"/>
      <c r="O140" s="1038"/>
      <c r="P140" s="1210"/>
      <c r="Q140" s="1038"/>
      <c r="R140" s="1226"/>
      <c r="S140" s="1129"/>
      <c r="T140" s="1129"/>
      <c r="U140" s="877"/>
      <c r="V140" s="877"/>
    </row>
    <row r="141" spans="1:24" x14ac:dyDescent="0.25">
      <c r="C141" s="79"/>
      <c r="D141" s="629"/>
      <c r="E141" s="79"/>
      <c r="F141" s="79"/>
      <c r="N141" s="1210"/>
      <c r="O141" s="1038"/>
      <c r="P141" s="1210"/>
      <c r="Q141" s="1038"/>
      <c r="R141" s="1227"/>
      <c r="S141" s="1129"/>
      <c r="T141" s="1129"/>
      <c r="U141" s="877"/>
      <c r="V141" s="877"/>
    </row>
    <row r="142" spans="1:24" x14ac:dyDescent="0.25">
      <c r="C142" s="3168" t="s">
        <v>486</v>
      </c>
      <c r="D142" s="3168"/>
      <c r="E142" s="863">
        <f ca="1">I142/K142</f>
        <v>206.98919354838708</v>
      </c>
      <c r="G142" s="518" t="s">
        <v>487</v>
      </c>
      <c r="I142" s="629">
        <f ca="1">SUM(D123:D140)</f>
        <v>6416.6649999999991</v>
      </c>
      <c r="J142" s="216"/>
      <c r="K142" s="1517">
        <v>31</v>
      </c>
      <c r="L142"/>
      <c r="N142" s="1210"/>
      <c r="O142" s="1038"/>
      <c r="P142" s="1210"/>
      <c r="Q142" s="1038"/>
      <c r="R142" s="1226"/>
      <c r="S142" s="1129"/>
      <c r="T142" s="1129"/>
      <c r="U142" s="877"/>
      <c r="V142" s="877"/>
    </row>
    <row r="143" spans="1:24" ht="15.75" customHeight="1" x14ac:dyDescent="0.25">
      <c r="B143" s="3167" t="s">
        <v>3377</v>
      </c>
      <c r="C143" s="3167"/>
      <c r="D143" s="3167"/>
      <c r="E143" s="1125">
        <v>140.69</v>
      </c>
      <c r="H143" s="85"/>
      <c r="K143" s="868"/>
      <c r="M143" s="868"/>
      <c r="N143" s="1210"/>
      <c r="O143" s="1038"/>
      <c r="P143" s="1210"/>
      <c r="Q143" s="1038"/>
      <c r="R143" s="1226"/>
      <c r="S143" s="1129"/>
      <c r="T143" s="1129"/>
      <c r="U143" s="877"/>
      <c r="V143" s="877"/>
    </row>
    <row r="144" spans="1:24" x14ac:dyDescent="0.25">
      <c r="E144" s="79"/>
      <c r="F144" s="79"/>
      <c r="G144" s="85"/>
      <c r="H144" s="459"/>
      <c r="I144" s="85"/>
      <c r="J144" s="89"/>
      <c r="L144" s="89"/>
      <c r="N144" s="1210"/>
      <c r="O144" s="1038"/>
      <c r="P144" s="1210"/>
      <c r="Q144" s="1038"/>
      <c r="R144" s="769"/>
      <c r="S144" s="484" t="s">
        <v>280</v>
      </c>
      <c r="T144" s="216"/>
      <c r="U144" s="866"/>
      <c r="V144" s="484"/>
      <c r="X144" s="877"/>
    </row>
    <row r="145" spans="1:24" s="518" customFormat="1" x14ac:dyDescent="0.25">
      <c r="A145" s="79"/>
      <c r="B145" s="79"/>
      <c r="E145" s="1126">
        <f ca="1">E143-E142</f>
        <v>-66.29919354838708</v>
      </c>
      <c r="F145" s="1205">
        <f ca="1">SUM(F123:F144)</f>
        <v>1.4712431128608081</v>
      </c>
      <c r="G145" s="85"/>
      <c r="H145" s="85"/>
      <c r="I145" s="89"/>
      <c r="J145" s="79"/>
      <c r="K145" s="79"/>
      <c r="L145" s="79"/>
      <c r="M145" s="79"/>
      <c r="N145" s="1210"/>
      <c r="O145" s="1038"/>
      <c r="P145" s="1210"/>
      <c r="Q145" s="1038"/>
      <c r="R145" s="79"/>
      <c r="S145" s="79"/>
      <c r="T145" s="866"/>
      <c r="U145" s="484"/>
      <c r="V145" s="79"/>
      <c r="W145" s="877"/>
      <c r="X145" s="79"/>
    </row>
    <row r="146" spans="1:24" s="518" customFormat="1" x14ac:dyDescent="0.25">
      <c r="A146" s="79"/>
      <c r="B146" s="79"/>
      <c r="C146" s="85"/>
      <c r="D146" s="85"/>
      <c r="E146" s="85"/>
      <c r="G146" s="79"/>
      <c r="H146" s="79"/>
      <c r="I146" s="79"/>
      <c r="J146" s="769"/>
      <c r="K146" s="866"/>
      <c r="L146" s="769"/>
      <c r="M146" s="866"/>
      <c r="N146" s="1210"/>
      <c r="O146" s="1038"/>
      <c r="P146" s="1210"/>
      <c r="Q146" s="1038"/>
      <c r="R146" s="484"/>
      <c r="S146" s="79"/>
      <c r="T146" s="877"/>
      <c r="U146" s="79"/>
    </row>
    <row r="147" spans="1:24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1210"/>
      <c r="O147" s="1038"/>
      <c r="P147" s="1210"/>
      <c r="Q147" s="1038"/>
      <c r="R147" s="484"/>
      <c r="S147" s="79"/>
      <c r="T147" s="877"/>
      <c r="U147" s="79"/>
    </row>
    <row r="148" spans="1:24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769"/>
      <c r="M148" s="866"/>
      <c r="N148" s="1210"/>
      <c r="O148" s="1038"/>
      <c r="P148" s="1210"/>
      <c r="Q148" s="1038"/>
      <c r="R148" s="484"/>
      <c r="S148" s="79"/>
      <c r="T148" s="877"/>
      <c r="U148" s="79"/>
    </row>
    <row r="149" spans="1:24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M149" s="866"/>
      <c r="N149" s="1210"/>
      <c r="O149" s="1038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769"/>
      <c r="M150" s="866"/>
      <c r="N150" s="1210"/>
      <c r="O150" s="1038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769"/>
      <c r="M151" s="868"/>
      <c r="N151" s="1210"/>
      <c r="O151" s="1038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769"/>
      <c r="M152" s="866"/>
      <c r="N152" s="1210"/>
      <c r="O152" s="1038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770"/>
      <c r="M153" s="866"/>
      <c r="N153" s="1210"/>
      <c r="O153" s="1038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769"/>
      <c r="M154" s="868"/>
      <c r="N154" s="1210"/>
      <c r="O154" s="1038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1210"/>
      <c r="O155" s="1038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769"/>
      <c r="M156" s="866"/>
      <c r="N156" s="1210"/>
      <c r="O156" s="1038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1210"/>
      <c r="O157" s="1038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1210"/>
      <c r="O158" s="1038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1210"/>
      <c r="O159" s="1038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1210"/>
      <c r="O160" s="1038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1210"/>
      <c r="O161" s="1038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9"/>
      <c r="O166" s="79"/>
      <c r="P166" s="79"/>
      <c r="Q166" s="79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81"/>
      <c r="O167" s="755"/>
      <c r="P167" s="81"/>
      <c r="Q167" s="755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868"/>
      <c r="O168" s="79"/>
      <c r="P168" s="868"/>
      <c r="Q168" s="79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54"/>
      <c r="O169" s="886"/>
      <c r="P169" s="754"/>
      <c r="Q169" s="88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864"/>
      <c r="O170" s="864"/>
      <c r="P170" s="864"/>
      <c r="Q170" s="864"/>
      <c r="R170" s="484"/>
      <c r="S170" s="79"/>
      <c r="T170" s="877"/>
      <c r="U170" s="79"/>
    </row>
    <row r="171" spans="1:21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864"/>
      <c r="O171" s="1032"/>
      <c r="P171" s="864"/>
      <c r="Q171" s="1032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864"/>
      <c r="O172" s="1032"/>
      <c r="P172" s="864"/>
      <c r="Q172" s="1032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769"/>
      <c r="M173" s="868"/>
      <c r="N173" s="85"/>
      <c r="O173" s="795"/>
      <c r="P173" s="85"/>
      <c r="Q173" s="795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85"/>
      <c r="O174" s="177"/>
      <c r="P174" s="85"/>
      <c r="Q174" s="177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85"/>
      <c r="O175" s="177"/>
      <c r="P175" s="85"/>
      <c r="Q175" s="177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85"/>
      <c r="O176" s="177" t="s">
        <v>280</v>
      </c>
      <c r="P176" s="85"/>
      <c r="Q176" s="177" t="s">
        <v>280</v>
      </c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85"/>
      <c r="O177" s="177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85"/>
      <c r="O178" s="866"/>
      <c r="P178" s="85"/>
      <c r="Q178" s="866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216"/>
      <c r="P179" s="769"/>
      <c r="Q179" s="21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769"/>
      <c r="M180" s="866"/>
      <c r="N180" s="79"/>
      <c r="O180" s="216"/>
      <c r="P180" s="79"/>
      <c r="Q180" s="21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223"/>
      <c r="M181" s="629"/>
      <c r="N181" s="769"/>
      <c r="O181" s="868"/>
      <c r="P181" s="769"/>
      <c r="Q181" s="868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756"/>
      <c r="M182" s="756"/>
      <c r="N182" s="769"/>
      <c r="O182" s="868"/>
      <c r="P182" s="769"/>
      <c r="Q182" s="868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69"/>
      <c r="O183" s="868"/>
      <c r="P183" s="769"/>
      <c r="Q183" s="868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69"/>
      <c r="O184" s="79"/>
      <c r="P184" s="769"/>
      <c r="Q184" s="79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85"/>
      <c r="M187" s="85"/>
      <c r="N187" s="1517"/>
      <c r="O187" s="79"/>
      <c r="P187" s="1517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868"/>
      <c r="P188" s="79"/>
      <c r="Q188" s="868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89"/>
      <c r="O189" s="79"/>
      <c r="P189" s="8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69"/>
      <c r="O191" s="866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69"/>
      <c r="O192" s="866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69"/>
      <c r="O193" s="866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85"/>
      <c r="M194" s="85"/>
      <c r="O194" s="866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69"/>
      <c r="O195" s="866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69"/>
      <c r="O196" s="868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69"/>
      <c r="O197" s="866"/>
      <c r="P197" s="769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70"/>
      <c r="O198" s="866"/>
      <c r="P198" s="770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868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69"/>
      <c r="O200" s="86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771"/>
      <c r="N201" s="769"/>
      <c r="O201" s="866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69"/>
      <c r="O202" s="866"/>
      <c r="P202" s="769"/>
      <c r="Q202" s="866"/>
      <c r="R202" s="484"/>
      <c r="S202" s="79"/>
      <c r="T202" s="877"/>
      <c r="U202" s="79"/>
    </row>
    <row r="203" spans="1:21" x14ac:dyDescent="0.25">
      <c r="N203" s="769"/>
      <c r="O203" s="866"/>
      <c r="P203" s="769"/>
      <c r="Q203" s="866"/>
    </row>
    <row r="204" spans="1:21" x14ac:dyDescent="0.25">
      <c r="N204" s="769"/>
      <c r="O204" s="866"/>
      <c r="P204" s="769"/>
      <c r="Q204" s="866"/>
    </row>
    <row r="205" spans="1:21" x14ac:dyDescent="0.25">
      <c r="N205" s="769"/>
      <c r="O205" s="866"/>
      <c r="P205" s="769"/>
      <c r="Q205" s="866"/>
    </row>
    <row r="206" spans="1:21" x14ac:dyDescent="0.25">
      <c r="N206" s="769"/>
      <c r="O206" s="866"/>
      <c r="P206" s="769"/>
      <c r="Q206" s="866"/>
    </row>
    <row r="207" spans="1:21" x14ac:dyDescent="0.25">
      <c r="N207" s="769"/>
      <c r="O207" s="866"/>
      <c r="P207" s="769"/>
      <c r="Q207" s="866"/>
    </row>
    <row r="208" spans="1:21" x14ac:dyDescent="0.25">
      <c r="N208" s="769"/>
      <c r="O208" s="866"/>
      <c r="P208" s="769"/>
      <c r="Q208" s="866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69"/>
      <c r="O209" s="866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69"/>
      <c r="O210" s="86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69"/>
      <c r="O211" s="868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69"/>
      <c r="O212" s="868"/>
      <c r="P212" s="769"/>
      <c r="Q212" s="868"/>
      <c r="R212" s="484"/>
      <c r="S212" s="79"/>
      <c r="T212" s="877"/>
      <c r="U212" s="79"/>
    </row>
    <row r="213" spans="1:21" x14ac:dyDescent="0.25">
      <c r="N213" s="769"/>
      <c r="O213" s="868"/>
      <c r="P213" s="769"/>
      <c r="Q213" s="868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69"/>
      <c r="O214" s="868"/>
      <c r="P214" s="769"/>
      <c r="Q214" s="868"/>
      <c r="R214" s="484"/>
      <c r="S214" s="79"/>
      <c r="T214" s="877"/>
      <c r="U214" s="79"/>
    </row>
    <row r="215" spans="1:21" x14ac:dyDescent="0.25">
      <c r="N215" s="769"/>
      <c r="O215" s="868"/>
      <c r="P215" s="769"/>
      <c r="Q215" s="868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79"/>
      <c r="M216" s="629"/>
      <c r="N216" s="769"/>
      <c r="O216" s="866"/>
      <c r="P216" s="769"/>
      <c r="Q216" s="866"/>
      <c r="R216" s="484"/>
      <c r="S216" s="79"/>
      <c r="T216" s="877"/>
      <c r="U216" s="79"/>
    </row>
    <row r="217" spans="1:21" x14ac:dyDescent="0.25">
      <c r="N217" s="769"/>
      <c r="O217" s="866"/>
      <c r="P217" s="769"/>
      <c r="Q217" s="866"/>
    </row>
    <row r="218" spans="1:21" x14ac:dyDescent="0.25">
      <c r="N218" s="769"/>
      <c r="O218" s="868"/>
      <c r="P218" s="769"/>
      <c r="Q218" s="868"/>
    </row>
    <row r="219" spans="1:21" x14ac:dyDescent="0.25">
      <c r="N219" s="769"/>
      <c r="O219" s="866"/>
      <c r="P219" s="769"/>
      <c r="Q219" s="866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8"/>
      <c r="P221" s="769"/>
      <c r="Q221" s="868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69"/>
      <c r="O222" s="868"/>
      <c r="P222" s="76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69"/>
      <c r="O223" s="868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69"/>
      <c r="O224" s="868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223"/>
      <c r="O226" s="629"/>
      <c r="P226" s="223"/>
      <c r="Q226" s="62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56"/>
      <c r="O227" s="756"/>
      <c r="P227" s="756"/>
      <c r="Q227" s="75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79"/>
      <c r="P228" s="79"/>
      <c r="Q228" s="79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79"/>
      <c r="P229" s="79"/>
      <c r="Q229" s="7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79"/>
      <c r="P230" s="79"/>
      <c r="Q230" s="79"/>
      <c r="R230" s="484"/>
      <c r="S230" s="79"/>
      <c r="T230" s="877"/>
      <c r="U230" s="79"/>
    </row>
    <row r="232" spans="1:21" x14ac:dyDescent="0.25">
      <c r="N232" s="85"/>
      <c r="O232" s="85"/>
      <c r="P232" s="85"/>
      <c r="Q232" s="85"/>
    </row>
    <row r="239" spans="1:21" x14ac:dyDescent="0.25">
      <c r="N239" s="85"/>
      <c r="O239" s="85"/>
      <c r="P239" s="85"/>
      <c r="Q239" s="85"/>
    </row>
    <row r="243" spans="1:42" s="484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S243" s="79"/>
      <c r="T243" s="877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71"/>
      <c r="O246" s="518"/>
      <c r="P246" s="771"/>
      <c r="Q246" s="518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54" spans="1:42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216"/>
      <c r="P254" s="79"/>
      <c r="Q254" s="216"/>
      <c r="S254" s="79"/>
      <c r="T254" s="877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216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216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216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216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629"/>
      <c r="P261" s="79"/>
      <c r="Q261" s="629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7" spans="1:42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216"/>
      <c r="P267" s="79"/>
      <c r="Q267" s="216"/>
      <c r="S267" s="79"/>
      <c r="T267" s="877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</row>
    <row r="268" spans="1:42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216"/>
      <c r="P268" s="79"/>
      <c r="Q268" s="216"/>
      <c r="S268" s="79"/>
      <c r="T268" s="877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216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216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216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216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</sheetData>
  <autoFilter ref="A2:I140" xr:uid="{00000000-0009-0000-0000-000081000000}"/>
  <mergeCells count="18">
    <mergeCell ref="C142:D142"/>
    <mergeCell ref="B143:D143"/>
    <mergeCell ref="L2:M3"/>
    <mergeCell ref="N2:O3"/>
    <mergeCell ref="P2:Q3"/>
    <mergeCell ref="A119:E119"/>
    <mergeCell ref="A120:E120"/>
    <mergeCell ref="R85:Z85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Plan147"/>
  <dimension ref="A1:AP278"/>
  <sheetViews>
    <sheetView zoomScale="85" zoomScaleNormal="85" workbookViewId="0">
      <pane ySplit="4" topLeftCell="A42" activePane="bottomLeft" state="frozen"/>
      <selection pane="bottomLeft" activeCell="B60" sqref="B6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3507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47" t="s">
        <v>8</v>
      </c>
      <c r="G4" s="148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44866</v>
      </c>
      <c r="B5" s="369" t="s">
        <v>10</v>
      </c>
      <c r="C5" s="370"/>
      <c r="D5" s="370"/>
      <c r="E5" s="777"/>
      <c r="F5" s="179"/>
      <c r="G5" s="933">
        <f>'Outubro-22'!G120</f>
        <v>501.64958333335744</v>
      </c>
      <c r="H5" s="163"/>
      <c r="I5" s="1479">
        <f>'Outubro-22'!I120</f>
        <v>2199.9959999999992</v>
      </c>
      <c r="J5" s="179"/>
      <c r="K5" s="933">
        <f>'Outubro-22'!K120</f>
        <v>8114.6500000000005</v>
      </c>
      <c r="L5" s="179"/>
      <c r="M5" s="933">
        <f>'Outubro-22'!M120</f>
        <v>15289.919999999998</v>
      </c>
      <c r="N5" s="179"/>
      <c r="O5" s="933">
        <f>'Outubro-22'!O120</f>
        <v>10956.189999999999</v>
      </c>
      <c r="P5" s="179"/>
      <c r="Q5" s="933">
        <f>'Outubro-22'!Q120</f>
        <v>36494.555984720006</v>
      </c>
    </row>
    <row r="6" spans="1:21" s="224" customFormat="1" x14ac:dyDescent="0.25">
      <c r="A6" s="215">
        <v>44866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224" customFormat="1" ht="15" customHeight="1" x14ac:dyDescent="0.25">
      <c r="A7" s="215">
        <v>44866</v>
      </c>
      <c r="B7" s="882" t="s">
        <v>1331</v>
      </c>
      <c r="C7" s="879" t="s">
        <v>19</v>
      </c>
      <c r="D7" s="879" t="s">
        <v>2157</v>
      </c>
      <c r="E7" s="871" t="s">
        <v>13</v>
      </c>
      <c r="F7" s="780">
        <v>80</v>
      </c>
      <c r="G7" s="982"/>
      <c r="H7" s="622"/>
      <c r="I7" s="982"/>
      <c r="J7" s="622"/>
      <c r="K7" s="982"/>
      <c r="L7" s="622"/>
      <c r="M7" s="982"/>
      <c r="N7" s="622"/>
      <c r="O7" s="982"/>
      <c r="P7" s="622"/>
      <c r="Q7" s="982"/>
      <c r="R7" s="927"/>
      <c r="S7" s="927"/>
      <c r="T7" s="878"/>
    </row>
    <row r="8" spans="1:21" s="224" customFormat="1" ht="15" customHeight="1" x14ac:dyDescent="0.25">
      <c r="A8" s="215">
        <v>44866</v>
      </c>
      <c r="B8" s="882" t="s">
        <v>3508</v>
      </c>
      <c r="C8" s="879" t="s">
        <v>19</v>
      </c>
      <c r="D8" s="879" t="s">
        <v>1506</v>
      </c>
      <c r="E8" s="871" t="s">
        <v>13</v>
      </c>
      <c r="F8" s="780">
        <v>135.18</v>
      </c>
      <c r="G8" s="946"/>
      <c r="H8" s="95"/>
      <c r="I8" s="1064"/>
      <c r="J8" s="622"/>
      <c r="K8" s="982"/>
      <c r="L8" s="622"/>
      <c r="M8" s="982"/>
      <c r="N8" s="622"/>
      <c r="O8" s="982"/>
      <c r="P8" s="622"/>
      <c r="Q8" s="982"/>
      <c r="R8" s="1117"/>
      <c r="U8" s="958"/>
    </row>
    <row r="9" spans="1:21" s="224" customFormat="1" ht="15" customHeight="1" x14ac:dyDescent="0.25">
      <c r="A9" s="215">
        <v>44866</v>
      </c>
      <c r="B9" s="882" t="s">
        <v>3509</v>
      </c>
      <c r="C9" s="879" t="s">
        <v>19</v>
      </c>
      <c r="D9" s="879" t="s">
        <v>1506</v>
      </c>
      <c r="E9" s="875" t="s">
        <v>13</v>
      </c>
      <c r="F9" s="780">
        <v>59.8</v>
      </c>
      <c r="G9" s="982"/>
      <c r="H9" s="1060"/>
      <c r="I9" s="1033"/>
      <c r="J9" s="880"/>
      <c r="K9" s="1033"/>
      <c r="L9" s="880"/>
      <c r="M9" s="1033"/>
      <c r="N9" s="880"/>
      <c r="O9" s="1033"/>
      <c r="P9" s="880"/>
      <c r="Q9" s="1033"/>
      <c r="R9" s="1080"/>
      <c r="S9" s="927"/>
      <c r="T9" s="878"/>
    </row>
    <row r="10" spans="1:21" s="224" customFormat="1" ht="15" customHeight="1" x14ac:dyDescent="0.25">
      <c r="A10" s="215">
        <v>44866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18</v>
      </c>
      <c r="G10" s="982"/>
      <c r="H10" s="622"/>
      <c r="I10" s="982"/>
      <c r="J10" s="622"/>
      <c r="K10" s="982"/>
      <c r="L10" s="622"/>
      <c r="M10" s="982"/>
      <c r="N10" s="622"/>
      <c r="O10" s="982"/>
      <c r="P10" s="622"/>
      <c r="Q10" s="982"/>
      <c r="R10" s="927"/>
      <c r="T10" s="878"/>
    </row>
    <row r="11" spans="1:21" s="224" customFormat="1" x14ac:dyDescent="0.25">
      <c r="A11" s="215">
        <v>44866</v>
      </c>
      <c r="B11" s="882" t="s">
        <v>256</v>
      </c>
      <c r="C11" s="879"/>
      <c r="D11" s="879"/>
      <c r="E11" s="875" t="s">
        <v>25</v>
      </c>
      <c r="F11" s="780"/>
      <c r="G11" s="982">
        <v>550</v>
      </c>
      <c r="H11" s="1060">
        <v>550</v>
      </c>
      <c r="I11" s="1033"/>
      <c r="J11" s="880"/>
      <c r="K11" s="1033"/>
      <c r="L11" s="880"/>
      <c r="M11" s="1033"/>
      <c r="N11" s="880"/>
      <c r="O11" s="1033"/>
      <c r="P11" s="880"/>
      <c r="Q11" s="1033"/>
      <c r="R11" s="1080"/>
      <c r="S11" s="927"/>
      <c r="T11" s="878"/>
    </row>
    <row r="12" spans="1:21" s="224" customFormat="1" ht="15" customHeight="1" x14ac:dyDescent="0.25">
      <c r="A12" s="215">
        <v>44866</v>
      </c>
      <c r="B12" s="364" t="s">
        <v>14</v>
      </c>
      <c r="C12" s="350" t="s">
        <v>12</v>
      </c>
      <c r="D12" s="350" t="s">
        <v>1486</v>
      </c>
      <c r="E12" s="875" t="s">
        <v>13</v>
      </c>
      <c r="F12" s="780">
        <v>12.35</v>
      </c>
      <c r="G12" s="946"/>
      <c r="H12" s="95"/>
      <c r="I12" s="1064"/>
      <c r="J12" s="622"/>
      <c r="K12" s="982"/>
      <c r="L12" s="622"/>
      <c r="M12" s="982"/>
      <c r="N12" s="622"/>
      <c r="O12" s="982"/>
      <c r="P12" s="622"/>
      <c r="Q12" s="982"/>
      <c r="R12" s="1117"/>
      <c r="U12" s="958"/>
    </row>
    <row r="13" spans="1:21" s="224" customFormat="1" ht="15" customHeight="1" x14ac:dyDescent="0.25">
      <c r="A13" s="215">
        <v>44867</v>
      </c>
      <c r="B13" s="364" t="s">
        <v>14</v>
      </c>
      <c r="C13" s="350" t="s">
        <v>12</v>
      </c>
      <c r="D13" s="350" t="s">
        <v>1486</v>
      </c>
      <c r="E13" s="875" t="s">
        <v>13</v>
      </c>
      <c r="F13" s="780">
        <v>8.7899999999999991</v>
      </c>
      <c r="G13" s="982"/>
      <c r="H13" s="1060"/>
      <c r="I13" s="1033"/>
      <c r="J13" s="880"/>
      <c r="K13" s="1033"/>
      <c r="L13" s="880"/>
      <c r="M13" s="1033"/>
      <c r="N13" s="880"/>
      <c r="O13" s="1033"/>
      <c r="P13" s="880"/>
      <c r="Q13" s="1033"/>
      <c r="R13" s="1080"/>
      <c r="S13" s="927"/>
      <c r="T13" s="878"/>
    </row>
    <row r="14" spans="1:21" s="224" customFormat="1" ht="15" customHeight="1" x14ac:dyDescent="0.25">
      <c r="A14" s="215">
        <v>44867</v>
      </c>
      <c r="B14" s="364" t="s">
        <v>2629</v>
      </c>
      <c r="C14" s="350" t="s">
        <v>19</v>
      </c>
      <c r="D14" s="350" t="s">
        <v>1489</v>
      </c>
      <c r="E14" s="875" t="s">
        <v>13</v>
      </c>
      <c r="F14" s="780">
        <v>28.38</v>
      </c>
      <c r="G14" s="946"/>
      <c r="H14" s="95"/>
      <c r="I14" s="1064"/>
      <c r="J14" s="622"/>
      <c r="K14" s="982"/>
      <c r="L14" s="622"/>
      <c r="M14" s="982"/>
      <c r="N14" s="622"/>
      <c r="O14" s="982"/>
      <c r="P14" s="622"/>
      <c r="Q14" s="982"/>
      <c r="R14" s="861"/>
    </row>
    <row r="15" spans="1:21" s="224" customFormat="1" ht="15" customHeight="1" x14ac:dyDescent="0.25">
      <c r="A15" s="215">
        <v>44868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780">
        <v>18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982"/>
      <c r="R15" s="927"/>
      <c r="T15" s="878"/>
    </row>
    <row r="16" spans="1:21" s="224" customFormat="1" ht="15" customHeight="1" x14ac:dyDescent="0.25">
      <c r="A16" s="215">
        <v>44868</v>
      </c>
      <c r="B16" s="364" t="s">
        <v>3510</v>
      </c>
      <c r="C16" s="350" t="s">
        <v>12</v>
      </c>
      <c r="D16" s="350" t="s">
        <v>1506</v>
      </c>
      <c r="E16" s="875" t="s">
        <v>13</v>
      </c>
      <c r="F16" s="780">
        <v>83.47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982"/>
      <c r="R16" s="861"/>
    </row>
    <row r="17" spans="1:42" s="224" customFormat="1" ht="15" customHeight="1" x14ac:dyDescent="0.25">
      <c r="A17" s="215">
        <v>44868</v>
      </c>
      <c r="B17" s="364" t="s">
        <v>478</v>
      </c>
      <c r="C17" s="350" t="s">
        <v>12</v>
      </c>
      <c r="D17" s="350" t="s">
        <v>1496</v>
      </c>
      <c r="E17" s="875" t="s">
        <v>13</v>
      </c>
      <c r="F17" s="780">
        <v>6</v>
      </c>
      <c r="G17" s="946"/>
      <c r="H17" s="95"/>
      <c r="I17" s="1064"/>
      <c r="J17" s="622"/>
      <c r="K17" s="982"/>
      <c r="L17" s="622"/>
      <c r="M17" s="982"/>
      <c r="N17" s="622"/>
      <c r="O17" s="982"/>
      <c r="P17" s="622"/>
      <c r="Q17" s="982"/>
      <c r="R17" s="861"/>
    </row>
    <row r="18" spans="1:42" s="224" customFormat="1" ht="15" customHeight="1" x14ac:dyDescent="0.25">
      <c r="A18" s="215">
        <v>44869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18</v>
      </c>
      <c r="G18" s="982"/>
      <c r="H18" s="622"/>
      <c r="I18" s="982"/>
      <c r="J18" s="622"/>
      <c r="K18" s="982"/>
      <c r="L18" s="622"/>
      <c r="M18" s="982"/>
      <c r="N18" s="622"/>
      <c r="O18" s="982"/>
      <c r="P18" s="622"/>
      <c r="Q18" s="982"/>
      <c r="R18" s="927"/>
      <c r="T18" s="878"/>
    </row>
    <row r="19" spans="1:42" s="224" customFormat="1" ht="14.25" customHeight="1" x14ac:dyDescent="0.25">
      <c r="A19" s="215">
        <v>44869</v>
      </c>
      <c r="B19" s="882" t="s">
        <v>81</v>
      </c>
      <c r="C19" s="879" t="s">
        <v>12</v>
      </c>
      <c r="D19" s="879" t="s">
        <v>1493</v>
      </c>
      <c r="E19" s="875" t="s">
        <v>13</v>
      </c>
      <c r="F19" s="780">
        <v>5.2</v>
      </c>
      <c r="G19" s="982"/>
      <c r="H19" s="622"/>
      <c r="I19" s="982"/>
      <c r="J19" s="622"/>
      <c r="K19" s="982"/>
      <c r="L19" s="622"/>
      <c r="M19" s="982"/>
      <c r="N19" s="622"/>
      <c r="O19" s="982"/>
      <c r="P19" s="622"/>
      <c r="Q19" s="982"/>
      <c r="R19" s="927"/>
      <c r="T19" s="878"/>
    </row>
    <row r="20" spans="1:42" s="224" customFormat="1" ht="14.25" customHeight="1" x14ac:dyDescent="0.25">
      <c r="A20" s="215">
        <v>44869</v>
      </c>
      <c r="B20" s="364" t="s">
        <v>14</v>
      </c>
      <c r="C20" s="350" t="s">
        <v>12</v>
      </c>
      <c r="D20" s="350" t="s">
        <v>1486</v>
      </c>
      <c r="E20" s="875" t="s">
        <v>13</v>
      </c>
      <c r="F20" s="780">
        <v>4.82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982"/>
      <c r="R20" s="927"/>
      <c r="T20" s="878"/>
    </row>
    <row r="21" spans="1:42" s="224" customFormat="1" ht="15" customHeight="1" x14ac:dyDescent="0.25">
      <c r="A21" s="215">
        <v>44870</v>
      </c>
      <c r="B21" s="882" t="s">
        <v>3511</v>
      </c>
      <c r="C21" s="879" t="s">
        <v>12</v>
      </c>
      <c r="D21" s="879" t="s">
        <v>1523</v>
      </c>
      <c r="E21" s="875" t="s">
        <v>13</v>
      </c>
      <c r="F21" s="780">
        <v>58.68</v>
      </c>
      <c r="G21" s="982"/>
      <c r="H21" s="622"/>
      <c r="I21" s="982"/>
      <c r="J21" s="622"/>
      <c r="K21" s="982"/>
      <c r="L21" s="622"/>
      <c r="M21" s="982"/>
      <c r="N21" s="622"/>
      <c r="O21" s="982"/>
      <c r="P21" s="622"/>
      <c r="Q21" s="982"/>
      <c r="R21" s="178"/>
    </row>
    <row r="22" spans="1:42" s="224" customFormat="1" ht="15" customHeight="1" x14ac:dyDescent="0.25">
      <c r="A22" s="215">
        <v>44870</v>
      </c>
      <c r="B22" s="882" t="s">
        <v>3512</v>
      </c>
      <c r="C22" s="879" t="s">
        <v>12</v>
      </c>
      <c r="D22" s="879" t="s">
        <v>1523</v>
      </c>
      <c r="E22" s="875" t="s">
        <v>13</v>
      </c>
      <c r="F22" s="780">
        <v>10</v>
      </c>
      <c r="G22" s="982"/>
      <c r="H22" s="622"/>
      <c r="I22" s="982"/>
      <c r="J22" s="622"/>
      <c r="K22" s="982"/>
      <c r="L22" s="622"/>
      <c r="M22" s="982"/>
      <c r="N22" s="622"/>
      <c r="O22" s="982"/>
      <c r="P22" s="622"/>
      <c r="Q22" s="982"/>
      <c r="R22" s="178"/>
    </row>
    <row r="23" spans="1:42" s="224" customFormat="1" x14ac:dyDescent="0.25">
      <c r="A23" s="215">
        <v>44871</v>
      </c>
      <c r="B23" s="882" t="s">
        <v>443</v>
      </c>
      <c r="C23" s="879" t="s">
        <v>12</v>
      </c>
      <c r="D23" s="879" t="s">
        <v>1493</v>
      </c>
      <c r="E23" s="875" t="s">
        <v>13</v>
      </c>
      <c r="F23" s="780">
        <v>19.5</v>
      </c>
      <c r="G23" s="982"/>
      <c r="H23" s="1008"/>
      <c r="I23" s="1063"/>
      <c r="J23" s="622"/>
      <c r="K23" s="982"/>
      <c r="L23" s="1008"/>
      <c r="M23" s="1063"/>
      <c r="N23" s="622"/>
      <c r="O23" s="982"/>
      <c r="P23" s="622"/>
      <c r="Q23" s="982"/>
    </row>
    <row r="24" spans="1:42" s="224" customFormat="1" ht="15.75" customHeight="1" x14ac:dyDescent="0.25">
      <c r="A24" s="215">
        <v>44872</v>
      </c>
      <c r="B24" s="873" t="s">
        <v>3513</v>
      </c>
      <c r="C24" s="879" t="s">
        <v>12</v>
      </c>
      <c r="D24" s="874"/>
      <c r="E24" s="871" t="s">
        <v>25</v>
      </c>
      <c r="F24" s="1524"/>
      <c r="G24" s="1002">
        <v>2120.71</v>
      </c>
      <c r="H24" s="538"/>
      <c r="I24" s="982"/>
      <c r="J24" s="622"/>
      <c r="K24" s="982"/>
      <c r="L24" s="622"/>
      <c r="M24" s="982"/>
      <c r="N24" s="622"/>
      <c r="O24" s="982"/>
      <c r="P24" s="622"/>
      <c r="Q24" s="982"/>
      <c r="R24" s="178"/>
    </row>
    <row r="25" spans="1:42" s="224" customFormat="1" ht="15.75" customHeight="1" x14ac:dyDescent="0.25">
      <c r="A25" s="215">
        <v>44872</v>
      </c>
      <c r="B25" s="862" t="s">
        <v>3422</v>
      </c>
      <c r="C25" s="879" t="s">
        <v>12</v>
      </c>
      <c r="D25" s="879" t="s">
        <v>1504</v>
      </c>
      <c r="E25" s="871" t="s">
        <v>13</v>
      </c>
      <c r="F25" s="780">
        <v>60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982"/>
      <c r="R25" s="178">
        <v>109.9</v>
      </c>
      <c r="S25" s="1028"/>
      <c r="T25" s="1035"/>
    </row>
    <row r="26" spans="1:42" s="224" customFormat="1" ht="15" customHeight="1" x14ac:dyDescent="0.25">
      <c r="A26" s="215">
        <v>44872</v>
      </c>
      <c r="B26" s="882" t="s">
        <v>3514</v>
      </c>
      <c r="C26" s="879" t="s">
        <v>12</v>
      </c>
      <c r="D26" s="879" t="s">
        <v>1499</v>
      </c>
      <c r="E26" s="871" t="s">
        <v>13</v>
      </c>
      <c r="F26" s="780">
        <v>73.22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982"/>
      <c r="R26" s="1028">
        <v>173.22</v>
      </c>
      <c r="S26" s="999"/>
      <c r="T26" s="878"/>
    </row>
    <row r="27" spans="1:42" s="224" customFormat="1" ht="15" customHeight="1" x14ac:dyDescent="0.25">
      <c r="A27" s="215">
        <v>44872</v>
      </c>
      <c r="B27" s="364" t="s">
        <v>2977</v>
      </c>
      <c r="C27" s="350" t="s">
        <v>12</v>
      </c>
      <c r="D27" s="350" t="s">
        <v>1491</v>
      </c>
      <c r="E27" s="875" t="s">
        <v>13</v>
      </c>
      <c r="F27" s="780">
        <v>300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982"/>
      <c r="R27" s="861"/>
      <c r="T27" s="1035"/>
    </row>
    <row r="28" spans="1:42" x14ac:dyDescent="0.25">
      <c r="A28" s="215">
        <v>44872</v>
      </c>
      <c r="B28" s="876" t="s">
        <v>3060</v>
      </c>
      <c r="C28" s="879" t="s">
        <v>12</v>
      </c>
      <c r="D28" s="879" t="s">
        <v>1496</v>
      </c>
      <c r="E28" s="871" t="s">
        <v>13</v>
      </c>
      <c r="F28" s="780">
        <v>80</v>
      </c>
      <c r="G28" s="982"/>
      <c r="H28" s="1009"/>
      <c r="I28" s="1063"/>
      <c r="J28" s="622"/>
      <c r="K28" s="982"/>
      <c r="L28" s="622"/>
      <c r="M28" s="982"/>
      <c r="N28" s="622"/>
      <c r="O28" s="982"/>
      <c r="P28" s="622"/>
      <c r="Q28" s="982"/>
      <c r="R28" s="1029"/>
    </row>
    <row r="29" spans="1:42" s="224" customFormat="1" ht="14.25" customHeight="1" x14ac:dyDescent="0.25">
      <c r="A29" s="215">
        <v>44872</v>
      </c>
      <c r="B29" s="882" t="s">
        <v>3515</v>
      </c>
      <c r="C29" s="879" t="s">
        <v>12</v>
      </c>
      <c r="D29" s="879" t="s">
        <v>3017</v>
      </c>
      <c r="E29" s="875" t="s">
        <v>13</v>
      </c>
      <c r="F29" s="780">
        <v>656.36</v>
      </c>
      <c r="G29" s="982"/>
      <c r="H29" s="1008"/>
      <c r="I29" s="1063"/>
      <c r="J29" s="622"/>
      <c r="K29" s="982"/>
      <c r="L29" s="622"/>
      <c r="M29" s="982">
        <v>656.36</v>
      </c>
      <c r="N29" s="622"/>
      <c r="O29" s="982"/>
      <c r="P29" s="622"/>
      <c r="Q29" s="982"/>
      <c r="R29" s="861">
        <v>400</v>
      </c>
      <c r="S29" s="878" t="s">
        <v>3018</v>
      </c>
      <c r="T29" s="1035"/>
    </row>
    <row r="30" spans="1:42" s="224" customFormat="1" ht="15" customHeight="1" x14ac:dyDescent="0.25">
      <c r="A30" s="215">
        <v>44872</v>
      </c>
      <c r="B30" s="364" t="s">
        <v>3516</v>
      </c>
      <c r="C30" s="879"/>
      <c r="D30" s="879"/>
      <c r="E30" s="875" t="s">
        <v>25</v>
      </c>
      <c r="F30" s="780"/>
      <c r="G30" s="982"/>
      <c r="H30" s="622"/>
      <c r="I30" s="982"/>
      <c r="J30" s="622"/>
      <c r="K30" s="982"/>
      <c r="L30" s="622"/>
      <c r="M30" s="982"/>
      <c r="N30" s="622"/>
      <c r="O30" s="982"/>
      <c r="P30" s="622"/>
      <c r="Q30" s="982">
        <v>400</v>
      </c>
      <c r="R30" s="927"/>
      <c r="S30" s="927"/>
      <c r="T30" s="878"/>
    </row>
    <row r="31" spans="1:42" s="224" customFormat="1" ht="15" customHeight="1" x14ac:dyDescent="0.25">
      <c r="A31" s="215">
        <v>44872</v>
      </c>
      <c r="B31" s="364" t="s">
        <v>1396</v>
      </c>
      <c r="C31" s="350" t="s">
        <v>12</v>
      </c>
      <c r="D31" s="350"/>
      <c r="E31" s="480" t="s">
        <v>25</v>
      </c>
      <c r="F31" s="613"/>
      <c r="G31" s="967">
        <v>100</v>
      </c>
      <c r="H31" s="1008"/>
      <c r="I31" s="1063"/>
      <c r="J31" s="622"/>
      <c r="K31" s="982"/>
      <c r="L31" s="1116"/>
      <c r="M31" s="1207"/>
      <c r="N31" s="1116"/>
      <c r="O31" s="1207"/>
      <c r="P31" s="1116"/>
      <c r="Q31" s="1207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15">
        <v>44872</v>
      </c>
      <c r="B32" s="882" t="s">
        <v>3517</v>
      </c>
      <c r="C32" s="879" t="s">
        <v>19</v>
      </c>
      <c r="D32" s="879" t="s">
        <v>1506</v>
      </c>
      <c r="E32" s="875" t="s">
        <v>13</v>
      </c>
      <c r="F32" s="780">
        <v>41.5</v>
      </c>
      <c r="G32" s="982"/>
      <c r="H32" s="95"/>
      <c r="I32" s="1064"/>
      <c r="J32" s="622"/>
      <c r="K32" s="982"/>
      <c r="L32" s="622"/>
      <c r="M32" s="982"/>
      <c r="N32" s="622"/>
      <c r="O32" s="982"/>
      <c r="P32" s="622"/>
      <c r="Q32" s="982"/>
      <c r="R32" s="1028" t="s">
        <v>3292</v>
      </c>
    </row>
    <row r="33" spans="1:42" s="224" customFormat="1" ht="14.25" customHeight="1" x14ac:dyDescent="0.25">
      <c r="A33" s="215">
        <v>44872</v>
      </c>
      <c r="B33" s="364" t="s">
        <v>3518</v>
      </c>
      <c r="C33" s="879" t="s">
        <v>19</v>
      </c>
      <c r="D33" s="350" t="s">
        <v>1491</v>
      </c>
      <c r="E33" s="875" t="s">
        <v>13</v>
      </c>
      <c r="F33" s="780">
        <v>28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982"/>
      <c r="R33" s="1080" t="s">
        <v>3292</v>
      </c>
      <c r="T33" s="878"/>
    </row>
    <row r="34" spans="1:42" s="224" customFormat="1" ht="15" customHeight="1" x14ac:dyDescent="0.25">
      <c r="A34" s="215">
        <v>44872</v>
      </c>
      <c r="B34" s="882" t="s">
        <v>3519</v>
      </c>
      <c r="C34" s="879" t="s">
        <v>19</v>
      </c>
      <c r="D34" s="879" t="s">
        <v>1491</v>
      </c>
      <c r="E34" s="875" t="s">
        <v>13</v>
      </c>
      <c r="F34" s="780">
        <v>25</v>
      </c>
      <c r="G34" s="982"/>
      <c r="H34" s="95"/>
      <c r="I34" s="1064"/>
      <c r="J34" s="622"/>
      <c r="K34" s="982"/>
      <c r="L34" s="622"/>
      <c r="M34" s="982"/>
      <c r="N34" s="622"/>
      <c r="O34" s="982"/>
      <c r="P34" s="622"/>
      <c r="Q34" s="982"/>
      <c r="R34" s="1028" t="s">
        <v>3292</v>
      </c>
    </row>
    <row r="35" spans="1:42" s="224" customFormat="1" ht="14.25" customHeight="1" x14ac:dyDescent="0.25">
      <c r="A35" s="215">
        <v>44872</v>
      </c>
      <c r="B35" s="364" t="s">
        <v>3520</v>
      </c>
      <c r="C35" s="879" t="s">
        <v>19</v>
      </c>
      <c r="D35" s="350" t="s">
        <v>1491</v>
      </c>
      <c r="E35" s="875" t="s">
        <v>13</v>
      </c>
      <c r="F35" s="780">
        <v>103.92</v>
      </c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982"/>
      <c r="R35" s="1080" t="s">
        <v>3292</v>
      </c>
      <c r="T35" s="878"/>
    </row>
    <row r="36" spans="1:42" s="224" customFormat="1" ht="15" customHeight="1" x14ac:dyDescent="0.25">
      <c r="A36" s="215">
        <v>44872</v>
      </c>
      <c r="B36" s="882" t="s">
        <v>3521</v>
      </c>
      <c r="C36" s="879" t="s">
        <v>12</v>
      </c>
      <c r="D36" s="879" t="s">
        <v>1506</v>
      </c>
      <c r="E36" s="875" t="s">
        <v>13</v>
      </c>
      <c r="F36" s="780">
        <v>73.84</v>
      </c>
      <c r="G36" s="982"/>
      <c r="H36" s="95"/>
      <c r="I36" s="1064"/>
      <c r="J36" s="622"/>
      <c r="K36" s="982"/>
      <c r="L36" s="622"/>
      <c r="M36" s="982"/>
      <c r="N36" s="622"/>
      <c r="O36" s="982"/>
      <c r="P36" s="622"/>
      <c r="Q36" s="982"/>
      <c r="R36" s="1028" t="s">
        <v>3292</v>
      </c>
    </row>
    <row r="37" spans="1:42" s="224" customFormat="1" ht="15" customHeight="1" x14ac:dyDescent="0.25">
      <c r="A37" s="215">
        <v>44872</v>
      </c>
      <c r="B37" s="882" t="s">
        <v>32</v>
      </c>
      <c r="C37" s="879" t="s">
        <v>12</v>
      </c>
      <c r="D37" s="879" t="s">
        <v>1485</v>
      </c>
      <c r="E37" s="875" t="s">
        <v>13</v>
      </c>
      <c r="F37" s="780">
        <v>18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982"/>
      <c r="R37" s="927"/>
      <c r="T37" s="878"/>
    </row>
    <row r="38" spans="1:42" s="224" customFormat="1" ht="15" customHeight="1" x14ac:dyDescent="0.25">
      <c r="A38" s="215">
        <v>44872</v>
      </c>
      <c r="B38" s="882" t="s">
        <v>478</v>
      </c>
      <c r="C38" s="879" t="s">
        <v>12</v>
      </c>
      <c r="D38" s="879" t="s">
        <v>1496</v>
      </c>
      <c r="E38" s="875" t="s">
        <v>13</v>
      </c>
      <c r="F38" s="780">
        <v>12.26</v>
      </c>
      <c r="G38" s="982"/>
      <c r="H38" s="622"/>
      <c r="I38" s="982"/>
      <c r="J38" s="622"/>
      <c r="K38" s="982"/>
      <c r="L38" s="622"/>
      <c r="M38" s="982"/>
      <c r="N38" s="880"/>
      <c r="O38" s="1033"/>
      <c r="P38" s="880"/>
      <c r="Q38" s="1033"/>
      <c r="R38" s="927"/>
      <c r="T38" s="878"/>
    </row>
    <row r="39" spans="1:42" s="224" customFormat="1" ht="15" customHeight="1" x14ac:dyDescent="0.25">
      <c r="A39" s="215">
        <v>44873</v>
      </c>
      <c r="B39" s="882" t="s">
        <v>32</v>
      </c>
      <c r="C39" s="879" t="s">
        <v>12</v>
      </c>
      <c r="D39" s="879" t="s">
        <v>1485</v>
      </c>
      <c r="E39" s="875" t="s">
        <v>13</v>
      </c>
      <c r="F39" s="780">
        <v>18</v>
      </c>
      <c r="G39" s="982"/>
      <c r="H39" s="95"/>
      <c r="I39" s="1064"/>
      <c r="J39" s="622"/>
      <c r="K39" s="982"/>
      <c r="L39" s="622"/>
      <c r="M39" s="982"/>
      <c r="N39" s="622"/>
      <c r="O39" s="982"/>
      <c r="P39" s="622"/>
      <c r="Q39" s="982"/>
      <c r="R39" s="861"/>
    </row>
    <row r="40" spans="1:42" s="224" customFormat="1" ht="14.25" customHeight="1" x14ac:dyDescent="0.25">
      <c r="A40" s="215">
        <v>44873</v>
      </c>
      <c r="B40" s="882" t="s">
        <v>1820</v>
      </c>
      <c r="C40" s="879" t="s">
        <v>12</v>
      </c>
      <c r="D40" s="879" t="s">
        <v>1496</v>
      </c>
      <c r="E40" s="875" t="s">
        <v>13</v>
      </c>
      <c r="F40" s="780">
        <v>20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982"/>
      <c r="R40" s="1080"/>
      <c r="T40" s="878"/>
    </row>
    <row r="41" spans="1:42" s="224" customFormat="1" ht="15" customHeight="1" x14ac:dyDescent="0.25">
      <c r="A41" s="215">
        <v>44873</v>
      </c>
      <c r="B41" s="882" t="s">
        <v>1331</v>
      </c>
      <c r="C41" s="879" t="s">
        <v>19</v>
      </c>
      <c r="D41" s="879" t="s">
        <v>2157</v>
      </c>
      <c r="E41" s="871" t="s">
        <v>13</v>
      </c>
      <c r="F41" s="780">
        <v>100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982"/>
      <c r="R41" s="927"/>
      <c r="S41" s="927"/>
      <c r="T41" s="878"/>
    </row>
    <row r="42" spans="1:42" s="224" customFormat="1" ht="15" customHeight="1" x14ac:dyDescent="0.25">
      <c r="A42" s="215">
        <v>44874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18</v>
      </c>
      <c r="G42" s="982"/>
      <c r="H42" s="95"/>
      <c r="I42" s="1064"/>
      <c r="J42" s="622"/>
      <c r="K42" s="982"/>
      <c r="L42" s="622"/>
      <c r="M42" s="982"/>
      <c r="N42" s="622"/>
      <c r="O42" s="982"/>
      <c r="P42" s="622"/>
      <c r="Q42" s="982"/>
      <c r="R42" s="861"/>
    </row>
    <row r="43" spans="1:42" s="224" customFormat="1" ht="14.25" customHeight="1" x14ac:dyDescent="0.25">
      <c r="A43" s="215">
        <v>44874</v>
      </c>
      <c r="B43" s="364" t="s">
        <v>14</v>
      </c>
      <c r="C43" s="350" t="s">
        <v>12</v>
      </c>
      <c r="D43" s="350" t="s">
        <v>1486</v>
      </c>
      <c r="E43" s="875" t="s">
        <v>13</v>
      </c>
      <c r="F43" s="780">
        <v>4.82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T43" s="878"/>
    </row>
    <row r="44" spans="1:42" s="224" customFormat="1" ht="15" customHeight="1" x14ac:dyDescent="0.25">
      <c r="A44" s="215">
        <v>44874</v>
      </c>
      <c r="B44" s="364" t="s">
        <v>2595</v>
      </c>
      <c r="C44" s="350" t="s">
        <v>12</v>
      </c>
      <c r="D44" s="350" t="s">
        <v>1506</v>
      </c>
      <c r="E44" s="875" t="s">
        <v>13</v>
      </c>
      <c r="F44" s="780">
        <v>10</v>
      </c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982"/>
      <c r="R44" s="927"/>
      <c r="S44" s="927"/>
      <c r="T44" s="878"/>
    </row>
    <row r="45" spans="1:42" s="224" customFormat="1" ht="15" customHeight="1" x14ac:dyDescent="0.25">
      <c r="A45" s="215">
        <v>44875</v>
      </c>
      <c r="B45" s="364" t="s">
        <v>3354</v>
      </c>
      <c r="C45" s="350" t="s">
        <v>12</v>
      </c>
      <c r="D45" s="350"/>
      <c r="E45" s="480" t="s">
        <v>25</v>
      </c>
      <c r="F45" s="613"/>
      <c r="G45" s="967"/>
      <c r="H45" s="1008"/>
      <c r="I45" s="1063"/>
      <c r="J45" s="622"/>
      <c r="K45" s="1033"/>
      <c r="L45" s="1110"/>
      <c r="M45" s="6"/>
      <c r="N45" s="613"/>
      <c r="O45" s="64"/>
      <c r="P45" s="613"/>
      <c r="Q45" s="64">
        <v>144.62</v>
      </c>
      <c r="R45" s="1209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15">
        <v>44875</v>
      </c>
      <c r="B46" s="882" t="s">
        <v>32</v>
      </c>
      <c r="C46" s="879" t="s">
        <v>12</v>
      </c>
      <c r="D46" s="879" t="s">
        <v>1485</v>
      </c>
      <c r="E46" s="875" t="s">
        <v>13</v>
      </c>
      <c r="F46" s="780">
        <v>18</v>
      </c>
      <c r="G46" s="982"/>
      <c r="H46" s="622"/>
      <c r="I46" s="982"/>
      <c r="J46" s="622"/>
      <c r="K46" s="982"/>
      <c r="L46" s="622"/>
      <c r="M46" s="982"/>
      <c r="N46" s="622"/>
      <c r="O46" s="982"/>
      <c r="P46" s="622"/>
      <c r="Q46" s="982"/>
      <c r="R46" s="927"/>
      <c r="S46" s="927"/>
      <c r="T46" s="878"/>
    </row>
    <row r="47" spans="1:42" s="224" customFormat="1" x14ac:dyDescent="0.25">
      <c r="A47" s="215">
        <v>44875</v>
      </c>
      <c r="B47" s="364" t="s">
        <v>478</v>
      </c>
      <c r="C47" s="350" t="s">
        <v>12</v>
      </c>
      <c r="D47" s="350" t="s">
        <v>1496</v>
      </c>
      <c r="E47" s="875" t="s">
        <v>13</v>
      </c>
      <c r="F47" s="780">
        <v>11.95</v>
      </c>
      <c r="G47" s="982"/>
      <c r="H47" s="1008"/>
      <c r="I47" s="1063"/>
      <c r="J47" s="622"/>
      <c r="K47" s="982"/>
      <c r="L47" s="622"/>
      <c r="M47" s="982"/>
      <c r="N47" s="622"/>
      <c r="O47" s="982"/>
      <c r="P47" s="622"/>
      <c r="Q47" s="982"/>
      <c r="R47" s="861"/>
      <c r="T47" s="878"/>
    </row>
    <row r="48" spans="1:42" s="224" customFormat="1" ht="15" customHeight="1" x14ac:dyDescent="0.25">
      <c r="A48" s="215">
        <v>44876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18</v>
      </c>
      <c r="G48" s="982"/>
      <c r="H48" s="622"/>
      <c r="I48" s="982"/>
      <c r="J48" s="622"/>
      <c r="K48" s="982"/>
      <c r="L48" s="622"/>
      <c r="M48" s="982"/>
      <c r="N48" s="1110"/>
      <c r="O48" s="1208"/>
      <c r="P48" s="1110"/>
      <c r="Q48" s="1208"/>
      <c r="R48" s="927"/>
      <c r="S48" s="927"/>
      <c r="T48" s="878"/>
    </row>
    <row r="49" spans="1:20" s="224" customFormat="1" ht="15" customHeight="1" x14ac:dyDescent="0.25">
      <c r="A49" s="215">
        <v>44876</v>
      </c>
      <c r="B49" s="882" t="s">
        <v>3130</v>
      </c>
      <c r="C49" s="879" t="s">
        <v>12</v>
      </c>
      <c r="D49" s="879" t="s">
        <v>1506</v>
      </c>
      <c r="E49" s="875" t="s">
        <v>13</v>
      </c>
      <c r="F49" s="780">
        <v>30</v>
      </c>
      <c r="G49" s="946"/>
      <c r="H49" s="95"/>
      <c r="I49" s="1064"/>
      <c r="J49" s="622"/>
      <c r="K49" s="982"/>
      <c r="L49" s="622"/>
      <c r="M49" s="982"/>
      <c r="N49" s="622"/>
      <c r="O49" s="982"/>
      <c r="P49" s="622"/>
      <c r="Q49" s="982"/>
    </row>
    <row r="50" spans="1:20" s="224" customFormat="1" ht="15" customHeight="1" x14ac:dyDescent="0.25">
      <c r="A50" s="215">
        <v>44876</v>
      </c>
      <c r="B50" s="364" t="s">
        <v>428</v>
      </c>
      <c r="C50" s="350" t="s">
        <v>12</v>
      </c>
      <c r="D50" s="350" t="s">
        <v>1506</v>
      </c>
      <c r="E50" s="875" t="s">
        <v>13</v>
      </c>
      <c r="F50" s="780">
        <v>20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982"/>
      <c r="R50" s="927"/>
      <c r="S50" s="927"/>
      <c r="T50" s="878"/>
    </row>
    <row r="51" spans="1:20" s="224" customFormat="1" ht="15" customHeight="1" x14ac:dyDescent="0.25">
      <c r="A51" s="215">
        <v>44877</v>
      </c>
      <c r="B51" s="364" t="s">
        <v>3522</v>
      </c>
      <c r="C51" s="350" t="s">
        <v>12</v>
      </c>
      <c r="D51" s="350" t="s">
        <v>1489</v>
      </c>
      <c r="E51" s="875" t="s">
        <v>13</v>
      </c>
      <c r="F51" s="780">
        <v>100</v>
      </c>
      <c r="G51" s="982"/>
      <c r="H51" s="622"/>
      <c r="I51" s="982"/>
      <c r="J51" s="622"/>
      <c r="K51" s="982"/>
      <c r="L51" s="622"/>
      <c r="M51" s="1033"/>
      <c r="N51" s="1116"/>
      <c r="O51" s="1207"/>
      <c r="P51" s="1116"/>
      <c r="Q51" s="1207"/>
      <c r="R51" s="927"/>
      <c r="S51" s="927"/>
      <c r="T51" s="878"/>
    </row>
    <row r="52" spans="1:20" s="224" customFormat="1" ht="15" customHeight="1" x14ac:dyDescent="0.25">
      <c r="A52" s="215">
        <v>44877</v>
      </c>
      <c r="B52" s="364" t="s">
        <v>3469</v>
      </c>
      <c r="C52" s="350" t="s">
        <v>12</v>
      </c>
      <c r="D52" s="350" t="s">
        <v>1491</v>
      </c>
      <c r="E52" s="875" t="s">
        <v>13</v>
      </c>
      <c r="F52" s="780">
        <v>15</v>
      </c>
      <c r="G52" s="982"/>
      <c r="H52" s="622"/>
      <c r="I52" s="982"/>
      <c r="J52" s="622"/>
      <c r="K52" s="982"/>
      <c r="L52" s="622"/>
      <c r="M52" s="982"/>
      <c r="N52" s="622"/>
      <c r="O52" s="982"/>
      <c r="P52" s="622"/>
      <c r="Q52" s="982"/>
      <c r="R52" s="927"/>
      <c r="S52" s="927"/>
      <c r="T52" s="878"/>
    </row>
    <row r="53" spans="1:20" s="224" customFormat="1" ht="15" customHeight="1" x14ac:dyDescent="0.25">
      <c r="A53" s="215">
        <v>44877</v>
      </c>
      <c r="B53" s="364" t="s">
        <v>81</v>
      </c>
      <c r="C53" s="350" t="s">
        <v>12</v>
      </c>
      <c r="D53" s="350" t="s">
        <v>1493</v>
      </c>
      <c r="E53" s="875" t="s">
        <v>13</v>
      </c>
      <c r="F53" s="780">
        <v>21.3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982"/>
      <c r="R53" s="927"/>
      <c r="S53" s="927"/>
      <c r="T53" s="878"/>
    </row>
    <row r="54" spans="1:20" s="224" customFormat="1" ht="15" customHeight="1" x14ac:dyDescent="0.25">
      <c r="A54" s="215">
        <v>44878</v>
      </c>
      <c r="B54" s="364" t="s">
        <v>14</v>
      </c>
      <c r="C54" s="350" t="s">
        <v>12</v>
      </c>
      <c r="D54" s="350" t="s">
        <v>1486</v>
      </c>
      <c r="E54" s="875" t="s">
        <v>13</v>
      </c>
      <c r="F54" s="780">
        <v>14.06</v>
      </c>
      <c r="G54" s="982"/>
      <c r="H54" s="1060"/>
      <c r="I54" s="1033"/>
      <c r="J54" s="880"/>
      <c r="K54" s="1033"/>
      <c r="L54" s="880"/>
      <c r="M54" s="1033"/>
      <c r="N54" s="622"/>
      <c r="O54" s="982"/>
      <c r="P54" s="622"/>
      <c r="Q54" s="982"/>
      <c r="R54" s="1080"/>
      <c r="S54" s="927"/>
      <c r="T54" s="878"/>
    </row>
    <row r="55" spans="1:20" s="224" customFormat="1" ht="15" customHeight="1" x14ac:dyDescent="0.25">
      <c r="A55" s="215">
        <v>44878</v>
      </c>
      <c r="B55" s="882" t="s">
        <v>3523</v>
      </c>
      <c r="C55" s="879" t="s">
        <v>12</v>
      </c>
      <c r="D55" s="879" t="s">
        <v>1522</v>
      </c>
      <c r="E55" s="875" t="s">
        <v>13</v>
      </c>
      <c r="F55" s="780">
        <v>3.5</v>
      </c>
      <c r="G55" s="982"/>
      <c r="H55" s="1060"/>
      <c r="I55" s="1033"/>
      <c r="J55" s="880"/>
      <c r="K55" s="1033"/>
      <c r="L55" s="880"/>
      <c r="M55" s="1033"/>
      <c r="N55" s="622"/>
      <c r="O55" s="982"/>
      <c r="P55" s="622"/>
      <c r="Q55" s="982"/>
      <c r="R55" s="1080"/>
      <c r="S55" s="927"/>
      <c r="T55" s="878"/>
    </row>
    <row r="56" spans="1:20" s="224" customFormat="1" ht="15" customHeight="1" x14ac:dyDescent="0.25">
      <c r="A56" s="215">
        <v>44878</v>
      </c>
      <c r="B56" s="364" t="s">
        <v>32</v>
      </c>
      <c r="C56" s="350" t="s">
        <v>12</v>
      </c>
      <c r="D56" s="350" t="s">
        <v>1485</v>
      </c>
      <c r="E56" s="875" t="s">
        <v>13</v>
      </c>
      <c r="F56" s="780">
        <v>34.799999999999997</v>
      </c>
      <c r="G56" s="982"/>
      <c r="H56" s="622"/>
      <c r="I56" s="982"/>
      <c r="J56" s="622"/>
      <c r="K56" s="982"/>
      <c r="L56" s="622"/>
      <c r="M56" s="982"/>
      <c r="N56" s="622"/>
      <c r="O56" s="982"/>
      <c r="P56" s="622"/>
      <c r="Q56" s="982"/>
      <c r="R56" s="927"/>
      <c r="S56" s="927"/>
      <c r="T56" s="878"/>
    </row>
    <row r="57" spans="1:20" s="224" customFormat="1" ht="15" customHeight="1" x14ac:dyDescent="0.25">
      <c r="A57" s="215">
        <v>44878</v>
      </c>
      <c r="B57" s="364" t="s">
        <v>1906</v>
      </c>
      <c r="C57" s="350" t="s">
        <v>12</v>
      </c>
      <c r="D57" s="350" t="s">
        <v>1493</v>
      </c>
      <c r="E57" s="875" t="s">
        <v>13</v>
      </c>
      <c r="F57" s="780">
        <v>24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982"/>
      <c r="R57" s="927"/>
      <c r="S57" s="927"/>
      <c r="T57" s="878"/>
    </row>
    <row r="58" spans="1:20" s="224" customFormat="1" ht="15" customHeight="1" x14ac:dyDescent="0.25">
      <c r="A58" s="215">
        <v>44879</v>
      </c>
      <c r="B58" s="364" t="s">
        <v>14</v>
      </c>
      <c r="C58" s="350" t="s">
        <v>12</v>
      </c>
      <c r="D58" s="350" t="s">
        <v>1486</v>
      </c>
      <c r="E58" s="875" t="s">
        <v>13</v>
      </c>
      <c r="F58" s="780">
        <v>6.51</v>
      </c>
      <c r="G58" s="982"/>
      <c r="H58" s="1060"/>
      <c r="I58" s="1033"/>
      <c r="J58" s="880"/>
      <c r="K58" s="1033"/>
      <c r="L58" s="880"/>
      <c r="M58" s="1033"/>
      <c r="N58" s="622"/>
      <c r="O58" s="982"/>
      <c r="P58" s="622"/>
      <c r="Q58" s="982"/>
      <c r="R58" s="1080"/>
      <c r="S58" s="927"/>
      <c r="T58" s="878"/>
    </row>
    <row r="59" spans="1:20" s="224" customFormat="1" ht="15" customHeight="1" x14ac:dyDescent="0.25">
      <c r="A59" s="215">
        <v>44879</v>
      </c>
      <c r="B59" s="882" t="s">
        <v>1331</v>
      </c>
      <c r="C59" s="879" t="s">
        <v>19</v>
      </c>
      <c r="D59" s="879" t="s">
        <v>2157</v>
      </c>
      <c r="E59" s="871" t="s">
        <v>13</v>
      </c>
      <c r="F59" s="780">
        <v>80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20" s="224" customFormat="1" ht="15" customHeight="1" x14ac:dyDescent="0.25">
      <c r="A60" s="215">
        <v>44879</v>
      </c>
      <c r="B60" s="364" t="s">
        <v>3524</v>
      </c>
      <c r="C60" s="350" t="s">
        <v>19</v>
      </c>
      <c r="D60" s="350" t="s">
        <v>1506</v>
      </c>
      <c r="E60" s="875" t="s">
        <v>13</v>
      </c>
      <c r="F60" s="780">
        <v>100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982"/>
      <c r="R60" s="927"/>
      <c r="S60" s="927"/>
      <c r="T60" s="878"/>
    </row>
    <row r="61" spans="1:20" s="224" customFormat="1" ht="15" customHeight="1" x14ac:dyDescent="0.25">
      <c r="A61" s="215">
        <v>44879</v>
      </c>
      <c r="B61" s="364" t="s">
        <v>467</v>
      </c>
      <c r="C61" s="350" t="s">
        <v>12</v>
      </c>
      <c r="D61" s="350" t="s">
        <v>1489</v>
      </c>
      <c r="E61" s="875" t="s">
        <v>13</v>
      </c>
      <c r="F61" s="780">
        <v>3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982"/>
      <c r="R61" s="927"/>
      <c r="S61" s="927"/>
      <c r="T61" s="878"/>
    </row>
    <row r="62" spans="1:20" s="224" customFormat="1" ht="15" customHeight="1" x14ac:dyDescent="0.25">
      <c r="A62" s="215">
        <v>44879</v>
      </c>
      <c r="B62" s="882" t="s">
        <v>82</v>
      </c>
      <c r="C62" s="879" t="s">
        <v>12</v>
      </c>
      <c r="D62" s="879" t="s">
        <v>1493</v>
      </c>
      <c r="E62" s="875" t="s">
        <v>13</v>
      </c>
      <c r="F62" s="780">
        <v>35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982"/>
      <c r="R62" s="927"/>
      <c r="S62" s="927"/>
      <c r="T62" s="878"/>
    </row>
    <row r="63" spans="1:20" s="224" customFormat="1" ht="15" customHeight="1" x14ac:dyDescent="0.25">
      <c r="A63" s="215">
        <v>44880</v>
      </c>
      <c r="B63" s="364" t="s">
        <v>14</v>
      </c>
      <c r="C63" s="350" t="s">
        <v>12</v>
      </c>
      <c r="D63" s="350" t="s">
        <v>1486</v>
      </c>
      <c r="E63" s="875" t="s">
        <v>13</v>
      </c>
      <c r="F63" s="780">
        <v>11.1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982"/>
      <c r="R63" s="927"/>
      <c r="S63" s="927"/>
      <c r="T63" s="878"/>
    </row>
    <row r="64" spans="1:20" s="224" customFormat="1" ht="15" customHeight="1" x14ac:dyDescent="0.25">
      <c r="A64" s="215">
        <v>44881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18</v>
      </c>
      <c r="G64" s="982"/>
      <c r="H64" s="622"/>
      <c r="I64" s="982"/>
      <c r="J64" s="622"/>
      <c r="K64" s="982"/>
      <c r="L64" s="622"/>
      <c r="M64" s="982"/>
      <c r="N64" s="622"/>
      <c r="O64" s="982"/>
      <c r="P64" s="622"/>
      <c r="Q64" s="982"/>
      <c r="R64" s="927"/>
      <c r="S64" s="927"/>
      <c r="T64" s="878"/>
    </row>
    <row r="65" spans="1:26" s="224" customFormat="1" x14ac:dyDescent="0.25">
      <c r="A65" s="215">
        <v>44881</v>
      </c>
      <c r="B65" s="364" t="s">
        <v>478</v>
      </c>
      <c r="C65" s="350" t="s">
        <v>12</v>
      </c>
      <c r="D65" s="350" t="s">
        <v>1496</v>
      </c>
      <c r="E65" s="875" t="s">
        <v>13</v>
      </c>
      <c r="F65" s="780">
        <v>16.41</v>
      </c>
      <c r="G65" s="982"/>
      <c r="H65" s="1008"/>
      <c r="I65" s="1063"/>
      <c r="J65" s="622"/>
      <c r="K65" s="982"/>
      <c r="L65" s="622"/>
      <c r="M65" s="982"/>
      <c r="N65" s="622"/>
      <c r="O65" s="982"/>
      <c r="P65" s="622"/>
      <c r="Q65" s="982"/>
      <c r="R65" s="861"/>
      <c r="T65" s="878"/>
    </row>
    <row r="66" spans="1:26" s="224" customFormat="1" ht="15" customHeight="1" x14ac:dyDescent="0.25">
      <c r="A66" s="215">
        <v>44882</v>
      </c>
      <c r="B66" s="364" t="s">
        <v>3325</v>
      </c>
      <c r="C66" s="350" t="s">
        <v>12</v>
      </c>
      <c r="D66" s="350" t="s">
        <v>1504</v>
      </c>
      <c r="E66" s="875" t="s">
        <v>13</v>
      </c>
      <c r="F66" s="780">
        <v>32.49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982"/>
      <c r="R66" s="927"/>
      <c r="S66" s="927"/>
      <c r="T66" s="878"/>
    </row>
    <row r="67" spans="1:26" s="224" customFormat="1" ht="15" customHeight="1" x14ac:dyDescent="0.25">
      <c r="A67" s="215">
        <v>44882</v>
      </c>
      <c r="B67" s="882" t="s">
        <v>32</v>
      </c>
      <c r="C67" s="879" t="s">
        <v>12</v>
      </c>
      <c r="D67" s="879" t="s">
        <v>1485</v>
      </c>
      <c r="E67" s="875" t="s">
        <v>13</v>
      </c>
      <c r="F67" s="780">
        <v>13.5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982"/>
      <c r="R67" s="927"/>
      <c r="S67" s="927"/>
      <c r="T67" s="878"/>
    </row>
    <row r="68" spans="1:26" s="224" customFormat="1" ht="15" customHeight="1" x14ac:dyDescent="0.25">
      <c r="A68" s="215">
        <v>44882</v>
      </c>
      <c r="B68" s="364" t="s">
        <v>3525</v>
      </c>
      <c r="C68" s="350" t="s">
        <v>12</v>
      </c>
      <c r="D68" s="350" t="s">
        <v>1489</v>
      </c>
      <c r="E68" s="875" t="s">
        <v>13</v>
      </c>
      <c r="F68" s="780">
        <v>50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982"/>
      <c r="R68" s="927"/>
      <c r="S68" s="927"/>
      <c r="T68" s="878"/>
    </row>
    <row r="69" spans="1:26" s="224" customFormat="1" ht="15" customHeight="1" x14ac:dyDescent="0.25">
      <c r="A69" s="215">
        <v>44883</v>
      </c>
      <c r="B69" s="882" t="s">
        <v>3526</v>
      </c>
      <c r="C69" s="350" t="s">
        <v>12</v>
      </c>
      <c r="D69" s="350"/>
      <c r="E69" s="480" t="s">
        <v>25</v>
      </c>
      <c r="F69" s="622"/>
      <c r="G69" s="982">
        <v>2000</v>
      </c>
      <c r="H69" s="1008"/>
      <c r="I69" s="1063"/>
      <c r="J69" s="622"/>
      <c r="K69" s="982"/>
      <c r="L69" s="622"/>
      <c r="M69" s="982"/>
      <c r="N69" s="622"/>
      <c r="O69" s="982"/>
      <c r="P69" s="622"/>
      <c r="Q69" s="982"/>
      <c r="R69" s="861"/>
    </row>
    <row r="70" spans="1:26" s="224" customFormat="1" ht="15" customHeight="1" x14ac:dyDescent="0.25">
      <c r="A70" s="215">
        <v>44883</v>
      </c>
      <c r="B70" s="862" t="s">
        <v>2867</v>
      </c>
      <c r="C70" s="350" t="s">
        <v>12</v>
      </c>
      <c r="D70" s="874" t="s">
        <v>1504</v>
      </c>
      <c r="E70" s="887" t="s">
        <v>13</v>
      </c>
      <c r="F70" s="1107"/>
      <c r="G70" s="982"/>
      <c r="H70" s="1009"/>
      <c r="I70" s="1063"/>
      <c r="J70" s="853"/>
      <c r="K70" s="982"/>
      <c r="L70" s="853"/>
      <c r="M70" s="982"/>
      <c r="N70" s="622"/>
      <c r="O70" s="982"/>
      <c r="P70" s="622"/>
      <c r="Q70" s="982"/>
      <c r="R70" s="3166" t="s">
        <v>3362</v>
      </c>
      <c r="S70" s="3166"/>
      <c r="T70" s="3166"/>
      <c r="U70" s="3166"/>
      <c r="V70" s="3166"/>
      <c r="W70" s="3166"/>
      <c r="X70" s="3166"/>
      <c r="Y70" s="3166"/>
      <c r="Z70" s="3166"/>
    </row>
    <row r="71" spans="1:26" s="224" customFormat="1" ht="14.25" customHeight="1" x14ac:dyDescent="0.25">
      <c r="A71" s="215">
        <v>44883</v>
      </c>
      <c r="B71" s="364" t="s">
        <v>2977</v>
      </c>
      <c r="C71" s="350" t="s">
        <v>12</v>
      </c>
      <c r="D71" s="350" t="s">
        <v>1491</v>
      </c>
      <c r="E71" s="875" t="s">
        <v>13</v>
      </c>
      <c r="F71" s="1047">
        <v>300</v>
      </c>
      <c r="G71" s="982"/>
      <c r="H71" s="1008"/>
      <c r="I71" s="1063"/>
      <c r="J71" s="622"/>
      <c r="K71" s="982"/>
      <c r="L71" s="622"/>
      <c r="M71" s="982"/>
      <c r="N71" s="622"/>
      <c r="O71" s="982"/>
      <c r="P71" s="622"/>
      <c r="Q71" s="982"/>
      <c r="R71" s="1029"/>
      <c r="S71" s="89"/>
      <c r="T71" s="930"/>
    </row>
    <row r="72" spans="1:26" s="224" customFormat="1" ht="15" customHeight="1" x14ac:dyDescent="0.25">
      <c r="A72" s="215">
        <v>44883</v>
      </c>
      <c r="B72" s="349" t="s">
        <v>3527</v>
      </c>
      <c r="C72" s="887" t="s">
        <v>12</v>
      </c>
      <c r="D72" s="350" t="s">
        <v>1489</v>
      </c>
      <c r="E72" s="887" t="s">
        <v>13</v>
      </c>
      <c r="F72" s="613">
        <v>93.333333333333329</v>
      </c>
      <c r="G72" s="982"/>
      <c r="H72" s="872"/>
      <c r="I72" s="1063"/>
      <c r="J72" s="622"/>
      <c r="K72" s="982"/>
      <c r="L72" s="622"/>
      <c r="M72" s="982"/>
      <c r="N72" s="622"/>
      <c r="O72" s="982"/>
      <c r="P72" s="622"/>
      <c r="Q72" s="982"/>
      <c r="R72" s="927"/>
      <c r="S72" s="999"/>
      <c r="T72" s="878"/>
    </row>
    <row r="73" spans="1:26" s="224" customFormat="1" ht="15" customHeight="1" x14ac:dyDescent="0.25">
      <c r="A73" s="215">
        <v>44883</v>
      </c>
      <c r="B73" s="349" t="s">
        <v>3527</v>
      </c>
      <c r="C73" s="887" t="s">
        <v>12</v>
      </c>
      <c r="D73" s="350" t="s">
        <v>1525</v>
      </c>
      <c r="E73" s="887" t="s">
        <v>13</v>
      </c>
      <c r="F73" s="613">
        <v>28.89</v>
      </c>
      <c r="G73" s="982"/>
      <c r="H73" s="872"/>
      <c r="I73" s="1063"/>
      <c r="J73" s="622"/>
      <c r="K73" s="982"/>
      <c r="L73" s="622"/>
      <c r="M73" s="982"/>
      <c r="N73" s="622"/>
      <c r="O73" s="982"/>
      <c r="P73" s="622"/>
      <c r="Q73" s="982"/>
      <c r="R73" s="927"/>
      <c r="S73" s="999"/>
      <c r="T73" s="878"/>
    </row>
    <row r="74" spans="1:26" s="224" customFormat="1" ht="15" customHeight="1" x14ac:dyDescent="0.25">
      <c r="A74" s="215">
        <v>44883</v>
      </c>
      <c r="B74" s="349" t="s">
        <v>3527</v>
      </c>
      <c r="C74" s="887" t="s">
        <v>12</v>
      </c>
      <c r="D74" s="1005" t="s">
        <v>1506</v>
      </c>
      <c r="E74" s="887" t="s">
        <v>13</v>
      </c>
      <c r="F74" s="1116">
        <v>69.7</v>
      </c>
      <c r="G74" s="982"/>
      <c r="H74" s="872"/>
      <c r="I74" s="1063"/>
      <c r="J74" s="622"/>
      <c r="K74" s="982"/>
      <c r="L74" s="622"/>
      <c r="M74" s="982"/>
      <c r="N74" s="622"/>
      <c r="O74" s="982"/>
      <c r="P74" s="622"/>
      <c r="Q74" s="982"/>
      <c r="R74" s="927"/>
      <c r="S74" s="999"/>
      <c r="T74" s="878"/>
    </row>
    <row r="75" spans="1:26" s="224" customFormat="1" ht="15" customHeight="1" x14ac:dyDescent="0.25">
      <c r="A75" s="215">
        <v>44883</v>
      </c>
      <c r="B75" s="349" t="s">
        <v>3527</v>
      </c>
      <c r="C75" s="887" t="s">
        <v>12</v>
      </c>
      <c r="D75" s="350" t="s">
        <v>1496</v>
      </c>
      <c r="E75" s="887" t="s">
        <v>13</v>
      </c>
      <c r="F75" s="613">
        <v>79.62</v>
      </c>
      <c r="G75" s="982"/>
      <c r="H75" s="872"/>
      <c r="I75" s="1063"/>
      <c r="J75" s="622"/>
      <c r="K75" s="982"/>
      <c r="L75" s="622"/>
      <c r="M75" s="982"/>
      <c r="N75" s="622"/>
      <c r="O75" s="982"/>
      <c r="P75" s="622"/>
      <c r="Q75" s="982"/>
      <c r="R75" s="927"/>
      <c r="S75" s="999"/>
      <c r="T75" s="878"/>
    </row>
    <row r="76" spans="1:26" s="224" customFormat="1" ht="15" customHeight="1" x14ac:dyDescent="0.25">
      <c r="A76" s="215">
        <v>44883</v>
      </c>
      <c r="B76" s="349" t="s">
        <v>3527</v>
      </c>
      <c r="C76" s="887" t="s">
        <v>12</v>
      </c>
      <c r="D76" s="350" t="s">
        <v>1522</v>
      </c>
      <c r="E76" s="887" t="s">
        <v>13</v>
      </c>
      <c r="F76" s="613">
        <v>106.5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982"/>
      <c r="R76" s="927"/>
      <c r="S76" s="999"/>
      <c r="T76" s="878"/>
    </row>
    <row r="77" spans="1:26" s="224" customFormat="1" ht="15" customHeight="1" x14ac:dyDescent="0.25">
      <c r="A77" s="215">
        <v>44883</v>
      </c>
      <c r="B77" s="349" t="s">
        <v>3527</v>
      </c>
      <c r="C77" s="887" t="s">
        <v>12</v>
      </c>
      <c r="D77" s="350" t="s">
        <v>1506</v>
      </c>
      <c r="E77" s="887" t="s">
        <v>13</v>
      </c>
      <c r="F77" s="613">
        <v>160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982"/>
      <c r="R77" s="927"/>
      <c r="S77" s="999"/>
      <c r="T77" s="878"/>
    </row>
    <row r="78" spans="1:26" s="224" customFormat="1" ht="15" customHeight="1" x14ac:dyDescent="0.25">
      <c r="A78" s="215">
        <v>44883</v>
      </c>
      <c r="B78" s="882" t="s">
        <v>3528</v>
      </c>
      <c r="C78" s="879" t="s">
        <v>12</v>
      </c>
      <c r="D78" s="879" t="s">
        <v>1499</v>
      </c>
      <c r="E78" s="871" t="s">
        <v>13</v>
      </c>
      <c r="F78" s="780">
        <v>33.08</v>
      </c>
      <c r="G78" s="982"/>
      <c r="H78" s="1008"/>
      <c r="I78" s="1063"/>
      <c r="J78" s="622"/>
      <c r="K78" s="982"/>
      <c r="L78" s="622"/>
      <c r="M78" s="982"/>
      <c r="N78" s="622"/>
      <c r="O78" s="982"/>
      <c r="P78" s="622"/>
      <c r="Q78" s="982"/>
      <c r="R78" s="861"/>
      <c r="T78" s="1123"/>
      <c r="U78" s="999"/>
    </row>
    <row r="79" spans="1:26" s="224" customFormat="1" ht="15" customHeight="1" x14ac:dyDescent="0.25">
      <c r="A79" s="215">
        <v>44883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18</v>
      </c>
      <c r="G79" s="982"/>
      <c r="H79" s="622"/>
      <c r="I79" s="982"/>
      <c r="J79" s="622"/>
      <c r="K79" s="982"/>
      <c r="L79" s="622"/>
      <c r="M79" s="982"/>
      <c r="N79" s="622"/>
      <c r="O79" s="982"/>
      <c r="P79" s="622"/>
      <c r="Q79" s="982"/>
      <c r="R79" s="927"/>
      <c r="S79" s="927"/>
      <c r="T79" s="878"/>
    </row>
    <row r="80" spans="1:26" s="224" customFormat="1" ht="15" customHeight="1" x14ac:dyDescent="0.25">
      <c r="A80" s="215">
        <v>44883</v>
      </c>
      <c r="B80" s="882" t="s">
        <v>17</v>
      </c>
      <c r="C80" s="879" t="s">
        <v>12</v>
      </c>
      <c r="D80" s="879" t="s">
        <v>1493</v>
      </c>
      <c r="E80" s="875" t="s">
        <v>13</v>
      </c>
      <c r="F80" s="780">
        <v>9</v>
      </c>
      <c r="G80" s="982"/>
      <c r="H80" s="622"/>
      <c r="I80" s="982"/>
      <c r="J80" s="622"/>
      <c r="K80" s="982"/>
      <c r="L80" s="622"/>
      <c r="M80" s="1033"/>
      <c r="N80" s="1116"/>
      <c r="O80" s="1207"/>
      <c r="P80" s="1116"/>
      <c r="Q80" s="1207"/>
      <c r="R80" s="927"/>
      <c r="S80" s="927"/>
      <c r="T80" s="878"/>
    </row>
    <row r="81" spans="1:21" s="224" customFormat="1" ht="15" customHeight="1" x14ac:dyDescent="0.25">
      <c r="A81" s="215">
        <v>44883</v>
      </c>
      <c r="B81" s="882" t="s">
        <v>138</v>
      </c>
      <c r="C81" s="879" t="s">
        <v>12</v>
      </c>
      <c r="D81" s="879" t="s">
        <v>2157</v>
      </c>
      <c r="E81" s="871" t="s">
        <v>13</v>
      </c>
      <c r="F81" s="780">
        <v>80</v>
      </c>
      <c r="G81" s="982"/>
      <c r="H81" s="622"/>
      <c r="I81" s="982"/>
      <c r="J81" s="622"/>
      <c r="K81" s="982"/>
      <c r="L81" s="622"/>
      <c r="M81" s="982"/>
      <c r="N81" s="622"/>
      <c r="O81" s="982"/>
      <c r="P81" s="622"/>
      <c r="Q81" s="982"/>
      <c r="R81" s="927"/>
      <c r="S81" s="927"/>
      <c r="T81" s="878"/>
    </row>
    <row r="82" spans="1:21" s="224" customFormat="1" ht="15" customHeight="1" x14ac:dyDescent="0.25">
      <c r="A82" s="215">
        <v>44883</v>
      </c>
      <c r="B82" s="364" t="s">
        <v>14</v>
      </c>
      <c r="C82" s="350" t="s">
        <v>12</v>
      </c>
      <c r="D82" s="350" t="s">
        <v>1486</v>
      </c>
      <c r="E82" s="875" t="s">
        <v>13</v>
      </c>
      <c r="F82" s="780">
        <v>5.73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982"/>
      <c r="R82" s="927"/>
      <c r="T82" s="878"/>
    </row>
    <row r="83" spans="1:21" s="224" customFormat="1" ht="15" customHeight="1" x14ac:dyDescent="0.25">
      <c r="A83" s="215">
        <v>44883</v>
      </c>
      <c r="B83" s="882" t="s">
        <v>1820</v>
      </c>
      <c r="C83" s="879" t="s">
        <v>12</v>
      </c>
      <c r="D83" s="879" t="s">
        <v>1496</v>
      </c>
      <c r="E83" s="875" t="s">
        <v>13</v>
      </c>
      <c r="F83" s="780">
        <v>20</v>
      </c>
      <c r="G83" s="982"/>
      <c r="H83" s="622"/>
      <c r="I83" s="982"/>
      <c r="J83" s="622"/>
      <c r="K83" s="982"/>
      <c r="L83" s="622"/>
      <c r="M83" s="982"/>
      <c r="N83" s="880"/>
      <c r="O83" s="1033"/>
      <c r="P83" s="880"/>
      <c r="Q83" s="1033"/>
      <c r="R83" s="927"/>
      <c r="T83" s="878"/>
    </row>
    <row r="84" spans="1:21" s="224" customFormat="1" ht="15" customHeight="1" x14ac:dyDescent="0.25">
      <c r="A84" s="215">
        <v>44884</v>
      </c>
      <c r="B84" s="364" t="s">
        <v>14</v>
      </c>
      <c r="C84" s="350" t="s">
        <v>12</v>
      </c>
      <c r="D84" s="350" t="s">
        <v>1486</v>
      </c>
      <c r="E84" s="875" t="s">
        <v>13</v>
      </c>
      <c r="F84" s="780">
        <v>6.22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982"/>
      <c r="R84" s="927"/>
      <c r="T84" s="878"/>
    </row>
    <row r="85" spans="1:21" s="224" customFormat="1" ht="15" customHeight="1" x14ac:dyDescent="0.25">
      <c r="A85" s="215">
        <v>44884</v>
      </c>
      <c r="B85" s="882" t="s">
        <v>80</v>
      </c>
      <c r="C85" s="879" t="s">
        <v>19</v>
      </c>
      <c r="D85" s="879" t="s">
        <v>1523</v>
      </c>
      <c r="E85" s="875" t="s">
        <v>13</v>
      </c>
      <c r="F85" s="780">
        <v>33</v>
      </c>
      <c r="G85" s="982"/>
      <c r="H85" s="622"/>
      <c r="I85" s="982"/>
      <c r="J85" s="622"/>
      <c r="K85" s="982"/>
      <c r="L85" s="622"/>
      <c r="M85" s="982"/>
      <c r="N85" s="880"/>
      <c r="O85" s="1033"/>
      <c r="P85" s="880"/>
      <c r="Q85" s="1033"/>
      <c r="R85" s="927"/>
      <c r="T85" s="878"/>
    </row>
    <row r="86" spans="1:21" s="224" customFormat="1" ht="15" customHeight="1" x14ac:dyDescent="0.25">
      <c r="A86" s="215">
        <v>44884</v>
      </c>
      <c r="B86" s="882" t="s">
        <v>2629</v>
      </c>
      <c r="C86" s="879" t="s">
        <v>19</v>
      </c>
      <c r="D86" s="879" t="s">
        <v>1489</v>
      </c>
      <c r="E86" s="875" t="s">
        <v>13</v>
      </c>
      <c r="F86" s="780">
        <v>126.79</v>
      </c>
      <c r="G86" s="982"/>
      <c r="H86" s="622"/>
      <c r="I86" s="982"/>
      <c r="J86" s="622"/>
      <c r="K86" s="982"/>
      <c r="L86" s="622"/>
      <c r="M86" s="982"/>
      <c r="N86" s="880"/>
      <c r="O86" s="1033"/>
      <c r="P86" s="880"/>
      <c r="Q86" s="1033"/>
      <c r="R86" s="927"/>
      <c r="T86" s="878"/>
    </row>
    <row r="87" spans="1:21" s="224" customFormat="1" ht="15" customHeight="1" x14ac:dyDescent="0.25">
      <c r="A87" s="215">
        <v>44884</v>
      </c>
      <c r="B87" s="882" t="s">
        <v>82</v>
      </c>
      <c r="C87" s="879" t="s">
        <v>12</v>
      </c>
      <c r="D87" s="879" t="s">
        <v>1493</v>
      </c>
      <c r="E87" s="875" t="s">
        <v>13</v>
      </c>
      <c r="F87" s="780">
        <v>36.799999999999997</v>
      </c>
      <c r="G87" s="982"/>
      <c r="H87" s="622"/>
      <c r="I87" s="982"/>
      <c r="J87" s="622"/>
      <c r="K87" s="982"/>
      <c r="L87" s="622"/>
      <c r="M87" s="982"/>
      <c r="N87" s="880"/>
      <c r="O87" s="1033"/>
      <c r="P87" s="880"/>
      <c r="Q87" s="1033"/>
      <c r="R87" s="927"/>
      <c r="T87" s="878"/>
    </row>
    <row r="88" spans="1:21" s="224" customFormat="1" ht="15" customHeight="1" x14ac:dyDescent="0.25">
      <c r="A88" s="215">
        <v>44885</v>
      </c>
      <c r="B88" s="364" t="s">
        <v>14</v>
      </c>
      <c r="C88" s="350" t="s">
        <v>12</v>
      </c>
      <c r="D88" s="350" t="s">
        <v>1486</v>
      </c>
      <c r="E88" s="875" t="s">
        <v>13</v>
      </c>
      <c r="F88" s="780">
        <v>11.68</v>
      </c>
      <c r="G88" s="982"/>
      <c r="H88" s="622"/>
      <c r="I88" s="982"/>
      <c r="J88" s="622"/>
      <c r="K88" s="982"/>
      <c r="L88" s="622"/>
      <c r="M88" s="982"/>
      <c r="N88" s="622"/>
      <c r="O88" s="982"/>
      <c r="P88" s="622"/>
      <c r="Q88" s="982"/>
      <c r="R88" s="927"/>
      <c r="T88" s="878"/>
    </row>
    <row r="89" spans="1:21" s="224" customFormat="1" ht="15" customHeight="1" x14ac:dyDescent="0.25">
      <c r="A89" s="215">
        <v>44885</v>
      </c>
      <c r="B89" s="882" t="s">
        <v>1906</v>
      </c>
      <c r="C89" s="879" t="s">
        <v>12</v>
      </c>
      <c r="D89" s="879" t="s">
        <v>1493</v>
      </c>
      <c r="E89" s="871" t="s">
        <v>13</v>
      </c>
      <c r="F89" s="780">
        <v>32.5</v>
      </c>
      <c r="G89" s="946"/>
      <c r="H89" s="95"/>
      <c r="I89" s="1064"/>
      <c r="J89" s="622"/>
      <c r="K89" s="982"/>
      <c r="L89" s="622"/>
      <c r="M89" s="982"/>
      <c r="N89" s="622"/>
      <c r="O89" s="982"/>
      <c r="P89" s="622"/>
      <c r="Q89" s="982"/>
      <c r="R89" s="861"/>
    </row>
    <row r="90" spans="1:21" s="224" customFormat="1" ht="15" customHeight="1" x14ac:dyDescent="0.25">
      <c r="A90" s="215">
        <v>44886</v>
      </c>
      <c r="B90" s="862" t="s">
        <v>3529</v>
      </c>
      <c r="C90" s="879" t="s">
        <v>12</v>
      </c>
      <c r="D90" s="879" t="s">
        <v>1504</v>
      </c>
      <c r="E90" s="871" t="s">
        <v>13</v>
      </c>
      <c r="F90" s="622">
        <v>39.9</v>
      </c>
      <c r="G90" s="1034"/>
      <c r="H90" s="1008"/>
      <c r="I90" s="1063"/>
      <c r="J90" s="622"/>
      <c r="K90" s="982"/>
      <c r="L90" s="622"/>
      <c r="M90" s="982"/>
      <c r="N90" s="622"/>
      <c r="O90" s="982"/>
      <c r="P90" s="622"/>
      <c r="Q90" s="982"/>
      <c r="R90" s="1223" t="s">
        <v>3502</v>
      </c>
      <c r="T90" s="878"/>
    </row>
    <row r="91" spans="1:21" s="224" customFormat="1" ht="15" customHeight="1" x14ac:dyDescent="0.25">
      <c r="A91" s="215">
        <v>44886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18</v>
      </c>
      <c r="G91" s="982"/>
      <c r="H91" s="622"/>
      <c r="I91" s="982"/>
      <c r="J91" s="622"/>
      <c r="K91" s="982"/>
      <c r="L91" s="622"/>
      <c r="M91" s="982"/>
      <c r="N91" s="622"/>
      <c r="O91" s="982"/>
      <c r="P91" s="622"/>
      <c r="Q91" s="982"/>
      <c r="R91" s="927"/>
      <c r="S91" s="927"/>
      <c r="T91" s="878"/>
    </row>
    <row r="92" spans="1:21" s="224" customFormat="1" ht="15" customHeight="1" x14ac:dyDescent="0.25">
      <c r="A92" s="215">
        <v>44886</v>
      </c>
      <c r="B92" s="882" t="s">
        <v>138</v>
      </c>
      <c r="C92" s="879" t="s">
        <v>19</v>
      </c>
      <c r="D92" s="879" t="s">
        <v>2157</v>
      </c>
      <c r="E92" s="871" t="s">
        <v>13</v>
      </c>
      <c r="F92" s="780">
        <v>80</v>
      </c>
      <c r="G92" s="982"/>
      <c r="H92" s="622"/>
      <c r="I92" s="982"/>
      <c r="J92" s="622"/>
      <c r="K92" s="982"/>
      <c r="L92" s="622"/>
      <c r="M92" s="982"/>
      <c r="N92" s="622"/>
      <c r="O92" s="982"/>
      <c r="P92" s="622"/>
      <c r="Q92" s="982"/>
      <c r="R92" s="927"/>
      <c r="S92" s="927"/>
      <c r="T92" s="878"/>
    </row>
    <row r="93" spans="1:21" s="224" customFormat="1" ht="15" customHeight="1" x14ac:dyDescent="0.25">
      <c r="A93" s="215">
        <v>44886</v>
      </c>
      <c r="B93" s="882" t="s">
        <v>3530</v>
      </c>
      <c r="C93" s="879" t="s">
        <v>19</v>
      </c>
      <c r="D93" s="879" t="s">
        <v>1506</v>
      </c>
      <c r="E93" s="871" t="s">
        <v>13</v>
      </c>
      <c r="F93" s="780">
        <v>100</v>
      </c>
      <c r="G93" s="946"/>
      <c r="H93" s="95"/>
      <c r="I93" s="1064"/>
      <c r="J93" s="622"/>
      <c r="K93" s="982"/>
      <c r="L93" s="622"/>
      <c r="M93" s="982"/>
      <c r="N93" s="622"/>
      <c r="O93" s="982"/>
      <c r="P93" s="622"/>
      <c r="Q93" s="982"/>
      <c r="R93" s="1028"/>
      <c r="U93" s="958"/>
    </row>
    <row r="94" spans="1:21" s="224" customFormat="1" ht="15" customHeight="1" x14ac:dyDescent="0.25">
      <c r="A94" s="215">
        <v>44886</v>
      </c>
      <c r="B94" s="882" t="s">
        <v>3531</v>
      </c>
      <c r="C94" s="879" t="s">
        <v>12</v>
      </c>
      <c r="D94" s="879" t="s">
        <v>1506</v>
      </c>
      <c r="E94" s="871" t="s">
        <v>13</v>
      </c>
      <c r="F94" s="780">
        <v>69.900000000000006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982"/>
      <c r="R94" s="1028"/>
      <c r="U94" s="958"/>
    </row>
    <row r="95" spans="1:21" s="224" customFormat="1" ht="15" customHeight="1" x14ac:dyDescent="0.25">
      <c r="A95" s="215">
        <v>44886</v>
      </c>
      <c r="B95" s="882" t="s">
        <v>18</v>
      </c>
      <c r="C95" s="879" t="s">
        <v>19</v>
      </c>
      <c r="D95" s="879" t="s">
        <v>1506</v>
      </c>
      <c r="E95" s="871" t="s">
        <v>13</v>
      </c>
      <c r="F95" s="780">
        <v>59.9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982"/>
      <c r="R95" s="1028"/>
      <c r="U95" s="958"/>
    </row>
    <row r="96" spans="1:21" s="224" customFormat="1" ht="15" customHeight="1" x14ac:dyDescent="0.25">
      <c r="A96" s="215">
        <v>44887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18</v>
      </c>
      <c r="G96" s="982"/>
      <c r="H96" s="622"/>
      <c r="I96" s="982"/>
      <c r="J96" s="622"/>
      <c r="K96" s="982"/>
      <c r="L96" s="622"/>
      <c r="M96" s="982"/>
      <c r="N96" s="622"/>
      <c r="O96" s="982"/>
      <c r="P96" s="622"/>
      <c r="Q96" s="982"/>
      <c r="R96" s="927"/>
      <c r="S96" s="927"/>
      <c r="T96" s="878"/>
    </row>
    <row r="97" spans="1:21" s="224" customFormat="1" ht="15" customHeight="1" x14ac:dyDescent="0.25">
      <c r="A97" s="215">
        <v>44887</v>
      </c>
      <c r="B97" s="364" t="s">
        <v>478</v>
      </c>
      <c r="C97" s="350" t="s">
        <v>12</v>
      </c>
      <c r="D97" s="350" t="s">
        <v>1496</v>
      </c>
      <c r="E97" s="875" t="s">
        <v>13</v>
      </c>
      <c r="F97" s="780">
        <v>11.54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982"/>
      <c r="R97" s="1028"/>
      <c r="U97" s="958"/>
    </row>
    <row r="98" spans="1:21" s="224" customFormat="1" ht="15" customHeight="1" x14ac:dyDescent="0.25">
      <c r="A98" s="215">
        <v>44888</v>
      </c>
      <c r="B98" s="882" t="s">
        <v>3532</v>
      </c>
      <c r="C98" s="879" t="s">
        <v>12</v>
      </c>
      <c r="D98" s="879" t="s">
        <v>1493</v>
      </c>
      <c r="E98" s="871" t="s">
        <v>13</v>
      </c>
      <c r="F98" s="780">
        <v>11</v>
      </c>
      <c r="G98" s="946"/>
      <c r="H98" s="95"/>
      <c r="I98" s="1064"/>
      <c r="J98" s="622"/>
      <c r="K98" s="982"/>
      <c r="L98" s="622"/>
      <c r="M98" s="982"/>
      <c r="N98" s="622"/>
      <c r="O98" s="982"/>
      <c r="P98" s="622"/>
      <c r="Q98" s="982"/>
      <c r="R98" s="861"/>
    </row>
    <row r="99" spans="1:21" s="224" customFormat="1" ht="15" customHeight="1" x14ac:dyDescent="0.25">
      <c r="A99" s="215">
        <v>44888</v>
      </c>
      <c r="B99" s="882" t="s">
        <v>3533</v>
      </c>
      <c r="C99" s="879" t="s">
        <v>12</v>
      </c>
      <c r="D99" s="879" t="s">
        <v>1522</v>
      </c>
      <c r="E99" s="875" t="s">
        <v>13</v>
      </c>
      <c r="F99" s="780">
        <v>150</v>
      </c>
      <c r="G99" s="982"/>
      <c r="H99" s="622"/>
      <c r="I99" s="982"/>
      <c r="J99" s="622"/>
      <c r="K99" s="982"/>
      <c r="L99" s="622"/>
      <c r="M99" s="982"/>
      <c r="N99" s="880"/>
      <c r="O99" s="1033"/>
      <c r="P99" s="880"/>
      <c r="Q99" s="1033"/>
      <c r="R99" s="927"/>
      <c r="T99" s="878"/>
    </row>
    <row r="100" spans="1:21" s="224" customFormat="1" ht="15" customHeight="1" x14ac:dyDescent="0.25">
      <c r="A100" s="215">
        <v>44888</v>
      </c>
      <c r="B100" s="882" t="s">
        <v>443</v>
      </c>
      <c r="C100" s="879" t="s">
        <v>12</v>
      </c>
      <c r="D100" s="879" t="s">
        <v>1493</v>
      </c>
      <c r="E100" s="875" t="s">
        <v>13</v>
      </c>
      <c r="F100" s="780">
        <v>23.86</v>
      </c>
      <c r="G100" s="982"/>
      <c r="H100" s="622"/>
      <c r="I100" s="982"/>
      <c r="J100" s="622"/>
      <c r="K100" s="982"/>
      <c r="L100" s="622"/>
      <c r="M100" s="982"/>
      <c r="N100" s="880"/>
      <c r="O100" s="1033"/>
      <c r="P100" s="880"/>
      <c r="Q100" s="1033"/>
      <c r="R100" s="927"/>
      <c r="T100" s="878"/>
    </row>
    <row r="101" spans="1:21" s="224" customFormat="1" ht="15" customHeight="1" x14ac:dyDescent="0.25">
      <c r="A101" s="215">
        <v>44889</v>
      </c>
      <c r="B101" s="882" t="s">
        <v>17</v>
      </c>
      <c r="C101" s="879" t="s">
        <v>12</v>
      </c>
      <c r="D101" s="879" t="s">
        <v>1493</v>
      </c>
      <c r="E101" s="875" t="s">
        <v>13</v>
      </c>
      <c r="F101" s="780">
        <v>6</v>
      </c>
      <c r="G101" s="982"/>
      <c r="H101" s="622"/>
      <c r="I101" s="982"/>
      <c r="J101" s="622"/>
      <c r="K101" s="982"/>
      <c r="L101" s="622"/>
      <c r="M101" s="1033"/>
      <c r="N101" s="1116"/>
      <c r="O101" s="1207"/>
      <c r="P101" s="1116"/>
      <c r="Q101" s="1207"/>
      <c r="R101" s="927"/>
      <c r="S101" s="927"/>
      <c r="T101" s="878"/>
    </row>
    <row r="102" spans="1:21" s="224" customFormat="1" ht="15" customHeight="1" x14ac:dyDescent="0.25">
      <c r="A102" s="215">
        <v>44889</v>
      </c>
      <c r="B102" s="882" t="s">
        <v>2300</v>
      </c>
      <c r="C102" s="879" t="s">
        <v>12</v>
      </c>
      <c r="D102" s="879" t="s">
        <v>1493</v>
      </c>
      <c r="E102" s="871" t="s">
        <v>13</v>
      </c>
      <c r="F102" s="780">
        <v>5</v>
      </c>
      <c r="G102" s="946"/>
      <c r="H102" s="95"/>
      <c r="I102" s="1064"/>
      <c r="J102" s="622"/>
      <c r="K102" s="982"/>
      <c r="L102" s="622"/>
      <c r="M102" s="982"/>
      <c r="N102" s="1110"/>
      <c r="O102" s="1208"/>
      <c r="P102" s="1110"/>
      <c r="Q102" s="1208"/>
      <c r="R102" s="1028"/>
      <c r="U102" s="958"/>
    </row>
    <row r="103" spans="1:21" s="224" customFormat="1" ht="15" customHeight="1" x14ac:dyDescent="0.25">
      <c r="A103" s="215">
        <v>44890</v>
      </c>
      <c r="B103" s="882" t="s">
        <v>32</v>
      </c>
      <c r="C103" s="879" t="s">
        <v>12</v>
      </c>
      <c r="D103" s="879" t="s">
        <v>1485</v>
      </c>
      <c r="E103" s="875" t="s">
        <v>13</v>
      </c>
      <c r="F103" s="780">
        <v>18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982"/>
      <c r="R103" s="927"/>
      <c r="S103" s="927"/>
      <c r="T103" s="878"/>
    </row>
    <row r="104" spans="1:21" s="224" customFormat="1" ht="15" customHeight="1" x14ac:dyDescent="0.25">
      <c r="A104" s="215">
        <v>44890</v>
      </c>
      <c r="B104" s="364" t="s">
        <v>3534</v>
      </c>
      <c r="C104" s="350" t="s">
        <v>12</v>
      </c>
      <c r="D104" s="350" t="s">
        <v>1489</v>
      </c>
      <c r="E104" s="875" t="s">
        <v>13</v>
      </c>
      <c r="F104" s="780">
        <v>70</v>
      </c>
      <c r="G104" s="982"/>
      <c r="H104" s="622"/>
      <c r="I104" s="982"/>
      <c r="J104" s="622"/>
      <c r="K104" s="982"/>
      <c r="L104" s="622"/>
      <c r="M104" s="982"/>
      <c r="N104" s="622"/>
      <c r="O104" s="982"/>
      <c r="P104" s="622"/>
      <c r="Q104" s="982"/>
      <c r="R104" s="927"/>
      <c r="S104" s="927"/>
      <c r="T104" s="878"/>
    </row>
    <row r="105" spans="1:21" s="224" customFormat="1" ht="15" customHeight="1" x14ac:dyDescent="0.25">
      <c r="A105" s="215">
        <v>44890</v>
      </c>
      <c r="B105" s="882" t="s">
        <v>138</v>
      </c>
      <c r="C105" s="879" t="s">
        <v>12</v>
      </c>
      <c r="D105" s="879" t="s">
        <v>2157</v>
      </c>
      <c r="E105" s="871" t="s">
        <v>13</v>
      </c>
      <c r="F105" s="780">
        <v>100</v>
      </c>
      <c r="G105" s="982"/>
      <c r="H105" s="622"/>
      <c r="I105" s="982"/>
      <c r="J105" s="622"/>
      <c r="K105" s="982"/>
      <c r="L105" s="622"/>
      <c r="M105" s="982"/>
      <c r="N105" s="622"/>
      <c r="O105" s="982"/>
      <c r="P105" s="622"/>
      <c r="Q105" s="982"/>
      <c r="R105" s="927"/>
      <c r="S105" s="927"/>
      <c r="T105" s="878"/>
    </row>
    <row r="106" spans="1:21" s="224" customFormat="1" ht="15" customHeight="1" x14ac:dyDescent="0.25">
      <c r="A106" s="215">
        <v>44890</v>
      </c>
      <c r="B106" s="882" t="s">
        <v>82</v>
      </c>
      <c r="C106" s="879" t="s">
        <v>12</v>
      </c>
      <c r="D106" s="879" t="s">
        <v>1493</v>
      </c>
      <c r="E106" s="875" t="s">
        <v>13</v>
      </c>
      <c r="F106" s="780">
        <v>20.89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982"/>
      <c r="R106" s="1028"/>
      <c r="U106" s="958"/>
    </row>
    <row r="107" spans="1:21" s="224" customFormat="1" ht="15" customHeight="1" x14ac:dyDescent="0.25">
      <c r="A107" s="215">
        <v>44891</v>
      </c>
      <c r="B107" s="882" t="s">
        <v>147</v>
      </c>
      <c r="C107" s="879" t="s">
        <v>12</v>
      </c>
      <c r="D107" s="879" t="s">
        <v>1506</v>
      </c>
      <c r="E107" s="871" t="s">
        <v>13</v>
      </c>
      <c r="F107" s="780">
        <v>25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982"/>
      <c r="R107" s="1028"/>
      <c r="S107" s="959"/>
      <c r="T107" s="878"/>
      <c r="U107" s="958"/>
    </row>
    <row r="108" spans="1:21" s="224" customFormat="1" ht="15" customHeight="1" x14ac:dyDescent="0.25">
      <c r="A108" s="215">
        <v>44891</v>
      </c>
      <c r="B108" s="882" t="s">
        <v>3535</v>
      </c>
      <c r="C108" s="879" t="s">
        <v>12</v>
      </c>
      <c r="D108" s="879" t="s">
        <v>1489</v>
      </c>
      <c r="E108" s="871" t="s">
        <v>13</v>
      </c>
      <c r="F108" s="780">
        <v>17.399999999999999</v>
      </c>
      <c r="G108" s="982"/>
      <c r="H108" s="622"/>
      <c r="I108" s="982"/>
      <c r="J108" s="622"/>
      <c r="K108" s="982"/>
      <c r="L108" s="622"/>
      <c r="M108" s="982"/>
      <c r="N108" s="622"/>
      <c r="O108" s="982"/>
      <c r="P108" s="622"/>
      <c r="Q108" s="982"/>
      <c r="R108" s="1028"/>
      <c r="S108" s="959"/>
      <c r="T108" s="878"/>
      <c r="U108" s="958"/>
    </row>
    <row r="109" spans="1:21" s="224" customFormat="1" ht="15" customHeight="1" x14ac:dyDescent="0.25">
      <c r="A109" s="215">
        <v>44891</v>
      </c>
      <c r="B109" s="882" t="s">
        <v>3536</v>
      </c>
      <c r="C109" s="879" t="s">
        <v>12</v>
      </c>
      <c r="D109" s="879" t="s">
        <v>1489</v>
      </c>
      <c r="E109" s="871" t="s">
        <v>13</v>
      </c>
      <c r="F109" s="780">
        <v>17.399999999999999</v>
      </c>
      <c r="G109" s="982"/>
      <c r="H109" s="622"/>
      <c r="I109" s="982"/>
      <c r="J109" s="622"/>
      <c r="K109" s="982"/>
      <c r="L109" s="622"/>
      <c r="M109" s="982"/>
      <c r="N109" s="622"/>
      <c r="O109" s="982"/>
      <c r="P109" s="622"/>
      <c r="Q109" s="982"/>
      <c r="R109" s="1028"/>
      <c r="S109" s="959"/>
      <c r="T109" s="878"/>
      <c r="U109" s="958"/>
    </row>
    <row r="110" spans="1:21" s="224" customFormat="1" ht="15" customHeight="1" x14ac:dyDescent="0.25">
      <c r="A110" s="215">
        <v>44892</v>
      </c>
      <c r="B110" s="882" t="s">
        <v>32</v>
      </c>
      <c r="C110" s="879" t="s">
        <v>12</v>
      </c>
      <c r="D110" s="879" t="s">
        <v>1485</v>
      </c>
      <c r="E110" s="875" t="s">
        <v>13</v>
      </c>
      <c r="F110" s="780">
        <v>20</v>
      </c>
      <c r="G110" s="982"/>
      <c r="H110" s="622"/>
      <c r="I110" s="982"/>
      <c r="J110" s="622"/>
      <c r="K110" s="982"/>
      <c r="L110" s="622"/>
      <c r="M110" s="982"/>
      <c r="N110" s="622"/>
      <c r="O110" s="982"/>
      <c r="P110" s="622"/>
      <c r="Q110" s="982"/>
      <c r="R110" s="1028"/>
      <c r="S110" s="959"/>
      <c r="T110" s="878"/>
      <c r="U110" s="958"/>
    </row>
    <row r="111" spans="1:21" s="224" customFormat="1" ht="15" customHeight="1" x14ac:dyDescent="0.25">
      <c r="A111" s="215">
        <v>44892</v>
      </c>
      <c r="B111" s="364" t="s">
        <v>1906</v>
      </c>
      <c r="C111" s="350" t="s">
        <v>12</v>
      </c>
      <c r="D111" s="350" t="s">
        <v>1493</v>
      </c>
      <c r="E111" s="875" t="s">
        <v>13</v>
      </c>
      <c r="F111" s="780">
        <v>25</v>
      </c>
      <c r="G111" s="982"/>
      <c r="H111" s="1008"/>
      <c r="I111" s="1063"/>
      <c r="J111" s="622"/>
      <c r="K111" s="982"/>
      <c r="L111" s="622"/>
      <c r="M111" s="982"/>
      <c r="N111" s="622"/>
      <c r="O111" s="982"/>
      <c r="P111" s="622"/>
      <c r="Q111" s="982"/>
      <c r="R111" s="861"/>
      <c r="T111" s="1035"/>
    </row>
    <row r="112" spans="1:21" s="224" customFormat="1" ht="15" customHeight="1" x14ac:dyDescent="0.25">
      <c r="A112" s="215">
        <v>44893</v>
      </c>
      <c r="B112" s="882" t="s">
        <v>32</v>
      </c>
      <c r="C112" s="879" t="s">
        <v>12</v>
      </c>
      <c r="D112" s="879" t="s">
        <v>1485</v>
      </c>
      <c r="E112" s="875" t="s">
        <v>13</v>
      </c>
      <c r="F112" s="780">
        <v>11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622"/>
      <c r="Q112" s="982"/>
      <c r="R112" s="1028"/>
      <c r="S112" s="959"/>
      <c r="T112" s="878"/>
      <c r="U112" s="958"/>
    </row>
    <row r="113" spans="1:26" s="224" customFormat="1" ht="15" customHeight="1" x14ac:dyDescent="0.25">
      <c r="A113" s="215">
        <v>44893</v>
      </c>
      <c r="B113" s="364" t="s">
        <v>478</v>
      </c>
      <c r="C113" s="350" t="s">
        <v>12</v>
      </c>
      <c r="D113" s="350" t="s">
        <v>1496</v>
      </c>
      <c r="E113" s="875" t="s">
        <v>13</v>
      </c>
      <c r="F113" s="780">
        <v>15.75</v>
      </c>
      <c r="G113" s="946"/>
      <c r="H113" s="95"/>
      <c r="I113" s="1064"/>
      <c r="J113" s="622"/>
      <c r="K113" s="982"/>
      <c r="L113" s="622"/>
      <c r="M113" s="982"/>
      <c r="N113" s="622"/>
      <c r="O113" s="982"/>
      <c r="P113" s="622"/>
      <c r="Q113" s="982"/>
      <c r="R113" s="861"/>
      <c r="T113" s="927"/>
      <c r="U113" s="999"/>
    </row>
    <row r="114" spans="1:26" s="224" customFormat="1" ht="15" customHeight="1" x14ac:dyDescent="0.25">
      <c r="A114" s="215">
        <v>44894</v>
      </c>
      <c r="B114" s="882" t="s">
        <v>32</v>
      </c>
      <c r="C114" s="879" t="s">
        <v>12</v>
      </c>
      <c r="D114" s="879" t="s">
        <v>1485</v>
      </c>
      <c r="E114" s="875" t="s">
        <v>13</v>
      </c>
      <c r="F114" s="780">
        <v>10</v>
      </c>
      <c r="G114" s="982"/>
      <c r="H114" s="622"/>
      <c r="I114" s="982"/>
      <c r="J114" s="622"/>
      <c r="K114" s="982"/>
      <c r="L114" s="622"/>
      <c r="M114" s="982"/>
      <c r="N114" s="622"/>
      <c r="O114" s="982"/>
      <c r="P114" s="622"/>
      <c r="Q114" s="982"/>
      <c r="R114" s="1028"/>
      <c r="S114" s="959"/>
      <c r="T114" s="878"/>
      <c r="U114" s="958"/>
    </row>
    <row r="115" spans="1:26" s="224" customFormat="1" ht="15" customHeight="1" x14ac:dyDescent="0.25">
      <c r="A115" s="215">
        <v>44894</v>
      </c>
      <c r="B115" s="364" t="s">
        <v>14</v>
      </c>
      <c r="C115" s="350" t="s">
        <v>12</v>
      </c>
      <c r="D115" s="350" t="s">
        <v>1486</v>
      </c>
      <c r="E115" s="875" t="s">
        <v>13</v>
      </c>
      <c r="F115" s="780">
        <v>7.33</v>
      </c>
      <c r="G115" s="982"/>
      <c r="H115" s="1008"/>
      <c r="I115" s="1063"/>
      <c r="J115" s="622"/>
      <c r="K115" s="982"/>
      <c r="L115" s="622"/>
      <c r="M115" s="982"/>
      <c r="N115" s="880"/>
      <c r="O115" s="1033"/>
      <c r="P115" s="880"/>
      <c r="Q115" s="1033"/>
      <c r="R115" s="861"/>
      <c r="T115" s="1080"/>
      <c r="U115" s="999"/>
    </row>
    <row r="116" spans="1:26" s="224" customFormat="1" x14ac:dyDescent="0.25">
      <c r="A116" s="215">
        <v>44895</v>
      </c>
      <c r="B116" s="364" t="s">
        <v>3537</v>
      </c>
      <c r="C116" s="350" t="s">
        <v>12</v>
      </c>
      <c r="D116" s="350" t="s">
        <v>1489</v>
      </c>
      <c r="E116" s="875" t="s">
        <v>13</v>
      </c>
      <c r="F116" s="1047">
        <v>65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622"/>
      <c r="Q116" s="982"/>
      <c r="R116" s="1029"/>
      <c r="S116" s="89"/>
      <c r="T116" s="930"/>
    </row>
    <row r="117" spans="1:26" s="224" customFormat="1" ht="15" customHeight="1" x14ac:dyDescent="0.25">
      <c r="A117" s="215">
        <v>44895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18</v>
      </c>
      <c r="G117" s="982"/>
      <c r="H117" s="622"/>
      <c r="I117" s="982"/>
      <c r="J117" s="622"/>
      <c r="K117" s="982"/>
      <c r="L117" s="622"/>
      <c r="M117" s="982"/>
      <c r="N117" s="622"/>
      <c r="O117" s="982"/>
      <c r="P117" s="622"/>
      <c r="Q117" s="982"/>
      <c r="R117" s="927"/>
      <c r="S117" s="927"/>
      <c r="T117" s="878"/>
    </row>
    <row r="118" spans="1:26" s="224" customFormat="1" ht="15" customHeight="1" x14ac:dyDescent="0.25">
      <c r="A118" s="215">
        <v>44895</v>
      </c>
      <c r="B118" s="882" t="s">
        <v>17</v>
      </c>
      <c r="C118" s="879" t="s">
        <v>12</v>
      </c>
      <c r="D118" s="879" t="s">
        <v>1493</v>
      </c>
      <c r="E118" s="875" t="s">
        <v>13</v>
      </c>
      <c r="F118" s="780">
        <v>6</v>
      </c>
      <c r="G118" s="982"/>
      <c r="H118" s="622"/>
      <c r="I118" s="982"/>
      <c r="J118" s="622"/>
      <c r="K118" s="982"/>
      <c r="L118" s="622"/>
      <c r="M118" s="1033"/>
      <c r="N118" s="1116"/>
      <c r="O118" s="1207"/>
      <c r="P118" s="1116"/>
      <c r="Q118" s="1207"/>
      <c r="R118" s="927"/>
      <c r="S118" s="927"/>
      <c r="T118" s="878"/>
    </row>
    <row r="119" spans="1:26" s="224" customFormat="1" ht="15" customHeight="1" x14ac:dyDescent="0.25">
      <c r="A119" s="215">
        <v>44895</v>
      </c>
      <c r="B119" s="364" t="s">
        <v>3538</v>
      </c>
      <c r="C119" s="350" t="s">
        <v>12</v>
      </c>
      <c r="D119" s="350"/>
      <c r="E119" s="480" t="s">
        <v>25</v>
      </c>
      <c r="F119" s="780"/>
      <c r="G119" s="982">
        <v>2500</v>
      </c>
      <c r="H119" s="1008"/>
      <c r="I119" s="1063"/>
      <c r="J119" s="622"/>
      <c r="K119" s="982"/>
      <c r="L119" s="622"/>
      <c r="M119" s="982"/>
      <c r="N119" s="622"/>
      <c r="O119" s="982"/>
      <c r="P119" s="622"/>
      <c r="Q119" s="982"/>
      <c r="R119" s="1029">
        <v>2500</v>
      </c>
      <c r="S119" s="89"/>
      <c r="T119" s="1081"/>
      <c r="U119" s="1082"/>
    </row>
    <row r="120" spans="1:26" s="224" customFormat="1" ht="15" customHeight="1" x14ac:dyDescent="0.25">
      <c r="A120" s="215">
        <v>44895</v>
      </c>
      <c r="B120" s="349" t="s">
        <v>260</v>
      </c>
      <c r="C120" s="350" t="s">
        <v>12</v>
      </c>
      <c r="D120" s="350"/>
      <c r="E120" s="480"/>
      <c r="F120" s="780">
        <v>1750</v>
      </c>
      <c r="G120" s="946"/>
      <c r="H120" s="95"/>
      <c r="I120" s="1064">
        <v>1750</v>
      </c>
      <c r="J120" s="622"/>
      <c r="K120" s="982"/>
      <c r="L120" s="613"/>
      <c r="M120" s="627"/>
      <c r="N120" s="613"/>
      <c r="O120" s="627"/>
      <c r="P120" s="613"/>
      <c r="Q120" s="627"/>
      <c r="R120" s="1080"/>
    </row>
    <row r="121" spans="1:26" s="224" customFormat="1" ht="15.75" thickBot="1" x14ac:dyDescent="0.3">
      <c r="A121" s="215">
        <v>44895</v>
      </c>
      <c r="B121" s="862" t="s">
        <v>1666</v>
      </c>
      <c r="C121" s="350" t="s">
        <v>12</v>
      </c>
      <c r="D121" s="1003"/>
      <c r="E121" s="145" t="s">
        <v>25</v>
      </c>
      <c r="F121" s="1036"/>
      <c r="G121" s="1535"/>
      <c r="H121" s="1008"/>
      <c r="I121" s="1063"/>
      <c r="J121" s="622"/>
      <c r="K121" s="1538">
        <v>74.12</v>
      </c>
      <c r="L121" s="1036"/>
      <c r="M121" s="1535"/>
      <c r="N121" s="622"/>
      <c r="O121" s="982"/>
      <c r="P121" s="622"/>
      <c r="Q121" s="982"/>
      <c r="R121" s="475"/>
      <c r="T121" s="878"/>
    </row>
    <row r="122" spans="1:26" ht="25.5" customHeight="1" thickBot="1" x14ac:dyDescent="0.3">
      <c r="A122" s="3060"/>
      <c r="B122" s="3061"/>
      <c r="C122" s="3062"/>
      <c r="D122" s="3062"/>
      <c r="E122" s="3062"/>
      <c r="F122" s="1020">
        <f>SUM(F6:F121)</f>
        <v>6926.4233333333314</v>
      </c>
      <c r="G122" s="1534">
        <f>SUM(G5:G121)</f>
        <v>7772.3595833333575</v>
      </c>
      <c r="H122" s="517">
        <f>SUM(H6:H121)</f>
        <v>550</v>
      </c>
      <c r="I122" s="93">
        <f>SUM(I5:I121)</f>
        <v>3949.9959999999992</v>
      </c>
      <c r="J122" s="1023">
        <f>SUM(J6:J121)</f>
        <v>0</v>
      </c>
      <c r="K122" s="93">
        <f>SUM(K5:K121)</f>
        <v>8188.77</v>
      </c>
      <c r="L122" s="1023">
        <f>SUM(L6:L121)</f>
        <v>0</v>
      </c>
      <c r="M122" s="93">
        <f>SUM(M5:M121)</f>
        <v>15946.279999999999</v>
      </c>
      <c r="N122" s="1211">
        <f>SUM(N6:N121)</f>
        <v>0</v>
      </c>
      <c r="O122" s="93">
        <f>SUM(O5:O121)</f>
        <v>10956.189999999999</v>
      </c>
      <c r="P122" s="1211">
        <f>SUM(P6:P121)</f>
        <v>0</v>
      </c>
      <c r="Q122" s="93">
        <f>SUM(Q5:Q121)</f>
        <v>37039.175984720008</v>
      </c>
      <c r="S122" s="216"/>
    </row>
    <row r="123" spans="1:26" ht="25.5" customHeight="1" thickBot="1" x14ac:dyDescent="0.3">
      <c r="A123" s="3117" t="s">
        <v>49</v>
      </c>
      <c r="B123" s="3118"/>
      <c r="C123" s="3118"/>
      <c r="D123" s="3118"/>
      <c r="E123" s="3118"/>
      <c r="F123" s="144" t="s">
        <v>280</v>
      </c>
      <c r="G123" s="519">
        <f>G122-F122</f>
        <v>845.93625000002612</v>
      </c>
      <c r="H123" s="555"/>
      <c r="I123" s="772">
        <f>I122-H122</f>
        <v>3399.9959999999992</v>
      </c>
      <c r="J123" s="593"/>
      <c r="K123" s="772">
        <f>K122-J122</f>
        <v>8188.77</v>
      </c>
      <c r="L123" s="593"/>
      <c r="M123" s="993">
        <f>M122-L122</f>
        <v>15946.279999999999</v>
      </c>
      <c r="N123" s="593"/>
      <c r="O123" s="556">
        <f>O122-N122</f>
        <v>10956.189999999999</v>
      </c>
      <c r="P123" s="593"/>
      <c r="Q123" s="556">
        <f>Q122-P122</f>
        <v>37039.175984720008</v>
      </c>
      <c r="R123" s="484">
        <f>Q123+O123+M123+K123</f>
        <v>72130.415984720006</v>
      </c>
    </row>
    <row r="124" spans="1:26" x14ac:dyDescent="0.25">
      <c r="K124" s="1238">
        <f>K123/R123</f>
        <v>0.11352728094254574</v>
      </c>
      <c r="L124" s="1238"/>
      <c r="M124" s="1238">
        <f>M123/R123</f>
        <v>0.22107566942880288</v>
      </c>
      <c r="N124" s="1239"/>
      <c r="O124" s="1239">
        <f>O123/R123</f>
        <v>0.15189417460618751</v>
      </c>
      <c r="P124" s="1239"/>
      <c r="Q124" s="1239">
        <f>Q123/R123</f>
        <v>0.51350287502246383</v>
      </c>
      <c r="R124" s="867"/>
      <c r="S124" s="867"/>
      <c r="T124" s="79"/>
      <c r="W124" s="518"/>
      <c r="X124" s="216"/>
      <c r="Z124" s="877"/>
    </row>
    <row r="125" spans="1:26" x14ac:dyDescent="0.25">
      <c r="B125" s="81" t="s">
        <v>3</v>
      </c>
      <c r="C125" s="193" t="s">
        <v>1484</v>
      </c>
      <c r="D125" s="970" t="s">
        <v>2378</v>
      </c>
      <c r="E125" s="193" t="s">
        <v>3216</v>
      </c>
      <c r="F125" s="1061" t="s">
        <v>3217</v>
      </c>
      <c r="G125" s="216"/>
      <c r="K125" s="866"/>
      <c r="L125" s="867"/>
      <c r="M125" s="866"/>
      <c r="N125" s="1038"/>
      <c r="O125" s="1038"/>
      <c r="P125" s="1038"/>
      <c r="Q125" s="1038"/>
      <c r="R125" s="865"/>
      <c r="S125" s="867"/>
    </row>
    <row r="126" spans="1:26" x14ac:dyDescent="0.25">
      <c r="B126" s="79" t="s">
        <v>32</v>
      </c>
      <c r="C126" s="85" t="s">
        <v>1485</v>
      </c>
      <c r="D126" s="475">
        <f>SUMIF($D$7:$D$121,"A",$F$7:$F$121)</f>
        <v>341.3</v>
      </c>
      <c r="E126" s="1202">
        <f t="shared" ref="E126:E143" si="0">D126/$K$145</f>
        <v>11.376666666666667</v>
      </c>
      <c r="F126" s="1203">
        <f t="shared" ref="F126:F143" si="1">E126/$E$146</f>
        <v>8.0863363896983911E-2</v>
      </c>
      <c r="G126" s="800"/>
      <c r="I126" s="769"/>
      <c r="J126" s="868"/>
      <c r="L126" s="868"/>
      <c r="N126" s="1210"/>
      <c r="O126" s="1038"/>
      <c r="P126" s="1210"/>
      <c r="Q126" s="1038"/>
      <c r="R126" s="1224"/>
      <c r="S126" s="1201"/>
      <c r="T126" s="1201"/>
      <c r="U126" s="1201"/>
      <c r="V126" s="877"/>
    </row>
    <row r="127" spans="1:26" x14ac:dyDescent="0.25">
      <c r="B127" s="79" t="s">
        <v>2187</v>
      </c>
      <c r="C127" s="85" t="s">
        <v>2157</v>
      </c>
      <c r="D127" s="475">
        <f>SUMIF($D$7:$D$121,"GAC",$F$7:$F$121)</f>
        <v>520</v>
      </c>
      <c r="E127" s="1202">
        <f t="shared" si="0"/>
        <v>17.333333333333332</v>
      </c>
      <c r="F127" s="1203">
        <f>E127/$E$146</f>
        <v>0.12320231241263296</v>
      </c>
      <c r="G127" s="609"/>
      <c r="J127" s="754"/>
      <c r="K127" s="886"/>
      <c r="L127" s="754"/>
      <c r="M127" s="886"/>
      <c r="N127" s="1210"/>
      <c r="O127" s="1038"/>
      <c r="P127" s="1210"/>
      <c r="Q127" s="1038"/>
      <c r="R127" s="1225"/>
      <c r="S127" s="1129"/>
      <c r="T127" s="1129"/>
      <c r="U127" s="877"/>
      <c r="V127" s="877"/>
    </row>
    <row r="128" spans="1:26" x14ac:dyDescent="0.25">
      <c r="B128" s="79" t="s">
        <v>2188</v>
      </c>
      <c r="C128" s="85" t="s">
        <v>2168</v>
      </c>
      <c r="D128" s="475">
        <f>SUMIF($D$24:$D$121,"GAM",$F$24:$F$121)</f>
        <v>0</v>
      </c>
      <c r="E128" s="1202">
        <f t="shared" si="0"/>
        <v>0</v>
      </c>
      <c r="F128" s="1203">
        <f>E128/$E$146</f>
        <v>0</v>
      </c>
      <c r="J128" s="864"/>
      <c r="K128" s="864"/>
      <c r="L128" s="864"/>
      <c r="M128" s="864"/>
      <c r="N128" s="1210"/>
      <c r="O128" s="1038"/>
      <c r="P128" s="1210"/>
      <c r="Q128" s="1038"/>
      <c r="R128" s="1118"/>
      <c r="S128" s="1129"/>
      <c r="T128" s="1129"/>
      <c r="U128" s="877"/>
      <c r="V128" s="877"/>
    </row>
    <row r="129" spans="1:22" s="85" customFormat="1" x14ac:dyDescent="0.25">
      <c r="A129" s="79"/>
      <c r="B129" s="79" t="s">
        <v>50</v>
      </c>
      <c r="C129" s="85" t="s">
        <v>1493</v>
      </c>
      <c r="D129" s="475">
        <f>SUMIF($D$12:$D$121,"LD",$F$12:$F$121)</f>
        <v>281.05</v>
      </c>
      <c r="E129" s="1202">
        <f t="shared" si="0"/>
        <v>9.3683333333333341</v>
      </c>
      <c r="F129" s="1203">
        <f t="shared" si="1"/>
        <v>6.6588480583789425E-2</v>
      </c>
      <c r="J129" s="864"/>
      <c r="K129" s="1032"/>
      <c r="L129" s="864"/>
      <c r="M129" s="1032"/>
      <c r="N129" s="1210"/>
      <c r="O129" s="1038"/>
      <c r="P129" s="1210"/>
      <c r="Q129" s="1038"/>
      <c r="R129" s="1118"/>
      <c r="S129" s="1129"/>
      <c r="T129" s="1129"/>
      <c r="U129" s="877"/>
      <c r="V129" s="877"/>
    </row>
    <row r="130" spans="1:22" s="85" customFormat="1" x14ac:dyDescent="0.25">
      <c r="A130" s="79"/>
      <c r="B130" s="79" t="s">
        <v>14</v>
      </c>
      <c r="C130" s="85" t="s">
        <v>1486</v>
      </c>
      <c r="D130" s="475">
        <f>SUMIF($D$12:$D$121,"C",$F$12:$F$121)</f>
        <v>93.410000000000011</v>
      </c>
      <c r="E130" s="1202">
        <f t="shared" si="0"/>
        <v>3.113666666666667</v>
      </c>
      <c r="F130" s="1203">
        <f t="shared" si="1"/>
        <v>2.2131400004738552E-2</v>
      </c>
      <c r="G130" s="79"/>
      <c r="H130" s="79"/>
      <c r="J130" s="1032"/>
      <c r="K130" s="1032"/>
      <c r="L130" s="864"/>
      <c r="M130" s="1032"/>
      <c r="N130" s="1210"/>
      <c r="O130" s="1038"/>
      <c r="P130" s="1210"/>
      <c r="Q130" s="1038"/>
      <c r="R130" s="1118"/>
      <c r="S130" s="1129"/>
      <c r="T130" s="1129"/>
      <c r="U130" s="877"/>
      <c r="V130" s="877"/>
    </row>
    <row r="131" spans="1:22" s="85" customFormat="1" x14ac:dyDescent="0.25">
      <c r="A131" s="79"/>
      <c r="B131" s="79" t="s">
        <v>51</v>
      </c>
      <c r="C131" s="864" t="s">
        <v>1499</v>
      </c>
      <c r="D131" s="475">
        <f>SUMIF($D$25:$D$121,"CAL",$F$25:$F$121)</f>
        <v>106.3</v>
      </c>
      <c r="E131" s="1202">
        <f t="shared" si="0"/>
        <v>3.5433333333333334</v>
      </c>
      <c r="F131" s="1203">
        <f t="shared" si="1"/>
        <v>2.5185395787428625E-2</v>
      </c>
      <c r="G131" s="79"/>
      <c r="H131" s="79"/>
      <c r="I131" s="79"/>
      <c r="J131" s="796"/>
      <c r="K131" s="795"/>
      <c r="M131" s="795"/>
      <c r="N131" s="1210"/>
      <c r="O131" s="1038"/>
      <c r="P131" s="1210"/>
      <c r="Q131" s="1038"/>
      <c r="R131" s="1118"/>
      <c r="S131" s="1129"/>
      <c r="T131" s="1129"/>
      <c r="U131" s="877"/>
      <c r="V131" s="877"/>
    </row>
    <row r="132" spans="1:22" s="85" customFormat="1" x14ac:dyDescent="0.25">
      <c r="A132" s="79"/>
      <c r="B132" s="79" t="s">
        <v>2189</v>
      </c>
      <c r="C132" s="864" t="s">
        <v>1496</v>
      </c>
      <c r="D132" s="475">
        <f>SUMIF($D$12:$D$121,"AC",$F$12:$F$121)</f>
        <v>273.53000000000003</v>
      </c>
      <c r="E132" s="1202">
        <f t="shared" si="0"/>
        <v>9.1176666666666684</v>
      </c>
      <c r="F132" s="1203">
        <f t="shared" si="1"/>
        <v>6.4806785604283657E-2</v>
      </c>
      <c r="G132" s="79"/>
      <c r="J132" s="475"/>
      <c r="K132" s="177"/>
      <c r="M132" s="177"/>
      <c r="N132" s="1210"/>
      <c r="O132" s="1038"/>
      <c r="P132" s="1210"/>
      <c r="Q132" s="1038"/>
      <c r="R132" s="1118"/>
      <c r="S132" s="1129"/>
      <c r="T132" s="1129"/>
      <c r="U132" s="877"/>
      <c r="V132" s="877"/>
    </row>
    <row r="133" spans="1:22" s="85" customFormat="1" x14ac:dyDescent="0.25">
      <c r="A133" s="79"/>
      <c r="B133" s="867" t="s">
        <v>53</v>
      </c>
      <c r="C133" s="864" t="s">
        <v>1522</v>
      </c>
      <c r="D133" s="475">
        <f>SUMIF($D$12:$D$121,"DC",$F$12:$F$121)</f>
        <v>260</v>
      </c>
      <c r="E133" s="1202">
        <f t="shared" si="0"/>
        <v>8.6666666666666661</v>
      </c>
      <c r="F133" s="1203">
        <f t="shared" si="1"/>
        <v>6.1601156206316482E-2</v>
      </c>
      <c r="J133" s="1235"/>
      <c r="K133" s="177"/>
      <c r="M133" s="177"/>
      <c r="N133" s="1210"/>
      <c r="O133" s="1038"/>
      <c r="P133" s="1210"/>
      <c r="Q133" s="1038"/>
      <c r="R133" s="1226"/>
      <c r="S133" s="1129"/>
      <c r="T133" s="1129"/>
      <c r="U133" s="877"/>
      <c r="V133" s="877"/>
    </row>
    <row r="134" spans="1:22" s="85" customFormat="1" x14ac:dyDescent="0.25">
      <c r="A134" s="79"/>
      <c r="B134" s="867" t="s">
        <v>2149</v>
      </c>
      <c r="C134" s="864" t="s">
        <v>2131</v>
      </c>
      <c r="D134" s="475">
        <f>SUMIF($D$6:$D$121,"DM",$F$6:$F$121)</f>
        <v>0</v>
      </c>
      <c r="E134" s="1202">
        <f t="shared" si="0"/>
        <v>0</v>
      </c>
      <c r="F134" s="1203">
        <f t="shared" si="1"/>
        <v>0</v>
      </c>
      <c r="K134" s="177" t="s">
        <v>280</v>
      </c>
      <c r="M134" s="177" t="s">
        <v>280</v>
      </c>
      <c r="N134" s="1210"/>
      <c r="O134" s="1038"/>
      <c r="P134" s="1210"/>
      <c r="Q134" s="1038"/>
      <c r="R134" s="1226"/>
      <c r="S134" s="1129"/>
      <c r="T134" s="1129"/>
      <c r="U134" s="877"/>
      <c r="V134" s="877"/>
    </row>
    <row r="135" spans="1:22" s="85" customFormat="1" x14ac:dyDescent="0.25">
      <c r="A135" s="79"/>
      <c r="B135" s="79" t="s">
        <v>3048</v>
      </c>
      <c r="C135" s="864" t="s">
        <v>1523</v>
      </c>
      <c r="D135" s="475">
        <f ca="1">SUMIF($D$7:$D$122,"B",$F$7:$F$121)</f>
        <v>101.68</v>
      </c>
      <c r="E135" s="1202">
        <f t="shared" ca="1" si="0"/>
        <v>3.3893333333333335</v>
      </c>
      <c r="F135" s="1203">
        <f t="shared" ca="1" si="1"/>
        <v>2.4090790627147158E-2</v>
      </c>
      <c r="G135" s="866"/>
      <c r="K135" s="177"/>
      <c r="M135" s="177"/>
      <c r="N135" s="1210"/>
      <c r="O135" s="1038"/>
      <c r="P135" s="1210"/>
      <c r="Q135" s="1038"/>
      <c r="R135" s="1223"/>
      <c r="S135" s="1223"/>
      <c r="T135" s="1129"/>
      <c r="U135" s="877"/>
      <c r="V135" s="877"/>
    </row>
    <row r="136" spans="1:22" s="85" customFormat="1" x14ac:dyDescent="0.25">
      <c r="A136" s="79"/>
      <c r="B136" s="79" t="s">
        <v>1686</v>
      </c>
      <c r="C136" s="864" t="s">
        <v>1506</v>
      </c>
      <c r="D136" s="475">
        <f>SUMIF($D$7:$D$121,"R",$F$7:$F$121)</f>
        <v>1038.29</v>
      </c>
      <c r="E136" s="1202">
        <f t="shared" si="0"/>
        <v>34.609666666666662</v>
      </c>
      <c r="F136" s="1203">
        <f t="shared" si="1"/>
        <v>0.24599947875944744</v>
      </c>
      <c r="G136" s="868"/>
      <c r="K136" s="866"/>
      <c r="M136" s="866"/>
      <c r="N136" s="1210"/>
      <c r="O136" s="1038"/>
      <c r="P136" s="1210"/>
      <c r="Q136" s="1038"/>
      <c r="R136" s="1226"/>
      <c r="S136" s="1129"/>
      <c r="T136" s="1129"/>
      <c r="U136" s="877"/>
      <c r="V136" s="877"/>
    </row>
    <row r="137" spans="1:22" x14ac:dyDescent="0.25">
      <c r="B137" s="79" t="s">
        <v>418</v>
      </c>
      <c r="C137" s="85" t="s">
        <v>1524</v>
      </c>
      <c r="D137" s="475">
        <f>SUMIF($D$12:$D$121,"COM",$F$12:$F$121)</f>
        <v>0</v>
      </c>
      <c r="E137" s="1202">
        <f>D137/$K$145</f>
        <v>0</v>
      </c>
      <c r="F137" s="1203">
        <f>E137/$E$146</f>
        <v>0</v>
      </c>
      <c r="G137" s="85"/>
      <c r="H137" s="85"/>
      <c r="I137" s="85"/>
      <c r="J137" s="769"/>
      <c r="K137" s="216"/>
      <c r="L137" s="769"/>
      <c r="M137" s="216"/>
      <c r="N137" s="1210"/>
      <c r="O137" s="1038"/>
      <c r="P137" s="1210"/>
      <c r="Q137" s="1038"/>
      <c r="R137" s="1226"/>
      <c r="S137" s="1129"/>
      <c r="T137" s="1129"/>
      <c r="U137" s="877"/>
      <c r="V137" s="877"/>
    </row>
    <row r="138" spans="1:22" x14ac:dyDescent="0.25">
      <c r="B138" s="79" t="s">
        <v>419</v>
      </c>
      <c r="C138" s="85" t="s">
        <v>1491</v>
      </c>
      <c r="D138" s="475">
        <f>SUMIF($D$12:$D$121,"F",$F$12:$F$121)</f>
        <v>771.92000000000007</v>
      </c>
      <c r="E138" s="1202">
        <f>D138/$K$145</f>
        <v>25.730666666666668</v>
      </c>
      <c r="F138" s="1203">
        <f>E138/$E$146</f>
        <v>0.18288909422607624</v>
      </c>
      <c r="I138" s="85"/>
      <c r="K138" s="216"/>
      <c r="M138" s="216"/>
      <c r="N138" s="1210"/>
      <c r="O138" s="1038"/>
      <c r="P138" s="1210"/>
      <c r="Q138" s="1038"/>
      <c r="R138" s="1226"/>
      <c r="S138" s="1129"/>
      <c r="T138" s="1129"/>
      <c r="U138" s="877"/>
      <c r="V138" s="877"/>
    </row>
    <row r="139" spans="1:22" x14ac:dyDescent="0.25">
      <c r="B139" s="79" t="s">
        <v>911</v>
      </c>
      <c r="C139" s="85" t="s">
        <v>1525</v>
      </c>
      <c r="D139" s="475">
        <f>SUMIF($D$12:$D$121,"FER",$F$12:$F$121)</f>
        <v>28.89</v>
      </c>
      <c r="E139" s="1202">
        <f>D139/$K$145</f>
        <v>0.96299999999999997</v>
      </c>
      <c r="F139" s="1203">
        <f t="shared" si="1"/>
        <v>6.8448361646172434E-3</v>
      </c>
      <c r="J139" s="769"/>
      <c r="K139" s="868"/>
      <c r="L139" s="769"/>
      <c r="M139" s="868"/>
      <c r="N139" s="1210"/>
      <c r="O139" s="1038"/>
      <c r="P139" s="1210"/>
      <c r="Q139" s="1038"/>
      <c r="R139" s="1226"/>
      <c r="S139" s="1129"/>
      <c r="T139" s="1129"/>
      <c r="U139" s="877"/>
      <c r="V139" s="877"/>
    </row>
    <row r="140" spans="1:22" x14ac:dyDescent="0.25">
      <c r="B140" s="79" t="s">
        <v>1526</v>
      </c>
      <c r="C140" s="85" t="s">
        <v>1504</v>
      </c>
      <c r="D140" s="475">
        <f>SUMIF($D$12:$D$121,"I",$F$12:$F$121)</f>
        <v>132.39000000000001</v>
      </c>
      <c r="E140" s="1202">
        <f t="shared" si="0"/>
        <v>4.4130000000000003</v>
      </c>
      <c r="F140" s="1203">
        <f t="shared" si="1"/>
        <v>3.1366834885208618E-2</v>
      </c>
      <c r="J140" s="769"/>
      <c r="K140" s="868"/>
      <c r="L140" s="769"/>
      <c r="M140" s="868"/>
      <c r="N140" s="1210"/>
      <c r="O140" s="1038"/>
      <c r="P140" s="1210"/>
      <c r="Q140" s="1038"/>
      <c r="R140" s="1226"/>
      <c r="S140" s="1129"/>
      <c r="T140" s="1129"/>
      <c r="U140" s="877"/>
      <c r="V140" s="877"/>
    </row>
    <row r="141" spans="1:22" x14ac:dyDescent="0.25">
      <c r="B141" s="79" t="s">
        <v>2343</v>
      </c>
      <c r="C141" s="85" t="s">
        <v>2315</v>
      </c>
      <c r="D141" s="475">
        <f>SUMIF($D$24:$D$121,"E",$F$24:$F$121)</f>
        <v>0</v>
      </c>
      <c r="E141" s="1202">
        <f t="shared" si="0"/>
        <v>0</v>
      </c>
      <c r="F141" s="1203">
        <f t="shared" si="1"/>
        <v>0</v>
      </c>
      <c r="J141" s="769"/>
      <c r="K141" s="868"/>
      <c r="L141" s="769"/>
      <c r="M141" s="868"/>
      <c r="N141" s="1210"/>
      <c r="O141" s="1038"/>
      <c r="P141" s="1210"/>
      <c r="Q141" s="1038"/>
      <c r="R141" s="1226"/>
      <c r="S141" s="1129"/>
      <c r="T141" s="1129"/>
      <c r="U141" s="877"/>
      <c r="V141" s="877"/>
    </row>
    <row r="142" spans="1:22" x14ac:dyDescent="0.25">
      <c r="B142" s="79" t="s">
        <v>3019</v>
      </c>
      <c r="C142" s="85" t="s">
        <v>3017</v>
      </c>
      <c r="D142" s="475">
        <f>SUMIF($D$6:$D$121,"IM",$F$6:$F$121)</f>
        <v>656.36</v>
      </c>
      <c r="E142" s="1202">
        <f t="shared" si="0"/>
        <v>21.878666666666668</v>
      </c>
      <c r="F142" s="1203">
        <f t="shared" si="1"/>
        <v>0.15550974956760727</v>
      </c>
      <c r="J142" s="769"/>
      <c r="L142" s="769"/>
      <c r="N142" s="941"/>
      <c r="O142" s="224"/>
      <c r="P142" s="941"/>
      <c r="Q142" s="224"/>
      <c r="R142" s="1226"/>
      <c r="S142" s="1129"/>
      <c r="T142" s="1129"/>
      <c r="U142" s="877"/>
      <c r="V142" s="877"/>
    </row>
    <row r="143" spans="1:22" x14ac:dyDescent="0.25">
      <c r="B143" s="79" t="s">
        <v>1527</v>
      </c>
      <c r="C143" s="85" t="s">
        <v>1489</v>
      </c>
      <c r="D143" s="475">
        <f>SUMIF($D$12:$D$121,"OD",$F$12:$F$121)</f>
        <v>571.30333333333328</v>
      </c>
      <c r="E143" s="1202">
        <f t="shared" si="0"/>
        <v>19.043444444444443</v>
      </c>
      <c r="F143" s="1203">
        <f t="shared" si="1"/>
        <v>0.13535748414559987</v>
      </c>
      <c r="N143" s="1210"/>
      <c r="O143" s="1038"/>
      <c r="P143" s="1210"/>
      <c r="Q143" s="1038"/>
      <c r="R143" s="1226"/>
      <c r="S143" s="1129"/>
      <c r="T143" s="1129"/>
      <c r="U143" s="877"/>
      <c r="V143" s="877"/>
    </row>
    <row r="144" spans="1:22" x14ac:dyDescent="0.25">
      <c r="C144" s="79"/>
      <c r="D144" s="629"/>
      <c r="E144" s="79"/>
      <c r="F144" s="79"/>
      <c r="N144" s="1210"/>
      <c r="O144" s="1038"/>
      <c r="P144" s="1210"/>
      <c r="Q144" s="1038"/>
      <c r="R144" s="1227"/>
      <c r="S144" s="1129"/>
      <c r="T144" s="1129"/>
      <c r="U144" s="877"/>
      <c r="V144" s="877"/>
    </row>
    <row r="145" spans="1:24" x14ac:dyDescent="0.25">
      <c r="C145" s="3168" t="s">
        <v>486</v>
      </c>
      <c r="D145" s="3168"/>
      <c r="E145" s="863">
        <f ca="1">I145/K145</f>
        <v>172.54744444444444</v>
      </c>
      <c r="G145" s="518" t="s">
        <v>487</v>
      </c>
      <c r="I145" s="629">
        <f ca="1">SUM(D126:D143)</f>
        <v>5176.4233333333332</v>
      </c>
      <c r="J145" s="216"/>
      <c r="K145" s="1517">
        <v>30</v>
      </c>
      <c r="L145"/>
      <c r="N145" s="1210"/>
      <c r="O145" s="1038"/>
      <c r="P145" s="1210"/>
      <c r="Q145" s="1038"/>
      <c r="R145" s="1226"/>
      <c r="S145" s="1129"/>
      <c r="T145" s="1129"/>
      <c r="U145" s="877"/>
      <c r="V145" s="877"/>
    </row>
    <row r="146" spans="1:24" ht="15.75" customHeight="1" x14ac:dyDescent="0.25">
      <c r="B146" s="3167" t="s">
        <v>3377</v>
      </c>
      <c r="C146" s="3167"/>
      <c r="D146" s="3167"/>
      <c r="E146" s="1125">
        <v>140.69</v>
      </c>
      <c r="H146" s="85"/>
      <c r="K146" s="868"/>
      <c r="M146" s="868"/>
      <c r="N146" s="1210"/>
      <c r="O146" s="1038"/>
      <c r="P146" s="1210"/>
      <c r="Q146" s="1038"/>
      <c r="R146" s="1226"/>
      <c r="S146" s="1129"/>
      <c r="T146" s="1129"/>
      <c r="U146" s="877"/>
      <c r="V146" s="877"/>
    </row>
    <row r="147" spans="1:24" x14ac:dyDescent="0.25">
      <c r="E147" s="79"/>
      <c r="F147" s="79"/>
      <c r="G147" s="85"/>
      <c r="H147" s="459"/>
      <c r="I147" s="85"/>
      <c r="J147" s="89"/>
      <c r="L147" s="89"/>
      <c r="N147" s="1210"/>
      <c r="O147" s="1038"/>
      <c r="P147" s="1210"/>
      <c r="Q147" s="1038"/>
      <c r="R147" s="769"/>
      <c r="S147" s="484" t="s">
        <v>280</v>
      </c>
      <c r="T147" s="216"/>
      <c r="U147" s="866"/>
      <c r="V147" s="484"/>
      <c r="X147" s="877"/>
    </row>
    <row r="148" spans="1:24" s="518" customFormat="1" x14ac:dyDescent="0.25">
      <c r="A148" s="79"/>
      <c r="B148" s="79"/>
      <c r="C148" s="79"/>
      <c r="D148" s="79"/>
      <c r="E148" s="1126">
        <f ca="1">E146-E145</f>
        <v>-31.85744444444444</v>
      </c>
      <c r="F148" s="1205">
        <f ca="1">SUM(F126:F147)</f>
        <v>1.2264371628718775</v>
      </c>
      <c r="G148" s="85"/>
      <c r="H148" s="85"/>
      <c r="I148" s="89"/>
      <c r="J148" s="79"/>
      <c r="K148" s="79"/>
      <c r="L148" s="79"/>
      <c r="M148" s="79"/>
      <c r="N148" s="1210"/>
      <c r="O148" s="1038"/>
      <c r="P148" s="1210"/>
      <c r="Q148" s="1038"/>
      <c r="R148" s="79"/>
      <c r="S148" s="79"/>
      <c r="T148" s="866"/>
      <c r="U148" s="484"/>
      <c r="V148" s="79"/>
      <c r="W148" s="877"/>
      <c r="X148" s="79"/>
    </row>
    <row r="149" spans="1:24" s="518" customFormat="1" x14ac:dyDescent="0.25">
      <c r="A149" s="79"/>
      <c r="B149" s="79"/>
      <c r="C149" s="85"/>
      <c r="D149" s="85"/>
      <c r="E149" s="85"/>
      <c r="G149" s="79"/>
      <c r="H149" s="79"/>
      <c r="I149" s="79"/>
      <c r="J149" s="769"/>
      <c r="K149" s="866"/>
      <c r="L149" s="769"/>
      <c r="M149" s="866"/>
      <c r="N149" s="1210"/>
      <c r="O149" s="1038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1210"/>
      <c r="O150" s="1038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216"/>
      <c r="J151" s="769"/>
      <c r="K151" s="866"/>
      <c r="L151" s="769"/>
      <c r="M151" s="866"/>
      <c r="N151" s="1210"/>
      <c r="O151" s="1038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79"/>
      <c r="H152" s="79"/>
      <c r="K152" s="866"/>
      <c r="M152" s="866"/>
      <c r="N152" s="1210"/>
      <c r="O152" s="1038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1210"/>
      <c r="O153" s="1038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8"/>
      <c r="L154" s="769"/>
      <c r="M154" s="868"/>
      <c r="N154" s="1210"/>
      <c r="O154" s="1038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216"/>
      <c r="J155" s="769"/>
      <c r="K155" s="866"/>
      <c r="L155" s="769"/>
      <c r="M155" s="866"/>
      <c r="N155" s="1210"/>
      <c r="O155" s="1038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79"/>
      <c r="J156" s="770"/>
      <c r="K156" s="866"/>
      <c r="L156" s="770"/>
      <c r="M156" s="866"/>
      <c r="N156" s="1210"/>
      <c r="O156" s="1038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1210"/>
      <c r="O157" s="1038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1210"/>
      <c r="O158" s="1038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629"/>
      <c r="J159" s="769"/>
      <c r="K159" s="866"/>
      <c r="L159" s="769"/>
      <c r="M159" s="866"/>
      <c r="N159" s="1210"/>
      <c r="O159" s="1038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1210"/>
      <c r="O160" s="1038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1210"/>
      <c r="O161" s="1038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1210"/>
      <c r="O164" s="1038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1210"/>
      <c r="O165" s="1038"/>
      <c r="P165" s="1210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1210"/>
      <c r="O166" s="1038"/>
      <c r="P166" s="1210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769"/>
      <c r="M168" s="866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9"/>
      <c r="O169" s="79"/>
      <c r="P169" s="79"/>
      <c r="Q169" s="79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81"/>
      <c r="O170" s="755"/>
      <c r="P170" s="81"/>
      <c r="Q170" s="755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868"/>
      <c r="O171" s="79"/>
      <c r="P171" s="868"/>
      <c r="Q171" s="79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754"/>
      <c r="O172" s="886"/>
      <c r="P172" s="754"/>
      <c r="Q172" s="88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769"/>
      <c r="M173" s="868"/>
      <c r="N173" s="864"/>
      <c r="O173" s="864"/>
      <c r="P173" s="864"/>
      <c r="Q173" s="864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864"/>
      <c r="O174" s="1032"/>
      <c r="P174" s="864"/>
      <c r="Q174" s="1032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864"/>
      <c r="O175" s="1032"/>
      <c r="P175" s="864"/>
      <c r="Q175" s="1032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8"/>
      <c r="L176" s="769"/>
      <c r="M176" s="868"/>
      <c r="N176" s="85"/>
      <c r="O176" s="795"/>
      <c r="P176" s="85"/>
      <c r="Q176" s="795"/>
      <c r="R176" s="484"/>
      <c r="S176" s="79"/>
      <c r="T176" s="877"/>
      <c r="U176" s="79"/>
    </row>
    <row r="177" spans="1:21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85"/>
      <c r="O177" s="177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769"/>
      <c r="M178" s="866"/>
      <c r="N178" s="85"/>
      <c r="O178" s="177"/>
      <c r="P178" s="85"/>
      <c r="Q178" s="177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85"/>
      <c r="O179" s="177" t="s">
        <v>280</v>
      </c>
      <c r="P179" s="85"/>
      <c r="Q179" s="177" t="s">
        <v>280</v>
      </c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85"/>
      <c r="O180" s="177"/>
      <c r="P180" s="85"/>
      <c r="Q180" s="177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85"/>
      <c r="O181" s="866"/>
      <c r="P181" s="85"/>
      <c r="Q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769"/>
      <c r="M182" s="868"/>
      <c r="N182" s="769"/>
      <c r="O182" s="216"/>
      <c r="P182" s="769"/>
      <c r="Q182" s="21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6"/>
      <c r="L183" s="769"/>
      <c r="M183" s="866"/>
      <c r="N183" s="79"/>
      <c r="O183" s="216"/>
      <c r="P183" s="79"/>
      <c r="Q183" s="21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223"/>
      <c r="K184" s="629"/>
      <c r="L184" s="223"/>
      <c r="M184" s="629"/>
      <c r="N184" s="769"/>
      <c r="O184" s="868"/>
      <c r="P184" s="769"/>
      <c r="Q184" s="868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56"/>
      <c r="K185" s="756"/>
      <c r="L185" s="756"/>
      <c r="M185" s="756"/>
      <c r="N185" s="769"/>
      <c r="O185" s="868"/>
      <c r="P185" s="769"/>
      <c r="Q185" s="868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69"/>
      <c r="O186" s="868"/>
      <c r="P186" s="769"/>
      <c r="Q186" s="868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69"/>
      <c r="O187" s="79"/>
      <c r="P187" s="769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85"/>
      <c r="K190" s="85"/>
      <c r="L190" s="85"/>
      <c r="M190" s="85"/>
      <c r="N190" s="1517"/>
      <c r="O190" s="79"/>
      <c r="P190" s="1517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868"/>
      <c r="P191" s="79"/>
      <c r="Q191" s="868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89"/>
      <c r="O192" s="79"/>
      <c r="P192" s="89"/>
      <c r="Q192" s="79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69"/>
      <c r="O194" s="866"/>
      <c r="P194" s="769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69"/>
      <c r="O195" s="866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69"/>
      <c r="O196" s="866"/>
      <c r="P196" s="769"/>
      <c r="Q196" s="866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85"/>
      <c r="K197" s="85"/>
      <c r="L197" s="85"/>
      <c r="M197" s="85"/>
      <c r="O197" s="866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69"/>
      <c r="O198" s="866"/>
      <c r="P198" s="769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868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69"/>
      <c r="O200" s="86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70"/>
      <c r="O201" s="866"/>
      <c r="P201" s="770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69"/>
      <c r="O202" s="868"/>
      <c r="P202" s="769"/>
      <c r="Q202" s="86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69"/>
      <c r="O203" s="866"/>
      <c r="P203" s="769"/>
      <c r="Q203" s="866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71"/>
      <c r="L204" s="771"/>
      <c r="N204" s="769"/>
      <c r="O204" s="866"/>
      <c r="P204" s="769"/>
      <c r="Q204" s="866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69"/>
      <c r="O205" s="866"/>
      <c r="P205" s="769"/>
      <c r="Q205" s="866"/>
      <c r="R205" s="484"/>
      <c r="S205" s="79"/>
      <c r="T205" s="877"/>
      <c r="U205" s="79"/>
    </row>
    <row r="206" spans="1:21" x14ac:dyDescent="0.25">
      <c r="N206" s="769"/>
      <c r="O206" s="866"/>
      <c r="P206" s="769"/>
      <c r="Q206" s="866"/>
    </row>
    <row r="207" spans="1:21" x14ac:dyDescent="0.25">
      <c r="N207" s="769"/>
      <c r="O207" s="866"/>
      <c r="P207" s="769"/>
      <c r="Q207" s="866"/>
    </row>
    <row r="208" spans="1:21" x14ac:dyDescent="0.25">
      <c r="N208" s="769"/>
      <c r="O208" s="866"/>
      <c r="P208" s="769"/>
      <c r="Q208" s="866"/>
    </row>
    <row r="209" spans="1:21" x14ac:dyDescent="0.25">
      <c r="N209" s="769"/>
      <c r="O209" s="866"/>
      <c r="P209" s="769"/>
      <c r="Q209" s="866"/>
    </row>
    <row r="210" spans="1:21" x14ac:dyDescent="0.25">
      <c r="N210" s="769"/>
      <c r="O210" s="866"/>
      <c r="P210" s="769"/>
      <c r="Q210" s="866"/>
    </row>
    <row r="211" spans="1:21" x14ac:dyDescent="0.25">
      <c r="N211" s="769"/>
      <c r="O211" s="866"/>
      <c r="P211" s="769"/>
      <c r="Q211" s="866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69"/>
      <c r="O212" s="866"/>
      <c r="P212" s="769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69"/>
      <c r="O213" s="866"/>
      <c r="P213" s="769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69"/>
      <c r="O214" s="868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69"/>
      <c r="O215" s="868"/>
      <c r="P215" s="769"/>
      <c r="Q215" s="868"/>
      <c r="R215" s="484"/>
      <c r="S215" s="79"/>
      <c r="T215" s="877"/>
      <c r="U215" s="79"/>
    </row>
    <row r="216" spans="1:21" x14ac:dyDescent="0.25">
      <c r="N216" s="769"/>
      <c r="O216" s="868"/>
      <c r="P216" s="769"/>
      <c r="Q216" s="868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69"/>
      <c r="O217" s="868"/>
      <c r="P217" s="769"/>
      <c r="Q217" s="868"/>
      <c r="R217" s="484"/>
      <c r="S217" s="79"/>
      <c r="T217" s="877"/>
      <c r="U217" s="79"/>
    </row>
    <row r="218" spans="1:21" x14ac:dyDescent="0.25">
      <c r="N218" s="769"/>
      <c r="O218" s="868"/>
      <c r="P218" s="769"/>
      <c r="Q218" s="868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629"/>
      <c r="L219" s="79"/>
      <c r="M219" s="629"/>
      <c r="N219" s="769"/>
      <c r="O219" s="866"/>
      <c r="P219" s="769"/>
      <c r="Q219" s="866"/>
      <c r="R219" s="484"/>
      <c r="S219" s="79"/>
      <c r="T219" s="877"/>
      <c r="U219" s="79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8"/>
      <c r="P221" s="769"/>
      <c r="Q221" s="868"/>
    </row>
    <row r="222" spans="1:21" x14ac:dyDescent="0.25">
      <c r="N222" s="769"/>
      <c r="O222" s="866"/>
      <c r="P222" s="769"/>
      <c r="Q222" s="866"/>
    </row>
    <row r="223" spans="1:21" x14ac:dyDescent="0.25">
      <c r="N223" s="769"/>
      <c r="O223" s="866"/>
      <c r="P223" s="769"/>
      <c r="Q223" s="866"/>
    </row>
    <row r="224" spans="1:21" x14ac:dyDescent="0.25">
      <c r="N224" s="769"/>
      <c r="O224" s="868"/>
      <c r="P224" s="769"/>
      <c r="Q224" s="868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8"/>
      <c r="P225" s="769"/>
      <c r="Q225" s="86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69"/>
      <c r="O226" s="868"/>
      <c r="P226" s="769"/>
      <c r="Q226" s="86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69"/>
      <c r="O227" s="868"/>
      <c r="P227" s="769"/>
      <c r="Q227" s="86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69"/>
      <c r="O228" s="866"/>
      <c r="P228" s="769"/>
      <c r="Q228" s="86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223"/>
      <c r="O229" s="629"/>
      <c r="P229" s="223"/>
      <c r="Q229" s="62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56"/>
      <c r="O230" s="756"/>
      <c r="P230" s="756"/>
      <c r="Q230" s="75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79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79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79"/>
      <c r="O233" s="79"/>
      <c r="P233" s="79"/>
      <c r="Q233" s="79"/>
      <c r="R233" s="484"/>
      <c r="S233" s="79"/>
      <c r="T233" s="877"/>
      <c r="U233" s="79"/>
    </row>
    <row r="235" spans="1:21" x14ac:dyDescent="0.25">
      <c r="N235" s="85"/>
      <c r="O235" s="85"/>
      <c r="P235" s="85"/>
      <c r="Q235" s="85"/>
    </row>
    <row r="242" spans="1:42" x14ac:dyDescent="0.25">
      <c r="N242" s="85"/>
      <c r="O242" s="85"/>
      <c r="P242" s="85"/>
      <c r="Q242" s="85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71"/>
      <c r="O249" s="518"/>
      <c r="P249" s="771"/>
      <c r="Q249" s="518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0" spans="1:42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S250" s="79"/>
      <c r="T250" s="877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216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216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216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216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216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629"/>
      <c r="P264" s="79"/>
      <c r="Q264" s="629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216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216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216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216"/>
      <c r="P276" s="79"/>
      <c r="Q276" s="216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  <row r="277" spans="1:42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216"/>
      <c r="P277" s="79"/>
      <c r="Q277" s="216"/>
      <c r="S277" s="79"/>
      <c r="T277" s="877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</row>
    <row r="278" spans="1:42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79"/>
      <c r="L278" s="79"/>
      <c r="M278" s="79"/>
      <c r="N278" s="79"/>
      <c r="O278" s="216"/>
      <c r="P278" s="79"/>
      <c r="Q278" s="216"/>
      <c r="S278" s="79"/>
      <c r="T278" s="877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</row>
  </sheetData>
  <autoFilter ref="A2:I143" xr:uid="{00000000-0009-0000-0000-000082000000}"/>
  <mergeCells count="18">
    <mergeCell ref="C145:D145"/>
    <mergeCell ref="B146:D146"/>
    <mergeCell ref="L2:M3"/>
    <mergeCell ref="N2:O3"/>
    <mergeCell ref="P2:Q3"/>
    <mergeCell ref="R70:Z70"/>
    <mergeCell ref="A122:E122"/>
    <mergeCell ref="A123:E123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Planilha1"/>
  <dimension ref="A1:AP286"/>
  <sheetViews>
    <sheetView zoomScale="85" workbookViewId="0">
      <pane ySplit="4" topLeftCell="A48" activePane="bottomLeft" state="frozen"/>
      <selection pane="bottomLeft" activeCell="B67" sqref="B67"/>
    </sheetView>
  </sheetViews>
  <sheetFormatPr defaultColWidth="9.140625" defaultRowHeight="15" x14ac:dyDescent="0.25"/>
  <cols>
    <col min="1" max="1" width="12" style="1335" customWidth="1"/>
    <col min="2" max="2" width="37" style="1247" customWidth="1"/>
    <col min="3" max="3" width="10.42578125" style="1336" customWidth="1"/>
    <col min="4" max="4" width="13.85546875" style="1336" customWidth="1"/>
    <col min="5" max="5" width="13.7109375" style="1336" customWidth="1"/>
    <col min="6" max="6" width="13.42578125" style="1272" customWidth="1"/>
    <col min="7" max="17" width="13.42578125" style="1247" customWidth="1"/>
    <col min="18" max="18" width="14.85546875" style="1246" customWidth="1"/>
    <col min="19" max="19" width="10.28515625" style="1247" customWidth="1"/>
    <col min="20" max="20" width="12" style="1248" customWidth="1"/>
    <col min="21" max="21" width="19.140625" style="1247" customWidth="1"/>
    <col min="22" max="22" width="9.140625" style="1247" customWidth="1"/>
    <col min="23" max="16384" width="9.140625" style="1247"/>
  </cols>
  <sheetData>
    <row r="1" spans="1:21" ht="27" customHeight="1" thickBot="1" x14ac:dyDescent="0.3">
      <c r="A1" s="3180" t="s">
        <v>0</v>
      </c>
      <c r="B1" s="3181"/>
      <c r="C1" s="3182"/>
      <c r="D1" s="3182"/>
      <c r="E1" s="3183"/>
      <c r="F1" s="3184" t="s">
        <v>3539</v>
      </c>
      <c r="G1" s="3185"/>
      <c r="H1" s="3185"/>
      <c r="I1" s="3185"/>
      <c r="J1" s="3185"/>
      <c r="K1" s="3185"/>
      <c r="L1" s="3185"/>
      <c r="M1" s="3185"/>
      <c r="N1" s="3185"/>
      <c r="O1" s="3185"/>
      <c r="P1" s="3185"/>
      <c r="Q1" s="3186"/>
    </row>
    <row r="2" spans="1:21" ht="13.5" customHeight="1" x14ac:dyDescent="0.25">
      <c r="A2" s="3187" t="s">
        <v>2</v>
      </c>
      <c r="B2" s="3190" t="s">
        <v>3</v>
      </c>
      <c r="C2" s="3193" t="s">
        <v>4</v>
      </c>
      <c r="D2" s="3190" t="s">
        <v>1484</v>
      </c>
      <c r="E2" s="3190" t="s">
        <v>5</v>
      </c>
      <c r="F2" s="3171" t="s">
        <v>6</v>
      </c>
      <c r="G2" s="3172"/>
      <c r="H2" s="3171" t="s">
        <v>7</v>
      </c>
      <c r="I2" s="3172"/>
      <c r="J2" s="3171" t="s">
        <v>1637</v>
      </c>
      <c r="K2" s="3172"/>
      <c r="L2" s="3171" t="s">
        <v>3173</v>
      </c>
      <c r="M2" s="3172"/>
      <c r="N2" s="3171" t="s">
        <v>3338</v>
      </c>
      <c r="O2" s="3172"/>
      <c r="P2" s="3171" t="s">
        <v>3306</v>
      </c>
      <c r="Q2" s="3172"/>
    </row>
    <row r="3" spans="1:21" ht="13.5" customHeight="1" thickBot="1" x14ac:dyDescent="0.3">
      <c r="A3" s="3188"/>
      <c r="B3" s="3191"/>
      <c r="C3" s="3194"/>
      <c r="D3" s="3191"/>
      <c r="E3" s="3191"/>
      <c r="F3" s="3173"/>
      <c r="G3" s="3174"/>
      <c r="H3" s="3173"/>
      <c r="I3" s="3174"/>
      <c r="J3" s="3173"/>
      <c r="K3" s="3174"/>
      <c r="L3" s="3173"/>
      <c r="M3" s="3174"/>
      <c r="N3" s="3173"/>
      <c r="O3" s="3174"/>
      <c r="P3" s="3173"/>
      <c r="Q3" s="3174"/>
      <c r="U3" s="1249"/>
    </row>
    <row r="4" spans="1:21" ht="13.5" customHeight="1" thickBot="1" x14ac:dyDescent="0.3">
      <c r="A4" s="3189"/>
      <c r="B4" s="3192"/>
      <c r="C4" s="3195"/>
      <c r="D4" s="3192"/>
      <c r="E4" s="3196"/>
      <c r="F4" s="1250" t="s">
        <v>8</v>
      </c>
      <c r="G4" s="1251" t="s">
        <v>9</v>
      </c>
      <c r="H4" s="1252" t="s">
        <v>8</v>
      </c>
      <c r="I4" s="1253" t="s">
        <v>9</v>
      </c>
      <c r="J4" s="1254" t="s">
        <v>8</v>
      </c>
      <c r="K4" s="1255" t="s">
        <v>9</v>
      </c>
      <c r="L4" s="1254" t="s">
        <v>8</v>
      </c>
      <c r="M4" s="1255" t="s">
        <v>9</v>
      </c>
      <c r="N4" s="1254" t="s">
        <v>8</v>
      </c>
      <c r="O4" s="1255" t="s">
        <v>9</v>
      </c>
      <c r="P4" s="1254" t="s">
        <v>8</v>
      </c>
      <c r="Q4" s="1255" t="s">
        <v>9</v>
      </c>
      <c r="U4" s="1249"/>
    </row>
    <row r="5" spans="1:21" x14ac:dyDescent="0.25">
      <c r="A5" s="1256">
        <v>44896</v>
      </c>
      <c r="B5" s="1257" t="s">
        <v>10</v>
      </c>
      <c r="C5" s="1258"/>
      <c r="D5" s="1258"/>
      <c r="E5" s="1259"/>
      <c r="F5" s="1260"/>
      <c r="G5" s="1261">
        <v>845.93625000001884</v>
      </c>
      <c r="H5" s="1262"/>
      <c r="I5" s="1263">
        <v>3399.9959999999992</v>
      </c>
      <c r="J5" s="1260"/>
      <c r="K5" s="1261">
        <v>8188.77</v>
      </c>
      <c r="L5" s="1260"/>
      <c r="M5" s="1261">
        <v>15946.279999999999</v>
      </c>
      <c r="N5" s="1260"/>
      <c r="O5" s="1261">
        <v>10956.189999999999</v>
      </c>
      <c r="P5" s="1260"/>
      <c r="Q5" s="1261">
        <v>37039.175984720008</v>
      </c>
    </row>
    <row r="6" spans="1:21" s="1274" customFormat="1" x14ac:dyDescent="0.25">
      <c r="A6" s="1264">
        <v>44896</v>
      </c>
      <c r="B6" s="1265" t="s">
        <v>11</v>
      </c>
      <c r="C6" s="1266"/>
      <c r="D6" s="1266"/>
      <c r="E6" s="1267"/>
      <c r="F6" s="1268"/>
      <c r="G6" s="1269"/>
      <c r="H6" s="1270"/>
      <c r="I6" s="1271"/>
      <c r="J6" s="1268"/>
      <c r="K6" s="1269"/>
      <c r="L6" s="1268"/>
      <c r="M6" s="1269"/>
      <c r="N6" s="1268"/>
      <c r="O6" s="1269"/>
      <c r="P6" s="1268"/>
      <c r="Q6" s="1269"/>
      <c r="R6" s="1246"/>
      <c r="S6" s="1272"/>
      <c r="T6" s="1273"/>
    </row>
    <row r="7" spans="1:21" s="1274" customFormat="1" ht="15" customHeight="1" x14ac:dyDescent="0.25">
      <c r="A7" s="1264">
        <v>44896</v>
      </c>
      <c r="B7" s="1275" t="s">
        <v>3540</v>
      </c>
      <c r="C7" s="1276" t="s">
        <v>12</v>
      </c>
      <c r="D7" s="1276" t="s">
        <v>1506</v>
      </c>
      <c r="E7" s="1277" t="s">
        <v>13</v>
      </c>
      <c r="F7" s="1268">
        <v>74.12</v>
      </c>
      <c r="G7" s="1278"/>
      <c r="H7" s="1279"/>
      <c r="I7" s="1278"/>
      <c r="J7" s="1279"/>
      <c r="K7" s="1278"/>
      <c r="L7" s="1279"/>
      <c r="M7" s="1278"/>
      <c r="N7" s="1279"/>
      <c r="O7" s="1278"/>
      <c r="P7" s="1279"/>
      <c r="Q7" s="1278"/>
      <c r="R7" s="1280" t="s">
        <v>3292</v>
      </c>
      <c r="S7" s="1281"/>
      <c r="T7" s="1273"/>
    </row>
    <row r="8" spans="1:21" s="1274" customFormat="1" ht="15" customHeight="1" x14ac:dyDescent="0.25">
      <c r="A8" s="1264">
        <v>44896</v>
      </c>
      <c r="B8" s="1275" t="s">
        <v>3541</v>
      </c>
      <c r="C8" s="1276" t="s">
        <v>19</v>
      </c>
      <c r="D8" s="1276" t="s">
        <v>1489</v>
      </c>
      <c r="E8" s="1277" t="s">
        <v>13</v>
      </c>
      <c r="F8" s="1268">
        <v>93.333333333333314</v>
      </c>
      <c r="G8" s="1278"/>
      <c r="H8" s="1282"/>
      <c r="I8" s="1283"/>
      <c r="J8" s="1279"/>
      <c r="K8" s="1278"/>
      <c r="L8" s="1279"/>
      <c r="M8" s="1278"/>
      <c r="N8" s="1279"/>
      <c r="O8" s="1278"/>
      <c r="P8" s="1279"/>
      <c r="Q8" s="1278"/>
      <c r="R8" s="1280" t="s">
        <v>3292</v>
      </c>
      <c r="U8" s="1246"/>
    </row>
    <row r="9" spans="1:21" s="1274" customFormat="1" ht="15" customHeight="1" x14ac:dyDescent="0.25">
      <c r="A9" s="1264">
        <v>44896</v>
      </c>
      <c r="B9" s="1275" t="s">
        <v>3542</v>
      </c>
      <c r="C9" s="1276" t="s">
        <v>19</v>
      </c>
      <c r="D9" s="1276" t="s">
        <v>1506</v>
      </c>
      <c r="E9" s="1277" t="s">
        <v>13</v>
      </c>
      <c r="F9" s="1268">
        <v>69.7</v>
      </c>
      <c r="G9" s="1278"/>
      <c r="H9" s="1282"/>
      <c r="I9" s="1284"/>
      <c r="J9" s="1285"/>
      <c r="K9" s="1284"/>
      <c r="L9" s="1285"/>
      <c r="M9" s="1284"/>
      <c r="N9" s="1285"/>
      <c r="O9" s="1284"/>
      <c r="P9" s="1285"/>
      <c r="Q9" s="1284"/>
      <c r="R9" s="1280" t="s">
        <v>3292</v>
      </c>
      <c r="S9" s="1281"/>
      <c r="T9" s="1273"/>
    </row>
    <row r="10" spans="1:21" s="1274" customFormat="1" ht="15" customHeight="1" x14ac:dyDescent="0.25">
      <c r="A10" s="1264">
        <v>44896</v>
      </c>
      <c r="B10" s="1275" t="s">
        <v>3543</v>
      </c>
      <c r="C10" s="1276" t="s">
        <v>19</v>
      </c>
      <c r="D10" s="1276" t="s">
        <v>1491</v>
      </c>
      <c r="E10" s="1277" t="s">
        <v>13</v>
      </c>
      <c r="F10" s="1279">
        <v>67</v>
      </c>
      <c r="G10" s="1278"/>
      <c r="H10" s="1279"/>
      <c r="I10" s="1278"/>
      <c r="J10" s="1279"/>
      <c r="K10" s="1278"/>
      <c r="L10" s="1279"/>
      <c r="M10" s="1278"/>
      <c r="N10" s="1279"/>
      <c r="O10" s="1278"/>
      <c r="P10" s="1279"/>
      <c r="Q10" s="1278"/>
      <c r="R10" s="1280" t="s">
        <v>3292</v>
      </c>
      <c r="S10" s="1281"/>
      <c r="T10" s="1273"/>
    </row>
    <row r="11" spans="1:21" s="1274" customFormat="1" ht="15" customHeight="1" x14ac:dyDescent="0.25">
      <c r="A11" s="1264">
        <v>44896</v>
      </c>
      <c r="B11" s="1275" t="s">
        <v>3544</v>
      </c>
      <c r="C11" s="1276" t="s">
        <v>12</v>
      </c>
      <c r="D11" s="1276" t="s">
        <v>1506</v>
      </c>
      <c r="E11" s="1277" t="s">
        <v>13</v>
      </c>
      <c r="F11" s="1279">
        <v>11.5</v>
      </c>
      <c r="G11" s="1278"/>
      <c r="H11" s="1279"/>
      <c r="I11" s="1278"/>
      <c r="J11" s="1279"/>
      <c r="K11" s="1278"/>
      <c r="L11" s="1279"/>
      <c r="M11" s="1278"/>
      <c r="N11" s="1279"/>
      <c r="O11" s="1278"/>
      <c r="P11" s="1279"/>
      <c r="Q11" s="1278"/>
      <c r="R11" s="1280" t="s">
        <v>3292</v>
      </c>
      <c r="S11" s="1281"/>
      <c r="T11" s="1273"/>
    </row>
    <row r="12" spans="1:21" s="1274" customFormat="1" ht="15" customHeight="1" x14ac:dyDescent="0.25">
      <c r="A12" s="1264">
        <v>44896</v>
      </c>
      <c r="B12" s="1275" t="s">
        <v>32</v>
      </c>
      <c r="C12" s="1276" t="s">
        <v>12</v>
      </c>
      <c r="D12" s="1276" t="s">
        <v>1485</v>
      </c>
      <c r="E12" s="1286" t="s">
        <v>13</v>
      </c>
      <c r="F12" s="1279">
        <v>18</v>
      </c>
      <c r="G12" s="1278"/>
      <c r="H12" s="1282"/>
      <c r="I12" s="1283"/>
      <c r="J12" s="1279"/>
      <c r="K12" s="1278"/>
      <c r="L12" s="1279"/>
      <c r="M12" s="1278"/>
      <c r="N12" s="1279"/>
      <c r="O12" s="1278"/>
      <c r="P12" s="1279"/>
      <c r="Q12" s="1278"/>
      <c r="R12" s="1281"/>
    </row>
    <row r="13" spans="1:21" s="1274" customFormat="1" ht="15" customHeight="1" x14ac:dyDescent="0.25">
      <c r="A13" s="1264">
        <v>44896</v>
      </c>
      <c r="B13" s="1275" t="s">
        <v>478</v>
      </c>
      <c r="C13" s="1276" t="s">
        <v>12</v>
      </c>
      <c r="D13" s="1276" t="s">
        <v>1496</v>
      </c>
      <c r="E13" s="1286" t="s">
        <v>13</v>
      </c>
      <c r="F13" s="1279">
        <v>5.34</v>
      </c>
      <c r="G13" s="1278"/>
      <c r="H13" s="1279"/>
      <c r="I13" s="1278"/>
      <c r="J13" s="1279"/>
      <c r="K13" s="1278"/>
      <c r="L13" s="1279"/>
      <c r="M13" s="1278"/>
      <c r="N13" s="1279"/>
      <c r="O13" s="1278"/>
      <c r="P13" s="1279"/>
      <c r="Q13" s="1278"/>
      <c r="R13" s="1280"/>
      <c r="S13" s="1281"/>
      <c r="T13" s="1273"/>
    </row>
    <row r="14" spans="1:21" s="1274" customFormat="1" ht="15" customHeight="1" x14ac:dyDescent="0.25">
      <c r="A14" s="1264">
        <v>44896</v>
      </c>
      <c r="B14" s="1275" t="s">
        <v>138</v>
      </c>
      <c r="C14" s="1276" t="s">
        <v>12</v>
      </c>
      <c r="D14" s="1276" t="s">
        <v>2157</v>
      </c>
      <c r="E14" s="1277" t="s">
        <v>13</v>
      </c>
      <c r="F14" s="1279">
        <v>80</v>
      </c>
      <c r="G14" s="1278"/>
      <c r="H14" s="1282"/>
      <c r="I14" s="1283"/>
      <c r="J14" s="1279"/>
      <c r="K14" s="1278"/>
      <c r="L14" s="1279"/>
      <c r="M14" s="1278"/>
      <c r="N14" s="1279"/>
      <c r="O14" s="1278"/>
      <c r="P14" s="1279"/>
      <c r="Q14" s="1278"/>
      <c r="R14" s="1280"/>
      <c r="U14" s="1246"/>
    </row>
    <row r="15" spans="1:21" s="1274" customFormat="1" ht="15" customHeight="1" x14ac:dyDescent="0.25">
      <c r="A15" s="1264">
        <v>44897</v>
      </c>
      <c r="B15" s="1275" t="s">
        <v>3545</v>
      </c>
      <c r="C15" s="1276" t="s">
        <v>12</v>
      </c>
      <c r="D15" s="1276" t="s">
        <v>1491</v>
      </c>
      <c r="E15" s="1286" t="s">
        <v>13</v>
      </c>
      <c r="F15" s="1279">
        <v>100</v>
      </c>
      <c r="G15" s="1278"/>
      <c r="H15" s="1282"/>
      <c r="I15" s="1284"/>
      <c r="J15" s="1285"/>
      <c r="K15" s="1284"/>
      <c r="L15" s="1285"/>
      <c r="M15" s="1284"/>
      <c r="N15" s="1285"/>
      <c r="O15" s="1284"/>
      <c r="P15" s="1285"/>
      <c r="Q15" s="1284"/>
      <c r="R15" s="1280"/>
      <c r="S15" s="1281"/>
      <c r="T15" s="1273"/>
    </row>
    <row r="16" spans="1:21" s="1274" customFormat="1" ht="15" customHeight="1" x14ac:dyDescent="0.25">
      <c r="A16" s="1264">
        <v>44897</v>
      </c>
      <c r="B16" s="1275" t="s">
        <v>32</v>
      </c>
      <c r="C16" s="1276" t="s">
        <v>12</v>
      </c>
      <c r="D16" s="1276" t="s">
        <v>1485</v>
      </c>
      <c r="E16" s="1286" t="s">
        <v>13</v>
      </c>
      <c r="F16" s="1279">
        <v>18</v>
      </c>
      <c r="G16" s="1278"/>
      <c r="H16" s="1282"/>
      <c r="I16" s="1283"/>
      <c r="J16" s="1279"/>
      <c r="K16" s="1278"/>
      <c r="L16" s="1279"/>
      <c r="M16" s="1278"/>
      <c r="N16" s="1279"/>
      <c r="O16" s="1278"/>
      <c r="P16" s="1279"/>
      <c r="Q16" s="1278"/>
      <c r="R16" s="1281"/>
    </row>
    <row r="17" spans="1:42" s="1274" customFormat="1" ht="15" customHeight="1" x14ac:dyDescent="0.25">
      <c r="A17" s="1264">
        <v>44897</v>
      </c>
      <c r="B17" s="1275" t="s">
        <v>17</v>
      </c>
      <c r="C17" s="1276" t="s">
        <v>12</v>
      </c>
      <c r="D17" s="1276" t="s">
        <v>1493</v>
      </c>
      <c r="E17" s="1286" t="s">
        <v>13</v>
      </c>
      <c r="F17" s="1279">
        <v>6</v>
      </c>
      <c r="G17" s="1278"/>
      <c r="H17" s="1279"/>
      <c r="I17" s="1278"/>
      <c r="J17" s="1279"/>
      <c r="K17" s="1278"/>
      <c r="L17" s="1279"/>
      <c r="M17" s="1284"/>
      <c r="N17" s="1287"/>
      <c r="O17" s="1288"/>
      <c r="P17" s="1287"/>
      <c r="Q17" s="1288"/>
      <c r="R17" s="1281"/>
      <c r="S17" s="1281"/>
      <c r="T17" s="1273"/>
    </row>
    <row r="18" spans="1:42" s="1274" customFormat="1" ht="15" customHeight="1" x14ac:dyDescent="0.25">
      <c r="A18" s="1264">
        <v>44897</v>
      </c>
      <c r="B18" s="1275" t="s">
        <v>82</v>
      </c>
      <c r="C18" s="1276" t="s">
        <v>12</v>
      </c>
      <c r="D18" s="1276" t="s">
        <v>1493</v>
      </c>
      <c r="E18" s="1286" t="s">
        <v>13</v>
      </c>
      <c r="F18" s="1279">
        <v>33.89</v>
      </c>
      <c r="G18" s="1278"/>
      <c r="H18" s="1279"/>
      <c r="I18" s="1278"/>
      <c r="J18" s="1279"/>
      <c r="K18" s="1278"/>
      <c r="L18" s="1279"/>
      <c r="M18" s="1278"/>
      <c r="N18" s="1285"/>
      <c r="O18" s="1284"/>
      <c r="P18" s="1285"/>
      <c r="Q18" s="1284"/>
      <c r="R18" s="1281"/>
      <c r="T18" s="1273"/>
    </row>
    <row r="19" spans="1:42" s="1274" customFormat="1" ht="15" customHeight="1" x14ac:dyDescent="0.25">
      <c r="A19" s="1264">
        <v>44898</v>
      </c>
      <c r="B19" s="1275" t="s">
        <v>2629</v>
      </c>
      <c r="C19" s="1276" t="s">
        <v>19</v>
      </c>
      <c r="D19" s="1276" t="s">
        <v>1489</v>
      </c>
      <c r="E19" s="1286" t="s">
        <v>13</v>
      </c>
      <c r="F19" s="1279">
        <v>57.25</v>
      </c>
      <c r="G19" s="1278"/>
      <c r="H19" s="1279"/>
      <c r="I19" s="1278"/>
      <c r="J19" s="1279"/>
      <c r="K19" s="1278"/>
      <c r="L19" s="1279"/>
      <c r="M19" s="1278"/>
      <c r="N19" s="1279"/>
      <c r="O19" s="1278"/>
      <c r="P19" s="1279"/>
      <c r="Q19" s="1278"/>
      <c r="R19" s="1281"/>
      <c r="T19" s="1273"/>
    </row>
    <row r="20" spans="1:42" s="1274" customFormat="1" ht="15" customHeight="1" x14ac:dyDescent="0.25">
      <c r="A20" s="1264">
        <v>44898</v>
      </c>
      <c r="B20" s="1275" t="s">
        <v>3546</v>
      </c>
      <c r="C20" s="1276" t="s">
        <v>12</v>
      </c>
      <c r="D20" s="1276" t="s">
        <v>1523</v>
      </c>
      <c r="E20" s="1286" t="s">
        <v>13</v>
      </c>
      <c r="F20" s="1279">
        <v>25</v>
      </c>
      <c r="G20" s="1278"/>
      <c r="H20" s="1282"/>
      <c r="I20" s="1284"/>
      <c r="J20" s="1285"/>
      <c r="K20" s="1284"/>
      <c r="L20" s="1285"/>
      <c r="M20" s="1284"/>
      <c r="N20" s="1285"/>
      <c r="O20" s="1284"/>
      <c r="P20" s="1285"/>
      <c r="Q20" s="1284"/>
      <c r="R20" s="1280"/>
      <c r="S20" s="1281"/>
      <c r="T20" s="1273"/>
    </row>
    <row r="21" spans="1:42" s="1274" customFormat="1" ht="15" customHeight="1" x14ac:dyDescent="0.25">
      <c r="A21" s="1264">
        <v>44898</v>
      </c>
      <c r="B21" s="1275" t="s">
        <v>3547</v>
      </c>
      <c r="C21" s="1276" t="s">
        <v>12</v>
      </c>
      <c r="D21" s="1276" t="s">
        <v>1491</v>
      </c>
      <c r="E21" s="1286" t="s">
        <v>13</v>
      </c>
      <c r="F21" s="1279">
        <v>10</v>
      </c>
      <c r="G21" s="1278"/>
      <c r="H21" s="1282"/>
      <c r="I21" s="1284"/>
      <c r="J21" s="1285"/>
      <c r="K21" s="1284"/>
      <c r="L21" s="1285"/>
      <c r="M21" s="1284"/>
      <c r="N21" s="1285"/>
      <c r="O21" s="1284"/>
      <c r="P21" s="1285"/>
      <c r="Q21" s="1284"/>
      <c r="R21" s="1280"/>
      <c r="S21" s="1281"/>
      <c r="T21" s="1273"/>
    </row>
    <row r="22" spans="1:42" s="1274" customFormat="1" ht="15" customHeight="1" x14ac:dyDescent="0.25">
      <c r="A22" s="1264">
        <v>44898</v>
      </c>
      <c r="B22" s="1275" t="s">
        <v>3548</v>
      </c>
      <c r="C22" s="1276" t="s">
        <v>12</v>
      </c>
      <c r="D22" s="1276" t="s">
        <v>1493</v>
      </c>
      <c r="E22" s="1286" t="s">
        <v>13</v>
      </c>
      <c r="F22" s="1279">
        <v>46</v>
      </c>
      <c r="G22" s="1278"/>
      <c r="H22" s="1282"/>
      <c r="I22" s="1284"/>
      <c r="J22" s="1285"/>
      <c r="K22" s="1284"/>
      <c r="L22" s="1285"/>
      <c r="M22" s="1284"/>
      <c r="N22" s="1285"/>
      <c r="O22" s="1284"/>
      <c r="P22" s="1285"/>
      <c r="Q22" s="1284"/>
      <c r="R22" s="1280"/>
      <c r="S22" s="1281"/>
      <c r="T22" s="1273"/>
    </row>
    <row r="23" spans="1:42" s="1274" customFormat="1" ht="15" customHeight="1" x14ac:dyDescent="0.25">
      <c r="A23" s="1264">
        <v>44899</v>
      </c>
      <c r="B23" s="1275" t="s">
        <v>443</v>
      </c>
      <c r="C23" s="1276" t="s">
        <v>12</v>
      </c>
      <c r="D23" s="1276" t="s">
        <v>1493</v>
      </c>
      <c r="E23" s="1286" t="s">
        <v>13</v>
      </c>
      <c r="F23" s="1279">
        <v>9.9</v>
      </c>
      <c r="G23" s="1278"/>
      <c r="H23" s="1282"/>
      <c r="I23" s="1283"/>
      <c r="J23" s="1279"/>
      <c r="K23" s="1278"/>
      <c r="L23" s="1279"/>
      <c r="M23" s="1278"/>
      <c r="N23" s="1279"/>
      <c r="O23" s="1278"/>
      <c r="P23" s="1279"/>
      <c r="Q23" s="1278"/>
      <c r="R23" s="1280"/>
      <c r="U23" s="1246"/>
    </row>
    <row r="24" spans="1:42" s="1274" customFormat="1" ht="15" customHeight="1" x14ac:dyDescent="0.25">
      <c r="A24" s="1264">
        <v>44900</v>
      </c>
      <c r="B24" s="1275" t="s">
        <v>32</v>
      </c>
      <c r="C24" s="1276" t="s">
        <v>12</v>
      </c>
      <c r="D24" s="1276" t="s">
        <v>1485</v>
      </c>
      <c r="E24" s="1286" t="s">
        <v>13</v>
      </c>
      <c r="F24" s="1279">
        <v>18</v>
      </c>
      <c r="G24" s="1278"/>
      <c r="H24" s="1282"/>
      <c r="I24" s="1283"/>
      <c r="J24" s="1279"/>
      <c r="K24" s="1278"/>
      <c r="L24" s="1279"/>
      <c r="M24" s="1278"/>
      <c r="N24" s="1279"/>
      <c r="O24" s="1278"/>
      <c r="P24" s="1279"/>
      <c r="Q24" s="1278"/>
      <c r="R24" s="1281"/>
    </row>
    <row r="25" spans="1:42" s="1274" customFormat="1" ht="15.75" customHeight="1" x14ac:dyDescent="0.25">
      <c r="A25" s="1264">
        <v>44901</v>
      </c>
      <c r="B25" s="1289" t="s">
        <v>3549</v>
      </c>
      <c r="C25" s="1276" t="s">
        <v>12</v>
      </c>
      <c r="D25" s="1290"/>
      <c r="E25" s="1277" t="s">
        <v>25</v>
      </c>
      <c r="F25" s="1291"/>
      <c r="G25" s="1269">
        <v>1927.96</v>
      </c>
      <c r="H25" s="1268"/>
      <c r="I25" s="1278"/>
      <c r="J25" s="1279"/>
      <c r="K25" s="1278"/>
      <c r="L25" s="1279"/>
      <c r="M25" s="1278"/>
      <c r="N25" s="1279"/>
      <c r="O25" s="1278"/>
      <c r="P25" s="1279"/>
      <c r="Q25" s="1278"/>
      <c r="R25" s="1281"/>
    </row>
    <row r="26" spans="1:42" s="1274" customFormat="1" ht="15" customHeight="1" x14ac:dyDescent="0.25">
      <c r="A26" s="1264">
        <v>44901</v>
      </c>
      <c r="B26" s="1292" t="s">
        <v>3422</v>
      </c>
      <c r="C26" s="1276" t="s">
        <v>12</v>
      </c>
      <c r="D26" s="1276" t="s">
        <v>1504</v>
      </c>
      <c r="E26" s="1277" t="s">
        <v>13</v>
      </c>
      <c r="F26" s="1279">
        <v>60</v>
      </c>
      <c r="G26" s="1278"/>
      <c r="H26" s="1282"/>
      <c r="I26" s="1283"/>
      <c r="J26" s="1279"/>
      <c r="K26" s="1278"/>
      <c r="L26" s="1279"/>
      <c r="M26" s="1278"/>
      <c r="N26" s="1279"/>
      <c r="O26" s="1278"/>
      <c r="P26" s="1279"/>
      <c r="Q26" s="1278"/>
      <c r="R26" s="1281">
        <v>110</v>
      </c>
      <c r="S26" s="1280" t="s">
        <v>3550</v>
      </c>
      <c r="T26" s="1293"/>
    </row>
    <row r="27" spans="1:42" s="1274" customFormat="1" ht="15" customHeight="1" x14ac:dyDescent="0.25">
      <c r="A27" s="1264">
        <v>44901</v>
      </c>
      <c r="B27" s="1275" t="s">
        <v>3551</v>
      </c>
      <c r="C27" s="1276" t="s">
        <v>12</v>
      </c>
      <c r="D27" s="1276" t="s">
        <v>1499</v>
      </c>
      <c r="E27" s="1277" t="s">
        <v>13</v>
      </c>
      <c r="F27" s="1279">
        <v>72.409999999999982</v>
      </c>
      <c r="G27" s="1278"/>
      <c r="H27" s="1282"/>
      <c r="I27" s="1283"/>
      <c r="J27" s="1279"/>
      <c r="K27" s="1278"/>
      <c r="L27" s="1279"/>
      <c r="M27" s="1278"/>
      <c r="N27" s="1279"/>
      <c r="O27" s="1278"/>
      <c r="P27" s="1279"/>
      <c r="Q27" s="1278"/>
      <c r="R27" s="1280">
        <v>172.41</v>
      </c>
      <c r="S27" s="1294"/>
      <c r="T27" s="1273"/>
    </row>
    <row r="28" spans="1:42" s="1274" customFormat="1" ht="15" customHeight="1" x14ac:dyDescent="0.25">
      <c r="A28" s="1264">
        <v>44901</v>
      </c>
      <c r="B28" s="1275" t="s">
        <v>2977</v>
      </c>
      <c r="C28" s="1276" t="s">
        <v>12</v>
      </c>
      <c r="D28" s="1276" t="s">
        <v>1491</v>
      </c>
      <c r="E28" s="1286" t="s">
        <v>13</v>
      </c>
      <c r="F28" s="1279">
        <v>300</v>
      </c>
      <c r="G28" s="1278"/>
      <c r="H28" s="1282"/>
      <c r="I28" s="1283"/>
      <c r="J28" s="1279"/>
      <c r="K28" s="1278"/>
      <c r="L28" s="1279"/>
      <c r="M28" s="1278"/>
      <c r="N28" s="1279"/>
      <c r="O28" s="1278"/>
      <c r="P28" s="1279"/>
      <c r="Q28" s="1278"/>
      <c r="R28" s="1281"/>
      <c r="T28" s="1293"/>
    </row>
    <row r="29" spans="1:42" x14ac:dyDescent="0.25">
      <c r="A29" s="1264">
        <v>44901</v>
      </c>
      <c r="B29" s="1295" t="s">
        <v>3060</v>
      </c>
      <c r="C29" s="1276" t="s">
        <v>12</v>
      </c>
      <c r="D29" s="1276" t="s">
        <v>1496</v>
      </c>
      <c r="E29" s="1277" t="s">
        <v>13</v>
      </c>
      <c r="F29" s="1279">
        <v>80</v>
      </c>
      <c r="G29" s="1278"/>
      <c r="H29" s="1296"/>
      <c r="I29" s="1283"/>
      <c r="J29" s="1279"/>
      <c r="K29" s="1278"/>
      <c r="L29" s="1279"/>
      <c r="M29" s="1278"/>
      <c r="N29" s="1279"/>
      <c r="O29" s="1278"/>
      <c r="P29" s="1279"/>
      <c r="Q29" s="1278"/>
    </row>
    <row r="30" spans="1:42" s="1274" customFormat="1" ht="14.25" customHeight="1" x14ac:dyDescent="0.25">
      <c r="A30" s="1264">
        <v>44901</v>
      </c>
      <c r="B30" s="1275" t="s">
        <v>3552</v>
      </c>
      <c r="C30" s="1276" t="s">
        <v>12</v>
      </c>
      <c r="D30" s="1276" t="s">
        <v>3017</v>
      </c>
      <c r="E30" s="1286" t="s">
        <v>13</v>
      </c>
      <c r="F30" s="1279">
        <v>657.4</v>
      </c>
      <c r="G30" s="1278"/>
      <c r="H30" s="1282"/>
      <c r="I30" s="1283"/>
      <c r="J30" s="1279"/>
      <c r="K30" s="1278"/>
      <c r="L30" s="1279"/>
      <c r="M30" s="1278">
        <v>657.4</v>
      </c>
      <c r="N30" s="1279"/>
      <c r="O30" s="1278"/>
      <c r="P30" s="1279"/>
      <c r="Q30" s="1278"/>
      <c r="R30" s="1281">
        <v>400</v>
      </c>
      <c r="S30" s="1273" t="s">
        <v>3018</v>
      </c>
      <c r="T30" s="1293"/>
    </row>
    <row r="31" spans="1:42" s="1274" customFormat="1" ht="15" customHeight="1" x14ac:dyDescent="0.25">
      <c r="A31" s="1264">
        <v>44901</v>
      </c>
      <c r="B31" s="1275" t="s">
        <v>3553</v>
      </c>
      <c r="C31" s="1276" t="s">
        <v>12</v>
      </c>
      <c r="D31" s="1276"/>
      <c r="E31" s="1286" t="s">
        <v>25</v>
      </c>
      <c r="F31" s="1279"/>
      <c r="G31" s="1278"/>
      <c r="H31" s="1279"/>
      <c r="I31" s="1278"/>
      <c r="J31" s="1279"/>
      <c r="K31" s="1278"/>
      <c r="L31" s="1279"/>
      <c r="M31" s="1278"/>
      <c r="N31" s="1279"/>
      <c r="O31" s="1278"/>
      <c r="P31" s="1279"/>
      <c r="Q31" s="1278">
        <v>600</v>
      </c>
      <c r="R31" s="1281"/>
      <c r="S31" s="1281"/>
      <c r="T31" s="1273"/>
    </row>
    <row r="32" spans="1:42" s="1274" customFormat="1" ht="15" customHeight="1" x14ac:dyDescent="0.25">
      <c r="A32" s="1264">
        <v>44901</v>
      </c>
      <c r="B32" s="1275" t="s">
        <v>1396</v>
      </c>
      <c r="C32" s="1276" t="s">
        <v>12</v>
      </c>
      <c r="D32" s="1276"/>
      <c r="E32" s="1277" t="s">
        <v>25</v>
      </c>
      <c r="F32" s="1268"/>
      <c r="G32" s="1297">
        <v>100</v>
      </c>
      <c r="H32" s="1282"/>
      <c r="I32" s="1283"/>
      <c r="J32" s="1279"/>
      <c r="K32" s="1278"/>
      <c r="L32" s="1287"/>
      <c r="M32" s="1288"/>
      <c r="N32" s="1287"/>
      <c r="O32" s="1288"/>
      <c r="P32" s="1287"/>
      <c r="Q32" s="1288"/>
      <c r="R32" s="1298"/>
      <c r="S32" s="1298"/>
      <c r="T32" s="1298"/>
      <c r="U32" s="1298"/>
      <c r="V32" s="1298"/>
      <c r="W32" s="1298"/>
      <c r="X32" s="1298"/>
      <c r="Y32" s="1298"/>
      <c r="Z32" s="1298"/>
      <c r="AA32" s="1298"/>
      <c r="AB32" s="1298"/>
      <c r="AC32" s="1298"/>
      <c r="AD32" s="1298"/>
      <c r="AE32" s="1298"/>
      <c r="AF32" s="1298"/>
      <c r="AG32" s="1298"/>
      <c r="AH32" s="1298"/>
      <c r="AI32" s="1298"/>
      <c r="AJ32" s="1298"/>
      <c r="AK32" s="1298"/>
      <c r="AL32" s="1298"/>
      <c r="AM32" s="1298"/>
      <c r="AN32" s="1298"/>
      <c r="AO32" s="1298"/>
      <c r="AP32" s="1298"/>
    </row>
    <row r="33" spans="1:42" s="1274" customFormat="1" ht="15" customHeight="1" x14ac:dyDescent="0.25">
      <c r="A33" s="1264">
        <v>44901</v>
      </c>
      <c r="B33" s="1275" t="s">
        <v>32</v>
      </c>
      <c r="C33" s="1276" t="s">
        <v>12</v>
      </c>
      <c r="D33" s="1276" t="s">
        <v>1485</v>
      </c>
      <c r="E33" s="1286" t="s">
        <v>13</v>
      </c>
      <c r="F33" s="1279">
        <v>18</v>
      </c>
      <c r="G33" s="1278"/>
      <c r="H33" s="1282"/>
      <c r="I33" s="1283"/>
      <c r="J33" s="1279"/>
      <c r="K33" s="1278"/>
      <c r="L33" s="1279"/>
      <c r="M33" s="1278"/>
      <c r="N33" s="1279"/>
      <c r="O33" s="1278"/>
      <c r="P33" s="1279"/>
      <c r="Q33" s="1278"/>
      <c r="R33" s="1281"/>
    </row>
    <row r="34" spans="1:42" s="1274" customFormat="1" ht="15" customHeight="1" x14ac:dyDescent="0.25">
      <c r="A34" s="1264">
        <v>44901</v>
      </c>
      <c r="B34" s="1275" t="s">
        <v>3554</v>
      </c>
      <c r="C34" s="1276" t="s">
        <v>19</v>
      </c>
      <c r="D34" s="1276" t="s">
        <v>1491</v>
      </c>
      <c r="E34" s="1286" t="s">
        <v>13</v>
      </c>
      <c r="F34" s="1279">
        <v>107.9</v>
      </c>
      <c r="G34" s="1278"/>
      <c r="H34" s="1282"/>
      <c r="I34" s="1283"/>
      <c r="J34" s="1279"/>
      <c r="K34" s="1278"/>
      <c r="L34" s="1279"/>
      <c r="M34" s="1278"/>
      <c r="N34" s="1279"/>
      <c r="O34" s="1278"/>
      <c r="P34" s="1279"/>
      <c r="Q34" s="1278"/>
      <c r="R34" s="1281"/>
    </row>
    <row r="35" spans="1:42" s="1274" customFormat="1" ht="15" customHeight="1" x14ac:dyDescent="0.25">
      <c r="A35" s="1264">
        <v>44901</v>
      </c>
      <c r="B35" s="1275" t="s">
        <v>478</v>
      </c>
      <c r="C35" s="1276" t="s">
        <v>12</v>
      </c>
      <c r="D35" s="1276" t="s">
        <v>1496</v>
      </c>
      <c r="E35" s="1286" t="s">
        <v>13</v>
      </c>
      <c r="F35" s="1279">
        <v>13.63</v>
      </c>
      <c r="G35" s="1278"/>
      <c r="H35" s="1279"/>
      <c r="I35" s="1278"/>
      <c r="J35" s="1279"/>
      <c r="K35" s="1278"/>
      <c r="L35" s="1279"/>
      <c r="M35" s="1278"/>
      <c r="N35" s="1279"/>
      <c r="O35" s="1278"/>
      <c r="P35" s="1279"/>
      <c r="Q35" s="1278"/>
      <c r="R35" s="1280"/>
      <c r="S35" s="1281"/>
      <c r="T35" s="1273"/>
    </row>
    <row r="36" spans="1:42" s="1274" customFormat="1" ht="15" customHeight="1" x14ac:dyDescent="0.25">
      <c r="A36" s="1264">
        <v>44902</v>
      </c>
      <c r="B36" s="1275" t="s">
        <v>32</v>
      </c>
      <c r="C36" s="1276" t="s">
        <v>12</v>
      </c>
      <c r="D36" s="1276" t="s">
        <v>1485</v>
      </c>
      <c r="E36" s="1286" t="s">
        <v>13</v>
      </c>
      <c r="F36" s="1279">
        <v>18</v>
      </c>
      <c r="G36" s="1278"/>
      <c r="H36" s="1282"/>
      <c r="I36" s="1283"/>
      <c r="J36" s="1279"/>
      <c r="K36" s="1278"/>
      <c r="L36" s="1279"/>
      <c r="M36" s="1278"/>
      <c r="N36" s="1279"/>
      <c r="O36" s="1278"/>
      <c r="P36" s="1279"/>
      <c r="Q36" s="1278"/>
      <c r="R36" s="1281"/>
    </row>
    <row r="37" spans="1:42" s="1274" customFormat="1" ht="15" customHeight="1" x14ac:dyDescent="0.25">
      <c r="A37" s="1264">
        <v>44902</v>
      </c>
      <c r="B37" s="1275" t="s">
        <v>138</v>
      </c>
      <c r="C37" s="1276" t="s">
        <v>12</v>
      </c>
      <c r="D37" s="1276" t="s">
        <v>2157</v>
      </c>
      <c r="E37" s="1277" t="s">
        <v>13</v>
      </c>
      <c r="F37" s="1279">
        <v>80</v>
      </c>
      <c r="G37" s="1278"/>
      <c r="H37" s="1282"/>
      <c r="I37" s="1283"/>
      <c r="J37" s="1279"/>
      <c r="K37" s="1278"/>
      <c r="L37" s="1279"/>
      <c r="M37" s="1278"/>
      <c r="N37" s="1279"/>
      <c r="O37" s="1278"/>
      <c r="P37" s="1279"/>
      <c r="Q37" s="1278"/>
      <c r="R37" s="1280"/>
      <c r="U37" s="1246"/>
    </row>
    <row r="38" spans="1:42" s="1274" customFormat="1" ht="15" customHeight="1" x14ac:dyDescent="0.25">
      <c r="A38" s="1264">
        <v>44902</v>
      </c>
      <c r="B38" s="1275" t="s">
        <v>14</v>
      </c>
      <c r="C38" s="1276" t="s">
        <v>12</v>
      </c>
      <c r="D38" s="1276" t="s">
        <v>1486</v>
      </c>
      <c r="E38" s="1286" t="s">
        <v>13</v>
      </c>
      <c r="F38" s="1279">
        <v>18.059999999999999</v>
      </c>
      <c r="G38" s="1278"/>
      <c r="H38" s="1282"/>
      <c r="I38" s="1283"/>
      <c r="J38" s="1279"/>
      <c r="K38" s="1278"/>
      <c r="L38" s="1279"/>
      <c r="M38" s="1278"/>
      <c r="N38" s="1279"/>
      <c r="O38" s="1278"/>
      <c r="P38" s="1279"/>
      <c r="Q38" s="1278"/>
      <c r="R38" s="1281"/>
    </row>
    <row r="39" spans="1:42" s="1274" customFormat="1" ht="15" customHeight="1" x14ac:dyDescent="0.25">
      <c r="A39" s="1264">
        <v>44903</v>
      </c>
      <c r="B39" s="1275" t="s">
        <v>32</v>
      </c>
      <c r="C39" s="1276" t="s">
        <v>12</v>
      </c>
      <c r="D39" s="1276" t="s">
        <v>1485</v>
      </c>
      <c r="E39" s="1286" t="s">
        <v>13</v>
      </c>
      <c r="F39" s="1279">
        <v>18</v>
      </c>
      <c r="G39" s="1278"/>
      <c r="H39" s="1282"/>
      <c r="I39" s="1283"/>
      <c r="J39" s="1279"/>
      <c r="K39" s="1278"/>
      <c r="L39" s="1279"/>
      <c r="M39" s="1278"/>
      <c r="N39" s="1279"/>
      <c r="O39" s="1278"/>
      <c r="P39" s="1279"/>
      <c r="Q39" s="1278"/>
      <c r="R39" s="1281"/>
    </row>
    <row r="40" spans="1:42" s="1274" customFormat="1" ht="15" customHeight="1" x14ac:dyDescent="0.25">
      <c r="A40" s="1264">
        <v>44903</v>
      </c>
      <c r="B40" s="1275" t="s">
        <v>17</v>
      </c>
      <c r="C40" s="1276" t="s">
        <v>12</v>
      </c>
      <c r="D40" s="1276" t="s">
        <v>1493</v>
      </c>
      <c r="E40" s="1286" t="s">
        <v>15</v>
      </c>
      <c r="F40" s="1279">
        <v>16</v>
      </c>
      <c r="G40" s="1278"/>
      <c r="H40" s="1279"/>
      <c r="I40" s="1278"/>
      <c r="J40" s="1279"/>
      <c r="K40" s="1278"/>
      <c r="L40" s="1279"/>
      <c r="M40" s="1284"/>
      <c r="N40" s="1287"/>
      <c r="O40" s="1288"/>
      <c r="P40" s="1287"/>
      <c r="Q40" s="1288"/>
      <c r="R40" s="1281"/>
      <c r="S40" s="1281"/>
      <c r="T40" s="1273"/>
    </row>
    <row r="41" spans="1:42" s="1274" customFormat="1" x14ac:dyDescent="0.25">
      <c r="A41" s="1264">
        <v>44903</v>
      </c>
      <c r="B41" s="1275" t="s">
        <v>256</v>
      </c>
      <c r="C41" s="1276"/>
      <c r="D41" s="1276"/>
      <c r="E41" s="1286" t="s">
        <v>25</v>
      </c>
      <c r="F41" s="1279"/>
      <c r="G41" s="1278">
        <v>300</v>
      </c>
      <c r="H41" s="1282">
        <v>300</v>
      </c>
      <c r="I41" s="1284"/>
      <c r="J41" s="1285"/>
      <c r="K41" s="1284"/>
      <c r="L41" s="1285"/>
      <c r="M41" s="1284"/>
      <c r="N41" s="1285"/>
      <c r="O41" s="1284"/>
      <c r="P41" s="1285"/>
      <c r="Q41" s="1284"/>
      <c r="R41" s="1280"/>
      <c r="S41" s="1281"/>
      <c r="T41" s="1273"/>
    </row>
    <row r="42" spans="1:42" s="1274" customFormat="1" x14ac:dyDescent="0.25">
      <c r="A42" s="1264">
        <v>44903</v>
      </c>
      <c r="B42" s="1275" t="s">
        <v>3555</v>
      </c>
      <c r="C42" s="1276" t="s">
        <v>19</v>
      </c>
      <c r="D42" s="1276" t="s">
        <v>1523</v>
      </c>
      <c r="E42" s="1277" t="s">
        <v>13</v>
      </c>
      <c r="F42" s="1279">
        <v>500</v>
      </c>
      <c r="G42" s="1278"/>
      <c r="H42" s="1282"/>
      <c r="I42" s="1283"/>
      <c r="J42" s="1279"/>
      <c r="K42" s="1278"/>
      <c r="L42" s="1279"/>
      <c r="M42" s="1278"/>
      <c r="N42" s="1279"/>
      <c r="O42" s="1278"/>
      <c r="P42" s="1279"/>
      <c r="Q42" s="1278"/>
      <c r="R42" s="1281"/>
      <c r="T42" s="1273"/>
    </row>
    <row r="43" spans="1:42" s="1274" customFormat="1" ht="15" customHeight="1" x14ac:dyDescent="0.25">
      <c r="A43" s="1264">
        <v>44903</v>
      </c>
      <c r="B43" s="1289" t="s">
        <v>147</v>
      </c>
      <c r="C43" s="1290" t="s">
        <v>12</v>
      </c>
      <c r="D43" s="1290" t="s">
        <v>1506</v>
      </c>
      <c r="E43" s="1286" t="s">
        <v>13</v>
      </c>
      <c r="F43" s="1279">
        <v>15</v>
      </c>
      <c r="G43" s="1278"/>
      <c r="H43" s="1279"/>
      <c r="I43" s="1278"/>
      <c r="J43" s="1279"/>
      <c r="K43" s="1278"/>
      <c r="L43" s="1279"/>
      <c r="M43" s="1278"/>
      <c r="N43" s="1279"/>
      <c r="O43" s="1278"/>
      <c r="P43" s="1279"/>
      <c r="Q43" s="1278"/>
      <c r="R43" s="1281"/>
      <c r="S43" s="1281"/>
      <c r="T43" s="1273"/>
    </row>
    <row r="44" spans="1:42" s="1274" customFormat="1" x14ac:dyDescent="0.25">
      <c r="A44" s="1264">
        <v>44904</v>
      </c>
      <c r="B44" s="1275" t="s">
        <v>3556</v>
      </c>
      <c r="C44" s="1276" t="s">
        <v>12</v>
      </c>
      <c r="D44" s="1276"/>
      <c r="E44" s="1277" t="s">
        <v>25</v>
      </c>
      <c r="F44" s="1279"/>
      <c r="G44" s="1278">
        <v>5342.82</v>
      </c>
      <c r="H44" s="1282"/>
      <c r="I44" s="1283"/>
      <c r="J44" s="1279"/>
      <c r="K44" s="1278"/>
      <c r="L44" s="1279"/>
      <c r="M44" s="1278"/>
      <c r="N44" s="1279"/>
      <c r="O44" s="1278"/>
      <c r="P44" s="1279"/>
      <c r="Q44" s="1278"/>
      <c r="R44" s="1281">
        <v>5342.82</v>
      </c>
      <c r="T44" s="1273"/>
    </row>
    <row r="45" spans="1:42" s="1274" customFormat="1" x14ac:dyDescent="0.25">
      <c r="A45" s="1264">
        <v>44904</v>
      </c>
      <c r="B45" s="1275" t="s">
        <v>3557</v>
      </c>
      <c r="C45" s="1276" t="s">
        <v>12</v>
      </c>
      <c r="D45" s="1276"/>
      <c r="E45" s="1277" t="s">
        <v>25</v>
      </c>
      <c r="F45" s="1279"/>
      <c r="G45" s="1278">
        <v>1000</v>
      </c>
      <c r="H45" s="1282"/>
      <c r="I45" s="1283"/>
      <c r="J45" s="1279"/>
      <c r="K45" s="1278"/>
      <c r="L45" s="1279"/>
      <c r="M45" s="1278"/>
      <c r="N45" s="1279"/>
      <c r="O45" s="1278"/>
      <c r="P45" s="1279"/>
      <c r="Q45" s="1278"/>
      <c r="R45" s="1281"/>
      <c r="T45" s="1273"/>
    </row>
    <row r="46" spans="1:42" s="1274" customFormat="1" x14ac:dyDescent="0.25">
      <c r="A46" s="1264">
        <v>44904</v>
      </c>
      <c r="B46" s="1275" t="s">
        <v>3558</v>
      </c>
      <c r="C46" s="1276" t="s">
        <v>12</v>
      </c>
      <c r="D46" s="1276" t="s">
        <v>1489</v>
      </c>
      <c r="E46" s="1277" t="s">
        <v>13</v>
      </c>
      <c r="F46" s="1279">
        <v>20</v>
      </c>
      <c r="G46" s="1278"/>
      <c r="H46" s="1282"/>
      <c r="I46" s="1283"/>
      <c r="J46" s="1279"/>
      <c r="K46" s="1278"/>
      <c r="L46" s="1279"/>
      <c r="M46" s="1278"/>
      <c r="N46" s="1279"/>
      <c r="O46" s="1278"/>
      <c r="P46" s="1279"/>
      <c r="Q46" s="1278"/>
      <c r="R46" s="1281"/>
      <c r="T46" s="1273"/>
    </row>
    <row r="47" spans="1:42" s="1274" customFormat="1" ht="15" customHeight="1" x14ac:dyDescent="0.25">
      <c r="A47" s="1264">
        <v>44904</v>
      </c>
      <c r="B47" s="1275" t="s">
        <v>3559</v>
      </c>
      <c r="C47" s="1276" t="s">
        <v>12</v>
      </c>
      <c r="D47" s="1276" t="s">
        <v>1523</v>
      </c>
      <c r="E47" s="1286" t="s">
        <v>13</v>
      </c>
      <c r="F47" s="1279">
        <v>50</v>
      </c>
      <c r="G47" s="1278"/>
      <c r="H47" s="1279"/>
      <c r="I47" s="1278"/>
      <c r="J47" s="1279"/>
      <c r="K47" s="1299"/>
      <c r="L47" s="1300"/>
      <c r="M47" s="1278"/>
      <c r="N47" s="1279"/>
      <c r="O47" s="1278"/>
      <c r="P47" s="1279"/>
      <c r="Q47" s="1278"/>
      <c r="R47" s="1281"/>
      <c r="S47" s="1281"/>
      <c r="T47" s="1273"/>
    </row>
    <row r="48" spans="1:42" s="1274" customFormat="1" ht="15" customHeight="1" x14ac:dyDescent="0.25">
      <c r="A48" s="1264">
        <v>44904</v>
      </c>
      <c r="B48" s="1275" t="s">
        <v>3354</v>
      </c>
      <c r="C48" s="1276" t="s">
        <v>12</v>
      </c>
      <c r="D48" s="1276"/>
      <c r="E48" s="1277" t="s">
        <v>25</v>
      </c>
      <c r="F48" s="1268"/>
      <c r="G48" s="1297"/>
      <c r="H48" s="1282"/>
      <c r="I48" s="1283"/>
      <c r="J48" s="1279"/>
      <c r="K48" s="1278"/>
      <c r="L48" s="1301"/>
      <c r="M48" s="1302"/>
      <c r="N48" s="1268"/>
      <c r="O48" s="1303"/>
      <c r="P48" s="1268"/>
      <c r="Q48" s="1303">
        <v>147.26</v>
      </c>
      <c r="R48" s="1304"/>
      <c r="S48" s="1298"/>
      <c r="T48" s="1298"/>
      <c r="U48" s="1298"/>
      <c r="V48" s="1298"/>
      <c r="W48" s="1298"/>
      <c r="X48" s="1298"/>
      <c r="Y48" s="1298"/>
      <c r="Z48" s="1298"/>
      <c r="AA48" s="1298"/>
      <c r="AB48" s="1298"/>
      <c r="AC48" s="1298"/>
      <c r="AD48" s="1298"/>
      <c r="AE48" s="1298"/>
      <c r="AF48" s="1298"/>
      <c r="AG48" s="1298"/>
      <c r="AH48" s="1298"/>
      <c r="AI48" s="1298"/>
      <c r="AJ48" s="1298"/>
      <c r="AK48" s="1298"/>
      <c r="AL48" s="1298"/>
      <c r="AM48" s="1298"/>
      <c r="AN48" s="1298"/>
      <c r="AO48" s="1298"/>
      <c r="AP48" s="1298"/>
    </row>
    <row r="49" spans="1:42" s="1274" customFormat="1" ht="15" customHeight="1" x14ac:dyDescent="0.25">
      <c r="A49" s="1264">
        <v>44904</v>
      </c>
      <c r="B49" s="1275" t="s">
        <v>260</v>
      </c>
      <c r="C49" s="1276" t="s">
        <v>12</v>
      </c>
      <c r="D49" s="1276"/>
      <c r="E49" s="1286" t="s">
        <v>25</v>
      </c>
      <c r="F49" s="1279">
        <v>5100</v>
      </c>
      <c r="G49" s="1278"/>
      <c r="H49" s="1282"/>
      <c r="I49" s="1284">
        <v>5100</v>
      </c>
      <c r="J49" s="1285"/>
      <c r="K49" s="1284"/>
      <c r="L49" s="1285"/>
      <c r="M49" s="1284"/>
      <c r="N49" s="1285"/>
      <c r="O49" s="1284"/>
      <c r="P49" s="1285"/>
      <c r="Q49" s="1284"/>
      <c r="R49" s="1304"/>
      <c r="S49" s="1298"/>
      <c r="T49" s="1298"/>
      <c r="U49" s="1298"/>
      <c r="V49" s="1298"/>
      <c r="W49" s="1298"/>
      <c r="X49" s="1298"/>
      <c r="Y49" s="1298"/>
      <c r="Z49" s="1298"/>
      <c r="AA49" s="1298"/>
      <c r="AB49" s="1298"/>
      <c r="AC49" s="1298"/>
      <c r="AD49" s="1298"/>
      <c r="AE49" s="1298"/>
      <c r="AF49" s="1298"/>
      <c r="AG49" s="1298"/>
      <c r="AH49" s="1298"/>
      <c r="AI49" s="1298"/>
      <c r="AJ49" s="1298"/>
      <c r="AK49" s="1298"/>
      <c r="AL49" s="1298"/>
      <c r="AM49" s="1298"/>
      <c r="AN49" s="1298"/>
      <c r="AO49" s="1298"/>
      <c r="AP49" s="1298"/>
    </row>
    <row r="50" spans="1:42" s="1274" customFormat="1" ht="15" customHeight="1" x14ac:dyDescent="0.25">
      <c r="A50" s="1264">
        <v>44905</v>
      </c>
      <c r="B50" s="1275" t="s">
        <v>32</v>
      </c>
      <c r="C50" s="1276" t="s">
        <v>12</v>
      </c>
      <c r="D50" s="1276" t="s">
        <v>1485</v>
      </c>
      <c r="E50" s="1286" t="s">
        <v>13</v>
      </c>
      <c r="F50" s="1279">
        <v>10</v>
      </c>
      <c r="G50" s="1278"/>
      <c r="H50" s="1279"/>
      <c r="I50" s="1278"/>
      <c r="J50" s="1279"/>
      <c r="K50" s="1278"/>
      <c r="L50" s="1279"/>
      <c r="M50" s="1284"/>
      <c r="N50" s="1287"/>
      <c r="O50" s="1288"/>
      <c r="P50" s="1287"/>
      <c r="Q50" s="1288"/>
      <c r="R50" s="1281"/>
      <c r="S50" s="1281"/>
      <c r="T50" s="1273"/>
    </row>
    <row r="51" spans="1:42" s="1274" customFormat="1" ht="15" customHeight="1" x14ac:dyDescent="0.25">
      <c r="A51" s="1264">
        <v>44905</v>
      </c>
      <c r="B51" s="1275" t="s">
        <v>82</v>
      </c>
      <c r="C51" s="1276" t="s">
        <v>12</v>
      </c>
      <c r="D51" s="1276" t="s">
        <v>1493</v>
      </c>
      <c r="E51" s="1286" t="s">
        <v>13</v>
      </c>
      <c r="F51" s="1279">
        <v>26.4</v>
      </c>
      <c r="G51" s="1278"/>
      <c r="H51" s="1279"/>
      <c r="I51" s="1278"/>
      <c r="J51" s="1279"/>
      <c r="K51" s="1278"/>
      <c r="L51" s="1279"/>
      <c r="M51" s="1284"/>
      <c r="N51" s="1305"/>
      <c r="O51" s="1306"/>
      <c r="P51" s="1305"/>
      <c r="Q51" s="1306"/>
      <c r="R51" s="1281"/>
      <c r="S51" s="1281"/>
      <c r="T51" s="1273"/>
    </row>
    <row r="52" spans="1:42" s="1274" customFormat="1" x14ac:dyDescent="0.25">
      <c r="A52" s="1264">
        <v>44906</v>
      </c>
      <c r="B52" s="1275" t="s">
        <v>32</v>
      </c>
      <c r="C52" s="1276" t="s">
        <v>12</v>
      </c>
      <c r="D52" s="1276" t="s">
        <v>1485</v>
      </c>
      <c r="E52" s="1286" t="s">
        <v>13</v>
      </c>
      <c r="F52" s="1279">
        <v>20</v>
      </c>
      <c r="G52" s="1278"/>
      <c r="H52" s="1279"/>
      <c r="I52" s="1278"/>
      <c r="J52" s="1279"/>
      <c r="K52" s="1278"/>
      <c r="L52" s="1279"/>
      <c r="M52" s="1283"/>
      <c r="N52" s="1307"/>
      <c r="O52" s="1308"/>
      <c r="P52" s="1307"/>
      <c r="Q52" s="1308"/>
      <c r="R52" s="1281"/>
      <c r="S52" s="1281"/>
      <c r="T52" s="1273"/>
    </row>
    <row r="53" spans="1:42" s="1274" customFormat="1" x14ac:dyDescent="0.25">
      <c r="A53" s="1264">
        <v>44906</v>
      </c>
      <c r="B53" s="1275" t="s">
        <v>443</v>
      </c>
      <c r="C53" s="1276" t="s">
        <v>12</v>
      </c>
      <c r="D53" s="1276" t="s">
        <v>1493</v>
      </c>
      <c r="E53" s="1286" t="s">
        <v>13</v>
      </c>
      <c r="F53" s="1279">
        <v>20</v>
      </c>
      <c r="G53" s="1278"/>
      <c r="H53" s="1279"/>
      <c r="I53" s="1278"/>
      <c r="J53" s="1279"/>
      <c r="K53" s="1278"/>
      <c r="L53" s="1279"/>
      <c r="M53" s="1283"/>
      <c r="N53" s="1307"/>
      <c r="O53" s="1308"/>
      <c r="P53" s="1307"/>
      <c r="Q53" s="1308"/>
      <c r="R53" s="1281"/>
      <c r="S53" s="1281"/>
      <c r="T53" s="1273"/>
    </row>
    <row r="54" spans="1:42" s="1274" customFormat="1" x14ac:dyDescent="0.25">
      <c r="A54" s="1264">
        <v>44907</v>
      </c>
      <c r="B54" s="1275" t="s">
        <v>14</v>
      </c>
      <c r="C54" s="1276" t="s">
        <v>12</v>
      </c>
      <c r="D54" s="1276" t="s">
        <v>1486</v>
      </c>
      <c r="E54" s="1286" t="s">
        <v>13</v>
      </c>
      <c r="F54" s="1279">
        <v>6.58</v>
      </c>
      <c r="G54" s="1278"/>
      <c r="H54" s="1279"/>
      <c r="I54" s="1278"/>
      <c r="J54" s="1279"/>
      <c r="K54" s="1278"/>
      <c r="L54" s="1279"/>
      <c r="M54" s="1283"/>
      <c r="N54" s="1301"/>
      <c r="O54" s="1303"/>
      <c r="P54" s="1301"/>
      <c r="Q54" s="1303"/>
      <c r="R54" s="1281"/>
      <c r="S54" s="1281"/>
      <c r="T54" s="1273"/>
    </row>
    <row r="55" spans="1:42" s="1274" customFormat="1" x14ac:dyDescent="0.25">
      <c r="A55" s="1264">
        <v>44907</v>
      </c>
      <c r="B55" s="1275" t="s">
        <v>17</v>
      </c>
      <c r="C55" s="1276" t="s">
        <v>19</v>
      </c>
      <c r="D55" s="1276" t="s">
        <v>1493</v>
      </c>
      <c r="E55" s="1286" t="s">
        <v>13</v>
      </c>
      <c r="F55" s="1279">
        <v>22</v>
      </c>
      <c r="G55" s="1278"/>
      <c r="H55" s="1279"/>
      <c r="I55" s="1278"/>
      <c r="J55" s="1279"/>
      <c r="K55" s="1278"/>
      <c r="L55" s="1279"/>
      <c r="M55" s="1283"/>
      <c r="N55" s="1309"/>
      <c r="O55" s="1310"/>
      <c r="P55" s="1309"/>
      <c r="Q55" s="1310"/>
      <c r="R55" s="1281"/>
      <c r="S55" s="1281"/>
      <c r="T55" s="1273"/>
    </row>
    <row r="56" spans="1:42" s="1274" customFormat="1" ht="15" customHeight="1" x14ac:dyDescent="0.25">
      <c r="A56" s="1264">
        <v>44907</v>
      </c>
      <c r="B56" s="1275" t="s">
        <v>3560</v>
      </c>
      <c r="C56" s="1276" t="s">
        <v>19</v>
      </c>
      <c r="D56" s="1276" t="s">
        <v>1491</v>
      </c>
      <c r="E56" s="1286" t="s">
        <v>13</v>
      </c>
      <c r="F56" s="1279">
        <v>120</v>
      </c>
      <c r="G56" s="1278"/>
      <c r="H56" s="1282"/>
      <c r="I56" s="1284"/>
      <c r="J56" s="1285"/>
      <c r="K56" s="1284"/>
      <c r="L56" s="1285"/>
      <c r="M56" s="1284"/>
      <c r="N56" s="1285"/>
      <c r="O56" s="1284"/>
      <c r="P56" s="1285"/>
      <c r="Q56" s="1284"/>
      <c r="R56" s="1280"/>
      <c r="S56" s="1281"/>
      <c r="T56" s="1273"/>
    </row>
    <row r="57" spans="1:42" s="1274" customFormat="1" ht="15" customHeight="1" x14ac:dyDescent="0.25">
      <c r="A57" s="1264">
        <v>44907</v>
      </c>
      <c r="B57" s="1275" t="s">
        <v>32</v>
      </c>
      <c r="C57" s="1276" t="s">
        <v>12</v>
      </c>
      <c r="D57" s="1276" t="s">
        <v>1485</v>
      </c>
      <c r="E57" s="1286" t="s">
        <v>13</v>
      </c>
      <c r="F57" s="1279">
        <v>22</v>
      </c>
      <c r="G57" s="1278"/>
      <c r="H57" s="1282"/>
      <c r="I57" s="1284"/>
      <c r="J57" s="1285"/>
      <c r="K57" s="1284"/>
      <c r="L57" s="1285"/>
      <c r="M57" s="1284"/>
      <c r="N57" s="1279"/>
      <c r="O57" s="1278"/>
      <c r="P57" s="1279"/>
      <c r="Q57" s="1278"/>
      <c r="R57" s="1280"/>
      <c r="S57" s="1281"/>
      <c r="T57" s="1273"/>
    </row>
    <row r="58" spans="1:42" s="1274" customFormat="1" ht="15" customHeight="1" x14ac:dyDescent="0.25">
      <c r="A58" s="1264">
        <v>44907</v>
      </c>
      <c r="B58" s="1275" t="s">
        <v>14</v>
      </c>
      <c r="C58" s="1276" t="s">
        <v>12</v>
      </c>
      <c r="D58" s="1276" t="s">
        <v>1486</v>
      </c>
      <c r="E58" s="1286" t="s">
        <v>13</v>
      </c>
      <c r="F58" s="1279">
        <v>10.36</v>
      </c>
      <c r="G58" s="1278"/>
      <c r="H58" s="1282"/>
      <c r="I58" s="1284"/>
      <c r="J58" s="1285"/>
      <c r="K58" s="1284"/>
      <c r="L58" s="1285"/>
      <c r="M58" s="1284"/>
      <c r="N58" s="1279"/>
      <c r="O58" s="1278"/>
      <c r="P58" s="1279"/>
      <c r="Q58" s="1278"/>
      <c r="R58" s="1280"/>
      <c r="S58" s="1281"/>
      <c r="T58" s="1273"/>
    </row>
    <row r="59" spans="1:42" s="1274" customFormat="1" ht="15" customHeight="1" x14ac:dyDescent="0.25">
      <c r="A59" s="1264">
        <v>44908</v>
      </c>
      <c r="B59" s="1275" t="s">
        <v>14</v>
      </c>
      <c r="C59" s="1276" t="s">
        <v>12</v>
      </c>
      <c r="D59" s="1276" t="s">
        <v>1486</v>
      </c>
      <c r="E59" s="1286" t="s">
        <v>13</v>
      </c>
      <c r="F59" s="1279">
        <v>10.7</v>
      </c>
      <c r="G59" s="1278"/>
      <c r="H59" s="1282"/>
      <c r="I59" s="1284"/>
      <c r="J59" s="1285"/>
      <c r="K59" s="1284"/>
      <c r="L59" s="1285"/>
      <c r="M59" s="1284"/>
      <c r="N59" s="1279"/>
      <c r="O59" s="1278"/>
      <c r="P59" s="1279"/>
      <c r="Q59" s="1278"/>
      <c r="R59" s="1280"/>
      <c r="S59" s="1281"/>
      <c r="T59" s="1273"/>
    </row>
    <row r="60" spans="1:42" s="1274" customFormat="1" ht="15" customHeight="1" x14ac:dyDescent="0.25">
      <c r="A60" s="1264">
        <v>44908</v>
      </c>
      <c r="B60" s="1275" t="s">
        <v>32</v>
      </c>
      <c r="C60" s="1276" t="s">
        <v>12</v>
      </c>
      <c r="D60" s="1276" t="s">
        <v>1485</v>
      </c>
      <c r="E60" s="1286" t="s">
        <v>13</v>
      </c>
      <c r="F60" s="1279">
        <v>20</v>
      </c>
      <c r="G60" s="1278"/>
      <c r="H60" s="1282"/>
      <c r="I60" s="1284"/>
      <c r="J60" s="1285"/>
      <c r="K60" s="1284"/>
      <c r="L60" s="1285"/>
      <c r="M60" s="1284"/>
      <c r="N60" s="1279"/>
      <c r="O60" s="1278"/>
      <c r="P60" s="1279"/>
      <c r="Q60" s="1278"/>
      <c r="R60" s="1280"/>
      <c r="S60" s="1281"/>
      <c r="T60" s="1273"/>
    </row>
    <row r="61" spans="1:42" s="1274" customFormat="1" ht="15" customHeight="1" x14ac:dyDescent="0.25">
      <c r="A61" s="1264">
        <v>44908</v>
      </c>
      <c r="B61" s="1275" t="s">
        <v>138</v>
      </c>
      <c r="C61" s="1276" t="s">
        <v>12</v>
      </c>
      <c r="D61" s="1276" t="s">
        <v>2157</v>
      </c>
      <c r="E61" s="1277" t="s">
        <v>13</v>
      </c>
      <c r="F61" s="1279">
        <v>80</v>
      </c>
      <c r="G61" s="1278"/>
      <c r="H61" s="1279"/>
      <c r="I61" s="1278"/>
      <c r="J61" s="1279"/>
      <c r="K61" s="1278"/>
      <c r="L61" s="1279"/>
      <c r="M61" s="1278"/>
      <c r="N61" s="1279"/>
      <c r="O61" s="1278"/>
      <c r="P61" s="1279"/>
      <c r="Q61" s="1278"/>
      <c r="R61" s="1281"/>
      <c r="S61" s="1281"/>
      <c r="T61" s="1273"/>
    </row>
    <row r="62" spans="1:42" s="1274" customFormat="1" ht="15" customHeight="1" x14ac:dyDescent="0.25">
      <c r="A62" s="1264">
        <v>44909</v>
      </c>
      <c r="B62" s="1275" t="s">
        <v>32</v>
      </c>
      <c r="C62" s="1276" t="s">
        <v>12</v>
      </c>
      <c r="D62" s="1276" t="s">
        <v>1485</v>
      </c>
      <c r="E62" s="1286" t="s">
        <v>13</v>
      </c>
      <c r="F62" s="1279">
        <v>18</v>
      </c>
      <c r="G62" s="1278"/>
      <c r="H62" s="1279"/>
      <c r="I62" s="1278"/>
      <c r="J62" s="1279"/>
      <c r="K62" s="1278"/>
      <c r="L62" s="1279"/>
      <c r="M62" s="1278"/>
      <c r="N62" s="1279"/>
      <c r="O62" s="1278"/>
      <c r="P62" s="1279"/>
      <c r="Q62" s="1278"/>
      <c r="R62" s="1281"/>
      <c r="S62" s="1281"/>
      <c r="T62" s="1273"/>
    </row>
    <row r="63" spans="1:42" s="1274" customFormat="1" ht="15" customHeight="1" x14ac:dyDescent="0.25">
      <c r="A63" s="1264">
        <v>44909</v>
      </c>
      <c r="B63" s="1275" t="s">
        <v>14</v>
      </c>
      <c r="C63" s="1276" t="s">
        <v>12</v>
      </c>
      <c r="D63" s="1276" t="s">
        <v>1486</v>
      </c>
      <c r="E63" s="1286" t="s">
        <v>13</v>
      </c>
      <c r="F63" s="1279">
        <v>14.46</v>
      </c>
      <c r="G63" s="1278"/>
      <c r="H63" s="1279"/>
      <c r="I63" s="1278"/>
      <c r="J63" s="1279"/>
      <c r="K63" s="1278"/>
      <c r="L63" s="1279"/>
      <c r="M63" s="1278"/>
      <c r="N63" s="1279"/>
      <c r="O63" s="1278"/>
      <c r="P63" s="1279"/>
      <c r="Q63" s="1278"/>
      <c r="R63" s="1281"/>
      <c r="S63" s="1281"/>
      <c r="T63" s="1273"/>
    </row>
    <row r="64" spans="1:42" s="1274" customFormat="1" x14ac:dyDescent="0.25">
      <c r="A64" s="1264">
        <v>44910</v>
      </c>
      <c r="B64" s="1275" t="s">
        <v>3561</v>
      </c>
      <c r="C64" s="1276" t="s">
        <v>12</v>
      </c>
      <c r="D64" s="1276" t="s">
        <v>1489</v>
      </c>
      <c r="E64" s="1277" t="s">
        <v>25</v>
      </c>
      <c r="F64" s="1279">
        <v>60</v>
      </c>
      <c r="G64" s="1278"/>
      <c r="H64" s="1279"/>
      <c r="I64" s="1278"/>
      <c r="J64" s="1279"/>
      <c r="K64" s="1278"/>
      <c r="L64" s="1279"/>
      <c r="M64" s="1278"/>
      <c r="N64" s="1279"/>
      <c r="O64" s="1278"/>
      <c r="P64" s="1279"/>
      <c r="Q64" s="1278"/>
      <c r="R64" s="1281">
        <v>60</v>
      </c>
      <c r="S64" s="1281"/>
      <c r="T64" s="1273"/>
    </row>
    <row r="65" spans="1:20" s="1274" customFormat="1" ht="15" customHeight="1" x14ac:dyDescent="0.25">
      <c r="A65" s="1264">
        <v>44910</v>
      </c>
      <c r="B65" s="1275" t="s">
        <v>478</v>
      </c>
      <c r="C65" s="1276" t="s">
        <v>12</v>
      </c>
      <c r="D65" s="1276" t="s">
        <v>1496</v>
      </c>
      <c r="E65" s="1277" t="s">
        <v>13</v>
      </c>
      <c r="F65" s="1279">
        <v>4.1900000000000004</v>
      </c>
      <c r="G65" s="1278"/>
      <c r="H65" s="1279"/>
      <c r="I65" s="1278"/>
      <c r="J65" s="1279"/>
      <c r="K65" s="1278"/>
      <c r="L65" s="1279"/>
      <c r="M65" s="1278"/>
      <c r="N65" s="1279"/>
      <c r="O65" s="1278"/>
      <c r="P65" s="1279"/>
      <c r="Q65" s="1278"/>
      <c r="R65" s="1281"/>
      <c r="S65" s="1281"/>
      <c r="T65" s="1273"/>
    </row>
    <row r="66" spans="1:20" s="1274" customFormat="1" ht="15" customHeight="1" x14ac:dyDescent="0.25">
      <c r="A66" s="1264">
        <v>44910</v>
      </c>
      <c r="B66" s="1275" t="s">
        <v>3562</v>
      </c>
      <c r="C66" s="1276" t="s">
        <v>12</v>
      </c>
      <c r="D66" s="1276" t="s">
        <v>1525</v>
      </c>
      <c r="E66" s="1277" t="s">
        <v>13</v>
      </c>
      <c r="F66" s="1279">
        <v>68</v>
      </c>
      <c r="G66" s="1278"/>
      <c r="H66" s="1279"/>
      <c r="I66" s="1278"/>
      <c r="J66" s="1279"/>
      <c r="K66" s="1278"/>
      <c r="L66" s="1279"/>
      <c r="M66" s="1278"/>
      <c r="N66" s="1279"/>
      <c r="O66" s="1278"/>
      <c r="P66" s="1279"/>
      <c r="Q66" s="1278"/>
      <c r="R66" s="1281"/>
      <c r="S66" s="1281"/>
      <c r="T66" s="1273"/>
    </row>
    <row r="67" spans="1:20" s="1274" customFormat="1" ht="15" customHeight="1" x14ac:dyDescent="0.25">
      <c r="A67" s="1264">
        <v>44910</v>
      </c>
      <c r="B67" s="1275" t="s">
        <v>3563</v>
      </c>
      <c r="C67" s="1276" t="s">
        <v>12</v>
      </c>
      <c r="D67" s="1276" t="s">
        <v>1525</v>
      </c>
      <c r="E67" s="1286" t="s">
        <v>13</v>
      </c>
      <c r="F67" s="1279">
        <v>28</v>
      </c>
      <c r="G67" s="1278"/>
      <c r="H67" s="1279"/>
      <c r="I67" s="1278"/>
      <c r="J67" s="1279"/>
      <c r="K67" s="1278"/>
      <c r="L67" s="1279"/>
      <c r="M67" s="1278"/>
      <c r="N67" s="1279"/>
      <c r="O67" s="1278"/>
      <c r="P67" s="1279"/>
      <c r="Q67" s="1278"/>
      <c r="R67" s="1281"/>
      <c r="S67" s="1281"/>
      <c r="T67" s="1273"/>
    </row>
    <row r="68" spans="1:20" s="1274" customFormat="1" ht="15" customHeight="1" x14ac:dyDescent="0.25">
      <c r="A68" s="1264">
        <v>44910</v>
      </c>
      <c r="B68" s="1275" t="s">
        <v>3564</v>
      </c>
      <c r="C68" s="1276" t="s">
        <v>19</v>
      </c>
      <c r="D68" s="1276" t="s">
        <v>1525</v>
      </c>
      <c r="E68" s="1286" t="s">
        <v>13</v>
      </c>
      <c r="F68" s="1279">
        <v>151</v>
      </c>
      <c r="G68" s="1278"/>
      <c r="H68" s="1279"/>
      <c r="I68" s="1278"/>
      <c r="J68" s="1279"/>
      <c r="K68" s="1278"/>
      <c r="L68" s="1279"/>
      <c r="M68" s="1278"/>
      <c r="N68" s="1279"/>
      <c r="O68" s="1278"/>
      <c r="P68" s="1279"/>
      <c r="Q68" s="1278"/>
      <c r="R68" s="1281"/>
      <c r="S68" s="1281"/>
      <c r="T68" s="1273"/>
    </row>
    <row r="69" spans="1:20" s="1274" customFormat="1" ht="15" customHeight="1" x14ac:dyDescent="0.25">
      <c r="A69" s="1264">
        <v>44910</v>
      </c>
      <c r="B69" s="1275" t="s">
        <v>3565</v>
      </c>
      <c r="C69" s="1276" t="s">
        <v>12</v>
      </c>
      <c r="D69" s="1276" t="s">
        <v>1522</v>
      </c>
      <c r="E69" s="1286" t="s">
        <v>13</v>
      </c>
      <c r="F69" s="1279">
        <v>60</v>
      </c>
      <c r="G69" s="1278"/>
      <c r="H69" s="1279"/>
      <c r="I69" s="1278"/>
      <c r="J69" s="1279"/>
      <c r="K69" s="1278"/>
      <c r="L69" s="1279"/>
      <c r="M69" s="1278"/>
      <c r="N69" s="1279"/>
      <c r="O69" s="1278"/>
      <c r="P69" s="1279"/>
      <c r="Q69" s="1278"/>
      <c r="R69" s="1281"/>
      <c r="S69" s="1281"/>
      <c r="T69" s="1273"/>
    </row>
    <row r="70" spans="1:20" s="1274" customFormat="1" ht="15" customHeight="1" x14ac:dyDescent="0.25">
      <c r="A70" s="1264">
        <v>44910</v>
      </c>
      <c r="B70" s="1275" t="s">
        <v>3566</v>
      </c>
      <c r="C70" s="1276" t="s">
        <v>12</v>
      </c>
      <c r="D70" s="1276" t="s">
        <v>1522</v>
      </c>
      <c r="E70" s="1286" t="s">
        <v>13</v>
      </c>
      <c r="F70" s="1279">
        <v>60</v>
      </c>
      <c r="G70" s="1278"/>
      <c r="H70" s="1279"/>
      <c r="I70" s="1278"/>
      <c r="J70" s="1279"/>
      <c r="K70" s="1278"/>
      <c r="L70" s="1279"/>
      <c r="M70" s="1278"/>
      <c r="N70" s="1279"/>
      <c r="O70" s="1278"/>
      <c r="P70" s="1279"/>
      <c r="Q70" s="1278"/>
      <c r="R70" s="1281"/>
      <c r="S70" s="1281"/>
      <c r="T70" s="1273"/>
    </row>
    <row r="71" spans="1:20" s="1274" customFormat="1" ht="15" customHeight="1" x14ac:dyDescent="0.25">
      <c r="A71" s="1264">
        <v>44910</v>
      </c>
      <c r="B71" s="1275" t="s">
        <v>3567</v>
      </c>
      <c r="C71" s="1276" t="s">
        <v>12</v>
      </c>
      <c r="D71" s="1276" t="s">
        <v>1522</v>
      </c>
      <c r="E71" s="1286" t="s">
        <v>13</v>
      </c>
      <c r="F71" s="1279">
        <v>60</v>
      </c>
      <c r="G71" s="1278"/>
      <c r="H71" s="1279"/>
      <c r="I71" s="1278"/>
      <c r="J71" s="1279"/>
      <c r="K71" s="1278"/>
      <c r="L71" s="1279"/>
      <c r="M71" s="1278"/>
      <c r="N71" s="1279"/>
      <c r="O71" s="1278"/>
      <c r="P71" s="1279"/>
      <c r="Q71" s="1278"/>
      <c r="R71" s="1281"/>
      <c r="S71" s="1281"/>
      <c r="T71" s="1273"/>
    </row>
    <row r="72" spans="1:20" s="1274" customFormat="1" ht="15" customHeight="1" x14ac:dyDescent="0.25">
      <c r="A72" s="1264">
        <v>44911</v>
      </c>
      <c r="B72" s="1275" t="s">
        <v>14</v>
      </c>
      <c r="C72" s="1276" t="s">
        <v>12</v>
      </c>
      <c r="D72" s="1276" t="s">
        <v>1486</v>
      </c>
      <c r="E72" s="1286" t="s">
        <v>13</v>
      </c>
      <c r="F72" s="1279">
        <v>4.17</v>
      </c>
      <c r="G72" s="1278"/>
      <c r="H72" s="1279"/>
      <c r="I72" s="1278"/>
      <c r="J72" s="1279"/>
      <c r="K72" s="1278"/>
      <c r="L72" s="1279"/>
      <c r="M72" s="1278"/>
      <c r="N72" s="1279"/>
      <c r="O72" s="1278"/>
      <c r="P72" s="1279"/>
      <c r="Q72" s="1278"/>
      <c r="R72" s="1281"/>
      <c r="S72" s="1281"/>
      <c r="T72" s="1273"/>
    </row>
    <row r="73" spans="1:20" s="1274" customFormat="1" ht="15" customHeight="1" x14ac:dyDescent="0.25">
      <c r="A73" s="1264">
        <v>44911</v>
      </c>
      <c r="B73" s="1275" t="s">
        <v>1906</v>
      </c>
      <c r="C73" s="1276" t="s">
        <v>12</v>
      </c>
      <c r="D73" s="1276" t="s">
        <v>1493</v>
      </c>
      <c r="E73" s="1286" t="s">
        <v>13</v>
      </c>
      <c r="F73" s="1279">
        <v>24</v>
      </c>
      <c r="G73" s="1278"/>
      <c r="H73" s="1279"/>
      <c r="I73" s="1278"/>
      <c r="J73" s="1279"/>
      <c r="K73" s="1278"/>
      <c r="L73" s="1279"/>
      <c r="M73" s="1278"/>
      <c r="N73" s="1279"/>
      <c r="O73" s="1278"/>
      <c r="P73" s="1279"/>
      <c r="Q73" s="1278"/>
      <c r="R73" s="1281"/>
      <c r="S73" s="1281"/>
      <c r="T73" s="1273"/>
    </row>
    <row r="74" spans="1:20" s="1274" customFormat="1" ht="15" customHeight="1" x14ac:dyDescent="0.25">
      <c r="A74" s="1264">
        <v>44912</v>
      </c>
      <c r="B74" s="1275" t="s">
        <v>2629</v>
      </c>
      <c r="C74" s="1276" t="s">
        <v>19</v>
      </c>
      <c r="D74" s="1276" t="s">
        <v>1489</v>
      </c>
      <c r="E74" s="1286" t="s">
        <v>13</v>
      </c>
      <c r="F74" s="1279">
        <v>100</v>
      </c>
      <c r="G74" s="1278"/>
      <c r="H74" s="1279"/>
      <c r="I74" s="1278"/>
      <c r="J74" s="1279"/>
      <c r="K74" s="1278"/>
      <c r="L74" s="1279"/>
      <c r="M74" s="1278"/>
      <c r="N74" s="1279"/>
      <c r="O74" s="1278"/>
      <c r="P74" s="1279"/>
      <c r="Q74" s="1278"/>
      <c r="R74" s="1281"/>
      <c r="S74" s="1281"/>
      <c r="T74" s="1273"/>
    </row>
    <row r="75" spans="1:20" s="1274" customFormat="1" ht="15" customHeight="1" x14ac:dyDescent="0.25">
      <c r="A75" s="1264">
        <v>44912</v>
      </c>
      <c r="B75" s="1275" t="s">
        <v>3568</v>
      </c>
      <c r="C75" s="1276" t="s">
        <v>12</v>
      </c>
      <c r="D75" s="1276" t="s">
        <v>1523</v>
      </c>
      <c r="E75" s="1286" t="s">
        <v>13</v>
      </c>
      <c r="F75" s="1279">
        <v>25</v>
      </c>
      <c r="G75" s="1278"/>
      <c r="H75" s="1279"/>
      <c r="I75" s="1278"/>
      <c r="J75" s="1279"/>
      <c r="K75" s="1278"/>
      <c r="L75" s="1279"/>
      <c r="M75" s="1278"/>
      <c r="N75" s="1279"/>
      <c r="O75" s="1278"/>
      <c r="P75" s="1279"/>
      <c r="Q75" s="1278"/>
      <c r="R75" s="1281"/>
      <c r="S75" s="1281"/>
      <c r="T75" s="1273"/>
    </row>
    <row r="76" spans="1:20" s="1274" customFormat="1" ht="15" customHeight="1" x14ac:dyDescent="0.25">
      <c r="A76" s="1264">
        <v>44912</v>
      </c>
      <c r="B76" s="1275" t="s">
        <v>3569</v>
      </c>
      <c r="C76" s="1276" t="s">
        <v>12</v>
      </c>
      <c r="D76" s="1276" t="s">
        <v>1523</v>
      </c>
      <c r="E76" s="1286" t="s">
        <v>13</v>
      </c>
      <c r="F76" s="1279">
        <v>9</v>
      </c>
      <c r="G76" s="1278"/>
      <c r="H76" s="1279"/>
      <c r="I76" s="1278"/>
      <c r="J76" s="1279"/>
      <c r="K76" s="1278"/>
      <c r="L76" s="1279"/>
      <c r="M76" s="1278"/>
      <c r="N76" s="1279"/>
      <c r="O76" s="1278"/>
      <c r="P76" s="1279"/>
      <c r="Q76" s="1278"/>
      <c r="R76" s="1281"/>
      <c r="S76" s="1281"/>
      <c r="T76" s="1273"/>
    </row>
    <row r="77" spans="1:20" s="1274" customFormat="1" ht="15" customHeight="1" x14ac:dyDescent="0.25">
      <c r="A77" s="1264">
        <v>44912</v>
      </c>
      <c r="B77" s="1275" t="s">
        <v>3570</v>
      </c>
      <c r="C77" s="1276" t="s">
        <v>12</v>
      </c>
      <c r="D77" s="1276" t="s">
        <v>1493</v>
      </c>
      <c r="E77" s="1286" t="s">
        <v>13</v>
      </c>
      <c r="F77" s="1279">
        <v>50</v>
      </c>
      <c r="G77" s="1278"/>
      <c r="H77" s="1279"/>
      <c r="I77" s="1278"/>
      <c r="J77" s="1279"/>
      <c r="K77" s="1278"/>
      <c r="L77" s="1279"/>
      <c r="M77" s="1278"/>
      <c r="N77" s="1279"/>
      <c r="O77" s="1278"/>
      <c r="P77" s="1279"/>
      <c r="Q77" s="1278"/>
      <c r="R77" s="1281"/>
      <c r="S77" s="1281"/>
      <c r="T77" s="1273"/>
    </row>
    <row r="78" spans="1:20" s="1274" customFormat="1" ht="15" customHeight="1" x14ac:dyDescent="0.25">
      <c r="A78" s="1264">
        <v>44913</v>
      </c>
      <c r="B78" s="1275" t="s">
        <v>14</v>
      </c>
      <c r="C78" s="1276" t="s">
        <v>12</v>
      </c>
      <c r="D78" s="1276" t="s">
        <v>1486</v>
      </c>
      <c r="E78" s="1286" t="s">
        <v>13</v>
      </c>
      <c r="F78" s="1279">
        <v>7.63</v>
      </c>
      <c r="G78" s="1278"/>
      <c r="H78" s="1279"/>
      <c r="I78" s="1278"/>
      <c r="J78" s="1279"/>
      <c r="K78" s="1278"/>
      <c r="L78" s="1279"/>
      <c r="M78" s="1278"/>
      <c r="N78" s="1279"/>
      <c r="O78" s="1278"/>
      <c r="P78" s="1279"/>
      <c r="Q78" s="1278"/>
      <c r="R78" s="1281"/>
      <c r="S78" s="1281"/>
      <c r="T78" s="1273"/>
    </row>
    <row r="79" spans="1:20" s="1274" customFormat="1" ht="15" customHeight="1" x14ac:dyDescent="0.25">
      <c r="A79" s="1264">
        <v>44914</v>
      </c>
      <c r="B79" s="1275" t="s">
        <v>1331</v>
      </c>
      <c r="C79" s="1276" t="s">
        <v>12</v>
      </c>
      <c r="D79" s="1276" t="s">
        <v>2157</v>
      </c>
      <c r="E79" s="1277" t="s">
        <v>13</v>
      </c>
      <c r="F79" s="1279">
        <v>80</v>
      </c>
      <c r="G79" s="1278"/>
      <c r="H79" s="1279"/>
      <c r="I79" s="1278"/>
      <c r="J79" s="1279"/>
      <c r="K79" s="1278"/>
      <c r="L79" s="1279"/>
      <c r="M79" s="1278"/>
      <c r="N79" s="1279"/>
      <c r="O79" s="1278"/>
      <c r="P79" s="1279"/>
      <c r="Q79" s="1278"/>
      <c r="R79" s="1281"/>
      <c r="S79" s="1281"/>
      <c r="T79" s="1273"/>
    </row>
    <row r="80" spans="1:20" s="1274" customFormat="1" ht="15" customHeight="1" x14ac:dyDescent="0.25">
      <c r="A80" s="1264">
        <v>44914</v>
      </c>
      <c r="B80" s="1275" t="s">
        <v>32</v>
      </c>
      <c r="C80" s="1276" t="s">
        <v>12</v>
      </c>
      <c r="D80" s="1276" t="s">
        <v>1485</v>
      </c>
      <c r="E80" s="1286" t="s">
        <v>13</v>
      </c>
      <c r="F80" s="1279">
        <v>20</v>
      </c>
      <c r="G80" s="1278"/>
      <c r="H80" s="1279"/>
      <c r="I80" s="1278"/>
      <c r="J80" s="1279"/>
      <c r="K80" s="1278"/>
      <c r="L80" s="1279"/>
      <c r="M80" s="1278"/>
      <c r="N80" s="1279"/>
      <c r="O80" s="1278"/>
      <c r="P80" s="1279"/>
      <c r="Q80" s="1278"/>
      <c r="R80" s="1281"/>
      <c r="S80" s="1281"/>
      <c r="T80" s="1273"/>
    </row>
    <row r="81" spans="1:26" s="1274" customFormat="1" ht="15" customHeight="1" x14ac:dyDescent="0.25">
      <c r="A81" s="1264">
        <v>44915</v>
      </c>
      <c r="B81" s="1275" t="s">
        <v>14</v>
      </c>
      <c r="C81" s="1276" t="s">
        <v>12</v>
      </c>
      <c r="D81" s="1276" t="s">
        <v>1486</v>
      </c>
      <c r="E81" s="1286" t="s">
        <v>13</v>
      </c>
      <c r="F81" s="1279">
        <v>6.15</v>
      </c>
      <c r="G81" s="1278"/>
      <c r="H81" s="1279"/>
      <c r="I81" s="1278"/>
      <c r="J81" s="1279"/>
      <c r="K81" s="1278"/>
      <c r="L81" s="1279"/>
      <c r="M81" s="1278"/>
      <c r="N81" s="1279"/>
      <c r="O81" s="1278"/>
      <c r="P81" s="1279"/>
      <c r="Q81" s="1278"/>
      <c r="R81" s="1281"/>
      <c r="S81" s="1281"/>
      <c r="T81" s="1273"/>
    </row>
    <row r="82" spans="1:26" s="1274" customFormat="1" ht="15" customHeight="1" x14ac:dyDescent="0.25">
      <c r="A82" s="1264">
        <v>44915</v>
      </c>
      <c r="B82" s="1275" t="s">
        <v>3325</v>
      </c>
      <c r="C82" s="1276" t="s">
        <v>12</v>
      </c>
      <c r="D82" s="1276" t="s">
        <v>1504</v>
      </c>
      <c r="E82" s="1286" t="s">
        <v>13</v>
      </c>
      <c r="F82" s="1279">
        <v>32.49</v>
      </c>
      <c r="G82" s="1278"/>
      <c r="H82" s="1279"/>
      <c r="I82" s="1278"/>
      <c r="J82" s="1279"/>
      <c r="K82" s="1278"/>
      <c r="L82" s="1279"/>
      <c r="M82" s="1278"/>
      <c r="N82" s="1279"/>
      <c r="O82" s="1278"/>
      <c r="P82" s="1279"/>
      <c r="Q82" s="1278"/>
      <c r="R82" s="1281"/>
      <c r="S82" s="1281"/>
      <c r="T82" s="1273"/>
    </row>
    <row r="83" spans="1:26" s="1274" customFormat="1" ht="15" customHeight="1" x14ac:dyDescent="0.25">
      <c r="A83" s="1264">
        <v>44915</v>
      </c>
      <c r="B83" s="1275" t="s">
        <v>3571</v>
      </c>
      <c r="C83" s="1276" t="s">
        <v>12</v>
      </c>
      <c r="D83" s="1276"/>
      <c r="E83" s="1277" t="s">
        <v>25</v>
      </c>
      <c r="F83" s="1279"/>
      <c r="G83" s="1278">
        <v>1680.92</v>
      </c>
      <c r="H83" s="1282"/>
      <c r="I83" s="1283"/>
      <c r="J83" s="1279"/>
      <c r="K83" s="1278"/>
      <c r="L83" s="1279"/>
      <c r="M83" s="1278"/>
      <c r="N83" s="1279"/>
      <c r="O83" s="1278"/>
      <c r="P83" s="1279"/>
      <c r="Q83" s="1278"/>
      <c r="R83" s="1246">
        <v>1680.92</v>
      </c>
      <c r="S83" s="1272"/>
      <c r="T83" s="1311"/>
      <c r="U83" s="1312"/>
    </row>
    <row r="84" spans="1:26" s="1274" customFormat="1" ht="15" customHeight="1" x14ac:dyDescent="0.25">
      <c r="A84" s="1264">
        <v>44915</v>
      </c>
      <c r="B84" s="1292" t="s">
        <v>2867</v>
      </c>
      <c r="C84" s="1276" t="s">
        <v>12</v>
      </c>
      <c r="D84" s="1290" t="s">
        <v>1504</v>
      </c>
      <c r="E84" s="1313" t="s">
        <v>13</v>
      </c>
      <c r="F84" s="1314">
        <v>75</v>
      </c>
      <c r="G84" s="1278"/>
      <c r="H84" s="1296"/>
      <c r="I84" s="1283"/>
      <c r="J84" s="1315"/>
      <c r="K84" s="1278"/>
      <c r="L84" s="1315"/>
      <c r="M84" s="1278"/>
      <c r="N84" s="1279"/>
      <c r="O84" s="1278"/>
      <c r="P84" s="1279"/>
      <c r="Q84" s="1278"/>
      <c r="R84" s="1690" t="s">
        <v>3572</v>
      </c>
      <c r="S84" s="1690"/>
      <c r="T84" s="1690"/>
      <c r="U84" s="1690"/>
      <c r="V84" s="1690"/>
      <c r="W84" s="1690"/>
      <c r="X84" s="1690"/>
      <c r="Y84" s="1690"/>
      <c r="Z84" s="1690"/>
    </row>
    <row r="85" spans="1:26" s="1274" customFormat="1" ht="14.25" customHeight="1" x14ac:dyDescent="0.25">
      <c r="A85" s="1264">
        <v>44915</v>
      </c>
      <c r="B85" s="1275" t="s">
        <v>2977</v>
      </c>
      <c r="C85" s="1276" t="s">
        <v>12</v>
      </c>
      <c r="D85" s="1276" t="s">
        <v>1491</v>
      </c>
      <c r="E85" s="1286" t="s">
        <v>13</v>
      </c>
      <c r="F85" s="1316">
        <v>300</v>
      </c>
      <c r="G85" s="1278"/>
      <c r="H85" s="1282"/>
      <c r="I85" s="1283"/>
      <c r="J85" s="1279"/>
      <c r="K85" s="1278"/>
      <c r="L85" s="1279"/>
      <c r="M85" s="1278"/>
      <c r="N85" s="1279"/>
      <c r="O85" s="1278"/>
      <c r="P85" s="1279"/>
      <c r="Q85" s="1278"/>
      <c r="R85" s="1246"/>
      <c r="S85" s="1272"/>
      <c r="T85" s="1317"/>
    </row>
    <row r="86" spans="1:26" s="1274" customFormat="1" ht="15" customHeight="1" x14ac:dyDescent="0.25">
      <c r="A86" s="1264">
        <v>44915</v>
      </c>
      <c r="B86" s="1289" t="s">
        <v>3573</v>
      </c>
      <c r="C86" s="1313" t="s">
        <v>12</v>
      </c>
      <c r="D86" s="1276" t="s">
        <v>1506</v>
      </c>
      <c r="E86" s="1313" t="s">
        <v>13</v>
      </c>
      <c r="F86" s="1268">
        <v>100</v>
      </c>
      <c r="G86" s="1278"/>
      <c r="H86" s="1301"/>
      <c r="I86" s="1283"/>
      <c r="J86" s="1279"/>
      <c r="K86" s="1278"/>
      <c r="L86" s="1279"/>
      <c r="M86" s="1278"/>
      <c r="N86" s="1279"/>
      <c r="O86" s="1278"/>
      <c r="P86" s="1279"/>
      <c r="Q86" s="1278"/>
      <c r="R86" s="1281"/>
      <c r="S86" s="1294"/>
      <c r="T86" s="1273"/>
    </row>
    <row r="87" spans="1:26" s="1274" customFormat="1" ht="15" customHeight="1" x14ac:dyDescent="0.25">
      <c r="A87" s="1264">
        <v>44915</v>
      </c>
      <c r="B87" s="1289" t="s">
        <v>3573</v>
      </c>
      <c r="C87" s="1313" t="s">
        <v>12</v>
      </c>
      <c r="D87" s="1276" t="s">
        <v>1525</v>
      </c>
      <c r="E87" s="1313" t="s">
        <v>13</v>
      </c>
      <c r="F87" s="1268">
        <v>5</v>
      </c>
      <c r="G87" s="1278"/>
      <c r="H87" s="1301"/>
      <c r="I87" s="1283"/>
      <c r="J87" s="1279"/>
      <c r="K87" s="1278"/>
      <c r="L87" s="1279"/>
      <c r="M87" s="1278"/>
      <c r="N87" s="1279"/>
      <c r="O87" s="1278"/>
      <c r="P87" s="1279"/>
      <c r="Q87" s="1278"/>
      <c r="R87" s="1281"/>
      <c r="S87" s="1294"/>
      <c r="T87" s="1273"/>
    </row>
    <row r="88" spans="1:26" s="1274" customFormat="1" ht="15" customHeight="1" x14ac:dyDescent="0.25">
      <c r="A88" s="1264">
        <v>44915</v>
      </c>
      <c r="B88" s="1289" t="s">
        <v>3573</v>
      </c>
      <c r="C88" s="1313" t="s">
        <v>12</v>
      </c>
      <c r="D88" s="1318" t="s">
        <v>1506</v>
      </c>
      <c r="E88" s="1313" t="s">
        <v>13</v>
      </c>
      <c r="F88" s="1287">
        <v>70</v>
      </c>
      <c r="G88" s="1278"/>
      <c r="H88" s="1301"/>
      <c r="I88" s="1283"/>
      <c r="J88" s="1279"/>
      <c r="K88" s="1278"/>
      <c r="L88" s="1279"/>
      <c r="M88" s="1278"/>
      <c r="N88" s="1279"/>
      <c r="O88" s="1278"/>
      <c r="P88" s="1279"/>
      <c r="Q88" s="1278"/>
      <c r="R88" s="1281"/>
      <c r="S88" s="1294"/>
      <c r="T88" s="1273"/>
    </row>
    <row r="89" spans="1:26" s="1274" customFormat="1" ht="15" customHeight="1" x14ac:dyDescent="0.25">
      <c r="A89" s="1264">
        <v>44915</v>
      </c>
      <c r="B89" s="1289" t="s">
        <v>3573</v>
      </c>
      <c r="C89" s="1313" t="s">
        <v>12</v>
      </c>
      <c r="D89" s="1318" t="s">
        <v>1522</v>
      </c>
      <c r="E89" s="1313" t="s">
        <v>13</v>
      </c>
      <c r="F89" s="1287">
        <v>44</v>
      </c>
      <c r="G89" s="1278"/>
      <c r="H89" s="1301"/>
      <c r="I89" s="1283"/>
      <c r="J89" s="1279"/>
      <c r="K89" s="1278"/>
      <c r="L89" s="1279"/>
      <c r="M89" s="1278"/>
      <c r="N89" s="1279"/>
      <c r="O89" s="1278"/>
      <c r="P89" s="1279"/>
      <c r="Q89" s="1278"/>
      <c r="R89" s="1281"/>
      <c r="S89" s="1294"/>
      <c r="T89" s="1273"/>
    </row>
    <row r="90" spans="1:26" s="1274" customFormat="1" ht="15" customHeight="1" x14ac:dyDescent="0.25">
      <c r="A90" s="1264">
        <v>44915</v>
      </c>
      <c r="B90" s="1289" t="s">
        <v>3573</v>
      </c>
      <c r="C90" s="1313" t="s">
        <v>12</v>
      </c>
      <c r="D90" s="1276" t="s">
        <v>1489</v>
      </c>
      <c r="E90" s="1313" t="s">
        <v>13</v>
      </c>
      <c r="F90" s="1268">
        <v>70</v>
      </c>
      <c r="G90" s="1278"/>
      <c r="H90" s="1301"/>
      <c r="I90" s="1283"/>
      <c r="J90" s="1279"/>
      <c r="K90" s="1278"/>
      <c r="L90" s="1279"/>
      <c r="M90" s="1278"/>
      <c r="N90" s="1279"/>
      <c r="O90" s="1278"/>
      <c r="P90" s="1279"/>
      <c r="Q90" s="1278"/>
      <c r="R90" s="1281"/>
      <c r="S90" s="1294"/>
      <c r="T90" s="1273"/>
    </row>
    <row r="91" spans="1:26" s="1274" customFormat="1" ht="15" customHeight="1" x14ac:dyDescent="0.25">
      <c r="A91" s="1264">
        <v>44915</v>
      </c>
      <c r="B91" s="1289" t="s">
        <v>3573</v>
      </c>
      <c r="C91" s="1313" t="s">
        <v>12</v>
      </c>
      <c r="D91" s="1276" t="s">
        <v>1491</v>
      </c>
      <c r="E91" s="1313" t="s">
        <v>13</v>
      </c>
      <c r="F91" s="1268">
        <v>120</v>
      </c>
      <c r="G91" s="1278"/>
      <c r="H91" s="1301"/>
      <c r="I91" s="1283"/>
      <c r="J91" s="1279"/>
      <c r="K91" s="1278"/>
      <c r="L91" s="1279"/>
      <c r="M91" s="1278"/>
      <c r="N91" s="1279"/>
      <c r="O91" s="1278"/>
      <c r="P91" s="1279"/>
      <c r="Q91" s="1278"/>
      <c r="R91" s="1281"/>
      <c r="S91" s="1294"/>
      <c r="T91" s="1273"/>
    </row>
    <row r="92" spans="1:26" s="1274" customFormat="1" ht="15" customHeight="1" x14ac:dyDescent="0.25">
      <c r="A92" s="1264">
        <v>44915</v>
      </c>
      <c r="B92" s="1289" t="s">
        <v>3573</v>
      </c>
      <c r="C92" s="1313" t="s">
        <v>12</v>
      </c>
      <c r="D92" s="1318" t="s">
        <v>1522</v>
      </c>
      <c r="E92" s="1313" t="s">
        <v>13</v>
      </c>
      <c r="F92" s="1287">
        <v>884.11</v>
      </c>
      <c r="G92" s="1278"/>
      <c r="H92" s="1301"/>
      <c r="I92" s="1283"/>
      <c r="J92" s="1279"/>
      <c r="K92" s="1278"/>
      <c r="L92" s="1279"/>
      <c r="M92" s="1278"/>
      <c r="N92" s="1279"/>
      <c r="O92" s="1278"/>
      <c r="P92" s="1279"/>
      <c r="Q92" s="1278"/>
      <c r="R92" s="1281"/>
      <c r="S92" s="1294"/>
      <c r="T92" s="1273"/>
    </row>
    <row r="93" spans="1:26" s="1274" customFormat="1" ht="15" customHeight="1" x14ac:dyDescent="0.25">
      <c r="A93" s="1264">
        <v>44915</v>
      </c>
      <c r="B93" s="1275" t="s">
        <v>3574</v>
      </c>
      <c r="C93" s="1276" t="s">
        <v>12</v>
      </c>
      <c r="D93" s="1276" t="s">
        <v>1499</v>
      </c>
      <c r="E93" s="1277" t="s">
        <v>13</v>
      </c>
      <c r="F93" s="1279">
        <v>0</v>
      </c>
      <c r="G93" s="1278"/>
      <c r="H93" s="1282"/>
      <c r="I93" s="1283"/>
      <c r="J93" s="1279"/>
      <c r="K93" s="1278"/>
      <c r="L93" s="1279"/>
      <c r="M93" s="1278"/>
      <c r="N93" s="1279"/>
      <c r="O93" s="1278"/>
      <c r="P93" s="1279"/>
      <c r="Q93" s="1278"/>
      <c r="R93" s="1280" t="s">
        <v>3575</v>
      </c>
      <c r="T93" s="1280"/>
      <c r="U93" s="1294"/>
    </row>
    <row r="94" spans="1:26" s="1274" customFormat="1" ht="15" customHeight="1" x14ac:dyDescent="0.25">
      <c r="A94" s="1264">
        <v>44915</v>
      </c>
      <c r="B94" s="1275" t="s">
        <v>478</v>
      </c>
      <c r="C94" s="1276" t="s">
        <v>12</v>
      </c>
      <c r="D94" s="1276" t="s">
        <v>1496</v>
      </c>
      <c r="E94" s="1286" t="s">
        <v>13</v>
      </c>
      <c r="F94" s="1279">
        <v>8.18</v>
      </c>
      <c r="G94" s="1278"/>
      <c r="H94" s="1279"/>
      <c r="I94" s="1278"/>
      <c r="J94" s="1279"/>
      <c r="K94" s="1278"/>
      <c r="L94" s="1279"/>
      <c r="M94" s="1278"/>
      <c r="N94" s="1279"/>
      <c r="O94" s="1278"/>
      <c r="P94" s="1279"/>
      <c r="Q94" s="1278"/>
      <c r="R94" s="1281"/>
      <c r="T94" s="1273"/>
    </row>
    <row r="95" spans="1:26" s="1274" customFormat="1" ht="15" customHeight="1" x14ac:dyDescent="0.25">
      <c r="A95" s="1264">
        <v>44915</v>
      </c>
      <c r="B95" s="1275" t="s">
        <v>1906</v>
      </c>
      <c r="C95" s="1276" t="s">
        <v>12</v>
      </c>
      <c r="D95" s="1276" t="s">
        <v>1493</v>
      </c>
      <c r="E95" s="1286" t="s">
        <v>13</v>
      </c>
      <c r="F95" s="1279">
        <v>8</v>
      </c>
      <c r="G95" s="1278"/>
      <c r="H95" s="1279"/>
      <c r="I95" s="1278"/>
      <c r="J95" s="1279"/>
      <c r="K95" s="1278"/>
      <c r="L95" s="1279"/>
      <c r="M95" s="1278"/>
      <c r="N95" s="1279"/>
      <c r="O95" s="1278"/>
      <c r="P95" s="1279"/>
      <c r="Q95" s="1278"/>
      <c r="R95" s="1281"/>
      <c r="T95" s="1273"/>
    </row>
    <row r="96" spans="1:26" s="1274" customFormat="1" ht="15" customHeight="1" x14ac:dyDescent="0.25">
      <c r="A96" s="1264">
        <v>44916</v>
      </c>
      <c r="B96" s="1292" t="s">
        <v>3529</v>
      </c>
      <c r="C96" s="1276" t="s">
        <v>12</v>
      </c>
      <c r="D96" s="1276" t="s">
        <v>1504</v>
      </c>
      <c r="E96" s="1277" t="s">
        <v>13</v>
      </c>
      <c r="F96" s="1279">
        <v>40</v>
      </c>
      <c r="G96" s="1319"/>
      <c r="H96" s="1282"/>
      <c r="I96" s="1283"/>
      <c r="J96" s="1279"/>
      <c r="K96" s="1278"/>
      <c r="L96" s="1279"/>
      <c r="M96" s="1278"/>
      <c r="N96" s="1279"/>
      <c r="O96" s="1278"/>
      <c r="P96" s="1279"/>
      <c r="Q96" s="1278"/>
      <c r="R96" s="1280" t="s">
        <v>3502</v>
      </c>
      <c r="T96" s="1273"/>
    </row>
    <row r="97" spans="1:21" s="1274" customFormat="1" ht="15" customHeight="1" x14ac:dyDescent="0.25">
      <c r="A97" s="1264">
        <v>44916</v>
      </c>
      <c r="B97" s="1275" t="s">
        <v>14</v>
      </c>
      <c r="C97" s="1276" t="s">
        <v>12</v>
      </c>
      <c r="D97" s="1276" t="s">
        <v>1486</v>
      </c>
      <c r="E97" s="1286" t="s">
        <v>13</v>
      </c>
      <c r="F97" s="1279">
        <v>4.82</v>
      </c>
      <c r="G97" s="1278"/>
      <c r="H97" s="1279"/>
      <c r="I97" s="1278"/>
      <c r="J97" s="1279"/>
      <c r="K97" s="1278"/>
      <c r="L97" s="1279"/>
      <c r="M97" s="1278"/>
      <c r="N97" s="1279"/>
      <c r="O97" s="1278"/>
      <c r="P97" s="1279"/>
      <c r="Q97" s="1278"/>
      <c r="R97" s="1281"/>
      <c r="S97" s="1281"/>
      <c r="T97" s="1273"/>
    </row>
    <row r="98" spans="1:21" s="1274" customFormat="1" ht="15" customHeight="1" x14ac:dyDescent="0.25">
      <c r="A98" s="1264">
        <v>44916</v>
      </c>
      <c r="B98" s="1275" t="s">
        <v>256</v>
      </c>
      <c r="C98" s="1276" t="s">
        <v>12</v>
      </c>
      <c r="D98" s="1276"/>
      <c r="E98" s="1286" t="s">
        <v>25</v>
      </c>
      <c r="F98" s="1279"/>
      <c r="G98" s="1278">
        <v>1700</v>
      </c>
      <c r="H98" s="1279">
        <v>1700</v>
      </c>
      <c r="I98" s="1278"/>
      <c r="J98" s="1279"/>
      <c r="K98" s="1278"/>
      <c r="L98" s="1279"/>
      <c r="M98" s="1278"/>
      <c r="N98" s="1285"/>
      <c r="O98" s="1284"/>
      <c r="P98" s="1285"/>
      <c r="Q98" s="1284"/>
      <c r="R98" s="1281"/>
      <c r="T98" s="1273"/>
    </row>
    <row r="99" spans="1:21" s="1274" customFormat="1" ht="15" customHeight="1" x14ac:dyDescent="0.25">
      <c r="A99" s="1264">
        <v>44917</v>
      </c>
      <c r="B99" s="1275" t="s">
        <v>3576</v>
      </c>
      <c r="C99" s="1276" t="s">
        <v>19</v>
      </c>
      <c r="D99" s="1276" t="s">
        <v>1506</v>
      </c>
      <c r="E99" s="1286" t="s">
        <v>13</v>
      </c>
      <c r="F99" s="1279">
        <v>80</v>
      </c>
      <c r="G99" s="1278"/>
      <c r="H99" s="1279"/>
      <c r="I99" s="1278"/>
      <c r="J99" s="1279"/>
      <c r="K99" s="1278"/>
      <c r="L99" s="1279"/>
      <c r="M99" s="1278"/>
      <c r="N99" s="1285"/>
      <c r="O99" s="1284"/>
      <c r="P99" s="1285"/>
      <c r="Q99" s="1284"/>
      <c r="R99" s="1281"/>
      <c r="T99" s="1273"/>
    </row>
    <row r="100" spans="1:21" s="1274" customFormat="1" ht="15" customHeight="1" x14ac:dyDescent="0.25">
      <c r="A100" s="1264">
        <v>44917</v>
      </c>
      <c r="B100" s="1275" t="s">
        <v>32</v>
      </c>
      <c r="C100" s="1276" t="s">
        <v>12</v>
      </c>
      <c r="D100" s="1276" t="s">
        <v>1485</v>
      </c>
      <c r="E100" s="1286" t="s">
        <v>13</v>
      </c>
      <c r="F100" s="1279">
        <v>23</v>
      </c>
      <c r="G100" s="1278"/>
      <c r="H100" s="1279"/>
      <c r="I100" s="1278"/>
      <c r="J100" s="1279"/>
      <c r="K100" s="1278"/>
      <c r="L100" s="1279"/>
      <c r="M100" s="1278"/>
      <c r="N100" s="1285"/>
      <c r="O100" s="1284"/>
      <c r="P100" s="1285"/>
      <c r="Q100" s="1284"/>
      <c r="R100" s="1281"/>
      <c r="T100" s="1273"/>
    </row>
    <row r="101" spans="1:21" s="1274" customFormat="1" ht="15" customHeight="1" x14ac:dyDescent="0.25">
      <c r="A101" s="1264">
        <v>44917</v>
      </c>
      <c r="B101" s="1275" t="s">
        <v>81</v>
      </c>
      <c r="C101" s="1276" t="s">
        <v>12</v>
      </c>
      <c r="D101" s="1276" t="s">
        <v>1493</v>
      </c>
      <c r="E101" s="1277" t="s">
        <v>13</v>
      </c>
      <c r="F101" s="1279">
        <v>5.5</v>
      </c>
      <c r="G101" s="1278"/>
      <c r="H101" s="1282"/>
      <c r="I101" s="1283"/>
      <c r="J101" s="1279"/>
      <c r="K101" s="1278"/>
      <c r="L101" s="1279"/>
      <c r="M101" s="1278"/>
      <c r="N101" s="1279"/>
      <c r="O101" s="1278"/>
      <c r="P101" s="1279"/>
      <c r="Q101" s="1278"/>
      <c r="R101" s="1281"/>
    </row>
    <row r="102" spans="1:21" s="1274" customFormat="1" ht="15" customHeight="1" x14ac:dyDescent="0.25">
      <c r="A102" s="1264">
        <v>44917</v>
      </c>
      <c r="B102" s="1275" t="s">
        <v>14</v>
      </c>
      <c r="C102" s="1276" t="s">
        <v>12</v>
      </c>
      <c r="D102" s="1276" t="s">
        <v>1486</v>
      </c>
      <c r="E102" s="1286" t="s">
        <v>13</v>
      </c>
      <c r="F102" s="1279">
        <v>10.81</v>
      </c>
      <c r="G102" s="1278"/>
      <c r="H102" s="1279"/>
      <c r="I102" s="1278"/>
      <c r="J102" s="1279"/>
      <c r="K102" s="1278"/>
      <c r="L102" s="1279"/>
      <c r="M102" s="1278"/>
      <c r="N102" s="1279"/>
      <c r="O102" s="1278"/>
      <c r="P102" s="1279"/>
      <c r="Q102" s="1278"/>
      <c r="R102" s="1281"/>
      <c r="S102" s="1281"/>
      <c r="T102" s="1273"/>
    </row>
    <row r="103" spans="1:21" s="1274" customFormat="1" ht="15" customHeight="1" x14ac:dyDescent="0.25">
      <c r="A103" s="1264">
        <v>44918</v>
      </c>
      <c r="B103" s="1275" t="s">
        <v>443</v>
      </c>
      <c r="C103" s="1276" t="s">
        <v>12</v>
      </c>
      <c r="D103" s="1276" t="s">
        <v>1493</v>
      </c>
      <c r="E103" s="1277" t="s">
        <v>13</v>
      </c>
      <c r="F103" s="1279">
        <v>18</v>
      </c>
      <c r="G103" s="1278"/>
      <c r="H103" s="1282"/>
      <c r="I103" s="1283"/>
      <c r="J103" s="1279"/>
      <c r="K103" s="1278"/>
      <c r="L103" s="1279"/>
      <c r="M103" s="1278"/>
      <c r="N103" s="1279"/>
      <c r="O103" s="1278"/>
      <c r="P103" s="1279"/>
      <c r="Q103" s="1278"/>
      <c r="R103" s="1280"/>
      <c r="U103" s="1246"/>
    </row>
    <row r="104" spans="1:21" s="1274" customFormat="1" ht="15" customHeight="1" x14ac:dyDescent="0.25">
      <c r="A104" s="1264">
        <v>44919</v>
      </c>
      <c r="B104" s="1275" t="s">
        <v>14</v>
      </c>
      <c r="C104" s="1276" t="s">
        <v>12</v>
      </c>
      <c r="D104" s="1276" t="s">
        <v>1486</v>
      </c>
      <c r="E104" s="1286" t="s">
        <v>13</v>
      </c>
      <c r="F104" s="1279">
        <v>4.5</v>
      </c>
      <c r="G104" s="1278"/>
      <c r="H104" s="1279"/>
      <c r="I104" s="1278"/>
      <c r="J104" s="1279"/>
      <c r="K104" s="1278"/>
      <c r="L104" s="1279"/>
      <c r="M104" s="1278"/>
      <c r="N104" s="1279"/>
      <c r="O104" s="1278"/>
      <c r="P104" s="1279"/>
      <c r="Q104" s="1278"/>
      <c r="R104" s="1281"/>
      <c r="S104" s="1281"/>
      <c r="T104" s="1273"/>
    </row>
    <row r="105" spans="1:21" s="1274" customFormat="1" ht="15" customHeight="1" x14ac:dyDescent="0.25">
      <c r="A105" s="1264">
        <v>44919</v>
      </c>
      <c r="B105" s="1275" t="s">
        <v>3577</v>
      </c>
      <c r="C105" s="1276" t="s">
        <v>12</v>
      </c>
      <c r="D105" s="1276" t="s">
        <v>1522</v>
      </c>
      <c r="E105" s="1286" t="s">
        <v>13</v>
      </c>
      <c r="F105" s="1279">
        <v>50</v>
      </c>
      <c r="G105" s="1278"/>
      <c r="H105" s="1279"/>
      <c r="I105" s="1278"/>
      <c r="J105" s="1279"/>
      <c r="K105" s="1278"/>
      <c r="L105" s="1279"/>
      <c r="M105" s="1278"/>
      <c r="N105" s="1285"/>
      <c r="O105" s="1284"/>
      <c r="P105" s="1285"/>
      <c r="Q105" s="1284"/>
      <c r="R105" s="1281"/>
      <c r="T105" s="1273"/>
    </row>
    <row r="106" spans="1:21" s="1274" customFormat="1" ht="15" customHeight="1" x14ac:dyDescent="0.25">
      <c r="A106" s="1264">
        <v>44919</v>
      </c>
      <c r="B106" s="1275" t="s">
        <v>3168</v>
      </c>
      <c r="C106" s="1276" t="s">
        <v>12</v>
      </c>
      <c r="D106" s="1276" t="s">
        <v>1523</v>
      </c>
      <c r="E106" s="1286" t="s">
        <v>13</v>
      </c>
      <c r="F106" s="1279">
        <v>30</v>
      </c>
      <c r="G106" s="1278"/>
      <c r="H106" s="1279"/>
      <c r="I106" s="1278"/>
      <c r="J106" s="1279"/>
      <c r="K106" s="1278"/>
      <c r="L106" s="1279"/>
      <c r="M106" s="1278"/>
      <c r="N106" s="1285"/>
      <c r="O106" s="1284"/>
      <c r="P106" s="1285"/>
      <c r="Q106" s="1284"/>
      <c r="R106" s="1281"/>
      <c r="T106" s="1273"/>
    </row>
    <row r="107" spans="1:21" s="1274" customFormat="1" ht="15" customHeight="1" x14ac:dyDescent="0.25">
      <c r="A107" s="1264">
        <v>44919</v>
      </c>
      <c r="B107" s="1275" t="s">
        <v>3578</v>
      </c>
      <c r="C107" s="1276" t="s">
        <v>12</v>
      </c>
      <c r="D107" s="1276" t="s">
        <v>1523</v>
      </c>
      <c r="E107" s="1286" t="s">
        <v>13</v>
      </c>
      <c r="F107" s="1279">
        <v>70</v>
      </c>
      <c r="G107" s="1278"/>
      <c r="H107" s="1279"/>
      <c r="I107" s="1278"/>
      <c r="J107" s="1279"/>
      <c r="K107" s="1278"/>
      <c r="L107" s="1279"/>
      <c r="M107" s="1278"/>
      <c r="N107" s="1285"/>
      <c r="O107" s="1284"/>
      <c r="P107" s="1285"/>
      <c r="Q107" s="1284"/>
      <c r="R107" s="1281"/>
      <c r="T107" s="1273"/>
    </row>
    <row r="108" spans="1:21" s="1274" customFormat="1" ht="15" customHeight="1" x14ac:dyDescent="0.25">
      <c r="A108" s="1264">
        <v>44920</v>
      </c>
      <c r="B108" s="1275"/>
      <c r="C108" s="1276"/>
      <c r="D108" s="1276"/>
      <c r="E108" s="1286"/>
      <c r="F108" s="1279"/>
      <c r="G108" s="1278"/>
      <c r="H108" s="1279"/>
      <c r="I108" s="1278"/>
      <c r="J108" s="1279"/>
      <c r="K108" s="1278"/>
      <c r="L108" s="1279"/>
      <c r="M108" s="1278"/>
      <c r="N108" s="1279"/>
      <c r="O108" s="1278"/>
      <c r="P108" s="1279"/>
      <c r="Q108" s="1278"/>
      <c r="R108" s="1281"/>
      <c r="S108" s="1281"/>
      <c r="T108" s="1273"/>
    </row>
    <row r="109" spans="1:21" s="1274" customFormat="1" ht="15" customHeight="1" x14ac:dyDescent="0.25">
      <c r="A109" s="1264">
        <v>44921</v>
      </c>
      <c r="B109" s="1275" t="s">
        <v>14</v>
      </c>
      <c r="C109" s="1276" t="s">
        <v>12</v>
      </c>
      <c r="D109" s="1276" t="s">
        <v>1486</v>
      </c>
      <c r="E109" s="1286" t="s">
        <v>13</v>
      </c>
      <c r="F109" s="1279">
        <v>4.6100000000000003</v>
      </c>
      <c r="G109" s="1278"/>
      <c r="H109" s="1279"/>
      <c r="I109" s="1278"/>
      <c r="J109" s="1279"/>
      <c r="K109" s="1278"/>
      <c r="L109" s="1279"/>
      <c r="M109" s="1278"/>
      <c r="N109" s="1279"/>
      <c r="O109" s="1278"/>
      <c r="P109" s="1279"/>
      <c r="Q109" s="1278"/>
      <c r="R109" s="1281"/>
      <c r="S109" s="1281"/>
      <c r="T109" s="1273"/>
    </row>
    <row r="110" spans="1:21" s="1274" customFormat="1" ht="15" customHeight="1" x14ac:dyDescent="0.25">
      <c r="A110" s="1264">
        <v>44921</v>
      </c>
      <c r="B110" s="1275" t="s">
        <v>138</v>
      </c>
      <c r="C110" s="1276" t="s">
        <v>12</v>
      </c>
      <c r="D110" s="1276" t="s">
        <v>2157</v>
      </c>
      <c r="E110" s="1277" t="s">
        <v>13</v>
      </c>
      <c r="F110" s="1279">
        <v>80</v>
      </c>
      <c r="G110" s="1278"/>
      <c r="H110" s="1279"/>
      <c r="I110" s="1278"/>
      <c r="J110" s="1279"/>
      <c r="K110" s="1278"/>
      <c r="L110" s="1279"/>
      <c r="M110" s="1278"/>
      <c r="N110" s="1279"/>
      <c r="O110" s="1278"/>
      <c r="P110" s="1279"/>
      <c r="Q110" s="1278"/>
      <c r="R110" s="1281"/>
      <c r="S110" s="1281"/>
      <c r="T110" s="1273"/>
    </row>
    <row r="111" spans="1:21" s="1274" customFormat="1" ht="15" customHeight="1" x14ac:dyDescent="0.25">
      <c r="A111" s="1264">
        <v>44921</v>
      </c>
      <c r="B111" s="1275" t="s">
        <v>443</v>
      </c>
      <c r="C111" s="1276" t="s">
        <v>12</v>
      </c>
      <c r="D111" s="1276" t="s">
        <v>1493</v>
      </c>
      <c r="E111" s="1277" t="s">
        <v>13</v>
      </c>
      <c r="F111" s="1279">
        <v>7.92</v>
      </c>
      <c r="G111" s="1278"/>
      <c r="H111" s="1282"/>
      <c r="I111" s="1283"/>
      <c r="J111" s="1279"/>
      <c r="K111" s="1278"/>
      <c r="L111" s="1279"/>
      <c r="M111" s="1278"/>
      <c r="N111" s="1305"/>
      <c r="O111" s="1320"/>
      <c r="P111" s="1305"/>
      <c r="Q111" s="1320"/>
      <c r="R111" s="1280"/>
      <c r="U111" s="1246"/>
    </row>
    <row r="112" spans="1:21" s="1274" customFormat="1" ht="15" customHeight="1" x14ac:dyDescent="0.25">
      <c r="A112" s="1264">
        <v>44922</v>
      </c>
      <c r="B112" s="1275" t="s">
        <v>14</v>
      </c>
      <c r="C112" s="1276" t="s">
        <v>12</v>
      </c>
      <c r="D112" s="1276" t="s">
        <v>1486</v>
      </c>
      <c r="E112" s="1286" t="s">
        <v>13</v>
      </c>
      <c r="F112" s="1279">
        <v>4.5</v>
      </c>
      <c r="G112" s="1278"/>
      <c r="H112" s="1279"/>
      <c r="I112" s="1278"/>
      <c r="J112" s="1279"/>
      <c r="K112" s="1278"/>
      <c r="L112" s="1279"/>
      <c r="M112" s="1278"/>
      <c r="N112" s="1279"/>
      <c r="O112" s="1278"/>
      <c r="P112" s="1279"/>
      <c r="Q112" s="1278"/>
      <c r="R112" s="1281"/>
      <c r="S112" s="1281"/>
      <c r="T112" s="1273"/>
    </row>
    <row r="113" spans="1:21" s="1274" customFormat="1" ht="15" customHeight="1" x14ac:dyDescent="0.25">
      <c r="A113" s="1264">
        <v>44922</v>
      </c>
      <c r="B113" s="1275" t="s">
        <v>32</v>
      </c>
      <c r="C113" s="1276" t="s">
        <v>12</v>
      </c>
      <c r="D113" s="1276" t="s">
        <v>1485</v>
      </c>
      <c r="E113" s="1286" t="s">
        <v>13</v>
      </c>
      <c r="F113" s="1279">
        <v>20</v>
      </c>
      <c r="G113" s="1278"/>
      <c r="H113" s="1282"/>
      <c r="I113" s="1283"/>
      <c r="J113" s="1279"/>
      <c r="K113" s="1278"/>
      <c r="L113" s="1279"/>
      <c r="M113" s="1278"/>
      <c r="N113" s="1279"/>
      <c r="O113" s="1278"/>
      <c r="P113" s="1279"/>
      <c r="Q113" s="1278"/>
      <c r="R113" s="1280"/>
      <c r="U113" s="1246"/>
    </row>
    <row r="114" spans="1:21" s="1274" customFormat="1" ht="15" customHeight="1" x14ac:dyDescent="0.25">
      <c r="A114" s="1264">
        <v>44922</v>
      </c>
      <c r="B114" s="1275" t="s">
        <v>17</v>
      </c>
      <c r="C114" s="1276" t="s">
        <v>12</v>
      </c>
      <c r="D114" s="1276" t="s">
        <v>1493</v>
      </c>
      <c r="E114" s="1286" t="s">
        <v>13</v>
      </c>
      <c r="F114" s="1279">
        <v>8</v>
      </c>
      <c r="G114" s="1278"/>
      <c r="H114" s="1279"/>
      <c r="I114" s="1278"/>
      <c r="J114" s="1279"/>
      <c r="K114" s="1278"/>
      <c r="L114" s="1279"/>
      <c r="M114" s="1278"/>
      <c r="N114" s="1279"/>
      <c r="O114" s="1278"/>
      <c r="P114" s="1279"/>
      <c r="Q114" s="1278"/>
      <c r="R114" s="1281"/>
      <c r="S114" s="1281"/>
      <c r="T114" s="1273"/>
    </row>
    <row r="115" spans="1:21" s="1274" customFormat="1" ht="15" customHeight="1" x14ac:dyDescent="0.25">
      <c r="A115" s="1264">
        <v>44922</v>
      </c>
      <c r="B115" s="1275" t="s">
        <v>443</v>
      </c>
      <c r="C115" s="1276" t="s">
        <v>12</v>
      </c>
      <c r="D115" s="1276" t="s">
        <v>1493</v>
      </c>
      <c r="E115" s="1277" t="s">
        <v>13</v>
      </c>
      <c r="F115" s="1279">
        <v>21.88</v>
      </c>
      <c r="G115" s="1278"/>
      <c r="H115" s="1282"/>
      <c r="I115" s="1283"/>
      <c r="J115" s="1279"/>
      <c r="K115" s="1278"/>
      <c r="L115" s="1279"/>
      <c r="M115" s="1278"/>
      <c r="N115" s="1279"/>
      <c r="O115" s="1278"/>
      <c r="P115" s="1279"/>
      <c r="Q115" s="1278"/>
      <c r="R115" s="1280"/>
      <c r="U115" s="1246"/>
    </row>
    <row r="116" spans="1:21" s="1274" customFormat="1" ht="15" customHeight="1" x14ac:dyDescent="0.25">
      <c r="A116" s="1264">
        <v>44923</v>
      </c>
      <c r="B116" s="1275" t="s">
        <v>32</v>
      </c>
      <c r="C116" s="1276" t="s">
        <v>12</v>
      </c>
      <c r="D116" s="1276" t="s">
        <v>1485</v>
      </c>
      <c r="E116" s="1286" t="s">
        <v>13</v>
      </c>
      <c r="F116" s="1279">
        <v>18</v>
      </c>
      <c r="G116" s="1278"/>
      <c r="H116" s="1282"/>
      <c r="I116" s="1283"/>
      <c r="J116" s="1279"/>
      <c r="K116" s="1278"/>
      <c r="L116" s="1279"/>
      <c r="M116" s="1278"/>
      <c r="N116" s="1279"/>
      <c r="O116" s="1278"/>
      <c r="P116" s="1279"/>
      <c r="Q116" s="1278"/>
      <c r="R116" s="1280"/>
      <c r="U116" s="1246"/>
    </row>
    <row r="117" spans="1:21" s="1274" customFormat="1" ht="15" customHeight="1" x14ac:dyDescent="0.25">
      <c r="A117" s="1264">
        <v>44923</v>
      </c>
      <c r="B117" s="1275" t="s">
        <v>478</v>
      </c>
      <c r="C117" s="1276" t="s">
        <v>12</v>
      </c>
      <c r="D117" s="1276" t="s">
        <v>1496</v>
      </c>
      <c r="E117" s="1277" t="s">
        <v>13</v>
      </c>
      <c r="F117" s="1279">
        <v>12.64</v>
      </c>
      <c r="G117" s="1278"/>
      <c r="H117" s="1279"/>
      <c r="I117" s="1278"/>
      <c r="J117" s="1279"/>
      <c r="K117" s="1278"/>
      <c r="L117" s="1279"/>
      <c r="M117" s="1278"/>
      <c r="N117" s="1279"/>
      <c r="O117" s="1278"/>
      <c r="P117" s="1279"/>
      <c r="Q117" s="1278"/>
      <c r="R117" s="1280"/>
      <c r="S117" s="1281"/>
      <c r="T117" s="1273"/>
      <c r="U117" s="1246"/>
    </row>
    <row r="118" spans="1:21" s="1274" customFormat="1" ht="15" customHeight="1" x14ac:dyDescent="0.25">
      <c r="A118" s="1264">
        <v>44924</v>
      </c>
      <c r="B118" s="1275" t="s">
        <v>32</v>
      </c>
      <c r="C118" s="1276" t="s">
        <v>12</v>
      </c>
      <c r="D118" s="1276" t="s">
        <v>1485</v>
      </c>
      <c r="E118" s="1286" t="s">
        <v>13</v>
      </c>
      <c r="F118" s="1279">
        <v>20</v>
      </c>
      <c r="G118" s="1278"/>
      <c r="H118" s="1282"/>
      <c r="I118" s="1283"/>
      <c r="J118" s="1279"/>
      <c r="K118" s="1278"/>
      <c r="L118" s="1279"/>
      <c r="M118" s="1278"/>
      <c r="N118" s="1279"/>
      <c r="O118" s="1278"/>
      <c r="P118" s="1279"/>
      <c r="Q118" s="1278"/>
      <c r="R118" s="1280"/>
      <c r="U118" s="1246"/>
    </row>
    <row r="119" spans="1:21" s="1274" customFormat="1" ht="15" customHeight="1" x14ac:dyDescent="0.25">
      <c r="A119" s="1264">
        <v>44924</v>
      </c>
      <c r="B119" s="1275" t="s">
        <v>17</v>
      </c>
      <c r="C119" s="1276" t="s">
        <v>12</v>
      </c>
      <c r="D119" s="1276" t="s">
        <v>1493</v>
      </c>
      <c r="E119" s="1286" t="s">
        <v>13</v>
      </c>
      <c r="F119" s="1279">
        <v>6</v>
      </c>
      <c r="G119" s="1278"/>
      <c r="H119" s="1282"/>
      <c r="I119" s="1283"/>
      <c r="J119" s="1279"/>
      <c r="K119" s="1278"/>
      <c r="L119" s="1279"/>
      <c r="M119" s="1278"/>
      <c r="N119" s="1279"/>
      <c r="O119" s="1278"/>
      <c r="P119" s="1279"/>
      <c r="Q119" s="1278"/>
      <c r="R119" s="1281"/>
      <c r="T119" s="1293"/>
    </row>
    <row r="120" spans="1:21" s="1274" customFormat="1" ht="15" customHeight="1" x14ac:dyDescent="0.25">
      <c r="A120" s="1264">
        <v>44924</v>
      </c>
      <c r="B120" s="1275" t="s">
        <v>138</v>
      </c>
      <c r="C120" s="1276" t="s">
        <v>12</v>
      </c>
      <c r="D120" s="1276" t="s">
        <v>2157</v>
      </c>
      <c r="E120" s="1277" t="s">
        <v>13</v>
      </c>
      <c r="F120" s="1279">
        <v>80</v>
      </c>
      <c r="G120" s="1278"/>
      <c r="H120" s="1279"/>
      <c r="I120" s="1278"/>
      <c r="J120" s="1279"/>
      <c r="K120" s="1278"/>
      <c r="L120" s="1279"/>
      <c r="M120" s="1278"/>
      <c r="N120" s="1279"/>
      <c r="O120" s="1278"/>
      <c r="P120" s="1279"/>
      <c r="Q120" s="1278"/>
      <c r="R120" s="1281"/>
      <c r="S120" s="1281"/>
      <c r="T120" s="1273"/>
    </row>
    <row r="121" spans="1:21" s="1274" customFormat="1" ht="15" customHeight="1" x14ac:dyDescent="0.25">
      <c r="A121" s="1264">
        <v>44925</v>
      </c>
      <c r="B121" s="1289" t="s">
        <v>2096</v>
      </c>
      <c r="C121" s="1276" t="s">
        <v>12</v>
      </c>
      <c r="D121" s="1276" t="s">
        <v>1506</v>
      </c>
      <c r="E121" s="1277" t="s">
        <v>13</v>
      </c>
      <c r="F121" s="1279">
        <v>50</v>
      </c>
      <c r="G121" s="1278"/>
      <c r="H121" s="1282"/>
      <c r="I121" s="1283"/>
      <c r="J121" s="1279"/>
      <c r="K121" s="1278"/>
      <c r="L121" s="1279"/>
      <c r="M121" s="1278"/>
      <c r="N121" s="1279"/>
      <c r="O121" s="1278"/>
      <c r="P121" s="1279"/>
      <c r="Q121" s="1278"/>
      <c r="R121" s="1281"/>
      <c r="T121" s="1281"/>
      <c r="U121" s="1294"/>
    </row>
    <row r="122" spans="1:21" s="1274" customFormat="1" ht="15" customHeight="1" x14ac:dyDescent="0.25">
      <c r="A122" s="1264">
        <v>44925</v>
      </c>
      <c r="B122" s="1289" t="s">
        <v>2375</v>
      </c>
      <c r="C122" s="1276" t="s">
        <v>12</v>
      </c>
      <c r="D122" s="1276" t="s">
        <v>1506</v>
      </c>
      <c r="E122" s="1277" t="s">
        <v>13</v>
      </c>
      <c r="F122" s="1279">
        <v>10</v>
      </c>
      <c r="G122" s="1278"/>
      <c r="H122" s="1282"/>
      <c r="I122" s="1283"/>
      <c r="J122" s="1279"/>
      <c r="K122" s="1278"/>
      <c r="L122" s="1279"/>
      <c r="M122" s="1278"/>
      <c r="N122" s="1279"/>
      <c r="O122" s="1278"/>
      <c r="P122" s="1279"/>
      <c r="Q122" s="1278"/>
      <c r="R122" s="1281"/>
      <c r="T122" s="1281"/>
      <c r="U122" s="1294"/>
    </row>
    <row r="123" spans="1:21" s="1274" customFormat="1" ht="15" customHeight="1" x14ac:dyDescent="0.25">
      <c r="A123" s="1264">
        <v>44925</v>
      </c>
      <c r="B123" s="1275" t="s">
        <v>32</v>
      </c>
      <c r="C123" s="1276" t="s">
        <v>12</v>
      </c>
      <c r="D123" s="1276" t="s">
        <v>1485</v>
      </c>
      <c r="E123" s="1286" t="s">
        <v>13</v>
      </c>
      <c r="F123" s="1279">
        <v>23</v>
      </c>
      <c r="G123" s="1278"/>
      <c r="H123" s="1282"/>
      <c r="I123" s="1283"/>
      <c r="J123" s="1279"/>
      <c r="K123" s="1278"/>
      <c r="L123" s="1279"/>
      <c r="M123" s="1278"/>
      <c r="N123" s="1279"/>
      <c r="O123" s="1278"/>
      <c r="P123" s="1279"/>
      <c r="Q123" s="1278"/>
      <c r="R123" s="1280"/>
      <c r="U123" s="1246"/>
    </row>
    <row r="124" spans="1:21" s="1274" customFormat="1" ht="15" customHeight="1" x14ac:dyDescent="0.25">
      <c r="A124" s="1264">
        <v>44925</v>
      </c>
      <c r="B124" s="1275" t="s">
        <v>14</v>
      </c>
      <c r="C124" s="1276" t="s">
        <v>12</v>
      </c>
      <c r="D124" s="1276" t="s">
        <v>1486</v>
      </c>
      <c r="E124" s="1286" t="s">
        <v>13</v>
      </c>
      <c r="F124" s="1279">
        <v>10.84</v>
      </c>
      <c r="G124" s="1278"/>
      <c r="H124" s="1282"/>
      <c r="I124" s="1283"/>
      <c r="J124" s="1279"/>
      <c r="K124" s="1278"/>
      <c r="L124" s="1279"/>
      <c r="M124" s="1278"/>
      <c r="N124" s="1279"/>
      <c r="O124" s="1278"/>
      <c r="P124" s="1279"/>
      <c r="Q124" s="1278"/>
      <c r="R124" s="1281"/>
      <c r="T124" s="1281"/>
      <c r="U124" s="1294"/>
    </row>
    <row r="125" spans="1:21" s="1274" customFormat="1" ht="15" customHeight="1" x14ac:dyDescent="0.25">
      <c r="A125" s="1264">
        <v>44925</v>
      </c>
      <c r="B125" s="1275" t="s">
        <v>443</v>
      </c>
      <c r="C125" s="1276" t="s">
        <v>12</v>
      </c>
      <c r="D125" s="1276" t="s">
        <v>1493</v>
      </c>
      <c r="E125" s="1277" t="s">
        <v>13</v>
      </c>
      <c r="F125" s="1279">
        <v>20</v>
      </c>
      <c r="G125" s="1278"/>
      <c r="H125" s="1282"/>
      <c r="I125" s="1283"/>
      <c r="J125" s="1279"/>
      <c r="K125" s="1278"/>
      <c r="L125" s="1279"/>
      <c r="M125" s="1278"/>
      <c r="N125" s="1279"/>
      <c r="O125" s="1278"/>
      <c r="P125" s="1279"/>
      <c r="Q125" s="1278"/>
      <c r="R125" s="1281"/>
      <c r="T125" s="1281"/>
      <c r="U125" s="1294"/>
    </row>
    <row r="126" spans="1:21" s="1274" customFormat="1" ht="15" customHeight="1" x14ac:dyDescent="0.25">
      <c r="A126" s="1264">
        <v>44925</v>
      </c>
      <c r="B126" s="1275" t="s">
        <v>138</v>
      </c>
      <c r="C126" s="1276" t="s">
        <v>12</v>
      </c>
      <c r="D126" s="1276" t="s">
        <v>2157</v>
      </c>
      <c r="E126" s="1277" t="s">
        <v>13</v>
      </c>
      <c r="F126" s="1279">
        <v>50</v>
      </c>
      <c r="G126" s="1278"/>
      <c r="H126" s="1279"/>
      <c r="I126" s="1278"/>
      <c r="J126" s="1279"/>
      <c r="K126" s="1278"/>
      <c r="L126" s="1279"/>
      <c r="M126" s="1278"/>
      <c r="N126" s="1279"/>
      <c r="O126" s="1278"/>
      <c r="P126" s="1279"/>
      <c r="Q126" s="1278"/>
      <c r="R126" s="1281"/>
      <c r="S126" s="1281"/>
      <c r="T126" s="1273"/>
    </row>
    <row r="127" spans="1:21" s="1274" customFormat="1" ht="15" customHeight="1" x14ac:dyDescent="0.25">
      <c r="A127" s="1264">
        <v>44925</v>
      </c>
      <c r="B127" s="1275" t="s">
        <v>14</v>
      </c>
      <c r="C127" s="1276" t="s">
        <v>12</v>
      </c>
      <c r="D127" s="1276" t="s">
        <v>1486</v>
      </c>
      <c r="E127" s="1286" t="s">
        <v>13</v>
      </c>
      <c r="F127" s="1279">
        <v>6.55</v>
      </c>
      <c r="G127" s="1278"/>
      <c r="H127" s="1282"/>
      <c r="I127" s="1283"/>
      <c r="J127" s="1279"/>
      <c r="K127" s="1278"/>
      <c r="L127" s="1279"/>
      <c r="M127" s="1278"/>
      <c r="N127" s="1279"/>
      <c r="O127" s="1278"/>
      <c r="P127" s="1279"/>
      <c r="Q127" s="1278"/>
      <c r="R127" s="1281"/>
      <c r="T127" s="1281"/>
      <c r="U127" s="1294"/>
    </row>
    <row r="128" spans="1:21" s="1274" customFormat="1" ht="15" customHeight="1" x14ac:dyDescent="0.25">
      <c r="A128" s="1264">
        <v>44926</v>
      </c>
      <c r="B128" s="1275" t="s">
        <v>3579</v>
      </c>
      <c r="C128" s="1276" t="s">
        <v>19</v>
      </c>
      <c r="D128" s="1276" t="s">
        <v>1523</v>
      </c>
      <c r="E128" s="1286" t="s">
        <v>13</v>
      </c>
      <c r="F128" s="1279">
        <v>186</v>
      </c>
      <c r="G128" s="1278"/>
      <c r="H128" s="1282"/>
      <c r="I128" s="1283"/>
      <c r="J128" s="1279"/>
      <c r="K128" s="1278"/>
      <c r="L128" s="1279"/>
      <c r="M128" s="1278"/>
      <c r="N128" s="1285"/>
      <c r="O128" s="1284"/>
      <c r="P128" s="1285"/>
      <c r="Q128" s="1284"/>
      <c r="R128" s="1281"/>
      <c r="T128" s="1280"/>
      <c r="U128" s="1294"/>
    </row>
    <row r="129" spans="1:26" s="1274" customFormat="1" ht="15.75" thickBot="1" x14ac:dyDescent="0.3">
      <c r="A129" s="1264">
        <v>44926</v>
      </c>
      <c r="B129" s="1292" t="s">
        <v>1666</v>
      </c>
      <c r="C129" s="1276" t="s">
        <v>12</v>
      </c>
      <c r="D129" s="1321"/>
      <c r="E129" s="1313" t="s">
        <v>25</v>
      </c>
      <c r="F129" s="1322"/>
      <c r="G129" s="1323"/>
      <c r="H129" s="1282"/>
      <c r="I129" s="1283"/>
      <c r="J129" s="1279"/>
      <c r="K129" s="1472">
        <v>86.2</v>
      </c>
      <c r="L129" s="1322"/>
      <c r="M129" s="1323"/>
      <c r="N129" s="1279"/>
      <c r="O129" s="1278"/>
      <c r="P129" s="1279"/>
      <c r="Q129" s="1278"/>
      <c r="R129" s="1281"/>
      <c r="T129" s="1273"/>
    </row>
    <row r="130" spans="1:26" ht="25.5" customHeight="1" thickBot="1" x14ac:dyDescent="0.3">
      <c r="A130" s="3175"/>
      <c r="B130" s="3176"/>
      <c r="C130" s="3177"/>
      <c r="D130" s="3177"/>
      <c r="E130" s="3177"/>
      <c r="F130" s="1324">
        <f>SUM(F6:F129)</f>
        <v>11798.423333333329</v>
      </c>
      <c r="G130" s="1325">
        <f>SUM(G5:G129)</f>
        <v>12897.63625000002</v>
      </c>
      <c r="H130" s="1326">
        <f>SUM(H6:H129)</f>
        <v>2000</v>
      </c>
      <c r="I130" s="1325">
        <f>SUM(I5:I129)</f>
        <v>8499.9959999999992</v>
      </c>
      <c r="J130" s="1324">
        <f>SUM(J6:J129)</f>
        <v>0</v>
      </c>
      <c r="K130" s="1325">
        <f>SUM(K5:K129)</f>
        <v>8274.9700000000012</v>
      </c>
      <c r="L130" s="1324">
        <f>SUM(L6:L129)</f>
        <v>0</v>
      </c>
      <c r="M130" s="1325">
        <f>SUM(M5:M129)</f>
        <v>16603.68</v>
      </c>
      <c r="N130" s="1327">
        <f>SUM(N6:N129)</f>
        <v>0</v>
      </c>
      <c r="O130" s="1325">
        <f>SUM(O5:O129)</f>
        <v>10956.189999999999</v>
      </c>
      <c r="P130" s="1327">
        <f>SUM(P6:P129)</f>
        <v>0</v>
      </c>
      <c r="Q130" s="1325">
        <f>SUM(Q5:Q129)</f>
        <v>37786.43598472001</v>
      </c>
      <c r="S130" s="1328"/>
    </row>
    <row r="131" spans="1:26" ht="25.5" customHeight="1" thickBot="1" x14ac:dyDescent="0.3">
      <c r="A131" s="3178" t="s">
        <v>49</v>
      </c>
      <c r="B131" s="3179"/>
      <c r="C131" s="3179"/>
      <c r="D131" s="3179"/>
      <c r="E131" s="3179"/>
      <c r="F131" s="1329" t="s">
        <v>280</v>
      </c>
      <c r="G131" s="1330">
        <f>G130-F130</f>
        <v>1099.2129166666909</v>
      </c>
      <c r="H131" s="1331"/>
      <c r="I131" s="1332">
        <f>I130-H130</f>
        <v>6499.9959999999992</v>
      </c>
      <c r="J131" s="1333"/>
      <c r="K131" s="1332">
        <f>K130-J130</f>
        <v>8274.9700000000012</v>
      </c>
      <c r="L131" s="1333"/>
      <c r="M131" s="1334">
        <f>M130-L130</f>
        <v>16603.68</v>
      </c>
      <c r="N131" s="1333"/>
      <c r="O131" s="1330">
        <f>O130-N130</f>
        <v>10956.189999999999</v>
      </c>
      <c r="P131" s="1333"/>
      <c r="Q131" s="1330">
        <f>Q130-P130</f>
        <v>37786.43598472001</v>
      </c>
      <c r="R131" s="1246">
        <f>Q131+O131+M131+K131</f>
        <v>73621.275984720007</v>
      </c>
    </row>
    <row r="132" spans="1:26" x14ac:dyDescent="0.25">
      <c r="K132" s="1337">
        <f>K131/R131</f>
        <v>0.11239916572102689</v>
      </c>
      <c r="L132" s="1337"/>
      <c r="M132" s="1337">
        <f>M131/R131</f>
        <v>0.2255282834740065</v>
      </c>
      <c r="N132" s="1337"/>
      <c r="O132" s="1337">
        <f>O131/R131</f>
        <v>0.14881825740529056</v>
      </c>
      <c r="P132" s="1337"/>
      <c r="Q132" s="1337">
        <f>Q131/R131</f>
        <v>0.5132542933996761</v>
      </c>
      <c r="R132" s="1247"/>
      <c r="T132" s="1247"/>
      <c r="W132" s="1272"/>
      <c r="X132" s="1328"/>
      <c r="Z132" s="1248"/>
    </row>
    <row r="133" spans="1:26" x14ac:dyDescent="0.25">
      <c r="B133" s="1338" t="s">
        <v>3</v>
      </c>
      <c r="C133" s="1339" t="s">
        <v>1484</v>
      </c>
      <c r="D133" s="1340" t="s">
        <v>2378</v>
      </c>
      <c r="E133" s="1339" t="s">
        <v>3216</v>
      </c>
      <c r="F133" s="1338" t="s">
        <v>3217</v>
      </c>
      <c r="G133" s="1328"/>
      <c r="K133" s="1328"/>
      <c r="M133" s="1328"/>
      <c r="N133" s="1328"/>
      <c r="O133" s="1328"/>
      <c r="P133" s="1328"/>
      <c r="Q133" s="1328"/>
      <c r="R133" s="1328"/>
    </row>
    <row r="134" spans="1:26" x14ac:dyDescent="0.25">
      <c r="B134" s="1247" t="s">
        <v>32</v>
      </c>
      <c r="C134" s="1336" t="s">
        <v>1485</v>
      </c>
      <c r="D134" s="1281">
        <f>SUMIF($D$7:$D$129,"A",$F$7:$F$129)</f>
        <v>322</v>
      </c>
      <c r="E134" s="1341">
        <f t="shared" ref="E134:E151" si="0">D134/$K$153</f>
        <v>10.387096774193548</v>
      </c>
      <c r="F134" s="1337">
        <f t="shared" ref="F134:F151" si="1">E134/$E$154</f>
        <v>7.382967356737187E-2</v>
      </c>
      <c r="G134" s="1328"/>
      <c r="I134" s="1246"/>
      <c r="J134" s="1321"/>
      <c r="L134" s="1321"/>
      <c r="N134" s="1246"/>
      <c r="O134" s="1328"/>
      <c r="P134" s="1246"/>
      <c r="Q134" s="1328"/>
      <c r="R134" s="1342"/>
      <c r="S134" s="1343"/>
      <c r="T134" s="1343"/>
      <c r="U134" s="1343"/>
      <c r="V134" s="1248"/>
    </row>
    <row r="135" spans="1:26" x14ac:dyDescent="0.25">
      <c r="B135" s="1247" t="s">
        <v>2187</v>
      </c>
      <c r="C135" s="1336" t="s">
        <v>2157</v>
      </c>
      <c r="D135" s="1281">
        <f>SUMIF($D$7:$D$129,"GAC",$F$7:$F$129)</f>
        <v>530</v>
      </c>
      <c r="E135" s="1341">
        <f t="shared" si="0"/>
        <v>17.096774193548388</v>
      </c>
      <c r="F135" s="1337">
        <f t="shared" si="1"/>
        <v>0.12152089127548787</v>
      </c>
      <c r="G135" s="1341"/>
      <c r="J135" s="1344"/>
      <c r="K135" s="1345"/>
      <c r="L135" s="1344"/>
      <c r="M135" s="1345"/>
      <c r="N135" s="1246"/>
      <c r="O135" s="1328"/>
      <c r="P135" s="1246"/>
      <c r="Q135" s="1328"/>
      <c r="R135" s="1346"/>
      <c r="S135" s="1346"/>
      <c r="T135" s="1346"/>
      <c r="U135" s="1248"/>
      <c r="V135" s="1248"/>
    </row>
    <row r="136" spans="1:26" x14ac:dyDescent="0.25">
      <c r="B136" s="1247" t="s">
        <v>2188</v>
      </c>
      <c r="C136" s="1336" t="s">
        <v>2168</v>
      </c>
      <c r="D136" s="1281">
        <f>SUMIF($D$25:$D$129,"GAM",$F$25:$F$129)</f>
        <v>0</v>
      </c>
      <c r="E136" s="1341">
        <f t="shared" si="0"/>
        <v>0</v>
      </c>
      <c r="F136" s="1337">
        <f t="shared" si="1"/>
        <v>0</v>
      </c>
      <c r="J136" s="1336"/>
      <c r="K136" s="1336"/>
      <c r="L136" s="1336"/>
      <c r="M136" s="1336"/>
      <c r="N136" s="1246"/>
      <c r="O136" s="1328"/>
      <c r="P136" s="1246"/>
      <c r="Q136" s="1328"/>
      <c r="R136" s="1346"/>
      <c r="S136" s="1346"/>
      <c r="T136" s="1346"/>
      <c r="U136" s="1248"/>
      <c r="V136" s="1248"/>
    </row>
    <row r="137" spans="1:26" s="1336" customFormat="1" x14ac:dyDescent="0.25">
      <c r="A137" s="1335"/>
      <c r="B137" s="1247" t="s">
        <v>50</v>
      </c>
      <c r="C137" s="1336" t="s">
        <v>1493</v>
      </c>
      <c r="D137" s="1281">
        <f>SUMIF($D$7:$D$129,"LD",$F$7:$F$129)</f>
        <v>349.49</v>
      </c>
      <c r="E137" s="1341">
        <f t="shared" si="0"/>
        <v>11.273870967741935</v>
      </c>
      <c r="F137" s="1337">
        <f t="shared" si="1"/>
        <v>8.0132709984660849E-2</v>
      </c>
      <c r="K137" s="1321"/>
      <c r="M137" s="1321"/>
      <c r="N137" s="1246"/>
      <c r="O137" s="1328"/>
      <c r="P137" s="1246"/>
      <c r="Q137" s="1328"/>
      <c r="R137" s="1346"/>
      <c r="S137" s="1346"/>
      <c r="T137" s="1346"/>
      <c r="U137" s="1248"/>
      <c r="V137" s="1248"/>
    </row>
    <row r="138" spans="1:26" s="1336" customFormat="1" x14ac:dyDescent="0.25">
      <c r="A138" s="1335"/>
      <c r="B138" s="1247" t="s">
        <v>14</v>
      </c>
      <c r="C138" s="1336" t="s">
        <v>1486</v>
      </c>
      <c r="D138" s="1281">
        <f>SUMIF($D$23:$D$129,"C",$F$23:$F$129)</f>
        <v>124.74000000000001</v>
      </c>
      <c r="E138" s="1341">
        <f t="shared" si="0"/>
        <v>4.023870967741936</v>
      </c>
      <c r="F138" s="1337">
        <f t="shared" si="1"/>
        <v>2.8600973542838411E-2</v>
      </c>
      <c r="G138" s="1247"/>
      <c r="H138" s="1247"/>
      <c r="J138" s="1321"/>
      <c r="K138" s="1321"/>
      <c r="M138" s="1321"/>
      <c r="N138" s="1246"/>
      <c r="O138" s="1328"/>
      <c r="P138" s="1246"/>
      <c r="Q138" s="1328"/>
      <c r="R138" s="1346"/>
      <c r="S138" s="1346"/>
      <c r="T138" s="1346"/>
      <c r="U138" s="1248"/>
      <c r="V138" s="1248"/>
    </row>
    <row r="139" spans="1:26" s="1336" customFormat="1" x14ac:dyDescent="0.25">
      <c r="A139" s="1335"/>
      <c r="B139" s="1247" t="s">
        <v>51</v>
      </c>
      <c r="C139" s="1336" t="s">
        <v>1499</v>
      </c>
      <c r="D139" s="1281">
        <f>SUMIF($D$26:$D$129,"CAL",$F$26:$F$129)</f>
        <v>72.409999999999982</v>
      </c>
      <c r="E139" s="1341">
        <f t="shared" si="0"/>
        <v>2.3358064516129025</v>
      </c>
      <c r="F139" s="1337">
        <f t="shared" si="1"/>
        <v>1.6602505164637873E-2</v>
      </c>
      <c r="G139" s="1247"/>
      <c r="H139" s="1247"/>
      <c r="I139" s="1247"/>
      <c r="J139" s="1281"/>
      <c r="K139" s="1321"/>
      <c r="M139" s="1321"/>
      <c r="N139" s="1246"/>
      <c r="O139" s="1328"/>
      <c r="P139" s="1246"/>
      <c r="Q139" s="1328"/>
      <c r="R139" s="1346"/>
      <c r="S139" s="1346"/>
      <c r="T139" s="1346"/>
      <c r="U139" s="1248"/>
      <c r="V139" s="1248"/>
    </row>
    <row r="140" spans="1:26" s="1336" customFormat="1" x14ac:dyDescent="0.25">
      <c r="A140" s="1335"/>
      <c r="B140" s="1247" t="s">
        <v>2189</v>
      </c>
      <c r="C140" s="1336" t="s">
        <v>1496</v>
      </c>
      <c r="D140" s="1281">
        <f>SUMIF($D$7:$D$129,"AC",$F$7:$F$129)</f>
        <v>123.98</v>
      </c>
      <c r="E140" s="1341">
        <f t="shared" si="0"/>
        <v>3.9993548387096776</v>
      </c>
      <c r="F140" s="1337">
        <f t="shared" si="1"/>
        <v>2.8426717170443368E-2</v>
      </c>
      <c r="G140" s="1247"/>
      <c r="J140" s="1281"/>
      <c r="K140" s="1321"/>
      <c r="M140" s="1321"/>
      <c r="N140" s="1246"/>
      <c r="O140" s="1328"/>
      <c r="P140" s="1246"/>
      <c r="Q140" s="1328"/>
      <c r="R140" s="1346"/>
      <c r="S140" s="1346"/>
      <c r="T140" s="1346"/>
      <c r="U140" s="1248"/>
      <c r="V140" s="1248"/>
    </row>
    <row r="141" spans="1:26" s="1336" customFormat="1" x14ac:dyDescent="0.25">
      <c r="A141" s="1335"/>
      <c r="B141" s="1247" t="s">
        <v>53</v>
      </c>
      <c r="C141" s="1336" t="s">
        <v>1522</v>
      </c>
      <c r="D141" s="1281">
        <f>SUMIF($D$23:$D$129,"DC",$F$23:$F$129)</f>
        <v>1158.1100000000001</v>
      </c>
      <c r="E141" s="1341">
        <f t="shared" si="0"/>
        <v>37.358387096774194</v>
      </c>
      <c r="F141" s="1337">
        <f t="shared" si="1"/>
        <v>0.26553690451897216</v>
      </c>
      <c r="J141" s="1347"/>
      <c r="K141" s="1321"/>
      <c r="M141" s="1321"/>
      <c r="N141" s="1246"/>
      <c r="O141" s="1328"/>
      <c r="P141" s="1246"/>
      <c r="Q141" s="1328"/>
      <c r="R141" s="1346"/>
      <c r="S141" s="1346"/>
      <c r="T141" s="1346"/>
      <c r="U141" s="1248"/>
      <c r="V141" s="1248"/>
    </row>
    <row r="142" spans="1:26" s="1336" customFormat="1" x14ac:dyDescent="0.25">
      <c r="A142" s="1335"/>
      <c r="B142" s="1247" t="s">
        <v>2149</v>
      </c>
      <c r="C142" s="1336" t="s">
        <v>2131</v>
      </c>
      <c r="D142" s="1281">
        <f>SUMIF($D$6:$D$129,"DM",$F$6:$F$129)</f>
        <v>0</v>
      </c>
      <c r="E142" s="1341">
        <f t="shared" si="0"/>
        <v>0</v>
      </c>
      <c r="F142" s="1337">
        <f t="shared" si="1"/>
        <v>0</v>
      </c>
      <c r="K142" s="1321" t="s">
        <v>280</v>
      </c>
      <c r="M142" s="1321" t="s">
        <v>280</v>
      </c>
      <c r="N142" s="1246"/>
      <c r="O142" s="1328"/>
      <c r="P142" s="1246"/>
      <c r="Q142" s="1328"/>
      <c r="R142" s="1346"/>
      <c r="S142" s="1346"/>
      <c r="T142" s="1346"/>
      <c r="U142" s="1248"/>
      <c r="V142" s="1248"/>
    </row>
    <row r="143" spans="1:26" s="1336" customFormat="1" x14ac:dyDescent="0.25">
      <c r="A143" s="1335"/>
      <c r="B143" s="1247" t="s">
        <v>3048</v>
      </c>
      <c r="C143" s="1336" t="s">
        <v>1523</v>
      </c>
      <c r="D143" s="1281">
        <f ca="1">SUMIF($D$7:$D$130,"B",$F$7:$F$129)</f>
        <v>895</v>
      </c>
      <c r="E143" s="1341">
        <f t="shared" ca="1" si="0"/>
        <v>28.870967741935484</v>
      </c>
      <c r="F143" s="1337">
        <f t="shared" ca="1" si="1"/>
        <v>0.20520980696521063</v>
      </c>
      <c r="G143" s="1328"/>
      <c r="K143" s="1321"/>
      <c r="M143" s="1321"/>
      <c r="N143" s="1246"/>
      <c r="O143" s="1328"/>
      <c r="P143" s="1246"/>
      <c r="Q143" s="1328"/>
      <c r="R143" s="1280"/>
      <c r="S143" s="1280"/>
      <c r="T143" s="1346"/>
      <c r="U143" s="1248"/>
      <c r="V143" s="1248"/>
    </row>
    <row r="144" spans="1:26" s="1336" customFormat="1" x14ac:dyDescent="0.25">
      <c r="A144" s="1335"/>
      <c r="B144" s="1247" t="s">
        <v>1686</v>
      </c>
      <c r="C144" s="1336" t="s">
        <v>1506</v>
      </c>
      <c r="D144" s="1281">
        <f>SUMIF($D$7:$D$129,"R",$F$7:$F$129)</f>
        <v>480.32</v>
      </c>
      <c r="E144" s="1341">
        <f t="shared" si="0"/>
        <v>15.494193548387097</v>
      </c>
      <c r="F144" s="1337">
        <f t="shared" si="1"/>
        <v>0.11013002735366477</v>
      </c>
      <c r="G144" s="1321"/>
      <c r="K144" s="1328"/>
      <c r="M144" s="1328"/>
      <c r="N144" s="1246"/>
      <c r="O144" s="1328"/>
      <c r="P144" s="1246"/>
      <c r="Q144" s="1328"/>
      <c r="R144" s="1346"/>
      <c r="S144" s="1346"/>
      <c r="T144" s="1346"/>
      <c r="U144" s="1248"/>
      <c r="V144" s="1248"/>
    </row>
    <row r="145" spans="1:24" x14ac:dyDescent="0.25">
      <c r="B145" s="1247" t="s">
        <v>418</v>
      </c>
      <c r="C145" s="1336" t="s">
        <v>1524</v>
      </c>
      <c r="D145" s="1281">
        <f>SUMIF($D$23:$D$129,"COM",$F$23:$F$129)</f>
        <v>0</v>
      </c>
      <c r="E145" s="1341">
        <f t="shared" si="0"/>
        <v>0</v>
      </c>
      <c r="F145" s="1337">
        <f t="shared" si="1"/>
        <v>0</v>
      </c>
      <c r="G145" s="1336"/>
      <c r="H145" s="1336"/>
      <c r="I145" s="1336"/>
      <c r="J145" s="1246"/>
      <c r="K145" s="1328"/>
      <c r="L145" s="1246"/>
      <c r="M145" s="1328"/>
      <c r="N145" s="1246"/>
      <c r="O145" s="1328"/>
      <c r="P145" s="1246"/>
      <c r="Q145" s="1328"/>
      <c r="R145" s="1346"/>
      <c r="S145" s="1346"/>
      <c r="T145" s="1346"/>
      <c r="U145" s="1248"/>
      <c r="V145" s="1248"/>
    </row>
    <row r="146" spans="1:24" x14ac:dyDescent="0.25">
      <c r="B146" s="1247" t="s">
        <v>419</v>
      </c>
      <c r="C146" s="1336" t="s">
        <v>1491</v>
      </c>
      <c r="D146" s="1281">
        <f>SUMIF($D$7:$D$129,"F",$F$7:$F$129)</f>
        <v>1124.9000000000001</v>
      </c>
      <c r="E146" s="1341">
        <f t="shared" si="0"/>
        <v>36.28709677419355</v>
      </c>
      <c r="F146" s="1337">
        <f t="shared" si="1"/>
        <v>0.25792235961471</v>
      </c>
      <c r="I146" s="1336"/>
      <c r="K146" s="1328"/>
      <c r="M146" s="1328"/>
      <c r="N146" s="1246"/>
      <c r="O146" s="1328"/>
      <c r="P146" s="1246"/>
      <c r="Q146" s="1328"/>
      <c r="R146" s="1346"/>
      <c r="S146" s="1346"/>
      <c r="T146" s="1346"/>
      <c r="U146" s="1248"/>
      <c r="V146" s="1248"/>
    </row>
    <row r="147" spans="1:24" x14ac:dyDescent="0.25">
      <c r="B147" s="1247" t="s">
        <v>911</v>
      </c>
      <c r="C147" s="1336" t="s">
        <v>1525</v>
      </c>
      <c r="D147" s="1281">
        <f>SUMIF($D$23:$D$129,"FER",$F$23:$F$129)</f>
        <v>252</v>
      </c>
      <c r="E147" s="1341">
        <f t="shared" si="0"/>
        <v>8.129032258064516</v>
      </c>
      <c r="F147" s="1337">
        <f t="shared" si="1"/>
        <v>5.7779744530986679E-2</v>
      </c>
      <c r="J147" s="1246"/>
      <c r="K147" s="1321"/>
      <c r="L147" s="1246"/>
      <c r="M147" s="1321"/>
      <c r="N147" s="1246"/>
      <c r="O147" s="1328"/>
      <c r="P147" s="1246"/>
      <c r="Q147" s="1328"/>
      <c r="R147" s="1346"/>
      <c r="S147" s="1346"/>
      <c r="T147" s="1346"/>
      <c r="U147" s="1248"/>
      <c r="V147" s="1248"/>
    </row>
    <row r="148" spans="1:24" x14ac:dyDescent="0.25">
      <c r="B148" s="1247" t="s">
        <v>1526</v>
      </c>
      <c r="C148" s="1336" t="s">
        <v>1504</v>
      </c>
      <c r="D148" s="1281">
        <f>SUMIF($D$23:$D$129,"I",$F$23:$F$129)</f>
        <v>207.49</v>
      </c>
      <c r="E148" s="1341">
        <f t="shared" si="0"/>
        <v>6.693225806451613</v>
      </c>
      <c r="F148" s="1337">
        <f t="shared" si="1"/>
        <v>4.7574282510850899E-2</v>
      </c>
      <c r="J148" s="1246"/>
      <c r="K148" s="1321"/>
      <c r="L148" s="1246"/>
      <c r="M148" s="1321"/>
      <c r="N148" s="1246"/>
      <c r="O148" s="1328"/>
      <c r="P148" s="1246"/>
      <c r="Q148" s="1328"/>
      <c r="R148" s="1346"/>
      <c r="S148" s="1346"/>
      <c r="T148" s="1346"/>
      <c r="U148" s="1248"/>
      <c r="V148" s="1248"/>
    </row>
    <row r="149" spans="1:24" x14ac:dyDescent="0.25">
      <c r="B149" s="1247" t="s">
        <v>2343</v>
      </c>
      <c r="C149" s="1336" t="s">
        <v>2315</v>
      </c>
      <c r="D149" s="1281">
        <f>SUMIF($D$25:$D$129,"E",$F$25:$F$129)</f>
        <v>0</v>
      </c>
      <c r="E149" s="1341">
        <f t="shared" si="0"/>
        <v>0</v>
      </c>
      <c r="F149" s="1337">
        <f t="shared" si="1"/>
        <v>0</v>
      </c>
      <c r="J149" s="1246"/>
      <c r="K149" s="1321"/>
      <c r="L149" s="1246"/>
      <c r="M149" s="1321"/>
      <c r="N149" s="1246"/>
      <c r="O149" s="1328"/>
      <c r="P149" s="1246"/>
      <c r="Q149" s="1328"/>
      <c r="R149" s="1346"/>
      <c r="S149" s="1346"/>
      <c r="T149" s="1346"/>
      <c r="U149" s="1248"/>
      <c r="V149" s="1248"/>
    </row>
    <row r="150" spans="1:24" x14ac:dyDescent="0.25">
      <c r="B150" s="1247" t="s">
        <v>3019</v>
      </c>
      <c r="C150" s="1336" t="s">
        <v>3017</v>
      </c>
      <c r="D150" s="1281">
        <f>SUMIF($D$6:$D$129,"IM",$F$6:$F$129)</f>
        <v>657.4</v>
      </c>
      <c r="E150" s="1341">
        <f t="shared" si="0"/>
        <v>21.206451612903226</v>
      </c>
      <c r="F150" s="1337">
        <f t="shared" si="1"/>
        <v>0.15073176212170891</v>
      </c>
      <c r="J150" s="1246"/>
      <c r="L150" s="1246"/>
      <c r="N150" s="1281"/>
      <c r="O150" s="1274"/>
      <c r="P150" s="1281"/>
      <c r="Q150" s="1274"/>
      <c r="R150" s="1346"/>
      <c r="S150" s="1346"/>
      <c r="T150" s="1346"/>
      <c r="U150" s="1248"/>
      <c r="V150" s="1248"/>
    </row>
    <row r="151" spans="1:24" x14ac:dyDescent="0.25">
      <c r="B151" s="1247" t="s">
        <v>1527</v>
      </c>
      <c r="C151" s="1336" t="s">
        <v>1489</v>
      </c>
      <c r="D151" s="1281">
        <f>SUMIF($D$7:$D$129,"OD",$F$7:$F$129)</f>
        <v>400.58333333333331</v>
      </c>
      <c r="E151" s="1341">
        <f t="shared" si="0"/>
        <v>12.922043010752688</v>
      </c>
      <c r="F151" s="1337">
        <f t="shared" si="1"/>
        <v>9.1847629616551907E-2</v>
      </c>
      <c r="N151" s="1246"/>
      <c r="O151" s="1328"/>
      <c r="P151" s="1246"/>
      <c r="Q151" s="1328"/>
      <c r="R151" s="1346"/>
      <c r="S151" s="1346"/>
      <c r="T151" s="1346"/>
      <c r="U151" s="1248"/>
      <c r="V151" s="1248"/>
    </row>
    <row r="152" spans="1:24" x14ac:dyDescent="0.25">
      <c r="C152" s="1247"/>
      <c r="D152" s="1348"/>
      <c r="E152" s="1247"/>
      <c r="F152" s="1247"/>
      <c r="N152" s="1246"/>
      <c r="O152" s="1328"/>
      <c r="P152" s="1246"/>
      <c r="Q152" s="1328"/>
      <c r="R152" s="1248"/>
      <c r="S152" s="1346"/>
      <c r="T152" s="1346"/>
      <c r="U152" s="1248"/>
      <c r="V152" s="1248"/>
    </row>
    <row r="153" spans="1:24" x14ac:dyDescent="0.25">
      <c r="C153" s="3169" t="s">
        <v>486</v>
      </c>
      <c r="D153" s="3169"/>
      <c r="E153" s="1321">
        <f ca="1">I153/K153</f>
        <v>216.07817204301074</v>
      </c>
      <c r="G153" s="1272" t="s">
        <v>487</v>
      </c>
      <c r="I153" s="1348">
        <f ca="1">SUM(D134:D151)</f>
        <v>6698.4233333333332</v>
      </c>
      <c r="J153" s="1328"/>
      <c r="K153" s="1349">
        <v>31</v>
      </c>
      <c r="L153" s="1298"/>
      <c r="N153" s="1246"/>
      <c r="O153" s="1328"/>
      <c r="P153" s="1246"/>
      <c r="Q153" s="1328"/>
      <c r="R153" s="1346"/>
      <c r="S153" s="1346"/>
      <c r="T153" s="1346"/>
      <c r="U153" s="1248"/>
      <c r="V153" s="1248"/>
    </row>
    <row r="154" spans="1:24" ht="15.75" customHeight="1" x14ac:dyDescent="0.25">
      <c r="B154" s="3170" t="s">
        <v>3377</v>
      </c>
      <c r="C154" s="3170"/>
      <c r="D154" s="3170"/>
      <c r="E154" s="1350">
        <v>140.69</v>
      </c>
      <c r="H154" s="1336"/>
      <c r="K154" s="1321"/>
      <c r="M154" s="1321"/>
      <c r="N154" s="1246"/>
      <c r="O154" s="1328"/>
      <c r="P154" s="1246"/>
      <c r="Q154" s="1328"/>
      <c r="R154" s="1346"/>
      <c r="S154" s="1346"/>
      <c r="T154" s="1346"/>
      <c r="U154" s="1248"/>
      <c r="V154" s="1248"/>
    </row>
    <row r="155" spans="1:24" x14ac:dyDescent="0.25">
      <c r="E155" s="1247"/>
      <c r="F155" s="1247"/>
      <c r="G155" s="1336"/>
      <c r="H155" s="1274"/>
      <c r="I155" s="1336"/>
      <c r="J155" s="1272"/>
      <c r="L155" s="1272"/>
      <c r="N155" s="1246"/>
      <c r="O155" s="1328"/>
      <c r="P155" s="1246"/>
      <c r="Q155" s="1328"/>
      <c r="S155" s="1246" t="s">
        <v>280</v>
      </c>
      <c r="T155" s="1328"/>
      <c r="U155" s="1328"/>
      <c r="V155" s="1246"/>
      <c r="X155" s="1248"/>
    </row>
    <row r="156" spans="1:24" s="1272" customFormat="1" x14ac:dyDescent="0.25">
      <c r="A156" s="1335"/>
      <c r="B156" s="1247"/>
      <c r="C156" s="1247"/>
      <c r="D156" s="1247"/>
      <c r="E156" s="1294">
        <f ca="1">E154-E153</f>
        <v>-75.388172043010741</v>
      </c>
      <c r="F156" s="1351">
        <f ca="1">SUM(F134:F155)</f>
        <v>1.5358459879380959</v>
      </c>
      <c r="G156" s="1336"/>
      <c r="H156" s="1336"/>
      <c r="J156" s="1247"/>
      <c r="K156" s="1247"/>
      <c r="L156" s="1247"/>
      <c r="M156" s="1247"/>
      <c r="N156" s="1246"/>
      <c r="O156" s="1328"/>
      <c r="P156" s="1246"/>
      <c r="Q156" s="1328"/>
      <c r="R156" s="1247"/>
      <c r="S156" s="1247"/>
      <c r="T156" s="1328"/>
      <c r="U156" s="1246"/>
      <c r="V156" s="1247"/>
      <c r="W156" s="1248"/>
      <c r="X156" s="1247"/>
    </row>
    <row r="157" spans="1:24" s="1272" customFormat="1" x14ac:dyDescent="0.25">
      <c r="A157" s="1335"/>
      <c r="B157" s="1247"/>
      <c r="C157" s="1336"/>
      <c r="D157" s="1336"/>
      <c r="E157" s="1336"/>
      <c r="G157" s="1247"/>
      <c r="H157" s="1247"/>
      <c r="I157" s="1247"/>
      <c r="J157" s="1246"/>
      <c r="K157" s="1328"/>
      <c r="L157" s="1246"/>
      <c r="M157" s="1328"/>
      <c r="N157" s="1246"/>
      <c r="O157" s="1328"/>
      <c r="P157" s="1246"/>
      <c r="Q157" s="1328"/>
      <c r="R157" s="1246"/>
      <c r="S157" s="1247"/>
      <c r="T157" s="1248"/>
      <c r="U157" s="1247"/>
    </row>
    <row r="158" spans="1:24" s="1272" customFormat="1" x14ac:dyDescent="0.25">
      <c r="A158" s="1335"/>
      <c r="B158" s="1247"/>
      <c r="C158" s="1336"/>
      <c r="D158" s="1336"/>
      <c r="E158" s="1336"/>
      <c r="G158" s="1247"/>
      <c r="H158" s="1247"/>
      <c r="I158" s="1247"/>
      <c r="J158" s="1246"/>
      <c r="K158" s="1328"/>
      <c r="L158" s="1246"/>
      <c r="M158" s="1328"/>
      <c r="N158" s="1246"/>
      <c r="O158" s="1328"/>
      <c r="P158" s="1246"/>
      <c r="Q158" s="1328"/>
      <c r="R158" s="1246"/>
      <c r="S158" s="1247"/>
      <c r="T158" s="1248"/>
      <c r="U158" s="1247"/>
    </row>
    <row r="159" spans="1:24" s="1272" customFormat="1" x14ac:dyDescent="0.25">
      <c r="A159" s="1335"/>
      <c r="B159" s="1247"/>
      <c r="C159" s="1336"/>
      <c r="D159" s="1336"/>
      <c r="E159" s="1336"/>
      <c r="G159" s="1247"/>
      <c r="H159" s="1247"/>
      <c r="I159" s="1328"/>
      <c r="J159" s="1246"/>
      <c r="K159" s="1328"/>
      <c r="L159" s="1246"/>
      <c r="M159" s="1328"/>
      <c r="N159" s="1246"/>
      <c r="O159" s="1328"/>
      <c r="P159" s="1246"/>
      <c r="Q159" s="1328"/>
      <c r="R159" s="1246"/>
      <c r="S159" s="1247"/>
      <c r="T159" s="1248"/>
      <c r="U159" s="1247"/>
    </row>
    <row r="160" spans="1:24" s="1272" customFormat="1" x14ac:dyDescent="0.25">
      <c r="A160" s="1335"/>
      <c r="B160" s="1247"/>
      <c r="C160" s="1247"/>
      <c r="D160" s="1247"/>
      <c r="E160" s="1247"/>
      <c r="F160" s="1247"/>
      <c r="G160" s="1247"/>
      <c r="H160" s="1247"/>
      <c r="K160" s="1328"/>
      <c r="M160" s="1328"/>
      <c r="N160" s="1246"/>
      <c r="O160" s="1328"/>
      <c r="P160" s="1246"/>
      <c r="Q160" s="1328"/>
      <c r="R160" s="1246"/>
      <c r="S160" s="1247"/>
      <c r="T160" s="1248"/>
      <c r="U160" s="1247"/>
    </row>
    <row r="161" spans="1:21" s="1272" customFormat="1" x14ac:dyDescent="0.25">
      <c r="A161" s="1335"/>
      <c r="B161" s="1247"/>
      <c r="C161" s="1247"/>
      <c r="D161" s="1247"/>
      <c r="E161" s="1247"/>
      <c r="F161" s="1247"/>
      <c r="G161" s="1247"/>
      <c r="H161" s="1247"/>
      <c r="I161" s="1328"/>
      <c r="J161" s="1246"/>
      <c r="K161" s="1328"/>
      <c r="L161" s="1246"/>
      <c r="M161" s="1328"/>
      <c r="N161" s="1246"/>
      <c r="O161" s="1328"/>
      <c r="P161" s="1246"/>
      <c r="Q161" s="1328"/>
      <c r="R161" s="1246"/>
      <c r="S161" s="1247"/>
      <c r="T161" s="1248"/>
      <c r="U161" s="1247"/>
    </row>
    <row r="162" spans="1:21" s="1272" customFormat="1" x14ac:dyDescent="0.25">
      <c r="A162" s="1335"/>
      <c r="B162" s="1247"/>
      <c r="C162" s="1247"/>
      <c r="D162" s="1247"/>
      <c r="E162" s="1247"/>
      <c r="F162" s="1247"/>
      <c r="G162" s="1328"/>
      <c r="H162" s="1247"/>
      <c r="I162" s="1328"/>
      <c r="J162" s="1246"/>
      <c r="K162" s="1321"/>
      <c r="L162" s="1246"/>
      <c r="M162" s="1321"/>
      <c r="N162" s="1246"/>
      <c r="O162" s="1328"/>
      <c r="P162" s="1246"/>
      <c r="Q162" s="1328"/>
      <c r="R162" s="1246"/>
      <c r="S162" s="1247"/>
      <c r="T162" s="1248"/>
      <c r="U162" s="1247"/>
    </row>
    <row r="163" spans="1:21" s="1272" customFormat="1" x14ac:dyDescent="0.25">
      <c r="A163" s="1335"/>
      <c r="B163" s="1247"/>
      <c r="C163" s="1247"/>
      <c r="D163" s="1247"/>
      <c r="E163" s="1247"/>
      <c r="F163" s="1247"/>
      <c r="G163" s="1328"/>
      <c r="H163" s="1247"/>
      <c r="I163" s="1328"/>
      <c r="J163" s="1246"/>
      <c r="K163" s="1328"/>
      <c r="L163" s="1246"/>
      <c r="M163" s="1328"/>
      <c r="N163" s="1246"/>
      <c r="O163" s="1328"/>
      <c r="P163" s="1246"/>
      <c r="Q163" s="1328"/>
      <c r="R163" s="1246"/>
      <c r="S163" s="1247"/>
      <c r="T163" s="1248"/>
      <c r="U163" s="1247"/>
    </row>
    <row r="164" spans="1:21" s="1272" customFormat="1" x14ac:dyDescent="0.25">
      <c r="A164" s="1335"/>
      <c r="B164" s="1247"/>
      <c r="C164" s="1247"/>
      <c r="D164" s="1247"/>
      <c r="E164" s="1247"/>
      <c r="F164" s="1247"/>
      <c r="G164" s="1328"/>
      <c r="H164" s="1247"/>
      <c r="I164" s="1247"/>
      <c r="J164" s="1281"/>
      <c r="K164" s="1328"/>
      <c r="L164" s="1281"/>
      <c r="M164" s="1328"/>
      <c r="N164" s="1246"/>
      <c r="O164" s="1328"/>
      <c r="P164" s="1246"/>
      <c r="Q164" s="1328"/>
      <c r="R164" s="1246"/>
      <c r="S164" s="1247"/>
      <c r="T164" s="1248"/>
      <c r="U164" s="1247"/>
    </row>
    <row r="165" spans="1:21" s="1272" customFormat="1" x14ac:dyDescent="0.25">
      <c r="A165" s="1335"/>
      <c r="B165" s="1247"/>
      <c r="C165" s="1247"/>
      <c r="D165" s="1247"/>
      <c r="E165" s="1247"/>
      <c r="F165" s="1247"/>
      <c r="G165" s="1247"/>
      <c r="H165" s="1247"/>
      <c r="I165" s="1328"/>
      <c r="J165" s="1246"/>
      <c r="K165" s="1321"/>
      <c r="L165" s="1246"/>
      <c r="M165" s="1321"/>
      <c r="N165" s="1246"/>
      <c r="O165" s="1328"/>
      <c r="P165" s="1246"/>
      <c r="Q165" s="1328"/>
      <c r="R165" s="1246"/>
      <c r="S165" s="1247"/>
      <c r="T165" s="1248"/>
      <c r="U165" s="1247"/>
    </row>
    <row r="166" spans="1:21" s="1272" customFormat="1" x14ac:dyDescent="0.25">
      <c r="A166" s="1335"/>
      <c r="B166" s="1247"/>
      <c r="C166" s="1336"/>
      <c r="D166" s="1336"/>
      <c r="E166" s="1336"/>
      <c r="G166" s="1247"/>
      <c r="H166" s="1247"/>
      <c r="I166" s="1247"/>
      <c r="J166" s="1246"/>
      <c r="K166" s="1328"/>
      <c r="L166" s="1246"/>
      <c r="M166" s="1328"/>
      <c r="N166" s="1246"/>
      <c r="O166" s="1328"/>
      <c r="P166" s="1246"/>
      <c r="Q166" s="1328"/>
      <c r="R166" s="1246"/>
      <c r="S166" s="1247"/>
      <c r="T166" s="1248"/>
      <c r="U166" s="1247"/>
    </row>
    <row r="167" spans="1:21" s="1272" customFormat="1" x14ac:dyDescent="0.25">
      <c r="A167" s="1335"/>
      <c r="B167" s="1247"/>
      <c r="C167" s="1247"/>
      <c r="D167" s="1247"/>
      <c r="E167" s="1247"/>
      <c r="F167" s="1247"/>
      <c r="G167" s="1247"/>
      <c r="H167" s="1247"/>
      <c r="I167" s="1348"/>
      <c r="J167" s="1246"/>
      <c r="K167" s="1328"/>
      <c r="L167" s="1246"/>
      <c r="M167" s="1328"/>
      <c r="N167" s="1246"/>
      <c r="O167" s="1328"/>
      <c r="P167" s="1246"/>
      <c r="Q167" s="1328"/>
      <c r="R167" s="1246"/>
      <c r="S167" s="1247"/>
      <c r="T167" s="1248"/>
      <c r="U167" s="1247"/>
    </row>
    <row r="168" spans="1:21" s="1272" customFormat="1" x14ac:dyDescent="0.25">
      <c r="A168" s="1335"/>
      <c r="B168" s="1247"/>
      <c r="C168" s="1336"/>
      <c r="D168" s="1336"/>
      <c r="E168" s="1336"/>
      <c r="G168" s="1247"/>
      <c r="H168" s="1247"/>
      <c r="I168" s="1247"/>
      <c r="J168" s="1246"/>
      <c r="K168" s="1328"/>
      <c r="L168" s="1246"/>
      <c r="M168" s="1328"/>
      <c r="N168" s="1246"/>
      <c r="O168" s="1328"/>
      <c r="P168" s="1246"/>
      <c r="Q168" s="1328"/>
      <c r="R168" s="1246"/>
      <c r="S168" s="1247"/>
      <c r="T168" s="1248"/>
      <c r="U168" s="1247"/>
    </row>
    <row r="169" spans="1:21" s="1272" customFormat="1" x14ac:dyDescent="0.25">
      <c r="A169" s="1335"/>
      <c r="B169" s="1247"/>
      <c r="C169" s="1336"/>
      <c r="D169" s="1336"/>
      <c r="E169" s="1336"/>
      <c r="G169" s="1247"/>
      <c r="H169" s="1247"/>
      <c r="I169" s="1247"/>
      <c r="J169" s="1246"/>
      <c r="K169" s="1328"/>
      <c r="L169" s="1246"/>
      <c r="M169" s="1328"/>
      <c r="N169" s="1246"/>
      <c r="O169" s="1328"/>
      <c r="P169" s="1246"/>
      <c r="Q169" s="1328"/>
      <c r="R169" s="1246"/>
      <c r="S169" s="1247"/>
      <c r="T169" s="1248"/>
      <c r="U169" s="1247"/>
    </row>
    <row r="170" spans="1:21" s="1272" customFormat="1" x14ac:dyDescent="0.25">
      <c r="A170" s="1335"/>
      <c r="B170" s="1247"/>
      <c r="C170" s="1336"/>
      <c r="D170" s="1336"/>
      <c r="E170" s="1336"/>
      <c r="G170" s="1247"/>
      <c r="H170" s="1247"/>
      <c r="I170" s="1247"/>
      <c r="J170" s="1246"/>
      <c r="K170" s="1328"/>
      <c r="L170" s="1246"/>
      <c r="M170" s="1328"/>
      <c r="N170" s="1246"/>
      <c r="O170" s="1328"/>
      <c r="P170" s="1246"/>
      <c r="Q170" s="1328"/>
      <c r="R170" s="1246"/>
      <c r="S170" s="1247"/>
      <c r="T170" s="1248"/>
      <c r="U170" s="1247"/>
    </row>
    <row r="171" spans="1:21" s="1272" customFormat="1" x14ac:dyDescent="0.25">
      <c r="A171" s="1335"/>
      <c r="B171" s="1247"/>
      <c r="C171" s="1336"/>
      <c r="D171" s="1336"/>
      <c r="E171" s="1336"/>
      <c r="G171" s="1247"/>
      <c r="H171" s="1247"/>
      <c r="I171" s="1247"/>
      <c r="J171" s="1246"/>
      <c r="K171" s="1328"/>
      <c r="L171" s="1246"/>
      <c r="M171" s="1328"/>
      <c r="N171" s="1246"/>
      <c r="O171" s="1328"/>
      <c r="P171" s="1246"/>
      <c r="Q171" s="1328"/>
      <c r="R171" s="1246"/>
      <c r="S171" s="1247"/>
      <c r="T171" s="1248"/>
      <c r="U171" s="1247"/>
    </row>
    <row r="172" spans="1:21" s="1272" customFormat="1" x14ac:dyDescent="0.25">
      <c r="A172" s="1335"/>
      <c r="B172" s="1247"/>
      <c r="C172" s="1336"/>
      <c r="D172" s="1336"/>
      <c r="E172" s="1336"/>
      <c r="G172" s="1247"/>
      <c r="H172" s="1247"/>
      <c r="I172" s="1247"/>
      <c r="J172" s="1246"/>
      <c r="K172" s="1328"/>
      <c r="L172" s="1246"/>
      <c r="M172" s="1328"/>
      <c r="N172" s="1246"/>
      <c r="O172" s="1328"/>
      <c r="P172" s="1246"/>
      <c r="Q172" s="1328"/>
      <c r="R172" s="1246"/>
      <c r="S172" s="1247"/>
      <c r="T172" s="1248"/>
      <c r="U172" s="1247"/>
    </row>
    <row r="173" spans="1:21" s="1272" customFormat="1" x14ac:dyDescent="0.25">
      <c r="A173" s="1335"/>
      <c r="B173" s="1247"/>
      <c r="C173" s="1247"/>
      <c r="D173" s="1247"/>
      <c r="E173" s="1247"/>
      <c r="F173" s="1247"/>
      <c r="G173" s="1247"/>
      <c r="H173" s="1247"/>
      <c r="I173" s="1328"/>
      <c r="J173" s="1246"/>
      <c r="K173" s="1328"/>
      <c r="L173" s="1246"/>
      <c r="M173" s="1328"/>
      <c r="N173" s="1246"/>
      <c r="O173" s="1328"/>
      <c r="P173" s="1246"/>
      <c r="Q173" s="1328"/>
      <c r="R173" s="1246"/>
      <c r="S173" s="1247"/>
      <c r="T173" s="1248"/>
      <c r="U173" s="1247"/>
    </row>
    <row r="174" spans="1:21" s="1272" customFormat="1" x14ac:dyDescent="0.25">
      <c r="A174" s="1335"/>
      <c r="B174" s="1247"/>
      <c r="C174" s="1247"/>
      <c r="D174" s="1247"/>
      <c r="E174" s="1247"/>
      <c r="F174" s="1247"/>
      <c r="G174" s="1247"/>
      <c r="H174" s="1247"/>
      <c r="I174" s="1328"/>
      <c r="J174" s="1246"/>
      <c r="K174" s="1328"/>
      <c r="L174" s="1246"/>
      <c r="M174" s="1328"/>
      <c r="N174" s="1246"/>
      <c r="O174" s="1328"/>
      <c r="P174" s="1246"/>
      <c r="Q174" s="1328"/>
      <c r="R174" s="1246"/>
      <c r="S174" s="1247"/>
      <c r="T174" s="1248"/>
      <c r="U174" s="1247"/>
    </row>
    <row r="175" spans="1:21" s="1272" customFormat="1" x14ac:dyDescent="0.25">
      <c r="A175" s="1335"/>
      <c r="B175" s="1247"/>
      <c r="C175" s="1247"/>
      <c r="D175" s="1247"/>
      <c r="E175" s="1247"/>
      <c r="F175" s="1247"/>
      <c r="G175" s="1247"/>
      <c r="H175" s="1247"/>
      <c r="I175" s="1328"/>
      <c r="J175" s="1246"/>
      <c r="K175" s="1328"/>
      <c r="L175" s="1246"/>
      <c r="M175" s="1328"/>
      <c r="R175" s="1246"/>
      <c r="S175" s="1247"/>
      <c r="T175" s="1248"/>
      <c r="U175" s="1247"/>
    </row>
    <row r="176" spans="1:21" s="1272" customFormat="1" x14ac:dyDescent="0.25">
      <c r="A176" s="1335"/>
      <c r="B176" s="1247"/>
      <c r="C176" s="1247"/>
      <c r="D176" s="1247"/>
      <c r="E176" s="1247"/>
      <c r="F176" s="1247"/>
      <c r="G176" s="1247"/>
      <c r="H176" s="1247"/>
      <c r="I176" s="1328"/>
      <c r="J176" s="1246"/>
      <c r="K176" s="1328"/>
      <c r="L176" s="1246"/>
      <c r="M176" s="1328"/>
      <c r="R176" s="1246"/>
      <c r="S176" s="1247"/>
      <c r="T176" s="1248"/>
      <c r="U176" s="1247"/>
    </row>
    <row r="177" spans="1:21" s="1272" customFormat="1" x14ac:dyDescent="0.25">
      <c r="A177" s="1335"/>
      <c r="B177" s="1247"/>
      <c r="C177" s="1247"/>
      <c r="D177" s="1247"/>
      <c r="E177" s="1247"/>
      <c r="F177" s="1247"/>
      <c r="G177" s="1247"/>
      <c r="H177" s="1247"/>
      <c r="I177" s="1328"/>
      <c r="J177" s="1246"/>
      <c r="K177" s="1321"/>
      <c r="L177" s="1246"/>
      <c r="M177" s="1321"/>
      <c r="N177" s="1247"/>
      <c r="O177" s="1247"/>
      <c r="P177" s="1247"/>
      <c r="Q177" s="1247"/>
      <c r="R177" s="1246"/>
      <c r="S177" s="1247"/>
      <c r="T177" s="1248"/>
      <c r="U177" s="1247"/>
    </row>
    <row r="178" spans="1:21" s="1272" customFormat="1" x14ac:dyDescent="0.25">
      <c r="A178" s="1335"/>
      <c r="B178" s="1247"/>
      <c r="C178" s="1247"/>
      <c r="D178" s="1247"/>
      <c r="E178" s="1247"/>
      <c r="F178" s="1247"/>
      <c r="G178" s="1247"/>
      <c r="H178" s="1247"/>
      <c r="I178" s="1328"/>
      <c r="J178" s="1246"/>
      <c r="K178" s="1321"/>
      <c r="L178" s="1246"/>
      <c r="M178" s="1321"/>
      <c r="N178" s="1338"/>
      <c r="O178" s="1352"/>
      <c r="P178" s="1338"/>
      <c r="Q178" s="1352"/>
      <c r="R178" s="1246"/>
      <c r="S178" s="1247"/>
      <c r="T178" s="1248"/>
      <c r="U178" s="1247"/>
    </row>
    <row r="179" spans="1:21" s="1272" customFormat="1" x14ac:dyDescent="0.25">
      <c r="A179" s="1335"/>
      <c r="B179" s="1247"/>
      <c r="C179" s="1247"/>
      <c r="D179" s="1247"/>
      <c r="E179" s="1247"/>
      <c r="F179" s="1247"/>
      <c r="G179" s="1247"/>
      <c r="H179" s="1247"/>
      <c r="I179" s="1328"/>
      <c r="J179" s="1246"/>
      <c r="K179" s="1321"/>
      <c r="L179" s="1246"/>
      <c r="M179" s="1321"/>
      <c r="N179" s="1321"/>
      <c r="O179" s="1247"/>
      <c r="P179" s="1321"/>
      <c r="Q179" s="1247"/>
      <c r="R179" s="1246"/>
      <c r="S179" s="1247"/>
      <c r="T179" s="1248"/>
      <c r="U179" s="1247"/>
    </row>
    <row r="180" spans="1:21" s="1272" customFormat="1" x14ac:dyDescent="0.25">
      <c r="A180" s="1335"/>
      <c r="B180" s="1247"/>
      <c r="C180" s="1247"/>
      <c r="D180" s="1247"/>
      <c r="E180" s="1247"/>
      <c r="F180" s="1247"/>
      <c r="G180" s="1247"/>
      <c r="H180" s="1247"/>
      <c r="I180" s="1328"/>
      <c r="J180" s="1246"/>
      <c r="K180" s="1321"/>
      <c r="L180" s="1246"/>
      <c r="M180" s="1321"/>
      <c r="N180" s="1344"/>
      <c r="O180" s="1345"/>
      <c r="P180" s="1344"/>
      <c r="Q180" s="1345"/>
      <c r="R180" s="1246"/>
      <c r="S180" s="1247"/>
      <c r="T180" s="1248"/>
      <c r="U180" s="1247"/>
    </row>
    <row r="181" spans="1:21" s="1272" customFormat="1" x14ac:dyDescent="0.25">
      <c r="A181" s="1335"/>
      <c r="B181" s="1247"/>
      <c r="C181" s="1247"/>
      <c r="D181" s="1247"/>
      <c r="E181" s="1247"/>
      <c r="F181" s="1247"/>
      <c r="G181" s="1247"/>
      <c r="H181" s="1247"/>
      <c r="I181" s="1328"/>
      <c r="J181" s="1246"/>
      <c r="K181" s="1321"/>
      <c r="L181" s="1246"/>
      <c r="M181" s="1321"/>
      <c r="N181" s="1336"/>
      <c r="O181" s="1336"/>
      <c r="P181" s="1336"/>
      <c r="Q181" s="1336"/>
      <c r="R181" s="1246"/>
      <c r="S181" s="1247"/>
      <c r="T181" s="1248"/>
      <c r="U181" s="1247"/>
    </row>
    <row r="182" spans="1:21" s="1272" customFormat="1" x14ac:dyDescent="0.25">
      <c r="A182" s="1335"/>
      <c r="B182" s="1247"/>
      <c r="C182" s="1336"/>
      <c r="D182" s="1336"/>
      <c r="E182" s="1336"/>
      <c r="G182" s="1247"/>
      <c r="H182" s="1247"/>
      <c r="I182" s="1247"/>
      <c r="J182" s="1246"/>
      <c r="K182" s="1328"/>
      <c r="L182" s="1246"/>
      <c r="M182" s="1328"/>
      <c r="N182" s="1336"/>
      <c r="O182" s="1321"/>
      <c r="P182" s="1336"/>
      <c r="Q182" s="1321"/>
      <c r="R182" s="1246"/>
      <c r="S182" s="1247"/>
      <c r="T182" s="1248"/>
      <c r="U182" s="1247"/>
    </row>
    <row r="183" spans="1:21" s="1272" customFormat="1" x14ac:dyDescent="0.25">
      <c r="A183" s="1335"/>
      <c r="B183" s="1247"/>
      <c r="C183" s="1336"/>
      <c r="D183" s="1336"/>
      <c r="E183" s="1336"/>
      <c r="G183" s="1247"/>
      <c r="H183" s="1247"/>
      <c r="I183" s="1247"/>
      <c r="J183" s="1246"/>
      <c r="K183" s="1328"/>
      <c r="L183" s="1246"/>
      <c r="M183" s="1328"/>
      <c r="N183" s="1336"/>
      <c r="O183" s="1321"/>
      <c r="P183" s="1336"/>
      <c r="Q183" s="1321"/>
      <c r="R183" s="1246"/>
      <c r="S183" s="1247"/>
      <c r="T183" s="1248"/>
      <c r="U183" s="1247"/>
    </row>
    <row r="184" spans="1:21" s="1272" customFormat="1" x14ac:dyDescent="0.25">
      <c r="A184" s="1335"/>
      <c r="B184" s="1247"/>
      <c r="C184" s="1336"/>
      <c r="D184" s="1336"/>
      <c r="E184" s="1336"/>
      <c r="G184" s="1247"/>
      <c r="H184" s="1247"/>
      <c r="I184" s="1247"/>
      <c r="J184" s="1246"/>
      <c r="K184" s="1321"/>
      <c r="L184" s="1246"/>
      <c r="M184" s="1321"/>
      <c r="N184" s="1336"/>
      <c r="O184" s="1321"/>
      <c r="P184" s="1336"/>
      <c r="Q184" s="1321"/>
      <c r="R184" s="1246"/>
      <c r="S184" s="1247"/>
      <c r="T184" s="1248"/>
      <c r="U184" s="1247"/>
    </row>
    <row r="185" spans="1:21" s="1272" customFormat="1" x14ac:dyDescent="0.25">
      <c r="A185" s="1335"/>
      <c r="B185" s="1247"/>
      <c r="C185" s="1336"/>
      <c r="D185" s="1336"/>
      <c r="E185" s="1336"/>
      <c r="G185" s="1247"/>
      <c r="H185" s="1247"/>
      <c r="I185" s="1247"/>
      <c r="J185" s="1246"/>
      <c r="K185" s="1328"/>
      <c r="L185" s="1246"/>
      <c r="M185" s="1328"/>
      <c r="N185" s="1336"/>
      <c r="O185" s="1321"/>
      <c r="P185" s="1336"/>
      <c r="Q185" s="1321"/>
      <c r="R185" s="1246"/>
      <c r="S185" s="1247"/>
      <c r="T185" s="1248"/>
      <c r="U185" s="1247"/>
    </row>
    <row r="186" spans="1:21" s="1272" customFormat="1" x14ac:dyDescent="0.25">
      <c r="A186" s="1335"/>
      <c r="B186" s="1247"/>
      <c r="C186" s="1336"/>
      <c r="D186" s="1336"/>
      <c r="E186" s="1336"/>
      <c r="G186" s="1247"/>
      <c r="H186" s="1247"/>
      <c r="I186" s="1247"/>
      <c r="J186" s="1246"/>
      <c r="K186" s="1328"/>
      <c r="L186" s="1246"/>
      <c r="M186" s="1328"/>
      <c r="N186" s="1336"/>
      <c r="O186" s="1321"/>
      <c r="P186" s="1336"/>
      <c r="Q186" s="1321"/>
      <c r="R186" s="1246"/>
      <c r="S186" s="1247"/>
      <c r="T186" s="1248"/>
      <c r="U186" s="1247"/>
    </row>
    <row r="187" spans="1:21" s="1272" customFormat="1" x14ac:dyDescent="0.25">
      <c r="A187" s="1335"/>
      <c r="B187" s="1247"/>
      <c r="C187" s="1247"/>
      <c r="D187" s="1247"/>
      <c r="E187" s="1247"/>
      <c r="F187" s="1247"/>
      <c r="G187" s="1247"/>
      <c r="H187" s="1247"/>
      <c r="I187" s="1247"/>
      <c r="J187" s="1246"/>
      <c r="K187" s="1321"/>
      <c r="L187" s="1246"/>
      <c r="M187" s="1321"/>
      <c r="N187" s="1336"/>
      <c r="O187" s="1321" t="s">
        <v>280</v>
      </c>
      <c r="P187" s="1336"/>
      <c r="Q187" s="1321" t="s">
        <v>280</v>
      </c>
      <c r="R187" s="1246"/>
      <c r="S187" s="1247"/>
      <c r="T187" s="1248"/>
      <c r="U187" s="1247"/>
    </row>
    <row r="188" spans="1:21" s="1272" customFormat="1" x14ac:dyDescent="0.25">
      <c r="A188" s="1335"/>
      <c r="B188" s="1247"/>
      <c r="C188" s="1247"/>
      <c r="D188" s="1247"/>
      <c r="E188" s="1247"/>
      <c r="F188" s="1247"/>
      <c r="G188" s="1247"/>
      <c r="H188" s="1247"/>
      <c r="I188" s="1247"/>
      <c r="J188" s="1246"/>
      <c r="K188" s="1321"/>
      <c r="L188" s="1246"/>
      <c r="M188" s="1321"/>
      <c r="N188" s="1336"/>
      <c r="O188" s="1321"/>
      <c r="P188" s="1336"/>
      <c r="Q188" s="1321"/>
      <c r="R188" s="1246"/>
      <c r="S188" s="1247"/>
      <c r="T188" s="1248"/>
      <c r="U188" s="1247"/>
    </row>
    <row r="189" spans="1:21" s="1272" customFormat="1" x14ac:dyDescent="0.25">
      <c r="A189" s="1335"/>
      <c r="B189" s="1247"/>
      <c r="C189" s="1247"/>
      <c r="D189" s="1247"/>
      <c r="E189" s="1247"/>
      <c r="F189" s="1247"/>
      <c r="G189" s="1247"/>
      <c r="H189" s="1247"/>
      <c r="I189" s="1247"/>
      <c r="J189" s="1246"/>
      <c r="K189" s="1321"/>
      <c r="L189" s="1246"/>
      <c r="M189" s="1321"/>
      <c r="N189" s="1336"/>
      <c r="O189" s="1328"/>
      <c r="P189" s="1336"/>
      <c r="Q189" s="1328"/>
      <c r="R189" s="1246"/>
      <c r="S189" s="1247"/>
      <c r="T189" s="1248"/>
      <c r="U189" s="1247"/>
    </row>
    <row r="190" spans="1:21" s="1272" customFormat="1" x14ac:dyDescent="0.25">
      <c r="A190" s="1335"/>
      <c r="B190" s="1247"/>
      <c r="C190" s="1247"/>
      <c r="D190" s="1247"/>
      <c r="E190" s="1247"/>
      <c r="F190" s="1247"/>
      <c r="G190" s="1247"/>
      <c r="H190" s="1247"/>
      <c r="I190" s="1247"/>
      <c r="J190" s="1246"/>
      <c r="K190" s="1321"/>
      <c r="L190" s="1246"/>
      <c r="M190" s="1321"/>
      <c r="N190" s="1246"/>
      <c r="O190" s="1328"/>
      <c r="P190" s="1246"/>
      <c r="Q190" s="1328"/>
      <c r="R190" s="1246"/>
      <c r="S190" s="1247"/>
      <c r="T190" s="1248"/>
      <c r="U190" s="1247"/>
    </row>
    <row r="191" spans="1:21" s="1272" customFormat="1" x14ac:dyDescent="0.25">
      <c r="A191" s="1335"/>
      <c r="B191" s="1247"/>
      <c r="C191" s="1247"/>
      <c r="D191" s="1247"/>
      <c r="E191" s="1247"/>
      <c r="F191" s="1247"/>
      <c r="G191" s="1247"/>
      <c r="H191" s="1247"/>
      <c r="I191" s="1247"/>
      <c r="J191" s="1246"/>
      <c r="K191" s="1328"/>
      <c r="L191" s="1246"/>
      <c r="M191" s="1328"/>
      <c r="N191" s="1247"/>
      <c r="O191" s="1328"/>
      <c r="P191" s="1247"/>
      <c r="Q191" s="1328"/>
      <c r="R191" s="1246"/>
      <c r="S191" s="1247"/>
      <c r="T191" s="1248"/>
      <c r="U191" s="1247"/>
    </row>
    <row r="192" spans="1:21" s="1272" customFormat="1" x14ac:dyDescent="0.25">
      <c r="A192" s="1335"/>
      <c r="B192" s="1247"/>
      <c r="C192" s="1247"/>
      <c r="D192" s="1247"/>
      <c r="E192" s="1247"/>
      <c r="F192" s="1247"/>
      <c r="G192" s="1247"/>
      <c r="H192" s="1247"/>
      <c r="I192" s="1247"/>
      <c r="J192" s="1353"/>
      <c r="K192" s="1348"/>
      <c r="L192" s="1353"/>
      <c r="M192" s="1348"/>
      <c r="N192" s="1246"/>
      <c r="O192" s="1321"/>
      <c r="P192" s="1246"/>
      <c r="Q192" s="1321"/>
      <c r="R192" s="1246"/>
      <c r="S192" s="1247"/>
      <c r="T192" s="1248"/>
      <c r="U192" s="1247"/>
    </row>
    <row r="193" spans="1:21" s="1272" customFormat="1" x14ac:dyDescent="0.25">
      <c r="A193" s="1335"/>
      <c r="B193" s="1247"/>
      <c r="C193" s="1247"/>
      <c r="D193" s="1247"/>
      <c r="E193" s="1247"/>
      <c r="F193" s="1247"/>
      <c r="G193" s="1247"/>
      <c r="H193" s="1247"/>
      <c r="I193" s="1247"/>
      <c r="J193" s="1352"/>
      <c r="K193" s="1352"/>
      <c r="L193" s="1352"/>
      <c r="M193" s="1352"/>
      <c r="N193" s="1246"/>
      <c r="O193" s="1321"/>
      <c r="P193" s="1246"/>
      <c r="Q193" s="1321"/>
      <c r="R193" s="1246"/>
      <c r="S193" s="1247"/>
      <c r="T193" s="1248"/>
      <c r="U193" s="1247"/>
    </row>
    <row r="194" spans="1:21" s="1272" customFormat="1" x14ac:dyDescent="0.25">
      <c r="A194" s="1335"/>
      <c r="B194" s="1247"/>
      <c r="C194" s="1247"/>
      <c r="D194" s="1247"/>
      <c r="E194" s="1247"/>
      <c r="F194" s="1247"/>
      <c r="G194" s="1247"/>
      <c r="H194" s="1247"/>
      <c r="I194" s="1247"/>
      <c r="J194" s="1247"/>
      <c r="K194" s="1247"/>
      <c r="L194" s="1247"/>
      <c r="M194" s="1247"/>
      <c r="N194" s="1246"/>
      <c r="O194" s="1321"/>
      <c r="P194" s="1246"/>
      <c r="Q194" s="1321"/>
      <c r="R194" s="1246"/>
      <c r="S194" s="1247"/>
      <c r="T194" s="1248"/>
      <c r="U194" s="1247"/>
    </row>
    <row r="195" spans="1:21" s="1272" customFormat="1" x14ac:dyDescent="0.25">
      <c r="A195" s="1335"/>
      <c r="B195" s="1247"/>
      <c r="C195" s="1247"/>
      <c r="D195" s="1247"/>
      <c r="E195" s="1247"/>
      <c r="F195" s="1247"/>
      <c r="G195" s="1247"/>
      <c r="H195" s="1247"/>
      <c r="I195" s="1247"/>
      <c r="J195" s="1247"/>
      <c r="K195" s="1247"/>
      <c r="L195" s="1247"/>
      <c r="M195" s="1247"/>
      <c r="N195" s="1246"/>
      <c r="O195" s="1247"/>
      <c r="P195" s="1246"/>
      <c r="Q195" s="1247"/>
      <c r="R195" s="1246"/>
      <c r="S195" s="1247"/>
      <c r="T195" s="1248"/>
      <c r="U195" s="1247"/>
    </row>
    <row r="196" spans="1:21" s="1272" customFormat="1" x14ac:dyDescent="0.25">
      <c r="A196" s="1335"/>
      <c r="B196" s="1247"/>
      <c r="C196" s="1247"/>
      <c r="D196" s="1247"/>
      <c r="E196" s="1247"/>
      <c r="F196" s="1247"/>
      <c r="G196" s="1247"/>
      <c r="H196" s="1247"/>
      <c r="I196" s="1247"/>
      <c r="J196" s="1247"/>
      <c r="K196" s="1247"/>
      <c r="L196" s="1247"/>
      <c r="M196" s="1247"/>
      <c r="N196" s="1247"/>
      <c r="O196" s="1247"/>
      <c r="P196" s="1247"/>
      <c r="Q196" s="1247"/>
      <c r="R196" s="1246"/>
      <c r="S196" s="1247"/>
      <c r="T196" s="1248"/>
      <c r="U196" s="1247"/>
    </row>
    <row r="197" spans="1:21" s="1272" customFormat="1" x14ac:dyDescent="0.25">
      <c r="A197" s="1335"/>
      <c r="B197" s="1247"/>
      <c r="C197" s="1247"/>
      <c r="D197" s="1247"/>
      <c r="E197" s="1247"/>
      <c r="F197" s="1247"/>
      <c r="G197" s="1247"/>
      <c r="H197" s="1247"/>
      <c r="I197" s="1247"/>
      <c r="J197" s="1247"/>
      <c r="K197" s="1247"/>
      <c r="L197" s="1247"/>
      <c r="M197" s="1247"/>
      <c r="N197" s="1247"/>
      <c r="O197" s="1247"/>
      <c r="P197" s="1247"/>
      <c r="Q197" s="1247"/>
      <c r="R197" s="1246"/>
      <c r="S197" s="1247"/>
      <c r="T197" s="1248"/>
      <c r="U197" s="1247"/>
    </row>
    <row r="198" spans="1:21" s="1272" customFormat="1" x14ac:dyDescent="0.25">
      <c r="A198" s="1335"/>
      <c r="B198" s="1247"/>
      <c r="C198" s="1247"/>
      <c r="D198" s="1247"/>
      <c r="E198" s="1247"/>
      <c r="F198" s="1247"/>
      <c r="G198" s="1247"/>
      <c r="H198" s="1247"/>
      <c r="I198" s="1247"/>
      <c r="J198" s="1336"/>
      <c r="K198" s="1336"/>
      <c r="L198" s="1336"/>
      <c r="M198" s="1336"/>
      <c r="N198" s="1349"/>
      <c r="O198" s="1247"/>
      <c r="P198" s="1349"/>
      <c r="Q198" s="1247"/>
      <c r="R198" s="1246"/>
      <c r="S198" s="1247"/>
      <c r="T198" s="1248"/>
      <c r="U198" s="1247"/>
    </row>
    <row r="199" spans="1:21" s="1272" customFormat="1" x14ac:dyDescent="0.25">
      <c r="A199" s="1335"/>
      <c r="B199" s="1247"/>
      <c r="C199" s="1247"/>
      <c r="D199" s="1247"/>
      <c r="E199" s="1247"/>
      <c r="F199" s="1247"/>
      <c r="G199" s="1247"/>
      <c r="H199" s="1247"/>
      <c r="I199" s="1247"/>
      <c r="J199" s="1247"/>
      <c r="K199" s="1247"/>
      <c r="L199" s="1247"/>
      <c r="M199" s="1247"/>
      <c r="N199" s="1247"/>
      <c r="O199" s="1321"/>
      <c r="P199" s="1247"/>
      <c r="Q199" s="1321"/>
      <c r="R199" s="1246"/>
      <c r="S199" s="1247"/>
      <c r="T199" s="1248"/>
      <c r="U199" s="1247"/>
    </row>
    <row r="200" spans="1:21" s="1272" customFormat="1" x14ac:dyDescent="0.25">
      <c r="A200" s="1335"/>
      <c r="B200" s="1247"/>
      <c r="C200" s="1247"/>
      <c r="D200" s="1247"/>
      <c r="E200" s="1247"/>
      <c r="F200" s="1247"/>
      <c r="G200" s="1247"/>
      <c r="H200" s="1247"/>
      <c r="I200" s="1247"/>
      <c r="J200" s="1247"/>
      <c r="K200" s="1247"/>
      <c r="L200" s="1247"/>
      <c r="M200" s="1247"/>
      <c r="O200" s="1247"/>
      <c r="Q200" s="1247"/>
      <c r="R200" s="1246"/>
      <c r="S200" s="1247"/>
      <c r="T200" s="1248"/>
      <c r="U200" s="1247"/>
    </row>
    <row r="201" spans="1:21" s="1272" customFormat="1" x14ac:dyDescent="0.25">
      <c r="A201" s="1335"/>
      <c r="B201" s="1247"/>
      <c r="C201" s="1247"/>
      <c r="D201" s="1247"/>
      <c r="E201" s="1247"/>
      <c r="F201" s="1247"/>
      <c r="G201" s="1247"/>
      <c r="H201" s="1247"/>
      <c r="I201" s="1247"/>
      <c r="J201" s="1247"/>
      <c r="K201" s="1247"/>
      <c r="L201" s="1247"/>
      <c r="M201" s="1247"/>
      <c r="N201" s="1247"/>
      <c r="O201" s="1247"/>
      <c r="P201" s="1247"/>
      <c r="Q201" s="1247"/>
      <c r="R201" s="1246"/>
      <c r="S201" s="1247"/>
      <c r="T201" s="1248"/>
      <c r="U201" s="1247"/>
    </row>
    <row r="202" spans="1:21" s="1272" customFormat="1" x14ac:dyDescent="0.25">
      <c r="A202" s="1335"/>
      <c r="B202" s="1247"/>
      <c r="C202" s="1247"/>
      <c r="D202" s="1247"/>
      <c r="E202" s="1247"/>
      <c r="F202" s="1247"/>
      <c r="G202" s="1247"/>
      <c r="H202" s="1247"/>
      <c r="I202" s="1247"/>
      <c r="J202" s="1247"/>
      <c r="K202" s="1247"/>
      <c r="L202" s="1247"/>
      <c r="M202" s="1247"/>
      <c r="N202" s="1246"/>
      <c r="O202" s="1328"/>
      <c r="P202" s="1246"/>
      <c r="Q202" s="1328"/>
      <c r="R202" s="1246"/>
      <c r="S202" s="1247"/>
      <c r="T202" s="1248"/>
      <c r="U202" s="1247"/>
    </row>
    <row r="203" spans="1:21" s="1272" customFormat="1" x14ac:dyDescent="0.25">
      <c r="A203" s="1335"/>
      <c r="B203" s="1247"/>
      <c r="C203" s="1247"/>
      <c r="D203" s="1247"/>
      <c r="E203" s="1247"/>
      <c r="F203" s="1247"/>
      <c r="G203" s="1247"/>
      <c r="H203" s="1247"/>
      <c r="I203" s="1247"/>
      <c r="J203" s="1247"/>
      <c r="K203" s="1247"/>
      <c r="L203" s="1247"/>
      <c r="M203" s="1247"/>
      <c r="N203" s="1246"/>
      <c r="O203" s="1328"/>
      <c r="P203" s="1246"/>
      <c r="Q203" s="1328"/>
      <c r="R203" s="1246"/>
      <c r="S203" s="1247"/>
      <c r="T203" s="1248"/>
      <c r="U203" s="1247"/>
    </row>
    <row r="204" spans="1:21" s="1272" customFormat="1" x14ac:dyDescent="0.25">
      <c r="A204" s="1335"/>
      <c r="B204" s="1247"/>
      <c r="C204" s="1247"/>
      <c r="D204" s="1247"/>
      <c r="E204" s="1247"/>
      <c r="F204" s="1247"/>
      <c r="G204" s="1247"/>
      <c r="H204" s="1247"/>
      <c r="I204" s="1247"/>
      <c r="J204" s="1247"/>
      <c r="K204" s="1247"/>
      <c r="L204" s="1247"/>
      <c r="M204" s="1247"/>
      <c r="N204" s="1246"/>
      <c r="O204" s="1328"/>
      <c r="P204" s="1246"/>
      <c r="Q204" s="1328"/>
      <c r="R204" s="1246"/>
      <c r="S204" s="1247"/>
      <c r="T204" s="1248"/>
      <c r="U204" s="1247"/>
    </row>
    <row r="205" spans="1:21" s="1272" customFormat="1" x14ac:dyDescent="0.25">
      <c r="A205" s="1335"/>
      <c r="B205" s="1247"/>
      <c r="C205" s="1247"/>
      <c r="D205" s="1247"/>
      <c r="E205" s="1247"/>
      <c r="F205" s="1247"/>
      <c r="G205" s="1247"/>
      <c r="H205" s="1247"/>
      <c r="I205" s="1247"/>
      <c r="J205" s="1336"/>
      <c r="K205" s="1336"/>
      <c r="L205" s="1336"/>
      <c r="M205" s="1336"/>
      <c r="O205" s="1328"/>
      <c r="Q205" s="1328"/>
      <c r="R205" s="1246"/>
      <c r="S205" s="1247"/>
      <c r="T205" s="1248"/>
      <c r="U205" s="1247"/>
    </row>
    <row r="206" spans="1:21" s="1272" customFormat="1" x14ac:dyDescent="0.25">
      <c r="A206" s="1335"/>
      <c r="B206" s="1247"/>
      <c r="C206" s="1247"/>
      <c r="D206" s="1247"/>
      <c r="E206" s="1247"/>
      <c r="F206" s="1247"/>
      <c r="G206" s="1247"/>
      <c r="H206" s="1247"/>
      <c r="I206" s="1247"/>
      <c r="J206" s="1247"/>
      <c r="K206" s="1247"/>
      <c r="L206" s="1247"/>
      <c r="M206" s="1247"/>
      <c r="N206" s="1246"/>
      <c r="O206" s="1328"/>
      <c r="P206" s="1246"/>
      <c r="Q206" s="1328"/>
      <c r="R206" s="1246"/>
      <c r="S206" s="1247"/>
      <c r="T206" s="1248"/>
      <c r="U206" s="1247"/>
    </row>
    <row r="207" spans="1:21" s="1272" customFormat="1" x14ac:dyDescent="0.25">
      <c r="A207" s="1335"/>
      <c r="B207" s="1247"/>
      <c r="C207" s="1247"/>
      <c r="D207" s="1247"/>
      <c r="E207" s="1247"/>
      <c r="F207" s="1247"/>
      <c r="G207" s="1247"/>
      <c r="H207" s="1247"/>
      <c r="I207" s="1247"/>
      <c r="J207" s="1247"/>
      <c r="K207" s="1247"/>
      <c r="L207" s="1247"/>
      <c r="M207" s="1247"/>
      <c r="N207" s="1246"/>
      <c r="O207" s="1321"/>
      <c r="P207" s="1246"/>
      <c r="Q207" s="1321"/>
      <c r="R207" s="1246"/>
      <c r="S207" s="1247"/>
      <c r="T207" s="1248"/>
      <c r="U207" s="1247"/>
    </row>
    <row r="208" spans="1:21" s="1272" customFormat="1" x14ac:dyDescent="0.25">
      <c r="A208" s="1335"/>
      <c r="B208" s="1247"/>
      <c r="C208" s="1247"/>
      <c r="D208" s="1247"/>
      <c r="E208" s="1247"/>
      <c r="F208" s="1247"/>
      <c r="G208" s="1247"/>
      <c r="H208" s="1247"/>
      <c r="I208" s="1247"/>
      <c r="J208" s="1247"/>
      <c r="K208" s="1247"/>
      <c r="L208" s="1247"/>
      <c r="M208" s="1247"/>
      <c r="N208" s="1246"/>
      <c r="O208" s="1328"/>
      <c r="P208" s="1246"/>
      <c r="Q208" s="1328"/>
      <c r="R208" s="1246"/>
      <c r="S208" s="1247"/>
      <c r="T208" s="1248"/>
      <c r="U208" s="1247"/>
    </row>
    <row r="209" spans="1:21" s="1272" customFormat="1" x14ac:dyDescent="0.25">
      <c r="A209" s="1335"/>
      <c r="B209" s="1247"/>
      <c r="C209" s="1247"/>
      <c r="D209" s="1247"/>
      <c r="E209" s="1247"/>
      <c r="F209" s="1247"/>
      <c r="G209" s="1247"/>
      <c r="H209" s="1247"/>
      <c r="I209" s="1247"/>
      <c r="J209" s="1247"/>
      <c r="K209" s="1247"/>
      <c r="L209" s="1247"/>
      <c r="M209" s="1247"/>
      <c r="N209" s="1281"/>
      <c r="O209" s="1328"/>
      <c r="P209" s="1281"/>
      <c r="Q209" s="1328"/>
      <c r="R209" s="1246"/>
      <c r="S209" s="1247"/>
      <c r="T209" s="1248"/>
      <c r="U209" s="1247"/>
    </row>
    <row r="210" spans="1:21" s="1272" customFormat="1" x14ac:dyDescent="0.25">
      <c r="A210" s="1335"/>
      <c r="B210" s="1247"/>
      <c r="C210" s="1247"/>
      <c r="D210" s="1247"/>
      <c r="E210" s="1247"/>
      <c r="F210" s="1247"/>
      <c r="G210" s="1247"/>
      <c r="H210" s="1247"/>
      <c r="I210" s="1247"/>
      <c r="J210" s="1247"/>
      <c r="K210" s="1247"/>
      <c r="L210" s="1247"/>
      <c r="M210" s="1247"/>
      <c r="N210" s="1246"/>
      <c r="O210" s="1321"/>
      <c r="P210" s="1246"/>
      <c r="Q210" s="1321"/>
      <c r="R210" s="1246"/>
      <c r="S210" s="1247"/>
      <c r="T210" s="1248"/>
      <c r="U210" s="1247"/>
    </row>
    <row r="211" spans="1:21" s="1272" customFormat="1" x14ac:dyDescent="0.25">
      <c r="A211" s="1335"/>
      <c r="B211" s="1247"/>
      <c r="C211" s="1247"/>
      <c r="D211" s="1247"/>
      <c r="E211" s="1247"/>
      <c r="F211" s="1247"/>
      <c r="G211" s="1247"/>
      <c r="H211" s="1247"/>
      <c r="I211" s="1247"/>
      <c r="J211" s="1247"/>
      <c r="K211" s="1247"/>
      <c r="L211" s="1247"/>
      <c r="M211" s="1247"/>
      <c r="N211" s="1246"/>
      <c r="O211" s="1328"/>
      <c r="P211" s="1246"/>
      <c r="Q211" s="1328"/>
      <c r="R211" s="1246"/>
      <c r="S211" s="1247"/>
      <c r="T211" s="1248"/>
      <c r="U211" s="1247"/>
    </row>
    <row r="212" spans="1:21" s="1272" customFormat="1" x14ac:dyDescent="0.25">
      <c r="A212" s="1335"/>
      <c r="B212" s="1247"/>
      <c r="C212" s="1247"/>
      <c r="D212" s="1247"/>
      <c r="E212" s="1247"/>
      <c r="F212" s="1247"/>
      <c r="G212" s="1247"/>
      <c r="H212" s="1247"/>
      <c r="I212" s="1247"/>
      <c r="J212" s="1349"/>
      <c r="L212" s="1349"/>
      <c r="N212" s="1246"/>
      <c r="O212" s="1328"/>
      <c r="P212" s="1246"/>
      <c r="Q212" s="1328"/>
      <c r="R212" s="1246"/>
      <c r="S212" s="1247"/>
      <c r="T212" s="1248"/>
      <c r="U212" s="1247"/>
    </row>
    <row r="213" spans="1:21" s="1272" customFormat="1" x14ac:dyDescent="0.25">
      <c r="A213" s="1335"/>
      <c r="B213" s="1247"/>
      <c r="C213" s="1247"/>
      <c r="D213" s="1247"/>
      <c r="E213" s="1247"/>
      <c r="F213" s="1247"/>
      <c r="G213" s="1247"/>
      <c r="H213" s="1247"/>
      <c r="I213" s="1247"/>
      <c r="J213" s="1247"/>
      <c r="K213" s="1247"/>
      <c r="L213" s="1247"/>
      <c r="M213" s="1247"/>
      <c r="N213" s="1246"/>
      <c r="O213" s="1328"/>
      <c r="P213" s="1246"/>
      <c r="Q213" s="1328"/>
      <c r="R213" s="1246"/>
      <c r="S213" s="1247"/>
      <c r="T213" s="1248"/>
      <c r="U213" s="1247"/>
    </row>
    <row r="214" spans="1:21" x14ac:dyDescent="0.25">
      <c r="N214" s="1246"/>
      <c r="O214" s="1328"/>
      <c r="P214" s="1246"/>
      <c r="Q214" s="1328"/>
    </row>
    <row r="215" spans="1:21" x14ac:dyDescent="0.25">
      <c r="N215" s="1246"/>
      <c r="O215" s="1328"/>
      <c r="P215" s="1246"/>
      <c r="Q215" s="1328"/>
    </row>
    <row r="216" spans="1:21" x14ac:dyDescent="0.25">
      <c r="N216" s="1246"/>
      <c r="O216" s="1328"/>
      <c r="P216" s="1246"/>
      <c r="Q216" s="1328"/>
    </row>
    <row r="217" spans="1:21" x14ac:dyDescent="0.25">
      <c r="N217" s="1246"/>
      <c r="O217" s="1328"/>
      <c r="P217" s="1246"/>
      <c r="Q217" s="1328"/>
    </row>
    <row r="218" spans="1:21" x14ac:dyDescent="0.25">
      <c r="N218" s="1246"/>
      <c r="O218" s="1328"/>
      <c r="P218" s="1246"/>
      <c r="Q218" s="1328"/>
    </row>
    <row r="219" spans="1:21" x14ac:dyDescent="0.25">
      <c r="N219" s="1246"/>
      <c r="O219" s="1328"/>
      <c r="P219" s="1246"/>
      <c r="Q219" s="1328"/>
    </row>
    <row r="220" spans="1:21" s="1272" customFormat="1" x14ac:dyDescent="0.25">
      <c r="A220" s="1335"/>
      <c r="B220" s="1247"/>
      <c r="C220" s="1247"/>
      <c r="D220" s="1247"/>
      <c r="E220" s="1247"/>
      <c r="F220" s="1247"/>
      <c r="G220" s="1247"/>
      <c r="H220" s="1247"/>
      <c r="I220" s="1247"/>
      <c r="J220" s="1247"/>
      <c r="K220" s="1328"/>
      <c r="L220" s="1247"/>
      <c r="M220" s="1328"/>
      <c r="N220" s="1246"/>
      <c r="O220" s="1328"/>
      <c r="P220" s="1246"/>
      <c r="Q220" s="1328"/>
      <c r="R220" s="1246"/>
      <c r="S220" s="1247"/>
      <c r="T220" s="1248"/>
      <c r="U220" s="1247"/>
    </row>
    <row r="221" spans="1:21" s="1272" customFormat="1" x14ac:dyDescent="0.25">
      <c r="A221" s="1335"/>
      <c r="B221" s="1247"/>
      <c r="C221" s="1247"/>
      <c r="D221" s="1247"/>
      <c r="E221" s="1247"/>
      <c r="F221" s="1247"/>
      <c r="G221" s="1247"/>
      <c r="H221" s="1247"/>
      <c r="I221" s="1247"/>
      <c r="J221" s="1247"/>
      <c r="K221" s="1328"/>
      <c r="L221" s="1247"/>
      <c r="M221" s="1328"/>
      <c r="N221" s="1246"/>
      <c r="O221" s="1328"/>
      <c r="P221" s="1246"/>
      <c r="Q221" s="1328"/>
      <c r="R221" s="1246"/>
      <c r="S221" s="1247"/>
      <c r="T221" s="1248"/>
      <c r="U221" s="1247"/>
    </row>
    <row r="222" spans="1:21" s="1272" customFormat="1" x14ac:dyDescent="0.25">
      <c r="A222" s="1335"/>
      <c r="B222" s="1247"/>
      <c r="C222" s="1247"/>
      <c r="D222" s="1247"/>
      <c r="E222" s="1247"/>
      <c r="F222" s="1247"/>
      <c r="G222" s="1247"/>
      <c r="H222" s="1247"/>
      <c r="I222" s="1247"/>
      <c r="J222" s="1247"/>
      <c r="K222" s="1328"/>
      <c r="L222" s="1247"/>
      <c r="M222" s="1328"/>
      <c r="N222" s="1246"/>
      <c r="O222" s="1321"/>
      <c r="P222" s="1246"/>
      <c r="Q222" s="1321"/>
      <c r="R222" s="1246"/>
      <c r="S222" s="1247"/>
      <c r="T222" s="1248"/>
      <c r="U222" s="1247"/>
    </row>
    <row r="223" spans="1:21" s="1272" customFormat="1" x14ac:dyDescent="0.25">
      <c r="A223" s="1335"/>
      <c r="B223" s="1247"/>
      <c r="C223" s="1247"/>
      <c r="D223" s="1247"/>
      <c r="E223" s="1247"/>
      <c r="F223" s="1247"/>
      <c r="G223" s="1247"/>
      <c r="H223" s="1247"/>
      <c r="I223" s="1247"/>
      <c r="J223" s="1247"/>
      <c r="K223" s="1328"/>
      <c r="L223" s="1247"/>
      <c r="M223" s="1328"/>
      <c r="N223" s="1246"/>
      <c r="O223" s="1321"/>
      <c r="P223" s="1246"/>
      <c r="Q223" s="1321"/>
      <c r="R223" s="1246"/>
      <c r="S223" s="1247"/>
      <c r="T223" s="1248"/>
      <c r="U223" s="1247"/>
    </row>
    <row r="224" spans="1:21" x14ac:dyDescent="0.25">
      <c r="N224" s="1246"/>
      <c r="O224" s="1321"/>
      <c r="P224" s="1246"/>
      <c r="Q224" s="1321"/>
    </row>
    <row r="225" spans="1:21" s="1272" customFormat="1" x14ac:dyDescent="0.25">
      <c r="A225" s="1335"/>
      <c r="B225" s="1247"/>
      <c r="C225" s="1247"/>
      <c r="D225" s="1247"/>
      <c r="E225" s="1247"/>
      <c r="F225" s="1247"/>
      <c r="G225" s="1247"/>
      <c r="H225" s="1247"/>
      <c r="I225" s="1247"/>
      <c r="J225" s="1247"/>
      <c r="K225" s="1328"/>
      <c r="L225" s="1247"/>
      <c r="M225" s="1328"/>
      <c r="N225" s="1246"/>
      <c r="O225" s="1321"/>
      <c r="P225" s="1246"/>
      <c r="Q225" s="1321"/>
      <c r="R225" s="1246"/>
      <c r="S225" s="1247"/>
      <c r="T225" s="1248"/>
      <c r="U225" s="1247"/>
    </row>
    <row r="226" spans="1:21" x14ac:dyDescent="0.25">
      <c r="N226" s="1246"/>
      <c r="O226" s="1321"/>
      <c r="P226" s="1246"/>
      <c r="Q226" s="1321"/>
    </row>
    <row r="227" spans="1:21" s="1272" customFormat="1" x14ac:dyDescent="0.25">
      <c r="A227" s="1335"/>
      <c r="B227" s="1247"/>
      <c r="C227" s="1247"/>
      <c r="D227" s="1247"/>
      <c r="E227" s="1247"/>
      <c r="F227" s="1247"/>
      <c r="G227" s="1247"/>
      <c r="H227" s="1247"/>
      <c r="I227" s="1247"/>
      <c r="J227" s="1247"/>
      <c r="K227" s="1348"/>
      <c r="L227" s="1247"/>
      <c r="M227" s="1348"/>
      <c r="N227" s="1246"/>
      <c r="O227" s="1328"/>
      <c r="P227" s="1246"/>
      <c r="Q227" s="1328"/>
      <c r="R227" s="1246"/>
      <c r="S227" s="1247"/>
      <c r="T227" s="1248"/>
      <c r="U227" s="1247"/>
    </row>
    <row r="228" spans="1:21" x14ac:dyDescent="0.25">
      <c r="N228" s="1246"/>
      <c r="O228" s="1328"/>
      <c r="P228" s="1246"/>
      <c r="Q228" s="1328"/>
    </row>
    <row r="229" spans="1:21" x14ac:dyDescent="0.25">
      <c r="N229" s="1246"/>
      <c r="O229" s="1321"/>
      <c r="P229" s="1246"/>
      <c r="Q229" s="1321"/>
    </row>
    <row r="230" spans="1:21" x14ac:dyDescent="0.25">
      <c r="N230" s="1246"/>
      <c r="O230" s="1328"/>
      <c r="P230" s="1246"/>
      <c r="Q230" s="1328"/>
    </row>
    <row r="231" spans="1:21" x14ac:dyDescent="0.25">
      <c r="N231" s="1246"/>
      <c r="O231" s="1328"/>
      <c r="P231" s="1246"/>
      <c r="Q231" s="1328"/>
    </row>
    <row r="232" spans="1:21" x14ac:dyDescent="0.25">
      <c r="N232" s="1246"/>
      <c r="O232" s="1321"/>
      <c r="P232" s="1246"/>
      <c r="Q232" s="1321"/>
    </row>
    <row r="233" spans="1:21" s="1272" customFormat="1" x14ac:dyDescent="0.25">
      <c r="A233" s="1335"/>
      <c r="B233" s="1247"/>
      <c r="C233" s="1247"/>
      <c r="D233" s="1247"/>
      <c r="E233" s="1247"/>
      <c r="F233" s="1247"/>
      <c r="G233" s="1247"/>
      <c r="H233" s="1247"/>
      <c r="I233" s="1247"/>
      <c r="J233" s="1247"/>
      <c r="K233" s="1328"/>
      <c r="L233" s="1247"/>
      <c r="M233" s="1328"/>
      <c r="N233" s="1246"/>
      <c r="O233" s="1321"/>
      <c r="P233" s="1246"/>
      <c r="Q233" s="1321"/>
      <c r="R233" s="1246"/>
      <c r="S233" s="1247"/>
      <c r="T233" s="1248"/>
      <c r="U233" s="1247"/>
    </row>
    <row r="234" spans="1:21" s="1272" customFormat="1" x14ac:dyDescent="0.25">
      <c r="A234" s="1335"/>
      <c r="B234" s="1247"/>
      <c r="C234" s="1247"/>
      <c r="D234" s="1247"/>
      <c r="E234" s="1247"/>
      <c r="F234" s="1247"/>
      <c r="G234" s="1247"/>
      <c r="H234" s="1247"/>
      <c r="I234" s="1247"/>
      <c r="J234" s="1247"/>
      <c r="K234" s="1328"/>
      <c r="L234" s="1247"/>
      <c r="M234" s="1328"/>
      <c r="N234" s="1246"/>
      <c r="O234" s="1321"/>
      <c r="P234" s="1246"/>
      <c r="Q234" s="1321"/>
      <c r="R234" s="1246"/>
      <c r="S234" s="1247"/>
      <c r="T234" s="1248"/>
      <c r="U234" s="1247"/>
    </row>
    <row r="235" spans="1:21" s="1272" customFormat="1" x14ac:dyDescent="0.25">
      <c r="A235" s="1335"/>
      <c r="B235" s="1247"/>
      <c r="C235" s="1247"/>
      <c r="D235" s="1247"/>
      <c r="E235" s="1247"/>
      <c r="F235" s="1247"/>
      <c r="G235" s="1247"/>
      <c r="H235" s="1247"/>
      <c r="I235" s="1247"/>
      <c r="J235" s="1247"/>
      <c r="K235" s="1328"/>
      <c r="L235" s="1247"/>
      <c r="M235" s="1328"/>
      <c r="N235" s="1246"/>
      <c r="O235" s="1321"/>
      <c r="P235" s="1246"/>
      <c r="Q235" s="1321"/>
      <c r="R235" s="1246"/>
      <c r="S235" s="1247"/>
      <c r="T235" s="1248"/>
      <c r="U235" s="1247"/>
    </row>
    <row r="236" spans="1:21" s="1272" customFormat="1" x14ac:dyDescent="0.25">
      <c r="A236" s="1335"/>
      <c r="B236" s="1247"/>
      <c r="C236" s="1247"/>
      <c r="D236" s="1247"/>
      <c r="E236" s="1247"/>
      <c r="F236" s="1247"/>
      <c r="G236" s="1247"/>
      <c r="H236" s="1247"/>
      <c r="I236" s="1247"/>
      <c r="J236" s="1247"/>
      <c r="K236" s="1328"/>
      <c r="L236" s="1247"/>
      <c r="M236" s="1328"/>
      <c r="N236" s="1246"/>
      <c r="O236" s="1328"/>
      <c r="P236" s="1246"/>
      <c r="Q236" s="1328"/>
      <c r="R236" s="1246"/>
      <c r="S236" s="1247"/>
      <c r="T236" s="1248"/>
      <c r="U236" s="1247"/>
    </row>
    <row r="237" spans="1:21" s="1272" customFormat="1" x14ac:dyDescent="0.25">
      <c r="A237" s="1335"/>
      <c r="B237" s="1247"/>
      <c r="C237" s="1247"/>
      <c r="D237" s="1247"/>
      <c r="E237" s="1247"/>
      <c r="F237" s="1247"/>
      <c r="G237" s="1247"/>
      <c r="H237" s="1247"/>
      <c r="I237" s="1247"/>
      <c r="J237" s="1247"/>
      <c r="K237" s="1328"/>
      <c r="L237" s="1247"/>
      <c r="M237" s="1328"/>
      <c r="N237" s="1353"/>
      <c r="O237" s="1348"/>
      <c r="P237" s="1353"/>
      <c r="Q237" s="1348"/>
      <c r="R237" s="1246"/>
      <c r="S237" s="1247"/>
      <c r="T237" s="1248"/>
      <c r="U237" s="1247"/>
    </row>
    <row r="238" spans="1:21" s="1272" customFormat="1" x14ac:dyDescent="0.25">
      <c r="A238" s="1335"/>
      <c r="B238" s="1247"/>
      <c r="C238" s="1247"/>
      <c r="D238" s="1247"/>
      <c r="E238" s="1247"/>
      <c r="F238" s="1247"/>
      <c r="G238" s="1247"/>
      <c r="H238" s="1247"/>
      <c r="I238" s="1247"/>
      <c r="J238" s="1247"/>
      <c r="K238" s="1328"/>
      <c r="L238" s="1247"/>
      <c r="M238" s="1328"/>
      <c r="N238" s="1352"/>
      <c r="O238" s="1352"/>
      <c r="P238" s="1352"/>
      <c r="Q238" s="1352"/>
      <c r="R238" s="1246"/>
      <c r="S238" s="1247"/>
      <c r="T238" s="1248"/>
      <c r="U238" s="1247"/>
    </row>
    <row r="239" spans="1:21" s="1272" customFormat="1" x14ac:dyDescent="0.25">
      <c r="A239" s="1335"/>
      <c r="B239" s="1247"/>
      <c r="C239" s="1247"/>
      <c r="D239" s="1247"/>
      <c r="E239" s="1247"/>
      <c r="F239" s="1247"/>
      <c r="G239" s="1247"/>
      <c r="H239" s="1247"/>
      <c r="I239" s="1247"/>
      <c r="J239" s="1247"/>
      <c r="K239" s="1328"/>
      <c r="L239" s="1247"/>
      <c r="M239" s="1328"/>
      <c r="N239" s="1247"/>
      <c r="O239" s="1247"/>
      <c r="P239" s="1247"/>
      <c r="Q239" s="1247"/>
      <c r="R239" s="1246"/>
      <c r="S239" s="1247"/>
      <c r="T239" s="1248"/>
      <c r="U239" s="1247"/>
    </row>
    <row r="240" spans="1:21" s="1272" customFormat="1" x14ac:dyDescent="0.25">
      <c r="A240" s="1335"/>
      <c r="B240" s="1247"/>
      <c r="C240" s="1247"/>
      <c r="D240" s="1247"/>
      <c r="E240" s="1247"/>
      <c r="F240" s="1247"/>
      <c r="G240" s="1247"/>
      <c r="H240" s="1247"/>
      <c r="I240" s="1247"/>
      <c r="J240" s="1247"/>
      <c r="K240" s="1328"/>
      <c r="L240" s="1247"/>
      <c r="M240" s="1328"/>
      <c r="N240" s="1247"/>
      <c r="O240" s="1247"/>
      <c r="P240" s="1247"/>
      <c r="Q240" s="1247"/>
      <c r="R240" s="1246"/>
      <c r="S240" s="1247"/>
      <c r="T240" s="1248"/>
      <c r="U240" s="1247"/>
    </row>
    <row r="241" spans="1:42" s="1272" customFormat="1" x14ac:dyDescent="0.25">
      <c r="A241" s="1335"/>
      <c r="B241" s="1247"/>
      <c r="C241" s="1247"/>
      <c r="D241" s="1247"/>
      <c r="E241" s="1247"/>
      <c r="F241" s="1247"/>
      <c r="G241" s="1247"/>
      <c r="H241" s="1247"/>
      <c r="I241" s="1247"/>
      <c r="J241" s="1247"/>
      <c r="K241" s="1328"/>
      <c r="L241" s="1247"/>
      <c r="M241" s="1328"/>
      <c r="N241" s="1247"/>
      <c r="O241" s="1247"/>
      <c r="P241" s="1247"/>
      <c r="Q241" s="1247"/>
      <c r="R241" s="1246"/>
      <c r="S241" s="1247"/>
      <c r="T241" s="1248"/>
      <c r="U241" s="1247"/>
    </row>
    <row r="243" spans="1:42" x14ac:dyDescent="0.25">
      <c r="N243" s="1336"/>
      <c r="O243" s="1336"/>
      <c r="P243" s="1336"/>
      <c r="Q243" s="1336"/>
    </row>
    <row r="250" spans="1:42" x14ac:dyDescent="0.25">
      <c r="N250" s="1336"/>
      <c r="O250" s="1336"/>
      <c r="P250" s="1336"/>
      <c r="Q250" s="1336"/>
    </row>
    <row r="254" spans="1:42" s="1246" customFormat="1" x14ac:dyDescent="0.25">
      <c r="A254" s="1335"/>
      <c r="B254" s="1247"/>
      <c r="C254" s="1336"/>
      <c r="D254" s="1336"/>
      <c r="E254" s="1336"/>
      <c r="F254" s="1272"/>
      <c r="G254" s="1247"/>
      <c r="H254" s="1247"/>
      <c r="I254" s="1247"/>
      <c r="J254" s="1247"/>
      <c r="K254" s="1247"/>
      <c r="L254" s="1247"/>
      <c r="M254" s="1247"/>
      <c r="N254" s="1247"/>
      <c r="O254" s="1247"/>
      <c r="P254" s="1247"/>
      <c r="Q254" s="1247"/>
      <c r="S254" s="1247"/>
      <c r="T254" s="1248"/>
      <c r="U254" s="1247"/>
      <c r="V254" s="1247"/>
      <c r="W254" s="1247"/>
      <c r="X254" s="1247"/>
      <c r="Y254" s="1247"/>
      <c r="Z254" s="1247"/>
      <c r="AA254" s="1247"/>
      <c r="AB254" s="1247"/>
      <c r="AC254" s="1247"/>
      <c r="AD254" s="1247"/>
      <c r="AE254" s="1247"/>
      <c r="AF254" s="1247"/>
      <c r="AG254" s="1247"/>
      <c r="AH254" s="1247"/>
      <c r="AI254" s="1247"/>
      <c r="AJ254" s="1247"/>
      <c r="AK254" s="1247"/>
      <c r="AL254" s="1247"/>
      <c r="AM254" s="1247"/>
      <c r="AN254" s="1247"/>
      <c r="AO254" s="1247"/>
      <c r="AP254" s="1247"/>
    </row>
    <row r="255" spans="1:42" s="1246" customFormat="1" x14ac:dyDescent="0.25">
      <c r="A255" s="1335"/>
      <c r="B255" s="1247"/>
      <c r="C255" s="1336"/>
      <c r="D255" s="1336"/>
      <c r="E255" s="1336"/>
      <c r="F255" s="1272"/>
      <c r="G255" s="1247"/>
      <c r="H255" s="1247"/>
      <c r="I255" s="1247"/>
      <c r="J255" s="1247"/>
      <c r="K255" s="1247"/>
      <c r="L255" s="1247"/>
      <c r="M255" s="1247"/>
      <c r="N255" s="1247"/>
      <c r="O255" s="1247"/>
      <c r="P255" s="1247"/>
      <c r="Q255" s="1247"/>
      <c r="S255" s="1247"/>
      <c r="T255" s="1248"/>
      <c r="U255" s="1247"/>
      <c r="V255" s="1247"/>
      <c r="W255" s="1247"/>
      <c r="X255" s="1247"/>
      <c r="Y255" s="1247"/>
      <c r="Z255" s="1247"/>
      <c r="AA255" s="1247"/>
      <c r="AB255" s="1247"/>
      <c r="AC255" s="1247"/>
      <c r="AD255" s="1247"/>
      <c r="AE255" s="1247"/>
      <c r="AF255" s="1247"/>
      <c r="AG255" s="1247"/>
      <c r="AH255" s="1247"/>
      <c r="AI255" s="1247"/>
      <c r="AJ255" s="1247"/>
      <c r="AK255" s="1247"/>
      <c r="AL255" s="1247"/>
      <c r="AM255" s="1247"/>
      <c r="AN255" s="1247"/>
      <c r="AO255" s="1247"/>
      <c r="AP255" s="1247"/>
    </row>
    <row r="256" spans="1:42" s="1246" customFormat="1" x14ac:dyDescent="0.25">
      <c r="A256" s="1335"/>
      <c r="B256" s="1247"/>
      <c r="C256" s="1336"/>
      <c r="D256" s="1336"/>
      <c r="E256" s="1336"/>
      <c r="F256" s="1272"/>
      <c r="G256" s="1247"/>
      <c r="H256" s="1247"/>
      <c r="I256" s="1247"/>
      <c r="J256" s="1247"/>
      <c r="K256" s="1247"/>
      <c r="L256" s="1247"/>
      <c r="M256" s="1247"/>
      <c r="N256" s="1247"/>
      <c r="O256" s="1247"/>
      <c r="P256" s="1247"/>
      <c r="Q256" s="1247"/>
      <c r="S256" s="1247"/>
      <c r="T256" s="1248"/>
      <c r="U256" s="1247"/>
      <c r="V256" s="1247"/>
      <c r="W256" s="1247"/>
      <c r="X256" s="1247"/>
      <c r="Y256" s="1247"/>
      <c r="Z256" s="1247"/>
      <c r="AA256" s="1247"/>
      <c r="AB256" s="1247"/>
      <c r="AC256" s="1247"/>
      <c r="AD256" s="1247"/>
      <c r="AE256" s="1247"/>
      <c r="AF256" s="1247"/>
      <c r="AG256" s="1247"/>
      <c r="AH256" s="1247"/>
      <c r="AI256" s="1247"/>
      <c r="AJ256" s="1247"/>
      <c r="AK256" s="1247"/>
      <c r="AL256" s="1247"/>
      <c r="AM256" s="1247"/>
      <c r="AN256" s="1247"/>
      <c r="AO256" s="1247"/>
      <c r="AP256" s="1247"/>
    </row>
    <row r="257" spans="1:42" s="1246" customFormat="1" x14ac:dyDescent="0.25">
      <c r="A257" s="1335"/>
      <c r="B257" s="1247"/>
      <c r="C257" s="1336"/>
      <c r="D257" s="1336"/>
      <c r="E257" s="1336"/>
      <c r="F257" s="1272"/>
      <c r="G257" s="1247"/>
      <c r="H257" s="1247"/>
      <c r="I257" s="1247"/>
      <c r="J257" s="1247"/>
      <c r="K257" s="1247"/>
      <c r="L257" s="1247"/>
      <c r="M257" s="1247"/>
      <c r="N257" s="1349"/>
      <c r="O257" s="1272"/>
      <c r="P257" s="1349"/>
      <c r="Q257" s="1272"/>
      <c r="S257" s="1247"/>
      <c r="T257" s="1248"/>
      <c r="U257" s="1247"/>
      <c r="V257" s="1247"/>
      <c r="W257" s="1247"/>
      <c r="X257" s="1247"/>
      <c r="Y257" s="1247"/>
      <c r="Z257" s="1247"/>
      <c r="AA257" s="1247"/>
      <c r="AB257" s="1247"/>
      <c r="AC257" s="1247"/>
      <c r="AD257" s="1247"/>
      <c r="AE257" s="1247"/>
      <c r="AF257" s="1247"/>
      <c r="AG257" s="1247"/>
      <c r="AH257" s="1247"/>
      <c r="AI257" s="1247"/>
      <c r="AJ257" s="1247"/>
      <c r="AK257" s="1247"/>
      <c r="AL257" s="1247"/>
      <c r="AM257" s="1247"/>
      <c r="AN257" s="1247"/>
      <c r="AO257" s="1247"/>
      <c r="AP257" s="1247"/>
    </row>
    <row r="258" spans="1:42" s="1246" customFormat="1" x14ac:dyDescent="0.25">
      <c r="A258" s="1335"/>
      <c r="B258" s="1247"/>
      <c r="C258" s="1336"/>
      <c r="D258" s="1336"/>
      <c r="E258" s="1336"/>
      <c r="F258" s="1272"/>
      <c r="G258" s="1247"/>
      <c r="H258" s="1247"/>
      <c r="I258" s="1247"/>
      <c r="J258" s="1247"/>
      <c r="K258" s="1247"/>
      <c r="L258" s="1247"/>
      <c r="M258" s="1247"/>
      <c r="N258" s="1247"/>
      <c r="O258" s="1247"/>
      <c r="P258" s="1247"/>
      <c r="Q258" s="1247"/>
      <c r="S258" s="1247"/>
      <c r="T258" s="1248"/>
      <c r="U258" s="1247"/>
      <c r="V258" s="1247"/>
      <c r="W258" s="1247"/>
      <c r="X258" s="1247"/>
      <c r="Y258" s="1247"/>
      <c r="Z258" s="1247"/>
      <c r="AA258" s="1247"/>
      <c r="AB258" s="1247"/>
      <c r="AC258" s="1247"/>
      <c r="AD258" s="1247"/>
      <c r="AE258" s="1247"/>
      <c r="AF258" s="1247"/>
      <c r="AG258" s="1247"/>
      <c r="AH258" s="1247"/>
      <c r="AI258" s="1247"/>
      <c r="AJ258" s="1247"/>
      <c r="AK258" s="1247"/>
      <c r="AL258" s="1247"/>
      <c r="AM258" s="1247"/>
      <c r="AN258" s="1247"/>
      <c r="AO258" s="1247"/>
      <c r="AP258" s="1247"/>
    </row>
    <row r="265" spans="1:42" s="1246" customFormat="1" x14ac:dyDescent="0.25">
      <c r="A265" s="1335"/>
      <c r="B265" s="1247"/>
      <c r="C265" s="1336"/>
      <c r="D265" s="1336"/>
      <c r="E265" s="1336"/>
      <c r="F265" s="1272"/>
      <c r="G265" s="1247"/>
      <c r="H265" s="1247"/>
      <c r="I265" s="1247"/>
      <c r="J265" s="1247"/>
      <c r="K265" s="1247"/>
      <c r="L265" s="1247"/>
      <c r="M265" s="1247"/>
      <c r="N265" s="1247"/>
      <c r="O265" s="1328"/>
      <c r="P265" s="1247"/>
      <c r="Q265" s="1328"/>
      <c r="S265" s="1247"/>
      <c r="T265" s="1248"/>
      <c r="U265" s="1247"/>
      <c r="V265" s="1247"/>
      <c r="W265" s="1247"/>
      <c r="X265" s="1247"/>
      <c r="Y265" s="1247"/>
      <c r="Z265" s="1247"/>
      <c r="AA265" s="1247"/>
      <c r="AB265" s="1247"/>
      <c r="AC265" s="1247"/>
      <c r="AD265" s="1247"/>
      <c r="AE265" s="1247"/>
      <c r="AF265" s="1247"/>
      <c r="AG265" s="1247"/>
      <c r="AH265" s="1247"/>
      <c r="AI265" s="1247"/>
      <c r="AJ265" s="1247"/>
      <c r="AK265" s="1247"/>
      <c r="AL265" s="1247"/>
      <c r="AM265" s="1247"/>
      <c r="AN265" s="1247"/>
      <c r="AO265" s="1247"/>
      <c r="AP265" s="1247"/>
    </row>
    <row r="266" spans="1:42" s="1246" customFormat="1" x14ac:dyDescent="0.25">
      <c r="A266" s="1335"/>
      <c r="B266" s="1247"/>
      <c r="C266" s="1336"/>
      <c r="D266" s="1336"/>
      <c r="E266" s="1336"/>
      <c r="F266" s="1272"/>
      <c r="G266" s="1247"/>
      <c r="H266" s="1247"/>
      <c r="I266" s="1247"/>
      <c r="J266" s="1247"/>
      <c r="K266" s="1247"/>
      <c r="L266" s="1247"/>
      <c r="M266" s="1247"/>
      <c r="N266" s="1247"/>
      <c r="O266" s="1328"/>
      <c r="P266" s="1247"/>
      <c r="Q266" s="1328"/>
      <c r="S266" s="1247"/>
      <c r="T266" s="1248"/>
      <c r="U266" s="1247"/>
      <c r="V266" s="1247"/>
      <c r="W266" s="1247"/>
      <c r="X266" s="1247"/>
      <c r="Y266" s="1247"/>
      <c r="Z266" s="1247"/>
      <c r="AA266" s="1247"/>
      <c r="AB266" s="1247"/>
      <c r="AC266" s="1247"/>
      <c r="AD266" s="1247"/>
      <c r="AE266" s="1247"/>
      <c r="AF266" s="1247"/>
      <c r="AG266" s="1247"/>
      <c r="AH266" s="1247"/>
      <c r="AI266" s="1247"/>
      <c r="AJ266" s="1247"/>
      <c r="AK266" s="1247"/>
      <c r="AL266" s="1247"/>
      <c r="AM266" s="1247"/>
      <c r="AN266" s="1247"/>
      <c r="AO266" s="1247"/>
      <c r="AP266" s="1247"/>
    </row>
    <row r="267" spans="1:42" s="1246" customFormat="1" x14ac:dyDescent="0.25">
      <c r="A267" s="1335"/>
      <c r="B267" s="1247"/>
      <c r="C267" s="1336"/>
      <c r="D267" s="1336"/>
      <c r="E267" s="1336"/>
      <c r="F267" s="1272"/>
      <c r="G267" s="1247"/>
      <c r="H267" s="1247"/>
      <c r="I267" s="1247"/>
      <c r="J267" s="1247"/>
      <c r="K267" s="1247"/>
      <c r="L267" s="1247"/>
      <c r="M267" s="1247"/>
      <c r="N267" s="1247"/>
      <c r="O267" s="1328"/>
      <c r="P267" s="1247"/>
      <c r="Q267" s="1328"/>
      <c r="S267" s="1247"/>
      <c r="T267" s="1248"/>
      <c r="U267" s="1247"/>
      <c r="V267" s="1247"/>
      <c r="W267" s="1247"/>
      <c r="X267" s="1247"/>
      <c r="Y267" s="1247"/>
      <c r="Z267" s="1247"/>
      <c r="AA267" s="1247"/>
      <c r="AB267" s="1247"/>
      <c r="AC267" s="1247"/>
      <c r="AD267" s="1247"/>
      <c r="AE267" s="1247"/>
      <c r="AF267" s="1247"/>
      <c r="AG267" s="1247"/>
      <c r="AH267" s="1247"/>
      <c r="AI267" s="1247"/>
      <c r="AJ267" s="1247"/>
      <c r="AK267" s="1247"/>
      <c r="AL267" s="1247"/>
      <c r="AM267" s="1247"/>
      <c r="AN267" s="1247"/>
      <c r="AO267" s="1247"/>
      <c r="AP267" s="1247"/>
    </row>
    <row r="268" spans="1:42" s="1246" customFormat="1" x14ac:dyDescent="0.25">
      <c r="A268" s="1335"/>
      <c r="B268" s="1247"/>
      <c r="C268" s="1336"/>
      <c r="D268" s="1336"/>
      <c r="E268" s="1336"/>
      <c r="F268" s="1272"/>
      <c r="G268" s="1247"/>
      <c r="H268" s="1247"/>
      <c r="I268" s="1247"/>
      <c r="J268" s="1247"/>
      <c r="K268" s="1247"/>
      <c r="L268" s="1247"/>
      <c r="M268" s="1247"/>
      <c r="N268" s="1247"/>
      <c r="O268" s="1328"/>
      <c r="P268" s="1247"/>
      <c r="Q268" s="1328"/>
      <c r="S268" s="1247"/>
      <c r="T268" s="1248"/>
      <c r="U268" s="1247"/>
      <c r="V268" s="1247"/>
      <c r="W268" s="1247"/>
      <c r="X268" s="1247"/>
      <c r="Y268" s="1247"/>
      <c r="Z268" s="1247"/>
      <c r="AA268" s="1247"/>
      <c r="AB268" s="1247"/>
      <c r="AC268" s="1247"/>
      <c r="AD268" s="1247"/>
      <c r="AE268" s="1247"/>
      <c r="AF268" s="1247"/>
      <c r="AG268" s="1247"/>
      <c r="AH268" s="1247"/>
      <c r="AI268" s="1247"/>
      <c r="AJ268" s="1247"/>
      <c r="AK268" s="1247"/>
      <c r="AL268" s="1247"/>
      <c r="AM268" s="1247"/>
      <c r="AN268" s="1247"/>
      <c r="AO268" s="1247"/>
      <c r="AP268" s="1247"/>
    </row>
    <row r="270" spans="1:42" s="1246" customFormat="1" x14ac:dyDescent="0.25">
      <c r="A270" s="1335"/>
      <c r="B270" s="1247"/>
      <c r="C270" s="1336"/>
      <c r="D270" s="1336"/>
      <c r="E270" s="1336"/>
      <c r="F270" s="1272"/>
      <c r="G270" s="1247"/>
      <c r="H270" s="1247"/>
      <c r="I270" s="1247"/>
      <c r="J270" s="1247"/>
      <c r="K270" s="1247"/>
      <c r="L270" s="1247"/>
      <c r="M270" s="1247"/>
      <c r="N270" s="1247"/>
      <c r="O270" s="1328"/>
      <c r="P270" s="1247"/>
      <c r="Q270" s="1328"/>
      <c r="S270" s="1247"/>
      <c r="T270" s="1248"/>
      <c r="U270" s="1247"/>
      <c r="V270" s="1247"/>
      <c r="W270" s="1247"/>
      <c r="X270" s="1247"/>
      <c r="Y270" s="1247"/>
      <c r="Z270" s="1247"/>
      <c r="AA270" s="1247"/>
      <c r="AB270" s="1247"/>
      <c r="AC270" s="1247"/>
      <c r="AD270" s="1247"/>
      <c r="AE270" s="1247"/>
      <c r="AF270" s="1247"/>
      <c r="AG270" s="1247"/>
      <c r="AH270" s="1247"/>
      <c r="AI270" s="1247"/>
      <c r="AJ270" s="1247"/>
      <c r="AK270" s="1247"/>
      <c r="AL270" s="1247"/>
      <c r="AM270" s="1247"/>
      <c r="AN270" s="1247"/>
      <c r="AO270" s="1247"/>
      <c r="AP270" s="1247"/>
    </row>
    <row r="272" spans="1:42" s="1246" customFormat="1" x14ac:dyDescent="0.25">
      <c r="A272" s="1335"/>
      <c r="B272" s="1247"/>
      <c r="C272" s="1336"/>
      <c r="D272" s="1336"/>
      <c r="E272" s="1336"/>
      <c r="F272" s="1272"/>
      <c r="G272" s="1247"/>
      <c r="H272" s="1247"/>
      <c r="I272" s="1247"/>
      <c r="J272" s="1247"/>
      <c r="K272" s="1247"/>
      <c r="L272" s="1247"/>
      <c r="M272" s="1247"/>
      <c r="N272" s="1247"/>
      <c r="O272" s="1348"/>
      <c r="P272" s="1247"/>
      <c r="Q272" s="1348"/>
      <c r="S272" s="1247"/>
      <c r="T272" s="1248"/>
      <c r="U272" s="1247"/>
      <c r="V272" s="1247"/>
      <c r="W272" s="1247"/>
      <c r="X272" s="1247"/>
      <c r="Y272" s="1247"/>
      <c r="Z272" s="1247"/>
      <c r="AA272" s="1247"/>
      <c r="AB272" s="1247"/>
      <c r="AC272" s="1247"/>
      <c r="AD272" s="1247"/>
      <c r="AE272" s="1247"/>
      <c r="AF272" s="1247"/>
      <c r="AG272" s="1247"/>
      <c r="AH272" s="1247"/>
      <c r="AI272" s="1247"/>
      <c r="AJ272" s="1247"/>
      <c r="AK272" s="1247"/>
      <c r="AL272" s="1247"/>
      <c r="AM272" s="1247"/>
      <c r="AN272" s="1247"/>
      <c r="AO272" s="1247"/>
      <c r="AP272" s="1247"/>
    </row>
    <row r="278" spans="1:42" s="1246" customFormat="1" x14ac:dyDescent="0.25">
      <c r="A278" s="1335"/>
      <c r="B278" s="1247"/>
      <c r="C278" s="1336"/>
      <c r="D278" s="1336"/>
      <c r="E278" s="1336"/>
      <c r="F278" s="1272"/>
      <c r="G278" s="1247"/>
      <c r="H278" s="1247"/>
      <c r="I278" s="1247"/>
      <c r="J278" s="1247"/>
      <c r="K278" s="1247"/>
      <c r="L278" s="1247"/>
      <c r="M278" s="1247"/>
      <c r="N278" s="1247"/>
      <c r="O278" s="1328"/>
      <c r="P278" s="1247"/>
      <c r="Q278" s="1328"/>
      <c r="S278" s="1247"/>
      <c r="T278" s="1248"/>
      <c r="U278" s="1247"/>
      <c r="V278" s="1247"/>
      <c r="W278" s="1247"/>
      <c r="X278" s="1247"/>
      <c r="Y278" s="1247"/>
      <c r="Z278" s="1247"/>
      <c r="AA278" s="1247"/>
      <c r="AB278" s="1247"/>
      <c r="AC278" s="1247"/>
      <c r="AD278" s="1247"/>
      <c r="AE278" s="1247"/>
      <c r="AF278" s="1247"/>
      <c r="AG278" s="1247"/>
      <c r="AH278" s="1247"/>
      <c r="AI278" s="1247"/>
      <c r="AJ278" s="1247"/>
      <c r="AK278" s="1247"/>
      <c r="AL278" s="1247"/>
      <c r="AM278" s="1247"/>
      <c r="AN278" s="1247"/>
      <c r="AO278" s="1247"/>
      <c r="AP278" s="1247"/>
    </row>
    <row r="279" spans="1:42" s="1246" customFormat="1" x14ac:dyDescent="0.25">
      <c r="A279" s="1335"/>
      <c r="B279" s="1247"/>
      <c r="C279" s="1336"/>
      <c r="D279" s="1336"/>
      <c r="E279" s="1336"/>
      <c r="F279" s="1272"/>
      <c r="G279" s="1247"/>
      <c r="H279" s="1247"/>
      <c r="I279" s="1247"/>
      <c r="J279" s="1247"/>
      <c r="K279" s="1247"/>
      <c r="L279" s="1247"/>
      <c r="M279" s="1247"/>
      <c r="N279" s="1247"/>
      <c r="O279" s="1328"/>
      <c r="P279" s="1247"/>
      <c r="Q279" s="1328"/>
      <c r="S279" s="1247"/>
      <c r="T279" s="1248"/>
      <c r="U279" s="1247"/>
      <c r="V279" s="1247"/>
      <c r="W279" s="1247"/>
      <c r="X279" s="1247"/>
      <c r="Y279" s="1247"/>
      <c r="Z279" s="1247"/>
      <c r="AA279" s="1247"/>
      <c r="AB279" s="1247"/>
      <c r="AC279" s="1247"/>
      <c r="AD279" s="1247"/>
      <c r="AE279" s="1247"/>
      <c r="AF279" s="1247"/>
      <c r="AG279" s="1247"/>
      <c r="AH279" s="1247"/>
      <c r="AI279" s="1247"/>
      <c r="AJ279" s="1247"/>
      <c r="AK279" s="1247"/>
      <c r="AL279" s="1247"/>
      <c r="AM279" s="1247"/>
      <c r="AN279" s="1247"/>
      <c r="AO279" s="1247"/>
      <c r="AP279" s="1247"/>
    </row>
    <row r="280" spans="1:42" s="1246" customFormat="1" x14ac:dyDescent="0.25">
      <c r="A280" s="1335"/>
      <c r="B280" s="1247"/>
      <c r="C280" s="1336"/>
      <c r="D280" s="1336"/>
      <c r="E280" s="1336"/>
      <c r="F280" s="1272"/>
      <c r="G280" s="1247"/>
      <c r="H280" s="1247"/>
      <c r="I280" s="1247"/>
      <c r="J280" s="1247"/>
      <c r="K280" s="1247"/>
      <c r="L280" s="1247"/>
      <c r="M280" s="1247"/>
      <c r="N280" s="1247"/>
      <c r="O280" s="1328"/>
      <c r="P280" s="1247"/>
      <c r="Q280" s="1328"/>
      <c r="S280" s="1247"/>
      <c r="T280" s="1248"/>
      <c r="U280" s="1247"/>
      <c r="V280" s="1247"/>
      <c r="W280" s="1247"/>
      <c r="X280" s="1247"/>
      <c r="Y280" s="1247"/>
      <c r="Z280" s="1247"/>
      <c r="AA280" s="1247"/>
      <c r="AB280" s="1247"/>
      <c r="AC280" s="1247"/>
      <c r="AD280" s="1247"/>
      <c r="AE280" s="1247"/>
      <c r="AF280" s="1247"/>
      <c r="AG280" s="1247"/>
      <c r="AH280" s="1247"/>
      <c r="AI280" s="1247"/>
      <c r="AJ280" s="1247"/>
      <c r="AK280" s="1247"/>
      <c r="AL280" s="1247"/>
      <c r="AM280" s="1247"/>
      <c r="AN280" s="1247"/>
      <c r="AO280" s="1247"/>
      <c r="AP280" s="1247"/>
    </row>
    <row r="281" spans="1:42" s="1246" customFormat="1" x14ac:dyDescent="0.25">
      <c r="A281" s="1335"/>
      <c r="B281" s="1247"/>
      <c r="C281" s="1336"/>
      <c r="D281" s="1336"/>
      <c r="E281" s="1336"/>
      <c r="F281" s="1272"/>
      <c r="G281" s="1247"/>
      <c r="H281" s="1247"/>
      <c r="I281" s="1247"/>
      <c r="J281" s="1247"/>
      <c r="K281" s="1247"/>
      <c r="L281" s="1247"/>
      <c r="M281" s="1247"/>
      <c r="N281" s="1247"/>
      <c r="O281" s="1328"/>
      <c r="P281" s="1247"/>
      <c r="Q281" s="1328"/>
      <c r="S281" s="1247"/>
      <c r="T281" s="1248"/>
      <c r="U281" s="1247"/>
      <c r="V281" s="1247"/>
      <c r="W281" s="1247"/>
      <c r="X281" s="1247"/>
      <c r="Y281" s="1247"/>
      <c r="Z281" s="1247"/>
      <c r="AA281" s="1247"/>
      <c r="AB281" s="1247"/>
      <c r="AC281" s="1247"/>
      <c r="AD281" s="1247"/>
      <c r="AE281" s="1247"/>
      <c r="AF281" s="1247"/>
      <c r="AG281" s="1247"/>
      <c r="AH281" s="1247"/>
      <c r="AI281" s="1247"/>
      <c r="AJ281" s="1247"/>
      <c r="AK281" s="1247"/>
      <c r="AL281" s="1247"/>
      <c r="AM281" s="1247"/>
      <c r="AN281" s="1247"/>
      <c r="AO281" s="1247"/>
      <c r="AP281" s="1247"/>
    </row>
    <row r="282" spans="1:42" s="1246" customFormat="1" x14ac:dyDescent="0.25">
      <c r="A282" s="1335"/>
      <c r="B282" s="1247"/>
      <c r="C282" s="1336"/>
      <c r="D282" s="1336"/>
      <c r="E282" s="1336"/>
      <c r="F282" s="1272"/>
      <c r="G282" s="1247"/>
      <c r="H282" s="1247"/>
      <c r="I282" s="1247"/>
      <c r="J282" s="1247"/>
      <c r="K282" s="1247"/>
      <c r="L282" s="1247"/>
      <c r="M282" s="1247"/>
      <c r="N282" s="1247"/>
      <c r="O282" s="1328"/>
      <c r="P282" s="1247"/>
      <c r="Q282" s="1328"/>
      <c r="S282" s="1247"/>
      <c r="T282" s="1248"/>
      <c r="U282" s="1247"/>
      <c r="V282" s="1247"/>
      <c r="W282" s="1247"/>
      <c r="X282" s="1247"/>
      <c r="Y282" s="1247"/>
      <c r="Z282" s="1247"/>
      <c r="AA282" s="1247"/>
      <c r="AB282" s="1247"/>
      <c r="AC282" s="1247"/>
      <c r="AD282" s="1247"/>
      <c r="AE282" s="1247"/>
      <c r="AF282" s="1247"/>
      <c r="AG282" s="1247"/>
      <c r="AH282" s="1247"/>
      <c r="AI282" s="1247"/>
      <c r="AJ282" s="1247"/>
      <c r="AK282" s="1247"/>
      <c r="AL282" s="1247"/>
      <c r="AM282" s="1247"/>
      <c r="AN282" s="1247"/>
      <c r="AO282" s="1247"/>
      <c r="AP282" s="1247"/>
    </row>
    <row r="283" spans="1:42" s="1246" customFormat="1" x14ac:dyDescent="0.25">
      <c r="A283" s="1335"/>
      <c r="B283" s="1247"/>
      <c r="C283" s="1336"/>
      <c r="D283" s="1336"/>
      <c r="E283" s="1336"/>
      <c r="F283" s="1272"/>
      <c r="G283" s="1247"/>
      <c r="H283" s="1247"/>
      <c r="I283" s="1247"/>
      <c r="J283" s="1247"/>
      <c r="K283" s="1247"/>
      <c r="L283" s="1247"/>
      <c r="M283" s="1247"/>
      <c r="N283" s="1247"/>
      <c r="O283" s="1328"/>
      <c r="P283" s="1247"/>
      <c r="Q283" s="1328"/>
      <c r="S283" s="1247"/>
      <c r="T283" s="1248"/>
      <c r="U283" s="1247"/>
      <c r="V283" s="1247"/>
      <c r="W283" s="1247"/>
      <c r="X283" s="1247"/>
      <c r="Y283" s="1247"/>
      <c r="Z283" s="1247"/>
      <c r="AA283" s="1247"/>
      <c r="AB283" s="1247"/>
      <c r="AC283" s="1247"/>
      <c r="AD283" s="1247"/>
      <c r="AE283" s="1247"/>
      <c r="AF283" s="1247"/>
      <c r="AG283" s="1247"/>
      <c r="AH283" s="1247"/>
      <c r="AI283" s="1247"/>
      <c r="AJ283" s="1247"/>
      <c r="AK283" s="1247"/>
      <c r="AL283" s="1247"/>
      <c r="AM283" s="1247"/>
      <c r="AN283" s="1247"/>
      <c r="AO283" s="1247"/>
      <c r="AP283" s="1247"/>
    </row>
    <row r="284" spans="1:42" s="1246" customFormat="1" x14ac:dyDescent="0.25">
      <c r="A284" s="1335"/>
      <c r="B284" s="1247"/>
      <c r="C284" s="1336"/>
      <c r="D284" s="1336"/>
      <c r="E284" s="1336"/>
      <c r="F284" s="1272"/>
      <c r="G284" s="1247"/>
      <c r="H284" s="1247"/>
      <c r="I284" s="1247"/>
      <c r="J284" s="1247"/>
      <c r="K284" s="1247"/>
      <c r="L284" s="1247"/>
      <c r="M284" s="1247"/>
      <c r="N284" s="1247"/>
      <c r="O284" s="1328"/>
      <c r="P284" s="1247"/>
      <c r="Q284" s="1328"/>
      <c r="S284" s="1247"/>
      <c r="T284" s="1248"/>
      <c r="U284" s="1247"/>
      <c r="V284" s="1247"/>
      <c r="W284" s="1247"/>
      <c r="X284" s="1247"/>
      <c r="Y284" s="1247"/>
      <c r="Z284" s="1247"/>
      <c r="AA284" s="1247"/>
      <c r="AB284" s="1247"/>
      <c r="AC284" s="1247"/>
      <c r="AD284" s="1247"/>
      <c r="AE284" s="1247"/>
      <c r="AF284" s="1247"/>
      <c r="AG284" s="1247"/>
      <c r="AH284" s="1247"/>
      <c r="AI284" s="1247"/>
      <c r="AJ284" s="1247"/>
      <c r="AK284" s="1247"/>
      <c r="AL284" s="1247"/>
      <c r="AM284" s="1247"/>
      <c r="AN284" s="1247"/>
      <c r="AO284" s="1247"/>
      <c r="AP284" s="1247"/>
    </row>
    <row r="285" spans="1:42" s="1246" customFormat="1" x14ac:dyDescent="0.25">
      <c r="A285" s="1335"/>
      <c r="B285" s="1247"/>
      <c r="C285" s="1336"/>
      <c r="D285" s="1336"/>
      <c r="E285" s="1336"/>
      <c r="F285" s="1272"/>
      <c r="G285" s="1247"/>
      <c r="H285" s="1247"/>
      <c r="I285" s="1247"/>
      <c r="J285" s="1247"/>
      <c r="K285" s="1247"/>
      <c r="L285" s="1247"/>
      <c r="M285" s="1247"/>
      <c r="N285" s="1247"/>
      <c r="O285" s="1328"/>
      <c r="P285" s="1247"/>
      <c r="Q285" s="1328"/>
      <c r="S285" s="1247"/>
      <c r="T285" s="1248"/>
      <c r="U285" s="1247"/>
      <c r="V285" s="1247"/>
      <c r="W285" s="1247"/>
      <c r="X285" s="1247"/>
      <c r="Y285" s="1247"/>
      <c r="Z285" s="1247"/>
      <c r="AA285" s="1247"/>
      <c r="AB285" s="1247"/>
      <c r="AC285" s="1247"/>
      <c r="AD285" s="1247"/>
      <c r="AE285" s="1247"/>
      <c r="AF285" s="1247"/>
      <c r="AG285" s="1247"/>
      <c r="AH285" s="1247"/>
      <c r="AI285" s="1247"/>
      <c r="AJ285" s="1247"/>
      <c r="AK285" s="1247"/>
      <c r="AL285" s="1247"/>
      <c r="AM285" s="1247"/>
      <c r="AN285" s="1247"/>
      <c r="AO285" s="1247"/>
      <c r="AP285" s="1247"/>
    </row>
    <row r="286" spans="1:42" s="1246" customFormat="1" x14ac:dyDescent="0.25">
      <c r="A286" s="1335"/>
      <c r="B286" s="1247"/>
      <c r="C286" s="1336"/>
      <c r="D286" s="1336"/>
      <c r="E286" s="1336"/>
      <c r="F286" s="1272"/>
      <c r="G286" s="1247"/>
      <c r="H286" s="1247"/>
      <c r="I286" s="1247"/>
      <c r="J286" s="1247"/>
      <c r="K286" s="1247"/>
      <c r="L286" s="1247"/>
      <c r="M286" s="1247"/>
      <c r="N286" s="1247"/>
      <c r="O286" s="1328"/>
      <c r="P286" s="1247"/>
      <c r="Q286" s="1328"/>
      <c r="S286" s="1247"/>
      <c r="T286" s="1248"/>
      <c r="U286" s="1247"/>
      <c r="V286" s="1247"/>
      <c r="W286" s="1247"/>
      <c r="X286" s="1247"/>
      <c r="Y286" s="1247"/>
      <c r="Z286" s="1247"/>
      <c r="AA286" s="1247"/>
      <c r="AB286" s="1247"/>
      <c r="AC286" s="1247"/>
      <c r="AD286" s="1247"/>
      <c r="AE286" s="1247"/>
      <c r="AF286" s="1247"/>
      <c r="AG286" s="1247"/>
      <c r="AH286" s="1247"/>
      <c r="AI286" s="1247"/>
      <c r="AJ286" s="1247"/>
      <c r="AK286" s="1247"/>
      <c r="AL286" s="1247"/>
      <c r="AM286" s="1247"/>
      <c r="AN286" s="1247"/>
      <c r="AO286" s="1247"/>
      <c r="AP286" s="1247"/>
    </row>
  </sheetData>
  <autoFilter ref="A2:I151" xr:uid="{00000000-0009-0000-0000-000083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C153:D153"/>
    <mergeCell ref="B154:D154"/>
    <mergeCell ref="L2:M3"/>
    <mergeCell ref="N2:O3"/>
    <mergeCell ref="P2:Q3"/>
    <mergeCell ref="A130:E130"/>
    <mergeCell ref="A131:E131"/>
  </mergeCells>
  <pageMargins left="0.19652800000000001" right="0.47222199999999998" top="0.157639" bottom="0.157639" header="0.157639" footer="0.11805599999999999"/>
  <pageSetup paperSize="9" scale="85" fitToWidth="0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Plan139"/>
  <dimension ref="A1:P84"/>
  <sheetViews>
    <sheetView topLeftCell="A19" zoomScale="80" zoomScaleNormal="80" workbookViewId="0">
      <selection activeCell="O60" sqref="O60"/>
    </sheetView>
  </sheetViews>
  <sheetFormatPr defaultColWidth="9.140625" defaultRowHeight="15" x14ac:dyDescent="0.25"/>
  <cols>
    <col min="1" max="1" width="24.42578125" style="79" customWidth="1"/>
    <col min="2" max="2" width="18.42578125" style="79" customWidth="1"/>
    <col min="3" max="3" width="15.140625" style="89" customWidth="1"/>
    <col min="4" max="4" width="14.28515625" style="85" customWidth="1"/>
    <col min="5" max="5" width="14.28515625" style="85" bestFit="1" customWidth="1"/>
    <col min="6" max="6" width="13.85546875" style="89" bestFit="1" customWidth="1"/>
    <col min="7" max="7" width="13.85546875" style="79" customWidth="1"/>
    <col min="8" max="8" width="14.28515625" style="79" bestFit="1" customWidth="1"/>
    <col min="9" max="9" width="13.85546875" style="79" bestFit="1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5.28515625" style="79" bestFit="1" customWidth="1"/>
    <col min="17" max="16384" width="9.140625" style="79"/>
  </cols>
  <sheetData>
    <row r="1" spans="1:15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15" ht="15.75" x14ac:dyDescent="0.25">
      <c r="A2" s="333" t="s">
        <v>5438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</row>
    <row r="3" spans="1:15" x14ac:dyDescent="0.25">
      <c r="A3" s="329" t="s">
        <v>32</v>
      </c>
      <c r="B3" s="336">
        <f>C3/12</f>
        <v>372.08083333333326</v>
      </c>
      <c r="C3" s="1042">
        <f>D3+E3+F3+G3+H3+I3+J3+K3+L3+M3+N3+O3</f>
        <v>4464.9699999999993</v>
      </c>
      <c r="D3" s="549">
        <f>'Janeiro-22'!D132</f>
        <v>387.90999999999997</v>
      </c>
      <c r="E3" s="587">
        <f>'Fevereiro-22'!D127</f>
        <v>356</v>
      </c>
      <c r="F3" s="588">
        <f>'Março-22'!D133</f>
        <v>345</v>
      </c>
      <c r="G3" s="549">
        <f>'Abril-22'!D126</f>
        <v>362.5</v>
      </c>
      <c r="H3" s="549">
        <f>'Maio-22'!D123</f>
        <v>455.39</v>
      </c>
      <c r="I3" s="588">
        <f>'Junho-22'!D131</f>
        <v>342</v>
      </c>
      <c r="J3" s="549">
        <f>'Julho-22'!D139</f>
        <v>416</v>
      </c>
      <c r="K3" s="588">
        <f>'Agosto-22'!D115</f>
        <v>410.75</v>
      </c>
      <c r="L3" s="549">
        <f>'Setembro-22'!D138</f>
        <v>411.75</v>
      </c>
      <c r="M3" s="565">
        <f>'Outubro-22'!D123</f>
        <v>314.37</v>
      </c>
      <c r="N3" s="561">
        <f>'Novembro-22'!D126</f>
        <v>341.3</v>
      </c>
      <c r="O3" s="565">
        <f>'Dezembro-22'!D134</f>
        <v>322</v>
      </c>
    </row>
    <row r="4" spans="1:15" x14ac:dyDescent="0.25">
      <c r="A4" s="329" t="s">
        <v>2187</v>
      </c>
      <c r="B4" s="336">
        <f t="shared" ref="B4:B20" si="0">C4/12</f>
        <v>546.59</v>
      </c>
      <c r="C4" s="1042">
        <f>D4+E4+F4+G4+H4+I4+J4+K4+L4+M4+N4+O4</f>
        <v>6559.08</v>
      </c>
      <c r="D4" s="549">
        <f>'Janeiro-22'!D133</f>
        <v>727.2</v>
      </c>
      <c r="E4" s="587">
        <f>'Fevereiro-22'!D128</f>
        <v>620</v>
      </c>
      <c r="F4" s="588">
        <f>'Março-22'!D134</f>
        <v>600</v>
      </c>
      <c r="G4" s="588">
        <f>'Abril-22'!D127</f>
        <v>590</v>
      </c>
      <c r="H4" s="588">
        <f>'Maio-22'!D124</f>
        <v>546.88</v>
      </c>
      <c r="I4" s="549">
        <f>'Junho-22'!D132</f>
        <v>630</v>
      </c>
      <c r="J4" s="588">
        <f>'Julho-22'!D140</f>
        <v>500</v>
      </c>
      <c r="K4" s="588">
        <f>'Agosto-22'!D116</f>
        <v>490</v>
      </c>
      <c r="L4" s="588">
        <f>'Setembro-22'!D139</f>
        <v>385</v>
      </c>
      <c r="M4" s="561">
        <f>'Outubro-22'!D124</f>
        <v>420</v>
      </c>
      <c r="N4" s="561">
        <f>'Novembro-22'!D127</f>
        <v>520</v>
      </c>
      <c r="O4" s="561">
        <f>'Dezembro-22'!D135</f>
        <v>530</v>
      </c>
    </row>
    <row r="5" spans="1:15" x14ac:dyDescent="0.25">
      <c r="A5" s="329" t="s">
        <v>2188</v>
      </c>
      <c r="B5" s="336">
        <f t="shared" si="0"/>
        <v>5.833333333333333</v>
      </c>
      <c r="C5" s="1042">
        <f t="shared" ref="C5:C20" si="1">D5+E5+F5+G5+H5+I5+J5+K5+L5+M5+N5+O5</f>
        <v>70</v>
      </c>
      <c r="D5" s="588">
        <f>'Janeiro-22'!D134</f>
        <v>70</v>
      </c>
      <c r="E5" s="587">
        <f>'Fevereiro-22'!D129</f>
        <v>0</v>
      </c>
      <c r="F5" s="588">
        <f>'Março-22'!D135</f>
        <v>0</v>
      </c>
      <c r="G5" s="588">
        <f>'Abril-22'!D128</f>
        <v>0</v>
      </c>
      <c r="H5" s="588">
        <f>'Maio-22'!D125</f>
        <v>0</v>
      </c>
      <c r="I5" s="588">
        <f>'Junho-22'!D133</f>
        <v>0</v>
      </c>
      <c r="J5" s="588">
        <f>'Julho-22'!D141</f>
        <v>0</v>
      </c>
      <c r="K5" s="588">
        <f>'Agosto-22'!D117</f>
        <v>0</v>
      </c>
      <c r="L5" s="588">
        <f>'Setembro-22'!D140</f>
        <v>0</v>
      </c>
      <c r="M5" s="565">
        <f>'Outubro-22'!D125</f>
        <v>0</v>
      </c>
      <c r="N5" s="565">
        <f>'Novembro-22'!D128</f>
        <v>0</v>
      </c>
      <c r="O5" s="565">
        <f>'Dezembro-22'!D136</f>
        <v>0</v>
      </c>
    </row>
    <row r="6" spans="1:15" x14ac:dyDescent="0.25">
      <c r="A6" s="329" t="s">
        <v>50</v>
      </c>
      <c r="B6" s="336">
        <f t="shared" si="0"/>
        <v>285.45833333333331</v>
      </c>
      <c r="C6" s="1042">
        <f t="shared" si="1"/>
        <v>3425.5</v>
      </c>
      <c r="D6" s="549">
        <f>'Janeiro-22'!D135</f>
        <v>382.52000000000004</v>
      </c>
      <c r="E6" s="587">
        <f>'Fevereiro-22'!D130</f>
        <v>203.41</v>
      </c>
      <c r="F6" s="549">
        <f>'Março-22'!D136</f>
        <v>254.72</v>
      </c>
      <c r="G6" s="588">
        <f>'Abril-22'!D129</f>
        <v>224.78</v>
      </c>
      <c r="H6" s="588">
        <f>'Maio-22'!D126</f>
        <v>155.41</v>
      </c>
      <c r="I6" s="549">
        <f>'Junho-22'!D134</f>
        <v>294.43</v>
      </c>
      <c r="J6" s="549">
        <f>'Julho-22'!D142</f>
        <v>322.39000000000004</v>
      </c>
      <c r="K6" s="588">
        <f>'Agosto-22'!D118</f>
        <v>307.96999999999997</v>
      </c>
      <c r="L6" s="588">
        <f>'Setembro-22'!D141</f>
        <v>250.78999999999996</v>
      </c>
      <c r="M6" s="561">
        <f>'Outubro-22'!D126</f>
        <v>398.53999999999996</v>
      </c>
      <c r="N6" s="565">
        <f>'Novembro-22'!D129</f>
        <v>281.05</v>
      </c>
      <c r="O6" s="561">
        <f>'Dezembro-22'!D137</f>
        <v>349.49</v>
      </c>
    </row>
    <row r="7" spans="1:15" x14ac:dyDescent="0.25">
      <c r="A7" s="329" t="s">
        <v>14</v>
      </c>
      <c r="B7" s="336">
        <f t="shared" si="0"/>
        <v>124.06666666666666</v>
      </c>
      <c r="C7" s="1042">
        <f t="shared" si="1"/>
        <v>1488.8</v>
      </c>
      <c r="D7" s="588">
        <f>'Janeiro-22'!D136</f>
        <v>160.02999999999997</v>
      </c>
      <c r="E7" s="587">
        <f>'Fevereiro-22'!D131</f>
        <v>123.64000000000003</v>
      </c>
      <c r="F7" s="549">
        <f>'Março-22'!D137</f>
        <v>138.38999999999999</v>
      </c>
      <c r="G7" s="588">
        <f>'Abril-22'!D130</f>
        <v>111.19999999999997</v>
      </c>
      <c r="H7" s="549">
        <f>'Maio-22'!D127</f>
        <v>147.49</v>
      </c>
      <c r="I7" s="588">
        <f>'Junho-22'!D135</f>
        <v>130.51000000000002</v>
      </c>
      <c r="J7" s="588">
        <f>'Julho-22'!D143</f>
        <v>121.83999999999997</v>
      </c>
      <c r="K7" s="588">
        <f>'Agosto-22'!D119</f>
        <v>84.039999999999992</v>
      </c>
      <c r="L7" s="549">
        <f>'Setembro-22'!D142</f>
        <v>113.19</v>
      </c>
      <c r="M7" s="561">
        <f>'Outubro-22'!D127</f>
        <v>140.32</v>
      </c>
      <c r="N7" s="565">
        <f>'Novembro-22'!D130</f>
        <v>93.410000000000011</v>
      </c>
      <c r="O7" s="561">
        <f>'Dezembro-22'!D138</f>
        <v>124.74000000000001</v>
      </c>
    </row>
    <row r="8" spans="1:15" x14ac:dyDescent="0.25">
      <c r="A8" s="329" t="s">
        <v>358</v>
      </c>
      <c r="B8" s="336">
        <f t="shared" si="0"/>
        <v>106.39083333333333</v>
      </c>
      <c r="C8" s="1042">
        <f t="shared" si="1"/>
        <v>1276.69</v>
      </c>
      <c r="D8" s="549">
        <f>'Janeiro-22'!D137</f>
        <v>87.74</v>
      </c>
      <c r="E8" s="587">
        <f>'Fevereiro-22'!D132</f>
        <v>87.039999999999992</v>
      </c>
      <c r="F8" s="549">
        <f>'Março-22'!D138</f>
        <v>114.28999999999999</v>
      </c>
      <c r="G8" s="549">
        <f>'Abril-22'!D131</f>
        <v>176.5</v>
      </c>
      <c r="H8" s="588">
        <f>'Maio-22'!D128</f>
        <v>149.88</v>
      </c>
      <c r="I8" s="588">
        <f>'Junho-22'!D136</f>
        <v>115.46000000000001</v>
      </c>
      <c r="J8" s="588">
        <f>'Julho-22'!D144</f>
        <v>95.6</v>
      </c>
      <c r="K8" s="549">
        <f>'Agosto-22'!D120</f>
        <v>102.47999999999999</v>
      </c>
      <c r="L8" s="588">
        <f>'Setembro-22'!D143</f>
        <v>63.97</v>
      </c>
      <c r="M8" s="561">
        <f>'Outubro-22'!D128</f>
        <v>105.02000000000001</v>
      </c>
      <c r="N8" s="561">
        <f>'Novembro-22'!D131</f>
        <v>106.3</v>
      </c>
      <c r="O8" s="565">
        <f>'Dezembro-22'!D139</f>
        <v>72.409999999999982</v>
      </c>
    </row>
    <row r="9" spans="1:15" x14ac:dyDescent="0.25">
      <c r="A9" s="329" t="s">
        <v>2189</v>
      </c>
      <c r="B9" s="336">
        <f t="shared" si="0"/>
        <v>143.67666666666665</v>
      </c>
      <c r="C9" s="1042">
        <f t="shared" si="1"/>
        <v>1724.12</v>
      </c>
      <c r="D9" s="588">
        <f>'Janeiro-22'!D138</f>
        <v>80</v>
      </c>
      <c r="E9" s="547">
        <f>'Fevereiro-22'!D133</f>
        <v>158.9</v>
      </c>
      <c r="F9" s="588">
        <f>'Março-22'!D139</f>
        <v>151.88</v>
      </c>
      <c r="G9" s="588">
        <f>'Abril-22'!D132</f>
        <v>80</v>
      </c>
      <c r="H9" s="588">
        <f>'Maio-22'!D129</f>
        <v>80</v>
      </c>
      <c r="I9" s="588">
        <f>'Junho-22'!D137</f>
        <v>80</v>
      </c>
      <c r="J9" s="549">
        <f>'Julho-22'!D145</f>
        <v>211.61</v>
      </c>
      <c r="K9" s="588">
        <f>'Agosto-22'!D121</f>
        <v>167.37</v>
      </c>
      <c r="L9" s="588">
        <f>'Setembro-22'!D144</f>
        <v>156.55000000000001</v>
      </c>
      <c r="M9" s="565">
        <f>'Outubro-22'!D129</f>
        <v>160.29999999999998</v>
      </c>
      <c r="N9" s="561">
        <f>'Novembro-22'!D132</f>
        <v>273.53000000000003</v>
      </c>
      <c r="O9" s="565">
        <f>'Dezembro-22'!D140</f>
        <v>123.98</v>
      </c>
    </row>
    <row r="10" spans="1:15" x14ac:dyDescent="0.25">
      <c r="A10" s="329" t="s">
        <v>53</v>
      </c>
      <c r="B10" s="336">
        <f t="shared" si="0"/>
        <v>454.65833333333347</v>
      </c>
      <c r="C10" s="1042">
        <f t="shared" si="1"/>
        <v>5455.9000000000015</v>
      </c>
      <c r="D10" s="588">
        <f>'Janeiro-22'!D139</f>
        <v>194</v>
      </c>
      <c r="E10" s="547">
        <f>'Fevereiro-22'!D134</f>
        <v>625.64</v>
      </c>
      <c r="F10" s="549">
        <f>'Março-22'!D140</f>
        <v>2065.17</v>
      </c>
      <c r="G10" s="588">
        <f>'Abril-22'!D133</f>
        <v>575.88</v>
      </c>
      <c r="H10" s="588">
        <f>'Maio-22'!D130</f>
        <v>30</v>
      </c>
      <c r="I10" s="549">
        <f>'Junho-22'!D138</f>
        <v>50</v>
      </c>
      <c r="J10" s="549">
        <f>'Julho-22'!D146</f>
        <v>281.13</v>
      </c>
      <c r="K10" s="588">
        <f>'Agosto-22'!D122</f>
        <v>49.94</v>
      </c>
      <c r="L10" s="549">
        <f>'Setembro-22'!D145</f>
        <v>166.03</v>
      </c>
      <c r="M10" s="565">
        <f>'Outubro-22'!D130</f>
        <v>0</v>
      </c>
      <c r="N10" s="561">
        <f>'Novembro-22'!D133</f>
        <v>260</v>
      </c>
      <c r="O10" s="561">
        <f>'Dezembro-22'!D141</f>
        <v>1158.1100000000001</v>
      </c>
    </row>
    <row r="11" spans="1:15" x14ac:dyDescent="0.25">
      <c r="A11" s="906" t="s">
        <v>2149</v>
      </c>
      <c r="B11" s="336">
        <f t="shared" si="0"/>
        <v>7.041666666666667</v>
      </c>
      <c r="C11" s="1042">
        <f t="shared" si="1"/>
        <v>84.5</v>
      </c>
      <c r="D11" s="588">
        <f>'Janeiro-22'!D140</f>
        <v>84.5</v>
      </c>
      <c r="E11" s="587">
        <f>'Fevereiro-22'!D135</f>
        <v>0</v>
      </c>
      <c r="F11" s="588">
        <f>'Março-22'!D141</f>
        <v>0</v>
      </c>
      <c r="G11" s="588">
        <f>'Abril-22'!D134</f>
        <v>0</v>
      </c>
      <c r="H11" s="588">
        <f>'Maio-22'!D131</f>
        <v>0</v>
      </c>
      <c r="I11" s="588">
        <f>'Junho-22'!D139</f>
        <v>0</v>
      </c>
      <c r="J11" s="588">
        <f>'Julho-22'!D147</f>
        <v>0</v>
      </c>
      <c r="K11" s="588">
        <f>'Agosto-22'!D123</f>
        <v>0</v>
      </c>
      <c r="L11" s="588">
        <f>'Setembro-22'!D146</f>
        <v>0</v>
      </c>
      <c r="M11" s="565">
        <f>'Outubro-22'!D131</f>
        <v>0</v>
      </c>
      <c r="N11" s="565">
        <f>'Novembro-22'!D134</f>
        <v>0</v>
      </c>
      <c r="O11" s="565">
        <f>'Dezembro-22'!D142</f>
        <v>0</v>
      </c>
    </row>
    <row r="12" spans="1:15" x14ac:dyDescent="0.25">
      <c r="A12" s="329" t="s">
        <v>3048</v>
      </c>
      <c r="B12" s="336">
        <f t="shared" ca="1" si="0"/>
        <v>223.06791666666666</v>
      </c>
      <c r="C12" s="1042">
        <f t="shared" ca="1" si="1"/>
        <v>2676.8150000000001</v>
      </c>
      <c r="D12" s="549">
        <f ca="1">'Janeiro-22'!D141</f>
        <v>567.02500000000009</v>
      </c>
      <c r="E12" s="587">
        <f ca="1">'Fevereiro-22'!D136</f>
        <v>260.58</v>
      </c>
      <c r="F12" s="588">
        <f>'Março-22'!D142</f>
        <v>71</v>
      </c>
      <c r="G12" s="549">
        <f ca="1">'Abril-22'!D135</f>
        <v>74</v>
      </c>
      <c r="H12" s="549">
        <f ca="1">'Maio-22'!D132</f>
        <v>120</v>
      </c>
      <c r="I12" s="588">
        <f ca="1">'Junho-22'!D140</f>
        <v>92.28</v>
      </c>
      <c r="J12" s="549">
        <f ca="1">'Julho-22'!D148</f>
        <v>380.25</v>
      </c>
      <c r="K12" s="588">
        <f ca="1">'Agosto-22'!D124</f>
        <v>64</v>
      </c>
      <c r="L12" s="588">
        <f ca="1">'Setembro-22'!D147</f>
        <v>20</v>
      </c>
      <c r="M12" s="561">
        <f ca="1">'Outubro-22'!D132</f>
        <v>31</v>
      </c>
      <c r="N12" s="561">
        <f ca="1">'Novembro-22'!D135</f>
        <v>101.68</v>
      </c>
      <c r="O12" s="561">
        <f ca="1">'Dezembro-22'!D143</f>
        <v>895</v>
      </c>
    </row>
    <row r="13" spans="1:15" x14ac:dyDescent="0.25">
      <c r="A13" s="329" t="s">
        <v>1686</v>
      </c>
      <c r="B13" s="336">
        <f t="shared" ca="1" si="0"/>
        <v>371.77833333333336</v>
      </c>
      <c r="C13" s="1042">
        <f t="shared" ca="1" si="1"/>
        <v>4461.34</v>
      </c>
      <c r="D13" s="588">
        <f>'Janeiro-22'!D142</f>
        <v>193.8</v>
      </c>
      <c r="E13" s="547">
        <f>'Fevereiro-22'!D137</f>
        <v>204.97</v>
      </c>
      <c r="F13" s="549">
        <f ca="1">'Março-22'!D143</f>
        <v>430</v>
      </c>
      <c r="G13" s="588">
        <f>'Abril-22'!D136</f>
        <v>252.9</v>
      </c>
      <c r="H13" s="588">
        <f>'Maio-22'!D133</f>
        <v>175.9</v>
      </c>
      <c r="I13" s="549">
        <f ca="1">'Junho-22'!D141</f>
        <v>437.47</v>
      </c>
      <c r="J13" s="549">
        <f>'Julho-22'!D149</f>
        <v>450.9</v>
      </c>
      <c r="K13" s="588">
        <f>'Agosto-22'!D125</f>
        <v>100</v>
      </c>
      <c r="L13" s="549">
        <f>'Setembro-22'!D148</f>
        <v>236.33499999999998</v>
      </c>
      <c r="M13" s="561">
        <f>'Outubro-22'!D133</f>
        <v>460.45499999999998</v>
      </c>
      <c r="N13" s="561">
        <f>'Novembro-22'!D136</f>
        <v>1038.29</v>
      </c>
      <c r="O13" s="565">
        <f>'Dezembro-22'!D144</f>
        <v>480.32</v>
      </c>
    </row>
    <row r="14" spans="1:15" x14ac:dyDescent="0.25">
      <c r="A14" s="329" t="s">
        <v>418</v>
      </c>
      <c r="B14" s="336">
        <f t="shared" si="0"/>
        <v>43.116666666666667</v>
      </c>
      <c r="C14" s="1042">
        <f t="shared" si="1"/>
        <v>517.4</v>
      </c>
      <c r="D14" s="588">
        <f>'Janeiro-22'!D143</f>
        <v>0</v>
      </c>
      <c r="E14" s="547">
        <f>'Fevereiro-22'!D138</f>
        <v>6</v>
      </c>
      <c r="F14" s="549">
        <f>'Março-22'!D144</f>
        <v>17.5</v>
      </c>
      <c r="G14" s="549">
        <f>'Abril-22'!D137</f>
        <v>261.89999999999998</v>
      </c>
      <c r="H14" s="588">
        <f>'Maio-22'!D134</f>
        <v>44.2</v>
      </c>
      <c r="I14" s="588">
        <f>'Junho-22'!D142</f>
        <v>0</v>
      </c>
      <c r="J14" s="549">
        <f>'Julho-22'!D150</f>
        <v>132.6</v>
      </c>
      <c r="K14" s="588">
        <f>'Agosto-22'!D126</f>
        <v>22.6</v>
      </c>
      <c r="L14" s="549">
        <f>'Setembro-22'!D149</f>
        <v>32.599999999999994</v>
      </c>
      <c r="M14" s="565">
        <f>'Outubro-22'!D134</f>
        <v>0</v>
      </c>
      <c r="N14" s="565">
        <f>'Novembro-22'!D137</f>
        <v>0</v>
      </c>
      <c r="O14" s="565">
        <f>'Dezembro-22'!D145</f>
        <v>0</v>
      </c>
    </row>
    <row r="15" spans="1:15" x14ac:dyDescent="0.25">
      <c r="A15" s="329" t="s">
        <v>419</v>
      </c>
      <c r="B15" s="336">
        <f t="shared" si="0"/>
        <v>849.66916666666657</v>
      </c>
      <c r="C15" s="1042">
        <f t="shared" si="1"/>
        <v>10196.029999999999</v>
      </c>
      <c r="D15" s="549">
        <f>'Janeiro-22'!D144</f>
        <v>833.5</v>
      </c>
      <c r="E15" s="587">
        <f>'Fevereiro-22'!D139</f>
        <v>787.5</v>
      </c>
      <c r="F15" s="588">
        <f>'Março-22'!D145</f>
        <v>665.8</v>
      </c>
      <c r="G15" s="588">
        <f>'Abril-22'!D138</f>
        <v>650</v>
      </c>
      <c r="H15" s="588">
        <f>'Maio-22'!D135</f>
        <v>631</v>
      </c>
      <c r="I15" s="549">
        <f>'Junho-22'!D143</f>
        <v>797</v>
      </c>
      <c r="J15" s="588">
        <f>'Julho-22'!D151</f>
        <v>758.4</v>
      </c>
      <c r="K15" s="588">
        <f>'Agosto-22'!D127</f>
        <v>740</v>
      </c>
      <c r="L15" s="549">
        <f>'Setembro-22'!D150</f>
        <v>1313.5</v>
      </c>
      <c r="M15" s="565">
        <f>'Outubro-22'!D135</f>
        <v>1122.51</v>
      </c>
      <c r="N15" s="565">
        <f>'Novembro-22'!D138</f>
        <v>771.92000000000007</v>
      </c>
      <c r="O15" s="561">
        <f>'Dezembro-22'!D146</f>
        <v>1124.9000000000001</v>
      </c>
    </row>
    <row r="16" spans="1:15" x14ac:dyDescent="0.25">
      <c r="A16" s="329" t="s">
        <v>5439</v>
      </c>
      <c r="B16" s="336">
        <f t="shared" si="0"/>
        <v>352.62999999999994</v>
      </c>
      <c r="C16" s="1042">
        <f t="shared" si="1"/>
        <v>4231.5599999999995</v>
      </c>
      <c r="D16" s="549">
        <f>'Janeiro-22'!D145</f>
        <v>160.78</v>
      </c>
      <c r="E16" s="587">
        <f>'Fevereiro-22'!D140</f>
        <v>0</v>
      </c>
      <c r="F16" s="549">
        <f>'Março-22'!D146</f>
        <v>11.89</v>
      </c>
      <c r="G16" s="549">
        <f>'Abril-22'!D139</f>
        <v>495</v>
      </c>
      <c r="H16" s="549">
        <f>'Maio-22'!D136</f>
        <v>2208.66</v>
      </c>
      <c r="I16" s="588">
        <f>'Junho-22'!D144</f>
        <v>174.59</v>
      </c>
      <c r="J16" s="549">
        <f>'Julho-22'!D152</f>
        <v>448.25</v>
      </c>
      <c r="K16" s="588">
        <f>'Agosto-22'!D128</f>
        <v>250</v>
      </c>
      <c r="L16" s="588">
        <f>'Setembro-22'!D151</f>
        <v>103</v>
      </c>
      <c r="M16" s="565">
        <f>'Outubro-22'!D136</f>
        <v>98.5</v>
      </c>
      <c r="N16" s="565">
        <f>'Novembro-22'!D139</f>
        <v>28.89</v>
      </c>
      <c r="O16" s="561">
        <f>'Dezembro-22'!D147</f>
        <v>252</v>
      </c>
    </row>
    <row r="17" spans="1:15" x14ac:dyDescent="0.25">
      <c r="A17" s="329" t="s">
        <v>1526</v>
      </c>
      <c r="B17" s="336">
        <f t="shared" si="0"/>
        <v>145.06083333333333</v>
      </c>
      <c r="C17" s="1042">
        <f t="shared" si="1"/>
        <v>1740.73</v>
      </c>
      <c r="D17" s="549">
        <f>'Janeiro-22'!D146</f>
        <v>110.9</v>
      </c>
      <c r="E17" s="547">
        <f>'Fevereiro-22'!D141</f>
        <v>144.35</v>
      </c>
      <c r="F17" s="588">
        <f>'Março-22'!D147</f>
        <v>87.9</v>
      </c>
      <c r="G17" s="588">
        <f>'Abril-22'!D140</f>
        <v>75.900000000000006</v>
      </c>
      <c r="H17" s="549">
        <f>'Maio-22'!D137</f>
        <v>120.9</v>
      </c>
      <c r="I17" s="549">
        <f>'Junho-22'!D145</f>
        <v>250.9</v>
      </c>
      <c r="J17" s="588">
        <f>'Julho-22'!D153</f>
        <v>165.3</v>
      </c>
      <c r="K17" s="588">
        <f>'Agosto-22'!D129</f>
        <v>144.30000000000001</v>
      </c>
      <c r="L17" s="549">
        <f>'Setembro-22'!D152</f>
        <v>144.4</v>
      </c>
      <c r="M17" s="561">
        <f>'Outubro-22'!D137</f>
        <v>156</v>
      </c>
      <c r="N17" s="565">
        <f>'Novembro-22'!D140</f>
        <v>132.39000000000001</v>
      </c>
      <c r="O17" s="561">
        <f>'Dezembro-22'!D148</f>
        <v>207.49</v>
      </c>
    </row>
    <row r="18" spans="1:15" x14ac:dyDescent="0.25">
      <c r="A18" s="329" t="s">
        <v>2343</v>
      </c>
      <c r="B18" s="336">
        <f t="shared" si="0"/>
        <v>0</v>
      </c>
      <c r="C18" s="1042">
        <f t="shared" si="1"/>
        <v>0</v>
      </c>
      <c r="D18" s="588">
        <f>'Janeiro-22'!D147</f>
        <v>0</v>
      </c>
      <c r="E18" s="587">
        <f>'Fevereiro-22'!D142</f>
        <v>0</v>
      </c>
      <c r="F18" s="588">
        <f>'Março-22'!D148</f>
        <v>0</v>
      </c>
      <c r="G18" s="588">
        <f>'Abril-22'!D141</f>
        <v>0</v>
      </c>
      <c r="H18" s="588">
        <f>'Maio-22'!D138</f>
        <v>0</v>
      </c>
      <c r="I18" s="588">
        <f>'Junho-22'!D146</f>
        <v>0</v>
      </c>
      <c r="J18" s="588">
        <f>'Julho-22'!D154</f>
        <v>0</v>
      </c>
      <c r="K18" s="588">
        <f>'Agosto-22'!D130</f>
        <v>0</v>
      </c>
      <c r="L18" s="588">
        <f>'Setembro-22'!D153</f>
        <v>0</v>
      </c>
      <c r="M18" s="565">
        <f>'Outubro-22'!D138</f>
        <v>0</v>
      </c>
      <c r="N18" s="565">
        <f>'Novembro-22'!D141</f>
        <v>0</v>
      </c>
      <c r="O18" s="565">
        <f>'Dezembro-22'!D149</f>
        <v>0</v>
      </c>
    </row>
    <row r="19" spans="1:15" x14ac:dyDescent="0.25">
      <c r="A19" s="329" t="s">
        <v>3019</v>
      </c>
      <c r="B19" s="336">
        <f t="shared" si="0"/>
        <v>786.63666666666677</v>
      </c>
      <c r="C19" s="1042">
        <f t="shared" si="1"/>
        <v>9439.6400000000012</v>
      </c>
      <c r="D19" s="549">
        <f>'Janeiro-22'!D148</f>
        <v>636.08000000000004</v>
      </c>
      <c r="E19" s="547">
        <f>'Fevereiro-22'!D143</f>
        <v>639.38</v>
      </c>
      <c r="F19" s="549">
        <f>'Março-22'!D149</f>
        <v>646.48</v>
      </c>
      <c r="G19" s="549">
        <f>'Abril-22'!D142</f>
        <v>649.41999999999996</v>
      </c>
      <c r="H19" s="588">
        <f>'Maio-22'!D139</f>
        <v>529</v>
      </c>
      <c r="I19" s="549">
        <f>'Junho-22'!D147</f>
        <v>557.74</v>
      </c>
      <c r="J19" s="588">
        <f>'Julho-22'!D155</f>
        <v>557.54999999999995</v>
      </c>
      <c r="K19" s="588">
        <f>'Agosto-22'!D131</f>
        <v>557.42999999999995</v>
      </c>
      <c r="L19" s="549">
        <f>'Setembro-22'!D154</f>
        <v>657.43</v>
      </c>
      <c r="M19" s="561">
        <f>'Outubro-22'!D139</f>
        <v>2695.37</v>
      </c>
      <c r="N19" s="565">
        <f>'Novembro-22'!D142</f>
        <v>656.36</v>
      </c>
      <c r="O19" s="565">
        <f>'Dezembro-22'!D150</f>
        <v>657.4</v>
      </c>
    </row>
    <row r="20" spans="1:15" x14ac:dyDescent="0.25">
      <c r="A20" s="329" t="s">
        <v>1527</v>
      </c>
      <c r="B20" s="336">
        <f t="shared" si="0"/>
        <v>435.85138888888883</v>
      </c>
      <c r="C20" s="1042">
        <f t="shared" si="1"/>
        <v>5230.2166666666662</v>
      </c>
      <c r="D20" s="588">
        <f>'Janeiro-22'!D149</f>
        <v>658.56999999999994</v>
      </c>
      <c r="E20" s="547">
        <f>'Fevereiro-22'!D144</f>
        <v>707.64</v>
      </c>
      <c r="F20" s="588">
        <f>'Março-22'!D150</f>
        <v>165.71</v>
      </c>
      <c r="G20" s="549">
        <f>'Abril-22'!D143</f>
        <v>402.43</v>
      </c>
      <c r="H20" s="549">
        <f>'Maio-22'!D140</f>
        <v>451.19000000000005</v>
      </c>
      <c r="I20" s="549">
        <f>'Junho-22'!D148</f>
        <v>551.04</v>
      </c>
      <c r="J20" s="588">
        <f>'Julho-22'!D156</f>
        <v>358.95</v>
      </c>
      <c r="K20" s="588">
        <f>'Agosto-22'!D132</f>
        <v>286.68</v>
      </c>
      <c r="L20" s="549">
        <f>'Setembro-22'!D155</f>
        <v>361.84000000000003</v>
      </c>
      <c r="M20" s="565">
        <f>'Outubro-22'!D140</f>
        <v>314.28000000000003</v>
      </c>
      <c r="N20" s="561">
        <f>'Novembro-22'!D143</f>
        <v>571.30333333333328</v>
      </c>
      <c r="O20" s="565">
        <f>'Dezembro-22'!D151</f>
        <v>400.58333333333331</v>
      </c>
    </row>
    <row r="21" spans="1:15" ht="15.75" x14ac:dyDescent="0.25">
      <c r="A21" s="389" t="s">
        <v>361</v>
      </c>
      <c r="B21" s="551">
        <f ca="1">SUM(B3:B20)</f>
        <v>5253.6076388888896</v>
      </c>
      <c r="C21" s="552">
        <f ca="1">SUM(C3:C20)</f>
        <v>63043.291666666664</v>
      </c>
      <c r="D21" s="552">
        <f t="shared" ref="D21:N21" ca="1" si="2">SUM(D3:D20)</f>
        <v>5334.5550000000003</v>
      </c>
      <c r="E21" s="552">
        <f t="shared" ca="1" si="2"/>
        <v>4925.05</v>
      </c>
      <c r="F21" s="552">
        <f t="shared" ca="1" si="2"/>
        <v>5765.7300000000005</v>
      </c>
      <c r="G21" s="552">
        <f ca="1">SUM(G3:G20)</f>
        <v>4982.4100000000008</v>
      </c>
      <c r="H21" s="552">
        <f ca="1">SUM(H3:H20)</f>
        <v>5845.9</v>
      </c>
      <c r="I21" s="552">
        <f ca="1">SUM(I3:I20)</f>
        <v>4503.42</v>
      </c>
      <c r="J21" s="552">
        <f t="shared" ca="1" si="2"/>
        <v>5200.7700000000004</v>
      </c>
      <c r="K21" s="552">
        <f t="shared" ca="1" si="2"/>
        <v>3777.56</v>
      </c>
      <c r="L21" s="552">
        <f t="shared" ca="1" si="2"/>
        <v>4416.3850000000002</v>
      </c>
      <c r="M21" s="552">
        <f t="shared" ca="1" si="2"/>
        <v>6416.6649999999991</v>
      </c>
      <c r="N21" s="552">
        <f t="shared" ca="1" si="2"/>
        <v>5176.4233333333332</v>
      </c>
      <c r="O21" s="552">
        <f ca="1">SUM(O2:O20)</f>
        <v>6698.4233333333332</v>
      </c>
    </row>
    <row r="22" spans="1:15" x14ac:dyDescent="0.25">
      <c r="A22" s="588"/>
      <c r="B22" s="551"/>
      <c r="C22" s="552"/>
      <c r="D22" s="552"/>
      <c r="E22" s="552"/>
      <c r="F22" s="552"/>
      <c r="G22" s="552"/>
      <c r="H22" s="552"/>
      <c r="I22" s="552"/>
      <c r="J22" s="552"/>
      <c r="K22" s="552"/>
      <c r="L22" s="552"/>
      <c r="M22" s="552"/>
      <c r="N22" s="552"/>
      <c r="O22" s="552"/>
    </row>
    <row r="23" spans="1:15" x14ac:dyDescent="0.25">
      <c r="F23" s="79"/>
    </row>
    <row r="24" spans="1:15" ht="15.75" x14ac:dyDescent="0.25">
      <c r="A24" s="333" t="s">
        <v>5438</v>
      </c>
      <c r="B24" s="334" t="s">
        <v>5440</v>
      </c>
      <c r="C24" s="1041" t="s">
        <v>345</v>
      </c>
      <c r="D24" s="334" t="s">
        <v>346</v>
      </c>
      <c r="E24" s="334" t="s">
        <v>347</v>
      </c>
      <c r="F24" s="334" t="s">
        <v>348</v>
      </c>
      <c r="G24" s="334" t="s">
        <v>349</v>
      </c>
      <c r="H24" s="334" t="s">
        <v>350</v>
      </c>
      <c r="I24" s="334" t="s">
        <v>351</v>
      </c>
      <c r="J24" s="334" t="s">
        <v>352</v>
      </c>
      <c r="K24" s="334" t="s">
        <v>353</v>
      </c>
      <c r="L24" s="334" t="s">
        <v>354</v>
      </c>
      <c r="M24" s="334" t="s">
        <v>355</v>
      </c>
      <c r="N24" s="334" t="s">
        <v>356</v>
      </c>
      <c r="O24" s="334" t="s">
        <v>357</v>
      </c>
    </row>
    <row r="25" spans="1:15" x14ac:dyDescent="0.25">
      <c r="A25" s="329" t="s">
        <v>32</v>
      </c>
      <c r="B25" s="336">
        <f>C25/10</f>
        <v>14.682896313364054</v>
      </c>
      <c r="C25" s="1042">
        <f>D25+E25+F25+G25+H25+I25+J25+K25+L25+M25+N25+O25</f>
        <v>146.82896313364054</v>
      </c>
      <c r="D25" s="588">
        <f>'Janeiro-22'!E132</f>
        <v>12.513225806451612</v>
      </c>
      <c r="E25" s="547">
        <f>'Fevereiro-22'!E127</f>
        <v>12.714285714285714</v>
      </c>
      <c r="F25" s="588">
        <f>'Março-22'!E133</f>
        <v>11.129032258064516</v>
      </c>
      <c r="G25" s="549">
        <f>'Abril-22'!E126</f>
        <v>12.083333333333334</v>
      </c>
      <c r="H25" s="549">
        <f>'Maio-22'!E123</f>
        <v>14.69</v>
      </c>
      <c r="I25" s="588">
        <f>'Junho-22'!E131</f>
        <v>11.4</v>
      </c>
      <c r="J25" s="549">
        <f>'Julho-22'!E139</f>
        <v>13.419354838709678</v>
      </c>
      <c r="K25" s="588">
        <f>'Agosto-22'!E115</f>
        <v>13.25</v>
      </c>
      <c r="L25" s="549">
        <f>'Setembro-22'!E138</f>
        <v>13.725</v>
      </c>
      <c r="M25" s="565">
        <f>'Outubro-22'!E123</f>
        <v>10.140967741935484</v>
      </c>
      <c r="N25" s="561">
        <f>'Novembro-22'!E126</f>
        <v>11.376666666666667</v>
      </c>
      <c r="O25" s="565">
        <f>'Dezembro-22'!E134</f>
        <v>10.387096774193548</v>
      </c>
    </row>
    <row r="26" spans="1:15" x14ac:dyDescent="0.25">
      <c r="A26" s="329" t="s">
        <v>2187</v>
      </c>
      <c r="B26" s="336">
        <f t="shared" ref="B26:B42" si="3">C26/10</f>
        <v>21.601102918586797</v>
      </c>
      <c r="C26" s="1042">
        <f t="shared" ref="C26:C33" si="4">D26+E26+F26+G26+H26+I26+J26+K26+L26+M26+N26+O26</f>
        <v>216.01102918586795</v>
      </c>
      <c r="D26" s="588">
        <f>'Janeiro-22'!E133</f>
        <v>23.458064516129035</v>
      </c>
      <c r="E26" s="587">
        <f>'Fevereiro-22'!E128</f>
        <v>22.142857142857142</v>
      </c>
      <c r="F26" s="588">
        <f>'Março-22'!E134</f>
        <v>19.35483870967742</v>
      </c>
      <c r="G26" s="549">
        <f>'Abril-22'!E127</f>
        <v>19.666666666666668</v>
      </c>
      <c r="H26" s="588">
        <f>'Maio-22'!E124</f>
        <v>17.641290322580645</v>
      </c>
      <c r="I26" s="549">
        <f>'Junho-22'!E132</f>
        <v>21</v>
      </c>
      <c r="J26" s="588">
        <f>'Julho-22'!E140</f>
        <v>16.129032258064516</v>
      </c>
      <c r="K26" s="588">
        <f>'Agosto-22'!E116</f>
        <v>15.806451612903226</v>
      </c>
      <c r="L26" s="588">
        <f>'Setembro-22'!E139</f>
        <v>12.833333333333334</v>
      </c>
      <c r="M26" s="561">
        <f>'Outubro-22'!E124</f>
        <v>13.548387096774194</v>
      </c>
      <c r="N26" s="561">
        <f>'Novembro-22'!E127</f>
        <v>17.333333333333332</v>
      </c>
      <c r="O26" s="565">
        <f>'Dezembro-22'!E135</f>
        <v>17.096774193548388</v>
      </c>
    </row>
    <row r="27" spans="1:15" x14ac:dyDescent="0.25">
      <c r="A27" s="329" t="s">
        <v>2188</v>
      </c>
      <c r="B27" s="336">
        <f t="shared" si="3"/>
        <v>0.22580645161290325</v>
      </c>
      <c r="C27" s="1042">
        <f t="shared" si="4"/>
        <v>2.2580645161290325</v>
      </c>
      <c r="D27" s="588">
        <f>'Janeiro-22'!E134</f>
        <v>2.2580645161290325</v>
      </c>
      <c r="E27" s="587">
        <f>'Fevereiro-22'!E129</f>
        <v>0</v>
      </c>
      <c r="F27" s="588">
        <f>'Março-22'!E135</f>
        <v>0</v>
      </c>
      <c r="G27" s="588">
        <f>'Abril-22'!E128</f>
        <v>0</v>
      </c>
      <c r="H27" s="588">
        <f>'Maio-22'!E125</f>
        <v>0</v>
      </c>
      <c r="I27" s="588">
        <f>'Junho-22'!E133</f>
        <v>0</v>
      </c>
      <c r="J27" s="588">
        <f>'Julho-22'!E141</f>
        <v>0</v>
      </c>
      <c r="K27" s="588">
        <f>'Agosto-22'!E117</f>
        <v>0</v>
      </c>
      <c r="L27" s="588">
        <f>'Setembro-22'!E140</f>
        <v>0</v>
      </c>
      <c r="M27" s="565">
        <f>'Outubro-22'!E125</f>
        <v>0</v>
      </c>
      <c r="N27" s="565">
        <f>'Novembro-22'!E128</f>
        <v>0</v>
      </c>
      <c r="O27" s="565">
        <f>'Dezembro-22'!E136</f>
        <v>0</v>
      </c>
    </row>
    <row r="28" spans="1:15" x14ac:dyDescent="0.25">
      <c r="A28" s="329" t="s">
        <v>50</v>
      </c>
      <c r="B28" s="336">
        <f t="shared" si="3"/>
        <v>10.397352457757297</v>
      </c>
      <c r="C28" s="1042">
        <f>D28+E28+F28+G28+H28+I28+J28+K28+A22+M28+N28+O28</f>
        <v>103.97352457757296</v>
      </c>
      <c r="D28" s="588">
        <f>'Janeiro-22'!E135</f>
        <v>12.339354838709678</v>
      </c>
      <c r="E28" s="587">
        <f>'Fevereiro-22'!E130</f>
        <v>7.2646428571428574</v>
      </c>
      <c r="F28" s="549">
        <f>'Março-22'!E136</f>
        <v>8.2167741935483871</v>
      </c>
      <c r="G28" s="588">
        <f>'Abril-22'!E129</f>
        <v>7.4926666666666666</v>
      </c>
      <c r="H28" s="588">
        <f>'Maio-22'!E126</f>
        <v>5.0132258064516124</v>
      </c>
      <c r="I28" s="549">
        <f>'Junho-22'!E134</f>
        <v>9.8143333333333338</v>
      </c>
      <c r="J28" s="549">
        <f>'Julho-22'!E142</f>
        <v>10.399677419354839</v>
      </c>
      <c r="K28" s="588">
        <f>'Agosto-22'!E118</f>
        <v>9.9345161290322572</v>
      </c>
      <c r="L28" s="588">
        <f>'Setembro-22'!E141</f>
        <v>8.3596666666666657</v>
      </c>
      <c r="M28" s="561">
        <f>'Outubro-22'!E126</f>
        <v>12.856129032258064</v>
      </c>
      <c r="N28" s="565">
        <f>'Novembro-22'!E129</f>
        <v>9.3683333333333341</v>
      </c>
      <c r="O28" s="561">
        <f>'Dezembro-22'!E137</f>
        <v>11.273870967741935</v>
      </c>
    </row>
    <row r="29" spans="1:15" x14ac:dyDescent="0.25">
      <c r="A29" s="329" t="s">
        <v>14</v>
      </c>
      <c r="B29" s="336">
        <f t="shared" si="3"/>
        <v>4.8935187403993856</v>
      </c>
      <c r="C29" s="1042">
        <f t="shared" si="4"/>
        <v>48.935187403993858</v>
      </c>
      <c r="D29" s="588">
        <f>'Janeiro-22'!E136</f>
        <v>5.162258064516128</v>
      </c>
      <c r="E29" s="587">
        <f>'Fevereiro-22'!E131</f>
        <v>4.4157142857142864</v>
      </c>
      <c r="F29" s="549">
        <f>'Março-22'!E137</f>
        <v>4.4641935483870965</v>
      </c>
      <c r="G29" s="588">
        <f>'Abril-22'!E130</f>
        <v>3.7066666666666657</v>
      </c>
      <c r="H29" s="549">
        <f>'Maio-22'!E127</f>
        <v>4.757741935483871</v>
      </c>
      <c r="I29" s="588">
        <f>'Junho-22'!E135</f>
        <v>4.3503333333333343</v>
      </c>
      <c r="J29" s="588">
        <f>'Julho-22'!E143</f>
        <v>3.9303225806451603</v>
      </c>
      <c r="K29" s="588">
        <f>'Agosto-22'!E119</f>
        <v>2.7109677419354834</v>
      </c>
      <c r="L29" s="549">
        <f>'Setembro-22'!E142</f>
        <v>3.7730000000000001</v>
      </c>
      <c r="M29" s="561">
        <f>'Outubro-22'!E127</f>
        <v>4.5264516129032257</v>
      </c>
      <c r="N29" s="565">
        <f>'Novembro-22'!E130</f>
        <v>3.113666666666667</v>
      </c>
      <c r="O29" s="561">
        <f>'Dezembro-22'!E138</f>
        <v>4.023870967741936</v>
      </c>
    </row>
    <row r="30" spans="1:15" x14ac:dyDescent="0.25">
      <c r="A30" s="329" t="s">
        <v>358</v>
      </c>
      <c r="B30" s="336">
        <f t="shared" si="3"/>
        <v>4.1981399385560678</v>
      </c>
      <c r="C30" s="1042">
        <f t="shared" si="4"/>
        <v>41.981399385560678</v>
      </c>
      <c r="D30" s="588">
        <f>'Janeiro-22'!E137</f>
        <v>2.8303225806451611</v>
      </c>
      <c r="E30" s="547">
        <f>'Fevereiro-22'!E132</f>
        <v>3.1085714285714281</v>
      </c>
      <c r="F30" s="549">
        <f>'Março-22'!E138</f>
        <v>3.6867741935483869</v>
      </c>
      <c r="G30" s="549">
        <f>'Abril-22'!E131</f>
        <v>5.8833333333333337</v>
      </c>
      <c r="H30" s="588">
        <f>'Maio-22'!E128</f>
        <v>4.8348387096774195</v>
      </c>
      <c r="I30" s="588">
        <f>'Junho-22'!E136</f>
        <v>3.8486666666666669</v>
      </c>
      <c r="J30" s="588">
        <f>'Julho-22'!E144</f>
        <v>3.0838709677419351</v>
      </c>
      <c r="K30" s="549">
        <f>'Agosto-22'!E120</f>
        <v>3.3058064516129031</v>
      </c>
      <c r="L30" s="588">
        <f>'Setembro-22'!E143</f>
        <v>2.1323333333333334</v>
      </c>
      <c r="M30" s="561">
        <f>'Outubro-22'!E128</f>
        <v>3.3877419354838714</v>
      </c>
      <c r="N30" s="561">
        <f>'Novembro-22'!E131</f>
        <v>3.5433333333333334</v>
      </c>
      <c r="O30" s="565">
        <f>'Dezembro-22'!E139</f>
        <v>2.3358064516129025</v>
      </c>
    </row>
    <row r="31" spans="1:15" x14ac:dyDescent="0.25">
      <c r="A31" s="329" t="s">
        <v>2189</v>
      </c>
      <c r="B31" s="336">
        <f t="shared" si="3"/>
        <v>5.6800462365591402</v>
      </c>
      <c r="C31" s="1042">
        <f t="shared" si="4"/>
        <v>56.8004623655914</v>
      </c>
      <c r="D31" s="588">
        <f>'Janeiro-22'!E138</f>
        <v>2.5806451612903225</v>
      </c>
      <c r="E31" s="547">
        <f>'Fevereiro-22'!E133</f>
        <v>5.6749999999999998</v>
      </c>
      <c r="F31" s="588">
        <f>'Março-22'!E139</f>
        <v>4.8993548387096775</v>
      </c>
      <c r="G31" s="588">
        <f>'Abril-22'!E132</f>
        <v>2.6666666666666665</v>
      </c>
      <c r="H31" s="588">
        <f>'Maio-22'!E129</f>
        <v>2.5806451612903225</v>
      </c>
      <c r="I31" s="549">
        <f>'Junho-22'!E137</f>
        <v>2.6666666666666665</v>
      </c>
      <c r="J31" s="549">
        <f>'Julho-22'!E145</f>
        <v>6.8261290322580646</v>
      </c>
      <c r="K31" s="588">
        <f>'Agosto-22'!E121</f>
        <v>5.3990322580645165</v>
      </c>
      <c r="L31" s="588">
        <f>'Setembro-22'!E144</f>
        <v>5.2183333333333337</v>
      </c>
      <c r="M31" s="565">
        <f>'Outubro-22'!E129</f>
        <v>5.1709677419354829</v>
      </c>
      <c r="N31" s="561">
        <f>'Novembro-22'!E132</f>
        <v>9.1176666666666684</v>
      </c>
      <c r="O31" s="565">
        <f>'Dezembro-22'!E140</f>
        <v>3.9993548387096776</v>
      </c>
    </row>
    <row r="32" spans="1:15" x14ac:dyDescent="0.25">
      <c r="A32" s="329" t="s">
        <v>53</v>
      </c>
      <c r="B32" s="336">
        <f t="shared" si="3"/>
        <v>17.92902104454685</v>
      </c>
      <c r="C32" s="1042">
        <f t="shared" si="4"/>
        <v>179.29021044546852</v>
      </c>
      <c r="D32" s="588">
        <f>'Janeiro-22'!E139</f>
        <v>6.258064516129032</v>
      </c>
      <c r="E32" s="547">
        <f>'Fevereiro-22'!E134</f>
        <v>22.344285714285714</v>
      </c>
      <c r="F32" s="549">
        <f>'Março-22'!E140</f>
        <v>66.6183870967742</v>
      </c>
      <c r="G32" s="588">
        <f>'Abril-22'!E133</f>
        <v>19.196000000000002</v>
      </c>
      <c r="H32" s="588">
        <f>'Maio-22'!E130</f>
        <v>0.967741935483871</v>
      </c>
      <c r="I32" s="549">
        <f>'Junho-22'!E138</f>
        <v>1.6666666666666667</v>
      </c>
      <c r="J32" s="549">
        <f>'Julho-22'!E146</f>
        <v>9.0687096774193545</v>
      </c>
      <c r="K32" s="588">
        <f>'Agosto-22'!E122</f>
        <v>1.6109677419354838</v>
      </c>
      <c r="L32" s="549">
        <f>'Setembro-22'!E145</f>
        <v>5.5343333333333335</v>
      </c>
      <c r="M32" s="565">
        <f>'Outubro-22'!E130</f>
        <v>0</v>
      </c>
      <c r="N32" s="561">
        <f>'Novembro-22'!E133</f>
        <v>8.6666666666666661</v>
      </c>
      <c r="O32" s="561">
        <f>'Dezembro-22'!E141</f>
        <v>37.358387096774194</v>
      </c>
    </row>
    <row r="33" spans="1:15" x14ac:dyDescent="0.25">
      <c r="A33" s="906" t="s">
        <v>2149</v>
      </c>
      <c r="B33" s="336">
        <f t="shared" si="3"/>
        <v>0.27258064516129032</v>
      </c>
      <c r="C33" s="1042">
        <f t="shared" si="4"/>
        <v>2.725806451612903</v>
      </c>
      <c r="D33" s="588">
        <f>'Janeiro-22'!E140</f>
        <v>2.725806451612903</v>
      </c>
      <c r="E33" s="587">
        <f>'Fevereiro-22'!E135</f>
        <v>0</v>
      </c>
      <c r="F33" s="588">
        <f>'Março-22'!E141</f>
        <v>0</v>
      </c>
      <c r="G33" s="588">
        <f>'Abril-22'!E134</f>
        <v>0</v>
      </c>
      <c r="H33" s="588">
        <f>'Maio-22'!E131</f>
        <v>0</v>
      </c>
      <c r="I33" s="588">
        <f>'Junho-22'!E139</f>
        <v>0</v>
      </c>
      <c r="J33" s="588">
        <f>'Julho-22'!E147</f>
        <v>0</v>
      </c>
      <c r="K33" s="588">
        <f>'Agosto-22'!E123</f>
        <v>0</v>
      </c>
      <c r="L33" s="588">
        <f>'Setembro-22'!E146</f>
        <v>0</v>
      </c>
      <c r="M33" s="565">
        <f>'Outubro-22'!E131</f>
        <v>0</v>
      </c>
      <c r="N33" s="565">
        <f>'Novembro-22'!E134</f>
        <v>0</v>
      </c>
      <c r="O33" s="565">
        <f>'Dezembro-22'!E142</f>
        <v>0</v>
      </c>
    </row>
    <row r="34" spans="1:15" x14ac:dyDescent="0.25">
      <c r="A34" s="329" t="s">
        <v>3048</v>
      </c>
      <c r="B34" s="336">
        <f t="shared" ca="1" si="3"/>
        <v>8.755912749615975</v>
      </c>
      <c r="C34" s="1042">
        <f ca="1">D34+E34+F34+G34+H34+I34+J34+K34+L34+M34+N34+O34</f>
        <v>87.559127496159746</v>
      </c>
      <c r="D34" s="588">
        <f ca="1">'Janeiro-22'!E141</f>
        <v>18.291129032258066</v>
      </c>
      <c r="E34" s="587">
        <f ca="1">'Fevereiro-22'!E136</f>
        <v>9.3064285714285706</v>
      </c>
      <c r="F34" s="588">
        <f>'Março-22'!E142</f>
        <v>2.2903225806451615</v>
      </c>
      <c r="G34" s="549">
        <f ca="1">'Abril-22'!E135</f>
        <v>2.4666666666666668</v>
      </c>
      <c r="H34" s="549">
        <f ca="1">'Maio-22'!E132</f>
        <v>3.870967741935484</v>
      </c>
      <c r="I34" s="588">
        <f ca="1">'Junho-22'!E140</f>
        <v>3.0760000000000001</v>
      </c>
      <c r="J34" s="549">
        <f ca="1">'Julho-22'!E148</f>
        <v>12.266129032258064</v>
      </c>
      <c r="K34" s="588">
        <f ca="1">'Agosto-22'!E124</f>
        <v>2.064516129032258</v>
      </c>
      <c r="L34" s="588">
        <f ca="1">'Setembro-22'!E147</f>
        <v>0.66666666666666663</v>
      </c>
      <c r="M34" s="561">
        <f ca="1">'Outubro-22'!E132</f>
        <v>1</v>
      </c>
      <c r="N34" s="561">
        <f ca="1">'Novembro-22'!E135</f>
        <v>3.3893333333333335</v>
      </c>
      <c r="O34" s="561">
        <f ca="1">'Dezembro-22'!E143</f>
        <v>28.870967741935484</v>
      </c>
    </row>
    <row r="35" spans="1:15" x14ac:dyDescent="0.25">
      <c r="A35" s="329" t="s">
        <v>1686</v>
      </c>
      <c r="B35" s="336">
        <f t="shared" ca="1" si="3"/>
        <v>14.673551305683564</v>
      </c>
      <c r="C35" s="1042">
        <f t="shared" ref="C35:C41" ca="1" si="5">D35+E35+F35+G35+H35+I35+J35+K35+L35+M35+N35+O35</f>
        <v>146.73551305683563</v>
      </c>
      <c r="D35" s="588">
        <f>'Janeiro-22'!E142</f>
        <v>6.2516129032258068</v>
      </c>
      <c r="E35" s="547">
        <f>'Fevereiro-22'!E137</f>
        <v>7.3203571428571426</v>
      </c>
      <c r="F35" s="549">
        <f ca="1">'Março-22'!E143</f>
        <v>13.870967741935484</v>
      </c>
      <c r="G35" s="588">
        <f>'Abril-22'!E136</f>
        <v>8.43</v>
      </c>
      <c r="H35" s="588">
        <f>'Maio-22'!E133</f>
        <v>5.6741935483870973</v>
      </c>
      <c r="I35" s="549">
        <f ca="1">'Junho-22'!E141</f>
        <v>14.582333333333334</v>
      </c>
      <c r="J35" s="588">
        <f>'Julho-22'!E149</f>
        <v>14.54516129032258</v>
      </c>
      <c r="K35" s="588">
        <f>'Agosto-22'!E125</f>
        <v>3.225806451612903</v>
      </c>
      <c r="L35" s="549">
        <f>'Setembro-22'!E148</f>
        <v>7.8778333333333324</v>
      </c>
      <c r="M35" s="561">
        <f>'Outubro-22'!E133</f>
        <v>14.853387096774194</v>
      </c>
      <c r="N35" s="561">
        <f>'Novembro-22'!E136</f>
        <v>34.609666666666662</v>
      </c>
      <c r="O35" s="565">
        <f>'Dezembro-22'!E144</f>
        <v>15.494193548387097</v>
      </c>
    </row>
    <row r="36" spans="1:15" x14ac:dyDescent="0.25">
      <c r="A36" s="329" t="s">
        <v>418</v>
      </c>
      <c r="B36" s="336">
        <f t="shared" si="3"/>
        <v>1.7027726574500768</v>
      </c>
      <c r="C36" s="1042">
        <f t="shared" si="5"/>
        <v>17.027726574500768</v>
      </c>
      <c r="D36" s="588">
        <f>'Janeiro-22'!E143</f>
        <v>0</v>
      </c>
      <c r="E36" s="547">
        <f>'Fevereiro-22'!E138</f>
        <v>0.21428571428571427</v>
      </c>
      <c r="F36" s="549">
        <f>'Março-22'!E144</f>
        <v>0.56451612903225812</v>
      </c>
      <c r="G36" s="588">
        <f>'Abril-22'!E137</f>
        <v>8.7299999999999986</v>
      </c>
      <c r="H36" s="588">
        <f>'Maio-22'!E134</f>
        <v>1.4258064516129034</v>
      </c>
      <c r="I36" s="588">
        <f>'Junho-22'!E142</f>
        <v>0</v>
      </c>
      <c r="J36" s="549">
        <f>'Julho-22'!E150</f>
        <v>4.2774193548387096</v>
      </c>
      <c r="K36" s="588">
        <f>'Agosto-22'!E126</f>
        <v>0.72903225806451621</v>
      </c>
      <c r="L36" s="549">
        <f>'Setembro-22'!E149</f>
        <v>1.0866666666666664</v>
      </c>
      <c r="M36" s="565">
        <f>'Outubro-22'!E134</f>
        <v>0</v>
      </c>
      <c r="N36" s="565">
        <f>'Novembro-22'!E137</f>
        <v>0</v>
      </c>
      <c r="O36" s="565">
        <f>'Dezembro-22'!E145</f>
        <v>0</v>
      </c>
    </row>
    <row r="37" spans="1:15" x14ac:dyDescent="0.25">
      <c r="A37" s="329" t="s">
        <v>419</v>
      </c>
      <c r="B37" s="336">
        <f t="shared" si="3"/>
        <v>33.542426881720431</v>
      </c>
      <c r="C37" s="1042">
        <f t="shared" si="5"/>
        <v>335.42426881720434</v>
      </c>
      <c r="D37" s="588">
        <f>'Janeiro-22'!E144</f>
        <v>26.887096774193548</v>
      </c>
      <c r="E37" s="547">
        <f>'Fevereiro-22'!E139</f>
        <v>28.125</v>
      </c>
      <c r="F37" s="588">
        <f>'Março-22'!E145</f>
        <v>21.477419354838709</v>
      </c>
      <c r="G37" s="549">
        <f>'Abril-22'!E138</f>
        <v>21.666666666666668</v>
      </c>
      <c r="H37" s="588">
        <f>'Maio-22'!E135</f>
        <v>20.35483870967742</v>
      </c>
      <c r="I37" s="549">
        <f>'Junho-22'!E143</f>
        <v>26.566666666666666</v>
      </c>
      <c r="J37" s="588">
        <f>'Julho-22'!E151</f>
        <v>24.464516129032258</v>
      </c>
      <c r="K37" s="588">
        <f>'Agosto-22'!E127</f>
        <v>23.870967741935484</v>
      </c>
      <c r="L37" s="549">
        <f>'Setembro-22'!E150</f>
        <v>43.783333333333331</v>
      </c>
      <c r="M37" s="565">
        <f>'Outubro-22'!E135</f>
        <v>36.21</v>
      </c>
      <c r="N37" s="565">
        <f>'Novembro-22'!E138</f>
        <v>25.730666666666668</v>
      </c>
      <c r="O37" s="561">
        <f>'Dezembro-22'!E146</f>
        <v>36.28709677419355</v>
      </c>
    </row>
    <row r="38" spans="1:15" x14ac:dyDescent="0.25">
      <c r="A38" s="329" t="s">
        <v>911</v>
      </c>
      <c r="B38" s="336">
        <f t="shared" si="3"/>
        <v>13.736374193548386</v>
      </c>
      <c r="C38" s="1042">
        <f t="shared" si="5"/>
        <v>137.36374193548386</v>
      </c>
      <c r="D38" s="588">
        <f>'Janeiro-22'!E145</f>
        <v>5.1864516129032259</v>
      </c>
      <c r="E38" s="587">
        <f>'Fevereiro-22'!E140</f>
        <v>0</v>
      </c>
      <c r="F38" s="549">
        <f>'Março-22'!E146</f>
        <v>0.38354838709677419</v>
      </c>
      <c r="G38" s="549">
        <f>'Abril-22'!E139</f>
        <v>16.5</v>
      </c>
      <c r="H38" s="549">
        <f>'Maio-22'!E136</f>
        <v>71.247096774193537</v>
      </c>
      <c r="I38" s="588">
        <f>'Junho-22'!E144</f>
        <v>5.8196666666666665</v>
      </c>
      <c r="J38" s="549">
        <f>'Julho-22'!E152</f>
        <v>14.459677419354838</v>
      </c>
      <c r="K38" s="588">
        <f>'Agosto-22'!E128</f>
        <v>8.064516129032258</v>
      </c>
      <c r="L38" s="588">
        <f>'Setembro-22'!E151</f>
        <v>3.4333333333333331</v>
      </c>
      <c r="M38" s="565">
        <f>'Outubro-22'!E136</f>
        <v>3.1774193548387095</v>
      </c>
      <c r="N38" s="565">
        <f>'Novembro-22'!E139</f>
        <v>0.96299999999999997</v>
      </c>
      <c r="O38" s="561">
        <f>'Dezembro-22'!E147</f>
        <v>8.129032258064516</v>
      </c>
    </row>
    <row r="39" spans="1:15" x14ac:dyDescent="0.25">
      <c r="A39" s="329" t="s">
        <v>1526</v>
      </c>
      <c r="B39" s="336">
        <f t="shared" si="3"/>
        <v>5.7300507680491553</v>
      </c>
      <c r="C39" s="1042">
        <f t="shared" si="5"/>
        <v>57.300507680491556</v>
      </c>
      <c r="D39" s="588">
        <f>'Janeiro-22'!E146</f>
        <v>3.5774193548387099</v>
      </c>
      <c r="E39" s="547">
        <f>'Fevereiro-22'!E141</f>
        <v>5.1553571428571425</v>
      </c>
      <c r="F39" s="588">
        <f>'Março-22'!E147</f>
        <v>2.8354838709677419</v>
      </c>
      <c r="G39" s="588">
        <f>'Abril-22'!E140</f>
        <v>2.5300000000000002</v>
      </c>
      <c r="H39" s="549">
        <f>'Maio-22'!E137</f>
        <v>3.9000000000000004</v>
      </c>
      <c r="I39" s="549">
        <f>'Junho-22'!E145</f>
        <v>8.3633333333333333</v>
      </c>
      <c r="J39" s="588">
        <f>'Julho-22'!E153</f>
        <v>5.3322580645161297</v>
      </c>
      <c r="K39" s="588">
        <f>'Agosto-22'!E129</f>
        <v>4.6548387096774198</v>
      </c>
      <c r="L39" s="549">
        <f>'Setembro-22'!E152</f>
        <v>4.8133333333333335</v>
      </c>
      <c r="M39" s="561">
        <f>'Outubro-22'!E137</f>
        <v>5.032258064516129</v>
      </c>
      <c r="N39" s="565">
        <f>'Novembro-22'!E140</f>
        <v>4.4130000000000003</v>
      </c>
      <c r="O39" s="561">
        <f>'Dezembro-22'!E148</f>
        <v>6.693225806451613</v>
      </c>
    </row>
    <row r="40" spans="1:15" x14ac:dyDescent="0.25">
      <c r="A40" s="329" t="s">
        <v>2343</v>
      </c>
      <c r="B40" s="336">
        <f t="shared" si="3"/>
        <v>0</v>
      </c>
      <c r="C40" s="1043">
        <f t="shared" si="5"/>
        <v>0</v>
      </c>
      <c r="D40" s="588">
        <f>'Janeiro-22'!E147</f>
        <v>0</v>
      </c>
      <c r="E40" s="587">
        <f>'Fevereiro-22'!E142</f>
        <v>0</v>
      </c>
      <c r="F40" s="588">
        <f>'Março-22'!E148</f>
        <v>0</v>
      </c>
      <c r="G40" s="588">
        <f>'Abril-22'!E141</f>
        <v>0</v>
      </c>
      <c r="H40" s="588">
        <f>'Maio-22'!E138</f>
        <v>0</v>
      </c>
      <c r="I40" s="588">
        <f>'Junho-22'!E146</f>
        <v>0</v>
      </c>
      <c r="J40" s="588">
        <f>'Julho-22'!E154</f>
        <v>0</v>
      </c>
      <c r="K40" s="588">
        <f>'Agosto-22'!E130</f>
        <v>0</v>
      </c>
      <c r="L40" s="588">
        <f>'Setembro-22'!E153</f>
        <v>0</v>
      </c>
      <c r="M40" s="565">
        <f>'Outubro-22'!E138</f>
        <v>0</v>
      </c>
      <c r="N40" s="565">
        <f>'Novembro-22'!E141</f>
        <v>0</v>
      </c>
      <c r="O40" s="565">
        <f>'Dezembro-22'!E149</f>
        <v>0</v>
      </c>
    </row>
    <row r="41" spans="1:15" x14ac:dyDescent="0.25">
      <c r="A41" s="329" t="s">
        <v>3019</v>
      </c>
      <c r="B41" s="336">
        <f t="shared" si="3"/>
        <v>30.94250537634408</v>
      </c>
      <c r="C41" s="1043">
        <f t="shared" si="5"/>
        <v>309.42505376344081</v>
      </c>
      <c r="D41" s="588">
        <f>'Janeiro-22'!E148</f>
        <v>20.518709677419356</v>
      </c>
      <c r="E41" s="547">
        <f>'Fevereiro-22'!E143</f>
        <v>22.835000000000001</v>
      </c>
      <c r="F41" s="588">
        <f>'Março-22'!E149</f>
        <v>20.854193548387098</v>
      </c>
      <c r="G41" s="549">
        <f>'Abril-22'!E142</f>
        <v>21.647333333333332</v>
      </c>
      <c r="H41" s="588">
        <f>'Maio-22'!E139</f>
        <v>17.06451612903226</v>
      </c>
      <c r="I41" s="549">
        <f>'Junho-22'!E147</f>
        <v>18.591333333333335</v>
      </c>
      <c r="J41" s="588">
        <f>'Julho-22'!E155</f>
        <v>17.985483870967741</v>
      </c>
      <c r="K41" s="588">
        <f>'Agosto-22'!E131</f>
        <v>17.981612903225805</v>
      </c>
      <c r="L41" s="549">
        <f>'Setembro-22'!E154</f>
        <v>21.914333333333332</v>
      </c>
      <c r="M41" s="561">
        <f>'Outubro-22'!E139</f>
        <v>86.947419354838701</v>
      </c>
      <c r="N41" s="565">
        <f>'Novembro-22'!E142</f>
        <v>21.878666666666668</v>
      </c>
      <c r="O41" s="565">
        <f>'Dezembro-22'!E150</f>
        <v>21.206451612903226</v>
      </c>
    </row>
    <row r="42" spans="1:15" x14ac:dyDescent="0.25">
      <c r="A42" s="329" t="s">
        <v>1527</v>
      </c>
      <c r="B42" s="336">
        <f t="shared" si="3"/>
        <v>17.319104352278544</v>
      </c>
      <c r="C42" s="1042">
        <f>D42+E42+F42+G42+H42+I42+J42+K42+L42+M42+N42+O42</f>
        <v>173.19104352278544</v>
      </c>
      <c r="D42" s="588">
        <f>'Janeiro-22'!E149</f>
        <v>21.244193548387095</v>
      </c>
      <c r="E42" s="547">
        <f>'Fevereiro-22'!E144</f>
        <v>25.272857142857141</v>
      </c>
      <c r="F42" s="588">
        <f>'Março-22'!E150</f>
        <v>5.3454838709677421</v>
      </c>
      <c r="G42" s="549">
        <f>'Abril-22'!E143</f>
        <v>13.414333333333333</v>
      </c>
      <c r="H42" s="549">
        <f>'Maio-22'!E140</f>
        <v>14.55451612903226</v>
      </c>
      <c r="I42" s="549">
        <f>'Junho-22'!E148</f>
        <v>18.367999999999999</v>
      </c>
      <c r="J42" s="588">
        <f>'Julho-22'!E156</f>
        <v>11.579032258064515</v>
      </c>
      <c r="K42" s="588">
        <f>'Agosto-22'!E132</f>
        <v>9.2477419354838712</v>
      </c>
      <c r="L42" s="549">
        <f>'Setembro-22'!E155</f>
        <v>12.061333333333334</v>
      </c>
      <c r="M42" s="565">
        <f>'Outubro-22'!E140</f>
        <v>10.138064516129033</v>
      </c>
      <c r="N42" s="561">
        <f>'Novembro-22'!E143</f>
        <v>19.043444444444443</v>
      </c>
      <c r="O42" s="565">
        <f>'Dezembro-22'!E151</f>
        <v>12.922043010752688</v>
      </c>
    </row>
    <row r="43" spans="1:15" ht="15.75" x14ac:dyDescent="0.25">
      <c r="A43" s="389" t="s">
        <v>361</v>
      </c>
      <c r="B43" s="551">
        <f t="shared" ref="B43:C43" ca="1" si="6">SUM(B25:B42)</f>
        <v>206.28316303123398</v>
      </c>
      <c r="C43" s="552">
        <f t="shared" ca="1" si="6"/>
        <v>2062.8316303123402</v>
      </c>
      <c r="D43" s="552">
        <f t="shared" ref="D43:O43" ca="1" si="7">SUM(D25:D42)</f>
        <v>172.08241935483872</v>
      </c>
      <c r="E43" s="552">
        <f t="shared" ca="1" si="7"/>
        <v>175.89464285714286</v>
      </c>
      <c r="F43" s="552">
        <f t="shared" ca="1" si="7"/>
        <v>185.99129032258062</v>
      </c>
      <c r="G43" s="552">
        <f t="shared" ca="1" si="7"/>
        <v>166.08033333333333</v>
      </c>
      <c r="H43" s="552">
        <f t="shared" ca="1" si="7"/>
        <v>188.57741935483872</v>
      </c>
      <c r="I43" s="552">
        <f t="shared" ca="1" si="7"/>
        <v>150.11399999999998</v>
      </c>
      <c r="J43" s="552">
        <f t="shared" ca="1" si="7"/>
        <v>167.76677419354837</v>
      </c>
      <c r="K43" s="552">
        <f t="shared" ca="1" si="7"/>
        <v>121.85677419354838</v>
      </c>
      <c r="L43" s="552">
        <f t="shared" ca="1" si="7"/>
        <v>147.21283333333332</v>
      </c>
      <c r="M43" s="552">
        <f t="shared" ca="1" si="7"/>
        <v>206.98919354838705</v>
      </c>
      <c r="N43" s="552">
        <f t="shared" ca="1" si="7"/>
        <v>172.54744444444444</v>
      </c>
      <c r="O43" s="552">
        <f t="shared" ca="1" si="7"/>
        <v>216.07817204301074</v>
      </c>
    </row>
    <row r="44" spans="1:15" x14ac:dyDescent="0.25">
      <c r="F44" s="79"/>
    </row>
    <row r="45" spans="1:15" x14ac:dyDescent="0.25">
      <c r="F45" s="79"/>
    </row>
    <row r="46" spans="1:15" x14ac:dyDescent="0.25">
      <c r="F46" s="79"/>
    </row>
    <row r="47" spans="1:15" x14ac:dyDescent="0.25">
      <c r="B47" s="864" t="s">
        <v>5441</v>
      </c>
      <c r="C47" s="864" t="s">
        <v>5442</v>
      </c>
      <c r="F47" s="79"/>
    </row>
    <row r="48" spans="1:15" s="200" customFormat="1" ht="18" customHeight="1" x14ac:dyDescent="0.3">
      <c r="A48" s="198" t="s">
        <v>362</v>
      </c>
      <c r="B48" s="846">
        <v>4600</v>
      </c>
      <c r="C48" s="846">
        <v>5000</v>
      </c>
      <c r="E48" s="196"/>
      <c r="F48" s="196"/>
      <c r="G48" s="196"/>
      <c r="H48" s="196"/>
      <c r="I48" s="196"/>
      <c r="J48" s="196"/>
      <c r="K48" s="196"/>
      <c r="L48" s="196"/>
      <c r="M48" s="196"/>
    </row>
    <row r="49" spans="1:16" s="200" customFormat="1" ht="17.25" customHeight="1" x14ac:dyDescent="0.3">
      <c r="A49" s="198"/>
      <c r="I49" s="196"/>
      <c r="J49" s="196"/>
      <c r="K49" s="196"/>
      <c r="L49" s="196"/>
      <c r="M49" s="196"/>
      <c r="N49" s="196"/>
    </row>
    <row r="50" spans="1:16" ht="15.75" x14ac:dyDescent="0.25">
      <c r="A50" s="197" t="s">
        <v>5443</v>
      </c>
      <c r="B50" s="278" t="s">
        <v>5444</v>
      </c>
      <c r="C50" s="278" t="s">
        <v>345</v>
      </c>
      <c r="D50" s="195" t="s">
        <v>346</v>
      </c>
      <c r="E50" s="195" t="s">
        <v>347</v>
      </c>
      <c r="F50" s="195" t="s">
        <v>348</v>
      </c>
      <c r="G50" s="195" t="s">
        <v>349</v>
      </c>
      <c r="H50" s="195" t="s">
        <v>364</v>
      </c>
      <c r="I50" s="195" t="s">
        <v>351</v>
      </c>
      <c r="J50" s="195" t="s">
        <v>352</v>
      </c>
      <c r="K50" s="195" t="s">
        <v>353</v>
      </c>
      <c r="L50" s="195" t="s">
        <v>354</v>
      </c>
      <c r="M50" s="195" t="s">
        <v>355</v>
      </c>
      <c r="N50" s="195" t="s">
        <v>365</v>
      </c>
      <c r="O50" s="195" t="s">
        <v>357</v>
      </c>
      <c r="P50" s="193"/>
    </row>
    <row r="51" spans="1:16" x14ac:dyDescent="0.25">
      <c r="A51" s="79" t="s">
        <v>366</v>
      </c>
      <c r="B51" s="633">
        <f>C51/12</f>
        <v>1640</v>
      </c>
      <c r="C51" s="633">
        <f t="shared" ref="C51:C60" si="8">D51+E51+F51+G51+H51+I51+J51+K51+L51+M51+N51+O51</f>
        <v>19680</v>
      </c>
      <c r="D51" s="1112"/>
      <c r="E51" s="1112">
        <v>1840</v>
      </c>
      <c r="F51" s="1112">
        <v>1840</v>
      </c>
      <c r="G51" s="1112">
        <v>2000</v>
      </c>
      <c r="H51" s="1112">
        <v>2000</v>
      </c>
      <c r="I51" s="1112">
        <v>2000</v>
      </c>
      <c r="J51" s="1112">
        <v>2000</v>
      </c>
      <c r="K51" s="1112">
        <v>2000</v>
      </c>
      <c r="L51" s="1112">
        <v>2000</v>
      </c>
      <c r="M51" s="1112">
        <v>2000</v>
      </c>
      <c r="N51" s="1112">
        <v>2000</v>
      </c>
      <c r="O51" s="1112"/>
      <c r="P51" s="629"/>
    </row>
    <row r="52" spans="1:16" x14ac:dyDescent="0.25">
      <c r="A52" s="79" t="s">
        <v>367</v>
      </c>
      <c r="B52" s="633">
        <f t="shared" ref="B52:B60" si="9">C52/12</f>
        <v>2145.2816666666663</v>
      </c>
      <c r="C52" s="633">
        <f t="shared" si="8"/>
        <v>25743.379999999994</v>
      </c>
      <c r="D52" s="1112">
        <v>2917.29</v>
      </c>
      <c r="E52" s="1112">
        <v>2013.33</v>
      </c>
      <c r="F52" s="1112">
        <v>2280.71</v>
      </c>
      <c r="G52" s="1112">
        <v>2120.71</v>
      </c>
      <c r="H52" s="1112">
        <v>2120.71</v>
      </c>
      <c r="I52" s="1112">
        <v>2120.71</v>
      </c>
      <c r="J52" s="1112">
        <v>2120.71</v>
      </c>
      <c r="K52" s="1112">
        <v>2120.71</v>
      </c>
      <c r="L52" s="1112">
        <v>2120.71</v>
      </c>
      <c r="M52" s="1112">
        <v>2120.71</v>
      </c>
      <c r="N52" s="1112">
        <v>1927.96</v>
      </c>
      <c r="O52" s="1112">
        <v>1759.12</v>
      </c>
      <c r="P52" s="216" t="s">
        <v>5445</v>
      </c>
    </row>
    <row r="53" spans="1:16" x14ac:dyDescent="0.25">
      <c r="A53" s="79" t="s">
        <v>2506</v>
      </c>
      <c r="B53" s="633">
        <f t="shared" si="9"/>
        <v>95</v>
      </c>
      <c r="C53" s="633">
        <f t="shared" si="8"/>
        <v>1140</v>
      </c>
      <c r="D53" s="1112">
        <v>70</v>
      </c>
      <c r="E53" s="1112">
        <v>70</v>
      </c>
      <c r="F53" s="1112">
        <v>100</v>
      </c>
      <c r="G53" s="1112">
        <v>100</v>
      </c>
      <c r="H53" s="1112">
        <v>100</v>
      </c>
      <c r="I53" s="1112">
        <v>100</v>
      </c>
      <c r="J53" s="1112">
        <v>100</v>
      </c>
      <c r="K53" s="1112">
        <v>100</v>
      </c>
      <c r="L53" s="1112">
        <v>100</v>
      </c>
      <c r="M53" s="1112">
        <v>100</v>
      </c>
      <c r="N53" s="1113">
        <v>100</v>
      </c>
      <c r="O53" s="1113">
        <v>100</v>
      </c>
      <c r="P53" s="216"/>
    </row>
    <row r="54" spans="1:16" x14ac:dyDescent="0.25">
      <c r="A54" s="79" t="s">
        <v>368</v>
      </c>
      <c r="B54" s="633">
        <f t="shared" si="9"/>
        <v>445.23499999999996</v>
      </c>
      <c r="C54" s="633">
        <f t="shared" si="8"/>
        <v>5342.82</v>
      </c>
      <c r="D54" s="1112"/>
      <c r="E54" s="1112"/>
      <c r="F54" s="1112"/>
      <c r="G54" s="1112"/>
      <c r="H54" s="1112"/>
      <c r="I54" s="1112"/>
      <c r="J54" s="1112"/>
      <c r="K54" s="1112"/>
      <c r="L54" s="1112"/>
      <c r="M54" s="1113"/>
      <c r="N54" s="1113"/>
      <c r="O54" s="1113">
        <v>5342.82</v>
      </c>
      <c r="P54" s="216"/>
    </row>
    <row r="55" spans="1:16" x14ac:dyDescent="0.25">
      <c r="A55" s="79" t="s">
        <v>369</v>
      </c>
      <c r="B55" s="633">
        <f t="shared" si="9"/>
        <v>348.41</v>
      </c>
      <c r="C55" s="633">
        <f t="shared" si="8"/>
        <v>4180.92</v>
      </c>
      <c r="D55" s="1112"/>
      <c r="E55" s="1112"/>
      <c r="F55" s="1112"/>
      <c r="G55" s="1112"/>
      <c r="H55" s="1112"/>
      <c r="I55" s="1112"/>
      <c r="J55" s="1112"/>
      <c r="K55" s="1112"/>
      <c r="L55" s="1112"/>
      <c r="M55" s="1113"/>
      <c r="N55" s="1038">
        <v>2500</v>
      </c>
      <c r="O55" s="1113">
        <v>1680.92</v>
      </c>
      <c r="P55" s="216"/>
    </row>
    <row r="56" spans="1:16" x14ac:dyDescent="0.25">
      <c r="A56" s="79" t="s">
        <v>5436</v>
      </c>
      <c r="B56" s="633">
        <f t="shared" si="9"/>
        <v>25</v>
      </c>
      <c r="C56" s="633">
        <f t="shared" si="8"/>
        <v>300</v>
      </c>
      <c r="D56" s="1112"/>
      <c r="E56" s="1112"/>
      <c r="F56" s="1112">
        <v>300</v>
      </c>
      <c r="G56" s="1112"/>
      <c r="H56" s="1112"/>
      <c r="I56" s="1112"/>
      <c r="J56" s="1112"/>
      <c r="K56" s="1112"/>
      <c r="L56" s="1112"/>
      <c r="M56" s="1113"/>
      <c r="N56" s="1038"/>
      <c r="O56" s="1113"/>
      <c r="P56" s="216"/>
    </row>
    <row r="57" spans="1:16" x14ac:dyDescent="0.25">
      <c r="A57" s="79" t="s">
        <v>5437</v>
      </c>
      <c r="B57" s="633">
        <f t="shared" si="9"/>
        <v>412.02083333333331</v>
      </c>
      <c r="C57" s="633">
        <f t="shared" si="8"/>
        <v>4944.25</v>
      </c>
      <c r="D57" s="1112"/>
      <c r="E57" s="1112"/>
      <c r="F57" s="1112"/>
      <c r="G57" s="1112"/>
      <c r="H57" s="1112"/>
      <c r="I57" s="1112"/>
      <c r="J57" s="1112"/>
      <c r="K57" s="1112"/>
      <c r="L57" s="1112"/>
      <c r="M57" s="1113">
        <v>4944.25</v>
      </c>
      <c r="N57" s="1038"/>
      <c r="O57" s="1113"/>
      <c r="P57" s="216"/>
    </row>
    <row r="58" spans="1:16" x14ac:dyDescent="0.25">
      <c r="A58" s="79" t="s">
        <v>3339</v>
      </c>
      <c r="B58" s="633">
        <f t="shared" ref="B58:B59" si="10">C58/12</f>
        <v>83.333333333333329</v>
      </c>
      <c r="C58" s="633">
        <f t="shared" ref="C58:C59" si="11">D58+E58+F58+G58+H58+I58+J58+K58+L58+M58+N58+O58</f>
        <v>1000</v>
      </c>
      <c r="D58" s="1112"/>
      <c r="E58" s="1112"/>
      <c r="F58" s="1112"/>
      <c r="G58" s="1112"/>
      <c r="H58" s="1112"/>
      <c r="I58" s="1112">
        <v>1000</v>
      </c>
      <c r="J58" s="1112"/>
      <c r="K58" s="1112"/>
      <c r="L58" s="1112"/>
      <c r="M58" s="1113"/>
      <c r="N58" s="1038"/>
      <c r="O58" s="1113"/>
      <c r="P58" s="216"/>
    </row>
    <row r="59" spans="1:16" x14ac:dyDescent="0.25">
      <c r="A59" s="79" t="s">
        <v>5446</v>
      </c>
      <c r="B59" s="633">
        <f t="shared" si="10"/>
        <v>12.625833333333333</v>
      </c>
      <c r="C59" s="633">
        <f t="shared" si="11"/>
        <v>151.51</v>
      </c>
      <c r="D59" s="1112"/>
      <c r="E59" s="1112"/>
      <c r="F59" s="1112"/>
      <c r="G59" s="1112"/>
      <c r="H59" s="1112"/>
      <c r="I59" s="1112">
        <v>151.51</v>
      </c>
      <c r="J59" s="1112"/>
      <c r="K59" s="1112"/>
      <c r="L59" s="1112"/>
      <c r="M59" s="1113"/>
      <c r="N59" s="1038"/>
      <c r="O59" s="1113"/>
      <c r="P59" s="216"/>
    </row>
    <row r="60" spans="1:16" x14ac:dyDescent="0.25">
      <c r="A60" s="79" t="s">
        <v>5447</v>
      </c>
      <c r="B60" s="633">
        <f t="shared" si="9"/>
        <v>83.333333333333329</v>
      </c>
      <c r="C60" s="633">
        <f t="shared" si="8"/>
        <v>1000</v>
      </c>
      <c r="D60" s="1112"/>
      <c r="E60" s="1112"/>
      <c r="F60" s="1112"/>
      <c r="G60" s="1112"/>
      <c r="H60" s="1112"/>
      <c r="I60" s="1112"/>
      <c r="J60" s="1112"/>
      <c r="K60" s="1112"/>
      <c r="L60" s="1112"/>
      <c r="M60" s="1113"/>
      <c r="N60" s="1038"/>
      <c r="O60" s="1113">
        <v>1000</v>
      </c>
      <c r="P60" s="216"/>
    </row>
    <row r="61" spans="1:16" ht="15.75" x14ac:dyDescent="0.25">
      <c r="A61" s="280" t="s">
        <v>361</v>
      </c>
      <c r="B61" s="206">
        <f>SUM(B51:B60)</f>
        <v>5290.2399999999989</v>
      </c>
      <c r="C61" s="206">
        <f t="shared" ref="C61:O61" si="12">SUM(C51:C60)</f>
        <v>63482.87999999999</v>
      </c>
      <c r="D61" s="206">
        <f t="shared" si="12"/>
        <v>2987.29</v>
      </c>
      <c r="E61" s="206">
        <f t="shared" si="12"/>
        <v>3923.33</v>
      </c>
      <c r="F61" s="206">
        <f t="shared" si="12"/>
        <v>4520.71</v>
      </c>
      <c r="G61" s="206">
        <f t="shared" si="12"/>
        <v>4220.71</v>
      </c>
      <c r="H61" s="206">
        <f t="shared" si="12"/>
        <v>4220.71</v>
      </c>
      <c r="I61" s="206">
        <f t="shared" si="12"/>
        <v>5372.22</v>
      </c>
      <c r="J61" s="206">
        <f t="shared" si="12"/>
        <v>4220.71</v>
      </c>
      <c r="K61" s="206">
        <f t="shared" si="12"/>
        <v>4220.71</v>
      </c>
      <c r="L61" s="206">
        <f t="shared" si="12"/>
        <v>4220.71</v>
      </c>
      <c r="M61" s="206">
        <f t="shared" si="12"/>
        <v>9164.9599999999991</v>
      </c>
      <c r="N61" s="206">
        <f t="shared" si="12"/>
        <v>6527.96</v>
      </c>
      <c r="O61" s="206">
        <f t="shared" si="12"/>
        <v>9882.86</v>
      </c>
      <c r="P61" s="633"/>
    </row>
    <row r="62" spans="1:16" ht="15.75" x14ac:dyDescent="0.25">
      <c r="A62" s="280"/>
      <c r="B62" s="206"/>
      <c r="C62" s="216"/>
      <c r="D62" s="206"/>
      <c r="E62" s="206"/>
      <c r="F62" s="206"/>
      <c r="G62" s="206"/>
      <c r="H62" s="216"/>
      <c r="I62" s="206"/>
      <c r="J62" s="206"/>
      <c r="K62" s="206"/>
      <c r="L62" s="206"/>
      <c r="M62" s="206"/>
      <c r="P62" s="216"/>
    </row>
    <row r="63" spans="1:16" x14ac:dyDescent="0.25">
      <c r="B63" s="206"/>
      <c r="C63" s="865"/>
      <c r="D63" s="865"/>
      <c r="E63" s="865"/>
      <c r="F63" s="865"/>
      <c r="G63" s="865"/>
      <c r="H63" s="865"/>
      <c r="I63" s="865"/>
      <c r="M63" s="216"/>
      <c r="N63" s="206"/>
      <c r="O63" s="216"/>
      <c r="P63" s="216"/>
    </row>
    <row r="64" spans="1:16" ht="17.25" customHeight="1" x14ac:dyDescent="0.3">
      <c r="A64" s="353" t="s">
        <v>5448</v>
      </c>
      <c r="B64" s="200" t="s">
        <v>381</v>
      </c>
      <c r="C64" s="1094" t="s">
        <v>382</v>
      </c>
      <c r="D64" s="355" t="s">
        <v>383</v>
      </c>
    </row>
    <row r="65" spans="1:9" ht="18.75" x14ac:dyDescent="0.3">
      <c r="A65" s="353">
        <f>B61</f>
        <v>5290.2399999999989</v>
      </c>
      <c r="B65" s="329" t="s">
        <v>32</v>
      </c>
      <c r="C65" s="338">
        <f t="shared" ref="C65:C68" si="13">B3</f>
        <v>372.08083333333326</v>
      </c>
      <c r="D65" s="225">
        <f>C65/A65</f>
        <v>7.0333450530284697E-2</v>
      </c>
      <c r="F65" s="801"/>
      <c r="G65" s="629"/>
      <c r="I65" s="629"/>
    </row>
    <row r="66" spans="1:9" x14ac:dyDescent="0.25">
      <c r="B66" s="329" t="s">
        <v>2187</v>
      </c>
      <c r="C66" s="338">
        <f t="shared" si="13"/>
        <v>546.59</v>
      </c>
      <c r="D66" s="225">
        <f>C66/A65</f>
        <v>0.10332045427050571</v>
      </c>
      <c r="E66" s="177"/>
      <c r="F66" s="801"/>
      <c r="G66" s="629"/>
      <c r="I66" s="629"/>
    </row>
    <row r="67" spans="1:9" x14ac:dyDescent="0.25">
      <c r="B67" s="329" t="s">
        <v>2188</v>
      </c>
      <c r="C67" s="338">
        <f t="shared" si="13"/>
        <v>5.833333333333333</v>
      </c>
      <c r="D67" s="225">
        <f>C67/A65</f>
        <v>1.1026594886684412E-3</v>
      </c>
      <c r="E67" s="177"/>
      <c r="F67" s="801"/>
      <c r="G67" s="629"/>
      <c r="I67" s="629"/>
    </row>
    <row r="68" spans="1:9" x14ac:dyDescent="0.25">
      <c r="B68" s="329" t="s">
        <v>50</v>
      </c>
      <c r="C68" s="338">
        <f t="shared" si="13"/>
        <v>285.45833333333331</v>
      </c>
      <c r="D68" s="225">
        <f>C68/A65</f>
        <v>5.3959429691910643E-2</v>
      </c>
      <c r="E68" s="177"/>
      <c r="F68" s="801"/>
      <c r="G68" s="629"/>
      <c r="I68" s="629"/>
    </row>
    <row r="69" spans="1:9" x14ac:dyDescent="0.25">
      <c r="B69" s="329" t="s">
        <v>14</v>
      </c>
      <c r="C69" s="338">
        <f t="shared" ref="C69:C82" si="14">B7</f>
        <v>124.06666666666666</v>
      </c>
      <c r="D69" s="225">
        <f>C69/A65</f>
        <v>2.3451992096136791E-2</v>
      </c>
      <c r="E69" s="177"/>
      <c r="F69" s="801"/>
      <c r="G69" s="629"/>
      <c r="I69" s="629"/>
    </row>
    <row r="70" spans="1:9" x14ac:dyDescent="0.25">
      <c r="B70" s="329" t="s">
        <v>358</v>
      </c>
      <c r="C70" s="338">
        <f t="shared" si="14"/>
        <v>106.39083333333333</v>
      </c>
      <c r="D70" s="225">
        <f>C70/A65</f>
        <v>2.0110776322687318E-2</v>
      </c>
      <c r="E70" s="177"/>
      <c r="F70" s="801"/>
      <c r="G70" s="629"/>
      <c r="I70" s="629"/>
    </row>
    <row r="71" spans="1:9" x14ac:dyDescent="0.25">
      <c r="B71" s="329" t="s">
        <v>2189</v>
      </c>
      <c r="C71" s="338">
        <f t="shared" si="14"/>
        <v>143.67666666666665</v>
      </c>
      <c r="D71" s="225">
        <f>C71/A65</f>
        <v>2.7158818251471897E-2</v>
      </c>
      <c r="E71" s="177"/>
      <c r="F71" s="801"/>
      <c r="G71" s="629"/>
      <c r="I71" s="629"/>
    </row>
    <row r="72" spans="1:9" x14ac:dyDescent="0.25">
      <c r="B72" s="329" t="s">
        <v>53</v>
      </c>
      <c r="C72" s="338">
        <f t="shared" si="14"/>
        <v>454.65833333333347</v>
      </c>
      <c r="D72" s="225">
        <f>C72/A65</f>
        <v>8.5942855774659294E-2</v>
      </c>
      <c r="E72" s="177"/>
      <c r="F72" s="801"/>
      <c r="G72" s="629"/>
      <c r="I72" s="629"/>
    </row>
    <row r="73" spans="1:9" x14ac:dyDescent="0.25">
      <c r="B73" s="906" t="s">
        <v>2149</v>
      </c>
      <c r="C73" s="338">
        <f t="shared" si="14"/>
        <v>7.041666666666667</v>
      </c>
      <c r="D73" s="225">
        <f>C73/A65</f>
        <v>1.3310675256069042E-3</v>
      </c>
      <c r="E73" s="177"/>
      <c r="F73" s="801"/>
      <c r="G73" s="629"/>
      <c r="I73" s="629"/>
    </row>
    <row r="74" spans="1:9" x14ac:dyDescent="0.25">
      <c r="B74" s="329" t="s">
        <v>56</v>
      </c>
      <c r="C74" s="338">
        <f t="shared" ca="1" si="14"/>
        <v>223.06791666666666</v>
      </c>
      <c r="D74" s="225">
        <f ca="1">C74/A65</f>
        <v>4.2165935130857334E-2</v>
      </c>
      <c r="E74" s="177"/>
      <c r="F74" s="801"/>
      <c r="G74" s="629"/>
      <c r="I74" s="629"/>
    </row>
    <row r="75" spans="1:9" ht="14.25" customHeight="1" x14ac:dyDescent="0.25">
      <c r="B75" s="329" t="s">
        <v>1686</v>
      </c>
      <c r="C75" s="338">
        <f t="shared" ca="1" si="14"/>
        <v>371.77833333333336</v>
      </c>
      <c r="D75" s="225">
        <f ca="1">C75/A65</f>
        <v>7.0276269759658061E-2</v>
      </c>
      <c r="F75" s="801"/>
      <c r="G75" s="629"/>
      <c r="I75" s="629"/>
    </row>
    <row r="76" spans="1:9" x14ac:dyDescent="0.25">
      <c r="B76" s="329" t="s">
        <v>418</v>
      </c>
      <c r="C76" s="338">
        <f t="shared" si="14"/>
        <v>43.116666666666667</v>
      </c>
      <c r="D76" s="225">
        <f>C76/A65</f>
        <v>8.1502288491007366E-3</v>
      </c>
      <c r="F76" s="801"/>
      <c r="G76" s="629"/>
      <c r="I76" s="629"/>
    </row>
    <row r="77" spans="1:9" x14ac:dyDescent="0.25">
      <c r="B77" s="329" t="s">
        <v>419</v>
      </c>
      <c r="C77" s="338">
        <f t="shared" si="14"/>
        <v>849.66916666666657</v>
      </c>
      <c r="D77" s="225">
        <f>C77/A65</f>
        <v>0.16061070323211551</v>
      </c>
      <c r="F77" s="801"/>
    </row>
    <row r="78" spans="1:9" x14ac:dyDescent="0.25">
      <c r="B78" s="329" t="s">
        <v>911</v>
      </c>
      <c r="C78" s="338">
        <f t="shared" si="14"/>
        <v>352.62999999999994</v>
      </c>
      <c r="D78" s="225">
        <f>C78/A65</f>
        <v>6.6656711226711837E-2</v>
      </c>
    </row>
    <row r="79" spans="1:9" x14ac:dyDescent="0.25">
      <c r="B79" s="329" t="s">
        <v>1526</v>
      </c>
      <c r="C79" s="338">
        <f t="shared" si="14"/>
        <v>145.06083333333333</v>
      </c>
      <c r="D79" s="225">
        <f>C79/A65</f>
        <v>2.7420463595854511E-2</v>
      </c>
      <c r="E79" s="85" t="s">
        <v>280</v>
      </c>
    </row>
    <row r="80" spans="1:9" x14ac:dyDescent="0.25">
      <c r="B80" s="329" t="s">
        <v>2343</v>
      </c>
      <c r="C80" s="338">
        <f t="shared" si="14"/>
        <v>0</v>
      </c>
      <c r="D80" s="225">
        <f>C80/A65</f>
        <v>0</v>
      </c>
    </row>
    <row r="81" spans="2:4" x14ac:dyDescent="0.25">
      <c r="B81" s="329" t="s">
        <v>3019</v>
      </c>
      <c r="C81" s="338">
        <f t="shared" si="14"/>
        <v>786.63666666666677</v>
      </c>
      <c r="D81" s="225">
        <f>C81/A65</f>
        <v>0.14869583736591666</v>
      </c>
    </row>
    <row r="82" spans="2:4" x14ac:dyDescent="0.25">
      <c r="B82" s="329" t="s">
        <v>1527</v>
      </c>
      <c r="C82" s="338">
        <f t="shared" si="14"/>
        <v>435.85138888888883</v>
      </c>
      <c r="D82" s="225">
        <f>C82/A65</f>
        <v>8.2387829075597496E-2</v>
      </c>
    </row>
    <row r="83" spans="2:4" x14ac:dyDescent="0.25">
      <c r="C83" s="867"/>
      <c r="D83" s="1122"/>
    </row>
    <row r="84" spans="2:4" ht="18.75" x14ac:dyDescent="0.3">
      <c r="B84" s="200" t="s">
        <v>388</v>
      </c>
      <c r="C84" s="1095">
        <f ca="1">SUM(C65:C82)</f>
        <v>5253.6076388888896</v>
      </c>
      <c r="D84" s="1087">
        <f ca="1">SUM(D65:D82)</f>
        <v>0.99307548218774377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Planilha2"/>
  <dimension ref="A1:AP275"/>
  <sheetViews>
    <sheetView zoomScale="85" zoomScaleNormal="85" workbookViewId="0">
      <pane ySplit="4" topLeftCell="A29" activePane="bottomLeft" state="frozen"/>
      <selection pane="bottomLeft" activeCell="B47" sqref="B4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0.28515625" style="79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3580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1637</v>
      </c>
      <c r="K2" s="3086"/>
      <c r="L2" s="3085" t="s">
        <v>3173</v>
      </c>
      <c r="M2" s="3086"/>
      <c r="N2" s="3085" t="s">
        <v>3338</v>
      </c>
      <c r="O2" s="3086"/>
      <c r="P2" s="3085" t="s">
        <v>3306</v>
      </c>
      <c r="Q2" s="3086"/>
    </row>
    <row r="3" spans="1:21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21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44927</v>
      </c>
      <c r="B5" s="369" t="s">
        <v>10</v>
      </c>
      <c r="C5" s="370"/>
      <c r="D5" s="370"/>
      <c r="E5" s="777"/>
      <c r="F5" s="179"/>
      <c r="G5" s="933">
        <f>'Dezembro-22'!G131</f>
        <v>1099.2129166666909</v>
      </c>
      <c r="H5" s="163"/>
      <c r="I5" s="1479">
        <f>'Dezembro-22'!I131</f>
        <v>6499.9959999999992</v>
      </c>
      <c r="J5" s="179"/>
      <c r="K5" s="933">
        <f>'Dezembro-22'!K131</f>
        <v>8274.9700000000012</v>
      </c>
      <c r="L5" s="179"/>
      <c r="M5" s="933">
        <f>'Dezembro-22'!M131</f>
        <v>16603.68</v>
      </c>
      <c r="N5" s="179"/>
      <c r="O5" s="933">
        <f>'Dezembro-22'!O131</f>
        <v>10956.189999999999</v>
      </c>
      <c r="P5" s="179"/>
      <c r="Q5" s="933">
        <f>'Dezembro-22'!Q131</f>
        <v>37786.43598472001</v>
      </c>
    </row>
    <row r="6" spans="1:21" s="224" customFormat="1" x14ac:dyDescent="0.25">
      <c r="A6" s="215">
        <v>44927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002"/>
      <c r="R6" s="1037"/>
      <c r="S6" s="89"/>
      <c r="T6" s="878"/>
    </row>
    <row r="7" spans="1:21" s="1274" customFormat="1" ht="15" customHeight="1" x14ac:dyDescent="0.25">
      <c r="A7" s="1264">
        <v>44927</v>
      </c>
      <c r="B7" s="1275" t="s">
        <v>3581</v>
      </c>
      <c r="C7" s="1276" t="s">
        <v>12</v>
      </c>
      <c r="D7" s="1276"/>
      <c r="E7" s="1286" t="s">
        <v>13</v>
      </c>
      <c r="F7" s="1279"/>
      <c r="G7" s="1278"/>
      <c r="H7" s="1282"/>
      <c r="I7" s="1283"/>
      <c r="J7" s="1279"/>
      <c r="K7" s="1278"/>
      <c r="L7" s="1279"/>
      <c r="M7" s="1278"/>
      <c r="N7" s="1279">
        <v>1000</v>
      </c>
      <c r="O7" s="1278"/>
      <c r="P7" s="1279"/>
      <c r="Q7" s="1278"/>
      <c r="R7" s="1281"/>
      <c r="T7" s="1281"/>
      <c r="U7" s="1294"/>
    </row>
    <row r="8" spans="1:21" s="224" customFormat="1" ht="15" customHeight="1" x14ac:dyDescent="0.25">
      <c r="A8" s="215">
        <v>44928</v>
      </c>
      <c r="B8" s="1275" t="s">
        <v>14</v>
      </c>
      <c r="C8" s="1276" t="s">
        <v>12</v>
      </c>
      <c r="D8" s="1276" t="s">
        <v>1486</v>
      </c>
      <c r="E8" s="1286" t="s">
        <v>13</v>
      </c>
      <c r="F8" s="1279">
        <v>4.25</v>
      </c>
      <c r="G8" s="982"/>
      <c r="H8" s="622"/>
      <c r="I8" s="982"/>
      <c r="J8" s="622"/>
      <c r="K8" s="982"/>
      <c r="L8" s="622"/>
      <c r="M8" s="982"/>
      <c r="N8" s="622"/>
      <c r="O8" s="982"/>
      <c r="P8" s="622"/>
      <c r="Q8" s="982"/>
      <c r="R8" s="1080"/>
      <c r="S8" s="927"/>
      <c r="T8" s="878"/>
    </row>
    <row r="9" spans="1:21" s="224" customFormat="1" ht="15" customHeight="1" x14ac:dyDescent="0.25">
      <c r="A9" s="215">
        <v>44928</v>
      </c>
      <c r="B9" s="1275" t="s">
        <v>14</v>
      </c>
      <c r="C9" s="1276" t="s">
        <v>12</v>
      </c>
      <c r="D9" s="1276" t="s">
        <v>1486</v>
      </c>
      <c r="E9" s="1286" t="s">
        <v>13</v>
      </c>
      <c r="F9" s="1279">
        <v>4.21</v>
      </c>
      <c r="G9" s="982"/>
      <c r="H9" s="622"/>
      <c r="I9" s="982"/>
      <c r="J9" s="622"/>
      <c r="K9" s="982"/>
      <c r="L9" s="622"/>
      <c r="M9" s="982"/>
      <c r="N9" s="622"/>
      <c r="O9" s="982"/>
      <c r="P9" s="622"/>
      <c r="Q9" s="982"/>
      <c r="R9" s="1080"/>
      <c r="S9" s="927"/>
      <c r="T9" s="878"/>
    </row>
    <row r="10" spans="1:21" s="224" customFormat="1" ht="15" customHeight="1" x14ac:dyDescent="0.25">
      <c r="A10" s="215">
        <v>44929</v>
      </c>
      <c r="B10" s="1275" t="s">
        <v>14</v>
      </c>
      <c r="C10" s="1276" t="s">
        <v>12</v>
      </c>
      <c r="D10" s="1276" t="s">
        <v>1486</v>
      </c>
      <c r="E10" s="1286" t="s">
        <v>13</v>
      </c>
      <c r="F10" s="1279">
        <v>4.53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982"/>
      <c r="R10" s="1080"/>
      <c r="U10" s="958"/>
    </row>
    <row r="11" spans="1:21" s="224" customFormat="1" ht="15" customHeight="1" x14ac:dyDescent="0.25">
      <c r="A11" s="215">
        <v>44929</v>
      </c>
      <c r="B11" s="882" t="s">
        <v>3582</v>
      </c>
      <c r="C11" s="879" t="s">
        <v>12</v>
      </c>
      <c r="D11" s="879" t="s">
        <v>1522</v>
      </c>
      <c r="E11" s="871" t="s">
        <v>13</v>
      </c>
      <c r="F11" s="613">
        <v>166.68</v>
      </c>
      <c r="G11" s="982"/>
      <c r="H11" s="1060"/>
      <c r="I11" s="1033"/>
      <c r="J11" s="880"/>
      <c r="K11" s="1033"/>
      <c r="L11" s="880"/>
      <c r="M11" s="1033"/>
      <c r="N11" s="880"/>
      <c r="O11" s="1033"/>
      <c r="P11" s="880"/>
      <c r="Q11" s="1033"/>
      <c r="R11" s="1280" t="s">
        <v>3292</v>
      </c>
      <c r="S11" s="927"/>
      <c r="T11" s="878"/>
    </row>
    <row r="12" spans="1:21" s="224" customFormat="1" ht="15" customHeight="1" x14ac:dyDescent="0.25">
      <c r="A12" s="215">
        <v>44929</v>
      </c>
      <c r="B12" s="1275" t="s">
        <v>17</v>
      </c>
      <c r="C12" s="1276" t="s">
        <v>12</v>
      </c>
      <c r="D12" s="1276" t="s">
        <v>1493</v>
      </c>
      <c r="E12" s="1286" t="s">
        <v>13</v>
      </c>
      <c r="F12" s="1279">
        <v>8</v>
      </c>
      <c r="G12" s="982"/>
      <c r="H12" s="622"/>
      <c r="I12" s="982"/>
      <c r="J12" s="622"/>
      <c r="K12" s="982"/>
      <c r="L12" s="622"/>
      <c r="M12" s="982"/>
      <c r="N12" s="622"/>
      <c r="O12" s="982"/>
      <c r="P12" s="622"/>
      <c r="Q12" s="982"/>
      <c r="R12" s="1080"/>
      <c r="S12" s="927"/>
      <c r="T12" s="878"/>
    </row>
    <row r="13" spans="1:21" s="224" customFormat="1" ht="15" customHeight="1" x14ac:dyDescent="0.25">
      <c r="A13" s="215">
        <v>44929</v>
      </c>
      <c r="B13" s="882" t="s">
        <v>390</v>
      </c>
      <c r="C13" s="879" t="s">
        <v>12</v>
      </c>
      <c r="D13" s="879"/>
      <c r="E13" s="871" t="s">
        <v>25</v>
      </c>
      <c r="F13" s="780"/>
      <c r="G13" s="982">
        <v>1500.62</v>
      </c>
      <c r="H13" s="622">
        <v>1500</v>
      </c>
      <c r="I13" s="982"/>
      <c r="J13" s="622"/>
      <c r="K13" s="982"/>
      <c r="L13" s="622"/>
      <c r="M13" s="982"/>
      <c r="N13" s="622"/>
      <c r="O13" s="982"/>
      <c r="P13" s="622"/>
      <c r="Q13" s="982"/>
      <c r="R13" s="1080"/>
      <c r="S13" s="927"/>
      <c r="T13" s="878"/>
    </row>
    <row r="14" spans="1:21" s="224" customFormat="1" ht="15" customHeight="1" x14ac:dyDescent="0.25">
      <c r="A14" s="215">
        <v>44929</v>
      </c>
      <c r="B14" s="882" t="s">
        <v>3583</v>
      </c>
      <c r="C14" s="879" t="s">
        <v>19</v>
      </c>
      <c r="D14" s="879" t="s">
        <v>1523</v>
      </c>
      <c r="E14" s="871" t="s">
        <v>13</v>
      </c>
      <c r="F14" s="780">
        <v>111.96</v>
      </c>
      <c r="G14" s="982"/>
      <c r="H14" s="622"/>
      <c r="I14" s="982"/>
      <c r="J14" s="622"/>
      <c r="K14" s="982"/>
      <c r="L14" s="622"/>
      <c r="M14" s="982"/>
      <c r="N14" s="622"/>
      <c r="O14" s="982"/>
      <c r="P14" s="622"/>
      <c r="Q14" s="982"/>
      <c r="R14" s="1080"/>
      <c r="S14" s="927"/>
      <c r="T14" s="878"/>
    </row>
    <row r="15" spans="1:21" s="224" customFormat="1" ht="15" customHeight="1" x14ac:dyDescent="0.25">
      <c r="A15" s="215">
        <v>44929</v>
      </c>
      <c r="B15" s="882" t="s">
        <v>3584</v>
      </c>
      <c r="C15" s="879" t="s">
        <v>19</v>
      </c>
      <c r="D15" s="879" t="s">
        <v>1506</v>
      </c>
      <c r="E15" s="871" t="s">
        <v>13</v>
      </c>
      <c r="F15" s="780">
        <v>120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982"/>
      <c r="R15" s="1080"/>
      <c r="S15" s="927"/>
      <c r="T15" s="878"/>
    </row>
    <row r="16" spans="1:21" s="1274" customFormat="1" ht="15" customHeight="1" x14ac:dyDescent="0.25">
      <c r="A16" s="215">
        <v>44929</v>
      </c>
      <c r="B16" s="1275" t="s">
        <v>138</v>
      </c>
      <c r="C16" s="1276" t="s">
        <v>19</v>
      </c>
      <c r="D16" s="1276" t="s">
        <v>2157</v>
      </c>
      <c r="E16" s="1277" t="s">
        <v>13</v>
      </c>
      <c r="F16" s="1279">
        <v>120</v>
      </c>
      <c r="G16" s="1278"/>
      <c r="H16" s="1282"/>
      <c r="I16" s="1283"/>
      <c r="J16" s="1279"/>
      <c r="K16" s="1278"/>
      <c r="L16" s="1279"/>
      <c r="M16" s="1278"/>
      <c r="N16" s="1279"/>
      <c r="O16" s="1278"/>
      <c r="P16" s="1279"/>
      <c r="Q16" s="1278"/>
      <c r="R16" s="1280"/>
      <c r="U16" s="1246"/>
    </row>
    <row r="17" spans="1:42" s="224" customFormat="1" ht="15" customHeight="1" x14ac:dyDescent="0.25">
      <c r="A17" s="215">
        <v>44930</v>
      </c>
      <c r="B17" s="1275" t="s">
        <v>138</v>
      </c>
      <c r="C17" s="1276" t="s">
        <v>19</v>
      </c>
      <c r="D17" s="1276" t="s">
        <v>2157</v>
      </c>
      <c r="E17" s="1277" t="s">
        <v>13</v>
      </c>
      <c r="F17" s="780">
        <v>150</v>
      </c>
      <c r="G17" s="982"/>
      <c r="H17" s="95"/>
      <c r="I17" s="1064"/>
      <c r="J17" s="622"/>
      <c r="K17" s="982"/>
      <c r="L17" s="622"/>
      <c r="M17" s="982"/>
      <c r="N17" s="622"/>
      <c r="O17" s="982"/>
      <c r="P17" s="622"/>
      <c r="Q17" s="982"/>
      <c r="R17" s="861"/>
    </row>
    <row r="18" spans="1:42" s="224" customFormat="1" ht="15" customHeight="1" x14ac:dyDescent="0.25">
      <c r="A18" s="215">
        <v>44930</v>
      </c>
      <c r="B18" s="882" t="s">
        <v>1906</v>
      </c>
      <c r="C18" s="879" t="s">
        <v>12</v>
      </c>
      <c r="D18" s="879" t="s">
        <v>1493</v>
      </c>
      <c r="E18" s="875" t="s">
        <v>13</v>
      </c>
      <c r="F18" s="780">
        <v>18</v>
      </c>
      <c r="G18" s="982"/>
      <c r="H18" s="95"/>
      <c r="I18" s="1064"/>
      <c r="J18" s="622"/>
      <c r="K18" s="982"/>
      <c r="L18" s="622"/>
      <c r="M18" s="982"/>
      <c r="N18" s="622"/>
      <c r="O18" s="982"/>
      <c r="P18" s="622"/>
      <c r="Q18" s="982"/>
      <c r="R18" s="861"/>
    </row>
    <row r="19" spans="1:42" s="224" customFormat="1" ht="15" customHeight="1" x14ac:dyDescent="0.25">
      <c r="A19" s="215">
        <v>44930</v>
      </c>
      <c r="B19" s="882" t="s">
        <v>3585</v>
      </c>
      <c r="C19" s="879" t="s">
        <v>12</v>
      </c>
      <c r="D19" s="879" t="s">
        <v>1489</v>
      </c>
      <c r="E19" s="875" t="s">
        <v>13</v>
      </c>
      <c r="F19" s="780">
        <v>22</v>
      </c>
      <c r="G19" s="982"/>
      <c r="H19" s="95"/>
      <c r="I19" s="1064"/>
      <c r="J19" s="622"/>
      <c r="K19" s="982"/>
      <c r="L19" s="622"/>
      <c r="M19" s="982"/>
      <c r="N19" s="622"/>
      <c r="O19" s="982"/>
      <c r="P19" s="622"/>
      <c r="Q19" s="982"/>
      <c r="R19" s="861"/>
    </row>
    <row r="20" spans="1:42" s="224" customFormat="1" ht="15" customHeight="1" x14ac:dyDescent="0.25">
      <c r="A20" s="215">
        <v>44931</v>
      </c>
      <c r="B20" s="1275" t="s">
        <v>14</v>
      </c>
      <c r="C20" s="1276" t="s">
        <v>12</v>
      </c>
      <c r="D20" s="1276" t="s">
        <v>1486</v>
      </c>
      <c r="E20" s="1286" t="s">
        <v>13</v>
      </c>
      <c r="F20" s="780">
        <v>12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982"/>
      <c r="R20" s="1080"/>
      <c r="S20" s="927"/>
      <c r="T20" s="878"/>
    </row>
    <row r="21" spans="1:42" s="224" customFormat="1" ht="15.75" customHeight="1" x14ac:dyDescent="0.25">
      <c r="A21" s="215">
        <v>44932</v>
      </c>
      <c r="B21" s="873" t="s">
        <v>3586</v>
      </c>
      <c r="C21" s="879" t="s">
        <v>12</v>
      </c>
      <c r="D21" s="874"/>
      <c r="E21" s="871" t="s">
        <v>25</v>
      </c>
      <c r="F21" s="1524"/>
      <c r="G21" s="1002">
        <v>1373.12</v>
      </c>
      <c r="H21" s="538"/>
      <c r="I21" s="982"/>
      <c r="J21" s="622"/>
      <c r="K21" s="982"/>
      <c r="L21" s="622"/>
      <c r="M21" s="982"/>
      <c r="N21" s="622"/>
      <c r="O21" s="982"/>
      <c r="P21" s="622"/>
      <c r="Q21" s="982"/>
      <c r="R21" s="178"/>
    </row>
    <row r="22" spans="1:42" s="224" customFormat="1" ht="15.75" customHeight="1" x14ac:dyDescent="0.25">
      <c r="A22" s="215">
        <v>44932</v>
      </c>
      <c r="B22" s="873" t="s">
        <v>3587</v>
      </c>
      <c r="C22" s="879" t="s">
        <v>12</v>
      </c>
      <c r="D22" s="874"/>
      <c r="E22" s="871" t="s">
        <v>25</v>
      </c>
      <c r="F22" s="1524"/>
      <c r="G22" s="1002">
        <v>386</v>
      </c>
      <c r="H22" s="538"/>
      <c r="I22" s="982"/>
      <c r="J22" s="622"/>
      <c r="K22" s="982"/>
      <c r="L22" s="622"/>
      <c r="M22" s="982"/>
      <c r="N22" s="622"/>
      <c r="O22" s="982"/>
      <c r="P22" s="622"/>
      <c r="Q22" s="982"/>
      <c r="R22" s="178"/>
    </row>
    <row r="23" spans="1:42" s="224" customFormat="1" ht="15" customHeight="1" x14ac:dyDescent="0.25">
      <c r="A23" s="215">
        <v>44932</v>
      </c>
      <c r="B23" s="862" t="s">
        <v>3422</v>
      </c>
      <c r="C23" s="879" t="s">
        <v>12</v>
      </c>
      <c r="D23" s="879" t="s">
        <v>1504</v>
      </c>
      <c r="E23" s="871" t="s">
        <v>13</v>
      </c>
      <c r="F23" s="780">
        <v>60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982"/>
      <c r="R23" s="178">
        <v>109.9</v>
      </c>
      <c r="S23" s="1028" t="s">
        <v>3550</v>
      </c>
      <c r="T23" s="1035"/>
    </row>
    <row r="24" spans="1:42" s="224" customFormat="1" ht="15" customHeight="1" x14ac:dyDescent="0.25">
      <c r="A24" s="215">
        <v>44932</v>
      </c>
      <c r="B24" s="882" t="s">
        <v>3588</v>
      </c>
      <c r="C24" s="879" t="s">
        <v>12</v>
      </c>
      <c r="D24" s="879" t="s">
        <v>1499</v>
      </c>
      <c r="E24" s="871" t="s">
        <v>13</v>
      </c>
      <c r="F24" s="780">
        <v>81.64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982"/>
      <c r="R24" s="1028">
        <v>181.64</v>
      </c>
      <c r="S24" s="999"/>
      <c r="T24" s="878"/>
    </row>
    <row r="25" spans="1:42" s="224" customFormat="1" ht="15" customHeight="1" x14ac:dyDescent="0.25">
      <c r="A25" s="215">
        <v>44932</v>
      </c>
      <c r="B25" s="364" t="s">
        <v>2977</v>
      </c>
      <c r="C25" s="879" t="s">
        <v>12</v>
      </c>
      <c r="D25" s="350" t="s">
        <v>1491</v>
      </c>
      <c r="E25" s="875" t="s">
        <v>13</v>
      </c>
      <c r="F25" s="780">
        <v>300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982"/>
      <c r="R25" s="861"/>
      <c r="T25" s="1035"/>
    </row>
    <row r="26" spans="1:42" x14ac:dyDescent="0.25">
      <c r="A26" s="215">
        <v>44932</v>
      </c>
      <c r="B26" s="876" t="s">
        <v>3060</v>
      </c>
      <c r="C26" s="879" t="s">
        <v>12</v>
      </c>
      <c r="D26" s="879" t="s">
        <v>1496</v>
      </c>
      <c r="E26" s="871" t="s">
        <v>13</v>
      </c>
      <c r="F26" s="780">
        <v>80</v>
      </c>
      <c r="G26" s="982"/>
      <c r="H26" s="1009"/>
      <c r="I26" s="1063"/>
      <c r="J26" s="622"/>
      <c r="K26" s="982"/>
      <c r="L26" s="622"/>
      <c r="M26" s="982"/>
      <c r="N26" s="622"/>
      <c r="O26" s="982"/>
      <c r="P26" s="622"/>
      <c r="Q26" s="982"/>
      <c r="R26" s="1029"/>
    </row>
    <row r="27" spans="1:42" s="224" customFormat="1" ht="14.25" customHeight="1" x14ac:dyDescent="0.25">
      <c r="A27" s="215">
        <v>44932</v>
      </c>
      <c r="B27" s="882" t="s">
        <v>3589</v>
      </c>
      <c r="C27" s="879" t="s">
        <v>12</v>
      </c>
      <c r="D27" s="879" t="s">
        <v>3017</v>
      </c>
      <c r="E27" s="875" t="s">
        <v>13</v>
      </c>
      <c r="F27" s="780">
        <v>660.88</v>
      </c>
      <c r="G27" s="982"/>
      <c r="H27" s="1008"/>
      <c r="I27" s="1063"/>
      <c r="J27" s="622"/>
      <c r="K27" s="982"/>
      <c r="L27" s="622"/>
      <c r="M27" s="982">
        <v>660.88</v>
      </c>
      <c r="N27" s="622"/>
      <c r="O27" s="982"/>
      <c r="P27" s="622"/>
      <c r="Q27" s="982"/>
      <c r="R27" s="861">
        <v>400</v>
      </c>
      <c r="S27" s="878" t="s">
        <v>3018</v>
      </c>
      <c r="T27" s="1035"/>
    </row>
    <row r="28" spans="1:42" s="224" customFormat="1" ht="15" customHeight="1" x14ac:dyDescent="0.25">
      <c r="A28" s="215">
        <v>44932</v>
      </c>
      <c r="B28" s="364" t="s">
        <v>3590</v>
      </c>
      <c r="C28" s="879" t="s">
        <v>12</v>
      </c>
      <c r="D28" s="879"/>
      <c r="E28" s="875" t="s">
        <v>25</v>
      </c>
      <c r="F28" s="780"/>
      <c r="G28" s="982"/>
      <c r="H28" s="622"/>
      <c r="I28" s="982"/>
      <c r="J28" s="622"/>
      <c r="K28" s="982"/>
      <c r="L28" s="622"/>
      <c r="M28" s="982"/>
      <c r="N28" s="622"/>
      <c r="O28" s="982"/>
      <c r="P28" s="622"/>
      <c r="Q28" s="982">
        <v>688.88</v>
      </c>
      <c r="R28" s="927"/>
      <c r="S28" s="927"/>
      <c r="T28" s="878"/>
    </row>
    <row r="29" spans="1:42" s="224" customFormat="1" ht="15" customHeight="1" x14ac:dyDescent="0.25">
      <c r="A29" s="215">
        <v>44932</v>
      </c>
      <c r="B29" s="364" t="s">
        <v>1396</v>
      </c>
      <c r="C29" s="879" t="s">
        <v>12</v>
      </c>
      <c r="D29" s="350"/>
      <c r="E29" s="480" t="s">
        <v>25</v>
      </c>
      <c r="F29" s="613"/>
      <c r="G29" s="967">
        <v>100</v>
      </c>
      <c r="H29" s="1008"/>
      <c r="I29" s="1063"/>
      <c r="J29" s="622"/>
      <c r="K29" s="982"/>
      <c r="L29" s="1116"/>
      <c r="M29" s="1207"/>
      <c r="N29" s="1116"/>
      <c r="O29" s="1207"/>
      <c r="P29" s="1116"/>
      <c r="Q29" s="1207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15">
        <v>44932</v>
      </c>
      <c r="B30" s="873" t="s">
        <v>3591</v>
      </c>
      <c r="C30" s="874" t="s">
        <v>12</v>
      </c>
      <c r="D30" s="874" t="s">
        <v>1523</v>
      </c>
      <c r="E30" s="875" t="s">
        <v>13</v>
      </c>
      <c r="F30" s="780">
        <v>40</v>
      </c>
      <c r="G30" s="982"/>
      <c r="H30" s="622"/>
      <c r="I30" s="982"/>
      <c r="J30" s="622"/>
      <c r="K30" s="982"/>
      <c r="L30" s="622"/>
      <c r="M30" s="982"/>
      <c r="N30" s="622"/>
      <c r="O30" s="982"/>
      <c r="P30" s="622"/>
      <c r="Q30" s="982"/>
      <c r="R30" s="927"/>
      <c r="S30" s="927"/>
      <c r="T30" s="878"/>
    </row>
    <row r="31" spans="1:42" s="224" customFormat="1" ht="15" customHeight="1" x14ac:dyDescent="0.25">
      <c r="A31" s="215">
        <v>44932</v>
      </c>
      <c r="B31" s="873" t="s">
        <v>3592</v>
      </c>
      <c r="C31" s="874" t="s">
        <v>12</v>
      </c>
      <c r="D31" s="874" t="s">
        <v>1493</v>
      </c>
      <c r="E31" s="875" t="s">
        <v>13</v>
      </c>
      <c r="F31" s="780">
        <v>30</v>
      </c>
      <c r="G31" s="982"/>
      <c r="H31" s="622"/>
      <c r="I31" s="982"/>
      <c r="J31" s="622"/>
      <c r="K31" s="982"/>
      <c r="L31" s="622"/>
      <c r="M31" s="982"/>
      <c r="N31" s="622"/>
      <c r="O31" s="982"/>
      <c r="P31" s="622"/>
      <c r="Q31" s="982"/>
      <c r="R31" s="927"/>
      <c r="S31" s="927"/>
      <c r="T31" s="878"/>
    </row>
    <row r="32" spans="1:42" s="224" customFormat="1" x14ac:dyDescent="0.25">
      <c r="A32" s="215">
        <v>44933</v>
      </c>
      <c r="B32" s="882" t="s">
        <v>3593</v>
      </c>
      <c r="C32" s="879" t="s">
        <v>12</v>
      </c>
      <c r="D32" s="879" t="s">
        <v>1523</v>
      </c>
      <c r="E32" s="480" t="s">
        <v>13</v>
      </c>
      <c r="F32" s="780">
        <v>35</v>
      </c>
      <c r="G32" s="982"/>
      <c r="H32" s="1008"/>
      <c r="I32" s="1063"/>
      <c r="J32" s="622"/>
      <c r="K32" s="982"/>
      <c r="L32" s="622"/>
      <c r="M32" s="982"/>
      <c r="N32" s="622"/>
      <c r="O32" s="982"/>
      <c r="P32" s="622"/>
      <c r="Q32" s="982"/>
      <c r="R32" s="861"/>
      <c r="T32" s="878"/>
    </row>
    <row r="33" spans="1:42" s="224" customFormat="1" x14ac:dyDescent="0.25">
      <c r="A33" s="215">
        <v>44933</v>
      </c>
      <c r="B33" s="882" t="s">
        <v>3594</v>
      </c>
      <c r="C33" s="879" t="s">
        <v>12</v>
      </c>
      <c r="D33" s="879" t="s">
        <v>1523</v>
      </c>
      <c r="E33" s="480" t="s">
        <v>13</v>
      </c>
      <c r="F33" s="780">
        <v>35</v>
      </c>
      <c r="G33" s="982"/>
      <c r="H33" s="1008"/>
      <c r="I33" s="1063"/>
      <c r="J33" s="622"/>
      <c r="K33" s="982"/>
      <c r="L33" s="622"/>
      <c r="M33" s="982"/>
      <c r="N33" s="622"/>
      <c r="O33" s="982"/>
      <c r="P33" s="622"/>
      <c r="Q33" s="982"/>
      <c r="R33" s="861"/>
      <c r="T33" s="878"/>
    </row>
    <row r="34" spans="1:42" s="224" customFormat="1" ht="15" customHeight="1" x14ac:dyDescent="0.25">
      <c r="A34" s="215">
        <v>44934</v>
      </c>
      <c r="B34" s="873" t="s">
        <v>3591</v>
      </c>
      <c r="C34" s="874" t="s">
        <v>12</v>
      </c>
      <c r="D34" s="874" t="s">
        <v>1523</v>
      </c>
      <c r="E34" s="875" t="s">
        <v>13</v>
      </c>
      <c r="F34" s="780">
        <v>40</v>
      </c>
      <c r="G34" s="982"/>
      <c r="H34" s="622"/>
      <c r="I34" s="982"/>
      <c r="J34" s="622"/>
      <c r="K34" s="982"/>
      <c r="L34" s="622"/>
      <c r="M34" s="982"/>
      <c r="N34" s="622"/>
      <c r="O34" s="982"/>
      <c r="P34" s="622"/>
      <c r="Q34" s="982"/>
      <c r="R34" s="927"/>
      <c r="S34" s="927"/>
      <c r="T34" s="878"/>
    </row>
    <row r="35" spans="1:42" s="224" customFormat="1" ht="15" customHeight="1" x14ac:dyDescent="0.25">
      <c r="A35" s="215">
        <v>44934</v>
      </c>
      <c r="B35" s="882" t="s">
        <v>3595</v>
      </c>
      <c r="C35" s="879" t="s">
        <v>12</v>
      </c>
      <c r="D35" s="879" t="s">
        <v>1493</v>
      </c>
      <c r="E35" s="875" t="s">
        <v>15</v>
      </c>
      <c r="F35" s="780">
        <v>24</v>
      </c>
      <c r="G35" s="982"/>
      <c r="H35" s="95"/>
      <c r="I35" s="1064"/>
      <c r="J35" s="622"/>
      <c r="K35" s="982"/>
      <c r="L35" s="622"/>
      <c r="M35" s="982"/>
      <c r="N35" s="622"/>
      <c r="O35" s="982"/>
      <c r="P35" s="622"/>
      <c r="Q35" s="982"/>
      <c r="R35" s="861"/>
    </row>
    <row r="36" spans="1:42" s="224" customFormat="1" x14ac:dyDescent="0.25">
      <c r="A36" s="215">
        <v>44934</v>
      </c>
      <c r="B36" s="882" t="s">
        <v>82</v>
      </c>
      <c r="C36" s="879" t="s">
        <v>12</v>
      </c>
      <c r="D36" s="879" t="s">
        <v>1493</v>
      </c>
      <c r="E36" s="480" t="s">
        <v>13</v>
      </c>
      <c r="F36" s="780">
        <v>44</v>
      </c>
      <c r="G36" s="982"/>
      <c r="H36" s="1008"/>
      <c r="I36" s="1063"/>
      <c r="J36" s="622"/>
      <c r="K36" s="982"/>
      <c r="L36" s="622"/>
      <c r="M36" s="982"/>
      <c r="N36" s="622"/>
      <c r="O36" s="982"/>
      <c r="P36" s="622"/>
      <c r="Q36" s="982"/>
      <c r="R36" s="861"/>
      <c r="T36" s="878"/>
    </row>
    <row r="37" spans="1:42" s="224" customFormat="1" x14ac:dyDescent="0.25">
      <c r="A37" s="215">
        <v>44935</v>
      </c>
      <c r="B37" s="1275" t="s">
        <v>138</v>
      </c>
      <c r="C37" s="1276" t="s">
        <v>19</v>
      </c>
      <c r="D37" s="1276" t="s">
        <v>2157</v>
      </c>
      <c r="E37" s="1277" t="s">
        <v>13</v>
      </c>
      <c r="F37" s="1279">
        <v>100</v>
      </c>
      <c r="G37" s="982"/>
      <c r="H37" s="1008"/>
      <c r="I37" s="1063"/>
      <c r="J37" s="622"/>
      <c r="K37" s="982"/>
      <c r="L37" s="622"/>
      <c r="M37" s="982"/>
      <c r="N37" s="622"/>
      <c r="O37" s="982"/>
      <c r="P37" s="622"/>
      <c r="Q37" s="982"/>
      <c r="R37" s="861"/>
      <c r="T37" s="878"/>
    </row>
    <row r="38" spans="1:42" s="224" customFormat="1" ht="15" customHeight="1" x14ac:dyDescent="0.25">
      <c r="A38" s="215">
        <v>44935</v>
      </c>
      <c r="B38" s="1275" t="s">
        <v>32</v>
      </c>
      <c r="C38" s="1276" t="s">
        <v>12</v>
      </c>
      <c r="D38" s="1276" t="s">
        <v>1485</v>
      </c>
      <c r="E38" s="1286" t="s">
        <v>13</v>
      </c>
      <c r="F38" s="613">
        <v>28.9</v>
      </c>
      <c r="G38" s="967"/>
      <c r="H38" s="1008"/>
      <c r="I38" s="1063"/>
      <c r="J38" s="622"/>
      <c r="K38" s="982"/>
      <c r="L38" s="613"/>
      <c r="M38" s="6"/>
      <c r="N38" s="872"/>
      <c r="O38" s="64"/>
      <c r="P38" s="613"/>
      <c r="Q38" s="64"/>
      <c r="R38" s="1209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15">
        <v>44935</v>
      </c>
      <c r="B39" s="364" t="s">
        <v>443</v>
      </c>
      <c r="C39" s="350" t="s">
        <v>12</v>
      </c>
      <c r="D39" s="350" t="s">
        <v>1493</v>
      </c>
      <c r="E39" s="875" t="s">
        <v>13</v>
      </c>
      <c r="F39" s="780">
        <v>19.899999999999999</v>
      </c>
      <c r="G39" s="982"/>
      <c r="H39" s="622"/>
      <c r="I39" s="982"/>
      <c r="J39" s="622"/>
      <c r="K39" s="982"/>
      <c r="L39" s="622"/>
      <c r="M39" s="982"/>
      <c r="N39" s="622"/>
      <c r="O39" s="982"/>
      <c r="P39" s="622"/>
      <c r="Q39" s="982"/>
      <c r="R39" s="927"/>
      <c r="S39" s="927"/>
      <c r="T39" s="878"/>
    </row>
    <row r="40" spans="1:42" s="224" customFormat="1" ht="15" customHeight="1" x14ac:dyDescent="0.25">
      <c r="A40" s="215">
        <v>44936</v>
      </c>
      <c r="B40" s="364" t="s">
        <v>3354</v>
      </c>
      <c r="C40" s="350" t="s">
        <v>12</v>
      </c>
      <c r="D40" s="350"/>
      <c r="E40" s="480" t="s">
        <v>25</v>
      </c>
      <c r="F40" s="613"/>
      <c r="G40" s="967"/>
      <c r="H40" s="1008"/>
      <c r="I40" s="1063"/>
      <c r="J40" s="880"/>
      <c r="K40" s="1033"/>
      <c r="L40" s="1110"/>
      <c r="M40" s="1207"/>
      <c r="N40" s="1116"/>
      <c r="O40" s="162"/>
      <c r="P40" s="613"/>
      <c r="Q40" s="162">
        <v>171.66</v>
      </c>
      <c r="R40" s="1209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15">
        <v>44936</v>
      </c>
      <c r="B41" s="882" t="s">
        <v>3596</v>
      </c>
      <c r="C41" s="350" t="s">
        <v>12</v>
      </c>
      <c r="D41" s="350" t="s">
        <v>1489</v>
      </c>
      <c r="E41" s="875" t="s">
        <v>13</v>
      </c>
      <c r="F41" s="780">
        <v>100</v>
      </c>
      <c r="G41" s="982"/>
      <c r="H41" s="622"/>
      <c r="I41" s="982"/>
      <c r="J41" s="622"/>
      <c r="K41" s="982"/>
      <c r="L41" s="622"/>
      <c r="M41" s="1033"/>
      <c r="N41" s="1116"/>
      <c r="O41" s="1207"/>
      <c r="P41" s="1116"/>
      <c r="Q41" s="1207"/>
      <c r="R41" s="927"/>
      <c r="S41" s="927"/>
      <c r="T41" s="878"/>
    </row>
    <row r="42" spans="1:42" s="224" customFormat="1" ht="15" customHeight="1" x14ac:dyDescent="0.25">
      <c r="A42" s="215">
        <v>44937</v>
      </c>
      <c r="B42" s="1275" t="s">
        <v>32</v>
      </c>
      <c r="C42" s="1276" t="s">
        <v>12</v>
      </c>
      <c r="D42" s="1276" t="s">
        <v>1485</v>
      </c>
      <c r="E42" s="1286" t="s">
        <v>13</v>
      </c>
      <c r="F42" s="613">
        <v>20</v>
      </c>
      <c r="G42" s="967"/>
      <c r="H42" s="1008"/>
      <c r="I42" s="1063"/>
      <c r="J42" s="622"/>
      <c r="K42" s="982"/>
      <c r="L42" s="613"/>
      <c r="M42" s="6"/>
      <c r="N42" s="872"/>
      <c r="O42" s="64"/>
      <c r="P42" s="613"/>
      <c r="Q42" s="64"/>
      <c r="R42" s="1209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15">
        <v>44937</v>
      </c>
      <c r="B43" s="364" t="s">
        <v>3597</v>
      </c>
      <c r="C43" s="350" t="s">
        <v>12</v>
      </c>
      <c r="D43" s="350" t="s">
        <v>1489</v>
      </c>
      <c r="E43" s="480" t="s">
        <v>25</v>
      </c>
      <c r="F43" s="780">
        <v>60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982"/>
      <c r="R43" s="927"/>
      <c r="S43" s="927"/>
      <c r="T43" s="878"/>
    </row>
    <row r="44" spans="1:42" s="1274" customFormat="1" x14ac:dyDescent="0.25">
      <c r="A44" s="215">
        <v>44937</v>
      </c>
      <c r="B44" s="1275" t="s">
        <v>3598</v>
      </c>
      <c r="C44" s="1276" t="s">
        <v>19</v>
      </c>
      <c r="D44" s="1276" t="s">
        <v>1523</v>
      </c>
      <c r="E44" s="1277" t="s">
        <v>13</v>
      </c>
      <c r="F44" s="1279">
        <v>359.04</v>
      </c>
      <c r="G44" s="1278"/>
      <c r="H44" s="1282"/>
      <c r="I44" s="1283"/>
      <c r="J44" s="1279"/>
      <c r="K44" s="1278"/>
      <c r="L44" s="1279"/>
      <c r="M44" s="1278"/>
      <c r="N44" s="1279"/>
      <c r="O44" s="1278"/>
      <c r="P44" s="1279"/>
      <c r="Q44" s="1278"/>
      <c r="R44" s="1280" t="s">
        <v>3292</v>
      </c>
      <c r="T44" s="1273"/>
    </row>
    <row r="45" spans="1:42" s="224" customFormat="1" ht="15" customHeight="1" x14ac:dyDescent="0.25">
      <c r="A45" s="215">
        <v>44937</v>
      </c>
      <c r="B45" s="882" t="s">
        <v>3599</v>
      </c>
      <c r="C45" s="1276" t="s">
        <v>19</v>
      </c>
      <c r="D45" s="350" t="s">
        <v>1489</v>
      </c>
      <c r="E45" s="1277" t="s">
        <v>13</v>
      </c>
      <c r="F45" s="780">
        <v>93.333333333333329</v>
      </c>
      <c r="G45" s="982"/>
      <c r="H45" s="622"/>
      <c r="I45" s="982"/>
      <c r="J45" s="622"/>
      <c r="K45" s="982"/>
      <c r="L45" s="622"/>
      <c r="M45" s="1033"/>
      <c r="N45" s="1116"/>
      <c r="O45" s="1207"/>
      <c r="P45" s="1116"/>
      <c r="Q45" s="1207"/>
      <c r="R45" s="1280" t="s">
        <v>3292</v>
      </c>
      <c r="S45" s="927"/>
      <c r="T45" s="878"/>
    </row>
    <row r="46" spans="1:42" s="224" customFormat="1" ht="15" customHeight="1" x14ac:dyDescent="0.25">
      <c r="A46" s="215">
        <v>44937</v>
      </c>
      <c r="B46" s="882" t="s">
        <v>3600</v>
      </c>
      <c r="C46" s="1276" t="s">
        <v>19</v>
      </c>
      <c r="D46" s="350" t="s">
        <v>1491</v>
      </c>
      <c r="E46" s="1277" t="s">
        <v>13</v>
      </c>
      <c r="F46" s="780">
        <v>67</v>
      </c>
      <c r="G46" s="982"/>
      <c r="H46" s="622"/>
      <c r="I46" s="982"/>
      <c r="J46" s="622"/>
      <c r="K46" s="982"/>
      <c r="L46" s="622"/>
      <c r="M46" s="1033"/>
      <c r="N46" s="1116"/>
      <c r="O46" s="1207"/>
      <c r="P46" s="1116"/>
      <c r="Q46" s="1207"/>
      <c r="R46" s="1280" t="s">
        <v>3292</v>
      </c>
      <c r="S46" s="927"/>
      <c r="T46" s="878"/>
    </row>
    <row r="47" spans="1:42" s="224" customFormat="1" ht="15" customHeight="1" x14ac:dyDescent="0.25">
      <c r="A47" s="215">
        <v>44937</v>
      </c>
      <c r="B47" s="882" t="s">
        <v>3601</v>
      </c>
      <c r="C47" s="1276" t="s">
        <v>19</v>
      </c>
      <c r="D47" s="350" t="s">
        <v>1506</v>
      </c>
      <c r="E47" s="1277" t="s">
        <v>13</v>
      </c>
      <c r="F47" s="780">
        <v>100</v>
      </c>
      <c r="G47" s="982"/>
      <c r="H47" s="622"/>
      <c r="I47" s="982"/>
      <c r="J47" s="622"/>
      <c r="K47" s="982"/>
      <c r="L47" s="622"/>
      <c r="M47" s="1033"/>
      <c r="N47" s="1116"/>
      <c r="O47" s="1207"/>
      <c r="P47" s="1116"/>
      <c r="Q47" s="1207"/>
      <c r="R47" s="1280" t="s">
        <v>3292</v>
      </c>
      <c r="S47" s="927"/>
      <c r="T47" s="878"/>
    </row>
    <row r="48" spans="1:42" s="224" customFormat="1" x14ac:dyDescent="0.25">
      <c r="A48" s="215">
        <v>44938</v>
      </c>
      <c r="B48" s="882" t="s">
        <v>3602</v>
      </c>
      <c r="C48" s="879" t="s">
        <v>12</v>
      </c>
      <c r="D48" s="879" t="s">
        <v>1523</v>
      </c>
      <c r="E48" s="480" t="s">
        <v>13</v>
      </c>
      <c r="F48" s="780">
        <v>35</v>
      </c>
      <c r="G48" s="982"/>
      <c r="H48" s="1008"/>
      <c r="I48" s="1063"/>
      <c r="J48" s="622"/>
      <c r="K48" s="982"/>
      <c r="L48" s="622"/>
      <c r="M48" s="982"/>
      <c r="N48" s="622"/>
      <c r="O48" s="982"/>
      <c r="P48" s="622"/>
      <c r="Q48" s="982"/>
      <c r="R48" s="861"/>
      <c r="T48" s="878"/>
    </row>
    <row r="49" spans="1:20" s="224" customFormat="1" ht="15" customHeight="1" x14ac:dyDescent="0.25">
      <c r="A49" s="215">
        <v>44938</v>
      </c>
      <c r="B49" s="882" t="s">
        <v>3603</v>
      </c>
      <c r="C49" s="350" t="s">
        <v>19</v>
      </c>
      <c r="D49" s="350" t="s">
        <v>1522</v>
      </c>
      <c r="E49" s="875" t="s">
        <v>13</v>
      </c>
      <c r="F49" s="780">
        <v>80</v>
      </c>
      <c r="G49" s="982"/>
      <c r="H49" s="622"/>
      <c r="I49" s="982"/>
      <c r="J49" s="622"/>
      <c r="K49" s="982"/>
      <c r="L49" s="622"/>
      <c r="M49" s="1033"/>
      <c r="N49" s="1116"/>
      <c r="O49" s="1207"/>
      <c r="P49" s="1116"/>
      <c r="Q49" s="1207"/>
      <c r="R49" s="927"/>
      <c r="S49" s="927"/>
      <c r="T49" s="878"/>
    </row>
    <row r="50" spans="1:20" s="224" customFormat="1" ht="15" customHeight="1" x14ac:dyDescent="0.25">
      <c r="A50" s="215">
        <v>44938</v>
      </c>
      <c r="B50" s="1275" t="s">
        <v>32</v>
      </c>
      <c r="C50" s="1276" t="s">
        <v>12</v>
      </c>
      <c r="D50" s="1276" t="s">
        <v>1485</v>
      </c>
      <c r="E50" s="1286" t="s">
        <v>13</v>
      </c>
      <c r="F50" s="780">
        <v>20</v>
      </c>
      <c r="G50" s="982"/>
      <c r="H50" s="622"/>
      <c r="I50" s="982"/>
      <c r="J50" s="622"/>
      <c r="K50" s="982"/>
      <c r="L50" s="622"/>
      <c r="M50" s="1033"/>
      <c r="N50" s="1116"/>
      <c r="O50" s="1207"/>
      <c r="P50" s="1116"/>
      <c r="Q50" s="1207"/>
      <c r="R50" s="1280"/>
      <c r="S50" s="927"/>
      <c r="T50" s="878"/>
    </row>
    <row r="51" spans="1:20" s="224" customFormat="1" ht="15" customHeight="1" x14ac:dyDescent="0.25">
      <c r="A51" s="215">
        <v>44939</v>
      </c>
      <c r="B51" s="1275" t="s">
        <v>32</v>
      </c>
      <c r="C51" s="1276" t="s">
        <v>12</v>
      </c>
      <c r="D51" s="1276" t="s">
        <v>1485</v>
      </c>
      <c r="E51" s="1286" t="s">
        <v>13</v>
      </c>
      <c r="F51" s="780">
        <v>20</v>
      </c>
      <c r="G51" s="982"/>
      <c r="H51" s="622"/>
      <c r="I51" s="982"/>
      <c r="J51" s="622"/>
      <c r="K51" s="982"/>
      <c r="L51" s="622"/>
      <c r="M51" s="1033"/>
      <c r="N51" s="1116"/>
      <c r="O51" s="1207"/>
      <c r="P51" s="1116"/>
      <c r="Q51" s="1207"/>
      <c r="R51" s="927"/>
      <c r="S51" s="927"/>
      <c r="T51" s="878"/>
    </row>
    <row r="52" spans="1:20" s="224" customFormat="1" ht="15" customHeight="1" x14ac:dyDescent="0.25">
      <c r="A52" s="215">
        <v>44939</v>
      </c>
      <c r="B52" s="882" t="s">
        <v>82</v>
      </c>
      <c r="C52" s="879" t="s">
        <v>12</v>
      </c>
      <c r="D52" s="879" t="s">
        <v>1493</v>
      </c>
      <c r="E52" s="875" t="s">
        <v>13</v>
      </c>
      <c r="F52" s="780">
        <v>28.89</v>
      </c>
      <c r="G52" s="982"/>
      <c r="H52" s="622"/>
      <c r="I52" s="982"/>
      <c r="J52" s="622"/>
      <c r="K52" s="982"/>
      <c r="L52" s="622"/>
      <c r="M52" s="982"/>
      <c r="N52" s="1110"/>
      <c r="O52" s="1208"/>
      <c r="P52" s="1110"/>
      <c r="Q52" s="1208"/>
      <c r="R52" s="927"/>
      <c r="S52" s="927"/>
      <c r="T52" s="878"/>
    </row>
    <row r="53" spans="1:20" s="224" customFormat="1" ht="15" customHeight="1" x14ac:dyDescent="0.25">
      <c r="A53" s="215">
        <v>44940</v>
      </c>
      <c r="B53" s="1275" t="s">
        <v>14</v>
      </c>
      <c r="C53" s="1276" t="s">
        <v>12</v>
      </c>
      <c r="D53" s="1276" t="s">
        <v>1486</v>
      </c>
      <c r="E53" s="1286" t="s">
        <v>13</v>
      </c>
      <c r="F53" s="780">
        <v>7.2</v>
      </c>
      <c r="G53" s="982"/>
      <c r="H53" s="1060"/>
      <c r="I53" s="1033"/>
      <c r="J53" s="880"/>
      <c r="K53" s="1033"/>
      <c r="L53" s="880"/>
      <c r="M53" s="1033"/>
      <c r="N53" s="622"/>
      <c r="O53" s="982"/>
      <c r="P53" s="622"/>
      <c r="Q53" s="982"/>
      <c r="R53" s="1080"/>
      <c r="S53" s="927"/>
      <c r="T53" s="878"/>
    </row>
    <row r="54" spans="1:20" s="224" customFormat="1" ht="15" customHeight="1" x14ac:dyDescent="0.25">
      <c r="A54" s="215">
        <v>44940</v>
      </c>
      <c r="B54" s="1275" t="s">
        <v>2629</v>
      </c>
      <c r="C54" s="1276" t="s">
        <v>19</v>
      </c>
      <c r="D54" s="1276" t="s">
        <v>1489</v>
      </c>
      <c r="E54" s="1286" t="s">
        <v>13</v>
      </c>
      <c r="F54" s="780">
        <v>100</v>
      </c>
      <c r="G54" s="982"/>
      <c r="H54" s="1060"/>
      <c r="I54" s="1033"/>
      <c r="J54" s="880"/>
      <c r="K54" s="1033"/>
      <c r="L54" s="880"/>
      <c r="M54" s="1033"/>
      <c r="N54" s="622"/>
      <c r="O54" s="982"/>
      <c r="P54" s="622"/>
      <c r="Q54" s="982"/>
      <c r="R54" s="1080"/>
      <c r="S54" s="927"/>
      <c r="T54" s="878"/>
    </row>
    <row r="55" spans="1:20" s="224" customFormat="1" ht="15" customHeight="1" x14ac:dyDescent="0.25">
      <c r="A55" s="215">
        <v>44940</v>
      </c>
      <c r="B55" s="364" t="s">
        <v>3604</v>
      </c>
      <c r="C55" s="350" t="s">
        <v>12</v>
      </c>
      <c r="D55" s="350" t="s">
        <v>1522</v>
      </c>
      <c r="E55" s="875" t="s">
        <v>13</v>
      </c>
      <c r="F55" s="780">
        <v>239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22"/>
      <c r="Q55" s="982"/>
      <c r="R55" s="927"/>
      <c r="S55" s="927"/>
      <c r="T55" s="878"/>
    </row>
    <row r="56" spans="1:20" s="224" customFormat="1" x14ac:dyDescent="0.25">
      <c r="A56" s="215">
        <v>44940</v>
      </c>
      <c r="B56" s="1275" t="s">
        <v>138</v>
      </c>
      <c r="C56" s="1276" t="s">
        <v>19</v>
      </c>
      <c r="D56" s="1276" t="s">
        <v>2157</v>
      </c>
      <c r="E56" s="1277" t="s">
        <v>13</v>
      </c>
      <c r="F56" s="1279">
        <v>80</v>
      </c>
      <c r="G56" s="982"/>
      <c r="H56" s="1008"/>
      <c r="I56" s="1063"/>
      <c r="J56" s="622"/>
      <c r="K56" s="982"/>
      <c r="L56" s="622"/>
      <c r="M56" s="982"/>
      <c r="N56" s="622"/>
      <c r="O56" s="982"/>
      <c r="P56" s="622"/>
      <c r="Q56" s="982"/>
      <c r="R56" s="861"/>
      <c r="T56" s="878"/>
    </row>
    <row r="57" spans="1:20" s="224" customFormat="1" ht="15" customHeight="1" x14ac:dyDescent="0.25">
      <c r="A57" s="215">
        <v>44940</v>
      </c>
      <c r="B57" s="882" t="s">
        <v>82</v>
      </c>
      <c r="C57" s="879" t="s">
        <v>12</v>
      </c>
      <c r="D57" s="879" t="s">
        <v>1493</v>
      </c>
      <c r="E57" s="875" t="s">
        <v>13</v>
      </c>
      <c r="F57" s="780">
        <v>30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982"/>
      <c r="R57" s="927"/>
      <c r="S57" s="927"/>
      <c r="T57" s="878"/>
    </row>
    <row r="58" spans="1:20" s="224" customFormat="1" ht="15" customHeight="1" x14ac:dyDescent="0.25">
      <c r="A58" s="215">
        <v>44941</v>
      </c>
      <c r="B58" s="882" t="s">
        <v>390</v>
      </c>
      <c r="C58" s="879" t="s">
        <v>12</v>
      </c>
      <c r="D58" s="879"/>
      <c r="E58" s="871" t="s">
        <v>25</v>
      </c>
      <c r="F58" s="780"/>
      <c r="G58" s="982">
        <v>700</v>
      </c>
      <c r="H58" s="622">
        <v>700</v>
      </c>
      <c r="I58" s="982"/>
      <c r="J58" s="622"/>
      <c r="K58" s="982"/>
      <c r="L58" s="622"/>
      <c r="M58" s="982"/>
      <c r="N58" s="622"/>
      <c r="O58" s="982"/>
      <c r="P58" s="622"/>
      <c r="Q58" s="982"/>
      <c r="R58" s="1080"/>
      <c r="S58" s="927"/>
      <c r="T58" s="878"/>
    </row>
    <row r="59" spans="1:20" s="224" customFormat="1" ht="15" customHeight="1" x14ac:dyDescent="0.25">
      <c r="A59" s="215">
        <v>44941</v>
      </c>
      <c r="B59" s="1275" t="s">
        <v>14</v>
      </c>
      <c r="C59" s="1276" t="s">
        <v>12</v>
      </c>
      <c r="D59" s="1276" t="s">
        <v>1486</v>
      </c>
      <c r="E59" s="1286" t="s">
        <v>13</v>
      </c>
      <c r="F59" s="780">
        <v>7.74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982"/>
      <c r="R59" s="927"/>
      <c r="S59" s="927"/>
      <c r="T59" s="878"/>
    </row>
    <row r="60" spans="1:20" s="224" customFormat="1" ht="15" customHeight="1" x14ac:dyDescent="0.25">
      <c r="A60" s="215">
        <v>44941</v>
      </c>
      <c r="B60" s="364" t="s">
        <v>3605</v>
      </c>
      <c r="C60" s="350" t="s">
        <v>12</v>
      </c>
      <c r="D60" s="350" t="s">
        <v>1524</v>
      </c>
      <c r="E60" s="875" t="s">
        <v>13</v>
      </c>
      <c r="F60" s="780">
        <v>51.7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982"/>
      <c r="R60" s="927"/>
      <c r="S60" s="927"/>
      <c r="T60" s="878"/>
    </row>
    <row r="61" spans="1:20" s="224" customFormat="1" x14ac:dyDescent="0.25">
      <c r="A61" s="215">
        <v>44941</v>
      </c>
      <c r="B61" s="1275" t="s">
        <v>138</v>
      </c>
      <c r="C61" s="1276" t="s">
        <v>19</v>
      </c>
      <c r="D61" s="1276" t="s">
        <v>2157</v>
      </c>
      <c r="E61" s="1277" t="s">
        <v>13</v>
      </c>
      <c r="F61" s="1279">
        <v>90</v>
      </c>
      <c r="G61" s="982"/>
      <c r="H61" s="1008"/>
      <c r="I61" s="1063"/>
      <c r="J61" s="622"/>
      <c r="K61" s="982"/>
      <c r="L61" s="622"/>
      <c r="M61" s="982"/>
      <c r="N61" s="622"/>
      <c r="O61" s="982"/>
      <c r="P61" s="622"/>
      <c r="Q61" s="982"/>
      <c r="R61" s="861"/>
      <c r="T61" s="878"/>
    </row>
    <row r="62" spans="1:20" s="224" customFormat="1" ht="15" customHeight="1" x14ac:dyDescent="0.25">
      <c r="A62" s="215">
        <v>44941</v>
      </c>
      <c r="B62" s="364" t="s">
        <v>3606</v>
      </c>
      <c r="C62" s="350" t="s">
        <v>12</v>
      </c>
      <c r="D62" s="350" t="s">
        <v>1491</v>
      </c>
      <c r="E62" s="875" t="s">
        <v>15</v>
      </c>
      <c r="F62" s="780">
        <v>40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982"/>
      <c r="R62" s="927"/>
      <c r="S62" s="927"/>
      <c r="T62" s="878"/>
    </row>
    <row r="63" spans="1:20" s="224" customFormat="1" x14ac:dyDescent="0.25">
      <c r="A63" s="215">
        <v>44941</v>
      </c>
      <c r="B63" s="1275" t="s">
        <v>2324</v>
      </c>
      <c r="C63" s="1276" t="s">
        <v>12</v>
      </c>
      <c r="D63" s="1276" t="s">
        <v>1491</v>
      </c>
      <c r="E63" s="1277" t="s">
        <v>13</v>
      </c>
      <c r="F63" s="1279">
        <v>22.9</v>
      </c>
      <c r="G63" s="982"/>
      <c r="H63" s="1008"/>
      <c r="I63" s="1063"/>
      <c r="J63" s="622"/>
      <c r="K63" s="982"/>
      <c r="L63" s="622"/>
      <c r="M63" s="982"/>
      <c r="N63" s="622"/>
      <c r="O63" s="982"/>
      <c r="P63" s="622"/>
      <c r="Q63" s="982"/>
      <c r="R63" s="861"/>
      <c r="T63" s="878"/>
    </row>
    <row r="64" spans="1:20" s="224" customFormat="1" ht="15" customHeight="1" x14ac:dyDescent="0.25">
      <c r="A64" s="215">
        <v>44942</v>
      </c>
      <c r="B64" s="1275" t="s">
        <v>32</v>
      </c>
      <c r="C64" s="1276" t="s">
        <v>12</v>
      </c>
      <c r="D64" s="1276" t="s">
        <v>1485</v>
      </c>
      <c r="E64" s="1286" t="s">
        <v>13</v>
      </c>
      <c r="F64" s="780">
        <v>20</v>
      </c>
      <c r="G64" s="982"/>
      <c r="H64" s="622"/>
      <c r="I64" s="982"/>
      <c r="J64" s="622"/>
      <c r="K64" s="982"/>
      <c r="L64" s="622"/>
      <c r="M64" s="1033"/>
      <c r="N64" s="1116"/>
      <c r="O64" s="1207"/>
      <c r="P64" s="1116"/>
      <c r="Q64" s="1207"/>
      <c r="R64" s="927"/>
      <c r="S64" s="927"/>
      <c r="T64" s="878"/>
    </row>
    <row r="65" spans="1:26" s="224" customFormat="1" ht="15" customHeight="1" x14ac:dyDescent="0.25">
      <c r="A65" s="215">
        <v>44942</v>
      </c>
      <c r="B65" s="364" t="s">
        <v>3607</v>
      </c>
      <c r="C65" s="350" t="s">
        <v>12</v>
      </c>
      <c r="D65" s="350" t="s">
        <v>1524</v>
      </c>
      <c r="E65" s="875" t="s">
        <v>13</v>
      </c>
      <c r="F65" s="780">
        <v>135.97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982"/>
      <c r="R65" s="927"/>
      <c r="S65" s="927"/>
      <c r="T65" s="878"/>
    </row>
    <row r="66" spans="1:26" s="1274" customFormat="1" ht="15" customHeight="1" x14ac:dyDescent="0.25">
      <c r="A66" s="215">
        <v>44942</v>
      </c>
      <c r="B66" s="1275" t="s">
        <v>478</v>
      </c>
      <c r="C66" s="1276" t="s">
        <v>12</v>
      </c>
      <c r="D66" s="1276" t="s">
        <v>1496</v>
      </c>
      <c r="E66" s="1277" t="s">
        <v>13</v>
      </c>
      <c r="F66" s="1279">
        <v>11.7</v>
      </c>
      <c r="G66" s="1278"/>
      <c r="H66" s="1279"/>
      <c r="I66" s="1278"/>
      <c r="J66" s="1279"/>
      <c r="K66" s="1278"/>
      <c r="L66" s="1279"/>
      <c r="M66" s="1278"/>
      <c r="N66" s="1279"/>
      <c r="O66" s="1278"/>
      <c r="P66" s="1279"/>
      <c r="Q66" s="1278"/>
      <c r="R66" s="1280"/>
      <c r="S66" s="1281"/>
      <c r="T66" s="1273"/>
      <c r="U66" s="1246"/>
    </row>
    <row r="67" spans="1:26" s="224" customFormat="1" ht="15" customHeight="1" x14ac:dyDescent="0.25">
      <c r="A67" s="215">
        <v>44943</v>
      </c>
      <c r="B67" s="364" t="s">
        <v>3325</v>
      </c>
      <c r="C67" s="350" t="s">
        <v>12</v>
      </c>
      <c r="D67" s="350" t="s">
        <v>1504</v>
      </c>
      <c r="E67" s="875" t="s">
        <v>13</v>
      </c>
      <c r="F67" s="780">
        <v>32.49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982"/>
      <c r="R67" s="927"/>
      <c r="S67" s="927"/>
      <c r="T67" s="878"/>
    </row>
    <row r="68" spans="1:26" s="224" customFormat="1" ht="15" customHeight="1" x14ac:dyDescent="0.25">
      <c r="A68" s="215">
        <v>44943</v>
      </c>
      <c r="B68" s="1275" t="s">
        <v>32</v>
      </c>
      <c r="C68" s="1276" t="s">
        <v>12</v>
      </c>
      <c r="D68" s="1276" t="s">
        <v>1485</v>
      </c>
      <c r="E68" s="1286" t="s">
        <v>13</v>
      </c>
      <c r="F68" s="780">
        <v>20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982"/>
      <c r="R68" s="927"/>
      <c r="S68" s="927"/>
      <c r="T68" s="878"/>
    </row>
    <row r="69" spans="1:26" s="224" customFormat="1" ht="15" customHeight="1" x14ac:dyDescent="0.25">
      <c r="A69" s="215">
        <v>44944</v>
      </c>
      <c r="B69" s="1275" t="s">
        <v>32</v>
      </c>
      <c r="C69" s="1276" t="s">
        <v>12</v>
      </c>
      <c r="D69" s="1276" t="s">
        <v>1485</v>
      </c>
      <c r="E69" s="1286" t="s">
        <v>13</v>
      </c>
      <c r="F69" s="780">
        <v>20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982"/>
      <c r="R69" s="927"/>
      <c r="S69" s="927"/>
      <c r="T69" s="878"/>
    </row>
    <row r="70" spans="1:26" s="224" customFormat="1" ht="15" customHeight="1" x14ac:dyDescent="0.25">
      <c r="A70" s="215">
        <v>44944</v>
      </c>
      <c r="B70" s="364" t="s">
        <v>3608</v>
      </c>
      <c r="C70" s="350" t="s">
        <v>12</v>
      </c>
      <c r="D70" s="350" t="s">
        <v>1524</v>
      </c>
      <c r="E70" s="875" t="s">
        <v>13</v>
      </c>
      <c r="F70" s="780">
        <v>25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982"/>
      <c r="R70" s="927"/>
      <c r="S70" s="927"/>
      <c r="T70" s="878"/>
    </row>
    <row r="71" spans="1:26" s="224" customFormat="1" ht="15" customHeight="1" x14ac:dyDescent="0.25">
      <c r="A71" s="215">
        <v>44944</v>
      </c>
      <c r="B71" s="364" t="s">
        <v>3609</v>
      </c>
      <c r="C71" s="350" t="s">
        <v>12</v>
      </c>
      <c r="D71" s="350" t="s">
        <v>1524</v>
      </c>
      <c r="E71" s="875" t="s">
        <v>13</v>
      </c>
      <c r="F71" s="780">
        <v>8</v>
      </c>
      <c r="G71" s="982"/>
      <c r="H71" s="622"/>
      <c r="I71" s="982"/>
      <c r="J71" s="622"/>
      <c r="K71" s="982"/>
      <c r="L71" s="622"/>
      <c r="M71" s="982"/>
      <c r="N71" s="622"/>
      <c r="O71" s="982"/>
      <c r="P71" s="622"/>
      <c r="Q71" s="982"/>
      <c r="R71" s="927"/>
      <c r="S71" s="927"/>
      <c r="T71" s="878"/>
    </row>
    <row r="72" spans="1:26" s="224" customFormat="1" ht="15" customHeight="1" x14ac:dyDescent="0.25">
      <c r="A72" s="215">
        <v>44945</v>
      </c>
      <c r="B72" s="862" t="s">
        <v>3529</v>
      </c>
      <c r="C72" s="879" t="s">
        <v>12</v>
      </c>
      <c r="D72" s="879" t="s">
        <v>1504</v>
      </c>
      <c r="E72" s="871" t="s">
        <v>13</v>
      </c>
      <c r="F72" s="622">
        <v>40</v>
      </c>
      <c r="G72" s="1034"/>
      <c r="H72" s="1008"/>
      <c r="I72" s="1063"/>
      <c r="J72" s="622"/>
      <c r="K72" s="982"/>
      <c r="L72" s="622"/>
      <c r="M72" s="982"/>
      <c r="N72" s="622"/>
      <c r="O72" s="982"/>
      <c r="P72" s="622"/>
      <c r="Q72" s="982"/>
      <c r="R72" s="1223"/>
      <c r="T72" s="878"/>
    </row>
    <row r="73" spans="1:26" s="224" customFormat="1" ht="15" customHeight="1" x14ac:dyDescent="0.25">
      <c r="A73" s="215">
        <v>44945</v>
      </c>
      <c r="B73" s="364" t="s">
        <v>3610</v>
      </c>
      <c r="C73" s="879" t="s">
        <v>12</v>
      </c>
      <c r="D73" s="350" t="s">
        <v>1524</v>
      </c>
      <c r="E73" s="875" t="s">
        <v>13</v>
      </c>
      <c r="F73" s="780">
        <v>3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982"/>
      <c r="R73" s="927"/>
      <c r="S73" s="927"/>
      <c r="T73" s="878"/>
    </row>
    <row r="74" spans="1:26" s="224" customFormat="1" ht="15" customHeight="1" x14ac:dyDescent="0.25">
      <c r="A74" s="215">
        <v>44945</v>
      </c>
      <c r="B74" s="1275" t="s">
        <v>32</v>
      </c>
      <c r="C74" s="1276" t="s">
        <v>12</v>
      </c>
      <c r="D74" s="1276" t="s">
        <v>1485</v>
      </c>
      <c r="E74" s="1286" t="s">
        <v>13</v>
      </c>
      <c r="F74" s="780">
        <v>20</v>
      </c>
      <c r="G74" s="982"/>
      <c r="H74" s="622"/>
      <c r="I74" s="982"/>
      <c r="J74" s="622"/>
      <c r="K74" s="982"/>
      <c r="L74" s="622"/>
      <c r="M74" s="982"/>
      <c r="N74" s="622"/>
      <c r="O74" s="982"/>
      <c r="P74" s="622"/>
      <c r="Q74" s="982"/>
      <c r="R74" s="927"/>
      <c r="S74" s="927"/>
      <c r="T74" s="878"/>
    </row>
    <row r="75" spans="1:26" s="224" customFormat="1" ht="15" customHeight="1" x14ac:dyDescent="0.25">
      <c r="A75" s="215">
        <v>44946</v>
      </c>
      <c r="B75" s="882" t="s">
        <v>3611</v>
      </c>
      <c r="C75" s="350" t="s">
        <v>12</v>
      </c>
      <c r="D75" s="350"/>
      <c r="E75" s="480" t="s">
        <v>25</v>
      </c>
      <c r="F75" s="622"/>
      <c r="G75" s="982">
        <v>1333.33</v>
      </c>
      <c r="H75" s="1008"/>
      <c r="I75" s="1063"/>
      <c r="J75" s="622"/>
      <c r="K75" s="982"/>
      <c r="L75" s="622"/>
      <c r="M75" s="982"/>
      <c r="N75" s="622"/>
      <c r="O75" s="982"/>
      <c r="P75" s="622"/>
      <c r="Q75" s="982"/>
      <c r="R75" s="861"/>
    </row>
    <row r="76" spans="1:26" s="224" customFormat="1" ht="15" customHeight="1" x14ac:dyDescent="0.25">
      <c r="A76" s="215">
        <v>44946</v>
      </c>
      <c r="B76" s="862" t="s">
        <v>2867</v>
      </c>
      <c r="C76" s="350" t="s">
        <v>12</v>
      </c>
      <c r="D76" s="874" t="s">
        <v>1504</v>
      </c>
      <c r="E76" s="887" t="s">
        <v>13</v>
      </c>
      <c r="F76" s="1245"/>
      <c r="G76" s="982"/>
      <c r="H76" s="1009"/>
      <c r="I76" s="1063"/>
      <c r="J76" s="853"/>
      <c r="K76" s="982"/>
      <c r="L76" s="853"/>
      <c r="M76" s="982"/>
      <c r="N76" s="622"/>
      <c r="O76" s="982"/>
      <c r="P76" s="622"/>
      <c r="Q76" s="982"/>
      <c r="R76" s="1690" t="s">
        <v>3572</v>
      </c>
      <c r="S76" s="1690"/>
      <c r="T76" s="1690"/>
      <c r="U76" s="1690"/>
      <c r="V76" s="1690"/>
      <c r="W76" s="1690"/>
      <c r="X76" s="1690"/>
      <c r="Y76" s="1690"/>
      <c r="Z76" s="1690"/>
    </row>
    <row r="77" spans="1:26" s="224" customFormat="1" ht="14.25" customHeight="1" x14ac:dyDescent="0.25">
      <c r="A77" s="215">
        <v>44946</v>
      </c>
      <c r="B77" s="364" t="s">
        <v>2977</v>
      </c>
      <c r="C77" s="350" t="s">
        <v>12</v>
      </c>
      <c r="D77" s="350" t="s">
        <v>1491</v>
      </c>
      <c r="E77" s="875" t="s">
        <v>13</v>
      </c>
      <c r="F77" s="1047">
        <v>300</v>
      </c>
      <c r="G77" s="982"/>
      <c r="H77" s="1008"/>
      <c r="I77" s="1063"/>
      <c r="J77" s="622"/>
      <c r="K77" s="982"/>
      <c r="L77" s="622"/>
      <c r="M77" s="982"/>
      <c r="N77" s="622"/>
      <c r="O77" s="982"/>
      <c r="P77" s="622"/>
      <c r="Q77" s="982"/>
      <c r="R77" s="1029"/>
      <c r="S77" s="89"/>
      <c r="T77" s="930"/>
    </row>
    <row r="78" spans="1:26" s="224" customFormat="1" ht="15" customHeight="1" x14ac:dyDescent="0.25">
      <c r="A78" s="215">
        <v>44946</v>
      </c>
      <c r="B78" s="349" t="s">
        <v>3612</v>
      </c>
      <c r="C78" s="887" t="s">
        <v>12</v>
      </c>
      <c r="D78" s="350" t="s">
        <v>1506</v>
      </c>
      <c r="E78" s="887" t="s">
        <v>13</v>
      </c>
      <c r="F78" s="613">
        <v>70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622"/>
      <c r="Q78" s="982"/>
      <c r="R78" s="927"/>
      <c r="S78" s="999"/>
      <c r="T78" s="878"/>
    </row>
    <row r="79" spans="1:26" s="224" customFormat="1" ht="15" customHeight="1" x14ac:dyDescent="0.25">
      <c r="A79" s="215">
        <v>44946</v>
      </c>
      <c r="B79" s="349" t="s">
        <v>3612</v>
      </c>
      <c r="C79" s="887" t="s">
        <v>12</v>
      </c>
      <c r="D79" s="350" t="s">
        <v>1522</v>
      </c>
      <c r="E79" s="887" t="s">
        <v>13</v>
      </c>
      <c r="F79" s="613">
        <v>150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622"/>
      <c r="Q79" s="982"/>
      <c r="R79" s="927"/>
      <c r="S79" s="999"/>
      <c r="T79" s="878"/>
    </row>
    <row r="80" spans="1:26" s="224" customFormat="1" ht="15" customHeight="1" x14ac:dyDescent="0.25">
      <c r="A80" s="215">
        <v>44946</v>
      </c>
      <c r="B80" s="349" t="s">
        <v>3612</v>
      </c>
      <c r="C80" s="887" t="s">
        <v>12</v>
      </c>
      <c r="D80" s="1005" t="s">
        <v>1491</v>
      </c>
      <c r="E80" s="887" t="s">
        <v>13</v>
      </c>
      <c r="F80" s="1116">
        <v>120</v>
      </c>
      <c r="G80" s="982"/>
      <c r="H80" s="872"/>
      <c r="I80" s="1063"/>
      <c r="J80" s="622"/>
      <c r="K80" s="982"/>
      <c r="L80" s="622"/>
      <c r="M80" s="982"/>
      <c r="N80" s="622"/>
      <c r="O80" s="982"/>
      <c r="P80" s="622"/>
      <c r="Q80" s="982"/>
      <c r="R80" s="927"/>
      <c r="S80" s="999"/>
      <c r="T80" s="878"/>
    </row>
    <row r="81" spans="1:21" s="224" customFormat="1" ht="15" customHeight="1" x14ac:dyDescent="0.25">
      <c r="A81" s="215">
        <v>44946</v>
      </c>
      <c r="B81" s="349" t="s">
        <v>3612</v>
      </c>
      <c r="C81" s="887" t="s">
        <v>12</v>
      </c>
      <c r="D81" s="350" t="s">
        <v>1522</v>
      </c>
      <c r="E81" s="887" t="s">
        <v>13</v>
      </c>
      <c r="F81" s="613">
        <v>70</v>
      </c>
      <c r="G81" s="982"/>
      <c r="H81" s="872"/>
      <c r="I81" s="1063"/>
      <c r="J81" s="622"/>
      <c r="K81" s="982"/>
      <c r="L81" s="622"/>
      <c r="M81" s="982"/>
      <c r="N81" s="622"/>
      <c r="O81" s="982"/>
      <c r="P81" s="622"/>
      <c r="Q81" s="982"/>
      <c r="R81" s="927"/>
      <c r="S81" s="999"/>
      <c r="T81" s="878"/>
    </row>
    <row r="82" spans="1:21" s="224" customFormat="1" ht="15" customHeight="1" x14ac:dyDescent="0.25">
      <c r="A82" s="215">
        <v>44946</v>
      </c>
      <c r="B82" s="882" t="s">
        <v>3613</v>
      </c>
      <c r="C82" s="879" t="s">
        <v>12</v>
      </c>
      <c r="D82" s="879" t="s">
        <v>1499</v>
      </c>
      <c r="E82" s="871" t="s">
        <v>13</v>
      </c>
      <c r="F82" s="780">
        <v>49</v>
      </c>
      <c r="G82" s="982"/>
      <c r="H82" s="1008"/>
      <c r="I82" s="1063"/>
      <c r="J82" s="622"/>
      <c r="K82" s="982"/>
      <c r="L82" s="622"/>
      <c r="M82" s="982"/>
      <c r="N82" s="622"/>
      <c r="O82" s="982"/>
      <c r="P82" s="622"/>
      <c r="Q82" s="982"/>
      <c r="R82" s="861"/>
      <c r="T82" s="1123"/>
      <c r="U82" s="999"/>
    </row>
    <row r="83" spans="1:21" s="1274" customFormat="1" ht="15" customHeight="1" x14ac:dyDescent="0.25">
      <c r="A83" s="215">
        <v>44946</v>
      </c>
      <c r="B83" s="1275" t="s">
        <v>3614</v>
      </c>
      <c r="C83" s="1276" t="s">
        <v>19</v>
      </c>
      <c r="D83" s="1276" t="s">
        <v>1506</v>
      </c>
      <c r="E83" s="1286" t="s">
        <v>13</v>
      </c>
      <c r="F83" s="1279">
        <v>80</v>
      </c>
      <c r="G83" s="1278"/>
      <c r="H83" s="1279"/>
      <c r="I83" s="1278"/>
      <c r="J83" s="1279"/>
      <c r="K83" s="1278"/>
      <c r="L83" s="1279"/>
      <c r="M83" s="1278"/>
      <c r="N83" s="1285"/>
      <c r="O83" s="1284"/>
      <c r="P83" s="1285"/>
      <c r="Q83" s="1284"/>
      <c r="R83" s="1281"/>
      <c r="T83" s="1273"/>
    </row>
    <row r="84" spans="1:21" s="224" customFormat="1" ht="15" customHeight="1" x14ac:dyDescent="0.25">
      <c r="A84" s="215">
        <v>44946</v>
      </c>
      <c r="B84" s="882" t="s">
        <v>3615</v>
      </c>
      <c r="C84" s="879" t="s">
        <v>12</v>
      </c>
      <c r="D84" s="879" t="s">
        <v>1522</v>
      </c>
      <c r="E84" s="871" t="s">
        <v>13</v>
      </c>
      <c r="F84" s="780">
        <v>339.33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982"/>
      <c r="R84" s="927">
        <v>339.33</v>
      </c>
      <c r="T84" s="878"/>
    </row>
    <row r="85" spans="1:21" s="224" customFormat="1" ht="15" customHeight="1" x14ac:dyDescent="0.25">
      <c r="A85" s="215">
        <v>44946</v>
      </c>
      <c r="B85" s="1275" t="s">
        <v>32</v>
      </c>
      <c r="C85" s="1276" t="s">
        <v>12</v>
      </c>
      <c r="D85" s="1276" t="s">
        <v>1485</v>
      </c>
      <c r="E85" s="1286" t="s">
        <v>13</v>
      </c>
      <c r="F85" s="780">
        <v>20</v>
      </c>
      <c r="G85" s="982"/>
      <c r="H85" s="622"/>
      <c r="I85" s="982"/>
      <c r="J85" s="622"/>
      <c r="K85" s="982"/>
      <c r="L85" s="622"/>
      <c r="M85" s="982"/>
      <c r="N85" s="622"/>
      <c r="O85" s="982"/>
      <c r="P85" s="622"/>
      <c r="Q85" s="982"/>
      <c r="R85" s="927"/>
      <c r="S85" s="927"/>
      <c r="T85" s="878"/>
    </row>
    <row r="86" spans="1:21" s="224" customFormat="1" ht="15" customHeight="1" x14ac:dyDescent="0.25">
      <c r="A86" s="215">
        <v>44946</v>
      </c>
      <c r="B86" s="1275" t="s">
        <v>17</v>
      </c>
      <c r="C86" s="1276" t="s">
        <v>12</v>
      </c>
      <c r="D86" s="1276" t="s">
        <v>1493</v>
      </c>
      <c r="E86" s="1286" t="s">
        <v>13</v>
      </c>
      <c r="F86" s="1279">
        <v>6</v>
      </c>
      <c r="G86" s="982"/>
      <c r="H86" s="622"/>
      <c r="I86" s="982"/>
      <c r="J86" s="622"/>
      <c r="K86" s="982"/>
      <c r="L86" s="622"/>
      <c r="M86" s="982"/>
      <c r="N86" s="622"/>
      <c r="O86" s="982"/>
      <c r="P86" s="622"/>
      <c r="Q86" s="982"/>
      <c r="R86" s="1080"/>
      <c r="S86" s="927"/>
      <c r="T86" s="878"/>
    </row>
    <row r="87" spans="1:21" s="224" customFormat="1" ht="15" customHeight="1" x14ac:dyDescent="0.25">
      <c r="A87" s="215">
        <v>44946</v>
      </c>
      <c r="B87" s="882" t="s">
        <v>1906</v>
      </c>
      <c r="C87" s="879" t="s">
        <v>12</v>
      </c>
      <c r="D87" s="879" t="s">
        <v>1493</v>
      </c>
      <c r="E87" s="875" t="s">
        <v>13</v>
      </c>
      <c r="F87" s="780">
        <v>24</v>
      </c>
      <c r="G87" s="982"/>
      <c r="H87" s="95"/>
      <c r="I87" s="1064"/>
      <c r="J87" s="622"/>
      <c r="K87" s="982"/>
      <c r="L87" s="622"/>
      <c r="M87" s="982"/>
      <c r="N87" s="622"/>
      <c r="O87" s="982"/>
      <c r="P87" s="622"/>
      <c r="Q87" s="982"/>
      <c r="R87" s="861"/>
    </row>
    <row r="88" spans="1:21" s="224" customFormat="1" ht="15" customHeight="1" x14ac:dyDescent="0.25">
      <c r="A88" s="215">
        <v>44947</v>
      </c>
      <c r="B88" s="1275" t="s">
        <v>14</v>
      </c>
      <c r="C88" s="1276" t="s">
        <v>12</v>
      </c>
      <c r="D88" s="1276" t="s">
        <v>1486</v>
      </c>
      <c r="E88" s="1286" t="s">
        <v>13</v>
      </c>
      <c r="F88" s="780">
        <v>8.5399999999999991</v>
      </c>
      <c r="G88" s="982"/>
      <c r="H88" s="1060"/>
      <c r="I88" s="1033"/>
      <c r="J88" s="880"/>
      <c r="K88" s="1033"/>
      <c r="L88" s="880"/>
      <c r="M88" s="1033"/>
      <c r="N88" s="622"/>
      <c r="O88" s="982"/>
      <c r="P88" s="622"/>
      <c r="Q88" s="982"/>
      <c r="R88" s="1080"/>
      <c r="S88" s="927"/>
      <c r="T88" s="878"/>
    </row>
    <row r="89" spans="1:21" s="224" customFormat="1" ht="15" customHeight="1" x14ac:dyDescent="0.25">
      <c r="A89" s="215">
        <v>44947</v>
      </c>
      <c r="B89" s="882" t="s">
        <v>3616</v>
      </c>
      <c r="C89" s="879" t="s">
        <v>12</v>
      </c>
      <c r="D89" s="879" t="s">
        <v>1523</v>
      </c>
      <c r="E89" s="875" t="s">
        <v>15</v>
      </c>
      <c r="F89" s="780">
        <v>40</v>
      </c>
      <c r="G89" s="982"/>
      <c r="H89" s="622"/>
      <c r="I89" s="982"/>
      <c r="J89" s="622"/>
      <c r="K89" s="982"/>
      <c r="L89" s="622"/>
      <c r="M89" s="982"/>
      <c r="N89" s="880"/>
      <c r="O89" s="1033"/>
      <c r="P89" s="880"/>
      <c r="Q89" s="1033"/>
      <c r="R89" s="927"/>
      <c r="T89" s="878"/>
    </row>
    <row r="90" spans="1:21" s="224" customFormat="1" ht="15" customHeight="1" x14ac:dyDescent="0.25">
      <c r="A90" s="215">
        <v>44947</v>
      </c>
      <c r="B90" s="882" t="s">
        <v>3617</v>
      </c>
      <c r="C90" s="879" t="s">
        <v>12</v>
      </c>
      <c r="D90" s="879" t="s">
        <v>1489</v>
      </c>
      <c r="E90" s="875" t="s">
        <v>15</v>
      </c>
      <c r="F90" s="780">
        <v>20</v>
      </c>
      <c r="G90" s="982"/>
      <c r="H90" s="622"/>
      <c r="I90" s="982"/>
      <c r="J90" s="622"/>
      <c r="K90" s="982"/>
      <c r="L90" s="622"/>
      <c r="M90" s="982"/>
      <c r="N90" s="880"/>
      <c r="O90" s="1033"/>
      <c r="P90" s="880"/>
      <c r="Q90" s="1033"/>
      <c r="R90" s="927"/>
      <c r="T90" s="878"/>
    </row>
    <row r="91" spans="1:21" s="1274" customFormat="1" ht="15" customHeight="1" x14ac:dyDescent="0.25">
      <c r="A91" s="1264">
        <v>44948</v>
      </c>
      <c r="B91" s="1275" t="s">
        <v>2563</v>
      </c>
      <c r="C91" s="1276" t="s">
        <v>12</v>
      </c>
      <c r="D91" s="1276" t="s">
        <v>1493</v>
      </c>
      <c r="E91" s="1277" t="s">
        <v>15</v>
      </c>
      <c r="F91" s="1279">
        <v>38</v>
      </c>
      <c r="G91" s="1278"/>
      <c r="H91" s="1282"/>
      <c r="I91" s="1283"/>
      <c r="J91" s="1279"/>
      <c r="K91" s="1278"/>
      <c r="L91" s="1279"/>
      <c r="M91" s="1278"/>
      <c r="N91" s="1279"/>
      <c r="O91" s="1278"/>
      <c r="P91" s="1279"/>
      <c r="Q91" s="1278"/>
      <c r="R91" s="1280"/>
      <c r="U91" s="1246"/>
    </row>
    <row r="92" spans="1:21" s="224" customFormat="1" ht="15" customHeight="1" x14ac:dyDescent="0.25">
      <c r="A92" s="215">
        <v>44948</v>
      </c>
      <c r="B92" s="1275" t="s">
        <v>443</v>
      </c>
      <c r="C92" s="1276" t="s">
        <v>12</v>
      </c>
      <c r="D92" s="1276" t="s">
        <v>1493</v>
      </c>
      <c r="E92" s="1277" t="s">
        <v>13</v>
      </c>
      <c r="F92" s="1279">
        <v>10</v>
      </c>
      <c r="G92" s="946"/>
      <c r="H92" s="95"/>
      <c r="I92" s="1064"/>
      <c r="J92" s="622"/>
      <c r="K92" s="982"/>
      <c r="L92" s="622"/>
      <c r="M92" s="982"/>
      <c r="N92" s="622"/>
      <c r="O92" s="982"/>
      <c r="P92" s="622"/>
      <c r="Q92" s="982"/>
      <c r="R92" s="861"/>
    </row>
    <row r="93" spans="1:21" s="224" customFormat="1" ht="15" customHeight="1" x14ac:dyDescent="0.25">
      <c r="A93" s="215">
        <v>44949</v>
      </c>
      <c r="B93" s="1275" t="s">
        <v>32</v>
      </c>
      <c r="C93" s="1276" t="s">
        <v>12</v>
      </c>
      <c r="D93" s="1276" t="s">
        <v>1485</v>
      </c>
      <c r="E93" s="1286" t="s">
        <v>13</v>
      </c>
      <c r="F93" s="780">
        <v>20</v>
      </c>
      <c r="G93" s="982"/>
      <c r="H93" s="622"/>
      <c r="I93" s="982"/>
      <c r="J93" s="622"/>
      <c r="K93" s="982"/>
      <c r="L93" s="622"/>
      <c r="M93" s="982"/>
      <c r="N93" s="622"/>
      <c r="O93" s="982"/>
      <c r="P93" s="622"/>
      <c r="Q93" s="982"/>
      <c r="R93" s="927"/>
      <c r="S93" s="927"/>
      <c r="T93" s="878"/>
    </row>
    <row r="94" spans="1:21" s="224" customFormat="1" x14ac:dyDescent="0.25">
      <c r="A94" s="215">
        <v>44949</v>
      </c>
      <c r="B94" s="1275" t="s">
        <v>138</v>
      </c>
      <c r="C94" s="1276" t="s">
        <v>12</v>
      </c>
      <c r="D94" s="1276" t="s">
        <v>2157</v>
      </c>
      <c r="E94" s="1277" t="s">
        <v>13</v>
      </c>
      <c r="F94" s="1279">
        <v>50</v>
      </c>
      <c r="G94" s="982"/>
      <c r="H94" s="1008"/>
      <c r="I94" s="1063"/>
      <c r="J94" s="622"/>
      <c r="K94" s="982"/>
      <c r="L94" s="622"/>
      <c r="M94" s="982"/>
      <c r="N94" s="622"/>
      <c r="O94" s="982"/>
      <c r="P94" s="622"/>
      <c r="Q94" s="982"/>
      <c r="R94" s="861"/>
      <c r="T94" s="878"/>
    </row>
    <row r="95" spans="1:21" s="224" customFormat="1" ht="15" customHeight="1" x14ac:dyDescent="0.25">
      <c r="A95" s="215">
        <v>44949</v>
      </c>
      <c r="B95" s="882" t="s">
        <v>478</v>
      </c>
      <c r="C95" s="879" t="s">
        <v>12</v>
      </c>
      <c r="D95" s="879" t="s">
        <v>1496</v>
      </c>
      <c r="E95" s="871" t="s">
        <v>13</v>
      </c>
      <c r="F95" s="780">
        <v>12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982"/>
      <c r="R95" s="1028"/>
      <c r="U95" s="958"/>
    </row>
    <row r="96" spans="1:21" s="224" customFormat="1" ht="15" customHeight="1" x14ac:dyDescent="0.25">
      <c r="A96" s="215">
        <v>44950</v>
      </c>
      <c r="B96" s="1275" t="s">
        <v>32</v>
      </c>
      <c r="C96" s="1276" t="s">
        <v>12</v>
      </c>
      <c r="D96" s="1276" t="s">
        <v>1485</v>
      </c>
      <c r="E96" s="1286" t="s">
        <v>13</v>
      </c>
      <c r="F96" s="780">
        <v>20</v>
      </c>
      <c r="G96" s="982"/>
      <c r="H96" s="622"/>
      <c r="I96" s="982"/>
      <c r="J96" s="622"/>
      <c r="K96" s="982"/>
      <c r="L96" s="622"/>
      <c r="M96" s="982"/>
      <c r="N96" s="622"/>
      <c r="O96" s="982"/>
      <c r="P96" s="622"/>
      <c r="Q96" s="982"/>
      <c r="R96" s="927"/>
      <c r="S96" s="927"/>
      <c r="T96" s="878"/>
    </row>
    <row r="97" spans="1:21" s="224" customFormat="1" ht="15" customHeight="1" x14ac:dyDescent="0.25">
      <c r="A97" s="215">
        <v>44950</v>
      </c>
      <c r="B97" s="1275" t="s">
        <v>14</v>
      </c>
      <c r="C97" s="1276" t="s">
        <v>12</v>
      </c>
      <c r="D97" s="1276" t="s">
        <v>1486</v>
      </c>
      <c r="E97" s="1286" t="s">
        <v>13</v>
      </c>
      <c r="F97" s="780">
        <v>9.7200000000000006</v>
      </c>
      <c r="G97" s="982"/>
      <c r="H97" s="622"/>
      <c r="I97" s="982"/>
      <c r="J97" s="622"/>
      <c r="K97" s="982"/>
      <c r="L97" s="622"/>
      <c r="M97" s="982"/>
      <c r="N97" s="880"/>
      <c r="O97" s="1033"/>
      <c r="P97" s="880"/>
      <c r="Q97" s="1033"/>
      <c r="R97" s="927"/>
      <c r="T97" s="878"/>
    </row>
    <row r="98" spans="1:21" s="224" customFormat="1" ht="15" customHeight="1" x14ac:dyDescent="0.25">
      <c r="A98" s="215">
        <v>44951</v>
      </c>
      <c r="B98" s="1275" t="s">
        <v>32</v>
      </c>
      <c r="C98" s="1276" t="s">
        <v>12</v>
      </c>
      <c r="D98" s="1276" t="s">
        <v>1485</v>
      </c>
      <c r="E98" s="1286" t="s">
        <v>13</v>
      </c>
      <c r="F98" s="780">
        <v>20</v>
      </c>
      <c r="G98" s="982"/>
      <c r="H98" s="622"/>
      <c r="I98" s="982"/>
      <c r="J98" s="622"/>
      <c r="K98" s="982"/>
      <c r="L98" s="622"/>
      <c r="M98" s="982"/>
      <c r="N98" s="622"/>
      <c r="O98" s="982"/>
      <c r="P98" s="622"/>
      <c r="Q98" s="982"/>
      <c r="R98" s="927"/>
      <c r="S98" s="927"/>
      <c r="T98" s="878"/>
    </row>
    <row r="99" spans="1:21" s="224" customFormat="1" ht="15" customHeight="1" x14ac:dyDescent="0.25">
      <c r="A99" s="215">
        <v>44952</v>
      </c>
      <c r="B99" s="1275" t="s">
        <v>32</v>
      </c>
      <c r="C99" s="1276" t="s">
        <v>12</v>
      </c>
      <c r="D99" s="1276" t="s">
        <v>1485</v>
      </c>
      <c r="E99" s="1286" t="s">
        <v>13</v>
      </c>
      <c r="F99" s="780">
        <v>20</v>
      </c>
      <c r="G99" s="982"/>
      <c r="H99" s="622"/>
      <c r="I99" s="982"/>
      <c r="J99" s="622"/>
      <c r="K99" s="982"/>
      <c r="L99" s="622"/>
      <c r="M99" s="982"/>
      <c r="N99" s="622"/>
      <c r="O99" s="982"/>
      <c r="P99" s="622"/>
      <c r="Q99" s="982"/>
      <c r="R99" s="927"/>
      <c r="S99" s="927"/>
      <c r="T99" s="878"/>
    </row>
    <row r="100" spans="1:21" s="224" customFormat="1" ht="15" customHeight="1" x14ac:dyDescent="0.25">
      <c r="A100" s="215">
        <v>44952</v>
      </c>
      <c r="B100" s="364" t="s">
        <v>3618</v>
      </c>
      <c r="C100" s="350" t="s">
        <v>12</v>
      </c>
      <c r="D100" s="350" t="s">
        <v>1524</v>
      </c>
      <c r="E100" s="875" t="s">
        <v>13</v>
      </c>
      <c r="F100" s="780">
        <v>42.9</v>
      </c>
      <c r="G100" s="982"/>
      <c r="H100" s="622"/>
      <c r="I100" s="982"/>
      <c r="J100" s="622"/>
      <c r="K100" s="982"/>
      <c r="L100" s="622"/>
      <c r="M100" s="982"/>
      <c r="N100" s="622"/>
      <c r="O100" s="982"/>
      <c r="P100" s="622"/>
      <c r="Q100" s="982"/>
      <c r="R100" s="927"/>
      <c r="S100" s="927"/>
      <c r="T100" s="878"/>
    </row>
    <row r="101" spans="1:21" s="224" customFormat="1" ht="15" customHeight="1" x14ac:dyDescent="0.25">
      <c r="A101" s="215">
        <v>44952</v>
      </c>
      <c r="B101" s="1275" t="s">
        <v>14</v>
      </c>
      <c r="C101" s="1276" t="s">
        <v>12</v>
      </c>
      <c r="D101" s="1276" t="s">
        <v>1486</v>
      </c>
      <c r="E101" s="1286" t="s">
        <v>13</v>
      </c>
      <c r="F101" s="780">
        <v>5.73</v>
      </c>
      <c r="G101" s="946"/>
      <c r="H101" s="95"/>
      <c r="I101" s="1064"/>
      <c r="J101" s="622"/>
      <c r="K101" s="982"/>
      <c r="L101" s="622"/>
      <c r="M101" s="982"/>
      <c r="N101" s="1110"/>
      <c r="O101" s="1208"/>
      <c r="P101" s="1110"/>
      <c r="Q101" s="1208"/>
      <c r="R101" s="1028"/>
      <c r="U101" s="958"/>
    </row>
    <row r="102" spans="1:21" s="224" customFormat="1" ht="15" customHeight="1" x14ac:dyDescent="0.25">
      <c r="A102" s="215">
        <v>44953</v>
      </c>
      <c r="B102" s="1275" t="s">
        <v>32</v>
      </c>
      <c r="C102" s="1276" t="s">
        <v>12</v>
      </c>
      <c r="D102" s="1276" t="s">
        <v>1485</v>
      </c>
      <c r="E102" s="1286" t="s">
        <v>13</v>
      </c>
      <c r="F102" s="780">
        <v>20</v>
      </c>
      <c r="G102" s="946"/>
      <c r="H102" s="95"/>
      <c r="I102" s="1064"/>
      <c r="J102" s="622"/>
      <c r="K102" s="982"/>
      <c r="L102" s="622"/>
      <c r="M102" s="982"/>
      <c r="N102" s="622"/>
      <c r="O102" s="982"/>
      <c r="P102" s="622"/>
      <c r="Q102" s="982"/>
      <c r="R102" s="1028"/>
      <c r="U102" s="958"/>
    </row>
    <row r="103" spans="1:21" s="224" customFormat="1" ht="15" customHeight="1" x14ac:dyDescent="0.25">
      <c r="A103" s="215">
        <v>44953</v>
      </c>
      <c r="B103" s="882" t="s">
        <v>82</v>
      </c>
      <c r="C103" s="879" t="s">
        <v>12</v>
      </c>
      <c r="D103" s="879" t="s">
        <v>1493</v>
      </c>
      <c r="E103" s="871" t="s">
        <v>13</v>
      </c>
      <c r="F103" s="780">
        <v>3.89</v>
      </c>
      <c r="G103" s="946"/>
      <c r="H103" s="95"/>
      <c r="I103" s="1064"/>
      <c r="J103" s="622"/>
      <c r="K103" s="982"/>
      <c r="L103" s="622"/>
      <c r="M103" s="982"/>
      <c r="N103" s="1116"/>
      <c r="O103" s="1215"/>
      <c r="P103" s="1116"/>
      <c r="Q103" s="1215"/>
      <c r="R103" s="1028"/>
      <c r="U103" s="958"/>
    </row>
    <row r="104" spans="1:21" s="224" customFormat="1" ht="15" customHeight="1" x14ac:dyDescent="0.25">
      <c r="A104" s="215">
        <v>44953</v>
      </c>
      <c r="B104" s="882" t="s">
        <v>2629</v>
      </c>
      <c r="C104" s="879" t="s">
        <v>12</v>
      </c>
      <c r="D104" s="879" t="s">
        <v>1489</v>
      </c>
      <c r="E104" s="871" t="s">
        <v>13</v>
      </c>
      <c r="F104" s="780">
        <v>22.38</v>
      </c>
      <c r="G104" s="946"/>
      <c r="H104" s="95"/>
      <c r="I104" s="1064"/>
      <c r="J104" s="622"/>
      <c r="K104" s="982"/>
      <c r="L104" s="622"/>
      <c r="M104" s="982"/>
      <c r="N104" s="1110"/>
      <c r="O104" s="1208"/>
      <c r="P104" s="1110"/>
      <c r="Q104" s="1208"/>
      <c r="R104" s="1028"/>
      <c r="U104" s="958"/>
    </row>
    <row r="105" spans="1:21" s="224" customFormat="1" ht="15" customHeight="1" x14ac:dyDescent="0.25">
      <c r="A105" s="215">
        <v>44954</v>
      </c>
      <c r="B105" s="1275" t="s">
        <v>14</v>
      </c>
      <c r="C105" s="1276" t="s">
        <v>12</v>
      </c>
      <c r="D105" s="1276" t="s">
        <v>1486</v>
      </c>
      <c r="E105" s="1286" t="s">
        <v>13</v>
      </c>
      <c r="F105" s="780">
        <v>7.38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982"/>
      <c r="R105" s="1028"/>
      <c r="U105" s="958"/>
    </row>
    <row r="106" spans="1:21" s="224" customFormat="1" ht="15" customHeight="1" x14ac:dyDescent="0.25">
      <c r="A106" s="215">
        <v>44954</v>
      </c>
      <c r="B106" s="882" t="s">
        <v>3619</v>
      </c>
      <c r="C106" s="879" t="s">
        <v>12</v>
      </c>
      <c r="D106" s="879" t="s">
        <v>1489</v>
      </c>
      <c r="E106" s="871" t="s">
        <v>13</v>
      </c>
      <c r="F106" s="780">
        <v>5.6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982"/>
      <c r="R106" s="1028"/>
      <c r="S106" s="959"/>
      <c r="T106" s="878"/>
      <c r="U106" s="958"/>
    </row>
    <row r="107" spans="1:21" s="224" customFormat="1" ht="15" customHeight="1" x14ac:dyDescent="0.25">
      <c r="A107" s="215">
        <v>44954</v>
      </c>
      <c r="B107" s="882" t="s">
        <v>3620</v>
      </c>
      <c r="C107" s="879" t="s">
        <v>12</v>
      </c>
      <c r="D107" s="879" t="s">
        <v>1525</v>
      </c>
      <c r="E107" s="871" t="s">
        <v>13</v>
      </c>
      <c r="F107" s="780">
        <v>8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982"/>
      <c r="R107" s="1028"/>
      <c r="S107" s="959"/>
      <c r="T107" s="878"/>
      <c r="U107" s="958"/>
    </row>
    <row r="108" spans="1:21" s="224" customFormat="1" ht="15" customHeight="1" x14ac:dyDescent="0.25">
      <c r="A108" s="215">
        <v>44954</v>
      </c>
      <c r="B108" s="882" t="s">
        <v>82</v>
      </c>
      <c r="C108" s="879" t="s">
        <v>12</v>
      </c>
      <c r="D108" s="879" t="s">
        <v>1493</v>
      </c>
      <c r="E108" s="871" t="s">
        <v>13</v>
      </c>
      <c r="F108" s="780">
        <v>50.39</v>
      </c>
      <c r="G108" s="946"/>
      <c r="H108" s="95"/>
      <c r="I108" s="1064"/>
      <c r="J108" s="622"/>
      <c r="K108" s="982"/>
      <c r="L108" s="622"/>
      <c r="M108" s="982"/>
      <c r="N108" s="1110"/>
      <c r="O108" s="1208"/>
      <c r="P108" s="1110"/>
      <c r="Q108" s="1208"/>
      <c r="R108" s="1028"/>
      <c r="U108" s="958"/>
    </row>
    <row r="109" spans="1:21" s="1274" customFormat="1" ht="15" customHeight="1" x14ac:dyDescent="0.25">
      <c r="A109" s="215">
        <v>44955</v>
      </c>
      <c r="B109" s="1289" t="s">
        <v>2096</v>
      </c>
      <c r="C109" s="1276" t="s">
        <v>12</v>
      </c>
      <c r="D109" s="1276" t="s">
        <v>1506</v>
      </c>
      <c r="E109" s="1277" t="s">
        <v>15</v>
      </c>
      <c r="F109" s="1279">
        <v>50</v>
      </c>
      <c r="G109" s="1278"/>
      <c r="H109" s="1282"/>
      <c r="I109" s="1283"/>
      <c r="J109" s="1279"/>
      <c r="K109" s="1278"/>
      <c r="L109" s="1279"/>
      <c r="M109" s="1278"/>
      <c r="N109" s="1279"/>
      <c r="O109" s="1278"/>
      <c r="P109" s="1279"/>
      <c r="Q109" s="1278"/>
      <c r="R109" s="1281"/>
      <c r="T109" s="1281"/>
      <c r="U109" s="1294"/>
    </row>
    <row r="110" spans="1:21" s="224" customFormat="1" ht="15" customHeight="1" x14ac:dyDescent="0.25">
      <c r="A110" s="215">
        <v>44955</v>
      </c>
      <c r="B110" s="364" t="s">
        <v>443</v>
      </c>
      <c r="C110" s="350" t="s">
        <v>12</v>
      </c>
      <c r="D110" s="350" t="s">
        <v>1493</v>
      </c>
      <c r="E110" s="875" t="s">
        <v>13</v>
      </c>
      <c r="F110" s="780">
        <v>9.9</v>
      </c>
      <c r="G110" s="982"/>
      <c r="H110" s="1008"/>
      <c r="I110" s="1063"/>
      <c r="J110" s="622"/>
      <c r="K110" s="982"/>
      <c r="L110" s="622"/>
      <c r="M110" s="982"/>
      <c r="N110" s="622"/>
      <c r="O110" s="982"/>
      <c r="P110" s="622"/>
      <c r="Q110" s="982"/>
      <c r="R110" s="861"/>
      <c r="T110" s="1035"/>
    </row>
    <row r="111" spans="1:21" s="224" customFormat="1" ht="15" customHeight="1" x14ac:dyDescent="0.25">
      <c r="A111" s="215">
        <v>44956</v>
      </c>
      <c r="B111" s="882" t="s">
        <v>390</v>
      </c>
      <c r="C111" s="879" t="s">
        <v>12</v>
      </c>
      <c r="D111" s="879"/>
      <c r="E111" s="871" t="s">
        <v>25</v>
      </c>
      <c r="F111" s="780"/>
      <c r="G111" s="982">
        <v>300</v>
      </c>
      <c r="H111" s="622">
        <v>300</v>
      </c>
      <c r="I111" s="982"/>
      <c r="J111" s="622"/>
      <c r="K111" s="982"/>
      <c r="L111" s="622"/>
      <c r="M111" s="982"/>
      <c r="N111" s="622"/>
      <c r="O111" s="982"/>
      <c r="P111" s="622"/>
      <c r="Q111" s="982"/>
      <c r="R111" s="1080"/>
      <c r="S111" s="927"/>
      <c r="T111" s="878"/>
    </row>
    <row r="112" spans="1:21" s="224" customFormat="1" ht="15" customHeight="1" x14ac:dyDescent="0.25">
      <c r="A112" s="215">
        <v>44956</v>
      </c>
      <c r="B112" s="1275" t="s">
        <v>32</v>
      </c>
      <c r="C112" s="1276" t="s">
        <v>12</v>
      </c>
      <c r="D112" s="1276" t="s">
        <v>1485</v>
      </c>
      <c r="E112" s="1286" t="s">
        <v>13</v>
      </c>
      <c r="F112" s="780">
        <v>20</v>
      </c>
      <c r="G112" s="946"/>
      <c r="H112" s="95"/>
      <c r="I112" s="1064"/>
      <c r="J112" s="622"/>
      <c r="K112" s="982"/>
      <c r="L112" s="622"/>
      <c r="M112" s="982"/>
      <c r="N112" s="622"/>
      <c r="O112" s="982"/>
      <c r="P112" s="622"/>
      <c r="Q112" s="982"/>
      <c r="R112" s="861"/>
      <c r="T112" s="927"/>
      <c r="U112" s="999"/>
    </row>
    <row r="113" spans="1:26" s="224" customFormat="1" ht="15" customHeight="1" x14ac:dyDescent="0.25">
      <c r="A113" s="215">
        <v>44956</v>
      </c>
      <c r="B113" s="1275" t="s">
        <v>3621</v>
      </c>
      <c r="C113" s="1276" t="s">
        <v>12</v>
      </c>
      <c r="D113" s="1276" t="s">
        <v>1524</v>
      </c>
      <c r="E113" s="1286" t="s">
        <v>13</v>
      </c>
      <c r="F113" s="780">
        <v>6.9</v>
      </c>
      <c r="G113" s="946"/>
      <c r="H113" s="95"/>
      <c r="I113" s="1064"/>
      <c r="J113" s="622"/>
      <c r="K113" s="982"/>
      <c r="L113" s="622"/>
      <c r="M113" s="982"/>
      <c r="N113" s="622"/>
      <c r="O113" s="982"/>
      <c r="P113" s="622"/>
      <c r="Q113" s="982"/>
      <c r="R113" s="861"/>
      <c r="T113" s="927"/>
      <c r="U113" s="999"/>
    </row>
    <row r="114" spans="1:26" s="224" customFormat="1" ht="15" customHeight="1" x14ac:dyDescent="0.25">
      <c r="A114" s="215">
        <v>44956</v>
      </c>
      <c r="B114" s="882" t="s">
        <v>478</v>
      </c>
      <c r="C114" s="879" t="s">
        <v>12</v>
      </c>
      <c r="D114" s="879" t="s">
        <v>1496</v>
      </c>
      <c r="E114" s="871" t="s">
        <v>13</v>
      </c>
      <c r="F114" s="780">
        <v>11.59</v>
      </c>
      <c r="G114" s="946"/>
      <c r="H114" s="95"/>
      <c r="I114" s="1064"/>
      <c r="J114" s="622"/>
      <c r="K114" s="982"/>
      <c r="L114" s="622"/>
      <c r="M114" s="982"/>
      <c r="N114" s="622"/>
      <c r="O114" s="982"/>
      <c r="P114" s="622"/>
      <c r="Q114" s="982"/>
      <c r="R114" s="861"/>
      <c r="T114" s="927"/>
      <c r="U114" s="999"/>
    </row>
    <row r="115" spans="1:26" s="224" customFormat="1" ht="15" customHeight="1" x14ac:dyDescent="0.25">
      <c r="A115" s="215">
        <v>44957</v>
      </c>
      <c r="B115" s="1275" t="s">
        <v>32</v>
      </c>
      <c r="C115" s="1276" t="s">
        <v>12</v>
      </c>
      <c r="D115" s="1276" t="s">
        <v>1485</v>
      </c>
      <c r="E115" s="1286" t="s">
        <v>13</v>
      </c>
      <c r="F115" s="780">
        <v>20</v>
      </c>
      <c r="G115" s="982"/>
      <c r="H115" s="1008"/>
      <c r="I115" s="1063"/>
      <c r="J115" s="622"/>
      <c r="K115" s="982"/>
      <c r="L115" s="622"/>
      <c r="M115" s="982"/>
      <c r="N115" s="880"/>
      <c r="O115" s="1033"/>
      <c r="P115" s="880"/>
      <c r="Q115" s="1033"/>
      <c r="R115" s="861"/>
      <c r="T115" s="1080"/>
      <c r="U115" s="999"/>
    </row>
    <row r="116" spans="1:26" s="224" customFormat="1" ht="15" customHeight="1" x14ac:dyDescent="0.25">
      <c r="A116" s="215">
        <v>44957</v>
      </c>
      <c r="B116" s="364" t="s">
        <v>3610</v>
      </c>
      <c r="C116" s="350" t="s">
        <v>12</v>
      </c>
      <c r="D116" s="350" t="s">
        <v>1524</v>
      </c>
      <c r="E116" s="875" t="s">
        <v>13</v>
      </c>
      <c r="F116" s="780">
        <v>6</v>
      </c>
      <c r="G116" s="982"/>
      <c r="H116" s="622"/>
      <c r="I116" s="982"/>
      <c r="J116" s="622"/>
      <c r="K116" s="982"/>
      <c r="L116" s="622"/>
      <c r="M116" s="982"/>
      <c r="N116" s="622"/>
      <c r="O116" s="982"/>
      <c r="P116" s="622"/>
      <c r="Q116" s="982"/>
      <c r="R116" s="927"/>
      <c r="S116" s="927"/>
      <c r="T116" s="878"/>
    </row>
    <row r="117" spans="1:26" s="224" customFormat="1" x14ac:dyDescent="0.25">
      <c r="A117" s="215">
        <v>44957</v>
      </c>
      <c r="B117" s="1275" t="s">
        <v>14</v>
      </c>
      <c r="C117" s="1276" t="s">
        <v>12</v>
      </c>
      <c r="D117" s="1276" t="s">
        <v>1486</v>
      </c>
      <c r="E117" s="1286" t="s">
        <v>13</v>
      </c>
      <c r="F117" s="1047">
        <v>8.98</v>
      </c>
      <c r="G117" s="982"/>
      <c r="H117" s="1008"/>
      <c r="I117" s="1063"/>
      <c r="J117" s="622"/>
      <c r="K117" s="982"/>
      <c r="L117" s="622"/>
      <c r="M117" s="982"/>
      <c r="N117" s="622"/>
      <c r="O117" s="982"/>
      <c r="P117" s="622"/>
      <c r="Q117" s="982"/>
      <c r="R117" s="1029"/>
      <c r="S117" s="89"/>
      <c r="T117" s="930"/>
    </row>
    <row r="118" spans="1:26" s="224" customFormat="1" ht="15.75" thickBot="1" x14ac:dyDescent="0.3">
      <c r="A118" s="215">
        <v>44957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622"/>
      <c r="K118" s="982">
        <v>84.49</v>
      </c>
      <c r="L118" s="1036"/>
      <c r="M118" s="1535"/>
      <c r="N118" s="622"/>
      <c r="O118" s="982"/>
      <c r="P118" s="622"/>
      <c r="Q118" s="982"/>
      <c r="R118" s="475"/>
      <c r="T118" s="878"/>
    </row>
    <row r="119" spans="1:26" ht="25.5" customHeight="1" thickBot="1" x14ac:dyDescent="0.3">
      <c r="A119" s="3060"/>
      <c r="B119" s="3061"/>
      <c r="C119" s="3062"/>
      <c r="D119" s="3062"/>
      <c r="E119" s="3062"/>
      <c r="F119" s="1023">
        <f>SUM(F6:F118)</f>
        <v>6105.1433333333325</v>
      </c>
      <c r="G119" s="1065">
        <f>SUM(G5:G118)</f>
        <v>6792.2829166666907</v>
      </c>
      <c r="H119" s="517">
        <f>SUM(H6:H118)</f>
        <v>2500</v>
      </c>
      <c r="I119" s="93">
        <f>SUM(I5:I118)</f>
        <v>6499.9959999999992</v>
      </c>
      <c r="J119" s="1023">
        <f>SUM(J6:J118)</f>
        <v>0</v>
      </c>
      <c r="K119" s="93">
        <f>SUM(K5:K118)</f>
        <v>8359.4600000000009</v>
      </c>
      <c r="L119" s="1023">
        <f>SUM(L6:L118)</f>
        <v>0</v>
      </c>
      <c r="M119" s="93">
        <f>SUM(M5:M118)</f>
        <v>17264.560000000001</v>
      </c>
      <c r="N119" s="1211">
        <f>SUM(N6:N118)</f>
        <v>1000</v>
      </c>
      <c r="O119" s="93">
        <f>SUM(O5:O118)</f>
        <v>10956.189999999999</v>
      </c>
      <c r="P119" s="1211">
        <f>SUM(P6:P118)</f>
        <v>0</v>
      </c>
      <c r="Q119" s="93">
        <f>SUM(Q5:Q118)</f>
        <v>38646.975984720011</v>
      </c>
      <c r="S119" s="216"/>
    </row>
    <row r="120" spans="1:26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687.13958333335813</v>
      </c>
      <c r="H120" s="555"/>
      <c r="I120" s="772">
        <f>I119-H119</f>
        <v>3999.9959999999992</v>
      </c>
      <c r="J120" s="593"/>
      <c r="K120" s="772">
        <f>K119-J119</f>
        <v>8359.4600000000009</v>
      </c>
      <c r="L120" s="593"/>
      <c r="M120" s="993">
        <f>M119-L119</f>
        <v>17264.560000000001</v>
      </c>
      <c r="N120" s="593"/>
      <c r="O120" s="556">
        <f>O119-N119</f>
        <v>9956.1899999999987</v>
      </c>
      <c r="P120" s="593"/>
      <c r="Q120" s="556">
        <f>Q119-P119</f>
        <v>38646.975984720011</v>
      </c>
      <c r="R120" s="484">
        <f>Q120+O120+M120+K120</f>
        <v>74227.18598472001</v>
      </c>
    </row>
    <row r="121" spans="1:26" x14ac:dyDescent="0.25">
      <c r="K121" s="1238">
        <f>K120/R120</f>
        <v>0.11261992340273862</v>
      </c>
      <c r="L121" s="1238"/>
      <c r="M121" s="1238">
        <f>M120/R120</f>
        <v>0.23259079232175103</v>
      </c>
      <c r="N121" s="1239"/>
      <c r="O121" s="1239">
        <f>O120/R120</f>
        <v>0.13413131412592583</v>
      </c>
      <c r="P121" s="1239"/>
      <c r="Q121" s="1239">
        <f>Q120/R120</f>
        <v>0.52065797014958459</v>
      </c>
      <c r="R121" s="867"/>
      <c r="S121" s="867"/>
      <c r="T121" s="79"/>
      <c r="W121" s="518"/>
      <c r="X121" s="216"/>
      <c r="Z121" s="877"/>
    </row>
    <row r="122" spans="1:26" x14ac:dyDescent="0.25">
      <c r="B122" s="81" t="s">
        <v>3</v>
      </c>
      <c r="C122" s="193" t="s">
        <v>1484</v>
      </c>
      <c r="D122" s="970" t="s">
        <v>2378</v>
      </c>
      <c r="E122" s="193" t="s">
        <v>3216</v>
      </c>
      <c r="F122" s="1061" t="s">
        <v>3217</v>
      </c>
      <c r="G122" s="216"/>
      <c r="K122" s="866"/>
      <c r="L122" s="867"/>
      <c r="M122" s="866"/>
      <c r="N122" s="1038"/>
      <c r="O122" s="1038"/>
      <c r="P122" s="1038"/>
      <c r="Q122" s="1038"/>
      <c r="R122" s="865"/>
      <c r="S122" s="867"/>
    </row>
    <row r="123" spans="1:26" x14ac:dyDescent="0.25">
      <c r="B123" s="79" t="s">
        <v>32</v>
      </c>
      <c r="C123" s="85" t="s">
        <v>1485</v>
      </c>
      <c r="D123" s="475">
        <f>SUMIF($D$8:$D$118,"A",$F$8:$F$118)</f>
        <v>328.9</v>
      </c>
      <c r="E123" s="1202">
        <f t="shared" ref="E123:E140" si="0">D123/$K$142</f>
        <v>10.609677419354838</v>
      </c>
      <c r="F123" s="1203">
        <f t="shared" ref="F123:F140" si="1">E123/$E$143</f>
        <v>7.5411738000958406E-2</v>
      </c>
      <c r="G123" s="800"/>
      <c r="I123" s="769"/>
      <c r="J123" s="868"/>
      <c r="L123" s="868"/>
      <c r="N123" s="1210"/>
      <c r="O123" s="1038"/>
      <c r="P123" s="1210"/>
      <c r="Q123" s="1038"/>
      <c r="R123" s="1224"/>
      <c r="S123" s="1201"/>
      <c r="T123" s="1201"/>
      <c r="U123" s="1201"/>
      <c r="V123" s="877"/>
    </row>
    <row r="124" spans="1:26" x14ac:dyDescent="0.25">
      <c r="B124" s="79" t="s">
        <v>2187</v>
      </c>
      <c r="C124" s="85" t="s">
        <v>2157</v>
      </c>
      <c r="D124" s="475">
        <f>SUMIF($D$8:$D$118,"GAC",$F$8:$F$118)</f>
        <v>590</v>
      </c>
      <c r="E124" s="1202">
        <f t="shared" si="0"/>
        <v>19.032258064516128</v>
      </c>
      <c r="F124" s="1203">
        <f>E124/$E$143</f>
        <v>0.13527797330667515</v>
      </c>
      <c r="G124" s="609"/>
      <c r="J124" s="754"/>
      <c r="K124" s="754"/>
      <c r="L124" s="886"/>
      <c r="M124" s="1210"/>
      <c r="N124" s="1038"/>
      <c r="O124" s="1210"/>
      <c r="Q124" s="754"/>
      <c r="R124" s="886"/>
      <c r="S124" s="1210"/>
      <c r="T124" s="1038"/>
      <c r="U124" s="1210"/>
      <c r="V124" s="877"/>
    </row>
    <row r="125" spans="1:26" x14ac:dyDescent="0.25">
      <c r="B125" s="79" t="s">
        <v>2188</v>
      </c>
      <c r="C125" s="85" t="s">
        <v>2168</v>
      </c>
      <c r="D125" s="475">
        <f>SUMIF($D$22:$D$118,"GAM",$F$22:$F$118)</f>
        <v>0</v>
      </c>
      <c r="E125" s="1202">
        <f t="shared" si="0"/>
        <v>0</v>
      </c>
      <c r="F125" s="1203">
        <f>E125/$E$143</f>
        <v>0</v>
      </c>
      <c r="J125" s="864"/>
      <c r="K125" s="1225"/>
      <c r="L125" s="1210"/>
      <c r="M125" s="1038"/>
      <c r="N125" s="1210"/>
      <c r="O125" s="1038"/>
      <c r="Q125" s="1225"/>
      <c r="R125" s="1210"/>
      <c r="S125" s="1038"/>
      <c r="T125" s="1210"/>
      <c r="U125" s="1038"/>
      <c r="V125" s="877"/>
    </row>
    <row r="126" spans="1:26" s="85" customFormat="1" x14ac:dyDescent="0.25">
      <c r="A126" s="79"/>
      <c r="B126" s="79" t="s">
        <v>50</v>
      </c>
      <c r="C126" s="85" t="s">
        <v>1493</v>
      </c>
      <c r="D126" s="475">
        <f>SUMIF($D$8:$D$118,"LD",$F$8:$F$118)</f>
        <v>344.96999999999997</v>
      </c>
      <c r="E126" s="1202">
        <f t="shared" si="0"/>
        <v>11.128064516129031</v>
      </c>
      <c r="F126" s="1203">
        <f t="shared" si="1"/>
        <v>7.9096343138311404E-2</v>
      </c>
      <c r="J126" s="864"/>
      <c r="K126" s="1225"/>
      <c r="L126" s="1210"/>
      <c r="M126" s="1038"/>
      <c r="N126" s="1210"/>
      <c r="O126" s="1038"/>
      <c r="Q126" s="1225"/>
      <c r="R126" s="1210"/>
      <c r="S126" s="1038"/>
      <c r="T126" s="1210"/>
      <c r="U126" s="1038"/>
      <c r="V126" s="877"/>
    </row>
    <row r="127" spans="1:26" s="85" customFormat="1" x14ac:dyDescent="0.25">
      <c r="A127" s="79"/>
      <c r="B127" s="79" t="s">
        <v>14</v>
      </c>
      <c r="C127" s="85" t="s">
        <v>1486</v>
      </c>
      <c r="D127" s="475">
        <f>SUMIF($D$8:$D$118,"C",$F$8:$F$118)</f>
        <v>80.28</v>
      </c>
      <c r="E127" s="1202">
        <f t="shared" si="0"/>
        <v>2.5896774193548389</v>
      </c>
      <c r="F127" s="1203">
        <f t="shared" si="1"/>
        <v>1.8406975757728615E-2</v>
      </c>
      <c r="G127" s="79"/>
      <c r="H127" s="79"/>
      <c r="J127" s="1032"/>
      <c r="K127" s="877"/>
      <c r="L127" s="941"/>
      <c r="M127" s="864"/>
      <c r="N127" s="1032"/>
      <c r="O127" s="863"/>
      <c r="Q127" s="877"/>
      <c r="U127" s="177"/>
      <c r="V127" s="877"/>
    </row>
    <row r="128" spans="1:26" s="85" customFormat="1" x14ac:dyDescent="0.25">
      <c r="A128" s="79"/>
      <c r="B128" s="79" t="s">
        <v>51</v>
      </c>
      <c r="C128" s="864" t="s">
        <v>1499</v>
      </c>
      <c r="D128" s="475">
        <f>SUMIF($D$23:$D$118,"CAL",$F$23:$F$118)</f>
        <v>130.63999999999999</v>
      </c>
      <c r="E128" s="1202">
        <f t="shared" si="0"/>
        <v>4.2141935483870965</v>
      </c>
      <c r="F128" s="1203">
        <f t="shared" si="1"/>
        <v>2.9953753275905156E-2</v>
      </c>
      <c r="G128" s="79"/>
      <c r="H128" s="79"/>
      <c r="I128" s="79"/>
      <c r="J128" s="796"/>
      <c r="K128" s="877"/>
      <c r="L128" s="1210"/>
      <c r="M128" s="1038"/>
      <c r="N128" s="1210"/>
      <c r="O128" s="1038"/>
      <c r="Q128" s="877"/>
      <c r="U128" s="177"/>
      <c r="V128" s="877"/>
    </row>
    <row r="129" spans="1:24" s="85" customFormat="1" x14ac:dyDescent="0.25">
      <c r="A129" s="79"/>
      <c r="B129" s="79" t="s">
        <v>2189</v>
      </c>
      <c r="C129" s="864" t="s">
        <v>1496</v>
      </c>
      <c r="D129" s="475">
        <f>SUMIF($D$8:$D$118,"AC",$F$8:$F$118)</f>
        <v>115.29</v>
      </c>
      <c r="E129" s="1202">
        <f t="shared" si="0"/>
        <v>3.7190322580645163</v>
      </c>
      <c r="F129" s="1203">
        <f t="shared" si="1"/>
        <v>2.6434233122926407E-2</v>
      </c>
      <c r="G129" s="79"/>
      <c r="J129" s="475"/>
      <c r="K129" s="877"/>
      <c r="L129" s="1210"/>
      <c r="M129" s="1038"/>
      <c r="N129" s="1210"/>
      <c r="O129" s="1038"/>
      <c r="Q129" s="877"/>
      <c r="R129" s="1210"/>
      <c r="S129" s="1038"/>
      <c r="T129" s="1210"/>
      <c r="U129" s="1038"/>
      <c r="V129" s="877"/>
    </row>
    <row r="130" spans="1:24" s="85" customFormat="1" x14ac:dyDescent="0.25">
      <c r="A130" s="79"/>
      <c r="B130" s="867" t="s">
        <v>53</v>
      </c>
      <c r="C130" s="864" t="s">
        <v>1522</v>
      </c>
      <c r="D130" s="475">
        <f>SUMIF($D$8:$D$118,"DC",$F$8:$F$118)</f>
        <v>1045.01</v>
      </c>
      <c r="E130" s="1202">
        <f t="shared" si="0"/>
        <v>33.71</v>
      </c>
      <c r="F130" s="1203">
        <f t="shared" si="1"/>
        <v>0.2396048048901841</v>
      </c>
      <c r="J130" s="1235"/>
      <c r="K130" s="877"/>
      <c r="L130" s="1210"/>
      <c r="M130" s="1038"/>
      <c r="N130" s="1210"/>
      <c r="O130" s="177"/>
      <c r="Q130" s="79"/>
      <c r="R130" s="1210"/>
      <c r="S130" s="1038"/>
      <c r="T130" s="1210"/>
      <c r="V130" s="877"/>
    </row>
    <row r="131" spans="1:24" s="85" customFormat="1" x14ac:dyDescent="0.25">
      <c r="A131" s="79"/>
      <c r="B131" s="867" t="s">
        <v>2149</v>
      </c>
      <c r="C131" s="864" t="s">
        <v>2131</v>
      </c>
      <c r="D131" s="475">
        <f>SUMIF($D$6:$D$118,"DM",$F$6:$F$118)</f>
        <v>0</v>
      </c>
      <c r="E131" s="1202">
        <f t="shared" si="0"/>
        <v>0</v>
      </c>
      <c r="F131" s="1203">
        <f t="shared" si="1"/>
        <v>0</v>
      </c>
      <c r="K131" s="877"/>
      <c r="O131" s="177"/>
      <c r="V131" s="877"/>
    </row>
    <row r="132" spans="1:24" s="85" customFormat="1" x14ac:dyDescent="0.25">
      <c r="A132" s="79"/>
      <c r="B132" s="79" t="s">
        <v>3048</v>
      </c>
      <c r="C132" s="864" t="s">
        <v>1523</v>
      </c>
      <c r="D132" s="475">
        <f ca="1">SUMIF($D$8:$D$119,"B",$F$8:$F$118)</f>
        <v>696</v>
      </c>
      <c r="E132" s="1202">
        <f t="shared" ca="1" si="0"/>
        <v>22.451612903225808</v>
      </c>
      <c r="F132" s="1203">
        <f t="shared" ca="1" si="1"/>
        <v>0.15958215156177274</v>
      </c>
      <c r="G132" s="866"/>
      <c r="K132" s="877"/>
      <c r="O132" s="177"/>
      <c r="V132" s="877"/>
    </row>
    <row r="133" spans="1:24" s="85" customFormat="1" x14ac:dyDescent="0.25">
      <c r="A133" s="79"/>
      <c r="B133" s="79" t="s">
        <v>1686</v>
      </c>
      <c r="C133" s="864" t="s">
        <v>1506</v>
      </c>
      <c r="D133" s="475">
        <f>SUMIF($D$8:$D$118,"R",$F$8:$F$118)</f>
        <v>420</v>
      </c>
      <c r="E133" s="1202">
        <f t="shared" si="0"/>
        <v>13.548387096774194</v>
      </c>
      <c r="F133" s="1203">
        <f t="shared" si="1"/>
        <v>9.6299574218311146E-2</v>
      </c>
      <c r="G133" s="868"/>
      <c r="K133" s="877"/>
      <c r="L133" s="1210"/>
      <c r="M133" s="1038"/>
      <c r="N133" s="1210"/>
      <c r="O133" s="177"/>
      <c r="V133" s="877"/>
    </row>
    <row r="134" spans="1:24" x14ac:dyDescent="0.25">
      <c r="B134" s="79" t="s">
        <v>418</v>
      </c>
      <c r="C134" s="85" t="s">
        <v>1524</v>
      </c>
      <c r="D134" s="475">
        <f>SUMIF($D$22:$D$118,"COM",$F$22:$F$118)</f>
        <v>279.46999999999997</v>
      </c>
      <c r="E134" s="1202">
        <f>D134/$K$142</f>
        <v>9.0151612903225793</v>
      </c>
      <c r="F134" s="1203">
        <f>E134/$E$143</f>
        <v>6.4078195254265266E-2</v>
      </c>
      <c r="G134" s="85"/>
      <c r="H134" s="85"/>
      <c r="I134" s="85"/>
      <c r="J134" s="769"/>
      <c r="K134" s="769"/>
      <c r="L134" s="216"/>
      <c r="M134" s="1210"/>
      <c r="N134" s="1038"/>
      <c r="O134" s="1210"/>
      <c r="Q134" s="1038"/>
      <c r="R134" s="1226"/>
      <c r="S134" s="1129"/>
      <c r="T134" s="1129"/>
      <c r="U134" s="877"/>
      <c r="V134" s="877"/>
    </row>
    <row r="135" spans="1:24" x14ac:dyDescent="0.25">
      <c r="B135" s="79" t="s">
        <v>419</v>
      </c>
      <c r="C135" s="85" t="s">
        <v>1491</v>
      </c>
      <c r="D135" s="475">
        <f>SUMIF($D$8:$D$118,"F",$F$8:$F$118)</f>
        <v>849.9</v>
      </c>
      <c r="E135" s="1202">
        <f>D135/$K$142</f>
        <v>27.416129032258063</v>
      </c>
      <c r="F135" s="1203">
        <f>E135/$E$143</f>
        <v>0.19486906697176817</v>
      </c>
      <c r="I135" s="85"/>
      <c r="K135" s="216"/>
      <c r="M135" s="216"/>
      <c r="N135" s="1210"/>
      <c r="P135" s="85"/>
      <c r="Q135" s="85"/>
      <c r="R135" s="866"/>
      <c r="S135" s="1210"/>
      <c r="T135" s="1038"/>
      <c r="V135" s="877"/>
    </row>
    <row r="136" spans="1:24" x14ac:dyDescent="0.25">
      <c r="B136" s="79" t="s">
        <v>911</v>
      </c>
      <c r="C136" s="85" t="s">
        <v>1525</v>
      </c>
      <c r="D136" s="475">
        <f>SUMIF($D$22:$D$118,"FER",$F$22:$F$118)</f>
        <v>8</v>
      </c>
      <c r="E136" s="1202">
        <f>D136/$K$142</f>
        <v>0.25806451612903225</v>
      </c>
      <c r="F136" s="1203">
        <f t="shared" si="1"/>
        <v>1.8342776041583074E-3</v>
      </c>
      <c r="J136" s="769"/>
      <c r="K136" s="868"/>
      <c r="L136" s="769"/>
      <c r="M136" s="868"/>
      <c r="N136" s="1210"/>
      <c r="O136" s="1038"/>
      <c r="P136" s="1210"/>
      <c r="Q136" s="1038"/>
      <c r="R136" s="1226"/>
      <c r="S136" s="1129"/>
      <c r="T136" s="1129"/>
      <c r="U136" s="877"/>
      <c r="V136" s="877"/>
    </row>
    <row r="137" spans="1:24" x14ac:dyDescent="0.25">
      <c r="B137" s="79" t="s">
        <v>1526</v>
      </c>
      <c r="C137" s="85" t="s">
        <v>1504</v>
      </c>
      <c r="D137" s="475">
        <f>SUMIF($D$22:$D$118,"I",$F$22:$F$118)</f>
        <v>132.49</v>
      </c>
      <c r="E137" s="1202">
        <f t="shared" si="0"/>
        <v>4.273870967741936</v>
      </c>
      <c r="F137" s="1203">
        <f t="shared" si="1"/>
        <v>3.0377929971866773E-2</v>
      </c>
      <c r="J137" s="769"/>
      <c r="K137" s="868"/>
      <c r="L137" s="1672"/>
      <c r="O137" s="1673"/>
      <c r="S137" s="1129"/>
      <c r="T137" s="1129"/>
      <c r="U137" s="1673"/>
      <c r="V137" s="877"/>
    </row>
    <row r="138" spans="1:24" x14ac:dyDescent="0.25">
      <c r="B138" s="79" t="s">
        <v>2343</v>
      </c>
      <c r="C138" s="85" t="s">
        <v>2315</v>
      </c>
      <c r="D138" s="475">
        <f>SUMIF($D$22:$D$118,"E",$F$22:$F$118)</f>
        <v>0</v>
      </c>
      <c r="E138" s="1202">
        <f t="shared" si="0"/>
        <v>0</v>
      </c>
      <c r="F138" s="1203">
        <f t="shared" si="1"/>
        <v>0</v>
      </c>
      <c r="J138" s="769"/>
      <c r="K138" s="868"/>
      <c r="L138" s="1672"/>
      <c r="S138" s="1129"/>
      <c r="T138" s="1129"/>
      <c r="U138" s="877"/>
      <c r="V138" s="877"/>
    </row>
    <row r="139" spans="1:24" x14ac:dyDescent="0.25">
      <c r="B139" s="79" t="s">
        <v>3019</v>
      </c>
      <c r="C139" s="85" t="s">
        <v>3017</v>
      </c>
      <c r="D139" s="475">
        <f>SUMIF($D$6:$D$118,"IM",$F$6:$F$118)</f>
        <v>660.88</v>
      </c>
      <c r="E139" s="1202">
        <f t="shared" si="0"/>
        <v>21.318709677419356</v>
      </c>
      <c r="F139" s="1203">
        <f t="shared" si="1"/>
        <v>0.15152967287951777</v>
      </c>
      <c r="J139" s="769"/>
      <c r="L139" s="1672"/>
      <c r="S139" s="1129"/>
      <c r="T139" s="1129"/>
      <c r="U139" s="877"/>
      <c r="V139" s="877"/>
    </row>
    <row r="140" spans="1:24" x14ac:dyDescent="0.25">
      <c r="B140" s="79" t="s">
        <v>1527</v>
      </c>
      <c r="C140" s="85" t="s">
        <v>1489</v>
      </c>
      <c r="D140" s="475">
        <f>SUMIF($D$8:$D$118,"OD",$F$8:$F$118)</f>
        <v>423.31333333333333</v>
      </c>
      <c r="E140" s="1202">
        <f t="shared" si="0"/>
        <v>13.6552688172043</v>
      </c>
      <c r="F140" s="1203">
        <f t="shared" si="1"/>
        <v>9.7059270859366692E-2</v>
      </c>
      <c r="L140" s="877"/>
      <c r="S140" s="1129"/>
      <c r="T140" s="1129"/>
      <c r="U140" s="877"/>
      <c r="V140" s="877"/>
    </row>
    <row r="141" spans="1:24" x14ac:dyDescent="0.25">
      <c r="C141" s="79"/>
      <c r="D141" s="629"/>
      <c r="E141" s="79"/>
      <c r="F141" s="79"/>
      <c r="L141" s="877"/>
      <c r="S141" s="1129"/>
      <c r="T141" s="1129"/>
      <c r="U141" s="877"/>
      <c r="V141" s="877"/>
    </row>
    <row r="142" spans="1:24" x14ac:dyDescent="0.25">
      <c r="C142" s="3168" t="s">
        <v>486</v>
      </c>
      <c r="D142" s="3168"/>
      <c r="E142" s="863">
        <f ca="1">I142/K142</f>
        <v>196.94010752688172</v>
      </c>
      <c r="G142" s="518" t="s">
        <v>487</v>
      </c>
      <c r="I142" s="629">
        <f ca="1">SUM(D123:D140)</f>
        <v>6105.1433333333334</v>
      </c>
      <c r="J142" s="216"/>
      <c r="K142" s="1517">
        <v>31</v>
      </c>
      <c r="L142"/>
      <c r="S142" s="1129"/>
      <c r="T142" s="1129"/>
      <c r="U142" s="877"/>
      <c r="V142" s="877"/>
    </row>
    <row r="143" spans="1:24" ht="15.75" customHeight="1" x14ac:dyDescent="0.25">
      <c r="B143" s="3167" t="s">
        <v>3377</v>
      </c>
      <c r="C143" s="3167"/>
      <c r="D143" s="3167"/>
      <c r="E143" s="1125">
        <v>140.69</v>
      </c>
      <c r="H143" s="85"/>
      <c r="K143" s="868"/>
      <c r="M143" s="868"/>
      <c r="N143" s="1210"/>
      <c r="O143" s="1038"/>
      <c r="P143" s="1210"/>
      <c r="Q143" s="1038"/>
      <c r="R143" s="1226"/>
      <c r="S143" s="1129"/>
      <c r="T143" s="1129"/>
      <c r="U143" s="877"/>
      <c r="V143" s="877"/>
    </row>
    <row r="144" spans="1:24" x14ac:dyDescent="0.25">
      <c r="E144" s="79"/>
      <c r="F144" s="79"/>
      <c r="G144" s="85"/>
      <c r="H144" s="459"/>
      <c r="I144" s="85"/>
      <c r="J144" s="89"/>
      <c r="L144" s="89"/>
      <c r="N144" s="1210"/>
      <c r="O144" s="1038"/>
      <c r="P144" s="1210"/>
      <c r="Q144" s="1038"/>
      <c r="R144" s="769"/>
      <c r="S144" s="484" t="s">
        <v>280</v>
      </c>
      <c r="T144" s="216"/>
      <c r="U144" s="866"/>
      <c r="V144" s="484"/>
      <c r="X144" s="877"/>
    </row>
    <row r="145" spans="1:24" s="518" customFormat="1" x14ac:dyDescent="0.25">
      <c r="A145" s="79"/>
      <c r="B145" s="79"/>
      <c r="C145" s="79"/>
      <c r="D145" s="79"/>
      <c r="E145" s="1126">
        <f ca="1">E143-E142</f>
        <v>-56.25010752688172</v>
      </c>
      <c r="F145" s="1205">
        <f ca="1">SUM(F123:F144)</f>
        <v>1.399815960813716</v>
      </c>
      <c r="G145" s="85"/>
      <c r="H145" s="85"/>
      <c r="I145" s="89"/>
      <c r="J145" s="79"/>
      <c r="K145" s="79"/>
      <c r="L145" s="79"/>
      <c r="M145" s="79"/>
      <c r="N145" s="1210"/>
      <c r="O145" s="1038"/>
      <c r="P145" s="1210"/>
      <c r="Q145" s="1038"/>
      <c r="R145" s="79"/>
      <c r="S145" s="79"/>
      <c r="T145" s="866"/>
      <c r="U145" s="484"/>
      <c r="V145" s="79"/>
      <c r="W145" s="877"/>
      <c r="X145" s="79"/>
    </row>
    <row r="146" spans="1:24" s="518" customFormat="1" x14ac:dyDescent="0.25">
      <c r="A146" s="79"/>
      <c r="B146" s="79"/>
      <c r="C146" s="85"/>
      <c r="D146" s="85"/>
      <c r="E146" s="85"/>
      <c r="G146" s="79"/>
      <c r="H146" s="79"/>
      <c r="I146" s="79"/>
      <c r="J146" s="769"/>
      <c r="K146" s="866"/>
      <c r="L146" s="769"/>
      <c r="M146" s="866"/>
      <c r="N146" s="1210"/>
      <c r="O146" s="1038"/>
      <c r="P146" s="1210"/>
      <c r="Q146" s="1038"/>
      <c r="R146" s="484"/>
      <c r="S146" s="79"/>
      <c r="T146" s="877"/>
      <c r="U146" s="79"/>
    </row>
    <row r="147" spans="1:24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1210"/>
      <c r="O147" s="1038"/>
      <c r="P147" s="1210"/>
      <c r="Q147" s="1038"/>
      <c r="R147" s="484"/>
      <c r="S147" s="79"/>
      <c r="T147" s="877"/>
      <c r="U147" s="79"/>
    </row>
    <row r="148" spans="1:24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769"/>
      <c r="M148" s="866"/>
      <c r="N148" s="1210"/>
      <c r="O148" s="1038"/>
      <c r="P148" s="1210"/>
      <c r="Q148" s="1038"/>
      <c r="R148" s="484"/>
      <c r="S148" s="79"/>
      <c r="T148" s="877"/>
      <c r="U148" s="79"/>
    </row>
    <row r="149" spans="1:24" s="518" customFormat="1" x14ac:dyDescent="0.25">
      <c r="A149" s="79"/>
      <c r="B149" s="79"/>
      <c r="C149" s="79"/>
      <c r="D149" s="79"/>
      <c r="E149" s="79"/>
      <c r="F149" s="79"/>
      <c r="G149" s="79"/>
      <c r="H149" s="896"/>
      <c r="K149" s="866"/>
      <c r="M149" s="866"/>
      <c r="N149" s="1210"/>
      <c r="O149" s="1038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769"/>
      <c r="M150" s="866"/>
      <c r="N150" s="1210"/>
      <c r="O150" s="1038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769"/>
      <c r="M151" s="868"/>
      <c r="N151" s="1210"/>
      <c r="O151" s="1038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769"/>
      <c r="M152" s="866"/>
      <c r="N152" s="1210"/>
      <c r="O152" s="1038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770"/>
      <c r="M153" s="866"/>
      <c r="N153" s="1210"/>
      <c r="O153" s="1038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769"/>
      <c r="M154" s="868"/>
      <c r="N154" s="1210"/>
      <c r="O154" s="1038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1210"/>
      <c r="O155" s="1038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769"/>
      <c r="M156" s="866"/>
      <c r="N156" s="1210"/>
      <c r="O156" s="1038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1210"/>
      <c r="O157" s="1038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1210"/>
      <c r="O158" s="1038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1210"/>
      <c r="O159" s="1038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1210"/>
      <c r="O160" s="1038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1210"/>
      <c r="O161" s="1038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1210"/>
      <c r="O162" s="1038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1210"/>
      <c r="O163" s="1038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9"/>
      <c r="O166" s="79"/>
      <c r="P166" s="79"/>
      <c r="Q166" s="79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81"/>
      <c r="O167" s="755"/>
      <c r="P167" s="81"/>
      <c r="Q167" s="755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868"/>
      <c r="O168" s="79"/>
      <c r="P168" s="868"/>
      <c r="Q168" s="79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54"/>
      <c r="O169" s="886"/>
      <c r="P169" s="754"/>
      <c r="Q169" s="88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864"/>
      <c r="O170" s="864"/>
      <c r="P170" s="864"/>
      <c r="Q170" s="864"/>
      <c r="R170" s="484"/>
      <c r="S170" s="79"/>
      <c r="T170" s="877"/>
      <c r="U170" s="79"/>
    </row>
    <row r="171" spans="1:21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864"/>
      <c r="O171" s="1032"/>
      <c r="P171" s="864"/>
      <c r="Q171" s="1032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864"/>
      <c r="O172" s="1032"/>
      <c r="P172" s="864"/>
      <c r="Q172" s="1032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769"/>
      <c r="M173" s="868"/>
      <c r="N173" s="85"/>
      <c r="O173" s="795"/>
      <c r="P173" s="85"/>
      <c r="Q173" s="795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85"/>
      <c r="O174" s="177"/>
      <c r="P174" s="85"/>
      <c r="Q174" s="177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85"/>
      <c r="O175" s="177"/>
      <c r="P175" s="85"/>
      <c r="Q175" s="177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85"/>
      <c r="O176" s="177" t="s">
        <v>280</v>
      </c>
      <c r="P176" s="85"/>
      <c r="Q176" s="177" t="s">
        <v>280</v>
      </c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85"/>
      <c r="O177" s="177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85"/>
      <c r="O178" s="866"/>
      <c r="P178" s="85"/>
      <c r="Q178" s="866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216"/>
      <c r="P179" s="769"/>
      <c r="Q179" s="21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769"/>
      <c r="M180" s="866"/>
      <c r="N180" s="79"/>
      <c r="O180" s="216"/>
      <c r="P180" s="79"/>
      <c r="Q180" s="21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223"/>
      <c r="M181" s="629"/>
      <c r="N181" s="769"/>
      <c r="O181" s="868"/>
      <c r="P181" s="769"/>
      <c r="Q181" s="868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756"/>
      <c r="M182" s="756"/>
      <c r="N182" s="769"/>
      <c r="O182" s="868"/>
      <c r="P182" s="769"/>
      <c r="Q182" s="868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69"/>
      <c r="O183" s="868"/>
      <c r="P183" s="769"/>
      <c r="Q183" s="868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69"/>
      <c r="O184" s="79"/>
      <c r="P184" s="769"/>
      <c r="Q184" s="79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85"/>
      <c r="M187" s="85"/>
      <c r="N187" s="1517"/>
      <c r="O187" s="79"/>
      <c r="P187" s="1517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868"/>
      <c r="P188" s="79"/>
      <c r="Q188" s="868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89"/>
      <c r="O189" s="79"/>
      <c r="P189" s="8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69"/>
      <c r="O191" s="866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69"/>
      <c r="O192" s="866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69"/>
      <c r="O193" s="866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85"/>
      <c r="M194" s="85"/>
      <c r="O194" s="866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69"/>
      <c r="O195" s="866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69"/>
      <c r="O196" s="868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69"/>
      <c r="O197" s="866"/>
      <c r="P197" s="769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70"/>
      <c r="O198" s="866"/>
      <c r="P198" s="770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69"/>
      <c r="O199" s="868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69"/>
      <c r="O200" s="86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771"/>
      <c r="N201" s="769"/>
      <c r="O201" s="866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69"/>
      <c r="O202" s="866"/>
      <c r="P202" s="769"/>
      <c r="Q202" s="866"/>
      <c r="R202" s="484"/>
      <c r="S202" s="79"/>
      <c r="T202" s="877"/>
      <c r="U202" s="79"/>
    </row>
    <row r="203" spans="1:21" x14ac:dyDescent="0.25">
      <c r="N203" s="769"/>
      <c r="O203" s="866"/>
      <c r="P203" s="769"/>
      <c r="Q203" s="866"/>
    </row>
    <row r="204" spans="1:21" x14ac:dyDescent="0.25">
      <c r="N204" s="769"/>
      <c r="O204" s="866"/>
      <c r="P204" s="769"/>
      <c r="Q204" s="866"/>
    </row>
    <row r="205" spans="1:21" x14ac:dyDescent="0.25">
      <c r="N205" s="769"/>
      <c r="O205" s="866"/>
      <c r="P205" s="769"/>
      <c r="Q205" s="866"/>
    </row>
    <row r="206" spans="1:21" x14ac:dyDescent="0.25">
      <c r="N206" s="769"/>
      <c r="O206" s="866"/>
      <c r="P206" s="769"/>
      <c r="Q206" s="866"/>
    </row>
    <row r="207" spans="1:21" x14ac:dyDescent="0.25">
      <c r="N207" s="769"/>
      <c r="O207" s="866"/>
      <c r="P207" s="769"/>
      <c r="Q207" s="866"/>
    </row>
    <row r="208" spans="1:21" x14ac:dyDescent="0.25">
      <c r="N208" s="769"/>
      <c r="O208" s="866"/>
      <c r="P208" s="769"/>
      <c r="Q208" s="866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69"/>
      <c r="O209" s="866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69"/>
      <c r="O210" s="86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69"/>
      <c r="O211" s="868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69"/>
      <c r="O212" s="868"/>
      <c r="P212" s="769"/>
      <c r="Q212" s="868"/>
      <c r="R212" s="484"/>
      <c r="S212" s="79"/>
      <c r="T212" s="877"/>
      <c r="U212" s="79"/>
    </row>
    <row r="213" spans="1:21" x14ac:dyDescent="0.25">
      <c r="N213" s="769"/>
      <c r="O213" s="868"/>
      <c r="P213" s="769"/>
      <c r="Q213" s="868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69"/>
      <c r="O214" s="868"/>
      <c r="P214" s="769"/>
      <c r="Q214" s="868"/>
      <c r="R214" s="484"/>
      <c r="S214" s="79"/>
      <c r="T214" s="877"/>
      <c r="U214" s="79"/>
    </row>
    <row r="215" spans="1:21" x14ac:dyDescent="0.25">
      <c r="N215" s="769"/>
      <c r="O215" s="868"/>
      <c r="P215" s="769"/>
      <c r="Q215" s="868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79"/>
      <c r="M216" s="629"/>
      <c r="N216" s="769"/>
      <c r="O216" s="866"/>
      <c r="P216" s="769"/>
      <c r="Q216" s="866"/>
      <c r="R216" s="484"/>
      <c r="S216" s="79"/>
      <c r="T216" s="877"/>
      <c r="U216" s="79"/>
    </row>
    <row r="217" spans="1:21" x14ac:dyDescent="0.25">
      <c r="N217" s="769"/>
      <c r="O217" s="866"/>
      <c r="P217" s="769"/>
      <c r="Q217" s="866"/>
    </row>
    <row r="218" spans="1:21" x14ac:dyDescent="0.25">
      <c r="N218" s="769"/>
      <c r="O218" s="868"/>
      <c r="P218" s="769"/>
      <c r="Q218" s="868"/>
    </row>
    <row r="219" spans="1:21" x14ac:dyDescent="0.25">
      <c r="N219" s="769"/>
      <c r="O219" s="866"/>
      <c r="P219" s="769"/>
      <c r="Q219" s="866"/>
    </row>
    <row r="220" spans="1:21" x14ac:dyDescent="0.25">
      <c r="N220" s="769"/>
      <c r="O220" s="866"/>
      <c r="P220" s="769"/>
      <c r="Q220" s="866"/>
    </row>
    <row r="221" spans="1:21" x14ac:dyDescent="0.25">
      <c r="N221" s="769"/>
      <c r="O221" s="868"/>
      <c r="P221" s="769"/>
      <c r="Q221" s="868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69"/>
      <c r="O222" s="868"/>
      <c r="P222" s="76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69"/>
      <c r="O223" s="868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69"/>
      <c r="O224" s="868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69"/>
      <c r="O225" s="86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223"/>
      <c r="O226" s="629"/>
      <c r="P226" s="223"/>
      <c r="Q226" s="62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56"/>
      <c r="O227" s="756"/>
      <c r="P227" s="756"/>
      <c r="Q227" s="75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79"/>
      <c r="P228" s="79"/>
      <c r="Q228" s="79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79"/>
      <c r="P229" s="79"/>
      <c r="Q229" s="7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79"/>
      <c r="P230" s="79"/>
      <c r="Q230" s="79"/>
      <c r="R230" s="484"/>
      <c r="S230" s="79"/>
      <c r="T230" s="877"/>
      <c r="U230" s="79"/>
    </row>
    <row r="232" spans="1:21" x14ac:dyDescent="0.25">
      <c r="N232" s="85"/>
      <c r="O232" s="85"/>
      <c r="P232" s="85"/>
      <c r="Q232" s="85"/>
    </row>
    <row r="239" spans="1:21" x14ac:dyDescent="0.25">
      <c r="N239" s="85"/>
      <c r="O239" s="85"/>
      <c r="P239" s="85"/>
      <c r="Q239" s="85"/>
    </row>
    <row r="243" spans="1:42" s="484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S243" s="79"/>
      <c r="T243" s="877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71"/>
      <c r="O246" s="518"/>
      <c r="P246" s="771"/>
      <c r="Q246" s="518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54" spans="1:42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216"/>
      <c r="P254" s="79"/>
      <c r="Q254" s="216"/>
      <c r="S254" s="79"/>
      <c r="T254" s="877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216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216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216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216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629"/>
      <c r="P261" s="79"/>
      <c r="Q261" s="629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7" spans="1:42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216"/>
      <c r="P267" s="79"/>
      <c r="Q267" s="216"/>
      <c r="S267" s="79"/>
      <c r="T267" s="877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</row>
    <row r="268" spans="1:42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216"/>
      <c r="P268" s="79"/>
      <c r="Q268" s="216"/>
      <c r="S268" s="79"/>
      <c r="T268" s="877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216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216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216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216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216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216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216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</sheetData>
  <autoFilter ref="A2:I140" xr:uid="{00000000-0009-0000-0000-000084000000}"/>
  <mergeCells count="17">
    <mergeCell ref="C142:D142"/>
    <mergeCell ref="B143:D143"/>
    <mergeCell ref="L2:M3"/>
    <mergeCell ref="N2:O3"/>
    <mergeCell ref="P2:Q3"/>
    <mergeCell ref="A119:E119"/>
    <mergeCell ref="A120:E120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Planilha3"/>
  <dimension ref="A1:AR276"/>
  <sheetViews>
    <sheetView zoomScale="85" zoomScaleNormal="85" workbookViewId="0">
      <pane ySplit="4" topLeftCell="A109" activePane="bottomLeft" state="frozen"/>
      <selection pane="bottomLeft" activeCell="K140" sqref="K1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4" width="13.42578125" style="79" customWidth="1"/>
    <col min="15" max="15" width="20.28515625" style="79" customWidth="1"/>
    <col min="16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3622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013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44958</v>
      </c>
      <c r="B5" s="369" t="s">
        <v>10</v>
      </c>
      <c r="C5" s="370"/>
      <c r="D5" s="370"/>
      <c r="E5" s="777"/>
      <c r="F5" s="179"/>
      <c r="G5" s="933">
        <f>'Janeiro-23'!G120</f>
        <v>687.13958333335813</v>
      </c>
      <c r="H5" s="163"/>
      <c r="I5" s="1479">
        <f>'Janeiro-23'!I120</f>
        <v>3999.9959999999992</v>
      </c>
      <c r="J5" s="179"/>
      <c r="K5" s="933">
        <f>'Janeiro-23'!M120</f>
        <v>17264.560000000001</v>
      </c>
      <c r="L5" s="179"/>
      <c r="M5" s="933">
        <f>'Janeiro-23'!K120</f>
        <v>8359.4600000000009</v>
      </c>
      <c r="N5" s="179"/>
      <c r="O5" s="1479">
        <v>0</v>
      </c>
      <c r="P5" s="179"/>
      <c r="Q5" s="1479">
        <f>'Janeiro-23'!O120</f>
        <v>9956.1899999999987</v>
      </c>
      <c r="R5" s="179"/>
      <c r="S5" s="933">
        <f>'Janeiro-23'!Q120</f>
        <v>38646.975984720011</v>
      </c>
    </row>
    <row r="6" spans="1:23" s="224" customFormat="1" x14ac:dyDescent="0.25">
      <c r="A6" s="215">
        <v>44958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537"/>
      <c r="R6" s="538"/>
      <c r="S6" s="1002"/>
      <c r="T6" s="1037"/>
      <c r="U6" s="89"/>
      <c r="V6" s="878"/>
    </row>
    <row r="7" spans="1:23" s="1274" customFormat="1" ht="15" customHeight="1" x14ac:dyDescent="0.25">
      <c r="A7" s="1264">
        <v>44958</v>
      </c>
      <c r="B7" s="1275" t="s">
        <v>3581</v>
      </c>
      <c r="C7" s="1276" t="s">
        <v>12</v>
      </c>
      <c r="D7" s="1276"/>
      <c r="E7" s="1286" t="s">
        <v>13</v>
      </c>
      <c r="F7" s="1279"/>
      <c r="G7" s="1278"/>
      <c r="H7" s="1282"/>
      <c r="I7" s="1283"/>
      <c r="J7" s="1279"/>
      <c r="K7" s="1278"/>
      <c r="L7" s="1279"/>
      <c r="M7" s="1278"/>
      <c r="N7" s="1279"/>
      <c r="O7" s="1278"/>
      <c r="P7" s="1279">
        <v>1000</v>
      </c>
      <c r="Q7" s="1283"/>
      <c r="R7" s="1740"/>
      <c r="S7" s="1743"/>
      <c r="T7" s="1281"/>
      <c r="U7" s="1294"/>
    </row>
    <row r="8" spans="1:23" s="224" customFormat="1" x14ac:dyDescent="0.25">
      <c r="A8" s="215">
        <v>44958</v>
      </c>
      <c r="B8" s="1275" t="s">
        <v>3624</v>
      </c>
      <c r="C8" s="1276" t="s">
        <v>12</v>
      </c>
      <c r="D8" s="1276" t="s">
        <v>2157</v>
      </c>
      <c r="E8" s="1277" t="s">
        <v>15</v>
      </c>
      <c r="F8" s="1279">
        <v>80</v>
      </c>
      <c r="G8" s="982"/>
      <c r="H8" s="1008"/>
      <c r="I8" s="1063"/>
      <c r="J8" s="622"/>
      <c r="K8" s="982"/>
      <c r="L8" s="622"/>
      <c r="M8" s="982"/>
      <c r="N8" s="622"/>
      <c r="O8" s="1063"/>
      <c r="P8" s="622"/>
      <c r="Q8" s="1063"/>
      <c r="R8" s="622"/>
      <c r="S8" s="982"/>
      <c r="T8" s="861"/>
      <c r="V8" s="878"/>
    </row>
    <row r="9" spans="1:23" s="1274" customFormat="1" ht="15" customHeight="1" x14ac:dyDescent="0.25">
      <c r="A9" s="215">
        <v>44958</v>
      </c>
      <c r="B9" s="364" t="s">
        <v>3625</v>
      </c>
      <c r="C9" s="350" t="s">
        <v>19</v>
      </c>
      <c r="D9" s="350" t="s">
        <v>1524</v>
      </c>
      <c r="E9" s="875" t="s">
        <v>13</v>
      </c>
      <c r="F9" s="780">
        <v>159.9</v>
      </c>
      <c r="G9" s="1278"/>
      <c r="H9" s="1282"/>
      <c r="I9" s="1283"/>
      <c r="J9" s="1279"/>
      <c r="K9" s="1278"/>
      <c r="L9" s="1279"/>
      <c r="M9" s="1278"/>
      <c r="N9" s="1279"/>
      <c r="O9" s="1283"/>
      <c r="P9" s="1702"/>
      <c r="Q9" s="1283"/>
      <c r="R9" s="1702"/>
      <c r="S9" s="1703"/>
      <c r="T9" s="1281"/>
      <c r="V9" s="1281"/>
      <c r="W9" s="1294"/>
    </row>
    <row r="10" spans="1:23" s="224" customFormat="1" ht="15" customHeight="1" x14ac:dyDescent="0.25">
      <c r="A10" s="215">
        <v>44958</v>
      </c>
      <c r="B10" s="1275" t="s">
        <v>32</v>
      </c>
      <c r="C10" s="1276" t="s">
        <v>12</v>
      </c>
      <c r="D10" s="1276" t="s">
        <v>1485</v>
      </c>
      <c r="E10" s="1286" t="s">
        <v>13</v>
      </c>
      <c r="F10" s="780">
        <v>20</v>
      </c>
      <c r="G10" s="946"/>
      <c r="H10" s="95"/>
      <c r="I10" s="1064"/>
      <c r="J10" s="622"/>
      <c r="K10" s="982"/>
      <c r="L10" s="622"/>
      <c r="M10" s="982"/>
      <c r="N10" s="622"/>
      <c r="O10" s="1063"/>
      <c r="P10" s="622"/>
      <c r="Q10" s="1063"/>
      <c r="R10" s="622"/>
      <c r="S10" s="982"/>
      <c r="T10" s="861"/>
      <c r="V10" s="927"/>
      <c r="W10" s="999"/>
    </row>
    <row r="11" spans="1:23" s="224" customFormat="1" ht="15" customHeight="1" x14ac:dyDescent="0.25">
      <c r="A11" s="215">
        <v>44959</v>
      </c>
      <c r="B11" s="1275" t="s">
        <v>32</v>
      </c>
      <c r="C11" s="1276" t="s">
        <v>12</v>
      </c>
      <c r="D11" s="1276" t="s">
        <v>1485</v>
      </c>
      <c r="E11" s="1286" t="s">
        <v>13</v>
      </c>
      <c r="F11" s="780">
        <v>20</v>
      </c>
      <c r="G11" s="982"/>
      <c r="H11" s="622"/>
      <c r="I11" s="982"/>
      <c r="J11" s="622"/>
      <c r="K11" s="982"/>
      <c r="L11" s="622"/>
      <c r="M11" s="982"/>
      <c r="N11" s="622"/>
      <c r="O11" s="1063"/>
      <c r="P11" s="622"/>
      <c r="Q11" s="1063"/>
      <c r="R11" s="622"/>
      <c r="S11" s="982"/>
      <c r="T11" s="1080"/>
      <c r="U11" s="927"/>
      <c r="V11" s="878"/>
    </row>
    <row r="12" spans="1:23" s="224" customFormat="1" ht="15" customHeight="1" x14ac:dyDescent="0.25">
      <c r="A12" s="215">
        <v>44959</v>
      </c>
      <c r="B12" s="1275" t="s">
        <v>14</v>
      </c>
      <c r="C12" s="1276" t="s">
        <v>12</v>
      </c>
      <c r="D12" s="1276" t="s">
        <v>1486</v>
      </c>
      <c r="E12" s="1286" t="s">
        <v>13</v>
      </c>
      <c r="F12" s="1279">
        <v>7.25</v>
      </c>
      <c r="G12" s="982"/>
      <c r="H12" s="622"/>
      <c r="I12" s="982"/>
      <c r="J12" s="622"/>
      <c r="K12" s="982"/>
      <c r="L12" s="622"/>
      <c r="M12" s="982"/>
      <c r="N12" s="622"/>
      <c r="O12" s="1063"/>
      <c r="P12" s="622"/>
      <c r="Q12" s="1063"/>
      <c r="R12" s="622"/>
      <c r="S12" s="982"/>
      <c r="T12" s="1080"/>
      <c r="U12" s="927"/>
      <c r="V12" s="878"/>
    </row>
    <row r="13" spans="1:23" s="224" customFormat="1" ht="15" customHeight="1" x14ac:dyDescent="0.25">
      <c r="A13" s="215">
        <v>44960</v>
      </c>
      <c r="B13" s="1275" t="s">
        <v>32</v>
      </c>
      <c r="C13" s="1276" t="s">
        <v>12</v>
      </c>
      <c r="D13" s="1276" t="s">
        <v>1485</v>
      </c>
      <c r="E13" s="1286" t="s">
        <v>13</v>
      </c>
      <c r="F13" s="780">
        <v>20</v>
      </c>
      <c r="G13" s="982"/>
      <c r="H13" s="622"/>
      <c r="I13" s="982"/>
      <c r="J13" s="622"/>
      <c r="K13" s="982"/>
      <c r="L13" s="622"/>
      <c r="M13" s="982"/>
      <c r="N13" s="622"/>
      <c r="O13" s="1063"/>
      <c r="P13" s="622"/>
      <c r="Q13" s="1063"/>
      <c r="R13" s="622"/>
      <c r="S13" s="982"/>
      <c r="T13" s="1080"/>
      <c r="U13" s="927"/>
      <c r="V13" s="878"/>
    </row>
    <row r="14" spans="1:23" s="224" customFormat="1" x14ac:dyDescent="0.25">
      <c r="A14" s="215">
        <v>44960</v>
      </c>
      <c r="B14" s="1275" t="s">
        <v>138</v>
      </c>
      <c r="C14" s="1276" t="s">
        <v>12</v>
      </c>
      <c r="D14" s="1276" t="s">
        <v>2157</v>
      </c>
      <c r="E14" s="1277" t="s">
        <v>13</v>
      </c>
      <c r="F14" s="1279">
        <v>100</v>
      </c>
      <c r="G14" s="982"/>
      <c r="H14" s="1008"/>
      <c r="I14" s="1063"/>
      <c r="J14" s="622"/>
      <c r="K14" s="982"/>
      <c r="L14" s="622"/>
      <c r="M14" s="982"/>
      <c r="N14" s="622"/>
      <c r="O14" s="1063"/>
      <c r="P14" s="622"/>
      <c r="Q14" s="1063"/>
      <c r="R14" s="622"/>
      <c r="S14" s="982"/>
      <c r="T14" s="861"/>
      <c r="V14" s="878"/>
    </row>
    <row r="15" spans="1:23" s="224" customFormat="1" ht="15" customHeight="1" x14ac:dyDescent="0.25">
      <c r="A15" s="215">
        <v>44960</v>
      </c>
      <c r="B15" s="1275" t="s">
        <v>14</v>
      </c>
      <c r="C15" s="1276" t="s">
        <v>12</v>
      </c>
      <c r="D15" s="1276" t="s">
        <v>1486</v>
      </c>
      <c r="E15" s="1286" t="s">
        <v>13</v>
      </c>
      <c r="F15" s="1279">
        <v>10.32</v>
      </c>
      <c r="G15" s="946"/>
      <c r="H15" s="95"/>
      <c r="I15" s="1064"/>
      <c r="J15" s="622"/>
      <c r="K15" s="982"/>
      <c r="L15" s="622"/>
      <c r="M15" s="982"/>
      <c r="N15" s="622"/>
      <c r="O15" s="1063"/>
      <c r="P15" s="622"/>
      <c r="Q15" s="1063"/>
      <c r="R15" s="622"/>
      <c r="S15" s="982"/>
      <c r="T15" s="1080"/>
      <c r="W15" s="958"/>
    </row>
    <row r="16" spans="1:23" s="224" customFormat="1" ht="15" customHeight="1" x14ac:dyDescent="0.25">
      <c r="A16" s="215">
        <v>44961</v>
      </c>
      <c r="B16" s="882" t="s">
        <v>82</v>
      </c>
      <c r="C16" s="879" t="s">
        <v>12</v>
      </c>
      <c r="D16" s="879" t="s">
        <v>1493</v>
      </c>
      <c r="E16" s="871" t="s">
        <v>13</v>
      </c>
      <c r="F16" s="780">
        <v>56.89</v>
      </c>
      <c r="G16" s="946"/>
      <c r="H16" s="95"/>
      <c r="I16" s="1064"/>
      <c r="J16" s="622"/>
      <c r="K16" s="982"/>
      <c r="L16" s="622"/>
      <c r="M16" s="982"/>
      <c r="N16" s="622"/>
      <c r="O16" s="1063"/>
      <c r="P16" s="613"/>
      <c r="Q16" s="1738"/>
      <c r="R16" s="613"/>
      <c r="S16" s="64"/>
      <c r="T16" s="1028"/>
      <c r="W16" s="958"/>
    </row>
    <row r="17" spans="1:44" s="224" customFormat="1" ht="15" customHeight="1" x14ac:dyDescent="0.25">
      <c r="A17" s="215">
        <v>44962</v>
      </c>
      <c r="B17" s="1275" t="s">
        <v>14</v>
      </c>
      <c r="C17" s="1276" t="s">
        <v>12</v>
      </c>
      <c r="D17" s="1276" t="s">
        <v>1486</v>
      </c>
      <c r="E17" s="1286" t="s">
        <v>13</v>
      </c>
      <c r="F17" s="613">
        <v>8.8699999999999992</v>
      </c>
      <c r="G17" s="982"/>
      <c r="H17" s="1060"/>
      <c r="I17" s="1033"/>
      <c r="J17" s="880"/>
      <c r="K17" s="1033"/>
      <c r="L17" s="880"/>
      <c r="M17" s="1033"/>
      <c r="N17" s="880"/>
      <c r="O17" s="1525"/>
      <c r="P17" s="880"/>
      <c r="Q17" s="1525"/>
      <c r="R17" s="880"/>
      <c r="S17" s="1033"/>
      <c r="T17" s="1280"/>
      <c r="U17" s="927"/>
      <c r="V17" s="878"/>
    </row>
    <row r="18" spans="1:44" s="224" customFormat="1" ht="15" customHeight="1" x14ac:dyDescent="0.25">
      <c r="A18" s="215">
        <v>44962</v>
      </c>
      <c r="B18" s="1275" t="s">
        <v>32</v>
      </c>
      <c r="C18" s="1276" t="s">
        <v>12</v>
      </c>
      <c r="D18" s="1276" t="s">
        <v>1485</v>
      </c>
      <c r="E18" s="1286" t="s">
        <v>13</v>
      </c>
      <c r="F18" s="780">
        <v>22</v>
      </c>
      <c r="G18" s="982"/>
      <c r="H18" s="622"/>
      <c r="I18" s="982"/>
      <c r="J18" s="622"/>
      <c r="K18" s="982"/>
      <c r="L18" s="622"/>
      <c r="M18" s="982"/>
      <c r="N18" s="622"/>
      <c r="O18" s="1063"/>
      <c r="P18" s="622"/>
      <c r="Q18" s="1063"/>
      <c r="R18" s="622"/>
      <c r="S18" s="982"/>
      <c r="T18" s="1080"/>
      <c r="U18" s="927"/>
      <c r="V18" s="878"/>
    </row>
    <row r="19" spans="1:44" s="224" customFormat="1" ht="15" customHeight="1" x14ac:dyDescent="0.25">
      <c r="A19" s="215">
        <v>44962</v>
      </c>
      <c r="B19" s="1275" t="s">
        <v>1906</v>
      </c>
      <c r="C19" s="1276" t="s">
        <v>12</v>
      </c>
      <c r="D19" s="1276" t="s">
        <v>1493</v>
      </c>
      <c r="E19" s="1286" t="s">
        <v>13</v>
      </c>
      <c r="F19" s="1279">
        <v>18.5</v>
      </c>
      <c r="G19" s="982"/>
      <c r="H19" s="622"/>
      <c r="I19" s="982"/>
      <c r="J19" s="622"/>
      <c r="K19" s="982"/>
      <c r="L19" s="622"/>
      <c r="M19" s="982"/>
      <c r="N19" s="622"/>
      <c r="O19" s="1063"/>
      <c r="P19" s="622"/>
      <c r="Q19" s="1063"/>
      <c r="R19" s="622"/>
      <c r="S19" s="982"/>
      <c r="T19" s="1080"/>
      <c r="U19" s="927"/>
      <c r="V19" s="878"/>
    </row>
    <row r="20" spans="1:44" s="224" customFormat="1" ht="15.75" customHeight="1" x14ac:dyDescent="0.25">
      <c r="A20" s="215">
        <v>44963</v>
      </c>
      <c r="B20" s="873" t="s">
        <v>3626</v>
      </c>
      <c r="C20" s="879" t="s">
        <v>12</v>
      </c>
      <c r="D20" s="874"/>
      <c r="E20" s="871" t="s">
        <v>25</v>
      </c>
      <c r="F20" s="1524"/>
      <c r="G20" s="1002">
        <v>1463.33</v>
      </c>
      <c r="H20" s="538"/>
      <c r="I20" s="982"/>
      <c r="J20" s="622"/>
      <c r="K20" s="982"/>
      <c r="L20" s="622"/>
      <c r="M20" s="982"/>
      <c r="N20" s="622"/>
      <c r="O20" s="1063"/>
      <c r="P20" s="622"/>
      <c r="Q20" s="1063"/>
      <c r="R20" s="622"/>
      <c r="S20" s="982"/>
      <c r="T20" s="178"/>
    </row>
    <row r="21" spans="1:44" s="224" customFormat="1" ht="15" customHeight="1" x14ac:dyDescent="0.25">
      <c r="A21" s="215">
        <v>44963</v>
      </c>
      <c r="B21" s="862" t="s">
        <v>3422</v>
      </c>
      <c r="C21" s="879" t="s">
        <v>12</v>
      </c>
      <c r="D21" s="879" t="s">
        <v>1504</v>
      </c>
      <c r="E21" s="871" t="s">
        <v>13</v>
      </c>
      <c r="F21" s="780">
        <v>60</v>
      </c>
      <c r="G21" s="982"/>
      <c r="H21" s="1008"/>
      <c r="I21" s="1063"/>
      <c r="J21" s="622"/>
      <c r="K21" s="982"/>
      <c r="L21" s="622"/>
      <c r="M21" s="982"/>
      <c r="N21" s="622"/>
      <c r="O21" s="1063"/>
      <c r="P21" s="622"/>
      <c r="Q21" s="1063"/>
      <c r="R21" s="622"/>
      <c r="S21" s="982"/>
      <c r="T21" s="178">
        <v>109.9</v>
      </c>
      <c r="U21" s="1028"/>
      <c r="V21" s="1035"/>
    </row>
    <row r="22" spans="1:44" s="224" customFormat="1" ht="15" customHeight="1" x14ac:dyDescent="0.25">
      <c r="A22" s="215">
        <v>44963</v>
      </c>
      <c r="B22" s="882" t="s">
        <v>3627</v>
      </c>
      <c r="C22" s="879" t="s">
        <v>12</v>
      </c>
      <c r="D22" s="879" t="s">
        <v>1499</v>
      </c>
      <c r="E22" s="871" t="s">
        <v>13</v>
      </c>
      <c r="F22" s="780">
        <v>50.29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1063"/>
      <c r="R22" s="622"/>
      <c r="S22" s="982"/>
      <c r="T22" s="1028"/>
      <c r="U22" s="999"/>
      <c r="V22" s="878"/>
    </row>
    <row r="23" spans="1:44" s="224" customFormat="1" ht="15" customHeight="1" x14ac:dyDescent="0.25">
      <c r="A23" s="215">
        <v>44963</v>
      </c>
      <c r="B23" s="364" t="s">
        <v>2977</v>
      </c>
      <c r="C23" s="879" t="s">
        <v>12</v>
      </c>
      <c r="D23" s="350" t="s">
        <v>1491</v>
      </c>
      <c r="E23" s="875" t="s">
        <v>13</v>
      </c>
      <c r="F23" s="780">
        <v>150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1063"/>
      <c r="R23" s="622"/>
      <c r="S23" s="982"/>
      <c r="T23" s="1028" t="s">
        <v>3628</v>
      </c>
      <c r="V23" s="1035"/>
    </row>
    <row r="24" spans="1:44" x14ac:dyDescent="0.25">
      <c r="A24" s="215">
        <v>44963</v>
      </c>
      <c r="B24" s="876" t="s">
        <v>3060</v>
      </c>
      <c r="C24" s="879" t="s">
        <v>12</v>
      </c>
      <c r="D24" s="879" t="s">
        <v>1496</v>
      </c>
      <c r="E24" s="871" t="s">
        <v>13</v>
      </c>
      <c r="F24" s="780">
        <v>80</v>
      </c>
      <c r="G24" s="982"/>
      <c r="H24" s="1009"/>
      <c r="I24" s="1063"/>
      <c r="J24" s="622"/>
      <c r="K24" s="982"/>
      <c r="L24" s="622"/>
      <c r="M24" s="982"/>
      <c r="N24" s="622"/>
      <c r="O24" s="1063"/>
      <c r="P24" s="622"/>
      <c r="Q24" s="1063"/>
      <c r="R24" s="622"/>
      <c r="S24" s="982"/>
      <c r="T24" s="1029"/>
    </row>
    <row r="25" spans="1:44" s="224" customFormat="1" ht="14.25" customHeight="1" x14ac:dyDescent="0.25">
      <c r="A25" s="215">
        <v>44963</v>
      </c>
      <c r="B25" s="882" t="s">
        <v>3629</v>
      </c>
      <c r="C25" s="879" t="s">
        <v>12</v>
      </c>
      <c r="D25" s="879" t="s">
        <v>3017</v>
      </c>
      <c r="E25" s="875" t="s">
        <v>13</v>
      </c>
      <c r="F25" s="780">
        <v>611.62</v>
      </c>
      <c r="G25" s="982"/>
      <c r="H25" s="1008"/>
      <c r="I25" s="1063"/>
      <c r="J25" s="622"/>
      <c r="K25" s="982">
        <v>611.62</v>
      </c>
      <c r="L25" s="622"/>
      <c r="M25" s="982"/>
      <c r="N25" s="622"/>
      <c r="O25" s="1063"/>
      <c r="P25" s="622"/>
      <c r="Q25" s="1063"/>
      <c r="R25" s="622"/>
      <c r="S25" s="982"/>
      <c r="T25" s="861">
        <v>450</v>
      </c>
      <c r="U25" s="878" t="s">
        <v>3018</v>
      </c>
      <c r="V25" s="1035"/>
    </row>
    <row r="26" spans="1:44" s="224" customFormat="1" ht="15" customHeight="1" x14ac:dyDescent="0.25">
      <c r="A26" s="215">
        <v>44963</v>
      </c>
      <c r="B26" s="364" t="s">
        <v>3630</v>
      </c>
      <c r="C26" s="879" t="s">
        <v>12</v>
      </c>
      <c r="D26" s="879"/>
      <c r="E26" s="875" t="s">
        <v>25</v>
      </c>
      <c r="F26" s="780"/>
      <c r="G26" s="982"/>
      <c r="H26" s="622"/>
      <c r="I26" s="982"/>
      <c r="J26" s="622"/>
      <c r="K26" s="982"/>
      <c r="L26" s="622"/>
      <c r="M26" s="982"/>
      <c r="N26" s="622"/>
      <c r="O26" s="1063"/>
      <c r="P26" s="622"/>
      <c r="Q26" s="1063"/>
      <c r="R26" s="622"/>
      <c r="S26" s="982">
        <v>444.44</v>
      </c>
      <c r="T26" s="927"/>
      <c r="U26" s="927"/>
      <c r="V26" s="878"/>
    </row>
    <row r="27" spans="1:44" s="224" customFormat="1" ht="15" customHeight="1" x14ac:dyDescent="0.25">
      <c r="A27" s="215">
        <v>44963</v>
      </c>
      <c r="B27" s="364" t="s">
        <v>1396</v>
      </c>
      <c r="C27" s="879" t="s">
        <v>12</v>
      </c>
      <c r="D27" s="350"/>
      <c r="E27" s="480" t="s">
        <v>25</v>
      </c>
      <c r="F27" s="613"/>
      <c r="G27" s="967">
        <v>100</v>
      </c>
      <c r="H27" s="1008"/>
      <c r="I27" s="1063"/>
      <c r="J27" s="1116"/>
      <c r="K27" s="1207"/>
      <c r="L27" s="622"/>
      <c r="M27" s="982"/>
      <c r="N27" s="622"/>
      <c r="O27" s="1063"/>
      <c r="P27" s="1116"/>
      <c r="Q27" s="1736"/>
      <c r="R27" s="1116"/>
      <c r="S27" s="120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s="224" customFormat="1" ht="15" customHeight="1" x14ac:dyDescent="0.25">
      <c r="A28" s="215">
        <v>44963</v>
      </c>
      <c r="B28" s="1275" t="s">
        <v>32</v>
      </c>
      <c r="C28" s="1276" t="s">
        <v>12</v>
      </c>
      <c r="D28" s="1276" t="s">
        <v>1485</v>
      </c>
      <c r="E28" s="1286" t="s">
        <v>13</v>
      </c>
      <c r="F28" s="780">
        <v>20</v>
      </c>
      <c r="G28" s="982"/>
      <c r="H28" s="622"/>
      <c r="I28" s="982"/>
      <c r="J28" s="622"/>
      <c r="K28" s="982"/>
      <c r="L28" s="622"/>
      <c r="M28" s="982"/>
      <c r="N28" s="622"/>
      <c r="O28" s="1063"/>
      <c r="P28" s="622"/>
      <c r="Q28" s="1063"/>
      <c r="R28" s="622"/>
      <c r="S28" s="982"/>
      <c r="T28" s="1080"/>
      <c r="U28" s="927"/>
      <c r="V28" s="878"/>
    </row>
    <row r="29" spans="1:44" s="224" customFormat="1" ht="15" customHeight="1" x14ac:dyDescent="0.25">
      <c r="A29" s="215">
        <v>44963</v>
      </c>
      <c r="B29" s="873" t="s">
        <v>3631</v>
      </c>
      <c r="C29" s="874" t="s">
        <v>19</v>
      </c>
      <c r="D29" s="874" t="s">
        <v>1491</v>
      </c>
      <c r="E29" s="875" t="s">
        <v>13</v>
      </c>
      <c r="F29" s="780">
        <v>152</v>
      </c>
      <c r="G29" s="982"/>
      <c r="H29" s="622"/>
      <c r="I29" s="982"/>
      <c r="J29" s="622"/>
      <c r="K29" s="982"/>
      <c r="L29" s="622"/>
      <c r="M29" s="982"/>
      <c r="N29" s="622"/>
      <c r="O29" s="1063"/>
      <c r="P29" s="622"/>
      <c r="Q29" s="1063"/>
      <c r="R29" s="622"/>
      <c r="S29" s="982"/>
      <c r="T29" s="1280" t="s">
        <v>3292</v>
      </c>
      <c r="U29" s="927"/>
      <c r="V29" s="878"/>
    </row>
    <row r="30" spans="1:44" s="224" customFormat="1" ht="15" customHeight="1" x14ac:dyDescent="0.25">
      <c r="A30" s="215">
        <v>44963</v>
      </c>
      <c r="B30" s="882" t="s">
        <v>478</v>
      </c>
      <c r="C30" s="879" t="s">
        <v>12</v>
      </c>
      <c r="D30" s="879" t="s">
        <v>1496</v>
      </c>
      <c r="E30" s="871" t="s">
        <v>13</v>
      </c>
      <c r="F30" s="780">
        <v>10.74</v>
      </c>
      <c r="G30" s="946"/>
      <c r="H30" s="95"/>
      <c r="I30" s="1064"/>
      <c r="J30" s="622"/>
      <c r="K30" s="982"/>
      <c r="L30" s="622"/>
      <c r="M30" s="982"/>
      <c r="N30" s="622"/>
      <c r="O30" s="1063"/>
      <c r="P30" s="622"/>
      <c r="Q30" s="1063"/>
      <c r="R30" s="622"/>
      <c r="S30" s="982"/>
      <c r="T30" s="861"/>
      <c r="V30" s="927"/>
      <c r="W30" s="999"/>
    </row>
    <row r="31" spans="1:44" s="224" customFormat="1" ht="15" customHeight="1" x14ac:dyDescent="0.25">
      <c r="A31" s="215">
        <v>44964</v>
      </c>
      <c r="B31" s="1688" t="s">
        <v>3632</v>
      </c>
      <c r="C31" s="874" t="s">
        <v>12</v>
      </c>
      <c r="D31" s="874" t="s">
        <v>1524</v>
      </c>
      <c r="E31" s="875" t="s">
        <v>15</v>
      </c>
      <c r="F31" s="780">
        <v>60</v>
      </c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1063"/>
      <c r="R31" s="622"/>
      <c r="S31" s="982"/>
      <c r="T31" s="927"/>
      <c r="U31" s="927"/>
      <c r="V31" s="878"/>
    </row>
    <row r="32" spans="1:44" s="224" customFormat="1" ht="15" customHeight="1" x14ac:dyDescent="0.25">
      <c r="A32" s="215">
        <v>44964</v>
      </c>
      <c r="B32" s="1275" t="s">
        <v>32</v>
      </c>
      <c r="C32" s="1276" t="s">
        <v>12</v>
      </c>
      <c r="D32" s="1276" t="s">
        <v>1485</v>
      </c>
      <c r="E32" s="1286" t="s">
        <v>13</v>
      </c>
      <c r="F32" s="780">
        <v>20</v>
      </c>
      <c r="G32" s="982"/>
      <c r="H32" s="622"/>
      <c r="I32" s="982"/>
      <c r="J32" s="622"/>
      <c r="K32" s="982"/>
      <c r="L32" s="622"/>
      <c r="M32" s="982"/>
      <c r="N32" s="622"/>
      <c r="O32" s="1063"/>
      <c r="P32" s="622"/>
      <c r="Q32" s="1063"/>
      <c r="R32" s="622"/>
      <c r="S32" s="982"/>
      <c r="T32" s="927"/>
      <c r="U32" s="927"/>
      <c r="V32" s="878"/>
    </row>
    <row r="33" spans="1:44" s="224" customFormat="1" ht="15" customHeight="1" x14ac:dyDescent="0.25">
      <c r="A33" s="215">
        <v>44964</v>
      </c>
      <c r="B33" s="882" t="s">
        <v>390</v>
      </c>
      <c r="C33" s="879" t="s">
        <v>12</v>
      </c>
      <c r="D33" s="879"/>
      <c r="E33" s="871" t="s">
        <v>25</v>
      </c>
      <c r="F33" s="780"/>
      <c r="G33" s="982">
        <v>1500</v>
      </c>
      <c r="H33" s="622">
        <v>1500</v>
      </c>
      <c r="I33" s="982"/>
      <c r="J33" s="622"/>
      <c r="K33" s="982"/>
      <c r="L33" s="622"/>
      <c r="M33" s="982"/>
      <c r="N33" s="622"/>
      <c r="O33" s="1063"/>
      <c r="P33" s="622"/>
      <c r="Q33" s="1063"/>
      <c r="R33" s="622"/>
      <c r="S33" s="982"/>
      <c r="T33" s="1080"/>
      <c r="U33" s="927"/>
      <c r="V33" s="878"/>
    </row>
    <row r="34" spans="1:44" s="224" customFormat="1" ht="15" customHeight="1" x14ac:dyDescent="0.25">
      <c r="A34" s="215">
        <v>44964</v>
      </c>
      <c r="B34" s="873" t="s">
        <v>3245</v>
      </c>
      <c r="C34" s="879" t="s">
        <v>12</v>
      </c>
      <c r="D34" s="874"/>
      <c r="E34" s="875" t="s">
        <v>25</v>
      </c>
      <c r="F34" s="780"/>
      <c r="G34" s="982">
        <v>1235.58</v>
      </c>
      <c r="H34" s="622"/>
      <c r="I34" s="982"/>
      <c r="J34" s="622"/>
      <c r="K34" s="982"/>
      <c r="L34" s="622">
        <v>1235.58</v>
      </c>
      <c r="M34" s="982"/>
      <c r="N34" s="622"/>
      <c r="O34" s="1063"/>
      <c r="P34" s="622"/>
      <c r="Q34" s="1063"/>
      <c r="R34" s="622"/>
      <c r="S34" s="982"/>
      <c r="T34" s="927"/>
      <c r="U34" s="927"/>
      <c r="V34" s="878"/>
    </row>
    <row r="35" spans="1:44" s="224" customFormat="1" ht="15" customHeight="1" x14ac:dyDescent="0.25">
      <c r="A35" s="215">
        <v>44964</v>
      </c>
      <c r="B35" s="1689" t="s">
        <v>3633</v>
      </c>
      <c r="C35" s="879" t="s">
        <v>12</v>
      </c>
      <c r="D35" s="874"/>
      <c r="E35" s="875" t="s">
        <v>13</v>
      </c>
      <c r="F35" s="780">
        <v>638.24</v>
      </c>
      <c r="G35" s="982"/>
      <c r="H35" s="622"/>
      <c r="I35" s="982"/>
      <c r="J35" s="622"/>
      <c r="K35" s="982"/>
      <c r="L35" s="622"/>
      <c r="M35" s="982"/>
      <c r="N35" s="622"/>
      <c r="O35" s="1063">
        <f>F35</f>
        <v>638.24</v>
      </c>
      <c r="P35" s="622"/>
      <c r="Q35" s="1063"/>
      <c r="R35" s="622"/>
      <c r="S35" s="982"/>
      <c r="T35" s="927"/>
      <c r="U35" s="927"/>
      <c r="V35" s="878"/>
    </row>
    <row r="36" spans="1:44" s="224" customFormat="1" ht="15" customHeight="1" x14ac:dyDescent="0.25">
      <c r="A36" s="215">
        <v>44964</v>
      </c>
      <c r="B36" s="1689" t="s">
        <v>3634</v>
      </c>
      <c r="C36" s="879" t="s">
        <v>12</v>
      </c>
      <c r="D36" s="874"/>
      <c r="E36" s="875" t="s">
        <v>13</v>
      </c>
      <c r="F36" s="780">
        <v>517.96</v>
      </c>
      <c r="G36" s="982"/>
      <c r="H36" s="622"/>
      <c r="I36" s="982"/>
      <c r="J36" s="622"/>
      <c r="K36" s="982"/>
      <c r="L36" s="622"/>
      <c r="M36" s="982"/>
      <c r="N36" s="622"/>
      <c r="O36" s="1063">
        <f>F36</f>
        <v>517.96</v>
      </c>
      <c r="P36" s="622"/>
      <c r="Q36" s="1063"/>
      <c r="R36" s="622"/>
      <c r="S36" s="982"/>
      <c r="T36" s="927"/>
      <c r="U36" s="927"/>
      <c r="V36" s="878"/>
    </row>
    <row r="37" spans="1:44" s="224" customFormat="1" ht="15" customHeight="1" x14ac:dyDescent="0.25">
      <c r="A37" s="215">
        <v>44964</v>
      </c>
      <c r="B37" s="1689" t="s">
        <v>3635</v>
      </c>
      <c r="C37" s="879" t="s">
        <v>12</v>
      </c>
      <c r="D37" s="874"/>
      <c r="E37" s="875" t="s">
        <v>13</v>
      </c>
      <c r="F37" s="780">
        <v>973.17</v>
      </c>
      <c r="G37" s="982"/>
      <c r="H37" s="622"/>
      <c r="I37" s="982"/>
      <c r="J37" s="622"/>
      <c r="K37" s="982"/>
      <c r="L37" s="622"/>
      <c r="M37" s="982"/>
      <c r="N37" s="622"/>
      <c r="O37" s="1063">
        <f>F37</f>
        <v>973.17</v>
      </c>
      <c r="P37" s="622"/>
      <c r="Q37" s="1063"/>
      <c r="R37" s="622"/>
      <c r="S37" s="982"/>
      <c r="T37" s="927"/>
      <c r="U37" s="927"/>
      <c r="V37" s="878"/>
    </row>
    <row r="38" spans="1:44" s="224" customFormat="1" x14ac:dyDescent="0.25">
      <c r="A38" s="215">
        <v>44965</v>
      </c>
      <c r="B38" s="882" t="s">
        <v>3476</v>
      </c>
      <c r="C38" s="879" t="s">
        <v>12</v>
      </c>
      <c r="D38" s="879" t="s">
        <v>1489</v>
      </c>
      <c r="E38" s="480" t="s">
        <v>13</v>
      </c>
      <c r="F38" s="780">
        <v>13.5</v>
      </c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1063"/>
      <c r="R38" s="622"/>
      <c r="S38" s="982"/>
      <c r="T38" s="861"/>
      <c r="V38" s="878"/>
    </row>
    <row r="39" spans="1:44" s="224" customFormat="1" ht="15" customHeight="1" x14ac:dyDescent="0.25">
      <c r="A39" s="215">
        <v>44965</v>
      </c>
      <c r="B39" s="1275" t="s">
        <v>32</v>
      </c>
      <c r="C39" s="1276" t="s">
        <v>12</v>
      </c>
      <c r="D39" s="1276" t="s">
        <v>1485</v>
      </c>
      <c r="E39" s="1286" t="s">
        <v>13</v>
      </c>
      <c r="F39" s="780">
        <v>20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1063"/>
      <c r="R39" s="622"/>
      <c r="S39" s="982"/>
      <c r="T39" s="1080"/>
      <c r="U39" s="927"/>
      <c r="V39" s="878"/>
    </row>
    <row r="40" spans="1:44" s="224" customFormat="1" x14ac:dyDescent="0.25">
      <c r="A40" s="215">
        <v>44965</v>
      </c>
      <c r="B40" s="882" t="s">
        <v>3636</v>
      </c>
      <c r="C40" s="879" t="s">
        <v>12</v>
      </c>
      <c r="D40" s="879" t="s">
        <v>1524</v>
      </c>
      <c r="E40" s="480" t="s">
        <v>13</v>
      </c>
      <c r="F40" s="780">
        <v>6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1063"/>
      <c r="R40" s="622"/>
      <c r="S40" s="982"/>
      <c r="T40" s="861"/>
      <c r="V40" s="878"/>
    </row>
    <row r="41" spans="1:44" s="224" customFormat="1" x14ac:dyDescent="0.25">
      <c r="A41" s="215">
        <v>44965</v>
      </c>
      <c r="B41" s="1275" t="s">
        <v>14</v>
      </c>
      <c r="C41" s="1276" t="s">
        <v>12</v>
      </c>
      <c r="D41" s="1276" t="s">
        <v>1486</v>
      </c>
      <c r="E41" s="1286" t="s">
        <v>13</v>
      </c>
      <c r="F41" s="780">
        <v>9.33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1063"/>
      <c r="R41" s="622"/>
      <c r="S41" s="982"/>
      <c r="T41" s="861"/>
      <c r="V41" s="878"/>
    </row>
    <row r="42" spans="1:44" s="224" customFormat="1" ht="15" customHeight="1" x14ac:dyDescent="0.25">
      <c r="A42" s="215">
        <v>44966</v>
      </c>
      <c r="B42" s="1275" t="s">
        <v>32</v>
      </c>
      <c r="C42" s="1276" t="s">
        <v>12</v>
      </c>
      <c r="D42" s="1276" t="s">
        <v>1485</v>
      </c>
      <c r="E42" s="1286" t="s">
        <v>13</v>
      </c>
      <c r="F42" s="780">
        <v>20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1063"/>
      <c r="R42" s="622"/>
      <c r="S42" s="982"/>
      <c r="T42" s="927"/>
      <c r="U42" s="927"/>
      <c r="V42" s="878"/>
    </row>
    <row r="43" spans="1:44" s="224" customFormat="1" ht="15" customHeight="1" x14ac:dyDescent="0.25">
      <c r="A43" s="215">
        <v>44966</v>
      </c>
      <c r="B43" s="1689" t="s">
        <v>3637</v>
      </c>
      <c r="C43" s="879" t="s">
        <v>12</v>
      </c>
      <c r="D43" s="874"/>
      <c r="E43" s="875" t="s">
        <v>13</v>
      </c>
      <c r="F43" s="780">
        <v>522.20000000000005</v>
      </c>
      <c r="G43" s="982"/>
      <c r="H43" s="622"/>
      <c r="I43" s="982"/>
      <c r="J43" s="622"/>
      <c r="K43" s="982"/>
      <c r="L43" s="622"/>
      <c r="M43" s="982"/>
      <c r="N43" s="622"/>
      <c r="O43" s="1063">
        <f>F43</f>
        <v>522.20000000000005</v>
      </c>
      <c r="P43" s="622"/>
      <c r="Q43" s="1063"/>
      <c r="R43" s="622"/>
      <c r="S43" s="982"/>
      <c r="T43" s="927"/>
      <c r="U43" s="927"/>
      <c r="V43" s="878"/>
    </row>
    <row r="44" spans="1:44" s="224" customFormat="1" ht="15" customHeight="1" x14ac:dyDescent="0.25">
      <c r="A44" s="215">
        <v>44967</v>
      </c>
      <c r="B44" s="1275" t="s">
        <v>32</v>
      </c>
      <c r="C44" s="1276" t="s">
        <v>12</v>
      </c>
      <c r="D44" s="1276" t="s">
        <v>1485</v>
      </c>
      <c r="E44" s="1286" t="s">
        <v>13</v>
      </c>
      <c r="F44" s="780">
        <v>20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1063"/>
      <c r="R44" s="622"/>
      <c r="S44" s="982"/>
      <c r="T44" s="1080"/>
      <c r="U44" s="927"/>
      <c r="V44" s="878"/>
    </row>
    <row r="45" spans="1:44" s="224" customFormat="1" x14ac:dyDescent="0.25">
      <c r="A45" s="215">
        <v>44967</v>
      </c>
      <c r="B45" s="1275" t="s">
        <v>17</v>
      </c>
      <c r="C45" s="1276" t="s">
        <v>12</v>
      </c>
      <c r="D45" s="1276" t="s">
        <v>1493</v>
      </c>
      <c r="E45" s="1286" t="s">
        <v>13</v>
      </c>
      <c r="F45" s="780">
        <v>16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1063"/>
      <c r="R45" s="622"/>
      <c r="S45" s="982"/>
      <c r="T45" s="861"/>
      <c r="V45" s="878"/>
    </row>
    <row r="46" spans="1:44" s="224" customFormat="1" x14ac:dyDescent="0.25">
      <c r="A46" s="215">
        <v>44967</v>
      </c>
      <c r="B46" s="1275" t="s">
        <v>82</v>
      </c>
      <c r="C46" s="1276" t="s">
        <v>12</v>
      </c>
      <c r="D46" s="1276" t="s">
        <v>1493</v>
      </c>
      <c r="E46" s="1286" t="s">
        <v>13</v>
      </c>
      <c r="F46" s="780">
        <v>30</v>
      </c>
      <c r="G46" s="982"/>
      <c r="H46" s="1008"/>
      <c r="I46" s="1063"/>
      <c r="J46" s="622"/>
      <c r="K46" s="982"/>
      <c r="L46" s="622"/>
      <c r="M46" s="982"/>
      <c r="N46" s="622"/>
      <c r="O46" s="1063"/>
      <c r="P46" s="622"/>
      <c r="Q46" s="1063"/>
      <c r="R46" s="622"/>
      <c r="S46" s="982"/>
      <c r="T46" s="861"/>
      <c r="V46" s="878"/>
    </row>
    <row r="47" spans="1:44" s="224" customFormat="1" ht="15" customHeight="1" x14ac:dyDescent="0.25">
      <c r="A47" s="215">
        <v>44967</v>
      </c>
      <c r="B47" s="364" t="s">
        <v>3354</v>
      </c>
      <c r="C47" s="350" t="s">
        <v>12</v>
      </c>
      <c r="D47" s="350"/>
      <c r="E47" s="480" t="s">
        <v>25</v>
      </c>
      <c r="F47" s="613"/>
      <c r="G47" s="967"/>
      <c r="H47" s="1008"/>
      <c r="I47" s="1063"/>
      <c r="J47" s="1110"/>
      <c r="K47" s="1207"/>
      <c r="L47" s="880"/>
      <c r="M47" s="1033"/>
      <c r="N47" s="880"/>
      <c r="O47" s="1525"/>
      <c r="P47" s="1116"/>
      <c r="Q47" s="1737"/>
      <c r="R47" s="613"/>
      <c r="S47" s="162">
        <v>175.92</v>
      </c>
      <c r="T47" s="1209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s="224" customFormat="1" ht="15" customHeight="1" x14ac:dyDescent="0.25">
      <c r="A48" s="215">
        <v>44968</v>
      </c>
      <c r="B48" s="882" t="s">
        <v>390</v>
      </c>
      <c r="C48" s="879" t="s">
        <v>12</v>
      </c>
      <c r="D48" s="879"/>
      <c r="E48" s="871" t="s">
        <v>25</v>
      </c>
      <c r="F48" s="780"/>
      <c r="G48" s="982">
        <v>700</v>
      </c>
      <c r="H48" s="622">
        <v>700</v>
      </c>
      <c r="I48" s="982"/>
      <c r="J48" s="622"/>
      <c r="K48" s="982"/>
      <c r="L48" s="622"/>
      <c r="M48" s="982"/>
      <c r="N48" s="622"/>
      <c r="O48" s="1063"/>
      <c r="P48" s="622"/>
      <c r="Q48" s="1063"/>
      <c r="R48" s="622"/>
      <c r="S48" s="982"/>
      <c r="T48" s="1080"/>
      <c r="U48" s="927"/>
      <c r="V48" s="878"/>
    </row>
    <row r="49" spans="1:44" s="224" customFormat="1" ht="15" customHeight="1" x14ac:dyDescent="0.25">
      <c r="A49" s="215">
        <v>44968</v>
      </c>
      <c r="B49" s="873" t="s">
        <v>2629</v>
      </c>
      <c r="C49" s="874" t="s">
        <v>12</v>
      </c>
      <c r="D49" s="874" t="s">
        <v>1489</v>
      </c>
      <c r="E49" s="875" t="s">
        <v>13</v>
      </c>
      <c r="F49" s="780">
        <v>115.7</v>
      </c>
      <c r="G49" s="982"/>
      <c r="H49" s="622"/>
      <c r="I49" s="982"/>
      <c r="J49" s="622"/>
      <c r="K49" s="982"/>
      <c r="L49" s="622"/>
      <c r="M49" s="982"/>
      <c r="N49" s="622"/>
      <c r="O49" s="1063"/>
      <c r="P49" s="622"/>
      <c r="Q49" s="1063"/>
      <c r="R49" s="622"/>
      <c r="S49" s="982"/>
      <c r="T49" s="927"/>
      <c r="U49" s="927"/>
      <c r="V49" s="878"/>
    </row>
    <row r="50" spans="1:44" s="224" customFormat="1" ht="15" customHeight="1" x14ac:dyDescent="0.25">
      <c r="A50" s="215">
        <v>44968</v>
      </c>
      <c r="B50" s="882" t="s">
        <v>138</v>
      </c>
      <c r="C50" s="879" t="s">
        <v>12</v>
      </c>
      <c r="D50" s="879" t="s">
        <v>2157</v>
      </c>
      <c r="E50" s="875" t="s">
        <v>13</v>
      </c>
      <c r="F50" s="780">
        <v>80</v>
      </c>
      <c r="G50" s="982"/>
      <c r="H50" s="95"/>
      <c r="I50" s="1064"/>
      <c r="J50" s="622"/>
      <c r="K50" s="982"/>
      <c r="L50" s="622"/>
      <c r="M50" s="982"/>
      <c r="N50" s="622"/>
      <c r="O50" s="1063"/>
      <c r="P50" s="622"/>
      <c r="Q50" s="1063"/>
      <c r="R50" s="622"/>
      <c r="S50" s="982"/>
      <c r="T50" s="861"/>
    </row>
    <row r="51" spans="1:44" s="224" customFormat="1" ht="15" customHeight="1" x14ac:dyDescent="0.25">
      <c r="A51" s="215">
        <v>44968</v>
      </c>
      <c r="B51" s="882" t="s">
        <v>443</v>
      </c>
      <c r="C51" s="879" t="s">
        <v>12</v>
      </c>
      <c r="D51" s="879" t="s">
        <v>1493</v>
      </c>
      <c r="E51" s="875" t="s">
        <v>13</v>
      </c>
      <c r="F51" s="780">
        <v>30</v>
      </c>
      <c r="G51" s="982"/>
      <c r="H51" s="95"/>
      <c r="I51" s="1064"/>
      <c r="J51" s="622"/>
      <c r="K51" s="982"/>
      <c r="L51" s="622"/>
      <c r="M51" s="982"/>
      <c r="N51" s="622"/>
      <c r="O51" s="1063"/>
      <c r="P51" s="622"/>
      <c r="Q51" s="1063"/>
      <c r="R51" s="622"/>
      <c r="S51" s="982"/>
      <c r="T51" s="861"/>
    </row>
    <row r="52" spans="1:44" s="224" customFormat="1" ht="15" customHeight="1" x14ac:dyDescent="0.25">
      <c r="A52" s="215">
        <v>44968</v>
      </c>
      <c r="B52" s="882" t="s">
        <v>3638</v>
      </c>
      <c r="C52" s="879" t="s">
        <v>12</v>
      </c>
      <c r="D52" s="879" t="s">
        <v>1523</v>
      </c>
      <c r="E52" s="875" t="s">
        <v>13</v>
      </c>
      <c r="F52" s="780">
        <v>62</v>
      </c>
      <c r="G52" s="982"/>
      <c r="H52" s="95"/>
      <c r="I52" s="1064"/>
      <c r="J52" s="622"/>
      <c r="K52" s="982"/>
      <c r="L52" s="622"/>
      <c r="M52" s="982"/>
      <c r="N52" s="622"/>
      <c r="O52" s="1063"/>
      <c r="P52" s="622"/>
      <c r="Q52" s="1063"/>
      <c r="R52" s="622"/>
      <c r="S52" s="982"/>
      <c r="T52" s="861"/>
    </row>
    <row r="53" spans="1:44" s="224" customFormat="1" ht="15" customHeight="1" x14ac:dyDescent="0.25">
      <c r="A53" s="215">
        <v>44968</v>
      </c>
      <c r="B53" s="882" t="s">
        <v>525</v>
      </c>
      <c r="C53" s="879" t="s">
        <v>12</v>
      </c>
      <c r="D53" s="879" t="s">
        <v>1493</v>
      </c>
      <c r="E53" s="875" t="s">
        <v>13</v>
      </c>
      <c r="F53" s="780">
        <v>27</v>
      </c>
      <c r="G53" s="982"/>
      <c r="H53" s="95"/>
      <c r="I53" s="1064"/>
      <c r="J53" s="622"/>
      <c r="K53" s="982"/>
      <c r="L53" s="622"/>
      <c r="M53" s="982"/>
      <c r="N53" s="622"/>
      <c r="O53" s="1063"/>
      <c r="P53" s="622"/>
      <c r="Q53" s="1063"/>
      <c r="R53" s="622"/>
      <c r="S53" s="982"/>
      <c r="T53" s="861"/>
    </row>
    <row r="54" spans="1:44" s="224" customFormat="1" x14ac:dyDescent="0.25">
      <c r="A54" s="215">
        <v>44969</v>
      </c>
      <c r="B54" s="1275" t="s">
        <v>14</v>
      </c>
      <c r="C54" s="1276" t="s">
        <v>12</v>
      </c>
      <c r="D54" s="1276" t="s">
        <v>1486</v>
      </c>
      <c r="E54" s="1286" t="s">
        <v>13</v>
      </c>
      <c r="F54" s="780">
        <v>7.5</v>
      </c>
      <c r="G54" s="982"/>
      <c r="H54" s="1008"/>
      <c r="I54" s="1063"/>
      <c r="J54" s="622"/>
      <c r="K54" s="982"/>
      <c r="L54" s="622"/>
      <c r="M54" s="982"/>
      <c r="N54" s="622"/>
      <c r="O54" s="1063"/>
      <c r="P54" s="622"/>
      <c r="Q54" s="1063"/>
      <c r="R54" s="622"/>
      <c r="S54" s="982"/>
      <c r="T54" s="861"/>
      <c r="V54" s="878"/>
    </row>
    <row r="55" spans="1:44" s="224" customFormat="1" ht="15" customHeight="1" x14ac:dyDescent="0.25">
      <c r="A55" s="215">
        <v>44969</v>
      </c>
      <c r="B55" s="1275" t="s">
        <v>32</v>
      </c>
      <c r="C55" s="1276" t="s">
        <v>12</v>
      </c>
      <c r="D55" s="1276" t="s">
        <v>1485</v>
      </c>
      <c r="E55" s="1286" t="s">
        <v>13</v>
      </c>
      <c r="F55" s="780">
        <v>20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1063"/>
      <c r="R55" s="622"/>
      <c r="S55" s="982"/>
      <c r="T55" s="927"/>
      <c r="U55" s="927"/>
      <c r="V55" s="878"/>
    </row>
    <row r="56" spans="1:44" s="224" customFormat="1" x14ac:dyDescent="0.25">
      <c r="A56" s="215">
        <v>44969</v>
      </c>
      <c r="B56" s="882" t="s">
        <v>443</v>
      </c>
      <c r="C56" s="1276" t="s">
        <v>12</v>
      </c>
      <c r="D56" s="1276" t="s">
        <v>1485</v>
      </c>
      <c r="E56" s="1286" t="s">
        <v>15</v>
      </c>
      <c r="F56" s="780">
        <v>10</v>
      </c>
      <c r="G56" s="982"/>
      <c r="H56" s="1008"/>
      <c r="I56" s="1063"/>
      <c r="J56" s="622"/>
      <c r="K56" s="982"/>
      <c r="L56" s="622"/>
      <c r="M56" s="982"/>
      <c r="N56" s="622"/>
      <c r="O56" s="1063"/>
      <c r="P56" s="622"/>
      <c r="Q56" s="1063"/>
      <c r="R56" s="622"/>
      <c r="S56" s="982"/>
      <c r="T56" s="861"/>
      <c r="V56" s="878"/>
    </row>
    <row r="57" spans="1:44" s="224" customFormat="1" ht="15" customHeight="1" x14ac:dyDescent="0.25">
      <c r="A57" s="215">
        <v>44970</v>
      </c>
      <c r="B57" s="1275" t="s">
        <v>32</v>
      </c>
      <c r="C57" s="1276" t="s">
        <v>12</v>
      </c>
      <c r="D57" s="1276" t="s">
        <v>1485</v>
      </c>
      <c r="E57" s="1286" t="s">
        <v>13</v>
      </c>
      <c r="F57" s="780">
        <v>20</v>
      </c>
      <c r="G57" s="982"/>
      <c r="H57" s="622"/>
      <c r="I57" s="982"/>
      <c r="J57" s="622"/>
      <c r="K57" s="982"/>
      <c r="L57" s="622"/>
      <c r="M57" s="982"/>
      <c r="N57" s="622"/>
      <c r="O57" s="1063"/>
      <c r="P57" s="622"/>
      <c r="Q57" s="1063"/>
      <c r="R57" s="622"/>
      <c r="S57" s="982"/>
      <c r="T57" s="927"/>
      <c r="U57" s="927"/>
      <c r="V57" s="878"/>
    </row>
    <row r="58" spans="1:44" s="224" customFormat="1" ht="15" customHeight="1" x14ac:dyDescent="0.25">
      <c r="A58" s="215">
        <v>44970</v>
      </c>
      <c r="B58" s="1275" t="s">
        <v>478</v>
      </c>
      <c r="C58" s="1276" t="s">
        <v>12</v>
      </c>
      <c r="D58" s="1276" t="s">
        <v>1496</v>
      </c>
      <c r="E58" s="1286" t="s">
        <v>13</v>
      </c>
      <c r="F58" s="780">
        <v>11.6</v>
      </c>
      <c r="G58" s="982"/>
      <c r="H58" s="622"/>
      <c r="I58" s="982"/>
      <c r="J58" s="622"/>
      <c r="K58" s="982"/>
      <c r="L58" s="622"/>
      <c r="M58" s="982"/>
      <c r="N58" s="622"/>
      <c r="O58" s="1063"/>
      <c r="P58" s="622"/>
      <c r="Q58" s="1063"/>
      <c r="R58" s="622"/>
      <c r="S58" s="982"/>
      <c r="T58" s="927"/>
      <c r="U58" s="927"/>
      <c r="V58" s="878"/>
    </row>
    <row r="59" spans="1:44" s="224" customFormat="1" ht="15" customHeight="1" x14ac:dyDescent="0.25">
      <c r="A59" s="215">
        <v>44971</v>
      </c>
      <c r="B59" s="1275" t="s">
        <v>32</v>
      </c>
      <c r="C59" s="1276" t="s">
        <v>12</v>
      </c>
      <c r="D59" s="1276" t="s">
        <v>1485</v>
      </c>
      <c r="E59" s="1286" t="s">
        <v>13</v>
      </c>
      <c r="F59" s="780">
        <v>20</v>
      </c>
      <c r="G59" s="982"/>
      <c r="H59" s="622"/>
      <c r="I59" s="982"/>
      <c r="J59" s="622"/>
      <c r="K59" s="982"/>
      <c r="L59" s="622"/>
      <c r="M59" s="982"/>
      <c r="N59" s="622"/>
      <c r="O59" s="1063"/>
      <c r="P59" s="622"/>
      <c r="Q59" s="1063"/>
      <c r="R59" s="622"/>
      <c r="S59" s="982"/>
      <c r="T59" s="927"/>
      <c r="U59" s="927"/>
      <c r="V59" s="878"/>
    </row>
    <row r="60" spans="1:44" s="224" customFormat="1" ht="15" customHeight="1" x14ac:dyDescent="0.25">
      <c r="A60" s="215">
        <v>44971</v>
      </c>
      <c r="B60" s="1275" t="s">
        <v>3639</v>
      </c>
      <c r="C60" s="1276" t="s">
        <v>12</v>
      </c>
      <c r="D60" s="1276" t="s">
        <v>1506</v>
      </c>
      <c r="E60" s="1286" t="s">
        <v>13</v>
      </c>
      <c r="F60" s="613">
        <v>49</v>
      </c>
      <c r="G60" s="967"/>
      <c r="H60" s="1008"/>
      <c r="I60" s="1063"/>
      <c r="J60" s="613"/>
      <c r="K60" s="6"/>
      <c r="L60" s="622"/>
      <c r="M60" s="982"/>
      <c r="N60" s="622"/>
      <c r="O60" s="1063"/>
      <c r="P60" s="872"/>
      <c r="Q60" s="1738"/>
      <c r="R60" s="613"/>
      <c r="S60" s="64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x14ac:dyDescent="0.25">
      <c r="A61" s="215">
        <v>44972</v>
      </c>
      <c r="B61" s="1275" t="s">
        <v>32</v>
      </c>
      <c r="C61" s="1276" t="s">
        <v>12</v>
      </c>
      <c r="D61" s="1276" t="s">
        <v>1485</v>
      </c>
      <c r="E61" s="1286" t="s">
        <v>13</v>
      </c>
      <c r="F61" s="780">
        <v>20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1063"/>
      <c r="R61" s="622"/>
      <c r="S61" s="982"/>
      <c r="T61" s="861"/>
      <c r="V61" s="878"/>
    </row>
    <row r="62" spans="1:44" s="224" customFormat="1" ht="15" customHeight="1" x14ac:dyDescent="0.25">
      <c r="A62" s="215">
        <v>44972</v>
      </c>
      <c r="B62" s="882" t="s">
        <v>138</v>
      </c>
      <c r="C62" s="879" t="s">
        <v>12</v>
      </c>
      <c r="D62" s="879" t="s">
        <v>2157</v>
      </c>
      <c r="E62" s="875" t="s">
        <v>13</v>
      </c>
      <c r="F62" s="780">
        <v>80</v>
      </c>
      <c r="G62" s="982"/>
      <c r="H62" s="95"/>
      <c r="I62" s="1064"/>
      <c r="J62" s="622"/>
      <c r="K62" s="982"/>
      <c r="L62" s="622"/>
      <c r="M62" s="982"/>
      <c r="N62" s="622"/>
      <c r="O62" s="1063"/>
      <c r="P62" s="622"/>
      <c r="Q62" s="1063"/>
      <c r="R62" s="622"/>
      <c r="S62" s="982"/>
      <c r="T62" s="861"/>
    </row>
    <row r="63" spans="1:44" s="224" customFormat="1" ht="15" customHeight="1" x14ac:dyDescent="0.25">
      <c r="A63" s="215">
        <v>44972</v>
      </c>
      <c r="B63" s="1275" t="s">
        <v>14</v>
      </c>
      <c r="C63" s="1276" t="s">
        <v>12</v>
      </c>
      <c r="D63" s="1276" t="s">
        <v>1486</v>
      </c>
      <c r="E63" s="1286" t="s">
        <v>13</v>
      </c>
      <c r="F63" s="780">
        <v>9.77</v>
      </c>
      <c r="G63" s="982"/>
      <c r="H63" s="622"/>
      <c r="I63" s="982"/>
      <c r="J63" s="622"/>
      <c r="K63" s="982"/>
      <c r="L63" s="622"/>
      <c r="M63" s="982"/>
      <c r="N63" s="622"/>
      <c r="O63" s="1063"/>
      <c r="P63" s="622"/>
      <c r="Q63" s="1063"/>
      <c r="R63" s="622"/>
      <c r="S63" s="982"/>
      <c r="T63" s="927"/>
      <c r="U63" s="927"/>
      <c r="V63" s="878"/>
    </row>
    <row r="64" spans="1:44" s="224" customFormat="1" ht="15" customHeight="1" x14ac:dyDescent="0.25">
      <c r="A64" s="215">
        <v>44973</v>
      </c>
      <c r="B64" s="1689" t="s">
        <v>3640</v>
      </c>
      <c r="C64" s="879" t="s">
        <v>12</v>
      </c>
      <c r="D64" s="874"/>
      <c r="E64" s="875" t="s">
        <v>13</v>
      </c>
      <c r="F64" s="780">
        <v>358.8</v>
      </c>
      <c r="G64" s="982"/>
      <c r="H64" s="622"/>
      <c r="I64" s="982"/>
      <c r="J64" s="622"/>
      <c r="K64" s="982"/>
      <c r="L64" s="622"/>
      <c r="M64" s="982"/>
      <c r="N64" s="622"/>
      <c r="O64" s="1063">
        <f>F64</f>
        <v>358.8</v>
      </c>
      <c r="P64" s="622"/>
      <c r="Q64" s="1063"/>
      <c r="R64" s="622"/>
      <c r="S64" s="982"/>
      <c r="T64" s="927"/>
      <c r="U64" s="927"/>
      <c r="V64" s="878"/>
    </row>
    <row r="65" spans="1:44" s="224" customFormat="1" x14ac:dyDescent="0.25">
      <c r="A65" s="215">
        <v>44973</v>
      </c>
      <c r="B65" s="1275" t="s">
        <v>32</v>
      </c>
      <c r="C65" s="1276" t="s">
        <v>12</v>
      </c>
      <c r="D65" s="1276" t="s">
        <v>1485</v>
      </c>
      <c r="E65" s="1286" t="s">
        <v>13</v>
      </c>
      <c r="F65" s="780">
        <v>20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1063"/>
      <c r="R65" s="622"/>
      <c r="S65" s="982"/>
      <c r="T65" s="861"/>
      <c r="V65" s="878"/>
    </row>
    <row r="66" spans="1:44" s="224" customFormat="1" ht="15" customHeight="1" x14ac:dyDescent="0.25">
      <c r="A66" s="215">
        <v>44973</v>
      </c>
      <c r="B66" s="364" t="s">
        <v>3641</v>
      </c>
      <c r="C66" s="350" t="s">
        <v>12</v>
      </c>
      <c r="D66" s="350" t="s">
        <v>1524</v>
      </c>
      <c r="E66" s="480" t="s">
        <v>13</v>
      </c>
      <c r="F66" s="613">
        <v>4.5</v>
      </c>
      <c r="G66" s="967"/>
      <c r="H66" s="1008"/>
      <c r="I66" s="1063"/>
      <c r="J66" s="1110"/>
      <c r="K66" s="1207"/>
      <c r="L66" s="880"/>
      <c r="M66" s="1033"/>
      <c r="N66" s="880"/>
      <c r="O66" s="1525"/>
      <c r="P66" s="1116"/>
      <c r="Q66" s="1737"/>
      <c r="R66" s="613"/>
      <c r="S66" s="162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x14ac:dyDescent="0.25">
      <c r="A67" s="215">
        <v>44973</v>
      </c>
      <c r="B67" s="882" t="s">
        <v>3642</v>
      </c>
      <c r="C67" s="879" t="s">
        <v>12</v>
      </c>
      <c r="D67" s="879" t="s">
        <v>1524</v>
      </c>
      <c r="E67" s="480" t="s">
        <v>13</v>
      </c>
      <c r="F67" s="780">
        <v>3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1063"/>
      <c r="R67" s="622"/>
      <c r="S67" s="982"/>
      <c r="T67" s="861"/>
      <c r="V67" s="878"/>
    </row>
    <row r="68" spans="1:44" s="224" customFormat="1" ht="15" customHeight="1" x14ac:dyDescent="0.25">
      <c r="A68" s="215">
        <v>44973</v>
      </c>
      <c r="B68" s="1275" t="s">
        <v>14</v>
      </c>
      <c r="C68" s="1276" t="s">
        <v>12</v>
      </c>
      <c r="D68" s="1276" t="s">
        <v>1486</v>
      </c>
      <c r="E68" s="1286" t="s">
        <v>13</v>
      </c>
      <c r="F68" s="613">
        <v>5.73</v>
      </c>
      <c r="G68" s="967"/>
      <c r="H68" s="1008"/>
      <c r="I68" s="1063"/>
      <c r="J68" s="1110"/>
      <c r="K68" s="1207"/>
      <c r="L68" s="880"/>
      <c r="M68" s="1033"/>
      <c r="N68" s="880"/>
      <c r="O68" s="1525"/>
      <c r="P68" s="1116"/>
      <c r="Q68" s="1737"/>
      <c r="R68" s="613"/>
      <c r="S68" s="162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customHeight="1" x14ac:dyDescent="0.25">
      <c r="A69" s="215">
        <v>44974</v>
      </c>
      <c r="B69" s="882" t="s">
        <v>3643</v>
      </c>
      <c r="C69" s="350" t="s">
        <v>12</v>
      </c>
      <c r="D69" s="350"/>
      <c r="E69" s="480" t="s">
        <v>25</v>
      </c>
      <c r="F69" s="622"/>
      <c r="G69" s="982">
        <v>2000</v>
      </c>
      <c r="H69" s="1008"/>
      <c r="I69" s="1063"/>
      <c r="J69" s="622"/>
      <c r="K69" s="982"/>
      <c r="L69" s="622"/>
      <c r="M69" s="982"/>
      <c r="N69" s="622"/>
      <c r="O69" s="1063"/>
      <c r="P69" s="622"/>
      <c r="Q69" s="1063"/>
      <c r="R69" s="622"/>
      <c r="S69" s="982"/>
      <c r="T69" s="861"/>
    </row>
    <row r="70" spans="1:44" s="224" customFormat="1" ht="15" customHeight="1" x14ac:dyDescent="0.25">
      <c r="A70" s="215">
        <v>44974</v>
      </c>
      <c r="B70" s="862" t="s">
        <v>2867</v>
      </c>
      <c r="C70" s="350" t="s">
        <v>12</v>
      </c>
      <c r="D70" s="874" t="s">
        <v>1504</v>
      </c>
      <c r="E70" s="887" t="s">
        <v>13</v>
      </c>
      <c r="F70" s="1245"/>
      <c r="G70" s="982"/>
      <c r="H70" s="1009"/>
      <c r="I70" s="1063"/>
      <c r="J70" s="853"/>
      <c r="K70" s="982"/>
      <c r="L70" s="853"/>
      <c r="M70" s="982"/>
      <c r="N70" s="853"/>
      <c r="O70" s="1063"/>
      <c r="P70" s="622"/>
      <c r="Q70" s="1063"/>
      <c r="R70" s="622"/>
      <c r="S70" s="982"/>
      <c r="T70" s="1690" t="s">
        <v>3572</v>
      </c>
      <c r="U70" s="1690"/>
      <c r="V70" s="1690"/>
      <c r="W70" s="1690"/>
      <c r="X70" s="1690"/>
      <c r="Y70" s="1690"/>
      <c r="Z70" s="1690"/>
      <c r="AA70" s="1690"/>
      <c r="AB70" s="1690"/>
    </row>
    <row r="71" spans="1:44" s="224" customFormat="1" ht="14.25" customHeight="1" x14ac:dyDescent="0.25">
      <c r="A71" s="215">
        <v>44974</v>
      </c>
      <c r="B71" s="364" t="s">
        <v>2977</v>
      </c>
      <c r="C71" s="350" t="s">
        <v>12</v>
      </c>
      <c r="D71" s="350" t="s">
        <v>1491</v>
      </c>
      <c r="E71" s="875" t="s">
        <v>13</v>
      </c>
      <c r="F71" s="780">
        <v>300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1063"/>
      <c r="R71" s="622"/>
      <c r="S71" s="982"/>
      <c r="T71" s="1029"/>
      <c r="U71" s="89"/>
      <c r="V71" s="930"/>
    </row>
    <row r="72" spans="1:44" s="224" customFormat="1" ht="15" customHeight="1" x14ac:dyDescent="0.25">
      <c r="A72" s="215">
        <v>44974</v>
      </c>
      <c r="B72" s="349" t="s">
        <v>3644</v>
      </c>
      <c r="C72" s="887" t="s">
        <v>12</v>
      </c>
      <c r="D72" s="350" t="s">
        <v>1506</v>
      </c>
      <c r="E72" s="887" t="s">
        <v>13</v>
      </c>
      <c r="F72" s="613">
        <v>100</v>
      </c>
      <c r="G72" s="982"/>
      <c r="H72" s="872"/>
      <c r="I72" s="1063"/>
      <c r="J72" s="622"/>
      <c r="K72" s="982"/>
      <c r="L72" s="622"/>
      <c r="M72" s="982"/>
      <c r="N72" s="622"/>
      <c r="O72" s="1063"/>
      <c r="P72" s="622"/>
      <c r="Q72" s="1063"/>
      <c r="R72" s="622"/>
      <c r="S72" s="982"/>
      <c r="T72" s="927"/>
      <c r="U72" s="999"/>
      <c r="V72" s="878"/>
    </row>
    <row r="73" spans="1:44" s="224" customFormat="1" ht="15" customHeight="1" x14ac:dyDescent="0.25">
      <c r="A73" s="215">
        <v>44974</v>
      </c>
      <c r="B73" s="349" t="s">
        <v>3644</v>
      </c>
      <c r="C73" s="887" t="s">
        <v>12</v>
      </c>
      <c r="D73" s="350" t="s">
        <v>1491</v>
      </c>
      <c r="E73" s="887" t="s">
        <v>13</v>
      </c>
      <c r="F73" s="613">
        <v>120</v>
      </c>
      <c r="G73" s="982"/>
      <c r="H73" s="872"/>
      <c r="I73" s="1063"/>
      <c r="J73" s="622"/>
      <c r="K73" s="982"/>
      <c r="L73" s="622"/>
      <c r="M73" s="982"/>
      <c r="N73" s="622"/>
      <c r="O73" s="1063"/>
      <c r="P73" s="622"/>
      <c r="Q73" s="1063"/>
      <c r="R73" s="622"/>
      <c r="S73" s="982"/>
      <c r="T73" s="927"/>
      <c r="U73" s="999"/>
      <c r="V73" s="878"/>
    </row>
    <row r="74" spans="1:44" s="224" customFormat="1" ht="15" customHeight="1" x14ac:dyDescent="0.25">
      <c r="A74" s="215">
        <v>44974</v>
      </c>
      <c r="B74" s="349" t="s">
        <v>3644</v>
      </c>
      <c r="C74" s="887" t="s">
        <v>12</v>
      </c>
      <c r="D74" s="1005" t="s">
        <v>1522</v>
      </c>
      <c r="E74" s="887" t="s">
        <v>13</v>
      </c>
      <c r="F74" s="1116">
        <v>70</v>
      </c>
      <c r="G74" s="982"/>
      <c r="H74" s="872"/>
      <c r="I74" s="1063"/>
      <c r="J74" s="622"/>
      <c r="K74" s="982"/>
      <c r="L74" s="622"/>
      <c r="M74" s="982"/>
      <c r="N74" s="622"/>
      <c r="O74" s="1063"/>
      <c r="P74" s="622"/>
      <c r="Q74" s="1063"/>
      <c r="R74" s="622"/>
      <c r="S74" s="982"/>
      <c r="T74" s="927"/>
      <c r="U74" s="999"/>
      <c r="V74" s="878"/>
    </row>
    <row r="75" spans="1:44" s="224" customFormat="1" ht="15" customHeight="1" x14ac:dyDescent="0.25">
      <c r="A75" s="215">
        <v>44974</v>
      </c>
      <c r="B75" s="349" t="s">
        <v>3644</v>
      </c>
      <c r="C75" s="887" t="s">
        <v>12</v>
      </c>
      <c r="D75" s="350" t="s">
        <v>1522</v>
      </c>
      <c r="E75" s="887" t="s">
        <v>13</v>
      </c>
      <c r="F75" s="613">
        <v>166.66666666666666</v>
      </c>
      <c r="G75" s="982"/>
      <c r="H75" s="872"/>
      <c r="I75" s="1063"/>
      <c r="J75" s="622"/>
      <c r="K75" s="982"/>
      <c r="L75" s="622"/>
      <c r="M75" s="982"/>
      <c r="N75" s="622"/>
      <c r="O75" s="1063"/>
      <c r="P75" s="622"/>
      <c r="Q75" s="1063"/>
      <c r="R75" s="622"/>
      <c r="S75" s="982"/>
      <c r="T75" s="927"/>
      <c r="U75" s="999"/>
      <c r="V75" s="878"/>
    </row>
    <row r="76" spans="1:44" s="224" customFormat="1" ht="15" customHeight="1" x14ac:dyDescent="0.25">
      <c r="A76" s="215">
        <v>44974</v>
      </c>
      <c r="B76" s="349" t="s">
        <v>3644</v>
      </c>
      <c r="C76" s="887" t="s">
        <v>12</v>
      </c>
      <c r="D76" s="1005" t="s">
        <v>1522</v>
      </c>
      <c r="E76" s="887" t="s">
        <v>13</v>
      </c>
      <c r="F76" s="1116">
        <v>95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1063"/>
      <c r="R76" s="622"/>
      <c r="S76" s="982"/>
      <c r="T76" s="927"/>
      <c r="U76" s="999"/>
      <c r="V76" s="878"/>
    </row>
    <row r="77" spans="1:44" s="224" customFormat="1" ht="15" customHeight="1" x14ac:dyDescent="0.25">
      <c r="A77" s="215">
        <v>44974</v>
      </c>
      <c r="B77" s="349" t="s">
        <v>3644</v>
      </c>
      <c r="C77" s="887" t="s">
        <v>12</v>
      </c>
      <c r="D77" s="350" t="s">
        <v>1504</v>
      </c>
      <c r="E77" s="887" t="s">
        <v>13</v>
      </c>
      <c r="F77" s="613">
        <v>11.95</v>
      </c>
      <c r="G77" s="982"/>
      <c r="H77" s="872"/>
      <c r="I77" s="1063"/>
      <c r="J77" s="622"/>
      <c r="K77" s="982"/>
      <c r="L77" s="622"/>
      <c r="M77" s="982"/>
      <c r="N77" s="622"/>
      <c r="O77" s="1063"/>
      <c r="P77" s="622"/>
      <c r="Q77" s="1063"/>
      <c r="R77" s="622"/>
      <c r="S77" s="982"/>
      <c r="T77" s="927"/>
      <c r="U77" s="999"/>
      <c r="V77" s="878"/>
    </row>
    <row r="78" spans="1:44" s="224" customFormat="1" ht="15" customHeight="1" x14ac:dyDescent="0.25">
      <c r="A78" s="215">
        <v>44974</v>
      </c>
      <c r="B78" s="349" t="s">
        <v>3644</v>
      </c>
      <c r="C78" s="887" t="s">
        <v>12</v>
      </c>
      <c r="D78" s="350" t="s">
        <v>1524</v>
      </c>
      <c r="E78" s="887" t="s">
        <v>13</v>
      </c>
      <c r="F78" s="613">
        <v>100</v>
      </c>
      <c r="G78" s="982"/>
      <c r="H78" s="872"/>
      <c r="I78" s="1063"/>
      <c r="J78" s="622"/>
      <c r="K78" s="982"/>
      <c r="L78" s="622"/>
      <c r="M78" s="982"/>
      <c r="N78" s="622"/>
      <c r="O78" s="1063"/>
      <c r="P78" s="622"/>
      <c r="Q78" s="1063"/>
      <c r="R78" s="622"/>
      <c r="S78" s="982"/>
      <c r="T78" s="927"/>
      <c r="U78" s="999"/>
      <c r="V78" s="878"/>
    </row>
    <row r="79" spans="1:44" s="224" customFormat="1" ht="15" customHeight="1" x14ac:dyDescent="0.25">
      <c r="A79" s="215">
        <v>44974</v>
      </c>
      <c r="B79" s="882" t="s">
        <v>3645</v>
      </c>
      <c r="C79" s="879" t="s">
        <v>12</v>
      </c>
      <c r="D79" s="879" t="s">
        <v>1499</v>
      </c>
      <c r="E79" s="871" t="s">
        <v>13</v>
      </c>
      <c r="F79" s="780">
        <v>31.32</v>
      </c>
      <c r="G79" s="982"/>
      <c r="H79" s="1008"/>
      <c r="I79" s="1063"/>
      <c r="J79" s="622"/>
      <c r="K79" s="982"/>
      <c r="L79" s="622"/>
      <c r="M79" s="982"/>
      <c r="N79" s="622"/>
      <c r="O79" s="1063"/>
      <c r="P79" s="622"/>
      <c r="Q79" s="1063"/>
      <c r="R79" s="622"/>
      <c r="S79" s="982"/>
      <c r="T79" s="861"/>
      <c r="V79" s="1123"/>
      <c r="W79" s="999"/>
    </row>
    <row r="80" spans="1:44" s="224" customFormat="1" ht="15" customHeight="1" x14ac:dyDescent="0.25">
      <c r="A80" s="215">
        <v>44974</v>
      </c>
      <c r="B80" s="882" t="s">
        <v>3646</v>
      </c>
      <c r="C80" s="879" t="s">
        <v>12</v>
      </c>
      <c r="D80" s="879" t="s">
        <v>1522</v>
      </c>
      <c r="E80" s="871" t="s">
        <v>13</v>
      </c>
      <c r="F80" s="780">
        <v>339.33</v>
      </c>
      <c r="G80" s="982"/>
      <c r="H80" s="622"/>
      <c r="I80" s="982"/>
      <c r="J80" s="622"/>
      <c r="K80" s="982"/>
      <c r="L80" s="622"/>
      <c r="M80" s="982"/>
      <c r="N80" s="622"/>
      <c r="O80" s="1063"/>
      <c r="P80" s="622"/>
      <c r="Q80" s="1063"/>
      <c r="R80" s="622"/>
      <c r="S80" s="982"/>
      <c r="T80" s="927">
        <v>339.33</v>
      </c>
      <c r="V80" s="878"/>
    </row>
    <row r="81" spans="1:23" s="224" customFormat="1" ht="15" customHeight="1" x14ac:dyDescent="0.25">
      <c r="A81" s="215">
        <v>44974</v>
      </c>
      <c r="B81" s="1689" t="s">
        <v>3647</v>
      </c>
      <c r="C81" s="879" t="s">
        <v>12</v>
      </c>
      <c r="D81" s="874"/>
      <c r="E81" s="875" t="s">
        <v>13</v>
      </c>
      <c r="F81" s="780">
        <v>237.96</v>
      </c>
      <c r="G81" s="982"/>
      <c r="H81" s="622"/>
      <c r="I81" s="982"/>
      <c r="J81" s="622"/>
      <c r="K81" s="982"/>
      <c r="L81" s="622"/>
      <c r="M81" s="982"/>
      <c r="N81" s="622"/>
      <c r="O81" s="1063">
        <f>F81</f>
        <v>237.96</v>
      </c>
      <c r="P81" s="622"/>
      <c r="Q81" s="1063"/>
      <c r="R81" s="622"/>
      <c r="S81" s="982"/>
      <c r="T81" s="927"/>
      <c r="U81" s="927"/>
      <c r="V81" s="878"/>
    </row>
    <row r="82" spans="1:23" s="224" customFormat="1" ht="15" customHeight="1" x14ac:dyDescent="0.25">
      <c r="A82" s="215">
        <v>44974</v>
      </c>
      <c r="B82" s="1275" t="s">
        <v>14</v>
      </c>
      <c r="C82" s="1276" t="s">
        <v>12</v>
      </c>
      <c r="D82" s="1276" t="s">
        <v>1486</v>
      </c>
      <c r="E82" s="1286" t="s">
        <v>13</v>
      </c>
      <c r="F82" s="780">
        <v>12.78</v>
      </c>
      <c r="G82" s="982"/>
      <c r="H82" s="622"/>
      <c r="I82" s="982"/>
      <c r="J82" s="622"/>
      <c r="K82" s="982"/>
      <c r="L82" s="622"/>
      <c r="M82" s="982"/>
      <c r="N82" s="622"/>
      <c r="O82" s="1063"/>
      <c r="P82" s="880"/>
      <c r="Q82" s="1525"/>
      <c r="R82" s="880"/>
      <c r="S82" s="1033"/>
      <c r="T82" s="927"/>
      <c r="V82" s="878"/>
    </row>
    <row r="83" spans="1:23" s="224" customFormat="1" ht="15" customHeight="1" x14ac:dyDescent="0.25">
      <c r="A83" s="215">
        <v>44974</v>
      </c>
      <c r="B83" s="364" t="s">
        <v>3325</v>
      </c>
      <c r="C83" s="350" t="s">
        <v>12</v>
      </c>
      <c r="D83" s="350" t="s">
        <v>1504</v>
      </c>
      <c r="E83" s="875" t="s">
        <v>13</v>
      </c>
      <c r="F83" s="780">
        <v>32.49</v>
      </c>
      <c r="G83" s="982"/>
      <c r="H83" s="622"/>
      <c r="I83" s="982"/>
      <c r="J83" s="622"/>
      <c r="K83" s="982"/>
      <c r="L83" s="622"/>
      <c r="M83" s="982"/>
      <c r="N83" s="622"/>
      <c r="O83" s="1063"/>
      <c r="P83" s="622"/>
      <c r="Q83" s="1063"/>
      <c r="R83" s="1114"/>
      <c r="S83" s="1115"/>
      <c r="T83" s="878"/>
    </row>
    <row r="84" spans="1:23" s="224" customFormat="1" ht="15" customHeight="1" x14ac:dyDescent="0.25">
      <c r="A84" s="215">
        <v>44975</v>
      </c>
      <c r="B84" s="882" t="s">
        <v>3648</v>
      </c>
      <c r="C84" s="879" t="s">
        <v>12</v>
      </c>
      <c r="D84" s="879" t="s">
        <v>1491</v>
      </c>
      <c r="E84" s="871" t="s">
        <v>13</v>
      </c>
      <c r="F84" s="780">
        <v>2.8</v>
      </c>
      <c r="G84" s="946"/>
      <c r="H84" s="95"/>
      <c r="I84" s="1064"/>
      <c r="J84" s="622"/>
      <c r="K84" s="982"/>
      <c r="L84" s="622"/>
      <c r="M84" s="982"/>
      <c r="N84" s="622"/>
      <c r="O84" s="1063"/>
      <c r="P84" s="622"/>
      <c r="Q84" s="1063"/>
      <c r="R84" s="622"/>
      <c r="S84" s="982"/>
      <c r="T84" s="861"/>
    </row>
    <row r="85" spans="1:23" s="224" customFormat="1" ht="15" customHeight="1" x14ac:dyDescent="0.25">
      <c r="A85" s="215">
        <v>44975</v>
      </c>
      <c r="B85" s="882" t="s">
        <v>3649</v>
      </c>
      <c r="C85" s="879" t="s">
        <v>12</v>
      </c>
      <c r="D85" s="879" t="s">
        <v>1491</v>
      </c>
      <c r="E85" s="871" t="s">
        <v>13</v>
      </c>
      <c r="F85" s="780">
        <v>15</v>
      </c>
      <c r="G85" s="982"/>
      <c r="H85" s="622"/>
      <c r="I85" s="982"/>
      <c r="J85" s="622"/>
      <c r="K85" s="982"/>
      <c r="L85" s="622"/>
      <c r="M85" s="982"/>
      <c r="N85" s="622"/>
      <c r="O85" s="1063"/>
      <c r="P85" s="880"/>
      <c r="Q85" s="1525"/>
      <c r="R85" s="880"/>
      <c r="S85" s="1033"/>
      <c r="T85" s="927"/>
      <c r="V85" s="878"/>
    </row>
    <row r="86" spans="1:23" s="224" customFormat="1" x14ac:dyDescent="0.25">
      <c r="A86" s="215">
        <v>44975</v>
      </c>
      <c r="B86" s="1275" t="s">
        <v>3650</v>
      </c>
      <c r="C86" s="1276" t="s">
        <v>12</v>
      </c>
      <c r="D86" s="1276" t="s">
        <v>1493</v>
      </c>
      <c r="E86" s="1286" t="s">
        <v>13</v>
      </c>
      <c r="F86" s="780">
        <v>50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1063"/>
      <c r="R86" s="622"/>
      <c r="S86" s="982"/>
      <c r="T86" s="861"/>
      <c r="V86" s="878"/>
    </row>
    <row r="87" spans="1:23" s="224" customFormat="1" ht="15" customHeight="1" x14ac:dyDescent="0.25">
      <c r="A87" s="215">
        <v>44976</v>
      </c>
      <c r="B87" s="1275" t="s">
        <v>14</v>
      </c>
      <c r="C87" s="1276" t="s">
        <v>12</v>
      </c>
      <c r="D87" s="1276" t="s">
        <v>1486</v>
      </c>
      <c r="E87" s="1286" t="s">
        <v>13</v>
      </c>
      <c r="F87" s="780">
        <v>8.27</v>
      </c>
      <c r="G87" s="946"/>
      <c r="H87" s="95"/>
      <c r="I87" s="1064"/>
      <c r="J87" s="622"/>
      <c r="K87" s="982"/>
      <c r="L87" s="622"/>
      <c r="M87" s="982"/>
      <c r="N87" s="622"/>
      <c r="O87" s="1063"/>
      <c r="P87" s="622"/>
      <c r="Q87" s="1063"/>
      <c r="R87" s="622"/>
      <c r="S87" s="982"/>
      <c r="T87" s="861"/>
    </row>
    <row r="88" spans="1:23" s="224" customFormat="1" ht="15" customHeight="1" x14ac:dyDescent="0.25">
      <c r="A88" s="215">
        <v>44977</v>
      </c>
      <c r="B88" s="1275" t="s">
        <v>14</v>
      </c>
      <c r="C88" s="1276" t="s">
        <v>12</v>
      </c>
      <c r="D88" s="1276" t="s">
        <v>1486</v>
      </c>
      <c r="E88" s="1286" t="s">
        <v>13</v>
      </c>
      <c r="F88" s="780">
        <v>5.36</v>
      </c>
      <c r="G88" s="946"/>
      <c r="H88" s="95"/>
      <c r="I88" s="1064"/>
      <c r="J88" s="622"/>
      <c r="K88" s="982"/>
      <c r="L88" s="622"/>
      <c r="M88" s="982"/>
      <c r="N88" s="622"/>
      <c r="O88" s="1063"/>
      <c r="P88" s="622"/>
      <c r="Q88" s="1063"/>
      <c r="R88" s="622"/>
      <c r="S88" s="982"/>
      <c r="T88" s="1028"/>
      <c r="W88" s="958"/>
    </row>
    <row r="89" spans="1:23" s="224" customFormat="1" ht="15" customHeight="1" x14ac:dyDescent="0.25">
      <c r="A89" s="215">
        <v>44977</v>
      </c>
      <c r="B89" s="882" t="s">
        <v>17</v>
      </c>
      <c r="C89" s="879" t="s">
        <v>12</v>
      </c>
      <c r="D89" s="879" t="s">
        <v>1493</v>
      </c>
      <c r="E89" s="871" t="s">
        <v>13</v>
      </c>
      <c r="F89" s="780">
        <v>4.5</v>
      </c>
      <c r="G89" s="946"/>
      <c r="H89" s="95"/>
      <c r="I89" s="1064"/>
      <c r="J89" s="622"/>
      <c r="K89" s="982"/>
      <c r="L89" s="622"/>
      <c r="M89" s="982"/>
      <c r="N89" s="622"/>
      <c r="O89" s="1063"/>
      <c r="P89" s="622"/>
      <c r="Q89" s="1063"/>
      <c r="R89" s="622"/>
      <c r="S89" s="982"/>
      <c r="T89" s="1028"/>
      <c r="W89" s="958"/>
    </row>
    <row r="90" spans="1:23" s="224" customFormat="1" ht="15" customHeight="1" x14ac:dyDescent="0.25">
      <c r="A90" s="215">
        <v>44977</v>
      </c>
      <c r="B90" s="882" t="s">
        <v>134</v>
      </c>
      <c r="C90" s="879" t="s">
        <v>12</v>
      </c>
      <c r="D90" s="879" t="s">
        <v>1493</v>
      </c>
      <c r="E90" s="871" t="s">
        <v>13</v>
      </c>
      <c r="F90" s="780">
        <v>30</v>
      </c>
      <c r="G90" s="946"/>
      <c r="H90" s="95"/>
      <c r="I90" s="1064"/>
      <c r="J90" s="622"/>
      <c r="K90" s="982"/>
      <c r="L90" s="622"/>
      <c r="M90" s="982"/>
      <c r="N90" s="622"/>
      <c r="O90" s="1063"/>
      <c r="P90" s="622"/>
      <c r="Q90" s="1063"/>
      <c r="R90" s="622"/>
      <c r="S90" s="982"/>
      <c r="T90" s="1028"/>
      <c r="W90" s="958"/>
    </row>
    <row r="91" spans="1:23" s="224" customFormat="1" ht="15" customHeight="1" x14ac:dyDescent="0.25">
      <c r="A91" s="215">
        <v>44978</v>
      </c>
      <c r="B91" s="1275" t="s">
        <v>14</v>
      </c>
      <c r="C91" s="1276" t="s">
        <v>12</v>
      </c>
      <c r="D91" s="1276" t="s">
        <v>1486</v>
      </c>
      <c r="E91" s="1286" t="s">
        <v>13</v>
      </c>
      <c r="F91" s="780">
        <v>10.220000000000001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880"/>
      <c r="Q91" s="1525"/>
      <c r="R91" s="880"/>
      <c r="S91" s="1033"/>
      <c r="T91" s="927"/>
      <c r="V91" s="878"/>
    </row>
    <row r="92" spans="1:23" s="224" customFormat="1" ht="15" customHeight="1" x14ac:dyDescent="0.25">
      <c r="A92" s="215">
        <v>44978</v>
      </c>
      <c r="B92" s="882" t="s">
        <v>138</v>
      </c>
      <c r="C92" s="879" t="s">
        <v>12</v>
      </c>
      <c r="D92" s="879" t="s">
        <v>2157</v>
      </c>
      <c r="E92" s="875" t="s">
        <v>13</v>
      </c>
      <c r="F92" s="780">
        <v>80</v>
      </c>
      <c r="G92" s="982"/>
      <c r="H92" s="95"/>
      <c r="I92" s="1064"/>
      <c r="J92" s="622"/>
      <c r="K92" s="982"/>
      <c r="L92" s="622"/>
      <c r="M92" s="982"/>
      <c r="N92" s="622"/>
      <c r="O92" s="1063"/>
      <c r="P92" s="622"/>
      <c r="Q92" s="1063"/>
      <c r="R92" s="622"/>
      <c r="S92" s="982"/>
      <c r="T92" s="861"/>
    </row>
    <row r="93" spans="1:23" s="224" customFormat="1" x14ac:dyDescent="0.25">
      <c r="A93" s="215">
        <v>44979</v>
      </c>
      <c r="B93" s="1275" t="s">
        <v>3651</v>
      </c>
      <c r="C93" s="1276" t="s">
        <v>12</v>
      </c>
      <c r="D93" s="1276"/>
      <c r="E93" s="1277" t="s">
        <v>25</v>
      </c>
      <c r="F93" s="1279"/>
      <c r="G93" s="982">
        <v>150</v>
      </c>
      <c r="H93" s="1008"/>
      <c r="I93" s="1063"/>
      <c r="J93" s="622"/>
      <c r="K93" s="982"/>
      <c r="L93" s="622"/>
      <c r="M93" s="982"/>
      <c r="N93" s="622"/>
      <c r="O93" s="1063"/>
      <c r="P93" s="622"/>
      <c r="Q93" s="1063"/>
      <c r="R93" s="622"/>
      <c r="S93" s="982"/>
      <c r="T93" s="861"/>
      <c r="V93" s="878"/>
    </row>
    <row r="94" spans="1:23" s="224" customFormat="1" x14ac:dyDescent="0.25">
      <c r="A94" s="215">
        <v>44979</v>
      </c>
      <c r="B94" s="1275" t="s">
        <v>3652</v>
      </c>
      <c r="C94" s="1276" t="s">
        <v>19</v>
      </c>
      <c r="D94" s="1276" t="s">
        <v>1496</v>
      </c>
      <c r="E94" s="1277" t="s">
        <v>13</v>
      </c>
      <c r="F94" s="1279">
        <v>76.17</v>
      </c>
      <c r="G94" s="982"/>
      <c r="H94" s="1008"/>
      <c r="I94" s="1063"/>
      <c r="J94" s="622"/>
      <c r="K94" s="982"/>
      <c r="L94" s="622"/>
      <c r="M94" s="982"/>
      <c r="N94" s="622"/>
      <c r="O94" s="1063"/>
      <c r="P94" s="622"/>
      <c r="Q94" s="1063"/>
      <c r="R94" s="622"/>
      <c r="S94" s="982"/>
      <c r="T94" s="861"/>
      <c r="V94" s="878"/>
    </row>
    <row r="95" spans="1:23" s="224" customFormat="1" x14ac:dyDescent="0.25">
      <c r="A95" s="215">
        <v>44979</v>
      </c>
      <c r="B95" s="1275" t="s">
        <v>3653</v>
      </c>
      <c r="C95" s="1276" t="s">
        <v>12</v>
      </c>
      <c r="D95" s="1276" t="s">
        <v>1524</v>
      </c>
      <c r="E95" s="1286" t="s">
        <v>13</v>
      </c>
      <c r="F95" s="780">
        <v>9</v>
      </c>
      <c r="G95" s="982"/>
      <c r="H95" s="1008"/>
      <c r="I95" s="1063"/>
      <c r="J95" s="622"/>
      <c r="K95" s="982"/>
      <c r="L95" s="622"/>
      <c r="M95" s="982"/>
      <c r="N95" s="622"/>
      <c r="O95" s="1063"/>
      <c r="P95" s="622"/>
      <c r="Q95" s="1063"/>
      <c r="R95" s="622"/>
      <c r="S95" s="982"/>
      <c r="T95" s="861"/>
      <c r="V95" s="878"/>
    </row>
    <row r="96" spans="1:23" s="224" customFormat="1" x14ac:dyDescent="0.25">
      <c r="A96" s="215">
        <v>44979</v>
      </c>
      <c r="B96" s="1275" t="s">
        <v>32</v>
      </c>
      <c r="C96" s="1276" t="s">
        <v>12</v>
      </c>
      <c r="D96" s="1276" t="s">
        <v>1485</v>
      </c>
      <c r="E96" s="1286" t="s">
        <v>13</v>
      </c>
      <c r="F96" s="780">
        <v>20</v>
      </c>
      <c r="G96" s="982"/>
      <c r="H96" s="1008"/>
      <c r="I96" s="1063"/>
      <c r="J96" s="622"/>
      <c r="K96" s="982"/>
      <c r="L96" s="622"/>
      <c r="M96" s="982"/>
      <c r="N96" s="622"/>
      <c r="O96" s="1063"/>
      <c r="P96" s="622"/>
      <c r="Q96" s="1063"/>
      <c r="R96" s="622"/>
      <c r="S96" s="982"/>
      <c r="T96" s="861"/>
      <c r="V96" s="878"/>
    </row>
    <row r="97" spans="1:23" s="224" customFormat="1" x14ac:dyDescent="0.25">
      <c r="A97" s="215">
        <v>44979</v>
      </c>
      <c r="B97" s="1275" t="s">
        <v>14</v>
      </c>
      <c r="C97" s="1276" t="s">
        <v>12</v>
      </c>
      <c r="D97" s="1276" t="s">
        <v>1486</v>
      </c>
      <c r="E97" s="1286" t="s">
        <v>13</v>
      </c>
      <c r="F97" s="1279">
        <v>12.65</v>
      </c>
      <c r="G97" s="982"/>
      <c r="H97" s="1008"/>
      <c r="I97" s="1063"/>
      <c r="J97" s="622"/>
      <c r="K97" s="982"/>
      <c r="L97" s="622"/>
      <c r="M97" s="982"/>
      <c r="N97" s="622"/>
      <c r="O97" s="1063"/>
      <c r="P97" s="622"/>
      <c r="Q97" s="1063"/>
      <c r="R97" s="622"/>
      <c r="S97" s="982"/>
      <c r="T97" s="861"/>
      <c r="V97" s="878"/>
    </row>
    <row r="98" spans="1:23" s="224" customFormat="1" ht="15" customHeight="1" x14ac:dyDescent="0.25">
      <c r="A98" s="215">
        <v>44980</v>
      </c>
      <c r="B98" s="862" t="s">
        <v>3529</v>
      </c>
      <c r="C98" s="879" t="s">
        <v>12</v>
      </c>
      <c r="D98" s="879" t="s">
        <v>1504</v>
      </c>
      <c r="E98" s="871" t="s">
        <v>13</v>
      </c>
      <c r="F98" s="622">
        <v>40</v>
      </c>
      <c r="G98" s="946"/>
      <c r="H98" s="95"/>
      <c r="I98" s="1064"/>
      <c r="J98" s="622"/>
      <c r="K98" s="982"/>
      <c r="L98" s="622"/>
      <c r="M98" s="982"/>
      <c r="N98" s="622"/>
      <c r="O98" s="1063"/>
      <c r="P98" s="1110"/>
      <c r="Q98" s="1739"/>
      <c r="R98" s="1110"/>
      <c r="S98" s="1208"/>
      <c r="T98" s="1028"/>
      <c r="W98" s="958"/>
    </row>
    <row r="99" spans="1:23" s="224" customFormat="1" x14ac:dyDescent="0.25">
      <c r="A99" s="215">
        <v>44980</v>
      </c>
      <c r="B99" s="1275" t="s">
        <v>32</v>
      </c>
      <c r="C99" s="1276" t="s">
        <v>12</v>
      </c>
      <c r="D99" s="1276" t="s">
        <v>1485</v>
      </c>
      <c r="E99" s="1286" t="s">
        <v>13</v>
      </c>
      <c r="F99" s="780">
        <v>20</v>
      </c>
      <c r="G99" s="982"/>
      <c r="H99" s="1008"/>
      <c r="I99" s="1063"/>
      <c r="J99" s="622"/>
      <c r="K99" s="982"/>
      <c r="L99" s="622"/>
      <c r="M99" s="982"/>
      <c r="N99" s="622"/>
      <c r="O99" s="1063"/>
      <c r="P99" s="622"/>
      <c r="Q99" s="1063"/>
      <c r="R99" s="622"/>
      <c r="S99" s="982"/>
      <c r="T99" s="861"/>
      <c r="V99" s="878"/>
    </row>
    <row r="100" spans="1:23" s="224" customFormat="1" ht="15" customHeight="1" x14ac:dyDescent="0.25">
      <c r="A100" s="215">
        <v>44980</v>
      </c>
      <c r="B100" s="882" t="s">
        <v>461</v>
      </c>
      <c r="C100" s="879" t="s">
        <v>12</v>
      </c>
      <c r="D100" s="879" t="s">
        <v>1506</v>
      </c>
      <c r="E100" s="871" t="s">
        <v>13</v>
      </c>
      <c r="F100" s="780">
        <v>15</v>
      </c>
      <c r="G100" s="946"/>
      <c r="H100" s="95"/>
      <c r="I100" s="1064"/>
      <c r="J100" s="622"/>
      <c r="K100" s="982"/>
      <c r="L100" s="622"/>
      <c r="M100" s="982"/>
      <c r="N100" s="622"/>
      <c r="O100" s="1063"/>
      <c r="P100" s="622"/>
      <c r="Q100" s="1063"/>
      <c r="R100" s="622"/>
      <c r="S100" s="982"/>
      <c r="T100" s="1028"/>
      <c r="W100" s="958"/>
    </row>
    <row r="101" spans="1:23" s="224" customFormat="1" ht="15" customHeight="1" x14ac:dyDescent="0.25">
      <c r="A101" s="215">
        <v>44980</v>
      </c>
      <c r="B101" s="882" t="s">
        <v>3654</v>
      </c>
      <c r="C101" s="879" t="s">
        <v>12</v>
      </c>
      <c r="D101" s="879" t="s">
        <v>1524</v>
      </c>
      <c r="E101" s="871" t="s">
        <v>13</v>
      </c>
      <c r="F101" s="780">
        <v>7</v>
      </c>
      <c r="G101" s="946"/>
      <c r="H101" s="95"/>
      <c r="I101" s="1064"/>
      <c r="J101" s="622"/>
      <c r="K101" s="982"/>
      <c r="L101" s="622"/>
      <c r="M101" s="982"/>
      <c r="N101" s="622"/>
      <c r="O101" s="1063"/>
      <c r="P101" s="622"/>
      <c r="Q101" s="1063"/>
      <c r="R101" s="622"/>
      <c r="S101" s="982"/>
      <c r="T101" s="1028"/>
      <c r="W101" s="958"/>
    </row>
    <row r="102" spans="1:23" s="224" customFormat="1" ht="15" customHeight="1" x14ac:dyDescent="0.25">
      <c r="A102" s="215">
        <v>44980</v>
      </c>
      <c r="B102" s="882" t="s">
        <v>3260</v>
      </c>
      <c r="C102" s="879" t="s">
        <v>12</v>
      </c>
      <c r="D102" s="879" t="s">
        <v>1489</v>
      </c>
      <c r="E102" s="871" t="s">
        <v>13</v>
      </c>
      <c r="F102" s="780">
        <v>10</v>
      </c>
      <c r="G102" s="946"/>
      <c r="H102" s="95"/>
      <c r="I102" s="1064"/>
      <c r="J102" s="622"/>
      <c r="K102" s="982"/>
      <c r="L102" s="622"/>
      <c r="M102" s="982"/>
      <c r="N102" s="622"/>
      <c r="O102" s="1063"/>
      <c r="P102" s="622"/>
      <c r="Q102" s="1063"/>
      <c r="R102" s="622"/>
      <c r="S102" s="982"/>
      <c r="T102" s="1028"/>
      <c r="W102" s="958"/>
    </row>
    <row r="103" spans="1:23" s="224" customFormat="1" ht="15" customHeight="1" x14ac:dyDescent="0.25">
      <c r="A103" s="215">
        <v>44980</v>
      </c>
      <c r="B103" s="882" t="s">
        <v>3655</v>
      </c>
      <c r="C103" s="879" t="s">
        <v>12</v>
      </c>
      <c r="D103" s="879" t="s">
        <v>1489</v>
      </c>
      <c r="E103" s="871" t="s">
        <v>15</v>
      </c>
      <c r="F103" s="780">
        <v>27</v>
      </c>
      <c r="G103" s="946"/>
      <c r="H103" s="95"/>
      <c r="I103" s="1064"/>
      <c r="J103" s="622"/>
      <c r="K103" s="982"/>
      <c r="L103" s="622"/>
      <c r="M103" s="982"/>
      <c r="N103" s="622"/>
      <c r="O103" s="1063"/>
      <c r="P103" s="622"/>
      <c r="Q103" s="1063"/>
      <c r="R103" s="622"/>
      <c r="S103" s="982"/>
      <c r="T103" s="1028"/>
      <c r="W103" s="958"/>
    </row>
    <row r="104" spans="1:23" s="224" customFormat="1" x14ac:dyDescent="0.25">
      <c r="A104" s="215">
        <v>44981</v>
      </c>
      <c r="B104" s="1275" t="s">
        <v>32</v>
      </c>
      <c r="C104" s="1276" t="s">
        <v>12</v>
      </c>
      <c r="D104" s="1276" t="s">
        <v>1485</v>
      </c>
      <c r="E104" s="1286" t="s">
        <v>13</v>
      </c>
      <c r="F104" s="780">
        <v>20</v>
      </c>
      <c r="G104" s="982"/>
      <c r="H104" s="1008"/>
      <c r="I104" s="1063"/>
      <c r="J104" s="622"/>
      <c r="K104" s="982"/>
      <c r="L104" s="622"/>
      <c r="M104" s="982"/>
      <c r="N104" s="622"/>
      <c r="O104" s="1063"/>
      <c r="P104" s="622"/>
      <c r="Q104" s="1063"/>
      <c r="R104" s="622"/>
      <c r="S104" s="982"/>
      <c r="T104" s="861"/>
      <c r="V104" s="878"/>
    </row>
    <row r="105" spans="1:23" s="224" customFormat="1" ht="15" customHeight="1" x14ac:dyDescent="0.25">
      <c r="A105" s="215">
        <v>44981</v>
      </c>
      <c r="B105" s="882" t="s">
        <v>82</v>
      </c>
      <c r="C105" s="879" t="s">
        <v>12</v>
      </c>
      <c r="D105" s="879" t="s">
        <v>1493</v>
      </c>
      <c r="E105" s="871" t="s">
        <v>13</v>
      </c>
      <c r="F105" s="780">
        <v>27</v>
      </c>
      <c r="G105" s="982"/>
      <c r="H105" s="622"/>
      <c r="I105" s="982"/>
      <c r="J105" s="622"/>
      <c r="K105" s="982"/>
      <c r="L105" s="622"/>
      <c r="M105" s="982"/>
      <c r="N105" s="622"/>
      <c r="O105" s="1063"/>
      <c r="P105" s="622"/>
      <c r="Q105" s="1063"/>
      <c r="R105" s="622"/>
      <c r="S105" s="982"/>
      <c r="T105" s="1028"/>
      <c r="U105" s="959"/>
      <c r="V105" s="878"/>
      <c r="W105" s="958"/>
    </row>
    <row r="106" spans="1:23" s="224" customFormat="1" ht="15" customHeight="1" x14ac:dyDescent="0.25">
      <c r="A106" s="215">
        <v>44982</v>
      </c>
      <c r="B106" s="1275" t="s">
        <v>14</v>
      </c>
      <c r="C106" s="1276" t="s">
        <v>12</v>
      </c>
      <c r="D106" s="1276" t="s">
        <v>1486</v>
      </c>
      <c r="E106" s="1286" t="s">
        <v>13</v>
      </c>
      <c r="F106" s="780">
        <v>4.1399999999999997</v>
      </c>
      <c r="G106" s="982"/>
      <c r="H106" s="622"/>
      <c r="I106" s="982"/>
      <c r="J106" s="622"/>
      <c r="K106" s="982"/>
      <c r="L106" s="622"/>
      <c r="M106" s="982"/>
      <c r="N106" s="622"/>
      <c r="O106" s="1063"/>
      <c r="P106" s="880"/>
      <c r="Q106" s="1525"/>
      <c r="R106" s="880"/>
      <c r="S106" s="1033"/>
      <c r="T106" s="927"/>
      <c r="V106" s="878"/>
    </row>
    <row r="107" spans="1:23" s="224" customFormat="1" ht="15" customHeight="1" x14ac:dyDescent="0.25">
      <c r="A107" s="215">
        <v>44982</v>
      </c>
      <c r="B107" s="882" t="s">
        <v>390</v>
      </c>
      <c r="C107" s="879" t="s">
        <v>12</v>
      </c>
      <c r="D107" s="879"/>
      <c r="E107" s="871" t="s">
        <v>25</v>
      </c>
      <c r="F107" s="780"/>
      <c r="G107" s="982">
        <v>200</v>
      </c>
      <c r="H107" s="622">
        <v>200</v>
      </c>
      <c r="I107" s="982"/>
      <c r="J107" s="622"/>
      <c r="K107" s="982"/>
      <c r="L107" s="622"/>
      <c r="M107" s="982"/>
      <c r="N107" s="622"/>
      <c r="O107" s="1063"/>
      <c r="P107" s="622"/>
      <c r="Q107" s="1063"/>
      <c r="R107" s="622"/>
      <c r="S107" s="982"/>
      <c r="T107" s="1080"/>
      <c r="U107" s="927"/>
      <c r="V107" s="878"/>
    </row>
    <row r="108" spans="1:23" s="224" customFormat="1" ht="15" customHeight="1" x14ac:dyDescent="0.25">
      <c r="A108" s="215">
        <v>44982</v>
      </c>
      <c r="B108" s="882" t="s">
        <v>2629</v>
      </c>
      <c r="C108" s="879" t="s">
        <v>19</v>
      </c>
      <c r="D108" s="879" t="s">
        <v>1489</v>
      </c>
      <c r="E108" s="875" t="s">
        <v>13</v>
      </c>
      <c r="F108" s="780">
        <v>49.85</v>
      </c>
      <c r="G108" s="982"/>
      <c r="H108" s="95"/>
      <c r="I108" s="1064"/>
      <c r="J108" s="622"/>
      <c r="K108" s="982"/>
      <c r="L108" s="622"/>
      <c r="M108" s="982"/>
      <c r="N108" s="622"/>
      <c r="O108" s="1063"/>
      <c r="P108" s="622"/>
      <c r="Q108" s="1063"/>
      <c r="R108" s="622"/>
      <c r="S108" s="982"/>
      <c r="T108" s="861"/>
    </row>
    <row r="109" spans="1:23" s="224" customFormat="1" ht="15" customHeight="1" x14ac:dyDescent="0.25">
      <c r="A109" s="215">
        <v>44982</v>
      </c>
      <c r="B109" s="882" t="s">
        <v>138</v>
      </c>
      <c r="C109" s="879" t="s">
        <v>12</v>
      </c>
      <c r="D109" s="879" t="s">
        <v>2157</v>
      </c>
      <c r="E109" s="875" t="s">
        <v>15</v>
      </c>
      <c r="F109" s="780">
        <v>50</v>
      </c>
      <c r="G109" s="982"/>
      <c r="H109" s="95"/>
      <c r="I109" s="1064"/>
      <c r="J109" s="622"/>
      <c r="K109" s="982"/>
      <c r="L109" s="622"/>
      <c r="M109" s="982"/>
      <c r="N109" s="622"/>
      <c r="O109" s="1063"/>
      <c r="P109" s="622"/>
      <c r="Q109" s="1063"/>
      <c r="R109" s="622"/>
      <c r="S109" s="982"/>
      <c r="T109" s="861"/>
    </row>
    <row r="110" spans="1:23" s="224" customFormat="1" x14ac:dyDescent="0.25">
      <c r="A110" s="215">
        <v>44982</v>
      </c>
      <c r="B110" s="1275" t="s">
        <v>32</v>
      </c>
      <c r="C110" s="1276" t="s">
        <v>12</v>
      </c>
      <c r="D110" s="1276" t="s">
        <v>1485</v>
      </c>
      <c r="E110" s="1286" t="s">
        <v>13</v>
      </c>
      <c r="F110" s="780">
        <v>14.9</v>
      </c>
      <c r="G110" s="982"/>
      <c r="H110" s="1008"/>
      <c r="I110" s="1063"/>
      <c r="J110" s="622"/>
      <c r="K110" s="982"/>
      <c r="L110" s="622"/>
      <c r="M110" s="982"/>
      <c r="N110" s="622"/>
      <c r="O110" s="1063"/>
      <c r="P110" s="622"/>
      <c r="Q110" s="1063"/>
      <c r="R110" s="622"/>
      <c r="S110" s="982"/>
      <c r="T110" s="861"/>
      <c r="V110" s="878"/>
    </row>
    <row r="111" spans="1:23" s="224" customFormat="1" ht="15" customHeight="1" x14ac:dyDescent="0.25">
      <c r="A111" s="215">
        <v>44982</v>
      </c>
      <c r="B111" s="882" t="s">
        <v>82</v>
      </c>
      <c r="C111" s="879" t="s">
        <v>12</v>
      </c>
      <c r="D111" s="879" t="s">
        <v>1493</v>
      </c>
      <c r="E111" s="871" t="s">
        <v>13</v>
      </c>
      <c r="F111" s="780">
        <v>22</v>
      </c>
      <c r="G111" s="982"/>
      <c r="H111" s="1008"/>
      <c r="I111" s="1063"/>
      <c r="J111" s="622"/>
      <c r="K111" s="982"/>
      <c r="L111" s="622"/>
      <c r="M111" s="982"/>
      <c r="N111" s="622"/>
      <c r="O111" s="1063"/>
      <c r="P111" s="622"/>
      <c r="Q111" s="1063"/>
      <c r="R111" s="622"/>
      <c r="S111" s="982"/>
      <c r="T111" s="861"/>
      <c r="V111" s="1035"/>
    </row>
    <row r="112" spans="1:23" s="224" customFormat="1" ht="15" customHeight="1" x14ac:dyDescent="0.25">
      <c r="A112" s="215">
        <v>44983</v>
      </c>
      <c r="B112" s="882" t="s">
        <v>3656</v>
      </c>
      <c r="C112" s="879" t="s">
        <v>12</v>
      </c>
      <c r="D112" s="879" t="s">
        <v>1493</v>
      </c>
      <c r="E112" s="871" t="s">
        <v>13</v>
      </c>
      <c r="F112" s="780">
        <v>10</v>
      </c>
      <c r="G112" s="982"/>
      <c r="H112" s="1008"/>
      <c r="I112" s="1063"/>
      <c r="J112" s="622"/>
      <c r="K112" s="982"/>
      <c r="L112" s="622"/>
      <c r="M112" s="982"/>
      <c r="N112" s="622"/>
      <c r="O112" s="1063"/>
      <c r="P112" s="622"/>
      <c r="Q112" s="1063"/>
      <c r="R112" s="622"/>
      <c r="S112" s="982"/>
      <c r="T112" s="861"/>
      <c r="V112" s="1035"/>
    </row>
    <row r="113" spans="1:28" s="224" customFormat="1" ht="15" customHeight="1" x14ac:dyDescent="0.25">
      <c r="A113" s="215">
        <v>44983</v>
      </c>
      <c r="B113" s="1716" t="s">
        <v>3657</v>
      </c>
      <c r="C113" s="350" t="s">
        <v>12</v>
      </c>
      <c r="D113" s="350" t="s">
        <v>1489</v>
      </c>
      <c r="E113" s="1700" t="s">
        <v>13</v>
      </c>
      <c r="F113" s="780">
        <v>30</v>
      </c>
      <c r="G113" s="946"/>
      <c r="H113" s="95"/>
      <c r="I113" s="1064"/>
      <c r="J113" s="622"/>
      <c r="K113" s="982"/>
      <c r="L113" s="622"/>
      <c r="M113" s="982"/>
      <c r="N113" s="622"/>
      <c r="O113" s="1063"/>
      <c r="P113" s="622"/>
      <c r="Q113" s="1063"/>
      <c r="R113" s="622"/>
      <c r="S113" s="982"/>
      <c r="T113" s="861"/>
      <c r="V113" s="927"/>
      <c r="W113" s="999"/>
    </row>
    <row r="114" spans="1:28" s="224" customFormat="1" ht="15" customHeight="1" x14ac:dyDescent="0.25">
      <c r="A114" s="215">
        <v>44983</v>
      </c>
      <c r="B114" s="1716" t="s">
        <v>3658</v>
      </c>
      <c r="C114" s="350" t="s">
        <v>12</v>
      </c>
      <c r="D114" s="350" t="s">
        <v>1493</v>
      </c>
      <c r="E114" s="1700" t="s">
        <v>13</v>
      </c>
      <c r="F114" s="780">
        <v>13</v>
      </c>
      <c r="G114" s="946"/>
      <c r="H114" s="95"/>
      <c r="I114" s="1064"/>
      <c r="J114" s="622"/>
      <c r="K114" s="982"/>
      <c r="L114" s="622"/>
      <c r="M114" s="982"/>
      <c r="N114" s="622"/>
      <c r="O114" s="1063"/>
      <c r="P114" s="622"/>
      <c r="Q114" s="1063"/>
      <c r="R114" s="622"/>
      <c r="S114" s="982"/>
      <c r="T114" s="861"/>
      <c r="V114" s="927"/>
      <c r="W114" s="999"/>
    </row>
    <row r="115" spans="1:28" s="224" customFormat="1" ht="15" customHeight="1" x14ac:dyDescent="0.25">
      <c r="A115" s="215">
        <v>44983</v>
      </c>
      <c r="B115" s="1716" t="s">
        <v>3659</v>
      </c>
      <c r="C115" s="350" t="s">
        <v>12</v>
      </c>
      <c r="D115" s="350" t="s">
        <v>1489</v>
      </c>
      <c r="E115" s="1700" t="s">
        <v>13</v>
      </c>
      <c r="F115" s="780">
        <v>8</v>
      </c>
      <c r="G115" s="946"/>
      <c r="H115" s="95"/>
      <c r="I115" s="1064"/>
      <c r="J115" s="622"/>
      <c r="K115" s="982"/>
      <c r="L115" s="622"/>
      <c r="M115" s="982"/>
      <c r="N115" s="622"/>
      <c r="O115" s="1063"/>
      <c r="P115" s="622"/>
      <c r="Q115" s="1063"/>
      <c r="R115" s="622"/>
      <c r="S115" s="982"/>
      <c r="T115" s="861"/>
      <c r="V115" s="927"/>
      <c r="W115" s="999"/>
    </row>
    <row r="116" spans="1:28" s="224" customFormat="1" x14ac:dyDescent="0.25">
      <c r="A116" s="215">
        <v>44984</v>
      </c>
      <c r="B116" s="1275" t="s">
        <v>32</v>
      </c>
      <c r="C116" s="1276" t="s">
        <v>12</v>
      </c>
      <c r="D116" s="1276" t="s">
        <v>1485</v>
      </c>
      <c r="E116" s="1286" t="s">
        <v>13</v>
      </c>
      <c r="F116" s="780">
        <v>20</v>
      </c>
      <c r="G116" s="982"/>
      <c r="H116" s="1008"/>
      <c r="I116" s="1063"/>
      <c r="J116" s="622"/>
      <c r="K116" s="982"/>
      <c r="L116" s="622"/>
      <c r="M116" s="982"/>
      <c r="N116" s="622"/>
      <c r="O116" s="1063"/>
      <c r="P116" s="622"/>
      <c r="Q116" s="1063"/>
      <c r="R116" s="622"/>
      <c r="S116" s="982"/>
      <c r="T116" s="861"/>
      <c r="V116" s="878"/>
    </row>
    <row r="117" spans="1:28" s="224" customFormat="1" ht="15" customHeight="1" x14ac:dyDescent="0.25">
      <c r="A117" s="215">
        <v>44984</v>
      </c>
      <c r="B117" s="1275" t="s">
        <v>14</v>
      </c>
      <c r="C117" s="1276" t="s">
        <v>12</v>
      </c>
      <c r="D117" s="1276" t="s">
        <v>1486</v>
      </c>
      <c r="E117" s="1286" t="s">
        <v>13</v>
      </c>
      <c r="F117" s="780">
        <v>12.82</v>
      </c>
      <c r="G117" s="982"/>
      <c r="H117" s="1008"/>
      <c r="I117" s="1063"/>
      <c r="J117" s="622"/>
      <c r="K117" s="982"/>
      <c r="L117" s="622"/>
      <c r="M117" s="982"/>
      <c r="N117" s="622"/>
      <c r="O117" s="1063"/>
      <c r="P117" s="622"/>
      <c r="Q117" s="1063"/>
      <c r="R117" s="622"/>
      <c r="S117" s="982"/>
      <c r="T117" s="861"/>
      <c r="V117" s="1035"/>
    </row>
    <row r="118" spans="1:28" s="224" customFormat="1" x14ac:dyDescent="0.25">
      <c r="A118" s="215">
        <v>44985</v>
      </c>
      <c r="B118" s="1275" t="s">
        <v>32</v>
      </c>
      <c r="C118" s="1276" t="s">
        <v>12</v>
      </c>
      <c r="D118" s="1276" t="s">
        <v>1485</v>
      </c>
      <c r="E118" s="1286" t="s">
        <v>13</v>
      </c>
      <c r="F118" s="780">
        <v>20</v>
      </c>
      <c r="G118" s="982"/>
      <c r="H118" s="1008"/>
      <c r="I118" s="1063"/>
      <c r="J118" s="622"/>
      <c r="K118" s="982"/>
      <c r="L118" s="622"/>
      <c r="M118" s="982"/>
      <c r="N118" s="622"/>
      <c r="O118" s="1063"/>
      <c r="P118" s="622"/>
      <c r="Q118" s="1063"/>
      <c r="R118" s="622"/>
      <c r="S118" s="982"/>
      <c r="T118" s="861"/>
      <c r="V118" s="878"/>
    </row>
    <row r="119" spans="1:28" s="224" customFormat="1" ht="15.75" thickBot="1" x14ac:dyDescent="0.3">
      <c r="A119" s="215">
        <v>44985</v>
      </c>
      <c r="B119" s="862" t="s">
        <v>1666</v>
      </c>
      <c r="C119" s="350" t="s">
        <v>12</v>
      </c>
      <c r="D119" s="1003"/>
      <c r="E119" s="145" t="s">
        <v>25</v>
      </c>
      <c r="F119" s="1036"/>
      <c r="G119" s="1535"/>
      <c r="H119" s="1008"/>
      <c r="I119" s="1063"/>
      <c r="J119" s="1036"/>
      <c r="K119" s="1535"/>
      <c r="L119" s="622"/>
      <c r="M119" s="982">
        <v>56.85</v>
      </c>
      <c r="N119" s="622"/>
      <c r="O119" s="1063">
        <v>0</v>
      </c>
      <c r="P119" s="622"/>
      <c r="Q119" s="1063"/>
      <c r="R119" s="1036"/>
      <c r="S119" s="1535"/>
      <c r="T119" s="1223" t="s">
        <v>3660</v>
      </c>
      <c r="V119" s="878"/>
    </row>
    <row r="120" spans="1:28" ht="25.5" customHeight="1" thickBot="1" x14ac:dyDescent="0.3">
      <c r="A120" s="3060"/>
      <c r="B120" s="3061"/>
      <c r="C120" s="3062"/>
      <c r="D120" s="3062"/>
      <c r="E120" s="3062"/>
      <c r="F120" s="1023">
        <f>SUM(F6:F119)</f>
        <v>7841.5566666666664</v>
      </c>
      <c r="G120" s="1065">
        <f>SUM(G5:G119)</f>
        <v>8036.049583333358</v>
      </c>
      <c r="H120" s="517">
        <f>SUM(H6:H119)</f>
        <v>2400</v>
      </c>
      <c r="I120" s="93">
        <f>SUM(I5:I119)</f>
        <v>3999.9959999999992</v>
      </c>
      <c r="J120" s="1023">
        <f>SUM(J6:J119)</f>
        <v>0</v>
      </c>
      <c r="K120" s="93">
        <f>SUM(K5:K119)</f>
        <v>17876.18</v>
      </c>
      <c r="L120" s="1023">
        <f>SUM(L6:L119)</f>
        <v>1235.58</v>
      </c>
      <c r="M120" s="93">
        <f>SUM(M5:M119)</f>
        <v>8416.3100000000013</v>
      </c>
      <c r="N120" s="1023">
        <f>SUM(N6:N119)</f>
        <v>0</v>
      </c>
      <c r="O120" s="1701">
        <f>SUM(O5:O119)</f>
        <v>3248.33</v>
      </c>
      <c r="P120" s="1023">
        <f>SUM(P6:P119)</f>
        <v>1000</v>
      </c>
      <c r="Q120" s="93">
        <f>SUM(Q5:Q119)</f>
        <v>9956.1899999999987</v>
      </c>
      <c r="R120" s="1023">
        <f>SUM(R6:R119)</f>
        <v>0</v>
      </c>
      <c r="S120" s="93">
        <f>SUM(S5:S119)</f>
        <v>39267.335984720012</v>
      </c>
      <c r="U120" s="216"/>
    </row>
    <row r="121" spans="1:28" ht="25.5" customHeight="1" thickBot="1" x14ac:dyDescent="0.3">
      <c r="A121" s="3117" t="s">
        <v>49</v>
      </c>
      <c r="B121" s="3118"/>
      <c r="C121" s="3118"/>
      <c r="D121" s="3118"/>
      <c r="E121" s="3118"/>
      <c r="F121" s="144" t="s">
        <v>280</v>
      </c>
      <c r="G121" s="519">
        <f>G120-F120</f>
        <v>194.4929166666916</v>
      </c>
      <c r="H121" s="555"/>
      <c r="I121" s="772">
        <f>I120-H120</f>
        <v>1599.9959999999992</v>
      </c>
      <c r="J121" s="593"/>
      <c r="K121" s="993">
        <f>K120-J120</f>
        <v>17876.18</v>
      </c>
      <c r="L121" s="593"/>
      <c r="M121" s="772">
        <f>M120-L120</f>
        <v>7180.7300000000014</v>
      </c>
      <c r="N121" s="593"/>
      <c r="O121" s="772">
        <f>O120-N120</f>
        <v>3248.33</v>
      </c>
      <c r="P121" s="593"/>
      <c r="Q121" s="556">
        <f>Q120-P120</f>
        <v>8956.1899999999987</v>
      </c>
      <c r="R121" s="593"/>
      <c r="S121" s="556">
        <f>S120-R120</f>
        <v>39267.335984720012</v>
      </c>
      <c r="T121" s="484">
        <f>K121+M121+O121+Q121+S121</f>
        <v>76528.765984720027</v>
      </c>
    </row>
    <row r="122" spans="1:28" x14ac:dyDescent="0.25">
      <c r="J122" s="1238"/>
      <c r="K122" s="1238">
        <f>K121/T121</f>
        <v>0.23358772051243076</v>
      </c>
      <c r="M122" s="1238">
        <f>M121/T121</f>
        <v>9.3830468943321629E-2</v>
      </c>
      <c r="O122" s="1238">
        <f>O121/T121</f>
        <v>4.2445869317278312E-2</v>
      </c>
      <c r="P122" s="1239"/>
      <c r="Q122" s="1239">
        <f>Q121/T121</f>
        <v>0.11703037262861679</v>
      </c>
      <c r="R122" s="1239"/>
      <c r="S122" s="1239">
        <f>S121/T121</f>
        <v>0.51310556859835232</v>
      </c>
      <c r="T122" s="867"/>
      <c r="U122" s="867"/>
      <c r="V122" s="79"/>
      <c r="Y122" s="518"/>
      <c r="Z122" s="216"/>
      <c r="AB122" s="877"/>
    </row>
    <row r="123" spans="1:28" x14ac:dyDescent="0.25">
      <c r="B123" s="81" t="s">
        <v>3</v>
      </c>
      <c r="C123" s="193" t="s">
        <v>1484</v>
      </c>
      <c r="D123" s="970" t="s">
        <v>2378</v>
      </c>
      <c r="E123" s="193" t="s">
        <v>3216</v>
      </c>
      <c r="F123" s="1061" t="s">
        <v>3217</v>
      </c>
      <c r="G123" s="216"/>
      <c r="J123" s="867"/>
      <c r="K123" s="866"/>
      <c r="M123" s="866"/>
      <c r="O123" s="866"/>
      <c r="P123" s="1038"/>
      <c r="Q123" s="1038"/>
      <c r="R123" s="1038"/>
      <c r="S123" s="1038"/>
      <c r="T123" s="865"/>
      <c r="U123" s="867"/>
    </row>
    <row r="124" spans="1:28" x14ac:dyDescent="0.25">
      <c r="B124" s="79" t="s">
        <v>32</v>
      </c>
      <c r="C124" s="85" t="s">
        <v>1485</v>
      </c>
      <c r="D124" s="475">
        <f>SUMIF($D$8:$D$119,"A",$F$8:$F$119)</f>
        <v>406.9</v>
      </c>
      <c r="E124" s="1202">
        <f t="shared" ref="E124:E141" si="0">D124/$J$143</f>
        <v>14.532142857142857</v>
      </c>
      <c r="F124" s="1203">
        <f t="shared" ref="F124:F141" si="1">E124/$E$144</f>
        <v>0.10329193871023425</v>
      </c>
      <c r="G124" s="800"/>
      <c r="I124" s="769"/>
      <c r="J124" s="1210"/>
      <c r="K124" s="1759" t="s">
        <v>3661</v>
      </c>
      <c r="L124" s="1712"/>
      <c r="M124" s="1760"/>
      <c r="N124" s="1712"/>
      <c r="O124" s="1760"/>
      <c r="P124" s="1761"/>
      <c r="Q124" s="1759" t="s">
        <v>3662</v>
      </c>
      <c r="R124" s="886"/>
      <c r="S124" s="1210"/>
      <c r="T124" s="1038"/>
      <c r="U124" s="1210"/>
      <c r="W124" s="1201"/>
      <c r="X124" s="877"/>
    </row>
    <row r="125" spans="1:28" x14ac:dyDescent="0.25">
      <c r="B125" s="79" t="s">
        <v>2187</v>
      </c>
      <c r="C125" s="85" t="s">
        <v>2157</v>
      </c>
      <c r="D125" s="475">
        <f>SUMIF($D$8:$D$119,"GAC",$F$8:$F$119)</f>
        <v>470</v>
      </c>
      <c r="E125" s="1202">
        <f>D125/$J$143</f>
        <v>16.785714285714285</v>
      </c>
      <c r="F125" s="1203">
        <f>E125/$E$144</f>
        <v>0.11930993166333276</v>
      </c>
      <c r="G125" s="609"/>
      <c r="J125" s="1038"/>
      <c r="K125" s="1709" t="s">
        <v>3663</v>
      </c>
      <c r="L125" s="1712"/>
      <c r="M125" s="1761"/>
      <c r="N125" s="1712"/>
      <c r="O125" s="1038">
        <v>40</v>
      </c>
      <c r="P125" s="1712"/>
      <c r="Q125" s="1709" t="s">
        <v>3664</v>
      </c>
      <c r="R125" s="1210"/>
      <c r="S125" s="1038"/>
      <c r="T125" s="1038">
        <v>800</v>
      </c>
      <c r="W125" s="877"/>
      <c r="X125" s="877"/>
    </row>
    <row r="126" spans="1:28" x14ac:dyDescent="0.25">
      <c r="B126" s="79" t="s">
        <v>2188</v>
      </c>
      <c r="C126" s="85" t="s">
        <v>2168</v>
      </c>
      <c r="D126" s="475">
        <f>SUMIF($D$21:$D$119,"GAM",$F$21:$F$119)</f>
        <v>0</v>
      </c>
      <c r="E126" s="1202">
        <f t="shared" si="0"/>
        <v>0</v>
      </c>
      <c r="F126" s="1203">
        <f t="shared" si="1"/>
        <v>0</v>
      </c>
      <c r="J126" s="1038"/>
      <c r="K126" s="1709" t="s">
        <v>3665</v>
      </c>
      <c r="M126" s="1210"/>
      <c r="O126" s="1038">
        <v>105.97</v>
      </c>
      <c r="Q126" s="1709" t="s">
        <v>3665</v>
      </c>
      <c r="R126" s="1210"/>
      <c r="S126" s="1038"/>
      <c r="T126" s="1038">
        <v>105.97</v>
      </c>
      <c r="W126" s="877"/>
      <c r="X126" s="877"/>
    </row>
    <row r="127" spans="1:28" s="85" customFormat="1" x14ac:dyDescent="0.25">
      <c r="A127" s="79"/>
      <c r="B127" s="79" t="s">
        <v>50</v>
      </c>
      <c r="C127" s="85" t="s">
        <v>1493</v>
      </c>
      <c r="D127" s="475">
        <f>SUMIF($D$11:$D$119,"LD",$F$11:$F$119)</f>
        <v>334.89</v>
      </c>
      <c r="E127" s="1202">
        <f t="shared" si="0"/>
        <v>11.960357142857143</v>
      </c>
      <c r="F127" s="1203">
        <f t="shared" si="1"/>
        <v>8.5012134073901083E-2</v>
      </c>
      <c r="J127" s="864"/>
      <c r="K127" s="1710" t="s">
        <v>3608</v>
      </c>
      <c r="M127" s="941"/>
      <c r="O127" s="863">
        <v>25</v>
      </c>
      <c r="Q127" s="1710" t="s">
        <v>3666</v>
      </c>
      <c r="S127" s="79"/>
      <c r="T127" s="177">
        <v>44</v>
      </c>
      <c r="W127" s="877"/>
      <c r="X127" s="877"/>
    </row>
    <row r="128" spans="1:28" s="85" customFormat="1" x14ac:dyDescent="0.25">
      <c r="A128" s="79"/>
      <c r="B128" s="79" t="s">
        <v>14</v>
      </c>
      <c r="C128" s="85" t="s">
        <v>1486</v>
      </c>
      <c r="D128" s="475">
        <f>SUMIF($D$11:$D$119,"C",$F$11:$F$119)</f>
        <v>125.00999999999999</v>
      </c>
      <c r="E128" s="1202">
        <f t="shared" si="0"/>
        <v>4.4646428571428567</v>
      </c>
      <c r="F128" s="1203">
        <f t="shared" si="1"/>
        <v>3.1733903313262188E-2</v>
      </c>
      <c r="G128" s="79"/>
      <c r="H128" s="79"/>
      <c r="J128" s="1038"/>
      <c r="K128" s="1710" t="s">
        <v>3609</v>
      </c>
      <c r="M128" s="1210"/>
      <c r="O128" s="1038">
        <v>8</v>
      </c>
      <c r="Q128" s="1710" t="s">
        <v>3667</v>
      </c>
      <c r="T128" s="177">
        <v>159.9</v>
      </c>
      <c r="W128" s="877"/>
      <c r="X128" s="877"/>
    </row>
    <row r="129" spans="1:24" s="85" customFormat="1" ht="16.5" customHeight="1" x14ac:dyDescent="0.25">
      <c r="B129" s="79" t="s">
        <v>51</v>
      </c>
      <c r="C129" s="864" t="s">
        <v>1499</v>
      </c>
      <c r="D129" s="475">
        <f>SUMIF($D$21:$D$119,"CAL",$F$21:$F$119)</f>
        <v>81.61</v>
      </c>
      <c r="E129" s="1202">
        <f t="shared" si="0"/>
        <v>2.9146428571428573</v>
      </c>
      <c r="F129" s="1203">
        <f t="shared" si="1"/>
        <v>2.0716773453286357E-2</v>
      </c>
      <c r="G129" s="79"/>
      <c r="H129" s="79"/>
      <c r="I129" s="79"/>
      <c r="J129" s="1038"/>
      <c r="K129" s="1710" t="s">
        <v>3610</v>
      </c>
      <c r="M129" s="1210"/>
      <c r="O129" s="1038">
        <v>3</v>
      </c>
      <c r="Q129" s="1710" t="s">
        <v>3610</v>
      </c>
      <c r="R129" s="1210"/>
      <c r="S129" s="1038"/>
      <c r="T129" s="177">
        <v>6</v>
      </c>
      <c r="W129" s="877"/>
      <c r="X129" s="877"/>
    </row>
    <row r="130" spans="1:24" s="85" customFormat="1" x14ac:dyDescent="0.25">
      <c r="A130" s="79"/>
      <c r="B130" s="79" t="s">
        <v>2189</v>
      </c>
      <c r="C130" s="864" t="s">
        <v>1496</v>
      </c>
      <c r="D130" s="475">
        <f>SUMIF($D$11:$D$119,"AC",$F$11:$F$119)</f>
        <v>178.51</v>
      </c>
      <c r="E130" s="1202">
        <f t="shared" si="0"/>
        <v>6.3753571428571423</v>
      </c>
      <c r="F130" s="1203">
        <f t="shared" si="1"/>
        <v>4.5314927449407509E-2</v>
      </c>
      <c r="G130" s="79"/>
      <c r="J130" s="1038"/>
      <c r="K130" s="1710" t="s">
        <v>3618</v>
      </c>
      <c r="M130" s="1210"/>
      <c r="O130" s="177">
        <v>42.9</v>
      </c>
      <c r="Q130" s="1710" t="s">
        <v>3667</v>
      </c>
      <c r="T130" s="177">
        <v>159.9</v>
      </c>
      <c r="W130" s="877"/>
      <c r="X130" s="877"/>
    </row>
    <row r="131" spans="1:24" s="85" customFormat="1" x14ac:dyDescent="0.25">
      <c r="A131" s="79"/>
      <c r="B131" s="867" t="s">
        <v>53</v>
      </c>
      <c r="C131" s="864" t="s">
        <v>1522</v>
      </c>
      <c r="D131" s="475">
        <f>SUMIF($D$11:$D$119,"DC",$F$11:$F$119)</f>
        <v>670.99666666666667</v>
      </c>
      <c r="E131" s="1202">
        <f t="shared" si="0"/>
        <v>23.964166666666667</v>
      </c>
      <c r="F131" s="1203">
        <f t="shared" si="1"/>
        <v>0.17033312009856186</v>
      </c>
      <c r="J131" s="79"/>
      <c r="K131" s="1710" t="s">
        <v>3666</v>
      </c>
      <c r="O131" s="177">
        <v>44</v>
      </c>
      <c r="Q131" s="1712" t="s">
        <v>3668</v>
      </c>
      <c r="R131" s="79"/>
      <c r="S131" s="79"/>
      <c r="T131" s="216">
        <v>151</v>
      </c>
      <c r="W131" s="877"/>
      <c r="X131" s="877"/>
    </row>
    <row r="132" spans="1:24" s="85" customFormat="1" x14ac:dyDescent="0.25">
      <c r="A132" s="79"/>
      <c r="B132" s="867" t="s">
        <v>2149</v>
      </c>
      <c r="C132" s="864" t="s">
        <v>2131</v>
      </c>
      <c r="D132" s="475">
        <f>SUMIF($D$6:$D$119,"DM",$F$6:$F$119)</f>
        <v>0</v>
      </c>
      <c r="E132" s="1202">
        <f t="shared" si="0"/>
        <v>0</v>
      </c>
      <c r="F132" s="1203">
        <f t="shared" si="1"/>
        <v>0</v>
      </c>
      <c r="K132" s="1710" t="s">
        <v>3667</v>
      </c>
      <c r="O132" s="177">
        <v>159.9</v>
      </c>
      <c r="Q132" s="1713" t="s">
        <v>3641</v>
      </c>
      <c r="R132" s="866"/>
      <c r="S132" s="868"/>
      <c r="T132" s="1032">
        <v>4.5</v>
      </c>
      <c r="W132" s="877"/>
      <c r="X132" s="877"/>
    </row>
    <row r="133" spans="1:24" s="85" customFormat="1" x14ac:dyDescent="0.25">
      <c r="A133" s="79"/>
      <c r="B133" s="79" t="s">
        <v>3048</v>
      </c>
      <c r="C133" s="864" t="s">
        <v>1523</v>
      </c>
      <c r="D133" s="475">
        <f ca="1">SUMIF($D$11:$D$120,"B",$F$11:$F$119)</f>
        <v>62</v>
      </c>
      <c r="E133" s="1202">
        <f t="shared" ca="1" si="0"/>
        <v>2.2142857142857144</v>
      </c>
      <c r="F133" s="1203">
        <f t="shared" ca="1" si="1"/>
        <v>1.5738756942822622E-2</v>
      </c>
      <c r="G133" s="866"/>
      <c r="J133" s="1038"/>
      <c r="K133" s="1710" t="s">
        <v>3610</v>
      </c>
      <c r="M133" s="1210"/>
      <c r="O133" s="177">
        <v>6</v>
      </c>
      <c r="Q133" s="1714"/>
      <c r="R133" s="866"/>
      <c r="S133" s="1210"/>
      <c r="W133" s="877"/>
      <c r="X133" s="877"/>
    </row>
    <row r="134" spans="1:24" s="85" customFormat="1" x14ac:dyDescent="0.25">
      <c r="A134" s="79"/>
      <c r="B134" s="79" t="s">
        <v>1686</v>
      </c>
      <c r="C134" s="864" t="s">
        <v>1506</v>
      </c>
      <c r="D134" s="475">
        <f>SUMIF($D$11:$D$119,"R",$F$11:$F$119)</f>
        <v>164</v>
      </c>
      <c r="E134" s="1202">
        <f t="shared" si="0"/>
        <v>5.8571428571428568</v>
      </c>
      <c r="F134" s="1203">
        <f t="shared" si="1"/>
        <v>4.1631550622950153E-2</v>
      </c>
      <c r="G134" s="868"/>
      <c r="K134" s="1710" t="s">
        <v>3667</v>
      </c>
      <c r="O134" s="177">
        <v>159.9</v>
      </c>
      <c r="Q134" s="1038"/>
      <c r="R134" s="1226"/>
      <c r="S134" s="1129"/>
      <c r="W134" s="877"/>
      <c r="X134" s="877"/>
    </row>
    <row r="135" spans="1:24" x14ac:dyDescent="0.25">
      <c r="B135" s="79" t="s">
        <v>418</v>
      </c>
      <c r="C135" s="85" t="s">
        <v>1524</v>
      </c>
      <c r="D135" s="475">
        <f>SUMIF($D$8:$D$119,"COM",$F$8:$F$119)</f>
        <v>349.4</v>
      </c>
      <c r="E135" s="1202">
        <f t="shared" si="0"/>
        <v>12.478571428571428</v>
      </c>
      <c r="F135" s="1203">
        <f t="shared" si="1"/>
        <v>8.8695510900358432E-2</v>
      </c>
      <c r="G135" s="85"/>
      <c r="H135" s="85"/>
      <c r="I135" s="85"/>
      <c r="J135" s="769"/>
      <c r="K135" s="1709" t="s">
        <v>3669</v>
      </c>
      <c r="L135" s="769"/>
      <c r="M135" s="868"/>
      <c r="N135" s="769"/>
      <c r="O135" s="216">
        <v>6</v>
      </c>
      <c r="Q135" s="1210"/>
      <c r="R135" s="1038"/>
      <c r="S135" s="1226"/>
      <c r="T135" s="877"/>
      <c r="W135" s="877"/>
      <c r="X135" s="877"/>
    </row>
    <row r="136" spans="1:24" x14ac:dyDescent="0.25">
      <c r="B136" s="79" t="s">
        <v>419</v>
      </c>
      <c r="C136" s="85" t="s">
        <v>1491</v>
      </c>
      <c r="D136" s="475">
        <f>SUMIF($D$11:$D$119,"F",$F$11:$F$119)</f>
        <v>739.8</v>
      </c>
      <c r="E136" s="1202">
        <f t="shared" si="0"/>
        <v>26.421428571428571</v>
      </c>
      <c r="F136" s="1203">
        <f t="shared" si="1"/>
        <v>0.18779890945645442</v>
      </c>
      <c r="H136" s="216"/>
      <c r="I136" s="85"/>
      <c r="K136" s="1710" t="s">
        <v>3668</v>
      </c>
      <c r="O136" s="216">
        <v>151</v>
      </c>
      <c r="S136" s="484"/>
      <c r="T136" s="1673">
        <f>SUM(T125:T135)</f>
        <v>1431.2700000000002</v>
      </c>
      <c r="W136" s="877"/>
      <c r="X136" s="877"/>
    </row>
    <row r="137" spans="1:24" x14ac:dyDescent="0.25">
      <c r="B137" s="79" t="s">
        <v>911</v>
      </c>
      <c r="C137" s="85" t="s">
        <v>1525</v>
      </c>
      <c r="D137" s="475">
        <f>SUMIF($D$21:$D$119,"FER",$F$21:$F$119)</f>
        <v>0</v>
      </c>
      <c r="E137" s="1202">
        <f t="shared" si="0"/>
        <v>0</v>
      </c>
      <c r="F137" s="1203">
        <f t="shared" si="1"/>
        <v>0</v>
      </c>
      <c r="K137" s="1710" t="s">
        <v>3670</v>
      </c>
      <c r="O137" s="216">
        <v>26</v>
      </c>
      <c r="S137" s="484"/>
      <c r="W137" s="877"/>
      <c r="X137" s="877"/>
    </row>
    <row r="138" spans="1:24" ht="15" customHeight="1" x14ac:dyDescent="0.25">
      <c r="B138" s="79" t="s">
        <v>1526</v>
      </c>
      <c r="C138" s="85" t="s">
        <v>1504</v>
      </c>
      <c r="D138" s="475">
        <f>SUMIF($D$21:$D$119,"I",$F$21:$F$119)</f>
        <v>144.44</v>
      </c>
      <c r="E138" s="1202">
        <f t="shared" si="0"/>
        <v>5.1585714285714284</v>
      </c>
      <c r="F138" s="1203">
        <f t="shared" si="1"/>
        <v>3.6666226658408047E-2</v>
      </c>
      <c r="J138" s="769"/>
      <c r="K138" s="1711" t="s">
        <v>3641</v>
      </c>
      <c r="L138" s="866"/>
      <c r="M138" s="868"/>
      <c r="N138" s="866"/>
      <c r="O138" s="1032">
        <v>4.5</v>
      </c>
      <c r="P138" s="1210"/>
      <c r="Q138" s="1038"/>
      <c r="R138" s="1210"/>
      <c r="S138" s="1038"/>
      <c r="T138" s="1129"/>
      <c r="V138" s="1129"/>
      <c r="W138" s="877"/>
      <c r="X138" s="877"/>
    </row>
    <row r="139" spans="1:24" x14ac:dyDescent="0.25">
      <c r="B139" s="79" t="s">
        <v>2343</v>
      </c>
      <c r="C139" s="85" t="s">
        <v>2315</v>
      </c>
      <c r="D139" s="475">
        <f>SUMIF($D$21:$D$119,"E",$F$21:$F$119)</f>
        <v>0</v>
      </c>
      <c r="E139" s="1202">
        <f t="shared" si="0"/>
        <v>0</v>
      </c>
      <c r="F139" s="1203">
        <f t="shared" si="1"/>
        <v>0</v>
      </c>
      <c r="J139" s="769"/>
      <c r="K139" s="1711" t="s">
        <v>3642</v>
      </c>
      <c r="L139" s="867"/>
      <c r="M139" s="867"/>
      <c r="N139" s="867"/>
      <c r="O139" s="1038">
        <v>3</v>
      </c>
      <c r="V139" s="1129"/>
      <c r="W139" s="877"/>
      <c r="X139" s="877"/>
    </row>
    <row r="140" spans="1:24" x14ac:dyDescent="0.25">
      <c r="B140" s="79" t="s">
        <v>3019</v>
      </c>
      <c r="C140" s="85" t="s">
        <v>3017</v>
      </c>
      <c r="D140" s="475">
        <f>SUMIF($D$6:$D$119,"IM",$F$6:$F$119)</f>
        <v>611.62</v>
      </c>
      <c r="E140" s="1202">
        <f t="shared" si="0"/>
        <v>21.84357142857143</v>
      </c>
      <c r="F140" s="1203">
        <f t="shared" si="1"/>
        <v>0.15526029873176081</v>
      </c>
      <c r="J140" s="769"/>
      <c r="K140" s="1709" t="s">
        <v>3653</v>
      </c>
      <c r="L140" s="769"/>
      <c r="M140" s="868"/>
      <c r="N140" s="769"/>
      <c r="O140" s="216">
        <v>9</v>
      </c>
      <c r="P140" s="1210"/>
      <c r="Q140" s="1038"/>
      <c r="R140" s="1210"/>
      <c r="S140" s="1038"/>
      <c r="T140" s="1129">
        <f ca="1">T136-O142</f>
        <v>-242832394.55848292</v>
      </c>
      <c r="U140" s="1129"/>
      <c r="V140" s="1129"/>
      <c r="W140" s="877"/>
      <c r="X140" s="877"/>
    </row>
    <row r="141" spans="1:24" x14ac:dyDescent="0.25">
      <c r="B141" s="79" t="s">
        <v>1527</v>
      </c>
      <c r="C141" s="85" t="s">
        <v>1489</v>
      </c>
      <c r="D141" s="475">
        <f>SUMIF($D$11:$D$119,"OD",$F$11:$F$119)</f>
        <v>254.04999999999998</v>
      </c>
      <c r="E141" s="1202">
        <f t="shared" si="0"/>
        <v>9.0732142857142843</v>
      </c>
      <c r="F141" s="1203">
        <f t="shared" si="1"/>
        <v>6.4490825827807838E-2</v>
      </c>
      <c r="K141" s="1711" t="s">
        <v>3654</v>
      </c>
      <c r="O141" s="216">
        <v>7</v>
      </c>
      <c r="P141" s="1210"/>
      <c r="Q141" s="1038"/>
      <c r="R141" s="1210"/>
      <c r="S141" s="1038"/>
      <c r="T141" s="1226"/>
      <c r="U141" s="1129"/>
      <c r="V141" s="1129"/>
      <c r="W141" s="877"/>
      <c r="X141" s="877"/>
    </row>
    <row r="142" spans="1:24" x14ac:dyDescent="0.25">
      <c r="C142" s="79"/>
      <c r="D142" s="629"/>
      <c r="E142" s="79"/>
      <c r="F142" s="79"/>
      <c r="O142" s="1673">
        <f ca="1">SUM(O125:O142)</f>
        <v>242834626.99848291</v>
      </c>
      <c r="P142" s="1210"/>
      <c r="Q142" s="1038"/>
      <c r="R142" s="1210"/>
      <c r="S142" s="1038"/>
      <c r="T142" s="1227"/>
      <c r="U142" s="1129"/>
      <c r="V142" s="1129"/>
      <c r="W142" s="877"/>
      <c r="X142" s="877"/>
    </row>
    <row r="143" spans="1:24" x14ac:dyDescent="0.25">
      <c r="C143" s="3168" t="s">
        <v>486</v>
      </c>
      <c r="D143" s="3168"/>
      <c r="E143" s="863">
        <f ca="1">I143/J143</f>
        <v>164.04380952380956</v>
      </c>
      <c r="G143" s="518" t="s">
        <v>487</v>
      </c>
      <c r="I143" s="629">
        <f ca="1">SUM(D124:D141)</f>
        <v>4593.2266666666674</v>
      </c>
      <c r="J143" s="1517">
        <v>28</v>
      </c>
      <c r="L143" s="216"/>
      <c r="N143" s="216"/>
      <c r="P143" s="1210"/>
      <c r="Q143" s="1038"/>
      <c r="R143" s="1210"/>
      <c r="S143" s="1038"/>
      <c r="T143" s="1226"/>
      <c r="U143" s="1129"/>
      <c r="V143" s="1129"/>
      <c r="W143" s="877"/>
      <c r="X143" s="877"/>
    </row>
    <row r="144" spans="1:24" ht="15.75" customHeight="1" x14ac:dyDescent="0.25">
      <c r="B144" s="3167" t="s">
        <v>3377</v>
      </c>
      <c r="C144" s="3167"/>
      <c r="D144" s="3167"/>
      <c r="E144" s="1125">
        <v>140.69</v>
      </c>
      <c r="H144" s="85"/>
      <c r="K144" s="868"/>
      <c r="M144" s="868"/>
      <c r="O144" s="868"/>
      <c r="P144" s="1210"/>
      <c r="Q144" s="1038"/>
      <c r="R144" s="1210"/>
      <c r="S144" s="1038"/>
      <c r="T144" s="1226"/>
      <c r="U144" s="1129"/>
      <c r="V144" s="1129"/>
      <c r="W144" s="877"/>
      <c r="X144" s="877"/>
    </row>
    <row r="145" spans="1:26" x14ac:dyDescent="0.25">
      <c r="A145" s="518"/>
      <c r="C145" s="79"/>
      <c r="D145" s="79"/>
      <c r="E145" s="769"/>
      <c r="F145" s="866"/>
      <c r="G145" s="769"/>
      <c r="H145" s="866"/>
      <c r="I145" s="1210"/>
      <c r="J145" s="89"/>
      <c r="L145" s="1038"/>
      <c r="M145" s="1210"/>
      <c r="N145" s="1038"/>
      <c r="O145" s="1210"/>
      <c r="P145" s="1210"/>
      <c r="Q145" s="1038"/>
      <c r="R145" s="1210"/>
      <c r="S145" s="1038"/>
      <c r="T145" s="769"/>
      <c r="U145" s="484" t="s">
        <v>280</v>
      </c>
      <c r="V145" s="216"/>
      <c r="W145" s="866"/>
      <c r="X145" s="484"/>
      <c r="Z145" s="877"/>
    </row>
    <row r="146" spans="1:26" s="518" customFormat="1" x14ac:dyDescent="0.25">
      <c r="A146" s="79"/>
      <c r="B146" s="79"/>
      <c r="C146" s="79"/>
      <c r="D146" s="79"/>
      <c r="E146" s="1126">
        <f ca="1">E144-E143</f>
        <v>-23.353809523809559</v>
      </c>
      <c r="F146" s="1205">
        <f ca="1">SUM(F124:F145)</f>
        <v>1.1659948079025484</v>
      </c>
      <c r="G146" s="85"/>
      <c r="H146" s="85"/>
      <c r="I146" s="89"/>
      <c r="J146" s="79"/>
      <c r="K146" s="79"/>
      <c r="L146" s="79"/>
      <c r="M146" s="79"/>
      <c r="N146" s="79"/>
      <c r="O146" s="79"/>
      <c r="P146" s="1210"/>
      <c r="Q146" s="1038"/>
      <c r="R146" s="1210"/>
      <c r="S146" s="1038"/>
      <c r="T146" s="79"/>
      <c r="U146" s="79"/>
      <c r="V146" s="866"/>
      <c r="W146" s="484"/>
      <c r="X146" s="79"/>
      <c r="Y146" s="877"/>
      <c r="Z146" s="79"/>
    </row>
    <row r="147" spans="1:26" s="518" customFormat="1" x14ac:dyDescent="0.25">
      <c r="A147" s="79"/>
      <c r="B147" s="79"/>
      <c r="C147" s="85"/>
      <c r="D147" s="85"/>
      <c r="E147" s="85"/>
      <c r="S147" s="1038"/>
      <c r="T147" s="484"/>
      <c r="U147" s="79"/>
      <c r="V147" s="877"/>
      <c r="W147" s="79"/>
    </row>
    <row r="148" spans="1:26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L148" s="769"/>
      <c r="M148" s="866"/>
      <c r="N148" s="769"/>
      <c r="O148" s="866"/>
      <c r="P148" s="1210"/>
      <c r="Q148" s="1038"/>
      <c r="R148" s="1210"/>
      <c r="S148" s="1038"/>
      <c r="T148" s="484"/>
      <c r="U148" s="79"/>
      <c r="V148" s="877"/>
      <c r="W148" s="79"/>
    </row>
    <row r="149" spans="1:26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216"/>
      <c r="J149" s="769"/>
      <c r="K149" s="866"/>
      <c r="L149" s="769"/>
      <c r="M149" s="866"/>
      <c r="N149" s="769"/>
      <c r="O149" s="866"/>
      <c r="P149" s="1210"/>
      <c r="Q149" s="1038"/>
      <c r="R149" s="1210"/>
      <c r="S149" s="1038"/>
      <c r="T149" s="484"/>
      <c r="U149" s="79"/>
      <c r="V149" s="877"/>
      <c r="W149" s="79"/>
    </row>
    <row r="150" spans="1:26" s="518" customFormat="1" x14ac:dyDescent="0.25">
      <c r="A150" s="79"/>
      <c r="B150" s="79"/>
      <c r="C150" s="79"/>
      <c r="D150" s="79"/>
      <c r="E150" s="79"/>
      <c r="F150" s="79"/>
      <c r="G150" s="79"/>
      <c r="H150" s="79"/>
      <c r="K150" s="866"/>
      <c r="M150" s="866"/>
      <c r="O150" s="866"/>
      <c r="P150" s="1210"/>
      <c r="Q150" s="1038"/>
      <c r="R150" s="1210"/>
      <c r="S150" s="1038"/>
      <c r="T150" s="484"/>
      <c r="U150" s="79"/>
      <c r="V150" s="877"/>
      <c r="W150" s="79"/>
    </row>
    <row r="151" spans="1:26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6"/>
      <c r="L151" s="769"/>
      <c r="M151" s="866"/>
      <c r="N151" s="769"/>
      <c r="O151" s="866"/>
      <c r="P151" s="1210"/>
      <c r="Q151" s="1038"/>
      <c r="R151" s="1210"/>
      <c r="S151" s="1038"/>
      <c r="T151" s="484"/>
      <c r="U151" s="79"/>
      <c r="V151" s="877"/>
      <c r="W151" s="79"/>
    </row>
    <row r="152" spans="1:26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8"/>
      <c r="L152" s="769"/>
      <c r="M152" s="868"/>
      <c r="N152" s="769"/>
      <c r="O152" s="868"/>
      <c r="P152" s="1210"/>
      <c r="Q152" s="1038"/>
      <c r="R152" s="1210"/>
      <c r="S152" s="1038"/>
      <c r="T152" s="484"/>
      <c r="U152" s="79"/>
      <c r="V152" s="877"/>
      <c r="W152" s="79"/>
    </row>
    <row r="153" spans="1:26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1210"/>
      <c r="S153" s="1038"/>
      <c r="T153" s="484"/>
      <c r="U153" s="79"/>
      <c r="V153" s="877"/>
      <c r="W153" s="79"/>
    </row>
    <row r="154" spans="1:26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79"/>
      <c r="J154" s="770"/>
      <c r="K154" s="866"/>
      <c r="L154" s="770"/>
      <c r="M154" s="866"/>
      <c r="N154" s="770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6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8"/>
      <c r="L155" s="769"/>
      <c r="M155" s="868"/>
      <c r="N155" s="769"/>
      <c r="O155" s="868"/>
      <c r="P155" s="1210"/>
      <c r="Q155" s="1038"/>
      <c r="R155" s="1210"/>
      <c r="S155" s="1038"/>
      <c r="T155" s="484"/>
      <c r="U155" s="79"/>
      <c r="V155" s="877"/>
      <c r="W155" s="79"/>
    </row>
    <row r="156" spans="1:26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769"/>
      <c r="O156" s="866"/>
      <c r="P156" s="1210"/>
      <c r="Q156" s="1038"/>
      <c r="R156" s="1210"/>
      <c r="S156" s="1038"/>
      <c r="T156" s="484"/>
      <c r="U156" s="79"/>
      <c r="V156" s="877"/>
      <c r="W156" s="79"/>
    </row>
    <row r="157" spans="1:26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629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6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1210"/>
      <c r="S158" s="1038"/>
      <c r="T158" s="484"/>
      <c r="U158" s="79"/>
      <c r="V158" s="877"/>
      <c r="W158" s="79"/>
    </row>
    <row r="159" spans="1:26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1210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1210"/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1210"/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769"/>
      <c r="O163" s="866"/>
      <c r="P163" s="1210"/>
      <c r="Q163" s="1038"/>
      <c r="R163" s="1210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1210"/>
      <c r="Q164" s="1038"/>
      <c r="R164" s="1210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79"/>
      <c r="Q167" s="79"/>
      <c r="R167" s="79"/>
      <c r="S167" s="79"/>
      <c r="T167" s="484"/>
      <c r="U167" s="79"/>
      <c r="V167" s="877"/>
      <c r="W167" s="79"/>
    </row>
    <row r="168" spans="1:23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81"/>
      <c r="Q168" s="755"/>
      <c r="R168" s="81"/>
      <c r="S168" s="755"/>
      <c r="T168" s="484"/>
      <c r="U168" s="79"/>
      <c r="V168" s="877"/>
      <c r="W168" s="79"/>
    </row>
    <row r="169" spans="1:23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868"/>
      <c r="Q169" s="79"/>
      <c r="R169" s="868"/>
      <c r="S169" s="79"/>
      <c r="T169" s="484"/>
      <c r="U169" s="79"/>
      <c r="V169" s="877"/>
      <c r="W169" s="79"/>
    </row>
    <row r="170" spans="1:23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754"/>
      <c r="Q170" s="886"/>
      <c r="R170" s="754"/>
      <c r="S170" s="886"/>
      <c r="T170" s="484"/>
      <c r="U170" s="79"/>
      <c r="V170" s="877"/>
      <c r="W170" s="79"/>
    </row>
    <row r="171" spans="1:23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864"/>
      <c r="Q171" s="864"/>
      <c r="R171" s="864"/>
      <c r="S171" s="864"/>
      <c r="T171" s="484"/>
      <c r="U171" s="79"/>
      <c r="V171" s="877"/>
      <c r="W171" s="79"/>
    </row>
    <row r="172" spans="1:23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864"/>
      <c r="Q172" s="1032"/>
      <c r="R172" s="864"/>
      <c r="S172" s="1032"/>
      <c r="T172" s="484"/>
      <c r="U172" s="79"/>
      <c r="V172" s="877"/>
      <c r="W172" s="79"/>
    </row>
    <row r="173" spans="1:23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864"/>
      <c r="Q173" s="1032"/>
      <c r="R173" s="864"/>
      <c r="S173" s="1032"/>
      <c r="T173" s="484"/>
      <c r="U173" s="79"/>
      <c r="V173" s="877"/>
      <c r="W173" s="79"/>
    </row>
    <row r="174" spans="1:23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8"/>
      <c r="L174" s="769"/>
      <c r="M174" s="868"/>
      <c r="N174" s="769"/>
      <c r="O174" s="868"/>
      <c r="P174" s="85"/>
      <c r="Q174" s="795"/>
      <c r="R174" s="85"/>
      <c r="S174" s="795"/>
      <c r="T174" s="484"/>
      <c r="U174" s="79"/>
      <c r="V174" s="877"/>
      <c r="W174" s="79"/>
    </row>
    <row r="175" spans="1:23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85"/>
      <c r="Q175" s="177"/>
      <c r="R175" s="85"/>
      <c r="S175" s="177"/>
      <c r="T175" s="484"/>
      <c r="U175" s="79"/>
      <c r="V175" s="877"/>
      <c r="W175" s="79"/>
    </row>
    <row r="176" spans="1:23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85"/>
      <c r="Q176" s="177"/>
      <c r="R176" s="85"/>
      <c r="S176" s="177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769"/>
      <c r="O177" s="868"/>
      <c r="P177" s="85"/>
      <c r="Q177" s="177" t="s">
        <v>280</v>
      </c>
      <c r="R177" s="85"/>
      <c r="S177" s="177" t="s">
        <v>280</v>
      </c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177"/>
      <c r="R178" s="85"/>
      <c r="S178" s="177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866"/>
      <c r="R179" s="85"/>
      <c r="S179" s="866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769"/>
      <c r="Q180" s="216"/>
      <c r="R180" s="769"/>
      <c r="S180" s="216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6"/>
      <c r="L181" s="769"/>
      <c r="M181" s="866"/>
      <c r="N181" s="769"/>
      <c r="O181" s="866"/>
      <c r="P181" s="79"/>
      <c r="Q181" s="216"/>
      <c r="R181" s="79"/>
      <c r="S181" s="216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223"/>
      <c r="K182" s="629"/>
      <c r="L182" s="223"/>
      <c r="M182" s="629"/>
      <c r="N182" s="223"/>
      <c r="O182" s="629"/>
      <c r="P182" s="769"/>
      <c r="Q182" s="868"/>
      <c r="R182" s="769"/>
      <c r="S182" s="86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56"/>
      <c r="K183" s="756"/>
      <c r="L183" s="756"/>
      <c r="M183" s="756"/>
      <c r="N183" s="756"/>
      <c r="O183" s="756"/>
      <c r="P183" s="769"/>
      <c r="Q183" s="868"/>
      <c r="R183" s="769"/>
      <c r="S183" s="86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69"/>
      <c r="Q184" s="868"/>
      <c r="R184" s="769"/>
      <c r="S184" s="86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79"/>
      <c r="R185" s="769"/>
      <c r="S185" s="79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85"/>
      <c r="K188" s="85"/>
      <c r="L188" s="85"/>
      <c r="M188" s="85"/>
      <c r="N188" s="85"/>
      <c r="O188" s="85"/>
      <c r="P188" s="1517"/>
      <c r="Q188" s="79"/>
      <c r="R188" s="1517"/>
      <c r="S188" s="79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868"/>
      <c r="R189" s="79"/>
      <c r="S189" s="86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89"/>
      <c r="Q190" s="79"/>
      <c r="R190" s="89"/>
      <c r="S190" s="79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769"/>
      <c r="S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769"/>
      <c r="S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85"/>
      <c r="K195" s="85"/>
      <c r="L195" s="85"/>
      <c r="M195" s="85"/>
      <c r="N195" s="85"/>
      <c r="O195" s="85"/>
      <c r="Q195" s="866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6"/>
      <c r="R196" s="769"/>
      <c r="S196" s="866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8"/>
      <c r="R197" s="769"/>
      <c r="S197" s="868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6"/>
      <c r="R198" s="769"/>
      <c r="S198" s="866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70"/>
      <c r="Q199" s="866"/>
      <c r="R199" s="770"/>
      <c r="S199" s="866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8"/>
      <c r="R200" s="769"/>
      <c r="S200" s="868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6"/>
      <c r="R201" s="769"/>
      <c r="S201" s="866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71"/>
      <c r="L202" s="771"/>
      <c r="N202" s="771"/>
      <c r="P202" s="769"/>
      <c r="Q202" s="866"/>
      <c r="R202" s="769"/>
      <c r="S202" s="86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69"/>
      <c r="Q203" s="866"/>
      <c r="R203" s="769"/>
      <c r="S203" s="866"/>
      <c r="T203" s="484"/>
      <c r="U203" s="79"/>
      <c r="V203" s="877"/>
      <c r="W203" s="79"/>
    </row>
    <row r="204" spans="1:23" x14ac:dyDescent="0.25">
      <c r="P204" s="769"/>
      <c r="Q204" s="866"/>
      <c r="R204" s="769"/>
      <c r="S204" s="866"/>
    </row>
    <row r="205" spans="1:23" x14ac:dyDescent="0.25">
      <c r="P205" s="769"/>
      <c r="Q205" s="866"/>
      <c r="R205" s="769"/>
      <c r="S205" s="866"/>
    </row>
    <row r="206" spans="1:23" x14ac:dyDescent="0.25">
      <c r="P206" s="769"/>
      <c r="Q206" s="866"/>
      <c r="R206" s="769"/>
      <c r="S206" s="866"/>
    </row>
    <row r="207" spans="1:23" x14ac:dyDescent="0.25">
      <c r="P207" s="769"/>
      <c r="Q207" s="866"/>
      <c r="R207" s="769"/>
      <c r="S207" s="866"/>
    </row>
    <row r="208" spans="1:23" x14ac:dyDescent="0.25">
      <c r="P208" s="769"/>
      <c r="Q208" s="866"/>
      <c r="R208" s="769"/>
      <c r="S208" s="866"/>
    </row>
    <row r="209" spans="1:23" x14ac:dyDescent="0.25">
      <c r="P209" s="769"/>
      <c r="Q209" s="866"/>
      <c r="R209" s="769"/>
      <c r="S209" s="866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769"/>
      <c r="Q210" s="866"/>
      <c r="R210" s="769"/>
      <c r="S210" s="866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6"/>
      <c r="R211" s="769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8"/>
      <c r="R212" s="769"/>
      <c r="S212" s="868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769"/>
      <c r="S213" s="868"/>
      <c r="T213" s="484"/>
      <c r="U213" s="79"/>
      <c r="V213" s="877"/>
      <c r="W213" s="79"/>
    </row>
    <row r="214" spans="1:23" x14ac:dyDescent="0.25">
      <c r="P214" s="769"/>
      <c r="Q214" s="868"/>
      <c r="R214" s="769"/>
      <c r="S214" s="868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8"/>
      <c r="R215" s="769"/>
      <c r="S215" s="868"/>
      <c r="T215" s="484"/>
      <c r="U215" s="79"/>
      <c r="V215" s="877"/>
      <c r="W215" s="79"/>
    </row>
    <row r="216" spans="1:23" x14ac:dyDescent="0.25">
      <c r="P216" s="769"/>
      <c r="Q216" s="868"/>
      <c r="R216" s="769"/>
      <c r="S216" s="868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629"/>
      <c r="L217" s="79"/>
      <c r="M217" s="629"/>
      <c r="N217" s="79"/>
      <c r="O217" s="629"/>
      <c r="P217" s="769"/>
      <c r="Q217" s="866"/>
      <c r="R217" s="769"/>
      <c r="S217" s="866"/>
      <c r="T217" s="484"/>
      <c r="U217" s="79"/>
      <c r="V217" s="877"/>
      <c r="W217" s="79"/>
    </row>
    <row r="218" spans="1:23" x14ac:dyDescent="0.25">
      <c r="P218" s="769"/>
      <c r="Q218" s="866"/>
      <c r="R218" s="769"/>
      <c r="S218" s="866"/>
    </row>
    <row r="219" spans="1:23" x14ac:dyDescent="0.25">
      <c r="P219" s="769"/>
      <c r="Q219" s="868"/>
      <c r="R219" s="769"/>
      <c r="S219" s="868"/>
    </row>
    <row r="220" spans="1:23" x14ac:dyDescent="0.25">
      <c r="P220" s="769"/>
      <c r="Q220" s="866"/>
      <c r="R220" s="769"/>
      <c r="S220" s="866"/>
    </row>
    <row r="221" spans="1:23" x14ac:dyDescent="0.25">
      <c r="P221" s="769"/>
      <c r="Q221" s="866"/>
      <c r="R221" s="769"/>
      <c r="S221" s="866"/>
    </row>
    <row r="222" spans="1:23" x14ac:dyDescent="0.25">
      <c r="P222" s="769"/>
      <c r="Q222" s="868"/>
      <c r="R222" s="769"/>
      <c r="S222" s="868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69"/>
      <c r="Q223" s="868"/>
      <c r="R223" s="769"/>
      <c r="S223" s="868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6"/>
      <c r="R226" s="769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223"/>
      <c r="Q227" s="629"/>
      <c r="R227" s="223"/>
      <c r="S227" s="629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756"/>
      <c r="Q228" s="756"/>
      <c r="R228" s="756"/>
      <c r="S228" s="756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9"/>
      <c r="Q229" s="79"/>
      <c r="R229" s="79"/>
      <c r="S229" s="79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79"/>
      <c r="S230" s="79"/>
      <c r="T230" s="484"/>
      <c r="U230" s="79"/>
      <c r="V230" s="877"/>
      <c r="W230" s="79"/>
    </row>
    <row r="231" spans="1:23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79"/>
      <c r="S231" s="79"/>
      <c r="T231" s="484"/>
      <c r="U231" s="79"/>
      <c r="V231" s="877"/>
      <c r="W231" s="79"/>
    </row>
    <row r="233" spans="1:23" x14ac:dyDescent="0.25">
      <c r="P233" s="85"/>
      <c r="Q233" s="85"/>
      <c r="R233" s="85"/>
      <c r="S233" s="85"/>
    </row>
    <row r="240" spans="1:23" x14ac:dyDescent="0.25">
      <c r="P240" s="85"/>
      <c r="Q240" s="85"/>
      <c r="R240" s="85"/>
      <c r="S240" s="85"/>
    </row>
    <row r="244" spans="1:44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U244" s="79"/>
      <c r="V244" s="877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</row>
    <row r="245" spans="1:44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U245" s="79"/>
      <c r="V245" s="877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</row>
    <row r="246" spans="1:44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U246" s="79"/>
      <c r="V246" s="877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</row>
    <row r="247" spans="1:44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71"/>
      <c r="Q247" s="518"/>
      <c r="R247" s="771"/>
      <c r="S247" s="518"/>
      <c r="U247" s="79"/>
      <c r="V247" s="877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</row>
    <row r="248" spans="1:44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U248" s="79"/>
      <c r="V248" s="877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</row>
    <row r="255" spans="1:44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216"/>
      <c r="R255" s="79"/>
      <c r="S255" s="216"/>
      <c r="U255" s="79"/>
      <c r="V255" s="877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R256" s="79"/>
      <c r="S256" s="216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R257" s="79"/>
      <c r="S257" s="216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R258" s="79"/>
      <c r="S258" s="216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60" spans="1:44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R260" s="79"/>
      <c r="S260" s="216"/>
      <c r="U260" s="79"/>
      <c r="V260" s="877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</row>
    <row r="262" spans="1:44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629"/>
      <c r="R262" s="79"/>
      <c r="S262" s="629"/>
      <c r="U262" s="79"/>
      <c r="V262" s="877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R271" s="79"/>
      <c r="S271" s="216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R273" s="79"/>
      <c r="S273" s="216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R274" s="79"/>
      <c r="S274" s="216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R275" s="79"/>
      <c r="S275" s="216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R276" s="79"/>
      <c r="S276" s="216"/>
      <c r="U276" s="79"/>
      <c r="V276" s="877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</row>
  </sheetData>
  <autoFilter ref="A2:I141" xr:uid="{00000000-0009-0000-0000-000085000000}"/>
  <mergeCells count="18">
    <mergeCell ref="F1:S1"/>
    <mergeCell ref="P2:Q3"/>
    <mergeCell ref="R2:S3"/>
    <mergeCell ref="A1:E1"/>
    <mergeCell ref="C143:D143"/>
    <mergeCell ref="B144:D144"/>
    <mergeCell ref="N2:O3"/>
    <mergeCell ref="A120:E120"/>
    <mergeCell ref="A121:E121"/>
    <mergeCell ref="H2:I3"/>
    <mergeCell ref="J2:K3"/>
    <mergeCell ref="L2:M3"/>
    <mergeCell ref="F2:G3"/>
    <mergeCell ref="A2:A4"/>
    <mergeCell ref="B2:B4"/>
    <mergeCell ref="C2:C4"/>
    <mergeCell ref="D2:D4"/>
    <mergeCell ref="E2:E4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Planilha4"/>
  <dimension ref="A1:AR277"/>
  <sheetViews>
    <sheetView zoomScale="85" zoomScaleNormal="85" workbookViewId="0">
      <pane ySplit="4" topLeftCell="A16" activePane="bottomLeft" state="frozen"/>
      <selection pane="bottomLeft" activeCell="B34" sqref="B3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3671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44986</v>
      </c>
      <c r="B5" s="369" t="s">
        <v>10</v>
      </c>
      <c r="C5" s="370"/>
      <c r="D5" s="370"/>
      <c r="E5" s="777"/>
      <c r="F5" s="179"/>
      <c r="G5" s="933">
        <f>'Fevereiro-23'!G121</f>
        <v>194.4929166666916</v>
      </c>
      <c r="H5" s="163"/>
      <c r="I5" s="1479">
        <f>'Fevereiro-23'!I121</f>
        <v>1599.9959999999992</v>
      </c>
      <c r="J5" s="179"/>
      <c r="K5" s="933">
        <f>'Fevereiro-23'!K121</f>
        <v>17876.18</v>
      </c>
      <c r="L5" s="179"/>
      <c r="M5" s="933">
        <f>'Fevereiro-23'!M121</f>
        <v>7180.7300000000014</v>
      </c>
      <c r="N5" s="179"/>
      <c r="O5" s="933">
        <f>'Fevereiro-23'!O121</f>
        <v>3248.33</v>
      </c>
      <c r="P5" s="179"/>
      <c r="Q5" s="1479">
        <f>'Fevereiro-23'!Q121</f>
        <v>8956.1899999999987</v>
      </c>
      <c r="R5" s="179"/>
      <c r="S5" s="933">
        <f>'Fevereiro-23'!S121</f>
        <v>39267.335984720012</v>
      </c>
    </row>
    <row r="6" spans="1:23" s="224" customFormat="1" x14ac:dyDescent="0.25">
      <c r="A6" s="215">
        <v>44986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1274" customFormat="1" ht="15" customHeight="1" x14ac:dyDescent="0.25">
      <c r="A7" s="1264">
        <v>44986</v>
      </c>
      <c r="B7" s="1275" t="s">
        <v>3581</v>
      </c>
      <c r="C7" s="1276" t="s">
        <v>12</v>
      </c>
      <c r="D7" s="1276"/>
      <c r="E7" s="1286" t="s">
        <v>13</v>
      </c>
      <c r="F7" s="1279"/>
      <c r="G7" s="1278"/>
      <c r="H7" s="1282"/>
      <c r="I7" s="1283"/>
      <c r="J7" s="1279"/>
      <c r="K7" s="1278"/>
      <c r="L7" s="1279"/>
      <c r="M7" s="1278"/>
      <c r="N7" s="1279"/>
      <c r="O7" s="1278"/>
      <c r="P7" s="1279">
        <v>1000</v>
      </c>
      <c r="Q7" s="1283"/>
      <c r="R7" s="1740"/>
      <c r="S7" s="1743"/>
      <c r="T7" s="1281"/>
      <c r="U7" s="1294"/>
    </row>
    <row r="8" spans="1:23" s="224" customFormat="1" x14ac:dyDescent="0.25">
      <c r="A8" s="215">
        <v>44986</v>
      </c>
      <c r="B8" s="882" t="s">
        <v>138</v>
      </c>
      <c r="C8" s="879" t="s">
        <v>12</v>
      </c>
      <c r="D8" s="879" t="s">
        <v>2157</v>
      </c>
      <c r="E8" s="875" t="s">
        <v>15</v>
      </c>
      <c r="F8" s="1279">
        <v>100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1274" customFormat="1" ht="15" customHeight="1" x14ac:dyDescent="0.25">
      <c r="A9" s="215">
        <v>44986</v>
      </c>
      <c r="B9" s="1275" t="s">
        <v>32</v>
      </c>
      <c r="C9" s="1276" t="s">
        <v>12</v>
      </c>
      <c r="D9" s="1276" t="s">
        <v>1485</v>
      </c>
      <c r="E9" s="1286" t="s">
        <v>13</v>
      </c>
      <c r="F9" s="780">
        <v>20</v>
      </c>
      <c r="G9" s="1278"/>
      <c r="H9" s="1282"/>
      <c r="I9" s="1283"/>
      <c r="J9" s="1279"/>
      <c r="K9" s="1278"/>
      <c r="L9" s="1279"/>
      <c r="M9" s="1278"/>
      <c r="N9" s="1279"/>
      <c r="O9" s="1278"/>
      <c r="P9" s="1279"/>
      <c r="Q9" s="1283"/>
      <c r="R9" s="1702"/>
      <c r="S9" s="1703"/>
      <c r="T9" s="1281"/>
      <c r="V9" s="1281"/>
      <c r="W9" s="1294"/>
    </row>
    <row r="10" spans="1:23" s="224" customFormat="1" ht="15" customHeight="1" x14ac:dyDescent="0.25">
      <c r="A10" s="215">
        <v>44986</v>
      </c>
      <c r="B10" s="1275" t="s">
        <v>14</v>
      </c>
      <c r="C10" s="1276" t="s">
        <v>12</v>
      </c>
      <c r="D10" s="1276" t="s">
        <v>1486</v>
      </c>
      <c r="E10" s="1286" t="s">
        <v>13</v>
      </c>
      <c r="F10" s="780">
        <v>10.72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  <c r="V10" s="927"/>
      <c r="W10" s="999"/>
    </row>
    <row r="11" spans="1:23" s="224" customFormat="1" ht="15" customHeight="1" x14ac:dyDescent="0.25">
      <c r="A11" s="215">
        <v>44987</v>
      </c>
      <c r="B11" s="882" t="s">
        <v>390</v>
      </c>
      <c r="C11" s="879" t="s">
        <v>12</v>
      </c>
      <c r="D11" s="879"/>
      <c r="E11" s="871" t="s">
        <v>25</v>
      </c>
      <c r="F11" s="780"/>
      <c r="G11" s="982">
        <v>200</v>
      </c>
      <c r="H11" s="622">
        <v>200</v>
      </c>
      <c r="I11" s="982"/>
      <c r="J11" s="622"/>
      <c r="K11" s="982"/>
      <c r="L11" s="622"/>
      <c r="M11" s="982"/>
      <c r="N11" s="622"/>
      <c r="O11" s="1063"/>
      <c r="P11" s="622"/>
      <c r="Q11" s="1063"/>
      <c r="R11" s="622"/>
      <c r="S11" s="982"/>
      <c r="T11" s="1080"/>
      <c r="U11" s="927"/>
      <c r="V11" s="878"/>
    </row>
    <row r="12" spans="1:23" s="1274" customFormat="1" ht="15" customHeight="1" x14ac:dyDescent="0.25">
      <c r="A12" s="215">
        <v>44987</v>
      </c>
      <c r="B12" s="1275" t="s">
        <v>32</v>
      </c>
      <c r="C12" s="1276" t="s">
        <v>12</v>
      </c>
      <c r="D12" s="1276" t="s">
        <v>1485</v>
      </c>
      <c r="E12" s="1286" t="s">
        <v>13</v>
      </c>
      <c r="F12" s="780">
        <v>20</v>
      </c>
      <c r="G12" s="1278"/>
      <c r="H12" s="1282"/>
      <c r="I12" s="1283"/>
      <c r="J12" s="1279"/>
      <c r="K12" s="1278"/>
      <c r="L12" s="1279"/>
      <c r="M12" s="1278"/>
      <c r="N12" s="1279"/>
      <c r="O12" s="1278"/>
      <c r="P12" s="1279"/>
      <c r="Q12" s="1283"/>
      <c r="R12" s="1702"/>
      <c r="S12" s="1703"/>
      <c r="T12" s="1281"/>
      <c r="V12" s="1281"/>
      <c r="W12" s="1294"/>
    </row>
    <row r="13" spans="1:23" s="224" customFormat="1" ht="15" customHeight="1" x14ac:dyDescent="0.25">
      <c r="A13" s="215">
        <v>44987</v>
      </c>
      <c r="B13" s="882" t="s">
        <v>17</v>
      </c>
      <c r="C13" s="879" t="s">
        <v>12</v>
      </c>
      <c r="D13" s="879" t="s">
        <v>1493</v>
      </c>
      <c r="E13" s="871" t="s">
        <v>13</v>
      </c>
      <c r="F13" s="780">
        <v>7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1063"/>
      <c r="R13" s="622"/>
      <c r="S13" s="982"/>
      <c r="T13" s="1028"/>
      <c r="W13" s="958"/>
    </row>
    <row r="14" spans="1:23" s="224" customFormat="1" ht="15" customHeight="1" x14ac:dyDescent="0.25">
      <c r="A14" s="215">
        <v>44987</v>
      </c>
      <c r="B14" s="1275" t="s">
        <v>14</v>
      </c>
      <c r="C14" s="1276" t="s">
        <v>12</v>
      </c>
      <c r="D14" s="1276" t="s">
        <v>1486</v>
      </c>
      <c r="E14" s="1286" t="s">
        <v>13</v>
      </c>
      <c r="F14" s="780">
        <v>11.38</v>
      </c>
      <c r="G14" s="982"/>
      <c r="H14" s="622"/>
      <c r="I14" s="982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1080"/>
      <c r="U14" s="927"/>
      <c r="V14" s="878"/>
    </row>
    <row r="15" spans="1:23" s="1274" customFormat="1" ht="15" customHeight="1" x14ac:dyDescent="0.25">
      <c r="A15" s="215">
        <v>44988</v>
      </c>
      <c r="B15" s="1275" t="s">
        <v>32</v>
      </c>
      <c r="C15" s="1276" t="s">
        <v>12</v>
      </c>
      <c r="D15" s="1276" t="s">
        <v>1485</v>
      </c>
      <c r="E15" s="1286" t="s">
        <v>13</v>
      </c>
      <c r="F15" s="780">
        <v>20</v>
      </c>
      <c r="G15" s="1278"/>
      <c r="H15" s="1282"/>
      <c r="I15" s="1283"/>
      <c r="J15" s="1279"/>
      <c r="K15" s="1278"/>
      <c r="L15" s="1279"/>
      <c r="M15" s="1278"/>
      <c r="N15" s="1279"/>
      <c r="O15" s="1278"/>
      <c r="P15" s="1279"/>
      <c r="Q15" s="1283"/>
      <c r="R15" s="1702"/>
      <c r="S15" s="1742"/>
      <c r="T15" s="1281"/>
      <c r="V15" s="1281"/>
      <c r="W15" s="1294"/>
    </row>
    <row r="16" spans="1:23" s="224" customFormat="1" ht="15" customHeight="1" x14ac:dyDescent="0.25">
      <c r="A16" s="215">
        <v>44988</v>
      </c>
      <c r="B16" s="1275" t="s">
        <v>14</v>
      </c>
      <c r="C16" s="1276" t="s">
        <v>12</v>
      </c>
      <c r="D16" s="1276" t="s">
        <v>1486</v>
      </c>
      <c r="E16" s="1286" t="s">
        <v>13</v>
      </c>
      <c r="F16" s="1279">
        <v>9.51</v>
      </c>
      <c r="G16" s="982"/>
      <c r="H16" s="622"/>
      <c r="I16" s="982"/>
      <c r="J16" s="622"/>
      <c r="K16" s="982"/>
      <c r="L16" s="622"/>
      <c r="M16" s="982"/>
      <c r="N16" s="622"/>
      <c r="O16" s="982"/>
      <c r="P16" s="622"/>
      <c r="Q16" s="1063"/>
      <c r="R16" s="622"/>
      <c r="S16" s="982"/>
      <c r="T16" s="1080"/>
      <c r="U16" s="927"/>
      <c r="V16" s="878"/>
    </row>
    <row r="17" spans="1:44" s="224" customFormat="1" ht="15" customHeight="1" x14ac:dyDescent="0.25">
      <c r="A17" s="215">
        <v>44989</v>
      </c>
      <c r="B17" s="1275" t="s">
        <v>14</v>
      </c>
      <c r="C17" s="1276" t="s">
        <v>12</v>
      </c>
      <c r="D17" s="1276" t="s">
        <v>1486</v>
      </c>
      <c r="E17" s="1286" t="s">
        <v>13</v>
      </c>
      <c r="F17" s="1279">
        <v>7.84</v>
      </c>
      <c r="G17" s="982"/>
      <c r="H17" s="622"/>
      <c r="I17" s="982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1080"/>
      <c r="U17" s="927"/>
      <c r="V17" s="878"/>
    </row>
    <row r="18" spans="1:44" s="1274" customFormat="1" ht="15" customHeight="1" x14ac:dyDescent="0.25">
      <c r="A18" s="215">
        <v>44989</v>
      </c>
      <c r="B18" s="1289" t="s">
        <v>2096</v>
      </c>
      <c r="C18" s="1276" t="s">
        <v>12</v>
      </c>
      <c r="D18" s="1276" t="s">
        <v>1506</v>
      </c>
      <c r="E18" s="1277" t="s">
        <v>13</v>
      </c>
      <c r="F18" s="1279">
        <v>50</v>
      </c>
      <c r="G18" s="1278"/>
      <c r="H18" s="1282"/>
      <c r="I18" s="1283"/>
      <c r="J18" s="1279"/>
      <c r="K18" s="1278"/>
      <c r="L18" s="1279"/>
      <c r="M18" s="1278"/>
      <c r="N18" s="1279"/>
      <c r="O18" s="1278"/>
      <c r="P18" s="1279"/>
      <c r="Q18" s="1283"/>
      <c r="R18" s="1741"/>
      <c r="S18" s="1743"/>
      <c r="T18" s="1281"/>
      <c r="U18" s="1294"/>
    </row>
    <row r="19" spans="1:44" s="1274" customFormat="1" ht="15" customHeight="1" x14ac:dyDescent="0.25">
      <c r="A19" s="215">
        <v>44989</v>
      </c>
      <c r="B19" s="1289" t="s">
        <v>2375</v>
      </c>
      <c r="C19" s="1276" t="s">
        <v>12</v>
      </c>
      <c r="D19" s="1276" t="s">
        <v>1506</v>
      </c>
      <c r="E19" s="1277" t="s">
        <v>13</v>
      </c>
      <c r="F19" s="1279">
        <v>10</v>
      </c>
      <c r="G19" s="1278"/>
      <c r="H19" s="1282"/>
      <c r="I19" s="1283"/>
      <c r="J19" s="1279"/>
      <c r="K19" s="1278"/>
      <c r="L19" s="1279"/>
      <c r="M19" s="1278"/>
      <c r="N19" s="1279"/>
      <c r="O19" s="1278"/>
      <c r="P19" s="1279"/>
      <c r="Q19" s="1283"/>
      <c r="R19" s="1740"/>
      <c r="S19" s="1744"/>
      <c r="T19" s="1281"/>
      <c r="U19" s="1294"/>
    </row>
    <row r="20" spans="1:44" s="224" customFormat="1" ht="15" customHeight="1" x14ac:dyDescent="0.25">
      <c r="A20" s="215">
        <v>44989</v>
      </c>
      <c r="B20" s="1275" t="s">
        <v>3672</v>
      </c>
      <c r="C20" s="1276" t="s">
        <v>12</v>
      </c>
      <c r="D20" s="1276" t="s">
        <v>1493</v>
      </c>
      <c r="E20" s="1286" t="s">
        <v>13</v>
      </c>
      <c r="F20" s="780">
        <v>45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1063"/>
      <c r="R20" s="622"/>
      <c r="S20" s="982"/>
      <c r="T20" s="1080"/>
      <c r="U20" s="927"/>
      <c r="V20" s="878"/>
    </row>
    <row r="21" spans="1:44" s="224" customFormat="1" ht="15" customHeight="1" x14ac:dyDescent="0.25">
      <c r="A21" s="215">
        <v>44990</v>
      </c>
      <c r="B21" s="1275" t="s">
        <v>14</v>
      </c>
      <c r="C21" s="1276" t="s">
        <v>12</v>
      </c>
      <c r="D21" s="1276" t="s">
        <v>1486</v>
      </c>
      <c r="E21" s="1286" t="s">
        <v>13</v>
      </c>
      <c r="F21" s="780">
        <v>8.89</v>
      </c>
      <c r="G21" s="982"/>
      <c r="H21" s="622"/>
      <c r="I21" s="982"/>
      <c r="J21" s="622"/>
      <c r="K21" s="982"/>
      <c r="L21" s="622"/>
      <c r="M21" s="982"/>
      <c r="N21" s="622"/>
      <c r="O21" s="982"/>
      <c r="P21" s="622"/>
      <c r="Q21" s="1063"/>
      <c r="R21" s="622"/>
      <c r="S21" s="982"/>
      <c r="T21" s="1080"/>
      <c r="U21" s="927"/>
      <c r="V21" s="878"/>
    </row>
    <row r="22" spans="1:44" s="224" customFormat="1" x14ac:dyDescent="0.25">
      <c r="A22" s="215">
        <v>44990</v>
      </c>
      <c r="B22" s="1275" t="s">
        <v>443</v>
      </c>
      <c r="C22" s="1276" t="s">
        <v>12</v>
      </c>
      <c r="D22" s="1276" t="s">
        <v>1493</v>
      </c>
      <c r="E22" s="1286" t="s">
        <v>13</v>
      </c>
      <c r="F22" s="780">
        <v>19.899999999999999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861"/>
      <c r="V22" s="878"/>
    </row>
    <row r="23" spans="1:44" s="224" customFormat="1" ht="15.75" customHeight="1" x14ac:dyDescent="0.25">
      <c r="A23" s="215">
        <v>44991</v>
      </c>
      <c r="B23" s="873" t="s">
        <v>3673</v>
      </c>
      <c r="C23" s="879" t="s">
        <v>12</v>
      </c>
      <c r="D23" s="874"/>
      <c r="E23" s="871" t="s">
        <v>25</v>
      </c>
      <c r="F23" s="1524"/>
      <c r="G23" s="1002">
        <v>2124.85</v>
      </c>
      <c r="H23" s="538"/>
      <c r="I23" s="982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78"/>
    </row>
    <row r="24" spans="1:44" s="224" customFormat="1" ht="15" customHeight="1" x14ac:dyDescent="0.25">
      <c r="A24" s="215">
        <v>44991</v>
      </c>
      <c r="B24" s="862" t="s">
        <v>3422</v>
      </c>
      <c r="C24" s="879" t="s">
        <v>12</v>
      </c>
      <c r="D24" s="879" t="s">
        <v>1504</v>
      </c>
      <c r="E24" s="871" t="s">
        <v>13</v>
      </c>
      <c r="F24" s="780">
        <v>50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78">
        <v>109.9</v>
      </c>
      <c r="U24" s="1028"/>
      <c r="V24" s="1035"/>
    </row>
    <row r="25" spans="1:44" s="224" customFormat="1" ht="15" customHeight="1" x14ac:dyDescent="0.25">
      <c r="A25" s="215">
        <v>44991</v>
      </c>
      <c r="B25" s="882" t="s">
        <v>3674</v>
      </c>
      <c r="C25" s="879" t="s">
        <v>12</v>
      </c>
      <c r="D25" s="879" t="s">
        <v>1499</v>
      </c>
      <c r="E25" s="871" t="s">
        <v>13</v>
      </c>
      <c r="F25" s="780">
        <v>37.409999999999997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8">
        <v>97.41</v>
      </c>
      <c r="U25" s="999"/>
      <c r="V25" s="878"/>
    </row>
    <row r="26" spans="1:44" s="224" customFormat="1" ht="15" customHeight="1" x14ac:dyDescent="0.25">
      <c r="A26" s="215">
        <v>44991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300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028" t="s">
        <v>3628</v>
      </c>
      <c r="V26" s="1035"/>
    </row>
    <row r="27" spans="1:44" x14ac:dyDescent="0.25">
      <c r="A27" s="215">
        <v>44991</v>
      </c>
      <c r="B27" s="876" t="s">
        <v>3060</v>
      </c>
      <c r="C27" s="879" t="s">
        <v>12</v>
      </c>
      <c r="D27" s="879" t="s">
        <v>1496</v>
      </c>
      <c r="E27" s="871" t="s">
        <v>13</v>
      </c>
      <c r="F27" s="780">
        <v>80</v>
      </c>
      <c r="G27" s="982"/>
      <c r="H27" s="1009"/>
      <c r="I27" s="1063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1029"/>
    </row>
    <row r="28" spans="1:44" s="224" customFormat="1" ht="14.25" customHeight="1" x14ac:dyDescent="0.25">
      <c r="A28" s="215">
        <v>44991</v>
      </c>
      <c r="B28" s="882" t="s">
        <v>3675</v>
      </c>
      <c r="C28" s="879" t="s">
        <v>12</v>
      </c>
      <c r="D28" s="879" t="s">
        <v>3017</v>
      </c>
      <c r="E28" s="875" t="s">
        <v>13</v>
      </c>
      <c r="F28" s="780">
        <v>617.13</v>
      </c>
      <c r="G28" s="982"/>
      <c r="H28" s="1008"/>
      <c r="I28" s="1063"/>
      <c r="J28" s="622"/>
      <c r="K28" s="982">
        <f>F28</f>
        <v>617.13</v>
      </c>
      <c r="L28" s="622"/>
      <c r="M28" s="982"/>
      <c r="N28" s="622"/>
      <c r="O28" s="982"/>
      <c r="P28" s="622"/>
      <c r="Q28" s="1063"/>
      <c r="R28" s="622"/>
      <c r="S28" s="982"/>
      <c r="T28" s="861">
        <v>450</v>
      </c>
      <c r="U28" s="878" t="s">
        <v>3018</v>
      </c>
      <c r="V28" s="1035"/>
    </row>
    <row r="29" spans="1:44" s="224" customFormat="1" ht="15" customHeight="1" x14ac:dyDescent="0.25">
      <c r="A29" s="215">
        <v>44991</v>
      </c>
      <c r="B29" s="364" t="s">
        <v>3676</v>
      </c>
      <c r="C29" s="879" t="s">
        <v>12</v>
      </c>
      <c r="D29" s="879"/>
      <c r="E29" s="875" t="s">
        <v>25</v>
      </c>
      <c r="F29" s="780"/>
      <c r="G29" s="982"/>
      <c r="H29" s="622"/>
      <c r="I29" s="982"/>
      <c r="J29" s="622"/>
      <c r="K29" s="982"/>
      <c r="L29" s="622"/>
      <c r="M29" s="982"/>
      <c r="N29" s="622"/>
      <c r="O29" s="982"/>
      <c r="P29" s="622"/>
      <c r="Q29" s="1063"/>
      <c r="R29" s="622"/>
      <c r="S29" s="982">
        <v>400</v>
      </c>
      <c r="T29" s="927"/>
      <c r="U29" s="927"/>
      <c r="V29" s="878"/>
    </row>
    <row r="30" spans="1:44" s="224" customFormat="1" ht="15" customHeight="1" x14ac:dyDescent="0.25">
      <c r="A30" s="215">
        <v>44991</v>
      </c>
      <c r="B30" s="364" t="s">
        <v>1396</v>
      </c>
      <c r="C30" s="879" t="s">
        <v>12</v>
      </c>
      <c r="D30" s="350"/>
      <c r="E30" s="480" t="s">
        <v>25</v>
      </c>
      <c r="F30" s="613"/>
      <c r="G30" s="967">
        <v>100</v>
      </c>
      <c r="H30" s="1008"/>
      <c r="I30" s="1063"/>
      <c r="J30" s="1116"/>
      <c r="K30" s="1207"/>
      <c r="L30" s="622"/>
      <c r="M30" s="982"/>
      <c r="N30" s="622"/>
      <c r="O30" s="982"/>
      <c r="P30" s="1116"/>
      <c r="Q30" s="1736"/>
      <c r="R30" s="1116"/>
      <c r="S30" s="1207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s="1274" customFormat="1" ht="15" customHeight="1" x14ac:dyDescent="0.25">
      <c r="A31" s="215">
        <v>44991</v>
      </c>
      <c r="B31" s="1275" t="s">
        <v>32</v>
      </c>
      <c r="C31" s="1276" t="s">
        <v>12</v>
      </c>
      <c r="D31" s="1276" t="s">
        <v>1485</v>
      </c>
      <c r="E31" s="1286" t="s">
        <v>13</v>
      </c>
      <c r="F31" s="780">
        <v>20</v>
      </c>
      <c r="G31" s="1278"/>
      <c r="H31" s="1282"/>
      <c r="I31" s="1283"/>
      <c r="J31" s="1279"/>
      <c r="K31" s="1278"/>
      <c r="L31" s="1279"/>
      <c r="M31" s="1278"/>
      <c r="N31" s="1279"/>
      <c r="O31" s="1278"/>
      <c r="P31" s="1279"/>
      <c r="Q31" s="1283"/>
      <c r="R31" s="1702"/>
      <c r="S31" s="1742"/>
      <c r="T31" s="1281"/>
      <c r="V31" s="1281"/>
      <c r="W31" s="1294"/>
    </row>
    <row r="32" spans="1:44" s="224" customFormat="1" ht="15" customHeight="1" x14ac:dyDescent="0.25">
      <c r="A32" s="215">
        <v>44991</v>
      </c>
      <c r="B32" s="1275" t="s">
        <v>3677</v>
      </c>
      <c r="C32" s="1276" t="s">
        <v>12</v>
      </c>
      <c r="D32" s="1276" t="s">
        <v>1486</v>
      </c>
      <c r="E32" s="1286" t="s">
        <v>13</v>
      </c>
      <c r="F32" s="780">
        <v>13.84</v>
      </c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280"/>
      <c r="U32" s="927"/>
      <c r="V32" s="878"/>
    </row>
    <row r="33" spans="1:44" s="1274" customFormat="1" ht="15" customHeight="1" x14ac:dyDescent="0.25">
      <c r="A33" s="215">
        <v>44992</v>
      </c>
      <c r="B33" s="1275" t="s">
        <v>32</v>
      </c>
      <c r="C33" s="1276" t="s">
        <v>12</v>
      </c>
      <c r="D33" s="1276" t="s">
        <v>1485</v>
      </c>
      <c r="E33" s="1286" t="s">
        <v>13</v>
      </c>
      <c r="F33" s="780">
        <v>20</v>
      </c>
      <c r="G33" s="1278"/>
      <c r="H33" s="1282"/>
      <c r="I33" s="1283"/>
      <c r="J33" s="1279"/>
      <c r="K33" s="1278"/>
      <c r="L33" s="1279"/>
      <c r="M33" s="1278"/>
      <c r="N33" s="1279"/>
      <c r="O33" s="1278"/>
      <c r="P33" s="1279"/>
      <c r="Q33" s="1283"/>
      <c r="R33" s="1702"/>
      <c r="S33" s="1742"/>
      <c r="T33" s="1281"/>
      <c r="V33" s="1281"/>
      <c r="W33" s="1294"/>
    </row>
    <row r="34" spans="1:44" s="224" customFormat="1" ht="15" customHeight="1" x14ac:dyDescent="0.25">
      <c r="A34" s="215">
        <v>44992</v>
      </c>
      <c r="B34" s="882" t="s">
        <v>3678</v>
      </c>
      <c r="C34" s="879" t="s">
        <v>19</v>
      </c>
      <c r="D34" s="879" t="s">
        <v>1506</v>
      </c>
      <c r="E34" s="871" t="s">
        <v>13</v>
      </c>
      <c r="F34" s="780">
        <v>100</v>
      </c>
      <c r="G34" s="946"/>
      <c r="H34" s="95"/>
      <c r="I34" s="1064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1280" t="s">
        <v>3292</v>
      </c>
      <c r="V34" s="927"/>
      <c r="W34" s="999"/>
    </row>
    <row r="35" spans="1:44" s="224" customFormat="1" ht="15" customHeight="1" x14ac:dyDescent="0.25">
      <c r="A35" s="215">
        <v>44992</v>
      </c>
      <c r="B35" s="882" t="s">
        <v>3679</v>
      </c>
      <c r="C35" s="879" t="s">
        <v>19</v>
      </c>
      <c r="D35" s="879" t="s">
        <v>1491</v>
      </c>
      <c r="E35" s="871" t="s">
        <v>13</v>
      </c>
      <c r="F35" s="780">
        <v>120</v>
      </c>
      <c r="G35" s="946"/>
      <c r="H35" s="95"/>
      <c r="I35" s="1064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1280" t="s">
        <v>3292</v>
      </c>
      <c r="V35" s="927"/>
      <c r="W35" s="999"/>
    </row>
    <row r="36" spans="1:44" s="224" customFormat="1" ht="15" customHeight="1" x14ac:dyDescent="0.25">
      <c r="A36" s="215">
        <v>44992</v>
      </c>
      <c r="B36" s="1275" t="s">
        <v>14</v>
      </c>
      <c r="C36" s="1276" t="s">
        <v>12</v>
      </c>
      <c r="D36" s="1276" t="s">
        <v>1486</v>
      </c>
      <c r="E36" s="1286" t="s">
        <v>13</v>
      </c>
      <c r="F36" s="780">
        <v>15.88</v>
      </c>
      <c r="G36" s="946"/>
      <c r="H36" s="95"/>
      <c r="I36" s="1064"/>
      <c r="J36" s="622"/>
      <c r="K36" s="982"/>
      <c r="L36" s="622"/>
      <c r="M36" s="982"/>
      <c r="N36" s="622"/>
      <c r="O36" s="982"/>
      <c r="P36" s="622"/>
      <c r="Q36" s="1063"/>
      <c r="R36" s="622"/>
      <c r="S36" s="982"/>
      <c r="T36" s="1280"/>
      <c r="V36" s="927"/>
      <c r="W36" s="999"/>
    </row>
    <row r="37" spans="1:44" s="1274" customFormat="1" ht="15" customHeight="1" x14ac:dyDescent="0.25">
      <c r="A37" s="215">
        <v>44993</v>
      </c>
      <c r="B37" s="1275" t="s">
        <v>32</v>
      </c>
      <c r="C37" s="1276" t="s">
        <v>12</v>
      </c>
      <c r="D37" s="1276" t="s">
        <v>1485</v>
      </c>
      <c r="E37" s="1286" t="s">
        <v>13</v>
      </c>
      <c r="F37" s="780">
        <v>20</v>
      </c>
      <c r="G37" s="1278"/>
      <c r="H37" s="1282"/>
      <c r="I37" s="1283"/>
      <c r="J37" s="1279"/>
      <c r="K37" s="1278"/>
      <c r="L37" s="1279"/>
      <c r="M37" s="1278"/>
      <c r="N37" s="1279"/>
      <c r="O37" s="1278"/>
      <c r="P37" s="1279"/>
      <c r="Q37" s="1283"/>
      <c r="R37" s="1702"/>
      <c r="S37" s="1742"/>
      <c r="T37" s="1281"/>
      <c r="V37" s="1281"/>
      <c r="W37" s="1294"/>
    </row>
    <row r="38" spans="1:44" s="1274" customFormat="1" ht="15" customHeight="1" x14ac:dyDescent="0.25">
      <c r="A38" s="215">
        <v>44993</v>
      </c>
      <c r="B38" s="1275" t="s">
        <v>17</v>
      </c>
      <c r="C38" s="1276" t="s">
        <v>12</v>
      </c>
      <c r="D38" s="1276" t="s">
        <v>1493</v>
      </c>
      <c r="E38" s="1286" t="s">
        <v>13</v>
      </c>
      <c r="F38" s="780">
        <v>15</v>
      </c>
      <c r="G38" s="1278"/>
      <c r="H38" s="1282"/>
      <c r="I38" s="1283"/>
      <c r="J38" s="1279"/>
      <c r="K38" s="1278"/>
      <c r="L38" s="1279"/>
      <c r="M38" s="1278"/>
      <c r="N38" s="1279"/>
      <c r="O38" s="1278"/>
      <c r="P38" s="1279"/>
      <c r="Q38" s="1283"/>
      <c r="R38" s="1702"/>
      <c r="S38" s="1742"/>
      <c r="T38" s="1281"/>
      <c r="V38" s="1281"/>
      <c r="W38" s="1294"/>
    </row>
    <row r="39" spans="1:44" s="224" customFormat="1" ht="15" customHeight="1" x14ac:dyDescent="0.25">
      <c r="A39" s="215">
        <v>44994</v>
      </c>
      <c r="B39" s="882" t="s">
        <v>3680</v>
      </c>
      <c r="C39" s="879" t="s">
        <v>12</v>
      </c>
      <c r="D39" s="879" t="s">
        <v>1499</v>
      </c>
      <c r="E39" s="871" t="s">
        <v>13</v>
      </c>
      <c r="F39" s="780">
        <v>13.83</v>
      </c>
      <c r="G39" s="982"/>
      <c r="H39" s="1008"/>
      <c r="I39" s="1063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861">
        <v>43.83</v>
      </c>
      <c r="V39" s="1123"/>
      <c r="W39" s="999"/>
    </row>
    <row r="40" spans="1:44" s="224" customFormat="1" ht="15" customHeight="1" x14ac:dyDescent="0.25">
      <c r="A40" s="215">
        <v>44994</v>
      </c>
      <c r="B40" s="1275" t="s">
        <v>32</v>
      </c>
      <c r="C40" s="1276" t="s">
        <v>12</v>
      </c>
      <c r="D40" s="1276" t="s">
        <v>1485</v>
      </c>
      <c r="E40" s="1286" t="s">
        <v>13</v>
      </c>
      <c r="F40" s="780">
        <v>20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1063"/>
      <c r="R40" s="622"/>
      <c r="S40" s="982"/>
      <c r="T40" s="927"/>
      <c r="U40" s="927"/>
      <c r="V40" s="878"/>
    </row>
    <row r="41" spans="1:44" s="224" customFormat="1" x14ac:dyDescent="0.25">
      <c r="A41" s="215">
        <v>44994</v>
      </c>
      <c r="B41" s="882" t="s">
        <v>138</v>
      </c>
      <c r="C41" s="879" t="s">
        <v>12</v>
      </c>
      <c r="D41" s="879" t="s">
        <v>2157</v>
      </c>
      <c r="E41" s="875" t="s">
        <v>15</v>
      </c>
      <c r="F41" s="1279">
        <v>80</v>
      </c>
      <c r="G41" s="982"/>
      <c r="H41" s="1008"/>
      <c r="I41" s="1063"/>
      <c r="J41" s="622"/>
      <c r="K41" s="982"/>
      <c r="L41" s="622"/>
      <c r="M41" s="982"/>
      <c r="N41" s="622"/>
      <c r="O41" s="982"/>
      <c r="P41" s="622"/>
      <c r="Q41" s="1063"/>
      <c r="R41" s="622"/>
      <c r="S41" s="982"/>
      <c r="T41" s="861"/>
      <c r="V41" s="878"/>
    </row>
    <row r="42" spans="1:44" s="224" customFormat="1" ht="15" customHeight="1" x14ac:dyDescent="0.25">
      <c r="A42" s="215">
        <v>44994</v>
      </c>
      <c r="B42" s="1275" t="s">
        <v>14</v>
      </c>
      <c r="C42" s="1276" t="s">
        <v>12</v>
      </c>
      <c r="D42" s="1276" t="s">
        <v>1486</v>
      </c>
      <c r="E42" s="1286" t="s">
        <v>13</v>
      </c>
      <c r="F42" s="780">
        <v>7.88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927"/>
      <c r="U42" s="927"/>
      <c r="V42" s="878"/>
    </row>
    <row r="43" spans="1:44" s="224" customFormat="1" ht="15" customHeight="1" x14ac:dyDescent="0.25">
      <c r="A43" s="215">
        <v>44995</v>
      </c>
      <c r="B43" s="364" t="s">
        <v>3354</v>
      </c>
      <c r="C43" s="350" t="s">
        <v>12</v>
      </c>
      <c r="D43" s="350"/>
      <c r="E43" s="480" t="s">
        <v>25</v>
      </c>
      <c r="F43" s="613"/>
      <c r="G43" s="967"/>
      <c r="H43" s="1008"/>
      <c r="I43" s="1063"/>
      <c r="J43" s="1110"/>
      <c r="K43" s="1207"/>
      <c r="L43" s="880"/>
      <c r="M43" s="1033"/>
      <c r="N43" s="880"/>
      <c r="O43" s="1033"/>
      <c r="P43" s="1116"/>
      <c r="Q43" s="1737"/>
      <c r="R43" s="613"/>
      <c r="S43" s="162">
        <v>129.5</v>
      </c>
      <c r="T43" s="1209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</row>
    <row r="44" spans="1:44" s="224" customFormat="1" ht="15" customHeight="1" x14ac:dyDescent="0.25">
      <c r="A44" s="215">
        <v>44995</v>
      </c>
      <c r="B44" s="1275" t="s">
        <v>32</v>
      </c>
      <c r="C44" s="1276" t="s">
        <v>12</v>
      </c>
      <c r="D44" s="1276" t="s">
        <v>1485</v>
      </c>
      <c r="E44" s="1286" t="s">
        <v>13</v>
      </c>
      <c r="F44" s="780">
        <v>20</v>
      </c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927"/>
      <c r="U44" s="927"/>
      <c r="V44" s="878"/>
    </row>
    <row r="45" spans="1:44" s="1274" customFormat="1" ht="15" customHeight="1" x14ac:dyDescent="0.25">
      <c r="A45" s="215">
        <v>44995</v>
      </c>
      <c r="B45" s="1275" t="s">
        <v>17</v>
      </c>
      <c r="C45" s="1276" t="s">
        <v>12</v>
      </c>
      <c r="D45" s="1276" t="s">
        <v>1493</v>
      </c>
      <c r="E45" s="1286" t="s">
        <v>13</v>
      </c>
      <c r="F45" s="780">
        <v>7</v>
      </c>
      <c r="G45" s="1278"/>
      <c r="H45" s="1282"/>
      <c r="I45" s="1283"/>
      <c r="J45" s="1279"/>
      <c r="K45" s="1278"/>
      <c r="L45" s="1279"/>
      <c r="M45" s="1278"/>
      <c r="N45" s="1279"/>
      <c r="O45" s="1278"/>
      <c r="P45" s="1279"/>
      <c r="Q45" s="1283"/>
      <c r="R45" s="1702"/>
      <c r="S45" s="1742"/>
      <c r="T45" s="1281"/>
      <c r="V45" s="1281"/>
      <c r="W45" s="1294"/>
    </row>
    <row r="46" spans="1:44" s="224" customFormat="1" ht="15" customHeight="1" x14ac:dyDescent="0.25">
      <c r="A46" s="215">
        <v>44995</v>
      </c>
      <c r="B46" s="882" t="s">
        <v>3681</v>
      </c>
      <c r="C46" s="879" t="s">
        <v>12</v>
      </c>
      <c r="D46" s="879" t="s">
        <v>1524</v>
      </c>
      <c r="E46" s="871" t="s">
        <v>13</v>
      </c>
      <c r="F46" s="780">
        <v>13</v>
      </c>
      <c r="G46" s="982"/>
      <c r="H46" s="622"/>
      <c r="I46" s="982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1080"/>
      <c r="U46" s="927"/>
      <c r="V46" s="878"/>
    </row>
    <row r="47" spans="1:44" s="224" customFormat="1" ht="15" customHeight="1" x14ac:dyDescent="0.25">
      <c r="A47" s="215">
        <v>44995</v>
      </c>
      <c r="B47" s="1275" t="s">
        <v>3672</v>
      </c>
      <c r="C47" s="1276" t="s">
        <v>12</v>
      </c>
      <c r="D47" s="1276" t="s">
        <v>1493</v>
      </c>
      <c r="E47" s="1286" t="s">
        <v>13</v>
      </c>
      <c r="F47" s="780">
        <v>40</v>
      </c>
      <c r="G47" s="982"/>
      <c r="H47" s="622"/>
      <c r="I47" s="982"/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927"/>
      <c r="U47" s="927"/>
      <c r="V47" s="878"/>
    </row>
    <row r="48" spans="1:44" s="224" customFormat="1" ht="15" customHeight="1" x14ac:dyDescent="0.25">
      <c r="A48" s="215">
        <v>44996</v>
      </c>
      <c r="B48" s="1275" t="s">
        <v>14</v>
      </c>
      <c r="C48" s="1276" t="s">
        <v>12</v>
      </c>
      <c r="D48" s="1276" t="s">
        <v>1486</v>
      </c>
      <c r="E48" s="1286" t="s">
        <v>13</v>
      </c>
      <c r="F48" s="780">
        <v>6.42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927"/>
      <c r="U48" s="927"/>
      <c r="V48" s="878"/>
    </row>
    <row r="49" spans="1:44" s="224" customFormat="1" ht="15" customHeight="1" x14ac:dyDescent="0.25">
      <c r="A49" s="215">
        <v>44996</v>
      </c>
      <c r="B49" s="882" t="s">
        <v>2629</v>
      </c>
      <c r="C49" s="879" t="s">
        <v>19</v>
      </c>
      <c r="D49" s="879" t="s">
        <v>1489</v>
      </c>
      <c r="E49" s="875" t="s">
        <v>13</v>
      </c>
      <c r="F49" s="780">
        <v>103.08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ht="15" customHeight="1" x14ac:dyDescent="0.25">
      <c r="A50" s="215">
        <v>44996</v>
      </c>
      <c r="B50" s="882" t="s">
        <v>3682</v>
      </c>
      <c r="C50" s="879" t="s">
        <v>12</v>
      </c>
      <c r="D50" s="879" t="s">
        <v>1493</v>
      </c>
      <c r="E50" s="875" t="s">
        <v>13</v>
      </c>
      <c r="F50" s="780">
        <v>40</v>
      </c>
      <c r="G50" s="982"/>
      <c r="H50" s="95"/>
      <c r="I50" s="1064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x14ac:dyDescent="0.25">
      <c r="A51" s="215">
        <v>44997</v>
      </c>
      <c r="B51" s="1275" t="s">
        <v>14</v>
      </c>
      <c r="C51" s="1276" t="s">
        <v>12</v>
      </c>
      <c r="D51" s="1276" t="s">
        <v>1486</v>
      </c>
      <c r="E51" s="1286" t="s">
        <v>13</v>
      </c>
      <c r="F51" s="780">
        <v>8.4600000000000009</v>
      </c>
      <c r="G51" s="982"/>
      <c r="H51" s="1008"/>
      <c r="I51" s="1063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861"/>
      <c r="V51" s="878"/>
    </row>
    <row r="52" spans="1:44" s="224" customFormat="1" ht="15" customHeight="1" x14ac:dyDescent="0.25">
      <c r="A52" s="215">
        <v>44998</v>
      </c>
      <c r="B52" s="1275" t="s">
        <v>32</v>
      </c>
      <c r="C52" s="1276" t="s">
        <v>12</v>
      </c>
      <c r="D52" s="1276" t="s">
        <v>1485</v>
      </c>
      <c r="E52" s="1286" t="s">
        <v>13</v>
      </c>
      <c r="F52" s="780">
        <v>20</v>
      </c>
      <c r="G52" s="982"/>
      <c r="H52" s="622"/>
      <c r="I52" s="982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927"/>
      <c r="U52" s="927"/>
      <c r="V52" s="878"/>
    </row>
    <row r="53" spans="1:44" s="224" customFormat="1" x14ac:dyDescent="0.25">
      <c r="A53" s="215">
        <v>44998</v>
      </c>
      <c r="B53" s="1275" t="s">
        <v>14</v>
      </c>
      <c r="C53" s="1276" t="s">
        <v>12</v>
      </c>
      <c r="D53" s="1276" t="s">
        <v>1486</v>
      </c>
      <c r="E53" s="1286" t="s">
        <v>13</v>
      </c>
      <c r="F53" s="1279">
        <v>8.1999999999999993</v>
      </c>
      <c r="G53" s="982"/>
      <c r="H53" s="1008"/>
      <c r="I53" s="1063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861"/>
      <c r="V53" s="878"/>
    </row>
    <row r="54" spans="1:44" s="224" customFormat="1" ht="15" customHeight="1" x14ac:dyDescent="0.25">
      <c r="A54" s="215">
        <v>44999</v>
      </c>
      <c r="B54" s="1275" t="s">
        <v>32</v>
      </c>
      <c r="C54" s="1276" t="s">
        <v>12</v>
      </c>
      <c r="D54" s="1276" t="s">
        <v>1485</v>
      </c>
      <c r="E54" s="1286" t="s">
        <v>13</v>
      </c>
      <c r="F54" s="780">
        <v>20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927"/>
      <c r="U54" s="927"/>
      <c r="V54" s="878"/>
    </row>
    <row r="55" spans="1:44" s="224" customFormat="1" ht="15" customHeight="1" x14ac:dyDescent="0.25">
      <c r="A55" s="215">
        <v>45000</v>
      </c>
      <c r="B55" s="1275" t="s">
        <v>3683</v>
      </c>
      <c r="C55" s="1276" t="s">
        <v>12</v>
      </c>
      <c r="D55" s="1276"/>
      <c r="E55" s="1286" t="s">
        <v>25</v>
      </c>
      <c r="F55" s="613"/>
      <c r="G55" s="967">
        <v>9.61</v>
      </c>
      <c r="H55" s="1008"/>
      <c r="I55" s="1063"/>
      <c r="J55" s="613"/>
      <c r="K55" s="6"/>
      <c r="L55" s="622"/>
      <c r="M55" s="982"/>
      <c r="N55" s="622"/>
      <c r="O55" s="982"/>
      <c r="P55" s="872"/>
      <c r="Q55" s="1738"/>
      <c r="R55" s="613"/>
      <c r="S55" s="64"/>
      <c r="T55" s="1209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</row>
    <row r="56" spans="1:44" s="224" customFormat="1" ht="15" customHeight="1" x14ac:dyDescent="0.25">
      <c r="A56" s="215">
        <v>45000</v>
      </c>
      <c r="B56" s="1275" t="s">
        <v>3562</v>
      </c>
      <c r="C56" s="1276" t="s">
        <v>12</v>
      </c>
      <c r="D56" s="1276" t="s">
        <v>1525</v>
      </c>
      <c r="E56" s="1286" t="s">
        <v>13</v>
      </c>
      <c r="F56" s="613">
        <v>68</v>
      </c>
      <c r="G56" s="967"/>
      <c r="H56" s="1008"/>
      <c r="I56" s="1063"/>
      <c r="J56" s="613"/>
      <c r="K56" s="6"/>
      <c r="L56" s="622"/>
      <c r="M56" s="982"/>
      <c r="N56" s="622"/>
      <c r="O56" s="982"/>
      <c r="P56" s="872"/>
      <c r="Q56" s="1738"/>
      <c r="R56" s="613"/>
      <c r="S56" s="64"/>
      <c r="T56" s="1209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15">
        <v>45000</v>
      </c>
      <c r="B57" s="1275" t="s">
        <v>32</v>
      </c>
      <c r="C57" s="1276" t="s">
        <v>12</v>
      </c>
      <c r="D57" s="1276" t="s">
        <v>1485</v>
      </c>
      <c r="E57" s="1286" t="s">
        <v>13</v>
      </c>
      <c r="F57" s="780">
        <v>20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927"/>
      <c r="U57" s="927"/>
      <c r="V57" s="878"/>
    </row>
    <row r="58" spans="1:44" s="224" customFormat="1" ht="15" customHeight="1" x14ac:dyDescent="0.25">
      <c r="A58" s="215">
        <v>45000</v>
      </c>
      <c r="B58" s="882" t="s">
        <v>390</v>
      </c>
      <c r="C58" s="879" t="s">
        <v>12</v>
      </c>
      <c r="D58" s="879"/>
      <c r="E58" s="871" t="s">
        <v>25</v>
      </c>
      <c r="F58" s="780"/>
      <c r="G58" s="982">
        <v>100</v>
      </c>
      <c r="H58" s="622">
        <v>100</v>
      </c>
      <c r="I58" s="982"/>
      <c r="J58" s="622"/>
      <c r="K58" s="982"/>
      <c r="L58" s="622"/>
      <c r="M58" s="982"/>
      <c r="N58" s="622"/>
      <c r="O58" s="1063"/>
      <c r="P58" s="622"/>
      <c r="Q58" s="1063"/>
      <c r="R58" s="622"/>
      <c r="S58" s="982"/>
      <c r="T58" s="1080"/>
      <c r="U58" s="927"/>
      <c r="V58" s="878"/>
    </row>
    <row r="59" spans="1:44" s="224" customFormat="1" x14ac:dyDescent="0.25">
      <c r="A59" s="215">
        <v>45000</v>
      </c>
      <c r="B59" s="882" t="s">
        <v>138</v>
      </c>
      <c r="C59" s="879" t="s">
        <v>12</v>
      </c>
      <c r="D59" s="879" t="s">
        <v>2157</v>
      </c>
      <c r="E59" s="875" t="s">
        <v>15</v>
      </c>
      <c r="F59" s="1279">
        <v>100</v>
      </c>
      <c r="G59" s="982"/>
      <c r="H59" s="1008"/>
      <c r="I59" s="1063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861"/>
      <c r="V59" s="878"/>
    </row>
    <row r="60" spans="1:44" s="224" customFormat="1" x14ac:dyDescent="0.25">
      <c r="A60" s="215">
        <v>45000</v>
      </c>
      <c r="B60" s="1275" t="s">
        <v>14</v>
      </c>
      <c r="C60" s="1276" t="s">
        <v>12</v>
      </c>
      <c r="D60" s="1276" t="s">
        <v>1486</v>
      </c>
      <c r="E60" s="1286" t="s">
        <v>13</v>
      </c>
      <c r="F60" s="780">
        <v>8.2899999999999991</v>
      </c>
      <c r="G60" s="982"/>
      <c r="H60" s="1008"/>
      <c r="I60" s="1063"/>
      <c r="J60" s="622"/>
      <c r="K60" s="982"/>
      <c r="L60" s="622"/>
      <c r="M60" s="982"/>
      <c r="N60" s="622"/>
      <c r="O60" s="982"/>
      <c r="P60" s="622"/>
      <c r="Q60" s="1063"/>
      <c r="R60" s="622"/>
      <c r="S60" s="982"/>
      <c r="T60" s="861"/>
      <c r="V60" s="878"/>
    </row>
    <row r="61" spans="1:44" s="224" customFormat="1" ht="15" customHeight="1" x14ac:dyDescent="0.25">
      <c r="A61" s="215">
        <v>45000</v>
      </c>
      <c r="B61" s="364" t="s">
        <v>3684</v>
      </c>
      <c r="C61" s="350" t="s">
        <v>12</v>
      </c>
      <c r="D61" s="350" t="s">
        <v>1491</v>
      </c>
      <c r="E61" s="875" t="s">
        <v>13</v>
      </c>
      <c r="F61" s="780">
        <v>43.69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927"/>
      <c r="U61" s="927"/>
      <c r="V61" s="878"/>
    </row>
    <row r="62" spans="1:44" s="224" customFormat="1" ht="15" customHeight="1" x14ac:dyDescent="0.25">
      <c r="A62" s="215">
        <v>45001</v>
      </c>
      <c r="B62" s="1275" t="s">
        <v>32</v>
      </c>
      <c r="C62" s="1276" t="s">
        <v>12</v>
      </c>
      <c r="D62" s="1276" t="s">
        <v>1485</v>
      </c>
      <c r="E62" s="1286" t="s">
        <v>13</v>
      </c>
      <c r="F62" s="780">
        <v>20</v>
      </c>
      <c r="G62" s="982"/>
      <c r="H62" s="622"/>
      <c r="I62" s="982"/>
      <c r="J62" s="622"/>
      <c r="K62" s="982"/>
      <c r="L62" s="622"/>
      <c r="M62" s="982"/>
      <c r="N62" s="622"/>
      <c r="O62" s="982"/>
      <c r="P62" s="622"/>
      <c r="Q62" s="1063"/>
      <c r="R62" s="622"/>
      <c r="S62" s="982"/>
      <c r="T62" s="927"/>
      <c r="U62" s="927"/>
      <c r="V62" s="878"/>
    </row>
    <row r="63" spans="1:44" s="224" customFormat="1" ht="15" customHeight="1" x14ac:dyDescent="0.25">
      <c r="A63" s="215">
        <v>45002</v>
      </c>
      <c r="B63" s="1275" t="s">
        <v>32</v>
      </c>
      <c r="C63" s="1276" t="s">
        <v>12</v>
      </c>
      <c r="D63" s="1276" t="s">
        <v>1485</v>
      </c>
      <c r="E63" s="1286" t="s">
        <v>13</v>
      </c>
      <c r="F63" s="780">
        <v>20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1063"/>
      <c r="R63" s="622"/>
      <c r="S63" s="982"/>
      <c r="T63" s="927"/>
      <c r="U63" s="927"/>
      <c r="V63" s="878"/>
    </row>
    <row r="64" spans="1:44" s="1274" customFormat="1" ht="15" customHeight="1" x14ac:dyDescent="0.25">
      <c r="A64" s="215">
        <v>45002</v>
      </c>
      <c r="B64" s="1275" t="s">
        <v>17</v>
      </c>
      <c r="C64" s="1276" t="s">
        <v>12</v>
      </c>
      <c r="D64" s="1276" t="s">
        <v>1493</v>
      </c>
      <c r="E64" s="1286" t="s">
        <v>13</v>
      </c>
      <c r="F64" s="780">
        <v>7</v>
      </c>
      <c r="G64" s="1278"/>
      <c r="H64" s="1282"/>
      <c r="I64" s="1283"/>
      <c r="J64" s="1279"/>
      <c r="K64" s="1278"/>
      <c r="L64" s="1279"/>
      <c r="M64" s="1278"/>
      <c r="N64" s="1279"/>
      <c r="O64" s="1278"/>
      <c r="P64" s="1279"/>
      <c r="Q64" s="1283"/>
      <c r="R64" s="1702"/>
      <c r="S64" s="1742"/>
      <c r="T64" s="1281"/>
      <c r="V64" s="1281"/>
      <c r="W64" s="1294"/>
    </row>
    <row r="65" spans="1:44" s="224" customFormat="1" ht="15" customHeight="1" x14ac:dyDescent="0.25">
      <c r="A65" s="215">
        <v>45002</v>
      </c>
      <c r="B65" s="364" t="s">
        <v>3325</v>
      </c>
      <c r="C65" s="350" t="s">
        <v>12</v>
      </c>
      <c r="D65" s="350" t="s">
        <v>1504</v>
      </c>
      <c r="E65" s="875" t="s">
        <v>13</v>
      </c>
      <c r="F65" s="780">
        <v>32.49</v>
      </c>
      <c r="G65" s="982"/>
      <c r="H65" s="622"/>
      <c r="I65" s="982"/>
      <c r="J65" s="622"/>
      <c r="K65" s="982"/>
      <c r="L65" s="622"/>
      <c r="M65" s="982"/>
      <c r="N65" s="622"/>
      <c r="O65" s="1063"/>
      <c r="P65" s="622"/>
      <c r="Q65" s="982"/>
      <c r="R65" s="959"/>
      <c r="S65" s="1115"/>
      <c r="T65" s="878"/>
    </row>
    <row r="66" spans="1:44" s="224" customFormat="1" ht="15" customHeight="1" x14ac:dyDescent="0.25">
      <c r="A66" s="215">
        <v>45002</v>
      </c>
      <c r="B66" s="1275" t="s">
        <v>14</v>
      </c>
      <c r="C66" s="1276" t="s">
        <v>12</v>
      </c>
      <c r="D66" s="1276" t="s">
        <v>1486</v>
      </c>
      <c r="E66" s="1286" t="s">
        <v>13</v>
      </c>
      <c r="F66" s="613">
        <v>8.68</v>
      </c>
      <c r="G66" s="967"/>
      <c r="H66" s="1008"/>
      <c r="I66" s="1063"/>
      <c r="J66" s="1110"/>
      <c r="K66" s="1207"/>
      <c r="L66" s="880"/>
      <c r="M66" s="1033"/>
      <c r="N66" s="880"/>
      <c r="O66" s="1033"/>
      <c r="P66" s="1116"/>
      <c r="Q66" s="1737"/>
      <c r="R66" s="613"/>
      <c r="S66" s="162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ht="15" customHeight="1" x14ac:dyDescent="0.25">
      <c r="A67" s="215">
        <v>45003</v>
      </c>
      <c r="B67" s="1275" t="s">
        <v>14</v>
      </c>
      <c r="C67" s="1276" t="s">
        <v>12</v>
      </c>
      <c r="D67" s="1276" t="s">
        <v>1486</v>
      </c>
      <c r="E67" s="1286" t="s">
        <v>13</v>
      </c>
      <c r="F67" s="780">
        <v>7.99</v>
      </c>
      <c r="G67" s="982"/>
      <c r="H67" s="622"/>
      <c r="I67" s="982"/>
      <c r="J67" s="622"/>
      <c r="K67" s="1033"/>
      <c r="L67" s="622"/>
      <c r="M67" s="982"/>
      <c r="N67" s="622"/>
      <c r="O67" s="982"/>
      <c r="P67" s="1116"/>
      <c r="Q67" s="1736"/>
      <c r="R67" s="1116"/>
      <c r="S67" s="1207"/>
      <c r="T67" s="927"/>
      <c r="U67" s="927"/>
      <c r="V67" s="878"/>
    </row>
    <row r="68" spans="1:44" s="224" customFormat="1" ht="15" customHeight="1" x14ac:dyDescent="0.25">
      <c r="A68" s="215">
        <v>45003</v>
      </c>
      <c r="B68" s="1275" t="s">
        <v>3394</v>
      </c>
      <c r="C68" s="1687" t="s">
        <v>12</v>
      </c>
      <c r="D68" s="1276" t="s">
        <v>1493</v>
      </c>
      <c r="E68" s="1286" t="s">
        <v>13</v>
      </c>
      <c r="F68" s="613">
        <v>3.5</v>
      </c>
      <c r="G68" s="967"/>
      <c r="H68" s="1008"/>
      <c r="I68" s="1063"/>
      <c r="J68" s="613"/>
      <c r="K68" s="6"/>
      <c r="L68" s="622"/>
      <c r="M68" s="982"/>
      <c r="N68" s="622"/>
      <c r="O68" s="982"/>
      <c r="P68" s="872"/>
      <c r="Q68" s="1738"/>
      <c r="R68" s="613"/>
      <c r="S68" s="64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customHeight="1" x14ac:dyDescent="0.25">
      <c r="A69" s="215">
        <v>45003</v>
      </c>
      <c r="B69" s="1275" t="s">
        <v>3672</v>
      </c>
      <c r="C69" s="1276" t="s">
        <v>12</v>
      </c>
      <c r="D69" s="1276" t="s">
        <v>1493</v>
      </c>
      <c r="E69" s="1286" t="s">
        <v>13</v>
      </c>
      <c r="F69" s="780">
        <v>50</v>
      </c>
      <c r="G69" s="982"/>
      <c r="H69" s="622"/>
      <c r="I69" s="982"/>
      <c r="J69" s="622"/>
      <c r="K69" s="982"/>
      <c r="L69" s="622"/>
      <c r="M69" s="982"/>
      <c r="N69" s="622"/>
      <c r="O69" s="982"/>
      <c r="P69" s="622"/>
      <c r="Q69" s="1063"/>
      <c r="R69" s="622"/>
      <c r="S69" s="982"/>
      <c r="T69" s="1080"/>
      <c r="U69" s="927"/>
      <c r="V69" s="878"/>
    </row>
    <row r="70" spans="1:44" s="224" customFormat="1" ht="15" customHeight="1" x14ac:dyDescent="0.25">
      <c r="A70" s="215">
        <v>45004</v>
      </c>
      <c r="B70" s="1275" t="s">
        <v>14</v>
      </c>
      <c r="C70" s="1276" t="s">
        <v>12</v>
      </c>
      <c r="D70" s="1276" t="s">
        <v>1486</v>
      </c>
      <c r="E70" s="1286" t="s">
        <v>13</v>
      </c>
      <c r="F70" s="780">
        <v>7.08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927"/>
      <c r="U70" s="927"/>
      <c r="V70" s="878"/>
    </row>
    <row r="71" spans="1:44" s="224" customFormat="1" x14ac:dyDescent="0.25">
      <c r="A71" s="215">
        <v>45004</v>
      </c>
      <c r="B71" s="1275" t="s">
        <v>134</v>
      </c>
      <c r="C71" s="1276" t="s">
        <v>12</v>
      </c>
      <c r="D71" s="1276" t="s">
        <v>1493</v>
      </c>
      <c r="E71" s="1286" t="s">
        <v>13</v>
      </c>
      <c r="F71" s="780">
        <v>14</v>
      </c>
      <c r="G71" s="982"/>
      <c r="H71" s="1008"/>
      <c r="I71" s="1063"/>
      <c r="J71" s="622"/>
      <c r="K71" s="982"/>
      <c r="L71" s="622"/>
      <c r="M71" s="982"/>
      <c r="N71" s="622"/>
      <c r="O71" s="982"/>
      <c r="P71" s="622"/>
      <c r="Q71" s="1063"/>
      <c r="R71" s="622"/>
      <c r="S71" s="982"/>
      <c r="T71" s="861"/>
      <c r="V71" s="878"/>
    </row>
    <row r="72" spans="1:44" s="224" customFormat="1" x14ac:dyDescent="0.25">
      <c r="A72" s="215">
        <v>45004</v>
      </c>
      <c r="B72" s="1275" t="s">
        <v>3685</v>
      </c>
      <c r="C72" s="1276" t="s">
        <v>12</v>
      </c>
      <c r="D72" s="1276" t="s">
        <v>1525</v>
      </c>
      <c r="E72" s="1286" t="s">
        <v>13</v>
      </c>
      <c r="F72" s="780">
        <v>50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861"/>
      <c r="V72" s="878"/>
    </row>
    <row r="73" spans="1:44" s="224" customFormat="1" ht="15" customHeight="1" x14ac:dyDescent="0.25">
      <c r="A73" s="215">
        <v>45005</v>
      </c>
      <c r="B73" s="882" t="s">
        <v>3686</v>
      </c>
      <c r="C73" s="350" t="s">
        <v>12</v>
      </c>
      <c r="D73" s="350"/>
      <c r="E73" s="480" t="s">
        <v>25</v>
      </c>
      <c r="F73" s="622"/>
      <c r="G73" s="982">
        <v>2000</v>
      </c>
      <c r="H73" s="1008"/>
      <c r="I73" s="1063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861"/>
    </row>
    <row r="74" spans="1:44" s="224" customFormat="1" ht="15" customHeight="1" x14ac:dyDescent="0.25">
      <c r="A74" s="215">
        <v>45005</v>
      </c>
      <c r="B74" s="862" t="s">
        <v>2867</v>
      </c>
      <c r="C74" s="350" t="s">
        <v>12</v>
      </c>
      <c r="D74" s="874" t="s">
        <v>1504</v>
      </c>
      <c r="E74" s="887" t="s">
        <v>13</v>
      </c>
      <c r="F74" s="780">
        <v>30</v>
      </c>
      <c r="G74" s="982"/>
      <c r="H74" s="1009"/>
      <c r="I74" s="1063"/>
      <c r="J74" s="853"/>
      <c r="K74" s="982"/>
      <c r="L74" s="853"/>
      <c r="M74" s="982"/>
      <c r="N74" s="853"/>
      <c r="O74" s="982"/>
      <c r="P74" s="622"/>
      <c r="Q74" s="1063"/>
      <c r="R74" s="622"/>
      <c r="S74" s="982"/>
      <c r="T74" s="1690"/>
      <c r="U74" s="1690"/>
      <c r="V74" s="1690"/>
      <c r="W74" s="1690"/>
      <c r="X74" s="1690"/>
      <c r="Y74" s="1690"/>
      <c r="Z74" s="1690"/>
      <c r="AA74" s="1690"/>
      <c r="AB74" s="1690"/>
    </row>
    <row r="75" spans="1:44" s="224" customFormat="1" ht="14.25" customHeight="1" x14ac:dyDescent="0.25">
      <c r="A75" s="215">
        <v>45005</v>
      </c>
      <c r="B75" s="364" t="s">
        <v>2977</v>
      </c>
      <c r="C75" s="350" t="s">
        <v>12</v>
      </c>
      <c r="D75" s="350" t="s">
        <v>1491</v>
      </c>
      <c r="E75" s="875" t="s">
        <v>13</v>
      </c>
      <c r="F75" s="1047">
        <v>300</v>
      </c>
      <c r="G75" s="982"/>
      <c r="H75" s="1008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1029"/>
      <c r="U75" s="89"/>
      <c r="V75" s="930"/>
    </row>
    <row r="76" spans="1:44" s="224" customFormat="1" ht="15" customHeight="1" x14ac:dyDescent="0.25">
      <c r="A76" s="215">
        <v>45005</v>
      </c>
      <c r="B76" s="349" t="s">
        <v>3687</v>
      </c>
      <c r="C76" s="887" t="s">
        <v>12</v>
      </c>
      <c r="D76" s="350" t="s">
        <v>1522</v>
      </c>
      <c r="E76" s="887" t="s">
        <v>13</v>
      </c>
      <c r="F76" s="613">
        <v>166.66666666666666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927"/>
      <c r="U76" s="999"/>
      <c r="V76" s="878"/>
    </row>
    <row r="77" spans="1:44" s="224" customFormat="1" ht="15" customHeight="1" x14ac:dyDescent="0.25">
      <c r="A77" s="215">
        <v>45005</v>
      </c>
      <c r="B77" s="349" t="s">
        <v>3687</v>
      </c>
      <c r="C77" s="887" t="s">
        <v>12</v>
      </c>
      <c r="D77" s="350" t="s">
        <v>1491</v>
      </c>
      <c r="E77" s="887" t="s">
        <v>13</v>
      </c>
      <c r="F77" s="613">
        <v>152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1063"/>
      <c r="R77" s="622"/>
      <c r="S77" s="982"/>
      <c r="T77" s="927"/>
      <c r="U77" s="999"/>
      <c r="V77" s="878"/>
    </row>
    <row r="78" spans="1:44" s="224" customFormat="1" ht="15" customHeight="1" x14ac:dyDescent="0.25">
      <c r="A78" s="215">
        <v>45005</v>
      </c>
      <c r="B78" s="349" t="s">
        <v>3687</v>
      </c>
      <c r="C78" s="887" t="s">
        <v>12</v>
      </c>
      <c r="D78" s="1005" t="s">
        <v>1524</v>
      </c>
      <c r="E78" s="887" t="s">
        <v>13</v>
      </c>
      <c r="F78" s="1116">
        <v>50.333333333333336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927"/>
      <c r="U78" s="999"/>
      <c r="V78" s="878"/>
    </row>
    <row r="79" spans="1:44" s="224" customFormat="1" ht="15" customHeight="1" x14ac:dyDescent="0.25">
      <c r="A79" s="215">
        <v>45005</v>
      </c>
      <c r="B79" s="349" t="s">
        <v>3687</v>
      </c>
      <c r="C79" s="887" t="s">
        <v>12</v>
      </c>
      <c r="D79" s="350" t="s">
        <v>1524</v>
      </c>
      <c r="E79" s="887" t="s">
        <v>13</v>
      </c>
      <c r="F79" s="613">
        <v>8.6666666666666661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927"/>
      <c r="U79" s="999"/>
      <c r="V79" s="878"/>
    </row>
    <row r="80" spans="1:44" s="224" customFormat="1" ht="15" customHeight="1" x14ac:dyDescent="0.25">
      <c r="A80" s="215">
        <v>45005</v>
      </c>
      <c r="B80" s="349" t="s">
        <v>3687</v>
      </c>
      <c r="C80" s="887" t="s">
        <v>12</v>
      </c>
      <c r="D80" s="350" t="s">
        <v>1496</v>
      </c>
      <c r="E80" s="887" t="s">
        <v>13</v>
      </c>
      <c r="F80" s="613">
        <v>33.033333333333331</v>
      </c>
      <c r="G80" s="982"/>
      <c r="H80" s="872"/>
      <c r="I80" s="1063"/>
      <c r="J80" s="622"/>
      <c r="K80" s="982"/>
      <c r="L80" s="622"/>
      <c r="M80" s="982"/>
      <c r="N80" s="622"/>
      <c r="O80" s="982"/>
      <c r="P80" s="622"/>
      <c r="Q80" s="1063"/>
      <c r="R80" s="622"/>
      <c r="S80" s="982"/>
      <c r="T80" s="927"/>
      <c r="U80" s="999"/>
      <c r="V80" s="878"/>
    </row>
    <row r="81" spans="1:23" s="224" customFormat="1" ht="15" customHeight="1" x14ac:dyDescent="0.25">
      <c r="A81" s="215">
        <v>45005</v>
      </c>
      <c r="B81" s="882" t="s">
        <v>3688</v>
      </c>
      <c r="C81" s="879" t="s">
        <v>12</v>
      </c>
      <c r="D81" s="879" t="s">
        <v>1522</v>
      </c>
      <c r="E81" s="871" t="s">
        <v>13</v>
      </c>
      <c r="F81" s="780">
        <v>339.33</v>
      </c>
      <c r="G81" s="982"/>
      <c r="H81" s="622"/>
      <c r="I81" s="982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927">
        <v>339.33</v>
      </c>
      <c r="V81" s="878"/>
    </row>
    <row r="82" spans="1:23" s="224" customFormat="1" ht="15" customHeight="1" x14ac:dyDescent="0.25">
      <c r="A82" s="215">
        <v>45005</v>
      </c>
      <c r="B82" s="1275" t="s">
        <v>32</v>
      </c>
      <c r="C82" s="1276" t="s">
        <v>12</v>
      </c>
      <c r="D82" s="1276" t="s">
        <v>1485</v>
      </c>
      <c r="E82" s="1286" t="s">
        <v>13</v>
      </c>
      <c r="F82" s="780">
        <v>20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27"/>
      <c r="V82" s="878"/>
    </row>
    <row r="83" spans="1:23" s="224" customFormat="1" ht="15" customHeight="1" x14ac:dyDescent="0.25">
      <c r="A83" s="215">
        <v>45005</v>
      </c>
      <c r="B83" s="1275" t="s">
        <v>3677</v>
      </c>
      <c r="C83" s="1276" t="s">
        <v>12</v>
      </c>
      <c r="D83" s="1276" t="s">
        <v>1486</v>
      </c>
      <c r="E83" s="1286" t="s">
        <v>13</v>
      </c>
      <c r="F83" s="780">
        <v>6.68</v>
      </c>
      <c r="G83" s="982"/>
      <c r="H83" s="622"/>
      <c r="I83" s="982"/>
      <c r="J83" s="622"/>
      <c r="K83" s="982"/>
      <c r="L83" s="622"/>
      <c r="M83" s="982"/>
      <c r="N83" s="622"/>
      <c r="O83" s="982"/>
      <c r="P83" s="880"/>
      <c r="Q83" s="1525"/>
      <c r="R83" s="880"/>
      <c r="S83" s="1033"/>
      <c r="T83" s="927"/>
      <c r="V83" s="878"/>
    </row>
    <row r="84" spans="1:23" s="224" customFormat="1" ht="15" customHeight="1" x14ac:dyDescent="0.25">
      <c r="A84" s="215">
        <v>45006</v>
      </c>
      <c r="B84" s="862" t="s">
        <v>3529</v>
      </c>
      <c r="C84" s="879" t="s">
        <v>12</v>
      </c>
      <c r="D84" s="879" t="s">
        <v>1504</v>
      </c>
      <c r="E84" s="871" t="s">
        <v>13</v>
      </c>
      <c r="F84" s="780">
        <v>39.9</v>
      </c>
      <c r="G84" s="946"/>
      <c r="H84" s="95"/>
      <c r="I84" s="1064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1028"/>
      <c r="W84" s="958"/>
    </row>
    <row r="85" spans="1:23" s="224" customFormat="1" ht="15" customHeight="1" x14ac:dyDescent="0.25">
      <c r="A85" s="215">
        <v>45006</v>
      </c>
      <c r="B85" s="1275" t="s">
        <v>32</v>
      </c>
      <c r="C85" s="1276" t="s">
        <v>12</v>
      </c>
      <c r="D85" s="1276" t="s">
        <v>1485</v>
      </c>
      <c r="E85" s="1286" t="s">
        <v>13</v>
      </c>
      <c r="F85" s="780">
        <v>20</v>
      </c>
      <c r="G85" s="982"/>
      <c r="H85" s="622"/>
      <c r="I85" s="982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927"/>
      <c r="U85" s="927"/>
      <c r="V85" s="878"/>
    </row>
    <row r="86" spans="1:23" s="224" customFormat="1" ht="15" customHeight="1" x14ac:dyDescent="0.25">
      <c r="A86" s="215">
        <v>45006</v>
      </c>
      <c r="B86" s="1275" t="s">
        <v>14</v>
      </c>
      <c r="C86" s="1276" t="s">
        <v>12</v>
      </c>
      <c r="D86" s="1276" t="s">
        <v>1486</v>
      </c>
      <c r="E86" s="1286" t="s">
        <v>13</v>
      </c>
      <c r="F86" s="780">
        <v>6.01</v>
      </c>
      <c r="G86" s="946"/>
      <c r="H86" s="95"/>
      <c r="I86" s="1064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861"/>
    </row>
    <row r="87" spans="1:23" s="224" customFormat="1" ht="15" customHeight="1" x14ac:dyDescent="0.25">
      <c r="A87" s="215">
        <v>45007</v>
      </c>
      <c r="B87" s="1275" t="s">
        <v>32</v>
      </c>
      <c r="C87" s="1276" t="s">
        <v>12</v>
      </c>
      <c r="D87" s="1276" t="s">
        <v>1485</v>
      </c>
      <c r="E87" s="1286" t="s">
        <v>13</v>
      </c>
      <c r="F87" s="780">
        <v>20</v>
      </c>
      <c r="G87" s="982"/>
      <c r="H87" s="622"/>
      <c r="I87" s="982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27"/>
      <c r="V87" s="878"/>
    </row>
    <row r="88" spans="1:23" s="224" customFormat="1" ht="15" customHeight="1" x14ac:dyDescent="0.25">
      <c r="A88" s="215">
        <v>45007</v>
      </c>
      <c r="B88" s="1275" t="s">
        <v>3677</v>
      </c>
      <c r="C88" s="1276" t="s">
        <v>12</v>
      </c>
      <c r="D88" s="1276" t="s">
        <v>1486</v>
      </c>
      <c r="E88" s="1286" t="s">
        <v>13</v>
      </c>
      <c r="F88" s="780">
        <v>7.81</v>
      </c>
      <c r="G88" s="982"/>
      <c r="H88" s="622"/>
      <c r="I88" s="982"/>
      <c r="J88" s="622"/>
      <c r="K88" s="982"/>
      <c r="L88" s="622"/>
      <c r="M88" s="982"/>
      <c r="N88" s="622"/>
      <c r="O88" s="982"/>
      <c r="P88" s="880"/>
      <c r="Q88" s="1525"/>
      <c r="R88" s="880"/>
      <c r="S88" s="1033"/>
      <c r="T88" s="927"/>
      <c r="V88" s="878"/>
    </row>
    <row r="89" spans="1:23" s="224" customFormat="1" ht="15" customHeight="1" x14ac:dyDescent="0.25">
      <c r="A89" s="215">
        <v>45008</v>
      </c>
      <c r="B89" s="1275" t="s">
        <v>32</v>
      </c>
      <c r="C89" s="1276" t="s">
        <v>12</v>
      </c>
      <c r="D89" s="1276" t="s">
        <v>1485</v>
      </c>
      <c r="E89" s="1286" t="s">
        <v>13</v>
      </c>
      <c r="F89" s="780">
        <v>20</v>
      </c>
      <c r="G89" s="982"/>
      <c r="H89" s="622"/>
      <c r="I89" s="982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927"/>
      <c r="U89" s="927"/>
      <c r="V89" s="878"/>
    </row>
    <row r="90" spans="1:23" s="1274" customFormat="1" ht="15" customHeight="1" x14ac:dyDescent="0.25">
      <c r="A90" s="215">
        <v>45008</v>
      </c>
      <c r="B90" s="1275" t="s">
        <v>17</v>
      </c>
      <c r="C90" s="1276" t="s">
        <v>12</v>
      </c>
      <c r="D90" s="1276" t="s">
        <v>1493</v>
      </c>
      <c r="E90" s="1286" t="s">
        <v>13</v>
      </c>
      <c r="F90" s="780">
        <v>7</v>
      </c>
      <c r="G90" s="1278"/>
      <c r="H90" s="1282"/>
      <c r="I90" s="1283"/>
      <c r="J90" s="1279"/>
      <c r="K90" s="1278"/>
      <c r="L90" s="1279"/>
      <c r="M90" s="1278"/>
      <c r="N90" s="1279"/>
      <c r="O90" s="1278"/>
      <c r="P90" s="1279"/>
      <c r="Q90" s="1283"/>
      <c r="R90" s="1702"/>
      <c r="S90" s="1742"/>
      <c r="T90" s="1281"/>
      <c r="V90" s="1281"/>
      <c r="W90" s="1294"/>
    </row>
    <row r="91" spans="1:23" s="224" customFormat="1" ht="15" customHeight="1" x14ac:dyDescent="0.25">
      <c r="A91" s="215">
        <v>45008</v>
      </c>
      <c r="B91" s="882" t="s">
        <v>138</v>
      </c>
      <c r="C91" s="879" t="s">
        <v>12</v>
      </c>
      <c r="D91" s="879" t="s">
        <v>2157</v>
      </c>
      <c r="E91" s="875" t="s">
        <v>13</v>
      </c>
      <c r="F91" s="780">
        <v>60</v>
      </c>
      <c r="G91" s="982"/>
      <c r="H91" s="622"/>
      <c r="I91" s="982"/>
      <c r="J91" s="622"/>
      <c r="K91" s="982"/>
      <c r="L91" s="622"/>
      <c r="M91" s="982"/>
      <c r="N91" s="622"/>
      <c r="O91" s="982"/>
      <c r="P91" s="880"/>
      <c r="Q91" s="1525"/>
      <c r="R91" s="880"/>
      <c r="S91" s="1033"/>
      <c r="T91" s="927"/>
      <c r="V91" s="878"/>
    </row>
    <row r="92" spans="1:23" s="224" customFormat="1" ht="15" customHeight="1" x14ac:dyDescent="0.25">
      <c r="A92" s="215">
        <v>45009</v>
      </c>
      <c r="B92" s="882" t="s">
        <v>3476</v>
      </c>
      <c r="C92" s="879" t="s">
        <v>12</v>
      </c>
      <c r="D92" s="879" t="s">
        <v>1489</v>
      </c>
      <c r="E92" s="871" t="s">
        <v>13</v>
      </c>
      <c r="F92" s="780">
        <v>13.5</v>
      </c>
      <c r="G92" s="946"/>
      <c r="H92" s="95"/>
      <c r="I92" s="1064"/>
      <c r="J92" s="622"/>
      <c r="K92" s="982"/>
      <c r="L92" s="622"/>
      <c r="M92" s="982"/>
      <c r="N92" s="622"/>
      <c r="O92" s="982"/>
      <c r="P92" s="1795"/>
      <c r="Q92" s="1796"/>
      <c r="R92" s="1795"/>
      <c r="S92" s="66"/>
      <c r="T92" s="1028"/>
      <c r="W92" s="958"/>
    </row>
    <row r="93" spans="1:23" s="224" customFormat="1" ht="15" customHeight="1" x14ac:dyDescent="0.25">
      <c r="A93" s="215">
        <v>45009</v>
      </c>
      <c r="B93" s="1275" t="s">
        <v>32</v>
      </c>
      <c r="C93" s="1276" t="s">
        <v>12</v>
      </c>
      <c r="D93" s="1276" t="s">
        <v>1485</v>
      </c>
      <c r="E93" s="1286" t="s">
        <v>13</v>
      </c>
      <c r="F93" s="780">
        <v>20</v>
      </c>
      <c r="G93" s="982"/>
      <c r="H93" s="622"/>
      <c r="I93" s="982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927"/>
      <c r="U93" s="927"/>
      <c r="V93" s="878"/>
    </row>
    <row r="94" spans="1:23" s="1274" customFormat="1" ht="15" customHeight="1" x14ac:dyDescent="0.25">
      <c r="A94" s="215">
        <v>45009</v>
      </c>
      <c r="B94" s="1275" t="s">
        <v>17</v>
      </c>
      <c r="C94" s="1276" t="s">
        <v>12</v>
      </c>
      <c r="D94" s="1276" t="s">
        <v>1493</v>
      </c>
      <c r="E94" s="1286" t="s">
        <v>13</v>
      </c>
      <c r="F94" s="780">
        <v>7</v>
      </c>
      <c r="G94" s="1278"/>
      <c r="H94" s="1282"/>
      <c r="I94" s="1283"/>
      <c r="J94" s="1279"/>
      <c r="K94" s="1278"/>
      <c r="L94" s="1279"/>
      <c r="M94" s="1278"/>
      <c r="N94" s="1279"/>
      <c r="O94" s="1278"/>
      <c r="P94" s="1279"/>
      <c r="Q94" s="1283"/>
      <c r="R94" s="1702"/>
      <c r="S94" s="1742"/>
      <c r="T94" s="1281"/>
      <c r="V94" s="1281"/>
      <c r="W94" s="1294"/>
    </row>
    <row r="95" spans="1:23" s="224" customFormat="1" ht="15" customHeight="1" x14ac:dyDescent="0.25">
      <c r="A95" s="215">
        <v>45009</v>
      </c>
      <c r="B95" s="1275" t="s">
        <v>14</v>
      </c>
      <c r="C95" s="1276" t="s">
        <v>12</v>
      </c>
      <c r="D95" s="1276" t="s">
        <v>1486</v>
      </c>
      <c r="E95" s="1286" t="s">
        <v>13</v>
      </c>
      <c r="F95" s="780">
        <v>12.57</v>
      </c>
      <c r="G95" s="946"/>
      <c r="H95" s="95"/>
      <c r="I95" s="1064"/>
      <c r="J95" s="622"/>
      <c r="K95" s="982"/>
      <c r="L95" s="622"/>
      <c r="M95" s="982"/>
      <c r="N95" s="622"/>
      <c r="O95" s="982"/>
      <c r="P95" s="1116"/>
      <c r="Q95" s="1797"/>
      <c r="R95" s="1116"/>
      <c r="S95" s="1215"/>
      <c r="T95" s="1028"/>
      <c r="W95" s="958"/>
    </row>
    <row r="96" spans="1:23" s="224" customFormat="1" ht="15" customHeight="1" x14ac:dyDescent="0.25">
      <c r="A96" s="215">
        <v>45010</v>
      </c>
      <c r="B96" s="1275" t="s">
        <v>14</v>
      </c>
      <c r="C96" s="1276" t="s">
        <v>12</v>
      </c>
      <c r="D96" s="1276" t="s">
        <v>1486</v>
      </c>
      <c r="E96" s="1286" t="s">
        <v>13</v>
      </c>
      <c r="F96" s="780">
        <v>10.8</v>
      </c>
      <c r="G96" s="946"/>
      <c r="H96" s="95"/>
      <c r="I96" s="1064"/>
      <c r="J96" s="880"/>
      <c r="K96" s="1033"/>
      <c r="L96" s="880"/>
      <c r="M96" s="1033"/>
      <c r="N96" s="880"/>
      <c r="O96" s="1033"/>
      <c r="P96" s="1110"/>
      <c r="Q96" s="1739"/>
      <c r="R96" s="1110"/>
      <c r="S96" s="1208"/>
      <c r="T96" s="1028"/>
      <c r="W96" s="958"/>
    </row>
    <row r="97" spans="1:23" s="224" customFormat="1" ht="15" customHeight="1" x14ac:dyDescent="0.25">
      <c r="A97" s="215">
        <v>45010</v>
      </c>
      <c r="B97" s="882" t="s">
        <v>3689</v>
      </c>
      <c r="C97" s="879" t="s">
        <v>12</v>
      </c>
      <c r="D97" s="879" t="s">
        <v>1489</v>
      </c>
      <c r="E97" s="871" t="s">
        <v>13</v>
      </c>
      <c r="F97" s="780">
        <v>8.9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1028"/>
      <c r="W97" s="958"/>
    </row>
    <row r="98" spans="1:23" s="224" customFormat="1" ht="15" customHeight="1" x14ac:dyDescent="0.25">
      <c r="A98" s="215">
        <v>45010</v>
      </c>
      <c r="B98" s="882" t="s">
        <v>80</v>
      </c>
      <c r="C98" s="879" t="s">
        <v>12</v>
      </c>
      <c r="D98" s="879" t="s">
        <v>1523</v>
      </c>
      <c r="E98" s="871" t="s">
        <v>13</v>
      </c>
      <c r="F98" s="780">
        <v>20</v>
      </c>
      <c r="G98" s="946"/>
      <c r="H98" s="95"/>
      <c r="I98" s="1064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1028"/>
      <c r="W98" s="958"/>
    </row>
    <row r="99" spans="1:23" s="224" customFormat="1" ht="15" customHeight="1" x14ac:dyDescent="0.25">
      <c r="A99" s="215">
        <v>45010</v>
      </c>
      <c r="B99" s="882" t="s">
        <v>3682</v>
      </c>
      <c r="C99" s="879" t="s">
        <v>12</v>
      </c>
      <c r="D99" s="879" t="s">
        <v>1493</v>
      </c>
      <c r="E99" s="871" t="s">
        <v>13</v>
      </c>
      <c r="F99" s="780">
        <v>33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1028"/>
      <c r="W99" s="958"/>
    </row>
    <row r="100" spans="1:23" s="224" customFormat="1" ht="15" customHeight="1" x14ac:dyDescent="0.25">
      <c r="A100" s="215">
        <v>45011</v>
      </c>
      <c r="B100" s="1275" t="s">
        <v>14</v>
      </c>
      <c r="C100" s="1276" t="s">
        <v>12</v>
      </c>
      <c r="D100" s="1276" t="s">
        <v>1486</v>
      </c>
      <c r="E100" s="1286" t="s">
        <v>13</v>
      </c>
      <c r="F100" s="780">
        <v>6.98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1110"/>
      <c r="Q100" s="1739"/>
      <c r="R100" s="1110"/>
      <c r="S100" s="1208"/>
      <c r="T100" s="1028"/>
      <c r="W100" s="958"/>
    </row>
    <row r="101" spans="1:23" s="224" customFormat="1" ht="15" customHeight="1" x14ac:dyDescent="0.25">
      <c r="A101" s="215">
        <v>45011</v>
      </c>
      <c r="B101" s="882" t="s">
        <v>3690</v>
      </c>
      <c r="C101" s="879" t="s">
        <v>12</v>
      </c>
      <c r="D101" s="879" t="s">
        <v>1489</v>
      </c>
      <c r="E101" s="871" t="s">
        <v>13</v>
      </c>
      <c r="F101" s="780">
        <v>30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1028"/>
      <c r="U101" s="959"/>
      <c r="V101" s="878"/>
      <c r="W101" s="958"/>
    </row>
    <row r="102" spans="1:23" s="224" customFormat="1" ht="15" customHeight="1" x14ac:dyDescent="0.25">
      <c r="A102" s="215">
        <v>45011</v>
      </c>
      <c r="B102" s="882" t="s">
        <v>138</v>
      </c>
      <c r="C102" s="879" t="s">
        <v>19</v>
      </c>
      <c r="D102" s="879" t="s">
        <v>2157</v>
      </c>
      <c r="E102" s="875" t="s">
        <v>13</v>
      </c>
      <c r="F102" s="780">
        <v>90</v>
      </c>
      <c r="G102" s="982"/>
      <c r="H102" s="622"/>
      <c r="I102" s="982"/>
      <c r="J102" s="622"/>
      <c r="K102" s="982"/>
      <c r="L102" s="622"/>
      <c r="M102" s="982"/>
      <c r="N102" s="622"/>
      <c r="O102" s="982"/>
      <c r="P102" s="880"/>
      <c r="Q102" s="1525"/>
      <c r="R102" s="880"/>
      <c r="S102" s="1033"/>
      <c r="T102" s="927"/>
      <c r="V102" s="878"/>
    </row>
    <row r="103" spans="1:23" s="224" customFormat="1" ht="15" customHeight="1" x14ac:dyDescent="0.25">
      <c r="A103" s="215">
        <v>45011</v>
      </c>
      <c r="B103" s="882" t="s">
        <v>3691</v>
      </c>
      <c r="C103" s="879" t="s">
        <v>19</v>
      </c>
      <c r="D103" s="879" t="s">
        <v>1506</v>
      </c>
      <c r="E103" s="871" t="s">
        <v>13</v>
      </c>
      <c r="F103" s="780">
        <v>40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1028"/>
      <c r="U103" s="959"/>
      <c r="V103" s="878"/>
      <c r="W103" s="958"/>
    </row>
    <row r="104" spans="1:23" s="224" customFormat="1" ht="15" customHeight="1" x14ac:dyDescent="0.25">
      <c r="A104" s="215">
        <v>45011</v>
      </c>
      <c r="B104" s="882" t="s">
        <v>443</v>
      </c>
      <c r="C104" s="879" t="s">
        <v>12</v>
      </c>
      <c r="D104" s="879" t="s">
        <v>1493</v>
      </c>
      <c r="E104" s="871" t="s">
        <v>13</v>
      </c>
      <c r="F104" s="780">
        <v>19.899999999999999</v>
      </c>
      <c r="G104" s="982"/>
      <c r="H104" s="622"/>
      <c r="I104" s="982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1028"/>
      <c r="U104" s="959"/>
      <c r="V104" s="878"/>
      <c r="W104" s="958"/>
    </row>
    <row r="105" spans="1:23" s="224" customFormat="1" ht="15" customHeight="1" x14ac:dyDescent="0.25">
      <c r="A105" s="215">
        <v>45012</v>
      </c>
      <c r="B105" s="1275" t="s">
        <v>32</v>
      </c>
      <c r="C105" s="1276" t="s">
        <v>12</v>
      </c>
      <c r="D105" s="1276" t="s">
        <v>1485</v>
      </c>
      <c r="E105" s="1286" t="s">
        <v>13</v>
      </c>
      <c r="F105" s="780">
        <v>20</v>
      </c>
      <c r="G105" s="982"/>
      <c r="H105" s="622"/>
      <c r="I105" s="982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927"/>
      <c r="U105" s="927"/>
      <c r="V105" s="878"/>
    </row>
    <row r="106" spans="1:23" s="224" customFormat="1" ht="15" customHeight="1" x14ac:dyDescent="0.25">
      <c r="A106" s="215">
        <v>45012</v>
      </c>
      <c r="B106" s="1275" t="s">
        <v>14</v>
      </c>
      <c r="C106" s="1276" t="s">
        <v>12</v>
      </c>
      <c r="D106" s="1276" t="s">
        <v>1486</v>
      </c>
      <c r="E106" s="1286" t="s">
        <v>13</v>
      </c>
      <c r="F106" s="780">
        <v>12.48</v>
      </c>
      <c r="G106" s="982"/>
      <c r="H106" s="1008"/>
      <c r="I106" s="1063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861"/>
      <c r="V106" s="1035"/>
    </row>
    <row r="107" spans="1:23" s="224" customFormat="1" ht="15" customHeight="1" x14ac:dyDescent="0.25">
      <c r="A107" s="215">
        <v>45013</v>
      </c>
      <c r="B107" s="882" t="s">
        <v>3476</v>
      </c>
      <c r="C107" s="879" t="s">
        <v>12</v>
      </c>
      <c r="D107" s="879" t="s">
        <v>1489</v>
      </c>
      <c r="E107" s="871" t="s">
        <v>13</v>
      </c>
      <c r="F107" s="780">
        <v>13.5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1795"/>
      <c r="Q107" s="1796"/>
      <c r="R107" s="1795"/>
      <c r="S107" s="66"/>
      <c r="T107" s="1028"/>
      <c r="W107" s="958"/>
    </row>
    <row r="108" spans="1:23" s="224" customFormat="1" ht="15" customHeight="1" x14ac:dyDescent="0.25">
      <c r="A108" s="215">
        <v>45013</v>
      </c>
      <c r="B108" s="1275" t="s">
        <v>32</v>
      </c>
      <c r="C108" s="1276" t="s">
        <v>12</v>
      </c>
      <c r="D108" s="1276" t="s">
        <v>1485</v>
      </c>
      <c r="E108" s="1286" t="s">
        <v>13</v>
      </c>
      <c r="F108" s="780">
        <v>20</v>
      </c>
      <c r="G108" s="982"/>
      <c r="H108" s="622"/>
      <c r="I108" s="982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927"/>
      <c r="U108" s="927"/>
      <c r="V108" s="878"/>
    </row>
    <row r="109" spans="1:23" s="224" customFormat="1" ht="15" customHeight="1" x14ac:dyDescent="0.25">
      <c r="A109" s="215">
        <v>45013</v>
      </c>
      <c r="B109" s="1275" t="s">
        <v>14</v>
      </c>
      <c r="C109" s="1276" t="s">
        <v>12</v>
      </c>
      <c r="D109" s="1276" t="s">
        <v>1486</v>
      </c>
      <c r="E109" s="1286" t="s">
        <v>13</v>
      </c>
      <c r="F109" s="780">
        <v>5.25</v>
      </c>
      <c r="G109" s="946"/>
      <c r="H109" s="95"/>
      <c r="I109" s="1064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861"/>
      <c r="V109" s="927"/>
      <c r="W109" s="999"/>
    </row>
    <row r="110" spans="1:23" s="224" customFormat="1" ht="15" customHeight="1" x14ac:dyDescent="0.25">
      <c r="A110" s="215">
        <v>45014</v>
      </c>
      <c r="B110" s="1275" t="s">
        <v>32</v>
      </c>
      <c r="C110" s="1276" t="s">
        <v>12</v>
      </c>
      <c r="D110" s="1276" t="s">
        <v>1485</v>
      </c>
      <c r="E110" s="1286" t="s">
        <v>13</v>
      </c>
      <c r="F110" s="780">
        <v>20</v>
      </c>
      <c r="G110" s="982"/>
      <c r="H110" s="622"/>
      <c r="I110" s="982"/>
      <c r="J110" s="622"/>
      <c r="K110" s="982"/>
      <c r="L110" s="622"/>
      <c r="M110" s="982"/>
      <c r="N110" s="622"/>
      <c r="O110" s="982"/>
      <c r="P110" s="622"/>
      <c r="Q110" s="1063"/>
      <c r="R110" s="622"/>
      <c r="S110" s="982"/>
      <c r="T110" s="927"/>
      <c r="U110" s="927"/>
      <c r="V110" s="878"/>
    </row>
    <row r="111" spans="1:23" s="224" customFormat="1" ht="15" customHeight="1" x14ac:dyDescent="0.25">
      <c r="A111" s="215">
        <v>45014</v>
      </c>
      <c r="B111" s="1275" t="s">
        <v>3677</v>
      </c>
      <c r="C111" s="1276" t="s">
        <v>12</v>
      </c>
      <c r="D111" s="1276" t="s">
        <v>1486</v>
      </c>
      <c r="E111" s="1286" t="s">
        <v>13</v>
      </c>
      <c r="F111" s="780">
        <v>8.6</v>
      </c>
      <c r="G111" s="982"/>
      <c r="H111" s="622"/>
      <c r="I111" s="982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1028"/>
      <c r="U111" s="959"/>
      <c r="V111" s="878"/>
      <c r="W111" s="958"/>
    </row>
    <row r="112" spans="1:23" s="224" customFormat="1" ht="15" customHeight="1" x14ac:dyDescent="0.25">
      <c r="A112" s="215">
        <v>45015</v>
      </c>
      <c r="B112" s="1275" t="s">
        <v>32</v>
      </c>
      <c r="C112" s="1276" t="s">
        <v>12</v>
      </c>
      <c r="D112" s="1276" t="s">
        <v>1485</v>
      </c>
      <c r="E112" s="1286" t="s">
        <v>13</v>
      </c>
      <c r="F112" s="780">
        <v>20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622"/>
      <c r="Q112" s="1063"/>
      <c r="R112" s="622"/>
      <c r="S112" s="982"/>
      <c r="T112" s="927"/>
      <c r="U112" s="927"/>
      <c r="V112" s="878"/>
    </row>
    <row r="113" spans="1:28" s="1274" customFormat="1" ht="15" customHeight="1" x14ac:dyDescent="0.25">
      <c r="A113" s="215">
        <v>45015</v>
      </c>
      <c r="B113" s="1275" t="s">
        <v>17</v>
      </c>
      <c r="C113" s="1276" t="s">
        <v>12</v>
      </c>
      <c r="D113" s="1276" t="s">
        <v>1493</v>
      </c>
      <c r="E113" s="1286" t="s">
        <v>13</v>
      </c>
      <c r="F113" s="780">
        <v>7</v>
      </c>
      <c r="G113" s="1278"/>
      <c r="H113" s="1282"/>
      <c r="I113" s="1283"/>
      <c r="J113" s="1279"/>
      <c r="K113" s="1278"/>
      <c r="L113" s="1279"/>
      <c r="M113" s="1278"/>
      <c r="N113" s="1279"/>
      <c r="O113" s="1278"/>
      <c r="P113" s="1279"/>
      <c r="Q113" s="1283"/>
      <c r="R113" s="1702"/>
      <c r="S113" s="1742"/>
      <c r="T113" s="1281"/>
      <c r="V113" s="1281"/>
      <c r="W113" s="1294"/>
    </row>
    <row r="114" spans="1:28" s="224" customFormat="1" ht="15" customHeight="1" x14ac:dyDescent="0.25">
      <c r="A114" s="215">
        <v>45015</v>
      </c>
      <c r="B114" s="364" t="s">
        <v>1906</v>
      </c>
      <c r="C114" s="350" t="s">
        <v>12</v>
      </c>
      <c r="D114" s="350" t="s">
        <v>1493</v>
      </c>
      <c r="E114" s="875" t="s">
        <v>13</v>
      </c>
      <c r="F114" s="780">
        <v>8</v>
      </c>
      <c r="G114" s="982"/>
      <c r="H114" s="1008"/>
      <c r="I114" s="1063"/>
      <c r="J114" s="622"/>
      <c r="K114" s="982"/>
      <c r="L114" s="622"/>
      <c r="M114" s="982"/>
      <c r="N114" s="622"/>
      <c r="O114" s="982"/>
      <c r="P114" s="622"/>
      <c r="Q114" s="1063"/>
      <c r="R114" s="622"/>
      <c r="S114" s="982"/>
      <c r="T114" s="861"/>
      <c r="V114" s="1035"/>
    </row>
    <row r="115" spans="1:28" s="224" customFormat="1" ht="15" customHeight="1" x14ac:dyDescent="0.25">
      <c r="A115" s="215">
        <v>45016</v>
      </c>
      <c r="B115" s="1275" t="s">
        <v>32</v>
      </c>
      <c r="C115" s="1276" t="s">
        <v>12</v>
      </c>
      <c r="D115" s="1276" t="s">
        <v>1485</v>
      </c>
      <c r="E115" s="1286" t="s">
        <v>13</v>
      </c>
      <c r="F115" s="780">
        <v>20</v>
      </c>
      <c r="G115" s="946"/>
      <c r="H115" s="95"/>
      <c r="I115" s="1064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861"/>
      <c r="V115" s="927"/>
      <c r="W115" s="999"/>
    </row>
    <row r="116" spans="1:28" s="224" customFormat="1" ht="15" customHeight="1" x14ac:dyDescent="0.25">
      <c r="A116" s="215">
        <v>45016</v>
      </c>
      <c r="B116" s="364" t="s">
        <v>3692</v>
      </c>
      <c r="C116" s="350" t="s">
        <v>12</v>
      </c>
      <c r="D116" s="350" t="s">
        <v>1506</v>
      </c>
      <c r="E116" s="875" t="s">
        <v>13</v>
      </c>
      <c r="F116" s="780">
        <v>12</v>
      </c>
      <c r="G116" s="982"/>
      <c r="H116" s="1008"/>
      <c r="I116" s="1063"/>
      <c r="J116" s="622"/>
      <c r="K116" s="982"/>
      <c r="L116" s="622"/>
      <c r="M116" s="982"/>
      <c r="N116" s="622"/>
      <c r="O116" s="982"/>
      <c r="P116" s="622"/>
      <c r="Q116" s="1063"/>
      <c r="R116" s="622"/>
      <c r="S116" s="982"/>
      <c r="T116" s="861"/>
      <c r="V116" s="1035"/>
    </row>
    <row r="117" spans="1:28" s="224" customFormat="1" ht="15" customHeight="1" x14ac:dyDescent="0.25">
      <c r="A117" s="247">
        <v>45016</v>
      </c>
      <c r="B117" s="364" t="s">
        <v>3130</v>
      </c>
      <c r="C117" s="350" t="s">
        <v>12</v>
      </c>
      <c r="D117" s="350" t="s">
        <v>1506</v>
      </c>
      <c r="E117" s="871" t="s">
        <v>13</v>
      </c>
      <c r="F117" s="780">
        <v>30</v>
      </c>
      <c r="G117" s="982"/>
      <c r="H117" s="1008"/>
      <c r="I117" s="1063"/>
      <c r="J117" s="622"/>
      <c r="K117" s="982"/>
      <c r="L117" s="622"/>
      <c r="M117" s="982"/>
      <c r="N117" s="622"/>
      <c r="O117" s="982"/>
      <c r="P117" s="622"/>
      <c r="Q117" s="1063"/>
      <c r="R117" s="622"/>
      <c r="S117" s="982"/>
      <c r="T117" s="861"/>
      <c r="V117" s="1035"/>
    </row>
    <row r="118" spans="1:28" s="224" customFormat="1" x14ac:dyDescent="0.25">
      <c r="A118" s="215">
        <v>45016</v>
      </c>
      <c r="B118" s="1275" t="s">
        <v>14</v>
      </c>
      <c r="C118" s="1276" t="s">
        <v>12</v>
      </c>
      <c r="D118" s="1276" t="s">
        <v>1486</v>
      </c>
      <c r="E118" s="1286" t="s">
        <v>13</v>
      </c>
      <c r="F118" s="1047">
        <v>6.32</v>
      </c>
      <c r="G118" s="982"/>
      <c r="H118" s="1008"/>
      <c r="I118" s="1063"/>
      <c r="J118" s="622"/>
      <c r="K118" s="982"/>
      <c r="L118" s="622"/>
      <c r="M118" s="982"/>
      <c r="N118" s="622"/>
      <c r="O118" s="982"/>
      <c r="P118" s="622"/>
      <c r="Q118" s="1063"/>
      <c r="R118" s="622"/>
      <c r="S118" s="982"/>
      <c r="T118" s="1029"/>
      <c r="U118" s="89"/>
      <c r="V118" s="930"/>
    </row>
    <row r="119" spans="1:28" s="224" customFormat="1" x14ac:dyDescent="0.25">
      <c r="A119" s="215">
        <v>45016</v>
      </c>
      <c r="B119" s="862" t="s">
        <v>3693</v>
      </c>
      <c r="C119" s="350" t="s">
        <v>12</v>
      </c>
      <c r="D119" s="1807"/>
      <c r="E119" s="145"/>
      <c r="F119" s="622"/>
      <c r="G119" s="982"/>
      <c r="H119" s="1008"/>
      <c r="I119" s="1063"/>
      <c r="J119" s="622"/>
      <c r="K119" s="982"/>
      <c r="L119" s="622"/>
      <c r="M119" s="982"/>
      <c r="N119" s="622">
        <v>205.9</v>
      </c>
      <c r="O119" s="982"/>
      <c r="P119" s="622"/>
      <c r="Q119" s="1063"/>
      <c r="R119" s="622"/>
      <c r="S119" s="982"/>
      <c r="T119" s="475"/>
      <c r="U119" s="1104"/>
      <c r="V119" s="878"/>
    </row>
    <row r="120" spans="1:28" s="224" customFormat="1" ht="15.75" thickBot="1" x14ac:dyDescent="0.3">
      <c r="A120" s="215">
        <v>45016</v>
      </c>
      <c r="B120" s="862" t="s">
        <v>1666</v>
      </c>
      <c r="C120" s="352" t="s">
        <v>12</v>
      </c>
      <c r="D120" s="1003"/>
      <c r="E120" s="105" t="s">
        <v>25</v>
      </c>
      <c r="F120" s="1805"/>
      <c r="G120" s="1806"/>
      <c r="H120" s="1031"/>
      <c r="I120" s="1525"/>
      <c r="J120" s="1805"/>
      <c r="K120" s="1806"/>
      <c r="L120" s="880"/>
      <c r="M120" s="1033">
        <v>78.959999999999994</v>
      </c>
      <c r="N120" s="880"/>
      <c r="O120" s="1033">
        <v>0</v>
      </c>
      <c r="P120" s="880"/>
      <c r="Q120" s="1525"/>
      <c r="R120" s="1805"/>
      <c r="S120" s="1806"/>
      <c r="T120" s="1815">
        <f>M120/M5</f>
        <v>1.0996096497152793E-2</v>
      </c>
      <c r="U120" s="1104"/>
      <c r="V120" s="878"/>
    </row>
    <row r="121" spans="1:28" ht="25.5" customHeight="1" thickBot="1" x14ac:dyDescent="0.3">
      <c r="A121" s="3060"/>
      <c r="B121" s="3061"/>
      <c r="C121" s="3062"/>
      <c r="D121" s="3062"/>
      <c r="E121" s="3062"/>
      <c r="F121" s="1023">
        <f>SUM(F6:F120)</f>
        <v>4421.3199999999988</v>
      </c>
      <c r="G121" s="1065">
        <f>SUM(G5:G120)</f>
        <v>4728.9529166666916</v>
      </c>
      <c r="H121" s="517">
        <f>SUM(H6:H120)</f>
        <v>300</v>
      </c>
      <c r="I121" s="93">
        <f>SUM(I5:I120)</f>
        <v>1599.9959999999992</v>
      </c>
      <c r="J121" s="1023">
        <f>SUM(J6:J120)</f>
        <v>0</v>
      </c>
      <c r="K121" s="93">
        <f>SUM(K5:K120)</f>
        <v>18493.310000000001</v>
      </c>
      <c r="L121" s="1023">
        <f>SUM(L6:L120)</f>
        <v>0</v>
      </c>
      <c r="M121" s="93">
        <f>SUM(M5:M120)</f>
        <v>7259.6900000000014</v>
      </c>
      <c r="N121" s="1023">
        <f>SUM(N6:N120)</f>
        <v>205.9</v>
      </c>
      <c r="O121" s="93">
        <f>SUM(O5:O120)</f>
        <v>3248.33</v>
      </c>
      <c r="P121" s="1211">
        <f>SUM(P6:P120)</f>
        <v>1000</v>
      </c>
      <c r="Q121" s="93">
        <f>SUM(Q5:Q120)</f>
        <v>8956.1899999999987</v>
      </c>
      <c r="R121" s="1211">
        <f>SUM(R6:R120)</f>
        <v>0</v>
      </c>
      <c r="S121" s="93">
        <f>SUM(S5:S120)</f>
        <v>39796.835984720012</v>
      </c>
      <c r="U121" s="216"/>
    </row>
    <row r="122" spans="1:28" ht="25.5" customHeight="1" thickBot="1" x14ac:dyDescent="0.3">
      <c r="A122" s="3117" t="s">
        <v>49</v>
      </c>
      <c r="B122" s="3118"/>
      <c r="C122" s="3118"/>
      <c r="D122" s="3118"/>
      <c r="E122" s="3118"/>
      <c r="F122" s="144" t="s">
        <v>280</v>
      </c>
      <c r="G122" s="519">
        <f>G121-F121</f>
        <v>307.63291666669284</v>
      </c>
      <c r="H122" s="555"/>
      <c r="I122" s="772">
        <f>I121-H121</f>
        <v>1299.9959999999992</v>
      </c>
      <c r="J122" s="593"/>
      <c r="K122" s="993">
        <f>K121-J121</f>
        <v>18493.310000000001</v>
      </c>
      <c r="L122" s="593"/>
      <c r="M122" s="772">
        <f>M121-L121</f>
        <v>7259.6900000000014</v>
      </c>
      <c r="N122" s="593"/>
      <c r="O122" s="772">
        <f>O121-N121</f>
        <v>3042.43</v>
      </c>
      <c r="P122" s="593"/>
      <c r="Q122" s="556">
        <f>Q121-P121</f>
        <v>7956.1899999999987</v>
      </c>
      <c r="R122" s="593"/>
      <c r="S122" s="556">
        <f>S121-R121</f>
        <v>39796.835984720012</v>
      </c>
      <c r="T122" s="484">
        <f>K122+M122+O122+Q122+S122</f>
        <v>76548.455984720014</v>
      </c>
    </row>
    <row r="123" spans="1:28" x14ac:dyDescent="0.25">
      <c r="J123" s="1238"/>
      <c r="K123" s="1238">
        <f>K122/T122</f>
        <v>0.24158958873960157</v>
      </c>
      <c r="M123" s="1238">
        <f>M122/T122</f>
        <v>9.4837837113907586E-2</v>
      </c>
      <c r="O123" s="1238">
        <f>O122/T122</f>
        <v>3.9745151758610327E-2</v>
      </c>
      <c r="P123" s="1239"/>
      <c r="Q123" s="1239">
        <f>Q122/T122</f>
        <v>0.10393664898463986</v>
      </c>
      <c r="R123" s="1239"/>
      <c r="S123" s="1239">
        <f>S122/T122</f>
        <v>0.51989077340324064</v>
      </c>
      <c r="T123" s="867"/>
      <c r="U123" s="867"/>
      <c r="V123" s="79"/>
      <c r="Y123" s="518"/>
      <c r="Z123" s="216"/>
      <c r="AB123" s="877"/>
    </row>
    <row r="124" spans="1:28" x14ac:dyDescent="0.25">
      <c r="B124" s="81" t="s">
        <v>3</v>
      </c>
      <c r="C124" s="193" t="s">
        <v>1484</v>
      </c>
      <c r="D124" s="970" t="s">
        <v>2378</v>
      </c>
      <c r="E124" s="193" t="s">
        <v>3216</v>
      </c>
      <c r="F124" s="1061" t="s">
        <v>3217</v>
      </c>
      <c r="G124" s="216"/>
      <c r="J124" s="867"/>
      <c r="K124" s="866"/>
      <c r="M124" s="866"/>
      <c r="O124" s="866"/>
      <c r="P124" s="1038"/>
      <c r="Q124" s="1038"/>
      <c r="R124" s="1038"/>
      <c r="S124" s="1038"/>
      <c r="T124" s="865"/>
      <c r="U124" s="867"/>
    </row>
    <row r="125" spans="1:28" x14ac:dyDescent="0.25">
      <c r="B125" s="79" t="s">
        <v>32</v>
      </c>
      <c r="C125" s="85" t="s">
        <v>1485</v>
      </c>
      <c r="D125" s="475">
        <f>SUMIF($D$8:$D$120,"A",$F$8:$F$120)</f>
        <v>460</v>
      </c>
      <c r="E125" s="1202">
        <f t="shared" ref="E125:E142" si="0">D125/$J$144</f>
        <v>14.838709677419354</v>
      </c>
      <c r="F125" s="1203">
        <f t="shared" ref="F125:F141" si="1">E125/$E$145</f>
        <v>0.10547096223910267</v>
      </c>
      <c r="G125" s="800"/>
      <c r="I125" s="769"/>
      <c r="J125" s="1210"/>
      <c r="K125" s="754"/>
      <c r="M125" s="886"/>
      <c r="O125" s="886"/>
      <c r="P125" s="1210"/>
      <c r="Q125" s="754"/>
      <c r="R125" s="886"/>
      <c r="S125" s="1210"/>
      <c r="T125" s="1038"/>
      <c r="U125" s="1210"/>
      <c r="W125" s="1201"/>
      <c r="X125" s="877"/>
    </row>
    <row r="126" spans="1:28" x14ac:dyDescent="0.25">
      <c r="B126" s="79" t="s">
        <v>2187</v>
      </c>
      <c r="C126" s="85" t="s">
        <v>2157</v>
      </c>
      <c r="D126" s="475">
        <f>SUMIF($D$8:$D$120,"GAC",$F$8:$F$120)</f>
        <v>430</v>
      </c>
      <c r="E126" s="1202">
        <f t="shared" si="0"/>
        <v>13.870967741935484</v>
      </c>
      <c r="F126" s="1203">
        <f>E126/$E$145</f>
        <v>9.8592421223509016E-2</v>
      </c>
      <c r="G126" s="609"/>
      <c r="J126" s="1038"/>
      <c r="K126" s="1225"/>
      <c r="M126" s="1210"/>
      <c r="N126" s="877"/>
      <c r="O126" s="1038"/>
      <c r="Q126" s="1225"/>
      <c r="R126" s="1210"/>
      <c r="S126" s="1038"/>
      <c r="T126" s="1038"/>
      <c r="W126" s="877"/>
      <c r="X126" s="877"/>
    </row>
    <row r="127" spans="1:28" x14ac:dyDescent="0.25">
      <c r="B127" s="79" t="s">
        <v>2188</v>
      </c>
      <c r="C127" s="85" t="s">
        <v>2168</v>
      </c>
      <c r="D127" s="475">
        <f>SUMIF($D$24:$D$120,"GAM",$F$24:$F$120)</f>
        <v>0</v>
      </c>
      <c r="E127" s="1202">
        <f>D127/$J$144</f>
        <v>0</v>
      </c>
      <c r="F127" s="1203">
        <f>E127/$E$145</f>
        <v>0</v>
      </c>
      <c r="J127" s="1038"/>
      <c r="K127" s="1225"/>
      <c r="M127" s="1210"/>
      <c r="N127" s="877"/>
      <c r="O127" s="1038"/>
      <c r="Q127" s="1225"/>
      <c r="R127" s="1210"/>
      <c r="S127" s="1038"/>
      <c r="T127" s="1038"/>
      <c r="W127" s="877"/>
      <c r="X127" s="877"/>
    </row>
    <row r="128" spans="1:28" s="85" customFormat="1" x14ac:dyDescent="0.25">
      <c r="A128" s="79"/>
      <c r="B128" s="79" t="s">
        <v>50</v>
      </c>
      <c r="C128" s="85" t="s">
        <v>1493</v>
      </c>
      <c r="D128" s="475">
        <f>SUMIF($D$8:$D$120,"LD",$F$8:$F$120)</f>
        <v>330.29999999999995</v>
      </c>
      <c r="E128" s="1202">
        <f t="shared" si="0"/>
        <v>10.654838709677417</v>
      </c>
      <c r="F128" s="1203">
        <f t="shared" si="1"/>
        <v>7.5732736581686097E-2</v>
      </c>
      <c r="J128" s="864"/>
      <c r="K128" s="877"/>
      <c r="M128" s="941"/>
      <c r="N128" s="877"/>
      <c r="O128" s="863"/>
      <c r="Q128" s="877"/>
      <c r="S128" s="79"/>
      <c r="T128" s="177"/>
      <c r="W128" s="877"/>
      <c r="X128" s="877"/>
    </row>
    <row r="129" spans="1:24" s="85" customFormat="1" x14ac:dyDescent="0.25">
      <c r="A129" s="79"/>
      <c r="B129" s="79" t="s">
        <v>14</v>
      </c>
      <c r="C129" s="85" t="s">
        <v>1486</v>
      </c>
      <c r="D129" s="475">
        <f>SUMIF($D$8:$D$120,"C",$F$8:$F$120)</f>
        <v>224.56</v>
      </c>
      <c r="E129" s="1202">
        <f t="shared" si="0"/>
        <v>7.2438709677419357</v>
      </c>
      <c r="F129" s="1203">
        <f t="shared" si="1"/>
        <v>5.1488172348723688E-2</v>
      </c>
      <c r="G129" s="79"/>
      <c r="H129" s="79"/>
      <c r="J129" s="1038"/>
      <c r="K129" s="877"/>
      <c r="M129" s="1210"/>
      <c r="N129" s="877"/>
      <c r="O129" s="1038"/>
      <c r="Q129" s="877"/>
      <c r="T129" s="177"/>
      <c r="W129" s="877"/>
      <c r="X129" s="877"/>
    </row>
    <row r="130" spans="1:24" s="85" customFormat="1" x14ac:dyDescent="0.25">
      <c r="B130" s="79" t="s">
        <v>51</v>
      </c>
      <c r="C130" s="864" t="s">
        <v>1499</v>
      </c>
      <c r="D130" s="475">
        <f>SUMIF($D$24:$D$120,"CAL",$F$24:$F$120)</f>
        <v>51.239999999999995</v>
      </c>
      <c r="E130" s="1202">
        <f t="shared" si="0"/>
        <v>1.6529032258064515</v>
      </c>
      <c r="F130" s="1203">
        <f t="shared" si="1"/>
        <v>1.1748548054633958E-2</v>
      </c>
      <c r="G130" s="79"/>
      <c r="H130" s="79"/>
      <c r="I130" s="79"/>
      <c r="J130" s="1038"/>
      <c r="K130" s="877"/>
      <c r="M130" s="1210"/>
      <c r="N130" s="877"/>
      <c r="O130" s="1038"/>
      <c r="Q130" s="877"/>
      <c r="R130" s="1210"/>
      <c r="S130" s="1038"/>
      <c r="T130" s="177"/>
      <c r="W130" s="877"/>
      <c r="X130" s="877"/>
    </row>
    <row r="131" spans="1:24" s="85" customFormat="1" x14ac:dyDescent="0.25">
      <c r="A131" s="79"/>
      <c r="B131" s="79" t="s">
        <v>2189</v>
      </c>
      <c r="C131" s="864" t="s">
        <v>1496</v>
      </c>
      <c r="D131" s="475">
        <f>SUMIF($D$14:$D$120,"AC",$F$14:$F$120)</f>
        <v>113.03333333333333</v>
      </c>
      <c r="E131" s="1202">
        <f t="shared" si="0"/>
        <v>3.6462365591397847</v>
      </c>
      <c r="F131" s="1203">
        <f t="shared" si="1"/>
        <v>2.5916813982086749E-2</v>
      </c>
      <c r="G131" s="79"/>
      <c r="J131" s="1038"/>
      <c r="K131" s="877"/>
      <c r="M131" s="1210"/>
      <c r="N131" s="877"/>
      <c r="O131" s="177"/>
      <c r="Q131" s="877"/>
      <c r="T131" s="177"/>
      <c r="W131" s="877"/>
      <c r="X131" s="877"/>
    </row>
    <row r="132" spans="1:24" s="85" customFormat="1" x14ac:dyDescent="0.25">
      <c r="A132" s="79"/>
      <c r="B132" s="867" t="s">
        <v>53</v>
      </c>
      <c r="C132" s="864" t="s">
        <v>1522</v>
      </c>
      <c r="D132" s="475">
        <f>SUMIF($D$14:$D$120,"DC",$F$14:$F$120)</f>
        <v>505.99666666666667</v>
      </c>
      <c r="E132" s="1202">
        <f>D132/$J$144</f>
        <v>16.322473118279571</v>
      </c>
      <c r="F132" s="1203">
        <f t="shared" si="1"/>
        <v>0.11601729418067788</v>
      </c>
      <c r="J132" s="79"/>
      <c r="K132" s="877"/>
      <c r="N132" s="877"/>
      <c r="O132" s="177"/>
      <c r="Q132" s="769"/>
      <c r="R132" s="868"/>
      <c r="S132" s="769"/>
      <c r="T132" s="79"/>
      <c r="W132" s="877"/>
      <c r="X132" s="877"/>
    </row>
    <row r="133" spans="1:24" s="85" customFormat="1" x14ac:dyDescent="0.25">
      <c r="A133" s="79"/>
      <c r="B133" s="867" t="s">
        <v>2149</v>
      </c>
      <c r="C133" s="864" t="s">
        <v>2131</v>
      </c>
      <c r="D133" s="475">
        <f>SUMIF($D$6:$D$120,"DM",$F$6:$F$120)</f>
        <v>0</v>
      </c>
      <c r="E133" s="1202">
        <f t="shared" si="0"/>
        <v>0</v>
      </c>
      <c r="F133" s="1203">
        <f t="shared" si="1"/>
        <v>0</v>
      </c>
      <c r="K133" s="877"/>
      <c r="N133" s="877"/>
      <c r="O133" s="177"/>
      <c r="W133" s="877"/>
      <c r="X133" s="877"/>
    </row>
    <row r="134" spans="1:24" s="85" customFormat="1" x14ac:dyDescent="0.25">
      <c r="A134" s="79"/>
      <c r="B134" s="79" t="s">
        <v>3048</v>
      </c>
      <c r="C134" s="864" t="s">
        <v>1523</v>
      </c>
      <c r="D134" s="475">
        <f ca="1">SUMIF($D$14:$D$121,"B",$F$14:$F$120)</f>
        <v>20</v>
      </c>
      <c r="E134" s="1202">
        <f t="shared" ca="1" si="0"/>
        <v>0.64516129032258063</v>
      </c>
      <c r="F134" s="1203">
        <f t="shared" ca="1" si="1"/>
        <v>4.585694010395768E-3</v>
      </c>
      <c r="G134" s="866"/>
      <c r="J134" s="1038"/>
      <c r="K134" s="877"/>
      <c r="M134" s="1210"/>
      <c r="N134" s="877"/>
      <c r="O134" s="177"/>
      <c r="R134" s="866"/>
      <c r="S134" s="1210"/>
      <c r="T134" s="877"/>
      <c r="W134" s="877"/>
      <c r="X134" s="877"/>
    </row>
    <row r="135" spans="1:24" s="85" customFormat="1" x14ac:dyDescent="0.25">
      <c r="A135" s="79"/>
      <c r="B135" s="79" t="s">
        <v>1686</v>
      </c>
      <c r="C135" s="864" t="s">
        <v>1506</v>
      </c>
      <c r="D135" s="475">
        <f>SUMIF($D$14:$D$120,"R",$F$14:$F$120)</f>
        <v>242</v>
      </c>
      <c r="E135" s="1202">
        <f t="shared" si="0"/>
        <v>7.806451612903226</v>
      </c>
      <c r="F135" s="1203">
        <f t="shared" si="1"/>
        <v>5.5486897525788802E-2</v>
      </c>
      <c r="G135" s="868"/>
      <c r="K135" s="877"/>
      <c r="N135" s="877"/>
      <c r="O135" s="177"/>
      <c r="Q135" s="1038"/>
      <c r="R135" s="1226"/>
      <c r="S135" s="1129"/>
      <c r="T135" s="877"/>
      <c r="W135" s="877"/>
      <c r="X135" s="877"/>
    </row>
    <row r="136" spans="1:24" x14ac:dyDescent="0.25">
      <c r="B136" s="79" t="s">
        <v>418</v>
      </c>
      <c r="C136" s="85" t="s">
        <v>1524</v>
      </c>
      <c r="D136" s="475">
        <f>SUMIF($D$8:$D$120,"COM",$F$8:$F$120)</f>
        <v>72</v>
      </c>
      <c r="E136" s="1202">
        <f t="shared" si="0"/>
        <v>2.3225806451612905</v>
      </c>
      <c r="F136" s="1203">
        <f>E136/$E$145</f>
        <v>1.6508498437424766E-2</v>
      </c>
      <c r="G136" s="85"/>
      <c r="H136" s="85"/>
      <c r="I136" s="85"/>
      <c r="J136" s="769"/>
      <c r="K136" s="1225"/>
      <c r="L136" s="769"/>
      <c r="M136" s="868"/>
      <c r="N136" s="1672"/>
      <c r="O136" s="216"/>
      <c r="Q136" s="1210"/>
      <c r="R136" s="1038"/>
      <c r="S136" s="1226"/>
      <c r="T136" s="877"/>
      <c r="W136" s="877"/>
      <c r="X136" s="877"/>
    </row>
    <row r="137" spans="1:24" x14ac:dyDescent="0.25">
      <c r="B137" s="79" t="s">
        <v>419</v>
      </c>
      <c r="C137" s="85" t="s">
        <v>1491</v>
      </c>
      <c r="D137" s="475">
        <f>SUMIF($D$14:$D$120,"F",$F$14:$F$120)</f>
        <v>915.69</v>
      </c>
      <c r="E137" s="1202">
        <f t="shared" si="0"/>
        <v>29.538387096774194</v>
      </c>
      <c r="F137" s="1203">
        <f>E137/$E$145</f>
        <v>0.20995370741896507</v>
      </c>
      <c r="I137" s="85"/>
      <c r="O137" s="216"/>
      <c r="S137" s="484"/>
      <c r="T137" s="877"/>
      <c r="W137" s="877"/>
      <c r="X137" s="877"/>
    </row>
    <row r="138" spans="1:24" x14ac:dyDescent="0.25">
      <c r="B138" s="79" t="s">
        <v>911</v>
      </c>
      <c r="C138" s="85" t="s">
        <v>1525</v>
      </c>
      <c r="D138" s="475">
        <f>SUMIF($D$24:$D$120,"FER",$F$24:$F$120)</f>
        <v>118</v>
      </c>
      <c r="E138" s="1202">
        <f t="shared" si="0"/>
        <v>3.806451612903226</v>
      </c>
      <c r="F138" s="1203">
        <f t="shared" si="1"/>
        <v>2.7055594661335034E-2</v>
      </c>
      <c r="O138" s="216"/>
      <c r="S138" s="484"/>
      <c r="T138" s="1673"/>
      <c r="W138" s="877"/>
      <c r="X138" s="877"/>
    </row>
    <row r="139" spans="1:24" x14ac:dyDescent="0.25">
      <c r="B139" s="79" t="s">
        <v>1526</v>
      </c>
      <c r="C139" s="85" t="s">
        <v>1504</v>
      </c>
      <c r="D139" s="475">
        <f>SUMIF($D$24:$D$120,"I",$F$24:$F$120)</f>
        <v>152.39000000000001</v>
      </c>
      <c r="E139" s="1202">
        <f t="shared" si="0"/>
        <v>4.9158064516129034</v>
      </c>
      <c r="F139" s="1203">
        <f t="shared" si="1"/>
        <v>3.4940695512210559E-2</v>
      </c>
      <c r="J139" s="769"/>
      <c r="K139" s="868"/>
      <c r="L139" s="769"/>
      <c r="M139" s="868"/>
      <c r="N139" s="769"/>
      <c r="O139" s="868"/>
      <c r="P139" s="1210"/>
      <c r="Q139" s="1038"/>
      <c r="R139" s="1210"/>
      <c r="S139" s="1038"/>
      <c r="T139" s="1129"/>
      <c r="V139" s="1129"/>
      <c r="W139" s="877"/>
      <c r="X139" s="877"/>
    </row>
    <row r="140" spans="1:24" x14ac:dyDescent="0.25">
      <c r="B140" s="79" t="s">
        <v>2343</v>
      </c>
      <c r="C140" s="85" t="s">
        <v>2315</v>
      </c>
      <c r="D140" s="475">
        <f>SUMIF($D$24:$D$120,"E",$F$24:$F$120)</f>
        <v>0</v>
      </c>
      <c r="E140" s="1202">
        <f t="shared" si="0"/>
        <v>0</v>
      </c>
      <c r="F140" s="1203">
        <f t="shared" si="1"/>
        <v>0</v>
      </c>
      <c r="J140" s="769"/>
      <c r="K140" s="868"/>
      <c r="L140" s="769"/>
      <c r="M140" s="868"/>
      <c r="N140" s="769"/>
      <c r="O140" s="1673"/>
      <c r="P140" s="1210"/>
      <c r="Q140" s="1038"/>
      <c r="R140" s="1210"/>
      <c r="S140" s="1038"/>
      <c r="T140" s="1129"/>
      <c r="V140" s="1129"/>
      <c r="W140" s="877"/>
      <c r="X140" s="877"/>
    </row>
    <row r="141" spans="1:24" x14ac:dyDescent="0.25">
      <c r="B141" s="79" t="s">
        <v>3019</v>
      </c>
      <c r="C141" s="85" t="s">
        <v>3017</v>
      </c>
      <c r="D141" s="475">
        <f>SUMIF($D$6:$D$120,"IM",$F$6:$F$120)</f>
        <v>617.13</v>
      </c>
      <c r="E141" s="1202">
        <f t="shared" si="0"/>
        <v>19.907419354838709</v>
      </c>
      <c r="F141" s="1203">
        <f t="shared" si="1"/>
        <v>0.14149846723177703</v>
      </c>
      <c r="J141" s="769"/>
      <c r="L141" s="769"/>
      <c r="N141" s="769"/>
      <c r="P141" s="941"/>
      <c r="Q141" s="224"/>
      <c r="R141" s="941"/>
      <c r="S141" s="224"/>
      <c r="T141" s="1226"/>
      <c r="U141" s="1129"/>
      <c r="V141" s="1129"/>
      <c r="W141" s="877"/>
      <c r="X141" s="877"/>
    </row>
    <row r="142" spans="1:24" x14ac:dyDescent="0.25">
      <c r="B142" s="79" t="s">
        <v>1527</v>
      </c>
      <c r="C142" s="85" t="s">
        <v>1489</v>
      </c>
      <c r="D142" s="475">
        <f>SUMIF($D$14:$D$120,"OD",$F$14:$F$120)</f>
        <v>168.98000000000002</v>
      </c>
      <c r="E142" s="1202">
        <f t="shared" si="0"/>
        <v>5.4509677419354841</v>
      </c>
      <c r="F142" s="1203">
        <f>E142/$E$145</f>
        <v>3.8744528693833852E-2</v>
      </c>
      <c r="P142" s="1210"/>
      <c r="Q142" s="1038"/>
      <c r="R142" s="1210"/>
      <c r="S142" s="1038"/>
      <c r="T142" s="1226"/>
      <c r="U142" s="1129"/>
      <c r="V142" s="1129"/>
      <c r="W142" s="877"/>
      <c r="X142" s="877"/>
    </row>
    <row r="143" spans="1:24" x14ac:dyDescent="0.25">
      <c r="C143" s="79"/>
      <c r="D143" s="629"/>
      <c r="E143" s="79"/>
      <c r="F143" s="79"/>
      <c r="P143" s="1210"/>
      <c r="Q143" s="1038"/>
      <c r="R143" s="1210"/>
      <c r="S143" s="1038"/>
      <c r="T143" s="1227"/>
      <c r="U143" s="1129"/>
      <c r="V143" s="1129"/>
      <c r="W143" s="877"/>
      <c r="X143" s="877"/>
    </row>
    <row r="144" spans="1:24" x14ac:dyDescent="0.25">
      <c r="C144" s="3168" t="s">
        <v>486</v>
      </c>
      <c r="D144" s="3168"/>
      <c r="E144" s="863">
        <f ca="1">I144/J144</f>
        <v>142.62322580645161</v>
      </c>
      <c r="G144" s="518" t="s">
        <v>487</v>
      </c>
      <c r="I144" s="629">
        <f ca="1">SUM(D125:D142)</f>
        <v>4421.32</v>
      </c>
      <c r="J144" s="1517">
        <v>31</v>
      </c>
      <c r="L144" s="216"/>
      <c r="M144" s="609"/>
      <c r="N144" s="216"/>
      <c r="O144" s="1517"/>
      <c r="P144" s="1210"/>
      <c r="Q144" s="1038"/>
      <c r="R144" s="1210"/>
      <c r="S144" s="1038"/>
      <c r="T144" s="1226"/>
      <c r="U144" s="1129"/>
      <c r="V144" s="1129"/>
      <c r="W144" s="877"/>
      <c r="X144" s="877"/>
    </row>
    <row r="145" spans="1:26" ht="15.75" customHeight="1" x14ac:dyDescent="0.25">
      <c r="B145" s="3167" t="s">
        <v>3377</v>
      </c>
      <c r="C145" s="3167"/>
      <c r="D145" s="3167"/>
      <c r="E145" s="1125">
        <v>140.69</v>
      </c>
      <c r="H145" s="85"/>
      <c r="K145" s="868"/>
      <c r="M145" s="868"/>
      <c r="O145" s="868"/>
      <c r="P145" s="1210"/>
      <c r="Q145" s="1038"/>
      <c r="R145" s="1210"/>
      <c r="S145" s="1038"/>
      <c r="T145" s="1226"/>
      <c r="U145" s="1129"/>
      <c r="V145" s="1129"/>
      <c r="W145" s="877"/>
      <c r="X145" s="877"/>
    </row>
    <row r="146" spans="1:26" x14ac:dyDescent="0.25">
      <c r="A146" s="518"/>
      <c r="C146" s="79"/>
      <c r="D146" s="79"/>
      <c r="E146" s="769"/>
      <c r="F146" s="866"/>
      <c r="G146" s="769"/>
      <c r="H146" s="866"/>
      <c r="I146" s="1210"/>
      <c r="J146" s="89"/>
      <c r="L146" s="1038"/>
      <c r="M146" s="1210"/>
      <c r="N146" s="1038"/>
      <c r="O146" s="1210"/>
      <c r="P146" s="1210"/>
      <c r="Q146" s="1038"/>
      <c r="R146" s="1210"/>
      <c r="S146" s="1038"/>
      <c r="T146" s="769"/>
      <c r="U146" s="484" t="s">
        <v>280</v>
      </c>
      <c r="V146" s="216"/>
      <c r="W146" s="866"/>
      <c r="X146" s="484"/>
      <c r="Z146" s="877"/>
    </row>
    <row r="147" spans="1:26" s="518" customFormat="1" ht="15.75" customHeight="1" x14ac:dyDescent="0.25">
      <c r="A147" s="79"/>
      <c r="B147" s="79"/>
      <c r="C147" s="79"/>
      <c r="D147" s="79"/>
      <c r="E147" s="1126">
        <f ca="1">E145-E144</f>
        <v>-1.9332258064516168</v>
      </c>
      <c r="F147" s="1205">
        <f ca="1">SUM(F125:F146)</f>
        <v>1.0137410321021509</v>
      </c>
      <c r="G147" s="85"/>
      <c r="H147" s="85"/>
      <c r="I147" s="89"/>
      <c r="J147" s="79"/>
      <c r="K147" s="79"/>
      <c r="L147" s="79"/>
      <c r="M147" s="79"/>
      <c r="N147" s="79"/>
      <c r="O147" s="79"/>
      <c r="P147" s="1210"/>
      <c r="Q147" s="1038"/>
      <c r="R147" s="1210"/>
      <c r="S147" s="1038"/>
      <c r="T147" s="79"/>
      <c r="U147" s="79"/>
      <c r="V147" s="866"/>
      <c r="W147" s="484"/>
      <c r="X147" s="79"/>
      <c r="Y147" s="877"/>
      <c r="Z147" s="79"/>
    </row>
    <row r="148" spans="1:26" s="518" customFormat="1" x14ac:dyDescent="0.25">
      <c r="A148" s="79"/>
      <c r="B148" s="79"/>
      <c r="C148" s="85"/>
      <c r="D148" s="85"/>
      <c r="E148" s="85"/>
      <c r="S148" s="1038"/>
      <c r="T148" s="484"/>
      <c r="U148" s="79"/>
      <c r="V148" s="877"/>
      <c r="W148" s="79"/>
    </row>
    <row r="149" spans="1:26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769"/>
      <c r="O149" s="866"/>
      <c r="P149" s="1210"/>
      <c r="Q149" s="1038"/>
      <c r="R149" s="1210"/>
      <c r="S149" s="1038"/>
      <c r="T149" s="484"/>
      <c r="U149" s="79"/>
      <c r="V149" s="877"/>
      <c r="W149" s="79"/>
    </row>
    <row r="150" spans="1:26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216"/>
      <c r="J150" s="769"/>
      <c r="K150" s="866"/>
      <c r="L150" s="769"/>
      <c r="M150" s="866"/>
      <c r="N150" s="769"/>
      <c r="O150" s="866"/>
      <c r="P150" s="1210"/>
      <c r="Q150" s="1038"/>
      <c r="R150" s="1210"/>
      <c r="S150" s="1038"/>
      <c r="T150" s="484"/>
      <c r="U150" s="79"/>
      <c r="V150" s="877"/>
      <c r="W150" s="79"/>
    </row>
    <row r="151" spans="1:26" s="518" customFormat="1" x14ac:dyDescent="0.25">
      <c r="A151" s="79"/>
      <c r="B151" s="79"/>
      <c r="C151" s="79"/>
      <c r="D151" s="79"/>
      <c r="E151" s="79"/>
      <c r="F151" s="79"/>
      <c r="G151" s="79"/>
      <c r="H151" s="79"/>
      <c r="K151" s="866"/>
      <c r="M151" s="866"/>
      <c r="O151" s="866"/>
      <c r="P151" s="1210"/>
      <c r="Q151" s="1038"/>
      <c r="R151" s="1210"/>
      <c r="S151" s="1038"/>
      <c r="T151" s="484"/>
      <c r="U151" s="79"/>
      <c r="V151" s="877"/>
      <c r="W151" s="79"/>
    </row>
    <row r="152" spans="1:26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L152" s="769"/>
      <c r="M152" s="866"/>
      <c r="N152" s="769"/>
      <c r="O152" s="866"/>
      <c r="P152" s="1210"/>
      <c r="Q152" s="1038"/>
      <c r="R152" s="1210"/>
      <c r="S152" s="1038"/>
      <c r="T152" s="484"/>
      <c r="U152" s="79"/>
      <c r="V152" s="877"/>
      <c r="W152" s="79"/>
    </row>
    <row r="153" spans="1:26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8"/>
      <c r="L153" s="769"/>
      <c r="M153" s="868"/>
      <c r="N153" s="769"/>
      <c r="O153" s="868"/>
      <c r="P153" s="1210"/>
      <c r="Q153" s="1038"/>
      <c r="R153" s="1210"/>
      <c r="S153" s="1038"/>
      <c r="T153" s="484"/>
      <c r="U153" s="79"/>
      <c r="V153" s="877"/>
      <c r="W153" s="79"/>
    </row>
    <row r="154" spans="1:26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6"/>
      <c r="L154" s="769"/>
      <c r="M154" s="866"/>
      <c r="N154" s="769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6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79"/>
      <c r="J155" s="770"/>
      <c r="K155" s="866"/>
      <c r="L155" s="770"/>
      <c r="M155" s="866"/>
      <c r="N155" s="770"/>
      <c r="O155" s="866"/>
      <c r="P155" s="1210"/>
      <c r="Q155" s="1038"/>
      <c r="R155" s="1210"/>
      <c r="S155" s="1038"/>
      <c r="T155" s="484"/>
      <c r="U155" s="79"/>
      <c r="V155" s="877"/>
      <c r="W155" s="79"/>
    </row>
    <row r="156" spans="1:26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L156" s="769"/>
      <c r="M156" s="868"/>
      <c r="N156" s="769"/>
      <c r="O156" s="868"/>
      <c r="P156" s="1210"/>
      <c r="Q156" s="1038"/>
      <c r="R156" s="1210"/>
      <c r="S156" s="1038"/>
      <c r="T156" s="484"/>
      <c r="U156" s="79"/>
      <c r="V156" s="877"/>
      <c r="W156" s="79"/>
    </row>
    <row r="157" spans="1:26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6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629"/>
      <c r="J158" s="769"/>
      <c r="K158" s="866"/>
      <c r="L158" s="769"/>
      <c r="M158" s="866"/>
      <c r="N158" s="769"/>
      <c r="O158" s="866"/>
      <c r="P158" s="1210"/>
      <c r="Q158" s="1038"/>
      <c r="R158" s="1210"/>
      <c r="S158" s="1038"/>
      <c r="T158" s="484"/>
      <c r="U158" s="79"/>
      <c r="V158" s="877"/>
      <c r="W158" s="79"/>
    </row>
    <row r="159" spans="1:26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1210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1210"/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1210"/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1210"/>
      <c r="Q163" s="1038"/>
      <c r="R163" s="1210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1210"/>
      <c r="Q164" s="1038"/>
      <c r="R164" s="1210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P165" s="1210"/>
      <c r="Q165" s="1038"/>
      <c r="R165" s="1210"/>
      <c r="S165" s="1038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769"/>
      <c r="O167" s="866"/>
      <c r="T167" s="484"/>
      <c r="U167" s="79"/>
      <c r="V167" s="877"/>
      <c r="W167" s="79"/>
    </row>
    <row r="168" spans="1:23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79"/>
      <c r="Q168" s="79"/>
      <c r="R168" s="79"/>
      <c r="S168" s="79"/>
      <c r="T168" s="484"/>
      <c r="U168" s="79"/>
      <c r="V168" s="877"/>
      <c r="W168" s="79"/>
    </row>
    <row r="169" spans="1:23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81"/>
      <c r="Q169" s="755"/>
      <c r="R169" s="81"/>
      <c r="S169" s="755"/>
      <c r="T169" s="484"/>
      <c r="U169" s="79"/>
      <c r="V169" s="877"/>
      <c r="W169" s="79"/>
    </row>
    <row r="170" spans="1:23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868"/>
      <c r="Q170" s="79"/>
      <c r="R170" s="868"/>
      <c r="S170" s="79"/>
      <c r="T170" s="484"/>
      <c r="U170" s="79"/>
      <c r="V170" s="877"/>
      <c r="W170" s="79"/>
    </row>
    <row r="171" spans="1:23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754"/>
      <c r="Q171" s="886"/>
      <c r="R171" s="754"/>
      <c r="S171" s="886"/>
      <c r="T171" s="484"/>
      <c r="U171" s="79"/>
      <c r="V171" s="877"/>
      <c r="W171" s="79"/>
    </row>
    <row r="172" spans="1:23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769"/>
      <c r="O172" s="868"/>
      <c r="P172" s="864"/>
      <c r="Q172" s="864"/>
      <c r="R172" s="864"/>
      <c r="S172" s="864"/>
      <c r="T172" s="484"/>
      <c r="U172" s="79"/>
      <c r="V172" s="877"/>
      <c r="W172" s="79"/>
    </row>
    <row r="173" spans="1:23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864"/>
      <c r="Q173" s="1032"/>
      <c r="R173" s="864"/>
      <c r="S173" s="1032"/>
      <c r="T173" s="484"/>
      <c r="U173" s="79"/>
      <c r="V173" s="877"/>
      <c r="W173" s="79"/>
    </row>
    <row r="174" spans="1:23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864"/>
      <c r="Q174" s="1032"/>
      <c r="R174" s="864"/>
      <c r="S174" s="1032"/>
      <c r="T174" s="484"/>
      <c r="U174" s="79"/>
      <c r="V174" s="877"/>
      <c r="W174" s="79"/>
    </row>
    <row r="175" spans="1:23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8"/>
      <c r="L175" s="769"/>
      <c r="M175" s="868"/>
      <c r="N175" s="769"/>
      <c r="O175" s="868"/>
      <c r="P175" s="85"/>
      <c r="Q175" s="795"/>
      <c r="R175" s="85"/>
      <c r="S175" s="795"/>
      <c r="T175" s="484"/>
      <c r="U175" s="79"/>
      <c r="V175" s="877"/>
      <c r="W175" s="79"/>
    </row>
    <row r="176" spans="1:23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85"/>
      <c r="Q176" s="177"/>
      <c r="R176" s="85"/>
      <c r="S176" s="177"/>
      <c r="T176" s="484"/>
      <c r="U176" s="79"/>
      <c r="V176" s="877"/>
      <c r="W176" s="79"/>
    </row>
    <row r="177" spans="1:23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769"/>
      <c r="O177" s="866"/>
      <c r="P177" s="85"/>
      <c r="Q177" s="177"/>
      <c r="R177" s="85"/>
      <c r="S177" s="177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177" t="s">
        <v>280</v>
      </c>
      <c r="R178" s="85"/>
      <c r="S178" s="177" t="s">
        <v>280</v>
      </c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177"/>
      <c r="R179" s="85"/>
      <c r="S179" s="177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85"/>
      <c r="Q180" s="866"/>
      <c r="R180" s="85"/>
      <c r="S180" s="866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769"/>
      <c r="O181" s="868"/>
      <c r="P181" s="769"/>
      <c r="Q181" s="216"/>
      <c r="R181" s="769"/>
      <c r="S181" s="216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6"/>
      <c r="L182" s="769"/>
      <c r="M182" s="866"/>
      <c r="N182" s="769"/>
      <c r="O182" s="866"/>
      <c r="P182" s="79"/>
      <c r="Q182" s="216"/>
      <c r="R182" s="79"/>
      <c r="S182" s="216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223"/>
      <c r="K183" s="629"/>
      <c r="L183" s="223"/>
      <c r="M183" s="629"/>
      <c r="N183" s="223"/>
      <c r="O183" s="629"/>
      <c r="P183" s="769"/>
      <c r="Q183" s="868"/>
      <c r="R183" s="769"/>
      <c r="S183" s="86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56"/>
      <c r="K184" s="756"/>
      <c r="L184" s="756"/>
      <c r="M184" s="756"/>
      <c r="N184" s="756"/>
      <c r="O184" s="756"/>
      <c r="P184" s="769"/>
      <c r="Q184" s="868"/>
      <c r="R184" s="769"/>
      <c r="S184" s="86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868"/>
      <c r="R185" s="769"/>
      <c r="S185" s="86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79"/>
      <c r="R186" s="769"/>
      <c r="S186" s="79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85"/>
      <c r="K189" s="85"/>
      <c r="L189" s="85"/>
      <c r="M189" s="85"/>
      <c r="N189" s="85"/>
      <c r="O189" s="85"/>
      <c r="P189" s="1517"/>
      <c r="Q189" s="79"/>
      <c r="R189" s="1517"/>
      <c r="S189" s="79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868"/>
      <c r="R190" s="79"/>
      <c r="S190" s="86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89"/>
      <c r="Q191" s="79"/>
      <c r="R191" s="89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769"/>
      <c r="S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69"/>
      <c r="Q195" s="866"/>
      <c r="R195" s="769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85"/>
      <c r="M196" s="85"/>
      <c r="N196" s="85"/>
      <c r="O196" s="85"/>
      <c r="Q196" s="866"/>
      <c r="S196" s="866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6"/>
      <c r="R197" s="769"/>
      <c r="S197" s="866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8"/>
      <c r="R198" s="769"/>
      <c r="S198" s="868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6"/>
      <c r="R199" s="769"/>
      <c r="S199" s="866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70"/>
      <c r="Q200" s="866"/>
      <c r="R200" s="770"/>
      <c r="S200" s="866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8"/>
      <c r="R201" s="769"/>
      <c r="S201" s="868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69"/>
      <c r="Q202" s="866"/>
      <c r="R202" s="769"/>
      <c r="S202" s="86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71"/>
      <c r="L203" s="771"/>
      <c r="N203" s="771"/>
      <c r="P203" s="769"/>
      <c r="Q203" s="866"/>
      <c r="R203" s="769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69"/>
      <c r="Q204" s="866"/>
      <c r="R204" s="769"/>
      <c r="S204" s="866"/>
      <c r="T204" s="484"/>
      <c r="U204" s="79"/>
      <c r="V204" s="877"/>
      <c r="W204" s="79"/>
    </row>
    <row r="205" spans="1:23" x14ac:dyDescent="0.25">
      <c r="P205" s="769"/>
      <c r="Q205" s="866"/>
      <c r="R205" s="769"/>
      <c r="S205" s="866"/>
    </row>
    <row r="206" spans="1:23" x14ac:dyDescent="0.25">
      <c r="P206" s="769"/>
      <c r="Q206" s="866"/>
      <c r="R206" s="769"/>
      <c r="S206" s="866"/>
    </row>
    <row r="207" spans="1:23" x14ac:dyDescent="0.25">
      <c r="P207" s="769"/>
      <c r="Q207" s="866"/>
      <c r="R207" s="769"/>
      <c r="S207" s="866"/>
    </row>
    <row r="208" spans="1:23" x14ac:dyDescent="0.25">
      <c r="P208" s="769"/>
      <c r="Q208" s="866"/>
      <c r="R208" s="769"/>
      <c r="S208" s="866"/>
    </row>
    <row r="209" spans="1:23" x14ac:dyDescent="0.25">
      <c r="P209" s="769"/>
      <c r="Q209" s="866"/>
      <c r="R209" s="769"/>
      <c r="S209" s="866"/>
    </row>
    <row r="210" spans="1:23" x14ac:dyDescent="0.25">
      <c r="P210" s="769"/>
      <c r="Q210" s="866"/>
      <c r="R210" s="769"/>
      <c r="S210" s="866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6"/>
      <c r="R211" s="769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6"/>
      <c r="R212" s="769"/>
      <c r="S212" s="866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769"/>
      <c r="S213" s="868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769"/>
      <c r="S214" s="868"/>
      <c r="T214" s="484"/>
      <c r="U214" s="79"/>
      <c r="V214" s="877"/>
      <c r="W214" s="79"/>
    </row>
    <row r="215" spans="1:23" x14ac:dyDescent="0.25">
      <c r="P215" s="769"/>
      <c r="Q215" s="868"/>
      <c r="R215" s="769"/>
      <c r="S215" s="868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769"/>
      <c r="Q216" s="868"/>
      <c r="R216" s="769"/>
      <c r="S216" s="868"/>
      <c r="T216" s="484"/>
      <c r="U216" s="79"/>
      <c r="V216" s="877"/>
      <c r="W216" s="79"/>
    </row>
    <row r="217" spans="1:23" x14ac:dyDescent="0.25">
      <c r="P217" s="769"/>
      <c r="Q217" s="868"/>
      <c r="R217" s="769"/>
      <c r="S217" s="868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629"/>
      <c r="L218" s="79"/>
      <c r="M218" s="629"/>
      <c r="N218" s="79"/>
      <c r="O218" s="629"/>
      <c r="P218" s="769"/>
      <c r="Q218" s="866"/>
      <c r="R218" s="769"/>
      <c r="S218" s="866"/>
      <c r="T218" s="484"/>
      <c r="U218" s="79"/>
      <c r="V218" s="877"/>
      <c r="W218" s="79"/>
    </row>
    <row r="219" spans="1:23" x14ac:dyDescent="0.25">
      <c r="P219" s="769"/>
      <c r="Q219" s="866"/>
      <c r="R219" s="769"/>
      <c r="S219" s="866"/>
    </row>
    <row r="220" spans="1:23" x14ac:dyDescent="0.25">
      <c r="P220" s="769"/>
      <c r="Q220" s="868"/>
      <c r="R220" s="769"/>
      <c r="S220" s="868"/>
    </row>
    <row r="221" spans="1:23" x14ac:dyDescent="0.25">
      <c r="P221" s="769"/>
      <c r="Q221" s="866"/>
      <c r="R221" s="769"/>
      <c r="S221" s="866"/>
    </row>
    <row r="222" spans="1:23" x14ac:dyDescent="0.25">
      <c r="P222" s="769"/>
      <c r="Q222" s="866"/>
      <c r="R222" s="769"/>
      <c r="S222" s="866"/>
    </row>
    <row r="223" spans="1:23" x14ac:dyDescent="0.25">
      <c r="P223" s="769"/>
      <c r="Q223" s="868"/>
      <c r="R223" s="769"/>
      <c r="S223" s="868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8"/>
      <c r="R226" s="769"/>
      <c r="S226" s="868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6"/>
      <c r="R227" s="769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223"/>
      <c r="Q228" s="629"/>
      <c r="R228" s="223"/>
      <c r="S228" s="629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56"/>
      <c r="Q229" s="756"/>
      <c r="R229" s="756"/>
      <c r="S229" s="756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79"/>
      <c r="S230" s="79"/>
      <c r="T230" s="484"/>
      <c r="U230" s="79"/>
      <c r="V230" s="877"/>
      <c r="W230" s="79"/>
    </row>
    <row r="231" spans="1:23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79"/>
      <c r="S231" s="79"/>
      <c r="T231" s="484"/>
      <c r="U231" s="79"/>
      <c r="V231" s="877"/>
      <c r="W231" s="79"/>
    </row>
    <row r="232" spans="1:23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216"/>
      <c r="P232" s="79"/>
      <c r="Q232" s="79"/>
      <c r="R232" s="79"/>
      <c r="S232" s="79"/>
      <c r="T232" s="484"/>
      <c r="U232" s="79"/>
      <c r="V232" s="877"/>
      <c r="W232" s="79"/>
    </row>
    <row r="234" spans="1:23" x14ac:dyDescent="0.25">
      <c r="P234" s="85"/>
      <c r="Q234" s="85"/>
      <c r="R234" s="85"/>
      <c r="S234" s="85"/>
    </row>
    <row r="241" spans="1:44" x14ac:dyDescent="0.25">
      <c r="P241" s="85"/>
      <c r="Q241" s="85"/>
      <c r="R241" s="85"/>
      <c r="S241" s="85"/>
    </row>
    <row r="245" spans="1:44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U245" s="79"/>
      <c r="V245" s="877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</row>
    <row r="246" spans="1:44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U246" s="79"/>
      <c r="V246" s="877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</row>
    <row r="247" spans="1:44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U247" s="79"/>
      <c r="V247" s="877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</row>
    <row r="248" spans="1:44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71"/>
      <c r="Q248" s="518"/>
      <c r="R248" s="771"/>
      <c r="S248" s="518"/>
      <c r="U248" s="79"/>
      <c r="V248" s="877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</row>
    <row r="249" spans="1:44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U249" s="79"/>
      <c r="V249" s="877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R256" s="79"/>
      <c r="S256" s="216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R257" s="79"/>
      <c r="S257" s="216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R258" s="79"/>
      <c r="S258" s="216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59" spans="1:44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R259" s="79"/>
      <c r="S259" s="216"/>
      <c r="U259" s="79"/>
      <c r="V259" s="877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</row>
    <row r="261" spans="1:44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R261" s="79"/>
      <c r="S261" s="216"/>
      <c r="U261" s="79"/>
      <c r="V261" s="877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</row>
    <row r="263" spans="1:44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629"/>
      <c r="R263" s="79"/>
      <c r="S263" s="629"/>
      <c r="U263" s="79"/>
      <c r="V263" s="877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R271" s="79"/>
      <c r="S271" s="216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R273" s="79"/>
      <c r="S273" s="216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R274" s="79"/>
      <c r="S274" s="216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R275" s="79"/>
      <c r="S275" s="216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R276" s="79"/>
      <c r="S276" s="216"/>
      <c r="U276" s="79"/>
      <c r="V276" s="877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</row>
    <row r="277" spans="1:44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216"/>
      <c r="R277" s="79"/>
      <c r="S277" s="216"/>
      <c r="U277" s="79"/>
      <c r="V277" s="877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</row>
  </sheetData>
  <autoFilter ref="A2:I142" xr:uid="{00000000-0009-0000-0000-000086000000}"/>
  <mergeCells count="18">
    <mergeCell ref="A122:E122"/>
    <mergeCell ref="C144:D144"/>
    <mergeCell ref="B145:D145"/>
    <mergeCell ref="F1:S1"/>
    <mergeCell ref="F2:G3"/>
    <mergeCell ref="H2:I3"/>
    <mergeCell ref="J2:K3"/>
    <mergeCell ref="L2:M3"/>
    <mergeCell ref="N2:O3"/>
    <mergeCell ref="P2:Q3"/>
    <mergeCell ref="R2:S3"/>
    <mergeCell ref="A1:E1"/>
    <mergeCell ref="A2:A4"/>
    <mergeCell ref="B2:B4"/>
    <mergeCell ref="C2:C4"/>
    <mergeCell ref="D2:D4"/>
    <mergeCell ref="E2:E4"/>
    <mergeCell ref="A121:E121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Planilha5"/>
  <dimension ref="A1:AR277"/>
  <sheetViews>
    <sheetView zoomScale="85" zoomScaleNormal="85" workbookViewId="0">
      <pane ySplit="5" topLeftCell="A105" activePane="bottomLeft" state="frozen"/>
      <selection pane="bottomLeft" activeCell="F18" sqref="F18:F14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3694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45017</v>
      </c>
      <c r="B5" s="369" t="s">
        <v>10</v>
      </c>
      <c r="C5" s="370"/>
      <c r="D5" s="370"/>
      <c r="E5" s="777"/>
      <c r="F5" s="179"/>
      <c r="G5" s="933">
        <f>'Março-23'!G122</f>
        <v>307.63291666669284</v>
      </c>
      <c r="H5" s="163"/>
      <c r="I5" s="1479">
        <f>'Março-23'!I122</f>
        <v>1299.9959999999992</v>
      </c>
      <c r="J5" s="179"/>
      <c r="K5" s="933">
        <f>'Março-23'!K122</f>
        <v>18493.310000000001</v>
      </c>
      <c r="L5" s="179"/>
      <c r="M5" s="933">
        <f>'Março-23'!M122</f>
        <v>7259.6900000000014</v>
      </c>
      <c r="N5" s="179"/>
      <c r="O5" s="933">
        <f>'Março-23'!O122</f>
        <v>3042.43</v>
      </c>
      <c r="P5" s="179"/>
      <c r="Q5" s="1479">
        <f>'Março-23'!Q122</f>
        <v>7956.1899999999987</v>
      </c>
      <c r="R5" s="179"/>
      <c r="S5" s="933">
        <f>'Março-23'!S122</f>
        <v>39796.835984720012</v>
      </c>
    </row>
    <row r="6" spans="1:23" s="224" customFormat="1" x14ac:dyDescent="0.25">
      <c r="A6" s="215">
        <v>45017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1274" customFormat="1" ht="15" customHeight="1" x14ac:dyDescent="0.25">
      <c r="A7" s="1264">
        <v>45017</v>
      </c>
      <c r="B7" s="1275" t="s">
        <v>3695</v>
      </c>
      <c r="C7" s="1276" t="s">
        <v>12</v>
      </c>
      <c r="D7" s="1276"/>
      <c r="E7" s="1286" t="s">
        <v>13</v>
      </c>
      <c r="F7" s="1279"/>
      <c r="G7" s="1278"/>
      <c r="H7" s="1282"/>
      <c r="I7" s="1283"/>
      <c r="J7" s="1279"/>
      <c r="K7" s="1278"/>
      <c r="L7" s="1279"/>
      <c r="M7" s="1278"/>
      <c r="N7" s="1279"/>
      <c r="O7" s="1278"/>
      <c r="P7" s="1279">
        <v>25.04</v>
      </c>
      <c r="Q7" s="1283"/>
      <c r="R7" s="1740"/>
      <c r="S7" s="1743"/>
      <c r="T7" s="1281"/>
      <c r="U7" s="1294"/>
    </row>
    <row r="8" spans="1:23" s="224" customFormat="1" x14ac:dyDescent="0.25">
      <c r="A8" s="215">
        <v>45017</v>
      </c>
      <c r="B8" s="1275" t="s">
        <v>14</v>
      </c>
      <c r="C8" s="1276" t="s">
        <v>12</v>
      </c>
      <c r="D8" s="1276" t="s">
        <v>1486</v>
      </c>
      <c r="E8" s="1286" t="s">
        <v>13</v>
      </c>
      <c r="F8" s="1810">
        <v>10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1274" customFormat="1" ht="15" customHeight="1" x14ac:dyDescent="0.25">
      <c r="A9" s="215">
        <v>45017</v>
      </c>
      <c r="B9" s="1289" t="s">
        <v>2096</v>
      </c>
      <c r="C9" s="1276" t="s">
        <v>12</v>
      </c>
      <c r="D9" s="1276" t="s">
        <v>1506</v>
      </c>
      <c r="E9" s="1277" t="s">
        <v>13</v>
      </c>
      <c r="F9" s="1810">
        <v>50</v>
      </c>
      <c r="G9" s="1703"/>
      <c r="H9" s="1282"/>
      <c r="I9" s="1283"/>
      <c r="J9" s="1279"/>
      <c r="K9" s="1278"/>
      <c r="L9" s="1279"/>
      <c r="M9" s="1278"/>
      <c r="N9" s="1279"/>
      <c r="O9" s="1278"/>
      <c r="P9" s="1279"/>
      <c r="Q9" s="1283"/>
      <c r="R9" s="1702"/>
      <c r="S9" s="1703"/>
      <c r="T9" s="1281"/>
      <c r="V9" s="1281"/>
      <c r="W9" s="1294"/>
    </row>
    <row r="10" spans="1:23" s="224" customFormat="1" ht="15" customHeight="1" x14ac:dyDescent="0.25">
      <c r="A10" s="215">
        <v>45017</v>
      </c>
      <c r="B10" s="1275" t="s">
        <v>3696</v>
      </c>
      <c r="C10" s="1276" t="s">
        <v>12</v>
      </c>
      <c r="D10" s="1276" t="s">
        <v>1485</v>
      </c>
      <c r="E10" s="1286" t="s">
        <v>13</v>
      </c>
      <c r="F10" s="780">
        <v>23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  <c r="V10" s="927"/>
      <c r="W10" s="999"/>
    </row>
    <row r="11" spans="1:23" s="224" customFormat="1" ht="15" customHeight="1" x14ac:dyDescent="0.25">
      <c r="A11" s="215">
        <v>45017</v>
      </c>
      <c r="B11" s="1275" t="s">
        <v>3697</v>
      </c>
      <c r="C11" s="1276" t="s">
        <v>12</v>
      </c>
      <c r="D11" s="1276" t="s">
        <v>1493</v>
      </c>
      <c r="E11" s="1286" t="s">
        <v>13</v>
      </c>
      <c r="F11" s="780">
        <v>28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  <c r="V11" s="927"/>
      <c r="W11" s="999"/>
    </row>
    <row r="12" spans="1:23" s="224" customFormat="1" ht="15" customHeight="1" x14ac:dyDescent="0.25">
      <c r="A12" s="215">
        <v>45018</v>
      </c>
      <c r="B12" s="882" t="s">
        <v>32</v>
      </c>
      <c r="C12" s="879" t="s">
        <v>12</v>
      </c>
      <c r="D12" s="879" t="s">
        <v>1485</v>
      </c>
      <c r="E12" s="871" t="s">
        <v>13</v>
      </c>
      <c r="F12" s="780">
        <v>14.9</v>
      </c>
      <c r="G12" s="982"/>
      <c r="H12" s="1008"/>
      <c r="I12" s="982"/>
      <c r="J12" s="622"/>
      <c r="K12" s="982"/>
      <c r="L12" s="622"/>
      <c r="M12" s="982"/>
      <c r="N12" s="622"/>
      <c r="O12" s="1063"/>
      <c r="P12" s="622"/>
      <c r="Q12" s="1063"/>
      <c r="R12" s="622"/>
      <c r="S12" s="982"/>
      <c r="T12" s="1080"/>
      <c r="U12" s="927"/>
      <c r="V12" s="878"/>
    </row>
    <row r="13" spans="1:23" s="224" customFormat="1" ht="15" customHeight="1" x14ac:dyDescent="0.25">
      <c r="A13" s="215">
        <v>45018</v>
      </c>
      <c r="B13" s="882" t="s">
        <v>3698</v>
      </c>
      <c r="C13" s="879" t="s">
        <v>12</v>
      </c>
      <c r="D13" s="879" t="s">
        <v>1493</v>
      </c>
      <c r="E13" s="871" t="s">
        <v>13</v>
      </c>
      <c r="F13" s="780">
        <v>51</v>
      </c>
      <c r="G13" s="982"/>
      <c r="H13" s="1008"/>
      <c r="I13" s="982"/>
      <c r="J13" s="622"/>
      <c r="K13" s="982"/>
      <c r="L13" s="622"/>
      <c r="M13" s="982"/>
      <c r="N13" s="622"/>
      <c r="O13" s="1063"/>
      <c r="P13" s="622"/>
      <c r="Q13" s="1063"/>
      <c r="R13" s="622"/>
      <c r="S13" s="982"/>
      <c r="T13" s="1080"/>
      <c r="U13" s="927"/>
      <c r="V13" s="878"/>
    </row>
    <row r="14" spans="1:23" s="224" customFormat="1" ht="15" customHeight="1" x14ac:dyDescent="0.25">
      <c r="A14" s="215">
        <v>44988</v>
      </c>
      <c r="B14" s="882" t="s">
        <v>390</v>
      </c>
      <c r="C14" s="879" t="s">
        <v>12</v>
      </c>
      <c r="D14" s="879"/>
      <c r="E14" s="871" t="s">
        <v>25</v>
      </c>
      <c r="F14" s="780"/>
      <c r="G14" s="982">
        <v>200</v>
      </c>
      <c r="H14" s="1008">
        <v>200</v>
      </c>
      <c r="I14" s="982"/>
      <c r="J14" s="622"/>
      <c r="K14" s="982"/>
      <c r="L14" s="622"/>
      <c r="M14" s="982"/>
      <c r="N14" s="622"/>
      <c r="O14" s="1063"/>
      <c r="P14" s="622"/>
      <c r="Q14" s="1063"/>
      <c r="R14" s="622"/>
      <c r="S14" s="982"/>
      <c r="T14" s="1080"/>
      <c r="U14" s="927"/>
      <c r="V14" s="878"/>
    </row>
    <row r="15" spans="1:23" s="224" customFormat="1" ht="15" customHeight="1" x14ac:dyDescent="0.25">
      <c r="A15" s="215">
        <v>45019</v>
      </c>
      <c r="B15" s="882" t="s">
        <v>32</v>
      </c>
      <c r="C15" s="879" t="s">
        <v>12</v>
      </c>
      <c r="D15" s="879" t="s">
        <v>1485</v>
      </c>
      <c r="E15" s="871" t="s">
        <v>13</v>
      </c>
      <c r="F15" s="780">
        <v>20</v>
      </c>
      <c r="G15" s="982"/>
      <c r="H15" s="1008"/>
      <c r="I15" s="982"/>
      <c r="J15" s="622"/>
      <c r="K15" s="982"/>
      <c r="L15" s="622"/>
      <c r="M15" s="982"/>
      <c r="N15" s="622"/>
      <c r="O15" s="1063"/>
      <c r="P15" s="622"/>
      <c r="Q15" s="1063"/>
      <c r="R15" s="622"/>
      <c r="S15" s="982"/>
      <c r="T15" s="1080"/>
      <c r="U15" s="927"/>
      <c r="V15" s="878"/>
    </row>
    <row r="16" spans="1:23" s="1274" customFormat="1" ht="15" customHeight="1" x14ac:dyDescent="0.25">
      <c r="A16" s="215">
        <v>45019</v>
      </c>
      <c r="B16" s="1275" t="s">
        <v>14</v>
      </c>
      <c r="C16" s="1276" t="s">
        <v>12</v>
      </c>
      <c r="D16" s="1276" t="s">
        <v>1486</v>
      </c>
      <c r="E16" s="1286" t="s">
        <v>13</v>
      </c>
      <c r="F16" s="780">
        <v>5.84</v>
      </c>
      <c r="G16" s="1703"/>
      <c r="H16" s="1282"/>
      <c r="I16" s="1283"/>
      <c r="J16" s="1279"/>
      <c r="K16" s="1278"/>
      <c r="L16" s="1279"/>
      <c r="M16" s="1278"/>
      <c r="N16" s="1279"/>
      <c r="O16" s="1278"/>
      <c r="P16" s="1279"/>
      <c r="Q16" s="1283"/>
      <c r="R16" s="1702"/>
      <c r="S16" s="1703"/>
      <c r="T16" s="1281"/>
      <c r="V16" s="1281"/>
      <c r="W16" s="1294"/>
    </row>
    <row r="17" spans="1:44" s="224" customFormat="1" ht="15" customHeight="1" x14ac:dyDescent="0.25">
      <c r="A17" s="215">
        <v>45020</v>
      </c>
      <c r="B17" s="882" t="s">
        <v>32</v>
      </c>
      <c r="C17" s="879" t="s">
        <v>12</v>
      </c>
      <c r="D17" s="879" t="s">
        <v>1485</v>
      </c>
      <c r="E17" s="871" t="s">
        <v>13</v>
      </c>
      <c r="F17" s="780">
        <v>20</v>
      </c>
      <c r="G17" s="982"/>
      <c r="H17" s="1008"/>
      <c r="I17" s="982"/>
      <c r="J17" s="622"/>
      <c r="K17" s="982"/>
      <c r="L17" s="622"/>
      <c r="M17" s="982"/>
      <c r="N17" s="622"/>
      <c r="O17" s="1063"/>
      <c r="P17" s="622"/>
      <c r="Q17" s="1063"/>
      <c r="R17" s="622"/>
      <c r="S17" s="982"/>
      <c r="T17" s="1080"/>
      <c r="U17" s="927"/>
      <c r="V17" s="878"/>
    </row>
    <row r="18" spans="1:44" s="224" customFormat="1" ht="15" customHeight="1" x14ac:dyDescent="0.25">
      <c r="A18" s="215">
        <v>45020</v>
      </c>
      <c r="B18" s="882" t="s">
        <v>3699</v>
      </c>
      <c r="C18" s="879" t="s">
        <v>19</v>
      </c>
      <c r="D18" s="879" t="s">
        <v>1491</v>
      </c>
      <c r="E18" s="871" t="s">
        <v>13</v>
      </c>
      <c r="F18" s="780">
        <v>27.11</v>
      </c>
      <c r="G18" s="946"/>
      <c r="H18" s="95"/>
      <c r="I18" s="1064"/>
      <c r="J18" s="622"/>
      <c r="K18" s="982"/>
      <c r="L18" s="622"/>
      <c r="M18" s="982"/>
      <c r="N18" s="622"/>
      <c r="O18" s="1063"/>
      <c r="P18" s="622"/>
      <c r="Q18" s="1063"/>
      <c r="R18" s="622"/>
      <c r="S18" s="982"/>
      <c r="T18" s="1028"/>
      <c r="W18" s="958"/>
    </row>
    <row r="19" spans="1:44" s="224" customFormat="1" ht="15" customHeight="1" x14ac:dyDescent="0.25">
      <c r="A19" s="215">
        <v>45020</v>
      </c>
      <c r="B19" s="882" t="s">
        <v>138</v>
      </c>
      <c r="C19" s="879" t="s">
        <v>12</v>
      </c>
      <c r="D19" s="879" t="s">
        <v>2157</v>
      </c>
      <c r="E19" s="875" t="s">
        <v>13</v>
      </c>
      <c r="F19" s="780">
        <v>80</v>
      </c>
      <c r="G19" s="982"/>
      <c r="H19" s="1008"/>
      <c r="I19" s="982"/>
      <c r="J19" s="622"/>
      <c r="K19" s="982"/>
      <c r="L19" s="622"/>
      <c r="M19" s="982"/>
      <c r="N19" s="622"/>
      <c r="O19" s="982"/>
      <c r="P19" s="880"/>
      <c r="Q19" s="1525"/>
      <c r="R19" s="880"/>
      <c r="S19" s="1033"/>
      <c r="T19" s="927"/>
      <c r="V19" s="878"/>
    </row>
    <row r="20" spans="1:44" s="1274" customFormat="1" ht="15" customHeight="1" x14ac:dyDescent="0.25">
      <c r="A20" s="215">
        <v>45020</v>
      </c>
      <c r="B20" s="1275" t="s">
        <v>14</v>
      </c>
      <c r="C20" s="1276" t="s">
        <v>12</v>
      </c>
      <c r="D20" s="1276" t="s">
        <v>1486</v>
      </c>
      <c r="E20" s="1286" t="s">
        <v>13</v>
      </c>
      <c r="F20" s="780">
        <v>7.16</v>
      </c>
      <c r="G20" s="1703"/>
      <c r="H20" s="1282"/>
      <c r="I20" s="1283"/>
      <c r="J20" s="1279"/>
      <c r="K20" s="1278"/>
      <c r="L20" s="1279"/>
      <c r="M20" s="1278"/>
      <c r="N20" s="1279"/>
      <c r="O20" s="1278"/>
      <c r="P20" s="1279"/>
      <c r="Q20" s="1283"/>
      <c r="R20" s="1702"/>
      <c r="S20" s="1703"/>
      <c r="T20" s="1281"/>
      <c r="V20" s="1281"/>
      <c r="W20" s="1294"/>
    </row>
    <row r="21" spans="1:44" s="224" customFormat="1" ht="15" customHeight="1" x14ac:dyDescent="0.25">
      <c r="A21" s="215">
        <v>45021</v>
      </c>
      <c r="B21" s="882" t="s">
        <v>32</v>
      </c>
      <c r="C21" s="879" t="s">
        <v>12</v>
      </c>
      <c r="D21" s="879" t="s">
        <v>1485</v>
      </c>
      <c r="E21" s="871" t="s">
        <v>13</v>
      </c>
      <c r="F21" s="780">
        <v>20</v>
      </c>
      <c r="G21" s="982"/>
      <c r="H21" s="1008"/>
      <c r="I21" s="982"/>
      <c r="J21" s="622"/>
      <c r="K21" s="982"/>
      <c r="L21" s="622"/>
      <c r="M21" s="982"/>
      <c r="N21" s="622"/>
      <c r="O21" s="1063"/>
      <c r="P21" s="622"/>
      <c r="Q21" s="1063"/>
      <c r="R21" s="622"/>
      <c r="S21" s="982"/>
      <c r="T21" s="1080"/>
      <c r="U21" s="927"/>
      <c r="V21" s="878"/>
    </row>
    <row r="22" spans="1:44" s="224" customFormat="1" ht="15" customHeight="1" x14ac:dyDescent="0.25">
      <c r="A22" s="215">
        <v>45021</v>
      </c>
      <c r="B22" s="1275" t="s">
        <v>14</v>
      </c>
      <c r="C22" s="1276" t="s">
        <v>12</v>
      </c>
      <c r="D22" s="1276" t="s">
        <v>1486</v>
      </c>
      <c r="E22" s="1286" t="s">
        <v>13</v>
      </c>
      <c r="F22" s="780">
        <v>7.68</v>
      </c>
      <c r="G22" s="982"/>
      <c r="H22" s="1008"/>
      <c r="I22" s="982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080"/>
      <c r="U22" s="927"/>
      <c r="V22" s="878"/>
    </row>
    <row r="23" spans="1:44" s="224" customFormat="1" ht="15.75" customHeight="1" x14ac:dyDescent="0.25">
      <c r="A23" s="215">
        <v>45022</v>
      </c>
      <c r="B23" s="873" t="s">
        <v>3700</v>
      </c>
      <c r="C23" s="879" t="s">
        <v>12</v>
      </c>
      <c r="D23" s="874"/>
      <c r="E23" s="871" t="s">
        <v>25</v>
      </c>
      <c r="F23" s="1524"/>
      <c r="G23" s="1002">
        <v>1730.3</v>
      </c>
      <c r="H23" s="539"/>
      <c r="I23" s="982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78"/>
    </row>
    <row r="24" spans="1:44" s="224" customFormat="1" ht="15" customHeight="1" x14ac:dyDescent="0.25">
      <c r="A24" s="215">
        <v>45022</v>
      </c>
      <c r="B24" s="862" t="s">
        <v>3422</v>
      </c>
      <c r="C24" s="879" t="s">
        <v>12</v>
      </c>
      <c r="D24" s="879" t="s">
        <v>1504</v>
      </c>
      <c r="E24" s="871" t="s">
        <v>13</v>
      </c>
      <c r="F24" s="780">
        <v>46.14</v>
      </c>
      <c r="G24" s="1811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808" t="s">
        <v>3701</v>
      </c>
      <c r="U24" s="1028"/>
      <c r="V24" s="1035"/>
    </row>
    <row r="25" spans="1:44" s="224" customFormat="1" ht="15" customHeight="1" x14ac:dyDescent="0.25">
      <c r="A25" s="215">
        <v>45022</v>
      </c>
      <c r="B25" s="882" t="s">
        <v>3702</v>
      </c>
      <c r="C25" s="879" t="s">
        <v>12</v>
      </c>
      <c r="D25" s="879" t="s">
        <v>1499</v>
      </c>
      <c r="E25" s="871" t="s">
        <v>13</v>
      </c>
      <c r="F25" s="780">
        <v>63.75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8">
        <v>183.75</v>
      </c>
      <c r="U25" s="999"/>
      <c r="V25" s="878"/>
    </row>
    <row r="26" spans="1:44" s="224" customFormat="1" ht="15" customHeight="1" x14ac:dyDescent="0.25">
      <c r="A26" s="215">
        <v>45022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300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028" t="s">
        <v>3628</v>
      </c>
      <c r="V26" s="1035"/>
    </row>
    <row r="27" spans="1:44" x14ac:dyDescent="0.25">
      <c r="A27" s="215">
        <v>45022</v>
      </c>
      <c r="B27" s="876" t="s">
        <v>3060</v>
      </c>
      <c r="C27" s="879" t="s">
        <v>12</v>
      </c>
      <c r="D27" s="879" t="s">
        <v>1496</v>
      </c>
      <c r="E27" s="871" t="s">
        <v>13</v>
      </c>
      <c r="F27" s="780">
        <v>80</v>
      </c>
      <c r="G27" s="982"/>
      <c r="H27" s="1009"/>
      <c r="I27" s="1063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1029"/>
    </row>
    <row r="28" spans="1:44" s="224" customFormat="1" ht="14.25" customHeight="1" x14ac:dyDescent="0.25">
      <c r="A28" s="215">
        <v>45022</v>
      </c>
      <c r="B28" s="882" t="s">
        <v>3703</v>
      </c>
      <c r="C28" s="879" t="s">
        <v>12</v>
      </c>
      <c r="D28" s="879" t="s">
        <v>3017</v>
      </c>
      <c r="E28" s="875" t="s">
        <v>13</v>
      </c>
      <c r="F28" s="780">
        <v>617.45000000000005</v>
      </c>
      <c r="G28" s="982"/>
      <c r="H28" s="1008"/>
      <c r="I28" s="1063"/>
      <c r="J28" s="622"/>
      <c r="K28" s="982">
        <v>617.45000000000005</v>
      </c>
      <c r="L28" s="622"/>
      <c r="M28" s="982"/>
      <c r="N28" s="622"/>
      <c r="O28" s="982"/>
      <c r="P28" s="622"/>
      <c r="Q28" s="1063"/>
      <c r="R28" s="622"/>
      <c r="S28" s="982"/>
      <c r="T28" s="861">
        <v>450</v>
      </c>
      <c r="U28" s="878" t="s">
        <v>3018</v>
      </c>
      <c r="V28" s="1035"/>
    </row>
    <row r="29" spans="1:44" s="224" customFormat="1" ht="15" customHeight="1" x14ac:dyDescent="0.25">
      <c r="A29" s="215">
        <v>45022</v>
      </c>
      <c r="B29" s="364" t="s">
        <v>3704</v>
      </c>
      <c r="C29" s="879" t="s">
        <v>12</v>
      </c>
      <c r="D29" s="879"/>
      <c r="E29" s="875" t="s">
        <v>25</v>
      </c>
      <c r="F29" s="780"/>
      <c r="G29" s="982"/>
      <c r="H29" s="1008"/>
      <c r="I29" s="982"/>
      <c r="J29" s="622"/>
      <c r="K29" s="982"/>
      <c r="L29" s="622"/>
      <c r="M29" s="982"/>
      <c r="N29" s="622"/>
      <c r="O29" s="982"/>
      <c r="P29" s="622"/>
      <c r="Q29" s="1063"/>
      <c r="R29" s="622"/>
      <c r="S29" s="982">
        <v>400</v>
      </c>
      <c r="T29" s="927"/>
      <c r="U29" s="927"/>
      <c r="V29" s="878"/>
    </row>
    <row r="30" spans="1:44" s="224" customFormat="1" ht="15" customHeight="1" x14ac:dyDescent="0.25">
      <c r="A30" s="215">
        <v>45022</v>
      </c>
      <c r="B30" s="364" t="s">
        <v>1396</v>
      </c>
      <c r="C30" s="879" t="s">
        <v>12</v>
      </c>
      <c r="D30" s="350"/>
      <c r="E30" s="480" t="s">
        <v>25</v>
      </c>
      <c r="F30" s="613"/>
      <c r="G30" s="967">
        <v>100</v>
      </c>
      <c r="H30" s="1008"/>
      <c r="I30" s="1063"/>
      <c r="J30" s="1116"/>
      <c r="K30" s="1207"/>
      <c r="L30" s="622"/>
      <c r="M30" s="982"/>
      <c r="N30" s="622"/>
      <c r="O30" s="982"/>
      <c r="P30" s="1116"/>
      <c r="Q30" s="1736"/>
      <c r="R30" s="1116"/>
      <c r="S30" s="1207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s="224" customFormat="1" ht="15" customHeight="1" x14ac:dyDescent="0.25">
      <c r="A31" s="215">
        <v>45022</v>
      </c>
      <c r="B31" s="882" t="s">
        <v>32</v>
      </c>
      <c r="C31" s="879" t="s">
        <v>12</v>
      </c>
      <c r="D31" s="879" t="s">
        <v>1485</v>
      </c>
      <c r="E31" s="871" t="s">
        <v>13</v>
      </c>
      <c r="F31" s="780">
        <v>20</v>
      </c>
      <c r="G31" s="982"/>
      <c r="H31" s="1008"/>
      <c r="I31" s="982"/>
      <c r="J31" s="622"/>
      <c r="K31" s="982"/>
      <c r="L31" s="622"/>
      <c r="M31" s="982"/>
      <c r="N31" s="622"/>
      <c r="O31" s="1063"/>
      <c r="P31" s="622"/>
      <c r="Q31" s="1063"/>
      <c r="R31" s="622"/>
      <c r="S31" s="982"/>
      <c r="T31" s="1080"/>
      <c r="U31" s="927"/>
      <c r="V31" s="878"/>
    </row>
    <row r="32" spans="1:44" s="224" customFormat="1" ht="15" customHeight="1" x14ac:dyDescent="0.25">
      <c r="A32" s="215">
        <v>45022</v>
      </c>
      <c r="B32" s="873" t="s">
        <v>3705</v>
      </c>
      <c r="C32" s="874" t="s">
        <v>12</v>
      </c>
      <c r="D32" s="874" t="s">
        <v>1493</v>
      </c>
      <c r="E32" s="875" t="s">
        <v>13</v>
      </c>
      <c r="F32" s="780">
        <v>8</v>
      </c>
      <c r="G32" s="982"/>
      <c r="H32" s="1008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280"/>
      <c r="U32" s="927"/>
      <c r="V32" s="878"/>
    </row>
    <row r="33" spans="1:44" s="224" customFormat="1" ht="15" customHeight="1" x14ac:dyDescent="0.25">
      <c r="A33" s="215">
        <v>45023</v>
      </c>
      <c r="B33" s="1275" t="s">
        <v>14</v>
      </c>
      <c r="C33" s="1276" t="s">
        <v>12</v>
      </c>
      <c r="D33" s="1276" t="s">
        <v>1486</v>
      </c>
      <c r="E33" s="1286" t="s">
        <v>13</v>
      </c>
      <c r="F33" s="780">
        <v>7.19</v>
      </c>
      <c r="G33" s="982"/>
      <c r="H33" s="1008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080"/>
      <c r="U33" s="927"/>
      <c r="V33" s="878"/>
    </row>
    <row r="34" spans="1:44" s="224" customFormat="1" ht="15" customHeight="1" x14ac:dyDescent="0.25">
      <c r="A34" s="215">
        <v>45023</v>
      </c>
      <c r="B34" s="882" t="s">
        <v>3706</v>
      </c>
      <c r="C34" s="879" t="s">
        <v>19</v>
      </c>
      <c r="D34" s="879" t="s">
        <v>1489</v>
      </c>
      <c r="E34" s="871" t="s">
        <v>13</v>
      </c>
      <c r="F34" s="780">
        <v>64.31</v>
      </c>
      <c r="G34" s="946"/>
      <c r="H34" s="95"/>
      <c r="I34" s="1064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861"/>
      <c r="V34" s="927"/>
      <c r="W34" s="999"/>
    </row>
    <row r="35" spans="1:44" s="224" customFormat="1" ht="15" customHeight="1" x14ac:dyDescent="0.25">
      <c r="A35" s="215">
        <v>45023</v>
      </c>
      <c r="B35" s="882" t="s">
        <v>2629</v>
      </c>
      <c r="C35" s="879" t="s">
        <v>19</v>
      </c>
      <c r="D35" s="879" t="s">
        <v>1489</v>
      </c>
      <c r="E35" s="871" t="s">
        <v>13</v>
      </c>
      <c r="F35" s="780">
        <v>100</v>
      </c>
      <c r="G35" s="946"/>
      <c r="H35" s="95"/>
      <c r="I35" s="1064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861"/>
      <c r="V35" s="927"/>
      <c r="W35" s="999"/>
    </row>
    <row r="36" spans="1:44" s="224" customFormat="1" ht="15" customHeight="1" x14ac:dyDescent="0.25">
      <c r="A36" s="215">
        <v>45023</v>
      </c>
      <c r="B36" s="882" t="s">
        <v>138</v>
      </c>
      <c r="C36" s="879" t="s">
        <v>12</v>
      </c>
      <c r="D36" s="879" t="s">
        <v>2157</v>
      </c>
      <c r="E36" s="875" t="s">
        <v>13</v>
      </c>
      <c r="F36" s="780">
        <v>80</v>
      </c>
      <c r="G36" s="982"/>
      <c r="H36" s="1008"/>
      <c r="I36" s="982"/>
      <c r="J36" s="622"/>
      <c r="K36" s="982"/>
      <c r="L36" s="622"/>
      <c r="M36" s="982"/>
      <c r="N36" s="622"/>
      <c r="O36" s="982"/>
      <c r="P36" s="880"/>
      <c r="Q36" s="1525"/>
      <c r="R36" s="880"/>
      <c r="S36" s="1033"/>
      <c r="T36" s="927"/>
      <c r="V36" s="878"/>
    </row>
    <row r="37" spans="1:44" s="224" customFormat="1" ht="15" customHeight="1" x14ac:dyDescent="0.25">
      <c r="A37" s="215">
        <v>45023</v>
      </c>
      <c r="B37" s="1275" t="s">
        <v>14</v>
      </c>
      <c r="C37" s="1276" t="s">
        <v>12</v>
      </c>
      <c r="D37" s="1276" t="s">
        <v>1486</v>
      </c>
      <c r="E37" s="1286" t="s">
        <v>13</v>
      </c>
      <c r="F37" s="780">
        <v>9.99</v>
      </c>
      <c r="G37" s="946"/>
      <c r="H37" s="95"/>
      <c r="I37" s="1064"/>
      <c r="J37" s="622"/>
      <c r="K37" s="982"/>
      <c r="L37" s="622"/>
      <c r="M37" s="982"/>
      <c r="N37" s="622"/>
      <c r="O37" s="982"/>
      <c r="P37" s="622"/>
      <c r="Q37" s="1063"/>
      <c r="R37" s="622"/>
      <c r="S37" s="982"/>
      <c r="T37" s="861"/>
      <c r="V37" s="927"/>
      <c r="W37" s="999"/>
    </row>
    <row r="38" spans="1:44" s="224" customFormat="1" ht="15" customHeight="1" x14ac:dyDescent="0.25">
      <c r="A38" s="215">
        <v>45024</v>
      </c>
      <c r="B38" s="1275" t="s">
        <v>14</v>
      </c>
      <c r="C38" s="1276" t="s">
        <v>12</v>
      </c>
      <c r="D38" s="1276" t="s">
        <v>1486</v>
      </c>
      <c r="E38" s="1286" t="s">
        <v>13</v>
      </c>
      <c r="F38" s="780">
        <v>5.68</v>
      </c>
      <c r="G38" s="946"/>
      <c r="H38" s="95"/>
      <c r="I38" s="1064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861"/>
      <c r="V38" s="927"/>
      <c r="W38" s="999"/>
    </row>
    <row r="39" spans="1:44" s="224" customFormat="1" ht="15" customHeight="1" x14ac:dyDescent="0.25">
      <c r="A39" s="215">
        <v>45024</v>
      </c>
      <c r="B39" s="1688" t="s">
        <v>3707</v>
      </c>
      <c r="C39" s="874" t="s">
        <v>12</v>
      </c>
      <c r="D39" s="874" t="s">
        <v>1489</v>
      </c>
      <c r="E39" s="875" t="s">
        <v>13</v>
      </c>
      <c r="F39" s="780">
        <v>12</v>
      </c>
      <c r="G39" s="982"/>
      <c r="H39" s="1008"/>
      <c r="I39" s="982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927"/>
      <c r="U39" s="927"/>
      <c r="V39" s="878"/>
    </row>
    <row r="40" spans="1:44" s="224" customFormat="1" ht="15" customHeight="1" x14ac:dyDescent="0.25">
      <c r="A40" s="215">
        <v>45024</v>
      </c>
      <c r="B40" s="1688" t="s">
        <v>3708</v>
      </c>
      <c r="C40" s="874" t="s">
        <v>12</v>
      </c>
      <c r="D40" s="874" t="s">
        <v>1493</v>
      </c>
      <c r="E40" s="875" t="s">
        <v>13</v>
      </c>
      <c r="F40" s="780">
        <v>36</v>
      </c>
      <c r="G40" s="982"/>
      <c r="H40" s="1008"/>
      <c r="I40" s="982"/>
      <c r="J40" s="622"/>
      <c r="K40" s="982"/>
      <c r="L40" s="622"/>
      <c r="M40" s="982"/>
      <c r="N40" s="622"/>
      <c r="O40" s="982"/>
      <c r="P40" s="622"/>
      <c r="Q40" s="1063"/>
      <c r="R40" s="622"/>
      <c r="S40" s="982"/>
      <c r="T40" s="927"/>
      <c r="U40" s="927"/>
      <c r="V40" s="878"/>
    </row>
    <row r="41" spans="1:44" s="224" customFormat="1" ht="15" customHeight="1" x14ac:dyDescent="0.25">
      <c r="A41" s="215">
        <v>45025</v>
      </c>
      <c r="B41" s="1275" t="s">
        <v>14</v>
      </c>
      <c r="C41" s="1276" t="s">
        <v>12</v>
      </c>
      <c r="D41" s="1276" t="s">
        <v>1486</v>
      </c>
      <c r="E41" s="1286" t="s">
        <v>13</v>
      </c>
      <c r="F41" s="780">
        <v>6.8</v>
      </c>
      <c r="G41" s="982"/>
      <c r="H41" s="1008"/>
      <c r="I41" s="982"/>
      <c r="J41" s="622"/>
      <c r="K41" s="982"/>
      <c r="L41" s="622"/>
      <c r="M41" s="982"/>
      <c r="N41" s="622"/>
      <c r="O41" s="982"/>
      <c r="P41" s="622"/>
      <c r="Q41" s="1063"/>
      <c r="R41" s="622"/>
      <c r="S41" s="982"/>
      <c r="T41" s="927"/>
      <c r="U41" s="927"/>
      <c r="V41" s="878"/>
    </row>
    <row r="42" spans="1:44" s="224" customFormat="1" ht="15" customHeight="1" x14ac:dyDescent="0.25">
      <c r="A42" s="215">
        <v>45025</v>
      </c>
      <c r="B42" s="882" t="s">
        <v>2922</v>
      </c>
      <c r="C42" s="879" t="s">
        <v>12</v>
      </c>
      <c r="D42" s="879" t="s">
        <v>1489</v>
      </c>
      <c r="E42" s="871" t="s">
        <v>13</v>
      </c>
      <c r="F42" s="780">
        <v>24</v>
      </c>
      <c r="G42" s="982"/>
      <c r="H42" s="1008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1080"/>
      <c r="U42" s="927"/>
      <c r="V42" s="878"/>
    </row>
    <row r="43" spans="1:44" s="224" customFormat="1" ht="15" customHeight="1" x14ac:dyDescent="0.25">
      <c r="A43" s="215">
        <v>45025</v>
      </c>
      <c r="B43" s="882" t="s">
        <v>3709</v>
      </c>
      <c r="C43" s="879" t="s">
        <v>12</v>
      </c>
      <c r="D43" s="879" t="s">
        <v>1489</v>
      </c>
      <c r="E43" s="871" t="s">
        <v>13</v>
      </c>
      <c r="F43" s="780">
        <v>4.3</v>
      </c>
      <c r="G43" s="982"/>
      <c r="H43" s="1008"/>
      <c r="I43" s="982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1080"/>
      <c r="U43" s="927"/>
      <c r="V43" s="878"/>
    </row>
    <row r="44" spans="1:44" s="224" customFormat="1" ht="15" customHeight="1" x14ac:dyDescent="0.25">
      <c r="A44" s="215">
        <v>45026</v>
      </c>
      <c r="B44" s="364" t="s">
        <v>3354</v>
      </c>
      <c r="C44" s="350" t="s">
        <v>12</v>
      </c>
      <c r="D44" s="350"/>
      <c r="E44" s="480" t="s">
        <v>25</v>
      </c>
      <c r="F44" s="613"/>
      <c r="G44" s="967"/>
      <c r="H44" s="1008"/>
      <c r="I44" s="1063"/>
      <c r="J44" s="1110"/>
      <c r="K44" s="1207"/>
      <c r="L44" s="880"/>
      <c r="M44" s="1033"/>
      <c r="N44" s="880"/>
      <c r="O44" s="1033"/>
      <c r="P44" s="1116"/>
      <c r="Q44" s="1737"/>
      <c r="R44" s="613"/>
      <c r="S44" s="162">
        <v>193.57</v>
      </c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15">
        <v>45026</v>
      </c>
      <c r="B45" s="882" t="s">
        <v>32</v>
      </c>
      <c r="C45" s="879" t="s">
        <v>12</v>
      </c>
      <c r="D45" s="879" t="s">
        <v>1485</v>
      </c>
      <c r="E45" s="871" t="s">
        <v>13</v>
      </c>
      <c r="F45" s="780">
        <v>20</v>
      </c>
      <c r="G45" s="982"/>
      <c r="H45" s="1008"/>
      <c r="I45" s="982"/>
      <c r="J45" s="622"/>
      <c r="K45" s="982"/>
      <c r="L45" s="622"/>
      <c r="M45" s="982"/>
      <c r="N45" s="622"/>
      <c r="O45" s="1063"/>
      <c r="P45" s="622"/>
      <c r="Q45" s="1063"/>
      <c r="R45" s="622"/>
      <c r="S45" s="982"/>
      <c r="T45" s="1080"/>
      <c r="U45" s="927"/>
      <c r="V45" s="878"/>
    </row>
    <row r="46" spans="1:44" s="224" customFormat="1" ht="15" customHeight="1" x14ac:dyDescent="0.25">
      <c r="A46" s="215">
        <v>45027</v>
      </c>
      <c r="B46" s="882" t="s">
        <v>32</v>
      </c>
      <c r="C46" s="879" t="s">
        <v>12</v>
      </c>
      <c r="D46" s="879" t="s">
        <v>1485</v>
      </c>
      <c r="E46" s="871" t="s">
        <v>13</v>
      </c>
      <c r="F46" s="780">
        <v>20</v>
      </c>
      <c r="G46" s="982"/>
      <c r="H46" s="1008"/>
      <c r="I46" s="982"/>
      <c r="J46" s="622"/>
      <c r="K46" s="982"/>
      <c r="L46" s="622"/>
      <c r="M46" s="982"/>
      <c r="N46" s="622"/>
      <c r="O46" s="1063"/>
      <c r="P46" s="622"/>
      <c r="Q46" s="1063"/>
      <c r="R46" s="622"/>
      <c r="S46" s="982"/>
      <c r="T46" s="1080"/>
      <c r="U46" s="927"/>
      <c r="V46" s="878"/>
    </row>
    <row r="47" spans="1:44" s="224" customFormat="1" ht="15" customHeight="1" x14ac:dyDescent="0.25">
      <c r="A47" s="215">
        <v>45027</v>
      </c>
      <c r="B47" s="882" t="s">
        <v>3710</v>
      </c>
      <c r="C47" s="879" t="s">
        <v>12</v>
      </c>
      <c r="D47" s="879" t="s">
        <v>1491</v>
      </c>
      <c r="E47" s="875" t="s">
        <v>13</v>
      </c>
      <c r="F47" s="780">
        <v>21</v>
      </c>
      <c r="G47" s="982"/>
      <c r="H47" s="95"/>
      <c r="I47" s="1064"/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861"/>
    </row>
    <row r="48" spans="1:44" s="224" customFormat="1" ht="15" customHeight="1" x14ac:dyDescent="0.25">
      <c r="A48" s="215">
        <v>45027</v>
      </c>
      <c r="B48" s="882" t="s">
        <v>3711</v>
      </c>
      <c r="C48" s="879" t="s">
        <v>12</v>
      </c>
      <c r="D48" s="879" t="s">
        <v>1523</v>
      </c>
      <c r="E48" s="875" t="s">
        <v>13</v>
      </c>
      <c r="F48" s="780">
        <v>21</v>
      </c>
      <c r="G48" s="982"/>
      <c r="H48" s="95"/>
      <c r="I48" s="1064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861"/>
    </row>
    <row r="49" spans="1:44" s="224" customFormat="1" ht="15" customHeight="1" x14ac:dyDescent="0.25">
      <c r="A49" s="215">
        <v>45027</v>
      </c>
      <c r="B49" s="882" t="s">
        <v>3712</v>
      </c>
      <c r="C49" s="879" t="s">
        <v>12</v>
      </c>
      <c r="D49" s="879" t="s">
        <v>1523</v>
      </c>
      <c r="E49" s="875" t="s">
        <v>13</v>
      </c>
      <c r="F49" s="780">
        <v>20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ht="15" customHeight="1" x14ac:dyDescent="0.25">
      <c r="A50" s="215">
        <v>45027</v>
      </c>
      <c r="B50" s="882" t="s">
        <v>3713</v>
      </c>
      <c r="C50" s="879" t="s">
        <v>12</v>
      </c>
      <c r="D50" s="879" t="s">
        <v>1523</v>
      </c>
      <c r="E50" s="875" t="s">
        <v>13</v>
      </c>
      <c r="F50" s="780">
        <v>20</v>
      </c>
      <c r="G50" s="982"/>
      <c r="H50" s="95"/>
      <c r="I50" s="1064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ht="15" customHeight="1" x14ac:dyDescent="0.25">
      <c r="A51" s="215">
        <v>45027</v>
      </c>
      <c r="B51" s="882" t="s">
        <v>138</v>
      </c>
      <c r="C51" s="879" t="s">
        <v>12</v>
      </c>
      <c r="D51" s="879" t="s">
        <v>2157</v>
      </c>
      <c r="E51" s="875" t="s">
        <v>13</v>
      </c>
      <c r="F51" s="780">
        <v>90</v>
      </c>
      <c r="G51" s="982"/>
      <c r="H51" s="95"/>
      <c r="I51" s="1064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861"/>
    </row>
    <row r="52" spans="1:44" s="224" customFormat="1" ht="15" customHeight="1" x14ac:dyDescent="0.25">
      <c r="A52" s="215">
        <v>45027</v>
      </c>
      <c r="B52" s="882" t="s">
        <v>390</v>
      </c>
      <c r="C52" s="879" t="s">
        <v>12</v>
      </c>
      <c r="D52" s="879"/>
      <c r="E52" s="871" t="s">
        <v>25</v>
      </c>
      <c r="F52" s="780"/>
      <c r="G52" s="982">
        <v>100</v>
      </c>
      <c r="H52" s="622">
        <v>100</v>
      </c>
      <c r="I52" s="982"/>
      <c r="J52" s="622"/>
      <c r="K52" s="982"/>
      <c r="L52" s="622"/>
      <c r="M52" s="982"/>
      <c r="N52" s="622"/>
      <c r="O52" s="1063"/>
      <c r="P52" s="622"/>
      <c r="Q52" s="1063"/>
      <c r="R52" s="622"/>
      <c r="S52" s="982"/>
      <c r="T52" s="1080"/>
      <c r="U52" s="927"/>
      <c r="V52" s="878"/>
    </row>
    <row r="53" spans="1:44" s="224" customFormat="1" ht="15" customHeight="1" x14ac:dyDescent="0.25">
      <c r="A53" s="215">
        <v>45028</v>
      </c>
      <c r="B53" s="882" t="s">
        <v>32</v>
      </c>
      <c r="C53" s="879" t="s">
        <v>12</v>
      </c>
      <c r="D53" s="879" t="s">
        <v>1485</v>
      </c>
      <c r="E53" s="871" t="s">
        <v>13</v>
      </c>
      <c r="F53" s="780">
        <v>20</v>
      </c>
      <c r="G53" s="982"/>
      <c r="H53" s="1008"/>
      <c r="I53" s="982"/>
      <c r="J53" s="622"/>
      <c r="K53" s="982"/>
      <c r="L53" s="622"/>
      <c r="M53" s="982"/>
      <c r="N53" s="622"/>
      <c r="O53" s="1063"/>
      <c r="P53" s="622"/>
      <c r="Q53" s="1063"/>
      <c r="R53" s="622"/>
      <c r="S53" s="982"/>
      <c r="T53" s="1080"/>
      <c r="U53" s="927"/>
      <c r="V53" s="878"/>
    </row>
    <row r="54" spans="1:44" s="224" customFormat="1" ht="15" customHeight="1" x14ac:dyDescent="0.25">
      <c r="A54" s="215">
        <v>45028</v>
      </c>
      <c r="B54" s="1689" t="s">
        <v>3714</v>
      </c>
      <c r="C54" s="879" t="s">
        <v>12</v>
      </c>
      <c r="D54" s="874"/>
      <c r="E54" s="875" t="s">
        <v>25</v>
      </c>
      <c r="F54" s="780"/>
      <c r="G54" s="982">
        <v>20</v>
      </c>
      <c r="H54" s="622"/>
      <c r="I54" s="982"/>
      <c r="J54" s="622"/>
      <c r="K54" s="982"/>
      <c r="L54" s="622"/>
      <c r="M54" s="982"/>
      <c r="N54" s="622"/>
      <c r="O54" s="1063"/>
      <c r="P54" s="622"/>
      <c r="Q54" s="1063"/>
      <c r="R54" s="622"/>
      <c r="S54" s="982"/>
      <c r="T54" s="927"/>
      <c r="U54" s="927"/>
      <c r="V54" s="878"/>
    </row>
    <row r="55" spans="1:44" s="224" customFormat="1" ht="15" customHeight="1" x14ac:dyDescent="0.25">
      <c r="A55" s="215">
        <v>45028</v>
      </c>
      <c r="B55" s="1689" t="s">
        <v>3715</v>
      </c>
      <c r="C55" s="879" t="s">
        <v>12</v>
      </c>
      <c r="D55" s="874"/>
      <c r="E55" s="875" t="s">
        <v>25</v>
      </c>
      <c r="F55" s="780"/>
      <c r="G55" s="982">
        <v>20.100000000000001</v>
      </c>
      <c r="H55" s="622"/>
      <c r="I55" s="982"/>
      <c r="J55" s="622"/>
      <c r="K55" s="982"/>
      <c r="L55" s="622"/>
      <c r="M55" s="982"/>
      <c r="N55" s="622"/>
      <c r="O55" s="1063"/>
      <c r="P55" s="622"/>
      <c r="Q55" s="1063"/>
      <c r="R55" s="622"/>
      <c r="S55" s="982"/>
      <c r="T55" s="927"/>
      <c r="U55" s="927"/>
      <c r="V55" s="878"/>
    </row>
    <row r="56" spans="1:44" s="224" customFormat="1" x14ac:dyDescent="0.25">
      <c r="A56" s="215">
        <v>45028</v>
      </c>
      <c r="B56" s="882" t="s">
        <v>3716</v>
      </c>
      <c r="C56" s="879" t="s">
        <v>12</v>
      </c>
      <c r="D56" s="879"/>
      <c r="E56" s="480" t="s">
        <v>13</v>
      </c>
      <c r="F56" s="780">
        <v>42.55</v>
      </c>
      <c r="G56" s="982"/>
      <c r="H56" s="1008"/>
      <c r="I56" s="1063"/>
      <c r="J56" s="622"/>
      <c r="K56" s="982"/>
      <c r="L56" s="622"/>
      <c r="M56" s="982"/>
      <c r="N56" s="622"/>
      <c r="O56" s="982">
        <v>42.55</v>
      </c>
      <c r="P56" s="622"/>
      <c r="Q56" s="1063"/>
      <c r="R56" s="622"/>
      <c r="S56" s="982"/>
      <c r="T56" s="861"/>
      <c r="V56" s="878"/>
    </row>
    <row r="57" spans="1:44" s="224" customFormat="1" x14ac:dyDescent="0.25">
      <c r="A57" s="215">
        <v>45028</v>
      </c>
      <c r="B57" s="1275" t="s">
        <v>3677</v>
      </c>
      <c r="C57" s="1276" t="s">
        <v>12</v>
      </c>
      <c r="D57" s="1276" t="s">
        <v>1486</v>
      </c>
      <c r="E57" s="1286" t="s">
        <v>13</v>
      </c>
      <c r="F57" s="1702">
        <v>10.39</v>
      </c>
      <c r="G57" s="982"/>
      <c r="H57" s="1008"/>
      <c r="I57" s="1063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861"/>
      <c r="V57" s="878"/>
    </row>
    <row r="58" spans="1:44" s="224" customFormat="1" ht="15" customHeight="1" x14ac:dyDescent="0.25">
      <c r="A58" s="215">
        <v>45029</v>
      </c>
      <c r="B58" s="882" t="s">
        <v>32</v>
      </c>
      <c r="C58" s="879" t="s">
        <v>12</v>
      </c>
      <c r="D58" s="879" t="s">
        <v>1485</v>
      </c>
      <c r="E58" s="871" t="s">
        <v>13</v>
      </c>
      <c r="F58" s="780">
        <v>20</v>
      </c>
      <c r="G58" s="982"/>
      <c r="H58" s="1008"/>
      <c r="I58" s="982"/>
      <c r="J58" s="622"/>
      <c r="K58" s="982"/>
      <c r="L58" s="622"/>
      <c r="M58" s="982"/>
      <c r="N58" s="622"/>
      <c r="O58" s="1063"/>
      <c r="P58" s="622"/>
      <c r="Q58" s="1063"/>
      <c r="R58" s="622"/>
      <c r="S58" s="982"/>
      <c r="T58" s="1080"/>
      <c r="U58" s="927"/>
      <c r="V58" s="878"/>
    </row>
    <row r="59" spans="1:44" s="224" customFormat="1" ht="15" customHeight="1" x14ac:dyDescent="0.25">
      <c r="A59" s="215">
        <v>45029</v>
      </c>
      <c r="B59" s="1275" t="s">
        <v>1906</v>
      </c>
      <c r="C59" s="1276" t="s">
        <v>12</v>
      </c>
      <c r="D59" s="1276" t="s">
        <v>1493</v>
      </c>
      <c r="E59" s="1286" t="s">
        <v>13</v>
      </c>
      <c r="F59" s="613">
        <v>8</v>
      </c>
      <c r="G59" s="967"/>
      <c r="H59" s="1008"/>
      <c r="I59" s="1063"/>
      <c r="J59" s="613"/>
      <c r="K59" s="6"/>
      <c r="L59" s="622"/>
      <c r="M59" s="982"/>
      <c r="N59" s="622"/>
      <c r="O59" s="982"/>
      <c r="P59" s="872"/>
      <c r="Q59" s="1738"/>
      <c r="R59" s="613"/>
      <c r="S59" s="64"/>
      <c r="T59" s="120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 s="224" customFormat="1" ht="15" customHeight="1" x14ac:dyDescent="0.25">
      <c r="A60" s="215">
        <v>45030</v>
      </c>
      <c r="B60" s="1689" t="s">
        <v>3717</v>
      </c>
      <c r="C60" s="879" t="s">
        <v>12</v>
      </c>
      <c r="D60" s="874"/>
      <c r="E60" s="875" t="s">
        <v>13</v>
      </c>
      <c r="F60" s="780"/>
      <c r="G60" s="982">
        <v>633.48</v>
      </c>
      <c r="H60" s="622"/>
      <c r="I60" s="982"/>
      <c r="J60" s="622"/>
      <c r="K60" s="982"/>
      <c r="L60" s="622"/>
      <c r="M60" s="982"/>
      <c r="N60" s="622">
        <f>G60</f>
        <v>633.48</v>
      </c>
      <c r="O60" s="1063"/>
      <c r="P60" s="622"/>
      <c r="Q60" s="1063"/>
      <c r="R60" s="622"/>
      <c r="S60" s="982"/>
      <c r="T60" s="927"/>
      <c r="U60" s="927"/>
      <c r="V60" s="878"/>
    </row>
    <row r="61" spans="1:44" s="224" customFormat="1" ht="15" customHeight="1" x14ac:dyDescent="0.25">
      <c r="A61" s="215">
        <v>45030</v>
      </c>
      <c r="B61" s="882" t="s">
        <v>3718</v>
      </c>
      <c r="C61" s="879" t="s">
        <v>12</v>
      </c>
      <c r="D61" s="879" t="s">
        <v>1522</v>
      </c>
      <c r="E61" s="871" t="s">
        <v>13</v>
      </c>
      <c r="F61" s="780">
        <v>678.66</v>
      </c>
      <c r="G61" s="982"/>
      <c r="H61" s="1008"/>
      <c r="I61" s="982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927">
        <v>339.33</v>
      </c>
      <c r="V61" s="878"/>
    </row>
    <row r="62" spans="1:44" s="224" customFormat="1" ht="15" customHeight="1" x14ac:dyDescent="0.25">
      <c r="A62" s="215">
        <v>45030</v>
      </c>
      <c r="B62" s="882" t="s">
        <v>32</v>
      </c>
      <c r="C62" s="879" t="s">
        <v>12</v>
      </c>
      <c r="D62" s="879" t="s">
        <v>1485</v>
      </c>
      <c r="E62" s="871" t="s">
        <v>13</v>
      </c>
      <c r="F62" s="780">
        <v>20</v>
      </c>
      <c r="G62" s="982"/>
      <c r="H62" s="1008"/>
      <c r="I62" s="982"/>
      <c r="J62" s="622"/>
      <c r="K62" s="982"/>
      <c r="L62" s="622"/>
      <c r="M62" s="982"/>
      <c r="N62" s="622"/>
      <c r="O62" s="1063"/>
      <c r="P62" s="622"/>
      <c r="Q62" s="1063"/>
      <c r="R62" s="622"/>
      <c r="S62" s="982"/>
      <c r="T62" s="1080"/>
      <c r="U62" s="927"/>
      <c r="V62" s="878"/>
    </row>
    <row r="63" spans="1:44" s="1274" customFormat="1" ht="15" customHeight="1" x14ac:dyDescent="0.25">
      <c r="A63" s="215">
        <v>45030</v>
      </c>
      <c r="B63" s="1275" t="s">
        <v>17</v>
      </c>
      <c r="C63" s="1276" t="s">
        <v>12</v>
      </c>
      <c r="D63" s="1276" t="s">
        <v>1493</v>
      </c>
      <c r="E63" s="1286" t="s">
        <v>13</v>
      </c>
      <c r="F63" s="780">
        <v>7</v>
      </c>
      <c r="G63" s="1278"/>
      <c r="H63" s="1282"/>
      <c r="I63" s="1283"/>
      <c r="J63" s="1279"/>
      <c r="K63" s="1278"/>
      <c r="L63" s="1279"/>
      <c r="M63" s="1278"/>
      <c r="N63" s="1279"/>
      <c r="O63" s="1278"/>
      <c r="P63" s="1279"/>
      <c r="Q63" s="1283"/>
      <c r="R63" s="1702"/>
      <c r="S63" s="1742"/>
      <c r="T63" s="1281"/>
      <c r="V63" s="1281"/>
      <c r="W63" s="1294"/>
    </row>
    <row r="64" spans="1:44" s="224" customFormat="1" ht="15" customHeight="1" x14ac:dyDescent="0.25">
      <c r="A64" s="215">
        <v>45030</v>
      </c>
      <c r="B64" s="882" t="s">
        <v>443</v>
      </c>
      <c r="C64" s="879" t="s">
        <v>12</v>
      </c>
      <c r="D64" s="879" t="s">
        <v>1493</v>
      </c>
      <c r="E64" s="871" t="s">
        <v>13</v>
      </c>
      <c r="F64" s="780">
        <v>19.899999999999999</v>
      </c>
      <c r="G64" s="982"/>
      <c r="H64" s="1008"/>
      <c r="I64" s="982"/>
      <c r="J64" s="622"/>
      <c r="K64" s="982"/>
      <c r="L64" s="622"/>
      <c r="M64" s="982"/>
      <c r="N64" s="622"/>
      <c r="O64" s="982"/>
      <c r="P64" s="622"/>
      <c r="Q64" s="1063"/>
      <c r="R64" s="622"/>
      <c r="S64" s="982"/>
      <c r="T64" s="927"/>
      <c r="U64" s="927"/>
      <c r="V64" s="878"/>
    </row>
    <row r="65" spans="1:44" s="1274" customFormat="1" ht="15" customHeight="1" x14ac:dyDescent="0.25">
      <c r="A65" s="1264">
        <v>45030</v>
      </c>
      <c r="B65" s="1275" t="s">
        <v>3719</v>
      </c>
      <c r="C65" s="1276" t="s">
        <v>12</v>
      </c>
      <c r="D65" s="1276"/>
      <c r="E65" s="1286" t="s">
        <v>13</v>
      </c>
      <c r="F65" s="1279"/>
      <c r="G65" s="1278"/>
      <c r="H65" s="1282"/>
      <c r="I65" s="1283"/>
      <c r="J65" s="1279"/>
      <c r="K65" s="1278"/>
      <c r="L65" s="1279"/>
      <c r="M65" s="1278"/>
      <c r="N65" s="1279"/>
      <c r="O65" s="1278"/>
      <c r="P65" s="1279"/>
      <c r="Q65" s="1283">
        <v>435.39</v>
      </c>
      <c r="R65" s="1740"/>
      <c r="S65" s="1743"/>
      <c r="T65" s="1281"/>
      <c r="U65" s="1294"/>
    </row>
    <row r="66" spans="1:44" s="224" customFormat="1" ht="15" customHeight="1" x14ac:dyDescent="0.25">
      <c r="A66" s="215">
        <v>45031</v>
      </c>
      <c r="B66" s="364" t="s">
        <v>2359</v>
      </c>
      <c r="C66" s="350" t="s">
        <v>12</v>
      </c>
      <c r="D66" s="350" t="s">
        <v>1493</v>
      </c>
      <c r="E66" s="480" t="s">
        <v>13</v>
      </c>
      <c r="F66" s="613">
        <v>40</v>
      </c>
      <c r="G66" s="967"/>
      <c r="H66" s="1008"/>
      <c r="I66" s="1063"/>
      <c r="J66" s="1110"/>
      <c r="K66" s="1207"/>
      <c r="L66" s="880"/>
      <c r="M66" s="1033"/>
      <c r="N66" s="880"/>
      <c r="O66" s="1033"/>
      <c r="P66" s="1116"/>
      <c r="Q66" s="1737"/>
      <c r="R66" s="613"/>
      <c r="S66" s="162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ht="15" customHeight="1" x14ac:dyDescent="0.25">
      <c r="A67" s="215">
        <v>45032</v>
      </c>
      <c r="B67" s="1275" t="s">
        <v>14</v>
      </c>
      <c r="C67" s="1276" t="s">
        <v>12</v>
      </c>
      <c r="D67" s="1276" t="s">
        <v>1486</v>
      </c>
      <c r="E67" s="1286" t="s">
        <v>13</v>
      </c>
      <c r="F67" s="780">
        <v>6.72</v>
      </c>
      <c r="G67" s="946"/>
      <c r="H67" s="95"/>
      <c r="I67" s="1064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861"/>
      <c r="V67" s="927"/>
      <c r="W67" s="999"/>
    </row>
    <row r="68" spans="1:44" s="224" customFormat="1" ht="15" customHeight="1" x14ac:dyDescent="0.25">
      <c r="A68" s="215">
        <v>45032</v>
      </c>
      <c r="B68" s="882" t="s">
        <v>1906</v>
      </c>
      <c r="C68" s="350" t="s">
        <v>12</v>
      </c>
      <c r="D68" s="350" t="s">
        <v>1493</v>
      </c>
      <c r="E68" s="875" t="s">
        <v>13</v>
      </c>
      <c r="F68" s="780">
        <v>20</v>
      </c>
      <c r="G68" s="982"/>
      <c r="H68" s="1008"/>
      <c r="I68" s="982"/>
      <c r="J68" s="622"/>
      <c r="K68" s="1033"/>
      <c r="L68" s="622"/>
      <c r="M68" s="982"/>
      <c r="N68" s="622"/>
      <c r="O68" s="982"/>
      <c r="P68" s="1116"/>
      <c r="Q68" s="1736"/>
      <c r="R68" s="1116"/>
      <c r="S68" s="1207"/>
      <c r="T68" s="927"/>
      <c r="U68" s="927"/>
      <c r="V68" s="878"/>
    </row>
    <row r="69" spans="1:44" s="224" customFormat="1" ht="15" customHeight="1" x14ac:dyDescent="0.25">
      <c r="A69" s="215">
        <v>45033</v>
      </c>
      <c r="B69" s="882" t="s">
        <v>390</v>
      </c>
      <c r="C69" s="879" t="s">
        <v>12</v>
      </c>
      <c r="D69" s="879"/>
      <c r="E69" s="871" t="s">
        <v>25</v>
      </c>
      <c r="F69" s="780"/>
      <c r="G69" s="982">
        <v>150</v>
      </c>
      <c r="H69" s="622">
        <v>150</v>
      </c>
      <c r="I69" s="982"/>
      <c r="J69" s="622"/>
      <c r="K69" s="982"/>
      <c r="L69" s="622"/>
      <c r="M69" s="982"/>
      <c r="N69" s="622"/>
      <c r="O69" s="1063"/>
      <c r="P69" s="622"/>
      <c r="Q69" s="1063"/>
      <c r="R69" s="622"/>
      <c r="S69" s="982"/>
      <c r="T69" s="1080"/>
      <c r="U69" s="927"/>
      <c r="V69" s="878"/>
    </row>
    <row r="70" spans="1:44" s="224" customFormat="1" ht="15" customHeight="1" x14ac:dyDescent="0.25">
      <c r="A70" s="215">
        <v>45033</v>
      </c>
      <c r="B70" s="882" t="s">
        <v>32</v>
      </c>
      <c r="C70" s="879" t="s">
        <v>12</v>
      </c>
      <c r="D70" s="879" t="s">
        <v>1485</v>
      </c>
      <c r="E70" s="871" t="s">
        <v>13</v>
      </c>
      <c r="F70" s="780">
        <v>20</v>
      </c>
      <c r="G70" s="982"/>
      <c r="H70" s="1008"/>
      <c r="I70" s="982"/>
      <c r="J70" s="622"/>
      <c r="K70" s="982"/>
      <c r="L70" s="622"/>
      <c r="M70" s="982"/>
      <c r="N70" s="622"/>
      <c r="O70" s="1063"/>
      <c r="P70" s="622"/>
      <c r="Q70" s="1063"/>
      <c r="R70" s="622"/>
      <c r="S70" s="982"/>
      <c r="T70" s="1080"/>
      <c r="U70" s="927"/>
      <c r="V70" s="878"/>
    </row>
    <row r="71" spans="1:44" s="224" customFormat="1" ht="15" customHeight="1" x14ac:dyDescent="0.25">
      <c r="A71" s="215">
        <v>45033</v>
      </c>
      <c r="B71" s="1275" t="s">
        <v>3677</v>
      </c>
      <c r="C71" s="1276" t="s">
        <v>12</v>
      </c>
      <c r="D71" s="1276" t="s">
        <v>1486</v>
      </c>
      <c r="E71" s="1286" t="s">
        <v>13</v>
      </c>
      <c r="F71" s="780">
        <v>8.4499999999999993</v>
      </c>
      <c r="G71" s="982"/>
      <c r="H71" s="1008"/>
      <c r="I71" s="982"/>
      <c r="J71" s="622"/>
      <c r="K71" s="1033"/>
      <c r="L71" s="622"/>
      <c r="M71" s="982"/>
      <c r="N71" s="622"/>
      <c r="O71" s="982"/>
      <c r="P71" s="1116"/>
      <c r="Q71" s="1736"/>
      <c r="R71" s="1116"/>
      <c r="S71" s="1207"/>
      <c r="T71" s="927"/>
      <c r="U71" s="927"/>
      <c r="V71" s="878"/>
    </row>
    <row r="72" spans="1:44" s="224" customFormat="1" ht="15" customHeight="1" x14ac:dyDescent="0.25">
      <c r="A72" s="215">
        <v>45034</v>
      </c>
      <c r="B72" s="364" t="s">
        <v>3325</v>
      </c>
      <c r="C72" s="350" t="s">
        <v>12</v>
      </c>
      <c r="D72" s="350" t="s">
        <v>1504</v>
      </c>
      <c r="E72" s="875" t="s">
        <v>13</v>
      </c>
      <c r="F72" s="780">
        <v>32.49</v>
      </c>
      <c r="G72" s="982"/>
      <c r="H72" s="622"/>
      <c r="I72" s="982"/>
      <c r="J72" s="622"/>
      <c r="K72" s="982"/>
      <c r="L72" s="622"/>
      <c r="M72" s="982"/>
      <c r="N72" s="622"/>
      <c r="O72" s="1063"/>
      <c r="P72" s="622"/>
      <c r="Q72" s="982"/>
      <c r="R72" s="1817"/>
      <c r="S72" s="1115"/>
      <c r="T72" s="878"/>
    </row>
    <row r="73" spans="1:44" s="224" customFormat="1" ht="15" customHeight="1" x14ac:dyDescent="0.25">
      <c r="A73" s="215">
        <v>45034</v>
      </c>
      <c r="B73" s="882" t="s">
        <v>32</v>
      </c>
      <c r="C73" s="879" t="s">
        <v>12</v>
      </c>
      <c r="D73" s="879" t="s">
        <v>1485</v>
      </c>
      <c r="E73" s="871" t="s">
        <v>13</v>
      </c>
      <c r="F73" s="780">
        <v>20</v>
      </c>
      <c r="G73" s="982"/>
      <c r="H73" s="1008"/>
      <c r="I73" s="982"/>
      <c r="J73" s="622"/>
      <c r="K73" s="982"/>
      <c r="L73" s="622"/>
      <c r="M73" s="982"/>
      <c r="N73" s="622"/>
      <c r="O73" s="1063"/>
      <c r="P73" s="622"/>
      <c r="Q73" s="1063"/>
      <c r="R73" s="622"/>
      <c r="S73" s="982"/>
      <c r="T73" s="1080"/>
      <c r="U73" s="927"/>
      <c r="V73" s="878"/>
    </row>
    <row r="74" spans="1:44" s="224" customFormat="1" ht="15" customHeight="1" x14ac:dyDescent="0.25">
      <c r="A74" s="215">
        <v>45034</v>
      </c>
      <c r="B74" s="882" t="s">
        <v>138</v>
      </c>
      <c r="C74" s="879" t="s">
        <v>12</v>
      </c>
      <c r="D74" s="879" t="s">
        <v>2157</v>
      </c>
      <c r="E74" s="875" t="s">
        <v>13</v>
      </c>
      <c r="F74" s="780">
        <v>80</v>
      </c>
      <c r="G74" s="982"/>
      <c r="H74" s="95"/>
      <c r="I74" s="1064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861"/>
    </row>
    <row r="75" spans="1:44" s="224" customFormat="1" ht="15" customHeight="1" x14ac:dyDescent="0.25">
      <c r="A75" s="215">
        <v>45034</v>
      </c>
      <c r="B75" s="1275" t="s">
        <v>14</v>
      </c>
      <c r="C75" s="1276" t="s">
        <v>12</v>
      </c>
      <c r="D75" s="1276" t="s">
        <v>1486</v>
      </c>
      <c r="E75" s="1286" t="s">
        <v>13</v>
      </c>
      <c r="F75" s="613">
        <v>7.85</v>
      </c>
      <c r="G75" s="967"/>
      <c r="H75" s="1008"/>
      <c r="I75" s="1063"/>
      <c r="J75" s="613"/>
      <c r="K75" s="6"/>
      <c r="L75" s="622"/>
      <c r="M75" s="982"/>
      <c r="N75" s="622"/>
      <c r="O75" s="982"/>
      <c r="P75" s="872"/>
      <c r="Q75" s="1738"/>
      <c r="R75" s="613"/>
      <c r="S75" s="64"/>
      <c r="T75" s="1209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 s="224" customFormat="1" ht="15" customHeight="1" x14ac:dyDescent="0.25">
      <c r="A76" s="215">
        <v>45035</v>
      </c>
      <c r="B76" s="862" t="s">
        <v>3529</v>
      </c>
      <c r="C76" s="879" t="s">
        <v>12</v>
      </c>
      <c r="D76" s="879" t="s">
        <v>1504</v>
      </c>
      <c r="E76" s="871" t="s">
        <v>13</v>
      </c>
      <c r="F76" s="780">
        <v>39.9</v>
      </c>
      <c r="G76" s="946"/>
      <c r="H76" s="1010"/>
      <c r="I76" s="1064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1028"/>
      <c r="W76" s="958"/>
    </row>
    <row r="77" spans="1:44" s="224" customFormat="1" ht="15" customHeight="1" x14ac:dyDescent="0.25">
      <c r="A77" s="215">
        <v>45035</v>
      </c>
      <c r="B77" s="882" t="s">
        <v>32</v>
      </c>
      <c r="C77" s="879" t="s">
        <v>12</v>
      </c>
      <c r="D77" s="879" t="s">
        <v>1485</v>
      </c>
      <c r="E77" s="871" t="s">
        <v>13</v>
      </c>
      <c r="F77" s="780">
        <v>20</v>
      </c>
      <c r="G77" s="982"/>
      <c r="H77" s="1008"/>
      <c r="I77" s="982"/>
      <c r="J77" s="622"/>
      <c r="K77" s="982"/>
      <c r="L77" s="622"/>
      <c r="M77" s="982"/>
      <c r="N77" s="622"/>
      <c r="O77" s="1063"/>
      <c r="P77" s="622"/>
      <c r="Q77" s="1063"/>
      <c r="R77" s="622"/>
      <c r="S77" s="982"/>
      <c r="T77" s="1080"/>
      <c r="U77" s="927"/>
      <c r="V77" s="878"/>
    </row>
    <row r="78" spans="1:44" s="1274" customFormat="1" ht="15" customHeight="1" x14ac:dyDescent="0.25">
      <c r="A78" s="215">
        <v>45035</v>
      </c>
      <c r="B78" s="1275" t="s">
        <v>17</v>
      </c>
      <c r="C78" s="1276" t="s">
        <v>12</v>
      </c>
      <c r="D78" s="1276" t="s">
        <v>1493</v>
      </c>
      <c r="E78" s="1286" t="s">
        <v>13</v>
      </c>
      <c r="F78" s="780">
        <v>7</v>
      </c>
      <c r="G78" s="1278"/>
      <c r="H78" s="1282"/>
      <c r="I78" s="1283"/>
      <c r="J78" s="1279"/>
      <c r="K78" s="1278"/>
      <c r="L78" s="1279"/>
      <c r="M78" s="1278"/>
      <c r="N78" s="1279"/>
      <c r="O78" s="1278"/>
      <c r="P78" s="1279"/>
      <c r="Q78" s="1283"/>
      <c r="R78" s="1702"/>
      <c r="S78" s="1742"/>
      <c r="T78" s="1281"/>
      <c r="V78" s="1281"/>
      <c r="W78" s="1294"/>
    </row>
    <row r="79" spans="1:44" s="224" customFormat="1" ht="15" customHeight="1" x14ac:dyDescent="0.25">
      <c r="A79" s="215">
        <v>45036</v>
      </c>
      <c r="B79" s="882" t="s">
        <v>3720</v>
      </c>
      <c r="C79" s="350" t="s">
        <v>12</v>
      </c>
      <c r="D79" s="350"/>
      <c r="E79" s="480" t="s">
        <v>25</v>
      </c>
      <c r="F79" s="622"/>
      <c r="G79" s="982">
        <v>2000</v>
      </c>
      <c r="H79" s="1008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861"/>
    </row>
    <row r="80" spans="1:44" s="224" customFormat="1" ht="15" customHeight="1" x14ac:dyDescent="0.25">
      <c r="A80" s="215">
        <v>45036</v>
      </c>
      <c r="B80" s="862" t="s">
        <v>2867</v>
      </c>
      <c r="C80" s="350" t="s">
        <v>12</v>
      </c>
      <c r="D80" s="874" t="s">
        <v>1504</v>
      </c>
      <c r="E80" s="887" t="s">
        <v>13</v>
      </c>
      <c r="F80" s="780">
        <v>30</v>
      </c>
      <c r="G80" s="982"/>
      <c r="H80" s="1009"/>
      <c r="I80" s="1063"/>
      <c r="J80" s="853"/>
      <c r="K80" s="982"/>
      <c r="L80" s="853"/>
      <c r="M80" s="982"/>
      <c r="N80" s="853"/>
      <c r="O80" s="982"/>
      <c r="P80" s="622"/>
      <c r="Q80" s="1063"/>
      <c r="R80" s="622"/>
      <c r="S80" s="982"/>
      <c r="T80" s="1690"/>
      <c r="U80" s="1690"/>
      <c r="V80" s="1690"/>
      <c r="W80" s="1690"/>
      <c r="X80" s="1690"/>
      <c r="Y80" s="1690"/>
      <c r="Z80" s="1690"/>
      <c r="AA80" s="1690"/>
      <c r="AB80" s="1690"/>
    </row>
    <row r="81" spans="1:44" s="224" customFormat="1" ht="14.25" customHeight="1" x14ac:dyDescent="0.25">
      <c r="A81" s="215">
        <v>45036</v>
      </c>
      <c r="B81" s="364" t="s">
        <v>2977</v>
      </c>
      <c r="C81" s="350" t="s">
        <v>12</v>
      </c>
      <c r="D81" s="350" t="s">
        <v>1491</v>
      </c>
      <c r="E81" s="875" t="s">
        <v>13</v>
      </c>
      <c r="F81" s="780">
        <v>300</v>
      </c>
      <c r="G81" s="982"/>
      <c r="H81" s="1008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1029"/>
      <c r="U81" s="89"/>
      <c r="V81" s="930"/>
    </row>
    <row r="82" spans="1:44" s="224" customFormat="1" ht="15" customHeight="1" x14ac:dyDescent="0.25">
      <c r="A82" s="215">
        <v>45036</v>
      </c>
      <c r="B82" s="349" t="s">
        <v>3721</v>
      </c>
      <c r="C82" s="887" t="s">
        <v>12</v>
      </c>
      <c r="D82" s="350" t="s">
        <v>1506</v>
      </c>
      <c r="E82" s="887" t="s">
        <v>13</v>
      </c>
      <c r="F82" s="613">
        <v>100</v>
      </c>
      <c r="G82" s="982"/>
      <c r="H82" s="1809"/>
      <c r="I82" s="1063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99"/>
      <c r="V82" s="878"/>
    </row>
    <row r="83" spans="1:44" s="224" customFormat="1" ht="15" customHeight="1" x14ac:dyDescent="0.25">
      <c r="A83" s="215">
        <v>45036</v>
      </c>
      <c r="B83" s="349" t="s">
        <v>3721</v>
      </c>
      <c r="C83" s="887" t="s">
        <v>12</v>
      </c>
      <c r="D83" s="350" t="s">
        <v>1491</v>
      </c>
      <c r="E83" s="887" t="s">
        <v>13</v>
      </c>
      <c r="F83" s="613">
        <v>120</v>
      </c>
      <c r="G83" s="982"/>
      <c r="H83" s="1809"/>
      <c r="I83" s="1063"/>
      <c r="J83" s="622"/>
      <c r="K83" s="982"/>
      <c r="L83" s="622"/>
      <c r="M83" s="982"/>
      <c r="N83" s="622"/>
      <c r="O83" s="982"/>
      <c r="P83" s="622"/>
      <c r="Q83" s="1063"/>
      <c r="R83" s="622"/>
      <c r="S83" s="982"/>
      <c r="T83" s="927"/>
      <c r="U83" s="999"/>
      <c r="V83" s="878"/>
    </row>
    <row r="84" spans="1:44" s="224" customFormat="1" ht="15" customHeight="1" x14ac:dyDescent="0.25">
      <c r="A84" s="215">
        <v>45036</v>
      </c>
      <c r="B84" s="349" t="s">
        <v>3721</v>
      </c>
      <c r="C84" s="887" t="s">
        <v>12</v>
      </c>
      <c r="D84" s="1005" t="s">
        <v>1491</v>
      </c>
      <c r="E84" s="887" t="s">
        <v>13</v>
      </c>
      <c r="F84" s="1116">
        <v>152</v>
      </c>
      <c r="G84" s="982"/>
      <c r="H84" s="1809"/>
      <c r="I84" s="1063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927"/>
      <c r="U84" s="999"/>
      <c r="V84" s="878"/>
    </row>
    <row r="85" spans="1:44" s="224" customFormat="1" ht="15" customHeight="1" x14ac:dyDescent="0.25">
      <c r="A85" s="215">
        <v>45036</v>
      </c>
      <c r="B85" s="349" t="s">
        <v>3721</v>
      </c>
      <c r="C85" s="887" t="s">
        <v>12</v>
      </c>
      <c r="D85" s="350" t="s">
        <v>1524</v>
      </c>
      <c r="E85" s="887" t="s">
        <v>13</v>
      </c>
      <c r="F85" s="613">
        <v>50.333333333333336</v>
      </c>
      <c r="G85" s="982"/>
      <c r="H85" s="1809"/>
      <c r="I85" s="1063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927"/>
      <c r="U85" s="999"/>
      <c r="V85" s="878"/>
    </row>
    <row r="86" spans="1:44" s="224" customFormat="1" ht="15" customHeight="1" x14ac:dyDescent="0.25">
      <c r="A86" s="215">
        <v>45036</v>
      </c>
      <c r="B86" s="349" t="s">
        <v>3721</v>
      </c>
      <c r="C86" s="887" t="s">
        <v>12</v>
      </c>
      <c r="D86" s="350" t="s">
        <v>1524</v>
      </c>
      <c r="E86" s="887" t="s">
        <v>13</v>
      </c>
      <c r="F86" s="613">
        <v>8.6666666666666661</v>
      </c>
      <c r="G86" s="982"/>
      <c r="H86" s="1809"/>
      <c r="I86" s="1063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927"/>
      <c r="U86" s="999"/>
      <c r="V86" s="878"/>
    </row>
    <row r="87" spans="1:44" s="224" customFormat="1" ht="15" customHeight="1" x14ac:dyDescent="0.25">
      <c r="A87" s="215">
        <v>45036</v>
      </c>
      <c r="B87" s="349" t="s">
        <v>3721</v>
      </c>
      <c r="C87" s="887" t="s">
        <v>12</v>
      </c>
      <c r="D87" s="350" t="s">
        <v>1496</v>
      </c>
      <c r="E87" s="887" t="s">
        <v>13</v>
      </c>
      <c r="F87" s="613">
        <v>33.033333333333331</v>
      </c>
      <c r="G87" s="982"/>
      <c r="H87" s="1809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99"/>
      <c r="V87" s="878"/>
    </row>
    <row r="88" spans="1:44" s="224" customFormat="1" ht="15" customHeight="1" x14ac:dyDescent="0.25">
      <c r="A88" s="215">
        <v>45036</v>
      </c>
      <c r="B88" s="349" t="s">
        <v>3721</v>
      </c>
      <c r="C88" s="887" t="s">
        <v>12</v>
      </c>
      <c r="D88" s="350" t="s">
        <v>1506</v>
      </c>
      <c r="E88" s="887" t="s">
        <v>13</v>
      </c>
      <c r="F88" s="613">
        <v>50</v>
      </c>
      <c r="G88" s="982"/>
      <c r="H88" s="1809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927"/>
      <c r="U88" s="999"/>
      <c r="V88" s="878"/>
    </row>
    <row r="89" spans="1:44" s="224" customFormat="1" ht="15" customHeight="1" x14ac:dyDescent="0.25">
      <c r="A89" s="215">
        <v>45036</v>
      </c>
      <c r="B89" s="882" t="s">
        <v>3722</v>
      </c>
      <c r="C89" s="879" t="s">
        <v>12</v>
      </c>
      <c r="D89" s="879" t="s">
        <v>1499</v>
      </c>
      <c r="E89" s="871" t="s">
        <v>13</v>
      </c>
      <c r="F89" s="780">
        <v>32.340000000000003</v>
      </c>
      <c r="G89" s="982"/>
      <c r="H89" s="1008"/>
      <c r="I89" s="1063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861"/>
      <c r="V89" s="1123"/>
      <c r="W89" s="999"/>
    </row>
    <row r="90" spans="1:44" s="224" customFormat="1" ht="15" customHeight="1" x14ac:dyDescent="0.25">
      <c r="A90" s="215">
        <v>45036</v>
      </c>
      <c r="B90" s="364" t="s">
        <v>398</v>
      </c>
      <c r="C90" s="983" t="s">
        <v>12</v>
      </c>
      <c r="D90" s="350"/>
      <c r="E90" s="480" t="s">
        <v>13</v>
      </c>
      <c r="F90" s="780">
        <v>150</v>
      </c>
      <c r="G90" s="982"/>
      <c r="H90" s="1009"/>
      <c r="I90" s="982">
        <v>150</v>
      </c>
      <c r="J90" s="622"/>
      <c r="K90" s="982"/>
      <c r="L90" s="622"/>
      <c r="M90" s="982"/>
      <c r="N90" s="622"/>
      <c r="O90" s="982"/>
      <c r="P90" s="622"/>
      <c r="Q90" s="1063"/>
      <c r="R90" s="622"/>
      <c r="S90" s="982"/>
      <c r="T90" s="927"/>
      <c r="U90" s="927"/>
      <c r="V90" s="878"/>
    </row>
    <row r="91" spans="1:44" s="224" customFormat="1" ht="15" customHeight="1" x14ac:dyDescent="0.25">
      <c r="A91" s="215">
        <v>45036</v>
      </c>
      <c r="B91" s="882" t="s">
        <v>32</v>
      </c>
      <c r="C91" s="879" t="s">
        <v>12</v>
      </c>
      <c r="D91" s="879" t="s">
        <v>1485</v>
      </c>
      <c r="E91" s="871" t="s">
        <v>13</v>
      </c>
      <c r="F91" s="780">
        <v>20</v>
      </c>
      <c r="G91" s="1033"/>
      <c r="H91" s="1031"/>
      <c r="I91" s="982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927"/>
      <c r="U91" s="927"/>
      <c r="V91" s="878"/>
    </row>
    <row r="92" spans="1:44" s="224" customFormat="1" ht="15" customHeight="1" x14ac:dyDescent="0.25">
      <c r="A92" s="215">
        <v>45036</v>
      </c>
      <c r="B92" s="1275" t="s">
        <v>14</v>
      </c>
      <c r="C92" s="1276" t="s">
        <v>12</v>
      </c>
      <c r="D92" s="1276" t="s">
        <v>1486</v>
      </c>
      <c r="E92" s="1286" t="s">
        <v>13</v>
      </c>
      <c r="F92" s="780">
        <v>9</v>
      </c>
      <c r="G92" s="982"/>
      <c r="H92" s="1008"/>
      <c r="I92" s="982"/>
      <c r="J92" s="622"/>
      <c r="K92" s="982"/>
      <c r="L92" s="622"/>
      <c r="M92" s="982"/>
      <c r="N92" s="622"/>
      <c r="O92" s="982"/>
      <c r="P92" s="880"/>
      <c r="Q92" s="1525"/>
      <c r="R92" s="880"/>
      <c r="S92" s="1033"/>
      <c r="T92" s="927"/>
      <c r="V92" s="878"/>
    </row>
    <row r="93" spans="1:44" s="224" customFormat="1" ht="15" customHeight="1" x14ac:dyDescent="0.25">
      <c r="A93" s="215">
        <v>45037</v>
      </c>
      <c r="B93" s="1275" t="s">
        <v>82</v>
      </c>
      <c r="C93" s="1276" t="s">
        <v>12</v>
      </c>
      <c r="D93" s="1276" t="s">
        <v>1493</v>
      </c>
      <c r="E93" s="1286" t="s">
        <v>13</v>
      </c>
      <c r="F93" s="780">
        <v>25</v>
      </c>
      <c r="G93" s="946"/>
      <c r="H93" s="95"/>
      <c r="I93" s="1064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861"/>
      <c r="V93" s="927"/>
      <c r="W93" s="999"/>
    </row>
    <row r="94" spans="1:44" s="224" customFormat="1" ht="15" customHeight="1" x14ac:dyDescent="0.25">
      <c r="A94" s="215">
        <v>45038</v>
      </c>
      <c r="B94" s="882" t="s">
        <v>3723</v>
      </c>
      <c r="C94" s="879" t="s">
        <v>12</v>
      </c>
      <c r="D94" s="879" t="s">
        <v>1523</v>
      </c>
      <c r="E94" s="871" t="s">
        <v>13</v>
      </c>
      <c r="F94" s="780">
        <v>80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861"/>
    </row>
    <row r="95" spans="1:44" s="224" customFormat="1" ht="15" customHeight="1" x14ac:dyDescent="0.25">
      <c r="A95" s="215">
        <v>45039</v>
      </c>
      <c r="B95" s="1275" t="s">
        <v>14</v>
      </c>
      <c r="C95" s="1276" t="s">
        <v>12</v>
      </c>
      <c r="D95" s="1276" t="s">
        <v>1486</v>
      </c>
      <c r="E95" s="1286" t="s">
        <v>13</v>
      </c>
      <c r="F95" s="613">
        <v>11.41</v>
      </c>
      <c r="G95" s="967"/>
      <c r="H95" s="1008"/>
      <c r="I95" s="1063"/>
      <c r="J95" s="613"/>
      <c r="K95" s="6"/>
      <c r="L95" s="622"/>
      <c r="M95" s="982"/>
      <c r="N95" s="622"/>
      <c r="O95" s="982"/>
      <c r="P95" s="872"/>
      <c r="Q95" s="1738"/>
      <c r="R95" s="613"/>
      <c r="S95" s="64"/>
      <c r="T95" s="1209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</row>
    <row r="96" spans="1:44" s="224" customFormat="1" ht="15" customHeight="1" x14ac:dyDescent="0.25">
      <c r="A96" s="215">
        <v>45040</v>
      </c>
      <c r="B96" s="364" t="s">
        <v>398</v>
      </c>
      <c r="C96" s="983" t="s">
        <v>12</v>
      </c>
      <c r="D96" s="350"/>
      <c r="E96" s="480" t="s">
        <v>13</v>
      </c>
      <c r="F96" s="780">
        <v>200</v>
      </c>
      <c r="G96" s="982"/>
      <c r="H96" s="1009"/>
      <c r="I96" s="982">
        <v>200</v>
      </c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927"/>
      <c r="U96" s="927"/>
      <c r="V96" s="878"/>
    </row>
    <row r="97" spans="1:23" s="224" customFormat="1" ht="15" customHeight="1" x14ac:dyDescent="0.25">
      <c r="A97" s="215">
        <v>45040</v>
      </c>
      <c r="B97" s="882" t="s">
        <v>32</v>
      </c>
      <c r="C97" s="879" t="s">
        <v>12</v>
      </c>
      <c r="D97" s="879" t="s">
        <v>1485</v>
      </c>
      <c r="E97" s="871" t="s">
        <v>13</v>
      </c>
      <c r="F97" s="780">
        <v>20</v>
      </c>
      <c r="G97" s="982"/>
      <c r="H97" s="1008"/>
      <c r="I97" s="982"/>
      <c r="J97" s="622"/>
      <c r="K97" s="982"/>
      <c r="L97" s="622"/>
      <c r="M97" s="982"/>
      <c r="N97" s="622"/>
      <c r="O97" s="982"/>
      <c r="P97" s="880"/>
      <c r="Q97" s="1525"/>
      <c r="R97" s="880"/>
      <c r="S97" s="1033"/>
      <c r="T97" s="927"/>
      <c r="V97" s="878"/>
    </row>
    <row r="98" spans="1:23" s="224" customFormat="1" ht="15" customHeight="1" x14ac:dyDescent="0.25">
      <c r="A98" s="215">
        <v>45040</v>
      </c>
      <c r="B98" s="882" t="s">
        <v>138</v>
      </c>
      <c r="C98" s="879" t="s">
        <v>12</v>
      </c>
      <c r="D98" s="879" t="s">
        <v>2157</v>
      </c>
      <c r="E98" s="875" t="s">
        <v>13</v>
      </c>
      <c r="F98" s="780">
        <v>80</v>
      </c>
      <c r="G98" s="982"/>
      <c r="H98" s="95"/>
      <c r="I98" s="1064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861"/>
    </row>
    <row r="99" spans="1:23" s="224" customFormat="1" ht="15" customHeight="1" x14ac:dyDescent="0.25">
      <c r="A99" s="215">
        <v>45040</v>
      </c>
      <c r="B99" s="1275" t="s">
        <v>14</v>
      </c>
      <c r="C99" s="1276" t="s">
        <v>12</v>
      </c>
      <c r="D99" s="1276" t="s">
        <v>1486</v>
      </c>
      <c r="E99" s="1286" t="s">
        <v>13</v>
      </c>
      <c r="F99" s="780">
        <v>5.54</v>
      </c>
      <c r="G99" s="946"/>
      <c r="H99" s="95"/>
      <c r="I99" s="1064"/>
      <c r="J99" s="622"/>
      <c r="K99" s="982"/>
      <c r="L99" s="622"/>
      <c r="M99" s="982"/>
      <c r="N99" s="622"/>
      <c r="O99" s="982"/>
      <c r="P99" s="1110"/>
      <c r="Q99" s="1739"/>
      <c r="R99" s="1110"/>
      <c r="S99" s="1208"/>
      <c r="T99" s="1028"/>
      <c r="W99" s="958"/>
    </row>
    <row r="100" spans="1:23" s="224" customFormat="1" ht="15" customHeight="1" x14ac:dyDescent="0.25">
      <c r="A100" s="215">
        <v>45041</v>
      </c>
      <c r="B100" s="882" t="s">
        <v>32</v>
      </c>
      <c r="C100" s="879" t="s">
        <v>12</v>
      </c>
      <c r="D100" s="879" t="s">
        <v>1485</v>
      </c>
      <c r="E100" s="871" t="s">
        <v>13</v>
      </c>
      <c r="F100" s="780">
        <v>20</v>
      </c>
      <c r="G100" s="1033"/>
      <c r="H100" s="1031"/>
      <c r="I100" s="982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927"/>
      <c r="U100" s="927"/>
      <c r="V100" s="878"/>
    </row>
    <row r="101" spans="1:23" s="224" customFormat="1" ht="15" customHeight="1" x14ac:dyDescent="0.25">
      <c r="A101" s="215">
        <v>45041</v>
      </c>
      <c r="B101" s="882" t="s">
        <v>3724</v>
      </c>
      <c r="C101" s="879" t="s">
        <v>12</v>
      </c>
      <c r="D101" s="879" t="s">
        <v>1522</v>
      </c>
      <c r="E101" s="871" t="s">
        <v>13</v>
      </c>
      <c r="F101" s="780">
        <v>33</v>
      </c>
      <c r="G101" s="946"/>
      <c r="H101" s="95"/>
      <c r="I101" s="1064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1028"/>
      <c r="W101" s="958"/>
    </row>
    <row r="102" spans="1:23" s="224" customFormat="1" ht="15" customHeight="1" x14ac:dyDescent="0.25">
      <c r="A102" s="215">
        <v>45041</v>
      </c>
      <c r="B102" s="882" t="s">
        <v>220</v>
      </c>
      <c r="C102" s="879" t="s">
        <v>12</v>
      </c>
      <c r="D102" s="879" t="s">
        <v>1522</v>
      </c>
      <c r="E102" s="871" t="s">
        <v>13</v>
      </c>
      <c r="F102" s="780">
        <v>10</v>
      </c>
      <c r="G102" s="946"/>
      <c r="H102" s="95"/>
      <c r="I102" s="1064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1028"/>
      <c r="W102" s="958"/>
    </row>
    <row r="103" spans="1:23" s="224" customFormat="1" ht="15" customHeight="1" x14ac:dyDescent="0.25">
      <c r="A103" s="215">
        <v>45041</v>
      </c>
      <c r="B103" s="882" t="s">
        <v>539</v>
      </c>
      <c r="C103" s="879" t="s">
        <v>12</v>
      </c>
      <c r="D103" s="879" t="s">
        <v>1506</v>
      </c>
      <c r="E103" s="871" t="s">
        <v>13</v>
      </c>
      <c r="F103" s="780">
        <v>8.9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1028"/>
      <c r="W103" s="958"/>
    </row>
    <row r="104" spans="1:23" s="224" customFormat="1" ht="15" customHeight="1" x14ac:dyDescent="0.25">
      <c r="A104" s="215">
        <v>45041</v>
      </c>
      <c r="B104" s="1275" t="s">
        <v>14</v>
      </c>
      <c r="C104" s="1276" t="s">
        <v>12</v>
      </c>
      <c r="D104" s="1276" t="s">
        <v>1486</v>
      </c>
      <c r="E104" s="871" t="s">
        <v>13</v>
      </c>
      <c r="F104" s="780">
        <v>8.99</v>
      </c>
      <c r="G104" s="946"/>
      <c r="H104" s="95"/>
      <c r="I104" s="1064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1028"/>
      <c r="W104" s="958"/>
    </row>
    <row r="105" spans="1:23" s="224" customFormat="1" ht="15" customHeight="1" x14ac:dyDescent="0.25">
      <c r="A105" s="215">
        <v>45042</v>
      </c>
      <c r="B105" s="882" t="s">
        <v>32</v>
      </c>
      <c r="C105" s="879" t="s">
        <v>12</v>
      </c>
      <c r="D105" s="879" t="s">
        <v>1485</v>
      </c>
      <c r="E105" s="871" t="s">
        <v>13</v>
      </c>
      <c r="F105" s="780">
        <v>20</v>
      </c>
      <c r="G105" s="1033"/>
      <c r="H105" s="1031"/>
      <c r="I105" s="982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927"/>
      <c r="U105" s="927"/>
      <c r="V105" s="878"/>
    </row>
    <row r="106" spans="1:23" s="224" customFormat="1" ht="15" customHeight="1" x14ac:dyDescent="0.25">
      <c r="A106" s="215">
        <v>45042</v>
      </c>
      <c r="B106" s="1275" t="s">
        <v>14</v>
      </c>
      <c r="C106" s="1276" t="s">
        <v>12</v>
      </c>
      <c r="D106" s="1276" t="s">
        <v>1486</v>
      </c>
      <c r="E106" s="1286" t="s">
        <v>13</v>
      </c>
      <c r="F106" s="780">
        <v>8.39</v>
      </c>
      <c r="G106" s="982"/>
      <c r="H106" s="1008"/>
      <c r="I106" s="982"/>
      <c r="J106" s="622"/>
      <c r="K106" s="982"/>
      <c r="L106" s="622"/>
      <c r="M106" s="982"/>
      <c r="N106" s="622"/>
      <c r="O106" s="982"/>
      <c r="P106" s="880"/>
      <c r="Q106" s="1525"/>
      <c r="R106" s="880"/>
      <c r="S106" s="1033"/>
      <c r="T106" s="927"/>
      <c r="V106" s="878"/>
    </row>
    <row r="107" spans="1:23" s="224" customFormat="1" ht="15" customHeight="1" x14ac:dyDescent="0.25">
      <c r="A107" s="215">
        <v>45043</v>
      </c>
      <c r="B107" s="882" t="s">
        <v>32</v>
      </c>
      <c r="C107" s="879" t="s">
        <v>12</v>
      </c>
      <c r="D107" s="879" t="s">
        <v>1485</v>
      </c>
      <c r="E107" s="871" t="s">
        <v>13</v>
      </c>
      <c r="F107" s="780">
        <v>20</v>
      </c>
      <c r="G107" s="982"/>
      <c r="H107" s="1008"/>
      <c r="I107" s="982"/>
      <c r="J107" s="622"/>
      <c r="K107" s="982"/>
      <c r="L107" s="622"/>
      <c r="M107" s="982"/>
      <c r="N107" s="622"/>
      <c r="O107" s="1063"/>
      <c r="P107" s="622"/>
      <c r="Q107" s="1063"/>
      <c r="R107" s="622"/>
      <c r="S107" s="982"/>
      <c r="T107" s="1080"/>
      <c r="U107" s="927"/>
      <c r="V107" s="878"/>
    </row>
    <row r="108" spans="1:23" s="1274" customFormat="1" ht="15" customHeight="1" x14ac:dyDescent="0.25">
      <c r="A108" s="215">
        <v>45043</v>
      </c>
      <c r="B108" s="1275" t="s">
        <v>17</v>
      </c>
      <c r="C108" s="1276" t="s">
        <v>12</v>
      </c>
      <c r="D108" s="1276" t="s">
        <v>1493</v>
      </c>
      <c r="E108" s="1286" t="s">
        <v>13</v>
      </c>
      <c r="F108" s="780">
        <v>7</v>
      </c>
      <c r="G108" s="1278"/>
      <c r="H108" s="1282"/>
      <c r="I108" s="1283"/>
      <c r="J108" s="1279"/>
      <c r="K108" s="1278"/>
      <c r="L108" s="1279"/>
      <c r="M108" s="1278"/>
      <c r="N108" s="1279"/>
      <c r="O108" s="1278"/>
      <c r="P108" s="1279"/>
      <c r="Q108" s="1283"/>
      <c r="R108" s="1702"/>
      <c r="S108" s="1742"/>
      <c r="T108" s="1281"/>
      <c r="V108" s="1281"/>
      <c r="W108" s="1294"/>
    </row>
    <row r="109" spans="1:23" s="224" customFormat="1" ht="15" customHeight="1" x14ac:dyDescent="0.25">
      <c r="A109" s="215">
        <v>45043</v>
      </c>
      <c r="B109" s="1275" t="s">
        <v>14</v>
      </c>
      <c r="C109" s="1276" t="s">
        <v>12</v>
      </c>
      <c r="D109" s="1276" t="s">
        <v>1486</v>
      </c>
      <c r="E109" s="1286" t="s">
        <v>13</v>
      </c>
      <c r="F109" s="780">
        <v>9.9</v>
      </c>
      <c r="G109" s="982"/>
      <c r="H109" s="1008"/>
      <c r="I109" s="982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1028"/>
      <c r="U109" s="959"/>
      <c r="V109" s="878"/>
      <c r="W109" s="958"/>
    </row>
    <row r="110" spans="1:23" s="224" customFormat="1" ht="15" customHeight="1" x14ac:dyDescent="0.25">
      <c r="A110" s="215">
        <v>45044</v>
      </c>
      <c r="B110" s="882" t="s">
        <v>32</v>
      </c>
      <c r="C110" s="879" t="s">
        <v>12</v>
      </c>
      <c r="D110" s="879" t="s">
        <v>1485</v>
      </c>
      <c r="E110" s="871" t="s">
        <v>13</v>
      </c>
      <c r="F110" s="780">
        <v>20</v>
      </c>
      <c r="G110" s="982"/>
      <c r="H110" s="1008"/>
      <c r="I110" s="1063"/>
      <c r="J110" s="622"/>
      <c r="K110" s="982"/>
      <c r="L110" s="622"/>
      <c r="M110" s="982"/>
      <c r="N110" s="622"/>
      <c r="O110" s="982"/>
      <c r="P110" s="622"/>
      <c r="Q110" s="1063"/>
      <c r="R110" s="622"/>
      <c r="S110" s="982"/>
      <c r="T110" s="861"/>
      <c r="V110" s="1035"/>
    </row>
    <row r="111" spans="1:23" s="224" customFormat="1" ht="15" customHeight="1" x14ac:dyDescent="0.25">
      <c r="A111" s="215">
        <v>45044</v>
      </c>
      <c r="B111" s="1275" t="s">
        <v>14</v>
      </c>
      <c r="C111" s="1276" t="s">
        <v>12</v>
      </c>
      <c r="D111" s="1276" t="s">
        <v>1486</v>
      </c>
      <c r="E111" s="871" t="s">
        <v>13</v>
      </c>
      <c r="F111" s="780">
        <v>9.0399999999999991</v>
      </c>
      <c r="G111" s="946"/>
      <c r="H111" s="95"/>
      <c r="I111" s="1064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861"/>
      <c r="V111" s="927"/>
      <c r="W111" s="999"/>
    </row>
    <row r="112" spans="1:23" s="224" customFormat="1" ht="15" customHeight="1" x14ac:dyDescent="0.25">
      <c r="A112" s="215">
        <v>45044</v>
      </c>
      <c r="B112" s="882" t="s">
        <v>390</v>
      </c>
      <c r="C112" s="879" t="s">
        <v>12</v>
      </c>
      <c r="D112" s="879"/>
      <c r="E112" s="871" t="s">
        <v>25</v>
      </c>
      <c r="F112" s="780"/>
      <c r="G112" s="982">
        <v>900</v>
      </c>
      <c r="H112" s="622">
        <v>900</v>
      </c>
      <c r="I112" s="982"/>
      <c r="J112" s="622"/>
      <c r="K112" s="982"/>
      <c r="L112" s="622"/>
      <c r="M112" s="982"/>
      <c r="N112" s="622"/>
      <c r="O112" s="1063"/>
      <c r="P112" s="622"/>
      <c r="Q112" s="1063"/>
      <c r="R112" s="622"/>
      <c r="S112" s="982"/>
      <c r="T112" s="1080"/>
      <c r="U112" s="927"/>
      <c r="V112" s="878"/>
    </row>
    <row r="113" spans="1:28" s="224" customFormat="1" ht="15" customHeight="1" x14ac:dyDescent="0.25">
      <c r="A113" s="215">
        <v>45045</v>
      </c>
      <c r="B113" s="1275" t="s">
        <v>14</v>
      </c>
      <c r="C113" s="1276" t="s">
        <v>12</v>
      </c>
      <c r="D113" s="1276" t="s">
        <v>1486</v>
      </c>
      <c r="E113" s="871" t="s">
        <v>13</v>
      </c>
      <c r="F113" s="780">
        <v>9.44</v>
      </c>
      <c r="G113" s="982"/>
      <c r="H113" s="1008"/>
      <c r="I113" s="982"/>
      <c r="J113" s="622"/>
      <c r="K113" s="982"/>
      <c r="L113" s="622"/>
      <c r="M113" s="982"/>
      <c r="N113" s="622"/>
      <c r="O113" s="982"/>
      <c r="P113" s="622"/>
      <c r="Q113" s="1063"/>
      <c r="R113" s="622"/>
      <c r="S113" s="982"/>
      <c r="T113" s="1028"/>
      <c r="U113" s="959"/>
      <c r="V113" s="878"/>
      <c r="W113" s="958"/>
    </row>
    <row r="114" spans="1:28" s="1274" customFormat="1" ht="15" customHeight="1" x14ac:dyDescent="0.25">
      <c r="A114" s="215">
        <v>45045</v>
      </c>
      <c r="B114" s="1289" t="s">
        <v>2096</v>
      </c>
      <c r="C114" s="1276" t="s">
        <v>12</v>
      </c>
      <c r="D114" s="1276" t="s">
        <v>1506</v>
      </c>
      <c r="E114" s="1277" t="s">
        <v>13</v>
      </c>
      <c r="F114" s="1279">
        <v>50</v>
      </c>
      <c r="G114" s="1278"/>
      <c r="H114" s="1282"/>
      <c r="I114" s="1283"/>
      <c r="J114" s="1279"/>
      <c r="K114" s="1278"/>
      <c r="L114" s="1279"/>
      <c r="M114" s="1278"/>
      <c r="N114" s="1279"/>
      <c r="O114" s="1278"/>
      <c r="P114" s="1279"/>
      <c r="Q114" s="1283"/>
      <c r="R114" s="1741"/>
      <c r="S114" s="1743"/>
      <c r="T114" s="1281"/>
      <c r="U114" s="1294"/>
    </row>
    <row r="115" spans="1:28" s="224" customFormat="1" ht="15" customHeight="1" x14ac:dyDescent="0.25">
      <c r="A115" s="215">
        <v>45045</v>
      </c>
      <c r="B115" s="364" t="s">
        <v>82</v>
      </c>
      <c r="C115" s="350" t="s">
        <v>12</v>
      </c>
      <c r="D115" s="350" t="s">
        <v>1493</v>
      </c>
      <c r="E115" s="875" t="s">
        <v>13</v>
      </c>
      <c r="F115" s="780">
        <v>46.89</v>
      </c>
      <c r="G115" s="982"/>
      <c r="H115" s="1008"/>
      <c r="I115" s="1063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861"/>
      <c r="V115" s="1035"/>
    </row>
    <row r="116" spans="1:28" s="224" customFormat="1" ht="15" customHeight="1" x14ac:dyDescent="0.25">
      <c r="A116" s="215">
        <v>45046</v>
      </c>
      <c r="B116" s="1275" t="s">
        <v>14</v>
      </c>
      <c r="C116" s="1276" t="s">
        <v>12</v>
      </c>
      <c r="D116" s="1276" t="s">
        <v>1486</v>
      </c>
      <c r="E116" s="871" t="s">
        <v>13</v>
      </c>
      <c r="F116" s="780">
        <v>7.41</v>
      </c>
      <c r="G116" s="982"/>
      <c r="H116" s="1008"/>
      <c r="I116" s="982"/>
      <c r="J116" s="622"/>
      <c r="K116" s="982"/>
      <c r="L116" s="622"/>
      <c r="M116" s="982"/>
      <c r="N116" s="622"/>
      <c r="O116" s="982"/>
      <c r="P116" s="622"/>
      <c r="Q116" s="1063"/>
      <c r="R116" s="622"/>
      <c r="S116" s="982"/>
      <c r="T116" s="1028"/>
      <c r="U116" s="959"/>
      <c r="V116" s="878"/>
      <c r="W116" s="958"/>
    </row>
    <row r="117" spans="1:28" s="224" customFormat="1" ht="15" customHeight="1" x14ac:dyDescent="0.25">
      <c r="A117" s="215">
        <v>45046</v>
      </c>
      <c r="B117" s="364" t="s">
        <v>443</v>
      </c>
      <c r="C117" s="350" t="s">
        <v>12</v>
      </c>
      <c r="D117" s="350" t="s">
        <v>1493</v>
      </c>
      <c r="E117" s="875" t="s">
        <v>13</v>
      </c>
      <c r="F117" s="780">
        <v>14.9</v>
      </c>
      <c r="G117" s="982"/>
      <c r="H117" s="1008"/>
      <c r="I117" s="1063"/>
      <c r="J117" s="622"/>
      <c r="K117" s="982"/>
      <c r="L117" s="622"/>
      <c r="M117" s="982"/>
      <c r="N117" s="622"/>
      <c r="O117" s="982"/>
      <c r="P117" s="622"/>
      <c r="Q117" s="1063"/>
      <c r="R117" s="622"/>
      <c r="S117" s="982"/>
      <c r="T117" s="861"/>
      <c r="V117" s="1035"/>
    </row>
    <row r="118" spans="1:28" s="1274" customFormat="1" ht="15" customHeight="1" x14ac:dyDescent="0.25">
      <c r="A118" s="1264">
        <v>45046</v>
      </c>
      <c r="B118" s="1275" t="s">
        <v>3695</v>
      </c>
      <c r="C118" s="1276" t="s">
        <v>12</v>
      </c>
      <c r="D118" s="1276"/>
      <c r="E118" s="1286" t="s">
        <v>13</v>
      </c>
      <c r="F118" s="1279"/>
      <c r="G118" s="1278"/>
      <c r="H118" s="1282"/>
      <c r="I118" s="1283"/>
      <c r="J118" s="1279"/>
      <c r="K118" s="1278"/>
      <c r="L118" s="1279"/>
      <c r="M118" s="982"/>
      <c r="N118" s="1279"/>
      <c r="O118" s="1278"/>
      <c r="P118" s="1279">
        <v>236.01</v>
      </c>
      <c r="Q118" s="1283"/>
      <c r="R118" s="1740"/>
      <c r="S118" s="1743"/>
      <c r="T118" s="1281"/>
      <c r="U118" s="1294"/>
    </row>
    <row r="119" spans="1:28" s="224" customFormat="1" x14ac:dyDescent="0.25">
      <c r="A119" s="215">
        <v>45046</v>
      </c>
      <c r="B119" s="862" t="s">
        <v>3693</v>
      </c>
      <c r="C119" s="350" t="s">
        <v>12</v>
      </c>
      <c r="D119" s="1807"/>
      <c r="E119" s="145"/>
      <c r="F119" s="622"/>
      <c r="G119" s="982"/>
      <c r="H119" s="1008"/>
      <c r="I119" s="1063"/>
      <c r="J119" s="622"/>
      <c r="K119" s="982"/>
      <c r="L119" s="622"/>
      <c r="M119" s="982"/>
      <c r="N119" s="622">
        <v>255.5</v>
      </c>
      <c r="O119" s="982"/>
      <c r="P119" s="622"/>
      <c r="Q119" s="1063"/>
      <c r="R119" s="622"/>
      <c r="S119" s="982"/>
      <c r="T119" s="475"/>
      <c r="V119" s="878"/>
    </row>
    <row r="120" spans="1:28" s="224" customFormat="1" ht="15.75" thickBot="1" x14ac:dyDescent="0.3">
      <c r="A120" s="215">
        <v>45046</v>
      </c>
      <c r="B120" s="862" t="s">
        <v>1666</v>
      </c>
      <c r="C120" s="350" t="s">
        <v>12</v>
      </c>
      <c r="D120" s="1003"/>
      <c r="E120" s="145" t="s">
        <v>25</v>
      </c>
      <c r="F120" s="1036"/>
      <c r="G120" s="1535"/>
      <c r="H120" s="1008"/>
      <c r="I120" s="1063"/>
      <c r="J120" s="1036"/>
      <c r="K120" s="1535"/>
      <c r="L120" s="622"/>
      <c r="M120" s="982">
        <v>56.26</v>
      </c>
      <c r="N120" s="622"/>
      <c r="O120" s="982">
        <v>0</v>
      </c>
      <c r="P120" s="622"/>
      <c r="Q120" s="1063"/>
      <c r="R120" s="1036"/>
      <c r="S120" s="1535"/>
      <c r="T120" s="1814">
        <f>M120/M5</f>
        <v>7.7496422023529913E-3</v>
      </c>
      <c r="U120" s="1813">
        <v>45026</v>
      </c>
      <c r="V120" s="878"/>
    </row>
    <row r="121" spans="1:28" ht="25.5" customHeight="1" thickBot="1" x14ac:dyDescent="0.3">
      <c r="A121" s="3060"/>
      <c r="B121" s="3061"/>
      <c r="C121" s="3062"/>
      <c r="D121" s="3062"/>
      <c r="E121" s="3062"/>
      <c r="F121" s="1023">
        <f>SUM(F6:F120)</f>
        <v>4972.3933333333316</v>
      </c>
      <c r="G121" s="1065">
        <f>SUM(G5:G120)</f>
        <v>6161.5129166666929</v>
      </c>
      <c r="H121" s="517">
        <f>SUM(H6:H120)</f>
        <v>1350</v>
      </c>
      <c r="I121" s="93">
        <f>SUM(I5:I120)</f>
        <v>1649.9959999999992</v>
      </c>
      <c r="J121" s="1023">
        <f>SUM(J6:J120)</f>
        <v>0</v>
      </c>
      <c r="K121" s="93">
        <f>SUM(K5:K120)</f>
        <v>19110.760000000002</v>
      </c>
      <c r="L121" s="1023">
        <f>SUM(L6:L120)</f>
        <v>0</v>
      </c>
      <c r="M121" s="93">
        <f>SUM(M5:M120)</f>
        <v>7315.9500000000016</v>
      </c>
      <c r="N121" s="1023">
        <f>SUM(N6:N120)</f>
        <v>888.98</v>
      </c>
      <c r="O121" s="93">
        <f>SUM(O5:O120)</f>
        <v>3084.98</v>
      </c>
      <c r="P121" s="1211">
        <f>SUM(P6:P120)</f>
        <v>261.05</v>
      </c>
      <c r="Q121" s="93">
        <f>SUM(Q5:Q120)</f>
        <v>8391.5799999999981</v>
      </c>
      <c r="R121" s="1211">
        <f>SUM(R6:R120)</f>
        <v>0</v>
      </c>
      <c r="S121" s="93">
        <f>SUM(S5:S120)</f>
        <v>40390.405984720011</v>
      </c>
      <c r="U121" s="216"/>
    </row>
    <row r="122" spans="1:28" ht="25.5" customHeight="1" thickBot="1" x14ac:dyDescent="0.3">
      <c r="A122" s="3117" t="s">
        <v>49</v>
      </c>
      <c r="B122" s="3118"/>
      <c r="C122" s="3118"/>
      <c r="D122" s="3118"/>
      <c r="E122" s="3118"/>
      <c r="F122" s="144" t="s">
        <v>280</v>
      </c>
      <c r="G122" s="519">
        <f>G121-F121</f>
        <v>1189.1195833333613</v>
      </c>
      <c r="H122" s="555"/>
      <c r="I122" s="772">
        <f>I121-H121</f>
        <v>299.99599999999919</v>
      </c>
      <c r="J122" s="593"/>
      <c r="K122" s="993">
        <f>K121-J121</f>
        <v>19110.760000000002</v>
      </c>
      <c r="L122" s="593"/>
      <c r="M122" s="772">
        <f>M121-L121</f>
        <v>7315.9500000000016</v>
      </c>
      <c r="N122" s="593"/>
      <c r="O122" s="772">
        <f>O121-N121</f>
        <v>2196</v>
      </c>
      <c r="P122" s="593"/>
      <c r="Q122" s="556">
        <f>Q121-P121</f>
        <v>8130.5299999999979</v>
      </c>
      <c r="R122" s="593"/>
      <c r="S122" s="556">
        <f>S121-R121</f>
        <v>40390.405984720011</v>
      </c>
      <c r="T122" s="484">
        <f>K122+M122+O122+Q122+S122</f>
        <v>77143.645984720002</v>
      </c>
    </row>
    <row r="123" spans="1:28" x14ac:dyDescent="0.25">
      <c r="J123" s="1238"/>
      <c r="K123" s="1238">
        <f>K122/T122</f>
        <v>0.2477295408592084</v>
      </c>
      <c r="M123" s="1238">
        <f>M122/T122</f>
        <v>9.4835419127702186E-2</v>
      </c>
      <c r="O123" s="1238">
        <f>O122/T122</f>
        <v>2.8466375577257085E-2</v>
      </c>
      <c r="P123" s="1239"/>
      <c r="Q123" s="1239">
        <f>Q122/T122</f>
        <v>0.10539468152192895</v>
      </c>
      <c r="R123" s="1239"/>
      <c r="S123" s="1239">
        <f>S122/T122</f>
        <v>0.52357398291390356</v>
      </c>
      <c r="T123" s="867"/>
      <c r="U123" s="867"/>
      <c r="V123" s="79"/>
      <c r="Y123" s="518"/>
      <c r="Z123" s="216"/>
      <c r="AB123" s="877"/>
    </row>
    <row r="124" spans="1:28" x14ac:dyDescent="0.25">
      <c r="B124" s="81" t="s">
        <v>3</v>
      </c>
      <c r="C124" s="193" t="s">
        <v>1484</v>
      </c>
      <c r="D124" s="970" t="s">
        <v>2378</v>
      </c>
      <c r="E124" s="193" t="s">
        <v>3216</v>
      </c>
      <c r="F124" s="1061" t="s">
        <v>3217</v>
      </c>
      <c r="G124" s="216"/>
      <c r="J124" s="867"/>
      <c r="K124" s="866"/>
      <c r="M124" s="866"/>
      <c r="O124" s="866"/>
      <c r="P124" s="1038"/>
      <c r="Q124" s="1038"/>
      <c r="R124" s="1038"/>
      <c r="S124" s="1038"/>
      <c r="T124" s="865"/>
      <c r="U124" s="867"/>
    </row>
    <row r="125" spans="1:28" x14ac:dyDescent="0.25">
      <c r="B125" s="79" t="s">
        <v>32</v>
      </c>
      <c r="C125" s="85" t="s">
        <v>1485</v>
      </c>
      <c r="D125" s="475">
        <f>SUMIF($D$8:$D$120,"A",$F$8:$F$120)</f>
        <v>397.9</v>
      </c>
      <c r="E125" s="1202">
        <f t="shared" ref="E125:E142" si="0">D125/$J$144</f>
        <v>13.263333333333332</v>
      </c>
      <c r="F125" s="1203">
        <f t="shared" ref="F125:F141" si="1">E125/$E$145</f>
        <v>9.229877058687079E-2</v>
      </c>
      <c r="G125" s="800"/>
      <c r="H125" s="475"/>
      <c r="I125" s="1865"/>
      <c r="J125" s="1210"/>
      <c r="K125" s="754"/>
      <c r="M125" s="886"/>
      <c r="O125" s="886"/>
      <c r="P125" s="1210"/>
      <c r="Q125" s="754"/>
      <c r="R125" s="886"/>
      <c r="S125" s="1210"/>
      <c r="T125" s="1038"/>
      <c r="U125" s="1210"/>
      <c r="W125" s="1201"/>
      <c r="X125" s="877"/>
    </row>
    <row r="126" spans="1:28" x14ac:dyDescent="0.25">
      <c r="B126" s="79" t="s">
        <v>2187</v>
      </c>
      <c r="C126" s="85" t="s">
        <v>2157</v>
      </c>
      <c r="D126" s="475">
        <f>SUMIF($D$8:$D$120,"GAC",$F$8:$F$120)</f>
        <v>410</v>
      </c>
      <c r="E126" s="1202">
        <f t="shared" ref="E126:E133" si="2">D126/$J$144</f>
        <v>13.666666666666666</v>
      </c>
      <c r="F126" s="1203">
        <f t="shared" ref="F126:F133" si="3">E126/$E$145</f>
        <v>9.5105543957318489E-2</v>
      </c>
      <c r="G126" s="609"/>
      <c r="H126" s="475"/>
      <c r="I126" s="1865"/>
      <c r="J126" s="1038"/>
      <c r="K126" s="1225"/>
      <c r="M126" s="1210"/>
      <c r="O126" s="1038"/>
      <c r="Q126" s="1225"/>
      <c r="R126" s="1210"/>
      <c r="S126" s="1038"/>
      <c r="T126" s="1038"/>
      <c r="W126" s="877"/>
      <c r="X126" s="877"/>
    </row>
    <row r="127" spans="1:28" x14ac:dyDescent="0.25">
      <c r="B127" s="79" t="s">
        <v>2188</v>
      </c>
      <c r="C127" s="85" t="s">
        <v>2168</v>
      </c>
      <c r="D127" s="475">
        <f>SUMIF($D$24:$D$120,"GAM",$F$24:$F$120)</f>
        <v>0</v>
      </c>
      <c r="E127" s="1202">
        <f t="shared" si="2"/>
        <v>0</v>
      </c>
      <c r="F127" s="1203">
        <f t="shared" si="3"/>
        <v>0</v>
      </c>
      <c r="H127" s="475"/>
      <c r="I127" s="1865"/>
      <c r="J127" s="1038"/>
      <c r="K127" s="1225"/>
      <c r="M127" s="1210"/>
      <c r="O127" s="1038"/>
      <c r="Q127" s="1225"/>
      <c r="R127" s="1210"/>
      <c r="S127" s="1038"/>
      <c r="T127" s="1038"/>
      <c r="W127" s="877"/>
      <c r="X127" s="877"/>
    </row>
    <row r="128" spans="1:28" s="85" customFormat="1" x14ac:dyDescent="0.25">
      <c r="A128" s="79"/>
      <c r="B128" s="79" t="s">
        <v>50</v>
      </c>
      <c r="C128" s="85" t="s">
        <v>1493</v>
      </c>
      <c r="D128" s="475">
        <f>SUMIF($D$8:$D$120,"LD",$F$8:$F$120)</f>
        <v>318.68999999999994</v>
      </c>
      <c r="E128" s="1202">
        <f t="shared" si="2"/>
        <v>10.622999999999998</v>
      </c>
      <c r="F128" s="1203">
        <f t="shared" si="3"/>
        <v>7.3924843423799569E-2</v>
      </c>
      <c r="H128" s="475"/>
      <c r="I128" s="1865"/>
      <c r="J128" s="864"/>
      <c r="K128" s="877"/>
      <c r="S128" s="79"/>
      <c r="T128" s="177"/>
      <c r="W128" s="877"/>
      <c r="X128" s="877"/>
    </row>
    <row r="129" spans="1:24" s="85" customFormat="1" x14ac:dyDescent="0.25">
      <c r="A129" s="79"/>
      <c r="B129" s="79" t="s">
        <v>14</v>
      </c>
      <c r="C129" s="85" t="s">
        <v>1486</v>
      </c>
      <c r="D129" s="475">
        <f>SUMIF($D$8:$D$120,"c",$F$8:$F$120)</f>
        <v>172.86999999999998</v>
      </c>
      <c r="E129" s="1202">
        <f t="shared" si="2"/>
        <v>5.7623333333333324</v>
      </c>
      <c r="F129" s="1203">
        <f t="shared" si="3"/>
        <v>4.00997448387845E-2</v>
      </c>
      <c r="G129" s="79"/>
      <c r="H129" s="475"/>
      <c r="I129" s="1865"/>
      <c r="J129" s="1038"/>
      <c r="K129" s="877"/>
      <c r="T129" s="177"/>
      <c r="W129" s="877"/>
      <c r="X129" s="877"/>
    </row>
    <row r="130" spans="1:24" s="85" customFormat="1" x14ac:dyDescent="0.25">
      <c r="B130" s="79" t="s">
        <v>51</v>
      </c>
      <c r="C130" s="864" t="s">
        <v>1499</v>
      </c>
      <c r="D130" s="475">
        <f>SUMIF($D$24:$D$120,"CAL",$F$24:$F$120)</f>
        <v>96.09</v>
      </c>
      <c r="E130" s="1202">
        <f t="shared" si="2"/>
        <v>3.2030000000000003</v>
      </c>
      <c r="F130" s="1203">
        <f t="shared" si="3"/>
        <v>2.2289491997216426E-2</v>
      </c>
      <c r="G130" s="79"/>
      <c r="H130" s="475"/>
      <c r="I130" s="1865"/>
      <c r="J130" s="1038"/>
      <c r="K130" s="877"/>
      <c r="S130" s="1038"/>
      <c r="T130" s="177"/>
      <c r="W130" s="877"/>
      <c r="X130" s="877"/>
    </row>
    <row r="131" spans="1:24" s="85" customFormat="1" x14ac:dyDescent="0.25">
      <c r="A131" s="79"/>
      <c r="B131" s="79" t="s">
        <v>2189</v>
      </c>
      <c r="C131" s="864" t="s">
        <v>1496</v>
      </c>
      <c r="D131" s="475">
        <f>SUMIF($D$22:$D$120,"AC",$F$22:$F$120)</f>
        <v>113.03333333333333</v>
      </c>
      <c r="E131" s="1202">
        <f t="shared" si="2"/>
        <v>3.7677777777777779</v>
      </c>
      <c r="F131" s="1203">
        <f t="shared" si="3"/>
        <v>2.6219747931647726E-2</v>
      </c>
      <c r="G131" s="79"/>
      <c r="H131" s="475"/>
      <c r="I131" s="1865"/>
      <c r="J131" s="1038"/>
      <c r="K131" s="877"/>
      <c r="T131" s="177"/>
      <c r="W131" s="877"/>
      <c r="X131" s="877"/>
    </row>
    <row r="132" spans="1:24" s="85" customFormat="1" x14ac:dyDescent="0.25">
      <c r="A132" s="79"/>
      <c r="B132" s="867" t="s">
        <v>53</v>
      </c>
      <c r="C132" s="864" t="s">
        <v>1522</v>
      </c>
      <c r="D132" s="475">
        <f>SUMIF($D$22:$D$120,"DC",$F$22:$F$120)</f>
        <v>721.66</v>
      </c>
      <c r="E132" s="1202">
        <f t="shared" si="2"/>
        <v>24.055333333333333</v>
      </c>
      <c r="F132" s="1203">
        <f t="shared" si="3"/>
        <v>0.16739967524936211</v>
      </c>
      <c r="H132" s="475"/>
      <c r="I132" s="1865"/>
      <c r="J132" s="79"/>
      <c r="K132" s="877"/>
      <c r="S132" s="769"/>
      <c r="T132" s="79"/>
      <c r="W132" s="877"/>
      <c r="X132" s="877"/>
    </row>
    <row r="133" spans="1:24" s="85" customFormat="1" x14ac:dyDescent="0.25">
      <c r="A133" s="79"/>
      <c r="B133" s="867" t="s">
        <v>2149</v>
      </c>
      <c r="C133" s="864" t="s">
        <v>2131</v>
      </c>
      <c r="D133" s="475">
        <f>SUMIF($D$6:$D$120,"DM",$F$6:$F$120)</f>
        <v>0</v>
      </c>
      <c r="E133" s="1202">
        <f t="shared" si="2"/>
        <v>0</v>
      </c>
      <c r="F133" s="1203">
        <f t="shared" si="3"/>
        <v>0</v>
      </c>
      <c r="H133" s="475"/>
      <c r="I133" s="1865"/>
      <c r="K133" s="877"/>
      <c r="W133" s="877"/>
      <c r="X133" s="877"/>
    </row>
    <row r="134" spans="1:24" s="85" customFormat="1" x14ac:dyDescent="0.25">
      <c r="A134" s="79"/>
      <c r="B134" s="79" t="s">
        <v>3048</v>
      </c>
      <c r="C134" s="864" t="s">
        <v>1523</v>
      </c>
      <c r="D134" s="475">
        <f ca="1">SUMIF($D$22:$D$121,"B",$F$22:$F$120)</f>
        <v>141</v>
      </c>
      <c r="E134" s="1202">
        <f ca="1">D134/$J$144</f>
        <v>4.7</v>
      </c>
      <c r="F134" s="1203">
        <f ca="1">E134/$E$145</f>
        <v>3.2707028531663192E-2</v>
      </c>
      <c r="G134" s="866"/>
      <c r="H134" s="475"/>
      <c r="I134" s="1865"/>
      <c r="J134" s="1038"/>
      <c r="K134" s="877"/>
      <c r="S134" s="1210"/>
      <c r="T134" s="877"/>
      <c r="W134" s="877"/>
      <c r="X134" s="877"/>
    </row>
    <row r="135" spans="1:24" s="85" customFormat="1" x14ac:dyDescent="0.25">
      <c r="A135" s="79"/>
      <c r="B135" s="79" t="s">
        <v>1686</v>
      </c>
      <c r="C135" s="864" t="s">
        <v>1506</v>
      </c>
      <c r="D135" s="475">
        <f>SUMIF($D$8:$D$120,"R",$F$8:$F$120)</f>
        <v>258.89999999999998</v>
      </c>
      <c r="E135" s="1202">
        <f t="shared" si="0"/>
        <v>8.629999999999999</v>
      </c>
      <c r="F135" s="1203">
        <f t="shared" si="1"/>
        <v>6.0055671537926236E-2</v>
      </c>
      <c r="G135" s="868"/>
      <c r="H135" s="475"/>
      <c r="I135" s="1865"/>
      <c r="K135" s="877"/>
      <c r="S135" s="1129"/>
      <c r="T135" s="877"/>
      <c r="W135" s="877"/>
      <c r="X135" s="877"/>
    </row>
    <row r="136" spans="1:24" x14ac:dyDescent="0.25">
      <c r="B136" s="79" t="s">
        <v>418</v>
      </c>
      <c r="C136" s="85" t="s">
        <v>1524</v>
      </c>
      <c r="D136" s="475">
        <f>SUMIF($D$8:$D$120,"COM",$F$8:$F$120)</f>
        <v>59</v>
      </c>
      <c r="E136" s="1202">
        <f t="shared" si="0"/>
        <v>1.9666666666666666</v>
      </c>
      <c r="F136" s="1203">
        <f>E136/$E$145</f>
        <v>1.368591974019949E-2</v>
      </c>
      <c r="G136" s="85"/>
      <c r="H136" s="475"/>
      <c r="I136" s="1865"/>
      <c r="J136" s="769"/>
      <c r="K136" s="1225"/>
      <c r="L136" s="769"/>
      <c r="S136" s="1226"/>
      <c r="T136" s="877"/>
      <c r="W136" s="877"/>
      <c r="X136" s="877"/>
    </row>
    <row r="137" spans="1:24" x14ac:dyDescent="0.25">
      <c r="B137" s="79" t="s">
        <v>419</v>
      </c>
      <c r="C137" s="85" t="s">
        <v>1491</v>
      </c>
      <c r="D137" s="475">
        <f>SUMIF($D$8:$D$120,"F",$F$8:$F$120)</f>
        <v>920.11</v>
      </c>
      <c r="E137" s="1202">
        <f t="shared" si="0"/>
        <v>30.670333333333335</v>
      </c>
      <c r="F137" s="1203">
        <f>E137/$E$145</f>
        <v>0.21343307817211787</v>
      </c>
      <c r="H137" s="475"/>
      <c r="I137" s="1865"/>
      <c r="S137" s="484"/>
      <c r="T137" s="877"/>
      <c r="W137" s="877"/>
      <c r="X137" s="877"/>
    </row>
    <row r="138" spans="1:24" x14ac:dyDescent="0.25">
      <c r="B138" s="79" t="s">
        <v>911</v>
      </c>
      <c r="C138" s="85" t="s">
        <v>1525</v>
      </c>
      <c r="D138" s="475">
        <f>SUMIF($D$24:$D$120,"FER",$F$24:$F$120)</f>
        <v>0</v>
      </c>
      <c r="E138" s="1202">
        <f t="shared" si="0"/>
        <v>0</v>
      </c>
      <c r="F138" s="1203">
        <f t="shared" si="1"/>
        <v>0</v>
      </c>
      <c r="H138" s="475"/>
      <c r="I138" s="1865"/>
      <c r="S138" s="484"/>
      <c r="T138" s="1673"/>
      <c r="W138" s="877"/>
      <c r="X138" s="877"/>
    </row>
    <row r="139" spans="1:24" x14ac:dyDescent="0.25">
      <c r="B139" s="79" t="s">
        <v>1526</v>
      </c>
      <c r="C139" s="85" t="s">
        <v>1504</v>
      </c>
      <c r="D139" s="475">
        <f>SUMIF($D$24:$D$120,"I",$F$24:$F$120)</f>
        <v>148.53</v>
      </c>
      <c r="E139" s="1202">
        <f t="shared" si="0"/>
        <v>4.9509999999999996</v>
      </c>
      <c r="F139" s="1203">
        <f t="shared" si="1"/>
        <v>3.445372303409882E-2</v>
      </c>
      <c r="H139" s="475"/>
      <c r="I139" s="1865"/>
      <c r="J139" s="769"/>
      <c r="K139" s="868"/>
      <c r="L139" s="769"/>
      <c r="S139" s="1038"/>
      <c r="T139" s="1129"/>
      <c r="V139" s="1129"/>
      <c r="W139" s="877"/>
      <c r="X139" s="877"/>
    </row>
    <row r="140" spans="1:24" x14ac:dyDescent="0.25">
      <c r="B140" s="79" t="s">
        <v>2343</v>
      </c>
      <c r="C140" s="85" t="s">
        <v>2315</v>
      </c>
      <c r="D140" s="475">
        <f>SUMIF($D$24:$D$120,"E",$F$24:$F$120)</f>
        <v>0</v>
      </c>
      <c r="E140" s="1202">
        <f t="shared" si="0"/>
        <v>0</v>
      </c>
      <c r="F140" s="1203">
        <f t="shared" si="1"/>
        <v>0</v>
      </c>
      <c r="H140" s="475"/>
      <c r="I140" s="1865"/>
      <c r="J140" s="769"/>
      <c r="K140" s="868"/>
      <c r="L140" s="769"/>
      <c r="S140" s="1038"/>
      <c r="T140" s="1129"/>
      <c r="V140" s="1129"/>
      <c r="W140" s="877"/>
      <c r="X140" s="877"/>
    </row>
    <row r="141" spans="1:24" x14ac:dyDescent="0.25">
      <c r="B141" s="79" t="s">
        <v>3019</v>
      </c>
      <c r="C141" s="85" t="s">
        <v>3017</v>
      </c>
      <c r="D141" s="475">
        <f>SUMIF($D$6:$D$120,"IM",$F$6:$F$120)</f>
        <v>617.45000000000005</v>
      </c>
      <c r="E141" s="1202">
        <f t="shared" si="0"/>
        <v>20.581666666666667</v>
      </c>
      <c r="F141" s="1203">
        <f t="shared" si="1"/>
        <v>0.14322662955230805</v>
      </c>
      <c r="H141" s="475"/>
      <c r="I141" s="1865"/>
      <c r="J141" s="769"/>
      <c r="L141" s="769"/>
      <c r="S141" s="224"/>
      <c r="T141" s="1226"/>
      <c r="U141" s="1129"/>
      <c r="V141" s="1129"/>
      <c r="W141" s="877"/>
      <c r="X141" s="877"/>
    </row>
    <row r="142" spans="1:24" x14ac:dyDescent="0.25">
      <c r="B142" s="79" t="s">
        <v>1527</v>
      </c>
      <c r="C142" s="85" t="s">
        <v>1489</v>
      </c>
      <c r="D142" s="475">
        <f>SUMIF($D$22:$D$120,"OD",$F$22:$F$120)</f>
        <v>204.61</v>
      </c>
      <c r="E142" s="1202">
        <f t="shared" si="0"/>
        <v>6.820333333333334</v>
      </c>
      <c r="F142" s="1203">
        <f>E142/$E$145</f>
        <v>4.7462305729529121E-2</v>
      </c>
      <c r="H142" s="475"/>
      <c r="I142" s="1865"/>
      <c r="S142" s="1038"/>
      <c r="T142" s="1226"/>
      <c r="U142" s="1129"/>
      <c r="V142" s="1129"/>
      <c r="W142" s="877"/>
      <c r="X142" s="877"/>
    </row>
    <row r="143" spans="1:24" x14ac:dyDescent="0.25">
      <c r="C143" s="79"/>
      <c r="D143" s="629"/>
      <c r="E143" s="79"/>
      <c r="F143" s="79"/>
      <c r="S143" s="1038"/>
      <c r="T143" s="1227"/>
      <c r="U143" s="1129"/>
      <c r="V143" s="1129"/>
      <c r="W143" s="877"/>
      <c r="X143" s="877"/>
    </row>
    <row r="144" spans="1:24" x14ac:dyDescent="0.25">
      <c r="C144" s="3168" t="s">
        <v>486</v>
      </c>
      <c r="D144" s="3168"/>
      <c r="E144" s="863">
        <f ca="1">I144/J144</f>
        <v>152.66144444444444</v>
      </c>
      <c r="G144" s="518" t="s">
        <v>487</v>
      </c>
      <c r="I144" s="629">
        <f ca="1">SUM(D125:D142)</f>
        <v>4579.8433333333332</v>
      </c>
      <c r="J144" s="1517">
        <v>30</v>
      </c>
      <c r="L144" s="216"/>
      <c r="S144" s="1038"/>
      <c r="T144" s="1226"/>
      <c r="U144" s="1129"/>
      <c r="V144" s="1129"/>
      <c r="W144" s="877"/>
      <c r="X144" s="877"/>
    </row>
    <row r="145" spans="1:26" ht="15.75" customHeight="1" x14ac:dyDescent="0.25">
      <c r="B145" s="3167" t="s">
        <v>3725</v>
      </c>
      <c r="C145" s="3167"/>
      <c r="D145" s="3167"/>
      <c r="E145" s="1125">
        <v>143.69999999999999</v>
      </c>
      <c r="H145" s="85"/>
      <c r="K145" s="868"/>
      <c r="S145" s="1038"/>
      <c r="T145" s="1226"/>
      <c r="U145" s="1129"/>
      <c r="V145" s="1129"/>
      <c r="W145" s="877"/>
      <c r="X145" s="877"/>
    </row>
    <row r="146" spans="1:26" x14ac:dyDescent="0.25">
      <c r="A146" s="518"/>
      <c r="C146" s="79"/>
      <c r="D146" s="79"/>
      <c r="E146" s="769"/>
      <c r="F146" s="866"/>
      <c r="G146" s="769"/>
      <c r="H146" s="866"/>
      <c r="I146" s="1210"/>
      <c r="J146" s="89"/>
      <c r="L146" s="1038"/>
      <c r="S146" s="1038"/>
      <c r="T146" s="769"/>
      <c r="U146" s="484" t="s">
        <v>280</v>
      </c>
      <c r="V146" s="216"/>
      <c r="W146" s="866"/>
      <c r="X146" s="484"/>
      <c r="Z146" s="877"/>
    </row>
    <row r="147" spans="1:26" s="518" customFormat="1" x14ac:dyDescent="0.25">
      <c r="A147" s="79"/>
      <c r="B147" s="79"/>
      <c r="C147" s="79"/>
      <c r="D147" s="79"/>
      <c r="E147" s="1126">
        <f ca="1">E145-E144</f>
        <v>-8.961444444444453</v>
      </c>
      <c r="F147" s="1205">
        <f ca="1">SUM(F125:F146)</f>
        <v>1.0623621742828424</v>
      </c>
      <c r="G147" s="85"/>
      <c r="H147" s="85"/>
      <c r="I147" s="89"/>
      <c r="J147" s="79"/>
      <c r="K147" s="79"/>
      <c r="L147" s="79"/>
      <c r="S147" s="1038"/>
      <c r="T147" s="79"/>
      <c r="U147" s="79"/>
      <c r="V147" s="866"/>
      <c r="W147" s="484"/>
      <c r="X147" s="79"/>
      <c r="Y147" s="877"/>
      <c r="Z147" s="79"/>
    </row>
    <row r="148" spans="1:26" s="518" customFormat="1" x14ac:dyDescent="0.25">
      <c r="A148" s="79"/>
      <c r="B148" s="79"/>
      <c r="C148" s="85"/>
      <c r="D148" s="85"/>
      <c r="E148" s="85"/>
      <c r="S148" s="1038"/>
      <c r="T148" s="484"/>
      <c r="U148" s="79"/>
      <c r="V148" s="877"/>
      <c r="W148" s="79"/>
    </row>
    <row r="149" spans="1:26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S149" s="1038"/>
      <c r="T149" s="484"/>
      <c r="U149" s="79"/>
      <c r="V149" s="877"/>
      <c r="W149" s="79"/>
    </row>
    <row r="150" spans="1:26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216"/>
      <c r="J150" s="769"/>
      <c r="K150" s="866"/>
      <c r="L150" s="769"/>
      <c r="M150" s="1849"/>
      <c r="N150" s="769"/>
      <c r="O150" s="1849"/>
      <c r="P150" s="177"/>
      <c r="Q150" s="769"/>
      <c r="R150" s="1210"/>
      <c r="S150" s="1038"/>
      <c r="T150" s="484"/>
      <c r="U150" s="79"/>
      <c r="V150" s="877"/>
      <c r="W150" s="79"/>
    </row>
    <row r="151" spans="1:26" s="518" customFormat="1" x14ac:dyDescent="0.25">
      <c r="A151" s="79"/>
      <c r="B151" s="79"/>
      <c r="C151" s="79"/>
      <c r="D151" s="79"/>
      <c r="E151" s="79"/>
      <c r="F151" s="79"/>
      <c r="G151" s="79"/>
      <c r="H151" s="79"/>
      <c r="K151" s="866"/>
      <c r="M151" s="866"/>
      <c r="N151" s="1848"/>
      <c r="O151" s="1848"/>
      <c r="P151" s="1848"/>
      <c r="Q151" s="1848"/>
      <c r="R151" s="1210"/>
      <c r="S151" s="1038"/>
      <c r="T151" s="484"/>
      <c r="U151" s="79"/>
      <c r="V151" s="877"/>
      <c r="W151" s="79"/>
    </row>
    <row r="152" spans="1:26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L152" s="769"/>
      <c r="M152" s="866"/>
      <c r="N152" s="769"/>
      <c r="O152" s="866"/>
      <c r="P152" s="1210"/>
      <c r="Q152" s="1038"/>
      <c r="R152" s="1210"/>
      <c r="S152" s="1038"/>
      <c r="T152" s="484"/>
      <c r="U152" s="79"/>
      <c r="V152" s="877"/>
      <c r="W152" s="79"/>
    </row>
    <row r="153" spans="1:26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8"/>
      <c r="L153" s="769"/>
      <c r="M153" s="868"/>
      <c r="N153" s="769"/>
      <c r="O153" s="868"/>
      <c r="P153" s="1210"/>
      <c r="Q153" s="1038"/>
      <c r="R153" s="1210"/>
      <c r="S153" s="1038"/>
      <c r="T153" s="484"/>
      <c r="U153" s="79"/>
      <c r="V153" s="877"/>
      <c r="W153" s="79"/>
    </row>
    <row r="154" spans="1:26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6"/>
      <c r="L154" s="769"/>
      <c r="M154" s="866"/>
      <c r="N154" s="769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6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79"/>
      <c r="J155" s="770"/>
      <c r="K155" s="866"/>
      <c r="L155" s="770"/>
      <c r="M155" s="866"/>
      <c r="N155" s="770"/>
      <c r="O155" s="866"/>
      <c r="P155" s="1210"/>
      <c r="Q155" s="1038"/>
      <c r="R155" s="1210"/>
      <c r="S155" s="1038"/>
      <c r="T155" s="484"/>
      <c r="U155" s="79"/>
      <c r="V155" s="877"/>
      <c r="W155" s="79"/>
    </row>
    <row r="156" spans="1:26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L156" s="769"/>
      <c r="M156" s="868"/>
      <c r="N156" s="769"/>
      <c r="O156" s="868"/>
      <c r="P156" s="1210"/>
      <c r="Q156" s="1038"/>
      <c r="R156" s="1210"/>
      <c r="S156" s="1038"/>
      <c r="T156" s="484"/>
      <c r="U156" s="79"/>
      <c r="V156" s="877"/>
      <c r="W156" s="79"/>
    </row>
    <row r="157" spans="1:26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6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629"/>
      <c r="J158" s="769"/>
      <c r="K158" s="866"/>
      <c r="L158" s="769"/>
      <c r="M158" s="866"/>
      <c r="N158" s="769"/>
      <c r="O158" s="866"/>
      <c r="P158" s="1210"/>
      <c r="Q158" s="1038"/>
      <c r="R158" s="1210"/>
      <c r="S158" s="1038"/>
      <c r="T158" s="484"/>
      <c r="U158" s="79"/>
      <c r="V158" s="877"/>
      <c r="W158" s="79"/>
    </row>
    <row r="159" spans="1:26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1210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1210"/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1210"/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1210"/>
      <c r="Q163" s="1038"/>
      <c r="R163" s="1210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1210"/>
      <c r="Q164" s="1038"/>
      <c r="R164" s="1210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P165" s="1210"/>
      <c r="Q165" s="1038"/>
      <c r="R165" s="1210"/>
      <c r="S165" s="1038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769"/>
      <c r="O167" s="866"/>
      <c r="T167" s="484"/>
      <c r="U167" s="79"/>
      <c r="V167" s="877"/>
      <c r="W167" s="79"/>
    </row>
    <row r="168" spans="1:23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79"/>
      <c r="Q168" s="79"/>
      <c r="R168" s="79"/>
      <c r="S168" s="79"/>
      <c r="T168" s="484"/>
      <c r="U168" s="79"/>
      <c r="V168" s="877"/>
      <c r="W168" s="79"/>
    </row>
    <row r="169" spans="1:23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81"/>
      <c r="Q169" s="755"/>
      <c r="R169" s="81"/>
      <c r="S169" s="755"/>
      <c r="T169" s="484"/>
      <c r="U169" s="79"/>
      <c r="V169" s="877"/>
      <c r="W169" s="79"/>
    </row>
    <row r="170" spans="1:23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868"/>
      <c r="Q170" s="79"/>
      <c r="R170" s="868"/>
      <c r="S170" s="79"/>
      <c r="T170" s="484"/>
      <c r="U170" s="79"/>
      <c r="V170" s="877"/>
      <c r="W170" s="79"/>
    </row>
    <row r="171" spans="1:23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754"/>
      <c r="Q171" s="886"/>
      <c r="R171" s="754"/>
      <c r="S171" s="886"/>
      <c r="T171" s="484"/>
      <c r="U171" s="79"/>
      <c r="V171" s="877"/>
      <c r="W171" s="79"/>
    </row>
    <row r="172" spans="1:23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769"/>
      <c r="O172" s="868"/>
      <c r="P172" s="864"/>
      <c r="Q172" s="864"/>
      <c r="R172" s="864"/>
      <c r="S172" s="864"/>
      <c r="T172" s="484"/>
      <c r="U172" s="79"/>
      <c r="V172" s="877"/>
      <c r="W172" s="79"/>
    </row>
    <row r="173" spans="1:23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864"/>
      <c r="Q173" s="1032"/>
      <c r="R173" s="864"/>
      <c r="S173" s="1032"/>
      <c r="T173" s="484"/>
      <c r="U173" s="79"/>
      <c r="V173" s="877"/>
      <c r="W173" s="79"/>
    </row>
    <row r="174" spans="1:23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864"/>
      <c r="Q174" s="1032"/>
      <c r="R174" s="864"/>
      <c r="S174" s="1032"/>
      <c r="T174" s="484"/>
      <c r="U174" s="79"/>
      <c r="V174" s="877"/>
      <c r="W174" s="79"/>
    </row>
    <row r="175" spans="1:23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8"/>
      <c r="L175" s="769"/>
      <c r="M175" s="868"/>
      <c r="N175" s="769"/>
      <c r="O175" s="868"/>
      <c r="P175" s="85"/>
      <c r="Q175" s="795"/>
      <c r="R175" s="85"/>
      <c r="S175" s="795"/>
      <c r="T175" s="484"/>
      <c r="U175" s="79"/>
      <c r="V175" s="877"/>
      <c r="W175" s="79"/>
    </row>
    <row r="176" spans="1:23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85"/>
      <c r="Q176" s="177"/>
      <c r="R176" s="85"/>
      <c r="S176" s="177"/>
      <c r="T176" s="484"/>
      <c r="U176" s="79"/>
      <c r="V176" s="877"/>
      <c r="W176" s="79"/>
    </row>
    <row r="177" spans="1:23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769"/>
      <c r="O177" s="866"/>
      <c r="P177" s="85"/>
      <c r="Q177" s="177"/>
      <c r="R177" s="85"/>
      <c r="S177" s="177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177" t="s">
        <v>280</v>
      </c>
      <c r="R178" s="85"/>
      <c r="S178" s="177" t="s">
        <v>280</v>
      </c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177"/>
      <c r="R179" s="85"/>
      <c r="S179" s="177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85"/>
      <c r="Q180" s="866"/>
      <c r="R180" s="85"/>
      <c r="S180" s="866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769"/>
      <c r="O181" s="868"/>
      <c r="P181" s="769"/>
      <c r="Q181" s="216"/>
      <c r="R181" s="769"/>
      <c r="S181" s="216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6"/>
      <c r="L182" s="769"/>
      <c r="M182" s="866"/>
      <c r="N182" s="769"/>
      <c r="O182" s="866"/>
      <c r="P182" s="79"/>
      <c r="Q182" s="216"/>
      <c r="R182" s="79"/>
      <c r="S182" s="216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223"/>
      <c r="K183" s="629"/>
      <c r="L183" s="223"/>
      <c r="M183" s="629"/>
      <c r="N183" s="223"/>
      <c r="O183" s="629"/>
      <c r="P183" s="769"/>
      <c r="Q183" s="868"/>
      <c r="R183" s="769"/>
      <c r="S183" s="86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56"/>
      <c r="K184" s="756"/>
      <c r="L184" s="756"/>
      <c r="M184" s="756"/>
      <c r="N184" s="756"/>
      <c r="O184" s="756"/>
      <c r="P184" s="769"/>
      <c r="Q184" s="868"/>
      <c r="R184" s="769"/>
      <c r="S184" s="86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868"/>
      <c r="R185" s="769"/>
      <c r="S185" s="86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79"/>
      <c r="R186" s="769"/>
      <c r="S186" s="79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85"/>
      <c r="K189" s="85"/>
      <c r="L189" s="85"/>
      <c r="M189" s="85"/>
      <c r="N189" s="85"/>
      <c r="O189" s="85"/>
      <c r="P189" s="1517"/>
      <c r="Q189" s="79"/>
      <c r="R189" s="1517"/>
      <c r="S189" s="79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868"/>
      <c r="R190" s="79"/>
      <c r="S190" s="86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89"/>
      <c r="Q191" s="79"/>
      <c r="R191" s="89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769"/>
      <c r="S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69"/>
      <c r="Q195" s="866"/>
      <c r="R195" s="769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85"/>
      <c r="K196" s="85"/>
      <c r="L196" s="85"/>
      <c r="M196" s="85"/>
      <c r="N196" s="85"/>
      <c r="O196" s="85"/>
      <c r="Q196" s="866"/>
      <c r="S196" s="866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6"/>
      <c r="R197" s="769"/>
      <c r="S197" s="866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8"/>
      <c r="R198" s="769"/>
      <c r="S198" s="868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6"/>
      <c r="R199" s="769"/>
      <c r="S199" s="866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70"/>
      <c r="Q200" s="866"/>
      <c r="R200" s="770"/>
      <c r="S200" s="866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8"/>
      <c r="R201" s="769"/>
      <c r="S201" s="868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69"/>
      <c r="Q202" s="866"/>
      <c r="R202" s="769"/>
      <c r="S202" s="86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71"/>
      <c r="L203" s="771"/>
      <c r="N203" s="771"/>
      <c r="P203" s="769"/>
      <c r="Q203" s="866"/>
      <c r="R203" s="769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69"/>
      <c r="Q204" s="866"/>
      <c r="R204" s="769"/>
      <c r="S204" s="866"/>
      <c r="T204" s="484"/>
      <c r="U204" s="79"/>
      <c r="V204" s="877"/>
      <c r="W204" s="79"/>
    </row>
    <row r="205" spans="1:23" x14ac:dyDescent="0.25">
      <c r="P205" s="769"/>
      <c r="Q205" s="866"/>
      <c r="R205" s="769"/>
      <c r="S205" s="866"/>
    </row>
    <row r="206" spans="1:23" x14ac:dyDescent="0.25">
      <c r="P206" s="769"/>
      <c r="Q206" s="866"/>
      <c r="R206" s="769"/>
      <c r="S206" s="866"/>
    </row>
    <row r="207" spans="1:23" x14ac:dyDescent="0.25">
      <c r="P207" s="769"/>
      <c r="Q207" s="866"/>
      <c r="R207" s="769"/>
      <c r="S207" s="866"/>
    </row>
    <row r="208" spans="1:23" x14ac:dyDescent="0.25">
      <c r="P208" s="769"/>
      <c r="Q208" s="866"/>
      <c r="R208" s="769"/>
      <c r="S208" s="866"/>
    </row>
    <row r="209" spans="1:23" x14ac:dyDescent="0.25">
      <c r="P209" s="769"/>
      <c r="Q209" s="866"/>
      <c r="R209" s="769"/>
      <c r="S209" s="866"/>
    </row>
    <row r="210" spans="1:23" x14ac:dyDescent="0.25">
      <c r="P210" s="769"/>
      <c r="Q210" s="866"/>
      <c r="R210" s="769"/>
      <c r="S210" s="866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6"/>
      <c r="R211" s="769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6"/>
      <c r="R212" s="769"/>
      <c r="S212" s="866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769"/>
      <c r="S213" s="868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769"/>
      <c r="S214" s="868"/>
      <c r="T214" s="484"/>
      <c r="U214" s="79"/>
      <c r="V214" s="877"/>
      <c r="W214" s="79"/>
    </row>
    <row r="215" spans="1:23" x14ac:dyDescent="0.25">
      <c r="P215" s="769"/>
      <c r="Q215" s="868"/>
      <c r="R215" s="769"/>
      <c r="S215" s="868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769"/>
      <c r="Q216" s="868"/>
      <c r="R216" s="769"/>
      <c r="S216" s="868"/>
      <c r="T216" s="484"/>
      <c r="U216" s="79"/>
      <c r="V216" s="877"/>
      <c r="W216" s="79"/>
    </row>
    <row r="217" spans="1:23" x14ac:dyDescent="0.25">
      <c r="P217" s="769"/>
      <c r="Q217" s="868"/>
      <c r="R217" s="769"/>
      <c r="S217" s="868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629"/>
      <c r="L218" s="79"/>
      <c r="M218" s="629"/>
      <c r="N218" s="79"/>
      <c r="O218" s="629"/>
      <c r="P218" s="769"/>
      <c r="Q218" s="866"/>
      <c r="R218" s="769"/>
      <c r="S218" s="866"/>
      <c r="T218" s="484"/>
      <c r="U218" s="79"/>
      <c r="V218" s="877"/>
      <c r="W218" s="79"/>
    </row>
    <row r="219" spans="1:23" x14ac:dyDescent="0.25">
      <c r="P219" s="769"/>
      <c r="Q219" s="866"/>
      <c r="R219" s="769"/>
      <c r="S219" s="866"/>
    </row>
    <row r="220" spans="1:23" x14ac:dyDescent="0.25">
      <c r="P220" s="769"/>
      <c r="Q220" s="868"/>
      <c r="R220" s="769"/>
      <c r="S220" s="868"/>
    </row>
    <row r="221" spans="1:23" x14ac:dyDescent="0.25">
      <c r="P221" s="769"/>
      <c r="Q221" s="866"/>
      <c r="R221" s="769"/>
      <c r="S221" s="866"/>
    </row>
    <row r="222" spans="1:23" x14ac:dyDescent="0.25">
      <c r="P222" s="769"/>
      <c r="Q222" s="866"/>
      <c r="R222" s="769"/>
      <c r="S222" s="866"/>
    </row>
    <row r="223" spans="1:23" x14ac:dyDescent="0.25">
      <c r="P223" s="769"/>
      <c r="Q223" s="868"/>
      <c r="R223" s="769"/>
      <c r="S223" s="868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8"/>
      <c r="R226" s="769"/>
      <c r="S226" s="868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6"/>
      <c r="R227" s="769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223"/>
      <c r="Q228" s="629"/>
      <c r="R228" s="223"/>
      <c r="S228" s="629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56"/>
      <c r="Q229" s="756"/>
      <c r="R229" s="756"/>
      <c r="S229" s="756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79"/>
      <c r="S230" s="79"/>
      <c r="T230" s="484"/>
      <c r="U230" s="79"/>
      <c r="V230" s="877"/>
      <c r="W230" s="79"/>
    </row>
    <row r="231" spans="1:23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79"/>
      <c r="S231" s="79"/>
      <c r="T231" s="484"/>
      <c r="U231" s="79"/>
      <c r="V231" s="877"/>
      <c r="W231" s="79"/>
    </row>
    <row r="232" spans="1:23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216"/>
      <c r="P232" s="79"/>
      <c r="Q232" s="79"/>
      <c r="R232" s="79"/>
      <c r="S232" s="79"/>
      <c r="T232" s="484"/>
      <c r="U232" s="79"/>
      <c r="V232" s="877"/>
      <c r="W232" s="79"/>
    </row>
    <row r="234" spans="1:23" x14ac:dyDescent="0.25">
      <c r="P234" s="85"/>
      <c r="Q234" s="85"/>
      <c r="R234" s="85"/>
      <c r="S234" s="85"/>
    </row>
    <row r="241" spans="1:44" x14ac:dyDescent="0.25">
      <c r="P241" s="85"/>
      <c r="Q241" s="85"/>
      <c r="R241" s="85"/>
      <c r="S241" s="85"/>
    </row>
    <row r="245" spans="1:44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U245" s="79"/>
      <c r="V245" s="877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</row>
    <row r="246" spans="1:44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U246" s="79"/>
      <c r="V246" s="877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</row>
    <row r="247" spans="1:44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U247" s="79"/>
      <c r="V247" s="877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</row>
    <row r="248" spans="1:44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71"/>
      <c r="Q248" s="518"/>
      <c r="R248" s="771"/>
      <c r="S248" s="518"/>
      <c r="U248" s="79"/>
      <c r="V248" s="877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</row>
    <row r="249" spans="1:44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U249" s="79"/>
      <c r="V249" s="877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R256" s="79"/>
      <c r="S256" s="216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R257" s="79"/>
      <c r="S257" s="216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R258" s="79"/>
      <c r="S258" s="216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59" spans="1:44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R259" s="79"/>
      <c r="S259" s="216"/>
      <c r="U259" s="79"/>
      <c r="V259" s="877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</row>
    <row r="261" spans="1:44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R261" s="79"/>
      <c r="S261" s="216"/>
      <c r="U261" s="79"/>
      <c r="V261" s="877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</row>
    <row r="263" spans="1:44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629"/>
      <c r="R263" s="79"/>
      <c r="S263" s="629"/>
      <c r="U263" s="79"/>
      <c r="V263" s="877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R271" s="79"/>
      <c r="S271" s="216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R273" s="79"/>
      <c r="S273" s="216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R274" s="79"/>
      <c r="S274" s="216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R275" s="79"/>
      <c r="S275" s="216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R276" s="79"/>
      <c r="S276" s="216"/>
      <c r="U276" s="79"/>
      <c r="V276" s="877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</row>
    <row r="277" spans="1:44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216"/>
      <c r="R277" s="79"/>
      <c r="S277" s="216"/>
      <c r="U277" s="79"/>
      <c r="V277" s="877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</row>
  </sheetData>
  <autoFilter ref="A2:I142" xr:uid="{00000000-0009-0000-0000-000087000000}"/>
  <mergeCells count="18">
    <mergeCell ref="R2:S3"/>
    <mergeCell ref="A121:E121"/>
    <mergeCell ref="A122:E122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44:D144"/>
    <mergeCell ref="B145:D145"/>
    <mergeCell ref="L2:M3"/>
    <mergeCell ref="N2:O3"/>
    <mergeCell ref="P2:Q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Planilha6"/>
  <dimension ref="A1:AR288"/>
  <sheetViews>
    <sheetView zoomScale="85" zoomScaleNormal="85" workbookViewId="0">
      <pane ySplit="5" topLeftCell="A121" activePane="bottomLeft" state="frozen"/>
      <selection pane="bottomLeft" activeCell="M147" sqref="M147:U14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3726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45047</v>
      </c>
      <c r="B5" s="369" t="s">
        <v>10</v>
      </c>
      <c r="C5" s="370"/>
      <c r="D5" s="370"/>
      <c r="E5" s="777"/>
      <c r="F5" s="179"/>
      <c r="G5" s="933">
        <f>'Abril-23'!G122</f>
        <v>1189.1195833333613</v>
      </c>
      <c r="H5" s="163"/>
      <c r="I5" s="1479">
        <f>'Abril-23'!I122</f>
        <v>299.99599999999919</v>
      </c>
      <c r="J5" s="179"/>
      <c r="K5" s="933">
        <f>'Abril-23'!K122</f>
        <v>19110.760000000002</v>
      </c>
      <c r="L5" s="179"/>
      <c r="M5" s="933">
        <f>'Abril-23'!M122</f>
        <v>7315.9500000000016</v>
      </c>
      <c r="N5" s="179"/>
      <c r="O5" s="933">
        <f>'Abril-23'!O122</f>
        <v>2196</v>
      </c>
      <c r="P5" s="179"/>
      <c r="Q5" s="1479">
        <f>'Abril-23'!Q122</f>
        <v>8130.5299999999979</v>
      </c>
      <c r="R5" s="179"/>
      <c r="S5" s="933">
        <f>'Abril-23'!S122</f>
        <v>40390.405984720011</v>
      </c>
    </row>
    <row r="6" spans="1:23" s="224" customFormat="1" x14ac:dyDescent="0.25">
      <c r="A6" s="215">
        <v>45047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224" customFormat="1" ht="15" customHeight="1" x14ac:dyDescent="0.25">
      <c r="A7" s="215">
        <v>45047</v>
      </c>
      <c r="B7" s="882" t="s">
        <v>138</v>
      </c>
      <c r="C7" s="879" t="s">
        <v>12</v>
      </c>
      <c r="D7" s="879" t="s">
        <v>2157</v>
      </c>
      <c r="E7" s="875" t="s">
        <v>13</v>
      </c>
      <c r="F7" s="780">
        <v>80</v>
      </c>
      <c r="G7" s="982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</row>
    <row r="8" spans="1:23" s="224" customFormat="1" x14ac:dyDescent="0.25">
      <c r="A8" s="215">
        <v>45047</v>
      </c>
      <c r="B8" s="882" t="s">
        <v>3727</v>
      </c>
      <c r="C8" s="879" t="s">
        <v>12</v>
      </c>
      <c r="D8" s="879" t="s">
        <v>1523</v>
      </c>
      <c r="E8" s="875" t="s">
        <v>13</v>
      </c>
      <c r="F8" s="1279">
        <v>5.6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224" customFormat="1" ht="15" customHeight="1" x14ac:dyDescent="0.25">
      <c r="A9" s="215">
        <v>45047</v>
      </c>
      <c r="B9" s="1275" t="s">
        <v>3728</v>
      </c>
      <c r="C9" s="1276" t="s">
        <v>19</v>
      </c>
      <c r="D9" s="879" t="s">
        <v>1523</v>
      </c>
      <c r="E9" s="871" t="s">
        <v>13</v>
      </c>
      <c r="F9" s="780">
        <v>70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1063"/>
      <c r="R9" s="622"/>
      <c r="S9" s="982"/>
      <c r="T9" s="861"/>
      <c r="V9" s="927"/>
      <c r="W9" s="999"/>
    </row>
    <row r="10" spans="1:23" s="224" customFormat="1" ht="15" customHeight="1" x14ac:dyDescent="0.25">
      <c r="A10" s="215">
        <v>45047</v>
      </c>
      <c r="B10" s="882" t="s">
        <v>3729</v>
      </c>
      <c r="C10" s="879" t="s">
        <v>19</v>
      </c>
      <c r="D10" s="879" t="s">
        <v>1523</v>
      </c>
      <c r="E10" s="871" t="s">
        <v>13</v>
      </c>
      <c r="F10" s="780">
        <v>67</v>
      </c>
      <c r="G10" s="982"/>
      <c r="H10" s="622"/>
      <c r="I10" s="982"/>
      <c r="J10" s="622"/>
      <c r="K10" s="982"/>
      <c r="L10" s="622"/>
      <c r="M10" s="982"/>
      <c r="N10" s="622"/>
      <c r="O10" s="1063"/>
      <c r="P10" s="622"/>
      <c r="Q10" s="1063"/>
      <c r="R10" s="622"/>
      <c r="S10" s="982"/>
      <c r="T10" s="1080"/>
      <c r="U10" s="927"/>
      <c r="V10" s="878"/>
    </row>
    <row r="11" spans="1:23" s="224" customFormat="1" ht="15" customHeight="1" x14ac:dyDescent="0.25">
      <c r="A11" s="215">
        <v>45047</v>
      </c>
      <c r="B11" s="1275" t="s">
        <v>3730</v>
      </c>
      <c r="C11" s="1276" t="s">
        <v>19</v>
      </c>
      <c r="D11" s="879" t="s">
        <v>1523</v>
      </c>
      <c r="E11" s="871" t="s">
        <v>13</v>
      </c>
      <c r="F11" s="780">
        <v>33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>
        <v>273.52999999999997</v>
      </c>
      <c r="V11" s="927"/>
      <c r="W11" s="999"/>
    </row>
    <row r="12" spans="1:23" s="224" customFormat="1" ht="15" customHeight="1" x14ac:dyDescent="0.25">
      <c r="A12" s="215">
        <v>45047</v>
      </c>
      <c r="B12" s="1275" t="s">
        <v>3731</v>
      </c>
      <c r="C12" s="1276" t="s">
        <v>19</v>
      </c>
      <c r="D12" s="879" t="s">
        <v>1523</v>
      </c>
      <c r="E12" s="871" t="s">
        <v>13</v>
      </c>
      <c r="F12" s="780">
        <v>33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622"/>
      <c r="Q12" s="1063"/>
      <c r="R12" s="622"/>
      <c r="S12" s="982"/>
      <c r="T12" s="861"/>
      <c r="V12" s="927"/>
      <c r="W12" s="999"/>
    </row>
    <row r="13" spans="1:23" s="224" customFormat="1" ht="15" customHeight="1" x14ac:dyDescent="0.25">
      <c r="A13" s="215">
        <v>45047</v>
      </c>
      <c r="B13" s="882" t="s">
        <v>3732</v>
      </c>
      <c r="C13" s="879" t="s">
        <v>19</v>
      </c>
      <c r="D13" s="879" t="s">
        <v>1523</v>
      </c>
      <c r="E13" s="871" t="s">
        <v>13</v>
      </c>
      <c r="F13" s="780">
        <v>36</v>
      </c>
      <c r="G13" s="982"/>
      <c r="H13" s="622"/>
      <c r="I13" s="982"/>
      <c r="J13" s="622"/>
      <c r="K13" s="982"/>
      <c r="L13" s="622"/>
      <c r="M13" s="982"/>
      <c r="N13" s="622"/>
      <c r="O13" s="1063"/>
      <c r="P13" s="622"/>
      <c r="Q13" s="1063"/>
      <c r="R13" s="622"/>
      <c r="S13" s="982"/>
      <c r="T13" s="1080"/>
      <c r="U13" s="927"/>
      <c r="V13" s="878"/>
    </row>
    <row r="14" spans="1:23" s="224" customFormat="1" ht="15" customHeight="1" x14ac:dyDescent="0.25">
      <c r="A14" s="215">
        <v>45048</v>
      </c>
      <c r="B14" s="882" t="s">
        <v>32</v>
      </c>
      <c r="C14" s="879" t="s">
        <v>12</v>
      </c>
      <c r="D14" s="879" t="s">
        <v>1485</v>
      </c>
      <c r="E14" s="871" t="s">
        <v>15</v>
      </c>
      <c r="F14" s="780">
        <v>20</v>
      </c>
      <c r="G14" s="946"/>
      <c r="H14" s="95"/>
      <c r="I14" s="1064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861"/>
      <c r="V14" s="927"/>
      <c r="W14" s="999"/>
    </row>
    <row r="15" spans="1:23" s="224" customFormat="1" ht="15" customHeight="1" x14ac:dyDescent="0.25">
      <c r="A15" s="215">
        <v>45049</v>
      </c>
      <c r="B15" s="882" t="s">
        <v>32</v>
      </c>
      <c r="C15" s="879" t="s">
        <v>12</v>
      </c>
      <c r="D15" s="879" t="s">
        <v>1485</v>
      </c>
      <c r="E15" s="871" t="s">
        <v>15</v>
      </c>
      <c r="F15" s="780">
        <v>20</v>
      </c>
      <c r="G15" s="946"/>
      <c r="H15" s="95"/>
      <c r="I15" s="1064"/>
      <c r="J15" s="622"/>
      <c r="K15" s="982"/>
      <c r="L15" s="622"/>
      <c r="M15" s="982"/>
      <c r="N15" s="622"/>
      <c r="O15" s="982"/>
      <c r="P15" s="622"/>
      <c r="Q15" s="1063"/>
      <c r="R15" s="622"/>
      <c r="S15" s="982"/>
      <c r="T15" s="861"/>
      <c r="V15" s="927"/>
      <c r="W15" s="999"/>
    </row>
    <row r="16" spans="1:23" s="224" customFormat="1" ht="15" customHeight="1" x14ac:dyDescent="0.25">
      <c r="A16" s="215">
        <v>45049</v>
      </c>
      <c r="B16" s="1275" t="s">
        <v>14</v>
      </c>
      <c r="C16" s="1276" t="s">
        <v>12</v>
      </c>
      <c r="D16" s="1276" t="s">
        <v>1486</v>
      </c>
      <c r="E16" s="1286" t="s">
        <v>13</v>
      </c>
      <c r="F16" s="780">
        <v>8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1063"/>
      <c r="R16" s="622"/>
      <c r="S16" s="982"/>
      <c r="T16" s="1080"/>
      <c r="U16" s="927"/>
      <c r="V16" s="878"/>
    </row>
    <row r="17" spans="1:44" s="224" customFormat="1" ht="15" customHeight="1" x14ac:dyDescent="0.25">
      <c r="A17" s="215">
        <v>45050</v>
      </c>
      <c r="B17" s="882" t="s">
        <v>32</v>
      </c>
      <c r="C17" s="879" t="s">
        <v>12</v>
      </c>
      <c r="D17" s="879" t="s">
        <v>1485</v>
      </c>
      <c r="E17" s="871" t="s">
        <v>13</v>
      </c>
      <c r="F17" s="780">
        <v>20</v>
      </c>
      <c r="G17" s="946"/>
      <c r="H17" s="95"/>
      <c r="I17" s="1064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861"/>
      <c r="V17" s="927"/>
      <c r="W17" s="999"/>
    </row>
    <row r="18" spans="1:44" s="1274" customFormat="1" ht="15" customHeight="1" x14ac:dyDescent="0.25">
      <c r="A18" s="215">
        <v>45050</v>
      </c>
      <c r="B18" s="1275" t="s">
        <v>17</v>
      </c>
      <c r="C18" s="1276" t="s">
        <v>12</v>
      </c>
      <c r="D18" s="1276" t="s">
        <v>1493</v>
      </c>
      <c r="E18" s="1286" t="s">
        <v>13</v>
      </c>
      <c r="F18" s="780">
        <v>7</v>
      </c>
      <c r="G18" s="1278"/>
      <c r="H18" s="1282"/>
      <c r="I18" s="1283"/>
      <c r="J18" s="1279"/>
      <c r="K18" s="1278"/>
      <c r="L18" s="1279"/>
      <c r="M18" s="1278"/>
      <c r="N18" s="1279"/>
      <c r="O18" s="1278"/>
      <c r="P18" s="1279"/>
      <c r="Q18" s="1283"/>
      <c r="R18" s="1702"/>
      <c r="S18" s="1703"/>
      <c r="T18" s="1281"/>
      <c r="V18" s="1281"/>
      <c r="W18" s="1294"/>
    </row>
    <row r="19" spans="1:44" s="224" customFormat="1" ht="15" customHeight="1" x14ac:dyDescent="0.25">
      <c r="A19" s="215">
        <v>45050</v>
      </c>
      <c r="B19" s="882" t="s">
        <v>138</v>
      </c>
      <c r="C19" s="879" t="s">
        <v>12</v>
      </c>
      <c r="D19" s="879" t="s">
        <v>2157</v>
      </c>
      <c r="E19" s="875" t="s">
        <v>15</v>
      </c>
      <c r="F19" s="780">
        <v>100</v>
      </c>
      <c r="G19" s="982"/>
      <c r="H19" s="95"/>
      <c r="I19" s="1064"/>
      <c r="J19" s="622"/>
      <c r="K19" s="982"/>
      <c r="L19" s="622"/>
      <c r="M19" s="982"/>
      <c r="N19" s="622"/>
      <c r="O19" s="982"/>
      <c r="P19" s="622"/>
      <c r="Q19" s="1063"/>
      <c r="R19" s="622"/>
      <c r="S19" s="982"/>
      <c r="T19" s="861"/>
    </row>
    <row r="20" spans="1:44" s="224" customFormat="1" ht="15" customHeight="1" x14ac:dyDescent="0.25">
      <c r="A20" s="215">
        <v>45050</v>
      </c>
      <c r="B20" s="1275" t="s">
        <v>1906</v>
      </c>
      <c r="C20" s="1276" t="s">
        <v>12</v>
      </c>
      <c r="D20" s="1276" t="s">
        <v>1493</v>
      </c>
      <c r="E20" s="1286" t="s">
        <v>13</v>
      </c>
      <c r="F20" s="780">
        <v>16</v>
      </c>
      <c r="G20" s="982"/>
      <c r="H20" s="622"/>
      <c r="I20" s="982"/>
      <c r="J20" s="622"/>
      <c r="K20" s="982"/>
      <c r="L20" s="622"/>
      <c r="M20" s="982"/>
      <c r="N20" s="622"/>
      <c r="O20" s="1063"/>
      <c r="P20" s="622"/>
      <c r="Q20" s="1063"/>
      <c r="R20" s="622"/>
      <c r="S20" s="982"/>
      <c r="T20" s="1080"/>
      <c r="U20" s="927"/>
      <c r="V20" s="878"/>
    </row>
    <row r="21" spans="1:44" s="224" customFormat="1" ht="15.75" customHeight="1" x14ac:dyDescent="0.25">
      <c r="A21" s="215">
        <v>45051</v>
      </c>
      <c r="B21" s="873" t="s">
        <v>3733</v>
      </c>
      <c r="C21" s="879" t="s">
        <v>12</v>
      </c>
      <c r="D21" s="874"/>
      <c r="E21" s="871" t="s">
        <v>25</v>
      </c>
      <c r="F21" s="1524"/>
      <c r="G21" s="1002">
        <v>2195.7399999999998</v>
      </c>
      <c r="H21" s="538"/>
      <c r="I21" s="982"/>
      <c r="J21" s="622"/>
      <c r="K21" s="982"/>
      <c r="L21" s="622"/>
      <c r="M21" s="982"/>
      <c r="N21" s="622"/>
      <c r="O21" s="982"/>
      <c r="P21" s="622"/>
      <c r="Q21" s="1063"/>
      <c r="R21" s="622"/>
      <c r="S21" s="982"/>
      <c r="T21" s="178"/>
    </row>
    <row r="22" spans="1:44" s="224" customFormat="1" ht="15" customHeight="1" x14ac:dyDescent="0.25">
      <c r="A22" s="215">
        <v>45051</v>
      </c>
      <c r="B22" s="364" t="s">
        <v>3734</v>
      </c>
      <c r="C22" s="879" t="s">
        <v>12</v>
      </c>
      <c r="D22" s="879"/>
      <c r="E22" s="875" t="s">
        <v>25</v>
      </c>
      <c r="F22" s="780"/>
      <c r="G22" s="982"/>
      <c r="H22" s="622"/>
      <c r="I22" s="982"/>
      <c r="J22" s="622"/>
      <c r="K22" s="982"/>
      <c r="L22" s="622"/>
      <c r="M22" s="982"/>
      <c r="N22" s="622"/>
      <c r="O22" s="982"/>
      <c r="P22" s="622"/>
      <c r="Q22" s="1063"/>
      <c r="R22" s="622"/>
      <c r="S22" s="982">
        <v>420</v>
      </c>
      <c r="T22" s="927"/>
      <c r="U22" s="927"/>
      <c r="V22" s="878"/>
    </row>
    <row r="23" spans="1:44" s="224" customFormat="1" ht="15" customHeight="1" x14ac:dyDescent="0.25">
      <c r="A23" s="215">
        <v>45051</v>
      </c>
      <c r="B23" s="364" t="s">
        <v>1396</v>
      </c>
      <c r="C23" s="879" t="s">
        <v>12</v>
      </c>
      <c r="D23" s="350"/>
      <c r="E23" s="480" t="s">
        <v>25</v>
      </c>
      <c r="F23" s="613"/>
      <c r="G23" s="967">
        <v>100</v>
      </c>
      <c r="H23" s="1008"/>
      <c r="I23" s="1063"/>
      <c r="J23" s="1116"/>
      <c r="K23" s="1207"/>
      <c r="L23" s="622"/>
      <c r="M23" s="982"/>
      <c r="N23" s="622"/>
      <c r="O23" s="982"/>
      <c r="P23" s="1116"/>
      <c r="Q23" s="1736"/>
      <c r="R23" s="1116"/>
      <c r="S23" s="1207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ht="15" customHeight="1" x14ac:dyDescent="0.25">
      <c r="A24" s="215">
        <v>45051</v>
      </c>
      <c r="B24" s="862" t="s">
        <v>3422</v>
      </c>
      <c r="C24" s="879" t="s">
        <v>12</v>
      </c>
      <c r="D24" s="879" t="s">
        <v>1504</v>
      </c>
      <c r="E24" s="871" t="s">
        <v>13</v>
      </c>
      <c r="F24" s="780">
        <v>50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78"/>
      <c r="U24" s="1028"/>
      <c r="V24" s="1035"/>
    </row>
    <row r="25" spans="1:44" s="224" customFormat="1" ht="15" customHeight="1" x14ac:dyDescent="0.25">
      <c r="A25" s="215">
        <v>45051</v>
      </c>
      <c r="B25" s="882" t="s">
        <v>3735</v>
      </c>
      <c r="C25" s="879" t="s">
        <v>12</v>
      </c>
      <c r="D25" s="879" t="s">
        <v>1499</v>
      </c>
      <c r="E25" s="871" t="s">
        <v>13</v>
      </c>
      <c r="F25" s="780">
        <v>66.92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8"/>
      <c r="U25" s="999"/>
      <c r="V25" s="878"/>
    </row>
    <row r="26" spans="1:44" s="224" customFormat="1" ht="15" customHeight="1" x14ac:dyDescent="0.25">
      <c r="A26" s="215">
        <v>45051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300</v>
      </c>
      <c r="G26" s="982"/>
      <c r="H26" s="1008"/>
      <c r="I26" s="1063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028"/>
      <c r="V26" s="1035"/>
    </row>
    <row r="27" spans="1:44" x14ac:dyDescent="0.25">
      <c r="A27" s="215">
        <v>45051</v>
      </c>
      <c r="B27" s="876" t="s">
        <v>3060</v>
      </c>
      <c r="C27" s="879" t="s">
        <v>12</v>
      </c>
      <c r="D27" s="879" t="s">
        <v>1496</v>
      </c>
      <c r="E27" s="871" t="s">
        <v>13</v>
      </c>
      <c r="F27" s="780">
        <v>80</v>
      </c>
      <c r="G27" s="982"/>
      <c r="H27" s="1009"/>
      <c r="I27" s="1063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1029"/>
    </row>
    <row r="28" spans="1:44" s="224" customFormat="1" ht="14.25" customHeight="1" x14ac:dyDescent="0.25">
      <c r="A28" s="215">
        <v>45051</v>
      </c>
      <c r="B28" s="882" t="s">
        <v>3736</v>
      </c>
      <c r="C28" s="879" t="s">
        <v>12</v>
      </c>
      <c r="D28" s="879" t="s">
        <v>3017</v>
      </c>
      <c r="E28" s="875" t="s">
        <v>13</v>
      </c>
      <c r="F28" s="780">
        <v>566.15</v>
      </c>
      <c r="G28" s="982"/>
      <c r="H28" s="1008"/>
      <c r="I28" s="1063"/>
      <c r="J28" s="622"/>
      <c r="K28" s="982">
        <v>566.15</v>
      </c>
      <c r="L28" s="622"/>
      <c r="M28" s="982"/>
      <c r="N28" s="622"/>
      <c r="O28" s="982"/>
      <c r="P28" s="622"/>
      <c r="Q28" s="1063"/>
      <c r="R28" s="622"/>
      <c r="S28" s="982"/>
      <c r="T28" s="861">
        <v>500</v>
      </c>
      <c r="U28" s="878" t="s">
        <v>3018</v>
      </c>
      <c r="V28" s="1035"/>
    </row>
    <row r="29" spans="1:44" s="224" customFormat="1" ht="15" customHeight="1" x14ac:dyDescent="0.25">
      <c r="A29" s="215">
        <v>45051</v>
      </c>
      <c r="B29" s="873" t="s">
        <v>3737</v>
      </c>
      <c r="C29" s="874" t="s">
        <v>12</v>
      </c>
      <c r="D29" s="874" t="s">
        <v>1506</v>
      </c>
      <c r="E29" s="875" t="s">
        <v>13</v>
      </c>
      <c r="F29" s="780">
        <v>100</v>
      </c>
      <c r="G29" s="982"/>
      <c r="H29" s="622"/>
      <c r="I29" s="982"/>
      <c r="J29" s="622"/>
      <c r="K29" s="982"/>
      <c r="L29" s="622"/>
      <c r="M29" s="982"/>
      <c r="N29" s="622"/>
      <c r="O29" s="982"/>
      <c r="P29" s="622"/>
      <c r="Q29" s="1063"/>
      <c r="R29" s="622"/>
      <c r="S29" s="982"/>
      <c r="T29" s="1280">
        <v>175</v>
      </c>
      <c r="U29" s="927"/>
      <c r="V29" s="878"/>
    </row>
    <row r="30" spans="1:44" s="224" customFormat="1" ht="15" customHeight="1" x14ac:dyDescent="0.25">
      <c r="A30" s="215">
        <v>45051</v>
      </c>
      <c r="B30" s="882" t="s">
        <v>32</v>
      </c>
      <c r="C30" s="879" t="s">
        <v>12</v>
      </c>
      <c r="D30" s="879" t="s">
        <v>1485</v>
      </c>
      <c r="E30" s="871" t="s">
        <v>13</v>
      </c>
      <c r="F30" s="780">
        <v>20</v>
      </c>
      <c r="G30" s="946"/>
      <c r="H30" s="95"/>
      <c r="I30" s="1064"/>
      <c r="J30" s="622"/>
      <c r="K30" s="982"/>
      <c r="L30" s="622"/>
      <c r="M30" s="982"/>
      <c r="N30" s="622"/>
      <c r="O30" s="982"/>
      <c r="P30" s="622"/>
      <c r="Q30" s="1063"/>
      <c r="R30" s="622"/>
      <c r="S30" s="982"/>
      <c r="T30" s="861"/>
      <c r="V30" s="927"/>
      <c r="W30" s="999"/>
    </row>
    <row r="31" spans="1:44" s="224" customFormat="1" ht="15" customHeight="1" x14ac:dyDescent="0.25">
      <c r="A31" s="215">
        <v>45051</v>
      </c>
      <c r="B31" s="364" t="s">
        <v>398</v>
      </c>
      <c r="C31" s="983" t="s">
        <v>12</v>
      </c>
      <c r="D31" s="350"/>
      <c r="E31" s="480" t="s">
        <v>13</v>
      </c>
      <c r="F31" s="780">
        <v>300</v>
      </c>
      <c r="G31" s="982"/>
      <c r="H31" s="1009"/>
      <c r="I31" s="982">
        <v>300</v>
      </c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927"/>
      <c r="U31" s="927"/>
      <c r="V31" s="878"/>
    </row>
    <row r="32" spans="1:44" s="224" customFormat="1" ht="15" customHeight="1" x14ac:dyDescent="0.25">
      <c r="A32" s="215">
        <v>45051</v>
      </c>
      <c r="B32" s="873" t="s">
        <v>2629</v>
      </c>
      <c r="C32" s="874" t="s">
        <v>19</v>
      </c>
      <c r="D32" s="874" t="s">
        <v>1489</v>
      </c>
      <c r="E32" s="875" t="s">
        <v>13</v>
      </c>
      <c r="F32" s="780">
        <v>120.96</v>
      </c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280"/>
      <c r="U32" s="927"/>
      <c r="V32" s="878"/>
    </row>
    <row r="33" spans="1:44" s="224" customFormat="1" ht="15" customHeight="1" x14ac:dyDescent="0.25">
      <c r="A33" s="215">
        <v>45052</v>
      </c>
      <c r="B33" s="1688" t="s">
        <v>1906</v>
      </c>
      <c r="C33" s="874" t="s">
        <v>12</v>
      </c>
      <c r="D33" s="874" t="s">
        <v>1493</v>
      </c>
      <c r="E33" s="875" t="s">
        <v>13</v>
      </c>
      <c r="F33" s="780">
        <v>37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927"/>
      <c r="U33" s="927"/>
      <c r="V33" s="878"/>
    </row>
    <row r="34" spans="1:44" s="224" customFormat="1" ht="15" customHeight="1" x14ac:dyDescent="0.25">
      <c r="A34" s="215">
        <v>45053</v>
      </c>
      <c r="B34" s="1275" t="s">
        <v>14</v>
      </c>
      <c r="C34" s="1276" t="s">
        <v>12</v>
      </c>
      <c r="D34" s="1276" t="s">
        <v>1486</v>
      </c>
      <c r="E34" s="1286" t="s">
        <v>13</v>
      </c>
      <c r="F34" s="780">
        <v>8.1999999999999993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1063"/>
      <c r="R34" s="622"/>
      <c r="S34" s="982"/>
      <c r="T34" s="1080"/>
      <c r="U34" s="927"/>
      <c r="V34" s="878"/>
    </row>
    <row r="35" spans="1:44" s="224" customFormat="1" ht="15" customHeight="1" x14ac:dyDescent="0.25">
      <c r="A35" s="215">
        <v>45053</v>
      </c>
      <c r="B35" s="1275" t="s">
        <v>3738</v>
      </c>
      <c r="C35" s="1276" t="s">
        <v>12</v>
      </c>
      <c r="D35" s="1276" t="s">
        <v>1489</v>
      </c>
      <c r="E35" s="1286" t="s">
        <v>13</v>
      </c>
      <c r="F35" s="780">
        <v>4</v>
      </c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927"/>
      <c r="U35" s="927"/>
      <c r="V35" s="878"/>
    </row>
    <row r="36" spans="1:44" s="224" customFormat="1" ht="15" customHeight="1" x14ac:dyDescent="0.25">
      <c r="A36" s="215">
        <v>45054</v>
      </c>
      <c r="B36" s="364" t="s">
        <v>82</v>
      </c>
      <c r="C36" s="350" t="s">
        <v>12</v>
      </c>
      <c r="D36" s="350" t="s">
        <v>1493</v>
      </c>
      <c r="E36" s="875" t="s">
        <v>13</v>
      </c>
      <c r="F36" s="780">
        <v>30</v>
      </c>
      <c r="G36" s="982"/>
      <c r="H36" s="1008"/>
      <c r="I36" s="1063"/>
      <c r="J36" s="622"/>
      <c r="K36" s="982"/>
      <c r="L36" s="622"/>
      <c r="M36" s="982"/>
      <c r="N36" s="622"/>
      <c r="O36" s="982"/>
      <c r="P36" s="622"/>
      <c r="Q36" s="1063"/>
      <c r="R36" s="622"/>
      <c r="S36" s="982"/>
      <c r="T36" s="861"/>
      <c r="V36" s="1035"/>
    </row>
    <row r="37" spans="1:44" s="224" customFormat="1" ht="15" customHeight="1" x14ac:dyDescent="0.25">
      <c r="A37" s="215">
        <v>45054</v>
      </c>
      <c r="B37" s="882" t="s">
        <v>3245</v>
      </c>
      <c r="C37" s="350" t="s">
        <v>12</v>
      </c>
      <c r="D37" s="879"/>
      <c r="E37" s="871" t="s">
        <v>25</v>
      </c>
      <c r="F37" s="780"/>
      <c r="G37" s="982">
        <v>1280.28</v>
      </c>
      <c r="H37" s="622"/>
      <c r="I37" s="982"/>
      <c r="J37" s="622"/>
      <c r="K37" s="982"/>
      <c r="L37" s="622">
        <v>1280.28</v>
      </c>
      <c r="M37" s="982"/>
      <c r="N37" s="622"/>
      <c r="O37" s="982"/>
      <c r="P37" s="622"/>
      <c r="Q37" s="1063"/>
      <c r="R37" s="622"/>
      <c r="S37" s="982"/>
      <c r="T37" s="1080"/>
      <c r="U37" s="927"/>
      <c r="V37" s="878"/>
    </row>
    <row r="38" spans="1:44" s="224" customFormat="1" ht="15" customHeight="1" x14ac:dyDescent="0.25">
      <c r="A38" s="215">
        <v>45054</v>
      </c>
      <c r="B38" s="364" t="s">
        <v>398</v>
      </c>
      <c r="C38" s="983" t="s">
        <v>12</v>
      </c>
      <c r="D38" s="350"/>
      <c r="E38" s="480" t="s">
        <v>13</v>
      </c>
      <c r="F38" s="780">
        <v>1300</v>
      </c>
      <c r="G38" s="982"/>
      <c r="H38" s="1009"/>
      <c r="I38" s="982">
        <v>1300</v>
      </c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927"/>
      <c r="U38" s="927"/>
      <c r="V38" s="878"/>
    </row>
    <row r="39" spans="1:44" s="224" customFormat="1" ht="15" customHeight="1" x14ac:dyDescent="0.25">
      <c r="A39" s="215">
        <v>45054</v>
      </c>
      <c r="B39" s="882" t="s">
        <v>32</v>
      </c>
      <c r="C39" s="879" t="s">
        <v>12</v>
      </c>
      <c r="D39" s="879" t="s">
        <v>1485</v>
      </c>
      <c r="E39" s="871" t="s">
        <v>13</v>
      </c>
      <c r="F39" s="780">
        <v>20</v>
      </c>
      <c r="G39" s="982"/>
      <c r="H39" s="622"/>
      <c r="I39" s="982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1080"/>
      <c r="U39" s="927"/>
      <c r="V39" s="878"/>
    </row>
    <row r="40" spans="1:44" s="224" customFormat="1" ht="15" customHeight="1" x14ac:dyDescent="0.25">
      <c r="A40" s="215">
        <v>45054</v>
      </c>
      <c r="B40" s="1275" t="s">
        <v>3677</v>
      </c>
      <c r="C40" s="1276" t="s">
        <v>12</v>
      </c>
      <c r="D40" s="1276" t="s">
        <v>1486</v>
      </c>
      <c r="E40" s="1286" t="s">
        <v>13</v>
      </c>
      <c r="F40" s="780">
        <v>8.6300000000000008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1063"/>
      <c r="R40" s="622"/>
      <c r="S40" s="982"/>
      <c r="T40" s="1080"/>
      <c r="U40" s="927"/>
      <c r="V40" s="878"/>
    </row>
    <row r="41" spans="1:44" s="224" customFormat="1" ht="15" customHeight="1" x14ac:dyDescent="0.25">
      <c r="A41" s="215">
        <v>45055</v>
      </c>
      <c r="B41" s="882" t="s">
        <v>32</v>
      </c>
      <c r="C41" s="879" t="s">
        <v>12</v>
      </c>
      <c r="D41" s="879" t="s">
        <v>1485</v>
      </c>
      <c r="E41" s="871" t="s">
        <v>13</v>
      </c>
      <c r="F41" s="780">
        <v>20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1063"/>
      <c r="R41" s="622"/>
      <c r="S41" s="982"/>
      <c r="T41" s="1080"/>
      <c r="U41" s="927"/>
      <c r="V41" s="878"/>
    </row>
    <row r="42" spans="1:44" s="224" customFormat="1" ht="15" customHeight="1" x14ac:dyDescent="0.25">
      <c r="A42" s="215">
        <v>45055</v>
      </c>
      <c r="B42" s="882" t="s">
        <v>3739</v>
      </c>
      <c r="C42" s="879" t="s">
        <v>12</v>
      </c>
      <c r="D42" s="879" t="s">
        <v>1525</v>
      </c>
      <c r="E42" s="871" t="s">
        <v>13</v>
      </c>
      <c r="F42" s="780">
        <v>16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1080"/>
      <c r="U42" s="927"/>
      <c r="V42" s="878"/>
    </row>
    <row r="43" spans="1:44" s="224" customFormat="1" ht="15" customHeight="1" x14ac:dyDescent="0.25">
      <c r="A43" s="215">
        <v>45055</v>
      </c>
      <c r="B43" s="1275" t="s">
        <v>14</v>
      </c>
      <c r="C43" s="1276" t="s">
        <v>12</v>
      </c>
      <c r="D43" s="1276" t="s">
        <v>1486</v>
      </c>
      <c r="E43" s="1286" t="s">
        <v>13</v>
      </c>
      <c r="F43" s="780">
        <v>8.4600000000000009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1080"/>
      <c r="U43" s="927"/>
      <c r="V43" s="878"/>
    </row>
    <row r="44" spans="1:44" s="224" customFormat="1" ht="15" customHeight="1" x14ac:dyDescent="0.25">
      <c r="A44" s="215">
        <v>45056</v>
      </c>
      <c r="B44" s="364" t="s">
        <v>3354</v>
      </c>
      <c r="C44" s="350" t="s">
        <v>12</v>
      </c>
      <c r="D44" s="350"/>
      <c r="E44" s="480" t="s">
        <v>25</v>
      </c>
      <c r="F44" s="613"/>
      <c r="G44" s="967"/>
      <c r="H44" s="1008"/>
      <c r="I44" s="1063"/>
      <c r="J44" s="1110"/>
      <c r="K44" s="1207"/>
      <c r="L44" s="880"/>
      <c r="M44" s="1033"/>
      <c r="N44" s="880"/>
      <c r="O44" s="1033"/>
      <c r="P44" s="1116"/>
      <c r="Q44" s="1737"/>
      <c r="R44" s="613"/>
      <c r="S44" s="162">
        <v>132.84</v>
      </c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15">
        <v>45056</v>
      </c>
      <c r="B45" s="882" t="s">
        <v>3740</v>
      </c>
      <c r="C45" s="350" t="s">
        <v>12</v>
      </c>
      <c r="D45" s="879"/>
      <c r="E45" s="871" t="s">
        <v>25</v>
      </c>
      <c r="F45" s="780"/>
      <c r="G45" s="982">
        <v>360.5</v>
      </c>
      <c r="H45" s="622"/>
      <c r="I45" s="982"/>
      <c r="J45" s="622"/>
      <c r="K45" s="982"/>
      <c r="L45" s="622"/>
      <c r="M45" s="982"/>
      <c r="N45" s="622">
        <v>360.5</v>
      </c>
      <c r="O45" s="982"/>
      <c r="P45" s="622"/>
      <c r="Q45" s="1063"/>
      <c r="R45" s="622"/>
      <c r="S45" s="982"/>
      <c r="T45" s="1080">
        <v>360.5</v>
      </c>
      <c r="U45" s="927"/>
      <c r="V45" s="878"/>
    </row>
    <row r="46" spans="1:44" s="224" customFormat="1" ht="15" customHeight="1" x14ac:dyDescent="0.25">
      <c r="A46" s="215">
        <v>45056</v>
      </c>
      <c r="B46" s="882" t="s">
        <v>3741</v>
      </c>
      <c r="C46" s="350" t="s">
        <v>12</v>
      </c>
      <c r="D46" s="879"/>
      <c r="E46" s="871" t="s">
        <v>25</v>
      </c>
      <c r="F46" s="780"/>
      <c r="G46" s="982">
        <v>50</v>
      </c>
      <c r="H46" s="622"/>
      <c r="I46" s="982"/>
      <c r="J46" s="622"/>
      <c r="K46" s="982"/>
      <c r="L46" s="622"/>
      <c r="M46" s="982"/>
      <c r="N46" s="622">
        <v>50</v>
      </c>
      <c r="O46" s="982"/>
      <c r="P46" s="622"/>
      <c r="Q46" s="1063"/>
      <c r="R46" s="622"/>
      <c r="S46" s="982"/>
      <c r="T46" s="1080">
        <v>50</v>
      </c>
      <c r="U46" s="927"/>
      <c r="V46" s="878"/>
    </row>
    <row r="47" spans="1:44" s="224" customFormat="1" ht="15" customHeight="1" x14ac:dyDescent="0.25">
      <c r="A47" s="215">
        <v>45056</v>
      </c>
      <c r="B47" s="364" t="s">
        <v>398</v>
      </c>
      <c r="C47" s="983" t="s">
        <v>12</v>
      </c>
      <c r="D47" s="350"/>
      <c r="E47" s="480" t="s">
        <v>13</v>
      </c>
      <c r="F47" s="780">
        <v>400</v>
      </c>
      <c r="G47" s="982"/>
      <c r="H47" s="1009"/>
      <c r="I47" s="982">
        <v>400</v>
      </c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927"/>
      <c r="U47" s="927"/>
      <c r="V47" s="878"/>
    </row>
    <row r="48" spans="1:44" s="224" customFormat="1" ht="15" customHeight="1" x14ac:dyDescent="0.25">
      <c r="A48" s="215">
        <v>45056</v>
      </c>
      <c r="B48" s="882" t="s">
        <v>32</v>
      </c>
      <c r="C48" s="879" t="s">
        <v>12</v>
      </c>
      <c r="D48" s="879" t="s">
        <v>1485</v>
      </c>
      <c r="E48" s="871" t="s">
        <v>13</v>
      </c>
      <c r="F48" s="780">
        <v>20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1080"/>
      <c r="U48" s="927"/>
      <c r="V48" s="878"/>
    </row>
    <row r="49" spans="1:44" s="224" customFormat="1" ht="15" customHeight="1" x14ac:dyDescent="0.25">
      <c r="A49" s="215">
        <v>45056</v>
      </c>
      <c r="B49" s="1275" t="s">
        <v>14</v>
      </c>
      <c r="C49" s="1276" t="s">
        <v>12</v>
      </c>
      <c r="D49" s="1276" t="s">
        <v>1486</v>
      </c>
      <c r="E49" s="1286" t="s">
        <v>13</v>
      </c>
      <c r="F49" s="780">
        <v>4</v>
      </c>
      <c r="G49" s="982"/>
      <c r="H49" s="622"/>
      <c r="I49" s="982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1080"/>
      <c r="U49" s="927"/>
      <c r="V49" s="878"/>
    </row>
    <row r="50" spans="1:44" s="224" customFormat="1" ht="15" customHeight="1" x14ac:dyDescent="0.25">
      <c r="A50" s="215">
        <v>45057</v>
      </c>
      <c r="B50" s="882" t="s">
        <v>32</v>
      </c>
      <c r="C50" s="879" t="s">
        <v>12</v>
      </c>
      <c r="D50" s="879" t="s">
        <v>1485</v>
      </c>
      <c r="E50" s="871" t="s">
        <v>13</v>
      </c>
      <c r="F50" s="780">
        <v>20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927"/>
      <c r="U50" s="927"/>
      <c r="V50" s="878"/>
    </row>
    <row r="51" spans="1:44" s="224" customFormat="1" ht="15" customHeight="1" x14ac:dyDescent="0.25">
      <c r="A51" s="215">
        <v>45057</v>
      </c>
      <c r="B51" s="1688" t="s">
        <v>1906</v>
      </c>
      <c r="C51" s="874" t="s">
        <v>12</v>
      </c>
      <c r="D51" s="874" t="s">
        <v>1493</v>
      </c>
      <c r="E51" s="875" t="s">
        <v>13</v>
      </c>
      <c r="F51" s="780">
        <v>8</v>
      </c>
      <c r="G51" s="982"/>
      <c r="H51" s="95"/>
      <c r="I51" s="1064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861"/>
    </row>
    <row r="52" spans="1:44" s="224" customFormat="1" ht="15" customHeight="1" x14ac:dyDescent="0.25">
      <c r="A52" s="215">
        <v>45057</v>
      </c>
      <c r="B52" s="882" t="s">
        <v>138</v>
      </c>
      <c r="C52" s="879" t="s">
        <v>12</v>
      </c>
      <c r="D52" s="879" t="s">
        <v>2157</v>
      </c>
      <c r="E52" s="875" t="s">
        <v>15</v>
      </c>
      <c r="F52" s="780">
        <v>100</v>
      </c>
      <c r="G52" s="982"/>
      <c r="H52" s="95"/>
      <c r="I52" s="1064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15">
        <v>45058</v>
      </c>
      <c r="B53" s="882" t="s">
        <v>32</v>
      </c>
      <c r="C53" s="879" t="s">
        <v>12</v>
      </c>
      <c r="D53" s="879" t="s">
        <v>1485</v>
      </c>
      <c r="E53" s="871" t="s">
        <v>13</v>
      </c>
      <c r="F53" s="780">
        <v>20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927"/>
      <c r="U53" s="927"/>
      <c r="V53" s="878"/>
    </row>
    <row r="54" spans="1:44" s="224" customFormat="1" x14ac:dyDescent="0.25">
      <c r="A54" s="215">
        <v>45058</v>
      </c>
      <c r="B54" s="882" t="s">
        <v>81</v>
      </c>
      <c r="C54" s="879" t="s">
        <v>12</v>
      </c>
      <c r="D54" s="879" t="s">
        <v>1493</v>
      </c>
      <c r="E54" s="480" t="s">
        <v>13</v>
      </c>
      <c r="F54" s="780">
        <v>6</v>
      </c>
      <c r="G54" s="982"/>
      <c r="H54" s="1008"/>
      <c r="I54" s="1063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861"/>
      <c r="V54" s="878"/>
    </row>
    <row r="55" spans="1:44" s="224" customFormat="1" ht="15" customHeight="1" x14ac:dyDescent="0.25">
      <c r="A55" s="215">
        <v>45058</v>
      </c>
      <c r="B55" s="882" t="s">
        <v>3742</v>
      </c>
      <c r="C55" s="879" t="s">
        <v>12</v>
      </c>
      <c r="D55" s="879" t="s">
        <v>1489</v>
      </c>
      <c r="E55" s="871" t="s">
        <v>13</v>
      </c>
      <c r="F55" s="780">
        <v>50</v>
      </c>
      <c r="G55" s="982"/>
      <c r="H55" s="622"/>
      <c r="I55" s="982"/>
      <c r="J55" s="622"/>
      <c r="K55" s="982"/>
      <c r="L55" s="622"/>
      <c r="M55" s="982"/>
      <c r="N55" s="622"/>
      <c r="O55" s="982"/>
      <c r="P55" s="622"/>
      <c r="Q55" s="1063"/>
      <c r="R55" s="622"/>
      <c r="S55" s="982"/>
      <c r="T55" s="927"/>
      <c r="U55" s="927"/>
      <c r="V55" s="878"/>
    </row>
    <row r="56" spans="1:44" s="224" customFormat="1" x14ac:dyDescent="0.25">
      <c r="A56" s="215">
        <v>45058</v>
      </c>
      <c r="B56" s="882" t="s">
        <v>3743</v>
      </c>
      <c r="C56" s="879" t="s">
        <v>12</v>
      </c>
      <c r="D56" s="879" t="s">
        <v>1491</v>
      </c>
      <c r="E56" s="480" t="s">
        <v>13</v>
      </c>
      <c r="F56" s="780">
        <v>86.89</v>
      </c>
      <c r="G56" s="982"/>
      <c r="H56" s="1008"/>
      <c r="I56" s="1063"/>
      <c r="J56" s="622"/>
      <c r="K56" s="982"/>
      <c r="L56" s="622"/>
      <c r="M56" s="982"/>
      <c r="N56" s="622"/>
      <c r="O56" s="982"/>
      <c r="P56" s="622"/>
      <c r="Q56" s="1063"/>
      <c r="R56" s="622"/>
      <c r="S56" s="982"/>
      <c r="T56" s="861"/>
      <c r="V56" s="878"/>
    </row>
    <row r="57" spans="1:44" s="224" customFormat="1" ht="15" customHeight="1" x14ac:dyDescent="0.25">
      <c r="A57" s="215">
        <v>45058</v>
      </c>
      <c r="B57" s="1275" t="s">
        <v>14</v>
      </c>
      <c r="C57" s="1276" t="s">
        <v>12</v>
      </c>
      <c r="D57" s="1276" t="s">
        <v>1486</v>
      </c>
      <c r="E57" s="1286" t="s">
        <v>13</v>
      </c>
      <c r="F57" s="780">
        <v>7.54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1080"/>
      <c r="U57" s="927"/>
      <c r="V57" s="878"/>
    </row>
    <row r="58" spans="1:44" s="224" customFormat="1" x14ac:dyDescent="0.25">
      <c r="A58" s="215">
        <v>45059</v>
      </c>
      <c r="B58" s="364" t="s">
        <v>82</v>
      </c>
      <c r="C58" s="350" t="s">
        <v>12</v>
      </c>
      <c r="D58" s="350" t="s">
        <v>1493</v>
      </c>
      <c r="E58" s="875" t="s">
        <v>13</v>
      </c>
      <c r="F58" s="1279">
        <v>28</v>
      </c>
      <c r="G58" s="982"/>
      <c r="H58" s="1008"/>
      <c r="I58" s="1063"/>
      <c r="J58" s="622"/>
      <c r="K58" s="982"/>
      <c r="L58" s="622"/>
      <c r="M58" s="982"/>
      <c r="N58" s="622"/>
      <c r="O58" s="982"/>
      <c r="P58" s="622"/>
      <c r="Q58" s="1063"/>
      <c r="R58" s="622"/>
      <c r="S58" s="982"/>
      <c r="T58" s="861"/>
      <c r="V58" s="878"/>
    </row>
    <row r="59" spans="1:44" s="224" customFormat="1" ht="15" customHeight="1" x14ac:dyDescent="0.25">
      <c r="A59" s="215">
        <v>45060</v>
      </c>
      <c r="B59" s="1275" t="s">
        <v>14</v>
      </c>
      <c r="C59" s="1276" t="s">
        <v>12</v>
      </c>
      <c r="D59" s="1276" t="s">
        <v>1486</v>
      </c>
      <c r="E59" s="1286" t="s">
        <v>13</v>
      </c>
      <c r="F59" s="780">
        <v>9.7200000000000006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1080"/>
      <c r="U59" s="927"/>
      <c r="V59" s="878"/>
    </row>
    <row r="60" spans="1:44" s="224" customFormat="1" ht="15" customHeight="1" x14ac:dyDescent="0.25">
      <c r="A60" s="215">
        <v>45060</v>
      </c>
      <c r="B60" s="1275" t="s">
        <v>134</v>
      </c>
      <c r="C60" s="1276" t="s">
        <v>12</v>
      </c>
      <c r="D60" s="1276" t="s">
        <v>1493</v>
      </c>
      <c r="E60" s="1286" t="s">
        <v>13</v>
      </c>
      <c r="F60" s="613">
        <v>11.9</v>
      </c>
      <c r="G60" s="967"/>
      <c r="H60" s="1008"/>
      <c r="I60" s="1063"/>
      <c r="J60" s="613"/>
      <c r="K60" s="6"/>
      <c r="L60" s="622"/>
      <c r="M60" s="982"/>
      <c r="N60" s="622"/>
      <c r="O60" s="982"/>
      <c r="P60" s="872"/>
      <c r="Q60" s="1738"/>
      <c r="R60" s="613"/>
      <c r="S60" s="64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ht="15" customHeight="1" x14ac:dyDescent="0.25">
      <c r="A61" s="215">
        <v>45061</v>
      </c>
      <c r="B61" s="882" t="s">
        <v>32</v>
      </c>
      <c r="C61" s="879" t="s">
        <v>12</v>
      </c>
      <c r="D61" s="879" t="s">
        <v>1485</v>
      </c>
      <c r="E61" s="871" t="s">
        <v>13</v>
      </c>
      <c r="F61" s="780">
        <v>20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927"/>
      <c r="U61" s="927"/>
      <c r="V61" s="878"/>
    </row>
    <row r="62" spans="1:44" s="224" customFormat="1" x14ac:dyDescent="0.25">
      <c r="A62" s="215">
        <v>45061</v>
      </c>
      <c r="B62" s="882" t="s">
        <v>3744</v>
      </c>
      <c r="C62" s="879" t="s">
        <v>12</v>
      </c>
      <c r="D62" s="879" t="s">
        <v>1525</v>
      </c>
      <c r="E62" s="480" t="s">
        <v>13</v>
      </c>
      <c r="F62" s="780">
        <v>20</v>
      </c>
      <c r="G62" s="982"/>
      <c r="H62" s="1008"/>
      <c r="I62" s="1063"/>
      <c r="J62" s="622"/>
      <c r="K62" s="982"/>
      <c r="L62" s="622"/>
      <c r="M62" s="982"/>
      <c r="N62" s="622"/>
      <c r="O62" s="982"/>
      <c r="P62" s="622"/>
      <c r="Q62" s="1063"/>
      <c r="R62" s="622"/>
      <c r="S62" s="982"/>
      <c r="T62" s="861"/>
      <c r="V62" s="878"/>
    </row>
    <row r="63" spans="1:44" s="224" customFormat="1" ht="15" customHeight="1" x14ac:dyDescent="0.25">
      <c r="A63" s="215">
        <v>45062</v>
      </c>
      <c r="B63" s="882" t="s">
        <v>32</v>
      </c>
      <c r="C63" s="879" t="s">
        <v>12</v>
      </c>
      <c r="D63" s="879" t="s">
        <v>1485</v>
      </c>
      <c r="E63" s="871" t="s">
        <v>13</v>
      </c>
      <c r="F63" s="780">
        <v>20</v>
      </c>
      <c r="G63" s="982"/>
      <c r="H63" s="622"/>
      <c r="I63" s="982"/>
      <c r="J63" s="622"/>
      <c r="K63" s="982"/>
      <c r="L63" s="622"/>
      <c r="M63" s="982"/>
      <c r="N63" s="622"/>
      <c r="O63" s="982"/>
      <c r="P63" s="622"/>
      <c r="Q63" s="1063"/>
      <c r="R63" s="622"/>
      <c r="S63" s="982"/>
      <c r="T63" s="927"/>
      <c r="U63" s="927"/>
      <c r="V63" s="878"/>
    </row>
    <row r="64" spans="1:44" s="224" customFormat="1" x14ac:dyDescent="0.25">
      <c r="A64" s="215">
        <v>45062</v>
      </c>
      <c r="B64" s="882" t="s">
        <v>3745</v>
      </c>
      <c r="C64" s="879" t="s">
        <v>19</v>
      </c>
      <c r="D64" s="879" t="s">
        <v>1525</v>
      </c>
      <c r="E64" s="480" t="s">
        <v>13</v>
      </c>
      <c r="F64" s="780">
        <v>78</v>
      </c>
      <c r="G64" s="982"/>
      <c r="H64" s="1008"/>
      <c r="I64" s="1063"/>
      <c r="J64" s="622"/>
      <c r="K64" s="982"/>
      <c r="L64" s="622"/>
      <c r="M64" s="982"/>
      <c r="N64" s="622"/>
      <c r="O64" s="982"/>
      <c r="P64" s="622"/>
      <c r="Q64" s="1063"/>
      <c r="R64" s="622"/>
      <c r="S64" s="982"/>
      <c r="T64" s="861"/>
      <c r="V64" s="878"/>
    </row>
    <row r="65" spans="1:44" s="224" customFormat="1" ht="15" customHeight="1" x14ac:dyDescent="0.25">
      <c r="A65" s="215">
        <v>45063</v>
      </c>
      <c r="B65" s="364" t="s">
        <v>3325</v>
      </c>
      <c r="C65" s="350" t="s">
        <v>12</v>
      </c>
      <c r="D65" s="350" t="s">
        <v>1504</v>
      </c>
      <c r="E65" s="875" t="s">
        <v>13</v>
      </c>
      <c r="F65" s="613">
        <v>38</v>
      </c>
      <c r="G65" s="967"/>
      <c r="H65" s="1008"/>
      <c r="I65" s="1063"/>
      <c r="J65" s="1110"/>
      <c r="K65" s="1207"/>
      <c r="L65" s="880"/>
      <c r="M65" s="1033"/>
      <c r="N65" s="880"/>
      <c r="O65" s="1033"/>
      <c r="P65" s="1116"/>
      <c r="Q65" s="1737"/>
      <c r="R65" s="613"/>
      <c r="S65" s="162"/>
      <c r="T65" s="1209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 s="224" customFormat="1" x14ac:dyDescent="0.25">
      <c r="A66" s="215">
        <v>45063</v>
      </c>
      <c r="B66" s="882" t="s">
        <v>32</v>
      </c>
      <c r="C66" s="879" t="s">
        <v>12</v>
      </c>
      <c r="D66" s="879" t="s">
        <v>1485</v>
      </c>
      <c r="E66" s="871" t="s">
        <v>13</v>
      </c>
      <c r="F66" s="780">
        <v>20</v>
      </c>
      <c r="G66" s="982"/>
      <c r="H66" s="1008"/>
      <c r="I66" s="1063"/>
      <c r="J66" s="622"/>
      <c r="K66" s="982"/>
      <c r="L66" s="622"/>
      <c r="M66" s="982"/>
      <c r="N66" s="622"/>
      <c r="O66" s="982"/>
      <c r="P66" s="622"/>
      <c r="Q66" s="1063"/>
      <c r="R66" s="622"/>
      <c r="S66" s="982"/>
      <c r="T66" s="861"/>
      <c r="V66" s="878"/>
    </row>
    <row r="67" spans="1:44" s="224" customFormat="1" ht="15" customHeight="1" x14ac:dyDescent="0.25">
      <c r="A67" s="215">
        <v>45063</v>
      </c>
      <c r="B67" s="364" t="s">
        <v>478</v>
      </c>
      <c r="C67" s="350" t="s">
        <v>12</v>
      </c>
      <c r="D67" s="350" t="s">
        <v>1493</v>
      </c>
      <c r="E67" s="875" t="s">
        <v>13</v>
      </c>
      <c r="F67" s="780">
        <v>3.53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927"/>
      <c r="U67" s="927"/>
      <c r="V67" s="878"/>
    </row>
    <row r="68" spans="1:44" s="224" customFormat="1" ht="15" customHeight="1" x14ac:dyDescent="0.25">
      <c r="A68" s="215">
        <v>45063</v>
      </c>
      <c r="B68" s="882" t="s">
        <v>138</v>
      </c>
      <c r="C68" s="879" t="s">
        <v>12</v>
      </c>
      <c r="D68" s="879" t="s">
        <v>2157</v>
      </c>
      <c r="E68" s="875" t="s">
        <v>13</v>
      </c>
      <c r="F68" s="780">
        <v>50</v>
      </c>
      <c r="G68" s="982"/>
      <c r="H68" s="95"/>
      <c r="I68" s="1064"/>
      <c r="J68" s="622"/>
      <c r="K68" s="982"/>
      <c r="L68" s="622"/>
      <c r="M68" s="982"/>
      <c r="N68" s="622"/>
      <c r="O68" s="982"/>
      <c r="P68" s="622"/>
      <c r="Q68" s="1063"/>
      <c r="R68" s="622"/>
      <c r="S68" s="982"/>
      <c r="T68" s="861"/>
    </row>
    <row r="69" spans="1:44" s="224" customFormat="1" ht="15" customHeight="1" x14ac:dyDescent="0.25">
      <c r="A69" s="215">
        <v>45063</v>
      </c>
      <c r="B69" s="1275" t="s">
        <v>14</v>
      </c>
      <c r="C69" s="1276" t="s">
        <v>12</v>
      </c>
      <c r="D69" s="1276" t="s">
        <v>1486</v>
      </c>
      <c r="E69" s="1286" t="s">
        <v>13</v>
      </c>
      <c r="F69" s="780">
        <v>5.33</v>
      </c>
      <c r="G69" s="982"/>
      <c r="H69" s="622"/>
      <c r="I69" s="982"/>
      <c r="J69" s="622"/>
      <c r="K69" s="1033"/>
      <c r="L69" s="622"/>
      <c r="M69" s="982"/>
      <c r="N69" s="622"/>
      <c r="O69" s="982"/>
      <c r="P69" s="1116"/>
      <c r="Q69" s="1736"/>
      <c r="R69" s="1116"/>
      <c r="S69" s="1207"/>
      <c r="T69" s="927"/>
      <c r="U69" s="927"/>
      <c r="V69" s="878"/>
    </row>
    <row r="70" spans="1:44" s="224" customFormat="1" ht="15" customHeight="1" x14ac:dyDescent="0.25">
      <c r="A70" s="215">
        <v>45064</v>
      </c>
      <c r="B70" s="364" t="s">
        <v>390</v>
      </c>
      <c r="C70" s="983" t="s">
        <v>12</v>
      </c>
      <c r="D70" s="350"/>
      <c r="E70" s="480" t="s">
        <v>13</v>
      </c>
      <c r="F70" s="780"/>
      <c r="G70" s="982">
        <v>700</v>
      </c>
      <c r="H70" s="1009">
        <v>700</v>
      </c>
      <c r="I70" s="982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927"/>
      <c r="U70" s="927"/>
      <c r="V70" s="878"/>
    </row>
    <row r="71" spans="1:44" s="224" customFormat="1" ht="15" customHeight="1" x14ac:dyDescent="0.25">
      <c r="A71" s="215">
        <v>45064</v>
      </c>
      <c r="B71" s="364" t="s">
        <v>3746</v>
      </c>
      <c r="C71" s="350" t="s">
        <v>12</v>
      </c>
      <c r="D71" s="350"/>
      <c r="E71" s="875"/>
      <c r="F71" s="780">
        <v>1057.0899999999999</v>
      </c>
      <c r="G71" s="982"/>
      <c r="H71" s="622"/>
      <c r="I71" s="982"/>
      <c r="J71" s="622"/>
      <c r="K71" s="982"/>
      <c r="L71" s="622"/>
      <c r="M71" s="982">
        <v>1057.0899999999999</v>
      </c>
      <c r="N71" s="622"/>
      <c r="O71" s="1063"/>
      <c r="P71" s="622"/>
      <c r="Q71" s="982"/>
      <c r="R71" s="1817"/>
      <c r="S71" s="1115"/>
      <c r="T71" s="1080"/>
    </row>
    <row r="72" spans="1:44" s="224" customFormat="1" x14ac:dyDescent="0.25">
      <c r="A72" s="215">
        <v>45064</v>
      </c>
      <c r="B72" s="882" t="s">
        <v>32</v>
      </c>
      <c r="C72" s="879" t="s">
        <v>12</v>
      </c>
      <c r="D72" s="879" t="s">
        <v>1485</v>
      </c>
      <c r="E72" s="871" t="s">
        <v>13</v>
      </c>
      <c r="F72" s="780">
        <v>20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861"/>
      <c r="V72" s="878"/>
    </row>
    <row r="73" spans="1:44" s="224" customFormat="1" ht="15" customHeight="1" x14ac:dyDescent="0.25">
      <c r="A73" s="215">
        <v>45065</v>
      </c>
      <c r="B73" s="882" t="s">
        <v>3747</v>
      </c>
      <c r="C73" s="350" t="s">
        <v>12</v>
      </c>
      <c r="D73" s="350"/>
      <c r="E73" s="480" t="s">
        <v>25</v>
      </c>
      <c r="F73" s="622"/>
      <c r="G73" s="982">
        <v>2100</v>
      </c>
      <c r="H73" s="1008"/>
      <c r="I73" s="1063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861"/>
    </row>
    <row r="74" spans="1:44" s="224" customFormat="1" ht="15" customHeight="1" x14ac:dyDescent="0.25">
      <c r="A74" s="215">
        <v>45065</v>
      </c>
      <c r="B74" s="862" t="s">
        <v>2867</v>
      </c>
      <c r="C74" s="350" t="s">
        <v>12</v>
      </c>
      <c r="D74" s="874" t="s">
        <v>1504</v>
      </c>
      <c r="E74" s="887" t="s">
        <v>13</v>
      </c>
      <c r="F74" s="780">
        <v>30</v>
      </c>
      <c r="G74" s="982"/>
      <c r="H74" s="1009"/>
      <c r="I74" s="1063"/>
      <c r="J74" s="853"/>
      <c r="K74" s="982"/>
      <c r="L74" s="853"/>
      <c r="M74" s="982"/>
      <c r="N74" s="853"/>
      <c r="O74" s="982"/>
      <c r="P74" s="622"/>
      <c r="Q74" s="1063"/>
      <c r="R74" s="622"/>
      <c r="S74" s="982"/>
      <c r="T74" s="1869"/>
      <c r="U74" s="1869"/>
      <c r="V74" s="1869"/>
      <c r="W74" s="1869"/>
      <c r="X74" s="1869"/>
      <c r="Y74" s="1869"/>
      <c r="Z74" s="1869"/>
      <c r="AA74" s="1869"/>
      <c r="AB74" s="1869"/>
    </row>
    <row r="75" spans="1:44" s="224" customFormat="1" ht="14.25" customHeight="1" x14ac:dyDescent="0.25">
      <c r="A75" s="215">
        <v>45065</v>
      </c>
      <c r="B75" s="364" t="s">
        <v>2977</v>
      </c>
      <c r="C75" s="350" t="s">
        <v>12</v>
      </c>
      <c r="D75" s="350" t="s">
        <v>1491</v>
      </c>
      <c r="E75" s="875" t="s">
        <v>13</v>
      </c>
      <c r="F75" s="1047">
        <v>300</v>
      </c>
      <c r="G75" s="982"/>
      <c r="H75" s="1008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1029"/>
      <c r="U75" s="89"/>
      <c r="V75" s="930"/>
    </row>
    <row r="76" spans="1:44" s="224" customFormat="1" ht="15" customHeight="1" x14ac:dyDescent="0.25">
      <c r="A76" s="215">
        <v>45065</v>
      </c>
      <c r="B76" s="349" t="s">
        <v>3748</v>
      </c>
      <c r="C76" s="887" t="s">
        <v>12</v>
      </c>
      <c r="D76" s="350" t="s">
        <v>1524</v>
      </c>
      <c r="E76" s="887" t="s">
        <v>13</v>
      </c>
      <c r="F76" s="613">
        <v>50.333333333333336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927"/>
      <c r="U76" s="999"/>
      <c r="V76" s="878"/>
    </row>
    <row r="77" spans="1:44" s="224" customFormat="1" ht="15" customHeight="1" x14ac:dyDescent="0.25">
      <c r="A77" s="215">
        <v>45065</v>
      </c>
      <c r="B77" s="349" t="s">
        <v>3748</v>
      </c>
      <c r="C77" s="887" t="s">
        <v>12</v>
      </c>
      <c r="D77" s="350" t="s">
        <v>1524</v>
      </c>
      <c r="E77" s="887" t="s">
        <v>13</v>
      </c>
      <c r="F77" s="613">
        <v>8.6666666666666661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1063"/>
      <c r="R77" s="622"/>
      <c r="S77" s="982"/>
      <c r="T77" s="927"/>
      <c r="U77" s="999"/>
      <c r="V77" s="878"/>
    </row>
    <row r="78" spans="1:44" s="224" customFormat="1" ht="15" customHeight="1" x14ac:dyDescent="0.25">
      <c r="A78" s="215">
        <v>45065</v>
      </c>
      <c r="B78" s="349" t="s">
        <v>3748</v>
      </c>
      <c r="C78" s="887" t="s">
        <v>12</v>
      </c>
      <c r="D78" s="1005" t="s">
        <v>1496</v>
      </c>
      <c r="E78" s="887" t="s">
        <v>13</v>
      </c>
      <c r="F78" s="1116">
        <v>33.033333333333331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927"/>
      <c r="U78" s="999"/>
      <c r="V78" s="878"/>
    </row>
    <row r="79" spans="1:44" s="224" customFormat="1" ht="15" customHeight="1" x14ac:dyDescent="0.25">
      <c r="A79" s="215">
        <v>45065</v>
      </c>
      <c r="B79" s="349" t="s">
        <v>3748</v>
      </c>
      <c r="C79" s="887" t="s">
        <v>12</v>
      </c>
      <c r="D79" s="350" t="s">
        <v>1506</v>
      </c>
      <c r="E79" s="887" t="s">
        <v>13</v>
      </c>
      <c r="F79" s="613">
        <v>50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927"/>
      <c r="U79" s="999"/>
      <c r="V79" s="878"/>
    </row>
    <row r="80" spans="1:44" s="224" customFormat="1" ht="15" customHeight="1" x14ac:dyDescent="0.25">
      <c r="A80" s="215">
        <v>45065</v>
      </c>
      <c r="B80" s="349" t="s">
        <v>3748</v>
      </c>
      <c r="C80" s="887" t="s">
        <v>12</v>
      </c>
      <c r="D80" s="350" t="s">
        <v>1522</v>
      </c>
      <c r="E80" s="887" t="s">
        <v>13</v>
      </c>
      <c r="F80" s="613">
        <v>59.665999999999997</v>
      </c>
      <c r="G80" s="982"/>
      <c r="H80" s="872"/>
      <c r="I80" s="1063"/>
      <c r="J80" s="622"/>
      <c r="K80" s="982"/>
      <c r="L80" s="622"/>
      <c r="M80" s="982"/>
      <c r="N80" s="622"/>
      <c r="O80" s="982"/>
      <c r="P80" s="622"/>
      <c r="Q80" s="1063"/>
      <c r="R80" s="622"/>
      <c r="S80" s="982"/>
      <c r="T80" s="927"/>
      <c r="U80" s="999"/>
      <c r="V80" s="878"/>
    </row>
    <row r="81" spans="1:23" s="224" customFormat="1" ht="15" customHeight="1" x14ac:dyDescent="0.25">
      <c r="A81" s="215">
        <v>45065</v>
      </c>
      <c r="B81" s="349" t="s">
        <v>3748</v>
      </c>
      <c r="C81" s="887" t="s">
        <v>12</v>
      </c>
      <c r="D81" s="350"/>
      <c r="E81" s="887" t="s">
        <v>13</v>
      </c>
      <c r="F81" s="1863">
        <v>24</v>
      </c>
      <c r="G81" s="982"/>
      <c r="H81" s="872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927"/>
      <c r="U81" s="999"/>
      <c r="V81" s="878"/>
    </row>
    <row r="82" spans="1:23" s="224" customFormat="1" ht="15" customHeight="1" x14ac:dyDescent="0.25">
      <c r="A82" s="215">
        <v>45065</v>
      </c>
      <c r="B82" s="349" t="s">
        <v>3748</v>
      </c>
      <c r="C82" s="887" t="s">
        <v>12</v>
      </c>
      <c r="D82" s="1005"/>
      <c r="E82" s="887" t="s">
        <v>13</v>
      </c>
      <c r="F82" s="1864">
        <v>24</v>
      </c>
      <c r="G82" s="982"/>
      <c r="H82" s="872"/>
      <c r="I82" s="1063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99"/>
      <c r="V82" s="878"/>
    </row>
    <row r="83" spans="1:23" s="224" customFormat="1" ht="15" customHeight="1" x14ac:dyDescent="0.25">
      <c r="A83" s="215">
        <v>45065</v>
      </c>
      <c r="B83" s="349" t="s">
        <v>3748</v>
      </c>
      <c r="C83" s="887" t="s">
        <v>12</v>
      </c>
      <c r="D83" s="350" t="s">
        <v>1522</v>
      </c>
      <c r="E83" s="887" t="s">
        <v>13</v>
      </c>
      <c r="F83" s="613">
        <v>60</v>
      </c>
      <c r="G83" s="982"/>
      <c r="H83" s="872"/>
      <c r="I83" s="1063"/>
      <c r="J83" s="622"/>
      <c r="K83" s="982"/>
      <c r="L83" s="622"/>
      <c r="M83" s="982"/>
      <c r="N83" s="622"/>
      <c r="O83" s="982"/>
      <c r="P83" s="622"/>
      <c r="Q83" s="1063"/>
      <c r="R83" s="622"/>
      <c r="S83" s="982"/>
      <c r="T83" s="927"/>
      <c r="U83" s="999"/>
      <c r="V83" s="878"/>
    </row>
    <row r="84" spans="1:23" s="224" customFormat="1" ht="15" customHeight="1" x14ac:dyDescent="0.25">
      <c r="A84" s="215">
        <v>45065</v>
      </c>
      <c r="B84" s="349" t="s">
        <v>3748</v>
      </c>
      <c r="C84" s="887" t="s">
        <v>12</v>
      </c>
      <c r="D84" s="350" t="s">
        <v>1522</v>
      </c>
      <c r="E84" s="887" t="s">
        <v>13</v>
      </c>
      <c r="F84" s="613">
        <v>49.666666666666664</v>
      </c>
      <c r="G84" s="982"/>
      <c r="H84" s="872"/>
      <c r="I84" s="1063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927"/>
      <c r="U84" s="999"/>
      <c r="V84" s="878"/>
    </row>
    <row r="85" spans="1:23" s="224" customFormat="1" ht="15" customHeight="1" x14ac:dyDescent="0.25">
      <c r="A85" s="215">
        <v>45065</v>
      </c>
      <c r="B85" s="349" t="s">
        <v>3748</v>
      </c>
      <c r="C85" s="887" t="s">
        <v>12</v>
      </c>
      <c r="D85" s="1005" t="s">
        <v>1525</v>
      </c>
      <c r="E85" s="887" t="s">
        <v>13</v>
      </c>
      <c r="F85" s="1116">
        <v>186.9</v>
      </c>
      <c r="G85" s="982"/>
      <c r="H85" s="872"/>
      <c r="I85" s="1063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927"/>
      <c r="U85" s="999"/>
      <c r="V85" s="878"/>
    </row>
    <row r="86" spans="1:23" s="224" customFormat="1" ht="15" customHeight="1" x14ac:dyDescent="0.25">
      <c r="A86" s="452">
        <v>45065</v>
      </c>
      <c r="B86" s="1861" t="s">
        <v>3749</v>
      </c>
      <c r="C86" s="1862" t="s">
        <v>12</v>
      </c>
      <c r="D86" s="454"/>
      <c r="E86" s="1862" t="s">
        <v>13</v>
      </c>
      <c r="F86" s="613"/>
      <c r="G86" s="1811">
        <v>120</v>
      </c>
      <c r="H86" s="872"/>
      <c r="I86" s="1063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927"/>
      <c r="U86" s="999"/>
      <c r="V86" s="878"/>
    </row>
    <row r="87" spans="1:23" s="224" customFormat="1" ht="15" customHeight="1" x14ac:dyDescent="0.25">
      <c r="A87" s="452">
        <v>45065</v>
      </c>
      <c r="B87" s="1861" t="s">
        <v>3749</v>
      </c>
      <c r="C87" s="1862" t="s">
        <v>12</v>
      </c>
      <c r="D87" s="454"/>
      <c r="E87" s="1862" t="s">
        <v>13</v>
      </c>
      <c r="F87" s="613"/>
      <c r="G87" s="1811">
        <v>120</v>
      </c>
      <c r="H87" s="872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99"/>
      <c r="V87" s="878"/>
    </row>
    <row r="88" spans="1:23" s="224" customFormat="1" ht="15" customHeight="1" x14ac:dyDescent="0.25">
      <c r="A88" s="215">
        <v>45065</v>
      </c>
      <c r="B88" s="882" t="s">
        <v>3750</v>
      </c>
      <c r="C88" s="879" t="s">
        <v>12</v>
      </c>
      <c r="D88" s="879" t="s">
        <v>1499</v>
      </c>
      <c r="E88" s="871" t="s">
        <v>13</v>
      </c>
      <c r="F88" s="780">
        <v>31.32</v>
      </c>
      <c r="G88" s="982"/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  <c r="V88" s="1123"/>
      <c r="W88" s="999"/>
    </row>
    <row r="89" spans="1:23" s="224" customFormat="1" ht="15" customHeight="1" x14ac:dyDescent="0.25">
      <c r="A89" s="215">
        <v>45065</v>
      </c>
      <c r="B89" s="873" t="s">
        <v>3751</v>
      </c>
      <c r="C89" s="874" t="s">
        <v>12</v>
      </c>
      <c r="D89" s="874" t="s">
        <v>1506</v>
      </c>
      <c r="E89" s="875" t="s">
        <v>13</v>
      </c>
      <c r="F89" s="780">
        <v>75</v>
      </c>
      <c r="G89" s="982"/>
      <c r="H89" s="622"/>
      <c r="I89" s="982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1280">
        <v>75</v>
      </c>
      <c r="U89" s="927"/>
      <c r="V89" s="878"/>
    </row>
    <row r="90" spans="1:23" s="224" customFormat="1" ht="15" customHeight="1" x14ac:dyDescent="0.25">
      <c r="A90" s="215">
        <v>45065</v>
      </c>
      <c r="B90" s="882" t="s">
        <v>3752</v>
      </c>
      <c r="C90" s="879" t="s">
        <v>12</v>
      </c>
      <c r="D90" s="879" t="s">
        <v>1489</v>
      </c>
      <c r="E90" s="875" t="s">
        <v>13</v>
      </c>
      <c r="F90" s="780">
        <v>110</v>
      </c>
      <c r="G90" s="982"/>
      <c r="H90" s="622"/>
      <c r="I90" s="982"/>
      <c r="J90" s="622"/>
      <c r="K90" s="982"/>
      <c r="L90" s="622"/>
      <c r="M90" s="982"/>
      <c r="N90" s="622"/>
      <c r="O90" s="982"/>
      <c r="P90" s="880"/>
      <c r="Q90" s="1525"/>
      <c r="R90" s="880"/>
      <c r="S90" s="1033"/>
      <c r="T90" s="927">
        <v>109</v>
      </c>
      <c r="V90" s="878"/>
    </row>
    <row r="91" spans="1:23" s="224" customFormat="1" ht="15" customHeight="1" x14ac:dyDescent="0.25">
      <c r="A91" s="215">
        <v>45065</v>
      </c>
      <c r="B91" s="862" t="s">
        <v>3529</v>
      </c>
      <c r="C91" s="879" t="s">
        <v>12</v>
      </c>
      <c r="D91" s="879" t="s">
        <v>1504</v>
      </c>
      <c r="E91" s="871" t="s">
        <v>13</v>
      </c>
      <c r="F91" s="780">
        <v>40</v>
      </c>
      <c r="G91" s="946"/>
      <c r="H91" s="95"/>
      <c r="I91" s="1064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1028"/>
      <c r="W91" s="958"/>
    </row>
    <row r="92" spans="1:23" s="224" customFormat="1" x14ac:dyDescent="0.25">
      <c r="A92" s="215">
        <v>45065</v>
      </c>
      <c r="B92" s="882" t="s">
        <v>32</v>
      </c>
      <c r="C92" s="879" t="s">
        <v>12</v>
      </c>
      <c r="D92" s="879" t="s">
        <v>1485</v>
      </c>
      <c r="E92" s="871" t="s">
        <v>13</v>
      </c>
      <c r="F92" s="780">
        <v>20</v>
      </c>
      <c r="G92" s="982"/>
      <c r="H92" s="1008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861"/>
      <c r="V92" s="878"/>
    </row>
    <row r="93" spans="1:23" s="224" customFormat="1" ht="15" customHeight="1" x14ac:dyDescent="0.25">
      <c r="A93" s="215">
        <v>45065</v>
      </c>
      <c r="B93" s="364" t="s">
        <v>82</v>
      </c>
      <c r="C93" s="350" t="s">
        <v>12</v>
      </c>
      <c r="D93" s="350" t="s">
        <v>1493</v>
      </c>
      <c r="E93" s="875" t="s">
        <v>13</v>
      </c>
      <c r="F93" s="780">
        <v>30</v>
      </c>
      <c r="G93" s="982"/>
      <c r="H93" s="1008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861"/>
      <c r="V93" s="1035"/>
    </row>
    <row r="94" spans="1:23" s="224" customFormat="1" ht="15" customHeight="1" x14ac:dyDescent="0.25">
      <c r="A94" s="215">
        <v>45065</v>
      </c>
      <c r="B94" s="882" t="s">
        <v>3753</v>
      </c>
      <c r="C94" s="879" t="s">
        <v>12</v>
      </c>
      <c r="D94" s="879"/>
      <c r="E94" s="875" t="s">
        <v>25</v>
      </c>
      <c r="F94" s="780"/>
      <c r="G94" s="982">
        <v>28.5</v>
      </c>
      <c r="H94" s="622"/>
      <c r="I94" s="982"/>
      <c r="J94" s="622"/>
      <c r="K94" s="982"/>
      <c r="L94" s="622"/>
      <c r="M94" s="982"/>
      <c r="N94" s="622"/>
      <c r="O94" s="982"/>
      <c r="P94" s="880"/>
      <c r="Q94" s="1525"/>
      <c r="R94" s="880"/>
      <c r="S94" s="1033"/>
      <c r="T94" s="927"/>
      <c r="V94" s="878"/>
    </row>
    <row r="95" spans="1:23" s="224" customFormat="1" ht="15" customHeight="1" x14ac:dyDescent="0.25">
      <c r="A95" s="215">
        <v>45065</v>
      </c>
      <c r="B95" s="1689" t="s">
        <v>3754</v>
      </c>
      <c r="C95" s="879" t="s">
        <v>12</v>
      </c>
      <c r="D95" s="874"/>
      <c r="E95" s="875" t="s">
        <v>13</v>
      </c>
      <c r="F95" s="780">
        <v>129.9</v>
      </c>
      <c r="G95" s="982"/>
      <c r="H95" s="622"/>
      <c r="I95" s="982"/>
      <c r="J95" s="622"/>
      <c r="K95" s="982"/>
      <c r="L95" s="622"/>
      <c r="M95" s="982"/>
      <c r="N95" s="622"/>
      <c r="O95" s="1063">
        <f>F95</f>
        <v>129.9</v>
      </c>
      <c r="P95" s="622"/>
      <c r="Q95" s="1063"/>
      <c r="R95" s="622"/>
      <c r="S95" s="982"/>
      <c r="T95" s="927"/>
      <c r="U95" s="927"/>
      <c r="V95" s="878"/>
    </row>
    <row r="96" spans="1:23" s="224" customFormat="1" ht="15" customHeight="1" x14ac:dyDescent="0.25">
      <c r="A96" s="215">
        <v>45066</v>
      </c>
      <c r="B96" s="1275" t="s">
        <v>14</v>
      </c>
      <c r="C96" s="1276" t="s">
        <v>12</v>
      </c>
      <c r="D96" s="1276" t="s">
        <v>1486</v>
      </c>
      <c r="E96" s="1286" t="s">
        <v>13</v>
      </c>
      <c r="F96" s="780">
        <v>7.24</v>
      </c>
      <c r="G96" s="946"/>
      <c r="H96" s="95"/>
      <c r="I96" s="1064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861"/>
    </row>
    <row r="97" spans="1:23" s="224" customFormat="1" ht="15" customHeight="1" x14ac:dyDescent="0.25">
      <c r="A97" s="215">
        <v>45066</v>
      </c>
      <c r="B97" s="882" t="s">
        <v>2629</v>
      </c>
      <c r="C97" s="879" t="s">
        <v>19</v>
      </c>
      <c r="D97" s="879" t="s">
        <v>1489</v>
      </c>
      <c r="E97" s="875" t="s">
        <v>13</v>
      </c>
      <c r="F97" s="780">
        <v>48.21</v>
      </c>
      <c r="G97" s="982"/>
      <c r="H97" s="622"/>
      <c r="I97" s="982"/>
      <c r="J97" s="622"/>
      <c r="K97" s="982"/>
      <c r="L97" s="622"/>
      <c r="M97" s="982"/>
      <c r="N97" s="622"/>
      <c r="O97" s="982"/>
      <c r="P97" s="880"/>
      <c r="Q97" s="1525"/>
      <c r="R97" s="880"/>
      <c r="S97" s="1033"/>
      <c r="T97" s="927"/>
      <c r="V97" s="878"/>
    </row>
    <row r="98" spans="1:23" s="224" customFormat="1" ht="15" customHeight="1" x14ac:dyDescent="0.25">
      <c r="A98" s="215">
        <v>45066</v>
      </c>
      <c r="B98" s="882" t="s">
        <v>138</v>
      </c>
      <c r="C98" s="879" t="s">
        <v>12</v>
      </c>
      <c r="D98" s="879" t="s">
        <v>2157</v>
      </c>
      <c r="E98" s="875" t="s">
        <v>13</v>
      </c>
      <c r="F98" s="780">
        <v>80</v>
      </c>
      <c r="G98" s="982"/>
      <c r="H98" s="95"/>
      <c r="I98" s="1064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861"/>
    </row>
    <row r="99" spans="1:23" s="224" customFormat="1" ht="15" customHeight="1" x14ac:dyDescent="0.25">
      <c r="A99" s="215">
        <v>45066</v>
      </c>
      <c r="B99" s="1688" t="s">
        <v>1906</v>
      </c>
      <c r="C99" s="874" t="s">
        <v>12</v>
      </c>
      <c r="D99" s="874" t="s">
        <v>1493</v>
      </c>
      <c r="E99" s="875" t="s">
        <v>13</v>
      </c>
      <c r="F99" s="780">
        <v>37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861"/>
    </row>
    <row r="100" spans="1:23" s="224" customFormat="1" ht="15" customHeight="1" x14ac:dyDescent="0.25">
      <c r="A100" s="215">
        <v>45067</v>
      </c>
      <c r="B100" s="1275" t="s">
        <v>14</v>
      </c>
      <c r="C100" s="1276" t="s">
        <v>12</v>
      </c>
      <c r="D100" s="1276" t="s">
        <v>1486</v>
      </c>
      <c r="E100" s="1286" t="s">
        <v>13</v>
      </c>
      <c r="F100" s="780">
        <v>9.06</v>
      </c>
      <c r="G100" s="946"/>
      <c r="H100" s="95"/>
      <c r="I100" s="1064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861"/>
    </row>
    <row r="101" spans="1:23" s="224" customFormat="1" ht="15" customHeight="1" x14ac:dyDescent="0.25">
      <c r="A101" s="215">
        <v>45067</v>
      </c>
      <c r="B101" s="882" t="s">
        <v>134</v>
      </c>
      <c r="C101" s="879" t="s">
        <v>12</v>
      </c>
      <c r="D101" s="879" t="s">
        <v>1493</v>
      </c>
      <c r="E101" s="875" t="s">
        <v>13</v>
      </c>
      <c r="F101" s="780">
        <v>11.9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880"/>
      <c r="Q101" s="1525"/>
      <c r="R101" s="880"/>
      <c r="S101" s="1033"/>
      <c r="T101" s="927"/>
      <c r="V101" s="878"/>
    </row>
    <row r="102" spans="1:23" s="224" customFormat="1" x14ac:dyDescent="0.25">
      <c r="A102" s="215">
        <v>45068</v>
      </c>
      <c r="B102" s="882" t="s">
        <v>32</v>
      </c>
      <c r="C102" s="879" t="s">
        <v>12</v>
      </c>
      <c r="D102" s="879" t="s">
        <v>1485</v>
      </c>
      <c r="E102" s="871" t="s">
        <v>13</v>
      </c>
      <c r="F102" s="780">
        <v>20</v>
      </c>
      <c r="G102" s="982"/>
      <c r="H102" s="1008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  <c r="V102" s="878"/>
    </row>
    <row r="103" spans="1:23" s="224" customFormat="1" ht="15" customHeight="1" x14ac:dyDescent="0.25">
      <c r="A103" s="215">
        <v>45068</v>
      </c>
      <c r="B103" s="1275" t="s">
        <v>3677</v>
      </c>
      <c r="C103" s="1276" t="s">
        <v>12</v>
      </c>
      <c r="D103" s="1276" t="s">
        <v>1486</v>
      </c>
      <c r="E103" s="1286" t="s">
        <v>13</v>
      </c>
      <c r="F103" s="780">
        <v>6.12</v>
      </c>
      <c r="G103" s="946"/>
      <c r="H103" s="95"/>
      <c r="I103" s="1064"/>
      <c r="J103" s="622"/>
      <c r="K103" s="982"/>
      <c r="L103" s="622"/>
      <c r="M103" s="982"/>
      <c r="N103" s="622"/>
      <c r="O103" s="982"/>
      <c r="P103" s="1116"/>
      <c r="Q103" s="1797"/>
      <c r="R103" s="1116"/>
      <c r="S103" s="1215"/>
      <c r="T103" s="1028"/>
      <c r="W103" s="958"/>
    </row>
    <row r="104" spans="1:23" s="224" customFormat="1" ht="15" customHeight="1" x14ac:dyDescent="0.25">
      <c r="A104" s="215">
        <v>45069</v>
      </c>
      <c r="B104" s="882" t="s">
        <v>32</v>
      </c>
      <c r="C104" s="879" t="s">
        <v>12</v>
      </c>
      <c r="D104" s="879" t="s">
        <v>1485</v>
      </c>
      <c r="E104" s="871" t="s">
        <v>13</v>
      </c>
      <c r="F104" s="780">
        <v>20</v>
      </c>
      <c r="G104" s="1033"/>
      <c r="H104" s="880"/>
      <c r="I104" s="1033"/>
      <c r="J104" s="880"/>
      <c r="K104" s="1033"/>
      <c r="L104" s="880"/>
      <c r="M104" s="1033"/>
      <c r="N104" s="880"/>
      <c r="O104" s="1033"/>
      <c r="P104" s="880"/>
      <c r="Q104" s="1525"/>
      <c r="R104" s="880"/>
      <c r="S104" s="1033"/>
      <c r="T104" s="927"/>
      <c r="V104" s="878"/>
    </row>
    <row r="105" spans="1:23" s="224" customFormat="1" ht="15" customHeight="1" x14ac:dyDescent="0.25">
      <c r="A105" s="215">
        <v>45069</v>
      </c>
      <c r="B105" s="882" t="s">
        <v>3755</v>
      </c>
      <c r="C105" s="879" t="s">
        <v>12</v>
      </c>
      <c r="D105" s="879" t="s">
        <v>1522</v>
      </c>
      <c r="E105" s="871" t="s">
        <v>13</v>
      </c>
      <c r="F105" s="780">
        <v>150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1110"/>
      <c r="Q105" s="1739"/>
      <c r="R105" s="1110"/>
      <c r="S105" s="1208"/>
      <c r="T105" s="1028"/>
      <c r="W105" s="958"/>
    </row>
    <row r="106" spans="1:23" s="224" customFormat="1" ht="15" customHeight="1" x14ac:dyDescent="0.25">
      <c r="A106" s="215">
        <v>45069</v>
      </c>
      <c r="B106" s="1275" t="s">
        <v>14</v>
      </c>
      <c r="C106" s="1276" t="s">
        <v>12</v>
      </c>
      <c r="D106" s="1276" t="s">
        <v>1486</v>
      </c>
      <c r="E106" s="1286" t="s">
        <v>13</v>
      </c>
      <c r="F106" s="780">
        <v>9.09</v>
      </c>
      <c r="G106" s="946"/>
      <c r="H106" s="95"/>
      <c r="I106" s="1064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861"/>
    </row>
    <row r="107" spans="1:23" s="224" customFormat="1" x14ac:dyDescent="0.25">
      <c r="A107" s="215">
        <v>45070</v>
      </c>
      <c r="B107" s="882" t="s">
        <v>32</v>
      </c>
      <c r="C107" s="879" t="s">
        <v>12</v>
      </c>
      <c r="D107" s="879" t="s">
        <v>1485</v>
      </c>
      <c r="E107" s="871" t="s">
        <v>13</v>
      </c>
      <c r="F107" s="780">
        <v>20</v>
      </c>
      <c r="G107" s="982"/>
      <c r="H107" s="1008"/>
      <c r="I107" s="1063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861"/>
      <c r="V107" s="878"/>
    </row>
    <row r="108" spans="1:23" s="224" customFormat="1" ht="15" customHeight="1" x14ac:dyDescent="0.25">
      <c r="A108" s="215">
        <v>45070</v>
      </c>
      <c r="B108" s="882" t="s">
        <v>3756</v>
      </c>
      <c r="C108" s="879" t="s">
        <v>19</v>
      </c>
      <c r="D108" s="879" t="s">
        <v>1525</v>
      </c>
      <c r="E108" s="871" t="s">
        <v>13</v>
      </c>
      <c r="F108" s="780">
        <v>186.9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1280" t="s">
        <v>3292</v>
      </c>
      <c r="W108" s="958"/>
    </row>
    <row r="109" spans="1:23" s="224" customFormat="1" x14ac:dyDescent="0.25">
      <c r="A109" s="215">
        <v>45071</v>
      </c>
      <c r="B109" s="882" t="s">
        <v>32</v>
      </c>
      <c r="C109" s="879" t="s">
        <v>12</v>
      </c>
      <c r="D109" s="879" t="s">
        <v>1485</v>
      </c>
      <c r="E109" s="871" t="s">
        <v>13</v>
      </c>
      <c r="F109" s="780">
        <v>20</v>
      </c>
      <c r="G109" s="982"/>
      <c r="H109" s="1008"/>
      <c r="I109" s="1063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861"/>
      <c r="V109" s="878"/>
    </row>
    <row r="110" spans="1:23" s="1274" customFormat="1" ht="15" customHeight="1" x14ac:dyDescent="0.25">
      <c r="A110" s="215">
        <v>45071</v>
      </c>
      <c r="B110" s="1275" t="s">
        <v>17</v>
      </c>
      <c r="C110" s="1276" t="s">
        <v>12</v>
      </c>
      <c r="D110" s="1276" t="s">
        <v>1493</v>
      </c>
      <c r="E110" s="1286" t="s">
        <v>13</v>
      </c>
      <c r="F110" s="780">
        <v>7</v>
      </c>
      <c r="G110" s="1278"/>
      <c r="H110" s="1282"/>
      <c r="I110" s="1283"/>
      <c r="J110" s="1279"/>
      <c r="K110" s="1278"/>
      <c r="L110" s="1279"/>
      <c r="M110" s="1278"/>
      <c r="N110" s="1279"/>
      <c r="O110" s="1278"/>
      <c r="P110" s="1279"/>
      <c r="Q110" s="1283"/>
      <c r="R110" s="1702"/>
      <c r="S110" s="1703"/>
      <c r="T110" s="1281"/>
      <c r="V110" s="1281"/>
      <c r="W110" s="1294"/>
    </row>
    <row r="111" spans="1:23" s="224" customFormat="1" ht="15" customHeight="1" x14ac:dyDescent="0.25">
      <c r="A111" s="215">
        <v>45071</v>
      </c>
      <c r="B111" s="882" t="s">
        <v>1906</v>
      </c>
      <c r="C111" s="1276" t="s">
        <v>12</v>
      </c>
      <c r="D111" s="1276" t="s">
        <v>1493</v>
      </c>
      <c r="E111" s="1286" t="s">
        <v>13</v>
      </c>
      <c r="F111" s="780">
        <v>8</v>
      </c>
      <c r="G111" s="982"/>
      <c r="H111" s="622"/>
      <c r="I111" s="982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1028"/>
      <c r="U111" s="959"/>
      <c r="V111" s="878"/>
      <c r="W111" s="958"/>
    </row>
    <row r="112" spans="1:23" s="224" customFormat="1" x14ac:dyDescent="0.25">
      <c r="A112" s="215">
        <v>45072</v>
      </c>
      <c r="B112" s="882" t="s">
        <v>32</v>
      </c>
      <c r="C112" s="879" t="s">
        <v>12</v>
      </c>
      <c r="D112" s="879" t="s">
        <v>1485</v>
      </c>
      <c r="E112" s="871" t="s">
        <v>13</v>
      </c>
      <c r="F112" s="780">
        <v>20</v>
      </c>
      <c r="G112" s="982"/>
      <c r="H112" s="1008"/>
      <c r="I112" s="1063"/>
      <c r="J112" s="622"/>
      <c r="K112" s="982"/>
      <c r="L112" s="622"/>
      <c r="M112" s="982"/>
      <c r="N112" s="622"/>
      <c r="O112" s="982"/>
      <c r="P112" s="622"/>
      <c r="Q112" s="1063"/>
      <c r="R112" s="622"/>
      <c r="S112" s="982"/>
      <c r="T112" s="861"/>
      <c r="V112" s="878"/>
    </row>
    <row r="113" spans="1:23" s="224" customFormat="1" ht="15" customHeight="1" x14ac:dyDescent="0.25">
      <c r="A113" s="215">
        <v>45072</v>
      </c>
      <c r="B113" s="364" t="s">
        <v>443</v>
      </c>
      <c r="C113" s="350" t="s">
        <v>12</v>
      </c>
      <c r="D113" s="350" t="s">
        <v>1493</v>
      </c>
      <c r="E113" s="875" t="s">
        <v>13</v>
      </c>
      <c r="F113" s="780">
        <v>19.899999999999999</v>
      </c>
      <c r="G113" s="982"/>
      <c r="H113" s="1008"/>
      <c r="I113" s="1063"/>
      <c r="J113" s="622"/>
      <c r="K113" s="982"/>
      <c r="L113" s="622"/>
      <c r="M113" s="982"/>
      <c r="N113" s="622"/>
      <c r="O113" s="982"/>
      <c r="P113" s="622"/>
      <c r="Q113" s="1063"/>
      <c r="R113" s="622"/>
      <c r="S113" s="982"/>
      <c r="T113" s="861"/>
      <c r="V113" s="1035"/>
    </row>
    <row r="114" spans="1:23" s="1274" customFormat="1" ht="15" customHeight="1" x14ac:dyDescent="0.25">
      <c r="A114" s="215">
        <v>45073</v>
      </c>
      <c r="B114" s="1289" t="s">
        <v>2096</v>
      </c>
      <c r="C114" s="1276" t="s">
        <v>12</v>
      </c>
      <c r="D114" s="1276" t="s">
        <v>1506</v>
      </c>
      <c r="E114" s="1277" t="s">
        <v>13</v>
      </c>
      <c r="F114" s="1279">
        <v>50</v>
      </c>
      <c r="G114" s="1278"/>
      <c r="H114" s="1282"/>
      <c r="I114" s="1283"/>
      <c r="J114" s="1279"/>
      <c r="K114" s="1278"/>
      <c r="L114" s="1279"/>
      <c r="M114" s="1278"/>
      <c r="N114" s="1279"/>
      <c r="O114" s="1278"/>
      <c r="P114" s="1279"/>
      <c r="Q114" s="1283"/>
      <c r="R114" s="1741"/>
      <c r="S114" s="1743"/>
      <c r="T114" s="1281"/>
      <c r="U114" s="1294"/>
    </row>
    <row r="115" spans="1:23" s="224" customFormat="1" x14ac:dyDescent="0.25">
      <c r="A115" s="215">
        <v>45073</v>
      </c>
      <c r="B115" s="882" t="s">
        <v>32</v>
      </c>
      <c r="C115" s="879" t="s">
        <v>12</v>
      </c>
      <c r="D115" s="879" t="s">
        <v>1485</v>
      </c>
      <c r="E115" s="871" t="s">
        <v>13</v>
      </c>
      <c r="F115" s="780">
        <v>20</v>
      </c>
      <c r="G115" s="982"/>
      <c r="H115" s="1008"/>
      <c r="I115" s="1063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861"/>
      <c r="V115" s="878"/>
    </row>
    <row r="116" spans="1:23" s="224" customFormat="1" ht="15" customHeight="1" x14ac:dyDescent="0.25">
      <c r="A116" s="215">
        <v>45073</v>
      </c>
      <c r="B116" s="882" t="s">
        <v>138</v>
      </c>
      <c r="C116" s="879" t="s">
        <v>12</v>
      </c>
      <c r="D116" s="879" t="s">
        <v>2157</v>
      </c>
      <c r="E116" s="875" t="s">
        <v>15</v>
      </c>
      <c r="F116" s="780">
        <v>80</v>
      </c>
      <c r="G116" s="982"/>
      <c r="H116" s="95"/>
      <c r="I116" s="1064"/>
      <c r="J116" s="622"/>
      <c r="K116" s="982"/>
      <c r="L116" s="622"/>
      <c r="M116" s="982"/>
      <c r="N116" s="622"/>
      <c r="O116" s="982"/>
      <c r="P116" s="622"/>
      <c r="Q116" s="1063"/>
      <c r="R116" s="622"/>
      <c r="S116" s="982"/>
      <c r="T116" s="861"/>
    </row>
    <row r="117" spans="1:23" s="224" customFormat="1" ht="15" customHeight="1" x14ac:dyDescent="0.25">
      <c r="A117" s="215">
        <v>45073</v>
      </c>
      <c r="B117" s="349" t="s">
        <v>82</v>
      </c>
      <c r="C117" s="350" t="s">
        <v>12</v>
      </c>
      <c r="D117" s="350" t="s">
        <v>1493</v>
      </c>
      <c r="E117" s="480" t="s">
        <v>13</v>
      </c>
      <c r="F117" s="780">
        <v>36.89</v>
      </c>
      <c r="G117" s="946"/>
      <c r="H117" s="95"/>
      <c r="I117" s="1064"/>
      <c r="J117" s="622"/>
      <c r="K117" s="982"/>
      <c r="L117" s="622"/>
      <c r="M117" s="982"/>
      <c r="N117" s="622"/>
      <c r="O117" s="982"/>
      <c r="P117" s="622"/>
      <c r="Q117" s="1063"/>
      <c r="R117" s="622"/>
      <c r="S117" s="982"/>
      <c r="T117" s="861"/>
      <c r="V117" s="927"/>
      <c r="W117" s="999"/>
    </row>
    <row r="118" spans="1:23" s="224" customFormat="1" ht="15" customHeight="1" x14ac:dyDescent="0.25">
      <c r="A118" s="215">
        <v>45074</v>
      </c>
      <c r="B118" s="1275" t="s">
        <v>14</v>
      </c>
      <c r="C118" s="1276" t="s">
        <v>12</v>
      </c>
      <c r="D118" s="1276" t="s">
        <v>1486</v>
      </c>
      <c r="E118" s="1286" t="s">
        <v>13</v>
      </c>
      <c r="F118" s="780">
        <v>8.94</v>
      </c>
      <c r="G118" s="946"/>
      <c r="H118" s="95"/>
      <c r="I118" s="1064"/>
      <c r="J118" s="622"/>
      <c r="K118" s="982"/>
      <c r="L118" s="622"/>
      <c r="M118" s="982"/>
      <c r="N118" s="622"/>
      <c r="O118" s="982"/>
      <c r="P118" s="622"/>
      <c r="Q118" s="1063"/>
      <c r="R118" s="622"/>
      <c r="S118" s="982"/>
      <c r="T118" s="861"/>
    </row>
    <row r="119" spans="1:23" s="224" customFormat="1" x14ac:dyDescent="0.25">
      <c r="A119" s="215">
        <v>45074</v>
      </c>
      <c r="B119" s="882" t="s">
        <v>32</v>
      </c>
      <c r="C119" s="879" t="s">
        <v>12</v>
      </c>
      <c r="D119" s="879" t="s">
        <v>1485</v>
      </c>
      <c r="E119" s="871" t="s">
        <v>13</v>
      </c>
      <c r="F119" s="780">
        <v>12</v>
      </c>
      <c r="G119" s="982"/>
      <c r="H119" s="1008"/>
      <c r="I119" s="1063"/>
      <c r="J119" s="622"/>
      <c r="K119" s="982"/>
      <c r="L119" s="622"/>
      <c r="M119" s="982"/>
      <c r="N119" s="622"/>
      <c r="O119" s="982"/>
      <c r="P119" s="622"/>
      <c r="Q119" s="1063"/>
      <c r="R119" s="622"/>
      <c r="S119" s="982"/>
      <c r="T119" s="861"/>
      <c r="V119" s="878"/>
    </row>
    <row r="120" spans="1:23" s="224" customFormat="1" ht="15" customHeight="1" x14ac:dyDescent="0.25">
      <c r="A120" s="215">
        <v>45074</v>
      </c>
      <c r="B120" s="882" t="s">
        <v>1906</v>
      </c>
      <c r="C120" s="1276" t="s">
        <v>12</v>
      </c>
      <c r="D120" s="1276" t="s">
        <v>1493</v>
      </c>
      <c r="E120" s="1286" t="s">
        <v>13</v>
      </c>
      <c r="F120" s="780">
        <v>27</v>
      </c>
      <c r="G120" s="982"/>
      <c r="H120" s="622"/>
      <c r="I120" s="982"/>
      <c r="J120" s="622"/>
      <c r="K120" s="982"/>
      <c r="L120" s="622"/>
      <c r="M120" s="982"/>
      <c r="N120" s="622"/>
      <c r="O120" s="982"/>
      <c r="P120" s="622"/>
      <c r="Q120" s="1063"/>
      <c r="R120" s="622"/>
      <c r="S120" s="982"/>
      <c r="T120" s="1028"/>
      <c r="U120" s="959"/>
      <c r="V120" s="878"/>
      <c r="W120" s="958"/>
    </row>
    <row r="121" spans="1:23" s="224" customFormat="1" x14ac:dyDescent="0.25">
      <c r="A121" s="215">
        <v>45075</v>
      </c>
      <c r="B121" s="882" t="s">
        <v>32</v>
      </c>
      <c r="C121" s="879" t="s">
        <v>12</v>
      </c>
      <c r="D121" s="879" t="s">
        <v>1485</v>
      </c>
      <c r="E121" s="871" t="s">
        <v>13</v>
      </c>
      <c r="F121" s="780">
        <v>20</v>
      </c>
      <c r="G121" s="982"/>
      <c r="H121" s="1008"/>
      <c r="I121" s="1063"/>
      <c r="J121" s="622"/>
      <c r="K121" s="982"/>
      <c r="L121" s="622"/>
      <c r="M121" s="982"/>
      <c r="N121" s="622"/>
      <c r="O121" s="982"/>
      <c r="P121" s="622"/>
      <c r="Q121" s="1063"/>
      <c r="R121" s="622"/>
      <c r="S121" s="982"/>
      <c r="T121" s="861"/>
      <c r="V121" s="878"/>
    </row>
    <row r="122" spans="1:23" s="224" customFormat="1" ht="15" customHeight="1" x14ac:dyDescent="0.25">
      <c r="A122" s="215">
        <v>45075</v>
      </c>
      <c r="B122" s="364" t="s">
        <v>81</v>
      </c>
      <c r="C122" s="350" t="s">
        <v>12</v>
      </c>
      <c r="D122" s="350" t="s">
        <v>1493</v>
      </c>
      <c r="E122" s="875" t="s">
        <v>13</v>
      </c>
      <c r="F122" s="780">
        <v>4</v>
      </c>
      <c r="G122" s="982"/>
      <c r="H122" s="1008"/>
      <c r="I122" s="1063"/>
      <c r="J122" s="622"/>
      <c r="K122" s="982"/>
      <c r="L122" s="622"/>
      <c r="M122" s="982"/>
      <c r="N122" s="622"/>
      <c r="O122" s="982"/>
      <c r="P122" s="622"/>
      <c r="Q122" s="1063"/>
      <c r="R122" s="622"/>
      <c r="S122" s="982"/>
      <c r="T122" s="861"/>
      <c r="V122" s="1035"/>
    </row>
    <row r="123" spans="1:23" s="224" customFormat="1" ht="15" customHeight="1" x14ac:dyDescent="0.25">
      <c r="A123" s="215">
        <v>45075</v>
      </c>
      <c r="B123" s="1275" t="s">
        <v>3677</v>
      </c>
      <c r="C123" s="1276" t="s">
        <v>12</v>
      </c>
      <c r="D123" s="1276" t="s">
        <v>1486</v>
      </c>
      <c r="E123" s="1286" t="s">
        <v>13</v>
      </c>
      <c r="F123" s="780">
        <v>9.06</v>
      </c>
      <c r="G123" s="946"/>
      <c r="H123" s="95"/>
      <c r="I123" s="1064"/>
      <c r="J123" s="622"/>
      <c r="K123" s="982"/>
      <c r="L123" s="622"/>
      <c r="M123" s="982"/>
      <c r="N123" s="622"/>
      <c r="O123" s="982"/>
      <c r="P123" s="622"/>
      <c r="Q123" s="1063"/>
      <c r="R123" s="622"/>
      <c r="S123" s="982"/>
      <c r="T123" s="861"/>
    </row>
    <row r="124" spans="1:23" s="224" customFormat="1" ht="15" customHeight="1" x14ac:dyDescent="0.25">
      <c r="A124" s="215">
        <v>45076</v>
      </c>
      <c r="B124" s="882" t="s">
        <v>32</v>
      </c>
      <c r="C124" s="879" t="s">
        <v>12</v>
      </c>
      <c r="D124" s="879" t="s">
        <v>1485</v>
      </c>
      <c r="E124" s="871" t="s">
        <v>13</v>
      </c>
      <c r="F124" s="780">
        <v>20</v>
      </c>
      <c r="G124" s="982"/>
      <c r="H124" s="622"/>
      <c r="I124" s="982"/>
      <c r="J124" s="622"/>
      <c r="K124" s="982"/>
      <c r="L124" s="622"/>
      <c r="M124" s="982"/>
      <c r="N124" s="622"/>
      <c r="O124" s="982"/>
      <c r="P124" s="622"/>
      <c r="Q124" s="1063"/>
      <c r="R124" s="622"/>
      <c r="S124" s="982"/>
      <c r="T124" s="1028"/>
      <c r="U124" s="959"/>
      <c r="V124" s="878"/>
      <c r="W124" s="958"/>
    </row>
    <row r="125" spans="1:23" s="224" customFormat="1" ht="15" customHeight="1" x14ac:dyDescent="0.25">
      <c r="A125" s="215">
        <v>45076</v>
      </c>
      <c r="B125" s="1275" t="s">
        <v>14</v>
      </c>
      <c r="C125" s="1276" t="s">
        <v>12</v>
      </c>
      <c r="D125" s="1276" t="s">
        <v>1486</v>
      </c>
      <c r="E125" s="1286" t="s">
        <v>13</v>
      </c>
      <c r="F125" s="780">
        <v>5.35</v>
      </c>
      <c r="G125" s="946"/>
      <c r="H125" s="95"/>
      <c r="I125" s="1064"/>
      <c r="J125" s="622"/>
      <c r="K125" s="982"/>
      <c r="L125" s="622"/>
      <c r="M125" s="982"/>
      <c r="N125" s="622"/>
      <c r="O125" s="982"/>
      <c r="P125" s="622"/>
      <c r="Q125" s="1063"/>
      <c r="R125" s="622"/>
      <c r="S125" s="982"/>
      <c r="T125" s="861"/>
    </row>
    <row r="126" spans="1:23" s="224" customFormat="1" ht="15" customHeight="1" x14ac:dyDescent="0.25">
      <c r="A126" s="215">
        <v>45077</v>
      </c>
      <c r="B126" s="364" t="s">
        <v>398</v>
      </c>
      <c r="C126" s="983" t="s">
        <v>12</v>
      </c>
      <c r="D126" s="350"/>
      <c r="E126" s="480" t="s">
        <v>13</v>
      </c>
      <c r="F126" s="780">
        <v>200</v>
      </c>
      <c r="G126" s="982"/>
      <c r="H126" s="1009"/>
      <c r="I126" s="982">
        <v>200</v>
      </c>
      <c r="J126" s="622"/>
      <c r="K126" s="982"/>
      <c r="L126" s="622"/>
      <c r="M126" s="982"/>
      <c r="N126" s="622"/>
      <c r="O126" s="982"/>
      <c r="P126" s="622"/>
      <c r="Q126" s="1063"/>
      <c r="R126" s="622"/>
      <c r="S126" s="982"/>
      <c r="T126" s="927"/>
      <c r="U126" s="927"/>
      <c r="V126" s="878"/>
    </row>
    <row r="127" spans="1:23" s="224" customFormat="1" ht="15" customHeight="1" x14ac:dyDescent="0.25">
      <c r="A127" s="215">
        <v>45077</v>
      </c>
      <c r="B127" s="882" t="s">
        <v>32</v>
      </c>
      <c r="C127" s="879" t="s">
        <v>12</v>
      </c>
      <c r="D127" s="879" t="s">
        <v>1485</v>
      </c>
      <c r="E127" s="871" t="s">
        <v>13</v>
      </c>
      <c r="F127" s="780">
        <v>20</v>
      </c>
      <c r="G127" s="982"/>
      <c r="H127" s="622"/>
      <c r="I127" s="982"/>
      <c r="J127" s="622"/>
      <c r="K127" s="982"/>
      <c r="L127" s="622"/>
      <c r="M127" s="982"/>
      <c r="N127" s="622"/>
      <c r="O127" s="982"/>
      <c r="P127" s="622"/>
      <c r="Q127" s="1063"/>
      <c r="R127" s="622"/>
      <c r="S127" s="982"/>
      <c r="T127" s="1028"/>
      <c r="U127" s="959"/>
      <c r="V127" s="878"/>
      <c r="W127" s="958"/>
    </row>
    <row r="128" spans="1:23" s="1274" customFormat="1" ht="15" customHeight="1" x14ac:dyDescent="0.25">
      <c r="A128" s="215">
        <v>45077</v>
      </c>
      <c r="B128" s="1275" t="s">
        <v>3757</v>
      </c>
      <c r="C128" s="1276" t="s">
        <v>12</v>
      </c>
      <c r="D128" s="1276"/>
      <c r="E128" s="1286" t="s">
        <v>13</v>
      </c>
      <c r="F128" s="1279"/>
      <c r="G128" s="1278"/>
      <c r="H128" s="1282"/>
      <c r="I128" s="1283"/>
      <c r="J128" s="1279"/>
      <c r="K128" s="1472"/>
      <c r="L128" s="1873"/>
      <c r="M128" s="982"/>
      <c r="N128" s="1873"/>
      <c r="O128" s="1278"/>
      <c r="P128" s="1279"/>
      <c r="Q128" s="1283">
        <v>373</v>
      </c>
      <c r="R128" s="1740"/>
      <c r="S128" s="1743"/>
      <c r="T128" s="1281"/>
      <c r="U128" s="1294"/>
    </row>
    <row r="129" spans="1:28" s="224" customFormat="1" x14ac:dyDescent="0.25">
      <c r="A129" s="215">
        <v>45077</v>
      </c>
      <c r="B129" s="862" t="s">
        <v>3693</v>
      </c>
      <c r="C129" s="350" t="s">
        <v>12</v>
      </c>
      <c r="D129" s="1807"/>
      <c r="E129" s="145"/>
      <c r="F129" s="622"/>
      <c r="G129" s="982"/>
      <c r="H129" s="1008"/>
      <c r="I129" s="1063"/>
      <c r="J129" s="622"/>
      <c r="K129" s="982"/>
      <c r="L129" s="622"/>
      <c r="M129" s="982"/>
      <c r="N129" s="622"/>
      <c r="O129" s="982">
        <v>134</v>
      </c>
      <c r="P129" s="622"/>
      <c r="Q129" s="1063"/>
      <c r="R129" s="622"/>
      <c r="S129" s="982"/>
      <c r="T129" s="475"/>
      <c r="V129" s="878"/>
    </row>
    <row r="130" spans="1:28" s="224" customFormat="1" x14ac:dyDescent="0.25">
      <c r="A130" s="215">
        <v>45077</v>
      </c>
      <c r="B130" s="364" t="s">
        <v>3758</v>
      </c>
      <c r="C130" s="350" t="s">
        <v>12</v>
      </c>
      <c r="D130" s="350"/>
      <c r="E130" s="875" t="s">
        <v>25</v>
      </c>
      <c r="F130" s="1047"/>
      <c r="G130" s="982">
        <v>500.47</v>
      </c>
      <c r="H130" s="1008"/>
      <c r="I130" s="1063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1029">
        <v>500.47</v>
      </c>
      <c r="U130" s="89"/>
      <c r="V130" s="930"/>
    </row>
    <row r="131" spans="1:28" s="224" customFormat="1" ht="15.75" thickBot="1" x14ac:dyDescent="0.3">
      <c r="A131" s="215">
        <v>45077</v>
      </c>
      <c r="B131" s="862" t="s">
        <v>1666</v>
      </c>
      <c r="C131" s="350" t="s">
        <v>12</v>
      </c>
      <c r="D131" s="1003"/>
      <c r="E131" s="145" t="s">
        <v>25</v>
      </c>
      <c r="F131" s="1036"/>
      <c r="G131" s="1535"/>
      <c r="H131" s="1008"/>
      <c r="I131" s="1063"/>
      <c r="J131" s="1036"/>
      <c r="K131" s="1535"/>
      <c r="L131" s="622"/>
      <c r="M131" s="982">
        <v>59.53</v>
      </c>
      <c r="N131" s="622"/>
      <c r="O131" s="982"/>
      <c r="P131" s="622"/>
      <c r="Q131" s="1063"/>
      <c r="R131" s="1036"/>
      <c r="S131" s="1535"/>
      <c r="T131" s="1815">
        <f>M131/M5</f>
        <v>8.1370156985763973E-3</v>
      </c>
      <c r="V131" s="878"/>
    </row>
    <row r="132" spans="1:28" ht="25.5" customHeight="1" thickBot="1" x14ac:dyDescent="0.3">
      <c r="A132" s="3060"/>
      <c r="B132" s="3061"/>
      <c r="C132" s="3062"/>
      <c r="D132" s="3062"/>
      <c r="E132" s="3062"/>
      <c r="F132" s="1023">
        <f>SUM(F6:F131)</f>
        <v>8182.0659999999998</v>
      </c>
      <c r="G132" s="1065">
        <f>SUM(G5:G131)</f>
        <v>8744.6095833333602</v>
      </c>
      <c r="H132" s="517">
        <f>SUM(H6:H131)</f>
        <v>700</v>
      </c>
      <c r="I132" s="93">
        <f>SUM(I5:I131)</f>
        <v>2499.9959999999992</v>
      </c>
      <c r="J132" s="1023">
        <f>SUM(J6:J131)</f>
        <v>0</v>
      </c>
      <c r="K132" s="93">
        <f>SUM(K5:K131)</f>
        <v>19676.910000000003</v>
      </c>
      <c r="L132" s="1023">
        <f>SUM(L6:L131)</f>
        <v>1280.28</v>
      </c>
      <c r="M132" s="93">
        <f>SUM(M5:M131)</f>
        <v>8432.5700000000015</v>
      </c>
      <c r="N132" s="1023">
        <f>SUM(N6:N131)</f>
        <v>410.5</v>
      </c>
      <c r="O132" s="93">
        <f>SUM(O5:O131)</f>
        <v>2459.9</v>
      </c>
      <c r="P132" s="1211">
        <f>SUM(P6:P131)</f>
        <v>0</v>
      </c>
      <c r="Q132" s="93">
        <f>SUM(Q5:Q131)</f>
        <v>8503.5299999999988</v>
      </c>
      <c r="R132" s="1211">
        <f>SUM(R6:R131)</f>
        <v>0</v>
      </c>
      <c r="S132" s="93">
        <f>SUM(S5:S131)</f>
        <v>40943.245984720008</v>
      </c>
      <c r="U132" s="216"/>
    </row>
    <row r="133" spans="1:28" ht="25.5" customHeight="1" thickBot="1" x14ac:dyDescent="0.3">
      <c r="A133" s="3117" t="s">
        <v>49</v>
      </c>
      <c r="B133" s="3118"/>
      <c r="C133" s="3118"/>
      <c r="D133" s="3118"/>
      <c r="E133" s="3118"/>
      <c r="F133" s="144" t="s">
        <v>280</v>
      </c>
      <c r="G133" s="519">
        <f>G132-F132</f>
        <v>562.5435833333604</v>
      </c>
      <c r="H133" s="555"/>
      <c r="I133" s="772">
        <f>I132-H132</f>
        <v>1799.9959999999992</v>
      </c>
      <c r="J133" s="593"/>
      <c r="K133" s="993">
        <f>K132-J132</f>
        <v>19676.910000000003</v>
      </c>
      <c r="L133" s="593"/>
      <c r="M133" s="772">
        <f>M132-L132</f>
        <v>7152.2900000000018</v>
      </c>
      <c r="N133" s="593"/>
      <c r="O133" s="772">
        <f>O132-N132</f>
        <v>2049.4</v>
      </c>
      <c r="P133" s="593"/>
      <c r="Q133" s="556">
        <f>Q132-P132</f>
        <v>8503.5299999999988</v>
      </c>
      <c r="R133" s="593"/>
      <c r="S133" s="556">
        <f>S132-R132</f>
        <v>40943.245984720008</v>
      </c>
      <c r="T133" s="484">
        <f>K133+M133+O133+Q133+S133</f>
        <v>78325.375984720013</v>
      </c>
    </row>
    <row r="134" spans="1:28" x14ac:dyDescent="0.25">
      <c r="J134" s="1238"/>
      <c r="K134" s="1238">
        <f>K133/T133</f>
        <v>0.25122011548133066</v>
      </c>
      <c r="M134" s="1238">
        <f>M133/T133</f>
        <v>9.131510586550258E-2</v>
      </c>
      <c r="O134" s="1238">
        <f>O133/T133</f>
        <v>2.6165211136679436E-2</v>
      </c>
      <c r="P134" s="1239"/>
      <c r="Q134" s="1239">
        <f>Q133/T133</f>
        <v>0.10856673068072979</v>
      </c>
      <c r="R134" s="1239"/>
      <c r="S134" s="1239">
        <f>S133/T133</f>
        <v>0.52273283683575755</v>
      </c>
      <c r="T134" s="867"/>
      <c r="U134" s="867"/>
      <c r="V134" s="79"/>
      <c r="Y134" s="518"/>
      <c r="Z134" s="216"/>
      <c r="AB134" s="877"/>
    </row>
    <row r="135" spans="1:28" x14ac:dyDescent="0.25">
      <c r="B135" s="81" t="s">
        <v>3</v>
      </c>
      <c r="C135" s="193" t="s">
        <v>1484</v>
      </c>
      <c r="D135" s="970" t="s">
        <v>2378</v>
      </c>
      <c r="E135" s="193" t="s">
        <v>3216</v>
      </c>
      <c r="F135" s="1061" t="s">
        <v>3217</v>
      </c>
      <c r="G135" s="216"/>
      <c r="J135" s="867"/>
      <c r="K135" s="866"/>
      <c r="M135" s="866"/>
      <c r="O135" s="866"/>
      <c r="P135" s="1038"/>
      <c r="Q135" s="1038"/>
      <c r="R135" s="1038"/>
      <c r="S135" s="1038"/>
      <c r="T135" s="865"/>
      <c r="U135" s="867"/>
    </row>
    <row r="136" spans="1:28" x14ac:dyDescent="0.25">
      <c r="B136" s="79" t="s">
        <v>32</v>
      </c>
      <c r="C136" s="85" t="s">
        <v>1485</v>
      </c>
      <c r="D136" s="475">
        <f>SUMIF($D$8:$D$131,"A",$F$8:$F$131)</f>
        <v>472</v>
      </c>
      <c r="E136" s="1202">
        <f t="shared" ref="E136:E153" si="0">D136/$J$155</f>
        <v>15.733333333333333</v>
      </c>
      <c r="F136" s="1203">
        <f t="shared" ref="F136:F152" si="1">E136/$E$156</f>
        <v>0.10948735792159592</v>
      </c>
      <c r="G136" s="800"/>
      <c r="I136" s="769"/>
      <c r="J136" s="1210"/>
      <c r="K136" s="754"/>
      <c r="M136" s="886"/>
      <c r="O136" s="886"/>
      <c r="P136" s="1210"/>
      <c r="Q136" s="754"/>
      <c r="R136" s="886"/>
      <c r="S136" s="1210"/>
      <c r="T136" s="1038"/>
      <c r="U136" s="1210"/>
      <c r="W136" s="1201"/>
      <c r="X136" s="877"/>
    </row>
    <row r="137" spans="1:28" x14ac:dyDescent="0.25">
      <c r="B137" s="79" t="s">
        <v>2187</v>
      </c>
      <c r="C137" s="85" t="s">
        <v>2157</v>
      </c>
      <c r="D137" s="475">
        <f>SUMIF($D$7:$D$131,"GAC",$F$7:$F$131)</f>
        <v>490</v>
      </c>
      <c r="E137" s="1202">
        <f t="shared" si="0"/>
        <v>16.333333333333332</v>
      </c>
      <c r="F137" s="1203">
        <f>E137/$E$156</f>
        <v>0.11366272326606355</v>
      </c>
      <c r="G137" s="609"/>
      <c r="J137" s="1038"/>
      <c r="K137" s="1225"/>
      <c r="M137" s="1210"/>
      <c r="O137" s="1038"/>
      <c r="Q137" s="1225"/>
      <c r="R137" s="1210"/>
      <c r="S137" s="1038"/>
      <c r="T137" s="1038"/>
      <c r="W137" s="877"/>
      <c r="X137" s="877"/>
    </row>
    <row r="138" spans="1:28" x14ac:dyDescent="0.25">
      <c r="B138" s="79" t="s">
        <v>2188</v>
      </c>
      <c r="C138" s="85" t="s">
        <v>2168</v>
      </c>
      <c r="D138" s="475">
        <f>SUMIF($D$24:$D$131,"GAM",$F$24:$F$131)</f>
        <v>0</v>
      </c>
      <c r="E138" s="1202">
        <f t="shared" si="0"/>
        <v>0</v>
      </c>
      <c r="F138" s="1203">
        <f>E138/$E$156</f>
        <v>0</v>
      </c>
      <c r="J138" s="1038"/>
      <c r="K138" s="1225"/>
      <c r="M138" s="1210"/>
      <c r="O138" s="1038"/>
      <c r="Q138" s="1225"/>
      <c r="R138" s="1210"/>
      <c r="S138" s="1038"/>
      <c r="T138" s="1038"/>
      <c r="W138" s="877"/>
      <c r="X138" s="877"/>
    </row>
    <row r="139" spans="1:28" s="85" customFormat="1" x14ac:dyDescent="0.25">
      <c r="A139" s="79"/>
      <c r="B139" s="79" t="s">
        <v>50</v>
      </c>
      <c r="C139" s="85" t="s">
        <v>1493</v>
      </c>
      <c r="D139" s="475">
        <f>SUMIF($D$8:$D$131,"LD",$F$8:$F$131)</f>
        <v>329.12</v>
      </c>
      <c r="E139" s="1202">
        <f t="shared" si="0"/>
        <v>10.970666666666666</v>
      </c>
      <c r="F139" s="1203">
        <f t="shared" si="1"/>
        <v>7.6344235676177222E-2</v>
      </c>
      <c r="J139" s="864" t="s">
        <v>3759</v>
      </c>
      <c r="K139" s="877"/>
      <c r="S139" s="79"/>
      <c r="T139" s="177"/>
      <c r="W139" s="877"/>
      <c r="X139" s="877"/>
    </row>
    <row r="140" spans="1:28" s="85" customFormat="1" ht="15.75" x14ac:dyDescent="0.25">
      <c r="A140" s="79"/>
      <c r="B140" s="79" t="s">
        <v>14</v>
      </c>
      <c r="C140" s="85" t="s">
        <v>1486</v>
      </c>
      <c r="D140" s="475">
        <f>SUMIF($D$8:$D$131,"C",$F$8:$F$131)</f>
        <v>114.74</v>
      </c>
      <c r="E140" s="1202">
        <f t="shared" si="0"/>
        <v>3.8246666666666664</v>
      </c>
      <c r="F140" s="1203">
        <f t="shared" si="1"/>
        <v>2.6615634423567618E-2</v>
      </c>
      <c r="G140" s="79"/>
      <c r="H140" s="877"/>
      <c r="J140" s="1038"/>
      <c r="K140" s="877"/>
      <c r="M140" s="3198" t="s">
        <v>3760</v>
      </c>
      <c r="N140" s="3198"/>
      <c r="O140" s="3198"/>
      <c r="P140" s="3198"/>
      <c r="Q140" s="3198"/>
      <c r="R140" s="3198"/>
      <c r="T140" s="177"/>
      <c r="W140" s="877"/>
      <c r="X140" s="877"/>
    </row>
    <row r="141" spans="1:28" s="85" customFormat="1" x14ac:dyDescent="0.25">
      <c r="B141" s="79" t="s">
        <v>51</v>
      </c>
      <c r="C141" s="864" t="s">
        <v>1499</v>
      </c>
      <c r="D141" s="475">
        <f>SUMIF($D$24:$D$131,"CAL",$F$24:$F$131)</f>
        <v>98.240000000000009</v>
      </c>
      <c r="E141" s="1202">
        <f>D141/$J$155</f>
        <v>3.2746666666666671</v>
      </c>
      <c r="F141" s="1203">
        <f>E141/$E$156</f>
        <v>2.2788216191138952E-2</v>
      </c>
      <c r="G141" s="79"/>
      <c r="H141" s="877"/>
      <c r="I141" s="79"/>
      <c r="J141" s="1038"/>
      <c r="K141" s="877"/>
      <c r="M141" s="1850" t="s">
        <v>3761</v>
      </c>
      <c r="O141" s="1038"/>
      <c r="Q141" s="877"/>
      <c r="R141" s="1210"/>
      <c r="S141" s="1038"/>
      <c r="T141" s="177"/>
      <c r="W141" s="877"/>
      <c r="X141" s="877"/>
    </row>
    <row r="142" spans="1:28" s="85" customFormat="1" x14ac:dyDescent="0.25">
      <c r="A142" s="79"/>
      <c r="B142" s="79" t="s">
        <v>2189</v>
      </c>
      <c r="C142" s="864" t="s">
        <v>1496</v>
      </c>
      <c r="D142" s="475">
        <f>SUMIF($D$21:$D$131,"AC",$F$21:$F$131)</f>
        <v>113.03333333333333</v>
      </c>
      <c r="E142" s="1202">
        <f t="shared" si="0"/>
        <v>3.7677777777777779</v>
      </c>
      <c r="F142" s="1203">
        <f t="shared" si="1"/>
        <v>2.6219747931647726E-2</v>
      </c>
      <c r="G142" s="79"/>
      <c r="H142" s="877"/>
      <c r="J142" s="1038"/>
      <c r="K142" s="877"/>
      <c r="M142" s="1201" t="s">
        <v>3762</v>
      </c>
      <c r="N142" s="193" t="s">
        <v>3763</v>
      </c>
      <c r="O142" s="591" t="s">
        <v>382</v>
      </c>
      <c r="P142" s="3197" t="s">
        <v>3764</v>
      </c>
      <c r="Q142" s="3197"/>
      <c r="R142" s="193" t="s">
        <v>3765</v>
      </c>
      <c r="T142" s="177"/>
      <c r="W142" s="877"/>
      <c r="X142" s="877"/>
    </row>
    <row r="143" spans="1:28" s="85" customFormat="1" x14ac:dyDescent="0.25">
      <c r="A143" s="79"/>
      <c r="B143" s="867" t="s">
        <v>53</v>
      </c>
      <c r="C143" s="864" t="s">
        <v>1522</v>
      </c>
      <c r="D143" s="475">
        <f>SUMIF($D$21:$D$131,"DC",$F$21:$F$131)</f>
        <v>319.33266666666668</v>
      </c>
      <c r="E143" s="1202">
        <f t="shared" si="0"/>
        <v>10.644422222222223</v>
      </c>
      <c r="F143" s="1203">
        <f t="shared" si="1"/>
        <v>7.4073919430913182E-2</v>
      </c>
      <c r="J143" s="79"/>
      <c r="K143" s="877"/>
      <c r="M143" s="877" t="s">
        <v>3766</v>
      </c>
      <c r="N143" s="85" t="s">
        <v>3767</v>
      </c>
      <c r="O143" s="177">
        <v>77.47</v>
      </c>
      <c r="P143" s="1849" t="s">
        <v>3768</v>
      </c>
      <c r="Q143" s="177">
        <f>O143*P143</f>
        <v>-7.7469999999999999</v>
      </c>
      <c r="R143" s="769">
        <f>O143+Q143</f>
        <v>69.722999999999999</v>
      </c>
      <c r="S143" s="769"/>
      <c r="T143" s="79"/>
      <c r="W143" s="877"/>
      <c r="X143" s="877"/>
    </row>
    <row r="144" spans="1:28" s="85" customFormat="1" x14ac:dyDescent="0.25">
      <c r="A144" s="79"/>
      <c r="B144" s="867" t="s">
        <v>2149</v>
      </c>
      <c r="C144" s="864" t="s">
        <v>2131</v>
      </c>
      <c r="D144" s="475">
        <f>SUMIF($D$6:$D$131,"DM",$F$6:$F$131)</f>
        <v>0</v>
      </c>
      <c r="E144" s="1202">
        <f t="shared" si="0"/>
        <v>0</v>
      </c>
      <c r="F144" s="1203">
        <f t="shared" si="1"/>
        <v>0</v>
      </c>
      <c r="K144" s="877"/>
      <c r="M144" s="877" t="s">
        <v>3062</v>
      </c>
      <c r="N144" s="85" t="s">
        <v>3769</v>
      </c>
      <c r="O144" s="177">
        <v>77.47</v>
      </c>
      <c r="P144" s="1849" t="s">
        <v>3768</v>
      </c>
      <c r="Q144" s="177">
        <f>O144*P144</f>
        <v>-7.7469999999999999</v>
      </c>
      <c r="R144" s="769">
        <f>O144+Q144</f>
        <v>69.722999999999999</v>
      </c>
      <c r="W144" s="877"/>
      <c r="X144" s="877"/>
    </row>
    <row r="145" spans="1:26" s="85" customFormat="1" x14ac:dyDescent="0.25">
      <c r="A145" s="79"/>
      <c r="B145" s="79" t="s">
        <v>3048</v>
      </c>
      <c r="C145" s="864" t="s">
        <v>1523</v>
      </c>
      <c r="D145" s="475">
        <f ca="1">SUMIF($D$8:$D$132,"B",$F$8:$F$131)</f>
        <v>244.6</v>
      </c>
      <c r="E145" s="1202">
        <f t="shared" ca="1" si="0"/>
        <v>8.1533333333333324</v>
      </c>
      <c r="F145" s="1203">
        <f t="shared" ca="1" si="1"/>
        <v>5.6738575736488051E-2</v>
      </c>
      <c r="G145" s="1038"/>
      <c r="J145" s="1038"/>
      <c r="K145" s="877"/>
      <c r="M145" s="877" t="s">
        <v>717</v>
      </c>
      <c r="N145" s="85" t="s">
        <v>3770</v>
      </c>
      <c r="O145" s="177">
        <v>77.47</v>
      </c>
      <c r="P145" s="1849" t="s">
        <v>3768</v>
      </c>
      <c r="Q145" s="177">
        <f>O145*P145</f>
        <v>-7.7469999999999999</v>
      </c>
      <c r="R145" s="769">
        <f>O145+Q145</f>
        <v>69.722999999999999</v>
      </c>
      <c r="S145" s="1210"/>
      <c r="T145" s="877"/>
      <c r="W145" s="877"/>
      <c r="X145" s="877"/>
    </row>
    <row r="146" spans="1:26" s="85" customFormat="1" x14ac:dyDescent="0.25">
      <c r="A146" s="79"/>
      <c r="B146" s="79" t="s">
        <v>1686</v>
      </c>
      <c r="C146" s="864" t="s">
        <v>1506</v>
      </c>
      <c r="D146" s="475">
        <f>SUMIF($D$21:$D$131,"R",$F$21:$F$131)</f>
        <v>275</v>
      </c>
      <c r="E146" s="1202">
        <f t="shared" si="0"/>
        <v>9.1666666666666661</v>
      </c>
      <c r="F146" s="1203">
        <f t="shared" si="1"/>
        <v>6.3790303873811183E-2</v>
      </c>
      <c r="G146" s="1032"/>
      <c r="K146" s="877"/>
      <c r="M146" s="877" t="s">
        <v>3771</v>
      </c>
      <c r="N146" s="85" t="s">
        <v>3770</v>
      </c>
      <c r="O146" s="177">
        <v>77.47</v>
      </c>
      <c r="P146" s="1849" t="s">
        <v>3768</v>
      </c>
      <c r="Q146" s="177">
        <f>O146*P146</f>
        <v>-7.7469999999999999</v>
      </c>
      <c r="R146" s="769">
        <f>O146+Q146</f>
        <v>69.722999999999999</v>
      </c>
      <c r="S146" s="1129"/>
      <c r="T146" s="877"/>
      <c r="W146" s="877"/>
      <c r="X146" s="877"/>
    </row>
    <row r="147" spans="1:26" x14ac:dyDescent="0.25">
      <c r="B147" s="79" t="s">
        <v>418</v>
      </c>
      <c r="C147" s="85" t="s">
        <v>1524</v>
      </c>
      <c r="D147" s="475">
        <f>SUMIF($D$8:$D$131,"COM",$F$8:$F$131)</f>
        <v>59</v>
      </c>
      <c r="E147" s="1202">
        <f t="shared" si="0"/>
        <v>1.9666666666666666</v>
      </c>
      <c r="F147" s="1203">
        <f>E147/$E$156</f>
        <v>1.368591974019949E-2</v>
      </c>
      <c r="G147" s="85"/>
      <c r="H147" s="85"/>
      <c r="I147" s="85"/>
      <c r="J147" s="769"/>
      <c r="K147" s="1225"/>
      <c r="L147" s="769"/>
      <c r="M147" s="877"/>
      <c r="N147" s="970"/>
      <c r="O147" s="1030"/>
      <c r="P147" s="1851"/>
      <c r="Q147" s="1852"/>
      <c r="R147" s="1030"/>
      <c r="S147" s="1226"/>
      <c r="T147" s="877"/>
      <c r="W147" s="877"/>
      <c r="X147" s="877"/>
    </row>
    <row r="148" spans="1:26" x14ac:dyDescent="0.25">
      <c r="B148" s="79" t="s">
        <v>419</v>
      </c>
      <c r="C148" s="85" t="s">
        <v>1491</v>
      </c>
      <c r="D148" s="475">
        <f>SUMIF($D$21:$D$131,"F",$F$21:$F$131)</f>
        <v>686.89</v>
      </c>
      <c r="E148" s="1202">
        <f t="shared" si="0"/>
        <v>22.896333333333335</v>
      </c>
      <c r="F148" s="1203">
        <f>E148/$E$156</f>
        <v>0.15933426119229879</v>
      </c>
      <c r="I148" s="85"/>
      <c r="M148" s="1850" t="s">
        <v>3772</v>
      </c>
      <c r="N148" s="193"/>
      <c r="O148" s="591"/>
      <c r="P148" s="193"/>
      <c r="Q148" s="193"/>
      <c r="R148" s="193"/>
      <c r="S148" s="484"/>
      <c r="T148" s="877"/>
      <c r="W148" s="877"/>
      <c r="X148" s="877"/>
    </row>
    <row r="149" spans="1:26" x14ac:dyDescent="0.25">
      <c r="B149" s="79" t="s">
        <v>911</v>
      </c>
      <c r="C149" s="85" t="s">
        <v>1525</v>
      </c>
      <c r="D149" s="475">
        <f>SUMIF($D$24:$D$131,"FER",$F$24:$F$131)</f>
        <v>487.79999999999995</v>
      </c>
      <c r="E149" s="1202">
        <f t="shared" si="0"/>
        <v>16.259999999999998</v>
      </c>
      <c r="F149" s="1203">
        <f t="shared" si="1"/>
        <v>0.11315240083507307</v>
      </c>
      <c r="M149" s="877" t="s">
        <v>3766</v>
      </c>
      <c r="N149" s="85" t="s">
        <v>3767</v>
      </c>
      <c r="O149" s="216">
        <f>$O$153/4</f>
        <v>37.5</v>
      </c>
      <c r="P149" s="1849" t="s">
        <v>3768</v>
      </c>
      <c r="Q149" s="177">
        <f>O149*P149</f>
        <v>-3.75</v>
      </c>
      <c r="R149" s="769">
        <f>O149+Q149</f>
        <v>33.75</v>
      </c>
      <c r="S149" s="484"/>
      <c r="T149" s="1673"/>
      <c r="W149" s="877"/>
      <c r="X149" s="877"/>
    </row>
    <row r="150" spans="1:26" x14ac:dyDescent="0.25">
      <c r="B150" s="79" t="s">
        <v>1526</v>
      </c>
      <c r="C150" s="85" t="s">
        <v>1504</v>
      </c>
      <c r="D150" s="475">
        <f>SUMIF($D$24:$D$131,"I",$F$24:$F$131)</f>
        <v>158</v>
      </c>
      <c r="E150" s="1202">
        <f t="shared" si="0"/>
        <v>5.2666666666666666</v>
      </c>
      <c r="F150" s="1203">
        <f t="shared" si="1"/>
        <v>3.6650429134771519E-2</v>
      </c>
      <c r="J150" s="769"/>
      <c r="K150" s="868"/>
      <c r="L150" s="769"/>
      <c r="M150" s="877" t="s">
        <v>3062</v>
      </c>
      <c r="N150" s="85" t="s">
        <v>3769</v>
      </c>
      <c r="O150" s="216">
        <f>$O$153/4</f>
        <v>37.5</v>
      </c>
      <c r="P150" s="1849" t="s">
        <v>3768</v>
      </c>
      <c r="Q150" s="177">
        <f>O150*P150</f>
        <v>-3.75</v>
      </c>
      <c r="R150" s="769">
        <f>O150+Q150</f>
        <v>33.75</v>
      </c>
      <c r="S150" s="1038"/>
      <c r="T150" s="1129"/>
      <c r="V150" s="1129"/>
      <c r="W150" s="877"/>
      <c r="X150" s="877"/>
    </row>
    <row r="151" spans="1:26" x14ac:dyDescent="0.25">
      <c r="B151" s="79" t="s">
        <v>2343</v>
      </c>
      <c r="C151" s="85" t="s">
        <v>2315</v>
      </c>
      <c r="D151" s="475">
        <f>SUMIF($D$24:$D$131,"E",$F$24:$F$131)</f>
        <v>0</v>
      </c>
      <c r="E151" s="1202">
        <f t="shared" si="0"/>
        <v>0</v>
      </c>
      <c r="F151" s="1203">
        <f t="shared" si="1"/>
        <v>0</v>
      </c>
      <c r="J151" s="769"/>
      <c r="K151" s="868"/>
      <c r="L151" s="769"/>
      <c r="M151" s="877" t="s">
        <v>717</v>
      </c>
      <c r="N151" s="85" t="s">
        <v>3770</v>
      </c>
      <c r="O151" s="216">
        <f>$O$153/4</f>
        <v>37.5</v>
      </c>
      <c r="P151" s="1849" t="s">
        <v>3768</v>
      </c>
      <c r="Q151" s="177">
        <f>O151*P151</f>
        <v>-3.75</v>
      </c>
      <c r="R151" s="769">
        <f>O151+Q151</f>
        <v>33.75</v>
      </c>
      <c r="S151" s="1038"/>
      <c r="T151" s="1129"/>
      <c r="V151" s="1129"/>
      <c r="W151" s="877"/>
      <c r="X151" s="877"/>
    </row>
    <row r="152" spans="1:26" x14ac:dyDescent="0.25">
      <c r="B152" s="79" t="s">
        <v>3019</v>
      </c>
      <c r="C152" s="85" t="s">
        <v>3017</v>
      </c>
      <c r="D152" s="475">
        <f>SUMIF($D$6:$D$131,"IM",$F$6:$F$131)</f>
        <v>566.15</v>
      </c>
      <c r="E152" s="1202">
        <f t="shared" si="0"/>
        <v>18.871666666666666</v>
      </c>
      <c r="F152" s="1203">
        <f t="shared" si="1"/>
        <v>0.13132683832057529</v>
      </c>
      <c r="J152" s="769"/>
      <c r="L152" s="769"/>
      <c r="M152" s="877" t="s">
        <v>3771</v>
      </c>
      <c r="N152" s="85" t="s">
        <v>3770</v>
      </c>
      <c r="O152" s="216">
        <f>$O$153/4</f>
        <v>37.5</v>
      </c>
      <c r="P152" s="1849" t="s">
        <v>3768</v>
      </c>
      <c r="Q152" s="177">
        <f>O152*P152</f>
        <v>-3.75</v>
      </c>
      <c r="R152" s="769">
        <f>O152+Q152</f>
        <v>33.75</v>
      </c>
      <c r="S152" s="224"/>
      <c r="T152" s="1226"/>
      <c r="U152" s="1129"/>
      <c r="V152" s="1129"/>
      <c r="W152" s="877"/>
      <c r="X152" s="877"/>
    </row>
    <row r="153" spans="1:26" x14ac:dyDescent="0.25">
      <c r="B153" s="79" t="s">
        <v>1527</v>
      </c>
      <c r="C153" s="85" t="s">
        <v>1489</v>
      </c>
      <c r="D153" s="475">
        <f>SUMIF($D$6:$D$131,"OD",$F$6:$F$131)</f>
        <v>333.16999999999996</v>
      </c>
      <c r="E153" s="1202">
        <f t="shared" si="0"/>
        <v>11.105666666666666</v>
      </c>
      <c r="F153" s="1203">
        <f>E153/$E$156</f>
        <v>7.7283692878682447E-2</v>
      </c>
      <c r="M153" s="877"/>
      <c r="N153" s="985"/>
      <c r="O153" s="1001">
        <v>150</v>
      </c>
      <c r="P153" s="1851" t="s">
        <v>3768</v>
      </c>
      <c r="Q153" s="1852">
        <f>O153*P153</f>
        <v>-15</v>
      </c>
      <c r="R153" s="1030">
        <f>O153+Q153</f>
        <v>135</v>
      </c>
      <c r="S153" s="1038"/>
      <c r="T153" s="1226"/>
      <c r="U153" s="1129"/>
      <c r="V153" s="1129"/>
      <c r="W153" s="877"/>
      <c r="X153" s="877"/>
    </row>
    <row r="154" spans="1:26" x14ac:dyDescent="0.25">
      <c r="C154" s="79"/>
      <c r="D154" s="629"/>
      <c r="E154" s="79"/>
      <c r="F154" s="79"/>
      <c r="M154" s="985" t="s">
        <v>3773</v>
      </c>
      <c r="S154" s="1038"/>
      <c r="T154" s="1227"/>
      <c r="U154" s="1129"/>
      <c r="V154" s="1129"/>
      <c r="W154" s="877"/>
      <c r="X154" s="877"/>
    </row>
    <row r="155" spans="1:26" x14ac:dyDescent="0.25">
      <c r="C155" s="3168" t="s">
        <v>486</v>
      </c>
      <c r="D155" s="3168"/>
      <c r="E155" s="863">
        <f ca="1">I155/J155</f>
        <v>158.23586666666662</v>
      </c>
      <c r="G155" s="518" t="s">
        <v>487</v>
      </c>
      <c r="I155" s="629">
        <f ca="1">SUM(D136:D153)</f>
        <v>4747.0759999999991</v>
      </c>
      <c r="J155" s="1517">
        <v>30</v>
      </c>
      <c r="L155" s="216"/>
      <c r="M155" s="79" t="s">
        <v>1242</v>
      </c>
      <c r="N155" s="85" t="s">
        <v>3767</v>
      </c>
      <c r="O155" s="865">
        <v>74.900000000000006</v>
      </c>
      <c r="P155" s="1849" t="s">
        <v>3768</v>
      </c>
      <c r="Q155" s="177">
        <f>O155*P155</f>
        <v>-7.4900000000000011</v>
      </c>
      <c r="R155" s="769">
        <f>O155+Q155</f>
        <v>67.410000000000011</v>
      </c>
      <c r="S155" s="1038"/>
      <c r="T155" s="1226"/>
      <c r="U155" s="1129"/>
      <c r="V155" s="1129"/>
      <c r="W155" s="877"/>
      <c r="X155" s="877"/>
    </row>
    <row r="156" spans="1:26" ht="15.75" customHeight="1" x14ac:dyDescent="0.25">
      <c r="B156" s="3167" t="s">
        <v>3725</v>
      </c>
      <c r="C156" s="3167"/>
      <c r="D156" s="3167"/>
      <c r="E156" s="1125">
        <v>143.69999999999999</v>
      </c>
      <c r="H156" s="85"/>
      <c r="K156" s="868"/>
      <c r="M156" s="79" t="s">
        <v>3774</v>
      </c>
      <c r="N156" s="85" t="s">
        <v>3770</v>
      </c>
      <c r="O156" s="866">
        <v>74.900000000000006</v>
      </c>
      <c r="P156" s="1849" t="s">
        <v>3768</v>
      </c>
      <c r="Q156" s="177">
        <f>O156*P156</f>
        <v>-7.4900000000000011</v>
      </c>
      <c r="R156" s="769">
        <f>O156+Q156</f>
        <v>67.410000000000011</v>
      </c>
      <c r="S156" s="1038"/>
      <c r="T156" s="1226"/>
      <c r="U156" s="1129"/>
      <c r="V156" s="1129"/>
      <c r="W156" s="877"/>
      <c r="X156" s="877"/>
    </row>
    <row r="157" spans="1:26" x14ac:dyDescent="0.25">
      <c r="A157" s="518"/>
      <c r="C157" s="79"/>
      <c r="D157" s="79"/>
      <c r="E157" s="769"/>
      <c r="F157" s="866"/>
      <c r="G157" s="769"/>
      <c r="H157" s="866"/>
      <c r="I157" s="1210"/>
      <c r="J157" s="89"/>
      <c r="L157" s="1038"/>
      <c r="M157" s="79" t="s">
        <v>3775</v>
      </c>
      <c r="N157" s="85"/>
      <c r="O157" s="866">
        <v>0</v>
      </c>
      <c r="P157" s="1849" t="s">
        <v>3768</v>
      </c>
      <c r="Q157" s="177"/>
      <c r="R157" s="769"/>
      <c r="S157" s="1038"/>
      <c r="T157" s="769"/>
      <c r="U157" s="484" t="s">
        <v>280</v>
      </c>
      <c r="V157" s="216"/>
      <c r="W157" s="866"/>
      <c r="X157" s="484"/>
      <c r="Z157" s="877"/>
    </row>
    <row r="158" spans="1:26" s="518" customFormat="1" x14ac:dyDescent="0.25">
      <c r="A158" s="79"/>
      <c r="B158" s="79"/>
      <c r="C158" s="79"/>
      <c r="D158" s="79"/>
      <c r="E158" s="1126">
        <f ca="1">E156-E155</f>
        <v>-14.535866666666635</v>
      </c>
      <c r="F158" s="1205">
        <f ca="1">SUM(F136:F157)</f>
        <v>1.1011542565530039</v>
      </c>
      <c r="G158" s="85"/>
      <c r="H158" s="85"/>
      <c r="I158" s="89"/>
      <c r="J158" s="79"/>
      <c r="K158" s="79"/>
      <c r="L158" s="79"/>
      <c r="M158" s="79"/>
      <c r="N158" s="85"/>
      <c r="O158" s="1030">
        <f>SUM(O155:O157)</f>
        <v>149.80000000000001</v>
      </c>
      <c r="P158" s="1849" t="s">
        <v>3768</v>
      </c>
      <c r="Q158" s="177">
        <f>O158*P158</f>
        <v>-14.980000000000002</v>
      </c>
      <c r="R158" s="754">
        <f>O158+Q158</f>
        <v>134.82000000000002</v>
      </c>
      <c r="S158" s="1038"/>
      <c r="T158" s="79"/>
      <c r="U158" s="79"/>
      <c r="V158" s="866"/>
      <c r="W158" s="484"/>
      <c r="X158" s="79"/>
      <c r="Y158" s="877"/>
      <c r="Z158" s="79"/>
    </row>
    <row r="159" spans="1:26" s="518" customFormat="1" x14ac:dyDescent="0.25">
      <c r="A159" s="79"/>
      <c r="B159" s="79"/>
      <c r="C159" s="85"/>
      <c r="D159" s="85"/>
      <c r="E159" s="85"/>
      <c r="M159" s="985" t="s">
        <v>70</v>
      </c>
      <c r="N159" s="85"/>
      <c r="O159" s="79"/>
      <c r="P159" s="1849"/>
      <c r="Q159" s="177"/>
      <c r="R159" s="769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79" t="s">
        <v>3776</v>
      </c>
      <c r="N160" s="85" t="s">
        <v>3767</v>
      </c>
      <c r="O160" s="216">
        <v>36</v>
      </c>
      <c r="P160" s="1849" t="s">
        <v>3768</v>
      </c>
      <c r="Q160" s="177">
        <f>O160*P160</f>
        <v>-3.6</v>
      </c>
      <c r="R160" s="769">
        <f>O160+Q160</f>
        <v>32.4</v>
      </c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216"/>
      <c r="J161" s="769"/>
      <c r="K161" s="866"/>
      <c r="L161" s="769"/>
      <c r="M161" s="79" t="s">
        <v>3777</v>
      </c>
      <c r="N161" s="85" t="s">
        <v>3770</v>
      </c>
      <c r="O161" s="216">
        <v>36</v>
      </c>
      <c r="P161" s="1849" t="s">
        <v>3768</v>
      </c>
      <c r="Q161" s="177">
        <f>O161*P161</f>
        <v>-3.6</v>
      </c>
      <c r="R161" s="769">
        <f>O161+Q161</f>
        <v>32.4</v>
      </c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79"/>
      <c r="D162" s="79"/>
      <c r="E162" s="79"/>
      <c r="F162" s="79"/>
      <c r="G162" s="79"/>
      <c r="H162" s="79"/>
      <c r="K162" s="866"/>
      <c r="M162" s="868"/>
      <c r="N162" s="85"/>
      <c r="O162" s="1001">
        <f>SUM(O160:O161)</f>
        <v>72</v>
      </c>
      <c r="P162" s="1849" t="s">
        <v>3768</v>
      </c>
      <c r="Q162" s="177">
        <f>O162*P162</f>
        <v>-7.2</v>
      </c>
      <c r="R162" s="754">
        <f>O162+Q162</f>
        <v>64.8</v>
      </c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1210"/>
      <c r="O163" s="1038"/>
      <c r="P163" s="1849"/>
      <c r="Q163" s="177"/>
      <c r="R163" s="769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216"/>
      <c r="J164" s="769"/>
      <c r="K164" s="868"/>
      <c r="L164" s="769"/>
      <c r="M164" s="79"/>
      <c r="O164" s="79"/>
      <c r="P164" s="1849"/>
      <c r="Q164" s="177"/>
      <c r="R164" s="769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216"/>
      <c r="H165" s="79"/>
      <c r="I165" s="216"/>
      <c r="J165" s="769"/>
      <c r="K165" s="866"/>
      <c r="L165" s="769"/>
      <c r="P165" s="1849"/>
      <c r="Q165" s="177"/>
      <c r="R165" s="754"/>
      <c r="S165" s="1038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216"/>
      <c r="H166" s="79"/>
      <c r="I166" s="79"/>
      <c r="J166" s="770"/>
      <c r="K166" s="866"/>
      <c r="L166" s="770"/>
      <c r="O166" s="1853"/>
      <c r="S166" s="1038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O167" s="610"/>
      <c r="S167" s="1038"/>
      <c r="T167" s="484"/>
      <c r="U167" s="79"/>
      <c r="V167" s="877"/>
      <c r="W167" s="79"/>
    </row>
    <row r="168" spans="1:23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484"/>
      <c r="S168" s="1038"/>
      <c r="T168" s="484"/>
      <c r="U168" s="79"/>
      <c r="V168" s="877"/>
      <c r="W168" s="79"/>
    </row>
    <row r="169" spans="1:23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629"/>
      <c r="J169" s="769"/>
      <c r="K169" s="866"/>
      <c r="L169" s="769"/>
      <c r="M169" s="866"/>
      <c r="N169" s="769"/>
      <c r="O169" s="866"/>
      <c r="P169" s="1210"/>
      <c r="Q169" s="1038"/>
      <c r="R169" s="1210"/>
      <c r="S169" s="1038"/>
      <c r="T169" s="484"/>
      <c r="U169" s="79"/>
      <c r="V169" s="877"/>
      <c r="W169" s="79"/>
    </row>
    <row r="170" spans="1:23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769"/>
      <c r="O170" s="866"/>
      <c r="P170" s="1210"/>
      <c r="Q170" s="1038"/>
      <c r="R170" s="1210"/>
      <c r="S170" s="1038"/>
      <c r="T170" s="484"/>
      <c r="U170" s="79"/>
      <c r="V170" s="877"/>
      <c r="W170" s="79"/>
    </row>
    <row r="171" spans="1:23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769"/>
      <c r="O171" s="866"/>
      <c r="P171" s="1210"/>
      <c r="Q171" s="1038"/>
      <c r="R171" s="1210"/>
      <c r="S171" s="1038"/>
      <c r="T171" s="484"/>
      <c r="U171" s="79"/>
      <c r="V171" s="877"/>
      <c r="W171" s="79"/>
    </row>
    <row r="172" spans="1:23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K172" s="866"/>
      <c r="L172" s="769"/>
      <c r="M172" s="755"/>
      <c r="N172" s="769"/>
      <c r="O172" s="866"/>
      <c r="P172" s="1210"/>
      <c r="Q172" s="1038"/>
      <c r="R172" s="1210"/>
      <c r="S172" s="1038"/>
      <c r="T172" s="484"/>
      <c r="U172" s="79"/>
      <c r="V172" s="877"/>
      <c r="W172" s="79"/>
    </row>
    <row r="173" spans="1:23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1210"/>
      <c r="Q173" s="1038"/>
      <c r="R173" s="1210"/>
      <c r="S173" s="1038"/>
      <c r="T173" s="484"/>
      <c r="U173" s="79"/>
      <c r="V173" s="877"/>
      <c r="W173" s="79"/>
    </row>
    <row r="174" spans="1:23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1210"/>
      <c r="Q174" s="1038"/>
      <c r="R174" s="1210"/>
      <c r="S174" s="1038"/>
      <c r="T174" s="484"/>
      <c r="U174" s="79"/>
      <c r="V174" s="877"/>
      <c r="W174" s="79"/>
    </row>
    <row r="175" spans="1:23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769"/>
      <c r="M175" s="866"/>
      <c r="N175" s="769"/>
      <c r="O175" s="866"/>
      <c r="P175" s="1210"/>
      <c r="Q175" s="1038"/>
      <c r="R175" s="1210"/>
      <c r="S175" s="1038"/>
      <c r="T175" s="484"/>
      <c r="U175" s="79"/>
      <c r="V175" s="877"/>
      <c r="W175" s="79"/>
    </row>
    <row r="176" spans="1:23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69"/>
      <c r="K176" s="866"/>
      <c r="L176" s="769"/>
      <c r="M176" s="866"/>
      <c r="N176" s="769"/>
      <c r="O176" s="866"/>
      <c r="P176" s="1210"/>
      <c r="Q176" s="1038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769"/>
      <c r="M177" s="866"/>
      <c r="N177" s="769"/>
      <c r="O177" s="866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769"/>
      <c r="M178" s="866"/>
      <c r="N178" s="769"/>
      <c r="O178" s="866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769"/>
      <c r="M179" s="868"/>
      <c r="N179" s="769"/>
      <c r="O179" s="868"/>
      <c r="P179" s="79"/>
      <c r="Q179" s="79"/>
      <c r="R179" s="79"/>
      <c r="S179" s="79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8"/>
      <c r="L180" s="769"/>
      <c r="M180" s="868"/>
      <c r="N180" s="769"/>
      <c r="O180" s="868"/>
      <c r="P180" s="81"/>
      <c r="Q180" s="755"/>
      <c r="R180" s="81"/>
      <c r="S180" s="755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769"/>
      <c r="M181" s="868"/>
      <c r="N181" s="769"/>
      <c r="O181" s="868"/>
      <c r="P181" s="868"/>
      <c r="Q181" s="79"/>
      <c r="R181" s="868"/>
      <c r="S181" s="79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769"/>
      <c r="M182" s="868"/>
      <c r="N182" s="769"/>
      <c r="O182" s="868"/>
      <c r="P182" s="754"/>
      <c r="Q182" s="886"/>
      <c r="R182" s="754"/>
      <c r="S182" s="886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769"/>
      <c r="M183" s="868"/>
      <c r="N183" s="769"/>
      <c r="O183" s="868"/>
      <c r="P183" s="864"/>
      <c r="Q183" s="864"/>
      <c r="R183" s="864"/>
      <c r="S183" s="864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769"/>
      <c r="M184" s="866"/>
      <c r="N184" s="769"/>
      <c r="O184" s="866"/>
      <c r="P184" s="864"/>
      <c r="Q184" s="1032"/>
      <c r="R184" s="864"/>
      <c r="S184" s="1032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769"/>
      <c r="M185" s="866"/>
      <c r="N185" s="769"/>
      <c r="O185" s="866"/>
      <c r="P185" s="864"/>
      <c r="Q185" s="1032"/>
      <c r="R185" s="864"/>
      <c r="S185" s="1032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8"/>
      <c r="L186" s="769"/>
      <c r="M186" s="868"/>
      <c r="N186" s="769"/>
      <c r="O186" s="868"/>
      <c r="P186" s="85"/>
      <c r="Q186" s="795"/>
      <c r="R186" s="85"/>
      <c r="S186" s="795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769"/>
      <c r="M187" s="866"/>
      <c r="N187" s="769"/>
      <c r="O187" s="866"/>
      <c r="P187" s="85"/>
      <c r="Q187" s="177"/>
      <c r="R187" s="85"/>
      <c r="S187" s="177"/>
      <c r="T187" s="484"/>
      <c r="U187" s="79"/>
      <c r="V187" s="877"/>
      <c r="W187" s="79"/>
    </row>
    <row r="188" spans="1:23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6"/>
      <c r="L188" s="769"/>
      <c r="M188" s="866"/>
      <c r="N188" s="769"/>
      <c r="O188" s="866"/>
      <c r="P188" s="85"/>
      <c r="Q188" s="177"/>
      <c r="R188" s="85"/>
      <c r="S188" s="177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8"/>
      <c r="L189" s="769"/>
      <c r="M189" s="868"/>
      <c r="N189" s="769"/>
      <c r="O189" s="868"/>
      <c r="P189" s="85"/>
      <c r="Q189" s="177" t="s">
        <v>280</v>
      </c>
      <c r="R189" s="85"/>
      <c r="S189" s="177" t="s">
        <v>280</v>
      </c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8"/>
      <c r="L190" s="769"/>
      <c r="M190" s="868"/>
      <c r="N190" s="769"/>
      <c r="O190" s="868"/>
      <c r="P190" s="85"/>
      <c r="Q190" s="177"/>
      <c r="R190" s="85"/>
      <c r="S190" s="177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769"/>
      <c r="M191" s="868"/>
      <c r="N191" s="769"/>
      <c r="O191" s="868"/>
      <c r="P191" s="85"/>
      <c r="Q191" s="866"/>
      <c r="R191" s="85"/>
      <c r="S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769"/>
      <c r="M192" s="868"/>
      <c r="N192" s="769"/>
      <c r="O192" s="868"/>
      <c r="P192" s="769"/>
      <c r="Q192" s="216"/>
      <c r="R192" s="769"/>
      <c r="S192" s="21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6"/>
      <c r="L193" s="769"/>
      <c r="M193" s="866"/>
      <c r="N193" s="769"/>
      <c r="O193" s="866"/>
      <c r="P193" s="79"/>
      <c r="Q193" s="216"/>
      <c r="R193" s="79"/>
      <c r="S193" s="21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223"/>
      <c r="K194" s="629"/>
      <c r="L194" s="223"/>
      <c r="M194" s="629"/>
      <c r="N194" s="223"/>
      <c r="O194" s="629"/>
      <c r="P194" s="769"/>
      <c r="Q194" s="868"/>
      <c r="R194" s="769"/>
      <c r="S194" s="868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56"/>
      <c r="K195" s="756"/>
      <c r="L195" s="756"/>
      <c r="M195" s="756"/>
      <c r="N195" s="756"/>
      <c r="O195" s="756"/>
      <c r="P195" s="769"/>
      <c r="Q195" s="868"/>
      <c r="R195" s="769"/>
      <c r="S195" s="868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8"/>
      <c r="R196" s="769"/>
      <c r="S196" s="868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79"/>
      <c r="R197" s="769"/>
      <c r="S197" s="79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85"/>
      <c r="K200" s="85"/>
      <c r="L200" s="85"/>
      <c r="M200" s="85"/>
      <c r="N200" s="85"/>
      <c r="O200" s="85"/>
      <c r="P200" s="1517"/>
      <c r="Q200" s="79"/>
      <c r="R200" s="1517"/>
      <c r="S200" s="79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868"/>
      <c r="R201" s="79"/>
      <c r="S201" s="868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89"/>
      <c r="Q202" s="79"/>
      <c r="R202" s="89"/>
      <c r="S202" s="79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69"/>
      <c r="Q204" s="866"/>
      <c r="R204" s="769"/>
      <c r="S204" s="86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69"/>
      <c r="Q205" s="866"/>
      <c r="R205" s="769"/>
      <c r="S205" s="86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69"/>
      <c r="Q206" s="866"/>
      <c r="R206" s="769"/>
      <c r="S206" s="86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85"/>
      <c r="K207" s="85"/>
      <c r="L207" s="85"/>
      <c r="M207" s="85"/>
      <c r="N207" s="85"/>
      <c r="O207" s="85"/>
      <c r="Q207" s="866"/>
      <c r="S207" s="86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69"/>
      <c r="Q208" s="866"/>
      <c r="R208" s="769"/>
      <c r="S208" s="866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69"/>
      <c r="Q209" s="868"/>
      <c r="R209" s="769"/>
      <c r="S209" s="868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69"/>
      <c r="Q210" s="866"/>
      <c r="R210" s="769"/>
      <c r="S210" s="866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70"/>
      <c r="Q211" s="866"/>
      <c r="R211" s="770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69"/>
      <c r="Q212" s="868"/>
      <c r="R212" s="769"/>
      <c r="S212" s="868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69"/>
      <c r="Q213" s="866"/>
      <c r="R213" s="769"/>
      <c r="S213" s="866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71"/>
      <c r="L214" s="771"/>
      <c r="N214" s="771"/>
      <c r="P214" s="769"/>
      <c r="Q214" s="866"/>
      <c r="R214" s="769"/>
      <c r="S214" s="866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69"/>
      <c r="Q215" s="866"/>
      <c r="R215" s="769"/>
      <c r="S215" s="866"/>
      <c r="T215" s="484"/>
      <c r="U215" s="79"/>
      <c r="V215" s="877"/>
      <c r="W215" s="79"/>
    </row>
    <row r="216" spans="1:23" x14ac:dyDescent="0.25">
      <c r="P216" s="769"/>
      <c r="Q216" s="866"/>
      <c r="R216" s="769"/>
      <c r="S216" s="866"/>
    </row>
    <row r="217" spans="1:23" x14ac:dyDescent="0.25">
      <c r="P217" s="769"/>
      <c r="Q217" s="866"/>
      <c r="R217" s="769"/>
      <c r="S217" s="866"/>
    </row>
    <row r="218" spans="1:23" x14ac:dyDescent="0.25">
      <c r="P218" s="769"/>
      <c r="Q218" s="866"/>
      <c r="R218" s="769"/>
      <c r="S218" s="866"/>
    </row>
    <row r="219" spans="1:23" x14ac:dyDescent="0.25">
      <c r="P219" s="769"/>
      <c r="Q219" s="866"/>
      <c r="R219" s="769"/>
      <c r="S219" s="866"/>
    </row>
    <row r="220" spans="1:23" x14ac:dyDescent="0.25">
      <c r="P220" s="769"/>
      <c r="Q220" s="866"/>
      <c r="R220" s="769"/>
      <c r="S220" s="866"/>
    </row>
    <row r="221" spans="1:23" x14ac:dyDescent="0.25">
      <c r="P221" s="769"/>
      <c r="Q221" s="866"/>
      <c r="R221" s="769"/>
      <c r="S221" s="866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69"/>
      <c r="Q222" s="866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69"/>
      <c r="Q223" s="866"/>
      <c r="R223" s="769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769"/>
      <c r="S225" s="868"/>
      <c r="T225" s="484"/>
      <c r="U225" s="79"/>
      <c r="V225" s="877"/>
      <c r="W225" s="79"/>
    </row>
    <row r="226" spans="1:23" x14ac:dyDescent="0.25">
      <c r="P226" s="769"/>
      <c r="Q226" s="868"/>
      <c r="R226" s="769"/>
      <c r="S226" s="868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8"/>
      <c r="R227" s="769"/>
      <c r="S227" s="868"/>
      <c r="T227" s="484"/>
      <c r="U227" s="79"/>
      <c r="V227" s="877"/>
      <c r="W227" s="79"/>
    </row>
    <row r="228" spans="1:23" x14ac:dyDescent="0.25">
      <c r="P228" s="769"/>
      <c r="Q228" s="868"/>
      <c r="R228" s="769"/>
      <c r="S228" s="868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629"/>
      <c r="L229" s="79"/>
      <c r="M229" s="629"/>
      <c r="N229" s="79"/>
      <c r="O229" s="629"/>
      <c r="P229" s="769"/>
      <c r="Q229" s="866"/>
      <c r="R229" s="769"/>
      <c r="S229" s="866"/>
      <c r="T229" s="484"/>
      <c r="U229" s="79"/>
      <c r="V229" s="877"/>
      <c r="W229" s="79"/>
    </row>
    <row r="230" spans="1:23" x14ac:dyDescent="0.25">
      <c r="P230" s="769"/>
      <c r="Q230" s="866"/>
      <c r="R230" s="769"/>
      <c r="S230" s="866"/>
    </row>
    <row r="231" spans="1:23" x14ac:dyDescent="0.25">
      <c r="P231" s="769"/>
      <c r="Q231" s="868"/>
      <c r="R231" s="769"/>
      <c r="S231" s="868"/>
    </row>
    <row r="232" spans="1:23" x14ac:dyDescent="0.25">
      <c r="P232" s="769"/>
      <c r="Q232" s="866"/>
      <c r="R232" s="769"/>
      <c r="S232" s="866"/>
    </row>
    <row r="233" spans="1:23" x14ac:dyDescent="0.25">
      <c r="P233" s="769"/>
      <c r="Q233" s="866"/>
      <c r="R233" s="769"/>
      <c r="S233" s="866"/>
    </row>
    <row r="234" spans="1:23" x14ac:dyDescent="0.25">
      <c r="P234" s="769"/>
      <c r="Q234" s="868"/>
      <c r="R234" s="769"/>
      <c r="S234" s="868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79"/>
      <c r="O235" s="216"/>
      <c r="P235" s="769"/>
      <c r="Q235" s="868"/>
      <c r="R235" s="769"/>
      <c r="S235" s="868"/>
      <c r="T235" s="484"/>
      <c r="U235" s="79"/>
      <c r="V235" s="877"/>
      <c r="W235" s="79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79"/>
      <c r="O236" s="216"/>
      <c r="P236" s="769"/>
      <c r="Q236" s="868"/>
      <c r="R236" s="769"/>
      <c r="S236" s="868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9"/>
      <c r="O237" s="216"/>
      <c r="P237" s="769"/>
      <c r="Q237" s="868"/>
      <c r="R237" s="769"/>
      <c r="S237" s="868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9"/>
      <c r="O238" s="216"/>
      <c r="P238" s="769"/>
      <c r="Q238" s="866"/>
      <c r="R238" s="769"/>
      <c r="S238" s="866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9"/>
      <c r="O239" s="216"/>
      <c r="P239" s="223"/>
      <c r="Q239" s="629"/>
      <c r="R239" s="223"/>
      <c r="S239" s="629"/>
      <c r="T239" s="484"/>
      <c r="U239" s="79"/>
      <c r="V239" s="877"/>
      <c r="W239" s="79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79"/>
      <c r="O240" s="216"/>
      <c r="P240" s="756"/>
      <c r="Q240" s="756"/>
      <c r="R240" s="756"/>
      <c r="S240" s="756"/>
      <c r="T240" s="484"/>
      <c r="U240" s="79"/>
      <c r="V240" s="877"/>
      <c r="W240" s="79"/>
    </row>
    <row r="241" spans="1:44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79"/>
      <c r="M241" s="216"/>
      <c r="N241" s="79"/>
      <c r="O241" s="216"/>
      <c r="P241" s="79"/>
      <c r="Q241" s="79"/>
      <c r="R241" s="79"/>
      <c r="S241" s="79"/>
      <c r="T241" s="484"/>
      <c r="U241" s="79"/>
      <c r="V241" s="877"/>
      <c r="W241" s="79"/>
    </row>
    <row r="242" spans="1:44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79"/>
      <c r="M242" s="216"/>
      <c r="N242" s="79"/>
      <c r="O242" s="216"/>
      <c r="P242" s="79"/>
      <c r="Q242" s="79"/>
      <c r="R242" s="79"/>
      <c r="S242" s="79"/>
      <c r="T242" s="484"/>
      <c r="U242" s="79"/>
      <c r="V242" s="877"/>
      <c r="W242" s="79"/>
    </row>
    <row r="243" spans="1:44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79"/>
      <c r="M243" s="216"/>
      <c r="N243" s="79"/>
      <c r="O243" s="216"/>
      <c r="P243" s="79"/>
      <c r="Q243" s="79"/>
      <c r="R243" s="79"/>
      <c r="S243" s="79"/>
      <c r="T243" s="484"/>
      <c r="U243" s="79"/>
      <c r="V243" s="877"/>
      <c r="W243" s="79"/>
    </row>
    <row r="245" spans="1:44" x14ac:dyDescent="0.25">
      <c r="P245" s="85"/>
      <c r="Q245" s="85"/>
      <c r="R245" s="85"/>
      <c r="S245" s="85"/>
    </row>
    <row r="252" spans="1:44" x14ac:dyDescent="0.25">
      <c r="P252" s="85"/>
      <c r="Q252" s="85"/>
      <c r="R252" s="85"/>
      <c r="S252" s="85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59" spans="1:44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71"/>
      <c r="Q259" s="518"/>
      <c r="R259" s="771"/>
      <c r="S259" s="518"/>
      <c r="U259" s="79"/>
      <c r="V259" s="877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</row>
    <row r="260" spans="1:44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U260" s="79"/>
      <c r="V260" s="877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216"/>
      <c r="R267" s="79"/>
      <c r="S267" s="216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629"/>
      <c r="R274" s="79"/>
      <c r="S274" s="629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216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216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216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216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216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216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216"/>
      <c r="R286" s="79"/>
      <c r="S286" s="216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  <row r="287" spans="1:44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216"/>
      <c r="R287" s="79"/>
      <c r="S287" s="216"/>
      <c r="U287" s="79"/>
      <c r="V287" s="877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</row>
    <row r="288" spans="1:44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216"/>
      <c r="R288" s="79"/>
      <c r="S288" s="216"/>
      <c r="U288" s="79"/>
      <c r="V288" s="877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</row>
  </sheetData>
  <autoFilter ref="A2:S162" xr:uid="{00000000-0009-0000-0000-000088000000}">
    <filterColumn colId="5" showButton="0"/>
    <filterColumn colId="7" showButton="0"/>
    <filterColumn colId="9" showButton="0"/>
    <filterColumn colId="11" showButton="0"/>
    <filterColumn colId="13" showButton="0"/>
    <filterColumn colId="15" showButton="0"/>
    <filterColumn colId="17" showButton="0"/>
  </autoFilter>
  <mergeCells count="20">
    <mergeCell ref="C155:D155"/>
    <mergeCell ref="B156:D156"/>
    <mergeCell ref="L2:M3"/>
    <mergeCell ref="N2:O3"/>
    <mergeCell ref="P2:Q3"/>
    <mergeCell ref="P142:Q142"/>
    <mergeCell ref="M140:R140"/>
    <mergeCell ref="R2:S3"/>
    <mergeCell ref="A132:E132"/>
    <mergeCell ref="A133:E133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Planilha7"/>
  <dimension ref="A1:AR272"/>
  <sheetViews>
    <sheetView zoomScale="85" zoomScaleNormal="85" workbookViewId="0">
      <pane ySplit="5" topLeftCell="A6" activePane="bottomLeft" state="frozen"/>
      <selection pane="bottomLeft" activeCell="F91" sqref="F9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3778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45078</v>
      </c>
      <c r="B5" s="369" t="s">
        <v>10</v>
      </c>
      <c r="C5" s="370"/>
      <c r="D5" s="370"/>
      <c r="E5" s="777"/>
      <c r="F5" s="179"/>
      <c r="G5" s="933">
        <f>'Maio-23'!G133</f>
        <v>562.5435833333604</v>
      </c>
      <c r="H5" s="163"/>
      <c r="I5" s="1479">
        <f>'Maio-23'!I133</f>
        <v>1799.9959999999992</v>
      </c>
      <c r="J5" s="179"/>
      <c r="K5" s="933">
        <f>'Maio-23'!K133</f>
        <v>19676.910000000003</v>
      </c>
      <c r="L5" s="179"/>
      <c r="M5" s="933">
        <f>'Maio-23'!M133</f>
        <v>7152.2900000000018</v>
      </c>
      <c r="N5" s="179"/>
      <c r="O5" s="933">
        <f>'Maio-23'!O133</f>
        <v>2049.4</v>
      </c>
      <c r="P5" s="179"/>
      <c r="Q5" s="1479">
        <f>'Maio-23'!Q133</f>
        <v>8503.5299999999988</v>
      </c>
      <c r="R5" s="179"/>
      <c r="S5" s="933">
        <f>'Maio-23'!S133</f>
        <v>40943.245984720008</v>
      </c>
    </row>
    <row r="6" spans="1:23" s="224" customFormat="1" x14ac:dyDescent="0.25">
      <c r="A6" s="215">
        <v>45078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224" customFormat="1" ht="15" customHeight="1" x14ac:dyDescent="0.25">
      <c r="A7" s="215">
        <v>45078</v>
      </c>
      <c r="B7" s="882" t="s">
        <v>138</v>
      </c>
      <c r="C7" s="879" t="s">
        <v>12</v>
      </c>
      <c r="D7" s="879" t="s">
        <v>2157</v>
      </c>
      <c r="E7" s="875" t="s">
        <v>15</v>
      </c>
      <c r="F7" s="780">
        <v>60</v>
      </c>
      <c r="G7" s="982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</row>
    <row r="8" spans="1:23" s="224" customFormat="1" x14ac:dyDescent="0.25">
      <c r="A8" s="215">
        <v>45078</v>
      </c>
      <c r="B8" s="882" t="s">
        <v>32</v>
      </c>
      <c r="C8" s="879" t="s">
        <v>12</v>
      </c>
      <c r="D8" s="879" t="s">
        <v>1485</v>
      </c>
      <c r="E8" s="871" t="s">
        <v>13</v>
      </c>
      <c r="F8" s="780">
        <v>20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1274" customFormat="1" ht="15" customHeight="1" x14ac:dyDescent="0.25">
      <c r="A9" s="215">
        <v>45078</v>
      </c>
      <c r="B9" s="1275" t="s">
        <v>14</v>
      </c>
      <c r="C9" s="1276" t="s">
        <v>12</v>
      </c>
      <c r="D9" s="1276" t="s">
        <v>1486</v>
      </c>
      <c r="E9" s="1286" t="s">
        <v>13</v>
      </c>
      <c r="F9" s="780">
        <v>8.5</v>
      </c>
      <c r="G9" s="1278"/>
      <c r="H9" s="1282"/>
      <c r="I9" s="1283"/>
      <c r="J9" s="1279"/>
      <c r="K9" s="1278"/>
      <c r="L9" s="1279"/>
      <c r="M9" s="1278"/>
      <c r="N9" s="1279"/>
      <c r="O9" s="1278"/>
      <c r="P9" s="1279"/>
      <c r="Q9" s="1283"/>
      <c r="R9" s="1702"/>
      <c r="S9" s="1703"/>
      <c r="T9" s="1281"/>
      <c r="V9" s="1281"/>
      <c r="W9" s="1294"/>
    </row>
    <row r="10" spans="1:23" s="224" customFormat="1" x14ac:dyDescent="0.25">
      <c r="A10" s="215">
        <v>45079</v>
      </c>
      <c r="B10" s="882" t="s">
        <v>32</v>
      </c>
      <c r="C10" s="879" t="s">
        <v>12</v>
      </c>
      <c r="D10" s="879" t="s">
        <v>1485</v>
      </c>
      <c r="E10" s="871" t="s">
        <v>13</v>
      </c>
      <c r="F10" s="780">
        <v>20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  <c r="V10" s="878"/>
    </row>
    <row r="11" spans="1:23" s="224" customFormat="1" ht="15" customHeight="1" x14ac:dyDescent="0.25">
      <c r="A11" s="215">
        <v>45079</v>
      </c>
      <c r="B11" s="1275" t="s">
        <v>14</v>
      </c>
      <c r="C11" s="1276" t="s">
        <v>12</v>
      </c>
      <c r="D11" s="1276" t="s">
        <v>1486</v>
      </c>
      <c r="E11" s="1286" t="s">
        <v>13</v>
      </c>
      <c r="F11" s="780">
        <v>9.25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  <c r="V11" s="927"/>
      <c r="W11" s="999"/>
    </row>
    <row r="12" spans="1:23" s="224" customFormat="1" ht="15" customHeight="1" x14ac:dyDescent="0.25">
      <c r="A12" s="215">
        <v>45080</v>
      </c>
      <c r="B12" s="882" t="s">
        <v>3779</v>
      </c>
      <c r="C12" s="879" t="s">
        <v>12</v>
      </c>
      <c r="D12" s="879" t="s">
        <v>1489</v>
      </c>
      <c r="E12" s="871" t="s">
        <v>13</v>
      </c>
      <c r="F12" s="780">
        <v>60</v>
      </c>
      <c r="G12" s="982"/>
      <c r="H12" s="622"/>
      <c r="I12" s="982"/>
      <c r="J12" s="622"/>
      <c r="K12" s="982"/>
      <c r="L12" s="622"/>
      <c r="M12" s="982"/>
      <c r="N12" s="622"/>
      <c r="O12" s="1063"/>
      <c r="P12" s="622"/>
      <c r="Q12" s="1063"/>
      <c r="R12" s="622"/>
      <c r="S12" s="982"/>
      <c r="T12" s="1080"/>
      <c r="U12" s="927"/>
      <c r="V12" s="878"/>
    </row>
    <row r="13" spans="1:23" s="224" customFormat="1" ht="15" customHeight="1" x14ac:dyDescent="0.25">
      <c r="A13" s="215">
        <v>45080</v>
      </c>
      <c r="B13" s="1275" t="s">
        <v>1906</v>
      </c>
      <c r="C13" s="1276" t="s">
        <v>12</v>
      </c>
      <c r="D13" s="1276" t="s">
        <v>1493</v>
      </c>
      <c r="E13" s="1286" t="s">
        <v>13</v>
      </c>
      <c r="F13" s="780">
        <v>29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  <c r="V13" s="927"/>
      <c r="W13" s="999"/>
    </row>
    <row r="14" spans="1:23" s="224" customFormat="1" ht="15" customHeight="1" x14ac:dyDescent="0.25">
      <c r="A14" s="215">
        <v>45080</v>
      </c>
      <c r="B14" s="882" t="s">
        <v>2595</v>
      </c>
      <c r="C14" s="879" t="s">
        <v>12</v>
      </c>
      <c r="D14" s="879" t="s">
        <v>1493</v>
      </c>
      <c r="E14" s="871" t="s">
        <v>13</v>
      </c>
      <c r="F14" s="780">
        <v>10</v>
      </c>
      <c r="G14" s="982"/>
      <c r="H14" s="622"/>
      <c r="I14" s="982"/>
      <c r="J14" s="622"/>
      <c r="K14" s="982"/>
      <c r="L14" s="622"/>
      <c r="M14" s="982"/>
      <c r="N14" s="622"/>
      <c r="O14" s="1063"/>
      <c r="P14" s="622"/>
      <c r="Q14" s="1063"/>
      <c r="R14" s="622"/>
      <c r="S14" s="982"/>
      <c r="T14" s="1080"/>
      <c r="U14" s="927"/>
      <c r="V14" s="878"/>
    </row>
    <row r="15" spans="1:23" s="1274" customFormat="1" ht="15" customHeight="1" x14ac:dyDescent="0.25">
      <c r="A15" s="215">
        <v>45081</v>
      </c>
      <c r="B15" s="1275" t="s">
        <v>443</v>
      </c>
      <c r="C15" s="1276" t="s">
        <v>12</v>
      </c>
      <c r="D15" s="1276" t="s">
        <v>1493</v>
      </c>
      <c r="E15" s="1286" t="s">
        <v>15</v>
      </c>
      <c r="F15" s="780">
        <v>20</v>
      </c>
      <c r="G15" s="1278"/>
      <c r="H15" s="1282"/>
      <c r="I15" s="1283"/>
      <c r="J15" s="1279"/>
      <c r="K15" s="1278"/>
      <c r="L15" s="1279"/>
      <c r="M15" s="1278"/>
      <c r="N15" s="1279"/>
      <c r="O15" s="1278"/>
      <c r="P15" s="1279"/>
      <c r="Q15" s="1283"/>
      <c r="R15" s="1702"/>
      <c r="S15" s="1703"/>
      <c r="T15" s="1281"/>
      <c r="V15" s="1281"/>
      <c r="W15" s="1294"/>
    </row>
    <row r="16" spans="1:23" s="224" customFormat="1" ht="15" customHeight="1" x14ac:dyDescent="0.25">
      <c r="A16" s="215">
        <v>45082</v>
      </c>
      <c r="B16" s="882" t="s">
        <v>32</v>
      </c>
      <c r="C16" s="879" t="s">
        <v>12</v>
      </c>
      <c r="D16" s="879" t="s">
        <v>1485</v>
      </c>
      <c r="E16" s="871" t="s">
        <v>13</v>
      </c>
      <c r="F16" s="780">
        <v>20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1063"/>
      <c r="R16" s="622"/>
      <c r="S16" s="982"/>
      <c r="T16" s="1080"/>
      <c r="U16" s="927"/>
      <c r="V16" s="878"/>
    </row>
    <row r="17" spans="1:44" s="224" customFormat="1" ht="15" customHeight="1" x14ac:dyDescent="0.25">
      <c r="A17" s="215">
        <v>45082</v>
      </c>
      <c r="B17" s="882" t="s">
        <v>138</v>
      </c>
      <c r="C17" s="879" t="s">
        <v>12</v>
      </c>
      <c r="D17" s="879" t="s">
        <v>2157</v>
      </c>
      <c r="E17" s="875" t="s">
        <v>15</v>
      </c>
      <c r="F17" s="780">
        <v>100</v>
      </c>
      <c r="G17" s="982"/>
      <c r="H17" s="95"/>
      <c r="I17" s="1064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861"/>
    </row>
    <row r="18" spans="1:44" s="224" customFormat="1" ht="15" customHeight="1" x14ac:dyDescent="0.25">
      <c r="A18" s="215">
        <v>45082</v>
      </c>
      <c r="B18" s="1275" t="s">
        <v>3677</v>
      </c>
      <c r="C18" s="1276" t="s">
        <v>12</v>
      </c>
      <c r="D18" s="1276" t="s">
        <v>1486</v>
      </c>
      <c r="E18" s="1286" t="s">
        <v>13</v>
      </c>
      <c r="F18" s="780">
        <v>9.7799999999999994</v>
      </c>
      <c r="G18" s="982"/>
      <c r="H18" s="622"/>
      <c r="I18" s="982"/>
      <c r="J18" s="622"/>
      <c r="K18" s="982"/>
      <c r="L18" s="622"/>
      <c r="M18" s="982"/>
      <c r="N18" s="622"/>
      <c r="O18" s="1063"/>
      <c r="P18" s="622"/>
      <c r="Q18" s="1063"/>
      <c r="R18" s="622"/>
      <c r="S18" s="982"/>
      <c r="T18" s="1080"/>
      <c r="U18" s="927"/>
      <c r="V18" s="878"/>
    </row>
    <row r="19" spans="1:44" s="224" customFormat="1" ht="15.75" customHeight="1" x14ac:dyDescent="0.25">
      <c r="A19" s="215">
        <v>45083</v>
      </c>
      <c r="B19" s="873" t="s">
        <v>3780</v>
      </c>
      <c r="C19" s="879" t="s">
        <v>12</v>
      </c>
      <c r="D19" s="874"/>
      <c r="E19" s="871" t="s">
        <v>25</v>
      </c>
      <c r="F19" s="1524"/>
      <c r="G19" s="1002">
        <v>2111.5500000000002</v>
      </c>
      <c r="H19" s="538"/>
      <c r="I19" s="982"/>
      <c r="J19" s="622"/>
      <c r="K19" s="982"/>
      <c r="L19" s="622"/>
      <c r="M19" s="982"/>
      <c r="N19" s="622"/>
      <c r="O19" s="982"/>
      <c r="P19" s="622"/>
      <c r="Q19" s="1063"/>
      <c r="R19" s="622"/>
      <c r="S19" s="982"/>
      <c r="T19" s="178"/>
    </row>
    <row r="20" spans="1:44" s="224" customFormat="1" ht="15" customHeight="1" x14ac:dyDescent="0.25">
      <c r="A20" s="215">
        <v>45083</v>
      </c>
      <c r="B20" s="364" t="s">
        <v>3781</v>
      </c>
      <c r="C20" s="879" t="s">
        <v>12</v>
      </c>
      <c r="D20" s="879"/>
      <c r="E20" s="875" t="s">
        <v>25</v>
      </c>
      <c r="F20" s="780"/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1063"/>
      <c r="R20" s="622"/>
      <c r="S20" s="982">
        <v>420</v>
      </c>
      <c r="T20" s="927"/>
      <c r="U20" s="927"/>
      <c r="V20" s="878"/>
    </row>
    <row r="21" spans="1:44" s="224" customFormat="1" ht="15" customHeight="1" x14ac:dyDescent="0.25">
      <c r="A21" s="215">
        <v>45083</v>
      </c>
      <c r="B21" s="364" t="s">
        <v>1396</v>
      </c>
      <c r="C21" s="879" t="s">
        <v>12</v>
      </c>
      <c r="D21" s="350"/>
      <c r="E21" s="480" t="s">
        <v>25</v>
      </c>
      <c r="F21" s="613"/>
      <c r="G21" s="967">
        <v>100</v>
      </c>
      <c r="H21" s="1008"/>
      <c r="I21" s="1063"/>
      <c r="J21" s="1116"/>
      <c r="K21" s="1207"/>
      <c r="L21" s="622"/>
      <c r="M21" s="982"/>
      <c r="N21" s="622"/>
      <c r="O21" s="982"/>
      <c r="P21" s="1116"/>
      <c r="Q21" s="1736"/>
      <c r="R21" s="1116"/>
      <c r="S21" s="1207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customHeight="1" x14ac:dyDescent="0.25">
      <c r="A22" s="215">
        <v>45083</v>
      </c>
      <c r="B22" s="862" t="s">
        <v>3422</v>
      </c>
      <c r="C22" s="879" t="s">
        <v>12</v>
      </c>
      <c r="D22" s="879" t="s">
        <v>1504</v>
      </c>
      <c r="E22" s="871" t="s">
        <v>13</v>
      </c>
      <c r="F22" s="780">
        <v>50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78"/>
      <c r="U22" s="1028"/>
      <c r="V22" s="1035"/>
    </row>
    <row r="23" spans="1:44" s="224" customFormat="1" ht="15" customHeight="1" x14ac:dyDescent="0.25">
      <c r="A23" s="215">
        <v>45083</v>
      </c>
      <c r="B23" s="882" t="s">
        <v>3782</v>
      </c>
      <c r="C23" s="879" t="s">
        <v>12</v>
      </c>
      <c r="D23" s="879" t="s">
        <v>1499</v>
      </c>
      <c r="E23" s="871" t="s">
        <v>13</v>
      </c>
      <c r="F23" s="1245"/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028" t="s">
        <v>3783</v>
      </c>
      <c r="U23" s="999"/>
      <c r="V23" s="878"/>
    </row>
    <row r="24" spans="1:44" s="224" customFormat="1" ht="15" customHeight="1" x14ac:dyDescent="0.25">
      <c r="A24" s="215">
        <v>45083</v>
      </c>
      <c r="B24" s="364" t="s">
        <v>2977</v>
      </c>
      <c r="C24" s="879" t="s">
        <v>12</v>
      </c>
      <c r="D24" s="350" t="s">
        <v>1491</v>
      </c>
      <c r="E24" s="875" t="s">
        <v>13</v>
      </c>
      <c r="F24" s="780">
        <v>300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028"/>
      <c r="V24" s="1035"/>
    </row>
    <row r="25" spans="1:44" x14ac:dyDescent="0.25">
      <c r="A25" s="215">
        <v>45083</v>
      </c>
      <c r="B25" s="876" t="s">
        <v>3060</v>
      </c>
      <c r="C25" s="879" t="s">
        <v>12</v>
      </c>
      <c r="D25" s="879" t="s">
        <v>1496</v>
      </c>
      <c r="E25" s="871" t="s">
        <v>13</v>
      </c>
      <c r="F25" s="780">
        <v>80</v>
      </c>
      <c r="G25" s="982"/>
      <c r="H25" s="1009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9"/>
    </row>
    <row r="26" spans="1:44" s="224" customFormat="1" ht="14.25" customHeight="1" x14ac:dyDescent="0.25">
      <c r="A26" s="215">
        <v>45083</v>
      </c>
      <c r="B26" s="882" t="s">
        <v>3784</v>
      </c>
      <c r="C26" s="879" t="s">
        <v>12</v>
      </c>
      <c r="D26" s="879" t="s">
        <v>3017</v>
      </c>
      <c r="E26" s="875" t="s">
        <v>13</v>
      </c>
      <c r="F26" s="780">
        <v>567.03</v>
      </c>
      <c r="G26" s="982"/>
      <c r="H26" s="1008"/>
      <c r="I26" s="1063"/>
      <c r="J26" s="622"/>
      <c r="K26" s="982">
        <v>567.03</v>
      </c>
      <c r="L26" s="622"/>
      <c r="M26" s="982"/>
      <c r="N26" s="622"/>
      <c r="O26" s="982"/>
      <c r="P26" s="622"/>
      <c r="Q26" s="1063"/>
      <c r="R26" s="622"/>
      <c r="S26" s="982"/>
      <c r="T26" s="861">
        <v>500</v>
      </c>
      <c r="U26" s="878" t="s">
        <v>3018</v>
      </c>
      <c r="V26" s="1035"/>
    </row>
    <row r="27" spans="1:44" s="224" customFormat="1" ht="15" customHeight="1" x14ac:dyDescent="0.25">
      <c r="A27" s="215">
        <v>45083</v>
      </c>
      <c r="B27" s="873" t="s">
        <v>3785</v>
      </c>
      <c r="C27" s="879" t="s">
        <v>12</v>
      </c>
      <c r="D27" s="874" t="s">
        <v>1522</v>
      </c>
      <c r="E27" s="875" t="s">
        <v>13</v>
      </c>
      <c r="F27" s="780">
        <v>120</v>
      </c>
      <c r="G27" s="982"/>
      <c r="H27" s="622"/>
      <c r="I27" s="982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1280" t="s">
        <v>3292</v>
      </c>
      <c r="U27" s="927"/>
      <c r="V27" s="878"/>
    </row>
    <row r="28" spans="1:44" s="224" customFormat="1" ht="15" customHeight="1" x14ac:dyDescent="0.25">
      <c r="A28" s="215">
        <v>45083</v>
      </c>
      <c r="B28" s="882" t="s">
        <v>32</v>
      </c>
      <c r="C28" s="879" t="s">
        <v>12</v>
      </c>
      <c r="D28" s="879" t="s">
        <v>1485</v>
      </c>
      <c r="E28" s="871" t="s">
        <v>13</v>
      </c>
      <c r="F28" s="780">
        <v>20</v>
      </c>
      <c r="G28" s="982"/>
      <c r="H28" s="622"/>
      <c r="I28" s="982"/>
      <c r="J28" s="622"/>
      <c r="K28" s="982"/>
      <c r="L28" s="622"/>
      <c r="M28" s="982"/>
      <c r="N28" s="622"/>
      <c r="O28" s="1063"/>
      <c r="P28" s="622"/>
      <c r="Q28" s="1063"/>
      <c r="R28" s="622"/>
      <c r="S28" s="982"/>
      <c r="T28" s="1080"/>
      <c r="U28" s="927"/>
      <c r="V28" s="878"/>
    </row>
    <row r="29" spans="1:44" s="1274" customFormat="1" ht="15" customHeight="1" x14ac:dyDescent="0.25">
      <c r="A29" s="215">
        <v>45083</v>
      </c>
      <c r="B29" s="1275" t="s">
        <v>17</v>
      </c>
      <c r="C29" s="1276" t="s">
        <v>12</v>
      </c>
      <c r="D29" s="1276" t="s">
        <v>1493</v>
      </c>
      <c r="E29" s="1286" t="s">
        <v>13</v>
      </c>
      <c r="F29" s="780">
        <v>7</v>
      </c>
      <c r="G29" s="1278"/>
      <c r="H29" s="1282"/>
      <c r="I29" s="1283"/>
      <c r="J29" s="1279"/>
      <c r="K29" s="1278"/>
      <c r="L29" s="1279"/>
      <c r="M29" s="1278"/>
      <c r="N29" s="1279"/>
      <c r="O29" s="1278"/>
      <c r="P29" s="1279"/>
      <c r="Q29" s="1283"/>
      <c r="R29" s="1702"/>
      <c r="S29" s="1703"/>
      <c r="T29" s="1281"/>
      <c r="V29" s="1281"/>
      <c r="W29" s="1294"/>
    </row>
    <row r="30" spans="1:44" s="224" customFormat="1" ht="15" customHeight="1" x14ac:dyDescent="0.25">
      <c r="A30" s="215">
        <v>45083</v>
      </c>
      <c r="B30" s="873" t="s">
        <v>134</v>
      </c>
      <c r="C30" s="874" t="s">
        <v>12</v>
      </c>
      <c r="D30" s="874" t="s">
        <v>1493</v>
      </c>
      <c r="E30" s="875" t="s">
        <v>13</v>
      </c>
      <c r="F30" s="780">
        <v>8.5</v>
      </c>
      <c r="G30" s="982"/>
      <c r="H30" s="622"/>
      <c r="I30" s="982"/>
      <c r="J30" s="622"/>
      <c r="K30" s="982"/>
      <c r="L30" s="622"/>
      <c r="M30" s="982"/>
      <c r="N30" s="622"/>
      <c r="O30" s="982"/>
      <c r="P30" s="622"/>
      <c r="Q30" s="1063"/>
      <c r="R30" s="622"/>
      <c r="S30" s="982"/>
      <c r="T30" s="1280"/>
      <c r="U30" s="927"/>
      <c r="V30" s="878"/>
    </row>
    <row r="31" spans="1:44" s="224" customFormat="1" ht="15" customHeight="1" x14ac:dyDescent="0.25">
      <c r="A31" s="215">
        <v>45084</v>
      </c>
      <c r="B31" s="364" t="s">
        <v>398</v>
      </c>
      <c r="C31" s="983" t="s">
        <v>12</v>
      </c>
      <c r="D31" s="350"/>
      <c r="E31" s="480" t="s">
        <v>13</v>
      </c>
      <c r="F31" s="780">
        <v>200</v>
      </c>
      <c r="G31" s="982"/>
      <c r="H31" s="1009"/>
      <c r="I31" s="982">
        <v>200</v>
      </c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927"/>
      <c r="U31" s="927"/>
      <c r="V31" s="878"/>
    </row>
    <row r="32" spans="1:44" s="224" customFormat="1" ht="15" customHeight="1" x14ac:dyDescent="0.25">
      <c r="A32" s="215">
        <v>45084</v>
      </c>
      <c r="B32" s="882" t="s">
        <v>32</v>
      </c>
      <c r="C32" s="879" t="s">
        <v>12</v>
      </c>
      <c r="D32" s="879" t="s">
        <v>1485</v>
      </c>
      <c r="E32" s="871" t="s">
        <v>13</v>
      </c>
      <c r="F32" s="780">
        <v>20</v>
      </c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927"/>
      <c r="U32" s="927"/>
      <c r="V32" s="878"/>
    </row>
    <row r="33" spans="1:44" s="224" customFormat="1" ht="15" customHeight="1" x14ac:dyDescent="0.25">
      <c r="A33" s="215">
        <v>45084</v>
      </c>
      <c r="B33" s="873" t="s">
        <v>134</v>
      </c>
      <c r="C33" s="874" t="s">
        <v>12</v>
      </c>
      <c r="D33" s="874" t="s">
        <v>1493</v>
      </c>
      <c r="E33" s="875" t="s">
        <v>13</v>
      </c>
      <c r="F33" s="780">
        <v>8.5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280"/>
      <c r="U33" s="927"/>
      <c r="V33" s="878"/>
    </row>
    <row r="34" spans="1:44" s="224" customFormat="1" ht="15" customHeight="1" x14ac:dyDescent="0.25">
      <c r="A34" s="215">
        <v>45085</v>
      </c>
      <c r="B34" s="1275" t="s">
        <v>14</v>
      </c>
      <c r="C34" s="1276" t="s">
        <v>12</v>
      </c>
      <c r="D34" s="1276" t="s">
        <v>1486</v>
      </c>
      <c r="E34" s="1286" t="s">
        <v>13</v>
      </c>
      <c r="F34" s="780">
        <v>6.19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1063"/>
      <c r="R34" s="622"/>
      <c r="S34" s="982"/>
      <c r="T34" s="1080"/>
      <c r="U34" s="927"/>
      <c r="V34" s="878"/>
    </row>
    <row r="35" spans="1:44" s="224" customFormat="1" ht="15" customHeight="1" x14ac:dyDescent="0.25">
      <c r="A35" s="215">
        <v>45085</v>
      </c>
      <c r="B35" s="1275" t="s">
        <v>2629</v>
      </c>
      <c r="C35" s="1276" t="s">
        <v>19</v>
      </c>
      <c r="D35" s="1276" t="s">
        <v>1489</v>
      </c>
      <c r="E35" s="1286" t="s">
        <v>13</v>
      </c>
      <c r="F35" s="780">
        <v>57.73</v>
      </c>
      <c r="G35" s="982"/>
      <c r="H35" s="622"/>
      <c r="I35" s="982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927"/>
      <c r="U35" s="927"/>
      <c r="V35" s="878"/>
    </row>
    <row r="36" spans="1:44" s="224" customFormat="1" ht="15" customHeight="1" x14ac:dyDescent="0.25">
      <c r="A36" s="215">
        <v>45085</v>
      </c>
      <c r="B36" s="1275" t="s">
        <v>14</v>
      </c>
      <c r="C36" s="1276" t="s">
        <v>12</v>
      </c>
      <c r="D36" s="1276" t="s">
        <v>1486</v>
      </c>
      <c r="E36" s="1286" t="s">
        <v>13</v>
      </c>
      <c r="F36" s="780">
        <v>23.16</v>
      </c>
      <c r="G36" s="982"/>
      <c r="H36" s="622"/>
      <c r="I36" s="982"/>
      <c r="J36" s="622"/>
      <c r="K36" s="982"/>
      <c r="L36" s="622"/>
      <c r="M36" s="982"/>
      <c r="N36" s="622"/>
      <c r="O36" s="1063"/>
      <c r="P36" s="622"/>
      <c r="Q36" s="1063"/>
      <c r="R36" s="622"/>
      <c r="S36" s="982"/>
      <c r="T36" s="1080"/>
      <c r="U36" s="927"/>
      <c r="V36" s="878"/>
    </row>
    <row r="37" spans="1:44" s="224" customFormat="1" ht="15" customHeight="1" x14ac:dyDescent="0.25">
      <c r="A37" s="215">
        <v>45086</v>
      </c>
      <c r="B37" s="873" t="s">
        <v>81</v>
      </c>
      <c r="C37" s="874" t="s">
        <v>12</v>
      </c>
      <c r="D37" s="874" t="s">
        <v>1493</v>
      </c>
      <c r="E37" s="875" t="s">
        <v>13</v>
      </c>
      <c r="F37" s="780">
        <v>3</v>
      </c>
      <c r="G37" s="982"/>
      <c r="H37" s="622"/>
      <c r="I37" s="982"/>
      <c r="J37" s="622"/>
      <c r="K37" s="982"/>
      <c r="L37" s="622"/>
      <c r="M37" s="982"/>
      <c r="N37" s="622"/>
      <c r="O37" s="982"/>
      <c r="P37" s="622"/>
      <c r="Q37" s="1063"/>
      <c r="R37" s="622"/>
      <c r="S37" s="982"/>
      <c r="T37" s="1080"/>
      <c r="U37" s="927"/>
      <c r="V37" s="878"/>
    </row>
    <row r="38" spans="1:44" s="224" customFormat="1" ht="15" customHeight="1" x14ac:dyDescent="0.25">
      <c r="A38" s="215">
        <v>45086</v>
      </c>
      <c r="B38" s="882" t="s">
        <v>1906</v>
      </c>
      <c r="C38" s="879" t="s">
        <v>12</v>
      </c>
      <c r="D38" s="879" t="s">
        <v>1493</v>
      </c>
      <c r="E38" s="871" t="s">
        <v>13</v>
      </c>
      <c r="F38" s="780">
        <v>16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1080"/>
      <c r="U38" s="927"/>
      <c r="V38" s="878"/>
    </row>
    <row r="39" spans="1:44" s="224" customFormat="1" ht="15" customHeight="1" x14ac:dyDescent="0.25">
      <c r="A39" s="215">
        <v>45087</v>
      </c>
      <c r="B39" s="364" t="s">
        <v>3354</v>
      </c>
      <c r="C39" s="350" t="s">
        <v>12</v>
      </c>
      <c r="D39" s="350"/>
      <c r="E39" s="480" t="s">
        <v>25</v>
      </c>
      <c r="F39" s="613"/>
      <c r="G39" s="967"/>
      <c r="H39" s="1008"/>
      <c r="I39" s="1063"/>
      <c r="J39" s="1110"/>
      <c r="K39" s="1207"/>
      <c r="L39" s="880"/>
      <c r="M39" s="1033"/>
      <c r="N39" s="880"/>
      <c r="O39" s="1033"/>
      <c r="P39" s="1116"/>
      <c r="Q39" s="1737"/>
      <c r="R39" s="613"/>
      <c r="S39" s="162">
        <v>189.07</v>
      </c>
      <c r="T39" s="120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s="224" customFormat="1" ht="15" customHeight="1" x14ac:dyDescent="0.25">
      <c r="A40" s="215">
        <v>45087</v>
      </c>
      <c r="B40" s="1275" t="s">
        <v>14</v>
      </c>
      <c r="C40" s="1276" t="s">
        <v>12</v>
      </c>
      <c r="D40" s="1276" t="s">
        <v>1486</v>
      </c>
      <c r="E40" s="1286" t="s">
        <v>13</v>
      </c>
      <c r="F40" s="780">
        <v>4.83</v>
      </c>
      <c r="G40" s="982"/>
      <c r="H40" s="622"/>
      <c r="I40" s="982"/>
      <c r="J40" s="622"/>
      <c r="K40" s="982"/>
      <c r="L40" s="622"/>
      <c r="M40" s="982"/>
      <c r="N40" s="622"/>
      <c r="O40" s="1063"/>
      <c r="P40" s="622"/>
      <c r="Q40" s="1063"/>
      <c r="R40" s="622"/>
      <c r="S40" s="982"/>
      <c r="T40" s="1080"/>
      <c r="U40" s="927"/>
      <c r="V40" s="878"/>
    </row>
    <row r="41" spans="1:44" s="224" customFormat="1" ht="15" customHeight="1" x14ac:dyDescent="0.25">
      <c r="A41" s="215">
        <v>45087</v>
      </c>
      <c r="B41" s="873" t="s">
        <v>3786</v>
      </c>
      <c r="C41" s="874" t="s">
        <v>12</v>
      </c>
      <c r="D41" s="874" t="s">
        <v>1489</v>
      </c>
      <c r="E41" s="875" t="s">
        <v>13</v>
      </c>
      <c r="F41" s="780">
        <v>45</v>
      </c>
      <c r="G41" s="982"/>
      <c r="H41" s="622"/>
      <c r="I41" s="982"/>
      <c r="J41" s="622"/>
      <c r="K41" s="982"/>
      <c r="L41" s="622"/>
      <c r="M41" s="982"/>
      <c r="N41" s="622"/>
      <c r="O41" s="982"/>
      <c r="P41" s="622"/>
      <c r="Q41" s="1063"/>
      <c r="R41" s="622"/>
      <c r="S41" s="982"/>
      <c r="T41" s="927"/>
      <c r="U41" s="927"/>
      <c r="V41" s="878"/>
    </row>
    <row r="42" spans="1:44" s="224" customFormat="1" ht="15" customHeight="1" x14ac:dyDescent="0.25">
      <c r="A42" s="215">
        <v>45087</v>
      </c>
      <c r="B42" s="873" t="s">
        <v>3787</v>
      </c>
      <c r="C42" s="874" t="s">
        <v>12</v>
      </c>
      <c r="D42" s="874" t="s">
        <v>1525</v>
      </c>
      <c r="E42" s="875" t="s">
        <v>13</v>
      </c>
      <c r="F42" s="780">
        <v>55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927"/>
      <c r="U42" s="927"/>
      <c r="V42" s="878"/>
    </row>
    <row r="43" spans="1:44" s="224" customFormat="1" ht="15" customHeight="1" x14ac:dyDescent="0.25">
      <c r="A43" s="215">
        <v>45088</v>
      </c>
      <c r="B43" s="873" t="s">
        <v>3788</v>
      </c>
      <c r="C43" s="874" t="s">
        <v>12</v>
      </c>
      <c r="D43" s="874" t="s">
        <v>1493</v>
      </c>
      <c r="E43" s="875" t="s">
        <v>13</v>
      </c>
      <c r="F43" s="780">
        <v>40</v>
      </c>
      <c r="G43" s="982"/>
      <c r="H43" s="622"/>
      <c r="I43" s="982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927"/>
      <c r="U43" s="927"/>
      <c r="V43" s="878"/>
    </row>
    <row r="44" spans="1:44" s="224" customFormat="1" ht="15" customHeight="1" x14ac:dyDescent="0.25">
      <c r="A44" s="215">
        <v>45088</v>
      </c>
      <c r="B44" s="1275" t="s">
        <v>14</v>
      </c>
      <c r="C44" s="1276" t="s">
        <v>12</v>
      </c>
      <c r="D44" s="1276" t="s">
        <v>1486</v>
      </c>
      <c r="E44" s="1286" t="s">
        <v>13</v>
      </c>
      <c r="F44" s="613">
        <v>7.55</v>
      </c>
      <c r="G44" s="967"/>
      <c r="H44" s="1008"/>
      <c r="I44" s="1063"/>
      <c r="J44" s="1110"/>
      <c r="K44" s="1207"/>
      <c r="L44" s="880"/>
      <c r="M44" s="1033"/>
      <c r="N44" s="880"/>
      <c r="O44" s="1033"/>
      <c r="P44" s="1116"/>
      <c r="Q44" s="1737"/>
      <c r="R44" s="613"/>
      <c r="S44" s="162"/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15">
        <v>45089</v>
      </c>
      <c r="B45" s="882" t="s">
        <v>32</v>
      </c>
      <c r="C45" s="879" t="s">
        <v>12</v>
      </c>
      <c r="D45" s="879" t="s">
        <v>1485</v>
      </c>
      <c r="E45" s="871" t="s">
        <v>13</v>
      </c>
      <c r="F45" s="780">
        <v>20</v>
      </c>
      <c r="G45" s="982"/>
      <c r="H45" s="95"/>
      <c r="I45" s="1064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861"/>
    </row>
    <row r="46" spans="1:44" s="224" customFormat="1" ht="15" customHeight="1" x14ac:dyDescent="0.25">
      <c r="A46" s="215">
        <v>45089</v>
      </c>
      <c r="B46" s="882" t="s">
        <v>3789</v>
      </c>
      <c r="C46" s="879" t="s">
        <v>12</v>
      </c>
      <c r="D46" s="879" t="s">
        <v>1524</v>
      </c>
      <c r="E46" s="875" t="s">
        <v>13</v>
      </c>
      <c r="F46" s="780">
        <v>9.5</v>
      </c>
      <c r="G46" s="982"/>
      <c r="H46" s="95"/>
      <c r="I46" s="1064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861"/>
    </row>
    <row r="47" spans="1:44" s="224" customFormat="1" ht="15" customHeight="1" x14ac:dyDescent="0.25">
      <c r="A47" s="215">
        <v>45089</v>
      </c>
      <c r="B47" s="882" t="s">
        <v>3130</v>
      </c>
      <c r="C47" s="879" t="s">
        <v>12</v>
      </c>
      <c r="D47" s="879" t="s">
        <v>1506</v>
      </c>
      <c r="E47" s="875" t="s">
        <v>13</v>
      </c>
      <c r="F47" s="780">
        <v>32</v>
      </c>
      <c r="G47" s="982"/>
      <c r="H47" s="95"/>
      <c r="I47" s="1064"/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861"/>
    </row>
    <row r="48" spans="1:44" s="224" customFormat="1" ht="15" customHeight="1" x14ac:dyDescent="0.25">
      <c r="A48" s="215">
        <v>45089</v>
      </c>
      <c r="B48" s="1275" t="s">
        <v>3677</v>
      </c>
      <c r="C48" s="1276" t="s">
        <v>12</v>
      </c>
      <c r="D48" s="1276" t="s">
        <v>1486</v>
      </c>
      <c r="E48" s="1286" t="s">
        <v>13</v>
      </c>
      <c r="F48" s="780">
        <v>4.82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1063"/>
      <c r="R48" s="622"/>
      <c r="S48" s="982"/>
      <c r="T48" s="1080"/>
      <c r="U48" s="927"/>
      <c r="V48" s="878"/>
    </row>
    <row r="49" spans="1:44" s="224" customFormat="1" ht="15" customHeight="1" x14ac:dyDescent="0.25">
      <c r="A49" s="215">
        <v>45090</v>
      </c>
      <c r="B49" s="882" t="s">
        <v>32</v>
      </c>
      <c r="C49" s="879" t="s">
        <v>12</v>
      </c>
      <c r="D49" s="879" t="s">
        <v>1485</v>
      </c>
      <c r="E49" s="871" t="s">
        <v>13</v>
      </c>
      <c r="F49" s="780">
        <v>20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x14ac:dyDescent="0.25">
      <c r="A50" s="215">
        <v>45090</v>
      </c>
      <c r="B50" s="1275" t="s">
        <v>14</v>
      </c>
      <c r="C50" s="1276" t="s">
        <v>12</v>
      </c>
      <c r="D50" s="1276" t="s">
        <v>1486</v>
      </c>
      <c r="E50" s="1286" t="s">
        <v>13</v>
      </c>
      <c r="F50" s="780">
        <v>13.49</v>
      </c>
      <c r="G50" s="982"/>
      <c r="H50" s="1008"/>
      <c r="I50" s="1063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  <c r="V50" s="878"/>
    </row>
    <row r="51" spans="1:44" s="224" customFormat="1" ht="15" customHeight="1" x14ac:dyDescent="0.25">
      <c r="A51" s="215">
        <v>45090</v>
      </c>
      <c r="B51" s="882" t="s">
        <v>138</v>
      </c>
      <c r="C51" s="879" t="s">
        <v>12</v>
      </c>
      <c r="D51" s="879" t="s">
        <v>2157</v>
      </c>
      <c r="E51" s="875" t="s">
        <v>15</v>
      </c>
      <c r="F51" s="780">
        <v>100</v>
      </c>
      <c r="G51" s="982"/>
      <c r="H51" s="95"/>
      <c r="I51" s="1064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861"/>
    </row>
    <row r="52" spans="1:44" s="224" customFormat="1" ht="15" customHeight="1" x14ac:dyDescent="0.25">
      <c r="A52" s="215">
        <v>45091</v>
      </c>
      <c r="B52" s="882" t="s">
        <v>32</v>
      </c>
      <c r="C52" s="879" t="s">
        <v>12</v>
      </c>
      <c r="D52" s="879" t="s">
        <v>1485</v>
      </c>
      <c r="E52" s="871" t="s">
        <v>13</v>
      </c>
      <c r="F52" s="780">
        <v>20</v>
      </c>
      <c r="G52" s="982"/>
      <c r="H52" s="95"/>
      <c r="I52" s="1064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15">
        <v>45091</v>
      </c>
      <c r="B53" s="873" t="s">
        <v>3790</v>
      </c>
      <c r="C53" s="874" t="s">
        <v>12</v>
      </c>
      <c r="D53" s="874" t="s">
        <v>1525</v>
      </c>
      <c r="E53" s="875" t="s">
        <v>15</v>
      </c>
      <c r="F53" s="780">
        <v>50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927"/>
      <c r="U53" s="927"/>
      <c r="V53" s="878"/>
    </row>
    <row r="54" spans="1:44" s="224" customFormat="1" ht="15" customHeight="1" x14ac:dyDescent="0.25">
      <c r="A54" s="215">
        <v>45092</v>
      </c>
      <c r="B54" s="882" t="s">
        <v>32</v>
      </c>
      <c r="C54" s="879" t="s">
        <v>12</v>
      </c>
      <c r="D54" s="879" t="s">
        <v>1485</v>
      </c>
      <c r="E54" s="871" t="s">
        <v>13</v>
      </c>
      <c r="F54" s="780">
        <v>20</v>
      </c>
      <c r="G54" s="982"/>
      <c r="H54" s="95"/>
      <c r="I54" s="1064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861"/>
    </row>
    <row r="55" spans="1:44" s="224" customFormat="1" x14ac:dyDescent="0.25">
      <c r="A55" s="215">
        <v>45092</v>
      </c>
      <c r="B55" s="1275" t="s">
        <v>134</v>
      </c>
      <c r="C55" s="1276" t="s">
        <v>12</v>
      </c>
      <c r="D55" s="1276" t="s">
        <v>1493</v>
      </c>
      <c r="E55" s="1277" t="s">
        <v>13</v>
      </c>
      <c r="F55" s="1873">
        <v>8.5</v>
      </c>
      <c r="G55" s="982"/>
      <c r="H55" s="1008"/>
      <c r="I55" s="1063"/>
      <c r="J55" s="622"/>
      <c r="K55" s="982"/>
      <c r="L55" s="622"/>
      <c r="M55" s="982"/>
      <c r="N55" s="622"/>
      <c r="O55" s="982"/>
      <c r="P55" s="622"/>
      <c r="Q55" s="1063"/>
      <c r="R55" s="622"/>
      <c r="S55" s="982"/>
      <c r="T55" s="861"/>
      <c r="V55" s="878"/>
    </row>
    <row r="56" spans="1:44" s="224" customFormat="1" ht="15" customHeight="1" x14ac:dyDescent="0.25">
      <c r="A56" s="215">
        <v>45093</v>
      </c>
      <c r="B56" s="882" t="s">
        <v>32</v>
      </c>
      <c r="C56" s="879" t="s">
        <v>12</v>
      </c>
      <c r="D56" s="879" t="s">
        <v>1485</v>
      </c>
      <c r="E56" s="871" t="s">
        <v>13</v>
      </c>
      <c r="F56" s="780">
        <v>20</v>
      </c>
      <c r="G56" s="967"/>
      <c r="H56" s="1008"/>
      <c r="I56" s="1063"/>
      <c r="J56" s="613"/>
      <c r="K56" s="6"/>
      <c r="L56" s="622"/>
      <c r="M56" s="982"/>
      <c r="N56" s="622"/>
      <c r="O56" s="982"/>
      <c r="P56" s="872"/>
      <c r="Q56" s="1738"/>
      <c r="R56" s="613"/>
      <c r="S56" s="64"/>
      <c r="T56" s="1209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15">
        <v>45093</v>
      </c>
      <c r="B57" s="364" t="s">
        <v>81</v>
      </c>
      <c r="C57" s="350" t="s">
        <v>12</v>
      </c>
      <c r="D57" s="350" t="s">
        <v>1493</v>
      </c>
      <c r="E57" s="875" t="s">
        <v>13</v>
      </c>
      <c r="F57" s="780">
        <v>3.8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927"/>
      <c r="U57" s="927"/>
      <c r="V57" s="878"/>
    </row>
    <row r="58" spans="1:44" s="224" customFormat="1" ht="15" customHeight="1" x14ac:dyDescent="0.25">
      <c r="A58" s="215">
        <v>45093</v>
      </c>
      <c r="B58" s="364" t="s">
        <v>3788</v>
      </c>
      <c r="C58" s="350" t="s">
        <v>12</v>
      </c>
      <c r="D58" s="350" t="s">
        <v>1493</v>
      </c>
      <c r="E58" s="875" t="s">
        <v>13</v>
      </c>
      <c r="F58" s="780">
        <v>40</v>
      </c>
      <c r="G58" s="982"/>
      <c r="H58" s="622"/>
      <c r="I58" s="982"/>
      <c r="J58" s="622"/>
      <c r="K58" s="982"/>
      <c r="L58" s="622"/>
      <c r="M58" s="982"/>
      <c r="N58" s="622"/>
      <c r="O58" s="982"/>
      <c r="P58" s="622"/>
      <c r="Q58" s="1063"/>
      <c r="R58" s="622"/>
      <c r="S58" s="982"/>
      <c r="T58" s="927"/>
      <c r="U58" s="927"/>
      <c r="V58" s="878"/>
    </row>
    <row r="59" spans="1:44" s="224" customFormat="1" ht="15" customHeight="1" x14ac:dyDescent="0.25">
      <c r="A59" s="215">
        <v>45094</v>
      </c>
      <c r="B59" s="364" t="s">
        <v>3187</v>
      </c>
      <c r="C59" s="350" t="s">
        <v>12</v>
      </c>
      <c r="D59" s="350" t="s">
        <v>1489</v>
      </c>
      <c r="E59" s="480" t="s">
        <v>13</v>
      </c>
      <c r="F59" s="613">
        <v>15</v>
      </c>
      <c r="G59" s="967"/>
      <c r="H59" s="1008"/>
      <c r="I59" s="1063"/>
      <c r="J59" s="613"/>
      <c r="K59" s="6"/>
      <c r="L59" s="880"/>
      <c r="M59" s="1033"/>
      <c r="N59" s="880"/>
      <c r="O59" s="1033"/>
      <c r="P59" s="1116"/>
      <c r="Q59" s="1737"/>
      <c r="R59" s="613"/>
      <c r="S59" s="162"/>
      <c r="T59" s="120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 s="224" customFormat="1" ht="15" customHeight="1" x14ac:dyDescent="0.25">
      <c r="A60" s="215">
        <v>45094</v>
      </c>
      <c r="B60" s="364" t="s">
        <v>2629</v>
      </c>
      <c r="C60" s="350" t="s">
        <v>12</v>
      </c>
      <c r="D60" s="350" t="s">
        <v>1489</v>
      </c>
      <c r="E60" s="480" t="s">
        <v>13</v>
      </c>
      <c r="F60" s="613">
        <v>53.45</v>
      </c>
      <c r="G60" s="967"/>
      <c r="H60" s="1008"/>
      <c r="I60" s="1525"/>
      <c r="J60" s="1110"/>
      <c r="K60" s="1207"/>
      <c r="L60" s="880"/>
      <c r="M60" s="1033"/>
      <c r="N60" s="880"/>
      <c r="O60" s="1033"/>
      <c r="P60" s="1116"/>
      <c r="Q60" s="1737"/>
      <c r="R60" s="613"/>
      <c r="S60" s="162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ht="15" customHeight="1" x14ac:dyDescent="0.25">
      <c r="A61" s="215">
        <v>45094</v>
      </c>
      <c r="B61" s="882" t="s">
        <v>32</v>
      </c>
      <c r="C61" s="879" t="s">
        <v>12</v>
      </c>
      <c r="D61" s="879" t="s">
        <v>1485</v>
      </c>
      <c r="E61" s="871" t="s">
        <v>13</v>
      </c>
      <c r="F61" s="780">
        <v>15</v>
      </c>
      <c r="G61" s="982"/>
      <c r="H61" s="95"/>
      <c r="I61" s="1064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861"/>
    </row>
    <row r="62" spans="1:44" s="224" customFormat="1" ht="15" customHeight="1" x14ac:dyDescent="0.25">
      <c r="A62" s="215">
        <v>45094</v>
      </c>
      <c r="B62" s="364" t="s">
        <v>3791</v>
      </c>
      <c r="C62" s="350" t="s">
        <v>12</v>
      </c>
      <c r="D62" s="350" t="s">
        <v>1491</v>
      </c>
      <c r="E62" s="480" t="s">
        <v>13</v>
      </c>
      <c r="F62" s="613">
        <v>50</v>
      </c>
      <c r="G62" s="967"/>
      <c r="H62" s="1008"/>
      <c r="I62" s="1063"/>
      <c r="J62" s="613"/>
      <c r="K62" s="6"/>
      <c r="L62" s="880"/>
      <c r="M62" s="1033"/>
      <c r="N62" s="880"/>
      <c r="O62" s="1033"/>
      <c r="P62" s="1116"/>
      <c r="Q62" s="1737"/>
      <c r="R62" s="613"/>
      <c r="S62" s="162"/>
      <c r="T62" s="1209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ht="15" customHeight="1" x14ac:dyDescent="0.25">
      <c r="A63" s="215">
        <v>45094</v>
      </c>
      <c r="B63" s="364" t="s">
        <v>3792</v>
      </c>
      <c r="C63" s="350" t="s">
        <v>12</v>
      </c>
      <c r="D63" s="350" t="s">
        <v>1493</v>
      </c>
      <c r="E63" s="480" t="s">
        <v>13</v>
      </c>
      <c r="F63" s="613">
        <v>56.8</v>
      </c>
      <c r="G63" s="967"/>
      <c r="H63" s="1008"/>
      <c r="I63" s="1525"/>
      <c r="J63" s="1110"/>
      <c r="K63" s="1207"/>
      <c r="L63" s="880"/>
      <c r="M63" s="1033"/>
      <c r="N63" s="880"/>
      <c r="O63" s="1033"/>
      <c r="P63" s="1116"/>
      <c r="Q63" s="1737"/>
      <c r="R63" s="613"/>
      <c r="S63" s="162"/>
      <c r="T63" s="1209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</row>
    <row r="64" spans="1:44" s="224" customFormat="1" ht="15" customHeight="1" x14ac:dyDescent="0.25">
      <c r="A64" s="215">
        <v>45095</v>
      </c>
      <c r="B64" s="364" t="s">
        <v>3325</v>
      </c>
      <c r="C64" s="350" t="s">
        <v>12</v>
      </c>
      <c r="D64" s="350" t="s">
        <v>1504</v>
      </c>
      <c r="E64" s="875" t="s">
        <v>13</v>
      </c>
      <c r="F64" s="780">
        <v>38</v>
      </c>
      <c r="G64" s="982"/>
      <c r="H64" s="622"/>
      <c r="I64" s="982"/>
      <c r="J64" s="622"/>
      <c r="K64" s="982"/>
      <c r="L64" s="622"/>
      <c r="M64" s="982"/>
      <c r="N64" s="622"/>
      <c r="O64" s="1063"/>
      <c r="P64" s="622"/>
      <c r="Q64" s="982"/>
      <c r="R64" s="1817"/>
      <c r="S64" s="1115"/>
      <c r="T64" s="878"/>
    </row>
    <row r="65" spans="1:28" s="224" customFormat="1" x14ac:dyDescent="0.25">
      <c r="A65" s="215">
        <v>45095</v>
      </c>
      <c r="B65" s="1275" t="s">
        <v>14</v>
      </c>
      <c r="C65" s="1276" t="s">
        <v>12</v>
      </c>
      <c r="D65" s="1276" t="s">
        <v>1486</v>
      </c>
      <c r="E65" s="1286" t="s">
        <v>13</v>
      </c>
      <c r="F65" s="780">
        <v>4.28</v>
      </c>
      <c r="G65" s="982"/>
      <c r="H65" s="1008"/>
      <c r="I65" s="1063"/>
      <c r="J65" s="622"/>
      <c r="K65" s="982"/>
      <c r="L65" s="622"/>
      <c r="M65" s="982"/>
      <c r="N65" s="622"/>
      <c r="O65" s="982"/>
      <c r="P65" s="622"/>
      <c r="Q65" s="1063"/>
      <c r="R65" s="622"/>
      <c r="S65" s="982"/>
      <c r="T65" s="861"/>
      <c r="V65" s="878"/>
    </row>
    <row r="66" spans="1:28" s="224" customFormat="1" ht="15" customHeight="1" x14ac:dyDescent="0.25">
      <c r="A66" s="215">
        <v>45096</v>
      </c>
      <c r="B66" s="882" t="s">
        <v>32</v>
      </c>
      <c r="C66" s="879" t="s">
        <v>12</v>
      </c>
      <c r="D66" s="879" t="s">
        <v>1485</v>
      </c>
      <c r="E66" s="871" t="s">
        <v>13</v>
      </c>
      <c r="F66" s="780">
        <v>20</v>
      </c>
      <c r="G66" s="982"/>
      <c r="H66" s="622"/>
      <c r="I66" s="982"/>
      <c r="J66" s="622"/>
      <c r="K66" s="1033"/>
      <c r="L66" s="622"/>
      <c r="M66" s="982"/>
      <c r="N66" s="622"/>
      <c r="O66" s="982"/>
      <c r="P66" s="1116"/>
      <c r="Q66" s="1736"/>
      <c r="R66" s="1116"/>
      <c r="S66" s="1207"/>
      <c r="T66" s="927"/>
      <c r="U66" s="927"/>
      <c r="V66" s="878"/>
    </row>
    <row r="67" spans="1:28" s="224" customFormat="1" ht="15" customHeight="1" x14ac:dyDescent="0.25">
      <c r="A67" s="215">
        <v>45096</v>
      </c>
      <c r="B67" s="1275" t="s">
        <v>3677</v>
      </c>
      <c r="C67" s="1276" t="s">
        <v>12</v>
      </c>
      <c r="D67" s="1276" t="s">
        <v>1486</v>
      </c>
      <c r="E67" s="1286" t="s">
        <v>13</v>
      </c>
      <c r="F67" s="780">
        <v>10.46</v>
      </c>
      <c r="G67" s="982"/>
      <c r="H67" s="622"/>
      <c r="I67" s="982"/>
      <c r="J67" s="622"/>
      <c r="K67" s="1033"/>
      <c r="L67" s="622"/>
      <c r="M67" s="982"/>
      <c r="N67" s="622"/>
      <c r="O67" s="982"/>
      <c r="P67" s="1116"/>
      <c r="Q67" s="1736"/>
      <c r="R67" s="1116"/>
      <c r="S67" s="1207"/>
      <c r="T67" s="927"/>
      <c r="U67" s="927"/>
      <c r="V67" s="878"/>
    </row>
    <row r="68" spans="1:28" s="224" customFormat="1" ht="15" customHeight="1" x14ac:dyDescent="0.25">
      <c r="A68" s="215">
        <v>45097</v>
      </c>
      <c r="B68" s="882" t="s">
        <v>3793</v>
      </c>
      <c r="C68" s="350" t="s">
        <v>12</v>
      </c>
      <c r="D68" s="350"/>
      <c r="E68" s="480" t="s">
        <v>25</v>
      </c>
      <c r="F68" s="622"/>
      <c r="G68" s="982">
        <v>2100</v>
      </c>
      <c r="H68" s="1008"/>
      <c r="I68" s="1063"/>
      <c r="J68" s="622"/>
      <c r="K68" s="982"/>
      <c r="L68" s="622"/>
      <c r="M68" s="982"/>
      <c r="N68" s="622"/>
      <c r="O68" s="982"/>
      <c r="P68" s="622"/>
      <c r="Q68" s="1063"/>
      <c r="R68" s="622"/>
      <c r="S68" s="982"/>
      <c r="T68" s="861"/>
    </row>
    <row r="69" spans="1:28" s="224" customFormat="1" ht="15" customHeight="1" x14ac:dyDescent="0.25">
      <c r="A69" s="215">
        <v>45097</v>
      </c>
      <c r="B69" s="862" t="s">
        <v>2867</v>
      </c>
      <c r="C69" s="350" t="s">
        <v>12</v>
      </c>
      <c r="D69" s="874" t="s">
        <v>1504</v>
      </c>
      <c r="E69" s="887" t="s">
        <v>13</v>
      </c>
      <c r="F69" s="780">
        <v>30</v>
      </c>
      <c r="G69" s="982"/>
      <c r="H69" s="1009"/>
      <c r="I69" s="1063"/>
      <c r="J69" s="853"/>
      <c r="K69" s="982"/>
      <c r="L69" s="853"/>
      <c r="M69" s="982"/>
      <c r="N69" s="853"/>
      <c r="O69" s="982"/>
      <c r="P69" s="622"/>
      <c r="Q69" s="1063"/>
      <c r="R69" s="622"/>
      <c r="S69" s="982"/>
      <c r="T69" s="1690"/>
      <c r="U69" s="1690"/>
      <c r="V69" s="1690"/>
      <c r="W69" s="1690"/>
      <c r="X69" s="1690"/>
      <c r="Y69" s="1690"/>
      <c r="Z69" s="1690"/>
      <c r="AA69" s="1690"/>
      <c r="AB69" s="1690"/>
    </row>
    <row r="70" spans="1:28" s="224" customFormat="1" ht="14.25" customHeight="1" x14ac:dyDescent="0.25">
      <c r="A70" s="215">
        <v>45097</v>
      </c>
      <c r="B70" s="364" t="s">
        <v>2977</v>
      </c>
      <c r="C70" s="350" t="s">
        <v>12</v>
      </c>
      <c r="D70" s="350" t="s">
        <v>1491</v>
      </c>
      <c r="E70" s="875" t="s">
        <v>13</v>
      </c>
      <c r="F70" s="780">
        <v>300</v>
      </c>
      <c r="G70" s="982"/>
      <c r="H70" s="1008"/>
      <c r="I70" s="1063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1029"/>
      <c r="U70" s="89"/>
      <c r="V70" s="930"/>
    </row>
    <row r="71" spans="1:28" s="224" customFormat="1" ht="15" customHeight="1" x14ac:dyDescent="0.25">
      <c r="A71" s="215">
        <v>45097</v>
      </c>
      <c r="B71" s="349" t="s">
        <v>3794</v>
      </c>
      <c r="C71" s="887" t="s">
        <v>12</v>
      </c>
      <c r="D71" s="350" t="s">
        <v>1522</v>
      </c>
      <c r="E71" s="887" t="s">
        <v>13</v>
      </c>
      <c r="F71" s="613">
        <v>59.665999999999997</v>
      </c>
      <c r="G71" s="982"/>
      <c r="H71" s="872"/>
      <c r="I71" s="1063"/>
      <c r="J71" s="622"/>
      <c r="K71" s="982"/>
      <c r="L71" s="622"/>
      <c r="M71" s="982"/>
      <c r="N71" s="622"/>
      <c r="O71" s="982"/>
      <c r="P71" s="622"/>
      <c r="Q71" s="1063"/>
      <c r="R71" s="622"/>
      <c r="S71" s="982"/>
      <c r="T71" s="927"/>
      <c r="U71" s="999"/>
      <c r="V71" s="878"/>
    </row>
    <row r="72" spans="1:28" s="224" customFormat="1" ht="15" customHeight="1" x14ac:dyDescent="0.25">
      <c r="A72" s="215">
        <v>45097</v>
      </c>
      <c r="B72" s="349" t="s">
        <v>3794</v>
      </c>
      <c r="C72" s="887" t="s">
        <v>12</v>
      </c>
      <c r="D72" s="350" t="s">
        <v>1522</v>
      </c>
      <c r="E72" s="887" t="s">
        <v>13</v>
      </c>
      <c r="F72" s="613">
        <v>60</v>
      </c>
      <c r="G72" s="982"/>
      <c r="H72" s="872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927"/>
      <c r="U72" s="999"/>
      <c r="V72" s="878"/>
    </row>
    <row r="73" spans="1:28" s="224" customFormat="1" ht="15" customHeight="1" x14ac:dyDescent="0.25">
      <c r="A73" s="215">
        <v>45097</v>
      </c>
      <c r="B73" s="349" t="s">
        <v>3794</v>
      </c>
      <c r="C73" s="887" t="s">
        <v>12</v>
      </c>
      <c r="D73" s="1005" t="s">
        <v>1522</v>
      </c>
      <c r="E73" s="887" t="s">
        <v>13</v>
      </c>
      <c r="F73" s="1116">
        <v>49.666666666666664</v>
      </c>
      <c r="G73" s="982"/>
      <c r="H73" s="872"/>
      <c r="I73" s="1063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927"/>
      <c r="U73" s="999"/>
      <c r="V73" s="878"/>
    </row>
    <row r="74" spans="1:28" s="224" customFormat="1" ht="15" customHeight="1" x14ac:dyDescent="0.25">
      <c r="A74" s="215">
        <v>45097</v>
      </c>
      <c r="B74" s="349" t="s">
        <v>3794</v>
      </c>
      <c r="C74" s="887" t="s">
        <v>12</v>
      </c>
      <c r="D74" s="350"/>
      <c r="E74" s="887" t="s">
        <v>13</v>
      </c>
      <c r="F74" s="613">
        <v>24</v>
      </c>
      <c r="G74" s="982"/>
      <c r="H74" s="872"/>
      <c r="I74" s="1063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927"/>
      <c r="U74" s="999"/>
      <c r="V74" s="878"/>
    </row>
    <row r="75" spans="1:28" s="224" customFormat="1" ht="15" customHeight="1" x14ac:dyDescent="0.25">
      <c r="A75" s="215">
        <v>45097</v>
      </c>
      <c r="B75" s="349" t="s">
        <v>3794</v>
      </c>
      <c r="C75" s="887" t="s">
        <v>12</v>
      </c>
      <c r="D75" s="350"/>
      <c r="E75" s="887" t="s">
        <v>13</v>
      </c>
      <c r="F75" s="613">
        <v>24</v>
      </c>
      <c r="G75" s="982"/>
      <c r="H75" s="872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927"/>
      <c r="U75" s="999"/>
      <c r="V75" s="878"/>
    </row>
    <row r="76" spans="1:28" s="224" customFormat="1" ht="15" customHeight="1" x14ac:dyDescent="0.25">
      <c r="A76" s="215">
        <v>45097</v>
      </c>
      <c r="B76" s="349" t="s">
        <v>3794</v>
      </c>
      <c r="C76" s="887" t="s">
        <v>12</v>
      </c>
      <c r="D76" s="350" t="s">
        <v>1496</v>
      </c>
      <c r="E76" s="887" t="s">
        <v>13</v>
      </c>
      <c r="F76" s="613">
        <v>57.34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927"/>
      <c r="U76" s="999"/>
      <c r="V76" s="878"/>
    </row>
    <row r="77" spans="1:28" s="224" customFormat="1" ht="15" customHeight="1" x14ac:dyDescent="0.25">
      <c r="A77" s="215">
        <v>45097</v>
      </c>
      <c r="B77" s="349" t="s">
        <v>3794</v>
      </c>
      <c r="C77" s="887" t="s">
        <v>12</v>
      </c>
      <c r="D77" s="350" t="s">
        <v>1496</v>
      </c>
      <c r="E77" s="887" t="s">
        <v>13</v>
      </c>
      <c r="F77" s="613">
        <v>78.900000000000006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1063"/>
      <c r="R77" s="622"/>
      <c r="S77" s="982"/>
      <c r="T77" s="927"/>
      <c r="U77" s="999"/>
      <c r="V77" s="878"/>
    </row>
    <row r="78" spans="1:28" s="224" customFormat="1" ht="15" customHeight="1" x14ac:dyDescent="0.25">
      <c r="A78" s="215">
        <v>45097</v>
      </c>
      <c r="B78" s="349" t="s">
        <v>3794</v>
      </c>
      <c r="C78" s="887" t="s">
        <v>12</v>
      </c>
      <c r="D78" s="350" t="s">
        <v>1525</v>
      </c>
      <c r="E78" s="887" t="s">
        <v>13</v>
      </c>
      <c r="F78" s="613">
        <v>68.5</v>
      </c>
      <c r="G78" s="982"/>
      <c r="H78" s="872"/>
      <c r="I78" s="1063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927"/>
      <c r="U78" s="999"/>
      <c r="V78" s="878"/>
    </row>
    <row r="79" spans="1:28" s="224" customFormat="1" ht="15" customHeight="1" x14ac:dyDescent="0.25">
      <c r="A79" s="215">
        <v>45097</v>
      </c>
      <c r="B79" s="349" t="s">
        <v>3794</v>
      </c>
      <c r="C79" s="887" t="s">
        <v>12</v>
      </c>
      <c r="D79" s="350" t="s">
        <v>1525</v>
      </c>
      <c r="E79" s="887" t="s">
        <v>13</v>
      </c>
      <c r="F79" s="613">
        <v>94</v>
      </c>
      <c r="G79" s="982"/>
      <c r="H79" s="872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927"/>
      <c r="U79" s="999"/>
      <c r="V79" s="878"/>
    </row>
    <row r="80" spans="1:28" s="224" customFormat="1" ht="15" customHeight="1" x14ac:dyDescent="0.25">
      <c r="A80" s="215">
        <v>45097</v>
      </c>
      <c r="B80" s="882" t="s">
        <v>3795</v>
      </c>
      <c r="C80" s="879" t="s">
        <v>12</v>
      </c>
      <c r="D80" s="879" t="s">
        <v>1499</v>
      </c>
      <c r="E80" s="871" t="s">
        <v>13</v>
      </c>
      <c r="F80" s="780">
        <v>33.79</v>
      </c>
      <c r="G80" s="982"/>
      <c r="H80" s="1008"/>
      <c r="I80" s="1063"/>
      <c r="J80" s="622"/>
      <c r="K80" s="982"/>
      <c r="L80" s="622"/>
      <c r="M80" s="982"/>
      <c r="N80" s="622"/>
      <c r="O80" s="982"/>
      <c r="P80" s="622"/>
      <c r="Q80" s="1063"/>
      <c r="R80" s="622"/>
      <c r="S80" s="982"/>
      <c r="T80" s="861"/>
      <c r="V80" s="1123"/>
      <c r="W80" s="999"/>
    </row>
    <row r="81" spans="1:23" s="224" customFormat="1" ht="15" customHeight="1" x14ac:dyDescent="0.25">
      <c r="A81" s="215">
        <v>45097</v>
      </c>
      <c r="B81" s="882" t="s">
        <v>3796</v>
      </c>
      <c r="C81" s="879" t="s">
        <v>12</v>
      </c>
      <c r="D81" s="879" t="s">
        <v>1491</v>
      </c>
      <c r="E81" s="875" t="s">
        <v>13</v>
      </c>
      <c r="F81" s="780">
        <v>130</v>
      </c>
      <c r="G81" s="982"/>
      <c r="H81" s="622"/>
      <c r="I81" s="982"/>
      <c r="J81" s="622"/>
      <c r="K81" s="982"/>
      <c r="L81" s="622"/>
      <c r="M81" s="982"/>
      <c r="N81" s="622"/>
      <c r="O81" s="982"/>
      <c r="P81" s="880"/>
      <c r="Q81" s="1525"/>
      <c r="R81" s="880"/>
      <c r="S81" s="1033"/>
      <c r="T81" s="927">
        <v>230</v>
      </c>
      <c r="V81" s="878"/>
    </row>
    <row r="82" spans="1:23" s="224" customFormat="1" ht="15" customHeight="1" x14ac:dyDescent="0.25">
      <c r="A82" s="215">
        <v>45097</v>
      </c>
      <c r="B82" s="364" t="s">
        <v>398</v>
      </c>
      <c r="C82" s="983" t="s">
        <v>12</v>
      </c>
      <c r="D82" s="350"/>
      <c r="E82" s="480" t="s">
        <v>13</v>
      </c>
      <c r="F82" s="780">
        <v>100</v>
      </c>
      <c r="G82" s="982"/>
      <c r="H82" s="1009"/>
      <c r="I82" s="982">
        <v>100</v>
      </c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27"/>
      <c r="V82" s="878"/>
    </row>
    <row r="83" spans="1:23" s="224" customFormat="1" ht="15" customHeight="1" x14ac:dyDescent="0.25">
      <c r="A83" s="215">
        <v>45097</v>
      </c>
      <c r="B83" s="882" t="s">
        <v>32</v>
      </c>
      <c r="C83" s="879" t="s">
        <v>12</v>
      </c>
      <c r="D83" s="879" t="s">
        <v>1485</v>
      </c>
      <c r="E83" s="871" t="s">
        <v>13</v>
      </c>
      <c r="F83" s="780">
        <v>20</v>
      </c>
      <c r="G83" s="982"/>
      <c r="H83" s="622"/>
      <c r="I83" s="982"/>
      <c r="J83" s="622"/>
      <c r="K83" s="1033"/>
      <c r="L83" s="622"/>
      <c r="M83" s="982"/>
      <c r="N83" s="622"/>
      <c r="O83" s="982"/>
      <c r="P83" s="1116"/>
      <c r="Q83" s="1736"/>
      <c r="R83" s="1116"/>
      <c r="S83" s="1207"/>
      <c r="T83" s="927"/>
      <c r="U83" s="927"/>
      <c r="V83" s="878"/>
    </row>
    <row r="84" spans="1:23" s="224" customFormat="1" ht="15" customHeight="1" x14ac:dyDescent="0.25">
      <c r="A84" s="215">
        <v>45097</v>
      </c>
      <c r="B84" s="882" t="s">
        <v>3797</v>
      </c>
      <c r="C84" s="879" t="s">
        <v>19</v>
      </c>
      <c r="D84" s="879" t="s">
        <v>1525</v>
      </c>
      <c r="E84" s="875" t="s">
        <v>13</v>
      </c>
      <c r="F84" s="780">
        <v>186.9</v>
      </c>
      <c r="G84" s="982"/>
      <c r="H84" s="622"/>
      <c r="I84" s="982"/>
      <c r="J84" s="622"/>
      <c r="K84" s="982"/>
      <c r="L84" s="622"/>
      <c r="M84" s="982"/>
      <c r="N84" s="622"/>
      <c r="O84" s="982"/>
      <c r="P84" s="880"/>
      <c r="Q84" s="1525"/>
      <c r="R84" s="880"/>
      <c r="S84" s="1033"/>
      <c r="T84" s="1280" t="s">
        <v>3292</v>
      </c>
      <c r="V84" s="878"/>
    </row>
    <row r="85" spans="1:23" s="224" customFormat="1" ht="15" customHeight="1" x14ac:dyDescent="0.25">
      <c r="A85" s="215">
        <v>45098</v>
      </c>
      <c r="B85" s="862" t="s">
        <v>3529</v>
      </c>
      <c r="C85" s="879" t="s">
        <v>12</v>
      </c>
      <c r="D85" s="879" t="s">
        <v>1504</v>
      </c>
      <c r="E85" s="871" t="s">
        <v>13</v>
      </c>
      <c r="F85" s="780">
        <v>39.9</v>
      </c>
      <c r="G85" s="946"/>
      <c r="H85" s="95"/>
      <c r="I85" s="1064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1028"/>
      <c r="W85" s="958"/>
    </row>
    <row r="86" spans="1:23" s="224" customFormat="1" ht="15" customHeight="1" x14ac:dyDescent="0.25">
      <c r="A86" s="215">
        <v>45098</v>
      </c>
      <c r="B86" s="882" t="s">
        <v>32</v>
      </c>
      <c r="C86" s="879" t="s">
        <v>12</v>
      </c>
      <c r="D86" s="879" t="s">
        <v>1485</v>
      </c>
      <c r="E86" s="871" t="s">
        <v>13</v>
      </c>
      <c r="F86" s="780">
        <v>20</v>
      </c>
      <c r="G86" s="982"/>
      <c r="H86" s="622"/>
      <c r="I86" s="982"/>
      <c r="J86" s="622"/>
      <c r="K86" s="1033"/>
      <c r="L86" s="622"/>
      <c r="M86" s="982"/>
      <c r="N86" s="622"/>
      <c r="O86" s="982"/>
      <c r="P86" s="1116"/>
      <c r="Q86" s="1736"/>
      <c r="R86" s="1116"/>
      <c r="S86" s="1207"/>
      <c r="T86" s="927"/>
      <c r="U86" s="927"/>
      <c r="V86" s="878"/>
    </row>
    <row r="87" spans="1:23" s="224" customFormat="1" ht="15" customHeight="1" x14ac:dyDescent="0.25">
      <c r="A87" s="215">
        <v>45098</v>
      </c>
      <c r="B87" s="882" t="s">
        <v>3798</v>
      </c>
      <c r="C87" s="879" t="s">
        <v>12</v>
      </c>
      <c r="D87" s="879" t="s">
        <v>1489</v>
      </c>
      <c r="E87" s="871" t="s">
        <v>13</v>
      </c>
      <c r="F87" s="780">
        <v>6</v>
      </c>
      <c r="G87" s="946"/>
      <c r="H87" s="95"/>
      <c r="I87" s="1064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861"/>
    </row>
    <row r="88" spans="1:23" s="224" customFormat="1" ht="15" customHeight="1" x14ac:dyDescent="0.25">
      <c r="A88" s="215">
        <v>45098</v>
      </c>
      <c r="B88" s="882" t="s">
        <v>138</v>
      </c>
      <c r="C88" s="879" t="s">
        <v>12</v>
      </c>
      <c r="D88" s="879" t="s">
        <v>2157</v>
      </c>
      <c r="E88" s="875" t="s">
        <v>15</v>
      </c>
      <c r="F88" s="780">
        <v>80</v>
      </c>
      <c r="G88" s="946"/>
      <c r="H88" s="95"/>
      <c r="I88" s="1064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</row>
    <row r="89" spans="1:23" s="224" customFormat="1" x14ac:dyDescent="0.25">
      <c r="A89" s="215">
        <v>45098</v>
      </c>
      <c r="B89" s="1275" t="s">
        <v>14</v>
      </c>
      <c r="C89" s="1276" t="s">
        <v>12</v>
      </c>
      <c r="D89" s="1276" t="s">
        <v>1486</v>
      </c>
      <c r="E89" s="1286" t="s">
        <v>13</v>
      </c>
      <c r="F89" s="780">
        <v>9.66</v>
      </c>
      <c r="G89" s="982"/>
      <c r="H89" s="1008"/>
      <c r="I89" s="1063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861"/>
      <c r="V89" s="878"/>
    </row>
    <row r="90" spans="1:23" s="224" customFormat="1" ht="15" customHeight="1" x14ac:dyDescent="0.25">
      <c r="A90" s="215">
        <v>45099</v>
      </c>
      <c r="B90" s="882" t="s">
        <v>32</v>
      </c>
      <c r="C90" s="879" t="s">
        <v>12</v>
      </c>
      <c r="D90" s="879" t="s">
        <v>1485</v>
      </c>
      <c r="E90" s="871" t="s">
        <v>13</v>
      </c>
      <c r="F90" s="780">
        <v>20</v>
      </c>
      <c r="G90" s="982"/>
      <c r="H90" s="622"/>
      <c r="I90" s="982"/>
      <c r="J90" s="622"/>
      <c r="K90" s="1033"/>
      <c r="L90" s="622"/>
      <c r="M90" s="982"/>
      <c r="N90" s="622"/>
      <c r="O90" s="982"/>
      <c r="P90" s="1116"/>
      <c r="Q90" s="1736"/>
      <c r="R90" s="1116"/>
      <c r="S90" s="1207"/>
      <c r="T90" s="927"/>
      <c r="U90" s="927"/>
      <c r="V90" s="878"/>
    </row>
    <row r="91" spans="1:23" s="224" customFormat="1" ht="15" customHeight="1" x14ac:dyDescent="0.25">
      <c r="A91" s="215">
        <v>45099</v>
      </c>
      <c r="B91" s="1275" t="s">
        <v>134</v>
      </c>
      <c r="C91" s="1276" t="s">
        <v>12</v>
      </c>
      <c r="D91" s="1276" t="s">
        <v>1493</v>
      </c>
      <c r="E91" s="1277" t="s">
        <v>13</v>
      </c>
      <c r="F91" s="780">
        <v>7.65</v>
      </c>
      <c r="G91" s="982"/>
      <c r="H91" s="622"/>
      <c r="I91" s="982"/>
      <c r="J91" s="622"/>
      <c r="K91" s="982"/>
      <c r="L91" s="622"/>
      <c r="M91" s="982"/>
      <c r="N91" s="622"/>
      <c r="O91" s="982"/>
      <c r="P91" s="880"/>
      <c r="Q91" s="1525"/>
      <c r="R91" s="880"/>
      <c r="S91" s="1033"/>
      <c r="T91" s="927"/>
      <c r="V91" s="878"/>
    </row>
    <row r="92" spans="1:23" s="224" customFormat="1" x14ac:dyDescent="0.25">
      <c r="A92" s="215">
        <v>45100</v>
      </c>
      <c r="B92" s="1275" t="s">
        <v>14</v>
      </c>
      <c r="C92" s="1276" t="s">
        <v>12</v>
      </c>
      <c r="D92" s="1276" t="s">
        <v>1486</v>
      </c>
      <c r="E92" s="1286" t="s">
        <v>13</v>
      </c>
      <c r="F92" s="780">
        <v>10</v>
      </c>
      <c r="G92" s="982"/>
      <c r="H92" s="1008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861"/>
      <c r="V92" s="878"/>
    </row>
    <row r="93" spans="1:23" s="224" customFormat="1" ht="15" customHeight="1" x14ac:dyDescent="0.25">
      <c r="A93" s="215">
        <v>45100</v>
      </c>
      <c r="B93" s="882" t="s">
        <v>3799</v>
      </c>
      <c r="C93" s="879" t="s">
        <v>12</v>
      </c>
      <c r="D93" s="879" t="s">
        <v>1523</v>
      </c>
      <c r="E93" s="875" t="s">
        <v>13</v>
      </c>
      <c r="F93" s="1004">
        <v>44</v>
      </c>
      <c r="G93" s="982"/>
      <c r="H93" s="622"/>
      <c r="I93" s="982"/>
      <c r="J93" s="622"/>
      <c r="K93" s="982"/>
      <c r="L93" s="622"/>
      <c r="M93" s="982"/>
      <c r="N93" s="622"/>
      <c r="O93" s="982"/>
      <c r="P93" s="880"/>
      <c r="Q93" s="1525"/>
      <c r="R93" s="880"/>
      <c r="S93" s="1033"/>
      <c r="T93" s="927"/>
      <c r="V93" s="878"/>
    </row>
    <row r="94" spans="1:23" s="224" customFormat="1" ht="15" customHeight="1" x14ac:dyDescent="0.25">
      <c r="A94" s="215">
        <v>45101</v>
      </c>
      <c r="B94" s="882" t="s">
        <v>3788</v>
      </c>
      <c r="C94" s="879" t="s">
        <v>12</v>
      </c>
      <c r="D94" s="879" t="s">
        <v>1493</v>
      </c>
      <c r="E94" s="871" t="s">
        <v>13</v>
      </c>
      <c r="F94" s="780">
        <v>40</v>
      </c>
      <c r="G94" s="946"/>
      <c r="H94" s="95"/>
      <c r="I94" s="1064"/>
      <c r="J94" s="622"/>
      <c r="K94" s="982"/>
      <c r="L94" s="622"/>
      <c r="M94" s="982"/>
      <c r="N94" s="622"/>
      <c r="O94" s="982"/>
      <c r="P94" s="1110"/>
      <c r="Q94" s="1739"/>
      <c r="R94" s="1110"/>
      <c r="S94" s="1208"/>
      <c r="T94" s="1028"/>
      <c r="W94" s="958"/>
    </row>
    <row r="95" spans="1:23" s="224" customFormat="1" ht="15" customHeight="1" x14ac:dyDescent="0.25">
      <c r="A95" s="215">
        <v>45102</v>
      </c>
      <c r="B95" s="1275" t="s">
        <v>14</v>
      </c>
      <c r="C95" s="1276" t="s">
        <v>12</v>
      </c>
      <c r="D95" s="1276" t="s">
        <v>1486</v>
      </c>
      <c r="E95" s="1286" t="s">
        <v>13</v>
      </c>
      <c r="F95" s="780">
        <v>8.25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1028"/>
      <c r="W95" s="958"/>
    </row>
    <row r="96" spans="1:23" s="224" customFormat="1" ht="15" customHeight="1" x14ac:dyDescent="0.25">
      <c r="A96" s="215">
        <v>45102</v>
      </c>
      <c r="B96" s="882" t="s">
        <v>32</v>
      </c>
      <c r="C96" s="879" t="s">
        <v>12</v>
      </c>
      <c r="D96" s="879" t="s">
        <v>1485</v>
      </c>
      <c r="E96" s="871" t="s">
        <v>13</v>
      </c>
      <c r="F96" s="780">
        <v>22</v>
      </c>
      <c r="G96" s="982"/>
      <c r="H96" s="622"/>
      <c r="I96" s="982"/>
      <c r="J96" s="622"/>
      <c r="K96" s="1033"/>
      <c r="L96" s="622"/>
      <c r="M96" s="982"/>
      <c r="N96" s="622"/>
      <c r="O96" s="982"/>
      <c r="P96" s="1116"/>
      <c r="Q96" s="1736"/>
      <c r="R96" s="1116"/>
      <c r="S96" s="1207"/>
      <c r="T96" s="927"/>
      <c r="U96" s="927"/>
      <c r="V96" s="878"/>
    </row>
    <row r="97" spans="1:23" s="224" customFormat="1" ht="15" customHeight="1" x14ac:dyDescent="0.25">
      <c r="A97" s="215">
        <v>45102</v>
      </c>
      <c r="B97" s="882" t="s">
        <v>1906</v>
      </c>
      <c r="C97" s="879" t="s">
        <v>12</v>
      </c>
      <c r="D97" s="879" t="s">
        <v>1493</v>
      </c>
      <c r="E97" s="871" t="s">
        <v>13</v>
      </c>
      <c r="F97" s="780">
        <v>25</v>
      </c>
      <c r="G97" s="946"/>
      <c r="H97" s="95"/>
      <c r="I97" s="1064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1028"/>
      <c r="W97" s="958"/>
    </row>
    <row r="98" spans="1:23" s="224" customFormat="1" ht="15" customHeight="1" x14ac:dyDescent="0.25">
      <c r="A98" s="215">
        <v>45103</v>
      </c>
      <c r="B98" s="882" t="s">
        <v>32</v>
      </c>
      <c r="C98" s="879" t="s">
        <v>12</v>
      </c>
      <c r="D98" s="879" t="s">
        <v>1485</v>
      </c>
      <c r="E98" s="871" t="s">
        <v>13</v>
      </c>
      <c r="F98" s="780">
        <v>20</v>
      </c>
      <c r="G98" s="982"/>
      <c r="H98" s="622"/>
      <c r="I98" s="982"/>
      <c r="J98" s="622"/>
      <c r="K98" s="1033"/>
      <c r="L98" s="622"/>
      <c r="M98" s="982"/>
      <c r="N98" s="622"/>
      <c r="O98" s="982"/>
      <c r="P98" s="1116"/>
      <c r="Q98" s="1736"/>
      <c r="R98" s="1116"/>
      <c r="S98" s="1207"/>
      <c r="T98" s="927"/>
      <c r="U98" s="927"/>
      <c r="V98" s="878"/>
    </row>
    <row r="99" spans="1:23" s="224" customFormat="1" ht="15" customHeight="1" x14ac:dyDescent="0.25">
      <c r="A99" s="215">
        <v>45103</v>
      </c>
      <c r="B99" s="882" t="s">
        <v>138</v>
      </c>
      <c r="C99" s="879" t="s">
        <v>12</v>
      </c>
      <c r="D99" s="879" t="s">
        <v>2157</v>
      </c>
      <c r="E99" s="875" t="s">
        <v>15</v>
      </c>
      <c r="F99" s="780">
        <v>120</v>
      </c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861"/>
    </row>
    <row r="100" spans="1:23" s="224" customFormat="1" ht="15" customHeight="1" x14ac:dyDescent="0.25">
      <c r="A100" s="215">
        <v>45103</v>
      </c>
      <c r="B100" s="1275" t="s">
        <v>3677</v>
      </c>
      <c r="C100" s="1276" t="s">
        <v>12</v>
      </c>
      <c r="D100" s="1276" t="s">
        <v>1486</v>
      </c>
      <c r="E100" s="1286" t="s">
        <v>13</v>
      </c>
      <c r="F100" s="780">
        <v>8.74</v>
      </c>
      <c r="G100" s="982"/>
      <c r="H100" s="622"/>
      <c r="I100" s="982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1028"/>
      <c r="U100" s="959"/>
      <c r="V100" s="878"/>
      <c r="W100" s="958"/>
    </row>
    <row r="101" spans="1:23" s="224" customFormat="1" ht="15" customHeight="1" x14ac:dyDescent="0.25">
      <c r="A101" s="215">
        <v>45104</v>
      </c>
      <c r="B101" s="882" t="s">
        <v>32</v>
      </c>
      <c r="C101" s="879" t="s">
        <v>12</v>
      </c>
      <c r="D101" s="879" t="s">
        <v>1485</v>
      </c>
      <c r="E101" s="871" t="s">
        <v>13</v>
      </c>
      <c r="F101" s="780">
        <v>20</v>
      </c>
      <c r="G101" s="982"/>
      <c r="H101" s="622"/>
      <c r="I101" s="982"/>
      <c r="J101" s="622"/>
      <c r="K101" s="1033"/>
      <c r="L101" s="622"/>
      <c r="M101" s="982"/>
      <c r="N101" s="622"/>
      <c r="O101" s="982"/>
      <c r="P101" s="1116"/>
      <c r="Q101" s="1736"/>
      <c r="R101" s="1116"/>
      <c r="S101" s="1207"/>
      <c r="T101" s="927"/>
      <c r="U101" s="927"/>
      <c r="V101" s="878"/>
    </row>
    <row r="102" spans="1:23" s="224" customFormat="1" ht="15" customHeight="1" x14ac:dyDescent="0.25">
      <c r="A102" s="215">
        <v>45104</v>
      </c>
      <c r="B102" s="1275" t="s">
        <v>14</v>
      </c>
      <c r="C102" s="1276" t="s">
        <v>12</v>
      </c>
      <c r="D102" s="1276" t="s">
        <v>1486</v>
      </c>
      <c r="E102" s="1286" t="s">
        <v>13</v>
      </c>
      <c r="F102" s="780">
        <v>11.24</v>
      </c>
      <c r="G102" s="982"/>
      <c r="H102" s="1008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  <c r="V102" s="1035"/>
    </row>
    <row r="103" spans="1:23" s="224" customFormat="1" ht="15" customHeight="1" x14ac:dyDescent="0.25">
      <c r="A103" s="215">
        <v>45105</v>
      </c>
      <c r="B103" s="882" t="s">
        <v>32</v>
      </c>
      <c r="C103" s="879" t="s">
        <v>12</v>
      </c>
      <c r="D103" s="879" t="s">
        <v>1485</v>
      </c>
      <c r="E103" s="871" t="s">
        <v>13</v>
      </c>
      <c r="F103" s="780">
        <v>20</v>
      </c>
      <c r="G103" s="982"/>
      <c r="H103" s="622"/>
      <c r="I103" s="982"/>
      <c r="J103" s="622"/>
      <c r="K103" s="1033"/>
      <c r="L103" s="622"/>
      <c r="M103" s="982"/>
      <c r="N103" s="622"/>
      <c r="O103" s="982"/>
      <c r="P103" s="1116"/>
      <c r="Q103" s="1736"/>
      <c r="R103" s="1116"/>
      <c r="S103" s="1207"/>
      <c r="T103" s="927"/>
      <c r="U103" s="927"/>
      <c r="V103" s="878"/>
    </row>
    <row r="104" spans="1:23" s="1274" customFormat="1" ht="15" customHeight="1" x14ac:dyDescent="0.25">
      <c r="A104" s="215">
        <v>45105</v>
      </c>
      <c r="B104" s="1275" t="s">
        <v>17</v>
      </c>
      <c r="C104" s="1276" t="s">
        <v>12</v>
      </c>
      <c r="D104" s="1276" t="s">
        <v>1493</v>
      </c>
      <c r="E104" s="1286" t="s">
        <v>13</v>
      </c>
      <c r="F104" s="780">
        <v>7</v>
      </c>
      <c r="G104" s="1278"/>
      <c r="H104" s="1282"/>
      <c r="I104" s="1283"/>
      <c r="J104" s="1279"/>
      <c r="K104" s="1278"/>
      <c r="L104" s="1279"/>
      <c r="M104" s="1472"/>
      <c r="N104" s="1279"/>
      <c r="O104" s="1278"/>
      <c r="P104" s="1279"/>
      <c r="Q104" s="1283"/>
      <c r="R104" s="1702"/>
      <c r="S104" s="1703"/>
      <c r="T104" s="1281"/>
      <c r="V104" s="1281"/>
      <c r="W104" s="1294"/>
    </row>
    <row r="105" spans="1:23" s="224" customFormat="1" ht="15" customHeight="1" x14ac:dyDescent="0.25">
      <c r="A105" s="215">
        <v>45105</v>
      </c>
      <c r="B105" s="1275" t="s">
        <v>134</v>
      </c>
      <c r="C105" s="1276" t="s">
        <v>12</v>
      </c>
      <c r="D105" s="1276" t="s">
        <v>1493</v>
      </c>
      <c r="E105" s="1277" t="s">
        <v>13</v>
      </c>
      <c r="F105" s="780">
        <v>5.0999999999999996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861"/>
      <c r="V105" s="927"/>
      <c r="W105" s="999"/>
    </row>
    <row r="106" spans="1:23" s="224" customFormat="1" ht="15" customHeight="1" x14ac:dyDescent="0.25">
      <c r="A106" s="215">
        <v>45106</v>
      </c>
      <c r="B106" s="882" t="s">
        <v>32</v>
      </c>
      <c r="C106" s="879" t="s">
        <v>12</v>
      </c>
      <c r="D106" s="879" t="s">
        <v>1485</v>
      </c>
      <c r="E106" s="871" t="s">
        <v>13</v>
      </c>
      <c r="F106" s="780">
        <v>20</v>
      </c>
      <c r="G106" s="982"/>
      <c r="H106" s="622"/>
      <c r="I106" s="982"/>
      <c r="J106" s="622"/>
      <c r="K106" s="1033"/>
      <c r="L106" s="622"/>
      <c r="M106" s="982"/>
      <c r="N106" s="622"/>
      <c r="O106" s="982"/>
      <c r="P106" s="1116"/>
      <c r="Q106" s="1736"/>
      <c r="R106" s="1116"/>
      <c r="S106" s="1207"/>
      <c r="T106" s="927"/>
      <c r="U106" s="927"/>
      <c r="V106" s="878"/>
    </row>
    <row r="107" spans="1:23" s="224" customFormat="1" ht="15" customHeight="1" x14ac:dyDescent="0.25">
      <c r="A107" s="215">
        <v>45106</v>
      </c>
      <c r="B107" s="882" t="s">
        <v>3800</v>
      </c>
      <c r="C107" s="879" t="s">
        <v>12</v>
      </c>
      <c r="D107" s="879" t="s">
        <v>1491</v>
      </c>
      <c r="E107" s="871" t="s">
        <v>13</v>
      </c>
      <c r="F107" s="780">
        <v>20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1028"/>
      <c r="U107" s="959"/>
      <c r="V107" s="878"/>
      <c r="W107" s="958"/>
    </row>
    <row r="108" spans="1:23" s="224" customFormat="1" ht="15" customHeight="1" x14ac:dyDescent="0.25">
      <c r="A108" s="215">
        <v>45106</v>
      </c>
      <c r="B108" s="1275" t="s">
        <v>134</v>
      </c>
      <c r="C108" s="1276" t="s">
        <v>12</v>
      </c>
      <c r="D108" s="1276" t="s">
        <v>1493</v>
      </c>
      <c r="E108" s="1277" t="s">
        <v>13</v>
      </c>
      <c r="F108" s="780">
        <v>5.95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861"/>
      <c r="V108" s="927"/>
      <c r="W108" s="999"/>
    </row>
    <row r="109" spans="1:23" s="224" customFormat="1" ht="15" customHeight="1" x14ac:dyDescent="0.25">
      <c r="A109" s="215">
        <v>45107</v>
      </c>
      <c r="B109" s="364" t="s">
        <v>390</v>
      </c>
      <c r="C109" s="983" t="s">
        <v>12</v>
      </c>
      <c r="D109" s="350"/>
      <c r="E109" s="480" t="s">
        <v>13</v>
      </c>
      <c r="F109" s="780"/>
      <c r="G109" s="982">
        <v>300</v>
      </c>
      <c r="H109" s="1009">
        <v>300</v>
      </c>
      <c r="I109" s="982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927"/>
      <c r="U109" s="927"/>
      <c r="V109" s="878"/>
    </row>
    <row r="110" spans="1:23" s="224" customFormat="1" ht="15" customHeight="1" x14ac:dyDescent="0.25">
      <c r="A110" s="215">
        <v>45107</v>
      </c>
      <c r="B110" s="882" t="s">
        <v>32</v>
      </c>
      <c r="C110" s="879" t="s">
        <v>12</v>
      </c>
      <c r="D110" s="879" t="s">
        <v>1485</v>
      </c>
      <c r="E110" s="871" t="s">
        <v>13</v>
      </c>
      <c r="F110" s="780">
        <v>20</v>
      </c>
      <c r="G110" s="982"/>
      <c r="H110" s="622"/>
      <c r="I110" s="982"/>
      <c r="J110" s="622"/>
      <c r="K110" s="1033"/>
      <c r="L110" s="622"/>
      <c r="M110" s="982"/>
      <c r="N110" s="622"/>
      <c r="O110" s="982"/>
      <c r="P110" s="1116"/>
      <c r="Q110" s="1736"/>
      <c r="R110" s="1116"/>
      <c r="S110" s="1207"/>
      <c r="T110" s="927"/>
      <c r="U110" s="927"/>
      <c r="V110" s="878"/>
    </row>
    <row r="111" spans="1:23" s="224" customFormat="1" ht="15" customHeight="1" x14ac:dyDescent="0.25">
      <c r="A111" s="215">
        <v>45107</v>
      </c>
      <c r="B111" s="882" t="s">
        <v>3788</v>
      </c>
      <c r="C111" s="879" t="s">
        <v>12</v>
      </c>
      <c r="D111" s="879" t="s">
        <v>1493</v>
      </c>
      <c r="E111" s="871" t="s">
        <v>13</v>
      </c>
      <c r="F111" s="780">
        <v>33</v>
      </c>
      <c r="G111" s="982"/>
      <c r="H111" s="1008"/>
      <c r="I111" s="1063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861"/>
      <c r="V111" s="1035"/>
    </row>
    <row r="112" spans="1:23" s="1274" customFormat="1" ht="15" customHeight="1" x14ac:dyDescent="0.25">
      <c r="A112" s="215">
        <v>45107</v>
      </c>
      <c r="B112" s="1289" t="s">
        <v>2096</v>
      </c>
      <c r="C112" s="1276" t="s">
        <v>12</v>
      </c>
      <c r="D112" s="1276" t="s">
        <v>1506</v>
      </c>
      <c r="E112" s="1277" t="s">
        <v>15</v>
      </c>
      <c r="F112" s="1279">
        <v>50</v>
      </c>
      <c r="G112" s="1278"/>
      <c r="H112" s="1282"/>
      <c r="I112" s="1283"/>
      <c r="J112" s="1279"/>
      <c r="K112" s="1278"/>
      <c r="L112" s="1279"/>
      <c r="M112" s="1278"/>
      <c r="N112" s="1279"/>
      <c r="O112" s="1278"/>
      <c r="P112" s="1279"/>
      <c r="Q112" s="1283"/>
      <c r="R112" s="1741"/>
      <c r="S112" s="1743"/>
      <c r="T112" s="1281"/>
      <c r="U112" s="1294"/>
    </row>
    <row r="113" spans="1:28" s="1274" customFormat="1" ht="15" customHeight="1" x14ac:dyDescent="0.25">
      <c r="A113" s="215">
        <v>45107</v>
      </c>
      <c r="B113" s="1275" t="s">
        <v>3801</v>
      </c>
      <c r="C113" s="1276" t="s">
        <v>12</v>
      </c>
      <c r="D113" s="1276"/>
      <c r="E113" s="1286" t="s">
        <v>13</v>
      </c>
      <c r="F113" s="1279"/>
      <c r="G113" s="1278"/>
      <c r="H113" s="1282"/>
      <c r="I113" s="1283"/>
      <c r="J113" s="1279"/>
      <c r="K113" s="1278"/>
      <c r="L113" s="1279"/>
      <c r="M113" s="982"/>
      <c r="N113" s="1279"/>
      <c r="O113" s="1278"/>
      <c r="P113" s="1279"/>
      <c r="Q113" s="1283">
        <v>696.47</v>
      </c>
      <c r="R113" s="1740"/>
      <c r="S113" s="1743"/>
      <c r="T113" s="1281"/>
      <c r="U113" s="1294"/>
    </row>
    <row r="114" spans="1:28" s="224" customFormat="1" x14ac:dyDescent="0.25">
      <c r="A114" s="215">
        <v>45107</v>
      </c>
      <c r="B114" s="862" t="s">
        <v>3693</v>
      </c>
      <c r="C114" s="350" t="s">
        <v>12</v>
      </c>
      <c r="D114" s="1807"/>
      <c r="E114" s="145"/>
      <c r="F114" s="622"/>
      <c r="G114" s="982"/>
      <c r="H114" s="1008"/>
      <c r="I114" s="1063"/>
      <c r="J114" s="622"/>
      <c r="K114" s="982"/>
      <c r="L114" s="622"/>
      <c r="M114" s="982"/>
      <c r="N114" s="622"/>
      <c r="O114" s="982">
        <v>123</v>
      </c>
      <c r="P114" s="622"/>
      <c r="Q114" s="1063"/>
      <c r="R114" s="622"/>
      <c r="S114" s="982"/>
      <c r="T114" s="475"/>
      <c r="V114" s="878"/>
    </row>
    <row r="115" spans="1:28" s="224" customFormat="1" ht="15.75" thickBot="1" x14ac:dyDescent="0.3">
      <c r="A115" s="215">
        <v>45107</v>
      </c>
      <c r="B115" s="862" t="s">
        <v>1666</v>
      </c>
      <c r="C115" s="350" t="s">
        <v>12</v>
      </c>
      <c r="D115" s="1003"/>
      <c r="E115" s="145" t="s">
        <v>25</v>
      </c>
      <c r="F115" s="1036"/>
      <c r="G115" s="1535"/>
      <c r="H115" s="1008"/>
      <c r="I115" s="1063"/>
      <c r="J115" s="1036"/>
      <c r="K115" s="1535"/>
      <c r="L115" s="622"/>
      <c r="M115" s="982">
        <v>68.14</v>
      </c>
      <c r="N115" s="622"/>
      <c r="O115" s="982"/>
      <c r="P115" s="622"/>
      <c r="Q115" s="1063"/>
      <c r="R115" s="1036"/>
      <c r="S115" s="1535"/>
      <c r="T115" s="1815">
        <f>M115/M5</f>
        <v>9.5270186192114668E-3</v>
      </c>
      <c r="V115" s="878"/>
    </row>
    <row r="116" spans="1:28" ht="25.5" customHeight="1" thickBot="1" x14ac:dyDescent="0.3">
      <c r="A116" s="3060"/>
      <c r="B116" s="3061"/>
      <c r="C116" s="3062"/>
      <c r="D116" s="3062"/>
      <c r="E116" s="3062"/>
      <c r="F116" s="1023">
        <f>SUM(F6:F115)</f>
        <v>4641.3726666666671</v>
      </c>
      <c r="G116" s="1065">
        <f>SUM(G5:G115)</f>
        <v>5174.0935833333606</v>
      </c>
      <c r="H116" s="517">
        <f>SUM(H6:H115)</f>
        <v>300</v>
      </c>
      <c r="I116" s="93">
        <f>SUM(I5:I115)</f>
        <v>2099.9959999999992</v>
      </c>
      <c r="J116" s="1023">
        <f>SUM(J6:J115)</f>
        <v>0</v>
      </c>
      <c r="K116" s="93">
        <f>SUM(K5:K115)</f>
        <v>20243.940000000002</v>
      </c>
      <c r="L116" s="1023">
        <f>SUM(L6:L115)</f>
        <v>0</v>
      </c>
      <c r="M116" s="93">
        <f>SUM(M5:M115)</f>
        <v>7220.4300000000021</v>
      </c>
      <c r="N116" s="1023">
        <f>SUM(N6:N115)</f>
        <v>0</v>
      </c>
      <c r="O116" s="93">
        <f>SUM(O5:O115)</f>
        <v>2172.4</v>
      </c>
      <c r="P116" s="1211">
        <f>SUM(P6:P115)</f>
        <v>0</v>
      </c>
      <c r="Q116" s="93">
        <f>SUM(Q5:Q115)</f>
        <v>9199.9999999999982</v>
      </c>
      <c r="R116" s="1211">
        <f>SUM(R6:R115)</f>
        <v>0</v>
      </c>
      <c r="S116" s="93">
        <f>SUM(S5:S115)</f>
        <v>41552.315984720008</v>
      </c>
      <c r="U116" s="216"/>
    </row>
    <row r="117" spans="1:28" ht="25.5" customHeight="1" thickBot="1" x14ac:dyDescent="0.3">
      <c r="A117" s="3117" t="s">
        <v>49</v>
      </c>
      <c r="B117" s="3118"/>
      <c r="C117" s="3118"/>
      <c r="D117" s="3118"/>
      <c r="E117" s="3118"/>
      <c r="F117" s="144" t="s">
        <v>280</v>
      </c>
      <c r="G117" s="519">
        <f>G116-F116</f>
        <v>532.72091666669348</v>
      </c>
      <c r="H117" s="555"/>
      <c r="I117" s="772">
        <f>I116-H116</f>
        <v>1799.9959999999992</v>
      </c>
      <c r="J117" s="593"/>
      <c r="K117" s="993">
        <f>K116-J116</f>
        <v>20243.940000000002</v>
      </c>
      <c r="L117" s="593"/>
      <c r="M117" s="772">
        <f>M116-L116</f>
        <v>7220.4300000000021</v>
      </c>
      <c r="N117" s="593"/>
      <c r="O117" s="772">
        <f>O116-N116</f>
        <v>2172.4</v>
      </c>
      <c r="P117" s="593"/>
      <c r="Q117" s="556">
        <f>Q116-P116</f>
        <v>9199.9999999999982</v>
      </c>
      <c r="R117" s="593"/>
      <c r="S117" s="556">
        <f>S116-R116</f>
        <v>41552.315984720008</v>
      </c>
      <c r="T117" s="484">
        <f>K117+M117+O117+Q117+S117</f>
        <v>80389.085984720004</v>
      </c>
    </row>
    <row r="118" spans="1:28" x14ac:dyDescent="0.25">
      <c r="J118" s="1238"/>
      <c r="K118" s="1238">
        <f>K117/T117</f>
        <v>0.25182448278921693</v>
      </c>
      <c r="M118" s="1238">
        <f>M117/T117</f>
        <v>8.9818535831747467E-2</v>
      </c>
      <c r="O118" s="1238">
        <f>O117/T117</f>
        <v>2.7023568851285609E-2</v>
      </c>
      <c r="P118" s="1239"/>
      <c r="Q118" s="1239">
        <f>Q117/T117</f>
        <v>0.11444339598224432</v>
      </c>
      <c r="R118" s="1239"/>
      <c r="S118" s="1239">
        <f>S117/T117</f>
        <v>0.5168900165455057</v>
      </c>
      <c r="T118" s="867"/>
      <c r="U118" s="867"/>
      <c r="V118" s="79"/>
      <c r="Y118" s="518"/>
      <c r="Z118" s="216"/>
      <c r="AB118" s="877"/>
    </row>
    <row r="119" spans="1:28" x14ac:dyDescent="0.25">
      <c r="B119" s="81" t="s">
        <v>3</v>
      </c>
      <c r="C119" s="193" t="s">
        <v>1484</v>
      </c>
      <c r="D119" s="970" t="s">
        <v>2378</v>
      </c>
      <c r="E119" s="193" t="s">
        <v>3216</v>
      </c>
      <c r="F119" s="1061" t="s">
        <v>3217</v>
      </c>
      <c r="G119" s="216"/>
      <c r="J119" s="867"/>
      <c r="K119" s="866"/>
      <c r="M119" s="866"/>
      <c r="O119" s="866"/>
      <c r="P119" s="1038"/>
      <c r="Q119" s="1038"/>
      <c r="R119" s="1038"/>
      <c r="S119" s="1038"/>
      <c r="T119" s="865"/>
      <c r="U119" s="867"/>
    </row>
    <row r="120" spans="1:28" x14ac:dyDescent="0.25">
      <c r="B120" s="79" t="s">
        <v>32</v>
      </c>
      <c r="C120" s="85" t="s">
        <v>1485</v>
      </c>
      <c r="D120" s="475">
        <f>SUMIF($D$8:$D$115,"A",$F$8:$F$115)</f>
        <v>417</v>
      </c>
      <c r="E120" s="1202">
        <f t="shared" ref="E120:E137" si="0">D120/$J$139</f>
        <v>13.9</v>
      </c>
      <c r="F120" s="1203">
        <f>E120/$E$140</f>
        <v>9.672929714683369E-2</v>
      </c>
      <c r="G120" s="800"/>
      <c r="I120" s="769"/>
      <c r="J120" s="1210"/>
      <c r="K120" s="754"/>
      <c r="M120" s="886"/>
      <c r="O120" s="886"/>
      <c r="P120" s="1210"/>
      <c r="Q120" s="754"/>
      <c r="R120" s="886"/>
      <c r="S120" s="1210"/>
      <c r="T120" s="1038"/>
      <c r="U120" s="1210"/>
      <c r="W120" s="1201"/>
      <c r="X120" s="877"/>
    </row>
    <row r="121" spans="1:28" x14ac:dyDescent="0.25">
      <c r="B121" s="79" t="s">
        <v>2187</v>
      </c>
      <c r="C121" s="85" t="s">
        <v>2157</v>
      </c>
      <c r="D121" s="475">
        <f>SUMIF($D$7:$D$115,"GAC",$F$7:$F$115)</f>
        <v>460</v>
      </c>
      <c r="E121" s="1202">
        <f t="shared" si="0"/>
        <v>15.333333333333334</v>
      </c>
      <c r="F121" s="1203">
        <f>E121/$E$140</f>
        <v>0.10670378102528418</v>
      </c>
      <c r="G121" s="609"/>
      <c r="K121" s="1225"/>
      <c r="M121" s="1210"/>
      <c r="O121" s="1038"/>
      <c r="Q121" s="1225"/>
      <c r="R121" s="1210"/>
      <c r="S121" s="1038"/>
      <c r="T121" s="1038"/>
      <c r="W121" s="877"/>
      <c r="X121" s="877"/>
    </row>
    <row r="122" spans="1:28" x14ac:dyDescent="0.25">
      <c r="B122" s="79" t="s">
        <v>2188</v>
      </c>
      <c r="C122" s="85" t="s">
        <v>2168</v>
      </c>
      <c r="D122" s="475">
        <f>SUMIF($D$22:$D$115,"GAM",$F$22:$F$115)</f>
        <v>0</v>
      </c>
      <c r="E122" s="1202">
        <f t="shared" si="0"/>
        <v>0</v>
      </c>
      <c r="F122" s="1203">
        <f>E122/$E$140</f>
        <v>0</v>
      </c>
      <c r="J122" s="1038"/>
      <c r="K122" s="1225"/>
      <c r="M122" s="1210"/>
      <c r="O122" s="1038"/>
      <c r="Q122" s="1225"/>
      <c r="R122" s="1210"/>
      <c r="S122" s="1038"/>
      <c r="T122" s="1038"/>
      <c r="W122" s="877"/>
      <c r="X122" s="877"/>
    </row>
    <row r="123" spans="1:28" s="85" customFormat="1" x14ac:dyDescent="0.25">
      <c r="A123" s="79"/>
      <c r="B123" s="79" t="s">
        <v>50</v>
      </c>
      <c r="C123" s="85" t="s">
        <v>1493</v>
      </c>
      <c r="D123" s="475">
        <f>SUMIF($D$8:$D$115,"LD",$F$8:$F$115)</f>
        <v>374.8</v>
      </c>
      <c r="E123" s="1202">
        <f t="shared" si="0"/>
        <v>12.493333333333334</v>
      </c>
      <c r="F123" s="1203">
        <f t="shared" ref="F123:F136" si="1">E123/$E$140</f>
        <v>8.6940385061470671E-2</v>
      </c>
      <c r="H123" s="1038"/>
      <c r="J123" s="864"/>
      <c r="K123" s="877"/>
      <c r="M123" s="941"/>
      <c r="O123" s="863"/>
      <c r="Q123" s="877"/>
      <c r="S123" s="79"/>
      <c r="T123" s="177"/>
      <c r="W123" s="877"/>
      <c r="X123" s="877"/>
    </row>
    <row r="124" spans="1:28" s="85" customFormat="1" x14ac:dyDescent="0.25">
      <c r="A124" s="79"/>
      <c r="B124" s="79" t="s">
        <v>14</v>
      </c>
      <c r="C124" s="85" t="s">
        <v>1486</v>
      </c>
      <c r="D124" s="475">
        <f>SUMIF($D$8:$D$115,"C",$F$8:$F$115)</f>
        <v>150.19999999999999</v>
      </c>
      <c r="E124" s="1202">
        <f t="shared" si="0"/>
        <v>5.0066666666666659</v>
      </c>
      <c r="F124" s="1203">
        <f t="shared" si="1"/>
        <v>3.4841104152168866E-2</v>
      </c>
      <c r="G124" s="79"/>
      <c r="H124" s="79"/>
      <c r="J124" s="1038"/>
      <c r="K124" s="877"/>
      <c r="M124" s="877"/>
      <c r="O124" s="1038"/>
      <c r="Q124" s="877"/>
      <c r="T124" s="177"/>
      <c r="W124" s="877"/>
      <c r="X124" s="877"/>
    </row>
    <row r="125" spans="1:28" s="85" customFormat="1" x14ac:dyDescent="0.25">
      <c r="B125" s="79" t="s">
        <v>51</v>
      </c>
      <c r="C125" s="864" t="s">
        <v>1499</v>
      </c>
      <c r="D125" s="475">
        <f>SUMIF($D$22:$D$115,"CAL",$F$22:$F$115)</f>
        <v>33.79</v>
      </c>
      <c r="E125" s="1202">
        <f t="shared" si="0"/>
        <v>1.1263333333333334</v>
      </c>
      <c r="F125" s="1203">
        <f t="shared" si="1"/>
        <v>7.8380886105312002E-3</v>
      </c>
      <c r="G125" s="79"/>
      <c r="H125" s="79"/>
      <c r="I125" s="79"/>
      <c r="J125" s="1038"/>
      <c r="K125" s="877"/>
      <c r="M125" s="877"/>
      <c r="O125" s="1038"/>
      <c r="Q125" s="877"/>
      <c r="R125" s="1210"/>
      <c r="S125" s="1038"/>
      <c r="T125" s="177"/>
      <c r="W125" s="877"/>
      <c r="X125" s="877"/>
    </row>
    <row r="126" spans="1:28" s="85" customFormat="1" x14ac:dyDescent="0.25">
      <c r="A126" s="79"/>
      <c r="B126" s="79" t="s">
        <v>2189</v>
      </c>
      <c r="C126" s="864" t="s">
        <v>1496</v>
      </c>
      <c r="D126" s="475">
        <f>SUMIF($D$19:$D$115,"AC",$F$19:$F$115)</f>
        <v>216.24</v>
      </c>
      <c r="E126" s="1202">
        <f t="shared" si="0"/>
        <v>7.2080000000000002</v>
      </c>
      <c r="F126" s="1203">
        <f t="shared" si="1"/>
        <v>5.0160055671537931E-2</v>
      </c>
      <c r="G126" s="79"/>
      <c r="J126" s="1038"/>
      <c r="K126" s="877"/>
      <c r="M126" s="877"/>
      <c r="O126" s="177"/>
      <c r="Q126" s="877"/>
      <c r="T126" s="177"/>
      <c r="W126" s="877"/>
      <c r="X126" s="877"/>
    </row>
    <row r="127" spans="1:28" s="85" customFormat="1" x14ac:dyDescent="0.25">
      <c r="A127" s="79"/>
      <c r="B127" s="867" t="s">
        <v>53</v>
      </c>
      <c r="C127" s="864" t="s">
        <v>1522</v>
      </c>
      <c r="D127" s="475">
        <f>SUMIF($D$19:$D$115,"DC",$F$19:$F$115)</f>
        <v>289.33266666666668</v>
      </c>
      <c r="E127" s="1202">
        <f t="shared" si="0"/>
        <v>9.6444222222222233</v>
      </c>
      <c r="F127" s="1203">
        <f t="shared" si="1"/>
        <v>6.7114977190133776E-2</v>
      </c>
      <c r="J127" s="79"/>
      <c r="K127" s="877"/>
      <c r="M127" s="877"/>
      <c r="O127" s="177"/>
      <c r="Q127" s="769"/>
      <c r="R127" s="868"/>
      <c r="S127" s="769"/>
      <c r="T127" s="79"/>
      <c r="W127" s="877"/>
      <c r="X127" s="877"/>
    </row>
    <row r="128" spans="1:28" s="85" customFormat="1" x14ac:dyDescent="0.25">
      <c r="A128" s="79"/>
      <c r="B128" s="867" t="s">
        <v>2149</v>
      </c>
      <c r="C128" s="864" t="s">
        <v>2131</v>
      </c>
      <c r="D128" s="475">
        <f>SUMIF($D$6:$D$115,"DM",$F$6:$F$115)</f>
        <v>0</v>
      </c>
      <c r="E128" s="1202">
        <f t="shared" si="0"/>
        <v>0</v>
      </c>
      <c r="F128" s="1203">
        <f t="shared" si="1"/>
        <v>0</v>
      </c>
      <c r="K128" s="877"/>
      <c r="M128" s="877"/>
      <c r="O128" s="177"/>
      <c r="W128" s="877"/>
      <c r="X128" s="877"/>
    </row>
    <row r="129" spans="1:26" s="85" customFormat="1" x14ac:dyDescent="0.25">
      <c r="A129" s="79"/>
      <c r="B129" s="79" t="s">
        <v>3048</v>
      </c>
      <c r="C129" s="864" t="s">
        <v>1523</v>
      </c>
      <c r="D129" s="475">
        <f ca="1">SUMIF($D$8:$D$116,"B",$F$8:$F$115)</f>
        <v>44</v>
      </c>
      <c r="E129" s="1202">
        <f t="shared" ca="1" si="0"/>
        <v>1.4666666666666666</v>
      </c>
      <c r="F129" s="1203">
        <f t="shared" ca="1" si="1"/>
        <v>1.0206448619809788E-2</v>
      </c>
      <c r="G129" s="866"/>
      <c r="J129" s="1038"/>
      <c r="K129" s="877"/>
      <c r="M129" s="877"/>
      <c r="O129" s="177"/>
      <c r="R129" s="866"/>
      <c r="S129" s="1210"/>
      <c r="T129" s="877"/>
      <c r="W129" s="877"/>
      <c r="X129" s="877"/>
    </row>
    <row r="130" spans="1:26" s="85" customFormat="1" x14ac:dyDescent="0.25">
      <c r="A130" s="79"/>
      <c r="B130" s="79" t="s">
        <v>1686</v>
      </c>
      <c r="C130" s="864" t="s">
        <v>1506</v>
      </c>
      <c r="D130" s="475">
        <f>SUMIF($D$19:$D$115,"R",$F$19:$F$115)</f>
        <v>82</v>
      </c>
      <c r="E130" s="1202">
        <f t="shared" si="0"/>
        <v>2.7333333333333334</v>
      </c>
      <c r="F130" s="1203">
        <f t="shared" si="1"/>
        <v>1.9021108791463699E-2</v>
      </c>
      <c r="G130" s="868"/>
      <c r="K130" s="877"/>
      <c r="M130" s="877"/>
      <c r="O130" s="177"/>
      <c r="Q130" s="1038"/>
      <c r="R130" s="1226"/>
      <c r="S130" s="1129"/>
      <c r="T130" s="877"/>
      <c r="W130" s="877"/>
      <c r="X130" s="877"/>
    </row>
    <row r="131" spans="1:26" x14ac:dyDescent="0.25">
      <c r="B131" s="79" t="s">
        <v>418</v>
      </c>
      <c r="C131" s="85" t="s">
        <v>1524</v>
      </c>
      <c r="D131" s="475">
        <f>SUMIF($D$8:$D$115,"COM",$F$8:$F$115)</f>
        <v>9.5</v>
      </c>
      <c r="E131" s="1202">
        <f t="shared" si="0"/>
        <v>0.31666666666666665</v>
      </c>
      <c r="F131" s="1203">
        <f>E131/$E$140</f>
        <v>2.2036650429134771E-3</v>
      </c>
      <c r="G131" s="85"/>
      <c r="H131" s="85"/>
      <c r="I131" s="85"/>
      <c r="J131" s="769"/>
      <c r="K131" s="1225"/>
      <c r="L131" s="769"/>
      <c r="M131" s="877"/>
      <c r="N131" s="769"/>
      <c r="O131" s="216"/>
      <c r="Q131" s="1210"/>
      <c r="R131" s="1038"/>
      <c r="S131" s="1226"/>
      <c r="T131" s="877"/>
      <c r="W131" s="877"/>
      <c r="X131" s="877"/>
    </row>
    <row r="132" spans="1:26" x14ac:dyDescent="0.25">
      <c r="B132" s="79" t="s">
        <v>419</v>
      </c>
      <c r="C132" s="85" t="s">
        <v>1491</v>
      </c>
      <c r="D132" s="475">
        <f>SUMIF($D$19:$D$115,"F",$F$19:$F$115)</f>
        <v>800</v>
      </c>
      <c r="E132" s="1202">
        <f t="shared" si="0"/>
        <v>26.666666666666668</v>
      </c>
      <c r="F132" s="1203">
        <f>E132/$E$140</f>
        <v>0.18557179308745073</v>
      </c>
      <c r="I132" s="85"/>
      <c r="M132" s="1123"/>
      <c r="O132" s="216"/>
      <c r="S132" s="484"/>
      <c r="T132" s="877"/>
      <c r="W132" s="877"/>
      <c r="X132" s="877"/>
    </row>
    <row r="133" spans="1:26" x14ac:dyDescent="0.25">
      <c r="B133" s="79" t="s">
        <v>911</v>
      </c>
      <c r="C133" s="85" t="s">
        <v>1525</v>
      </c>
      <c r="D133" s="475">
        <f>SUMIF($D$22:$D$115,"FER",$F$22:$F$115)</f>
        <v>454.4</v>
      </c>
      <c r="E133" s="1202">
        <f t="shared" si="0"/>
        <v>15.146666666666667</v>
      </c>
      <c r="F133" s="1203">
        <f t="shared" si="1"/>
        <v>0.10540477847367201</v>
      </c>
      <c r="O133" s="216"/>
      <c r="S133" s="484"/>
      <c r="T133" s="1673"/>
      <c r="W133" s="877"/>
      <c r="X133" s="877"/>
    </row>
    <row r="134" spans="1:26" x14ac:dyDescent="0.25">
      <c r="B134" s="79" t="s">
        <v>1526</v>
      </c>
      <c r="C134" s="85" t="s">
        <v>1504</v>
      </c>
      <c r="D134" s="475">
        <f>SUMIF($D$22:$D$115,"I",$F$22:$F$115)</f>
        <v>157.9</v>
      </c>
      <c r="E134" s="1202">
        <f t="shared" si="0"/>
        <v>5.2633333333333336</v>
      </c>
      <c r="F134" s="1203">
        <f t="shared" si="1"/>
        <v>3.6627232660635591E-2</v>
      </c>
      <c r="J134" s="769"/>
      <c r="K134" s="868"/>
      <c r="L134" s="769"/>
      <c r="N134" s="769"/>
      <c r="O134" s="868"/>
      <c r="P134" s="1210"/>
      <c r="Q134" s="1038"/>
      <c r="R134" s="1210"/>
      <c r="S134" s="1038"/>
      <c r="T134" s="1129"/>
      <c r="V134" s="1129"/>
      <c r="W134" s="877"/>
      <c r="X134" s="877"/>
    </row>
    <row r="135" spans="1:26" x14ac:dyDescent="0.25">
      <c r="B135" s="79" t="s">
        <v>2343</v>
      </c>
      <c r="C135" s="85" t="s">
        <v>2315</v>
      </c>
      <c r="D135" s="475">
        <f>SUMIF($D$22:$D$115,"E",$F$22:$F$115)</f>
        <v>0</v>
      </c>
      <c r="E135" s="1202">
        <f t="shared" si="0"/>
        <v>0</v>
      </c>
      <c r="F135" s="1203">
        <f t="shared" si="1"/>
        <v>0</v>
      </c>
      <c r="J135" s="769"/>
      <c r="K135" s="868"/>
      <c r="L135" s="769"/>
      <c r="M135" s="1225" t="s">
        <v>3802</v>
      </c>
      <c r="N135" s="866">
        <v>22</v>
      </c>
      <c r="O135" s="1038" t="s">
        <v>3803</v>
      </c>
      <c r="P135" s="1210"/>
      <c r="Q135" s="1038"/>
      <c r="R135" s="1210"/>
      <c r="S135" s="1038"/>
      <c r="T135" s="1129"/>
      <c r="V135" s="1129"/>
      <c r="W135" s="877"/>
      <c r="X135" s="877"/>
    </row>
    <row r="136" spans="1:26" x14ac:dyDescent="0.25">
      <c r="B136" s="79" t="s">
        <v>3019</v>
      </c>
      <c r="C136" s="85" t="s">
        <v>3017</v>
      </c>
      <c r="D136" s="475">
        <f>SUMIF($D$6:$D$115,"IM",$F$6:$F$115)</f>
        <v>567.03</v>
      </c>
      <c r="E136" s="1202">
        <f t="shared" si="0"/>
        <v>18.901</v>
      </c>
      <c r="F136" s="1203">
        <f t="shared" si="1"/>
        <v>0.13153096729297148</v>
      </c>
      <c r="J136" s="769"/>
      <c r="L136" s="769"/>
      <c r="M136" s="1897" t="s">
        <v>3804</v>
      </c>
      <c r="N136" s="1865">
        <v>22</v>
      </c>
      <c r="O136" s="1897" t="s">
        <v>3803</v>
      </c>
      <c r="P136" s="941"/>
      <c r="Q136" s="224"/>
      <c r="R136" s="941"/>
      <c r="S136" s="224"/>
      <c r="T136" s="1226"/>
      <c r="U136" s="1129"/>
      <c r="V136" s="1129"/>
      <c r="W136" s="877"/>
      <c r="X136" s="877"/>
    </row>
    <row r="137" spans="1:26" x14ac:dyDescent="0.25">
      <c r="B137" s="79" t="s">
        <v>1527</v>
      </c>
      <c r="C137" s="85" t="s">
        <v>1489</v>
      </c>
      <c r="D137" s="475">
        <f>SUMIF($D$7:$D$115,"OD",$F$7:$F$115)</f>
        <v>237.18</v>
      </c>
      <c r="E137" s="1202">
        <f t="shared" si="0"/>
        <v>7.9060000000000006</v>
      </c>
      <c r="F137" s="1203">
        <f>E137/$E$140</f>
        <v>5.501739735560196E-2</v>
      </c>
      <c r="M137" s="1897" t="s">
        <v>3805</v>
      </c>
      <c r="N137" s="1865">
        <v>22</v>
      </c>
      <c r="O137" s="1897" t="s">
        <v>3803</v>
      </c>
      <c r="P137" s="1210"/>
      <c r="Q137" s="1038"/>
      <c r="R137" s="1210"/>
      <c r="S137" s="1038"/>
      <c r="T137" s="1226"/>
      <c r="U137" s="1129"/>
      <c r="V137" s="1129"/>
      <c r="W137" s="877"/>
      <c r="X137" s="877"/>
    </row>
    <row r="138" spans="1:26" x14ac:dyDescent="0.25">
      <c r="C138" s="79"/>
      <c r="E138" s="79"/>
      <c r="F138" s="79"/>
      <c r="M138" s="1897" t="s">
        <v>3806</v>
      </c>
      <c r="N138" s="1865">
        <v>22</v>
      </c>
      <c r="O138" s="877" t="s">
        <v>3803</v>
      </c>
      <c r="P138" s="1210"/>
      <c r="Q138" s="1038"/>
      <c r="R138" s="1210"/>
      <c r="S138" s="1038"/>
      <c r="T138" s="1227"/>
      <c r="U138" s="1129"/>
      <c r="V138" s="1129"/>
      <c r="W138" s="877"/>
      <c r="X138" s="877"/>
    </row>
    <row r="139" spans="1:26" x14ac:dyDescent="0.25">
      <c r="C139" s="3168" t="s">
        <v>486</v>
      </c>
      <c r="D139" s="3168"/>
      <c r="E139" s="863">
        <f ca="1">I139/J139</f>
        <v>143.11242222222225</v>
      </c>
      <c r="G139" s="518" t="s">
        <v>487</v>
      </c>
      <c r="I139" s="629">
        <f ca="1">SUM(D120:D137)</f>
        <v>4293.3726666666671</v>
      </c>
      <c r="J139" s="1517">
        <v>30</v>
      </c>
      <c r="L139" s="216"/>
      <c r="M139" s="1897" t="s">
        <v>3807</v>
      </c>
      <c r="N139" s="1865">
        <v>22</v>
      </c>
      <c r="O139" s="1898" t="s">
        <v>3803</v>
      </c>
      <c r="P139" s="1210"/>
      <c r="Q139" s="1038"/>
      <c r="R139" s="1210"/>
      <c r="S139" s="1038"/>
      <c r="T139" s="1226"/>
      <c r="U139" s="1129"/>
      <c r="V139" s="1129"/>
      <c r="W139" s="877"/>
      <c r="X139" s="877"/>
    </row>
    <row r="140" spans="1:26" ht="15.75" customHeight="1" x14ac:dyDescent="0.25">
      <c r="B140" s="3167" t="s">
        <v>3725</v>
      </c>
      <c r="C140" s="3167"/>
      <c r="D140" s="3167"/>
      <c r="E140" s="1125">
        <v>143.69999999999999</v>
      </c>
      <c r="H140" s="85"/>
      <c r="K140" s="868"/>
      <c r="M140" s="1899" t="s">
        <v>3808</v>
      </c>
      <c r="N140" s="1865">
        <v>22</v>
      </c>
      <c r="O140" s="1899" t="s">
        <v>3803</v>
      </c>
      <c r="P140" s="1210"/>
      <c r="Q140" s="1038"/>
      <c r="R140" s="1210"/>
      <c r="S140" s="1038"/>
      <c r="T140" s="1226"/>
      <c r="U140" s="1129"/>
      <c r="V140" s="1129"/>
      <c r="W140" s="877"/>
      <c r="X140" s="877"/>
    </row>
    <row r="141" spans="1:26" x14ac:dyDescent="0.25">
      <c r="A141" s="518"/>
      <c r="C141" s="79"/>
      <c r="D141" s="79"/>
      <c r="E141" s="769"/>
      <c r="F141" s="866"/>
      <c r="G141" s="769"/>
      <c r="H141" s="866"/>
      <c r="I141" s="1210"/>
      <c r="J141" s="89"/>
      <c r="L141" s="1038"/>
      <c r="M141" s="1117" t="s">
        <v>3809</v>
      </c>
      <c r="N141" s="769">
        <v>22</v>
      </c>
      <c r="O141" s="1210"/>
      <c r="P141" s="1210"/>
      <c r="Q141" s="1038"/>
      <c r="R141" s="1210"/>
      <c r="S141" s="1038"/>
      <c r="T141" s="769"/>
      <c r="U141" s="484" t="s">
        <v>280</v>
      </c>
      <c r="V141" s="216"/>
      <c r="W141" s="866"/>
      <c r="X141" s="484"/>
      <c r="Z141" s="877"/>
    </row>
    <row r="142" spans="1:26" s="518" customFormat="1" x14ac:dyDescent="0.25">
      <c r="A142" s="79"/>
      <c r="B142" s="79"/>
      <c r="C142" s="79"/>
      <c r="D142" s="79"/>
      <c r="E142" s="1126">
        <f ca="1">E140-E139</f>
        <v>0.58757777777773867</v>
      </c>
      <c r="F142" s="1205">
        <f ca="1">SUM(F120:F141)</f>
        <v>0.99591108018247898</v>
      </c>
      <c r="G142" s="85"/>
      <c r="H142" s="85"/>
      <c r="I142" s="89"/>
      <c r="J142" s="79"/>
      <c r="K142" s="79"/>
      <c r="L142" s="79"/>
      <c r="M142" s="986" t="s">
        <v>3810</v>
      </c>
      <c r="N142" s="769">
        <v>22</v>
      </c>
      <c r="O142" s="79"/>
      <c r="P142" s="1210"/>
      <c r="Q142" s="1038"/>
      <c r="R142" s="1210"/>
      <c r="S142" s="1038"/>
      <c r="T142" s="79"/>
      <c r="U142" s="79"/>
      <c r="V142" s="866"/>
      <c r="W142" s="484"/>
      <c r="X142" s="79"/>
      <c r="Y142" s="877"/>
      <c r="Z142" s="79"/>
    </row>
    <row r="143" spans="1:26" s="518" customFormat="1" x14ac:dyDescent="0.25">
      <c r="A143" s="79"/>
      <c r="B143" s="79"/>
      <c r="C143" s="85"/>
      <c r="D143" s="85"/>
      <c r="E143" s="85"/>
      <c r="N143" s="629">
        <f>SUM(N135:N142)</f>
        <v>176</v>
      </c>
      <c r="S143" s="1038"/>
      <c r="T143" s="484"/>
      <c r="U143" s="79"/>
      <c r="V143" s="877"/>
      <c r="W143" s="79"/>
    </row>
    <row r="144" spans="1:26" s="518" customFormat="1" x14ac:dyDescent="0.25">
      <c r="A144" s="79"/>
      <c r="B144" s="79"/>
      <c r="C144" s="85"/>
      <c r="D144" s="629"/>
      <c r="E144" s="85"/>
      <c r="F144" s="89"/>
      <c r="G144" s="79"/>
      <c r="H144" s="79"/>
      <c r="I144" s="79"/>
      <c r="J144" s="769"/>
      <c r="K144" s="866"/>
      <c r="L144" s="769"/>
      <c r="M144" s="866"/>
      <c r="N144" s="769"/>
      <c r="O144" s="866"/>
      <c r="P144" s="1210"/>
      <c r="Q144" s="1038"/>
      <c r="R144" s="1210"/>
      <c r="S144" s="1038"/>
      <c r="T144" s="484"/>
      <c r="U144" s="79"/>
      <c r="V144" s="877"/>
      <c r="W144" s="79"/>
    </row>
    <row r="145" spans="1:23" s="518" customFormat="1" x14ac:dyDescent="0.25">
      <c r="A145" s="79"/>
      <c r="B145" s="79"/>
      <c r="C145" s="85"/>
      <c r="D145" s="85"/>
      <c r="E145" s="85"/>
      <c r="F145" s="89"/>
      <c r="G145" s="79"/>
      <c r="H145" s="79"/>
      <c r="I145" s="216"/>
      <c r="J145" s="769"/>
      <c r="K145" s="866"/>
      <c r="L145" s="769"/>
      <c r="M145" s="866"/>
      <c r="N145" s="769"/>
      <c r="O145" s="866"/>
      <c r="P145" s="1210"/>
      <c r="Q145" s="1038"/>
      <c r="R145" s="1210"/>
      <c r="S145" s="1038"/>
      <c r="T145" s="484"/>
      <c r="U145" s="79"/>
      <c r="V145" s="877"/>
      <c r="W145" s="79"/>
    </row>
    <row r="146" spans="1:23" s="518" customFormat="1" x14ac:dyDescent="0.25">
      <c r="A146" s="79"/>
      <c r="B146" s="79"/>
      <c r="C146" s="79"/>
      <c r="D146" s="79"/>
      <c r="E146" s="79"/>
      <c r="F146" s="79"/>
      <c r="G146" s="79"/>
      <c r="H146" s="79"/>
      <c r="K146" s="866"/>
      <c r="M146" s="866"/>
      <c r="O146" s="866"/>
      <c r="P146" s="1210"/>
      <c r="Q146" s="1038"/>
      <c r="R146" s="1210"/>
      <c r="S146" s="1038"/>
      <c r="T146" s="484"/>
      <c r="U146" s="79"/>
      <c r="V146" s="877"/>
      <c r="W146" s="79"/>
    </row>
    <row r="147" spans="1:23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216"/>
      <c r="J147" s="769"/>
      <c r="K147" s="866"/>
      <c r="L147" s="769"/>
      <c r="M147" s="866"/>
      <c r="N147" s="769"/>
      <c r="O147" s="866"/>
      <c r="P147" s="1210"/>
      <c r="Q147" s="1038"/>
      <c r="R147" s="1210"/>
      <c r="S147" s="1038"/>
      <c r="T147" s="484"/>
      <c r="U147" s="79"/>
      <c r="V147" s="877"/>
      <c r="W147" s="79"/>
    </row>
    <row r="148" spans="1:23" s="518" customFormat="1" x14ac:dyDescent="0.25">
      <c r="A148" s="79"/>
      <c r="B148" s="79"/>
      <c r="C148" s="79"/>
      <c r="D148" s="79"/>
      <c r="E148" s="79"/>
      <c r="F148" s="79"/>
      <c r="G148" s="216"/>
      <c r="H148" s="79"/>
      <c r="I148" s="216"/>
      <c r="J148" s="769"/>
      <c r="K148" s="868"/>
      <c r="L148" s="769"/>
      <c r="M148" s="868"/>
      <c r="N148" s="769"/>
      <c r="O148" s="868"/>
      <c r="P148" s="1210"/>
      <c r="Q148" s="1038"/>
      <c r="R148" s="1210"/>
      <c r="S148" s="1038"/>
      <c r="T148" s="484"/>
      <c r="U148" s="79"/>
      <c r="V148" s="877"/>
      <c r="W148" s="79"/>
    </row>
    <row r="149" spans="1:23" s="518" customFormat="1" x14ac:dyDescent="0.25">
      <c r="A149" s="79"/>
      <c r="B149" s="79"/>
      <c r="C149" s="79"/>
      <c r="D149" s="79"/>
      <c r="E149" s="79"/>
      <c r="F149" s="79"/>
      <c r="G149" s="216"/>
      <c r="H149" s="79"/>
      <c r="I149" s="216"/>
      <c r="J149" s="769"/>
      <c r="K149" s="866"/>
      <c r="L149" s="769"/>
      <c r="M149" s="866"/>
      <c r="N149" s="769"/>
      <c r="O149" s="866"/>
      <c r="P149" s="1210"/>
      <c r="Q149" s="1038"/>
      <c r="R149" s="1210"/>
      <c r="S149" s="1038"/>
      <c r="T149" s="484"/>
      <c r="U149" s="79"/>
      <c r="V149" s="877"/>
      <c r="W149" s="79"/>
    </row>
    <row r="150" spans="1:23" s="518" customFormat="1" x14ac:dyDescent="0.25">
      <c r="A150" s="79"/>
      <c r="B150" s="79"/>
      <c r="C150" s="79"/>
      <c r="D150" s="79"/>
      <c r="E150" s="79"/>
      <c r="F150" s="79"/>
      <c r="G150" s="216"/>
      <c r="H150" s="79"/>
      <c r="I150" s="79"/>
      <c r="J150" s="770"/>
      <c r="K150" s="866"/>
      <c r="L150" s="770"/>
      <c r="M150" s="866"/>
      <c r="N150" s="770"/>
      <c r="O150" s="866"/>
      <c r="P150" s="1210"/>
      <c r="Q150" s="1038"/>
      <c r="R150" s="1210"/>
      <c r="S150" s="1038"/>
      <c r="T150" s="484"/>
      <c r="U150" s="79"/>
      <c r="V150" s="877"/>
      <c r="W150" s="79"/>
    </row>
    <row r="151" spans="1:23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8"/>
      <c r="L151" s="769"/>
      <c r="M151" s="868"/>
      <c r="N151" s="769"/>
      <c r="O151" s="868"/>
      <c r="P151" s="1210"/>
      <c r="Q151" s="1038"/>
      <c r="R151" s="1210"/>
      <c r="S151" s="1038"/>
      <c r="T151" s="484"/>
      <c r="U151" s="79"/>
      <c r="V151" s="877"/>
      <c r="W151" s="79"/>
    </row>
    <row r="152" spans="1:23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769"/>
      <c r="O152" s="866"/>
      <c r="P152" s="1210"/>
      <c r="Q152" s="1038"/>
      <c r="R152" s="1210"/>
      <c r="S152" s="1038"/>
      <c r="T152" s="484"/>
      <c r="U152" s="79"/>
      <c r="V152" s="877"/>
      <c r="W152" s="79"/>
    </row>
    <row r="153" spans="1:23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629"/>
      <c r="J153" s="769"/>
      <c r="K153" s="866"/>
      <c r="L153" s="769"/>
      <c r="M153" s="866"/>
      <c r="N153" s="769"/>
      <c r="O153" s="866"/>
      <c r="P153" s="1210"/>
      <c r="Q153" s="1038"/>
      <c r="R153" s="1210"/>
      <c r="S153" s="1038"/>
      <c r="T153" s="484"/>
      <c r="U153" s="79"/>
      <c r="V153" s="877"/>
      <c r="W153" s="79"/>
    </row>
    <row r="154" spans="1:23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6"/>
      <c r="L154" s="769"/>
      <c r="M154" s="866"/>
      <c r="N154" s="769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3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1210"/>
      <c r="Q155" s="1038"/>
      <c r="R155" s="1210"/>
      <c r="S155" s="1038"/>
      <c r="T155" s="484"/>
      <c r="U155" s="79"/>
      <c r="V155" s="877"/>
      <c r="W155" s="79"/>
    </row>
    <row r="156" spans="1:23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769"/>
      <c r="O156" s="866"/>
      <c r="P156" s="1210"/>
      <c r="Q156" s="1038"/>
      <c r="R156" s="1210"/>
      <c r="S156" s="1038"/>
      <c r="T156" s="484"/>
      <c r="U156" s="79"/>
      <c r="V156" s="877"/>
      <c r="W156" s="79"/>
    </row>
    <row r="157" spans="1:23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3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1210"/>
      <c r="S158" s="1038"/>
      <c r="T158" s="484"/>
      <c r="U158" s="79"/>
      <c r="V158" s="877"/>
      <c r="W158" s="79"/>
    </row>
    <row r="159" spans="1:23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769"/>
      <c r="M159" s="866"/>
      <c r="N159" s="769"/>
      <c r="O159" s="866"/>
      <c r="P159" s="1210"/>
      <c r="Q159" s="1038"/>
      <c r="R159" s="1210"/>
      <c r="S159" s="1038"/>
      <c r="T159" s="484"/>
      <c r="U159" s="79"/>
      <c r="V159" s="877"/>
      <c r="W159" s="79"/>
    </row>
    <row r="160" spans="1:23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6"/>
      <c r="L160" s="769"/>
      <c r="M160" s="866"/>
      <c r="N160" s="769"/>
      <c r="O160" s="866"/>
      <c r="P160" s="1210"/>
      <c r="Q160" s="1038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6"/>
      <c r="L161" s="769"/>
      <c r="M161" s="866"/>
      <c r="N161" s="769"/>
      <c r="O161" s="866"/>
      <c r="T161" s="484"/>
      <c r="U161" s="79"/>
      <c r="V161" s="877"/>
      <c r="W161" s="79"/>
    </row>
    <row r="162" spans="1:23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769"/>
      <c r="O162" s="866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769"/>
      <c r="M163" s="868"/>
      <c r="N163" s="769"/>
      <c r="O163" s="868"/>
      <c r="P163" s="79"/>
      <c r="Q163" s="79"/>
      <c r="R163" s="79"/>
      <c r="S163" s="79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8"/>
      <c r="L164" s="769"/>
      <c r="M164" s="868"/>
      <c r="N164" s="769"/>
      <c r="O164" s="868"/>
      <c r="P164" s="81"/>
      <c r="Q164" s="755"/>
      <c r="R164" s="81"/>
      <c r="S164" s="755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8"/>
      <c r="L165" s="769"/>
      <c r="M165" s="868"/>
      <c r="N165" s="769"/>
      <c r="O165" s="868"/>
      <c r="P165" s="868"/>
      <c r="Q165" s="79"/>
      <c r="R165" s="868"/>
      <c r="S165" s="79"/>
      <c r="T165" s="484"/>
      <c r="U165" s="79"/>
      <c r="V165" s="877"/>
      <c r="W165" s="79"/>
    </row>
    <row r="166" spans="1:23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69"/>
      <c r="O166" s="868"/>
      <c r="P166" s="754"/>
      <c r="Q166" s="886"/>
      <c r="R166" s="754"/>
      <c r="S166" s="886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864"/>
      <c r="Q167" s="864"/>
      <c r="R167" s="864"/>
      <c r="S167" s="864"/>
      <c r="T167" s="484"/>
      <c r="U167" s="79"/>
      <c r="V167" s="877"/>
      <c r="W167" s="79"/>
    </row>
    <row r="168" spans="1:23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769"/>
      <c r="O168" s="866"/>
      <c r="P168" s="864"/>
      <c r="Q168" s="1032"/>
      <c r="R168" s="864"/>
      <c r="S168" s="1032"/>
      <c r="T168" s="484"/>
      <c r="U168" s="79"/>
      <c r="V168" s="877"/>
      <c r="W168" s="79"/>
    </row>
    <row r="169" spans="1:23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769"/>
      <c r="O169" s="866"/>
      <c r="P169" s="864"/>
      <c r="Q169" s="1032"/>
      <c r="R169" s="864"/>
      <c r="S169" s="1032"/>
      <c r="T169" s="484"/>
      <c r="U169" s="79"/>
      <c r="V169" s="877"/>
      <c r="W169" s="79"/>
    </row>
    <row r="170" spans="1:23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8"/>
      <c r="L170" s="769"/>
      <c r="M170" s="868"/>
      <c r="N170" s="769"/>
      <c r="O170" s="868"/>
      <c r="P170" s="85"/>
      <c r="Q170" s="795"/>
      <c r="R170" s="85"/>
      <c r="S170" s="795"/>
      <c r="T170" s="484"/>
      <c r="U170" s="79"/>
      <c r="V170" s="877"/>
      <c r="W170" s="79"/>
    </row>
    <row r="171" spans="1:23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769"/>
      <c r="O171" s="866"/>
      <c r="P171" s="85"/>
      <c r="Q171" s="177"/>
      <c r="R171" s="85"/>
      <c r="S171" s="177"/>
      <c r="T171" s="484"/>
      <c r="U171" s="79"/>
      <c r="V171" s="877"/>
      <c r="W171" s="79"/>
    </row>
    <row r="172" spans="1:23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85"/>
      <c r="Q172" s="177"/>
      <c r="R172" s="85"/>
      <c r="S172" s="177"/>
      <c r="T172" s="484"/>
      <c r="U172" s="79"/>
      <c r="V172" s="877"/>
      <c r="W172" s="79"/>
    </row>
    <row r="173" spans="1:23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69"/>
      <c r="K173" s="868"/>
      <c r="L173" s="769"/>
      <c r="M173" s="868"/>
      <c r="N173" s="769"/>
      <c r="O173" s="868"/>
      <c r="P173" s="85"/>
      <c r="Q173" s="177" t="s">
        <v>280</v>
      </c>
      <c r="R173" s="85"/>
      <c r="S173" s="177" t="s">
        <v>280</v>
      </c>
      <c r="T173" s="484"/>
      <c r="U173" s="79"/>
      <c r="V173" s="877"/>
      <c r="W173" s="79"/>
    </row>
    <row r="174" spans="1:23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69"/>
      <c r="K174" s="868"/>
      <c r="L174" s="769"/>
      <c r="M174" s="868"/>
      <c r="N174" s="769"/>
      <c r="O174" s="868"/>
      <c r="P174" s="85"/>
      <c r="Q174" s="177"/>
      <c r="R174" s="85"/>
      <c r="S174" s="177"/>
      <c r="T174" s="484"/>
      <c r="U174" s="79"/>
      <c r="V174" s="877"/>
      <c r="W174" s="79"/>
    </row>
    <row r="175" spans="1:23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69"/>
      <c r="K175" s="868"/>
      <c r="L175" s="769"/>
      <c r="M175" s="868"/>
      <c r="N175" s="769"/>
      <c r="O175" s="868"/>
      <c r="P175" s="85"/>
      <c r="Q175" s="866"/>
      <c r="R175" s="85"/>
      <c r="S175" s="866"/>
      <c r="T175" s="484"/>
      <c r="U175" s="79"/>
      <c r="V175" s="877"/>
      <c r="W175" s="79"/>
    </row>
    <row r="176" spans="1:23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769"/>
      <c r="O176" s="868"/>
      <c r="P176" s="769"/>
      <c r="Q176" s="216"/>
      <c r="R176" s="769"/>
      <c r="S176" s="216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6"/>
      <c r="L177" s="769"/>
      <c r="M177" s="866"/>
      <c r="N177" s="769"/>
      <c r="O177" s="866"/>
      <c r="P177" s="79"/>
      <c r="Q177" s="216"/>
      <c r="R177" s="79"/>
      <c r="S177" s="216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223"/>
      <c r="K178" s="629"/>
      <c r="L178" s="223"/>
      <c r="M178" s="629"/>
      <c r="N178" s="223"/>
      <c r="O178" s="629"/>
      <c r="P178" s="769"/>
      <c r="Q178" s="868"/>
      <c r="R178" s="769"/>
      <c r="S178" s="86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56"/>
      <c r="K179" s="756"/>
      <c r="L179" s="756"/>
      <c r="M179" s="756"/>
      <c r="N179" s="756"/>
      <c r="O179" s="756"/>
      <c r="P179" s="769"/>
      <c r="Q179" s="868"/>
      <c r="R179" s="769"/>
      <c r="S179" s="86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69"/>
      <c r="Q180" s="868"/>
      <c r="R180" s="769"/>
      <c r="S180" s="86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69"/>
      <c r="Q181" s="79"/>
      <c r="R181" s="769"/>
      <c r="S181" s="79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85"/>
      <c r="K184" s="85"/>
      <c r="L184" s="85"/>
      <c r="M184" s="85"/>
      <c r="N184" s="85"/>
      <c r="O184" s="85"/>
      <c r="P184" s="1517"/>
      <c r="Q184" s="79"/>
      <c r="R184" s="1517"/>
      <c r="S184" s="79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868"/>
      <c r="R185" s="79"/>
      <c r="S185" s="86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89"/>
      <c r="Q186" s="79"/>
      <c r="R186" s="89"/>
      <c r="S186" s="79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69"/>
      <c r="Q188" s="866"/>
      <c r="R188" s="769"/>
      <c r="S188" s="866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69"/>
      <c r="Q189" s="866"/>
      <c r="R189" s="769"/>
      <c r="S189" s="866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69"/>
      <c r="Q190" s="866"/>
      <c r="R190" s="769"/>
      <c r="S190" s="866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85"/>
      <c r="K191" s="85"/>
      <c r="L191" s="85"/>
      <c r="M191" s="85"/>
      <c r="N191" s="85"/>
      <c r="O191" s="85"/>
      <c r="Q191" s="866"/>
      <c r="S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769"/>
      <c r="S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8"/>
      <c r="R193" s="769"/>
      <c r="S193" s="868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70"/>
      <c r="Q195" s="866"/>
      <c r="R195" s="770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8"/>
      <c r="R196" s="769"/>
      <c r="S196" s="868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6"/>
      <c r="R197" s="769"/>
      <c r="S197" s="866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71"/>
      <c r="L198" s="771"/>
      <c r="N198" s="771"/>
      <c r="P198" s="769"/>
      <c r="Q198" s="866"/>
      <c r="R198" s="769"/>
      <c r="S198" s="866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6"/>
      <c r="R199" s="769"/>
      <c r="S199" s="866"/>
      <c r="T199" s="484"/>
      <c r="U199" s="79"/>
      <c r="V199" s="877"/>
      <c r="W199" s="79"/>
    </row>
    <row r="200" spans="1:23" x14ac:dyDescent="0.25">
      <c r="P200" s="769"/>
      <c r="Q200" s="866"/>
      <c r="R200" s="769"/>
      <c r="S200" s="866"/>
    </row>
    <row r="201" spans="1:23" x14ac:dyDescent="0.25">
      <c r="P201" s="769"/>
      <c r="Q201" s="866"/>
      <c r="R201" s="769"/>
      <c r="S201" s="866"/>
    </row>
    <row r="202" spans="1:23" x14ac:dyDescent="0.25">
      <c r="P202" s="769"/>
      <c r="Q202" s="866"/>
      <c r="R202" s="769"/>
      <c r="S202" s="866"/>
    </row>
    <row r="203" spans="1:23" x14ac:dyDescent="0.25">
      <c r="P203" s="769"/>
      <c r="Q203" s="866"/>
      <c r="R203" s="769"/>
      <c r="S203" s="866"/>
    </row>
    <row r="204" spans="1:23" x14ac:dyDescent="0.25">
      <c r="P204" s="769"/>
      <c r="Q204" s="866"/>
      <c r="R204" s="769"/>
      <c r="S204" s="866"/>
    </row>
    <row r="205" spans="1:23" x14ac:dyDescent="0.25">
      <c r="P205" s="769"/>
      <c r="Q205" s="866"/>
      <c r="R205" s="769"/>
      <c r="S205" s="866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L206" s="79"/>
      <c r="M206" s="216"/>
      <c r="N206" s="79"/>
      <c r="O206" s="216"/>
      <c r="P206" s="769"/>
      <c r="Q206" s="866"/>
      <c r="R206" s="769"/>
      <c r="S206" s="86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216"/>
      <c r="L207" s="79"/>
      <c r="M207" s="216"/>
      <c r="N207" s="79"/>
      <c r="O207" s="216"/>
      <c r="P207" s="769"/>
      <c r="Q207" s="866"/>
      <c r="R207" s="769"/>
      <c r="S207" s="86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216"/>
      <c r="L208" s="79"/>
      <c r="M208" s="216"/>
      <c r="N208" s="79"/>
      <c r="O208" s="216"/>
      <c r="P208" s="769"/>
      <c r="Q208" s="868"/>
      <c r="R208" s="769"/>
      <c r="S208" s="868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9"/>
      <c r="O209" s="216"/>
      <c r="P209" s="769"/>
      <c r="Q209" s="868"/>
      <c r="R209" s="769"/>
      <c r="S209" s="868"/>
      <c r="T209" s="484"/>
      <c r="U209" s="79"/>
      <c r="V209" s="877"/>
      <c r="W209" s="79"/>
    </row>
    <row r="210" spans="1:23" x14ac:dyDescent="0.25">
      <c r="P210" s="769"/>
      <c r="Q210" s="868"/>
      <c r="R210" s="769"/>
      <c r="S210" s="868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8"/>
      <c r="R211" s="769"/>
      <c r="S211" s="868"/>
      <c r="T211" s="484"/>
      <c r="U211" s="79"/>
      <c r="V211" s="877"/>
      <c r="W211" s="79"/>
    </row>
    <row r="212" spans="1:23" x14ac:dyDescent="0.25">
      <c r="P212" s="769"/>
      <c r="Q212" s="868"/>
      <c r="R212" s="769"/>
      <c r="S212" s="868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629"/>
      <c r="L213" s="79"/>
      <c r="M213" s="629"/>
      <c r="N213" s="79"/>
      <c r="O213" s="629"/>
      <c r="P213" s="769"/>
      <c r="Q213" s="866"/>
      <c r="R213" s="769"/>
      <c r="S213" s="866"/>
      <c r="T213" s="484"/>
      <c r="U213" s="79"/>
      <c r="V213" s="877"/>
      <c r="W213" s="79"/>
    </row>
    <row r="214" spans="1:23" x14ac:dyDescent="0.25">
      <c r="P214" s="769"/>
      <c r="Q214" s="866"/>
      <c r="R214" s="769"/>
      <c r="S214" s="866"/>
    </row>
    <row r="215" spans="1:23" x14ac:dyDescent="0.25">
      <c r="P215" s="769"/>
      <c r="Q215" s="868"/>
      <c r="R215" s="769"/>
      <c r="S215" s="868"/>
    </row>
    <row r="216" spans="1:23" x14ac:dyDescent="0.25">
      <c r="P216" s="769"/>
      <c r="Q216" s="866"/>
      <c r="R216" s="769"/>
      <c r="S216" s="866"/>
    </row>
    <row r="217" spans="1:23" x14ac:dyDescent="0.25">
      <c r="P217" s="769"/>
      <c r="Q217" s="866"/>
      <c r="R217" s="769"/>
      <c r="S217" s="866"/>
    </row>
    <row r="218" spans="1:23" x14ac:dyDescent="0.25">
      <c r="P218" s="769"/>
      <c r="Q218" s="868"/>
      <c r="R218" s="769"/>
      <c r="S218" s="868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69"/>
      <c r="Q219" s="868"/>
      <c r="R219" s="769"/>
      <c r="S219" s="868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769"/>
      <c r="Q220" s="868"/>
      <c r="R220" s="769"/>
      <c r="S220" s="868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79"/>
      <c r="O221" s="216"/>
      <c r="P221" s="769"/>
      <c r="Q221" s="868"/>
      <c r="R221" s="769"/>
      <c r="S221" s="868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69"/>
      <c r="Q222" s="866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223"/>
      <c r="Q223" s="629"/>
      <c r="R223" s="223"/>
      <c r="S223" s="629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56"/>
      <c r="Q224" s="756"/>
      <c r="R224" s="756"/>
      <c r="S224" s="756"/>
      <c r="T224" s="484"/>
      <c r="U224" s="79"/>
      <c r="V224" s="877"/>
      <c r="W224" s="79"/>
    </row>
    <row r="225" spans="1:44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9"/>
      <c r="Q225" s="79"/>
      <c r="R225" s="79"/>
      <c r="S225" s="79"/>
      <c r="T225" s="484"/>
      <c r="U225" s="79"/>
      <c r="V225" s="877"/>
      <c r="W225" s="79"/>
    </row>
    <row r="226" spans="1:44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9"/>
      <c r="Q226" s="79"/>
      <c r="R226" s="79"/>
      <c r="S226" s="79"/>
      <c r="T226" s="484"/>
      <c r="U226" s="79"/>
      <c r="V226" s="877"/>
      <c r="W226" s="79"/>
    </row>
    <row r="227" spans="1:44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9"/>
      <c r="Q227" s="79"/>
      <c r="R227" s="79"/>
      <c r="S227" s="79"/>
      <c r="T227" s="484"/>
      <c r="U227" s="79"/>
      <c r="V227" s="877"/>
      <c r="W227" s="79"/>
    </row>
    <row r="229" spans="1:44" x14ac:dyDescent="0.25">
      <c r="P229" s="85"/>
      <c r="Q229" s="85"/>
      <c r="R229" s="85"/>
      <c r="S229" s="85"/>
    </row>
    <row r="236" spans="1:44" x14ac:dyDescent="0.25">
      <c r="P236" s="85"/>
      <c r="Q236" s="85"/>
      <c r="R236" s="85"/>
      <c r="S236" s="85"/>
    </row>
    <row r="240" spans="1:44" s="484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U240" s="79"/>
      <c r="V240" s="877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</row>
    <row r="241" spans="1:44" s="484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U241" s="79"/>
      <c r="V241" s="877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</row>
    <row r="242" spans="1:44" s="484" customFormat="1" x14ac:dyDescent="0.25">
      <c r="A242" s="79"/>
      <c r="B242" s="79"/>
      <c r="C242" s="85"/>
      <c r="D242" s="85"/>
      <c r="E242" s="85"/>
      <c r="F242" s="8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U242" s="79"/>
      <c r="V242" s="877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</row>
    <row r="243" spans="1:44" s="484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9"/>
      <c r="K243" s="79"/>
      <c r="L243" s="79"/>
      <c r="M243" s="79"/>
      <c r="N243" s="79"/>
      <c r="O243" s="79"/>
      <c r="P243" s="771"/>
      <c r="Q243" s="518"/>
      <c r="R243" s="771"/>
      <c r="S243" s="518"/>
      <c r="U243" s="79"/>
      <c r="V243" s="877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</row>
    <row r="244" spans="1:44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U244" s="79"/>
      <c r="V244" s="877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</row>
    <row r="251" spans="1:44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216"/>
      <c r="R251" s="79"/>
      <c r="S251" s="216"/>
      <c r="U251" s="79"/>
      <c r="V251" s="877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</row>
    <row r="252" spans="1:44" s="484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216"/>
      <c r="R252" s="79"/>
      <c r="S252" s="216"/>
      <c r="U252" s="79"/>
      <c r="V252" s="877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</row>
    <row r="253" spans="1:44" s="484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216"/>
      <c r="R253" s="79"/>
      <c r="S253" s="216"/>
      <c r="U253" s="79"/>
      <c r="V253" s="877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</row>
    <row r="254" spans="1:44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216"/>
      <c r="R254" s="79"/>
      <c r="S254" s="216"/>
      <c r="U254" s="79"/>
      <c r="V254" s="877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R256" s="79"/>
      <c r="S256" s="216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629"/>
      <c r="R258" s="79"/>
      <c r="S258" s="629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64" spans="1:44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216"/>
      <c r="R264" s="79"/>
      <c r="S264" s="216"/>
      <c r="U264" s="79"/>
      <c r="V264" s="877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</row>
    <row r="265" spans="1:44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216"/>
      <c r="R265" s="79"/>
      <c r="S265" s="216"/>
      <c r="U265" s="79"/>
      <c r="V265" s="877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</row>
    <row r="266" spans="1:44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216"/>
      <c r="R266" s="79"/>
      <c r="S266" s="216"/>
      <c r="U266" s="79"/>
      <c r="V266" s="877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216"/>
      <c r="R267" s="79"/>
      <c r="S267" s="216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R271" s="79"/>
      <c r="S271" s="216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R272" s="79"/>
      <c r="S272" s="216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</sheetData>
  <autoFilter ref="A2:I137" xr:uid="{00000000-0009-0000-0000-000089000000}"/>
  <mergeCells count="18">
    <mergeCell ref="C139:D139"/>
    <mergeCell ref="B140:D140"/>
    <mergeCell ref="L2:M3"/>
    <mergeCell ref="N2:O3"/>
    <mergeCell ref="P2:Q3"/>
    <mergeCell ref="R2:S3"/>
    <mergeCell ref="A116:E116"/>
    <mergeCell ref="A117:E117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Planilha8"/>
  <dimension ref="A1:AR269"/>
  <sheetViews>
    <sheetView zoomScale="85" zoomScaleNormal="85" workbookViewId="0">
      <pane ySplit="5" topLeftCell="A87" activePane="bottomLeft" state="frozen"/>
      <selection pane="bottomLeft" activeCell="F115" sqref="F11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3811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3623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45108</v>
      </c>
      <c r="B5" s="369" t="s">
        <v>10</v>
      </c>
      <c r="C5" s="370"/>
      <c r="D5" s="370"/>
      <c r="E5" s="777"/>
      <c r="F5" s="179"/>
      <c r="G5" s="933">
        <f>'Junho-23'!G117</f>
        <v>532.72091666669348</v>
      </c>
      <c r="H5" s="163"/>
      <c r="I5" s="1479">
        <f>'Junho-23'!I117</f>
        <v>1799.9959999999992</v>
      </c>
      <c r="J5" s="179"/>
      <c r="K5" s="933">
        <f>'Junho-23'!K117</f>
        <v>20243.940000000002</v>
      </c>
      <c r="L5" s="179"/>
      <c r="M5" s="933">
        <f>'Junho-23'!M117</f>
        <v>7220.4300000000021</v>
      </c>
      <c r="N5" s="179"/>
      <c r="O5" s="933">
        <f>'Junho-23'!O117</f>
        <v>2172.4</v>
      </c>
      <c r="P5" s="179"/>
      <c r="Q5" s="1479">
        <f>'Junho-23'!Q117</f>
        <v>9199.9999999999982</v>
      </c>
      <c r="R5" s="179"/>
      <c r="S5" s="933">
        <f>'Junho-23'!S117</f>
        <v>41552.315984720008</v>
      </c>
    </row>
    <row r="6" spans="1:23" s="224" customFormat="1" x14ac:dyDescent="0.25">
      <c r="A6" s="215">
        <v>45108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224" customFormat="1" ht="15" customHeight="1" x14ac:dyDescent="0.25">
      <c r="A7" s="215">
        <v>45108</v>
      </c>
      <c r="B7" s="1275" t="s">
        <v>2629</v>
      </c>
      <c r="C7" s="1276" t="s">
        <v>19</v>
      </c>
      <c r="D7" s="1276" t="s">
        <v>1489</v>
      </c>
      <c r="E7" s="1286" t="s">
        <v>13</v>
      </c>
      <c r="F7" s="780">
        <v>61.39</v>
      </c>
      <c r="G7" s="982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</row>
    <row r="8" spans="1:23" s="224" customFormat="1" x14ac:dyDescent="0.25">
      <c r="A8" s="215">
        <v>45108</v>
      </c>
      <c r="B8" s="882" t="s">
        <v>3120</v>
      </c>
      <c r="C8" s="879" t="s">
        <v>12</v>
      </c>
      <c r="D8" s="879" t="s">
        <v>1493</v>
      </c>
      <c r="E8" s="875" t="s">
        <v>13</v>
      </c>
      <c r="F8" s="1279">
        <v>36</v>
      </c>
      <c r="G8" s="982"/>
      <c r="H8" s="1008"/>
      <c r="I8" s="1063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878"/>
    </row>
    <row r="9" spans="1:23" s="224" customFormat="1" ht="15" customHeight="1" x14ac:dyDescent="0.25">
      <c r="A9" s="215">
        <v>45109</v>
      </c>
      <c r="B9" s="1275" t="s">
        <v>14</v>
      </c>
      <c r="C9" s="1276" t="s">
        <v>12</v>
      </c>
      <c r="D9" s="1276" t="s">
        <v>1486</v>
      </c>
      <c r="E9" s="1286" t="s">
        <v>13</v>
      </c>
      <c r="F9" s="780">
        <v>8.1300000000000008</v>
      </c>
      <c r="G9" s="982"/>
      <c r="H9" s="622"/>
      <c r="I9" s="982"/>
      <c r="J9" s="622"/>
      <c r="K9" s="982"/>
      <c r="L9" s="622"/>
      <c r="M9" s="982"/>
      <c r="N9" s="622"/>
      <c r="O9" s="1063"/>
      <c r="P9" s="622"/>
      <c r="Q9" s="1063"/>
      <c r="R9" s="622"/>
      <c r="S9" s="982"/>
      <c r="T9" s="1080"/>
      <c r="U9" s="927"/>
      <c r="V9" s="878"/>
    </row>
    <row r="10" spans="1:23" s="1274" customFormat="1" ht="15" customHeight="1" x14ac:dyDescent="0.25">
      <c r="A10" s="215">
        <v>45109</v>
      </c>
      <c r="B10" s="1275" t="s">
        <v>17</v>
      </c>
      <c r="C10" s="1276" t="s">
        <v>12</v>
      </c>
      <c r="D10" s="1276" t="s">
        <v>1493</v>
      </c>
      <c r="E10" s="1286" t="s">
        <v>13</v>
      </c>
      <c r="F10" s="780">
        <v>5</v>
      </c>
      <c r="G10" s="1278"/>
      <c r="H10" s="1282"/>
      <c r="I10" s="1283"/>
      <c r="J10" s="1279"/>
      <c r="K10" s="1278"/>
      <c r="L10" s="1279"/>
      <c r="M10" s="1278"/>
      <c r="N10" s="1279"/>
      <c r="O10" s="1278"/>
      <c r="P10" s="1279"/>
      <c r="Q10" s="1283"/>
      <c r="R10" s="1702"/>
      <c r="S10" s="1703"/>
      <c r="T10" s="1281"/>
      <c r="V10" s="1281"/>
      <c r="W10" s="1294"/>
    </row>
    <row r="11" spans="1:23" s="224" customFormat="1" ht="15" customHeight="1" x14ac:dyDescent="0.25">
      <c r="A11" s="215">
        <v>45110</v>
      </c>
      <c r="B11" s="882" t="s">
        <v>32</v>
      </c>
      <c r="C11" s="879" t="s">
        <v>12</v>
      </c>
      <c r="D11" s="879" t="s">
        <v>1485</v>
      </c>
      <c r="E11" s="871" t="s">
        <v>13</v>
      </c>
      <c r="F11" s="780">
        <v>20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  <c r="V11" s="927"/>
      <c r="W11" s="999"/>
    </row>
    <row r="12" spans="1:23" s="224" customFormat="1" ht="15" customHeight="1" x14ac:dyDescent="0.25">
      <c r="A12" s="215">
        <v>45110</v>
      </c>
      <c r="B12" s="1275" t="s">
        <v>3677</v>
      </c>
      <c r="C12" s="1276" t="s">
        <v>12</v>
      </c>
      <c r="D12" s="1276" t="s">
        <v>1486</v>
      </c>
      <c r="E12" s="1286" t="s">
        <v>13</v>
      </c>
      <c r="F12" s="780">
        <v>7.19</v>
      </c>
      <c r="G12" s="982"/>
      <c r="H12" s="622"/>
      <c r="I12" s="982"/>
      <c r="J12" s="622"/>
      <c r="K12" s="982"/>
      <c r="L12" s="622"/>
      <c r="M12" s="982"/>
      <c r="N12" s="622"/>
      <c r="O12" s="1063"/>
      <c r="P12" s="622"/>
      <c r="Q12" s="1063"/>
      <c r="R12" s="622"/>
      <c r="S12" s="982"/>
      <c r="T12" s="1080"/>
      <c r="U12" s="927"/>
      <c r="V12" s="878"/>
    </row>
    <row r="13" spans="1:23" s="224" customFormat="1" ht="15" customHeight="1" x14ac:dyDescent="0.25">
      <c r="A13" s="215">
        <v>45111</v>
      </c>
      <c r="B13" s="882" t="s">
        <v>32</v>
      </c>
      <c r="C13" s="879" t="s">
        <v>12</v>
      </c>
      <c r="D13" s="879" t="s">
        <v>1485</v>
      </c>
      <c r="E13" s="871" t="s">
        <v>13</v>
      </c>
      <c r="F13" s="780">
        <v>20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  <c r="V13" s="927"/>
      <c r="W13" s="999"/>
    </row>
    <row r="14" spans="1:23" s="1274" customFormat="1" ht="15" customHeight="1" x14ac:dyDescent="0.25">
      <c r="A14" s="215">
        <v>45111</v>
      </c>
      <c r="B14" s="1275" t="s">
        <v>3812</v>
      </c>
      <c r="C14" s="1276" t="s">
        <v>12</v>
      </c>
      <c r="D14" s="1276" t="s">
        <v>1491</v>
      </c>
      <c r="E14" s="1286" t="s">
        <v>13</v>
      </c>
      <c r="F14" s="780">
        <v>70</v>
      </c>
      <c r="G14" s="1278"/>
      <c r="H14" s="1282"/>
      <c r="I14" s="1283"/>
      <c r="J14" s="1279"/>
      <c r="K14" s="1278"/>
      <c r="L14" s="1279"/>
      <c r="M14" s="1278"/>
      <c r="N14" s="1279"/>
      <c r="O14" s="1278"/>
      <c r="P14" s="1279"/>
      <c r="Q14" s="1283"/>
      <c r="R14" s="1702"/>
      <c r="S14" s="1703"/>
      <c r="T14" s="1281"/>
      <c r="V14" s="1281"/>
      <c r="W14" s="1294"/>
    </row>
    <row r="15" spans="1:23" s="1274" customFormat="1" ht="15" customHeight="1" x14ac:dyDescent="0.25">
      <c r="A15" s="215">
        <v>45112</v>
      </c>
      <c r="B15" s="882" t="s">
        <v>32</v>
      </c>
      <c r="C15" s="879" t="s">
        <v>12</v>
      </c>
      <c r="D15" s="879" t="s">
        <v>1485</v>
      </c>
      <c r="E15" s="871" t="s">
        <v>13</v>
      </c>
      <c r="F15" s="780">
        <v>20</v>
      </c>
      <c r="G15" s="1278"/>
      <c r="H15" s="1282"/>
      <c r="I15" s="1283"/>
      <c r="J15" s="1279"/>
      <c r="K15" s="1278"/>
      <c r="L15" s="1279"/>
      <c r="M15" s="1278"/>
      <c r="N15" s="1279"/>
      <c r="O15" s="1278"/>
      <c r="P15" s="1279"/>
      <c r="Q15" s="1283"/>
      <c r="R15" s="1702"/>
      <c r="S15" s="1703"/>
      <c r="T15" s="1281"/>
      <c r="V15" s="1281"/>
      <c r="W15" s="1294"/>
    </row>
    <row r="16" spans="1:23" s="224" customFormat="1" ht="15" customHeight="1" x14ac:dyDescent="0.25">
      <c r="A16" s="215">
        <v>45112</v>
      </c>
      <c r="B16" s="882" t="s">
        <v>138</v>
      </c>
      <c r="C16" s="879" t="s">
        <v>12</v>
      </c>
      <c r="D16" s="879" t="s">
        <v>2157</v>
      </c>
      <c r="E16" s="871" t="s">
        <v>15</v>
      </c>
      <c r="F16" s="780">
        <v>100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1063"/>
      <c r="R16" s="622"/>
      <c r="S16" s="982"/>
      <c r="T16" s="1080"/>
      <c r="U16" s="927"/>
      <c r="V16" s="878"/>
    </row>
    <row r="17" spans="1:44" s="224" customFormat="1" ht="15" customHeight="1" x14ac:dyDescent="0.25">
      <c r="A17" s="215">
        <v>45112</v>
      </c>
      <c r="B17" s="1275" t="s">
        <v>14</v>
      </c>
      <c r="C17" s="1276" t="s">
        <v>12</v>
      </c>
      <c r="D17" s="1276" t="s">
        <v>1486</v>
      </c>
      <c r="E17" s="1286" t="s">
        <v>13</v>
      </c>
      <c r="F17" s="780">
        <v>10.029999999999999</v>
      </c>
      <c r="G17" s="982"/>
      <c r="H17" s="622"/>
      <c r="I17" s="982"/>
      <c r="J17" s="622"/>
      <c r="K17" s="982"/>
      <c r="L17" s="622"/>
      <c r="M17" s="982"/>
      <c r="N17" s="622"/>
      <c r="O17" s="1063"/>
      <c r="P17" s="622"/>
      <c r="Q17" s="1063"/>
      <c r="R17" s="622"/>
      <c r="S17" s="982"/>
      <c r="T17" s="1080"/>
      <c r="U17" s="927"/>
      <c r="V17" s="878"/>
    </row>
    <row r="18" spans="1:44" s="224" customFormat="1" ht="15.75" customHeight="1" x14ac:dyDescent="0.25">
      <c r="A18" s="215">
        <v>45113</v>
      </c>
      <c r="B18" s="873" t="s">
        <v>3813</v>
      </c>
      <c r="C18" s="879" t="s">
        <v>12</v>
      </c>
      <c r="D18" s="874"/>
      <c r="E18" s="871" t="s">
        <v>25</v>
      </c>
      <c r="F18" s="1524"/>
      <c r="G18" s="1002">
        <v>2100.5500000000002</v>
      </c>
      <c r="H18" s="538"/>
      <c r="I18" s="982"/>
      <c r="J18" s="622"/>
      <c r="K18" s="982"/>
      <c r="L18" s="622"/>
      <c r="M18" s="982"/>
      <c r="N18" s="622"/>
      <c r="O18" s="982"/>
      <c r="P18" s="622"/>
      <c r="Q18" s="1063"/>
      <c r="R18" s="622"/>
      <c r="S18" s="982"/>
      <c r="T18" s="178"/>
    </row>
    <row r="19" spans="1:44" s="224" customFormat="1" ht="15" customHeight="1" x14ac:dyDescent="0.25">
      <c r="A19" s="215">
        <v>45113</v>
      </c>
      <c r="B19" s="364" t="s">
        <v>3814</v>
      </c>
      <c r="C19" s="879" t="s">
        <v>12</v>
      </c>
      <c r="D19" s="879"/>
      <c r="E19" s="875" t="s">
        <v>25</v>
      </c>
      <c r="F19" s="780"/>
      <c r="G19" s="982"/>
      <c r="H19" s="622"/>
      <c r="I19" s="982"/>
      <c r="J19" s="622"/>
      <c r="K19" s="982"/>
      <c r="L19" s="622"/>
      <c r="M19" s="982"/>
      <c r="N19" s="622"/>
      <c r="O19" s="982"/>
      <c r="P19" s="622"/>
      <c r="Q19" s="1063"/>
      <c r="R19" s="622"/>
      <c r="S19" s="982">
        <v>420</v>
      </c>
      <c r="T19" s="927"/>
      <c r="U19" s="927"/>
      <c r="V19" s="878"/>
    </row>
    <row r="20" spans="1:44" s="224" customFormat="1" ht="15" customHeight="1" x14ac:dyDescent="0.25">
      <c r="A20" s="215">
        <v>45113</v>
      </c>
      <c r="B20" s="364" t="s">
        <v>1396</v>
      </c>
      <c r="C20" s="879" t="s">
        <v>12</v>
      </c>
      <c r="D20" s="350"/>
      <c r="E20" s="480" t="s">
        <v>25</v>
      </c>
      <c r="F20" s="613"/>
      <c r="G20" s="967">
        <v>100</v>
      </c>
      <c r="H20" s="1008"/>
      <c r="I20" s="1063"/>
      <c r="J20" s="1116"/>
      <c r="K20" s="1207"/>
      <c r="L20" s="622"/>
      <c r="M20" s="982"/>
      <c r="N20" s="622"/>
      <c r="O20" s="982"/>
      <c r="P20" s="1116"/>
      <c r="Q20" s="1736"/>
      <c r="R20" s="1116"/>
      <c r="S20" s="1207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s="224" customFormat="1" ht="15" customHeight="1" x14ac:dyDescent="0.25">
      <c r="A21" s="215">
        <v>45113</v>
      </c>
      <c r="B21" s="862" t="s">
        <v>3422</v>
      </c>
      <c r="C21" s="879" t="s">
        <v>12</v>
      </c>
      <c r="D21" s="879" t="s">
        <v>1504</v>
      </c>
      <c r="E21" s="871" t="s">
        <v>13</v>
      </c>
      <c r="F21" s="780">
        <v>50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622"/>
      <c r="Q21" s="1063"/>
      <c r="R21" s="622"/>
      <c r="S21" s="982"/>
      <c r="T21" s="178"/>
      <c r="U21" s="1028"/>
      <c r="V21" s="1035"/>
    </row>
    <row r="22" spans="1:44" s="224" customFormat="1" ht="15" customHeight="1" x14ac:dyDescent="0.25">
      <c r="A22" s="215">
        <v>45113</v>
      </c>
      <c r="B22" s="882" t="s">
        <v>3815</v>
      </c>
      <c r="C22" s="879" t="s">
        <v>12</v>
      </c>
      <c r="D22" s="879" t="s">
        <v>1499</v>
      </c>
      <c r="E22" s="871" t="s">
        <v>13</v>
      </c>
      <c r="F22" s="780">
        <v>56.57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028">
        <v>146.57</v>
      </c>
      <c r="U22" s="999"/>
      <c r="V22" s="878"/>
    </row>
    <row r="23" spans="1:44" s="224" customFormat="1" ht="15" customHeight="1" x14ac:dyDescent="0.25">
      <c r="A23" s="215">
        <v>45113</v>
      </c>
      <c r="B23" s="364" t="s">
        <v>2977</v>
      </c>
      <c r="C23" s="879" t="s">
        <v>12</v>
      </c>
      <c r="D23" s="350" t="s">
        <v>1491</v>
      </c>
      <c r="E23" s="875" t="s">
        <v>13</v>
      </c>
      <c r="F23" s="780">
        <v>300</v>
      </c>
      <c r="G23" s="982"/>
      <c r="H23" s="1008"/>
      <c r="I23" s="1063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028"/>
      <c r="V23" s="1035"/>
    </row>
    <row r="24" spans="1:44" s="224" customFormat="1" ht="15" customHeight="1" x14ac:dyDescent="0.25">
      <c r="A24" s="215">
        <v>45113</v>
      </c>
      <c r="B24" s="882" t="s">
        <v>3816</v>
      </c>
      <c r="C24" s="879" t="s">
        <v>12</v>
      </c>
      <c r="D24" s="879" t="s">
        <v>1491</v>
      </c>
      <c r="E24" s="875" t="s">
        <v>13</v>
      </c>
      <c r="F24" s="780">
        <v>100</v>
      </c>
      <c r="G24" s="982"/>
      <c r="H24" s="622"/>
      <c r="I24" s="982"/>
      <c r="J24" s="622"/>
      <c r="K24" s="982"/>
      <c r="L24" s="622"/>
      <c r="M24" s="982"/>
      <c r="N24" s="622"/>
      <c r="O24" s="982"/>
      <c r="P24" s="880"/>
      <c r="Q24" s="1525"/>
      <c r="R24" s="880"/>
      <c r="S24" s="1033"/>
      <c r="T24" s="927">
        <v>230</v>
      </c>
      <c r="V24" s="878"/>
    </row>
    <row r="25" spans="1:44" x14ac:dyDescent="0.25">
      <c r="A25" s="215">
        <v>45113</v>
      </c>
      <c r="B25" s="876" t="s">
        <v>3060</v>
      </c>
      <c r="C25" s="879" t="s">
        <v>12</v>
      </c>
      <c r="D25" s="879" t="s">
        <v>1496</v>
      </c>
      <c r="E25" s="871" t="s">
        <v>13</v>
      </c>
      <c r="F25" s="780">
        <v>80</v>
      </c>
      <c r="G25" s="982"/>
      <c r="H25" s="1009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9"/>
    </row>
    <row r="26" spans="1:44" s="224" customFormat="1" ht="14.25" customHeight="1" x14ac:dyDescent="0.25">
      <c r="A26" s="215">
        <v>45113</v>
      </c>
      <c r="B26" s="882" t="s">
        <v>3817</v>
      </c>
      <c r="C26" s="879" t="s">
        <v>12</v>
      </c>
      <c r="D26" s="879" t="s">
        <v>3017</v>
      </c>
      <c r="E26" s="875" t="s">
        <v>13</v>
      </c>
      <c r="F26" s="780">
        <v>576.75</v>
      </c>
      <c r="G26" s="982"/>
      <c r="H26" s="1008"/>
      <c r="I26" s="1063"/>
      <c r="J26" s="622"/>
      <c r="K26" s="982">
        <v>576.75</v>
      </c>
      <c r="L26" s="622"/>
      <c r="M26" s="982"/>
      <c r="N26" s="622"/>
      <c r="O26" s="982"/>
      <c r="P26" s="622"/>
      <c r="Q26" s="1063"/>
      <c r="R26" s="622"/>
      <c r="S26" s="982"/>
      <c r="T26" s="861">
        <v>500</v>
      </c>
      <c r="U26" s="878" t="s">
        <v>3018</v>
      </c>
      <c r="V26" s="1035"/>
    </row>
    <row r="27" spans="1:44" s="224" customFormat="1" ht="15" customHeight="1" x14ac:dyDescent="0.25">
      <c r="A27" s="215">
        <v>45113</v>
      </c>
      <c r="B27" s="882" t="s">
        <v>32</v>
      </c>
      <c r="C27" s="879" t="s">
        <v>12</v>
      </c>
      <c r="D27" s="879" t="s">
        <v>1485</v>
      </c>
      <c r="E27" s="871" t="s">
        <v>13</v>
      </c>
      <c r="F27" s="780">
        <v>20</v>
      </c>
      <c r="G27" s="946"/>
      <c r="H27" s="95"/>
      <c r="I27" s="1064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861"/>
      <c r="V27" s="927"/>
      <c r="W27" s="999"/>
    </row>
    <row r="28" spans="1:44" s="224" customFormat="1" ht="15" customHeight="1" x14ac:dyDescent="0.25">
      <c r="A28" s="215">
        <v>45113</v>
      </c>
      <c r="B28" s="873" t="s">
        <v>134</v>
      </c>
      <c r="C28" s="874" t="s">
        <v>12</v>
      </c>
      <c r="D28" s="874" t="s">
        <v>1493</v>
      </c>
      <c r="E28" s="875" t="s">
        <v>13</v>
      </c>
      <c r="F28" s="780">
        <v>8.5</v>
      </c>
      <c r="G28" s="982"/>
      <c r="H28" s="622"/>
      <c r="I28" s="982"/>
      <c r="J28" s="622"/>
      <c r="K28" s="982"/>
      <c r="L28" s="622"/>
      <c r="M28" s="982"/>
      <c r="N28" s="622"/>
      <c r="O28" s="982"/>
      <c r="P28" s="622"/>
      <c r="Q28" s="1063"/>
      <c r="R28" s="622"/>
      <c r="S28" s="982"/>
      <c r="T28" s="1280"/>
      <c r="U28" s="927"/>
      <c r="V28" s="878"/>
    </row>
    <row r="29" spans="1:44" s="224" customFormat="1" ht="15" customHeight="1" x14ac:dyDescent="0.25">
      <c r="A29" s="215">
        <v>45114</v>
      </c>
      <c r="B29" s="882" t="s">
        <v>32</v>
      </c>
      <c r="C29" s="879" t="s">
        <v>12</v>
      </c>
      <c r="D29" s="879" t="s">
        <v>1485</v>
      </c>
      <c r="E29" s="871" t="s">
        <v>13</v>
      </c>
      <c r="F29" s="780">
        <v>20</v>
      </c>
      <c r="G29" s="982"/>
      <c r="H29" s="622"/>
      <c r="I29" s="982"/>
      <c r="J29" s="622"/>
      <c r="K29" s="1033"/>
      <c r="L29" s="622"/>
      <c r="M29" s="982"/>
      <c r="N29" s="622"/>
      <c r="O29" s="982"/>
      <c r="P29" s="1116"/>
      <c r="Q29" s="1736"/>
      <c r="R29" s="1116"/>
      <c r="S29" s="1207"/>
      <c r="T29" s="927"/>
      <c r="U29" s="927"/>
      <c r="V29" s="878"/>
    </row>
    <row r="30" spans="1:44" s="1274" customFormat="1" ht="15" customHeight="1" x14ac:dyDescent="0.25">
      <c r="A30" s="215">
        <v>45114</v>
      </c>
      <c r="B30" s="1275" t="s">
        <v>17</v>
      </c>
      <c r="C30" s="1276" t="s">
        <v>12</v>
      </c>
      <c r="D30" s="1276" t="s">
        <v>1493</v>
      </c>
      <c r="E30" s="1286" t="s">
        <v>13</v>
      </c>
      <c r="F30" s="780">
        <v>7</v>
      </c>
      <c r="G30" s="1278"/>
      <c r="H30" s="1282"/>
      <c r="I30" s="1283"/>
      <c r="J30" s="1279"/>
      <c r="K30" s="1278"/>
      <c r="L30" s="1279"/>
      <c r="M30" s="1472"/>
      <c r="N30" s="1279"/>
      <c r="O30" s="1278"/>
      <c r="P30" s="1279"/>
      <c r="Q30" s="1283"/>
      <c r="R30" s="1702"/>
      <c r="S30" s="1703"/>
      <c r="T30" s="1281"/>
      <c r="V30" s="1281"/>
      <c r="W30" s="1294"/>
    </row>
    <row r="31" spans="1:44" s="224" customFormat="1" ht="15" customHeight="1" x14ac:dyDescent="0.25">
      <c r="A31" s="215">
        <v>45114</v>
      </c>
      <c r="B31" s="873" t="s">
        <v>3818</v>
      </c>
      <c r="C31" s="874" t="s">
        <v>19</v>
      </c>
      <c r="D31" s="874" t="s">
        <v>1522</v>
      </c>
      <c r="E31" s="875" t="s">
        <v>13</v>
      </c>
      <c r="F31" s="780">
        <v>59.665999999999997</v>
      </c>
      <c r="G31" s="982"/>
      <c r="H31" s="622"/>
      <c r="I31" s="982"/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1280" t="s">
        <v>3292</v>
      </c>
      <c r="U31" s="927"/>
      <c r="V31" s="878"/>
    </row>
    <row r="32" spans="1:44" s="224" customFormat="1" ht="15" customHeight="1" x14ac:dyDescent="0.25">
      <c r="A32" s="215">
        <v>45114</v>
      </c>
      <c r="B32" s="873" t="s">
        <v>3449</v>
      </c>
      <c r="C32" s="874" t="s">
        <v>19</v>
      </c>
      <c r="D32" s="874" t="s">
        <v>1522</v>
      </c>
      <c r="E32" s="875" t="s">
        <v>13</v>
      </c>
      <c r="F32" s="780">
        <v>49.666666666666664</v>
      </c>
      <c r="G32" s="982"/>
      <c r="H32" s="622"/>
      <c r="I32" s="982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280" t="s">
        <v>3292</v>
      </c>
      <c r="U32" s="927"/>
      <c r="V32" s="878"/>
    </row>
    <row r="33" spans="1:44" s="224" customFormat="1" ht="15" customHeight="1" x14ac:dyDescent="0.25">
      <c r="A33" s="215">
        <v>45114</v>
      </c>
      <c r="B33" s="873" t="s">
        <v>134</v>
      </c>
      <c r="C33" s="874" t="s">
        <v>12</v>
      </c>
      <c r="D33" s="874" t="s">
        <v>1493</v>
      </c>
      <c r="E33" s="875" t="s">
        <v>13</v>
      </c>
      <c r="F33" s="780">
        <v>17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280"/>
      <c r="U33" s="927"/>
      <c r="V33" s="878"/>
    </row>
    <row r="34" spans="1:44" s="224" customFormat="1" ht="15" customHeight="1" x14ac:dyDescent="0.25">
      <c r="A34" s="215">
        <v>45115</v>
      </c>
      <c r="B34" s="882" t="s">
        <v>2595</v>
      </c>
      <c r="C34" s="879" t="s">
        <v>12</v>
      </c>
      <c r="D34" s="879" t="s">
        <v>1506</v>
      </c>
      <c r="E34" s="871" t="s">
        <v>15</v>
      </c>
      <c r="F34" s="780">
        <v>10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1063"/>
      <c r="R34" s="622"/>
      <c r="S34" s="982"/>
      <c r="T34" s="1080"/>
      <c r="U34" s="927"/>
      <c r="V34" s="878"/>
    </row>
    <row r="35" spans="1:44" s="224" customFormat="1" ht="15" customHeight="1" x14ac:dyDescent="0.25">
      <c r="A35" s="215">
        <v>45115</v>
      </c>
      <c r="B35" s="882" t="s">
        <v>32</v>
      </c>
      <c r="C35" s="879" t="s">
        <v>12</v>
      </c>
      <c r="D35" s="879" t="s">
        <v>1485</v>
      </c>
      <c r="E35" s="871" t="s">
        <v>13</v>
      </c>
      <c r="F35" s="780">
        <v>14.9</v>
      </c>
      <c r="G35" s="982"/>
      <c r="H35" s="622"/>
      <c r="I35" s="982"/>
      <c r="J35" s="622"/>
      <c r="K35" s="1033"/>
      <c r="L35" s="622"/>
      <c r="M35" s="982"/>
      <c r="N35" s="622"/>
      <c r="O35" s="982"/>
      <c r="P35" s="1116"/>
      <c r="Q35" s="1736"/>
      <c r="R35" s="1116"/>
      <c r="S35" s="1207"/>
      <c r="T35" s="927"/>
      <c r="U35" s="927"/>
      <c r="V35" s="878"/>
    </row>
    <row r="36" spans="1:44" s="224" customFormat="1" ht="15" customHeight="1" x14ac:dyDescent="0.25">
      <c r="A36" s="215">
        <v>45115</v>
      </c>
      <c r="B36" s="882" t="s">
        <v>3788</v>
      </c>
      <c r="C36" s="879" t="s">
        <v>12</v>
      </c>
      <c r="D36" s="879" t="s">
        <v>1493</v>
      </c>
      <c r="E36" s="871" t="s">
        <v>13</v>
      </c>
      <c r="F36" s="780">
        <v>40</v>
      </c>
      <c r="G36" s="982"/>
      <c r="H36" s="622"/>
      <c r="I36" s="982"/>
      <c r="J36" s="622"/>
      <c r="K36" s="982"/>
      <c r="L36" s="622"/>
      <c r="M36" s="982"/>
      <c r="N36" s="622"/>
      <c r="O36" s="982"/>
      <c r="P36" s="622"/>
      <c r="Q36" s="1063"/>
      <c r="R36" s="622"/>
      <c r="S36" s="982"/>
      <c r="T36" s="1280"/>
      <c r="U36" s="927"/>
      <c r="V36" s="878"/>
    </row>
    <row r="37" spans="1:44" s="224" customFormat="1" ht="15" customHeight="1" x14ac:dyDescent="0.25">
      <c r="A37" s="215">
        <v>45116</v>
      </c>
      <c r="B37" s="1275" t="s">
        <v>14</v>
      </c>
      <c r="C37" s="1276" t="s">
        <v>12</v>
      </c>
      <c r="D37" s="1276" t="s">
        <v>1486</v>
      </c>
      <c r="E37" s="1286" t="s">
        <v>13</v>
      </c>
      <c r="F37" s="780">
        <v>8.35</v>
      </c>
      <c r="G37" s="982"/>
      <c r="H37" s="622"/>
      <c r="I37" s="982"/>
      <c r="J37" s="622"/>
      <c r="K37" s="982"/>
      <c r="L37" s="622"/>
      <c r="M37" s="982"/>
      <c r="N37" s="622"/>
      <c r="O37" s="1063"/>
      <c r="P37" s="622"/>
      <c r="Q37" s="1063"/>
      <c r="R37" s="622"/>
      <c r="S37" s="982"/>
      <c r="T37" s="1080"/>
      <c r="U37" s="927"/>
      <c r="V37" s="878"/>
    </row>
    <row r="38" spans="1:44" s="224" customFormat="1" ht="15" customHeight="1" x14ac:dyDescent="0.25">
      <c r="A38" s="215">
        <v>45116</v>
      </c>
      <c r="B38" s="882" t="s">
        <v>32</v>
      </c>
      <c r="C38" s="879" t="s">
        <v>12</v>
      </c>
      <c r="D38" s="879" t="s">
        <v>1485</v>
      </c>
      <c r="E38" s="871" t="s">
        <v>13</v>
      </c>
      <c r="F38" s="780">
        <v>22</v>
      </c>
      <c r="G38" s="982"/>
      <c r="H38" s="622"/>
      <c r="I38" s="982"/>
      <c r="J38" s="622"/>
      <c r="K38" s="1033"/>
      <c r="L38" s="622"/>
      <c r="M38" s="982"/>
      <c r="N38" s="622"/>
      <c r="O38" s="982"/>
      <c r="P38" s="1116"/>
      <c r="Q38" s="1736"/>
      <c r="R38" s="1116"/>
      <c r="S38" s="1207"/>
      <c r="T38" s="927"/>
      <c r="U38" s="927"/>
      <c r="V38" s="878"/>
    </row>
    <row r="39" spans="1:44" s="224" customFormat="1" ht="15" customHeight="1" x14ac:dyDescent="0.25">
      <c r="A39" s="215">
        <v>45116</v>
      </c>
      <c r="B39" s="1275" t="s">
        <v>3819</v>
      </c>
      <c r="C39" s="1276" t="s">
        <v>12</v>
      </c>
      <c r="D39" s="1276" t="s">
        <v>1489</v>
      </c>
      <c r="E39" s="1286" t="s">
        <v>13</v>
      </c>
      <c r="F39" s="780">
        <v>40</v>
      </c>
      <c r="G39" s="982"/>
      <c r="H39" s="622"/>
      <c r="I39" s="982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927"/>
      <c r="U39" s="927"/>
      <c r="V39" s="878"/>
    </row>
    <row r="40" spans="1:44" s="224" customFormat="1" ht="15" customHeight="1" x14ac:dyDescent="0.25">
      <c r="A40" s="215">
        <v>45117</v>
      </c>
      <c r="B40" s="364" t="s">
        <v>3354</v>
      </c>
      <c r="C40" s="350" t="s">
        <v>12</v>
      </c>
      <c r="D40" s="350"/>
      <c r="E40" s="480" t="s">
        <v>25</v>
      </c>
      <c r="F40" s="613"/>
      <c r="G40" s="967"/>
      <c r="H40" s="1008"/>
      <c r="I40" s="1063"/>
      <c r="J40" s="1110"/>
      <c r="K40" s="1207"/>
      <c r="L40" s="880"/>
      <c r="M40" s="1033"/>
      <c r="N40" s="880"/>
      <c r="O40" s="1033"/>
      <c r="P40" s="1116"/>
      <c r="Q40" s="1737"/>
      <c r="R40" s="613"/>
      <c r="S40" s="162">
        <v>177.38</v>
      </c>
      <c r="T40" s="779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s="224" customFormat="1" ht="15" customHeight="1" x14ac:dyDescent="0.25">
      <c r="A41" s="215">
        <v>45117</v>
      </c>
      <c r="B41" s="882" t="s">
        <v>32</v>
      </c>
      <c r="C41" s="879" t="s">
        <v>12</v>
      </c>
      <c r="D41" s="879" t="s">
        <v>1485</v>
      </c>
      <c r="E41" s="871" t="s">
        <v>13</v>
      </c>
      <c r="F41" s="780">
        <v>20</v>
      </c>
      <c r="G41" s="982"/>
      <c r="H41" s="622"/>
      <c r="I41" s="982"/>
      <c r="J41" s="622"/>
      <c r="K41" s="1033"/>
      <c r="L41" s="622"/>
      <c r="M41" s="982"/>
      <c r="N41" s="622"/>
      <c r="O41" s="982"/>
      <c r="P41" s="1116"/>
      <c r="Q41" s="1736"/>
      <c r="R41" s="1116"/>
      <c r="S41" s="1207"/>
      <c r="T41" s="927"/>
      <c r="U41" s="927"/>
      <c r="V41" s="878"/>
    </row>
    <row r="42" spans="1:44" s="224" customFormat="1" ht="15" customHeight="1" x14ac:dyDescent="0.25">
      <c r="A42" s="215">
        <v>45117</v>
      </c>
      <c r="B42" s="1275" t="s">
        <v>3677</v>
      </c>
      <c r="C42" s="1276" t="s">
        <v>12</v>
      </c>
      <c r="D42" s="1276" t="s">
        <v>1486</v>
      </c>
      <c r="E42" s="1286" t="s">
        <v>13</v>
      </c>
      <c r="F42" s="780">
        <v>5.47</v>
      </c>
      <c r="G42" s="982"/>
      <c r="H42" s="622"/>
      <c r="I42" s="982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1080"/>
      <c r="U42" s="927"/>
      <c r="V42" s="878"/>
    </row>
    <row r="43" spans="1:44" s="224" customFormat="1" ht="15" customHeight="1" x14ac:dyDescent="0.25">
      <c r="A43" s="215">
        <v>45118</v>
      </c>
      <c r="B43" s="882" t="s">
        <v>32</v>
      </c>
      <c r="C43" s="879" t="s">
        <v>12</v>
      </c>
      <c r="D43" s="879" t="s">
        <v>1485</v>
      </c>
      <c r="E43" s="871" t="s">
        <v>13</v>
      </c>
      <c r="F43" s="780">
        <v>20</v>
      </c>
      <c r="G43" s="982"/>
      <c r="H43" s="622"/>
      <c r="I43" s="982"/>
      <c r="J43" s="622"/>
      <c r="K43" s="1033"/>
      <c r="L43" s="622"/>
      <c r="M43" s="982"/>
      <c r="N43" s="622"/>
      <c r="O43" s="982"/>
      <c r="P43" s="1116"/>
      <c r="Q43" s="1736"/>
      <c r="R43" s="1116"/>
      <c r="S43" s="1207"/>
      <c r="T43" s="927"/>
      <c r="U43" s="927"/>
      <c r="V43" s="878"/>
    </row>
    <row r="44" spans="1:44" s="224" customFormat="1" ht="15" customHeight="1" x14ac:dyDescent="0.25">
      <c r="A44" s="215">
        <v>45118</v>
      </c>
      <c r="B44" s="1275" t="s">
        <v>3820</v>
      </c>
      <c r="C44" s="1276" t="s">
        <v>12</v>
      </c>
      <c r="D44" s="1276" t="s">
        <v>1506</v>
      </c>
      <c r="E44" s="1286" t="s">
        <v>13</v>
      </c>
      <c r="F44" s="780">
        <v>45</v>
      </c>
      <c r="G44" s="982"/>
      <c r="H44" s="622"/>
      <c r="I44" s="982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1080"/>
      <c r="U44" s="927"/>
      <c r="V44" s="878"/>
    </row>
    <row r="45" spans="1:44" s="224" customFormat="1" ht="15" customHeight="1" x14ac:dyDescent="0.25">
      <c r="A45" s="215">
        <v>45118</v>
      </c>
      <c r="B45" s="1275" t="s">
        <v>14</v>
      </c>
      <c r="C45" s="1276" t="s">
        <v>12</v>
      </c>
      <c r="D45" s="1276" t="s">
        <v>1486</v>
      </c>
      <c r="E45" s="1286" t="s">
        <v>13</v>
      </c>
      <c r="F45" s="780">
        <v>16.88</v>
      </c>
      <c r="G45" s="982"/>
      <c r="H45" s="622"/>
      <c r="I45" s="982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927"/>
      <c r="U45" s="927"/>
      <c r="V45" s="878"/>
    </row>
    <row r="46" spans="1:44" s="224" customFormat="1" ht="15" customHeight="1" x14ac:dyDescent="0.25">
      <c r="A46" s="215">
        <v>45118</v>
      </c>
      <c r="B46" s="882" t="s">
        <v>138</v>
      </c>
      <c r="C46" s="879" t="s">
        <v>12</v>
      </c>
      <c r="D46" s="879" t="s">
        <v>2157</v>
      </c>
      <c r="E46" s="871" t="s">
        <v>15</v>
      </c>
      <c r="F46" s="780">
        <v>100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1063"/>
      <c r="R46" s="622"/>
      <c r="S46" s="982"/>
      <c r="T46" s="1080"/>
      <c r="U46" s="927"/>
      <c r="V46" s="878"/>
    </row>
    <row r="47" spans="1:44" s="224" customFormat="1" ht="15" customHeight="1" x14ac:dyDescent="0.25">
      <c r="A47" s="215">
        <v>45119</v>
      </c>
      <c r="B47" s="882" t="s">
        <v>32</v>
      </c>
      <c r="C47" s="879" t="s">
        <v>12</v>
      </c>
      <c r="D47" s="879" t="s">
        <v>1485</v>
      </c>
      <c r="E47" s="871" t="s">
        <v>13</v>
      </c>
      <c r="F47" s="780">
        <v>20</v>
      </c>
      <c r="G47" s="982"/>
      <c r="H47" s="622"/>
      <c r="I47" s="982"/>
      <c r="J47" s="622"/>
      <c r="K47" s="1033"/>
      <c r="L47" s="622"/>
      <c r="M47" s="982"/>
      <c r="N47" s="622"/>
      <c r="O47" s="982"/>
      <c r="P47" s="1116"/>
      <c r="Q47" s="1736"/>
      <c r="R47" s="1116"/>
      <c r="S47" s="1207"/>
      <c r="T47" s="927"/>
      <c r="U47" s="927"/>
      <c r="V47" s="878"/>
    </row>
    <row r="48" spans="1:44" s="224" customFormat="1" ht="15" customHeight="1" x14ac:dyDescent="0.25">
      <c r="A48" s="215">
        <v>45120</v>
      </c>
      <c r="B48" s="882" t="s">
        <v>32</v>
      </c>
      <c r="C48" s="879" t="s">
        <v>12</v>
      </c>
      <c r="D48" s="879" t="s">
        <v>1485</v>
      </c>
      <c r="E48" s="871" t="s">
        <v>13</v>
      </c>
      <c r="F48" s="780">
        <v>20</v>
      </c>
      <c r="G48" s="982"/>
      <c r="H48" s="622"/>
      <c r="I48" s="982"/>
      <c r="J48" s="622"/>
      <c r="K48" s="1033"/>
      <c r="L48" s="622"/>
      <c r="M48" s="982"/>
      <c r="N48" s="622"/>
      <c r="O48" s="982"/>
      <c r="P48" s="1116"/>
      <c r="Q48" s="1736"/>
      <c r="R48" s="1116"/>
      <c r="S48" s="1207"/>
      <c r="T48" s="927"/>
      <c r="U48" s="927"/>
      <c r="V48" s="878"/>
    </row>
    <row r="49" spans="1:44" s="224" customFormat="1" ht="15" customHeight="1" x14ac:dyDescent="0.25">
      <c r="A49" s="215">
        <v>45120</v>
      </c>
      <c r="B49" s="1275" t="s">
        <v>17</v>
      </c>
      <c r="C49" s="1276" t="s">
        <v>12</v>
      </c>
      <c r="D49" s="1276" t="s">
        <v>1493</v>
      </c>
      <c r="E49" s="1286" t="s">
        <v>13</v>
      </c>
      <c r="F49" s="780">
        <v>7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x14ac:dyDescent="0.25">
      <c r="A50" s="215">
        <v>45120</v>
      </c>
      <c r="B50" s="1275" t="s">
        <v>3677</v>
      </c>
      <c r="C50" s="1276" t="s">
        <v>12</v>
      </c>
      <c r="D50" s="1276" t="s">
        <v>1486</v>
      </c>
      <c r="E50" s="1286" t="s">
        <v>13</v>
      </c>
      <c r="F50" s="780">
        <v>5.52</v>
      </c>
      <c r="G50" s="982"/>
      <c r="H50" s="1008"/>
      <c r="I50" s="1063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  <c r="V50" s="878"/>
    </row>
    <row r="51" spans="1:44" s="224" customFormat="1" ht="15" customHeight="1" x14ac:dyDescent="0.25">
      <c r="A51" s="215">
        <v>45121</v>
      </c>
      <c r="B51" s="882" t="s">
        <v>32</v>
      </c>
      <c r="C51" s="879" t="s">
        <v>12</v>
      </c>
      <c r="D51" s="879" t="s">
        <v>1485</v>
      </c>
      <c r="E51" s="871" t="s">
        <v>13</v>
      </c>
      <c r="F51" s="780">
        <v>20</v>
      </c>
      <c r="G51" s="982"/>
      <c r="H51" s="622"/>
      <c r="I51" s="982"/>
      <c r="J51" s="622"/>
      <c r="K51" s="1033"/>
      <c r="L51" s="622"/>
      <c r="M51" s="982"/>
      <c r="N51" s="622"/>
      <c r="O51" s="982"/>
      <c r="P51" s="1116"/>
      <c r="Q51" s="1736"/>
      <c r="R51" s="1116"/>
      <c r="S51" s="1207"/>
      <c r="T51" s="927"/>
      <c r="U51" s="927"/>
      <c r="V51" s="878"/>
    </row>
    <row r="52" spans="1:44" s="224" customFormat="1" x14ac:dyDescent="0.25">
      <c r="A52" s="215">
        <v>45121</v>
      </c>
      <c r="B52" s="1275" t="s">
        <v>82</v>
      </c>
      <c r="C52" s="1276" t="s">
        <v>12</v>
      </c>
      <c r="D52" s="1276" t="s">
        <v>1493</v>
      </c>
      <c r="E52" s="1277" t="s">
        <v>13</v>
      </c>
      <c r="F52" s="1873">
        <v>37</v>
      </c>
      <c r="G52" s="982"/>
      <c r="H52" s="1008"/>
      <c r="I52" s="1063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  <c r="V52" s="878"/>
    </row>
    <row r="53" spans="1:44" s="224" customFormat="1" x14ac:dyDescent="0.25">
      <c r="A53" s="215">
        <v>45122</v>
      </c>
      <c r="B53" s="1275" t="s">
        <v>2629</v>
      </c>
      <c r="C53" s="1276" t="s">
        <v>19</v>
      </c>
      <c r="D53" s="1276" t="s">
        <v>1489</v>
      </c>
      <c r="E53" s="1277" t="s">
        <v>13</v>
      </c>
      <c r="F53" s="1279">
        <v>72.3</v>
      </c>
      <c r="G53" s="982"/>
      <c r="H53" s="1008"/>
      <c r="I53" s="1063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861"/>
      <c r="V53" s="878"/>
    </row>
    <row r="54" spans="1:44" s="224" customFormat="1" ht="15" customHeight="1" x14ac:dyDescent="0.25">
      <c r="A54" s="215">
        <v>45122</v>
      </c>
      <c r="B54" s="1275" t="s">
        <v>3821</v>
      </c>
      <c r="C54" s="1276" t="s">
        <v>12</v>
      </c>
      <c r="D54" s="1276" t="s">
        <v>1493</v>
      </c>
      <c r="E54" s="1286" t="s">
        <v>13</v>
      </c>
      <c r="F54" s="613">
        <v>51</v>
      </c>
      <c r="G54" s="967"/>
      <c r="H54" s="1008"/>
      <c r="I54" s="1063"/>
      <c r="J54" s="613"/>
      <c r="K54" s="6"/>
      <c r="L54" s="622"/>
      <c r="M54" s="982"/>
      <c r="N54" s="622"/>
      <c r="O54" s="982"/>
      <c r="P54" s="872"/>
      <c r="Q54" s="1738"/>
      <c r="R54" s="613"/>
      <c r="S54" s="64"/>
      <c r="T54" s="1209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</row>
    <row r="55" spans="1:44" s="224" customFormat="1" ht="15" customHeight="1" x14ac:dyDescent="0.25">
      <c r="A55" s="215">
        <v>45123</v>
      </c>
      <c r="B55" s="1275" t="s">
        <v>14</v>
      </c>
      <c r="C55" s="1276" t="s">
        <v>12</v>
      </c>
      <c r="D55" s="1276" t="s">
        <v>1486</v>
      </c>
      <c r="E55" s="1286" t="s">
        <v>13</v>
      </c>
      <c r="F55" s="613">
        <v>5.21</v>
      </c>
      <c r="G55" s="967"/>
      <c r="H55" s="1008"/>
      <c r="I55" s="1063"/>
      <c r="J55" s="613"/>
      <c r="K55" s="6"/>
      <c r="L55" s="622"/>
      <c r="M55" s="982"/>
      <c r="N55" s="622"/>
      <c r="O55" s="982"/>
      <c r="P55" s="872"/>
      <c r="Q55" s="1738"/>
      <c r="R55" s="613"/>
      <c r="S55" s="64"/>
      <c r="T55" s="1209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</row>
    <row r="56" spans="1:44" s="224" customFormat="1" ht="15" customHeight="1" x14ac:dyDescent="0.25">
      <c r="A56" s="215">
        <v>45123</v>
      </c>
      <c r="B56" s="364" t="s">
        <v>3822</v>
      </c>
      <c r="C56" s="350" t="s">
        <v>12</v>
      </c>
      <c r="D56" s="350" t="s">
        <v>1491</v>
      </c>
      <c r="E56" s="875" t="s">
        <v>13</v>
      </c>
      <c r="F56" s="780">
        <v>16</v>
      </c>
      <c r="G56" s="982"/>
      <c r="H56" s="622"/>
      <c r="I56" s="982"/>
      <c r="J56" s="622"/>
      <c r="K56" s="982"/>
      <c r="L56" s="622"/>
      <c r="M56" s="982"/>
      <c r="N56" s="622"/>
      <c r="O56" s="982"/>
      <c r="P56" s="622"/>
      <c r="Q56" s="1063"/>
      <c r="R56" s="622"/>
      <c r="S56" s="982"/>
      <c r="T56" s="927"/>
      <c r="U56" s="927"/>
      <c r="V56" s="878"/>
    </row>
    <row r="57" spans="1:44" s="224" customFormat="1" ht="15" customHeight="1" x14ac:dyDescent="0.25">
      <c r="A57" s="215">
        <v>45123</v>
      </c>
      <c r="B57" s="364" t="s">
        <v>17</v>
      </c>
      <c r="C57" s="350" t="s">
        <v>12</v>
      </c>
      <c r="D57" s="350" t="s">
        <v>1493</v>
      </c>
      <c r="E57" s="875" t="s">
        <v>13</v>
      </c>
      <c r="F57" s="780">
        <v>6</v>
      </c>
      <c r="G57" s="982"/>
      <c r="H57" s="622"/>
      <c r="I57" s="982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927"/>
      <c r="U57" s="927"/>
      <c r="V57" s="878"/>
    </row>
    <row r="58" spans="1:44" s="224" customFormat="1" ht="15" customHeight="1" x14ac:dyDescent="0.25">
      <c r="A58" s="215">
        <v>45124</v>
      </c>
      <c r="B58" s="364" t="s">
        <v>3325</v>
      </c>
      <c r="C58" s="350" t="s">
        <v>12</v>
      </c>
      <c r="D58" s="350" t="s">
        <v>1504</v>
      </c>
      <c r="E58" s="875" t="s">
        <v>13</v>
      </c>
      <c r="F58" s="780">
        <v>38</v>
      </c>
      <c r="G58" s="982"/>
      <c r="H58" s="622"/>
      <c r="I58" s="982"/>
      <c r="J58" s="622"/>
      <c r="K58" s="982"/>
      <c r="L58" s="622"/>
      <c r="M58" s="982"/>
      <c r="N58" s="622"/>
      <c r="O58" s="1063"/>
      <c r="P58" s="622"/>
      <c r="Q58" s="982"/>
      <c r="R58" s="1817"/>
      <c r="S58" s="1115"/>
      <c r="T58" s="878"/>
    </row>
    <row r="59" spans="1:44" s="224" customFormat="1" ht="15" customHeight="1" x14ac:dyDescent="0.25">
      <c r="A59" s="215">
        <v>45124</v>
      </c>
      <c r="B59" s="882" t="s">
        <v>32</v>
      </c>
      <c r="C59" s="879" t="s">
        <v>12</v>
      </c>
      <c r="D59" s="879" t="s">
        <v>1485</v>
      </c>
      <c r="E59" s="871" t="s">
        <v>13</v>
      </c>
      <c r="F59" s="780">
        <v>20</v>
      </c>
      <c r="G59" s="982"/>
      <c r="H59" s="622"/>
      <c r="I59" s="982"/>
      <c r="J59" s="622"/>
      <c r="K59" s="1033"/>
      <c r="L59" s="622"/>
      <c r="M59" s="982"/>
      <c r="N59" s="622"/>
      <c r="O59" s="982"/>
      <c r="P59" s="1116"/>
      <c r="Q59" s="1736"/>
      <c r="R59" s="1116"/>
      <c r="S59" s="1207"/>
      <c r="T59" s="927"/>
      <c r="U59" s="927"/>
      <c r="V59" s="878"/>
    </row>
    <row r="60" spans="1:44" s="224" customFormat="1" ht="15" customHeight="1" x14ac:dyDescent="0.25">
      <c r="A60" s="215">
        <v>45124</v>
      </c>
      <c r="B60" s="882" t="s">
        <v>138</v>
      </c>
      <c r="C60" s="879" t="s">
        <v>12</v>
      </c>
      <c r="D60" s="879" t="s">
        <v>2157</v>
      </c>
      <c r="E60" s="871" t="s">
        <v>15</v>
      </c>
      <c r="F60" s="780">
        <v>100</v>
      </c>
      <c r="G60" s="967"/>
      <c r="H60" s="1008"/>
      <c r="I60" s="1063"/>
      <c r="J60" s="1110"/>
      <c r="K60" s="1207"/>
      <c r="L60" s="880"/>
      <c r="M60" s="1033"/>
      <c r="N60" s="880"/>
      <c r="O60" s="1033"/>
      <c r="P60" s="1116"/>
      <c r="Q60" s="1737"/>
      <c r="R60" s="613"/>
      <c r="S60" s="162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ht="15" customHeight="1" x14ac:dyDescent="0.25">
      <c r="A61" s="215">
        <v>45124</v>
      </c>
      <c r="B61" s="1275" t="s">
        <v>3677</v>
      </c>
      <c r="C61" s="1276" t="s">
        <v>12</v>
      </c>
      <c r="D61" s="1276" t="s">
        <v>1486</v>
      </c>
      <c r="E61" s="1286" t="s">
        <v>13</v>
      </c>
      <c r="F61" s="780">
        <v>7.35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1080"/>
      <c r="U61" s="927"/>
      <c r="V61" s="878"/>
    </row>
    <row r="62" spans="1:44" s="224" customFormat="1" ht="15" customHeight="1" x14ac:dyDescent="0.25">
      <c r="A62" s="215">
        <v>45125</v>
      </c>
      <c r="B62" s="364" t="s">
        <v>390</v>
      </c>
      <c r="C62" s="983" t="s">
        <v>12</v>
      </c>
      <c r="D62" s="350"/>
      <c r="E62" s="480" t="s">
        <v>13</v>
      </c>
      <c r="F62" s="780"/>
      <c r="G62" s="982">
        <v>500</v>
      </c>
      <c r="H62" s="1009">
        <v>500</v>
      </c>
      <c r="I62" s="982"/>
      <c r="J62" s="622"/>
      <c r="K62" s="982"/>
      <c r="L62" s="622"/>
      <c r="M62" s="982"/>
      <c r="N62" s="622"/>
      <c r="O62" s="982"/>
      <c r="P62" s="622"/>
      <c r="Q62" s="1063"/>
      <c r="R62" s="622"/>
      <c r="S62" s="982"/>
      <c r="T62" s="927"/>
      <c r="U62" s="927"/>
      <c r="V62" s="878"/>
    </row>
    <row r="63" spans="1:44" s="224" customFormat="1" ht="15" customHeight="1" x14ac:dyDescent="0.25">
      <c r="A63" s="215">
        <v>45125</v>
      </c>
      <c r="B63" s="882" t="s">
        <v>32</v>
      </c>
      <c r="C63" s="879" t="s">
        <v>12</v>
      </c>
      <c r="D63" s="879" t="s">
        <v>1485</v>
      </c>
      <c r="E63" s="871" t="s">
        <v>13</v>
      </c>
      <c r="F63" s="780">
        <v>20</v>
      </c>
      <c r="G63" s="982"/>
      <c r="H63" s="622"/>
      <c r="I63" s="982"/>
      <c r="J63" s="622"/>
      <c r="K63" s="1033"/>
      <c r="L63" s="622"/>
      <c r="M63" s="982"/>
      <c r="N63" s="622"/>
      <c r="O63" s="982"/>
      <c r="P63" s="1116"/>
      <c r="Q63" s="1736"/>
      <c r="R63" s="1116"/>
      <c r="S63" s="1207"/>
      <c r="T63" s="927"/>
      <c r="U63" s="927"/>
      <c r="V63" s="878"/>
    </row>
    <row r="64" spans="1:44" s="224" customFormat="1" ht="15" customHeight="1" x14ac:dyDescent="0.25">
      <c r="A64" s="215">
        <v>45125</v>
      </c>
      <c r="B64" s="882" t="s">
        <v>3823</v>
      </c>
      <c r="C64" s="350" t="s">
        <v>12</v>
      </c>
      <c r="D64" s="350" t="s">
        <v>1522</v>
      </c>
      <c r="E64" s="875" t="s">
        <v>13</v>
      </c>
      <c r="F64" s="780">
        <v>20</v>
      </c>
      <c r="G64" s="982"/>
      <c r="H64" s="622"/>
      <c r="I64" s="982"/>
      <c r="J64" s="622"/>
      <c r="K64" s="1033"/>
      <c r="L64" s="622"/>
      <c r="M64" s="982"/>
      <c r="N64" s="622"/>
      <c r="O64" s="982"/>
      <c r="P64" s="1116"/>
      <c r="Q64" s="1736"/>
      <c r="R64" s="1116"/>
      <c r="S64" s="1207"/>
      <c r="T64" s="927"/>
      <c r="U64" s="927"/>
      <c r="V64" s="878"/>
    </row>
    <row r="65" spans="1:28" s="224" customFormat="1" ht="15" customHeight="1" x14ac:dyDescent="0.25">
      <c r="A65" s="215">
        <v>45125</v>
      </c>
      <c r="B65" s="882" t="s">
        <v>443</v>
      </c>
      <c r="C65" s="350" t="s">
        <v>12</v>
      </c>
      <c r="D65" s="350" t="s">
        <v>1493</v>
      </c>
      <c r="E65" s="875" t="s">
        <v>13</v>
      </c>
      <c r="F65" s="780">
        <v>20</v>
      </c>
      <c r="G65" s="982"/>
      <c r="H65" s="622"/>
      <c r="I65" s="982"/>
      <c r="J65" s="622"/>
      <c r="K65" s="1033"/>
      <c r="L65" s="622"/>
      <c r="M65" s="982"/>
      <c r="N65" s="622"/>
      <c r="O65" s="982"/>
      <c r="P65" s="1116"/>
      <c r="Q65" s="1736"/>
      <c r="R65" s="1116"/>
      <c r="S65" s="1207"/>
      <c r="T65" s="927"/>
      <c r="U65" s="927"/>
      <c r="V65" s="878"/>
    </row>
    <row r="66" spans="1:28" s="224" customFormat="1" ht="15" customHeight="1" x14ac:dyDescent="0.25">
      <c r="A66" s="215">
        <v>45126</v>
      </c>
      <c r="B66" s="862" t="s">
        <v>3529</v>
      </c>
      <c r="C66" s="879" t="s">
        <v>12</v>
      </c>
      <c r="D66" s="879" t="s">
        <v>1504</v>
      </c>
      <c r="E66" s="871" t="s">
        <v>13</v>
      </c>
      <c r="F66" s="780">
        <v>40</v>
      </c>
      <c r="G66" s="946"/>
      <c r="H66" s="95"/>
      <c r="I66" s="1064"/>
      <c r="J66" s="622"/>
      <c r="K66" s="982"/>
      <c r="L66" s="622"/>
      <c r="M66" s="982"/>
      <c r="N66" s="622"/>
      <c r="O66" s="982"/>
      <c r="P66" s="622"/>
      <c r="Q66" s="1063"/>
      <c r="R66" s="622"/>
      <c r="S66" s="982"/>
      <c r="T66" s="1028"/>
      <c r="W66" s="958"/>
    </row>
    <row r="67" spans="1:28" s="224" customFormat="1" ht="15" customHeight="1" x14ac:dyDescent="0.25">
      <c r="A67" s="215">
        <v>45126</v>
      </c>
      <c r="B67" s="1275" t="s">
        <v>3824</v>
      </c>
      <c r="C67" s="1276" t="s">
        <v>12</v>
      </c>
      <c r="D67" s="1276" t="s">
        <v>1489</v>
      </c>
      <c r="E67" s="1286" t="s">
        <v>13</v>
      </c>
      <c r="F67" s="780">
        <v>30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1080"/>
      <c r="U67" s="927"/>
      <c r="V67" s="878"/>
    </row>
    <row r="68" spans="1:28" s="224" customFormat="1" ht="15" customHeight="1" x14ac:dyDescent="0.25">
      <c r="A68" s="215">
        <v>45126</v>
      </c>
      <c r="B68" s="1275" t="s">
        <v>3825</v>
      </c>
      <c r="C68" s="1276" t="s">
        <v>12</v>
      </c>
      <c r="D68" s="1276" t="s">
        <v>1489</v>
      </c>
      <c r="E68" s="1286" t="s">
        <v>13</v>
      </c>
      <c r="F68" s="780">
        <v>60</v>
      </c>
      <c r="G68" s="982"/>
      <c r="H68" s="622"/>
      <c r="I68" s="982"/>
      <c r="J68" s="622"/>
      <c r="K68" s="982"/>
      <c r="L68" s="622"/>
      <c r="M68" s="982"/>
      <c r="N68" s="622"/>
      <c r="O68" s="982"/>
      <c r="P68" s="622"/>
      <c r="Q68" s="1063"/>
      <c r="R68" s="622"/>
      <c r="S68" s="982"/>
      <c r="T68" s="1080"/>
      <c r="U68" s="927"/>
      <c r="V68" s="878"/>
    </row>
    <row r="69" spans="1:28" s="224" customFormat="1" ht="15" customHeight="1" x14ac:dyDescent="0.25">
      <c r="A69" s="215">
        <v>45127</v>
      </c>
      <c r="B69" s="882" t="s">
        <v>3826</v>
      </c>
      <c r="C69" s="350" t="s">
        <v>12</v>
      </c>
      <c r="D69" s="350"/>
      <c r="E69" s="480" t="s">
        <v>25</v>
      </c>
      <c r="F69" s="622"/>
      <c r="G69" s="982">
        <v>2100</v>
      </c>
      <c r="H69" s="1008"/>
      <c r="I69" s="1063"/>
      <c r="J69" s="622"/>
      <c r="K69" s="982"/>
      <c r="L69" s="622"/>
      <c r="M69" s="982"/>
      <c r="N69" s="622"/>
      <c r="O69" s="982"/>
      <c r="P69" s="622"/>
      <c r="Q69" s="1063"/>
      <c r="R69" s="622"/>
      <c r="S69" s="982"/>
      <c r="T69" s="861"/>
    </row>
    <row r="70" spans="1:28" s="224" customFormat="1" ht="15" customHeight="1" x14ac:dyDescent="0.25">
      <c r="A70" s="215">
        <v>45127</v>
      </c>
      <c r="B70" s="862" t="s">
        <v>2867</v>
      </c>
      <c r="C70" s="350" t="s">
        <v>12</v>
      </c>
      <c r="D70" s="874" t="s">
        <v>1504</v>
      </c>
      <c r="E70" s="887" t="s">
        <v>13</v>
      </c>
      <c r="F70" s="780">
        <v>30</v>
      </c>
      <c r="G70" s="982"/>
      <c r="H70" s="1009"/>
      <c r="I70" s="1063"/>
      <c r="J70" s="853"/>
      <c r="K70" s="982"/>
      <c r="L70" s="853"/>
      <c r="M70" s="982"/>
      <c r="N70" s="853"/>
      <c r="O70" s="982"/>
      <c r="P70" s="622"/>
      <c r="Q70" s="1063"/>
      <c r="R70" s="622"/>
      <c r="S70" s="982"/>
      <c r="T70" s="1690"/>
      <c r="U70" s="1690"/>
      <c r="V70" s="1690"/>
      <c r="W70" s="1690"/>
      <c r="X70" s="1690"/>
      <c r="Y70" s="1690"/>
      <c r="Z70" s="1690"/>
      <c r="AA70" s="1690"/>
      <c r="AB70" s="1690"/>
    </row>
    <row r="71" spans="1:28" s="224" customFormat="1" ht="14.25" customHeight="1" x14ac:dyDescent="0.25">
      <c r="A71" s="215">
        <v>45127</v>
      </c>
      <c r="B71" s="364" t="s">
        <v>2977</v>
      </c>
      <c r="C71" s="350" t="s">
        <v>12</v>
      </c>
      <c r="D71" s="350" t="s">
        <v>1491</v>
      </c>
      <c r="E71" s="875" t="s">
        <v>13</v>
      </c>
      <c r="F71" s="1047">
        <v>300</v>
      </c>
      <c r="G71" s="982"/>
      <c r="H71" s="1008"/>
      <c r="I71" s="1063"/>
      <c r="J71" s="622"/>
      <c r="K71" s="982"/>
      <c r="L71" s="622"/>
      <c r="M71" s="982"/>
      <c r="N71" s="622"/>
      <c r="O71" s="982"/>
      <c r="P71" s="622"/>
      <c r="Q71" s="1063"/>
      <c r="R71" s="622"/>
      <c r="S71" s="982"/>
      <c r="T71" s="1029"/>
      <c r="U71" s="89"/>
      <c r="V71" s="930"/>
    </row>
    <row r="72" spans="1:28" s="224" customFormat="1" ht="15" customHeight="1" x14ac:dyDescent="0.25">
      <c r="A72" s="215">
        <v>45127</v>
      </c>
      <c r="B72" s="349" t="s">
        <v>3827</v>
      </c>
      <c r="C72" s="887" t="s">
        <v>12</v>
      </c>
      <c r="D72" s="350"/>
      <c r="E72" s="887" t="s">
        <v>13</v>
      </c>
      <c r="F72" s="613">
        <v>24</v>
      </c>
      <c r="G72" s="982"/>
      <c r="H72" s="872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927"/>
      <c r="U72" s="999"/>
      <c r="V72" s="878"/>
    </row>
    <row r="73" spans="1:28" s="224" customFormat="1" ht="15" customHeight="1" x14ac:dyDescent="0.25">
      <c r="A73" s="215">
        <v>45127</v>
      </c>
      <c r="B73" s="349" t="s">
        <v>3827</v>
      </c>
      <c r="C73" s="887" t="s">
        <v>12</v>
      </c>
      <c r="D73" s="1005"/>
      <c r="E73" s="887" t="s">
        <v>13</v>
      </c>
      <c r="F73" s="1116">
        <v>24</v>
      </c>
      <c r="G73" s="982"/>
      <c r="H73" s="872"/>
      <c r="I73" s="1063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927"/>
      <c r="U73" s="999"/>
      <c r="V73" s="878"/>
    </row>
    <row r="74" spans="1:28" s="224" customFormat="1" ht="15" customHeight="1" x14ac:dyDescent="0.25">
      <c r="A74" s="215">
        <v>45127</v>
      </c>
      <c r="B74" s="349" t="s">
        <v>3827</v>
      </c>
      <c r="C74" s="887" t="s">
        <v>12</v>
      </c>
      <c r="D74" s="350" t="s">
        <v>1522</v>
      </c>
      <c r="E74" s="887" t="s">
        <v>13</v>
      </c>
      <c r="F74" s="613">
        <v>120</v>
      </c>
      <c r="G74" s="982"/>
      <c r="H74" s="872"/>
      <c r="I74" s="1063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927"/>
      <c r="U74" s="999"/>
      <c r="V74" s="878"/>
    </row>
    <row r="75" spans="1:28" s="224" customFormat="1" ht="15" customHeight="1" x14ac:dyDescent="0.25">
      <c r="A75" s="215">
        <v>45127</v>
      </c>
      <c r="B75" s="349" t="s">
        <v>3827</v>
      </c>
      <c r="C75" s="887" t="s">
        <v>12</v>
      </c>
      <c r="D75" s="1005" t="s">
        <v>1525</v>
      </c>
      <c r="E75" s="887" t="s">
        <v>13</v>
      </c>
      <c r="F75" s="1116">
        <v>52</v>
      </c>
      <c r="G75" s="982"/>
      <c r="H75" s="872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927"/>
      <c r="U75" s="999"/>
      <c r="V75" s="878"/>
    </row>
    <row r="76" spans="1:28" s="224" customFormat="1" ht="15" customHeight="1" x14ac:dyDescent="0.25">
      <c r="A76" s="215">
        <v>45127</v>
      </c>
      <c r="B76" s="349" t="s">
        <v>3827</v>
      </c>
      <c r="C76" s="887" t="s">
        <v>12</v>
      </c>
      <c r="D76" s="350" t="s">
        <v>1506</v>
      </c>
      <c r="E76" s="887" t="s">
        <v>13</v>
      </c>
      <c r="F76" s="613">
        <v>48</v>
      </c>
      <c r="G76" s="982"/>
      <c r="H76" s="872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927"/>
      <c r="U76" s="999"/>
      <c r="V76" s="878"/>
    </row>
    <row r="77" spans="1:28" s="224" customFormat="1" ht="15" customHeight="1" x14ac:dyDescent="0.25">
      <c r="A77" s="215">
        <v>45127</v>
      </c>
      <c r="B77" s="349" t="s">
        <v>3827</v>
      </c>
      <c r="C77" s="887" t="s">
        <v>12</v>
      </c>
      <c r="D77" s="350" t="s">
        <v>1489</v>
      </c>
      <c r="E77" s="887" t="s">
        <v>13</v>
      </c>
      <c r="F77" s="613">
        <v>88</v>
      </c>
      <c r="G77" s="982"/>
      <c r="H77" s="872"/>
      <c r="I77" s="1063"/>
      <c r="J77" s="622"/>
      <c r="K77" s="982"/>
      <c r="L77" s="622"/>
      <c r="M77" s="982"/>
      <c r="N77" s="622"/>
      <c r="O77" s="982"/>
      <c r="P77" s="622"/>
      <c r="Q77" s="1063"/>
      <c r="R77" s="622"/>
      <c r="S77" s="982"/>
      <c r="T77" s="927"/>
      <c r="U77" s="999"/>
      <c r="V77" s="878"/>
    </row>
    <row r="78" spans="1:28" s="224" customFormat="1" ht="15" customHeight="1" x14ac:dyDescent="0.25">
      <c r="A78" s="215">
        <v>45127</v>
      </c>
      <c r="B78" s="882" t="s">
        <v>3828</v>
      </c>
      <c r="C78" s="879" t="s">
        <v>12</v>
      </c>
      <c r="D78" s="879" t="s">
        <v>1499</v>
      </c>
      <c r="E78" s="871" t="s">
        <v>13</v>
      </c>
      <c r="F78" s="613">
        <v>35.409999999999997</v>
      </c>
      <c r="G78" s="982"/>
      <c r="H78" s="1008"/>
      <c r="I78" s="1063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861"/>
      <c r="V78" s="1123"/>
      <c r="W78" s="999"/>
    </row>
    <row r="79" spans="1:28" s="224" customFormat="1" ht="15" customHeight="1" x14ac:dyDescent="0.25">
      <c r="A79" s="215">
        <v>45127</v>
      </c>
      <c r="B79" s="882" t="s">
        <v>32</v>
      </c>
      <c r="C79" s="879" t="s">
        <v>12</v>
      </c>
      <c r="D79" s="879" t="s">
        <v>1485</v>
      </c>
      <c r="E79" s="871" t="s">
        <v>13</v>
      </c>
      <c r="F79" s="780">
        <v>20</v>
      </c>
      <c r="G79" s="982"/>
      <c r="H79" s="622"/>
      <c r="I79" s="982"/>
      <c r="J79" s="622"/>
      <c r="K79" s="1033"/>
      <c r="L79" s="622"/>
      <c r="M79" s="982"/>
      <c r="N79" s="622"/>
      <c r="O79" s="982"/>
      <c r="P79" s="1116"/>
      <c r="Q79" s="1736"/>
      <c r="R79" s="1116"/>
      <c r="S79" s="1207"/>
      <c r="T79" s="927"/>
      <c r="U79" s="927"/>
      <c r="V79" s="878"/>
    </row>
    <row r="80" spans="1:28" s="224" customFormat="1" ht="15" customHeight="1" x14ac:dyDescent="0.25">
      <c r="A80" s="215">
        <v>45128</v>
      </c>
      <c r="B80" s="882" t="s">
        <v>3829</v>
      </c>
      <c r="C80" s="879" t="s">
        <v>12</v>
      </c>
      <c r="D80" s="879" t="s">
        <v>1523</v>
      </c>
      <c r="E80" s="875" t="s">
        <v>13</v>
      </c>
      <c r="F80" s="780">
        <v>25</v>
      </c>
      <c r="G80" s="982"/>
      <c r="H80" s="622"/>
      <c r="I80" s="982"/>
      <c r="J80" s="622"/>
      <c r="K80" s="982"/>
      <c r="L80" s="622"/>
      <c r="M80" s="982"/>
      <c r="N80" s="622"/>
      <c r="O80" s="982"/>
      <c r="P80" s="880"/>
      <c r="Q80" s="1525"/>
      <c r="R80" s="880"/>
      <c r="S80" s="1033"/>
      <c r="T80" s="927"/>
      <c r="V80" s="878"/>
    </row>
    <row r="81" spans="1:44" s="224" customFormat="1" ht="15" customHeight="1" x14ac:dyDescent="0.25">
      <c r="A81" s="215">
        <v>45128</v>
      </c>
      <c r="B81" s="882" t="s">
        <v>32</v>
      </c>
      <c r="C81" s="879" t="s">
        <v>12</v>
      </c>
      <c r="D81" s="879" t="s">
        <v>1485</v>
      </c>
      <c r="E81" s="871" t="s">
        <v>13</v>
      </c>
      <c r="F81" s="780">
        <v>20</v>
      </c>
      <c r="G81" s="982"/>
      <c r="H81" s="622"/>
      <c r="I81" s="982"/>
      <c r="J81" s="622"/>
      <c r="K81" s="1033"/>
      <c r="L81" s="622"/>
      <c r="M81" s="982"/>
      <c r="N81" s="622"/>
      <c r="O81" s="982"/>
      <c r="P81" s="1116"/>
      <c r="Q81" s="1736"/>
      <c r="R81" s="1116"/>
      <c r="S81" s="1207"/>
      <c r="T81" s="927"/>
      <c r="U81" s="927"/>
      <c r="V81" s="878"/>
    </row>
    <row r="82" spans="1:44" s="224" customFormat="1" ht="15" customHeight="1" x14ac:dyDescent="0.25">
      <c r="A82" s="215">
        <v>45128</v>
      </c>
      <c r="B82" s="1275" t="s">
        <v>14</v>
      </c>
      <c r="C82" s="1276" t="s">
        <v>12</v>
      </c>
      <c r="D82" s="1276" t="s">
        <v>1486</v>
      </c>
      <c r="E82" s="1286" t="s">
        <v>13</v>
      </c>
      <c r="F82" s="780">
        <v>11.27</v>
      </c>
      <c r="G82" s="946"/>
      <c r="H82" s="95"/>
      <c r="I82" s="1064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861"/>
    </row>
    <row r="83" spans="1:44" s="224" customFormat="1" ht="15" customHeight="1" x14ac:dyDescent="0.25">
      <c r="A83" s="215">
        <v>45129</v>
      </c>
      <c r="B83" s="1275" t="s">
        <v>14</v>
      </c>
      <c r="C83" s="1276" t="s">
        <v>12</v>
      </c>
      <c r="D83" s="1276" t="s">
        <v>1486</v>
      </c>
      <c r="E83" s="1286" t="s">
        <v>13</v>
      </c>
      <c r="F83" s="780">
        <v>10.17</v>
      </c>
      <c r="G83" s="946"/>
      <c r="H83" s="95"/>
      <c r="I83" s="1064"/>
      <c r="J83" s="622"/>
      <c r="K83" s="982"/>
      <c r="L83" s="622"/>
      <c r="M83" s="982"/>
      <c r="N83" s="622"/>
      <c r="O83" s="982"/>
      <c r="P83" s="622"/>
      <c r="Q83" s="1063"/>
      <c r="R83" s="622"/>
      <c r="S83" s="982"/>
      <c r="T83" s="861"/>
    </row>
    <row r="84" spans="1:44" s="224" customFormat="1" ht="15" customHeight="1" x14ac:dyDescent="0.25">
      <c r="A84" s="215">
        <v>45129</v>
      </c>
      <c r="B84" s="1275" t="s">
        <v>82</v>
      </c>
      <c r="C84" s="1276" t="s">
        <v>12</v>
      </c>
      <c r="D84" s="1276" t="s">
        <v>1493</v>
      </c>
      <c r="E84" s="1286" t="s">
        <v>13</v>
      </c>
      <c r="F84" s="780">
        <v>30</v>
      </c>
      <c r="G84" s="946"/>
      <c r="H84" s="95"/>
      <c r="I84" s="1064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861"/>
    </row>
    <row r="85" spans="1:44" s="224" customFormat="1" ht="15" customHeight="1" x14ac:dyDescent="0.25">
      <c r="A85" s="215">
        <v>45130</v>
      </c>
      <c r="B85" s="1275" t="s">
        <v>14</v>
      </c>
      <c r="C85" s="1276" t="s">
        <v>12</v>
      </c>
      <c r="D85" s="1276" t="s">
        <v>1486</v>
      </c>
      <c r="E85" s="1286" t="s">
        <v>13</v>
      </c>
      <c r="F85" s="780">
        <v>9.02</v>
      </c>
      <c r="G85" s="946"/>
      <c r="H85" s="95"/>
      <c r="I85" s="1064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861"/>
    </row>
    <row r="86" spans="1:44" s="224" customFormat="1" ht="15" customHeight="1" x14ac:dyDescent="0.25">
      <c r="A86" s="215">
        <v>45130</v>
      </c>
      <c r="B86" s="882" t="s">
        <v>138</v>
      </c>
      <c r="C86" s="879" t="s">
        <v>12</v>
      </c>
      <c r="D86" s="879" t="s">
        <v>2157</v>
      </c>
      <c r="E86" s="871" t="s">
        <v>13</v>
      </c>
      <c r="F86" s="780">
        <v>100</v>
      </c>
      <c r="G86" s="967"/>
      <c r="H86" s="1008"/>
      <c r="I86" s="1063"/>
      <c r="J86" s="1110"/>
      <c r="K86" s="1207"/>
      <c r="L86" s="880"/>
      <c r="M86" s="1033"/>
      <c r="N86" s="880"/>
      <c r="O86" s="1033"/>
      <c r="P86" s="1116"/>
      <c r="Q86" s="1737"/>
      <c r="R86" s="613"/>
      <c r="S86" s="162"/>
      <c r="T86" s="1209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</row>
    <row r="87" spans="1:44" s="224" customFormat="1" ht="15" customHeight="1" x14ac:dyDescent="0.25">
      <c r="A87" s="215">
        <v>45130</v>
      </c>
      <c r="B87" s="882" t="s">
        <v>3830</v>
      </c>
      <c r="C87" s="879" t="s">
        <v>19</v>
      </c>
      <c r="D87" s="879" t="s">
        <v>1506</v>
      </c>
      <c r="E87" s="875" t="s">
        <v>13</v>
      </c>
      <c r="F87" s="780">
        <v>150</v>
      </c>
      <c r="G87" s="982"/>
      <c r="H87" s="622"/>
      <c r="I87" s="982"/>
      <c r="J87" s="622"/>
      <c r="K87" s="982"/>
      <c r="L87" s="622"/>
      <c r="M87" s="982"/>
      <c r="N87" s="622"/>
      <c r="O87" s="982"/>
      <c r="P87" s="880"/>
      <c r="Q87" s="1525"/>
      <c r="R87" s="880"/>
      <c r="S87" s="1033"/>
      <c r="T87" s="927"/>
      <c r="V87" s="878"/>
    </row>
    <row r="88" spans="1:44" s="224" customFormat="1" ht="15" customHeight="1" x14ac:dyDescent="0.25">
      <c r="A88" s="215">
        <v>45130</v>
      </c>
      <c r="B88" s="882" t="s">
        <v>443</v>
      </c>
      <c r="C88" s="879" t="s">
        <v>12</v>
      </c>
      <c r="D88" s="879" t="s">
        <v>1493</v>
      </c>
      <c r="E88" s="875" t="s">
        <v>13</v>
      </c>
      <c r="F88" s="780">
        <v>19.899999999999999</v>
      </c>
      <c r="G88" s="982"/>
      <c r="H88" s="622"/>
      <c r="I88" s="982"/>
      <c r="J88" s="622"/>
      <c r="K88" s="982"/>
      <c r="L88" s="622"/>
      <c r="M88" s="982"/>
      <c r="N88" s="622"/>
      <c r="O88" s="982"/>
      <c r="P88" s="880"/>
      <c r="Q88" s="1525"/>
      <c r="R88" s="880"/>
      <c r="S88" s="1033"/>
      <c r="T88" s="927"/>
      <c r="V88" s="878"/>
    </row>
    <row r="89" spans="1:44" s="224" customFormat="1" ht="15" customHeight="1" x14ac:dyDescent="0.25">
      <c r="A89" s="215">
        <v>45131</v>
      </c>
      <c r="B89" s="882" t="s">
        <v>32</v>
      </c>
      <c r="C89" s="879" t="s">
        <v>12</v>
      </c>
      <c r="D89" s="879" t="s">
        <v>1485</v>
      </c>
      <c r="E89" s="871" t="s">
        <v>13</v>
      </c>
      <c r="F89" s="780">
        <v>20</v>
      </c>
      <c r="G89" s="982"/>
      <c r="H89" s="622"/>
      <c r="I89" s="982"/>
      <c r="J89" s="622"/>
      <c r="K89" s="1033"/>
      <c r="L89" s="622"/>
      <c r="M89" s="982"/>
      <c r="N89" s="622"/>
      <c r="O89" s="982"/>
      <c r="P89" s="1116"/>
      <c r="Q89" s="1736"/>
      <c r="R89" s="1116"/>
      <c r="S89" s="1207"/>
      <c r="T89" s="927"/>
      <c r="U89" s="927"/>
      <c r="V89" s="878"/>
    </row>
    <row r="90" spans="1:44" s="224" customFormat="1" ht="15" customHeight="1" x14ac:dyDescent="0.25">
      <c r="A90" s="215">
        <v>45132</v>
      </c>
      <c r="B90" s="882" t="s">
        <v>32</v>
      </c>
      <c r="C90" s="879" t="s">
        <v>12</v>
      </c>
      <c r="D90" s="879" t="s">
        <v>1485</v>
      </c>
      <c r="E90" s="871" t="s">
        <v>13</v>
      </c>
      <c r="F90" s="780">
        <v>20</v>
      </c>
      <c r="G90" s="982"/>
      <c r="H90" s="622"/>
      <c r="I90" s="982"/>
      <c r="J90" s="622"/>
      <c r="K90" s="1033"/>
      <c r="L90" s="622"/>
      <c r="M90" s="982"/>
      <c r="N90" s="622"/>
      <c r="O90" s="982"/>
      <c r="P90" s="1116"/>
      <c r="Q90" s="1736"/>
      <c r="R90" s="1116"/>
      <c r="S90" s="1207"/>
      <c r="T90" s="927"/>
      <c r="U90" s="927"/>
      <c r="V90" s="878"/>
    </row>
    <row r="91" spans="1:44" s="224" customFormat="1" ht="15" customHeight="1" x14ac:dyDescent="0.25">
      <c r="A91" s="215">
        <v>45132</v>
      </c>
      <c r="B91" s="1275" t="s">
        <v>14</v>
      </c>
      <c r="C91" s="1276" t="s">
        <v>12</v>
      </c>
      <c r="D91" s="1276" t="s">
        <v>1486</v>
      </c>
      <c r="E91" s="1286" t="s">
        <v>13</v>
      </c>
      <c r="F91" s="780">
        <v>13.14</v>
      </c>
      <c r="G91" s="946"/>
      <c r="H91" s="95"/>
      <c r="I91" s="1064"/>
      <c r="J91" s="622"/>
      <c r="K91" s="982"/>
      <c r="L91" s="622"/>
      <c r="M91" s="982"/>
      <c r="N91" s="622"/>
      <c r="O91" s="982"/>
      <c r="P91" s="613"/>
      <c r="Q91" s="1738"/>
      <c r="R91" s="613"/>
      <c r="S91" s="64"/>
      <c r="T91" s="1028"/>
      <c r="W91" s="958"/>
    </row>
    <row r="92" spans="1:44" s="224" customFormat="1" ht="15" customHeight="1" x14ac:dyDescent="0.25">
      <c r="A92" s="215">
        <v>45133</v>
      </c>
      <c r="B92" s="882" t="s">
        <v>32</v>
      </c>
      <c r="C92" s="879" t="s">
        <v>12</v>
      </c>
      <c r="D92" s="879" t="s">
        <v>1485</v>
      </c>
      <c r="E92" s="871" t="s">
        <v>13</v>
      </c>
      <c r="F92" s="780">
        <v>20</v>
      </c>
      <c r="G92" s="982"/>
      <c r="H92" s="622"/>
      <c r="I92" s="982"/>
      <c r="J92" s="622"/>
      <c r="K92" s="1033"/>
      <c r="L92" s="622"/>
      <c r="M92" s="982"/>
      <c r="N92" s="880"/>
      <c r="O92" s="1033"/>
      <c r="P92" s="1116"/>
      <c r="Q92" s="1736"/>
      <c r="R92" s="1116"/>
      <c r="S92" s="1207"/>
      <c r="T92" s="927"/>
      <c r="U92" s="927"/>
      <c r="V92" s="878"/>
    </row>
    <row r="93" spans="1:44" s="224" customFormat="1" ht="15" customHeight="1" x14ac:dyDescent="0.25">
      <c r="A93" s="215">
        <v>45133</v>
      </c>
      <c r="B93" s="882" t="s">
        <v>134</v>
      </c>
      <c r="C93" s="879" t="s">
        <v>12</v>
      </c>
      <c r="D93" s="879" t="s">
        <v>1493</v>
      </c>
      <c r="E93" s="871" t="s">
        <v>13</v>
      </c>
      <c r="F93" s="780">
        <v>6.75</v>
      </c>
      <c r="G93" s="946"/>
      <c r="H93" s="95"/>
      <c r="I93" s="1064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1028"/>
      <c r="W93" s="958"/>
    </row>
    <row r="94" spans="1:44" s="224" customFormat="1" ht="15" customHeight="1" x14ac:dyDescent="0.25">
      <c r="A94" s="215">
        <v>45134</v>
      </c>
      <c r="B94" s="882" t="s">
        <v>32</v>
      </c>
      <c r="C94" s="879" t="s">
        <v>12</v>
      </c>
      <c r="D94" s="879" t="s">
        <v>1485</v>
      </c>
      <c r="E94" s="871" t="s">
        <v>13</v>
      </c>
      <c r="F94" s="780">
        <v>20</v>
      </c>
      <c r="G94" s="982"/>
      <c r="H94" s="622"/>
      <c r="I94" s="982"/>
      <c r="J94" s="622"/>
      <c r="K94" s="1033"/>
      <c r="L94" s="622"/>
      <c r="M94" s="982"/>
      <c r="N94" s="622"/>
      <c r="O94" s="982"/>
      <c r="P94" s="1116"/>
      <c r="Q94" s="1736"/>
      <c r="R94" s="1116"/>
      <c r="S94" s="1207"/>
      <c r="T94" s="927"/>
      <c r="U94" s="927"/>
      <c r="V94" s="878"/>
    </row>
    <row r="95" spans="1:44" s="224" customFormat="1" ht="15" customHeight="1" x14ac:dyDescent="0.25">
      <c r="A95" s="215">
        <v>45134</v>
      </c>
      <c r="B95" s="882" t="s">
        <v>134</v>
      </c>
      <c r="C95" s="879" t="s">
        <v>12</v>
      </c>
      <c r="D95" s="879" t="s">
        <v>1493</v>
      </c>
      <c r="E95" s="871" t="s">
        <v>13</v>
      </c>
      <c r="F95" s="780">
        <v>6.8</v>
      </c>
      <c r="G95" s="982"/>
      <c r="H95" s="622"/>
      <c r="I95" s="982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1028"/>
      <c r="U95" s="959"/>
      <c r="V95" s="878"/>
      <c r="W95" s="958"/>
    </row>
    <row r="96" spans="1:44" s="224" customFormat="1" ht="15" customHeight="1" x14ac:dyDescent="0.25">
      <c r="A96" s="215">
        <v>45135</v>
      </c>
      <c r="B96" s="882" t="s">
        <v>32</v>
      </c>
      <c r="C96" s="879" t="s">
        <v>12</v>
      </c>
      <c r="D96" s="879" t="s">
        <v>1485</v>
      </c>
      <c r="E96" s="871" t="s">
        <v>13</v>
      </c>
      <c r="F96" s="780">
        <v>20</v>
      </c>
      <c r="G96" s="982"/>
      <c r="H96" s="1008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861"/>
      <c r="V96" s="1035"/>
    </row>
    <row r="97" spans="1:44" s="224" customFormat="1" x14ac:dyDescent="0.25">
      <c r="A97" s="215">
        <v>45135</v>
      </c>
      <c r="B97" s="1275" t="s">
        <v>3831</v>
      </c>
      <c r="C97" s="1276" t="s">
        <v>12</v>
      </c>
      <c r="D97" s="1276"/>
      <c r="E97" s="1277" t="s">
        <v>25</v>
      </c>
      <c r="F97" s="1279"/>
      <c r="G97" s="982">
        <v>150</v>
      </c>
      <c r="H97" s="1008"/>
      <c r="I97" s="1063"/>
      <c r="J97" s="622"/>
      <c r="K97" s="982"/>
      <c r="L97" s="622"/>
      <c r="M97" s="982"/>
      <c r="N97" s="622"/>
      <c r="O97" s="1063"/>
      <c r="P97" s="622"/>
      <c r="Q97" s="1063"/>
      <c r="R97" s="622"/>
      <c r="S97" s="982"/>
      <c r="T97" s="861"/>
      <c r="V97" s="878"/>
    </row>
    <row r="98" spans="1:44" s="224" customFormat="1" ht="15" customHeight="1" x14ac:dyDescent="0.25">
      <c r="A98" s="215">
        <v>45135</v>
      </c>
      <c r="B98" s="364" t="s">
        <v>398</v>
      </c>
      <c r="C98" s="983" t="s">
        <v>12</v>
      </c>
      <c r="D98" s="350"/>
      <c r="E98" s="480" t="s">
        <v>13</v>
      </c>
      <c r="F98" s="780">
        <v>700</v>
      </c>
      <c r="G98" s="982"/>
      <c r="H98" s="1009"/>
      <c r="I98" s="982">
        <v>700</v>
      </c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927"/>
      <c r="U98" s="927"/>
      <c r="V98" s="878"/>
    </row>
    <row r="99" spans="1:44" s="224" customFormat="1" ht="15" customHeight="1" x14ac:dyDescent="0.25">
      <c r="A99" s="215">
        <v>45135</v>
      </c>
      <c r="B99" s="349" t="s">
        <v>3832</v>
      </c>
      <c r="C99" s="350" t="s">
        <v>12</v>
      </c>
      <c r="D99" s="350"/>
      <c r="E99" s="480"/>
      <c r="F99" s="780"/>
      <c r="G99" s="946"/>
      <c r="H99" s="95"/>
      <c r="I99" s="1064"/>
      <c r="J99" s="622"/>
      <c r="K99" s="982"/>
      <c r="L99" s="622"/>
      <c r="M99" s="982"/>
      <c r="N99" s="622"/>
      <c r="O99" s="982"/>
      <c r="P99" s="622"/>
      <c r="Q99" s="1063"/>
      <c r="R99" s="622"/>
      <c r="S99" s="982">
        <v>930.11</v>
      </c>
      <c r="T99" s="861"/>
      <c r="V99" s="927"/>
      <c r="W99" s="999"/>
    </row>
    <row r="100" spans="1:44" s="1274" customFormat="1" ht="15" customHeight="1" x14ac:dyDescent="0.25">
      <c r="A100" s="215">
        <v>45136</v>
      </c>
      <c r="B100" s="1289" t="s">
        <v>2096</v>
      </c>
      <c r="C100" s="1276" t="s">
        <v>12</v>
      </c>
      <c r="D100" s="1276" t="s">
        <v>1506</v>
      </c>
      <c r="E100" s="1277" t="s">
        <v>15</v>
      </c>
      <c r="F100" s="1279">
        <v>50</v>
      </c>
      <c r="G100" s="1278"/>
      <c r="H100" s="1282"/>
      <c r="I100" s="1283"/>
      <c r="J100" s="1279"/>
      <c r="K100" s="1278"/>
      <c r="L100" s="1279"/>
      <c r="M100" s="1278"/>
      <c r="N100" s="1279"/>
      <c r="O100" s="1278"/>
      <c r="P100" s="1279"/>
      <c r="Q100" s="1283"/>
      <c r="R100" s="1741"/>
      <c r="S100" s="1743"/>
      <c r="T100" s="1281"/>
      <c r="U100" s="1294"/>
    </row>
    <row r="101" spans="1:44" s="224" customFormat="1" ht="15" customHeight="1" x14ac:dyDescent="0.25">
      <c r="A101" s="215">
        <v>45136</v>
      </c>
      <c r="B101" s="349" t="s">
        <v>2629</v>
      </c>
      <c r="C101" s="350" t="s">
        <v>19</v>
      </c>
      <c r="D101" s="350" t="s">
        <v>1489</v>
      </c>
      <c r="E101" s="480" t="s">
        <v>13</v>
      </c>
      <c r="F101" s="780">
        <v>88.37</v>
      </c>
      <c r="G101" s="946"/>
      <c r="H101" s="95"/>
      <c r="I101" s="1064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861"/>
      <c r="V101" s="927"/>
      <c r="W101" s="999"/>
    </row>
    <row r="102" spans="1:44" s="224" customFormat="1" ht="15" customHeight="1" x14ac:dyDescent="0.25">
      <c r="A102" s="215">
        <v>45136</v>
      </c>
      <c r="B102" s="882" t="s">
        <v>32</v>
      </c>
      <c r="C102" s="879" t="s">
        <v>12</v>
      </c>
      <c r="D102" s="879" t="s">
        <v>1485</v>
      </c>
      <c r="E102" s="871" t="s">
        <v>13</v>
      </c>
      <c r="F102" s="780">
        <v>22</v>
      </c>
      <c r="G102" s="982"/>
      <c r="H102" s="1008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  <c r="V102" s="1035"/>
    </row>
    <row r="103" spans="1:44" s="224" customFormat="1" ht="15" customHeight="1" x14ac:dyDescent="0.25">
      <c r="A103" s="215">
        <v>45136</v>
      </c>
      <c r="B103" s="882" t="s">
        <v>138</v>
      </c>
      <c r="C103" s="879" t="s">
        <v>12</v>
      </c>
      <c r="D103" s="879" t="s">
        <v>2157</v>
      </c>
      <c r="E103" s="871" t="s">
        <v>15</v>
      </c>
      <c r="F103" s="780">
        <v>50</v>
      </c>
      <c r="G103" s="967"/>
      <c r="H103" s="1008"/>
      <c r="I103" s="1063"/>
      <c r="J103" s="1110"/>
      <c r="K103" s="1207"/>
      <c r="L103" s="880"/>
      <c r="M103" s="1033"/>
      <c r="N103" s="880"/>
      <c r="O103" s="1033"/>
      <c r="P103" s="1116"/>
      <c r="Q103" s="1737"/>
      <c r="R103" s="613"/>
      <c r="S103" s="162"/>
      <c r="T103" s="1209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</row>
    <row r="104" spans="1:44" s="224" customFormat="1" ht="15" customHeight="1" x14ac:dyDescent="0.25">
      <c r="A104" s="215">
        <v>45136</v>
      </c>
      <c r="B104" s="882" t="s">
        <v>3833</v>
      </c>
      <c r="C104" s="879" t="s">
        <v>12</v>
      </c>
      <c r="D104" s="879" t="s">
        <v>1493</v>
      </c>
      <c r="E104" s="871" t="s">
        <v>13</v>
      </c>
      <c r="F104" s="780">
        <v>44</v>
      </c>
      <c r="G104" s="982"/>
      <c r="H104" s="1008"/>
      <c r="I104" s="1063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861"/>
      <c r="V104" s="1035"/>
    </row>
    <row r="105" spans="1:44" s="224" customFormat="1" ht="15" customHeight="1" x14ac:dyDescent="0.25">
      <c r="A105" s="215">
        <v>45137</v>
      </c>
      <c r="B105" s="1275" t="s">
        <v>14</v>
      </c>
      <c r="C105" s="1276" t="s">
        <v>12</v>
      </c>
      <c r="D105" s="1276" t="s">
        <v>1486</v>
      </c>
      <c r="E105" s="1286" t="s">
        <v>13</v>
      </c>
      <c r="F105" s="780">
        <v>8.1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13"/>
      <c r="Q105" s="1738"/>
      <c r="R105" s="613"/>
      <c r="S105" s="64"/>
      <c r="T105" s="1028"/>
      <c r="W105" s="958"/>
    </row>
    <row r="106" spans="1:44" s="224" customFormat="1" ht="15" customHeight="1" x14ac:dyDescent="0.25">
      <c r="A106" s="215">
        <v>45137</v>
      </c>
      <c r="B106" s="882" t="s">
        <v>3834</v>
      </c>
      <c r="C106" s="879" t="s">
        <v>12</v>
      </c>
      <c r="D106" s="879" t="s">
        <v>1491</v>
      </c>
      <c r="E106" s="871" t="s">
        <v>13</v>
      </c>
      <c r="F106" s="780">
        <v>50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1028"/>
      <c r="U106" s="959"/>
      <c r="V106" s="878"/>
      <c r="W106" s="958"/>
    </row>
    <row r="107" spans="1:44" s="224" customFormat="1" ht="15" customHeight="1" x14ac:dyDescent="0.25">
      <c r="A107" s="215">
        <v>45137</v>
      </c>
      <c r="B107" s="882" t="s">
        <v>3835</v>
      </c>
      <c r="C107" s="879" t="s">
        <v>12</v>
      </c>
      <c r="D107" s="879" t="s">
        <v>1489</v>
      </c>
      <c r="E107" s="871" t="s">
        <v>13</v>
      </c>
      <c r="F107" s="780">
        <v>58.8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1028"/>
      <c r="U107" s="959"/>
      <c r="V107" s="878"/>
      <c r="W107" s="958"/>
    </row>
    <row r="108" spans="1:44" s="224" customFormat="1" ht="15" customHeight="1" x14ac:dyDescent="0.25">
      <c r="A108" s="215">
        <v>45138</v>
      </c>
      <c r="B108" s="882" t="s">
        <v>32</v>
      </c>
      <c r="C108" s="879" t="s">
        <v>12</v>
      </c>
      <c r="D108" s="879" t="s">
        <v>1485</v>
      </c>
      <c r="E108" s="871" t="s">
        <v>13</v>
      </c>
      <c r="F108" s="780">
        <v>20</v>
      </c>
      <c r="G108" s="982"/>
      <c r="H108" s="1008"/>
      <c r="I108" s="1063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861"/>
      <c r="V108" s="1035"/>
    </row>
    <row r="109" spans="1:44" s="1274" customFormat="1" ht="15" customHeight="1" x14ac:dyDescent="0.25">
      <c r="A109" s="215">
        <v>45138</v>
      </c>
      <c r="B109" s="1275" t="s">
        <v>3836</v>
      </c>
      <c r="C109" s="1276" t="s">
        <v>12</v>
      </c>
      <c r="D109" s="1276"/>
      <c r="E109" s="1286" t="s">
        <v>13</v>
      </c>
      <c r="F109" s="1279"/>
      <c r="G109" s="1278"/>
      <c r="H109" s="1282"/>
      <c r="I109" s="1283"/>
      <c r="J109" s="1279"/>
      <c r="K109" s="1278"/>
      <c r="L109" s="1279"/>
      <c r="M109" s="982"/>
      <c r="N109" s="1279"/>
      <c r="O109" s="1278"/>
      <c r="P109" s="1279"/>
      <c r="Q109" s="1283">
        <v>105.43</v>
      </c>
      <c r="R109" s="1923"/>
      <c r="S109" s="1743"/>
      <c r="T109" s="1281"/>
      <c r="U109" s="1294"/>
    </row>
    <row r="110" spans="1:44" s="1274" customFormat="1" ht="15" customHeight="1" x14ac:dyDescent="0.25">
      <c r="A110" s="215">
        <v>45138</v>
      </c>
      <c r="B110" s="1275" t="s">
        <v>3837</v>
      </c>
      <c r="C110" s="1276" t="s">
        <v>12</v>
      </c>
      <c r="D110" s="1276"/>
      <c r="E110" s="1286" t="s">
        <v>13</v>
      </c>
      <c r="F110" s="1279"/>
      <c r="G110" s="1278"/>
      <c r="H110" s="1282"/>
      <c r="I110" s="1283"/>
      <c r="J110" s="1279"/>
      <c r="K110" s="1278"/>
      <c r="L110" s="1279"/>
      <c r="M110" s="982"/>
      <c r="N110" s="1279"/>
      <c r="O110" s="1278"/>
      <c r="P110" s="1279">
        <v>9305.43</v>
      </c>
      <c r="Q110" s="1283"/>
      <c r="R110" s="1740"/>
      <c r="S110" s="1473">
        <v>9305.43</v>
      </c>
      <c r="T110" s="1281"/>
      <c r="U110" s="1294"/>
    </row>
    <row r="111" spans="1:44" s="224" customFormat="1" x14ac:dyDescent="0.25">
      <c r="A111" s="215">
        <v>45138</v>
      </c>
      <c r="B111" s="862" t="s">
        <v>3693</v>
      </c>
      <c r="C111" s="350" t="s">
        <v>12</v>
      </c>
      <c r="D111" s="1807"/>
      <c r="E111" s="145"/>
      <c r="F111" s="622"/>
      <c r="G111" s="982"/>
      <c r="H111" s="1008"/>
      <c r="I111" s="1063"/>
      <c r="J111" s="622"/>
      <c r="K111" s="982"/>
      <c r="L111" s="622"/>
      <c r="M111" s="982"/>
      <c r="N111" s="622"/>
      <c r="O111" s="982">
        <v>40.9</v>
      </c>
      <c r="P111" s="622"/>
      <c r="Q111" s="1063"/>
      <c r="R111" s="622"/>
      <c r="S111" s="982"/>
      <c r="T111" s="475"/>
      <c r="V111" s="878"/>
    </row>
    <row r="112" spans="1:44" s="224" customFormat="1" ht="15.75" thickBot="1" x14ac:dyDescent="0.3">
      <c r="A112" s="215">
        <v>45138</v>
      </c>
      <c r="B112" s="862" t="s">
        <v>1666</v>
      </c>
      <c r="C112" s="350" t="s">
        <v>12</v>
      </c>
      <c r="D112" s="1003"/>
      <c r="E112" s="145" t="s">
        <v>25</v>
      </c>
      <c r="F112" s="1036"/>
      <c r="G112" s="1535"/>
      <c r="H112" s="1008"/>
      <c r="I112" s="1063"/>
      <c r="J112" s="1036"/>
      <c r="K112" s="1535"/>
      <c r="L112" s="622"/>
      <c r="M112" s="982">
        <v>67.569999999999993</v>
      </c>
      <c r="N112" s="622"/>
      <c r="O112" s="982"/>
      <c r="P112" s="622"/>
      <c r="Q112" s="1063"/>
      <c r="R112" s="1036"/>
      <c r="S112" s="1535"/>
      <c r="T112" s="1815">
        <f>M112/M5</f>
        <v>9.3581684193323623E-3</v>
      </c>
      <c r="V112" s="878"/>
    </row>
    <row r="113" spans="1:28" ht="25.5" customHeight="1" thickBot="1" x14ac:dyDescent="0.3">
      <c r="A113" s="3060"/>
      <c r="B113" s="3061"/>
      <c r="C113" s="3062"/>
      <c r="D113" s="3062"/>
      <c r="E113" s="3062"/>
      <c r="F113" s="1023">
        <f>SUM(F6:F112)</f>
        <v>4995.6026666666676</v>
      </c>
      <c r="G113" s="1065">
        <f>SUM(G5:G112)</f>
        <v>5483.2709166666937</v>
      </c>
      <c r="H113" s="517">
        <f>SUM(H6:H112)</f>
        <v>500</v>
      </c>
      <c r="I113" s="93">
        <f>SUM(I5:I112)</f>
        <v>2499.9959999999992</v>
      </c>
      <c r="J113" s="1023">
        <f>SUM(J6:J112)</f>
        <v>0</v>
      </c>
      <c r="K113" s="93">
        <f>SUM(K5:K112)</f>
        <v>20820.690000000002</v>
      </c>
      <c r="L113" s="1023">
        <f>SUM(L6:L112)</f>
        <v>0</v>
      </c>
      <c r="M113" s="93">
        <f>SUM(M5:M112)</f>
        <v>7288.0000000000018</v>
      </c>
      <c r="N113" s="1023">
        <f>SUM(N6:N112)</f>
        <v>0</v>
      </c>
      <c r="O113" s="93">
        <f>SUM(O5:O112)</f>
        <v>2213.3000000000002</v>
      </c>
      <c r="P113" s="1211">
        <f>SUM(P6:P112)</f>
        <v>9305.43</v>
      </c>
      <c r="Q113" s="93">
        <f>SUM(Q5:Q112)</f>
        <v>9305.4299999999985</v>
      </c>
      <c r="R113" s="1211">
        <f>SUM(R6:R112)</f>
        <v>0</v>
      </c>
      <c r="S113" s="93">
        <f>SUM(S5:S112)</f>
        <v>52385.235984720006</v>
      </c>
      <c r="U113" s="216"/>
    </row>
    <row r="114" spans="1:28" ht="25.5" customHeight="1" thickBot="1" x14ac:dyDescent="0.3">
      <c r="A114" s="3117" t="s">
        <v>49</v>
      </c>
      <c r="B114" s="3118"/>
      <c r="C114" s="3118"/>
      <c r="D114" s="3118"/>
      <c r="E114" s="3118"/>
      <c r="F114" s="144" t="s">
        <v>280</v>
      </c>
      <c r="G114" s="519">
        <f>G113-F113</f>
        <v>487.66825000002609</v>
      </c>
      <c r="H114" s="555"/>
      <c r="I114" s="772">
        <f>I113-H113</f>
        <v>1999.9959999999992</v>
      </c>
      <c r="J114" s="593"/>
      <c r="K114" s="993">
        <f>K113-J113</f>
        <v>20820.690000000002</v>
      </c>
      <c r="L114" s="593"/>
      <c r="M114" s="772">
        <f>M113-L113</f>
        <v>7288.0000000000018</v>
      </c>
      <c r="N114" s="593"/>
      <c r="O114" s="772">
        <f>O113-N113</f>
        <v>2213.3000000000002</v>
      </c>
      <c r="P114" s="593"/>
      <c r="Q114" s="556">
        <f>Q113-P113</f>
        <v>0</v>
      </c>
      <c r="R114" s="593"/>
      <c r="S114" s="556">
        <f>S113-R113</f>
        <v>52385.235984720006</v>
      </c>
      <c r="T114" s="484">
        <f>K114+M114+O114+Q114+S114</f>
        <v>82707.225984720004</v>
      </c>
    </row>
    <row r="115" spans="1:28" x14ac:dyDescent="0.25">
      <c r="J115" s="1238"/>
      <c r="K115" s="1238">
        <f>K114/T114</f>
        <v>0.25173967270824177</v>
      </c>
      <c r="M115" s="1238">
        <f>M114/T114</f>
        <v>8.81180563515266E-2</v>
      </c>
      <c r="O115" s="1238">
        <f>O114/T114</f>
        <v>2.6760660554724723E-2</v>
      </c>
      <c r="P115" s="1239"/>
      <c r="Q115" s="1239">
        <f>Q114/T114</f>
        <v>0</v>
      </c>
      <c r="R115" s="1239"/>
      <c r="S115" s="1239">
        <f>S114/T114</f>
        <v>0.633381610385507</v>
      </c>
      <c r="T115" s="867"/>
      <c r="U115" s="867"/>
      <c r="V115" s="79"/>
      <c r="Y115" s="518"/>
      <c r="Z115" s="216"/>
      <c r="AB115" s="877"/>
    </row>
    <row r="116" spans="1:28" x14ac:dyDescent="0.25">
      <c r="B116" s="81" t="s">
        <v>3</v>
      </c>
      <c r="C116" s="193" t="s">
        <v>1484</v>
      </c>
      <c r="D116" s="970" t="s">
        <v>2378</v>
      </c>
      <c r="E116" s="193" t="s">
        <v>3216</v>
      </c>
      <c r="F116" s="1061" t="s">
        <v>3217</v>
      </c>
      <c r="G116" s="216"/>
      <c r="J116" s="867"/>
      <c r="K116" s="866"/>
      <c r="M116" s="866"/>
      <c r="O116" s="866"/>
      <c r="P116" s="1038"/>
      <c r="Q116" s="1038"/>
      <c r="R116" s="1038"/>
      <c r="S116" s="1038"/>
      <c r="T116" s="865"/>
      <c r="U116" s="867"/>
    </row>
    <row r="117" spans="1:28" x14ac:dyDescent="0.25">
      <c r="B117" s="79" t="s">
        <v>32</v>
      </c>
      <c r="C117" s="85" t="s">
        <v>1485</v>
      </c>
      <c r="D117" s="861">
        <f>SUMIF($D$8:$D$112,"A",$F$8:$F$112)</f>
        <v>458.9</v>
      </c>
      <c r="E117" s="1202">
        <f t="shared" ref="E117:E134" si="0">D117/$J$136</f>
        <v>14.803225806451612</v>
      </c>
      <c r="F117" s="1203">
        <f t="shared" ref="F117:F133" si="1">E117/$E$137</f>
        <v>0.10301479336431185</v>
      </c>
      <c r="G117" s="800"/>
      <c r="H117" s="881"/>
      <c r="I117" s="1210"/>
      <c r="J117" s="1210"/>
      <c r="K117" s="754"/>
      <c r="M117" s="886"/>
      <c r="O117" s="886"/>
      <c r="P117" s="1210"/>
      <c r="Q117" s="754"/>
      <c r="R117" s="886"/>
      <c r="S117" s="1210"/>
      <c r="T117" s="1038"/>
      <c r="U117" s="1210"/>
      <c r="W117" s="1201"/>
      <c r="X117" s="877"/>
    </row>
    <row r="118" spans="1:28" x14ac:dyDescent="0.25">
      <c r="B118" s="79" t="s">
        <v>2187</v>
      </c>
      <c r="C118" s="85" t="s">
        <v>2157</v>
      </c>
      <c r="D118" s="861">
        <f>SUMIF($D$7:$D$112,"GAC",$F$7:$F$112)</f>
        <v>450</v>
      </c>
      <c r="E118" s="1202">
        <f t="shared" si="0"/>
        <v>14.516129032258064</v>
      </c>
      <c r="F118" s="1203">
        <f>E118/$E$137</f>
        <v>0.10101690349518487</v>
      </c>
      <c r="G118" s="609"/>
      <c r="J118" s="1038"/>
      <c r="K118" s="1225"/>
      <c r="M118" s="1210"/>
      <c r="O118" s="1038"/>
      <c r="Q118" s="1225"/>
      <c r="R118" s="1210"/>
      <c r="S118" s="1038"/>
      <c r="T118" s="1038"/>
      <c r="W118" s="877"/>
      <c r="X118" s="877"/>
    </row>
    <row r="119" spans="1:28" x14ac:dyDescent="0.25">
      <c r="B119" s="79" t="s">
        <v>2188</v>
      </c>
      <c r="C119" s="85" t="s">
        <v>2168</v>
      </c>
      <c r="D119" s="861">
        <f>SUMIF($D$21:$D$112,"GAM",$F$21:$F$112)</f>
        <v>0</v>
      </c>
      <c r="E119" s="1202">
        <f t="shared" si="0"/>
        <v>0</v>
      </c>
      <c r="F119" s="1203">
        <f>E119/$E$137</f>
        <v>0</v>
      </c>
      <c r="J119" s="1038"/>
      <c r="K119" s="1225"/>
      <c r="M119" s="1210"/>
      <c r="O119" s="1038"/>
      <c r="Q119" s="1225"/>
      <c r="R119" s="1210"/>
      <c r="S119" s="1038"/>
      <c r="T119" s="1038"/>
      <c r="W119" s="877"/>
      <c r="X119" s="877"/>
    </row>
    <row r="120" spans="1:28" s="85" customFormat="1" x14ac:dyDescent="0.25">
      <c r="A120" s="79"/>
      <c r="B120" s="79" t="s">
        <v>50</v>
      </c>
      <c r="C120" s="85" t="s">
        <v>1493</v>
      </c>
      <c r="D120" s="861">
        <f>SUMIF($D$8:$D$112,"LD",$F$8:$F$112)</f>
        <v>341.95</v>
      </c>
      <c r="E120" s="1202">
        <f t="shared" si="0"/>
        <v>11.030645161290321</v>
      </c>
      <c r="F120" s="1203">
        <f t="shared" si="1"/>
        <v>7.6761622555952133E-2</v>
      </c>
      <c r="J120" s="864"/>
      <c r="K120" s="877"/>
      <c r="M120" s="941"/>
      <c r="O120" s="863"/>
      <c r="Q120" s="877"/>
      <c r="S120" s="79"/>
      <c r="T120" s="177"/>
      <c r="W120" s="877"/>
      <c r="X120" s="877"/>
    </row>
    <row r="121" spans="1:28" s="85" customFormat="1" x14ac:dyDescent="0.25">
      <c r="A121" s="79"/>
      <c r="B121" s="79" t="s">
        <v>14</v>
      </c>
      <c r="C121" s="85" t="s">
        <v>1486</v>
      </c>
      <c r="D121" s="861">
        <f>SUMIF($D$8:$D$112,"C",$F$8:$F$112)</f>
        <v>125.82999999999997</v>
      </c>
      <c r="E121" s="1202">
        <f t="shared" si="0"/>
        <v>4.0590322580645148</v>
      </c>
      <c r="F121" s="1203">
        <f t="shared" si="1"/>
        <v>2.8246571037331351E-2</v>
      </c>
      <c r="G121" s="79"/>
      <c r="H121" s="79"/>
      <c r="J121" s="1038"/>
      <c r="K121" s="877"/>
      <c r="M121" s="877"/>
      <c r="O121" s="1038"/>
      <c r="Q121" s="877"/>
      <c r="T121" s="177"/>
      <c r="W121" s="877"/>
      <c r="X121" s="877"/>
    </row>
    <row r="122" spans="1:28" s="85" customFormat="1" x14ac:dyDescent="0.25">
      <c r="B122" s="79" t="s">
        <v>51</v>
      </c>
      <c r="C122" s="864" t="s">
        <v>1499</v>
      </c>
      <c r="D122" s="861">
        <f>SUMIF($D$7:$D$112,"CAL",$F$7:$F$112)</f>
        <v>91.97999999999999</v>
      </c>
      <c r="E122" s="1202">
        <f t="shared" si="0"/>
        <v>2.9670967741935481</v>
      </c>
      <c r="F122" s="1203">
        <f t="shared" si="1"/>
        <v>2.0647855074415786E-2</v>
      </c>
      <c r="G122" s="79"/>
      <c r="H122" s="79"/>
      <c r="I122" s="79"/>
      <c r="J122" s="1038"/>
      <c r="K122" s="877"/>
      <c r="M122" s="877"/>
      <c r="O122" s="1038"/>
      <c r="Q122" s="877"/>
      <c r="R122" s="1210"/>
      <c r="S122" s="1038"/>
      <c r="T122" s="177"/>
      <c r="W122" s="877"/>
      <c r="X122" s="877"/>
    </row>
    <row r="123" spans="1:28" s="85" customFormat="1" x14ac:dyDescent="0.25">
      <c r="A123" s="79"/>
      <c r="B123" s="79" t="s">
        <v>2189</v>
      </c>
      <c r="C123" s="864" t="s">
        <v>1496</v>
      </c>
      <c r="D123" s="861">
        <f>SUMIF($D$18:$D$112,"AC",$F$18:$F$112)</f>
        <v>80</v>
      </c>
      <c r="E123" s="1202">
        <f t="shared" si="0"/>
        <v>2.5806451612903225</v>
      </c>
      <c r="F123" s="1203">
        <f t="shared" si="1"/>
        <v>1.79585606213662E-2</v>
      </c>
      <c r="G123" s="79"/>
      <c r="J123" s="1038"/>
      <c r="M123" s="877"/>
      <c r="O123" s="177"/>
      <c r="Q123" s="877"/>
      <c r="T123" s="177"/>
      <c r="W123" s="877"/>
      <c r="X123" s="877"/>
    </row>
    <row r="124" spans="1:28" s="85" customFormat="1" x14ac:dyDescent="0.25">
      <c r="A124" s="79"/>
      <c r="B124" s="867" t="s">
        <v>53</v>
      </c>
      <c r="C124" s="864" t="s">
        <v>1522</v>
      </c>
      <c r="D124" s="861">
        <f>SUMIF($D$18:$D$112,"DC",$F$18:$F$112)</f>
        <v>249.33266666666665</v>
      </c>
      <c r="E124" s="1202">
        <f t="shared" si="0"/>
        <v>8.0429892473118283</v>
      </c>
      <c r="F124" s="1203">
        <f t="shared" si="1"/>
        <v>5.5970697615252814E-2</v>
      </c>
      <c r="J124" s="79"/>
      <c r="K124" s="1129"/>
      <c r="M124" s="877"/>
      <c r="O124" s="177"/>
      <c r="Q124" s="769"/>
      <c r="R124" s="1922"/>
      <c r="S124" s="769"/>
      <c r="T124" s="216"/>
      <c r="W124" s="877"/>
      <c r="X124" s="877"/>
    </row>
    <row r="125" spans="1:28" s="85" customFormat="1" x14ac:dyDescent="0.25">
      <c r="A125" s="79"/>
      <c r="B125" s="867" t="s">
        <v>2149</v>
      </c>
      <c r="C125" s="864" t="s">
        <v>2131</v>
      </c>
      <c r="D125" s="475">
        <f>SUMIF($D$6:$D$112,"DM",$F$6:$F$112)</f>
        <v>0</v>
      </c>
      <c r="E125" s="1202">
        <f t="shared" si="0"/>
        <v>0</v>
      </c>
      <c r="F125" s="1203">
        <f t="shared" si="1"/>
        <v>0</v>
      </c>
      <c r="K125" s="1129"/>
      <c r="O125" s="177"/>
      <c r="W125" s="877"/>
      <c r="X125" s="877"/>
    </row>
    <row r="126" spans="1:28" s="85" customFormat="1" x14ac:dyDescent="0.25">
      <c r="A126" s="79"/>
      <c r="B126" s="79" t="s">
        <v>3048</v>
      </c>
      <c r="C126" s="864" t="s">
        <v>1523</v>
      </c>
      <c r="D126" s="475">
        <f ca="1">SUMIF($D$8:$D$113,"B",$F$8:$F$112)</f>
        <v>25</v>
      </c>
      <c r="E126" s="1202">
        <f t="shared" ca="1" si="0"/>
        <v>0.80645161290322576</v>
      </c>
      <c r="F126" s="1203">
        <f t="shared" ca="1" si="1"/>
        <v>5.6120501941769371E-3</v>
      </c>
      <c r="G126" s="866"/>
      <c r="J126" s="1038"/>
      <c r="K126" s="1129"/>
      <c r="M126" s="877"/>
      <c r="O126" s="177"/>
      <c r="R126" s="866"/>
      <c r="S126" s="1210"/>
      <c r="T126" s="877"/>
      <c r="W126" s="877"/>
      <c r="X126" s="877"/>
    </row>
    <row r="127" spans="1:28" s="85" customFormat="1" x14ac:dyDescent="0.25">
      <c r="A127" s="79"/>
      <c r="B127" s="79" t="s">
        <v>1686</v>
      </c>
      <c r="C127" s="864" t="s">
        <v>1506</v>
      </c>
      <c r="D127" s="475">
        <f>SUMIF($D$18:$D$112,"R",$F$18:$F$112)</f>
        <v>303</v>
      </c>
      <c r="E127" s="1202">
        <f t="shared" si="0"/>
        <v>9.7741935483870961</v>
      </c>
      <c r="F127" s="1203">
        <f t="shared" si="1"/>
        <v>6.8018048353424468E-2</v>
      </c>
      <c r="G127" s="868"/>
      <c r="K127" s="1130"/>
      <c r="M127" s="877"/>
      <c r="O127" s="177"/>
      <c r="Q127" s="1038"/>
      <c r="R127" s="1226"/>
      <c r="S127" s="1129"/>
      <c r="T127" s="877"/>
      <c r="W127" s="877"/>
      <c r="X127" s="877"/>
    </row>
    <row r="128" spans="1:28" x14ac:dyDescent="0.25">
      <c r="B128" s="79" t="s">
        <v>418</v>
      </c>
      <c r="C128" s="85" t="s">
        <v>1524</v>
      </c>
      <c r="D128" s="475">
        <f>SUMIF($D$8:$D$112,"COM",$F$8:$F$112)</f>
        <v>0</v>
      </c>
      <c r="E128" s="1202">
        <f t="shared" si="0"/>
        <v>0</v>
      </c>
      <c r="F128" s="1203">
        <f>E128/$E$137</f>
        <v>0</v>
      </c>
      <c r="G128" s="85"/>
      <c r="H128" s="85"/>
      <c r="I128" s="85"/>
      <c r="J128" s="769"/>
      <c r="L128" s="769"/>
      <c r="M128" s="877"/>
      <c r="N128" s="769"/>
      <c r="O128" s="216"/>
      <c r="Q128" s="1210"/>
      <c r="R128" s="1038"/>
      <c r="S128" s="1226"/>
      <c r="T128" s="877"/>
      <c r="W128" s="877"/>
      <c r="X128" s="877"/>
    </row>
    <row r="129" spans="1:26" x14ac:dyDescent="0.25">
      <c r="B129" s="79" t="s">
        <v>419</v>
      </c>
      <c r="C129" s="85" t="s">
        <v>1491</v>
      </c>
      <c r="D129" s="475">
        <f>SUMIF($D$7:$D$112,"F",$F$7:$F$112)</f>
        <v>836</v>
      </c>
      <c r="E129" s="1202">
        <f t="shared" si="0"/>
        <v>26.967741935483872</v>
      </c>
      <c r="F129" s="1203">
        <f>E129/$E$137</f>
        <v>0.18766695849327678</v>
      </c>
      <c r="I129" s="85"/>
      <c r="K129" s="609"/>
      <c r="M129" s="1123"/>
      <c r="O129" s="216"/>
      <c r="S129" s="484"/>
      <c r="T129" s="877"/>
      <c r="W129" s="877"/>
      <c r="X129" s="877"/>
    </row>
    <row r="130" spans="1:26" x14ac:dyDescent="0.25">
      <c r="B130" s="79" t="s">
        <v>911</v>
      </c>
      <c r="C130" s="85" t="s">
        <v>1525</v>
      </c>
      <c r="D130" s="475">
        <f>SUMIF($D$21:$D$112,"FER",$F$21:$F$112)</f>
        <v>52</v>
      </c>
      <c r="E130" s="1202">
        <f t="shared" si="0"/>
        <v>1.6774193548387097</v>
      </c>
      <c r="F130" s="1203">
        <f t="shared" si="1"/>
        <v>1.1673064403888029E-2</v>
      </c>
      <c r="O130" s="216"/>
      <c r="S130" s="484"/>
      <c r="T130" s="1673"/>
      <c r="W130" s="877"/>
      <c r="X130" s="877"/>
    </row>
    <row r="131" spans="1:26" x14ac:dyDescent="0.25">
      <c r="B131" s="79" t="s">
        <v>1526</v>
      </c>
      <c r="C131" s="85" t="s">
        <v>1504</v>
      </c>
      <c r="D131" s="475">
        <f>SUMIF($D$21:$D$112,"I",$F$21:$F$112)</f>
        <v>158</v>
      </c>
      <c r="E131" s="1202">
        <f t="shared" si="0"/>
        <v>5.096774193548387</v>
      </c>
      <c r="F131" s="1203">
        <f t="shared" si="1"/>
        <v>3.546815722719824E-2</v>
      </c>
      <c r="J131" s="769"/>
      <c r="K131" s="868"/>
      <c r="L131" s="769"/>
      <c r="N131" s="769"/>
      <c r="O131" s="868"/>
      <c r="P131" s="1210"/>
      <c r="Q131" s="1038"/>
      <c r="R131" s="1210"/>
      <c r="S131" s="1038"/>
      <c r="T131" s="1129"/>
      <c r="V131" s="1129"/>
      <c r="W131" s="877"/>
      <c r="X131" s="877"/>
    </row>
    <row r="132" spans="1:26" x14ac:dyDescent="0.25">
      <c r="B132" s="79" t="s">
        <v>2343</v>
      </c>
      <c r="C132" s="85" t="s">
        <v>2315</v>
      </c>
      <c r="D132" s="475">
        <f>SUMIF($D$21:$D$112,"E",$F$21:$F$112)</f>
        <v>0</v>
      </c>
      <c r="E132" s="1202">
        <f t="shared" si="0"/>
        <v>0</v>
      </c>
      <c r="F132" s="1203">
        <f t="shared" si="1"/>
        <v>0</v>
      </c>
      <c r="J132" s="769"/>
      <c r="K132" s="868"/>
      <c r="L132" s="769"/>
      <c r="M132" s="1210"/>
      <c r="N132" s="769"/>
      <c r="O132" s="1673"/>
      <c r="P132" s="1210"/>
      <c r="Q132" s="1038"/>
      <c r="R132" s="1210"/>
      <c r="S132" s="1038"/>
      <c r="T132" s="1129"/>
      <c r="V132" s="1129"/>
      <c r="W132" s="877"/>
      <c r="X132" s="877"/>
    </row>
    <row r="133" spans="1:26" x14ac:dyDescent="0.25">
      <c r="B133" s="79" t="s">
        <v>3019</v>
      </c>
      <c r="C133" s="85" t="s">
        <v>3017</v>
      </c>
      <c r="D133" s="475">
        <f>SUMIF($D$6:$D$112,"IM",$F$6:$F$112)</f>
        <v>576.75</v>
      </c>
      <c r="E133" s="1202">
        <f t="shared" si="0"/>
        <v>18.60483870967742</v>
      </c>
      <c r="F133" s="1203">
        <f t="shared" si="1"/>
        <v>0.12946999797966194</v>
      </c>
      <c r="J133" s="769"/>
      <c r="L133" s="769"/>
      <c r="N133" s="769"/>
      <c r="P133" s="941"/>
      <c r="Q133" s="224"/>
      <c r="R133" s="941"/>
      <c r="S133" s="224"/>
      <c r="T133" s="1226"/>
      <c r="U133" s="1129"/>
      <c r="V133" s="1129"/>
      <c r="W133" s="877"/>
      <c r="X133" s="877"/>
    </row>
    <row r="134" spans="1:26" x14ac:dyDescent="0.25">
      <c r="B134" s="79" t="s">
        <v>1527</v>
      </c>
      <c r="C134" s="85" t="s">
        <v>1489</v>
      </c>
      <c r="D134" s="475">
        <f>SUMIF($D$7:$D$112,"OD",$F$7:$F$112)</f>
        <v>498.86</v>
      </c>
      <c r="E134" s="1202">
        <f t="shared" si="0"/>
        <v>16.09225806451613</v>
      </c>
      <c r="F134" s="1203">
        <f>E134/$E$137</f>
        <v>0.11198509439468428</v>
      </c>
      <c r="P134" s="1210"/>
      <c r="Q134" s="1038"/>
      <c r="R134" s="1210"/>
      <c r="S134" s="1038"/>
      <c r="T134" s="1226"/>
      <c r="U134" s="1129"/>
      <c r="V134" s="1129"/>
      <c r="W134" s="877"/>
      <c r="X134" s="877"/>
    </row>
    <row r="135" spans="1:26" x14ac:dyDescent="0.25">
      <c r="C135" s="79"/>
      <c r="D135" s="629"/>
      <c r="E135" s="79"/>
      <c r="F135" s="79"/>
      <c r="P135" s="1210"/>
      <c r="Q135" s="1038"/>
      <c r="R135" s="1210"/>
      <c r="S135" s="1038"/>
      <c r="T135" s="1227"/>
      <c r="U135" s="1129"/>
      <c r="V135" s="1129"/>
      <c r="W135" s="877"/>
      <c r="X135" s="877"/>
    </row>
    <row r="136" spans="1:26" x14ac:dyDescent="0.25">
      <c r="C136" s="3168" t="s">
        <v>486</v>
      </c>
      <c r="D136" s="3168"/>
      <c r="E136" s="863">
        <f ca="1">I136/J136</f>
        <v>137.01944086021504</v>
      </c>
      <c r="G136" s="518" t="s">
        <v>487</v>
      </c>
      <c r="I136" s="629">
        <f ca="1">SUM(D117:D134)</f>
        <v>4247.6026666666667</v>
      </c>
      <c r="J136" s="1517">
        <v>31</v>
      </c>
      <c r="L136" s="216"/>
      <c r="N136" s="216"/>
      <c r="O136" s="1517"/>
      <c r="P136" s="1210"/>
      <c r="Q136" s="1038"/>
      <c r="R136" s="1210"/>
      <c r="S136" s="1038"/>
      <c r="T136" s="1226"/>
      <c r="U136" s="1129"/>
      <c r="V136" s="1129"/>
      <c r="W136" s="877"/>
      <c r="X136" s="877"/>
    </row>
    <row r="137" spans="1:26" ht="15.75" customHeight="1" x14ac:dyDescent="0.25">
      <c r="B137" s="3167" t="s">
        <v>3725</v>
      </c>
      <c r="C137" s="3167"/>
      <c r="D137" s="3167"/>
      <c r="E137" s="1125">
        <f>4311/30</f>
        <v>143.69999999999999</v>
      </c>
      <c r="H137" s="85"/>
      <c r="K137" s="868"/>
      <c r="M137" s="868"/>
      <c r="O137" s="868"/>
      <c r="P137" s="1210"/>
      <c r="Q137" s="1038"/>
      <c r="R137" s="1210"/>
      <c r="S137" s="1038"/>
      <c r="T137" s="1226"/>
      <c r="U137" s="1129"/>
      <c r="V137" s="1129"/>
      <c r="W137" s="877"/>
      <c r="X137" s="877"/>
    </row>
    <row r="138" spans="1:26" x14ac:dyDescent="0.25">
      <c r="A138" s="518"/>
      <c r="C138" s="79"/>
      <c r="D138" s="79"/>
      <c r="E138" s="769"/>
      <c r="F138" s="866"/>
      <c r="G138" s="769"/>
      <c r="H138" s="866"/>
      <c r="I138" s="1210"/>
      <c r="J138" s="89"/>
      <c r="L138" s="1038"/>
      <c r="M138" s="1210"/>
      <c r="N138" s="1038"/>
      <c r="O138" s="1210"/>
      <c r="P138" s="1210"/>
      <c r="Q138" s="1038"/>
      <c r="R138" s="1210"/>
      <c r="S138" s="1038"/>
      <c r="T138" s="769"/>
      <c r="U138" s="484" t="s">
        <v>280</v>
      </c>
      <c r="V138" s="216"/>
      <c r="W138" s="866"/>
      <c r="X138" s="484"/>
      <c r="Z138" s="877"/>
    </row>
    <row r="139" spans="1:26" s="518" customFormat="1" x14ac:dyDescent="0.25">
      <c r="A139" s="79"/>
      <c r="B139" s="79"/>
      <c r="C139" s="79"/>
      <c r="D139" s="79"/>
      <c r="E139" s="1126">
        <f ca="1">E137-E136</f>
        <v>6.6805591397849469</v>
      </c>
      <c r="F139" s="1205">
        <f ca="1">SUM(F117:F138)</f>
        <v>0.95351037481012568</v>
      </c>
      <c r="G139" s="85"/>
      <c r="H139" s="85"/>
      <c r="I139" s="89"/>
      <c r="J139" s="79"/>
      <c r="K139" s="79"/>
      <c r="L139" s="79"/>
      <c r="M139" s="79"/>
      <c r="N139" s="79"/>
      <c r="O139" s="79"/>
      <c r="P139" s="1210"/>
      <c r="Q139" s="1038"/>
      <c r="R139" s="1210"/>
      <c r="S139" s="1038"/>
      <c r="T139" s="79"/>
      <c r="U139" s="79"/>
      <c r="V139" s="866"/>
      <c r="W139" s="484"/>
      <c r="X139" s="79"/>
      <c r="Y139" s="877"/>
      <c r="Z139" s="79"/>
    </row>
    <row r="140" spans="1:26" s="518" customFormat="1" x14ac:dyDescent="0.25">
      <c r="A140" s="79"/>
      <c r="B140" s="79"/>
      <c r="C140" s="85"/>
      <c r="D140" s="85"/>
      <c r="E140" s="85"/>
      <c r="S140" s="1038"/>
      <c r="T140" s="484"/>
      <c r="U140" s="79"/>
      <c r="V140" s="877"/>
      <c r="W140" s="79"/>
    </row>
    <row r="141" spans="1:26" s="518" customFormat="1" x14ac:dyDescent="0.25">
      <c r="A141" s="79"/>
      <c r="B141" s="79"/>
      <c r="C141" s="85"/>
      <c r="D141" s="85"/>
      <c r="E141" s="85"/>
      <c r="F141" s="89"/>
      <c r="G141" s="79"/>
      <c r="H141" s="79"/>
      <c r="I141" s="79"/>
      <c r="J141" s="769"/>
      <c r="K141" s="866"/>
      <c r="L141" s="769"/>
      <c r="M141" s="866"/>
      <c r="N141" s="769"/>
      <c r="O141" s="866"/>
      <c r="P141" s="1210"/>
      <c r="Q141" s="1038"/>
      <c r="R141" s="1210"/>
      <c r="S141" s="1038"/>
      <c r="T141" s="484"/>
      <c r="U141" s="79"/>
      <c r="V141" s="877"/>
      <c r="W141" s="79"/>
    </row>
    <row r="142" spans="1:26" s="518" customFormat="1" x14ac:dyDescent="0.25">
      <c r="A142" s="79"/>
      <c r="B142" s="79"/>
      <c r="C142" s="85"/>
      <c r="D142" s="85"/>
      <c r="E142" s="85"/>
      <c r="F142" s="89"/>
      <c r="G142" s="79"/>
      <c r="H142" s="79"/>
      <c r="I142" s="216"/>
      <c r="J142" s="769"/>
      <c r="K142" s="866"/>
      <c r="L142" s="769"/>
      <c r="M142" s="866"/>
      <c r="N142" s="769"/>
      <c r="O142" s="866"/>
      <c r="P142" s="1210"/>
      <c r="Q142" s="1038"/>
      <c r="R142" s="1210"/>
      <c r="S142" s="1038"/>
      <c r="T142" s="484"/>
      <c r="U142" s="79"/>
      <c r="V142" s="877"/>
      <c r="W142" s="79"/>
    </row>
    <row r="143" spans="1:26" s="518" customFormat="1" x14ac:dyDescent="0.25">
      <c r="A143" s="79"/>
      <c r="B143" s="79"/>
      <c r="C143" s="79"/>
      <c r="D143" s="79"/>
      <c r="E143" s="79"/>
      <c r="F143" s="79"/>
      <c r="G143" s="79"/>
      <c r="H143" s="79"/>
      <c r="K143" s="866"/>
      <c r="M143" s="866"/>
      <c r="O143" s="866"/>
      <c r="P143" s="1210"/>
      <c r="Q143" s="1038"/>
      <c r="R143" s="1210"/>
      <c r="S143" s="1038"/>
      <c r="T143" s="484"/>
      <c r="U143" s="79"/>
      <c r="V143" s="877"/>
      <c r="W143" s="79"/>
    </row>
    <row r="144" spans="1:26" s="518" customFormat="1" x14ac:dyDescent="0.25">
      <c r="A144" s="79"/>
      <c r="B144" s="79"/>
      <c r="C144" s="79"/>
      <c r="D144" s="79"/>
      <c r="E144" s="79"/>
      <c r="F144" s="79"/>
      <c r="G144" s="79"/>
      <c r="H144" s="79"/>
      <c r="I144" s="216"/>
      <c r="J144" s="769"/>
      <c r="K144" s="866"/>
      <c r="L144" s="769"/>
      <c r="M144" s="866"/>
      <c r="N144" s="769"/>
      <c r="O144" s="866"/>
      <c r="P144" s="1210"/>
      <c r="Q144" s="1038"/>
      <c r="R144" s="1210"/>
      <c r="S144" s="1038"/>
      <c r="T144" s="484"/>
      <c r="U144" s="79"/>
      <c r="V144" s="877"/>
      <c r="W144" s="79"/>
    </row>
    <row r="145" spans="1:23" s="518" customFormat="1" x14ac:dyDescent="0.25">
      <c r="A145" s="79"/>
      <c r="B145" s="79"/>
      <c r="C145" s="79"/>
      <c r="D145" s="79"/>
      <c r="E145" s="79"/>
      <c r="F145" s="79"/>
      <c r="G145" s="216"/>
      <c r="H145" s="79"/>
      <c r="I145" s="216"/>
      <c r="J145" s="769"/>
      <c r="K145" s="868"/>
      <c r="L145" s="769"/>
      <c r="M145" s="868"/>
      <c r="N145" s="769"/>
      <c r="O145" s="868"/>
      <c r="P145" s="1210"/>
      <c r="Q145" s="1038"/>
      <c r="R145" s="1210"/>
      <c r="S145" s="1038"/>
      <c r="T145" s="484"/>
      <c r="U145" s="79"/>
      <c r="V145" s="877"/>
      <c r="W145" s="79"/>
    </row>
    <row r="146" spans="1:23" s="518" customFormat="1" x14ac:dyDescent="0.25">
      <c r="A146" s="79"/>
      <c r="B146" s="79"/>
      <c r="C146" s="79"/>
      <c r="D146" s="79"/>
      <c r="E146" s="79"/>
      <c r="F146" s="79"/>
      <c r="G146" s="216"/>
      <c r="H146" s="79"/>
      <c r="I146" s="216"/>
      <c r="J146" s="769"/>
      <c r="K146" s="866"/>
      <c r="L146" s="769"/>
      <c r="M146" s="1900"/>
      <c r="N146" s="769"/>
      <c r="O146" s="866"/>
      <c r="P146" s="1210"/>
      <c r="Q146" s="1038"/>
      <c r="R146" s="1210"/>
      <c r="S146" s="1038"/>
      <c r="T146" s="484"/>
      <c r="U146" s="79"/>
      <c r="V146" s="877"/>
      <c r="W146" s="79"/>
    </row>
    <row r="147" spans="1:23" s="518" customFormat="1" x14ac:dyDescent="0.25">
      <c r="A147" s="79"/>
      <c r="B147" s="79"/>
      <c r="C147" s="79"/>
      <c r="D147" s="79"/>
      <c r="E147" s="79"/>
      <c r="F147" s="79"/>
      <c r="G147" s="216"/>
      <c r="H147" s="79"/>
      <c r="I147" s="79"/>
      <c r="J147" s="770"/>
      <c r="K147" s="866"/>
      <c r="L147" s="770"/>
      <c r="M147" s="866"/>
      <c r="N147" s="770"/>
      <c r="O147" s="866"/>
      <c r="P147" s="1210"/>
      <c r="Q147" s="1038"/>
      <c r="R147" s="1210"/>
      <c r="S147" s="1038"/>
      <c r="T147" s="484"/>
      <c r="U147" s="79"/>
      <c r="V147" s="877"/>
      <c r="W147" s="79"/>
    </row>
    <row r="148" spans="1:23" s="518" customFormat="1" x14ac:dyDescent="0.25">
      <c r="A148" s="79"/>
      <c r="B148" s="79"/>
      <c r="C148" s="79"/>
      <c r="D148" s="79"/>
      <c r="E148" s="79"/>
      <c r="F148" s="79"/>
      <c r="G148" s="79"/>
      <c r="H148" s="79"/>
      <c r="I148" s="216"/>
      <c r="J148" s="769"/>
      <c r="K148" s="868"/>
      <c r="L148" s="769"/>
      <c r="M148" s="868"/>
      <c r="N148" s="769"/>
      <c r="O148" s="868"/>
      <c r="P148" s="1210"/>
      <c r="Q148" s="1038"/>
      <c r="R148" s="1210"/>
      <c r="S148" s="1038"/>
      <c r="T148" s="484"/>
      <c r="U148" s="79"/>
      <c r="V148" s="877"/>
      <c r="W148" s="79"/>
    </row>
    <row r="149" spans="1:23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769"/>
      <c r="O149" s="866"/>
      <c r="P149" s="1210"/>
      <c r="Q149" s="1038"/>
      <c r="R149" s="1210"/>
      <c r="S149" s="1038"/>
      <c r="T149" s="484"/>
      <c r="U149" s="79"/>
      <c r="V149" s="877"/>
      <c r="W149" s="79"/>
    </row>
    <row r="150" spans="1:23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629"/>
      <c r="J150" s="769"/>
      <c r="K150" s="866"/>
      <c r="L150" s="769"/>
      <c r="M150" s="866"/>
      <c r="N150" s="769"/>
      <c r="O150" s="866"/>
      <c r="P150" s="1210"/>
      <c r="Q150" s="1038"/>
      <c r="R150" s="1210"/>
      <c r="S150" s="1038"/>
      <c r="T150" s="484"/>
      <c r="U150" s="79"/>
      <c r="V150" s="877"/>
      <c r="W150" s="79"/>
    </row>
    <row r="151" spans="1:23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769"/>
      <c r="O151" s="866"/>
      <c r="P151" s="1210"/>
      <c r="Q151" s="1038"/>
      <c r="R151" s="1210"/>
      <c r="S151" s="1038"/>
      <c r="T151" s="484"/>
      <c r="U151" s="79"/>
      <c r="V151" s="877"/>
      <c r="W151" s="79"/>
    </row>
    <row r="152" spans="1:23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769"/>
      <c r="O152" s="866"/>
      <c r="P152" s="1210"/>
      <c r="Q152" s="1038"/>
      <c r="R152" s="1210"/>
      <c r="S152" s="1038"/>
      <c r="T152" s="484"/>
      <c r="U152" s="79"/>
      <c r="V152" s="877"/>
      <c r="W152" s="79"/>
    </row>
    <row r="153" spans="1:23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L153" s="769"/>
      <c r="M153" s="866"/>
      <c r="N153" s="769"/>
      <c r="O153" s="866"/>
      <c r="P153" s="1210"/>
      <c r="Q153" s="1038"/>
      <c r="R153" s="1210"/>
      <c r="S153" s="1038"/>
      <c r="T153" s="484"/>
      <c r="U153" s="79"/>
      <c r="V153" s="877"/>
      <c r="W153" s="79"/>
    </row>
    <row r="154" spans="1:23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6"/>
      <c r="L154" s="769"/>
      <c r="M154" s="866"/>
      <c r="N154" s="769"/>
      <c r="O154" s="866"/>
      <c r="P154" s="1210"/>
      <c r="Q154" s="1038"/>
      <c r="R154" s="1210"/>
      <c r="S154" s="1038"/>
      <c r="T154" s="484"/>
      <c r="U154" s="79"/>
      <c r="V154" s="877"/>
      <c r="W154" s="79"/>
    </row>
    <row r="155" spans="1:23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1210"/>
      <c r="Q155" s="1038"/>
      <c r="R155" s="1210"/>
      <c r="S155" s="1038"/>
      <c r="T155" s="484"/>
      <c r="U155" s="79"/>
      <c r="V155" s="877"/>
      <c r="W155" s="79"/>
    </row>
    <row r="156" spans="1:23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L156" s="769"/>
      <c r="M156" s="866"/>
      <c r="N156" s="769"/>
      <c r="O156" s="866"/>
      <c r="P156" s="1210"/>
      <c r="Q156" s="1038"/>
      <c r="R156" s="1210"/>
      <c r="S156" s="1038"/>
      <c r="T156" s="484"/>
      <c r="U156" s="79"/>
      <c r="V156" s="877"/>
      <c r="W156" s="79"/>
    </row>
    <row r="157" spans="1:23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6"/>
      <c r="L157" s="769"/>
      <c r="M157" s="866"/>
      <c r="N157" s="769"/>
      <c r="O157" s="866"/>
      <c r="P157" s="1210"/>
      <c r="Q157" s="1038"/>
      <c r="R157" s="1210"/>
      <c r="S157" s="1038"/>
      <c r="T157" s="484"/>
      <c r="U157" s="79"/>
      <c r="V157" s="877"/>
      <c r="W157" s="79"/>
    </row>
    <row r="158" spans="1:23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6"/>
      <c r="L158" s="769"/>
      <c r="M158" s="866"/>
      <c r="N158" s="769"/>
      <c r="O158" s="866"/>
      <c r="T158" s="484"/>
      <c r="U158" s="79"/>
      <c r="V158" s="877"/>
      <c r="W158" s="79"/>
    </row>
    <row r="159" spans="1:23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6"/>
      <c r="L159" s="769"/>
      <c r="M159" s="866"/>
      <c r="N159" s="769"/>
      <c r="O159" s="866"/>
      <c r="T159" s="484"/>
      <c r="U159" s="79"/>
      <c r="V159" s="877"/>
      <c r="W159" s="79"/>
    </row>
    <row r="160" spans="1:23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L160" s="769"/>
      <c r="M160" s="868"/>
      <c r="N160" s="769"/>
      <c r="O160" s="868"/>
      <c r="P160" s="79"/>
      <c r="Q160" s="79"/>
      <c r="R160" s="79"/>
      <c r="S160" s="79"/>
      <c r="T160" s="484"/>
      <c r="U160" s="79"/>
      <c r="V160" s="877"/>
      <c r="W160" s="79"/>
    </row>
    <row r="161" spans="1:23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8"/>
      <c r="L161" s="769"/>
      <c r="M161" s="868"/>
      <c r="N161" s="769"/>
      <c r="O161" s="868"/>
      <c r="P161" s="81"/>
      <c r="Q161" s="755"/>
      <c r="R161" s="81"/>
      <c r="S161" s="755"/>
      <c r="T161" s="484"/>
      <c r="U161" s="79"/>
      <c r="V161" s="877"/>
      <c r="W161" s="79"/>
    </row>
    <row r="162" spans="1:23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8"/>
      <c r="L162" s="769"/>
      <c r="M162" s="868"/>
      <c r="N162" s="769"/>
      <c r="O162" s="868"/>
      <c r="P162" s="868"/>
      <c r="Q162" s="79"/>
      <c r="R162" s="868"/>
      <c r="S162" s="79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8"/>
      <c r="L163" s="769"/>
      <c r="M163" s="868"/>
      <c r="N163" s="769"/>
      <c r="O163" s="868"/>
      <c r="P163" s="754"/>
      <c r="Q163" s="886"/>
      <c r="R163" s="754"/>
      <c r="S163" s="886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8"/>
      <c r="L164" s="769"/>
      <c r="M164" s="868"/>
      <c r="N164" s="769"/>
      <c r="O164" s="868"/>
      <c r="P164" s="864"/>
      <c r="Q164" s="864"/>
      <c r="R164" s="864"/>
      <c r="S164" s="864"/>
      <c r="T164" s="484"/>
      <c r="U164" s="79"/>
      <c r="V164" s="877"/>
      <c r="W164" s="79"/>
    </row>
    <row r="165" spans="1:23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769"/>
      <c r="O165" s="866"/>
      <c r="P165" s="864"/>
      <c r="Q165" s="1032"/>
      <c r="R165" s="864"/>
      <c r="S165" s="1032"/>
      <c r="T165" s="484"/>
      <c r="U165" s="79"/>
      <c r="V165" s="877"/>
      <c r="W165" s="79"/>
    </row>
    <row r="166" spans="1:23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769"/>
      <c r="O166" s="866"/>
      <c r="P166" s="864"/>
      <c r="Q166" s="1032"/>
      <c r="R166" s="864"/>
      <c r="S166" s="1032"/>
      <c r="T166" s="484"/>
      <c r="U166" s="79"/>
      <c r="V166" s="877"/>
      <c r="W166" s="79"/>
    </row>
    <row r="167" spans="1:23" s="518" customFormat="1" x14ac:dyDescent="0.25">
      <c r="A167" s="79"/>
      <c r="B167" s="79"/>
      <c r="C167" s="85"/>
      <c r="D167" s="85"/>
      <c r="E167" s="85"/>
      <c r="F167" s="89"/>
      <c r="G167" s="79"/>
      <c r="H167" s="79"/>
      <c r="I167" s="79"/>
      <c r="J167" s="769"/>
      <c r="K167" s="868"/>
      <c r="L167" s="769"/>
      <c r="M167" s="868"/>
      <c r="N167" s="769"/>
      <c r="O167" s="868"/>
      <c r="P167" s="85"/>
      <c r="Q167" s="795"/>
      <c r="R167" s="85"/>
      <c r="S167" s="795"/>
      <c r="T167" s="484"/>
      <c r="U167" s="79"/>
      <c r="V167" s="877"/>
      <c r="W167" s="79"/>
    </row>
    <row r="168" spans="1:23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69"/>
      <c r="K168" s="866"/>
      <c r="L168" s="769"/>
      <c r="M168" s="866"/>
      <c r="N168" s="769"/>
      <c r="O168" s="866"/>
      <c r="P168" s="85"/>
      <c r="Q168" s="177"/>
      <c r="R168" s="85"/>
      <c r="S168" s="177"/>
      <c r="T168" s="484"/>
      <c r="U168" s="79"/>
      <c r="V168" s="877"/>
      <c r="W168" s="79"/>
    </row>
    <row r="169" spans="1:23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69"/>
      <c r="K169" s="866"/>
      <c r="L169" s="769"/>
      <c r="M169" s="866"/>
      <c r="N169" s="769"/>
      <c r="O169" s="866"/>
      <c r="P169" s="85"/>
      <c r="Q169" s="177"/>
      <c r="R169" s="85"/>
      <c r="S169" s="177"/>
      <c r="T169" s="484"/>
      <c r="U169" s="79"/>
      <c r="V169" s="877"/>
      <c r="W169" s="79"/>
    </row>
    <row r="170" spans="1:23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8"/>
      <c r="L170" s="769"/>
      <c r="M170" s="868"/>
      <c r="N170" s="769"/>
      <c r="O170" s="868"/>
      <c r="P170" s="85"/>
      <c r="Q170" s="177" t="s">
        <v>280</v>
      </c>
      <c r="R170" s="85"/>
      <c r="S170" s="177" t="s">
        <v>280</v>
      </c>
      <c r="T170" s="484"/>
      <c r="U170" s="79"/>
      <c r="V170" s="877"/>
      <c r="W170" s="79"/>
    </row>
    <row r="171" spans="1:23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69"/>
      <c r="K171" s="868"/>
      <c r="L171" s="769"/>
      <c r="M171" s="868"/>
      <c r="N171" s="769"/>
      <c r="O171" s="868"/>
      <c r="P171" s="85"/>
      <c r="Q171" s="177"/>
      <c r="R171" s="85"/>
      <c r="S171" s="177"/>
      <c r="T171" s="484"/>
      <c r="U171" s="79"/>
      <c r="V171" s="877"/>
      <c r="W171" s="79"/>
    </row>
    <row r="172" spans="1:23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69"/>
      <c r="K172" s="868"/>
      <c r="L172" s="769"/>
      <c r="M172" s="868"/>
      <c r="N172" s="769"/>
      <c r="O172" s="868"/>
      <c r="P172" s="85"/>
      <c r="Q172" s="866"/>
      <c r="R172" s="85"/>
      <c r="S172" s="866"/>
      <c r="T172" s="484"/>
      <c r="U172" s="79"/>
      <c r="V172" s="877"/>
      <c r="W172" s="79"/>
    </row>
    <row r="173" spans="1:23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69"/>
      <c r="K173" s="868"/>
      <c r="L173" s="769"/>
      <c r="M173" s="868"/>
      <c r="N173" s="769"/>
      <c r="O173" s="868"/>
      <c r="P173" s="769"/>
      <c r="Q173" s="216"/>
      <c r="R173" s="769"/>
      <c r="S173" s="216"/>
      <c r="T173" s="484"/>
      <c r="U173" s="79"/>
      <c r="V173" s="877"/>
      <c r="W173" s="79"/>
    </row>
    <row r="174" spans="1:23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69"/>
      <c r="K174" s="866"/>
      <c r="L174" s="769"/>
      <c r="M174" s="866"/>
      <c r="N174" s="769"/>
      <c r="O174" s="866"/>
      <c r="P174" s="79"/>
      <c r="Q174" s="216"/>
      <c r="R174" s="79"/>
      <c r="S174" s="216"/>
      <c r="T174" s="484"/>
      <c r="U174" s="79"/>
      <c r="V174" s="877"/>
      <c r="W174" s="79"/>
    </row>
    <row r="175" spans="1:23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223"/>
      <c r="K175" s="629"/>
      <c r="L175" s="223"/>
      <c r="M175" s="629"/>
      <c r="N175" s="223"/>
      <c r="O175" s="629"/>
      <c r="P175" s="769"/>
      <c r="Q175" s="868"/>
      <c r="R175" s="769"/>
      <c r="S175" s="868"/>
      <c r="T175" s="484"/>
      <c r="U175" s="79"/>
      <c r="V175" s="877"/>
      <c r="W175" s="79"/>
    </row>
    <row r="176" spans="1:23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56"/>
      <c r="K176" s="756"/>
      <c r="L176" s="756"/>
      <c r="M176" s="756"/>
      <c r="N176" s="756"/>
      <c r="O176" s="756"/>
      <c r="P176" s="769"/>
      <c r="Q176" s="868"/>
      <c r="R176" s="769"/>
      <c r="S176" s="86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69"/>
      <c r="Q177" s="868"/>
      <c r="R177" s="769"/>
      <c r="S177" s="86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69"/>
      <c r="Q178" s="79"/>
      <c r="R178" s="769"/>
      <c r="S178" s="79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85"/>
      <c r="K181" s="85"/>
      <c r="L181" s="85"/>
      <c r="M181" s="85"/>
      <c r="N181" s="85"/>
      <c r="O181" s="85"/>
      <c r="P181" s="1517"/>
      <c r="Q181" s="79"/>
      <c r="R181" s="1517"/>
      <c r="S181" s="79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868"/>
      <c r="R182" s="79"/>
      <c r="S182" s="86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89"/>
      <c r="Q183" s="79"/>
      <c r="R183" s="89"/>
      <c r="S183" s="79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866"/>
      <c r="R185" s="769"/>
      <c r="S185" s="866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866"/>
      <c r="R186" s="769"/>
      <c r="S186" s="866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69"/>
      <c r="Q187" s="866"/>
      <c r="R187" s="769"/>
      <c r="S187" s="866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85"/>
      <c r="K188" s="85"/>
      <c r="L188" s="85"/>
      <c r="M188" s="85"/>
      <c r="N188" s="85"/>
      <c r="O188" s="85"/>
      <c r="Q188" s="866"/>
      <c r="S188" s="866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69"/>
      <c r="Q189" s="866"/>
      <c r="R189" s="769"/>
      <c r="S189" s="866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69"/>
      <c r="Q190" s="868"/>
      <c r="R190" s="769"/>
      <c r="S190" s="86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69"/>
      <c r="Q191" s="866"/>
      <c r="R191" s="769"/>
      <c r="S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70"/>
      <c r="Q192" s="866"/>
      <c r="R192" s="770"/>
      <c r="S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8"/>
      <c r="R193" s="769"/>
      <c r="S193" s="868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769"/>
      <c r="S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71"/>
      <c r="L195" s="771"/>
      <c r="N195" s="771"/>
      <c r="P195" s="769"/>
      <c r="Q195" s="866"/>
      <c r="R195" s="769"/>
      <c r="S195" s="86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6"/>
      <c r="R196" s="769"/>
      <c r="S196" s="866"/>
      <c r="T196" s="484"/>
      <c r="U196" s="79"/>
      <c r="V196" s="877"/>
      <c r="W196" s="79"/>
    </row>
    <row r="197" spans="1:23" x14ac:dyDescent="0.25">
      <c r="P197" s="769"/>
      <c r="Q197" s="866"/>
      <c r="R197" s="769"/>
      <c r="S197" s="866"/>
    </row>
    <row r="198" spans="1:23" x14ac:dyDescent="0.25">
      <c r="P198" s="769"/>
      <c r="Q198" s="866"/>
      <c r="R198" s="769"/>
      <c r="S198" s="866"/>
    </row>
    <row r="199" spans="1:23" x14ac:dyDescent="0.25">
      <c r="P199" s="769"/>
      <c r="Q199" s="866"/>
      <c r="R199" s="769"/>
      <c r="S199" s="866"/>
    </row>
    <row r="200" spans="1:23" x14ac:dyDescent="0.25">
      <c r="P200" s="769"/>
      <c r="Q200" s="866"/>
      <c r="R200" s="769"/>
      <c r="S200" s="866"/>
    </row>
    <row r="201" spans="1:23" x14ac:dyDescent="0.25">
      <c r="P201" s="769"/>
      <c r="Q201" s="866"/>
      <c r="R201" s="769"/>
      <c r="S201" s="866"/>
    </row>
    <row r="202" spans="1:23" x14ac:dyDescent="0.25">
      <c r="P202" s="769"/>
      <c r="Q202" s="866"/>
      <c r="R202" s="769"/>
      <c r="S202" s="866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L203" s="79"/>
      <c r="M203" s="216"/>
      <c r="N203" s="79"/>
      <c r="O203" s="216"/>
      <c r="P203" s="769"/>
      <c r="Q203" s="866"/>
      <c r="R203" s="769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L204" s="79"/>
      <c r="M204" s="216"/>
      <c r="N204" s="79"/>
      <c r="O204" s="216"/>
      <c r="P204" s="769"/>
      <c r="Q204" s="866"/>
      <c r="R204" s="769"/>
      <c r="S204" s="86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216"/>
      <c r="L205" s="79"/>
      <c r="M205" s="216"/>
      <c r="N205" s="79"/>
      <c r="O205" s="216"/>
      <c r="P205" s="769"/>
      <c r="Q205" s="868"/>
      <c r="R205" s="769"/>
      <c r="S205" s="868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L206" s="79"/>
      <c r="M206" s="216"/>
      <c r="N206" s="79"/>
      <c r="O206" s="216"/>
      <c r="P206" s="769"/>
      <c r="Q206" s="868"/>
      <c r="R206" s="769"/>
      <c r="S206" s="868"/>
      <c r="T206" s="484"/>
      <c r="U206" s="79"/>
      <c r="V206" s="877"/>
      <c r="W206" s="79"/>
    </row>
    <row r="207" spans="1:23" x14ac:dyDescent="0.25">
      <c r="P207" s="769"/>
      <c r="Q207" s="868"/>
      <c r="R207" s="769"/>
      <c r="S207" s="868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216"/>
      <c r="L208" s="79"/>
      <c r="M208" s="216"/>
      <c r="N208" s="79"/>
      <c r="O208" s="216"/>
      <c r="P208" s="769"/>
      <c r="Q208" s="868"/>
      <c r="R208" s="769"/>
      <c r="S208" s="868"/>
      <c r="T208" s="484"/>
      <c r="U208" s="79"/>
      <c r="V208" s="877"/>
      <c r="W208" s="79"/>
    </row>
    <row r="209" spans="1:23" x14ac:dyDescent="0.25">
      <c r="P209" s="769"/>
      <c r="Q209" s="868"/>
      <c r="R209" s="769"/>
      <c r="S209" s="868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629"/>
      <c r="L210" s="79"/>
      <c r="M210" s="629"/>
      <c r="N210" s="79"/>
      <c r="O210" s="629"/>
      <c r="P210" s="769"/>
      <c r="Q210" s="866"/>
      <c r="R210" s="769"/>
      <c r="S210" s="866"/>
      <c r="T210" s="484"/>
      <c r="U210" s="79"/>
      <c r="V210" s="877"/>
      <c r="W210" s="79"/>
    </row>
    <row r="211" spans="1:23" x14ac:dyDescent="0.25">
      <c r="P211" s="769"/>
      <c r="Q211" s="866"/>
      <c r="R211" s="769"/>
      <c r="S211" s="866"/>
    </row>
    <row r="212" spans="1:23" x14ac:dyDescent="0.25">
      <c r="P212" s="769"/>
      <c r="Q212" s="868"/>
      <c r="R212" s="769"/>
      <c r="S212" s="868"/>
    </row>
    <row r="213" spans="1:23" x14ac:dyDescent="0.25">
      <c r="P213" s="769"/>
      <c r="Q213" s="866"/>
      <c r="R213" s="769"/>
      <c r="S213" s="866"/>
    </row>
    <row r="214" spans="1:23" x14ac:dyDescent="0.25">
      <c r="P214" s="769"/>
      <c r="Q214" s="866"/>
      <c r="R214" s="769"/>
      <c r="S214" s="866"/>
    </row>
    <row r="215" spans="1:23" x14ac:dyDescent="0.25">
      <c r="P215" s="769"/>
      <c r="Q215" s="868"/>
      <c r="R215" s="769"/>
      <c r="S215" s="868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769"/>
      <c r="Q216" s="868"/>
      <c r="R216" s="769"/>
      <c r="S216" s="868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769"/>
      <c r="Q217" s="868"/>
      <c r="R217" s="769"/>
      <c r="S217" s="868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79"/>
      <c r="O218" s="216"/>
      <c r="P218" s="769"/>
      <c r="Q218" s="868"/>
      <c r="R218" s="769"/>
      <c r="S218" s="868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69"/>
      <c r="Q219" s="866"/>
      <c r="R219" s="769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223"/>
      <c r="Q220" s="629"/>
      <c r="R220" s="223"/>
      <c r="S220" s="629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79"/>
      <c r="O221" s="216"/>
      <c r="P221" s="756"/>
      <c r="Q221" s="756"/>
      <c r="R221" s="756"/>
      <c r="S221" s="75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9"/>
      <c r="Q222" s="79"/>
      <c r="R222" s="79"/>
      <c r="S222" s="79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9"/>
      <c r="Q223" s="79"/>
      <c r="R223" s="79"/>
      <c r="S223" s="79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9"/>
      <c r="Q224" s="79"/>
      <c r="R224" s="79"/>
      <c r="S224" s="79"/>
      <c r="T224" s="484"/>
      <c r="U224" s="79"/>
      <c r="V224" s="877"/>
      <c r="W224" s="79"/>
    </row>
    <row r="226" spans="1:44" x14ac:dyDescent="0.25">
      <c r="P226" s="85"/>
      <c r="Q226" s="85"/>
      <c r="R226" s="85"/>
      <c r="S226" s="85"/>
    </row>
    <row r="233" spans="1:44" x14ac:dyDescent="0.25">
      <c r="P233" s="85"/>
      <c r="Q233" s="85"/>
      <c r="R233" s="85"/>
      <c r="S233" s="85"/>
    </row>
    <row r="237" spans="1:44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U237" s="79"/>
      <c r="V237" s="877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</row>
    <row r="238" spans="1:44" s="484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U238" s="79"/>
      <c r="V238" s="877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</row>
    <row r="239" spans="1:44" s="484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U239" s="79"/>
      <c r="V239" s="877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</row>
    <row r="240" spans="1:44" s="484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9"/>
      <c r="K240" s="79"/>
      <c r="L240" s="79"/>
      <c r="M240" s="79"/>
      <c r="N240" s="79"/>
      <c r="O240" s="79"/>
      <c r="P240" s="771"/>
      <c r="Q240" s="518"/>
      <c r="R240" s="771"/>
      <c r="S240" s="518"/>
      <c r="U240" s="79"/>
      <c r="V240" s="877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</row>
    <row r="241" spans="1:44" s="484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U241" s="79"/>
      <c r="V241" s="877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</row>
    <row r="248" spans="1:44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216"/>
      <c r="R248" s="79"/>
      <c r="S248" s="216"/>
      <c r="U248" s="79"/>
      <c r="V248" s="877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</row>
    <row r="249" spans="1:44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216"/>
      <c r="R249" s="79"/>
      <c r="S249" s="216"/>
      <c r="U249" s="79"/>
      <c r="V249" s="877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</row>
    <row r="250" spans="1:44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216"/>
      <c r="R250" s="79"/>
      <c r="S250" s="216"/>
      <c r="U250" s="79"/>
      <c r="V250" s="877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</row>
    <row r="251" spans="1:44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216"/>
      <c r="R251" s="79"/>
      <c r="S251" s="216"/>
      <c r="U251" s="79"/>
      <c r="V251" s="877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</row>
    <row r="253" spans="1:44" s="484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216"/>
      <c r="R253" s="79"/>
      <c r="S253" s="216"/>
      <c r="U253" s="79"/>
      <c r="V253" s="877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</row>
    <row r="255" spans="1:44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629"/>
      <c r="R255" s="79"/>
      <c r="S255" s="629"/>
      <c r="U255" s="79"/>
      <c r="V255" s="877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</row>
    <row r="261" spans="1:44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R261" s="79"/>
      <c r="S261" s="216"/>
      <c r="U261" s="79"/>
      <c r="V261" s="877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</row>
    <row r="262" spans="1:44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216"/>
      <c r="R262" s="79"/>
      <c r="S262" s="216"/>
      <c r="U262" s="79"/>
      <c r="V262" s="877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</row>
    <row r="263" spans="1:44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216"/>
      <c r="R263" s="79"/>
      <c r="S263" s="216"/>
      <c r="U263" s="79"/>
      <c r="V263" s="877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</row>
    <row r="264" spans="1:44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216"/>
      <c r="R264" s="79"/>
      <c r="S264" s="216"/>
      <c r="U264" s="79"/>
      <c r="V264" s="877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</row>
    <row r="265" spans="1:44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216"/>
      <c r="R265" s="79"/>
      <c r="S265" s="216"/>
      <c r="U265" s="79"/>
      <c r="V265" s="877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</row>
    <row r="266" spans="1:44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216"/>
      <c r="R266" s="79"/>
      <c r="S266" s="216"/>
      <c r="U266" s="79"/>
      <c r="V266" s="877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216"/>
      <c r="R267" s="79"/>
      <c r="S267" s="216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R269" s="79"/>
      <c r="S269" s="216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</sheetData>
  <autoFilter ref="A2:I134" xr:uid="{00000000-0009-0000-0000-00008A000000}"/>
  <mergeCells count="18">
    <mergeCell ref="C136:D136"/>
    <mergeCell ref="B137:D137"/>
    <mergeCell ref="L2:M3"/>
    <mergeCell ref="N2:O3"/>
    <mergeCell ref="P2:Q3"/>
    <mergeCell ref="R2:S3"/>
    <mergeCell ref="A113:E113"/>
    <mergeCell ref="A114:E114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Planilha9"/>
  <dimension ref="A1:AP278"/>
  <sheetViews>
    <sheetView zoomScale="85" zoomScaleNormal="85" workbookViewId="0">
      <pane ySplit="5" topLeftCell="A6" activePane="bottomLeft" state="frozen"/>
      <selection pane="bottomLeft" sqref="A1:E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3838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45139</v>
      </c>
      <c r="B5" s="369" t="s">
        <v>10</v>
      </c>
      <c r="C5" s="370"/>
      <c r="D5" s="370"/>
      <c r="E5" s="777"/>
      <c r="F5" s="179"/>
      <c r="G5" s="933">
        <f>'Julho-23'!G114</f>
        <v>487.66825000002609</v>
      </c>
      <c r="H5" s="163"/>
      <c r="I5" s="1479">
        <f>'Julho-23'!I114</f>
        <v>1999.9959999999992</v>
      </c>
      <c r="J5" s="179"/>
      <c r="K5" s="933">
        <f>'Julho-23'!K114</f>
        <v>20820.690000000002</v>
      </c>
      <c r="L5" s="179"/>
      <c r="M5" s="933">
        <f>'Julho-23'!M114</f>
        <v>7288.0000000000018</v>
      </c>
      <c r="N5" s="179"/>
      <c r="O5" s="1479">
        <f>'Julho-23'!O114</f>
        <v>2213.3000000000002</v>
      </c>
      <c r="P5" s="179"/>
      <c r="Q5" s="933">
        <f>'Julho-23'!S114</f>
        <v>52385.235984720006</v>
      </c>
    </row>
    <row r="6" spans="1:42" s="224" customFormat="1" x14ac:dyDescent="0.25">
      <c r="A6" s="247">
        <v>45139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45139</v>
      </c>
      <c r="B7" s="882" t="s">
        <v>138</v>
      </c>
      <c r="C7" s="879" t="s">
        <v>12</v>
      </c>
      <c r="D7" s="879" t="s">
        <v>2157</v>
      </c>
      <c r="E7" s="871" t="s">
        <v>13</v>
      </c>
      <c r="F7" s="780">
        <v>90</v>
      </c>
      <c r="G7" s="967"/>
      <c r="H7" s="1008"/>
      <c r="I7" s="1063"/>
      <c r="J7" s="1110"/>
      <c r="K7" s="1207"/>
      <c r="L7" s="880"/>
      <c r="M7" s="1033"/>
      <c r="N7" s="880"/>
      <c r="O7" s="1525"/>
      <c r="P7" s="613"/>
      <c r="Q7" s="162"/>
      <c r="R7" s="1209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15">
        <v>45139</v>
      </c>
      <c r="B8" s="882" t="s">
        <v>32</v>
      </c>
      <c r="C8" s="879" t="s">
        <v>12</v>
      </c>
      <c r="D8" s="879" t="s">
        <v>1485</v>
      </c>
      <c r="E8" s="871" t="s">
        <v>13</v>
      </c>
      <c r="F8" s="780">
        <v>20</v>
      </c>
      <c r="G8" s="982"/>
      <c r="H8" s="95"/>
      <c r="I8" s="1064"/>
      <c r="J8" s="622"/>
      <c r="K8" s="982"/>
      <c r="L8" s="622"/>
      <c r="M8" s="982"/>
      <c r="N8" s="622"/>
      <c r="O8" s="1063"/>
      <c r="P8" s="622"/>
      <c r="Q8" s="982"/>
      <c r="R8" s="861"/>
    </row>
    <row r="9" spans="1:42" s="224" customFormat="1" x14ac:dyDescent="0.25">
      <c r="A9" s="215">
        <v>45139</v>
      </c>
      <c r="B9" s="1275" t="s">
        <v>14</v>
      </c>
      <c r="C9" s="1276" t="s">
        <v>12</v>
      </c>
      <c r="D9" s="1276" t="s">
        <v>1486</v>
      </c>
      <c r="E9" s="1286" t="s">
        <v>13</v>
      </c>
      <c r="F9" s="1873">
        <v>9.23</v>
      </c>
      <c r="G9" s="982"/>
      <c r="H9" s="1008"/>
      <c r="I9" s="1063"/>
      <c r="J9" s="622"/>
      <c r="K9" s="982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15">
        <v>45140</v>
      </c>
      <c r="B10" s="882" t="s">
        <v>32</v>
      </c>
      <c r="C10" s="879" t="s">
        <v>12</v>
      </c>
      <c r="D10" s="879" t="s">
        <v>1485</v>
      </c>
      <c r="E10" s="871" t="s">
        <v>13</v>
      </c>
      <c r="F10" s="780">
        <v>20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861"/>
    </row>
    <row r="11" spans="1:42" s="224" customFormat="1" x14ac:dyDescent="0.25">
      <c r="A11" s="215">
        <v>45140</v>
      </c>
      <c r="B11" s="1275" t="s">
        <v>14</v>
      </c>
      <c r="C11" s="1276" t="s">
        <v>12</v>
      </c>
      <c r="D11" s="1276" t="s">
        <v>1486</v>
      </c>
      <c r="E11" s="1286" t="s">
        <v>13</v>
      </c>
      <c r="F11" s="1873">
        <v>9.57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15">
        <v>45141</v>
      </c>
      <c r="B12" s="882" t="s">
        <v>32</v>
      </c>
      <c r="C12" s="879" t="s">
        <v>12</v>
      </c>
      <c r="D12" s="879" t="s">
        <v>1485</v>
      </c>
      <c r="E12" s="871" t="s">
        <v>13</v>
      </c>
      <c r="F12" s="780">
        <v>20</v>
      </c>
      <c r="G12" s="982"/>
      <c r="H12" s="95"/>
      <c r="I12" s="1064"/>
      <c r="J12" s="622"/>
      <c r="K12" s="982"/>
      <c r="L12" s="622"/>
      <c r="M12" s="982"/>
      <c r="N12" s="622"/>
      <c r="O12" s="1063"/>
      <c r="P12" s="622"/>
      <c r="Q12" s="982"/>
      <c r="R12" s="861"/>
    </row>
    <row r="13" spans="1:42" s="1274" customFormat="1" ht="15" customHeight="1" x14ac:dyDescent="0.25">
      <c r="A13" s="215">
        <v>45141</v>
      </c>
      <c r="B13" s="1275" t="s">
        <v>134</v>
      </c>
      <c r="C13" s="1276" t="s">
        <v>12</v>
      </c>
      <c r="D13" s="1276" t="s">
        <v>1493</v>
      </c>
      <c r="E13" s="1286" t="s">
        <v>13</v>
      </c>
      <c r="F13" s="780">
        <v>8.5</v>
      </c>
      <c r="G13" s="1278"/>
      <c r="H13" s="1282"/>
      <c r="I13" s="1283"/>
      <c r="J13" s="1279"/>
      <c r="K13" s="1278"/>
      <c r="L13" s="1279"/>
      <c r="M13" s="1278"/>
      <c r="N13" s="1279"/>
      <c r="O13" s="1283"/>
      <c r="P13" s="1702"/>
      <c r="Q13" s="1703"/>
      <c r="R13" s="1281"/>
      <c r="T13" s="1281"/>
      <c r="U13" s="1294"/>
    </row>
    <row r="14" spans="1:42" s="224" customFormat="1" ht="15.75" customHeight="1" x14ac:dyDescent="0.25">
      <c r="A14" s="215">
        <v>45142</v>
      </c>
      <c r="B14" s="873" t="s">
        <v>3839</v>
      </c>
      <c r="C14" s="879" t="s">
        <v>12</v>
      </c>
      <c r="D14" s="874"/>
      <c r="E14" s="871" t="s">
        <v>25</v>
      </c>
      <c r="F14" s="1524"/>
      <c r="G14" s="1002">
        <v>1822.14</v>
      </c>
      <c r="H14" s="538"/>
      <c r="I14" s="982"/>
      <c r="J14" s="622"/>
      <c r="K14" s="982"/>
      <c r="L14" s="622"/>
      <c r="M14" s="982"/>
      <c r="N14" s="622"/>
      <c r="O14" s="1063"/>
      <c r="P14" s="622"/>
      <c r="Q14" s="982"/>
      <c r="R14" s="1924" t="s">
        <v>3840</v>
      </c>
    </row>
    <row r="15" spans="1:42" s="224" customFormat="1" ht="15" customHeight="1" x14ac:dyDescent="0.25">
      <c r="A15" s="215">
        <v>45142</v>
      </c>
      <c r="B15" s="364" t="s">
        <v>3841</v>
      </c>
      <c r="C15" s="879" t="s">
        <v>12</v>
      </c>
      <c r="D15" s="879"/>
      <c r="E15" s="875" t="s">
        <v>25</v>
      </c>
      <c r="F15" s="780"/>
      <c r="G15" s="982"/>
      <c r="H15" s="622"/>
      <c r="I15" s="982"/>
      <c r="J15" s="622"/>
      <c r="K15" s="982"/>
      <c r="L15" s="622"/>
      <c r="M15" s="982"/>
      <c r="N15" s="622"/>
      <c r="O15" s="1063"/>
      <c r="P15" s="622"/>
      <c r="Q15" s="982">
        <v>420</v>
      </c>
      <c r="R15" s="927"/>
      <c r="S15" s="927"/>
      <c r="T15" s="878"/>
    </row>
    <row r="16" spans="1:42" s="224" customFormat="1" ht="15" customHeight="1" x14ac:dyDescent="0.25">
      <c r="A16" s="215">
        <v>45142</v>
      </c>
      <c r="B16" s="364" t="s">
        <v>1396</v>
      </c>
      <c r="C16" s="879" t="s">
        <v>12</v>
      </c>
      <c r="D16" s="350"/>
      <c r="E16" s="480" t="s">
        <v>25</v>
      </c>
      <c r="F16" s="613"/>
      <c r="G16" s="967">
        <v>100</v>
      </c>
      <c r="H16" s="1008"/>
      <c r="I16" s="1063"/>
      <c r="J16" s="1116"/>
      <c r="K16" s="1207"/>
      <c r="L16" s="622"/>
      <c r="M16" s="982"/>
      <c r="N16" s="622"/>
      <c r="O16" s="1063"/>
      <c r="P16" s="1116"/>
      <c r="Q16" s="1207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21" s="224" customFormat="1" ht="15" customHeight="1" x14ac:dyDescent="0.25">
      <c r="A17" s="215">
        <v>45142</v>
      </c>
      <c r="B17" s="862" t="s">
        <v>3422</v>
      </c>
      <c r="C17" s="879" t="s">
        <v>12</v>
      </c>
      <c r="D17" s="879" t="s">
        <v>1504</v>
      </c>
      <c r="E17" s="871" t="s">
        <v>13</v>
      </c>
      <c r="F17" s="780">
        <v>50</v>
      </c>
      <c r="G17" s="982"/>
      <c r="H17" s="1008"/>
      <c r="I17" s="1063"/>
      <c r="J17" s="622"/>
      <c r="K17" s="982"/>
      <c r="L17" s="622"/>
      <c r="M17" s="982"/>
      <c r="N17" s="622"/>
      <c r="O17" s="1063"/>
      <c r="P17" s="622"/>
      <c r="Q17" s="982"/>
      <c r="R17" s="178"/>
      <c r="S17" s="1028"/>
      <c r="T17" s="1035"/>
    </row>
    <row r="18" spans="1:21" s="224" customFormat="1" ht="15" customHeight="1" x14ac:dyDescent="0.25">
      <c r="A18" s="215">
        <v>45142</v>
      </c>
      <c r="B18" s="882" t="s">
        <v>3842</v>
      </c>
      <c r="C18" s="879" t="s">
        <v>12</v>
      </c>
      <c r="D18" s="879" t="s">
        <v>1499</v>
      </c>
      <c r="E18" s="871" t="s">
        <v>13</v>
      </c>
      <c r="F18" s="1245"/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1028" t="s">
        <v>3843</v>
      </c>
      <c r="S18" s="999"/>
      <c r="T18" s="878"/>
    </row>
    <row r="19" spans="1:21" s="224" customFormat="1" ht="15" customHeight="1" x14ac:dyDescent="0.25">
      <c r="A19" s="215">
        <v>45142</v>
      </c>
      <c r="B19" s="364" t="s">
        <v>2977</v>
      </c>
      <c r="C19" s="879" t="s">
        <v>12</v>
      </c>
      <c r="D19" s="350" t="s">
        <v>1491</v>
      </c>
      <c r="E19" s="875" t="s">
        <v>13</v>
      </c>
      <c r="F19" s="780">
        <v>300</v>
      </c>
      <c r="G19" s="982"/>
      <c r="H19" s="1008"/>
      <c r="I19" s="1063"/>
      <c r="J19" s="622"/>
      <c r="K19" s="982"/>
      <c r="L19" s="622"/>
      <c r="M19" s="982"/>
      <c r="N19" s="622"/>
      <c r="O19" s="1063"/>
      <c r="P19" s="622"/>
      <c r="Q19" s="982"/>
      <c r="R19" s="1028"/>
      <c r="T19" s="1035"/>
    </row>
    <row r="20" spans="1:21" x14ac:dyDescent="0.25">
      <c r="A20" s="215">
        <v>45142</v>
      </c>
      <c r="B20" s="876" t="s">
        <v>3844</v>
      </c>
      <c r="C20" s="879" t="s">
        <v>12</v>
      </c>
      <c r="D20" s="879" t="s">
        <v>1496</v>
      </c>
      <c r="E20" s="871" t="s">
        <v>13</v>
      </c>
      <c r="F20" s="780">
        <v>90</v>
      </c>
      <c r="G20" s="982"/>
      <c r="H20" s="1009"/>
      <c r="I20" s="1063"/>
      <c r="J20" s="622"/>
      <c r="K20" s="982"/>
      <c r="L20" s="622"/>
      <c r="M20" s="982"/>
      <c r="N20" s="622"/>
      <c r="O20" s="1063"/>
      <c r="P20" s="622"/>
      <c r="Q20" s="982"/>
      <c r="R20" s="1029"/>
    </row>
    <row r="21" spans="1:21" s="224" customFormat="1" ht="15" customHeight="1" x14ac:dyDescent="0.25">
      <c r="A21" s="215">
        <v>45142</v>
      </c>
      <c r="B21" s="882" t="s">
        <v>3845</v>
      </c>
      <c r="C21" s="879" t="s">
        <v>12</v>
      </c>
      <c r="D21" s="879" t="s">
        <v>3017</v>
      </c>
      <c r="E21" s="875" t="s">
        <v>13</v>
      </c>
      <c r="F21" s="780">
        <v>542</v>
      </c>
      <c r="G21" s="982"/>
      <c r="H21" s="1008"/>
      <c r="I21" s="1063"/>
      <c r="J21" s="622"/>
      <c r="K21" s="982">
        <v>542</v>
      </c>
      <c r="L21" s="622"/>
      <c r="M21" s="982"/>
      <c r="N21" s="622"/>
      <c r="O21" s="1063"/>
      <c r="P21" s="622"/>
      <c r="Q21" s="982"/>
      <c r="R21" s="861">
        <v>542</v>
      </c>
      <c r="S21" s="878" t="s">
        <v>3018</v>
      </c>
      <c r="T21" s="1035"/>
    </row>
    <row r="22" spans="1:21" s="224" customFormat="1" ht="15" customHeight="1" x14ac:dyDescent="0.25">
      <c r="A22" s="215">
        <v>45142</v>
      </c>
      <c r="B22" s="882" t="s">
        <v>32</v>
      </c>
      <c r="C22" s="879" t="s">
        <v>12</v>
      </c>
      <c r="D22" s="879" t="s">
        <v>1485</v>
      </c>
      <c r="E22" s="871" t="s">
        <v>13</v>
      </c>
      <c r="F22" s="780">
        <v>20</v>
      </c>
      <c r="G22" s="982"/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861"/>
    </row>
    <row r="23" spans="1:21" s="1274" customFormat="1" ht="15" customHeight="1" x14ac:dyDescent="0.25">
      <c r="A23" s="215">
        <v>45142</v>
      </c>
      <c r="B23" s="1275" t="s">
        <v>134</v>
      </c>
      <c r="C23" s="1276" t="s">
        <v>12</v>
      </c>
      <c r="D23" s="1276" t="s">
        <v>1493</v>
      </c>
      <c r="E23" s="1286" t="s">
        <v>13</v>
      </c>
      <c r="F23" s="780">
        <v>17</v>
      </c>
      <c r="G23" s="1278"/>
      <c r="H23" s="1282"/>
      <c r="I23" s="1283"/>
      <c r="J23" s="1279"/>
      <c r="K23" s="1278"/>
      <c r="L23" s="1279"/>
      <c r="M23" s="1278"/>
      <c r="N23" s="1279"/>
      <c r="O23" s="1283"/>
      <c r="P23" s="1702"/>
      <c r="Q23" s="1703"/>
      <c r="R23" s="1281"/>
      <c r="T23" s="1281"/>
      <c r="U23" s="1294"/>
    </row>
    <row r="24" spans="1:21" s="224" customFormat="1" ht="15" customHeight="1" x14ac:dyDescent="0.25">
      <c r="A24" s="215">
        <v>45143</v>
      </c>
      <c r="B24" s="873" t="s">
        <v>690</v>
      </c>
      <c r="C24" s="874" t="s">
        <v>12</v>
      </c>
      <c r="D24" s="874" t="s">
        <v>1523</v>
      </c>
      <c r="E24" s="875" t="s">
        <v>13</v>
      </c>
      <c r="F24" s="780">
        <v>16</v>
      </c>
      <c r="G24" s="982"/>
      <c r="H24" s="622"/>
      <c r="I24" s="982"/>
      <c r="J24" s="622"/>
      <c r="K24" s="982"/>
      <c r="L24" s="622"/>
      <c r="M24" s="982"/>
      <c r="N24" s="622"/>
      <c r="O24" s="1063"/>
      <c r="P24" s="622"/>
      <c r="Q24" s="982"/>
      <c r="R24" s="1280"/>
      <c r="S24" s="927"/>
      <c r="T24" s="878"/>
    </row>
    <row r="25" spans="1:21" s="224" customFormat="1" ht="15" customHeight="1" x14ac:dyDescent="0.25">
      <c r="A25" s="215">
        <v>45143</v>
      </c>
      <c r="B25" s="873" t="s">
        <v>3846</v>
      </c>
      <c r="C25" s="874" t="s">
        <v>12</v>
      </c>
      <c r="D25" s="874" t="s">
        <v>1493</v>
      </c>
      <c r="E25" s="875" t="s">
        <v>13</v>
      </c>
      <c r="F25" s="780">
        <v>22.49</v>
      </c>
      <c r="G25" s="982"/>
      <c r="H25" s="622"/>
      <c r="I25" s="982"/>
      <c r="J25" s="622"/>
      <c r="K25" s="982"/>
      <c r="L25" s="622"/>
      <c r="M25" s="982"/>
      <c r="N25" s="622"/>
      <c r="O25" s="1063"/>
      <c r="P25" s="622"/>
      <c r="Q25" s="982"/>
      <c r="R25" s="1280"/>
      <c r="S25" s="927"/>
      <c r="T25" s="878"/>
    </row>
    <row r="26" spans="1:21" s="224" customFormat="1" ht="15" customHeight="1" x14ac:dyDescent="0.25">
      <c r="A26" s="215">
        <v>45143</v>
      </c>
      <c r="B26" s="873" t="s">
        <v>2685</v>
      </c>
      <c r="C26" s="874" t="s">
        <v>12</v>
      </c>
      <c r="D26" s="874" t="s">
        <v>1523</v>
      </c>
      <c r="E26" s="875" t="s">
        <v>13</v>
      </c>
      <c r="F26" s="780">
        <v>41.9</v>
      </c>
      <c r="G26" s="982"/>
      <c r="H26" s="622"/>
      <c r="I26" s="982"/>
      <c r="J26" s="622"/>
      <c r="K26" s="982"/>
      <c r="L26" s="622"/>
      <c r="M26" s="982"/>
      <c r="N26" s="622"/>
      <c r="O26" s="1063"/>
      <c r="P26" s="622"/>
      <c r="Q26" s="982"/>
      <c r="R26" s="1280"/>
      <c r="S26" s="927"/>
      <c r="T26" s="878"/>
    </row>
    <row r="27" spans="1:21" s="224" customFormat="1" ht="15" customHeight="1" x14ac:dyDescent="0.25">
      <c r="A27" s="215">
        <v>45143</v>
      </c>
      <c r="B27" s="873" t="s">
        <v>3847</v>
      </c>
      <c r="C27" s="874" t="s">
        <v>12</v>
      </c>
      <c r="D27" s="874" t="s">
        <v>1489</v>
      </c>
      <c r="E27" s="875" t="s">
        <v>13</v>
      </c>
      <c r="F27" s="780">
        <v>89</v>
      </c>
      <c r="G27" s="982"/>
      <c r="H27" s="622"/>
      <c r="I27" s="982"/>
      <c r="J27" s="622"/>
      <c r="K27" s="982"/>
      <c r="L27" s="622"/>
      <c r="M27" s="982"/>
      <c r="N27" s="622"/>
      <c r="O27" s="1063"/>
      <c r="P27" s="622"/>
      <c r="Q27" s="982"/>
      <c r="R27" s="1280">
        <v>178</v>
      </c>
      <c r="S27" s="927"/>
      <c r="T27" s="878"/>
    </row>
    <row r="28" spans="1:21" s="224" customFormat="1" x14ac:dyDescent="0.25">
      <c r="A28" s="215">
        <v>45144</v>
      </c>
      <c r="B28" s="1275" t="s">
        <v>14</v>
      </c>
      <c r="C28" s="1276" t="s">
        <v>12</v>
      </c>
      <c r="D28" s="1276" t="s">
        <v>1486</v>
      </c>
      <c r="E28" s="1286" t="s">
        <v>13</v>
      </c>
      <c r="F28" s="1873">
        <v>8.0399999999999991</v>
      </c>
      <c r="G28" s="982"/>
      <c r="H28" s="1008"/>
      <c r="I28" s="1063"/>
      <c r="J28" s="622"/>
      <c r="K28" s="982"/>
      <c r="L28" s="622"/>
      <c r="M28" s="982"/>
      <c r="N28" s="622"/>
      <c r="O28" s="1063"/>
      <c r="P28" s="622"/>
      <c r="Q28" s="982"/>
      <c r="R28" s="861"/>
      <c r="T28" s="878"/>
    </row>
    <row r="29" spans="1:21" s="224" customFormat="1" ht="15" customHeight="1" x14ac:dyDescent="0.25">
      <c r="A29" s="215">
        <v>45144</v>
      </c>
      <c r="B29" s="882" t="s">
        <v>32</v>
      </c>
      <c r="C29" s="879" t="s">
        <v>12</v>
      </c>
      <c r="D29" s="879" t="s">
        <v>1485</v>
      </c>
      <c r="E29" s="871" t="s">
        <v>13</v>
      </c>
      <c r="F29" s="780">
        <v>22</v>
      </c>
      <c r="G29" s="982"/>
      <c r="H29" s="95"/>
      <c r="I29" s="1064"/>
      <c r="J29" s="622"/>
      <c r="K29" s="982"/>
      <c r="L29" s="622"/>
      <c r="M29" s="982"/>
      <c r="N29" s="622"/>
      <c r="O29" s="1063"/>
      <c r="P29" s="622"/>
      <c r="Q29" s="982"/>
      <c r="R29" s="861"/>
    </row>
    <row r="30" spans="1:21" s="224" customFormat="1" ht="15" customHeight="1" x14ac:dyDescent="0.25">
      <c r="A30" s="215">
        <v>45144</v>
      </c>
      <c r="B30" s="1688" t="s">
        <v>443</v>
      </c>
      <c r="C30" s="874" t="s">
        <v>12</v>
      </c>
      <c r="D30" s="874" t="s">
        <v>1493</v>
      </c>
      <c r="E30" s="875" t="s">
        <v>13</v>
      </c>
      <c r="F30" s="780">
        <v>19.899999999999999</v>
      </c>
      <c r="G30" s="982"/>
      <c r="H30" s="622"/>
      <c r="I30" s="982"/>
      <c r="J30" s="622"/>
      <c r="K30" s="982"/>
      <c r="L30" s="622"/>
      <c r="M30" s="982"/>
      <c r="N30" s="622"/>
      <c r="O30" s="1063"/>
      <c r="P30" s="622"/>
      <c r="Q30" s="982"/>
      <c r="R30" s="927"/>
      <c r="S30" s="927"/>
      <c r="T30" s="878"/>
    </row>
    <row r="31" spans="1:21" s="224" customFormat="1" ht="15" customHeight="1" x14ac:dyDescent="0.25">
      <c r="A31" s="215">
        <v>45145</v>
      </c>
      <c r="B31" s="1275" t="s">
        <v>3848</v>
      </c>
      <c r="C31" s="1276" t="s">
        <v>19</v>
      </c>
      <c r="D31" s="1276" t="s">
        <v>1525</v>
      </c>
      <c r="E31" s="1286" t="s">
        <v>13</v>
      </c>
      <c r="F31" s="780">
        <v>186.9</v>
      </c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982"/>
      <c r="R31" s="1280" t="s">
        <v>3292</v>
      </c>
      <c r="S31" s="927"/>
      <c r="T31" s="878"/>
    </row>
    <row r="32" spans="1:21" s="224" customFormat="1" ht="15" customHeight="1" x14ac:dyDescent="0.25">
      <c r="A32" s="215">
        <v>45145</v>
      </c>
      <c r="B32" s="882" t="s">
        <v>32</v>
      </c>
      <c r="C32" s="879" t="s">
        <v>12</v>
      </c>
      <c r="D32" s="879" t="s">
        <v>1485</v>
      </c>
      <c r="E32" s="871" t="s">
        <v>13</v>
      </c>
      <c r="F32" s="780">
        <v>20</v>
      </c>
      <c r="G32" s="982"/>
      <c r="H32" s="622"/>
      <c r="I32" s="982"/>
      <c r="J32" s="622"/>
      <c r="K32" s="982"/>
      <c r="L32" s="622"/>
      <c r="M32" s="982"/>
      <c r="N32" s="622"/>
      <c r="O32" s="1063"/>
      <c r="P32" s="622"/>
      <c r="Q32" s="982"/>
      <c r="R32" s="927"/>
      <c r="S32" s="927"/>
      <c r="T32" s="878"/>
    </row>
    <row r="33" spans="1:42" s="224" customFormat="1" ht="15" customHeight="1" x14ac:dyDescent="0.25">
      <c r="A33" s="215">
        <v>45145</v>
      </c>
      <c r="B33" s="1275" t="s">
        <v>14</v>
      </c>
      <c r="C33" s="1276" t="s">
        <v>12</v>
      </c>
      <c r="D33" s="1276" t="s">
        <v>1486</v>
      </c>
      <c r="E33" s="1286" t="s">
        <v>13</v>
      </c>
      <c r="F33" s="780">
        <v>5.7</v>
      </c>
      <c r="G33" s="982"/>
      <c r="H33" s="622"/>
      <c r="I33" s="982"/>
      <c r="J33" s="622"/>
      <c r="K33" s="982"/>
      <c r="L33" s="622"/>
      <c r="M33" s="982"/>
      <c r="N33" s="622"/>
      <c r="O33" s="1063"/>
      <c r="P33" s="622"/>
      <c r="Q33" s="982"/>
      <c r="R33" s="927"/>
      <c r="S33" s="927"/>
      <c r="T33" s="878"/>
    </row>
    <row r="34" spans="1:42" s="224" customFormat="1" ht="15" customHeight="1" x14ac:dyDescent="0.25">
      <c r="A34" s="215">
        <v>45146</v>
      </c>
      <c r="B34" s="364" t="s">
        <v>390</v>
      </c>
      <c r="C34" s="983" t="s">
        <v>12</v>
      </c>
      <c r="D34" s="350"/>
      <c r="E34" s="480" t="s">
        <v>13</v>
      </c>
      <c r="F34" s="780"/>
      <c r="G34" s="982">
        <v>250</v>
      </c>
      <c r="H34" s="1009">
        <v>200</v>
      </c>
      <c r="I34" s="982"/>
      <c r="J34" s="622"/>
      <c r="K34" s="982"/>
      <c r="L34" s="622"/>
      <c r="M34" s="982"/>
      <c r="N34" s="622"/>
      <c r="O34" s="1063"/>
      <c r="P34" s="622"/>
      <c r="Q34" s="982"/>
      <c r="R34" s="1210"/>
      <c r="S34" s="1038"/>
      <c r="T34" s="959"/>
      <c r="U34" s="927"/>
      <c r="V34" s="878"/>
    </row>
    <row r="35" spans="1:42" s="224" customFormat="1" ht="15" customHeight="1" x14ac:dyDescent="0.25">
      <c r="A35" s="215">
        <v>45146</v>
      </c>
      <c r="B35" s="882" t="s">
        <v>3849</v>
      </c>
      <c r="C35" s="879" t="s">
        <v>19</v>
      </c>
      <c r="D35" s="879" t="s">
        <v>1525</v>
      </c>
      <c r="E35" s="871" t="s">
        <v>13</v>
      </c>
      <c r="F35" s="780">
        <v>130</v>
      </c>
      <c r="G35" s="982"/>
      <c r="H35" s="622"/>
      <c r="I35" s="982"/>
      <c r="J35" s="622"/>
      <c r="K35" s="982"/>
      <c r="L35" s="622"/>
      <c r="M35" s="982"/>
      <c r="N35" s="622"/>
      <c r="O35" s="1063"/>
      <c r="P35" s="622"/>
      <c r="Q35" s="982"/>
      <c r="R35" s="1080"/>
      <c r="S35" s="927"/>
      <c r="T35" s="878"/>
    </row>
    <row r="36" spans="1:42" s="224" customFormat="1" ht="15" customHeight="1" x14ac:dyDescent="0.25">
      <c r="A36" s="215">
        <v>45146</v>
      </c>
      <c r="B36" s="882" t="s">
        <v>32</v>
      </c>
      <c r="C36" s="879" t="s">
        <v>12</v>
      </c>
      <c r="D36" s="879" t="s">
        <v>1485</v>
      </c>
      <c r="E36" s="871" t="s">
        <v>13</v>
      </c>
      <c r="F36" s="780">
        <v>20</v>
      </c>
      <c r="G36" s="982"/>
      <c r="H36" s="1009"/>
      <c r="I36" s="982"/>
      <c r="J36" s="622"/>
      <c r="K36" s="982"/>
      <c r="L36" s="622"/>
      <c r="M36" s="982"/>
      <c r="N36" s="622"/>
      <c r="O36" s="1063"/>
      <c r="P36" s="622"/>
      <c r="Q36" s="982"/>
      <c r="R36" s="1210"/>
      <c r="S36" s="1038"/>
      <c r="T36" s="959"/>
      <c r="U36" s="927"/>
      <c r="V36" s="878"/>
    </row>
    <row r="37" spans="1:42" s="224" customFormat="1" ht="15" customHeight="1" x14ac:dyDescent="0.25">
      <c r="A37" s="215">
        <v>45146</v>
      </c>
      <c r="B37" s="1275" t="s">
        <v>14</v>
      </c>
      <c r="C37" s="1276" t="s">
        <v>12</v>
      </c>
      <c r="D37" s="1276" t="s">
        <v>1486</v>
      </c>
      <c r="E37" s="1286" t="s">
        <v>13</v>
      </c>
      <c r="F37" s="780">
        <v>10.15</v>
      </c>
      <c r="G37" s="982"/>
      <c r="H37" s="622"/>
      <c r="I37" s="982"/>
      <c r="J37" s="622"/>
      <c r="K37" s="982"/>
      <c r="L37" s="622"/>
      <c r="M37" s="982"/>
      <c r="N37" s="622"/>
      <c r="O37" s="1063"/>
      <c r="P37" s="622"/>
      <c r="Q37" s="982"/>
      <c r="R37" s="1080"/>
      <c r="S37" s="927"/>
      <c r="T37" s="878"/>
    </row>
    <row r="38" spans="1:42" s="224" customFormat="1" ht="15" customHeight="1" x14ac:dyDescent="0.25">
      <c r="A38" s="215">
        <v>45147</v>
      </c>
      <c r="B38" s="882" t="s">
        <v>32</v>
      </c>
      <c r="C38" s="879" t="s">
        <v>12</v>
      </c>
      <c r="D38" s="879" t="s">
        <v>1485</v>
      </c>
      <c r="E38" s="871" t="s">
        <v>13</v>
      </c>
      <c r="F38" s="780">
        <v>20</v>
      </c>
      <c r="G38" s="982"/>
      <c r="H38" s="622"/>
      <c r="I38" s="982"/>
      <c r="J38" s="622"/>
      <c r="K38" s="982"/>
      <c r="L38" s="622"/>
      <c r="M38" s="982"/>
      <c r="N38" s="622"/>
      <c r="O38" s="1063"/>
      <c r="P38" s="622"/>
      <c r="Q38" s="982"/>
      <c r="R38" s="927"/>
      <c r="S38" s="927"/>
      <c r="T38" s="878"/>
    </row>
    <row r="39" spans="1:42" s="224" customFormat="1" ht="15" customHeight="1" x14ac:dyDescent="0.25">
      <c r="A39" s="215">
        <v>45147</v>
      </c>
      <c r="B39" s="882" t="s">
        <v>3850</v>
      </c>
      <c r="C39" s="879" t="s">
        <v>12</v>
      </c>
      <c r="D39" s="879" t="s">
        <v>1506</v>
      </c>
      <c r="E39" s="871" t="s">
        <v>13</v>
      </c>
      <c r="F39" s="780">
        <v>32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982"/>
      <c r="R39" s="1080"/>
      <c r="S39" s="927"/>
      <c r="T39" s="878"/>
    </row>
    <row r="40" spans="1:42" s="224" customFormat="1" ht="15" customHeight="1" x14ac:dyDescent="0.25">
      <c r="A40" s="215">
        <v>45147</v>
      </c>
      <c r="B40" s="1275" t="s">
        <v>3677</v>
      </c>
      <c r="C40" s="1276" t="s">
        <v>12</v>
      </c>
      <c r="D40" s="1276" t="s">
        <v>1486</v>
      </c>
      <c r="E40" s="1286" t="s">
        <v>13</v>
      </c>
      <c r="F40" s="780">
        <v>4.43</v>
      </c>
      <c r="G40" s="982"/>
      <c r="H40" s="622"/>
      <c r="I40" s="982"/>
      <c r="J40" s="622"/>
      <c r="K40" s="982"/>
      <c r="L40" s="622"/>
      <c r="M40" s="982"/>
      <c r="N40" s="622"/>
      <c r="O40" s="1063"/>
      <c r="P40" s="622"/>
      <c r="Q40" s="982"/>
      <c r="R40" s="1080"/>
      <c r="S40" s="927"/>
      <c r="T40" s="878"/>
    </row>
    <row r="41" spans="1:42" s="224" customFormat="1" ht="15" customHeight="1" x14ac:dyDescent="0.25">
      <c r="A41" s="215">
        <v>45148</v>
      </c>
      <c r="B41" s="364" t="s">
        <v>3354</v>
      </c>
      <c r="C41" s="350" t="s">
        <v>12</v>
      </c>
      <c r="D41" s="350"/>
      <c r="E41" s="480" t="s">
        <v>25</v>
      </c>
      <c r="F41" s="613"/>
      <c r="G41" s="967"/>
      <c r="H41" s="1008"/>
      <c r="I41" s="1063"/>
      <c r="J41" s="872"/>
      <c r="K41" s="1207"/>
      <c r="L41" s="880"/>
      <c r="M41" s="1033"/>
      <c r="N41" s="880"/>
      <c r="O41" s="1525"/>
      <c r="P41" s="613"/>
      <c r="Q41" s="162">
        <v>174.51</v>
      </c>
      <c r="R41" s="1209">
        <v>4.0509999999999997E-5</v>
      </c>
      <c r="S41" s="1">
        <f>Q5*R41*100</f>
        <v>212.21259097410075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42" s="224" customFormat="1" ht="15" customHeight="1" x14ac:dyDescent="0.25">
      <c r="A42" s="215">
        <v>45148</v>
      </c>
      <c r="B42" s="882" t="s">
        <v>32</v>
      </c>
      <c r="C42" s="879" t="s">
        <v>12</v>
      </c>
      <c r="D42" s="879" t="s">
        <v>1485</v>
      </c>
      <c r="E42" s="871" t="s">
        <v>13</v>
      </c>
      <c r="F42" s="780">
        <v>20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927"/>
      <c r="S42" s="927"/>
      <c r="T42" s="878"/>
    </row>
    <row r="43" spans="1:42" s="224" customFormat="1" ht="15" customHeight="1" x14ac:dyDescent="0.25">
      <c r="A43" s="247">
        <v>45148</v>
      </c>
      <c r="B43" s="882" t="s">
        <v>138</v>
      </c>
      <c r="C43" s="879" t="s">
        <v>12</v>
      </c>
      <c r="D43" s="879" t="s">
        <v>2157</v>
      </c>
      <c r="E43" s="871" t="s">
        <v>15</v>
      </c>
      <c r="F43" s="780">
        <v>100</v>
      </c>
      <c r="G43" s="967"/>
      <c r="H43" s="1008"/>
      <c r="I43" s="1063"/>
      <c r="J43" s="1110"/>
      <c r="K43" s="1207"/>
      <c r="L43" s="880"/>
      <c r="M43" s="1033"/>
      <c r="N43" s="880"/>
      <c r="O43" s="1525"/>
      <c r="P43" s="613"/>
      <c r="Q43" s="162"/>
      <c r="R43" s="1209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pans="1:42" s="224" customFormat="1" ht="15" customHeight="1" x14ac:dyDescent="0.25">
      <c r="A44" s="215">
        <v>45148</v>
      </c>
      <c r="B44" s="364" t="s">
        <v>134</v>
      </c>
      <c r="C44" s="350" t="s">
        <v>12</v>
      </c>
      <c r="D44" s="350" t="s">
        <v>1493</v>
      </c>
      <c r="E44" s="480" t="s">
        <v>13</v>
      </c>
      <c r="F44" s="613">
        <v>8.5</v>
      </c>
      <c r="G44" s="967"/>
      <c r="H44" s="1008"/>
      <c r="I44" s="1063"/>
      <c r="J44" s="1110"/>
      <c r="K44" s="1207"/>
      <c r="L44" s="880"/>
      <c r="M44" s="1033"/>
      <c r="N44" s="880"/>
      <c r="O44" s="1525"/>
      <c r="P44" s="613"/>
      <c r="Q44" s="162"/>
      <c r="R44" s="1209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224" customFormat="1" ht="15" customHeight="1" x14ac:dyDescent="0.25">
      <c r="A45" s="215">
        <v>45149</v>
      </c>
      <c r="B45" s="882" t="s">
        <v>32</v>
      </c>
      <c r="C45" s="879" t="s">
        <v>12</v>
      </c>
      <c r="D45" s="879" t="s">
        <v>1485</v>
      </c>
      <c r="E45" s="871" t="s">
        <v>13</v>
      </c>
      <c r="F45" s="780">
        <v>20</v>
      </c>
      <c r="G45" s="982"/>
      <c r="H45" s="1009"/>
      <c r="I45" s="982"/>
      <c r="J45" s="622"/>
      <c r="K45" s="982"/>
      <c r="L45" s="622"/>
      <c r="M45" s="982"/>
      <c r="N45" s="622"/>
      <c r="O45" s="1063"/>
      <c r="P45" s="622"/>
      <c r="Q45" s="982"/>
      <c r="R45" s="1210"/>
      <c r="S45" s="1038"/>
      <c r="T45" s="959"/>
      <c r="U45" s="927"/>
      <c r="V45" s="878"/>
    </row>
    <row r="46" spans="1:42" s="224" customFormat="1" ht="15" customHeight="1" x14ac:dyDescent="0.25">
      <c r="A46" s="215">
        <v>45149</v>
      </c>
      <c r="B46" s="873" t="s">
        <v>3851</v>
      </c>
      <c r="C46" s="874" t="s">
        <v>19</v>
      </c>
      <c r="D46" s="874" t="s">
        <v>1489</v>
      </c>
      <c r="E46" s="875" t="s">
        <v>13</v>
      </c>
      <c r="F46" s="780">
        <v>150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927"/>
      <c r="S46" s="927"/>
      <c r="T46" s="878"/>
    </row>
    <row r="47" spans="1:42" s="224" customFormat="1" ht="15" customHeight="1" x14ac:dyDescent="0.25">
      <c r="A47" s="215">
        <v>45149</v>
      </c>
      <c r="B47" s="873" t="s">
        <v>2629</v>
      </c>
      <c r="C47" s="874" t="s">
        <v>19</v>
      </c>
      <c r="D47" s="874" t="s">
        <v>1489</v>
      </c>
      <c r="E47" s="875" t="s">
        <v>13</v>
      </c>
      <c r="F47" s="780">
        <v>68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927"/>
      <c r="S47" s="927"/>
      <c r="T47" s="878"/>
    </row>
    <row r="48" spans="1:42" s="224" customFormat="1" ht="15" customHeight="1" x14ac:dyDescent="0.25">
      <c r="A48" s="215">
        <v>45150</v>
      </c>
      <c r="B48" s="1275" t="s">
        <v>127</v>
      </c>
      <c r="C48" s="1276" t="s">
        <v>12</v>
      </c>
      <c r="D48" s="1276" t="s">
        <v>1486</v>
      </c>
      <c r="E48" s="1286" t="s">
        <v>13</v>
      </c>
      <c r="F48" s="780">
        <v>7.12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982"/>
      <c r="R48" s="1080"/>
      <c r="S48" s="927"/>
      <c r="T48" s="878"/>
    </row>
    <row r="49" spans="1:42" s="224" customFormat="1" ht="15" customHeight="1" x14ac:dyDescent="0.25">
      <c r="A49" s="215">
        <v>45150</v>
      </c>
      <c r="B49" s="882" t="s">
        <v>3833</v>
      </c>
      <c r="C49" s="879" t="s">
        <v>12</v>
      </c>
      <c r="D49" s="879" t="s">
        <v>1493</v>
      </c>
      <c r="E49" s="875" t="s">
        <v>13</v>
      </c>
      <c r="F49" s="780">
        <v>36</v>
      </c>
      <c r="G49" s="982"/>
      <c r="H49" s="95"/>
      <c r="I49" s="1064"/>
      <c r="J49" s="622"/>
      <c r="K49" s="982"/>
      <c r="L49" s="622"/>
      <c r="M49" s="982"/>
      <c r="N49" s="622"/>
      <c r="O49" s="1063"/>
      <c r="P49" s="622"/>
      <c r="Q49" s="982"/>
      <c r="R49" s="861"/>
    </row>
    <row r="50" spans="1:42" s="224" customFormat="1" x14ac:dyDescent="0.25">
      <c r="A50" s="215">
        <v>45151</v>
      </c>
      <c r="B50" s="882" t="s">
        <v>443</v>
      </c>
      <c r="C50" s="879" t="s">
        <v>12</v>
      </c>
      <c r="D50" s="879" t="s">
        <v>1493</v>
      </c>
      <c r="E50" s="480" t="s">
        <v>13</v>
      </c>
      <c r="F50" s="780">
        <v>19.899999999999999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  <c r="T50" s="878"/>
    </row>
    <row r="51" spans="1:42" s="224" customFormat="1" x14ac:dyDescent="0.25">
      <c r="A51" s="215">
        <v>45152</v>
      </c>
      <c r="B51" s="862" t="s">
        <v>3693</v>
      </c>
      <c r="C51" s="350" t="s">
        <v>12</v>
      </c>
      <c r="D51" s="1807"/>
      <c r="E51" s="145"/>
      <c r="F51" s="622"/>
      <c r="G51" s="982"/>
      <c r="H51" s="1008"/>
      <c r="I51" s="1063"/>
      <c r="J51" s="622"/>
      <c r="K51" s="982"/>
      <c r="L51" s="622"/>
      <c r="M51" s="982"/>
      <c r="N51" s="622"/>
      <c r="O51" s="1063">
        <v>13.61</v>
      </c>
      <c r="P51" s="622"/>
      <c r="Q51" s="982"/>
      <c r="R51" s="475"/>
      <c r="T51" s="878"/>
    </row>
    <row r="52" spans="1:42" s="224" customFormat="1" ht="15" customHeight="1" x14ac:dyDescent="0.25">
      <c r="A52" s="215">
        <v>45152</v>
      </c>
      <c r="B52" s="364" t="s">
        <v>3852</v>
      </c>
      <c r="C52" s="983" t="s">
        <v>12</v>
      </c>
      <c r="D52" s="350"/>
      <c r="E52" s="480" t="s">
        <v>13</v>
      </c>
      <c r="F52" s="780"/>
      <c r="G52" s="982">
        <v>2226.91</v>
      </c>
      <c r="H52" s="1009"/>
      <c r="I52" s="982"/>
      <c r="J52" s="622"/>
      <c r="K52" s="982"/>
      <c r="L52" s="622"/>
      <c r="M52" s="982"/>
      <c r="N52" s="622">
        <v>2226.91</v>
      </c>
      <c r="O52" s="1063"/>
      <c r="P52" s="622"/>
      <c r="Q52" s="982"/>
      <c r="R52" s="1210"/>
      <c r="S52" s="1038"/>
      <c r="T52" s="959"/>
      <c r="U52" s="927"/>
      <c r="V52" s="878"/>
    </row>
    <row r="53" spans="1:42" s="224" customFormat="1" x14ac:dyDescent="0.25">
      <c r="A53" s="215">
        <v>45152</v>
      </c>
      <c r="B53" s="364" t="s">
        <v>398</v>
      </c>
      <c r="C53" s="1276"/>
      <c r="D53" s="1276"/>
      <c r="E53" s="1277"/>
      <c r="F53" s="1873">
        <v>2200</v>
      </c>
      <c r="G53" s="982"/>
      <c r="H53" s="1008"/>
      <c r="I53" s="1063">
        <v>2200</v>
      </c>
      <c r="J53" s="622"/>
      <c r="K53" s="982"/>
      <c r="L53" s="622"/>
      <c r="M53" s="982"/>
      <c r="N53" s="622"/>
      <c r="O53" s="1063"/>
      <c r="P53" s="622"/>
      <c r="Q53" s="982"/>
      <c r="R53" s="861"/>
      <c r="T53" s="878"/>
    </row>
    <row r="54" spans="1:42" s="224" customFormat="1" ht="15" customHeight="1" x14ac:dyDescent="0.25">
      <c r="A54" s="215">
        <v>45152</v>
      </c>
      <c r="B54" s="882" t="s">
        <v>32</v>
      </c>
      <c r="C54" s="879" t="s">
        <v>12</v>
      </c>
      <c r="D54" s="879" t="s">
        <v>1485</v>
      </c>
      <c r="E54" s="871" t="s">
        <v>13</v>
      </c>
      <c r="F54" s="780">
        <v>20</v>
      </c>
      <c r="G54" s="982"/>
      <c r="H54" s="1009"/>
      <c r="I54" s="982"/>
      <c r="J54" s="622"/>
      <c r="K54" s="982"/>
      <c r="L54" s="622"/>
      <c r="M54" s="982"/>
      <c r="N54" s="622"/>
      <c r="O54" s="1063"/>
      <c r="P54" s="622"/>
      <c r="Q54" s="982"/>
      <c r="R54" s="1210"/>
      <c r="S54" s="1038"/>
      <c r="T54" s="959"/>
      <c r="U54" s="927"/>
      <c r="V54" s="878"/>
    </row>
    <row r="55" spans="1:42" s="224" customFormat="1" x14ac:dyDescent="0.25">
      <c r="A55" s="215">
        <v>45152</v>
      </c>
      <c r="B55" s="1275" t="s">
        <v>3853</v>
      </c>
      <c r="C55" s="1276" t="s">
        <v>12</v>
      </c>
      <c r="D55" s="1276" t="s">
        <v>1489</v>
      </c>
      <c r="E55" s="1277" t="s">
        <v>15</v>
      </c>
      <c r="F55" s="1279">
        <v>5.8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  <c r="T55" s="878"/>
    </row>
    <row r="56" spans="1:42" s="224" customFormat="1" ht="15" customHeight="1" x14ac:dyDescent="0.25">
      <c r="A56" s="215">
        <v>45153</v>
      </c>
      <c r="B56" s="882" t="s">
        <v>32</v>
      </c>
      <c r="C56" s="879" t="s">
        <v>12</v>
      </c>
      <c r="D56" s="879" t="s">
        <v>1485</v>
      </c>
      <c r="E56" s="871" t="s">
        <v>13</v>
      </c>
      <c r="F56" s="780">
        <v>20</v>
      </c>
      <c r="G56" s="982"/>
      <c r="H56" s="1009"/>
      <c r="I56" s="982"/>
      <c r="J56" s="622"/>
      <c r="K56" s="982"/>
      <c r="L56" s="622"/>
      <c r="M56" s="982"/>
      <c r="N56" s="622"/>
      <c r="O56" s="1063"/>
      <c r="P56" s="622"/>
      <c r="Q56" s="982"/>
      <c r="R56" s="1210"/>
      <c r="S56" s="1038"/>
      <c r="T56" s="959"/>
      <c r="U56" s="927"/>
      <c r="V56" s="878"/>
    </row>
    <row r="57" spans="1:42" s="224" customFormat="1" ht="15" customHeight="1" x14ac:dyDescent="0.25">
      <c r="A57" s="215">
        <v>45154</v>
      </c>
      <c r="B57" s="882" t="s">
        <v>32</v>
      </c>
      <c r="C57" s="879" t="s">
        <v>12</v>
      </c>
      <c r="D57" s="879" t="s">
        <v>1485</v>
      </c>
      <c r="E57" s="871" t="s">
        <v>13</v>
      </c>
      <c r="F57" s="780">
        <v>20</v>
      </c>
      <c r="G57" s="982"/>
      <c r="H57" s="1009"/>
      <c r="I57" s="982"/>
      <c r="J57" s="622"/>
      <c r="K57" s="982"/>
      <c r="L57" s="622"/>
      <c r="M57" s="982"/>
      <c r="N57" s="622"/>
      <c r="O57" s="1063"/>
      <c r="P57" s="622"/>
      <c r="Q57" s="982"/>
      <c r="R57" s="1210"/>
      <c r="S57" s="1038"/>
      <c r="T57" s="959"/>
      <c r="U57" s="927"/>
      <c r="V57" s="878"/>
    </row>
    <row r="58" spans="1:42" s="224" customFormat="1" ht="15" customHeight="1" x14ac:dyDescent="0.25">
      <c r="A58" s="215">
        <v>45154</v>
      </c>
      <c r="B58" s="1275" t="s">
        <v>3854</v>
      </c>
      <c r="C58" s="1276" t="s">
        <v>12</v>
      </c>
      <c r="D58" s="1276" t="s">
        <v>1489</v>
      </c>
      <c r="E58" s="1286" t="s">
        <v>13</v>
      </c>
      <c r="F58" s="780">
        <v>7.03</v>
      </c>
      <c r="G58" s="982"/>
      <c r="H58" s="622"/>
      <c r="I58" s="982"/>
      <c r="J58" s="622"/>
      <c r="K58" s="982"/>
      <c r="L58" s="622"/>
      <c r="M58" s="982"/>
      <c r="N58" s="622"/>
      <c r="O58" s="1063"/>
      <c r="P58" s="622"/>
      <c r="Q58" s="982"/>
      <c r="R58" s="1080"/>
      <c r="S58" s="927"/>
      <c r="T58" s="878"/>
    </row>
    <row r="59" spans="1:42" s="224" customFormat="1" ht="15" customHeight="1" x14ac:dyDescent="0.25">
      <c r="A59" s="215">
        <v>45154</v>
      </c>
      <c r="B59" s="1275" t="s">
        <v>3677</v>
      </c>
      <c r="C59" s="1276" t="s">
        <v>12</v>
      </c>
      <c r="D59" s="1276" t="s">
        <v>1486</v>
      </c>
      <c r="E59" s="1286" t="s">
        <v>13</v>
      </c>
      <c r="F59" s="780">
        <v>4.43</v>
      </c>
      <c r="G59" s="982"/>
      <c r="H59" s="622"/>
      <c r="I59" s="982"/>
      <c r="J59" s="622"/>
      <c r="K59" s="982"/>
      <c r="L59" s="622"/>
      <c r="M59" s="982"/>
      <c r="N59" s="622"/>
      <c r="O59" s="1063"/>
      <c r="P59" s="622"/>
      <c r="Q59" s="982"/>
      <c r="R59" s="1080"/>
      <c r="S59" s="927"/>
      <c r="T59" s="878"/>
    </row>
    <row r="60" spans="1:42" s="224" customFormat="1" ht="15" customHeight="1" x14ac:dyDescent="0.25">
      <c r="A60" s="215">
        <v>45154</v>
      </c>
      <c r="B60" s="882" t="s">
        <v>3855</v>
      </c>
      <c r="C60" s="879" t="s">
        <v>12</v>
      </c>
      <c r="D60" s="879" t="s">
        <v>2157</v>
      </c>
      <c r="E60" s="871" t="s">
        <v>15</v>
      </c>
      <c r="F60" s="780">
        <v>50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1028" t="s">
        <v>3856</v>
      </c>
      <c r="S60" s="927"/>
      <c r="T60" s="878"/>
    </row>
    <row r="61" spans="1:42" s="224" customFormat="1" ht="15" customHeight="1" x14ac:dyDescent="0.25">
      <c r="A61" s="215">
        <v>45155</v>
      </c>
      <c r="B61" s="364" t="s">
        <v>3325</v>
      </c>
      <c r="C61" s="350" t="s">
        <v>12</v>
      </c>
      <c r="D61" s="350" t="s">
        <v>1504</v>
      </c>
      <c r="E61" s="875" t="s">
        <v>13</v>
      </c>
      <c r="F61" s="780">
        <v>38</v>
      </c>
      <c r="G61" s="982"/>
      <c r="H61" s="622"/>
      <c r="I61" s="982"/>
      <c r="J61" s="622"/>
      <c r="K61" s="982"/>
      <c r="L61" s="622"/>
      <c r="M61" s="982"/>
      <c r="N61" s="622"/>
      <c r="O61" s="1063"/>
      <c r="P61" s="827"/>
      <c r="Q61" s="1115"/>
      <c r="R61" s="878"/>
    </row>
    <row r="62" spans="1:42" s="224" customFormat="1" ht="15" customHeight="1" x14ac:dyDescent="0.25">
      <c r="A62" s="215">
        <v>45155</v>
      </c>
      <c r="B62" s="882" t="s">
        <v>32</v>
      </c>
      <c r="C62" s="879" t="s">
        <v>12</v>
      </c>
      <c r="D62" s="879" t="s">
        <v>1485</v>
      </c>
      <c r="E62" s="871" t="s">
        <v>13</v>
      </c>
      <c r="F62" s="780">
        <v>20</v>
      </c>
      <c r="G62" s="982"/>
      <c r="H62" s="1009"/>
      <c r="I62" s="982"/>
      <c r="J62" s="622"/>
      <c r="K62" s="982"/>
      <c r="L62" s="622"/>
      <c r="M62" s="982"/>
      <c r="N62" s="622"/>
      <c r="O62" s="1063"/>
      <c r="P62" s="622"/>
      <c r="Q62" s="982"/>
      <c r="R62" s="1210"/>
      <c r="S62" s="1038"/>
      <c r="T62" s="959"/>
      <c r="U62" s="927"/>
      <c r="V62" s="878"/>
    </row>
    <row r="63" spans="1:42" s="224" customFormat="1" ht="15" customHeight="1" x14ac:dyDescent="0.25">
      <c r="A63" s="215">
        <v>45155</v>
      </c>
      <c r="B63" s="882" t="s">
        <v>2153</v>
      </c>
      <c r="C63" s="879" t="s">
        <v>12</v>
      </c>
      <c r="D63" s="879" t="s">
        <v>1493</v>
      </c>
      <c r="E63" s="871" t="s">
        <v>13</v>
      </c>
      <c r="F63" s="780">
        <v>6.5</v>
      </c>
      <c r="G63" s="946"/>
      <c r="H63" s="95"/>
      <c r="I63" s="1064"/>
      <c r="J63" s="622"/>
      <c r="K63" s="982"/>
      <c r="L63" s="622"/>
      <c r="M63" s="982"/>
      <c r="N63" s="622"/>
      <c r="O63" s="1063"/>
      <c r="P63" s="1110"/>
      <c r="Q63" s="1208"/>
      <c r="R63" s="1028"/>
      <c r="U63" s="958"/>
    </row>
    <row r="64" spans="1:42" s="224" customFormat="1" ht="15" customHeight="1" x14ac:dyDescent="0.25">
      <c r="A64" s="215">
        <v>45155</v>
      </c>
      <c r="B64" s="364" t="s">
        <v>134</v>
      </c>
      <c r="C64" s="350" t="s">
        <v>12</v>
      </c>
      <c r="D64" s="350" t="s">
        <v>1493</v>
      </c>
      <c r="E64" s="480" t="s">
        <v>13</v>
      </c>
      <c r="F64" s="613">
        <v>8.4499999999999993</v>
      </c>
      <c r="G64" s="967"/>
      <c r="H64" s="1008"/>
      <c r="I64" s="1063"/>
      <c r="J64" s="1110"/>
      <c r="K64" s="1207"/>
      <c r="L64" s="880"/>
      <c r="M64" s="1033"/>
      <c r="N64" s="880"/>
      <c r="O64" s="1525"/>
      <c r="P64" s="613"/>
      <c r="Q64" s="162"/>
      <c r="R64" s="1209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26" s="224" customFormat="1" ht="15" customHeight="1" x14ac:dyDescent="0.25">
      <c r="A65" s="215">
        <v>45156</v>
      </c>
      <c r="B65" s="882" t="s">
        <v>3857</v>
      </c>
      <c r="C65" s="350" t="s">
        <v>12</v>
      </c>
      <c r="D65" s="350"/>
      <c r="E65" s="480" t="s">
        <v>25</v>
      </c>
      <c r="F65" s="622"/>
      <c r="G65" s="982">
        <v>2100</v>
      </c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861"/>
    </row>
    <row r="66" spans="1:26" s="224" customFormat="1" ht="15" customHeight="1" x14ac:dyDescent="0.25">
      <c r="A66" s="215">
        <v>45156</v>
      </c>
      <c r="B66" s="862" t="s">
        <v>2867</v>
      </c>
      <c r="C66" s="350" t="s">
        <v>12</v>
      </c>
      <c r="D66" s="874" t="s">
        <v>1504</v>
      </c>
      <c r="E66" s="887" t="s">
        <v>13</v>
      </c>
      <c r="F66" s="780">
        <v>30</v>
      </c>
      <c r="G66" s="982"/>
      <c r="H66" s="1009"/>
      <c r="I66" s="1063"/>
      <c r="J66" s="853"/>
      <c r="K66" s="982"/>
      <c r="L66" s="853"/>
      <c r="M66" s="982"/>
      <c r="N66" s="853"/>
      <c r="O66" s="1063"/>
      <c r="P66" s="622"/>
      <c r="Q66" s="982"/>
      <c r="R66" s="1690"/>
      <c r="S66" s="1690"/>
      <c r="T66" s="1690"/>
      <c r="U66" s="1690"/>
      <c r="V66" s="1690"/>
      <c r="W66" s="1690"/>
      <c r="X66" s="1690"/>
      <c r="Y66" s="1690"/>
      <c r="Z66" s="1690"/>
    </row>
    <row r="67" spans="1:26" s="224" customFormat="1" ht="14.25" customHeight="1" x14ac:dyDescent="0.25">
      <c r="A67" s="215">
        <v>45156</v>
      </c>
      <c r="B67" s="364" t="s">
        <v>2977</v>
      </c>
      <c r="C67" s="350" t="s">
        <v>12</v>
      </c>
      <c r="D67" s="350" t="s">
        <v>1491</v>
      </c>
      <c r="E67" s="875" t="s">
        <v>13</v>
      </c>
      <c r="F67" s="780">
        <v>300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1029"/>
      <c r="S67" s="89"/>
      <c r="T67" s="930"/>
    </row>
    <row r="68" spans="1:26" s="224" customFormat="1" ht="15" customHeight="1" x14ac:dyDescent="0.25">
      <c r="A68" s="215">
        <v>45156</v>
      </c>
      <c r="B68" s="349" t="s">
        <v>3858</v>
      </c>
      <c r="C68" s="887" t="s">
        <v>12</v>
      </c>
      <c r="D68" s="350" t="s">
        <v>1522</v>
      </c>
      <c r="E68" s="887" t="s">
        <v>13</v>
      </c>
      <c r="F68" s="613">
        <v>59.67</v>
      </c>
      <c r="G68" s="982"/>
      <c r="H68" s="872"/>
      <c r="I68" s="1063"/>
      <c r="J68" s="622"/>
      <c r="K68" s="982"/>
      <c r="L68" s="622"/>
      <c r="M68" s="982"/>
      <c r="N68" s="622"/>
      <c r="O68" s="1063"/>
      <c r="P68" s="622"/>
      <c r="Q68" s="982"/>
      <c r="R68" s="927"/>
      <c r="S68" s="999"/>
      <c r="T68" s="878"/>
    </row>
    <row r="69" spans="1:26" s="224" customFormat="1" ht="15" customHeight="1" x14ac:dyDescent="0.25">
      <c r="A69" s="215">
        <v>45156</v>
      </c>
      <c r="B69" s="349" t="s">
        <v>3858</v>
      </c>
      <c r="C69" s="887" t="s">
        <v>12</v>
      </c>
      <c r="D69" s="350"/>
      <c r="E69" s="887" t="s">
        <v>13</v>
      </c>
      <c r="F69" s="613">
        <v>24</v>
      </c>
      <c r="G69" s="982"/>
      <c r="H69" s="872"/>
      <c r="I69" s="1063"/>
      <c r="J69" s="622"/>
      <c r="K69" s="982"/>
      <c r="L69" s="622"/>
      <c r="M69" s="982"/>
      <c r="N69" s="622"/>
      <c r="O69" s="1063"/>
      <c r="P69" s="622"/>
      <c r="Q69" s="982"/>
      <c r="R69" s="927"/>
      <c r="S69" s="999"/>
      <c r="T69" s="878"/>
    </row>
    <row r="70" spans="1:26" s="224" customFormat="1" ht="15" customHeight="1" x14ac:dyDescent="0.25">
      <c r="A70" s="215">
        <v>45156</v>
      </c>
      <c r="B70" s="349" t="s">
        <v>3858</v>
      </c>
      <c r="C70" s="887" t="s">
        <v>12</v>
      </c>
      <c r="D70" s="350"/>
      <c r="E70" s="887" t="s">
        <v>13</v>
      </c>
      <c r="F70" s="613">
        <v>24</v>
      </c>
      <c r="G70" s="982"/>
      <c r="H70" s="872"/>
      <c r="I70" s="1063"/>
      <c r="J70" s="622"/>
      <c r="K70" s="982"/>
      <c r="L70" s="622"/>
      <c r="M70" s="982"/>
      <c r="N70" s="622"/>
      <c r="O70" s="1063"/>
      <c r="P70" s="622"/>
      <c r="Q70" s="982"/>
      <c r="R70" s="927"/>
      <c r="S70" s="999"/>
      <c r="T70" s="878"/>
    </row>
    <row r="71" spans="1:26" s="224" customFormat="1" ht="15" customHeight="1" x14ac:dyDescent="0.25">
      <c r="A71" s="215">
        <v>45156</v>
      </c>
      <c r="B71" s="349" t="s">
        <v>3858</v>
      </c>
      <c r="C71" s="887" t="s">
        <v>12</v>
      </c>
      <c r="D71" s="350" t="s">
        <v>1506</v>
      </c>
      <c r="E71" s="887" t="s">
        <v>13</v>
      </c>
      <c r="F71" s="613">
        <v>48</v>
      </c>
      <c r="G71" s="982"/>
      <c r="H71" s="872"/>
      <c r="I71" s="1063"/>
      <c r="J71" s="622"/>
      <c r="K71" s="982"/>
      <c r="L71" s="622"/>
      <c r="M71" s="982"/>
      <c r="N71" s="622"/>
      <c r="O71" s="1063"/>
      <c r="P71" s="622"/>
      <c r="Q71" s="982"/>
      <c r="R71" s="927"/>
      <c r="S71" s="999"/>
      <c r="T71" s="878"/>
    </row>
    <row r="72" spans="1:26" s="224" customFormat="1" ht="15" customHeight="1" x14ac:dyDescent="0.25">
      <c r="A72" s="215">
        <v>45156</v>
      </c>
      <c r="B72" s="349" t="s">
        <v>3858</v>
      </c>
      <c r="C72" s="887" t="s">
        <v>12</v>
      </c>
      <c r="D72" s="350" t="s">
        <v>1506</v>
      </c>
      <c r="E72" s="887" t="s">
        <v>13</v>
      </c>
      <c r="F72" s="613">
        <v>48.333333333333336</v>
      </c>
      <c r="G72" s="982"/>
      <c r="H72" s="872"/>
      <c r="I72" s="1063"/>
      <c r="J72" s="622"/>
      <c r="K72" s="982"/>
      <c r="L72" s="622"/>
      <c r="M72" s="982"/>
      <c r="N72" s="622"/>
      <c r="O72" s="1063"/>
      <c r="P72" s="622"/>
      <c r="Q72" s="982"/>
      <c r="R72" s="927"/>
      <c r="S72" s="999"/>
      <c r="T72" s="878"/>
    </row>
    <row r="73" spans="1:26" s="224" customFormat="1" ht="15" customHeight="1" x14ac:dyDescent="0.25">
      <c r="A73" s="215">
        <v>45156</v>
      </c>
      <c r="B73" s="349" t="s">
        <v>3858</v>
      </c>
      <c r="C73" s="887" t="s">
        <v>12</v>
      </c>
      <c r="D73" s="350" t="s">
        <v>1506</v>
      </c>
      <c r="E73" s="887" t="s">
        <v>13</v>
      </c>
      <c r="F73" s="613">
        <v>48.333333333333336</v>
      </c>
      <c r="G73" s="982"/>
      <c r="H73" s="872"/>
      <c r="I73" s="1063"/>
      <c r="J73" s="622"/>
      <c r="K73" s="982"/>
      <c r="L73" s="622"/>
      <c r="M73" s="982"/>
      <c r="N73" s="622"/>
      <c r="O73" s="1063"/>
      <c r="P73" s="622"/>
      <c r="Q73" s="982"/>
      <c r="R73" s="927"/>
      <c r="S73" s="999"/>
      <c r="T73" s="878"/>
    </row>
    <row r="74" spans="1:26" s="224" customFormat="1" ht="15" customHeight="1" x14ac:dyDescent="0.25">
      <c r="A74" s="215">
        <v>45156</v>
      </c>
      <c r="B74" s="349" t="s">
        <v>3858</v>
      </c>
      <c r="C74" s="887" t="s">
        <v>12</v>
      </c>
      <c r="D74" s="1005" t="s">
        <v>1506</v>
      </c>
      <c r="E74" s="887" t="s">
        <v>13</v>
      </c>
      <c r="F74" s="1116">
        <v>16.666666666666668</v>
      </c>
      <c r="G74" s="982"/>
      <c r="H74" s="872"/>
      <c r="I74" s="1063"/>
      <c r="J74" s="622"/>
      <c r="K74" s="982"/>
      <c r="L74" s="622"/>
      <c r="M74" s="982"/>
      <c r="N74" s="622"/>
      <c r="O74" s="1063"/>
      <c r="P74" s="622"/>
      <c r="Q74" s="982"/>
      <c r="R74" s="927"/>
      <c r="S74" s="999"/>
      <c r="T74" s="878"/>
    </row>
    <row r="75" spans="1:26" s="224" customFormat="1" ht="15" customHeight="1" x14ac:dyDescent="0.25">
      <c r="A75" s="215">
        <v>45156</v>
      </c>
      <c r="B75" s="349" t="s">
        <v>3858</v>
      </c>
      <c r="C75" s="887" t="s">
        <v>12</v>
      </c>
      <c r="D75" s="350" t="s">
        <v>1506</v>
      </c>
      <c r="E75" s="887" t="s">
        <v>13</v>
      </c>
      <c r="F75" s="613">
        <v>20</v>
      </c>
      <c r="G75" s="982"/>
      <c r="H75" s="872"/>
      <c r="I75" s="1063"/>
      <c r="J75" s="622"/>
      <c r="K75" s="982"/>
      <c r="L75" s="622"/>
      <c r="M75" s="982"/>
      <c r="N75" s="622"/>
      <c r="O75" s="1063"/>
      <c r="P75" s="622"/>
      <c r="Q75" s="982"/>
      <c r="R75" s="927"/>
      <c r="S75" s="999"/>
      <c r="T75" s="878"/>
    </row>
    <row r="76" spans="1:26" s="224" customFormat="1" ht="15" customHeight="1" x14ac:dyDescent="0.25">
      <c r="A76" s="215">
        <v>45156</v>
      </c>
      <c r="B76" s="349" t="s">
        <v>3858</v>
      </c>
      <c r="C76" s="887" t="s">
        <v>12</v>
      </c>
      <c r="D76" s="350" t="s">
        <v>1491</v>
      </c>
      <c r="E76" s="887" t="s">
        <v>13</v>
      </c>
      <c r="F76" s="613">
        <v>68.459999999999994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982"/>
      <c r="R76" s="927"/>
      <c r="S76" s="999"/>
      <c r="T76" s="878"/>
    </row>
    <row r="77" spans="1:26" s="224" customFormat="1" ht="15" customHeight="1" x14ac:dyDescent="0.25">
      <c r="A77" s="215">
        <v>45156</v>
      </c>
      <c r="B77" s="882" t="s">
        <v>3859</v>
      </c>
      <c r="C77" s="879"/>
      <c r="D77" s="879"/>
      <c r="E77" s="875"/>
      <c r="F77" s="780">
        <v>50</v>
      </c>
      <c r="G77" s="982"/>
      <c r="H77" s="622"/>
      <c r="I77" s="982"/>
      <c r="J77" s="622"/>
      <c r="K77" s="982"/>
      <c r="L77" s="622"/>
      <c r="M77" s="982"/>
      <c r="N77" s="622"/>
      <c r="O77" s="1063"/>
      <c r="P77" s="880"/>
      <c r="Q77" s="1033"/>
      <c r="R77" s="927"/>
      <c r="T77" s="878"/>
    </row>
    <row r="78" spans="1:26" s="224" customFormat="1" ht="15" customHeight="1" x14ac:dyDescent="0.25">
      <c r="A78" s="215">
        <v>45156</v>
      </c>
      <c r="B78" s="882" t="s">
        <v>256</v>
      </c>
      <c r="C78" s="879" t="s">
        <v>12</v>
      </c>
      <c r="D78" s="879"/>
      <c r="E78" s="875"/>
      <c r="F78" s="780"/>
      <c r="G78" s="982">
        <v>4000</v>
      </c>
      <c r="H78" s="622">
        <v>4000</v>
      </c>
      <c r="I78" s="982"/>
      <c r="J78" s="622"/>
      <c r="K78" s="982"/>
      <c r="L78" s="622"/>
      <c r="M78" s="982"/>
      <c r="N78" s="622"/>
      <c r="O78" s="1063"/>
      <c r="P78" s="880"/>
      <c r="Q78" s="1033"/>
      <c r="R78" s="927"/>
      <c r="T78" s="878"/>
    </row>
    <row r="79" spans="1:26" s="224" customFormat="1" ht="15" customHeight="1" x14ac:dyDescent="0.25">
      <c r="A79" s="215">
        <v>45156</v>
      </c>
      <c r="B79" s="882" t="s">
        <v>3860</v>
      </c>
      <c r="C79" s="879" t="s">
        <v>12</v>
      </c>
      <c r="D79" s="879" t="s">
        <v>1522</v>
      </c>
      <c r="E79" s="875" t="s">
        <v>13</v>
      </c>
      <c r="F79" s="780">
        <v>2885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880"/>
      <c r="Q79" s="1033"/>
      <c r="R79" s="1080" t="s">
        <v>3861</v>
      </c>
      <c r="T79" s="878"/>
    </row>
    <row r="80" spans="1:26" s="224" customFormat="1" ht="15" customHeight="1" x14ac:dyDescent="0.25">
      <c r="A80" s="215">
        <v>45156</v>
      </c>
      <c r="B80" s="1275" t="s">
        <v>127</v>
      </c>
      <c r="C80" s="1276" t="s">
        <v>12</v>
      </c>
      <c r="D80" s="1276" t="s">
        <v>1486</v>
      </c>
      <c r="E80" s="1286" t="s">
        <v>13</v>
      </c>
      <c r="F80" s="780">
        <v>3.6</v>
      </c>
      <c r="G80" s="982"/>
      <c r="H80" s="622"/>
      <c r="I80" s="982"/>
      <c r="J80" s="622"/>
      <c r="K80" s="982"/>
      <c r="L80" s="622"/>
      <c r="M80" s="982"/>
      <c r="N80" s="622"/>
      <c r="O80" s="1063"/>
      <c r="P80" s="880"/>
      <c r="Q80" s="1033"/>
      <c r="R80" s="927"/>
      <c r="T80" s="878"/>
    </row>
    <row r="81" spans="1:22" s="224" customFormat="1" ht="15" customHeight="1" x14ac:dyDescent="0.25">
      <c r="A81" s="215">
        <v>45157</v>
      </c>
      <c r="B81" s="882" t="s">
        <v>32</v>
      </c>
      <c r="C81" s="879" t="s">
        <v>12</v>
      </c>
      <c r="D81" s="879" t="s">
        <v>1485</v>
      </c>
      <c r="E81" s="871" t="s">
        <v>13</v>
      </c>
      <c r="F81" s="780">
        <v>22</v>
      </c>
      <c r="G81" s="982"/>
      <c r="H81" s="1009"/>
      <c r="I81" s="982"/>
      <c r="J81" s="622"/>
      <c r="K81" s="982"/>
      <c r="L81" s="622"/>
      <c r="M81" s="982"/>
      <c r="N81" s="622"/>
      <c r="O81" s="1063"/>
      <c r="P81" s="622"/>
      <c r="Q81" s="982"/>
      <c r="R81" s="1210"/>
      <c r="S81" s="1038"/>
      <c r="T81" s="959"/>
      <c r="U81" s="927"/>
      <c r="V81" s="878"/>
    </row>
    <row r="82" spans="1:22" s="224" customFormat="1" ht="15" customHeight="1" x14ac:dyDescent="0.25">
      <c r="A82" s="215">
        <v>45157</v>
      </c>
      <c r="B82" s="1688" t="s">
        <v>82</v>
      </c>
      <c r="C82" s="874" t="s">
        <v>12</v>
      </c>
      <c r="D82" s="874" t="s">
        <v>1493</v>
      </c>
      <c r="E82" s="875" t="s">
        <v>13</v>
      </c>
      <c r="F82" s="780">
        <v>36</v>
      </c>
      <c r="G82" s="982"/>
      <c r="H82" s="622"/>
      <c r="I82" s="982"/>
      <c r="J82" s="622"/>
      <c r="K82" s="982"/>
      <c r="L82" s="622"/>
      <c r="M82" s="982"/>
      <c r="N82" s="622"/>
      <c r="O82" s="1063"/>
      <c r="P82" s="880"/>
      <c r="Q82" s="1033"/>
      <c r="R82" s="927"/>
      <c r="T82" s="878"/>
    </row>
    <row r="83" spans="1:22" s="224" customFormat="1" ht="15" customHeight="1" x14ac:dyDescent="0.25">
      <c r="A83" s="215">
        <v>45158</v>
      </c>
      <c r="B83" s="1275" t="s">
        <v>127</v>
      </c>
      <c r="C83" s="1276" t="s">
        <v>12</v>
      </c>
      <c r="D83" s="1276" t="s">
        <v>1486</v>
      </c>
      <c r="E83" s="1286" t="s">
        <v>13</v>
      </c>
      <c r="F83" s="780">
        <v>8.0399999999999991</v>
      </c>
      <c r="G83" s="982"/>
      <c r="H83" s="622"/>
      <c r="I83" s="982"/>
      <c r="J83" s="622"/>
      <c r="K83" s="982"/>
      <c r="L83" s="622"/>
      <c r="M83" s="982"/>
      <c r="N83" s="622"/>
      <c r="O83" s="1063"/>
      <c r="P83" s="880"/>
      <c r="Q83" s="1033"/>
      <c r="R83" s="927"/>
      <c r="T83" s="878"/>
    </row>
    <row r="84" spans="1:22" s="224" customFormat="1" ht="15" customHeight="1" x14ac:dyDescent="0.25">
      <c r="A84" s="215">
        <v>45158</v>
      </c>
      <c r="B84" s="882" t="s">
        <v>32</v>
      </c>
      <c r="C84" s="879" t="s">
        <v>12</v>
      </c>
      <c r="D84" s="879" t="s">
        <v>1485</v>
      </c>
      <c r="E84" s="871" t="s">
        <v>13</v>
      </c>
      <c r="F84" s="780">
        <v>22</v>
      </c>
      <c r="G84" s="982"/>
      <c r="H84" s="1009"/>
      <c r="I84" s="982"/>
      <c r="J84" s="622"/>
      <c r="K84" s="982"/>
      <c r="L84" s="622"/>
      <c r="M84" s="982"/>
      <c r="N84" s="622"/>
      <c r="O84" s="1063"/>
      <c r="P84" s="622"/>
      <c r="Q84" s="982"/>
      <c r="R84" s="1210"/>
      <c r="S84" s="1038"/>
      <c r="T84" s="959"/>
      <c r="U84" s="927"/>
      <c r="V84" s="878"/>
    </row>
    <row r="85" spans="1:22" s="224" customFormat="1" ht="15" customHeight="1" x14ac:dyDescent="0.25">
      <c r="A85" s="215">
        <v>45158</v>
      </c>
      <c r="B85" s="1688" t="s">
        <v>443</v>
      </c>
      <c r="C85" s="874" t="s">
        <v>12</v>
      </c>
      <c r="D85" s="874" t="s">
        <v>1493</v>
      </c>
      <c r="E85" s="875" t="s">
        <v>13</v>
      </c>
      <c r="F85" s="780">
        <v>19.899999999999999</v>
      </c>
      <c r="G85" s="946"/>
      <c r="H85" s="95"/>
      <c r="I85" s="1064"/>
      <c r="J85" s="622"/>
      <c r="K85" s="982"/>
      <c r="L85" s="622"/>
      <c r="M85" s="982"/>
      <c r="N85" s="622"/>
      <c r="O85" s="1063"/>
      <c r="P85" s="622"/>
      <c r="Q85" s="982"/>
      <c r="R85" s="861"/>
    </row>
    <row r="86" spans="1:22" s="224" customFormat="1" ht="15" customHeight="1" x14ac:dyDescent="0.25">
      <c r="A86" s="215">
        <v>45159</v>
      </c>
      <c r="B86" s="862" t="s">
        <v>3529</v>
      </c>
      <c r="C86" s="879" t="s">
        <v>12</v>
      </c>
      <c r="D86" s="879" t="s">
        <v>1504</v>
      </c>
      <c r="E86" s="871" t="s">
        <v>13</v>
      </c>
      <c r="F86" s="780">
        <v>39.9</v>
      </c>
      <c r="G86" s="946"/>
      <c r="H86" s="95"/>
      <c r="I86" s="1064"/>
      <c r="J86" s="622"/>
      <c r="K86" s="982"/>
      <c r="L86" s="622"/>
      <c r="M86" s="982"/>
      <c r="N86" s="622"/>
      <c r="O86" s="1063"/>
      <c r="P86" s="622"/>
      <c r="Q86" s="982"/>
      <c r="U86" s="958"/>
    </row>
    <row r="87" spans="1:22" s="224" customFormat="1" ht="15" customHeight="1" x14ac:dyDescent="0.25">
      <c r="A87" s="215">
        <v>45159</v>
      </c>
      <c r="B87" s="882" t="s">
        <v>3862</v>
      </c>
      <c r="C87" s="879" t="s">
        <v>12</v>
      </c>
      <c r="D87" s="879" t="s">
        <v>1525</v>
      </c>
      <c r="E87" s="871" t="s">
        <v>13</v>
      </c>
      <c r="F87" s="780">
        <v>48</v>
      </c>
      <c r="G87" s="946"/>
      <c r="H87" s="95"/>
      <c r="I87" s="1064"/>
      <c r="J87" s="622"/>
      <c r="K87" s="982"/>
      <c r="L87" s="622"/>
      <c r="M87" s="982"/>
      <c r="N87" s="622"/>
      <c r="O87" s="1063"/>
      <c r="P87" s="622"/>
      <c r="Q87" s="982"/>
      <c r="R87" s="861"/>
    </row>
    <row r="88" spans="1:22" s="224" customFormat="1" ht="15" customHeight="1" x14ac:dyDescent="0.25">
      <c r="A88" s="215">
        <v>45159</v>
      </c>
      <c r="B88" s="882" t="s">
        <v>32</v>
      </c>
      <c r="C88" s="879" t="s">
        <v>12</v>
      </c>
      <c r="D88" s="879" t="s">
        <v>1485</v>
      </c>
      <c r="E88" s="871" t="s">
        <v>13</v>
      </c>
      <c r="F88" s="780">
        <v>20</v>
      </c>
      <c r="G88" s="982"/>
      <c r="H88" s="1009"/>
      <c r="I88" s="982"/>
      <c r="J88" s="622"/>
      <c r="K88" s="982"/>
      <c r="L88" s="622"/>
      <c r="M88" s="982"/>
      <c r="N88" s="622"/>
      <c r="O88" s="1063"/>
      <c r="P88" s="622"/>
      <c r="Q88" s="982"/>
      <c r="R88" s="1210"/>
      <c r="S88" s="1038"/>
      <c r="T88" s="959"/>
      <c r="U88" s="927"/>
      <c r="V88" s="878"/>
    </row>
    <row r="89" spans="1:22" s="224" customFormat="1" ht="15" customHeight="1" x14ac:dyDescent="0.25">
      <c r="A89" s="215">
        <v>45159</v>
      </c>
      <c r="B89" s="882" t="s">
        <v>3863</v>
      </c>
      <c r="C89" s="879" t="s">
        <v>12</v>
      </c>
      <c r="D89" s="879"/>
      <c r="E89" s="875"/>
      <c r="F89" s="780"/>
      <c r="G89" s="982">
        <v>1323.4</v>
      </c>
      <c r="H89" s="622"/>
      <c r="I89" s="982"/>
      <c r="J89" s="622"/>
      <c r="K89" s="982"/>
      <c r="L89" s="622">
        <v>1323.4</v>
      </c>
      <c r="M89" s="982"/>
      <c r="N89" s="622"/>
      <c r="O89" s="1063"/>
      <c r="P89" s="880"/>
      <c r="Q89" s="1033"/>
      <c r="R89" s="927"/>
      <c r="T89" s="878"/>
    </row>
    <row r="90" spans="1:22" s="224" customFormat="1" x14ac:dyDescent="0.25">
      <c r="A90" s="215">
        <v>45159</v>
      </c>
      <c r="B90" s="364" t="s">
        <v>398</v>
      </c>
      <c r="C90" s="1276"/>
      <c r="D90" s="1276"/>
      <c r="E90" s="1277"/>
      <c r="F90" s="1873">
        <v>500</v>
      </c>
      <c r="G90" s="982"/>
      <c r="H90" s="1008"/>
      <c r="I90" s="1063">
        <v>500</v>
      </c>
      <c r="J90" s="622"/>
      <c r="K90" s="982"/>
      <c r="L90" s="622"/>
      <c r="M90" s="982"/>
      <c r="N90" s="622"/>
      <c r="O90" s="1063"/>
      <c r="P90" s="622"/>
      <c r="Q90" s="982"/>
      <c r="R90" s="861"/>
      <c r="T90" s="878"/>
    </row>
    <row r="91" spans="1:22" s="224" customFormat="1" ht="15" customHeight="1" x14ac:dyDescent="0.25">
      <c r="A91" s="215">
        <v>45159</v>
      </c>
      <c r="B91" s="882" t="s">
        <v>3855</v>
      </c>
      <c r="C91" s="879" t="s">
        <v>12</v>
      </c>
      <c r="D91" s="879" t="s">
        <v>2157</v>
      </c>
      <c r="E91" s="871" t="s">
        <v>15</v>
      </c>
      <c r="F91" s="780">
        <v>80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622"/>
      <c r="Q91" s="982"/>
      <c r="R91" s="927"/>
      <c r="T91" s="878"/>
    </row>
    <row r="92" spans="1:22" s="224" customFormat="1" ht="15" customHeight="1" x14ac:dyDescent="0.25">
      <c r="A92" s="215">
        <v>45159</v>
      </c>
      <c r="B92" s="1275" t="s">
        <v>127</v>
      </c>
      <c r="C92" s="1276" t="s">
        <v>12</v>
      </c>
      <c r="D92" s="1276" t="s">
        <v>1486</v>
      </c>
      <c r="E92" s="1286" t="s">
        <v>13</v>
      </c>
      <c r="F92" s="780">
        <v>9.09</v>
      </c>
      <c r="G92" s="946"/>
      <c r="H92" s="95"/>
      <c r="I92" s="1064"/>
      <c r="J92" s="622"/>
      <c r="K92" s="982"/>
      <c r="L92" s="622"/>
      <c r="M92" s="982"/>
      <c r="N92" s="622"/>
      <c r="O92" s="1063"/>
      <c r="P92" s="1116"/>
      <c r="Q92" s="1215"/>
      <c r="R92" s="1028"/>
      <c r="U92" s="958"/>
    </row>
    <row r="93" spans="1:22" s="224" customFormat="1" ht="15" customHeight="1" x14ac:dyDescent="0.25">
      <c r="A93" s="215">
        <v>45160</v>
      </c>
      <c r="B93" s="882" t="s">
        <v>32</v>
      </c>
      <c r="C93" s="879" t="s">
        <v>12</v>
      </c>
      <c r="D93" s="879" t="s">
        <v>1485</v>
      </c>
      <c r="E93" s="871" t="s">
        <v>13</v>
      </c>
      <c r="F93" s="780">
        <v>20</v>
      </c>
      <c r="G93" s="982"/>
      <c r="H93" s="1009"/>
      <c r="I93" s="982"/>
      <c r="J93" s="622"/>
      <c r="K93" s="982"/>
      <c r="L93" s="622"/>
      <c r="M93" s="982"/>
      <c r="N93" s="622"/>
      <c r="O93" s="1063"/>
      <c r="P93" s="622"/>
      <c r="Q93" s="982"/>
      <c r="R93" s="1210"/>
      <c r="S93" s="1038"/>
      <c r="T93" s="959"/>
      <c r="U93" s="927"/>
      <c r="V93" s="878"/>
    </row>
    <row r="94" spans="1:22" s="224" customFormat="1" ht="15" customHeight="1" x14ac:dyDescent="0.25">
      <c r="A94" s="215">
        <v>45160</v>
      </c>
      <c r="B94" s="1275" t="s">
        <v>127</v>
      </c>
      <c r="C94" s="1276" t="s">
        <v>12</v>
      </c>
      <c r="D94" s="1276" t="s">
        <v>1486</v>
      </c>
      <c r="E94" s="1286" t="s">
        <v>13</v>
      </c>
      <c r="F94" s="780">
        <v>4.8600000000000003</v>
      </c>
      <c r="G94" s="982"/>
      <c r="H94" s="622"/>
      <c r="I94" s="982"/>
      <c r="J94" s="622"/>
      <c r="K94" s="982"/>
      <c r="L94" s="622"/>
      <c r="M94" s="982"/>
      <c r="N94" s="622"/>
      <c r="O94" s="1063"/>
      <c r="P94" s="880"/>
      <c r="Q94" s="1033"/>
      <c r="R94" s="927"/>
      <c r="T94" s="878"/>
    </row>
    <row r="95" spans="1:22" s="224" customFormat="1" ht="15" customHeight="1" x14ac:dyDescent="0.25">
      <c r="A95" s="215">
        <v>45161</v>
      </c>
      <c r="B95" s="882" t="s">
        <v>32</v>
      </c>
      <c r="C95" s="879" t="s">
        <v>12</v>
      </c>
      <c r="D95" s="879" t="s">
        <v>1485</v>
      </c>
      <c r="E95" s="871" t="s">
        <v>13</v>
      </c>
      <c r="F95" s="780">
        <v>20</v>
      </c>
      <c r="G95" s="982"/>
      <c r="H95" s="1009"/>
      <c r="I95" s="982"/>
      <c r="J95" s="622"/>
      <c r="K95" s="982"/>
      <c r="L95" s="622"/>
      <c r="M95" s="982"/>
      <c r="N95" s="622"/>
      <c r="O95" s="1063"/>
      <c r="P95" s="622"/>
      <c r="Q95" s="982"/>
      <c r="R95" s="1210"/>
      <c r="S95" s="1038"/>
      <c r="T95" s="959"/>
      <c r="U95" s="927"/>
      <c r="V95" s="878"/>
    </row>
    <row r="96" spans="1:22" s="224" customFormat="1" ht="15" customHeight="1" x14ac:dyDescent="0.25">
      <c r="A96" s="215">
        <v>45161</v>
      </c>
      <c r="B96" s="882" t="s">
        <v>3855</v>
      </c>
      <c r="C96" s="879" t="s">
        <v>12</v>
      </c>
      <c r="D96" s="879" t="s">
        <v>2157</v>
      </c>
      <c r="E96" s="871" t="s">
        <v>13</v>
      </c>
      <c r="F96" s="780">
        <v>90</v>
      </c>
      <c r="G96" s="982"/>
      <c r="H96" s="622"/>
      <c r="I96" s="982"/>
      <c r="J96" s="622"/>
      <c r="K96" s="982"/>
      <c r="L96" s="622"/>
      <c r="M96" s="982"/>
      <c r="N96" s="622"/>
      <c r="O96" s="1063"/>
      <c r="P96" s="622"/>
      <c r="Q96" s="982"/>
      <c r="R96" s="927"/>
      <c r="T96" s="878"/>
    </row>
    <row r="97" spans="1:21" s="224" customFormat="1" ht="15" customHeight="1" x14ac:dyDescent="0.25">
      <c r="A97" s="215">
        <v>45162</v>
      </c>
      <c r="B97" s="882" t="s">
        <v>32</v>
      </c>
      <c r="C97" s="879" t="s">
        <v>12</v>
      </c>
      <c r="D97" s="879" t="s">
        <v>1485</v>
      </c>
      <c r="E97" s="871" t="s">
        <v>13</v>
      </c>
      <c r="F97" s="780">
        <v>20</v>
      </c>
      <c r="G97" s="982"/>
      <c r="H97" s="622"/>
      <c r="I97" s="982"/>
      <c r="J97" s="622"/>
      <c r="K97" s="982"/>
      <c r="L97" s="622"/>
      <c r="M97" s="982"/>
      <c r="N97" s="622"/>
      <c r="O97" s="1525"/>
      <c r="P97" s="880"/>
      <c r="Q97" s="1033"/>
      <c r="R97" s="927"/>
      <c r="T97" s="878"/>
    </row>
    <row r="98" spans="1:21" s="224" customFormat="1" ht="15" customHeight="1" x14ac:dyDescent="0.25">
      <c r="A98" s="215">
        <v>45162</v>
      </c>
      <c r="B98" s="882" t="s">
        <v>2153</v>
      </c>
      <c r="C98" s="879" t="s">
        <v>12</v>
      </c>
      <c r="D98" s="879" t="s">
        <v>1493</v>
      </c>
      <c r="E98" s="871" t="s">
        <v>13</v>
      </c>
      <c r="F98" s="780">
        <v>6.5</v>
      </c>
      <c r="G98" s="946"/>
      <c r="H98" s="95"/>
      <c r="I98" s="1064"/>
      <c r="J98" s="622"/>
      <c r="K98" s="982"/>
      <c r="L98" s="622"/>
      <c r="M98" s="982"/>
      <c r="N98" s="622"/>
      <c r="O98" s="1063"/>
      <c r="P98" s="1110"/>
      <c r="Q98" s="1208"/>
      <c r="R98" s="1028"/>
      <c r="U98" s="958"/>
    </row>
    <row r="99" spans="1:21" s="224" customFormat="1" ht="15" customHeight="1" x14ac:dyDescent="0.25">
      <c r="A99" s="215">
        <v>45162</v>
      </c>
      <c r="B99" s="882" t="s">
        <v>1761</v>
      </c>
      <c r="C99" s="879" t="s">
        <v>12</v>
      </c>
      <c r="D99" s="879" t="s">
        <v>1493</v>
      </c>
      <c r="E99" s="871" t="s">
        <v>13</v>
      </c>
      <c r="F99" s="780">
        <v>6.5</v>
      </c>
      <c r="G99" s="946"/>
      <c r="H99" s="95"/>
      <c r="I99" s="1064"/>
      <c r="J99" s="622"/>
      <c r="K99" s="982"/>
      <c r="L99" s="622"/>
      <c r="M99" s="982"/>
      <c r="N99" s="622"/>
      <c r="O99" s="1063"/>
      <c r="P99" s="622"/>
      <c r="Q99" s="982"/>
      <c r="R99" s="1028"/>
      <c r="U99" s="958"/>
    </row>
    <row r="100" spans="1:21" s="224" customFormat="1" ht="15" customHeight="1" x14ac:dyDescent="0.25">
      <c r="A100" s="215">
        <v>45163</v>
      </c>
      <c r="B100" s="882" t="s">
        <v>32</v>
      </c>
      <c r="C100" s="879" t="s">
        <v>12</v>
      </c>
      <c r="D100" s="879" t="s">
        <v>1485</v>
      </c>
      <c r="E100" s="871" t="s">
        <v>13</v>
      </c>
      <c r="F100" s="780">
        <v>20</v>
      </c>
      <c r="G100" s="982"/>
      <c r="H100" s="622"/>
      <c r="I100" s="982"/>
      <c r="J100" s="622"/>
      <c r="K100" s="982"/>
      <c r="L100" s="622"/>
      <c r="M100" s="982"/>
      <c r="N100" s="622"/>
      <c r="O100" s="1525"/>
      <c r="P100" s="880"/>
      <c r="Q100" s="1033"/>
      <c r="R100" s="927"/>
      <c r="T100" s="878"/>
    </row>
    <row r="101" spans="1:21" s="224" customFormat="1" ht="15" customHeight="1" x14ac:dyDescent="0.25">
      <c r="A101" s="215">
        <v>45163</v>
      </c>
      <c r="B101" s="882" t="s">
        <v>82</v>
      </c>
      <c r="C101" s="879" t="s">
        <v>12</v>
      </c>
      <c r="D101" s="879" t="s">
        <v>1493</v>
      </c>
      <c r="E101" s="871" t="s">
        <v>13</v>
      </c>
      <c r="F101" s="780">
        <v>30</v>
      </c>
      <c r="G101" s="982"/>
      <c r="H101" s="622"/>
      <c r="I101" s="982"/>
      <c r="J101" s="622"/>
      <c r="K101" s="982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21" s="224" customFormat="1" ht="15" customHeight="1" x14ac:dyDescent="0.25">
      <c r="A102" s="215">
        <v>45164</v>
      </c>
      <c r="B102" s="364" t="s">
        <v>2629</v>
      </c>
      <c r="C102" s="350" t="s">
        <v>12</v>
      </c>
      <c r="D102" s="350" t="s">
        <v>1489</v>
      </c>
      <c r="E102" s="875" t="s">
        <v>13</v>
      </c>
      <c r="F102" s="780">
        <v>47.15</v>
      </c>
      <c r="G102" s="982"/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861"/>
      <c r="T102" s="1035"/>
    </row>
    <row r="103" spans="1:21" s="224" customFormat="1" ht="15" customHeight="1" x14ac:dyDescent="0.25">
      <c r="A103" s="215">
        <v>45164</v>
      </c>
      <c r="B103" s="364" t="s">
        <v>3864</v>
      </c>
      <c r="C103" s="350" t="s">
        <v>12</v>
      </c>
      <c r="D103" s="350" t="s">
        <v>1493</v>
      </c>
      <c r="E103" s="875" t="s">
        <v>13</v>
      </c>
      <c r="F103" s="780">
        <v>66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861"/>
      <c r="T103" s="1035"/>
    </row>
    <row r="104" spans="1:21" s="224" customFormat="1" ht="15" customHeight="1" x14ac:dyDescent="0.25">
      <c r="A104" s="215">
        <v>45165</v>
      </c>
      <c r="B104" s="1275" t="s">
        <v>127</v>
      </c>
      <c r="C104" s="1276" t="s">
        <v>12</v>
      </c>
      <c r="D104" s="1276" t="s">
        <v>1486</v>
      </c>
      <c r="E104" s="1286" t="s">
        <v>13</v>
      </c>
      <c r="F104" s="780">
        <v>8.4600000000000009</v>
      </c>
      <c r="G104" s="946"/>
      <c r="H104" s="95"/>
      <c r="I104" s="1064"/>
      <c r="J104" s="622"/>
      <c r="K104" s="982"/>
      <c r="L104" s="622"/>
      <c r="M104" s="982"/>
      <c r="N104" s="622"/>
      <c r="O104" s="1063"/>
      <c r="P104" s="622"/>
      <c r="Q104" s="982"/>
      <c r="R104" s="861"/>
      <c r="T104" s="927"/>
      <c r="U104" s="999"/>
    </row>
    <row r="105" spans="1:21" s="1274" customFormat="1" ht="15" customHeight="1" x14ac:dyDescent="0.25">
      <c r="A105" s="215">
        <v>45165</v>
      </c>
      <c r="B105" s="1289" t="s">
        <v>2096</v>
      </c>
      <c r="C105" s="1276" t="s">
        <v>12</v>
      </c>
      <c r="D105" s="1276" t="s">
        <v>1506</v>
      </c>
      <c r="E105" s="1277" t="s">
        <v>13</v>
      </c>
      <c r="F105" s="1279">
        <v>50</v>
      </c>
      <c r="G105" s="1278"/>
      <c r="H105" s="1282"/>
      <c r="I105" s="1283"/>
      <c r="J105" s="1279"/>
      <c r="K105" s="1278"/>
      <c r="L105" s="1279"/>
      <c r="M105" s="1278"/>
      <c r="N105" s="1279"/>
      <c r="O105" s="1283"/>
      <c r="P105" s="1702"/>
      <c r="Q105" s="1703"/>
      <c r="R105" s="1659"/>
      <c r="T105" s="1281"/>
      <c r="U105" s="1294"/>
    </row>
    <row r="106" spans="1:21" s="224" customFormat="1" ht="15" customHeight="1" x14ac:dyDescent="0.25">
      <c r="A106" s="215">
        <v>45165</v>
      </c>
      <c r="B106" s="882" t="s">
        <v>3855</v>
      </c>
      <c r="C106" s="879" t="s">
        <v>12</v>
      </c>
      <c r="D106" s="879" t="s">
        <v>2157</v>
      </c>
      <c r="E106" s="871" t="s">
        <v>13</v>
      </c>
      <c r="F106" s="780">
        <v>30</v>
      </c>
      <c r="G106" s="982"/>
      <c r="H106" s="622"/>
      <c r="I106" s="982"/>
      <c r="J106" s="622"/>
      <c r="K106" s="982"/>
      <c r="L106" s="622"/>
      <c r="M106" s="982"/>
      <c r="N106" s="622"/>
      <c r="O106" s="1063"/>
      <c r="P106" s="622"/>
      <c r="Q106" s="982"/>
      <c r="R106" s="927"/>
      <c r="T106" s="878"/>
    </row>
    <row r="107" spans="1:21" s="224" customFormat="1" ht="15" customHeight="1" x14ac:dyDescent="0.25">
      <c r="A107" s="215">
        <v>45166</v>
      </c>
      <c r="B107" s="882" t="s">
        <v>32</v>
      </c>
      <c r="C107" s="879" t="s">
        <v>12</v>
      </c>
      <c r="D107" s="879" t="s">
        <v>1485</v>
      </c>
      <c r="E107" s="871" t="s">
        <v>13</v>
      </c>
      <c r="F107" s="780">
        <v>20</v>
      </c>
      <c r="G107" s="982"/>
      <c r="H107" s="622"/>
      <c r="I107" s="982"/>
      <c r="J107" s="622"/>
      <c r="K107" s="982"/>
      <c r="L107" s="622"/>
      <c r="M107" s="982"/>
      <c r="N107" s="622"/>
      <c r="O107" s="1525"/>
      <c r="P107" s="880"/>
      <c r="Q107" s="1033"/>
      <c r="R107" s="927"/>
      <c r="T107" s="878"/>
    </row>
    <row r="108" spans="1:21" s="224" customFormat="1" ht="15" customHeight="1" x14ac:dyDescent="0.25">
      <c r="A108" s="215">
        <v>45166</v>
      </c>
      <c r="B108" s="882" t="s">
        <v>3865</v>
      </c>
      <c r="C108" s="879" t="s">
        <v>12</v>
      </c>
      <c r="D108" s="879" t="s">
        <v>1522</v>
      </c>
      <c r="E108" s="875" t="s">
        <v>13</v>
      </c>
      <c r="F108" s="780">
        <v>1000</v>
      </c>
      <c r="G108" s="982"/>
      <c r="H108" s="622"/>
      <c r="I108" s="982"/>
      <c r="J108" s="622"/>
      <c r="K108" s="982"/>
      <c r="L108" s="622"/>
      <c r="M108" s="982"/>
      <c r="N108" s="622"/>
      <c r="O108" s="1063"/>
      <c r="P108" s="880"/>
      <c r="Q108" s="1033"/>
      <c r="R108" s="927"/>
      <c r="T108" s="878"/>
    </row>
    <row r="109" spans="1:21" s="224" customFormat="1" ht="15" customHeight="1" x14ac:dyDescent="0.25">
      <c r="A109" s="215">
        <v>45166</v>
      </c>
      <c r="B109" s="882" t="s">
        <v>3863</v>
      </c>
      <c r="C109" s="879" t="s">
        <v>12</v>
      </c>
      <c r="D109" s="879"/>
      <c r="E109" s="875"/>
      <c r="F109" s="780"/>
      <c r="G109" s="982"/>
      <c r="H109" s="622"/>
      <c r="I109" s="982"/>
      <c r="J109" s="622"/>
      <c r="K109" s="982"/>
      <c r="L109" s="622"/>
      <c r="M109" s="982"/>
      <c r="N109" s="622"/>
      <c r="O109" s="1063"/>
      <c r="P109" s="880"/>
      <c r="Q109" s="1033"/>
      <c r="R109" s="927"/>
      <c r="T109" s="878"/>
    </row>
    <row r="110" spans="1:21" s="224" customFormat="1" ht="15" customHeight="1" x14ac:dyDescent="0.25">
      <c r="A110" s="215">
        <v>45166</v>
      </c>
      <c r="B110" s="1275" t="s">
        <v>3866</v>
      </c>
      <c r="C110" s="1276" t="s">
        <v>12</v>
      </c>
      <c r="D110" s="1276" t="s">
        <v>1489</v>
      </c>
      <c r="E110" s="1286" t="s">
        <v>13</v>
      </c>
      <c r="F110" s="780">
        <v>13.49</v>
      </c>
      <c r="G110" s="982"/>
      <c r="H110" s="622"/>
      <c r="I110" s="982"/>
      <c r="J110" s="622"/>
      <c r="K110" s="982"/>
      <c r="L110" s="622"/>
      <c r="M110" s="982"/>
      <c r="N110" s="622"/>
      <c r="O110" s="1063"/>
      <c r="P110" s="622"/>
      <c r="Q110" s="982"/>
      <c r="R110" s="1080"/>
      <c r="S110" s="927"/>
      <c r="T110" s="878"/>
    </row>
    <row r="111" spans="1:21" s="224" customFormat="1" ht="15" customHeight="1" x14ac:dyDescent="0.25">
      <c r="A111" s="215">
        <v>45166</v>
      </c>
      <c r="B111" s="1275" t="s">
        <v>3867</v>
      </c>
      <c r="C111" s="1276" t="s">
        <v>12</v>
      </c>
      <c r="D111" s="1276" t="s">
        <v>1489</v>
      </c>
      <c r="E111" s="1286" t="s">
        <v>13</v>
      </c>
      <c r="F111" s="780">
        <v>3</v>
      </c>
      <c r="G111" s="982"/>
      <c r="H111" s="622"/>
      <c r="I111" s="982"/>
      <c r="J111" s="622"/>
      <c r="K111" s="982"/>
      <c r="L111" s="622"/>
      <c r="M111" s="982"/>
      <c r="N111" s="622"/>
      <c r="O111" s="1063"/>
      <c r="P111" s="622"/>
      <c r="Q111" s="982"/>
      <c r="R111" s="1080"/>
      <c r="S111" s="927"/>
      <c r="T111" s="878"/>
    </row>
    <row r="112" spans="1:21" s="224" customFormat="1" ht="15" customHeight="1" x14ac:dyDescent="0.25">
      <c r="A112" s="215">
        <v>45166</v>
      </c>
      <c r="B112" s="882" t="s">
        <v>1331</v>
      </c>
      <c r="C112" s="879" t="s">
        <v>12</v>
      </c>
      <c r="D112" s="879" t="s">
        <v>2157</v>
      </c>
      <c r="E112" s="871" t="s">
        <v>13</v>
      </c>
      <c r="F112" s="780">
        <v>50</v>
      </c>
      <c r="G112" s="946"/>
      <c r="H112" s="95"/>
      <c r="I112" s="1064"/>
      <c r="J112" s="622"/>
      <c r="K112" s="982"/>
      <c r="L112" s="622"/>
      <c r="M112" s="982"/>
      <c r="N112" s="622"/>
      <c r="O112" s="1063"/>
      <c r="P112" s="622"/>
      <c r="Q112" s="982"/>
      <c r="R112" s="861"/>
      <c r="T112" s="927"/>
      <c r="U112" s="999"/>
    </row>
    <row r="113" spans="1:26" s="224" customFormat="1" ht="15" customHeight="1" x14ac:dyDescent="0.25">
      <c r="A113" s="215">
        <v>45167</v>
      </c>
      <c r="B113" s="882" t="s">
        <v>2789</v>
      </c>
      <c r="C113" s="879" t="s">
        <v>12</v>
      </c>
      <c r="D113" s="879" t="s">
        <v>1485</v>
      </c>
      <c r="E113" s="871" t="s">
        <v>13</v>
      </c>
      <c r="F113" s="780">
        <v>13.9</v>
      </c>
      <c r="G113" s="946"/>
      <c r="H113" s="95"/>
      <c r="I113" s="1064"/>
      <c r="J113" s="622"/>
      <c r="K113" s="982"/>
      <c r="L113" s="622"/>
      <c r="M113" s="982"/>
      <c r="N113" s="622"/>
      <c r="O113" s="1063"/>
      <c r="P113" s="622"/>
      <c r="Q113" s="982"/>
      <c r="R113" s="861"/>
      <c r="T113" s="927"/>
      <c r="U113" s="999"/>
    </row>
    <row r="114" spans="1:26" s="224" customFormat="1" ht="15" customHeight="1" x14ac:dyDescent="0.25">
      <c r="A114" s="215">
        <v>45167</v>
      </c>
      <c r="B114" s="882" t="s">
        <v>3863</v>
      </c>
      <c r="C114" s="879" t="s">
        <v>12</v>
      </c>
      <c r="D114" s="879"/>
      <c r="E114" s="875"/>
      <c r="F114" s="780"/>
      <c r="G114" s="982">
        <v>797.07</v>
      </c>
      <c r="H114" s="622"/>
      <c r="I114" s="982"/>
      <c r="J114" s="622"/>
      <c r="K114" s="982"/>
      <c r="L114" s="622">
        <v>797.07</v>
      </c>
      <c r="M114" s="982"/>
      <c r="N114" s="622"/>
      <c r="O114" s="1063"/>
      <c r="P114" s="880"/>
      <c r="Q114" s="1033"/>
      <c r="R114" s="927"/>
      <c r="T114" s="878"/>
    </row>
    <row r="115" spans="1:26" s="224" customFormat="1" x14ac:dyDescent="0.25">
      <c r="A115" s="215">
        <v>45167</v>
      </c>
      <c r="B115" s="364" t="s">
        <v>398</v>
      </c>
      <c r="C115" s="1276"/>
      <c r="D115" s="1276"/>
      <c r="E115" s="1277"/>
      <c r="F115" s="1873">
        <v>500</v>
      </c>
      <c r="G115" s="982"/>
      <c r="H115" s="1008"/>
      <c r="I115" s="1063">
        <v>500</v>
      </c>
      <c r="J115" s="622"/>
      <c r="K115" s="982"/>
      <c r="L115" s="622"/>
      <c r="M115" s="982"/>
      <c r="N115" s="622"/>
      <c r="O115" s="1063"/>
      <c r="P115" s="622"/>
      <c r="Q115" s="982"/>
      <c r="R115" s="861"/>
      <c r="T115" s="878"/>
    </row>
    <row r="116" spans="1:26" s="224" customFormat="1" ht="15" customHeight="1" x14ac:dyDescent="0.25">
      <c r="A116" s="215">
        <v>45167</v>
      </c>
      <c r="B116" s="1275" t="s">
        <v>127</v>
      </c>
      <c r="C116" s="1276" t="s">
        <v>12</v>
      </c>
      <c r="D116" s="1276" t="s">
        <v>1486</v>
      </c>
      <c r="E116" s="1286" t="s">
        <v>13</v>
      </c>
      <c r="F116" s="780">
        <v>7.92</v>
      </c>
      <c r="G116" s="946"/>
      <c r="H116" s="95"/>
      <c r="I116" s="1064"/>
      <c r="J116" s="622"/>
      <c r="K116" s="982"/>
      <c r="L116" s="622"/>
      <c r="M116" s="982"/>
      <c r="N116" s="622"/>
      <c r="O116" s="1063"/>
      <c r="P116" s="622"/>
      <c r="Q116" s="982"/>
      <c r="R116" s="861"/>
      <c r="T116" s="927"/>
      <c r="U116" s="999"/>
    </row>
    <row r="117" spans="1:26" s="224" customFormat="1" ht="15" customHeight="1" x14ac:dyDescent="0.25">
      <c r="A117" s="215">
        <v>45168</v>
      </c>
      <c r="B117" s="882" t="s">
        <v>32</v>
      </c>
      <c r="C117" s="879" t="s">
        <v>12</v>
      </c>
      <c r="D117" s="879" t="s">
        <v>1485</v>
      </c>
      <c r="E117" s="871" t="s">
        <v>13</v>
      </c>
      <c r="F117" s="780">
        <v>20</v>
      </c>
      <c r="G117" s="982"/>
      <c r="H117" s="622"/>
      <c r="I117" s="982"/>
      <c r="J117" s="622"/>
      <c r="K117" s="982"/>
      <c r="L117" s="622"/>
      <c r="M117" s="982"/>
      <c r="N117" s="622"/>
      <c r="O117" s="1525"/>
      <c r="P117" s="880"/>
      <c r="Q117" s="1033"/>
      <c r="R117" s="927"/>
      <c r="T117" s="878"/>
    </row>
    <row r="118" spans="1:26" s="224" customFormat="1" ht="15" customHeight="1" x14ac:dyDescent="0.25">
      <c r="A118" s="215">
        <v>45168</v>
      </c>
      <c r="B118" s="1275" t="s">
        <v>3677</v>
      </c>
      <c r="C118" s="1276" t="s">
        <v>12</v>
      </c>
      <c r="D118" s="1276" t="s">
        <v>1486</v>
      </c>
      <c r="E118" s="1286" t="s">
        <v>13</v>
      </c>
      <c r="F118" s="780">
        <v>9.14</v>
      </c>
      <c r="G118" s="982"/>
      <c r="H118" s="622"/>
      <c r="I118" s="982"/>
      <c r="J118" s="622"/>
      <c r="K118" s="982"/>
      <c r="L118" s="622"/>
      <c r="M118" s="982"/>
      <c r="N118" s="622"/>
      <c r="O118" s="1063"/>
      <c r="P118" s="622"/>
      <c r="Q118" s="982"/>
      <c r="R118" s="1028"/>
      <c r="S118" s="959"/>
      <c r="T118" s="878"/>
      <c r="U118" s="958"/>
    </row>
    <row r="119" spans="1:26" s="224" customFormat="1" ht="15" customHeight="1" x14ac:dyDescent="0.25">
      <c r="A119" s="215">
        <v>45169</v>
      </c>
      <c r="B119" s="882" t="s">
        <v>32</v>
      </c>
      <c r="C119" s="879" t="s">
        <v>12</v>
      </c>
      <c r="D119" s="879" t="s">
        <v>1485</v>
      </c>
      <c r="E119" s="871" t="s">
        <v>13</v>
      </c>
      <c r="F119" s="780">
        <v>20</v>
      </c>
      <c r="G119" s="982"/>
      <c r="H119" s="1008"/>
      <c r="I119" s="1063"/>
      <c r="J119" s="622"/>
      <c r="K119" s="982"/>
      <c r="L119" s="622"/>
      <c r="M119" s="982"/>
      <c r="N119" s="622"/>
      <c r="O119" s="1063"/>
      <c r="P119" s="622"/>
      <c r="Q119" s="982"/>
      <c r="R119" s="861"/>
      <c r="T119" s="1035"/>
    </row>
    <row r="120" spans="1:26" s="224" customFormat="1" ht="15" customHeight="1" x14ac:dyDescent="0.25">
      <c r="A120" s="215">
        <v>45169</v>
      </c>
      <c r="B120" s="882" t="s">
        <v>2629</v>
      </c>
      <c r="C120" s="879" t="s">
        <v>12</v>
      </c>
      <c r="D120" s="879" t="s">
        <v>1489</v>
      </c>
      <c r="E120" s="871" t="s">
        <v>13</v>
      </c>
      <c r="F120" s="780">
        <v>16.98</v>
      </c>
      <c r="G120" s="982"/>
      <c r="H120" s="1008"/>
      <c r="I120" s="1063"/>
      <c r="J120" s="622"/>
      <c r="K120" s="982"/>
      <c r="L120" s="622"/>
      <c r="M120" s="982"/>
      <c r="N120" s="622"/>
      <c r="O120" s="1063"/>
      <c r="P120" s="622"/>
      <c r="Q120" s="982"/>
      <c r="R120" s="861"/>
      <c r="T120" s="1035"/>
    </row>
    <row r="121" spans="1:26" s="224" customFormat="1" ht="15.75" thickBot="1" x14ac:dyDescent="0.3">
      <c r="A121" s="215">
        <v>45169</v>
      </c>
      <c r="B121" s="862" t="s">
        <v>1666</v>
      </c>
      <c r="C121" s="350" t="s">
        <v>12</v>
      </c>
      <c r="D121" s="1003"/>
      <c r="E121" s="145" t="s">
        <v>25</v>
      </c>
      <c r="F121" s="1036"/>
      <c r="G121" s="1535"/>
      <c r="H121" s="1008"/>
      <c r="I121" s="1063"/>
      <c r="J121" s="1036"/>
      <c r="K121" s="1535"/>
      <c r="L121" s="622"/>
      <c r="M121" s="982">
        <v>30.22</v>
      </c>
      <c r="N121" s="622"/>
      <c r="O121" s="1063">
        <v>0</v>
      </c>
      <c r="P121" s="1036"/>
      <c r="Q121" s="1535"/>
      <c r="R121" s="1815">
        <f>M121/M5</f>
        <v>4.1465422612513708E-3</v>
      </c>
      <c r="T121" s="878"/>
    </row>
    <row r="122" spans="1:26" ht="25.5" customHeight="1" thickBot="1" x14ac:dyDescent="0.3">
      <c r="A122" s="3060"/>
      <c r="B122" s="3061"/>
      <c r="C122" s="3062"/>
      <c r="D122" s="3062"/>
      <c r="E122" s="3062"/>
      <c r="F122" s="1023">
        <f>SUM(F6:F121)</f>
        <v>11199.433333333332</v>
      </c>
      <c r="G122" s="1065">
        <f>SUM(G5:G121)</f>
        <v>13107.188250000027</v>
      </c>
      <c r="H122" s="517">
        <f>SUM(H6:H121)</f>
        <v>4200</v>
      </c>
      <c r="I122" s="93">
        <f>SUM(I5:I121)</f>
        <v>5199.9959999999992</v>
      </c>
      <c r="J122" s="1023">
        <f>SUM(J6:J121)</f>
        <v>0</v>
      </c>
      <c r="K122" s="93">
        <f>SUM(K5:K121)</f>
        <v>21362.690000000002</v>
      </c>
      <c r="L122" s="1023">
        <f>SUM(L6:L121)</f>
        <v>2120.4700000000003</v>
      </c>
      <c r="M122" s="93">
        <f>SUM(M5:M121)</f>
        <v>7318.2200000000021</v>
      </c>
      <c r="N122" s="1023">
        <f>SUM(N6:N121)</f>
        <v>2226.91</v>
      </c>
      <c r="O122" s="1701">
        <f>SUM(O5:O121)</f>
        <v>2226.9100000000003</v>
      </c>
      <c r="P122" s="1211">
        <f>SUM(P6:P121)</f>
        <v>0</v>
      </c>
      <c r="Q122" s="93">
        <f>SUM(Q5:Q121)</f>
        <v>52979.745984720008</v>
      </c>
      <c r="S122" s="216"/>
    </row>
    <row r="123" spans="1:26" ht="25.5" customHeight="1" thickBot="1" x14ac:dyDescent="0.3">
      <c r="A123" s="3117" t="s">
        <v>49</v>
      </c>
      <c r="B123" s="3118"/>
      <c r="C123" s="3118"/>
      <c r="D123" s="3118"/>
      <c r="E123" s="3118"/>
      <c r="F123" s="144" t="s">
        <v>280</v>
      </c>
      <c r="G123" s="519">
        <f>G122-F122</f>
        <v>1907.754916666694</v>
      </c>
      <c r="H123" s="555"/>
      <c r="I123" s="772">
        <f>I122-H122</f>
        <v>999.99599999999919</v>
      </c>
      <c r="J123" s="593"/>
      <c r="K123" s="993">
        <f>K122-J122</f>
        <v>21362.690000000002</v>
      </c>
      <c r="L123" s="593"/>
      <c r="M123" s="772">
        <f>M122-L122</f>
        <v>5197.7500000000018</v>
      </c>
      <c r="N123" s="593"/>
      <c r="O123" s="993">
        <f>O122-N122</f>
        <v>0</v>
      </c>
      <c r="P123" s="593"/>
      <c r="Q123" s="556">
        <f>Q122-P122</f>
        <v>52979.745984720008</v>
      </c>
      <c r="R123" s="484">
        <f>K123+M123+O123+Q123</f>
        <v>79540.18598472001</v>
      </c>
    </row>
    <row r="124" spans="1:26" x14ac:dyDescent="0.25">
      <c r="J124" s="1238"/>
      <c r="K124" s="1238">
        <f>K123/R123</f>
        <v>0.26857732020017983</v>
      </c>
      <c r="M124" s="1238">
        <f>M123/R123</f>
        <v>6.5347471038080182E-2</v>
      </c>
      <c r="O124" s="1238">
        <f>O123/R123</f>
        <v>0</v>
      </c>
      <c r="P124" s="1239"/>
      <c r="Q124" s="1239">
        <f>Q123/R123</f>
        <v>0.66607520876173998</v>
      </c>
      <c r="R124" s="867"/>
      <c r="S124" s="867"/>
      <c r="T124" s="79"/>
      <c r="W124" s="518"/>
      <c r="X124" s="216"/>
      <c r="Z124" s="877"/>
    </row>
    <row r="125" spans="1:26" x14ac:dyDescent="0.25">
      <c r="B125" s="81" t="s">
        <v>3</v>
      </c>
      <c r="C125" s="193" t="s">
        <v>1484</v>
      </c>
      <c r="D125" s="970" t="s">
        <v>2378</v>
      </c>
      <c r="E125" s="193" t="s">
        <v>3216</v>
      </c>
      <c r="F125" s="1061" t="s">
        <v>3217</v>
      </c>
      <c r="G125" s="216"/>
      <c r="J125" s="867"/>
      <c r="K125" s="866"/>
      <c r="M125" s="866"/>
      <c r="O125" s="866"/>
      <c r="P125" s="1038"/>
      <c r="Q125" s="1038"/>
      <c r="R125" s="865"/>
      <c r="S125" s="867"/>
    </row>
    <row r="126" spans="1:26" x14ac:dyDescent="0.25">
      <c r="B126" s="79" t="s">
        <v>32</v>
      </c>
      <c r="C126" s="85" t="s">
        <v>1485</v>
      </c>
      <c r="D126" s="475">
        <f>SUMIF($D$7:$D$121,"A",$F$7:$F$121)</f>
        <v>499.9</v>
      </c>
      <c r="E126" s="1202">
        <f t="shared" ref="E126:E143" si="0">D126/$J$145</f>
        <v>16.125806451612902</v>
      </c>
      <c r="F126" s="1203">
        <f t="shared" ref="F126:F142" si="1">E126/$E$146</f>
        <v>0.11221855568276203</v>
      </c>
      <c r="G126" s="800"/>
      <c r="I126" s="769"/>
      <c r="J126" s="1210"/>
      <c r="K126" s="754"/>
      <c r="M126" s="886"/>
      <c r="O126" s="886"/>
      <c r="P126" s="886"/>
      <c r="Q126" s="1210"/>
      <c r="R126" s="1038"/>
      <c r="S126" s="1210"/>
      <c r="U126" s="1201"/>
      <c r="V126" s="877"/>
    </row>
    <row r="127" spans="1:26" x14ac:dyDescent="0.25">
      <c r="B127" s="79" t="s">
        <v>2187</v>
      </c>
      <c r="C127" s="85" t="s">
        <v>2157</v>
      </c>
      <c r="D127" s="475">
        <f>SUMIF($D$7:$D$121,"GAC",$F$7:$F$121)</f>
        <v>490</v>
      </c>
      <c r="E127" s="1202">
        <f t="shared" si="0"/>
        <v>15.806451612903226</v>
      </c>
      <c r="F127" s="1203">
        <f>E127/$E$146</f>
        <v>0.10999618380586797</v>
      </c>
      <c r="G127" s="609"/>
      <c r="J127" s="1038"/>
      <c r="K127" s="1225"/>
      <c r="L127" s="3197" t="s">
        <v>3868</v>
      </c>
      <c r="M127" s="3197"/>
      <c r="N127" s="3197"/>
      <c r="O127" s="3199" t="s">
        <v>3869</v>
      </c>
      <c r="P127" s="3199"/>
      <c r="Q127" s="1038"/>
      <c r="R127" s="1038"/>
      <c r="U127" s="877"/>
      <c r="V127" s="877"/>
    </row>
    <row r="128" spans="1:26" x14ac:dyDescent="0.25">
      <c r="B128" s="79" t="s">
        <v>2188</v>
      </c>
      <c r="C128" s="85" t="s">
        <v>2168</v>
      </c>
      <c r="D128" s="475">
        <f>SUMIF($D$17:$D$121,"GAM",$F$17:$F$121)</f>
        <v>0</v>
      </c>
      <c r="E128" s="1202">
        <f t="shared" si="0"/>
        <v>0</v>
      </c>
      <c r="F128" s="1203">
        <f>E128/$E$146</f>
        <v>0</v>
      </c>
      <c r="J128" s="1038"/>
      <c r="L128" s="3202" t="s">
        <v>3870</v>
      </c>
      <c r="M128" s="3202"/>
      <c r="N128" s="216">
        <v>624</v>
      </c>
      <c r="O128" s="1038" t="s">
        <v>3871</v>
      </c>
      <c r="P128" s="1954">
        <v>45531</v>
      </c>
      <c r="Q128" s="1038"/>
      <c r="R128" s="1038"/>
      <c r="U128" s="877"/>
      <c r="V128" s="877"/>
    </row>
    <row r="129" spans="1:22" s="85" customFormat="1" x14ac:dyDescent="0.25">
      <c r="A129" s="79"/>
      <c r="B129" s="79" t="s">
        <v>50</v>
      </c>
      <c r="C129" s="85" t="s">
        <v>1493</v>
      </c>
      <c r="D129" s="475">
        <f>SUMIF($D$11:$D$121,"LD",$F$11:$F$121)</f>
        <v>312.14</v>
      </c>
      <c r="E129" s="1202">
        <f t="shared" si="0"/>
        <v>10.069032258064516</v>
      </c>
      <c r="F129" s="1203">
        <f t="shared" si="1"/>
        <v>7.0069813904415565E-2</v>
      </c>
      <c r="J129" s="864"/>
      <c r="K129" s="877"/>
      <c r="L129" s="3203" t="s">
        <v>3872</v>
      </c>
      <c r="M129" s="3203"/>
      <c r="N129" s="177">
        <v>1358</v>
      </c>
      <c r="O129" s="1038" t="s">
        <v>3871</v>
      </c>
      <c r="P129" s="1954">
        <v>45531</v>
      </c>
      <c r="Q129" s="79"/>
      <c r="R129" s="177"/>
      <c r="U129" s="877"/>
      <c r="V129" s="877"/>
    </row>
    <row r="130" spans="1:22" s="85" customFormat="1" x14ac:dyDescent="0.25">
      <c r="A130" s="79"/>
      <c r="B130" s="79" t="s">
        <v>14</v>
      </c>
      <c r="C130" s="85" t="s">
        <v>1486</v>
      </c>
      <c r="D130" s="475">
        <f>SUMIF($D$7:$D$121,"C",$F$7:$F$121)</f>
        <v>109.78</v>
      </c>
      <c r="E130" s="1202">
        <f t="shared" si="0"/>
        <v>3.5412903225806454</v>
      </c>
      <c r="F130" s="1203">
        <f t="shared" si="1"/>
        <v>2.4643634812669769E-2</v>
      </c>
      <c r="G130" s="79"/>
      <c r="H130" s="79"/>
      <c r="J130" s="1038"/>
      <c r="K130" s="877"/>
      <c r="L130" s="3200" t="s">
        <v>3873</v>
      </c>
      <c r="M130" s="3200"/>
      <c r="N130" s="1129">
        <v>193.6</v>
      </c>
      <c r="O130" s="1038" t="s">
        <v>3871</v>
      </c>
      <c r="P130" s="1954">
        <v>45531</v>
      </c>
      <c r="R130" s="177"/>
      <c r="U130" s="877"/>
      <c r="V130" s="877"/>
    </row>
    <row r="131" spans="1:22" s="85" customFormat="1" x14ac:dyDescent="0.25">
      <c r="B131" s="79" t="s">
        <v>51</v>
      </c>
      <c r="C131" s="864" t="s">
        <v>1499</v>
      </c>
      <c r="D131" s="475">
        <f>SUMIF($D$17:$D$121,"CAL",$F$17:$F$121)</f>
        <v>0</v>
      </c>
      <c r="E131" s="1202">
        <f t="shared" si="0"/>
        <v>0</v>
      </c>
      <c r="F131" s="1203">
        <f t="shared" si="1"/>
        <v>0</v>
      </c>
      <c r="G131" s="79"/>
      <c r="H131" s="79"/>
      <c r="I131" s="79"/>
      <c r="J131" s="1038"/>
      <c r="K131" s="877"/>
      <c r="L131" s="3200" t="s">
        <v>3874</v>
      </c>
      <c r="M131" s="3200"/>
      <c r="N131" s="1129">
        <v>1420</v>
      </c>
      <c r="O131" s="1038" t="s">
        <v>3871</v>
      </c>
      <c r="P131" s="1954">
        <v>45531</v>
      </c>
      <c r="R131" s="177"/>
      <c r="U131" s="877"/>
      <c r="V131" s="877"/>
    </row>
    <row r="132" spans="1:22" s="85" customFormat="1" x14ac:dyDescent="0.25">
      <c r="A132" s="79"/>
      <c r="B132" s="79" t="s">
        <v>2189</v>
      </c>
      <c r="C132" s="864" t="s">
        <v>1496</v>
      </c>
      <c r="D132" s="475">
        <f>SUMIF($D$14:$D$121,"AC",$F$14:$F$121)</f>
        <v>90</v>
      </c>
      <c r="E132" s="1202">
        <f t="shared" si="0"/>
        <v>2.903225806451613</v>
      </c>
      <c r="F132" s="1203">
        <f t="shared" si="1"/>
        <v>2.0203380699036974E-2</v>
      </c>
      <c r="G132" s="79"/>
      <c r="J132" s="1038"/>
      <c r="K132" s="877"/>
      <c r="L132" s="3200" t="s">
        <v>3875</v>
      </c>
      <c r="M132" s="3200"/>
      <c r="N132" s="1129">
        <v>693</v>
      </c>
      <c r="O132" s="1038" t="s">
        <v>3871</v>
      </c>
      <c r="P132" s="1954">
        <v>45531</v>
      </c>
      <c r="R132" s="177"/>
      <c r="U132" s="877"/>
      <c r="V132" s="877"/>
    </row>
    <row r="133" spans="1:22" s="85" customFormat="1" x14ac:dyDescent="0.25">
      <c r="A133" s="79"/>
      <c r="B133" s="867" t="s">
        <v>53</v>
      </c>
      <c r="C133" s="864" t="s">
        <v>1522</v>
      </c>
      <c r="D133" s="475">
        <f>SUMIF($D$14:$D$121,"DC",$F$14:$F$121)</f>
        <v>3944.67</v>
      </c>
      <c r="E133" s="1202">
        <f t="shared" si="0"/>
        <v>127.24741935483871</v>
      </c>
      <c r="F133" s="1203">
        <f t="shared" si="1"/>
        <v>0.88550744157855754</v>
      </c>
      <c r="J133" s="79"/>
      <c r="K133" s="877"/>
      <c r="L133" s="3200" t="s">
        <v>3876</v>
      </c>
      <c r="M133" s="3200"/>
      <c r="N133" s="1129">
        <v>1180</v>
      </c>
      <c r="O133" s="1038" t="s">
        <v>3871</v>
      </c>
      <c r="P133" s="1954">
        <v>45531</v>
      </c>
      <c r="R133" s="79"/>
      <c r="U133" s="877"/>
      <c r="V133" s="877"/>
    </row>
    <row r="134" spans="1:22" s="85" customFormat="1" x14ac:dyDescent="0.25">
      <c r="A134" s="79"/>
      <c r="B134" s="867" t="s">
        <v>2149</v>
      </c>
      <c r="C134" s="864" t="s">
        <v>2131</v>
      </c>
      <c r="D134" s="475">
        <f>SUMIF($D$6:$D$121,"DM",$F$6:$F$121)</f>
        <v>0</v>
      </c>
      <c r="E134" s="1202">
        <f t="shared" si="0"/>
        <v>0</v>
      </c>
      <c r="F134" s="1203">
        <f t="shared" si="1"/>
        <v>0</v>
      </c>
      <c r="K134" s="877"/>
      <c r="L134" s="877" t="s">
        <v>3664</v>
      </c>
      <c r="M134" s="877"/>
      <c r="N134" s="1129">
        <v>2400</v>
      </c>
      <c r="O134" s="1038" t="s">
        <v>3871</v>
      </c>
      <c r="P134" s="1954">
        <v>45531</v>
      </c>
      <c r="Q134" s="1210"/>
      <c r="U134" s="877"/>
      <c r="V134" s="877"/>
    </row>
    <row r="135" spans="1:22" s="85" customFormat="1" x14ac:dyDescent="0.25">
      <c r="A135" s="79"/>
      <c r="B135" s="79" t="s">
        <v>3048</v>
      </c>
      <c r="C135" s="864" t="s">
        <v>1523</v>
      </c>
      <c r="D135" s="475">
        <f ca="1">SUMIF($D$11:$D$122,"B",$F$11:$F$121)</f>
        <v>57.9</v>
      </c>
      <c r="E135" s="1202">
        <f t="shared" ca="1" si="0"/>
        <v>1.8677419354838709</v>
      </c>
      <c r="F135" s="1203">
        <f t="shared" ca="1" si="1"/>
        <v>1.2997508249713786E-2</v>
      </c>
      <c r="G135" s="866"/>
      <c r="J135" s="1038"/>
      <c r="K135" s="877"/>
      <c r="M135" s="1227"/>
      <c r="N135" s="1131">
        <f>SUM(N128:N134)</f>
        <v>7868.6</v>
      </c>
      <c r="O135" s="177"/>
      <c r="P135" s="1226"/>
      <c r="Q135" s="1129"/>
      <c r="R135" s="877"/>
      <c r="U135" s="877"/>
      <c r="V135" s="877"/>
    </row>
    <row r="136" spans="1:22" s="85" customFormat="1" x14ac:dyDescent="0.25">
      <c r="A136" s="79"/>
      <c r="B136" s="79" t="s">
        <v>1686</v>
      </c>
      <c r="C136" s="864" t="s">
        <v>1506</v>
      </c>
      <c r="D136" s="475">
        <f>SUMIF($D$14:$D$121,"R",$F$14:$F$121)</f>
        <v>263.33333333333337</v>
      </c>
      <c r="E136" s="1202">
        <f t="shared" si="0"/>
        <v>8.4946236559139798</v>
      </c>
      <c r="F136" s="1203">
        <f t="shared" si="1"/>
        <v>5.9113595378663744E-2</v>
      </c>
      <c r="G136" s="868"/>
      <c r="K136" s="877"/>
      <c r="L136" s="769"/>
      <c r="M136" s="1955" t="s">
        <v>3877</v>
      </c>
      <c r="N136" s="1125">
        <v>5000</v>
      </c>
      <c r="O136" s="216"/>
      <c r="P136" s="1038"/>
      <c r="Q136" s="1226"/>
      <c r="R136" s="877"/>
      <c r="U136" s="877"/>
      <c r="V136" s="877"/>
    </row>
    <row r="137" spans="1:22" x14ac:dyDescent="0.25">
      <c r="B137" s="79" t="s">
        <v>418</v>
      </c>
      <c r="C137" s="85" t="s">
        <v>1524</v>
      </c>
      <c r="D137" s="475">
        <f>SUMIF($D$11:$D$121,"COM",$F$11:$F$121)</f>
        <v>0</v>
      </c>
      <c r="E137" s="1202">
        <f t="shared" si="0"/>
        <v>0</v>
      </c>
      <c r="F137" s="1203">
        <f>E137/$E$146</f>
        <v>0</v>
      </c>
      <c r="G137" s="85"/>
      <c r="H137" s="85"/>
      <c r="I137" s="85"/>
      <c r="J137" s="769"/>
      <c r="K137" s="1225"/>
      <c r="M137" s="934" t="s">
        <v>3878</v>
      </c>
      <c r="N137" s="484">
        <v>68.599999999999994</v>
      </c>
      <c r="O137" s="85"/>
      <c r="P137" s="1210"/>
      <c r="Q137" s="1038"/>
      <c r="R137" s="877"/>
      <c r="U137" s="877"/>
      <c r="V137" s="877"/>
    </row>
    <row r="138" spans="1:22" x14ac:dyDescent="0.25">
      <c r="B138" s="79" t="s">
        <v>419</v>
      </c>
      <c r="C138" s="85" t="s">
        <v>1491</v>
      </c>
      <c r="D138" s="475">
        <f>SUMIF($D$14:$D$121,"F",$F$14:$F$121)</f>
        <v>668.46</v>
      </c>
      <c r="E138" s="1202">
        <f t="shared" si="0"/>
        <v>21.563225806451616</v>
      </c>
      <c r="F138" s="1203">
        <f>E138/$E$146</f>
        <v>0.15005724291198064</v>
      </c>
      <c r="I138" s="85"/>
      <c r="M138" s="940"/>
      <c r="N138" s="475"/>
      <c r="O138" s="85"/>
      <c r="P138" s="85"/>
      <c r="Q138" s="85"/>
      <c r="R138" s="877"/>
      <c r="U138" s="877"/>
      <c r="V138" s="877"/>
    </row>
    <row r="139" spans="1:22" x14ac:dyDescent="0.25">
      <c r="B139" s="79" t="s">
        <v>911</v>
      </c>
      <c r="C139" s="85" t="s">
        <v>1525</v>
      </c>
      <c r="D139" s="475">
        <f>SUMIF($D$17:$D$121,"FER",$F$17:$F$121)</f>
        <v>364.9</v>
      </c>
      <c r="E139" s="1202">
        <f t="shared" si="0"/>
        <v>11.770967741935483</v>
      </c>
      <c r="F139" s="1203">
        <f t="shared" si="1"/>
        <v>8.1913484634206571E-2</v>
      </c>
      <c r="L139" s="769"/>
      <c r="M139" s="660" t="s">
        <v>3879</v>
      </c>
      <c r="N139" s="1235">
        <f>N135-N136-N138-N137</f>
        <v>2800.0000000000005</v>
      </c>
      <c r="O139" s="1673">
        <f>N139/Q139</f>
        <v>560.00000000000011</v>
      </c>
      <c r="P139" s="868" t="s">
        <v>3880</v>
      </c>
      <c r="Q139" s="1930">
        <v>5</v>
      </c>
      <c r="R139" s="1673"/>
      <c r="U139" s="877"/>
      <c r="V139" s="877"/>
    </row>
    <row r="140" spans="1:22" x14ac:dyDescent="0.25">
      <c r="B140" s="79" t="s">
        <v>1526</v>
      </c>
      <c r="C140" s="85" t="s">
        <v>1504</v>
      </c>
      <c r="D140" s="475">
        <f>SUMIF($D$17:$D$121,"I",$F$17:$F$121)</f>
        <v>157.9</v>
      </c>
      <c r="E140" s="1202">
        <f t="shared" si="0"/>
        <v>5.0935483870967744</v>
      </c>
      <c r="F140" s="1203">
        <f t="shared" si="1"/>
        <v>3.5445709026421537E-2</v>
      </c>
      <c r="J140" s="769"/>
      <c r="K140" s="868"/>
      <c r="L140" s="769"/>
      <c r="M140" s="1210"/>
      <c r="N140" s="769"/>
      <c r="O140" s="1673"/>
      <c r="P140" s="1210"/>
      <c r="Q140" s="1038"/>
      <c r="R140" s="1129"/>
      <c r="T140" s="1129"/>
      <c r="U140" s="877"/>
      <c r="V140" s="877"/>
    </row>
    <row r="141" spans="1:22" x14ac:dyDescent="0.25">
      <c r="B141" s="79" t="s">
        <v>2343</v>
      </c>
      <c r="C141" s="85" t="s">
        <v>2315</v>
      </c>
      <c r="D141" s="475">
        <f>SUMIF($D$17:$D$121,"E",$F$17:$F$121)</f>
        <v>0</v>
      </c>
      <c r="E141" s="1202">
        <f t="shared" si="0"/>
        <v>0</v>
      </c>
      <c r="F141" s="1203">
        <f t="shared" si="1"/>
        <v>0</v>
      </c>
      <c r="J141" s="769"/>
      <c r="K141" s="868"/>
      <c r="L141" s="3197" t="s">
        <v>3868</v>
      </c>
      <c r="M141" s="3197"/>
      <c r="N141" s="3197"/>
      <c r="O141" s="3199" t="s">
        <v>3869</v>
      </c>
      <c r="P141" s="3199"/>
      <c r="R141" s="1129"/>
      <c r="T141" s="1129"/>
      <c r="U141" s="877"/>
      <c r="V141" s="877"/>
    </row>
    <row r="142" spans="1:22" x14ac:dyDescent="0.25">
      <c r="B142" s="79" t="s">
        <v>3019</v>
      </c>
      <c r="C142" s="85" t="s">
        <v>3017</v>
      </c>
      <c r="D142" s="475">
        <f>SUMIF($D$6:$D$121,"IM",$F$6:$F$121)</f>
        <v>542</v>
      </c>
      <c r="E142" s="1202">
        <f t="shared" si="0"/>
        <v>17.483870967741936</v>
      </c>
      <c r="F142" s="1203">
        <f t="shared" si="1"/>
        <v>0.121669248209756</v>
      </c>
      <c r="J142" s="769"/>
      <c r="L142" s="3200" t="s">
        <v>3881</v>
      </c>
      <c r="M142" s="3200"/>
      <c r="N142" s="1962">
        <v>4000</v>
      </c>
      <c r="O142" s="1038" t="s">
        <v>3882</v>
      </c>
      <c r="P142" s="1954">
        <v>45280</v>
      </c>
      <c r="Q142" s="3201" t="s">
        <v>3883</v>
      </c>
      <c r="R142" s="3201"/>
      <c r="S142" s="3201"/>
      <c r="T142" s="3201"/>
      <c r="U142" s="877"/>
      <c r="V142" s="877"/>
    </row>
    <row r="143" spans="1:22" x14ac:dyDescent="0.25">
      <c r="B143" s="79" t="s">
        <v>1527</v>
      </c>
      <c r="C143" s="85" t="s">
        <v>1489</v>
      </c>
      <c r="D143" s="475">
        <f>SUMIF($D$7:$D$121,"OD",$F$7:$F$121)</f>
        <v>400.45</v>
      </c>
      <c r="E143" s="1202">
        <f t="shared" si="0"/>
        <v>12.917741935483871</v>
      </c>
      <c r="F143" s="1203">
        <f>E143/$E$146</f>
        <v>8.9893820010326184E-2</v>
      </c>
      <c r="N143" s="177"/>
      <c r="O143" s="1038"/>
      <c r="P143" s="1954"/>
      <c r="Q143" s="1038"/>
      <c r="R143" s="1226"/>
      <c r="S143" s="1129"/>
      <c r="T143" s="1129"/>
      <c r="U143" s="877"/>
      <c r="V143" s="877"/>
    </row>
    <row r="144" spans="1:22" x14ac:dyDescent="0.25">
      <c r="C144" s="79"/>
      <c r="D144" s="629"/>
      <c r="E144" s="79"/>
      <c r="F144" s="79"/>
      <c r="N144" s="1129"/>
      <c r="O144" s="1038"/>
      <c r="P144" s="1954"/>
      <c r="Q144" s="1038"/>
      <c r="R144" s="1227"/>
      <c r="S144" s="1129"/>
      <c r="T144" s="1129"/>
      <c r="U144" s="877"/>
      <c r="V144" s="877"/>
    </row>
    <row r="145" spans="1:24" x14ac:dyDescent="0.25">
      <c r="C145" s="3168" t="s">
        <v>486</v>
      </c>
      <c r="D145" s="3168"/>
      <c r="E145" s="863">
        <f ca="1">I145/J145</f>
        <v>254.88494623655907</v>
      </c>
      <c r="G145" s="518" t="s">
        <v>487</v>
      </c>
      <c r="I145" s="629">
        <f ca="1">SUM(D126:D143)</f>
        <v>7901.4333333333316</v>
      </c>
      <c r="J145" s="1517">
        <v>31</v>
      </c>
      <c r="N145" s="1129"/>
      <c r="O145" s="1038"/>
      <c r="P145" s="1954"/>
      <c r="Q145" s="1038"/>
      <c r="R145" s="1226"/>
      <c r="S145" s="1129"/>
      <c r="T145" s="1129"/>
      <c r="U145" s="877"/>
      <c r="V145" s="877"/>
    </row>
    <row r="146" spans="1:24" ht="15.75" customHeight="1" x14ac:dyDescent="0.25">
      <c r="B146" s="3167" t="s">
        <v>3725</v>
      </c>
      <c r="C146" s="3167"/>
      <c r="D146" s="3167"/>
      <c r="E146" s="1125">
        <v>143.69999999999999</v>
      </c>
      <c r="H146" s="85"/>
      <c r="K146" s="868"/>
      <c r="N146" s="1129"/>
      <c r="O146" s="1038"/>
      <c r="P146" s="1954"/>
      <c r="Q146" s="1038"/>
      <c r="R146" s="1226"/>
      <c r="S146" s="1129"/>
      <c r="T146" s="1129"/>
      <c r="U146" s="877"/>
      <c r="V146" s="877"/>
    </row>
    <row r="147" spans="1:24" x14ac:dyDescent="0.25">
      <c r="A147" s="518"/>
      <c r="C147" s="79"/>
      <c r="D147" s="79"/>
      <c r="E147" s="769"/>
      <c r="F147" s="866"/>
      <c r="G147" s="769"/>
      <c r="H147" s="866"/>
      <c r="I147" s="1210"/>
      <c r="J147" s="89"/>
      <c r="N147" s="1129"/>
      <c r="O147" s="1038"/>
      <c r="P147" s="1954"/>
      <c r="U147" s="866"/>
      <c r="V147" s="484"/>
      <c r="X147" s="877"/>
    </row>
    <row r="148" spans="1:24" s="518" customFormat="1" x14ac:dyDescent="0.25">
      <c r="A148" s="79"/>
      <c r="B148" s="79"/>
      <c r="C148" s="79"/>
      <c r="D148" s="79"/>
      <c r="E148" s="1126">
        <f ca="1">E146-E145</f>
        <v>-111.18494623655909</v>
      </c>
      <c r="F148" s="1205">
        <f ca="1">SUM(F126:F147)</f>
        <v>1.7737296189043781</v>
      </c>
      <c r="G148" s="85"/>
      <c r="H148" s="85"/>
      <c r="I148" s="89"/>
      <c r="J148" s="79"/>
      <c r="K148" s="79"/>
      <c r="L148" s="877"/>
      <c r="M148" s="877"/>
      <c r="N148" s="1129"/>
      <c r="O148" s="1038"/>
      <c r="P148" s="1954"/>
      <c r="U148" s="484"/>
      <c r="V148" s="79"/>
      <c r="W148" s="877"/>
      <c r="X148" s="79"/>
    </row>
    <row r="149" spans="1:24" s="518" customFormat="1" x14ac:dyDescent="0.25">
      <c r="A149" s="79"/>
      <c r="B149" s="79"/>
      <c r="C149" s="85"/>
      <c r="D149" s="85"/>
      <c r="E149" s="85"/>
      <c r="L149" s="85"/>
      <c r="M149" s="1227"/>
      <c r="N149" s="1131">
        <f>SUM(N142:N148)</f>
        <v>4000</v>
      </c>
      <c r="O149" s="177"/>
      <c r="P149" s="1226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1955" t="s">
        <v>3877</v>
      </c>
      <c r="N150" s="1125">
        <v>5000</v>
      </c>
      <c r="O150" s="216"/>
      <c r="P150" s="1038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216"/>
      <c r="J151" s="769"/>
      <c r="K151" s="866"/>
      <c r="L151" s="79"/>
      <c r="M151" s="934" t="s">
        <v>3878</v>
      </c>
      <c r="N151" s="484">
        <v>68.599999999999994</v>
      </c>
      <c r="O151" s="85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79"/>
      <c r="H152" s="79"/>
      <c r="K152" s="866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216"/>
      <c r="J154" s="769"/>
      <c r="K154" s="868"/>
      <c r="L154" s="3200" t="s">
        <v>3881</v>
      </c>
      <c r="M154" s="3200"/>
      <c r="N154" s="1962">
        <v>1200</v>
      </c>
      <c r="O154" s="1038" t="s">
        <v>3882</v>
      </c>
      <c r="P154" s="1954">
        <v>45257</v>
      </c>
      <c r="Q154" s="3201" t="s">
        <v>3883</v>
      </c>
      <c r="R154" s="3201"/>
      <c r="S154" s="3201"/>
      <c r="T154" s="3201"/>
      <c r="U154" s="79"/>
    </row>
    <row r="155" spans="1:24" s="518" customFormat="1" x14ac:dyDescent="0.25">
      <c r="A155" s="79"/>
      <c r="B155" s="79"/>
      <c r="C155" s="79"/>
      <c r="D155" s="79"/>
      <c r="E155" s="79"/>
      <c r="F155" s="79"/>
      <c r="G155" s="216"/>
      <c r="H155" s="79"/>
      <c r="I155" s="216"/>
      <c r="J155" s="769"/>
      <c r="K155" s="866"/>
      <c r="L155" s="769"/>
      <c r="M155" s="866"/>
      <c r="N155" s="769"/>
      <c r="O155" s="866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216"/>
      <c r="H156" s="79"/>
      <c r="I156" s="79"/>
      <c r="J156" s="770"/>
      <c r="K156" s="866"/>
      <c r="L156" s="770"/>
      <c r="M156" s="866"/>
      <c r="N156" s="770"/>
      <c r="O156" s="866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769"/>
      <c r="O157" s="868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629"/>
      <c r="J159" s="769"/>
      <c r="K159" s="866"/>
      <c r="L159" s="769"/>
      <c r="M159" s="866"/>
      <c r="N159" s="769"/>
      <c r="O159" s="866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769"/>
      <c r="O164" s="866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P165" s="1210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P166" s="1210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6"/>
      <c r="L167" s="769"/>
      <c r="M167" s="866"/>
      <c r="N167" s="769"/>
      <c r="O167" s="866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6"/>
      <c r="L168" s="769"/>
      <c r="M168" s="866"/>
      <c r="N168" s="769"/>
      <c r="O168" s="866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79"/>
      <c r="Q169" s="79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81"/>
      <c r="Q170" s="755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868"/>
      <c r="Q171" s="79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216"/>
      <c r="J172" s="769"/>
      <c r="K172" s="868"/>
      <c r="L172" s="769"/>
      <c r="M172" s="868"/>
      <c r="N172" s="769"/>
      <c r="O172" s="868"/>
      <c r="P172" s="754"/>
      <c r="Q172" s="88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69"/>
      <c r="K173" s="868"/>
      <c r="L173" s="769"/>
      <c r="M173" s="868"/>
      <c r="N173" s="769"/>
      <c r="O173" s="868"/>
      <c r="P173" s="864"/>
      <c r="Q173" s="864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864"/>
      <c r="Q174" s="1032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864"/>
      <c r="Q175" s="1032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8"/>
      <c r="L176" s="769"/>
      <c r="M176" s="868"/>
      <c r="N176" s="769"/>
      <c r="O176" s="868"/>
      <c r="P176" s="85"/>
      <c r="Q176" s="795"/>
      <c r="R176" s="484"/>
      <c r="S176" s="79"/>
      <c r="T176" s="877"/>
      <c r="U176" s="79"/>
    </row>
    <row r="177" spans="1:21" s="518" customFormat="1" x14ac:dyDescent="0.25">
      <c r="A177" s="79"/>
      <c r="B177" s="79"/>
      <c r="C177" s="85"/>
      <c r="D177" s="85"/>
      <c r="E177" s="85"/>
      <c r="F177" s="89"/>
      <c r="G177" s="79"/>
      <c r="H177" s="79"/>
      <c r="I177" s="79"/>
      <c r="J177" s="769"/>
      <c r="K177" s="866"/>
      <c r="L177" s="769"/>
      <c r="M177" s="866"/>
      <c r="N177" s="769"/>
      <c r="O177" s="866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769"/>
      <c r="K178" s="866"/>
      <c r="L178" s="769"/>
      <c r="M178" s="866"/>
      <c r="N178" s="769"/>
      <c r="O178" s="866"/>
      <c r="P178" s="85"/>
      <c r="Q178" s="177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177" t="s">
        <v>280</v>
      </c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85"/>
      <c r="Q180" s="177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8"/>
      <c r="L181" s="769"/>
      <c r="M181" s="868"/>
      <c r="N181" s="769"/>
      <c r="O181" s="868"/>
      <c r="P181" s="85"/>
      <c r="Q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69"/>
      <c r="K182" s="868"/>
      <c r="L182" s="769"/>
      <c r="M182" s="868"/>
      <c r="N182" s="769"/>
      <c r="O182" s="868"/>
      <c r="P182" s="769"/>
      <c r="Q182" s="21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69"/>
      <c r="K183" s="866"/>
      <c r="L183" s="769"/>
      <c r="M183" s="866"/>
      <c r="N183" s="769"/>
      <c r="O183" s="866"/>
      <c r="P183" s="79"/>
      <c r="Q183" s="21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223"/>
      <c r="K184" s="629"/>
      <c r="L184" s="223"/>
      <c r="M184" s="629"/>
      <c r="N184" s="223"/>
      <c r="O184" s="629"/>
      <c r="P184" s="769"/>
      <c r="Q184" s="868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56"/>
      <c r="K185" s="756"/>
      <c r="L185" s="756"/>
      <c r="M185" s="756"/>
      <c r="N185" s="756"/>
      <c r="O185" s="756"/>
      <c r="P185" s="769"/>
      <c r="Q185" s="868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868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69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85"/>
      <c r="K190" s="85"/>
      <c r="L190" s="85"/>
      <c r="M190" s="85"/>
      <c r="N190" s="85"/>
      <c r="O190" s="85"/>
      <c r="P190" s="1517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868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89"/>
      <c r="Q192" s="79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6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85"/>
      <c r="K197" s="85"/>
      <c r="L197" s="85"/>
      <c r="M197" s="85"/>
      <c r="N197" s="85"/>
      <c r="O197" s="85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70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69"/>
      <c r="Q202" s="86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69"/>
      <c r="Q203" s="866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71"/>
      <c r="L204" s="771"/>
      <c r="N204" s="771"/>
      <c r="P204" s="769"/>
      <c r="Q204" s="866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69"/>
      <c r="Q205" s="866"/>
      <c r="R205" s="484"/>
      <c r="S205" s="79"/>
      <c r="T205" s="877"/>
      <c r="U205" s="79"/>
    </row>
    <row r="206" spans="1:21" x14ac:dyDescent="0.25">
      <c r="P206" s="769"/>
      <c r="Q206" s="866"/>
    </row>
    <row r="207" spans="1:21" x14ac:dyDescent="0.25">
      <c r="P207" s="769"/>
      <c r="Q207" s="866"/>
    </row>
    <row r="208" spans="1:21" x14ac:dyDescent="0.25">
      <c r="P208" s="769"/>
      <c r="Q208" s="866"/>
    </row>
    <row r="209" spans="1:21" x14ac:dyDescent="0.25">
      <c r="P209" s="769"/>
      <c r="Q209" s="866"/>
    </row>
    <row r="210" spans="1:21" x14ac:dyDescent="0.25">
      <c r="P210" s="769"/>
      <c r="Q210" s="866"/>
    </row>
    <row r="211" spans="1:21" x14ac:dyDescent="0.25">
      <c r="P211" s="769"/>
      <c r="Q211" s="866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8"/>
      <c r="R215" s="484"/>
      <c r="S215" s="79"/>
      <c r="T215" s="877"/>
      <c r="U215" s="79"/>
    </row>
    <row r="216" spans="1:21" x14ac:dyDescent="0.25">
      <c r="P216" s="769"/>
      <c r="Q216" s="868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769"/>
      <c r="Q217" s="868"/>
      <c r="R217" s="484"/>
      <c r="S217" s="79"/>
      <c r="T217" s="877"/>
      <c r="U217" s="79"/>
    </row>
    <row r="218" spans="1:21" x14ac:dyDescent="0.25">
      <c r="P218" s="769"/>
      <c r="Q218" s="868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629"/>
      <c r="L219" s="79"/>
      <c r="M219" s="629"/>
      <c r="N219" s="79"/>
      <c r="O219" s="629"/>
      <c r="P219" s="769"/>
      <c r="Q219" s="866"/>
      <c r="R219" s="484"/>
      <c r="S219" s="79"/>
      <c r="T219" s="877"/>
      <c r="U219" s="79"/>
    </row>
    <row r="220" spans="1:21" x14ac:dyDescent="0.25">
      <c r="P220" s="769"/>
      <c r="Q220" s="866"/>
    </row>
    <row r="221" spans="1:21" x14ac:dyDescent="0.25">
      <c r="P221" s="769"/>
      <c r="Q221" s="868"/>
    </row>
    <row r="222" spans="1:21" x14ac:dyDescent="0.25">
      <c r="P222" s="769"/>
      <c r="Q222" s="866"/>
    </row>
    <row r="223" spans="1:21" x14ac:dyDescent="0.25">
      <c r="P223" s="769"/>
      <c r="Q223" s="866"/>
    </row>
    <row r="224" spans="1:21" x14ac:dyDescent="0.25">
      <c r="P224" s="769"/>
      <c r="Q224" s="868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769"/>
      <c r="Q228" s="86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223"/>
      <c r="Q229" s="62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56"/>
      <c r="Q230" s="75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9"/>
      <c r="K232" s="216"/>
      <c r="L232" s="79"/>
      <c r="M232" s="216"/>
      <c r="N232" s="79"/>
      <c r="O232" s="216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216"/>
      <c r="L233" s="79"/>
      <c r="M233" s="216"/>
      <c r="N233" s="79"/>
      <c r="O233" s="216"/>
      <c r="P233" s="79"/>
      <c r="Q233" s="79"/>
      <c r="R233" s="484"/>
      <c r="S233" s="79"/>
      <c r="T233" s="877"/>
      <c r="U233" s="79"/>
    </row>
    <row r="235" spans="1:21" x14ac:dyDescent="0.25">
      <c r="P235" s="85"/>
      <c r="Q235" s="85"/>
    </row>
    <row r="242" spans="1:42" x14ac:dyDescent="0.25">
      <c r="P242" s="85"/>
      <c r="Q242" s="85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71"/>
      <c r="Q249" s="518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0" spans="1:42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S250" s="79"/>
      <c r="T250" s="877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629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  <row r="277" spans="1:42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216"/>
      <c r="S277" s="79"/>
      <c r="T277" s="877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</row>
    <row r="278" spans="1:42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216"/>
      <c r="S278" s="79"/>
      <c r="T278" s="877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</row>
  </sheetData>
  <autoFilter ref="A2:I143" xr:uid="{00000000-0009-0000-0000-00008B000000}"/>
  <mergeCells count="31">
    <mergeCell ref="C145:D145"/>
    <mergeCell ref="B146:D146"/>
    <mergeCell ref="L2:M3"/>
    <mergeCell ref="N2:O3"/>
    <mergeCell ref="P2:Q3"/>
    <mergeCell ref="A122:E122"/>
    <mergeCell ref="A123:E123"/>
    <mergeCell ref="L127:N127"/>
    <mergeCell ref="L128:M128"/>
    <mergeCell ref="L129:M129"/>
    <mergeCell ref="L130:M130"/>
    <mergeCell ref="L131:M131"/>
    <mergeCell ref="L132:M132"/>
    <mergeCell ref="L133:M133"/>
    <mergeCell ref="O127:P127"/>
    <mergeCell ref="Q142:T142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L141:N141"/>
    <mergeCell ref="O141:P141"/>
    <mergeCell ref="L142:M142"/>
    <mergeCell ref="L154:M154"/>
    <mergeCell ref="Q154:T154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Planilha10"/>
  <dimension ref="A1:AP275"/>
  <sheetViews>
    <sheetView zoomScale="85" zoomScaleNormal="85" workbookViewId="0">
      <pane ySplit="5" topLeftCell="A6" activePane="bottomLeft" state="frozen"/>
      <selection pane="bottomLeft" activeCell="B22" sqref="B2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22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3884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45170</v>
      </c>
      <c r="B5" s="369" t="s">
        <v>10</v>
      </c>
      <c r="C5" s="370"/>
      <c r="D5" s="370"/>
      <c r="E5" s="777"/>
      <c r="F5" s="179"/>
      <c r="G5" s="933">
        <f>'Agosto-23'!G123</f>
        <v>1907.754916666694</v>
      </c>
      <c r="H5" s="163"/>
      <c r="I5" s="1479">
        <f>'Agosto-23'!I123</f>
        <v>999.99599999999919</v>
      </c>
      <c r="J5" s="179"/>
      <c r="K5" s="933">
        <f>'Agosto-23'!K123</f>
        <v>21362.690000000002</v>
      </c>
      <c r="L5" s="179"/>
      <c r="M5" s="933">
        <f>'Agosto-23'!M123</f>
        <v>5197.7500000000018</v>
      </c>
      <c r="N5" s="179"/>
      <c r="O5" s="1479">
        <f>'Agosto-23'!O123</f>
        <v>0</v>
      </c>
      <c r="P5" s="179"/>
      <c r="Q5" s="933">
        <f>'Agosto-23'!Q123</f>
        <v>52979.745984720008</v>
      </c>
    </row>
    <row r="6" spans="1:42" s="224" customFormat="1" x14ac:dyDescent="0.25">
      <c r="A6" s="247">
        <v>45170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45170</v>
      </c>
      <c r="B7" s="882" t="s">
        <v>3885</v>
      </c>
      <c r="C7" s="879" t="s">
        <v>19</v>
      </c>
      <c r="D7" s="879" t="s">
        <v>1522</v>
      </c>
      <c r="E7" s="871" t="s">
        <v>13</v>
      </c>
      <c r="F7" s="780">
        <v>59.67</v>
      </c>
      <c r="G7" s="967"/>
      <c r="H7" s="1008"/>
      <c r="I7" s="1063"/>
      <c r="J7" s="1110"/>
      <c r="K7" s="1207"/>
      <c r="L7" s="880"/>
      <c r="M7" s="1033"/>
      <c r="N7" s="880"/>
      <c r="O7" s="1525"/>
      <c r="P7" s="613"/>
      <c r="Q7" s="162"/>
      <c r="R7" s="1956" t="s">
        <v>3292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45170</v>
      </c>
      <c r="B8" s="882" t="s">
        <v>3886</v>
      </c>
      <c r="C8" s="879" t="s">
        <v>19</v>
      </c>
      <c r="D8" s="879" t="s">
        <v>1525</v>
      </c>
      <c r="E8" s="875" t="s">
        <v>13</v>
      </c>
      <c r="F8" s="780">
        <v>186.9</v>
      </c>
      <c r="G8" s="982"/>
      <c r="H8" s="95"/>
      <c r="I8" s="1064"/>
      <c r="J8" s="622"/>
      <c r="K8" s="982"/>
      <c r="L8" s="622"/>
      <c r="M8" s="982"/>
      <c r="N8" s="622"/>
      <c r="O8" s="1063"/>
      <c r="P8" s="622"/>
      <c r="Q8" s="982"/>
      <c r="R8" s="1956" t="s">
        <v>3292</v>
      </c>
    </row>
    <row r="9" spans="1:42" s="224" customFormat="1" x14ac:dyDescent="0.25">
      <c r="A9" s="247">
        <v>45170</v>
      </c>
      <c r="B9" s="882" t="s">
        <v>1331</v>
      </c>
      <c r="C9" s="879" t="s">
        <v>12</v>
      </c>
      <c r="D9" s="879" t="s">
        <v>2157</v>
      </c>
      <c r="E9" s="871" t="s">
        <v>13</v>
      </c>
      <c r="F9" s="1279">
        <v>80</v>
      </c>
      <c r="G9" s="982"/>
      <c r="H9" s="1008"/>
      <c r="I9" s="1063"/>
      <c r="J9" s="622"/>
      <c r="K9" s="982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47">
        <v>45170</v>
      </c>
      <c r="B10" s="882" t="s">
        <v>438</v>
      </c>
      <c r="C10" s="879" t="s">
        <v>12</v>
      </c>
      <c r="D10" s="879" t="s">
        <v>1522</v>
      </c>
      <c r="E10" s="875" t="s">
        <v>13</v>
      </c>
      <c r="F10" s="780">
        <v>10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861"/>
    </row>
    <row r="11" spans="1:42" s="224" customFormat="1" ht="15" customHeight="1" x14ac:dyDescent="0.25">
      <c r="A11" s="247">
        <v>45170</v>
      </c>
      <c r="B11" s="882" t="s">
        <v>32</v>
      </c>
      <c r="C11" s="879" t="s">
        <v>12</v>
      </c>
      <c r="D11" s="879" t="s">
        <v>1485</v>
      </c>
      <c r="E11" s="871" t="s">
        <v>13</v>
      </c>
      <c r="F11" s="780">
        <v>20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1035"/>
    </row>
    <row r="12" spans="1:42" s="224" customFormat="1" x14ac:dyDescent="0.25">
      <c r="A12" s="247">
        <v>45170</v>
      </c>
      <c r="B12" s="882" t="s">
        <v>81</v>
      </c>
      <c r="C12" s="879" t="s">
        <v>12</v>
      </c>
      <c r="D12" s="879" t="s">
        <v>1493</v>
      </c>
      <c r="E12" s="875" t="s">
        <v>13</v>
      </c>
      <c r="F12" s="1873">
        <v>6.5</v>
      </c>
      <c r="G12" s="982"/>
      <c r="H12" s="1008"/>
      <c r="I12" s="1063"/>
      <c r="J12" s="622"/>
      <c r="K12" s="982"/>
      <c r="L12" s="622"/>
      <c r="M12" s="982"/>
      <c r="N12" s="622"/>
      <c r="O12" s="1063"/>
      <c r="P12" s="622"/>
      <c r="Q12" s="982"/>
      <c r="R12" s="861"/>
      <c r="T12" s="878"/>
    </row>
    <row r="13" spans="1:42" s="224" customFormat="1" ht="15" customHeight="1" x14ac:dyDescent="0.25">
      <c r="A13" s="247">
        <v>45170</v>
      </c>
      <c r="B13" s="1275" t="s">
        <v>127</v>
      </c>
      <c r="C13" s="1276" t="s">
        <v>12</v>
      </c>
      <c r="D13" s="1276" t="s">
        <v>1486</v>
      </c>
      <c r="E13" s="1286" t="s">
        <v>13</v>
      </c>
      <c r="F13" s="780">
        <v>4.71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982"/>
      <c r="R13" s="861"/>
      <c r="T13" s="927"/>
      <c r="U13" s="999"/>
    </row>
    <row r="14" spans="1:42" s="224" customFormat="1" ht="15" customHeight="1" x14ac:dyDescent="0.25">
      <c r="A14" s="247">
        <v>45171</v>
      </c>
      <c r="B14" s="882" t="s">
        <v>2595</v>
      </c>
      <c r="C14" s="879" t="s">
        <v>12</v>
      </c>
      <c r="D14" s="879" t="s">
        <v>1506</v>
      </c>
      <c r="E14" s="875" t="s">
        <v>13</v>
      </c>
      <c r="F14" s="780">
        <v>10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861"/>
    </row>
    <row r="15" spans="1:42" s="224" customFormat="1" x14ac:dyDescent="0.25">
      <c r="A15" s="247">
        <v>45171</v>
      </c>
      <c r="B15" s="882" t="s">
        <v>81</v>
      </c>
      <c r="C15" s="879" t="s">
        <v>12</v>
      </c>
      <c r="D15" s="879" t="s">
        <v>1493</v>
      </c>
      <c r="E15" s="875" t="s">
        <v>13</v>
      </c>
      <c r="F15" s="1873">
        <v>5</v>
      </c>
      <c r="G15" s="982"/>
      <c r="H15" s="1008"/>
      <c r="I15" s="1063"/>
      <c r="J15" s="622"/>
      <c r="K15" s="982"/>
      <c r="L15" s="622"/>
      <c r="M15" s="982"/>
      <c r="N15" s="622"/>
      <c r="O15" s="1063"/>
      <c r="P15" s="622"/>
      <c r="Q15" s="982"/>
      <c r="R15" s="861"/>
      <c r="T15" s="878"/>
    </row>
    <row r="16" spans="1:42" s="224" customFormat="1" ht="15" customHeight="1" x14ac:dyDescent="0.25">
      <c r="A16" s="247">
        <v>45171</v>
      </c>
      <c r="B16" s="882" t="s">
        <v>82</v>
      </c>
      <c r="C16" s="879" t="s">
        <v>12</v>
      </c>
      <c r="D16" s="879" t="s">
        <v>1493</v>
      </c>
      <c r="E16" s="875" t="s">
        <v>13</v>
      </c>
      <c r="F16" s="780">
        <v>31</v>
      </c>
      <c r="G16" s="982"/>
      <c r="H16" s="95"/>
      <c r="I16" s="1064"/>
      <c r="J16" s="622"/>
      <c r="K16" s="982"/>
      <c r="L16" s="622"/>
      <c r="M16" s="982"/>
      <c r="N16" s="622"/>
      <c r="O16" s="1063"/>
      <c r="P16" s="622"/>
      <c r="Q16" s="982"/>
      <c r="R16" s="861"/>
    </row>
    <row r="17" spans="1:42" s="224" customFormat="1" ht="15" customHeight="1" x14ac:dyDescent="0.25">
      <c r="A17" s="247">
        <v>45172</v>
      </c>
      <c r="B17" s="1275" t="s">
        <v>127</v>
      </c>
      <c r="C17" s="1276" t="s">
        <v>12</v>
      </c>
      <c r="D17" s="1276" t="s">
        <v>1486</v>
      </c>
      <c r="E17" s="1286" t="s">
        <v>13</v>
      </c>
      <c r="F17" s="780">
        <v>8.31</v>
      </c>
      <c r="G17" s="946"/>
      <c r="H17" s="95"/>
      <c r="I17" s="1064"/>
      <c r="J17" s="622"/>
      <c r="K17" s="982"/>
      <c r="L17" s="622"/>
      <c r="M17" s="982"/>
      <c r="N17" s="622"/>
      <c r="O17" s="1063"/>
      <c r="P17" s="622"/>
      <c r="Q17" s="982"/>
      <c r="R17" s="861"/>
      <c r="T17" s="927"/>
      <c r="U17" s="999"/>
    </row>
    <row r="18" spans="1:42" s="224" customFormat="1" x14ac:dyDescent="0.25">
      <c r="A18" s="247">
        <v>45172</v>
      </c>
      <c r="B18" s="882" t="s">
        <v>443</v>
      </c>
      <c r="C18" s="879" t="s">
        <v>12</v>
      </c>
      <c r="D18" s="879" t="s">
        <v>1493</v>
      </c>
      <c r="E18" s="875" t="s">
        <v>13</v>
      </c>
      <c r="F18" s="1873">
        <v>10</v>
      </c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861"/>
      <c r="T18" s="878"/>
    </row>
    <row r="19" spans="1:42" s="1274" customFormat="1" ht="15" customHeight="1" x14ac:dyDescent="0.25">
      <c r="A19" s="247">
        <v>45173</v>
      </c>
      <c r="B19" s="1275" t="s">
        <v>3887</v>
      </c>
      <c r="C19" s="1276" t="s">
        <v>19</v>
      </c>
      <c r="D19" s="1276" t="s">
        <v>1506</v>
      </c>
      <c r="E19" s="1286" t="s">
        <v>13</v>
      </c>
      <c r="F19" s="780">
        <v>48.333333333333336</v>
      </c>
      <c r="G19" s="1278"/>
      <c r="H19" s="1282"/>
      <c r="I19" s="1283"/>
      <c r="J19" s="1279"/>
      <c r="K19" s="1278"/>
      <c r="L19" s="1279"/>
      <c r="M19" s="1278"/>
      <c r="N19" s="1279"/>
      <c r="O19" s="1283"/>
      <c r="P19" s="1702"/>
      <c r="Q19" s="1703"/>
      <c r="R19" s="1956" t="s">
        <v>3292</v>
      </c>
      <c r="T19" s="1281"/>
      <c r="U19" s="1294"/>
    </row>
    <row r="20" spans="1:42" s="1274" customFormat="1" ht="15" customHeight="1" x14ac:dyDescent="0.25">
      <c r="A20" s="247">
        <v>45173</v>
      </c>
      <c r="B20" s="1275" t="s">
        <v>3888</v>
      </c>
      <c r="C20" s="1276" t="s">
        <v>19</v>
      </c>
      <c r="D20" s="1276" t="s">
        <v>1506</v>
      </c>
      <c r="E20" s="1286" t="s">
        <v>13</v>
      </c>
      <c r="F20" s="780">
        <v>48.333333333333336</v>
      </c>
      <c r="G20" s="1278"/>
      <c r="H20" s="1282"/>
      <c r="I20" s="1283"/>
      <c r="J20" s="1279"/>
      <c r="K20" s="1278"/>
      <c r="L20" s="1279"/>
      <c r="M20" s="1278"/>
      <c r="N20" s="1279"/>
      <c r="O20" s="1283"/>
      <c r="P20" s="1702"/>
      <c r="Q20" s="1703"/>
      <c r="R20" s="1956" t="s">
        <v>3292</v>
      </c>
      <c r="T20" s="1281"/>
      <c r="U20" s="1294"/>
    </row>
    <row r="21" spans="1:42" s="1274" customFormat="1" ht="15" customHeight="1" x14ac:dyDescent="0.25">
      <c r="A21" s="247">
        <v>45173</v>
      </c>
      <c r="B21" s="1275" t="s">
        <v>3889</v>
      </c>
      <c r="C21" s="1276" t="s">
        <v>19</v>
      </c>
      <c r="D21" s="1276" t="s">
        <v>1506</v>
      </c>
      <c r="E21" s="1286" t="s">
        <v>13</v>
      </c>
      <c r="F21" s="780">
        <v>16.666666666666668</v>
      </c>
      <c r="G21" s="1278"/>
      <c r="H21" s="1282"/>
      <c r="I21" s="1283"/>
      <c r="J21" s="1279"/>
      <c r="K21" s="1278"/>
      <c r="L21" s="1279"/>
      <c r="M21" s="1278"/>
      <c r="N21" s="1279"/>
      <c r="O21" s="1283"/>
      <c r="P21" s="1702"/>
      <c r="Q21" s="1703"/>
      <c r="R21" s="1956" t="s">
        <v>3292</v>
      </c>
      <c r="T21" s="1281"/>
      <c r="U21" s="1294"/>
    </row>
    <row r="22" spans="1:42" s="1274" customFormat="1" ht="15" customHeight="1" x14ac:dyDescent="0.25">
      <c r="A22" s="247">
        <v>45173</v>
      </c>
      <c r="B22" s="1275" t="s">
        <v>3890</v>
      </c>
      <c r="C22" s="1276" t="s">
        <v>19</v>
      </c>
      <c r="D22" s="1276" t="s">
        <v>1506</v>
      </c>
      <c r="E22" s="1286" t="s">
        <v>13</v>
      </c>
      <c r="F22" s="780">
        <v>20</v>
      </c>
      <c r="G22" s="1278"/>
      <c r="H22" s="1282"/>
      <c r="I22" s="1283"/>
      <c r="J22" s="1279"/>
      <c r="K22" s="1278"/>
      <c r="L22" s="1279"/>
      <c r="M22" s="1278"/>
      <c r="N22" s="1279"/>
      <c r="O22" s="1283"/>
      <c r="P22" s="1702"/>
      <c r="Q22" s="1703"/>
      <c r="R22" s="1956" t="s">
        <v>3292</v>
      </c>
      <c r="T22" s="1281"/>
      <c r="U22" s="1294"/>
    </row>
    <row r="23" spans="1:42" s="224" customFormat="1" ht="15" customHeight="1" x14ac:dyDescent="0.25">
      <c r="A23" s="247">
        <v>45173</v>
      </c>
      <c r="B23" s="882" t="s">
        <v>2789</v>
      </c>
      <c r="C23" s="879" t="s">
        <v>12</v>
      </c>
      <c r="D23" s="879" t="s">
        <v>1485</v>
      </c>
      <c r="E23" s="871" t="s">
        <v>13</v>
      </c>
      <c r="F23" s="780">
        <v>9.9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  <c r="T23" s="1035"/>
    </row>
    <row r="24" spans="1:42" s="224" customFormat="1" ht="15" customHeight="1" x14ac:dyDescent="0.25">
      <c r="A24" s="247">
        <v>45173</v>
      </c>
      <c r="B24" s="1275" t="s">
        <v>3677</v>
      </c>
      <c r="C24" s="1276" t="s">
        <v>12</v>
      </c>
      <c r="D24" s="1276" t="s">
        <v>1486</v>
      </c>
      <c r="E24" s="1286" t="s">
        <v>13</v>
      </c>
      <c r="F24" s="780">
        <v>6.1</v>
      </c>
      <c r="G24" s="946"/>
      <c r="H24" s="95"/>
      <c r="I24" s="1064"/>
      <c r="J24" s="622"/>
      <c r="K24" s="982"/>
      <c r="L24" s="622"/>
      <c r="M24" s="982"/>
      <c r="N24" s="622"/>
      <c r="O24" s="1063"/>
      <c r="P24" s="622"/>
      <c r="Q24" s="982"/>
      <c r="R24" s="861"/>
      <c r="T24" s="927"/>
      <c r="U24" s="999"/>
    </row>
    <row r="25" spans="1:42" s="1274" customFormat="1" ht="15" customHeight="1" x14ac:dyDescent="0.25">
      <c r="A25" s="247">
        <v>45173</v>
      </c>
      <c r="B25" s="1275" t="s">
        <v>3891</v>
      </c>
      <c r="C25" s="1276" t="s">
        <v>12</v>
      </c>
      <c r="D25" s="1276" t="s">
        <v>1525</v>
      </c>
      <c r="E25" s="1286" t="s">
        <v>13</v>
      </c>
      <c r="F25" s="780">
        <v>30</v>
      </c>
      <c r="G25" s="1278"/>
      <c r="H25" s="1282"/>
      <c r="I25" s="1283"/>
      <c r="J25" s="1279"/>
      <c r="K25" s="1278"/>
      <c r="L25" s="1279"/>
      <c r="M25" s="1278"/>
      <c r="N25" s="1279"/>
      <c r="O25" s="1283"/>
      <c r="P25" s="1702"/>
      <c r="Q25" s="1703"/>
      <c r="R25" s="1281"/>
      <c r="T25" s="1281"/>
      <c r="U25" s="1294"/>
    </row>
    <row r="26" spans="1:42" s="224" customFormat="1" ht="15" customHeight="1" x14ac:dyDescent="0.25">
      <c r="A26" s="247">
        <v>45174</v>
      </c>
      <c r="B26" s="882" t="s">
        <v>32</v>
      </c>
      <c r="C26" s="879" t="s">
        <v>12</v>
      </c>
      <c r="D26" s="879" t="s">
        <v>1485</v>
      </c>
      <c r="E26" s="871" t="s">
        <v>13</v>
      </c>
      <c r="F26" s="780">
        <v>20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861"/>
      <c r="T26" s="1035"/>
    </row>
    <row r="27" spans="1:42" s="224" customFormat="1" x14ac:dyDescent="0.25">
      <c r="A27" s="247">
        <v>45174</v>
      </c>
      <c r="B27" s="882" t="s">
        <v>81</v>
      </c>
      <c r="C27" s="879" t="s">
        <v>12</v>
      </c>
      <c r="D27" s="879" t="s">
        <v>1493</v>
      </c>
      <c r="E27" s="875" t="s">
        <v>13</v>
      </c>
      <c r="F27" s="1279">
        <v>5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ht="15.75" customHeight="1" x14ac:dyDescent="0.25">
      <c r="A28" s="247">
        <v>45175</v>
      </c>
      <c r="B28" s="873" t="s">
        <v>3892</v>
      </c>
      <c r="C28" s="879" t="s">
        <v>12</v>
      </c>
      <c r="D28" s="874"/>
      <c r="E28" s="871" t="s">
        <v>25</v>
      </c>
      <c r="F28" s="1524"/>
      <c r="G28" s="1002">
        <v>2111.5500000000002</v>
      </c>
      <c r="H28" s="538"/>
      <c r="I28" s="982"/>
      <c r="J28" s="622"/>
      <c r="K28" s="982"/>
      <c r="L28" s="622"/>
      <c r="M28" s="982"/>
      <c r="N28" s="622"/>
      <c r="O28" s="1063"/>
      <c r="P28" s="622"/>
      <c r="Q28" s="982"/>
      <c r="R28" s="178"/>
    </row>
    <row r="29" spans="1:42" s="224" customFormat="1" ht="15" customHeight="1" x14ac:dyDescent="0.25">
      <c r="A29" s="247">
        <v>45175</v>
      </c>
      <c r="B29" s="364" t="s">
        <v>3893</v>
      </c>
      <c r="C29" s="879" t="s">
        <v>12</v>
      </c>
      <c r="D29" s="879"/>
      <c r="E29" s="875" t="s">
        <v>25</v>
      </c>
      <c r="F29" s="780"/>
      <c r="G29" s="982"/>
      <c r="H29" s="622"/>
      <c r="I29" s="982"/>
      <c r="J29" s="622"/>
      <c r="K29" s="982"/>
      <c r="L29" s="622"/>
      <c r="M29" s="982"/>
      <c r="N29" s="622"/>
      <c r="O29" s="1063"/>
      <c r="P29" s="622"/>
      <c r="Q29" s="982">
        <v>420</v>
      </c>
      <c r="R29" s="927"/>
      <c r="S29" s="927"/>
      <c r="T29" s="878"/>
    </row>
    <row r="30" spans="1:42" s="224" customFormat="1" ht="15" customHeight="1" x14ac:dyDescent="0.25">
      <c r="A30" s="247">
        <v>45175</v>
      </c>
      <c r="B30" s="364" t="s">
        <v>1396</v>
      </c>
      <c r="C30" s="879" t="s">
        <v>12</v>
      </c>
      <c r="D30" s="350"/>
      <c r="E30" s="480" t="s">
        <v>25</v>
      </c>
      <c r="F30" s="613"/>
      <c r="G30" s="967">
        <v>100</v>
      </c>
      <c r="H30" s="1008"/>
      <c r="I30" s="1063"/>
      <c r="J30" s="1116"/>
      <c r="K30" s="1207"/>
      <c r="L30" s="622"/>
      <c r="M30" s="982"/>
      <c r="N30" s="622"/>
      <c r="O30" s="1063"/>
      <c r="P30" s="1116"/>
      <c r="Q30" s="1207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45175</v>
      </c>
      <c r="B31" s="862" t="s">
        <v>3422</v>
      </c>
      <c r="C31" s="879" t="s">
        <v>12</v>
      </c>
      <c r="D31" s="879" t="s">
        <v>1504</v>
      </c>
      <c r="E31" s="871" t="s">
        <v>13</v>
      </c>
      <c r="F31" s="780">
        <v>50</v>
      </c>
      <c r="G31" s="982"/>
      <c r="H31" s="1008"/>
      <c r="I31" s="1063"/>
      <c r="J31" s="622"/>
      <c r="K31" s="982"/>
      <c r="L31" s="622"/>
      <c r="M31" s="982"/>
      <c r="N31" s="622"/>
      <c r="O31" s="1063"/>
      <c r="P31" s="622"/>
      <c r="Q31" s="982"/>
      <c r="R31" s="178"/>
      <c r="S31" s="1028"/>
      <c r="T31" s="1035"/>
    </row>
    <row r="32" spans="1:42" s="224" customFormat="1" ht="15" customHeight="1" x14ac:dyDescent="0.25">
      <c r="A32" s="247">
        <v>45175</v>
      </c>
      <c r="B32" s="882" t="s">
        <v>3894</v>
      </c>
      <c r="C32" s="879" t="s">
        <v>12</v>
      </c>
      <c r="D32" s="879" t="s">
        <v>1499</v>
      </c>
      <c r="E32" s="871" t="s">
        <v>13</v>
      </c>
      <c r="F32" s="780">
        <v>66.7</v>
      </c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1028">
        <v>166.7</v>
      </c>
      <c r="S32" s="999"/>
      <c r="T32" s="878"/>
    </row>
    <row r="33" spans="1:20" s="224" customFormat="1" ht="15" customHeight="1" x14ac:dyDescent="0.25">
      <c r="A33" s="247">
        <v>45175</v>
      </c>
      <c r="B33" s="364" t="s">
        <v>2977</v>
      </c>
      <c r="C33" s="879" t="s">
        <v>12</v>
      </c>
      <c r="D33" s="350" t="s">
        <v>1491</v>
      </c>
      <c r="E33" s="875" t="s">
        <v>13</v>
      </c>
      <c r="F33" s="780">
        <v>300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1028"/>
      <c r="T33" s="1035"/>
    </row>
    <row r="34" spans="1:20" s="224" customFormat="1" ht="15" customHeight="1" x14ac:dyDescent="0.25">
      <c r="A34" s="247">
        <v>45175</v>
      </c>
      <c r="B34" s="364" t="s">
        <v>3895</v>
      </c>
      <c r="C34" s="879" t="s">
        <v>12</v>
      </c>
      <c r="D34" s="350" t="s">
        <v>1491</v>
      </c>
      <c r="E34" s="875" t="s">
        <v>13</v>
      </c>
      <c r="F34" s="780">
        <v>70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028"/>
      <c r="T34" s="1035"/>
    </row>
    <row r="35" spans="1:20" x14ac:dyDescent="0.25">
      <c r="A35" s="247">
        <v>45175</v>
      </c>
      <c r="B35" s="876" t="s">
        <v>3844</v>
      </c>
      <c r="C35" s="879" t="s">
        <v>12</v>
      </c>
      <c r="D35" s="879" t="s">
        <v>1496</v>
      </c>
      <c r="E35" s="871" t="s">
        <v>13</v>
      </c>
      <c r="F35" s="780">
        <v>90</v>
      </c>
      <c r="G35" s="982"/>
      <c r="H35" s="1009"/>
      <c r="I35" s="1063"/>
      <c r="J35" s="622"/>
      <c r="K35" s="982"/>
      <c r="L35" s="622"/>
      <c r="M35" s="982"/>
      <c r="N35" s="622"/>
      <c r="O35" s="1063"/>
      <c r="P35" s="622"/>
      <c r="Q35" s="982"/>
      <c r="R35" s="1029"/>
    </row>
    <row r="36" spans="1:20" s="224" customFormat="1" ht="14.25" customHeight="1" x14ac:dyDescent="0.25">
      <c r="A36" s="247">
        <v>45175</v>
      </c>
      <c r="B36" s="882" t="s">
        <v>3896</v>
      </c>
      <c r="C36" s="879" t="s">
        <v>12</v>
      </c>
      <c r="D36" s="879" t="s">
        <v>3017</v>
      </c>
      <c r="E36" s="875" t="s">
        <v>13</v>
      </c>
      <c r="F36" s="780">
        <v>274.64</v>
      </c>
      <c r="G36" s="982"/>
      <c r="H36" s="1008"/>
      <c r="I36" s="1063"/>
      <c r="J36" s="622"/>
      <c r="K36" s="982">
        <v>274.64</v>
      </c>
      <c r="L36" s="622"/>
      <c r="M36" s="982"/>
      <c r="N36" s="622"/>
      <c r="O36" s="1063"/>
      <c r="P36" s="622"/>
      <c r="Q36" s="982"/>
      <c r="R36" s="861">
        <v>830</v>
      </c>
      <c r="S36" s="878" t="s">
        <v>3897</v>
      </c>
      <c r="T36" s="1035"/>
    </row>
    <row r="37" spans="1:20" s="224" customFormat="1" ht="15" customHeight="1" x14ac:dyDescent="0.25">
      <c r="A37" s="247">
        <v>45175</v>
      </c>
      <c r="B37" s="882" t="s">
        <v>32</v>
      </c>
      <c r="C37" s="879" t="s">
        <v>12</v>
      </c>
      <c r="D37" s="879" t="s">
        <v>1485</v>
      </c>
      <c r="E37" s="871" t="s">
        <v>13</v>
      </c>
      <c r="F37" s="780">
        <v>20</v>
      </c>
      <c r="G37" s="982"/>
      <c r="H37" s="1008"/>
      <c r="I37" s="1063"/>
      <c r="J37" s="622"/>
      <c r="K37" s="982"/>
      <c r="L37" s="622"/>
      <c r="M37" s="982"/>
      <c r="N37" s="622"/>
      <c r="O37" s="1063"/>
      <c r="P37" s="622"/>
      <c r="Q37" s="982"/>
      <c r="R37" s="861"/>
      <c r="T37" s="1035"/>
    </row>
    <row r="38" spans="1:20" s="224" customFormat="1" ht="15" customHeight="1" x14ac:dyDescent="0.25">
      <c r="A38" s="247">
        <v>45176</v>
      </c>
      <c r="B38" s="873" t="s">
        <v>2629</v>
      </c>
      <c r="C38" s="874" t="s">
        <v>19</v>
      </c>
      <c r="D38" s="874" t="s">
        <v>1489</v>
      </c>
      <c r="E38" s="875" t="s">
        <v>13</v>
      </c>
      <c r="F38" s="780">
        <v>90</v>
      </c>
      <c r="G38" s="982"/>
      <c r="H38" s="622"/>
      <c r="I38" s="982"/>
      <c r="J38" s="622"/>
      <c r="K38" s="982"/>
      <c r="L38" s="622"/>
      <c r="M38" s="982"/>
      <c r="N38" s="622"/>
      <c r="O38" s="1063"/>
      <c r="P38" s="622"/>
      <c r="Q38" s="982"/>
      <c r="R38" s="1280"/>
      <c r="S38" s="927"/>
      <c r="T38" s="878"/>
    </row>
    <row r="39" spans="1:20" s="224" customFormat="1" ht="15" customHeight="1" x14ac:dyDescent="0.25">
      <c r="A39" s="247">
        <v>45176</v>
      </c>
      <c r="B39" s="873" t="s">
        <v>205</v>
      </c>
      <c r="C39" s="874" t="s">
        <v>12</v>
      </c>
      <c r="D39" s="874" t="s">
        <v>2157</v>
      </c>
      <c r="E39" s="875" t="s">
        <v>13</v>
      </c>
      <c r="F39" s="780">
        <v>80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982"/>
      <c r="R39" s="1280"/>
      <c r="S39" s="927"/>
      <c r="T39" s="878"/>
    </row>
    <row r="40" spans="1:20" s="224" customFormat="1" ht="15" customHeight="1" x14ac:dyDescent="0.25">
      <c r="A40" s="247">
        <v>45176</v>
      </c>
      <c r="B40" s="1275" t="s">
        <v>14</v>
      </c>
      <c r="C40" s="1276" t="s">
        <v>12</v>
      </c>
      <c r="D40" s="1276" t="s">
        <v>1486</v>
      </c>
      <c r="E40" s="1286" t="s">
        <v>13</v>
      </c>
      <c r="F40" s="780">
        <v>12.69</v>
      </c>
      <c r="G40" s="982"/>
      <c r="H40" s="622"/>
      <c r="I40" s="982"/>
      <c r="J40" s="622"/>
      <c r="K40" s="982"/>
      <c r="L40" s="622"/>
      <c r="M40" s="982"/>
      <c r="N40" s="622"/>
      <c r="O40" s="1063"/>
      <c r="P40" s="622"/>
      <c r="Q40" s="982"/>
      <c r="R40" s="1280"/>
      <c r="S40" s="927"/>
      <c r="T40" s="878"/>
    </row>
    <row r="41" spans="1:20" s="224" customFormat="1" ht="15" customHeight="1" x14ac:dyDescent="0.25">
      <c r="A41" s="247">
        <v>45177</v>
      </c>
      <c r="B41" s="1275" t="s">
        <v>14</v>
      </c>
      <c r="C41" s="1276" t="s">
        <v>12</v>
      </c>
      <c r="D41" s="1276" t="s">
        <v>1486</v>
      </c>
      <c r="E41" s="1286" t="s">
        <v>13</v>
      </c>
      <c r="F41" s="780">
        <v>5.15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622"/>
      <c r="Q41" s="982"/>
      <c r="R41" s="1280"/>
      <c r="S41" s="927"/>
      <c r="T41" s="878"/>
    </row>
    <row r="42" spans="1:20" s="224" customFormat="1" ht="15" customHeight="1" x14ac:dyDescent="0.25">
      <c r="A42" s="247">
        <v>45177</v>
      </c>
      <c r="B42" s="1688" t="s">
        <v>82</v>
      </c>
      <c r="C42" s="874" t="s">
        <v>12</v>
      </c>
      <c r="D42" s="874" t="s">
        <v>1493</v>
      </c>
      <c r="E42" s="875" t="s">
        <v>13</v>
      </c>
      <c r="F42" s="780">
        <v>30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927"/>
      <c r="S42" s="927"/>
      <c r="T42" s="878"/>
    </row>
    <row r="43" spans="1:20" s="224" customFormat="1" ht="15" customHeight="1" x14ac:dyDescent="0.25">
      <c r="A43" s="247">
        <v>45177</v>
      </c>
      <c r="B43" s="1688" t="s">
        <v>80</v>
      </c>
      <c r="C43" s="874" t="s">
        <v>12</v>
      </c>
      <c r="D43" s="874" t="s">
        <v>1523</v>
      </c>
      <c r="E43" s="875" t="s">
        <v>13</v>
      </c>
      <c r="F43" s="780">
        <v>30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927"/>
      <c r="S43" s="927"/>
      <c r="T43" s="878"/>
    </row>
    <row r="44" spans="1:20" s="224" customFormat="1" ht="15" customHeight="1" x14ac:dyDescent="0.25">
      <c r="A44" s="247">
        <v>45178</v>
      </c>
      <c r="B44" s="1275" t="s">
        <v>3898</v>
      </c>
      <c r="C44" s="874" t="s">
        <v>12</v>
      </c>
      <c r="D44" s="1276"/>
      <c r="E44" s="875" t="s">
        <v>13</v>
      </c>
      <c r="F44" s="780">
        <v>24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982"/>
      <c r="R44" s="1080" t="s">
        <v>3292</v>
      </c>
      <c r="S44" s="927"/>
      <c r="T44" s="878"/>
    </row>
    <row r="45" spans="1:20" s="224" customFormat="1" ht="15" customHeight="1" x14ac:dyDescent="0.25">
      <c r="A45" s="247">
        <v>45178</v>
      </c>
      <c r="B45" s="1275" t="s">
        <v>3898</v>
      </c>
      <c r="C45" s="874" t="s">
        <v>12</v>
      </c>
      <c r="D45" s="1276"/>
      <c r="E45" s="875" t="s">
        <v>13</v>
      </c>
      <c r="F45" s="780">
        <v>24</v>
      </c>
      <c r="G45" s="982"/>
      <c r="H45" s="622"/>
      <c r="I45" s="982"/>
      <c r="J45" s="622"/>
      <c r="K45" s="982"/>
      <c r="L45" s="622"/>
      <c r="M45" s="982"/>
      <c r="N45" s="622"/>
      <c r="O45" s="1063"/>
      <c r="P45" s="622"/>
      <c r="Q45" s="982"/>
      <c r="R45" s="1080" t="s">
        <v>3292</v>
      </c>
      <c r="S45" s="927"/>
      <c r="T45" s="878"/>
    </row>
    <row r="46" spans="1:20" s="224" customFormat="1" ht="15" customHeight="1" x14ac:dyDescent="0.25">
      <c r="A46" s="247">
        <v>45178</v>
      </c>
      <c r="B46" s="1275" t="s">
        <v>3899</v>
      </c>
      <c r="C46" s="1276" t="s">
        <v>19</v>
      </c>
      <c r="D46" s="1276" t="s">
        <v>1496</v>
      </c>
      <c r="E46" s="875" t="s">
        <v>13</v>
      </c>
      <c r="F46" s="780">
        <v>49.9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1080" t="s">
        <v>3292</v>
      </c>
      <c r="S46" s="927"/>
      <c r="T46" s="878"/>
    </row>
    <row r="47" spans="1:20" s="224" customFormat="1" ht="15" customHeight="1" x14ac:dyDescent="0.25">
      <c r="A47" s="247">
        <v>45178</v>
      </c>
      <c r="B47" s="1275" t="s">
        <v>3900</v>
      </c>
      <c r="C47" s="1276" t="s">
        <v>19</v>
      </c>
      <c r="D47" s="1276" t="s">
        <v>1496</v>
      </c>
      <c r="E47" s="875" t="s">
        <v>13</v>
      </c>
      <c r="F47" s="780">
        <v>100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1080" t="s">
        <v>3292</v>
      </c>
      <c r="S47" s="927"/>
      <c r="T47" s="878"/>
    </row>
    <row r="48" spans="1:20" s="224" customFormat="1" ht="15" customHeight="1" x14ac:dyDescent="0.25">
      <c r="A48" s="247">
        <v>45178</v>
      </c>
      <c r="B48" s="1275" t="s">
        <v>3901</v>
      </c>
      <c r="C48" s="1276" t="s">
        <v>12</v>
      </c>
      <c r="D48" s="1276" t="s">
        <v>1523</v>
      </c>
      <c r="E48" s="1286" t="s">
        <v>13</v>
      </c>
      <c r="F48" s="780">
        <v>141.82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982"/>
      <c r="R48" s="927"/>
      <c r="S48" s="927"/>
      <c r="T48" s="878"/>
    </row>
    <row r="49" spans="1:42" s="224" customFormat="1" ht="15" customHeight="1" x14ac:dyDescent="0.25">
      <c r="A49" s="247">
        <v>45179</v>
      </c>
      <c r="B49" s="364" t="s">
        <v>3354</v>
      </c>
      <c r="C49" s="350" t="s">
        <v>12</v>
      </c>
      <c r="D49" s="350"/>
      <c r="E49" s="480" t="s">
        <v>25</v>
      </c>
      <c r="F49" s="613"/>
      <c r="G49" s="967"/>
      <c r="H49" s="1008"/>
      <c r="I49" s="1063"/>
      <c r="J49" s="1110"/>
      <c r="K49" s="1207"/>
      <c r="L49" s="880"/>
      <c r="M49" s="1033"/>
      <c r="N49" s="880"/>
      <c r="O49" s="1525"/>
      <c r="P49" s="613"/>
      <c r="Q49" s="162">
        <v>245.34</v>
      </c>
      <c r="R49" s="120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45179</v>
      </c>
      <c r="B50" s="1275" t="s">
        <v>14</v>
      </c>
      <c r="C50" s="1276" t="s">
        <v>12</v>
      </c>
      <c r="D50" s="1276" t="s">
        <v>1486</v>
      </c>
      <c r="E50" s="1286" t="s">
        <v>13</v>
      </c>
      <c r="F50" s="780">
        <v>12.43</v>
      </c>
      <c r="G50" s="982"/>
      <c r="H50" s="622"/>
      <c r="I50" s="982"/>
      <c r="J50" s="622"/>
      <c r="K50" s="982"/>
      <c r="L50" s="622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45180</v>
      </c>
      <c r="B51" s="882" t="s">
        <v>2789</v>
      </c>
      <c r="C51" s="879" t="s">
        <v>12</v>
      </c>
      <c r="D51" s="879" t="s">
        <v>1485</v>
      </c>
      <c r="E51" s="871" t="s">
        <v>13</v>
      </c>
      <c r="F51" s="780">
        <v>10.6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1080"/>
      <c r="S51" s="927"/>
      <c r="T51" s="878"/>
    </row>
    <row r="52" spans="1:42" s="224" customFormat="1" ht="15" customHeight="1" x14ac:dyDescent="0.25">
      <c r="A52" s="247">
        <v>45181</v>
      </c>
      <c r="B52" s="873" t="s">
        <v>3902</v>
      </c>
      <c r="C52" s="874" t="s">
        <v>12</v>
      </c>
      <c r="D52" s="874" t="s">
        <v>1525</v>
      </c>
      <c r="E52" s="875" t="s">
        <v>13</v>
      </c>
      <c r="F52" s="780">
        <v>20</v>
      </c>
      <c r="G52" s="982"/>
      <c r="H52" s="622"/>
      <c r="I52" s="982"/>
      <c r="J52" s="622"/>
      <c r="K52" s="982"/>
      <c r="L52" s="622"/>
      <c r="M52" s="982"/>
      <c r="N52" s="622"/>
      <c r="O52" s="1063"/>
      <c r="P52" s="622"/>
      <c r="Q52" s="982"/>
      <c r="R52" s="927"/>
      <c r="S52" s="927"/>
      <c r="T52" s="878"/>
    </row>
    <row r="53" spans="1:42" s="224" customFormat="1" ht="15" customHeight="1" x14ac:dyDescent="0.25">
      <c r="A53" s="247">
        <v>45181</v>
      </c>
      <c r="B53" s="882" t="s">
        <v>32</v>
      </c>
      <c r="C53" s="879" t="s">
        <v>12</v>
      </c>
      <c r="D53" s="879" t="s">
        <v>1485</v>
      </c>
      <c r="E53" s="871" t="s">
        <v>13</v>
      </c>
      <c r="F53" s="780">
        <v>20</v>
      </c>
      <c r="G53" s="982"/>
      <c r="H53" s="1008"/>
      <c r="I53" s="1063"/>
      <c r="J53" s="622"/>
      <c r="K53" s="982"/>
      <c r="L53" s="622"/>
      <c r="M53" s="982"/>
      <c r="N53" s="622"/>
      <c r="O53" s="1063"/>
      <c r="P53" s="622"/>
      <c r="Q53" s="982"/>
      <c r="R53" s="861"/>
      <c r="T53" s="1035"/>
    </row>
    <row r="54" spans="1:42" s="224" customFormat="1" x14ac:dyDescent="0.25">
      <c r="A54" s="247">
        <v>45181</v>
      </c>
      <c r="B54" s="882" t="s">
        <v>1331</v>
      </c>
      <c r="C54" s="879" t="s">
        <v>12</v>
      </c>
      <c r="D54" s="879" t="s">
        <v>2157</v>
      </c>
      <c r="E54" s="871" t="s">
        <v>13</v>
      </c>
      <c r="F54" s="1279">
        <v>70</v>
      </c>
      <c r="G54" s="982"/>
      <c r="H54" s="1008"/>
      <c r="I54" s="1063"/>
      <c r="J54" s="622"/>
      <c r="K54" s="982"/>
      <c r="L54" s="622"/>
      <c r="M54" s="982"/>
      <c r="N54" s="622"/>
      <c r="O54" s="1063"/>
      <c r="P54" s="622"/>
      <c r="Q54" s="982"/>
      <c r="R54" s="861"/>
      <c r="T54" s="878"/>
    </row>
    <row r="55" spans="1:42" s="224" customFormat="1" ht="15" customHeight="1" x14ac:dyDescent="0.25">
      <c r="A55" s="247">
        <v>45181</v>
      </c>
      <c r="B55" s="1275" t="s">
        <v>14</v>
      </c>
      <c r="C55" s="1276" t="s">
        <v>12</v>
      </c>
      <c r="D55" s="1276" t="s">
        <v>1486</v>
      </c>
      <c r="E55" s="1286" t="s">
        <v>13</v>
      </c>
      <c r="F55" s="780">
        <v>4.82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927"/>
      <c r="S55" s="927"/>
      <c r="T55" s="878"/>
    </row>
    <row r="56" spans="1:42" s="224" customFormat="1" ht="15" customHeight="1" x14ac:dyDescent="0.25">
      <c r="A56" s="247">
        <v>45182</v>
      </c>
      <c r="B56" s="882" t="s">
        <v>32</v>
      </c>
      <c r="C56" s="879" t="s">
        <v>12</v>
      </c>
      <c r="D56" s="879" t="s">
        <v>1485</v>
      </c>
      <c r="E56" s="871" t="s">
        <v>13</v>
      </c>
      <c r="F56" s="780">
        <v>20</v>
      </c>
      <c r="G56" s="982"/>
      <c r="H56" s="1008"/>
      <c r="I56" s="1063"/>
      <c r="J56" s="622"/>
      <c r="K56" s="982"/>
      <c r="L56" s="622"/>
      <c r="M56" s="982"/>
      <c r="N56" s="622"/>
      <c r="O56" s="1063"/>
      <c r="P56" s="622"/>
      <c r="Q56" s="982"/>
      <c r="R56" s="861"/>
      <c r="T56" s="1035"/>
    </row>
    <row r="57" spans="1:42" s="224" customFormat="1" ht="15" customHeight="1" x14ac:dyDescent="0.25">
      <c r="A57" s="247">
        <v>45183</v>
      </c>
      <c r="B57" s="882" t="s">
        <v>32</v>
      </c>
      <c r="C57" s="879" t="s">
        <v>12</v>
      </c>
      <c r="D57" s="879" t="s">
        <v>1485</v>
      </c>
      <c r="E57" s="871" t="s">
        <v>13</v>
      </c>
      <c r="F57" s="780">
        <v>20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861"/>
      <c r="T57" s="1035"/>
    </row>
    <row r="58" spans="1:42" s="224" customFormat="1" ht="15" customHeight="1" x14ac:dyDescent="0.25">
      <c r="A58" s="247">
        <v>45183</v>
      </c>
      <c r="B58" s="1275" t="s">
        <v>3903</v>
      </c>
      <c r="C58" s="1276" t="s">
        <v>12</v>
      </c>
      <c r="D58" s="1276" t="s">
        <v>1489</v>
      </c>
      <c r="E58" s="1286" t="s">
        <v>13</v>
      </c>
      <c r="F58" s="780">
        <v>3</v>
      </c>
      <c r="G58" s="982"/>
      <c r="H58" s="622"/>
      <c r="I58" s="982"/>
      <c r="J58" s="622"/>
      <c r="K58" s="982"/>
      <c r="L58" s="622"/>
      <c r="M58" s="982"/>
      <c r="N58" s="622"/>
      <c r="O58" s="1063"/>
      <c r="P58" s="622"/>
      <c r="Q58" s="982"/>
      <c r="R58" s="1080"/>
      <c r="S58" s="927"/>
      <c r="T58" s="878"/>
    </row>
    <row r="59" spans="1:42" s="224" customFormat="1" ht="15" customHeight="1" x14ac:dyDescent="0.25">
      <c r="A59" s="247">
        <v>45183</v>
      </c>
      <c r="B59" s="882" t="s">
        <v>3904</v>
      </c>
      <c r="C59" s="879" t="s">
        <v>12</v>
      </c>
      <c r="D59" s="879" t="s">
        <v>1489</v>
      </c>
      <c r="E59" s="875" t="s">
        <v>13</v>
      </c>
      <c r="F59" s="780">
        <v>6</v>
      </c>
      <c r="G59" s="982"/>
      <c r="H59" s="95"/>
      <c r="I59" s="1064"/>
      <c r="J59" s="622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5" customHeight="1" x14ac:dyDescent="0.25">
      <c r="A60" s="247">
        <v>45183</v>
      </c>
      <c r="B60" s="873" t="s">
        <v>3905</v>
      </c>
      <c r="C60" s="874" t="s">
        <v>12</v>
      </c>
      <c r="D60" s="874" t="s">
        <v>1489</v>
      </c>
      <c r="E60" s="875" t="s">
        <v>13</v>
      </c>
      <c r="F60" s="780">
        <v>16.100000000000001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927"/>
      <c r="S60" s="927"/>
      <c r="T60" s="878"/>
    </row>
    <row r="61" spans="1:42" s="224" customFormat="1" ht="15" customHeight="1" x14ac:dyDescent="0.25">
      <c r="A61" s="247">
        <v>45184</v>
      </c>
      <c r="B61" s="882" t="s">
        <v>32</v>
      </c>
      <c r="C61" s="879" t="s">
        <v>12</v>
      </c>
      <c r="D61" s="879" t="s">
        <v>1485</v>
      </c>
      <c r="E61" s="871" t="s">
        <v>13</v>
      </c>
      <c r="F61" s="780">
        <v>20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  <c r="T61" s="1035"/>
    </row>
    <row r="62" spans="1:42" s="224" customFormat="1" ht="15" customHeight="1" x14ac:dyDescent="0.25">
      <c r="A62" s="247">
        <v>45184</v>
      </c>
      <c r="B62" s="882" t="s">
        <v>3906</v>
      </c>
      <c r="C62" s="879" t="s">
        <v>12</v>
      </c>
      <c r="D62" s="879" t="s">
        <v>1489</v>
      </c>
      <c r="E62" s="875" t="s">
        <v>13</v>
      </c>
      <c r="F62" s="780">
        <v>5.8</v>
      </c>
      <c r="G62" s="982"/>
      <c r="H62" s="95"/>
      <c r="I62" s="1064"/>
      <c r="J62" s="622"/>
      <c r="K62" s="982"/>
      <c r="L62" s="622"/>
      <c r="M62" s="982"/>
      <c r="N62" s="622"/>
      <c r="O62" s="1063"/>
      <c r="P62" s="622"/>
      <c r="Q62" s="982"/>
      <c r="R62" s="861"/>
    </row>
    <row r="63" spans="1:42" s="224" customFormat="1" ht="15" customHeight="1" x14ac:dyDescent="0.25">
      <c r="A63" s="247">
        <v>45184</v>
      </c>
      <c r="B63" s="873" t="s">
        <v>3907</v>
      </c>
      <c r="C63" s="874" t="s">
        <v>12</v>
      </c>
      <c r="D63" s="874" t="s">
        <v>1489</v>
      </c>
      <c r="E63" s="875" t="s">
        <v>13</v>
      </c>
      <c r="F63" s="780">
        <v>24.47</v>
      </c>
      <c r="G63" s="982"/>
      <c r="H63" s="622"/>
      <c r="I63" s="982"/>
      <c r="J63" s="622"/>
      <c r="K63" s="982"/>
      <c r="L63" s="622"/>
      <c r="M63" s="982"/>
      <c r="N63" s="622"/>
      <c r="O63" s="1063"/>
      <c r="P63" s="622"/>
      <c r="Q63" s="982"/>
      <c r="R63" s="927"/>
      <c r="S63" s="927"/>
      <c r="T63" s="878"/>
    </row>
    <row r="64" spans="1:42" s="224" customFormat="1" x14ac:dyDescent="0.25">
      <c r="A64" s="247">
        <v>45184</v>
      </c>
      <c r="B64" s="1275" t="s">
        <v>14</v>
      </c>
      <c r="C64" s="1276" t="s">
        <v>12</v>
      </c>
      <c r="D64" s="1276" t="s">
        <v>1486</v>
      </c>
      <c r="E64" s="1286" t="s">
        <v>13</v>
      </c>
      <c r="F64" s="780">
        <v>5.61</v>
      </c>
      <c r="G64" s="982"/>
      <c r="H64" s="1008"/>
      <c r="I64" s="1063"/>
      <c r="J64" s="622"/>
      <c r="K64" s="982"/>
      <c r="L64" s="622"/>
      <c r="M64" s="982"/>
      <c r="N64" s="622"/>
      <c r="O64" s="1063"/>
      <c r="P64" s="622"/>
      <c r="Q64" s="982"/>
      <c r="R64" s="861"/>
      <c r="T64" s="878"/>
    </row>
    <row r="65" spans="1:42" s="224" customFormat="1" x14ac:dyDescent="0.25">
      <c r="A65" s="247">
        <v>45185</v>
      </c>
      <c r="B65" s="1275" t="s">
        <v>14</v>
      </c>
      <c r="C65" s="1276" t="s">
        <v>12</v>
      </c>
      <c r="D65" s="1276" t="s">
        <v>1486</v>
      </c>
      <c r="E65" s="1286" t="s">
        <v>13</v>
      </c>
      <c r="F65" s="780">
        <v>8.61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861"/>
      <c r="T65" s="878"/>
    </row>
    <row r="66" spans="1:42" s="224" customFormat="1" ht="15" customHeight="1" x14ac:dyDescent="0.25">
      <c r="A66" s="247">
        <v>45185</v>
      </c>
      <c r="B66" s="882" t="s">
        <v>3908</v>
      </c>
      <c r="C66" s="879" t="s">
        <v>12</v>
      </c>
      <c r="D66" s="879" t="s">
        <v>1489</v>
      </c>
      <c r="E66" s="875" t="s">
        <v>13</v>
      </c>
      <c r="F66" s="780">
        <v>5.8</v>
      </c>
      <c r="G66" s="982"/>
      <c r="H66" s="95"/>
      <c r="I66" s="1064"/>
      <c r="J66" s="622"/>
      <c r="K66" s="982"/>
      <c r="L66" s="622"/>
      <c r="M66" s="982"/>
      <c r="N66" s="622"/>
      <c r="O66" s="1063"/>
      <c r="P66" s="622"/>
      <c r="Q66" s="982"/>
      <c r="R66" s="861"/>
    </row>
    <row r="67" spans="1:42" s="224" customFormat="1" x14ac:dyDescent="0.25">
      <c r="A67" s="247">
        <v>45185</v>
      </c>
      <c r="B67" s="1275" t="s">
        <v>14</v>
      </c>
      <c r="C67" s="1276" t="s">
        <v>12</v>
      </c>
      <c r="D67" s="1276" t="s">
        <v>1486</v>
      </c>
      <c r="E67" s="1286" t="s">
        <v>13</v>
      </c>
      <c r="F67" s="1873">
        <v>5.98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861"/>
      <c r="T67" s="878"/>
    </row>
    <row r="68" spans="1:42" s="224" customFormat="1" ht="15" customHeight="1" x14ac:dyDescent="0.25">
      <c r="A68" s="247">
        <v>45186</v>
      </c>
      <c r="B68" s="882" t="s">
        <v>32</v>
      </c>
      <c r="C68" s="879" t="s">
        <v>12</v>
      </c>
      <c r="D68" s="879" t="s">
        <v>1485</v>
      </c>
      <c r="E68" s="871" t="s">
        <v>13</v>
      </c>
      <c r="F68" s="780">
        <v>22</v>
      </c>
      <c r="G68" s="982"/>
      <c r="H68" s="1008"/>
      <c r="I68" s="1063"/>
      <c r="J68" s="622"/>
      <c r="K68" s="982"/>
      <c r="L68" s="622"/>
      <c r="M68" s="982"/>
      <c r="N68" s="622"/>
      <c r="O68" s="1063"/>
      <c r="P68" s="622"/>
      <c r="Q68" s="982"/>
      <c r="R68" s="861"/>
      <c r="T68" s="1035"/>
    </row>
    <row r="69" spans="1:42" s="224" customFormat="1" ht="15" customHeight="1" x14ac:dyDescent="0.25">
      <c r="A69" s="247">
        <v>45186</v>
      </c>
      <c r="B69" s="1688" t="s">
        <v>3909</v>
      </c>
      <c r="C69" s="874" t="s">
        <v>12</v>
      </c>
      <c r="D69" s="874" t="s">
        <v>1493</v>
      </c>
      <c r="E69" s="875" t="s">
        <v>13</v>
      </c>
      <c r="F69" s="780">
        <v>35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622"/>
      <c r="Q69" s="982"/>
      <c r="R69" s="927"/>
      <c r="S69" s="927"/>
      <c r="T69" s="878"/>
    </row>
    <row r="70" spans="1:42" s="224" customFormat="1" ht="15" customHeight="1" x14ac:dyDescent="0.25">
      <c r="A70" s="247">
        <v>45187</v>
      </c>
      <c r="B70" s="364" t="s">
        <v>3325</v>
      </c>
      <c r="C70" s="350" t="s">
        <v>12</v>
      </c>
      <c r="D70" s="350" t="s">
        <v>1504</v>
      </c>
      <c r="E70" s="875" t="s">
        <v>13</v>
      </c>
      <c r="F70" s="780">
        <v>38</v>
      </c>
      <c r="G70" s="982"/>
      <c r="H70" s="622"/>
      <c r="I70" s="982"/>
      <c r="J70" s="622"/>
      <c r="K70" s="982"/>
      <c r="L70" s="622"/>
      <c r="M70" s="982"/>
      <c r="N70" s="622"/>
      <c r="O70" s="1063"/>
      <c r="P70" s="827"/>
      <c r="Q70" s="1115"/>
      <c r="R70" s="878"/>
    </row>
    <row r="71" spans="1:42" s="224" customFormat="1" ht="15" customHeight="1" x14ac:dyDescent="0.25">
      <c r="A71" s="247">
        <v>45187</v>
      </c>
      <c r="B71" s="882" t="s">
        <v>2789</v>
      </c>
      <c r="C71" s="879" t="s">
        <v>12</v>
      </c>
      <c r="D71" s="879" t="s">
        <v>1485</v>
      </c>
      <c r="E71" s="871" t="s">
        <v>13</v>
      </c>
      <c r="F71" s="780">
        <v>10.55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861"/>
      <c r="T71" s="1035"/>
    </row>
    <row r="72" spans="1:42" s="224" customFormat="1" ht="15" customHeight="1" x14ac:dyDescent="0.25">
      <c r="A72" s="247">
        <v>45187</v>
      </c>
      <c r="B72" s="882" t="s">
        <v>1331</v>
      </c>
      <c r="C72" s="879" t="s">
        <v>12</v>
      </c>
      <c r="D72" s="879" t="s">
        <v>2157</v>
      </c>
      <c r="E72" s="871" t="s">
        <v>13</v>
      </c>
      <c r="F72" s="613">
        <v>60</v>
      </c>
      <c r="G72" s="967"/>
      <c r="H72" s="1008"/>
      <c r="I72" s="1063"/>
      <c r="J72" s="1110"/>
      <c r="K72" s="1207"/>
      <c r="L72" s="880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45188</v>
      </c>
      <c r="B73" s="882" t="s">
        <v>3910</v>
      </c>
      <c r="C73" s="879" t="s">
        <v>12</v>
      </c>
      <c r="D73" s="879" t="s">
        <v>1522</v>
      </c>
      <c r="E73" s="871" t="s">
        <v>13</v>
      </c>
      <c r="F73" s="780">
        <v>1000</v>
      </c>
      <c r="G73" s="967"/>
      <c r="H73" s="1008"/>
      <c r="I73" s="1063"/>
      <c r="J73" s="872"/>
      <c r="K73" s="1207"/>
      <c r="L73" s="880"/>
      <c r="M73" s="1033"/>
      <c r="N73" s="880"/>
      <c r="O73" s="1525"/>
      <c r="P73" s="613"/>
      <c r="Q73" s="162"/>
      <c r="R73" s="1966" t="s">
        <v>3911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45188</v>
      </c>
      <c r="B74" s="882" t="s">
        <v>3912</v>
      </c>
      <c r="C74" s="879" t="s">
        <v>12</v>
      </c>
      <c r="D74" s="879" t="s">
        <v>1522</v>
      </c>
      <c r="E74" s="871" t="s">
        <v>13</v>
      </c>
      <c r="F74" s="780">
        <v>300</v>
      </c>
      <c r="G74" s="967"/>
      <c r="H74" s="1008"/>
      <c r="I74" s="1063"/>
      <c r="J74" s="872"/>
      <c r="K74" s="1207"/>
      <c r="L74" s="880"/>
      <c r="M74" s="1033"/>
      <c r="N74" s="880"/>
      <c r="O74" s="1525"/>
      <c r="P74" s="613"/>
      <c r="Q74" s="162"/>
      <c r="R74" s="120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45188</v>
      </c>
      <c r="B75" s="882" t="s">
        <v>2789</v>
      </c>
      <c r="C75" s="879" t="s">
        <v>12</v>
      </c>
      <c r="D75" s="879" t="s">
        <v>1485</v>
      </c>
      <c r="E75" s="871" t="s">
        <v>13</v>
      </c>
      <c r="F75" s="780">
        <v>10.75</v>
      </c>
      <c r="G75" s="967"/>
      <c r="H75" s="1008"/>
      <c r="I75" s="1063"/>
      <c r="J75" s="872"/>
      <c r="K75" s="1207"/>
      <c r="L75" s="880"/>
      <c r="M75" s="1033"/>
      <c r="N75" s="880"/>
      <c r="O75" s="1525"/>
      <c r="P75" s="613"/>
      <c r="Q75" s="162"/>
      <c r="R75" s="1209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x14ac:dyDescent="0.25">
      <c r="A76" s="247">
        <v>45188</v>
      </c>
      <c r="B76" s="1275" t="s">
        <v>14</v>
      </c>
      <c r="C76" s="1276" t="s">
        <v>12</v>
      </c>
      <c r="D76" s="1276" t="s">
        <v>1486</v>
      </c>
      <c r="E76" s="1286" t="s">
        <v>13</v>
      </c>
      <c r="F76" s="780">
        <v>5.58</v>
      </c>
      <c r="G76" s="982"/>
      <c r="H76" s="1008"/>
      <c r="I76" s="1063"/>
      <c r="J76" s="622"/>
      <c r="K76" s="982"/>
      <c r="L76" s="622"/>
      <c r="M76" s="982"/>
      <c r="N76" s="622"/>
      <c r="O76" s="1063"/>
      <c r="P76" s="622"/>
      <c r="Q76" s="982"/>
      <c r="R76" s="861"/>
      <c r="T76" s="878"/>
    </row>
    <row r="77" spans="1:42" s="224" customFormat="1" ht="15" customHeight="1" x14ac:dyDescent="0.25">
      <c r="A77" s="247">
        <v>45189</v>
      </c>
      <c r="B77" s="882" t="s">
        <v>3913</v>
      </c>
      <c r="C77" s="350" t="s">
        <v>12</v>
      </c>
      <c r="D77" s="350"/>
      <c r="E77" s="480" t="s">
        <v>25</v>
      </c>
      <c r="F77" s="622"/>
      <c r="G77" s="982">
        <v>2100</v>
      </c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861"/>
    </row>
    <row r="78" spans="1:42" s="224" customFormat="1" ht="15" customHeight="1" x14ac:dyDescent="0.25">
      <c r="A78" s="247">
        <v>45189</v>
      </c>
      <c r="B78" s="862" t="s">
        <v>2867</v>
      </c>
      <c r="C78" s="350" t="s">
        <v>12</v>
      </c>
      <c r="D78" s="874" t="s">
        <v>1504</v>
      </c>
      <c r="E78" s="887" t="s">
        <v>13</v>
      </c>
      <c r="F78" s="780">
        <v>30</v>
      </c>
      <c r="G78" s="982"/>
      <c r="H78" s="1009"/>
      <c r="I78" s="1063"/>
      <c r="J78" s="853"/>
      <c r="K78" s="982"/>
      <c r="L78" s="853"/>
      <c r="M78" s="982"/>
      <c r="N78" s="853"/>
      <c r="O78" s="1063"/>
      <c r="P78" s="622"/>
      <c r="Q78" s="982"/>
      <c r="R78" s="1690"/>
      <c r="S78" s="1690"/>
      <c r="T78" s="1690"/>
      <c r="U78" s="1690"/>
      <c r="V78" s="1690"/>
      <c r="W78" s="1690"/>
      <c r="X78" s="1690"/>
      <c r="Y78" s="1690"/>
      <c r="Z78" s="1690"/>
    </row>
    <row r="79" spans="1:42" s="224" customFormat="1" ht="14.25" customHeight="1" x14ac:dyDescent="0.25">
      <c r="A79" s="247">
        <v>45189</v>
      </c>
      <c r="B79" s="364" t="s">
        <v>2977</v>
      </c>
      <c r="C79" s="350" t="s">
        <v>12</v>
      </c>
      <c r="D79" s="350" t="s">
        <v>1491</v>
      </c>
      <c r="E79" s="875" t="s">
        <v>13</v>
      </c>
      <c r="F79" s="1047">
        <v>300</v>
      </c>
      <c r="G79" s="982"/>
      <c r="H79" s="1008"/>
      <c r="I79" s="1063"/>
      <c r="J79" s="622"/>
      <c r="K79" s="982"/>
      <c r="L79" s="622"/>
      <c r="M79" s="982"/>
      <c r="N79" s="622"/>
      <c r="O79" s="1063"/>
      <c r="P79" s="622"/>
      <c r="Q79" s="982"/>
      <c r="R79" s="1029"/>
      <c r="S79" s="89"/>
      <c r="T79" s="930"/>
    </row>
    <row r="80" spans="1:42" s="224" customFormat="1" ht="15" customHeight="1" x14ac:dyDescent="0.25">
      <c r="A80" s="247">
        <v>45189</v>
      </c>
      <c r="B80" s="349" t="s">
        <v>3914</v>
      </c>
      <c r="C80" s="887" t="s">
        <v>12</v>
      </c>
      <c r="D80" s="350" t="s">
        <v>1491</v>
      </c>
      <c r="E80" s="887" t="s">
        <v>13</v>
      </c>
      <c r="F80" s="613">
        <v>68.459999999999994</v>
      </c>
      <c r="G80" s="982"/>
      <c r="H80" s="872"/>
      <c r="I80" s="1063"/>
      <c r="J80" s="622"/>
      <c r="K80" s="982"/>
      <c r="L80" s="622"/>
      <c r="M80" s="982"/>
      <c r="N80" s="622"/>
      <c r="O80" s="1063"/>
      <c r="P80" s="622"/>
      <c r="Q80" s="982"/>
      <c r="R80" s="927"/>
      <c r="S80" s="999"/>
      <c r="T80" s="878"/>
    </row>
    <row r="81" spans="1:42" s="224" customFormat="1" ht="15" customHeight="1" x14ac:dyDescent="0.25">
      <c r="A81" s="247">
        <v>45189</v>
      </c>
      <c r="B81" s="349" t="s">
        <v>3914</v>
      </c>
      <c r="C81" s="887" t="s">
        <v>12</v>
      </c>
      <c r="D81" s="1005" t="s">
        <v>1522</v>
      </c>
      <c r="E81" s="887" t="s">
        <v>13</v>
      </c>
      <c r="F81" s="1116">
        <v>800</v>
      </c>
      <c r="G81" s="982"/>
      <c r="H81" s="872"/>
      <c r="I81" s="1063"/>
      <c r="J81" s="622"/>
      <c r="K81" s="982"/>
      <c r="L81" s="622"/>
      <c r="M81" s="982"/>
      <c r="N81" s="622"/>
      <c r="O81" s="1063"/>
      <c r="P81" s="622"/>
      <c r="Q81" s="982"/>
      <c r="R81" s="927"/>
      <c r="S81" s="999"/>
      <c r="T81" s="878"/>
    </row>
    <row r="82" spans="1:42" s="224" customFormat="1" ht="15" customHeight="1" x14ac:dyDescent="0.25">
      <c r="A82" s="247">
        <v>45189</v>
      </c>
      <c r="B82" s="349" t="s">
        <v>3914</v>
      </c>
      <c r="C82" s="887" t="s">
        <v>12</v>
      </c>
      <c r="D82" s="350" t="s">
        <v>1522</v>
      </c>
      <c r="E82" s="887" t="s">
        <v>13</v>
      </c>
      <c r="F82" s="613">
        <v>69.900000000000006</v>
      </c>
      <c r="G82" s="982"/>
      <c r="H82" s="872"/>
      <c r="I82" s="1063"/>
      <c r="J82" s="622"/>
      <c r="K82" s="982"/>
      <c r="L82" s="622"/>
      <c r="M82" s="982"/>
      <c r="N82" s="622"/>
      <c r="O82" s="1063"/>
      <c r="P82" s="622"/>
      <c r="Q82" s="982"/>
      <c r="R82" s="927"/>
      <c r="S82" s="999"/>
      <c r="T82" s="878"/>
    </row>
    <row r="83" spans="1:42" s="224" customFormat="1" ht="15" customHeight="1" x14ac:dyDescent="0.25">
      <c r="A83" s="247">
        <v>45189</v>
      </c>
      <c r="B83" s="349" t="s">
        <v>3914</v>
      </c>
      <c r="C83" s="887" t="s">
        <v>12</v>
      </c>
      <c r="D83" s="350" t="s">
        <v>1522</v>
      </c>
      <c r="E83" s="887" t="s">
        <v>13</v>
      </c>
      <c r="F83" s="613">
        <v>92.5</v>
      </c>
      <c r="G83" s="982"/>
      <c r="H83" s="872"/>
      <c r="I83" s="1063"/>
      <c r="J83" s="622"/>
      <c r="K83" s="982"/>
      <c r="L83" s="622"/>
      <c r="M83" s="982"/>
      <c r="N83" s="622"/>
      <c r="O83" s="1063"/>
      <c r="P83" s="622"/>
      <c r="Q83" s="982"/>
      <c r="R83" s="927"/>
      <c r="S83" s="999"/>
      <c r="T83" s="878"/>
    </row>
    <row r="84" spans="1:42" s="224" customFormat="1" ht="15" customHeight="1" x14ac:dyDescent="0.25">
      <c r="A84" s="247">
        <v>45189</v>
      </c>
      <c r="B84" s="882" t="s">
        <v>3915</v>
      </c>
      <c r="C84" s="350" t="s">
        <v>12</v>
      </c>
      <c r="D84" s="350" t="s">
        <v>1491</v>
      </c>
      <c r="E84" s="875" t="s">
        <v>13</v>
      </c>
      <c r="F84" s="780">
        <v>50</v>
      </c>
      <c r="G84" s="982"/>
      <c r="H84" s="622"/>
      <c r="I84" s="982"/>
      <c r="J84" s="622"/>
      <c r="K84" s="982"/>
      <c r="L84" s="622"/>
      <c r="M84" s="982"/>
      <c r="N84" s="622"/>
      <c r="O84" s="1063"/>
      <c r="P84" s="880"/>
      <c r="Q84" s="1033"/>
      <c r="R84" s="927"/>
      <c r="T84" s="878"/>
    </row>
    <row r="85" spans="1:42" s="224" customFormat="1" ht="15" customHeight="1" x14ac:dyDescent="0.25">
      <c r="A85" s="247">
        <v>45189</v>
      </c>
      <c r="B85" s="862" t="s">
        <v>3529</v>
      </c>
      <c r="C85" s="879" t="s">
        <v>12</v>
      </c>
      <c r="D85" s="879" t="s">
        <v>1504</v>
      </c>
      <c r="E85" s="871" t="s">
        <v>13</v>
      </c>
      <c r="F85" s="780">
        <v>39.9</v>
      </c>
      <c r="G85" s="946"/>
      <c r="H85" s="95"/>
      <c r="I85" s="1064"/>
      <c r="J85" s="622"/>
      <c r="K85" s="982"/>
      <c r="L85" s="622"/>
      <c r="M85" s="982"/>
      <c r="N85" s="622"/>
      <c r="O85" s="1063"/>
      <c r="P85" s="622"/>
      <c r="Q85" s="982"/>
      <c r="R85" s="1028"/>
      <c r="U85" s="958"/>
    </row>
    <row r="86" spans="1:42" s="224" customFormat="1" ht="15" customHeight="1" x14ac:dyDescent="0.25">
      <c r="A86" s="247">
        <v>45189</v>
      </c>
      <c r="B86" s="882" t="s">
        <v>32</v>
      </c>
      <c r="C86" s="879" t="s">
        <v>12</v>
      </c>
      <c r="D86" s="879" t="s">
        <v>1485</v>
      </c>
      <c r="E86" s="871" t="s">
        <v>13</v>
      </c>
      <c r="F86" s="780">
        <v>20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982"/>
      <c r="R86" s="861"/>
      <c r="T86" s="1035"/>
    </row>
    <row r="87" spans="1:42" s="224" customFormat="1" ht="15" customHeight="1" x14ac:dyDescent="0.25">
      <c r="A87" s="247">
        <v>45189</v>
      </c>
      <c r="B87" s="882" t="s">
        <v>3916</v>
      </c>
      <c r="C87" s="879" t="s">
        <v>12</v>
      </c>
      <c r="D87" s="879" t="s">
        <v>1522</v>
      </c>
      <c r="E87" s="875" t="s">
        <v>15</v>
      </c>
      <c r="F87" s="780">
        <v>20</v>
      </c>
      <c r="G87" s="982"/>
      <c r="H87" s="622"/>
      <c r="I87" s="982"/>
      <c r="J87" s="622"/>
      <c r="K87" s="982"/>
      <c r="L87" s="622"/>
      <c r="M87" s="982"/>
      <c r="N87" s="622"/>
      <c r="O87" s="1063"/>
      <c r="P87" s="880"/>
      <c r="Q87" s="1033"/>
      <c r="R87" s="927"/>
      <c r="T87" s="878"/>
    </row>
    <row r="88" spans="1:42" s="224" customFormat="1" ht="15" customHeight="1" x14ac:dyDescent="0.25">
      <c r="A88" s="247">
        <v>45189</v>
      </c>
      <c r="B88" s="882" t="s">
        <v>3904</v>
      </c>
      <c r="C88" s="879" t="s">
        <v>12</v>
      </c>
      <c r="D88" s="879" t="s">
        <v>1489</v>
      </c>
      <c r="E88" s="875" t="s">
        <v>13</v>
      </c>
      <c r="F88" s="780">
        <v>5.8</v>
      </c>
      <c r="G88" s="982"/>
      <c r="H88" s="95"/>
      <c r="I88" s="1064"/>
      <c r="J88" s="622"/>
      <c r="K88" s="982"/>
      <c r="L88" s="622"/>
      <c r="M88" s="982"/>
      <c r="N88" s="622"/>
      <c r="O88" s="1063"/>
      <c r="P88" s="622"/>
      <c r="Q88" s="982"/>
      <c r="R88" s="861"/>
    </row>
    <row r="89" spans="1:42" s="224" customFormat="1" ht="15" customHeight="1" x14ac:dyDescent="0.25">
      <c r="A89" s="247">
        <v>45190</v>
      </c>
      <c r="B89" s="882" t="s">
        <v>32</v>
      </c>
      <c r="C89" s="879" t="s">
        <v>12</v>
      </c>
      <c r="D89" s="879" t="s">
        <v>1485</v>
      </c>
      <c r="E89" s="871" t="s">
        <v>13</v>
      </c>
      <c r="F89" s="780">
        <v>20</v>
      </c>
      <c r="G89" s="982"/>
      <c r="H89" s="1008"/>
      <c r="I89" s="1063"/>
      <c r="J89" s="622"/>
      <c r="K89" s="982"/>
      <c r="L89" s="622"/>
      <c r="M89" s="982"/>
      <c r="N89" s="622"/>
      <c r="O89" s="1063"/>
      <c r="P89" s="622"/>
      <c r="Q89" s="982"/>
      <c r="R89" s="861"/>
      <c r="T89" s="1035"/>
    </row>
    <row r="90" spans="1:42" s="224" customFormat="1" ht="15" customHeight="1" x14ac:dyDescent="0.25">
      <c r="A90" s="247">
        <v>45190</v>
      </c>
      <c r="B90" s="882" t="s">
        <v>3917</v>
      </c>
      <c r="C90" s="879" t="s">
        <v>12</v>
      </c>
      <c r="D90" s="879" t="s">
        <v>1489</v>
      </c>
      <c r="E90" s="875" t="s">
        <v>13</v>
      </c>
      <c r="F90" s="780">
        <v>5.8</v>
      </c>
      <c r="G90" s="946"/>
      <c r="H90" s="95"/>
      <c r="I90" s="1064"/>
      <c r="J90" s="622"/>
      <c r="K90" s="982"/>
      <c r="L90" s="622"/>
      <c r="M90" s="982"/>
      <c r="N90" s="622"/>
      <c r="O90" s="1063"/>
      <c r="P90" s="622"/>
      <c r="Q90" s="982"/>
      <c r="R90" s="861"/>
    </row>
    <row r="91" spans="1:42" s="224" customFormat="1" ht="15" customHeight="1" x14ac:dyDescent="0.25">
      <c r="A91" s="247">
        <v>45191</v>
      </c>
      <c r="B91" s="882" t="s">
        <v>32</v>
      </c>
      <c r="C91" s="879" t="s">
        <v>12</v>
      </c>
      <c r="D91" s="879" t="s">
        <v>1485</v>
      </c>
      <c r="E91" s="871" t="s">
        <v>13</v>
      </c>
      <c r="F91" s="780">
        <v>20</v>
      </c>
      <c r="G91" s="982"/>
      <c r="H91" s="1008"/>
      <c r="I91" s="1063"/>
      <c r="J91" s="622"/>
      <c r="K91" s="982"/>
      <c r="L91" s="622"/>
      <c r="M91" s="982"/>
      <c r="N91" s="622"/>
      <c r="O91" s="1063"/>
      <c r="P91" s="622"/>
      <c r="Q91" s="982"/>
      <c r="R91" s="861"/>
      <c r="T91" s="1035"/>
    </row>
    <row r="92" spans="1:42" s="224" customFormat="1" ht="15" customHeight="1" x14ac:dyDescent="0.25">
      <c r="A92" s="247">
        <v>45191</v>
      </c>
      <c r="B92" s="882" t="s">
        <v>1331</v>
      </c>
      <c r="C92" s="879" t="s">
        <v>12</v>
      </c>
      <c r="D92" s="879" t="s">
        <v>2157</v>
      </c>
      <c r="E92" s="871" t="s">
        <v>13</v>
      </c>
      <c r="F92" s="613">
        <v>60</v>
      </c>
      <c r="G92" s="967"/>
      <c r="H92" s="1008"/>
      <c r="I92" s="1063"/>
      <c r="J92" s="1110"/>
      <c r="K92" s="1207"/>
      <c r="L92" s="880"/>
      <c r="M92" s="1033"/>
      <c r="N92" s="880"/>
      <c r="O92" s="1525"/>
      <c r="P92" s="613"/>
      <c r="Q92" s="162"/>
      <c r="R92" s="1209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45191</v>
      </c>
      <c r="B93" s="882" t="s">
        <v>3918</v>
      </c>
      <c r="C93" s="879" t="s">
        <v>12</v>
      </c>
      <c r="D93" s="879" t="s">
        <v>1523</v>
      </c>
      <c r="E93" s="871" t="s">
        <v>13</v>
      </c>
      <c r="F93" s="780">
        <v>125.1</v>
      </c>
      <c r="G93" s="946"/>
      <c r="H93" s="95"/>
      <c r="I93" s="1064"/>
      <c r="J93" s="622"/>
      <c r="K93" s="982"/>
      <c r="L93" s="622"/>
      <c r="M93" s="982"/>
      <c r="N93" s="622"/>
      <c r="O93" s="1063"/>
      <c r="P93" s="622"/>
      <c r="Q93" s="982"/>
      <c r="R93" s="861"/>
    </row>
    <row r="94" spans="1:42" s="224" customFormat="1" ht="15" customHeight="1" x14ac:dyDescent="0.25">
      <c r="A94" s="247">
        <v>45191</v>
      </c>
      <c r="B94" s="882" t="s">
        <v>3919</v>
      </c>
      <c r="C94" s="879" t="s">
        <v>12</v>
      </c>
      <c r="D94" s="879" t="s">
        <v>1523</v>
      </c>
      <c r="E94" s="871" t="s">
        <v>13</v>
      </c>
      <c r="F94" s="780">
        <v>80.099999999999994</v>
      </c>
      <c r="G94" s="946"/>
      <c r="H94" s="95"/>
      <c r="I94" s="1064"/>
      <c r="J94" s="622"/>
      <c r="K94" s="982"/>
      <c r="L94" s="622"/>
      <c r="M94" s="982"/>
      <c r="N94" s="622"/>
      <c r="O94" s="1063"/>
      <c r="P94" s="622"/>
      <c r="Q94" s="982"/>
      <c r="R94" s="861"/>
    </row>
    <row r="95" spans="1:42" s="224" customFormat="1" ht="15" customHeight="1" x14ac:dyDescent="0.25">
      <c r="A95" s="247">
        <v>45191</v>
      </c>
      <c r="B95" s="882" t="s">
        <v>3920</v>
      </c>
      <c r="C95" s="879" t="s">
        <v>12</v>
      </c>
      <c r="D95" s="879" t="s">
        <v>1523</v>
      </c>
      <c r="E95" s="871" t="s">
        <v>13</v>
      </c>
      <c r="F95" s="780">
        <v>36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45191</v>
      </c>
      <c r="B96" s="882" t="s">
        <v>82</v>
      </c>
      <c r="C96" s="879" t="s">
        <v>12</v>
      </c>
      <c r="D96" s="879" t="s">
        <v>1493</v>
      </c>
      <c r="E96" s="871" t="s">
        <v>13</v>
      </c>
      <c r="F96" s="780">
        <v>30</v>
      </c>
      <c r="G96" s="946"/>
      <c r="H96" s="95"/>
      <c r="I96" s="1064"/>
      <c r="J96" s="622"/>
      <c r="K96" s="982"/>
      <c r="L96" s="622"/>
      <c r="M96" s="982"/>
      <c r="N96" s="622"/>
      <c r="O96" s="1063"/>
      <c r="P96" s="622"/>
      <c r="Q96" s="982"/>
      <c r="R96" s="861"/>
    </row>
    <row r="97" spans="1:42" s="224" customFormat="1" ht="15" customHeight="1" x14ac:dyDescent="0.25">
      <c r="A97" s="247">
        <v>45191</v>
      </c>
      <c r="B97" s="882" t="s">
        <v>3921</v>
      </c>
      <c r="C97" s="879" t="s">
        <v>12</v>
      </c>
      <c r="D97" s="879" t="s">
        <v>1493</v>
      </c>
      <c r="E97" s="871" t="s">
        <v>13</v>
      </c>
      <c r="F97" s="780">
        <v>12.66</v>
      </c>
      <c r="G97" s="946"/>
      <c r="H97" s="95"/>
      <c r="I97" s="1064"/>
      <c r="J97" s="622"/>
      <c r="K97" s="982"/>
      <c r="L97" s="622"/>
      <c r="M97" s="982"/>
      <c r="N97" s="622"/>
      <c r="O97" s="1063"/>
      <c r="P97" s="622"/>
      <c r="Q97" s="982"/>
      <c r="R97" s="861"/>
    </row>
    <row r="98" spans="1:42" s="224" customFormat="1" ht="15" customHeight="1" x14ac:dyDescent="0.25">
      <c r="A98" s="247">
        <v>45192</v>
      </c>
      <c r="B98" s="882" t="s">
        <v>256</v>
      </c>
      <c r="C98" s="879" t="s">
        <v>12</v>
      </c>
      <c r="D98" s="879"/>
      <c r="E98" s="875"/>
      <c r="F98" s="780"/>
      <c r="G98" s="982">
        <v>400</v>
      </c>
      <c r="H98" s="622">
        <v>400</v>
      </c>
      <c r="I98" s="982"/>
      <c r="J98" s="622"/>
      <c r="K98" s="982"/>
      <c r="L98" s="622"/>
      <c r="M98" s="982"/>
      <c r="N98" s="622"/>
      <c r="O98" s="1063"/>
      <c r="P98" s="880"/>
      <c r="Q98" s="1033"/>
      <c r="R98" s="927"/>
      <c r="T98" s="878"/>
    </row>
    <row r="99" spans="1:42" s="224" customFormat="1" ht="15" customHeight="1" x14ac:dyDescent="0.25">
      <c r="A99" s="247">
        <v>45192</v>
      </c>
      <c r="B99" s="882" t="s">
        <v>3922</v>
      </c>
      <c r="C99" s="879" t="s">
        <v>12</v>
      </c>
      <c r="D99" s="879" t="s">
        <v>1489</v>
      </c>
      <c r="E99" s="875" t="s">
        <v>13</v>
      </c>
      <c r="F99" s="780">
        <v>3</v>
      </c>
      <c r="G99" s="982"/>
      <c r="H99" s="622"/>
      <c r="I99" s="982"/>
      <c r="J99" s="622"/>
      <c r="K99" s="982"/>
      <c r="L99" s="622"/>
      <c r="M99" s="982"/>
      <c r="N99" s="622"/>
      <c r="O99" s="1063"/>
      <c r="P99" s="880"/>
      <c r="Q99" s="1033"/>
      <c r="R99" s="927"/>
      <c r="T99" s="878"/>
    </row>
    <row r="100" spans="1:42" s="224" customFormat="1" ht="15" customHeight="1" x14ac:dyDescent="0.25">
      <c r="A100" s="247">
        <v>45192</v>
      </c>
      <c r="B100" s="882" t="s">
        <v>3923</v>
      </c>
      <c r="C100" s="879" t="s">
        <v>12</v>
      </c>
      <c r="D100" s="879" t="s">
        <v>1523</v>
      </c>
      <c r="E100" s="871" t="s">
        <v>13</v>
      </c>
      <c r="F100" s="780">
        <v>110</v>
      </c>
      <c r="G100" s="946"/>
      <c r="H100" s="95"/>
      <c r="I100" s="1064"/>
      <c r="J100" s="622"/>
      <c r="K100" s="982"/>
      <c r="L100" s="622"/>
      <c r="M100" s="982"/>
      <c r="N100" s="622"/>
      <c r="O100" s="1063"/>
      <c r="P100" s="1116"/>
      <c r="Q100" s="1215"/>
      <c r="R100" s="1028"/>
      <c r="U100" s="958"/>
    </row>
    <row r="101" spans="1:42" s="224" customFormat="1" ht="15" customHeight="1" x14ac:dyDescent="0.25">
      <c r="A101" s="247">
        <v>45193</v>
      </c>
      <c r="B101" s="882" t="s">
        <v>17</v>
      </c>
      <c r="C101" s="879" t="s">
        <v>12</v>
      </c>
      <c r="D101" s="879" t="s">
        <v>1493</v>
      </c>
      <c r="E101" s="871" t="s">
        <v>13</v>
      </c>
      <c r="F101" s="780">
        <v>20</v>
      </c>
      <c r="G101" s="946"/>
      <c r="H101" s="95"/>
      <c r="I101" s="1064"/>
      <c r="J101" s="622"/>
      <c r="K101" s="982"/>
      <c r="L101" s="622"/>
      <c r="M101" s="982"/>
      <c r="N101" s="622"/>
      <c r="O101" s="1063"/>
      <c r="P101" s="1116"/>
      <c r="Q101" s="1215"/>
      <c r="R101" s="1028"/>
      <c r="U101" s="958"/>
    </row>
    <row r="102" spans="1:42" s="224" customFormat="1" ht="15" customHeight="1" x14ac:dyDescent="0.25">
      <c r="A102" s="247">
        <v>45193</v>
      </c>
      <c r="B102" s="882" t="s">
        <v>1331</v>
      </c>
      <c r="C102" s="879" t="s">
        <v>12</v>
      </c>
      <c r="D102" s="879" t="s">
        <v>2157</v>
      </c>
      <c r="E102" s="871" t="s">
        <v>15</v>
      </c>
      <c r="F102" s="613">
        <v>50</v>
      </c>
      <c r="G102" s="967"/>
      <c r="H102" s="1008"/>
      <c r="I102" s="1063"/>
      <c r="J102" s="1110"/>
      <c r="K102" s="1207"/>
      <c r="L102" s="880"/>
      <c r="M102" s="1033"/>
      <c r="N102" s="880"/>
      <c r="O102" s="1525"/>
      <c r="P102" s="613"/>
      <c r="Q102" s="162"/>
      <c r="R102" s="1209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</row>
    <row r="103" spans="1:42" s="224" customFormat="1" ht="15" customHeight="1" x14ac:dyDescent="0.25">
      <c r="A103" s="247">
        <v>45194</v>
      </c>
      <c r="B103" s="882" t="s">
        <v>2789</v>
      </c>
      <c r="C103" s="879" t="s">
        <v>12</v>
      </c>
      <c r="D103" s="879" t="s">
        <v>1485</v>
      </c>
      <c r="E103" s="871" t="s">
        <v>13</v>
      </c>
      <c r="F103" s="780">
        <v>10.75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861"/>
      <c r="T103" s="1035"/>
    </row>
    <row r="104" spans="1:42" s="224" customFormat="1" ht="15" customHeight="1" x14ac:dyDescent="0.25">
      <c r="A104" s="247">
        <v>45194</v>
      </c>
      <c r="B104" s="1275" t="s">
        <v>14</v>
      </c>
      <c r="C104" s="1276" t="s">
        <v>12</v>
      </c>
      <c r="D104" s="1276" t="s">
        <v>1486</v>
      </c>
      <c r="E104" s="1286" t="s">
        <v>13</v>
      </c>
      <c r="F104" s="780">
        <v>8.8800000000000008</v>
      </c>
      <c r="G104" s="946"/>
      <c r="H104" s="95"/>
      <c r="I104" s="1064"/>
      <c r="J104" s="622"/>
      <c r="K104" s="982"/>
      <c r="L104" s="622"/>
      <c r="M104" s="982"/>
      <c r="N104" s="622"/>
      <c r="O104" s="1063"/>
      <c r="P104" s="1110"/>
      <c r="Q104" s="1208"/>
      <c r="R104" s="1028"/>
      <c r="U104" s="958"/>
    </row>
    <row r="105" spans="1:42" s="224" customFormat="1" ht="15" customHeight="1" x14ac:dyDescent="0.25">
      <c r="A105" s="247">
        <v>45194</v>
      </c>
      <c r="B105" s="882" t="s">
        <v>1331</v>
      </c>
      <c r="C105" s="879" t="s">
        <v>12</v>
      </c>
      <c r="D105" s="879" t="s">
        <v>2157</v>
      </c>
      <c r="E105" s="871" t="s">
        <v>13</v>
      </c>
      <c r="F105" s="613">
        <v>60</v>
      </c>
      <c r="G105" s="946"/>
      <c r="H105" s="95"/>
      <c r="I105" s="1064"/>
      <c r="J105" s="622"/>
      <c r="K105" s="982"/>
      <c r="L105" s="622"/>
      <c r="M105" s="982"/>
      <c r="N105" s="622"/>
      <c r="O105" s="1063"/>
      <c r="P105" s="622"/>
      <c r="Q105" s="982"/>
      <c r="R105" s="1028"/>
      <c r="U105" s="958"/>
    </row>
    <row r="106" spans="1:42" s="224" customFormat="1" ht="15" customHeight="1" x14ac:dyDescent="0.25">
      <c r="A106" s="247">
        <v>45195</v>
      </c>
      <c r="B106" s="882" t="s">
        <v>2789</v>
      </c>
      <c r="C106" s="879" t="s">
        <v>12</v>
      </c>
      <c r="D106" s="879" t="s">
        <v>1485</v>
      </c>
      <c r="E106" s="871" t="s">
        <v>13</v>
      </c>
      <c r="F106" s="780">
        <v>9.4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861"/>
      <c r="T106" s="1035"/>
    </row>
    <row r="107" spans="1:42" s="224" customFormat="1" ht="15" customHeight="1" x14ac:dyDescent="0.25">
      <c r="A107" s="247">
        <v>45195</v>
      </c>
      <c r="B107" s="1275" t="s">
        <v>3924</v>
      </c>
      <c r="C107" s="1276" t="s">
        <v>12</v>
      </c>
      <c r="D107" s="1276" t="s">
        <v>1489</v>
      </c>
      <c r="E107" s="1286" t="s">
        <v>13</v>
      </c>
      <c r="F107" s="780">
        <v>3</v>
      </c>
      <c r="G107" s="982"/>
      <c r="H107" s="622"/>
      <c r="I107" s="982"/>
      <c r="J107" s="622"/>
      <c r="K107" s="982"/>
      <c r="L107" s="622"/>
      <c r="M107" s="982"/>
      <c r="N107" s="622"/>
      <c r="O107" s="1063"/>
      <c r="P107" s="622"/>
      <c r="Q107" s="982"/>
      <c r="R107" s="1080"/>
      <c r="S107" s="927"/>
      <c r="T107" s="878"/>
    </row>
    <row r="108" spans="1:42" s="224" customFormat="1" ht="15" customHeight="1" x14ac:dyDescent="0.25">
      <c r="A108" s="247">
        <v>45195</v>
      </c>
      <c r="B108" s="1275" t="s">
        <v>3925</v>
      </c>
      <c r="C108" s="1276" t="s">
        <v>12</v>
      </c>
      <c r="D108" s="1276" t="s">
        <v>1489</v>
      </c>
      <c r="E108" s="1286" t="s">
        <v>13</v>
      </c>
      <c r="F108" s="780">
        <v>3</v>
      </c>
      <c r="G108" s="982"/>
      <c r="H108" s="622"/>
      <c r="I108" s="982"/>
      <c r="J108" s="622"/>
      <c r="K108" s="982"/>
      <c r="L108" s="622"/>
      <c r="M108" s="982"/>
      <c r="N108" s="622"/>
      <c r="O108" s="1063"/>
      <c r="P108" s="622"/>
      <c r="Q108" s="982"/>
      <c r="R108" s="1080"/>
      <c r="S108" s="927"/>
      <c r="T108" s="878"/>
    </row>
    <row r="109" spans="1:42" s="224" customFormat="1" ht="15" customHeight="1" x14ac:dyDescent="0.25">
      <c r="A109" s="247">
        <v>45195</v>
      </c>
      <c r="B109" s="1275" t="s">
        <v>14</v>
      </c>
      <c r="C109" s="1276" t="s">
        <v>12</v>
      </c>
      <c r="D109" s="1276" t="s">
        <v>1486</v>
      </c>
      <c r="E109" s="1286" t="s">
        <v>13</v>
      </c>
      <c r="F109" s="780">
        <v>5.76</v>
      </c>
      <c r="G109" s="982"/>
      <c r="H109" s="622"/>
      <c r="I109" s="982"/>
      <c r="J109" s="622"/>
      <c r="K109" s="982"/>
      <c r="L109" s="622"/>
      <c r="M109" s="982"/>
      <c r="N109" s="622"/>
      <c r="O109" s="1063"/>
      <c r="P109" s="622"/>
      <c r="Q109" s="982"/>
      <c r="R109" s="1028"/>
      <c r="S109" s="959"/>
      <c r="T109" s="878"/>
      <c r="U109" s="958"/>
    </row>
    <row r="110" spans="1:42" s="224" customFormat="1" ht="15" customHeight="1" x14ac:dyDescent="0.25">
      <c r="A110" s="247">
        <v>45196</v>
      </c>
      <c r="B110" s="882" t="s">
        <v>151</v>
      </c>
      <c r="C110" s="879" t="s">
        <v>12</v>
      </c>
      <c r="D110" s="879" t="s">
        <v>1485</v>
      </c>
      <c r="E110" s="871" t="s">
        <v>13</v>
      </c>
      <c r="F110" s="780">
        <v>20</v>
      </c>
      <c r="G110" s="982"/>
      <c r="H110" s="1008"/>
      <c r="I110" s="1063"/>
      <c r="J110" s="622"/>
      <c r="K110" s="982"/>
      <c r="L110" s="622"/>
      <c r="M110" s="982"/>
      <c r="N110" s="622"/>
      <c r="O110" s="1063"/>
      <c r="P110" s="622"/>
      <c r="Q110" s="982"/>
      <c r="R110" s="861"/>
      <c r="T110" s="1035"/>
    </row>
    <row r="111" spans="1:42" s="224" customFormat="1" ht="15" customHeight="1" x14ac:dyDescent="0.25">
      <c r="A111" s="247">
        <v>45196</v>
      </c>
      <c r="B111" s="1275" t="s">
        <v>14</v>
      </c>
      <c r="C111" s="1276" t="s">
        <v>12</v>
      </c>
      <c r="D111" s="1276" t="s">
        <v>1486</v>
      </c>
      <c r="E111" s="1286" t="s">
        <v>13</v>
      </c>
      <c r="F111" s="780">
        <v>6.8</v>
      </c>
      <c r="G111" s="982"/>
      <c r="H111" s="1008"/>
      <c r="I111" s="1063"/>
      <c r="J111" s="622"/>
      <c r="K111" s="982"/>
      <c r="L111" s="622"/>
      <c r="M111" s="982"/>
      <c r="N111" s="622"/>
      <c r="O111" s="1063"/>
      <c r="P111" s="622"/>
      <c r="Q111" s="982"/>
      <c r="R111" s="861"/>
      <c r="T111" s="1035"/>
    </row>
    <row r="112" spans="1:42" s="224" customFormat="1" ht="15" customHeight="1" x14ac:dyDescent="0.25">
      <c r="A112" s="247">
        <v>45197</v>
      </c>
      <c r="B112" s="882" t="s">
        <v>151</v>
      </c>
      <c r="C112" s="879" t="s">
        <v>12</v>
      </c>
      <c r="D112" s="879" t="s">
        <v>1485</v>
      </c>
      <c r="E112" s="871" t="s">
        <v>13</v>
      </c>
      <c r="F112" s="780">
        <v>20</v>
      </c>
      <c r="G112" s="982"/>
      <c r="H112" s="1008"/>
      <c r="I112" s="1063"/>
      <c r="J112" s="622"/>
      <c r="K112" s="982"/>
      <c r="L112" s="622"/>
      <c r="M112" s="982"/>
      <c r="N112" s="622"/>
      <c r="O112" s="1063"/>
      <c r="P112" s="622"/>
      <c r="Q112" s="982"/>
      <c r="R112" s="861"/>
      <c r="T112" s="1035"/>
    </row>
    <row r="113" spans="1:26" s="224" customFormat="1" ht="15" customHeight="1" x14ac:dyDescent="0.25">
      <c r="A113" s="247">
        <v>45197</v>
      </c>
      <c r="B113" s="349" t="s">
        <v>134</v>
      </c>
      <c r="C113" s="350" t="s">
        <v>12</v>
      </c>
      <c r="D113" s="350" t="s">
        <v>1493</v>
      </c>
      <c r="E113" s="480" t="s">
        <v>13</v>
      </c>
      <c r="F113" s="780">
        <v>6.58</v>
      </c>
      <c r="G113" s="946"/>
      <c r="H113" s="95"/>
      <c r="I113" s="1064"/>
      <c r="J113" s="622"/>
      <c r="K113" s="982"/>
      <c r="L113" s="622"/>
      <c r="M113" s="982"/>
      <c r="N113" s="622"/>
      <c r="O113" s="1063"/>
      <c r="P113" s="622"/>
      <c r="Q113" s="982"/>
      <c r="R113" s="861"/>
      <c r="T113" s="927"/>
      <c r="U113" s="999"/>
    </row>
    <row r="114" spans="1:26" s="224" customFormat="1" ht="15" customHeight="1" x14ac:dyDescent="0.25">
      <c r="A114" s="247">
        <v>45198</v>
      </c>
      <c r="B114" s="1275" t="s">
        <v>14</v>
      </c>
      <c r="C114" s="1276" t="s">
        <v>12</v>
      </c>
      <c r="D114" s="1276" t="s">
        <v>1486</v>
      </c>
      <c r="E114" s="1286" t="s">
        <v>13</v>
      </c>
      <c r="F114" s="780">
        <v>9.8000000000000007</v>
      </c>
      <c r="G114" s="946"/>
      <c r="H114" s="95"/>
      <c r="I114" s="1064"/>
      <c r="J114" s="622"/>
      <c r="K114" s="982"/>
      <c r="L114" s="622"/>
      <c r="M114" s="982"/>
      <c r="N114" s="622"/>
      <c r="O114" s="1063"/>
      <c r="P114" s="622"/>
      <c r="Q114" s="982"/>
      <c r="R114" s="861"/>
      <c r="T114" s="927"/>
      <c r="U114" s="999"/>
    </row>
    <row r="115" spans="1:26" s="224" customFormat="1" ht="15" customHeight="1" x14ac:dyDescent="0.25">
      <c r="A115" s="247">
        <v>45199</v>
      </c>
      <c r="B115" s="1289" t="s">
        <v>2096</v>
      </c>
      <c r="C115" s="1276" t="s">
        <v>12</v>
      </c>
      <c r="D115" s="1276" t="s">
        <v>1506</v>
      </c>
      <c r="E115" s="1277" t="s">
        <v>13</v>
      </c>
      <c r="F115" s="1279">
        <v>50</v>
      </c>
      <c r="G115" s="946"/>
      <c r="H115" s="95"/>
      <c r="I115" s="1064"/>
      <c r="J115" s="622"/>
      <c r="K115" s="982"/>
      <c r="L115" s="622"/>
      <c r="M115" s="982"/>
      <c r="N115" s="622"/>
      <c r="O115" s="1063"/>
      <c r="P115" s="622"/>
      <c r="Q115" s="982"/>
      <c r="R115" s="861"/>
      <c r="T115" s="927"/>
      <c r="U115" s="999"/>
    </row>
    <row r="116" spans="1:26" s="224" customFormat="1" ht="15" customHeight="1" x14ac:dyDescent="0.25">
      <c r="A116" s="247">
        <v>45199</v>
      </c>
      <c r="B116" s="882" t="s">
        <v>82</v>
      </c>
      <c r="C116" s="879" t="s">
        <v>12</v>
      </c>
      <c r="D116" s="879" t="s">
        <v>1493</v>
      </c>
      <c r="E116" s="871" t="s">
        <v>13</v>
      </c>
      <c r="F116" s="780">
        <v>30</v>
      </c>
      <c r="G116" s="982"/>
      <c r="H116" s="622"/>
      <c r="I116" s="982"/>
      <c r="J116" s="622"/>
      <c r="K116" s="982"/>
      <c r="L116" s="622"/>
      <c r="M116" s="982"/>
      <c r="N116" s="622"/>
      <c r="O116" s="1063"/>
      <c r="P116" s="622"/>
      <c r="Q116" s="982"/>
      <c r="R116" s="1028"/>
      <c r="S116" s="959"/>
      <c r="T116" s="878"/>
      <c r="U116" s="958"/>
    </row>
    <row r="117" spans="1:26" s="224" customFormat="1" ht="15" customHeight="1" x14ac:dyDescent="0.25">
      <c r="A117" s="247">
        <v>45199</v>
      </c>
      <c r="B117" s="364" t="s">
        <v>81</v>
      </c>
      <c r="C117" s="350" t="s">
        <v>12</v>
      </c>
      <c r="D117" s="350" t="s">
        <v>1493</v>
      </c>
      <c r="E117" s="875" t="s">
        <v>13</v>
      </c>
      <c r="F117" s="780">
        <v>11.14</v>
      </c>
      <c r="G117" s="982"/>
      <c r="H117" s="1008"/>
      <c r="I117" s="1063"/>
      <c r="J117" s="622"/>
      <c r="K117" s="982"/>
      <c r="L117" s="622"/>
      <c r="M117" s="982"/>
      <c r="N117" s="622"/>
      <c r="O117" s="1063"/>
      <c r="P117" s="622"/>
      <c r="Q117" s="982"/>
      <c r="R117" s="861"/>
      <c r="T117" s="1035"/>
    </row>
    <row r="118" spans="1:26" s="224" customFormat="1" ht="15.75" thickBot="1" x14ac:dyDescent="0.3">
      <c r="A118" s="247">
        <v>45199</v>
      </c>
      <c r="B118" s="862" t="s">
        <v>1666</v>
      </c>
      <c r="C118" s="350" t="s">
        <v>12</v>
      </c>
      <c r="D118" s="1003"/>
      <c r="E118" s="145" t="s">
        <v>25</v>
      </c>
      <c r="F118" s="1036"/>
      <c r="G118" s="1535"/>
      <c r="H118" s="1008"/>
      <c r="I118" s="1063"/>
      <c r="J118" s="1036"/>
      <c r="K118" s="1535"/>
      <c r="L118" s="622"/>
      <c r="M118" s="982">
        <v>71.25</v>
      </c>
      <c r="N118" s="622"/>
      <c r="O118" s="1063">
        <v>0</v>
      </c>
      <c r="P118" s="1036"/>
      <c r="Q118" s="1535"/>
      <c r="R118" s="1815">
        <f>M118/M5</f>
        <v>1.3707854360059637E-2</v>
      </c>
      <c r="T118" s="878"/>
    </row>
    <row r="119" spans="1:26" ht="25.5" customHeight="1" thickBot="1" x14ac:dyDescent="0.3">
      <c r="A119" s="3060"/>
      <c r="B119" s="3061"/>
      <c r="C119" s="3062"/>
      <c r="D119" s="3062"/>
      <c r="E119" s="3062"/>
      <c r="F119" s="1023">
        <f>SUM(F7:F118)</f>
        <v>6180.7533333333349</v>
      </c>
      <c r="G119" s="1065">
        <f>SUM(G5:G118)</f>
        <v>6619.3049166666942</v>
      </c>
      <c r="H119" s="517">
        <f>SUM(H6:H118)</f>
        <v>400</v>
      </c>
      <c r="I119" s="93">
        <f>SUM(I5:I118)</f>
        <v>999.99599999999919</v>
      </c>
      <c r="J119" s="1023">
        <f>SUM(J6:J118)</f>
        <v>0</v>
      </c>
      <c r="K119" s="93">
        <f>SUM(K5:K118)</f>
        <v>21637.33</v>
      </c>
      <c r="L119" s="1023">
        <f>SUM(L6:L118)</f>
        <v>0</v>
      </c>
      <c r="M119" s="93">
        <f>SUM(M5:M118)</f>
        <v>5269.0000000000018</v>
      </c>
      <c r="N119" s="1023">
        <f>SUM(N6:N118)</f>
        <v>0</v>
      </c>
      <c r="O119" s="93">
        <f>SUM(O5:O118)</f>
        <v>0</v>
      </c>
      <c r="P119" s="1211">
        <f>SUM(P6:P118)</f>
        <v>0</v>
      </c>
      <c r="Q119" s="93">
        <f>SUM(Q5:Q118)</f>
        <v>53645.085984720004</v>
      </c>
      <c r="S119" s="216"/>
    </row>
    <row r="120" spans="1:26" ht="25.5" customHeight="1" thickBot="1" x14ac:dyDescent="0.3">
      <c r="A120" s="3117" t="s">
        <v>49</v>
      </c>
      <c r="B120" s="3118"/>
      <c r="C120" s="3118"/>
      <c r="D120" s="3118"/>
      <c r="E120" s="3118"/>
      <c r="F120" s="144" t="s">
        <v>280</v>
      </c>
      <c r="G120" s="519">
        <f>G119-F119</f>
        <v>438.5515833333593</v>
      </c>
      <c r="H120" s="555"/>
      <c r="I120" s="772">
        <f>I119-H119</f>
        <v>599.99599999999919</v>
      </c>
      <c r="J120" s="593"/>
      <c r="K120" s="993">
        <f>K119-J119</f>
        <v>21637.33</v>
      </c>
      <c r="L120" s="593"/>
      <c r="M120" s="772">
        <f>M119-L119</f>
        <v>5269.0000000000018</v>
      </c>
      <c r="N120" s="593"/>
      <c r="O120" s="772">
        <f>O119-N119</f>
        <v>0</v>
      </c>
      <c r="P120" s="593"/>
      <c r="Q120" s="556">
        <f>Q119-P119</f>
        <v>53645.085984720004</v>
      </c>
      <c r="R120" s="484">
        <f>K120+M120+O120+Q120</f>
        <v>80551.415984720006</v>
      </c>
    </row>
    <row r="121" spans="1:26" x14ac:dyDescent="0.25">
      <c r="J121" s="1238"/>
      <c r="K121" s="1238">
        <f>K120/R120</f>
        <v>0.26861514146572468</v>
      </c>
      <c r="M121" s="1238">
        <f>M120/R120</f>
        <v>6.5411637220623056E-2</v>
      </c>
      <c r="O121" s="1238">
        <f>O120/R120</f>
        <v>0</v>
      </c>
      <c r="P121" s="1239"/>
      <c r="Q121" s="1239">
        <f>Q120/R120</f>
        <v>0.66597322131365233</v>
      </c>
      <c r="R121" s="867"/>
      <c r="S121" s="867"/>
      <c r="T121" s="79"/>
      <c r="W121" s="518"/>
      <c r="X121" s="216"/>
      <c r="Z121" s="877"/>
    </row>
    <row r="122" spans="1:26" x14ac:dyDescent="0.25">
      <c r="B122" s="81" t="s">
        <v>3</v>
      </c>
      <c r="C122" s="193" t="s">
        <v>1484</v>
      </c>
      <c r="D122" s="970" t="s">
        <v>2378</v>
      </c>
      <c r="E122" s="193" t="s">
        <v>3216</v>
      </c>
      <c r="F122" s="1061" t="s">
        <v>3217</v>
      </c>
      <c r="G122" s="216"/>
      <c r="J122" s="867"/>
      <c r="K122" s="866"/>
      <c r="M122" s="866"/>
      <c r="O122" s="866"/>
      <c r="P122" s="1038"/>
      <c r="Q122" s="1038"/>
      <c r="R122" s="865"/>
      <c r="S122" s="867"/>
    </row>
    <row r="123" spans="1:26" x14ac:dyDescent="0.25">
      <c r="B123" s="79" t="s">
        <v>32</v>
      </c>
      <c r="C123" s="85" t="s">
        <v>1485</v>
      </c>
      <c r="D123" s="475">
        <f>SUMIF($D$7:$D$118,"A",$F$7:$F$118)</f>
        <v>323.95</v>
      </c>
      <c r="E123" s="1202">
        <f t="shared" ref="E123:E140" si="0">D123/$J$142</f>
        <v>10.798333333333334</v>
      </c>
      <c r="F123" s="1203">
        <f t="shared" ref="F123:F139" si="1">E123/$E$143</f>
        <v>7.5144977963349582E-2</v>
      </c>
      <c r="G123" s="800"/>
      <c r="I123" s="769"/>
      <c r="J123" s="1210"/>
      <c r="K123" s="754"/>
      <c r="M123" s="886"/>
      <c r="O123" s="886"/>
      <c r="P123" s="886"/>
      <c r="Q123" s="1210"/>
      <c r="R123" s="1038"/>
      <c r="S123" s="1210"/>
      <c r="U123" s="1201"/>
      <c r="V123" s="877"/>
    </row>
    <row r="124" spans="1:26" x14ac:dyDescent="0.25">
      <c r="B124" s="79" t="s">
        <v>2187</v>
      </c>
      <c r="C124" s="85" t="s">
        <v>2157</v>
      </c>
      <c r="D124" s="475">
        <f>SUMIF($D$7:$D$118,"GAC",$F$7:$F$118)</f>
        <v>460</v>
      </c>
      <c r="E124" s="1202">
        <f t="shared" si="0"/>
        <v>15.333333333333334</v>
      </c>
      <c r="F124" s="1203">
        <f>E124/$E$143</f>
        <v>0.10670378102528418</v>
      </c>
      <c r="G124" s="609"/>
      <c r="J124" s="1038"/>
      <c r="K124" s="1225"/>
      <c r="M124" s="1210"/>
      <c r="O124" s="1038"/>
      <c r="P124" s="1210"/>
      <c r="Q124" s="1038"/>
      <c r="R124" s="1038"/>
      <c r="U124" s="877"/>
      <c r="V124" s="877"/>
    </row>
    <row r="125" spans="1:26" x14ac:dyDescent="0.25">
      <c r="B125" s="79" t="s">
        <v>2188</v>
      </c>
      <c r="C125" s="85" t="s">
        <v>2168</v>
      </c>
      <c r="D125" s="475">
        <f>SUMIF($D$31:$D$118,"GAM",$F$31:$F$118)</f>
        <v>0</v>
      </c>
      <c r="E125" s="1202">
        <f t="shared" si="0"/>
        <v>0</v>
      </c>
      <c r="F125" s="1203">
        <f>E125/$E$143</f>
        <v>0</v>
      </c>
      <c r="J125" s="1038"/>
      <c r="K125" s="1225"/>
      <c r="M125" s="1210"/>
      <c r="O125" s="1038"/>
      <c r="P125" s="1210"/>
      <c r="Q125" s="1038"/>
      <c r="R125" s="1038"/>
      <c r="U125" s="877"/>
      <c r="V125" s="877"/>
    </row>
    <row r="126" spans="1:26" s="85" customFormat="1" x14ac:dyDescent="0.25">
      <c r="A126" s="79"/>
      <c r="B126" s="79" t="s">
        <v>50</v>
      </c>
      <c r="C126" s="85" t="s">
        <v>1493</v>
      </c>
      <c r="D126" s="475">
        <f>SUMIF($D$7:$D$118,"LD",$F$7:$F$118)</f>
        <v>232.88</v>
      </c>
      <c r="E126" s="1202">
        <f t="shared" si="0"/>
        <v>7.7626666666666662</v>
      </c>
      <c r="F126" s="1203">
        <f t="shared" si="1"/>
        <v>5.4019948967756901E-2</v>
      </c>
      <c r="J126" s="864"/>
      <c r="K126" s="877"/>
      <c r="M126" s="941"/>
      <c r="O126" s="863"/>
      <c r="Q126" s="79"/>
      <c r="R126" s="177"/>
      <c r="U126" s="877"/>
      <c r="V126" s="877"/>
    </row>
    <row r="127" spans="1:26" s="85" customFormat="1" x14ac:dyDescent="0.25">
      <c r="A127" s="79"/>
      <c r="B127" s="79" t="s">
        <v>14</v>
      </c>
      <c r="C127" s="85" t="s">
        <v>1486</v>
      </c>
      <c r="D127" s="475">
        <f>SUMIF($D$7:$D$118,"C",$F$7:$F$118)</f>
        <v>111.22999999999999</v>
      </c>
      <c r="E127" s="1202">
        <f t="shared" si="0"/>
        <v>3.7076666666666664</v>
      </c>
      <c r="F127" s="1203">
        <f t="shared" si="1"/>
        <v>2.5801438181396429E-2</v>
      </c>
      <c r="G127" s="79"/>
      <c r="H127" s="79"/>
      <c r="J127" s="1038"/>
      <c r="K127" s="877"/>
      <c r="M127" s="1129"/>
      <c r="N127" s="877"/>
      <c r="O127" s="1038"/>
      <c r="R127" s="177"/>
      <c r="U127" s="877"/>
      <c r="V127" s="877"/>
    </row>
    <row r="128" spans="1:26" s="85" customFormat="1" x14ac:dyDescent="0.25">
      <c r="B128" s="79" t="s">
        <v>51</v>
      </c>
      <c r="C128" s="864" t="s">
        <v>1499</v>
      </c>
      <c r="D128" s="475">
        <f>SUMIF($D$31:$D$118,"CAL",$F$31:$F$118)</f>
        <v>66.7</v>
      </c>
      <c r="E128" s="1202">
        <f t="shared" si="0"/>
        <v>2.2233333333333336</v>
      </c>
      <c r="F128" s="1203">
        <f t="shared" si="1"/>
        <v>1.5472048248666206E-2</v>
      </c>
      <c r="G128" s="79"/>
      <c r="H128" s="79"/>
      <c r="I128" s="79"/>
      <c r="J128" s="1038"/>
      <c r="K128" s="877"/>
      <c r="M128" s="1129"/>
      <c r="N128" s="877"/>
      <c r="O128" s="1038"/>
      <c r="P128" s="1210"/>
      <c r="Q128" s="1038"/>
      <c r="R128" s="177"/>
      <c r="U128" s="877"/>
      <c r="V128" s="877"/>
    </row>
    <row r="129" spans="1:24" s="85" customFormat="1" x14ac:dyDescent="0.25">
      <c r="A129" s="79"/>
      <c r="B129" s="79" t="s">
        <v>2189</v>
      </c>
      <c r="C129" s="864" t="s">
        <v>1496</v>
      </c>
      <c r="D129" s="475">
        <f>SUMIF($D$28:$D$118,"AC",$F$28:$F$118)</f>
        <v>239.9</v>
      </c>
      <c r="E129" s="1202">
        <f t="shared" si="0"/>
        <v>7.996666666666667</v>
      </c>
      <c r="F129" s="1203">
        <f t="shared" si="1"/>
        <v>5.5648341452099286E-2</v>
      </c>
      <c r="G129" s="79"/>
      <c r="J129" s="1038"/>
      <c r="K129" s="877"/>
      <c r="M129" s="1129"/>
      <c r="N129" s="877"/>
      <c r="O129" s="177"/>
      <c r="R129" s="177"/>
      <c r="U129" s="877"/>
      <c r="V129" s="877"/>
    </row>
    <row r="130" spans="1:24" s="85" customFormat="1" x14ac:dyDescent="0.25">
      <c r="A130" s="79"/>
      <c r="B130" s="867" t="s">
        <v>53</v>
      </c>
      <c r="C130" s="864" t="s">
        <v>1522</v>
      </c>
      <c r="D130" s="475">
        <f>SUMIF($D$7:$D$118,"DC",$F$7:$F$118)</f>
        <v>2352.0700000000002</v>
      </c>
      <c r="E130" s="1202">
        <f t="shared" si="0"/>
        <v>78.402333333333345</v>
      </c>
      <c r="F130" s="1203">
        <f t="shared" si="1"/>
        <v>0.5455973092090004</v>
      </c>
      <c r="J130" s="79"/>
      <c r="K130" s="877"/>
      <c r="M130" s="1129"/>
      <c r="N130" s="877"/>
      <c r="O130" s="177"/>
      <c r="P130" s="868"/>
      <c r="Q130" s="769"/>
      <c r="R130" s="79"/>
      <c r="U130" s="877"/>
      <c r="V130" s="877"/>
    </row>
    <row r="131" spans="1:24" s="85" customFormat="1" x14ac:dyDescent="0.25">
      <c r="A131" s="79"/>
      <c r="B131" s="867" t="s">
        <v>2149</v>
      </c>
      <c r="C131" s="864" t="s">
        <v>2131</v>
      </c>
      <c r="D131" s="475">
        <f>SUMIF($D$6:$D$118,"DM",$F$6:$F$118)</f>
        <v>0</v>
      </c>
      <c r="E131" s="1202">
        <f t="shared" si="0"/>
        <v>0</v>
      </c>
      <c r="F131" s="1203">
        <f t="shared" si="1"/>
        <v>0</v>
      </c>
      <c r="K131" s="877"/>
      <c r="M131" s="1963"/>
      <c r="N131" s="877"/>
      <c r="O131" s="177"/>
      <c r="U131" s="877"/>
      <c r="V131" s="877"/>
    </row>
    <row r="132" spans="1:24" s="85" customFormat="1" x14ac:dyDescent="0.25">
      <c r="A132" s="79"/>
      <c r="B132" s="79" t="s">
        <v>3048</v>
      </c>
      <c r="C132" s="864" t="s">
        <v>1523</v>
      </c>
      <c r="D132" s="475">
        <f ca="1">SUMIF($D$27:$D$119,"B",$F$27:$F$118)</f>
        <v>523.02</v>
      </c>
      <c r="E132" s="1202">
        <f t="shared" ca="1" si="0"/>
        <v>17.434000000000001</v>
      </c>
      <c r="F132" s="1203">
        <f t="shared" ca="1" si="1"/>
        <v>0.1213221990257481</v>
      </c>
      <c r="G132" s="866"/>
      <c r="J132" s="1038"/>
      <c r="K132" s="877"/>
      <c r="M132" s="1965"/>
      <c r="N132" s="986"/>
      <c r="O132" s="177"/>
      <c r="P132" s="866"/>
      <c r="Q132" s="1210"/>
      <c r="R132" s="877"/>
      <c r="U132" s="877"/>
      <c r="V132" s="877"/>
    </row>
    <row r="133" spans="1:24" s="85" customFormat="1" x14ac:dyDescent="0.25">
      <c r="A133" s="79"/>
      <c r="B133" s="79" t="s">
        <v>1686</v>
      </c>
      <c r="C133" s="864" t="s">
        <v>1506</v>
      </c>
      <c r="D133" s="475">
        <f>SUMIF($D$7:$D$118,"R",$F$7:$F$118)</f>
        <v>193.33333333333334</v>
      </c>
      <c r="E133" s="1202">
        <f>D133/$J$142</f>
        <v>6.4444444444444446</v>
      </c>
      <c r="F133" s="1203">
        <f>E133/$E$143</f>
        <v>4.4846516662800595E-2</v>
      </c>
      <c r="G133" s="868"/>
      <c r="K133" s="877"/>
      <c r="M133" s="1964"/>
      <c r="O133" s="177"/>
      <c r="P133" s="1226"/>
      <c r="Q133" s="1129"/>
      <c r="R133" s="877"/>
      <c r="U133" s="877"/>
      <c r="V133" s="877"/>
    </row>
    <row r="134" spans="1:24" x14ac:dyDescent="0.25">
      <c r="B134" s="79" t="s">
        <v>418</v>
      </c>
      <c r="C134" s="85" t="s">
        <v>1524</v>
      </c>
      <c r="D134" s="475">
        <f>SUMIF($D$27:$D$118,"COM",$F$27:$F$118)</f>
        <v>0</v>
      </c>
      <c r="E134" s="1202">
        <f t="shared" si="0"/>
        <v>0</v>
      </c>
      <c r="F134" s="1203">
        <f>E134/$E$143</f>
        <v>0</v>
      </c>
      <c r="G134" s="85"/>
      <c r="H134" s="85"/>
      <c r="I134" s="85"/>
      <c r="J134" s="769"/>
      <c r="K134" s="1225"/>
      <c r="L134" s="769"/>
      <c r="M134" s="1226"/>
      <c r="N134" s="866"/>
      <c r="O134" s="216"/>
      <c r="P134" s="1038"/>
      <c r="Q134" s="1226"/>
      <c r="R134" s="877"/>
      <c r="U134" s="877"/>
      <c r="V134" s="877"/>
    </row>
    <row r="135" spans="1:24" x14ac:dyDescent="0.25">
      <c r="B135" s="79" t="s">
        <v>419</v>
      </c>
      <c r="C135" s="85" t="s">
        <v>1491</v>
      </c>
      <c r="D135" s="475">
        <f>SUMIF($D$28:$D$118,"F",$F$28:$F$118)</f>
        <v>788.46</v>
      </c>
      <c r="E135" s="1202">
        <f t="shared" si="0"/>
        <v>26.282</v>
      </c>
      <c r="F135" s="1203">
        <f>E135/$E$143</f>
        <v>0.18289491997216425</v>
      </c>
      <c r="I135" s="85"/>
      <c r="M135" s="1123"/>
      <c r="O135" s="216"/>
      <c r="Q135" s="484"/>
      <c r="R135" s="877"/>
      <c r="U135" s="877"/>
      <c r="V135" s="877"/>
    </row>
    <row r="136" spans="1:24" x14ac:dyDescent="0.25">
      <c r="B136" s="79" t="s">
        <v>911</v>
      </c>
      <c r="C136" s="85" t="s">
        <v>1525</v>
      </c>
      <c r="D136" s="475">
        <f>SUMIF($D$7:$D$118,"FER",$F$7:$F$118)</f>
        <v>236.9</v>
      </c>
      <c r="E136" s="1202">
        <f t="shared" si="0"/>
        <v>7.8966666666666665</v>
      </c>
      <c r="F136" s="1203">
        <f t="shared" si="1"/>
        <v>5.4952447228021346E-2</v>
      </c>
      <c r="M136" s="609"/>
      <c r="O136" s="216"/>
      <c r="Q136" s="484"/>
      <c r="R136" s="1673"/>
      <c r="U136" s="877"/>
      <c r="V136" s="877"/>
    </row>
    <row r="137" spans="1:24" x14ac:dyDescent="0.25">
      <c r="B137" s="79" t="s">
        <v>1526</v>
      </c>
      <c r="C137" s="85" t="s">
        <v>1504</v>
      </c>
      <c r="D137" s="475">
        <f>SUMIF($D$31:$D$118,"I",$F$31:$F$118)</f>
        <v>157.9</v>
      </c>
      <c r="E137" s="1202">
        <f t="shared" si="0"/>
        <v>5.2633333333333336</v>
      </c>
      <c r="F137" s="1203">
        <f t="shared" si="1"/>
        <v>3.6627232660635591E-2</v>
      </c>
      <c r="J137" s="769"/>
      <c r="K137" s="868"/>
      <c r="L137" s="769"/>
      <c r="N137" s="769"/>
      <c r="O137" s="868"/>
      <c r="P137" s="1210"/>
      <c r="Q137" s="1038"/>
      <c r="R137" s="1129"/>
      <c r="T137" s="1129"/>
      <c r="U137" s="877"/>
      <c r="V137" s="877"/>
    </row>
    <row r="138" spans="1:24" x14ac:dyDescent="0.25">
      <c r="B138" s="79" t="s">
        <v>2343</v>
      </c>
      <c r="C138" s="85" t="s">
        <v>2315</v>
      </c>
      <c r="D138" s="475">
        <f>SUMIF($D$31:$D$118,"E",$F$31:$F$118)</f>
        <v>0</v>
      </c>
      <c r="E138" s="1202">
        <f t="shared" si="0"/>
        <v>0</v>
      </c>
      <c r="F138" s="1203">
        <f t="shared" si="1"/>
        <v>0</v>
      </c>
      <c r="J138" s="769"/>
      <c r="K138" s="868"/>
      <c r="L138" s="769"/>
      <c r="M138" s="1210"/>
      <c r="N138" s="769"/>
      <c r="O138" s="1673"/>
      <c r="P138" s="1210"/>
      <c r="Q138" s="1038"/>
      <c r="R138" s="1129"/>
      <c r="T138" s="1129"/>
      <c r="U138" s="877"/>
      <c r="V138" s="877"/>
    </row>
    <row r="139" spans="1:24" x14ac:dyDescent="0.25">
      <c r="B139" s="79" t="s">
        <v>3019</v>
      </c>
      <c r="C139" s="85" t="s">
        <v>3017</v>
      </c>
      <c r="D139" s="475">
        <f>SUMIF($D$6:$D$118,"IM",$F$6:$F$118)</f>
        <v>274.64</v>
      </c>
      <c r="E139" s="1202">
        <f t="shared" si="0"/>
        <v>9.1546666666666656</v>
      </c>
      <c r="F139" s="1203">
        <f t="shared" si="1"/>
        <v>6.3706796566921825E-2</v>
      </c>
      <c r="J139" s="769"/>
      <c r="L139" s="769"/>
      <c r="N139" s="769"/>
      <c r="P139" s="941"/>
      <c r="Q139" s="224"/>
      <c r="R139" s="1226"/>
      <c r="S139" s="1129"/>
      <c r="T139" s="1129"/>
      <c r="U139" s="877"/>
      <c r="V139" s="877"/>
    </row>
    <row r="140" spans="1:24" x14ac:dyDescent="0.25">
      <c r="B140" s="79" t="s">
        <v>1527</v>
      </c>
      <c r="C140" s="85" t="s">
        <v>1489</v>
      </c>
      <c r="D140" s="475">
        <f>SUMIF($D$7:$D$118,"OD",$F$7:$F$118)</f>
        <v>171.77000000000004</v>
      </c>
      <c r="E140" s="1202">
        <f t="shared" si="0"/>
        <v>5.725666666666668</v>
      </c>
      <c r="F140" s="1203">
        <f>E140/$E$143</f>
        <v>3.984458362328927E-2</v>
      </c>
      <c r="P140" s="1210"/>
      <c r="Q140" s="1038"/>
      <c r="R140" s="1226"/>
      <c r="S140" s="1129"/>
      <c r="T140" s="1129"/>
      <c r="U140" s="877"/>
      <c r="V140" s="877"/>
    </row>
    <row r="141" spans="1:24" x14ac:dyDescent="0.25">
      <c r="C141" s="79"/>
      <c r="D141" s="629"/>
      <c r="E141" s="79"/>
      <c r="F141" s="79"/>
      <c r="P141" s="1210"/>
      <c r="Q141" s="1038"/>
      <c r="R141" s="1227"/>
      <c r="S141" s="1129"/>
      <c r="T141" s="1129"/>
      <c r="U141" s="877"/>
      <c r="V141" s="877"/>
    </row>
    <row r="142" spans="1:24" x14ac:dyDescent="0.25">
      <c r="C142" s="3168" t="s">
        <v>486</v>
      </c>
      <c r="D142" s="3168"/>
      <c r="E142" s="863">
        <f ca="1">I142/J142</f>
        <v>204.42511111111111</v>
      </c>
      <c r="G142" s="518" t="s">
        <v>487</v>
      </c>
      <c r="I142" s="629">
        <f ca="1">SUM(D123:D140)</f>
        <v>6132.7533333333331</v>
      </c>
      <c r="J142" s="1517">
        <v>30</v>
      </c>
      <c r="L142" s="216"/>
      <c r="N142" s="216"/>
      <c r="O142" s="1517"/>
      <c r="P142" s="1210"/>
      <c r="Q142" s="1038"/>
      <c r="R142" s="1226"/>
      <c r="S142" s="1129"/>
      <c r="T142" s="1129"/>
      <c r="U142" s="877"/>
      <c r="V142" s="877"/>
    </row>
    <row r="143" spans="1:24" ht="15.75" customHeight="1" x14ac:dyDescent="0.25">
      <c r="B143" s="3167" t="s">
        <v>3725</v>
      </c>
      <c r="C143" s="3167"/>
      <c r="D143" s="3167"/>
      <c r="E143" s="1125">
        <v>143.69999999999999</v>
      </c>
      <c r="H143" s="85"/>
      <c r="K143" s="868"/>
      <c r="M143" s="868"/>
      <c r="O143" s="868"/>
      <c r="P143" s="1210"/>
      <c r="Q143" s="1038"/>
      <c r="R143" s="1226"/>
      <c r="S143" s="1129"/>
      <c r="T143" s="1129"/>
      <c r="U143" s="877"/>
      <c r="V143" s="877"/>
    </row>
    <row r="144" spans="1:24" x14ac:dyDescent="0.25">
      <c r="A144" s="518"/>
      <c r="C144" s="79"/>
      <c r="D144" s="79"/>
      <c r="E144" s="769"/>
      <c r="F144" s="866"/>
      <c r="G144" s="769"/>
      <c r="H144" s="866"/>
      <c r="I144" s="1210"/>
      <c r="J144" s="89"/>
      <c r="L144" s="1038"/>
      <c r="M144" s="1210"/>
      <c r="N144" s="1038"/>
      <c r="O144" s="1210"/>
      <c r="P144" s="1210"/>
      <c r="Q144" s="1038"/>
      <c r="R144" s="769"/>
      <c r="S144" s="484" t="s">
        <v>280</v>
      </c>
      <c r="T144" s="216"/>
      <c r="U144" s="866"/>
      <c r="V144" s="484"/>
      <c r="X144" s="877"/>
    </row>
    <row r="145" spans="1:24" s="518" customFormat="1" x14ac:dyDescent="0.25">
      <c r="A145" s="79"/>
      <c r="B145" s="79"/>
      <c r="C145" s="79"/>
      <c r="D145" s="79"/>
      <c r="E145" s="1126">
        <f ca="1">E143-E142</f>
        <v>-60.725111111111119</v>
      </c>
      <c r="F145" s="1205">
        <f ca="1">SUM(F123:F144)</f>
        <v>1.422582540787134</v>
      </c>
      <c r="G145" s="85"/>
      <c r="H145" s="85"/>
      <c r="I145" s="89"/>
      <c r="J145" s="79"/>
      <c r="K145" s="79"/>
      <c r="L145" s="79"/>
      <c r="M145" s="79"/>
      <c r="N145" s="79"/>
      <c r="O145" s="79"/>
      <c r="P145" s="1210"/>
      <c r="Q145" s="1038"/>
      <c r="R145" s="79"/>
      <c r="S145" s="79"/>
      <c r="T145" s="866"/>
      <c r="U145" s="484"/>
      <c r="V145" s="79"/>
      <c r="W145" s="877"/>
      <c r="X145" s="79"/>
    </row>
    <row r="146" spans="1:24" s="518" customFormat="1" x14ac:dyDescent="0.25">
      <c r="A146" s="79"/>
      <c r="B146" s="79"/>
      <c r="C146" s="85"/>
      <c r="D146" s="85"/>
      <c r="E146" s="85"/>
      <c r="Q146" s="1038"/>
      <c r="R146" s="484"/>
      <c r="S146" s="79"/>
      <c r="T146" s="877"/>
      <c r="U146" s="79"/>
    </row>
    <row r="147" spans="1:24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769"/>
      <c r="O147" s="866"/>
      <c r="P147" s="1210"/>
      <c r="Q147" s="1038"/>
      <c r="R147" s="484"/>
      <c r="S147" s="79"/>
      <c r="T147" s="877"/>
      <c r="U147" s="79"/>
    </row>
    <row r="148" spans="1:24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216"/>
      <c r="J148" s="769"/>
      <c r="K148" s="866"/>
      <c r="L148" s="769"/>
      <c r="M148" s="866"/>
      <c r="N148" s="769"/>
      <c r="O148" s="866"/>
      <c r="P148" s="1210"/>
      <c r="Q148" s="1038"/>
      <c r="R148" s="484"/>
      <c r="S148" s="79"/>
      <c r="T148" s="877"/>
      <c r="U148" s="79"/>
    </row>
    <row r="149" spans="1:24" s="518" customFormat="1" x14ac:dyDescent="0.25">
      <c r="A149" s="79"/>
      <c r="B149" s="79"/>
      <c r="C149" s="79"/>
      <c r="D149" s="79"/>
      <c r="E149" s="79"/>
      <c r="F149" s="79"/>
      <c r="G149" s="79"/>
      <c r="H149" s="79"/>
      <c r="K149" s="866"/>
      <c r="M149" s="866"/>
      <c r="O149" s="866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6"/>
      <c r="L150" s="769"/>
      <c r="M150" s="866"/>
      <c r="N150" s="769"/>
      <c r="O150" s="866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79"/>
      <c r="D151" s="79"/>
      <c r="E151" s="79"/>
      <c r="F151" s="79"/>
      <c r="G151" s="216"/>
      <c r="H151" s="79"/>
      <c r="I151" s="216"/>
      <c r="J151" s="769"/>
      <c r="K151" s="868"/>
      <c r="L151" s="769"/>
      <c r="M151" s="868"/>
      <c r="N151" s="769"/>
      <c r="O151" s="868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6"/>
      <c r="L152" s="769"/>
      <c r="M152" s="866"/>
      <c r="N152" s="769"/>
      <c r="O152" s="866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79"/>
      <c r="J153" s="770"/>
      <c r="K153" s="866"/>
      <c r="L153" s="770"/>
      <c r="M153" s="866"/>
      <c r="N153" s="770"/>
      <c r="O153" s="866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8"/>
      <c r="L154" s="769"/>
      <c r="M154" s="868"/>
      <c r="N154" s="769"/>
      <c r="O154" s="868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629"/>
      <c r="J156" s="769"/>
      <c r="K156" s="866"/>
      <c r="L156" s="769"/>
      <c r="M156" s="866"/>
      <c r="N156" s="769"/>
      <c r="O156" s="866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85"/>
      <c r="D157" s="85"/>
      <c r="E157" s="85"/>
      <c r="F157" s="89"/>
      <c r="G157" s="79"/>
      <c r="H157" s="79"/>
      <c r="I157" s="79"/>
      <c r="J157" s="769"/>
      <c r="K157" s="866"/>
      <c r="L157" s="769"/>
      <c r="M157" s="866"/>
      <c r="N157" s="769"/>
      <c r="O157" s="866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216"/>
      <c r="J162" s="769"/>
      <c r="K162" s="866"/>
      <c r="L162" s="769"/>
      <c r="M162" s="866"/>
      <c r="N162" s="769"/>
      <c r="O162" s="866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769"/>
      <c r="O163" s="866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8"/>
      <c r="L166" s="769"/>
      <c r="M166" s="868"/>
      <c r="N166" s="769"/>
      <c r="O166" s="868"/>
      <c r="P166" s="79"/>
      <c r="Q166" s="79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81"/>
      <c r="Q167" s="755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868"/>
      <c r="Q168" s="79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754"/>
      <c r="Q169" s="88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864"/>
      <c r="Q170" s="864"/>
      <c r="R170" s="484"/>
      <c r="S170" s="79"/>
      <c r="T170" s="877"/>
      <c r="U170" s="79"/>
    </row>
    <row r="171" spans="1:21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6"/>
      <c r="L171" s="769"/>
      <c r="M171" s="866"/>
      <c r="N171" s="769"/>
      <c r="O171" s="866"/>
      <c r="P171" s="864"/>
      <c r="Q171" s="1032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864"/>
      <c r="Q172" s="1032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8"/>
      <c r="L173" s="769"/>
      <c r="M173" s="868"/>
      <c r="N173" s="769"/>
      <c r="O173" s="868"/>
      <c r="P173" s="85"/>
      <c r="Q173" s="795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85"/>
      <c r="Q174" s="177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85"/>
      <c r="Q175" s="177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69"/>
      <c r="K176" s="868"/>
      <c r="L176" s="769"/>
      <c r="M176" s="868"/>
      <c r="N176" s="769"/>
      <c r="O176" s="868"/>
      <c r="P176" s="85"/>
      <c r="Q176" s="177" t="s">
        <v>280</v>
      </c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769"/>
      <c r="O177" s="868"/>
      <c r="P177" s="85"/>
      <c r="Q177" s="177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866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769"/>
      <c r="Q179" s="21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6"/>
      <c r="L180" s="769"/>
      <c r="M180" s="866"/>
      <c r="N180" s="769"/>
      <c r="O180" s="866"/>
      <c r="P180" s="79"/>
      <c r="Q180" s="21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223"/>
      <c r="K181" s="629"/>
      <c r="L181" s="223"/>
      <c r="M181" s="629"/>
      <c r="N181" s="223"/>
      <c r="O181" s="629"/>
      <c r="P181" s="769"/>
      <c r="Q181" s="868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56"/>
      <c r="K182" s="756"/>
      <c r="L182" s="756"/>
      <c r="M182" s="756"/>
      <c r="N182" s="756"/>
      <c r="O182" s="756"/>
      <c r="P182" s="769"/>
      <c r="Q182" s="868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69"/>
      <c r="Q183" s="868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69"/>
      <c r="Q184" s="79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85"/>
      <c r="K187" s="85"/>
      <c r="L187" s="85"/>
      <c r="M187" s="85"/>
      <c r="N187" s="85"/>
      <c r="O187" s="85"/>
      <c r="P187" s="1517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868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89"/>
      <c r="Q189" s="79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85"/>
      <c r="K194" s="85"/>
      <c r="L194" s="85"/>
      <c r="M194" s="85"/>
      <c r="N194" s="85"/>
      <c r="O194" s="85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69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6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70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86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71"/>
      <c r="L201" s="771"/>
      <c r="N201" s="771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69"/>
      <c r="Q202" s="866"/>
      <c r="R202" s="484"/>
      <c r="S202" s="79"/>
      <c r="T202" s="877"/>
      <c r="U202" s="79"/>
    </row>
    <row r="203" spans="1:21" x14ac:dyDescent="0.25">
      <c r="P203" s="769"/>
      <c r="Q203" s="866"/>
    </row>
    <row r="204" spans="1:21" x14ac:dyDescent="0.25">
      <c r="P204" s="769"/>
      <c r="Q204" s="866"/>
    </row>
    <row r="205" spans="1:21" x14ac:dyDescent="0.25">
      <c r="P205" s="769"/>
      <c r="Q205" s="866"/>
    </row>
    <row r="206" spans="1:21" x14ac:dyDescent="0.25">
      <c r="P206" s="769"/>
      <c r="Q206" s="866"/>
    </row>
    <row r="207" spans="1:21" x14ac:dyDescent="0.25">
      <c r="P207" s="769"/>
      <c r="Q207" s="866"/>
    </row>
    <row r="208" spans="1:21" x14ac:dyDescent="0.25">
      <c r="P208" s="769"/>
      <c r="Q208" s="866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9"/>
      <c r="O209" s="216"/>
      <c r="P209" s="769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8"/>
      <c r="R212" s="484"/>
      <c r="S212" s="79"/>
      <c r="T212" s="877"/>
      <c r="U212" s="79"/>
    </row>
    <row r="213" spans="1:21" x14ac:dyDescent="0.25">
      <c r="P213" s="769"/>
      <c r="Q213" s="868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484"/>
      <c r="S214" s="79"/>
      <c r="T214" s="877"/>
      <c r="U214" s="79"/>
    </row>
    <row r="215" spans="1:21" x14ac:dyDescent="0.25">
      <c r="P215" s="769"/>
      <c r="Q215" s="868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629"/>
      <c r="L216" s="79"/>
      <c r="M216" s="629"/>
      <c r="N216" s="79"/>
      <c r="O216" s="629"/>
      <c r="P216" s="769"/>
      <c r="Q216" s="866"/>
      <c r="R216" s="484"/>
      <c r="S216" s="79"/>
      <c r="T216" s="877"/>
      <c r="U216" s="79"/>
    </row>
    <row r="217" spans="1:21" x14ac:dyDescent="0.25">
      <c r="P217" s="769"/>
      <c r="Q217" s="866"/>
    </row>
    <row r="218" spans="1:21" x14ac:dyDescent="0.25">
      <c r="P218" s="769"/>
      <c r="Q218" s="868"/>
    </row>
    <row r="219" spans="1:21" x14ac:dyDescent="0.25">
      <c r="P219" s="769"/>
      <c r="Q219" s="866"/>
    </row>
    <row r="220" spans="1:21" x14ac:dyDescent="0.25">
      <c r="P220" s="769"/>
      <c r="Q220" s="866"/>
    </row>
    <row r="221" spans="1:21" x14ac:dyDescent="0.25">
      <c r="P221" s="769"/>
      <c r="Q221" s="868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216"/>
      <c r="L222" s="79"/>
      <c r="M222" s="216"/>
      <c r="N222" s="79"/>
      <c r="O222" s="216"/>
      <c r="P222" s="76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223"/>
      <c r="Q226" s="62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56"/>
      <c r="Q227" s="75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79"/>
      <c r="Q228" s="79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9"/>
      <c r="Q229" s="7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484"/>
      <c r="S230" s="79"/>
      <c r="T230" s="877"/>
      <c r="U230" s="79"/>
    </row>
    <row r="232" spans="1:21" x14ac:dyDescent="0.25">
      <c r="P232" s="85"/>
      <c r="Q232" s="85"/>
    </row>
    <row r="239" spans="1:21" x14ac:dyDescent="0.25">
      <c r="P239" s="85"/>
      <c r="Q239" s="85"/>
    </row>
    <row r="243" spans="1:42" s="484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S243" s="79"/>
      <c r="T243" s="877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71"/>
      <c r="Q246" s="518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54" spans="1:42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216"/>
      <c r="S254" s="79"/>
      <c r="T254" s="877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629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7" spans="1:42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216"/>
      <c r="S267" s="79"/>
      <c r="T267" s="877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</row>
    <row r="268" spans="1:42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S268" s="79"/>
      <c r="T268" s="877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</sheetData>
  <autoFilter ref="A2:I140" xr:uid="{00000000-0009-0000-0000-00008C000000}"/>
  <mergeCells count="17">
    <mergeCell ref="C142:D142"/>
    <mergeCell ref="B143:D143"/>
    <mergeCell ref="L2:M3"/>
    <mergeCell ref="N2:O3"/>
    <mergeCell ref="P2:Q3"/>
    <mergeCell ref="A119:E119"/>
    <mergeCell ref="A120:E120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Planilha11"/>
  <dimension ref="A1:AP266"/>
  <sheetViews>
    <sheetView zoomScale="85" zoomScaleNormal="85" workbookViewId="0">
      <pane ySplit="5" topLeftCell="A6" activePane="bottomLeft" state="frozen"/>
      <selection pane="bottomLeft" activeCell="B19" sqref="B19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3926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45200</v>
      </c>
      <c r="B5" s="369" t="s">
        <v>10</v>
      </c>
      <c r="C5" s="370"/>
      <c r="D5" s="370"/>
      <c r="E5" s="777"/>
      <c r="F5" s="179"/>
      <c r="G5" s="933">
        <f>'Setembro-23'!G120</f>
        <v>438.5515833333593</v>
      </c>
      <c r="H5" s="163"/>
      <c r="I5" s="1479">
        <f>'Setembro-23'!I120</f>
        <v>599.99599999999919</v>
      </c>
      <c r="J5" s="179"/>
      <c r="K5" s="933">
        <f>'Setembro-23'!K120</f>
        <v>21637.33</v>
      </c>
      <c r="L5" s="179"/>
      <c r="M5" s="933">
        <f>'Setembro-23'!M120</f>
        <v>5269.0000000000018</v>
      </c>
      <c r="N5" s="179"/>
      <c r="O5" s="1479">
        <f>'Agosto-23'!O123</f>
        <v>0</v>
      </c>
      <c r="P5" s="179"/>
      <c r="Q5" s="933">
        <f>'Setembro-23'!Q120</f>
        <v>53645.085984720004</v>
      </c>
    </row>
    <row r="6" spans="1:42" s="224" customFormat="1" x14ac:dyDescent="0.25">
      <c r="A6" s="247">
        <v>45200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45200</v>
      </c>
      <c r="B7" s="882" t="s">
        <v>14</v>
      </c>
      <c r="C7" s="879" t="s">
        <v>12</v>
      </c>
      <c r="D7" s="879" t="s">
        <v>1486</v>
      </c>
      <c r="E7" s="875" t="s">
        <v>13</v>
      </c>
      <c r="F7" s="780">
        <v>7.53</v>
      </c>
      <c r="G7" s="982"/>
      <c r="H7" s="95"/>
      <c r="I7" s="1064"/>
      <c r="J7" s="622"/>
      <c r="K7" s="982"/>
      <c r="L7" s="622"/>
      <c r="M7" s="982"/>
      <c r="N7" s="622"/>
      <c r="O7" s="1063"/>
      <c r="P7" s="622"/>
      <c r="Q7" s="982"/>
      <c r="R7" s="1956"/>
    </row>
    <row r="8" spans="1:42" s="224" customFormat="1" x14ac:dyDescent="0.25">
      <c r="A8" s="247">
        <v>45200</v>
      </c>
      <c r="B8" s="882" t="s">
        <v>81</v>
      </c>
      <c r="C8" s="879" t="s">
        <v>12</v>
      </c>
      <c r="D8" s="879" t="s">
        <v>1493</v>
      </c>
      <c r="E8" s="875" t="s">
        <v>13</v>
      </c>
      <c r="F8" s="1279">
        <v>6.79</v>
      </c>
      <c r="G8" s="982"/>
      <c r="H8" s="1008"/>
      <c r="I8" s="1063"/>
      <c r="J8" s="622"/>
      <c r="K8" s="982"/>
      <c r="L8" s="622"/>
      <c r="M8" s="982"/>
      <c r="N8" s="622"/>
      <c r="O8" s="1063"/>
      <c r="P8" s="622"/>
      <c r="Q8" s="982"/>
      <c r="R8" s="861"/>
      <c r="T8" s="878"/>
    </row>
    <row r="9" spans="1:42" s="224" customFormat="1" ht="15" customHeight="1" x14ac:dyDescent="0.25">
      <c r="A9" s="247">
        <v>45200</v>
      </c>
      <c r="B9" s="882" t="s">
        <v>1331</v>
      </c>
      <c r="C9" s="879" t="s">
        <v>12</v>
      </c>
      <c r="D9" s="879" t="s">
        <v>2157</v>
      </c>
      <c r="E9" s="871" t="s">
        <v>13</v>
      </c>
      <c r="F9" s="613">
        <v>80</v>
      </c>
      <c r="G9" s="967"/>
      <c r="H9" s="1008"/>
      <c r="I9" s="1063"/>
      <c r="J9" s="1110"/>
      <c r="K9" s="1207"/>
      <c r="L9" s="880"/>
      <c r="M9" s="1033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45200</v>
      </c>
      <c r="B10" s="882" t="s">
        <v>443</v>
      </c>
      <c r="C10" s="879" t="s">
        <v>12</v>
      </c>
      <c r="D10" s="879" t="s">
        <v>1493</v>
      </c>
      <c r="E10" s="875" t="s">
        <v>13</v>
      </c>
      <c r="F10" s="780">
        <v>19.899999999999999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1956"/>
    </row>
    <row r="11" spans="1:42" s="224" customFormat="1" x14ac:dyDescent="0.25">
      <c r="A11" s="247">
        <v>45201</v>
      </c>
      <c r="B11" s="882" t="s">
        <v>3927</v>
      </c>
      <c r="C11" s="879" t="s">
        <v>12</v>
      </c>
      <c r="D11" s="879"/>
      <c r="E11" s="875" t="s">
        <v>25</v>
      </c>
      <c r="F11" s="1279"/>
      <c r="G11" s="982">
        <v>5582.25</v>
      </c>
      <c r="H11" s="1008"/>
      <c r="I11" s="1063"/>
      <c r="J11" s="622"/>
      <c r="K11" s="982"/>
      <c r="L11" s="622"/>
      <c r="M11" s="982"/>
      <c r="N11" s="622"/>
      <c r="O11" s="1063"/>
      <c r="P11" s="622">
        <v>5582.25</v>
      </c>
      <c r="Q11" s="982"/>
      <c r="R11" s="861"/>
      <c r="T11" s="878"/>
    </row>
    <row r="12" spans="1:42" s="224" customFormat="1" ht="15" customHeight="1" x14ac:dyDescent="0.25">
      <c r="A12" s="247">
        <v>45201</v>
      </c>
      <c r="B12" s="882" t="s">
        <v>2789</v>
      </c>
      <c r="C12" s="879" t="s">
        <v>12</v>
      </c>
      <c r="D12" s="879" t="s">
        <v>1485</v>
      </c>
      <c r="E12" s="871" t="s">
        <v>13</v>
      </c>
      <c r="F12" s="780">
        <v>8.4</v>
      </c>
      <c r="G12" s="982"/>
      <c r="H12" s="1008"/>
      <c r="I12" s="1063"/>
      <c r="J12" s="622"/>
      <c r="K12" s="982"/>
      <c r="L12" s="622"/>
      <c r="M12" s="982"/>
      <c r="N12" s="622"/>
      <c r="O12" s="1063"/>
      <c r="P12" s="622"/>
      <c r="Q12" s="982"/>
      <c r="R12" s="861"/>
      <c r="T12" s="1035"/>
    </row>
    <row r="13" spans="1:42" s="224" customFormat="1" ht="15" customHeight="1" x14ac:dyDescent="0.25">
      <c r="A13" s="247">
        <v>45201</v>
      </c>
      <c r="B13" s="1275" t="s">
        <v>14</v>
      </c>
      <c r="C13" s="1276" t="s">
        <v>12</v>
      </c>
      <c r="D13" s="1276" t="s">
        <v>1486</v>
      </c>
      <c r="E13" s="1286" t="s">
        <v>13</v>
      </c>
      <c r="F13" s="780">
        <v>6.58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982"/>
      <c r="R13" s="861"/>
      <c r="T13" s="927"/>
      <c r="U13" s="999"/>
    </row>
    <row r="14" spans="1:42" s="224" customFormat="1" ht="15" customHeight="1" x14ac:dyDescent="0.25">
      <c r="A14" s="247">
        <v>45202</v>
      </c>
      <c r="B14" s="882" t="s">
        <v>32</v>
      </c>
      <c r="C14" s="1276" t="s">
        <v>12</v>
      </c>
      <c r="D14" s="879" t="s">
        <v>1485</v>
      </c>
      <c r="E14" s="871" t="s">
        <v>13</v>
      </c>
      <c r="F14" s="780">
        <v>20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1956"/>
    </row>
    <row r="15" spans="1:42" s="224" customFormat="1" ht="15" customHeight="1" x14ac:dyDescent="0.25">
      <c r="A15" s="247">
        <v>45202</v>
      </c>
      <c r="B15" s="882" t="s">
        <v>3928</v>
      </c>
      <c r="C15" s="1276" t="s">
        <v>12</v>
      </c>
      <c r="D15" s="879" t="s">
        <v>1525</v>
      </c>
      <c r="E15" s="871" t="s">
        <v>13</v>
      </c>
      <c r="F15" s="780">
        <v>186.9</v>
      </c>
      <c r="G15" s="982"/>
      <c r="H15" s="95"/>
      <c r="I15" s="1064"/>
      <c r="J15" s="622"/>
      <c r="K15" s="982"/>
      <c r="L15" s="622"/>
      <c r="M15" s="982"/>
      <c r="N15" s="622"/>
      <c r="O15" s="1063"/>
      <c r="P15" s="622"/>
      <c r="Q15" s="982"/>
      <c r="R15" s="1956" t="s">
        <v>3292</v>
      </c>
    </row>
    <row r="16" spans="1:42" s="224" customFormat="1" ht="15" customHeight="1" x14ac:dyDescent="0.25">
      <c r="A16" s="247">
        <v>45202</v>
      </c>
      <c r="B16" s="882" t="s">
        <v>3929</v>
      </c>
      <c r="C16" s="1276" t="s">
        <v>12</v>
      </c>
      <c r="D16" s="879" t="s">
        <v>1506</v>
      </c>
      <c r="E16" s="871" t="s">
        <v>13</v>
      </c>
      <c r="F16" s="780">
        <v>48.333333333333336</v>
      </c>
      <c r="G16" s="982"/>
      <c r="H16" s="95"/>
      <c r="I16" s="1064"/>
      <c r="J16" s="622"/>
      <c r="K16" s="982"/>
      <c r="L16" s="622"/>
      <c r="M16" s="982"/>
      <c r="N16" s="622"/>
      <c r="O16" s="1063"/>
      <c r="P16" s="622"/>
      <c r="Q16" s="982"/>
      <c r="R16" s="1956" t="s">
        <v>3292</v>
      </c>
    </row>
    <row r="17" spans="1:42" s="224" customFormat="1" ht="15" customHeight="1" x14ac:dyDescent="0.25">
      <c r="A17" s="247">
        <v>45202</v>
      </c>
      <c r="B17" s="882" t="s">
        <v>3930</v>
      </c>
      <c r="C17" s="1276" t="s">
        <v>12</v>
      </c>
      <c r="D17" s="879" t="s">
        <v>1506</v>
      </c>
      <c r="E17" s="871" t="s">
        <v>13</v>
      </c>
      <c r="F17" s="780">
        <v>48.333333333333336</v>
      </c>
      <c r="G17" s="982"/>
      <c r="H17" s="95"/>
      <c r="I17" s="1064"/>
      <c r="J17" s="622"/>
      <c r="K17" s="982"/>
      <c r="L17" s="622"/>
      <c r="M17" s="982"/>
      <c r="N17" s="622"/>
      <c r="O17" s="1063"/>
      <c r="P17" s="622"/>
      <c r="Q17" s="982"/>
      <c r="R17" s="1956" t="s">
        <v>3292</v>
      </c>
    </row>
    <row r="18" spans="1:42" s="224" customFormat="1" ht="15" customHeight="1" x14ac:dyDescent="0.25">
      <c r="A18" s="247">
        <v>45202</v>
      </c>
      <c r="B18" s="882" t="s">
        <v>3931</v>
      </c>
      <c r="C18" s="1276" t="s">
        <v>12</v>
      </c>
      <c r="D18" s="879" t="s">
        <v>1506</v>
      </c>
      <c r="E18" s="871" t="s">
        <v>13</v>
      </c>
      <c r="F18" s="780">
        <v>16.666666666666668</v>
      </c>
      <c r="G18" s="982"/>
      <c r="H18" s="95"/>
      <c r="I18" s="1064"/>
      <c r="J18" s="622"/>
      <c r="K18" s="982"/>
      <c r="L18" s="622"/>
      <c r="M18" s="982"/>
      <c r="N18" s="622"/>
      <c r="O18" s="1063"/>
      <c r="P18" s="622"/>
      <c r="Q18" s="982"/>
      <c r="R18" s="1956" t="s">
        <v>3292</v>
      </c>
    </row>
    <row r="19" spans="1:42" s="224" customFormat="1" ht="15" customHeight="1" x14ac:dyDescent="0.25">
      <c r="A19" s="247">
        <v>45202</v>
      </c>
      <c r="B19" s="882" t="s">
        <v>3932</v>
      </c>
      <c r="C19" s="1276" t="s">
        <v>12</v>
      </c>
      <c r="D19" s="879" t="s">
        <v>1506</v>
      </c>
      <c r="E19" s="871" t="s">
        <v>13</v>
      </c>
      <c r="F19" s="780">
        <v>20</v>
      </c>
      <c r="G19" s="982"/>
      <c r="H19" s="95"/>
      <c r="I19" s="1064"/>
      <c r="J19" s="622"/>
      <c r="K19" s="982"/>
      <c r="L19" s="622"/>
      <c r="M19" s="982"/>
      <c r="N19" s="622"/>
      <c r="O19" s="1063"/>
      <c r="P19" s="622"/>
      <c r="Q19" s="982"/>
      <c r="R19" s="1956" t="s">
        <v>3292</v>
      </c>
    </row>
    <row r="20" spans="1:42" s="224" customFormat="1" ht="15" customHeight="1" x14ac:dyDescent="0.25">
      <c r="A20" s="247">
        <v>45202</v>
      </c>
      <c r="B20" s="882" t="s">
        <v>3933</v>
      </c>
      <c r="C20" s="1276" t="s">
        <v>12</v>
      </c>
      <c r="D20" s="879" t="s">
        <v>1522</v>
      </c>
      <c r="E20" s="871" t="s">
        <v>13</v>
      </c>
      <c r="F20" s="780">
        <v>800</v>
      </c>
      <c r="G20" s="982"/>
      <c r="H20" s="95"/>
      <c r="I20" s="1064"/>
      <c r="J20" s="622"/>
      <c r="K20" s="982"/>
      <c r="L20" s="622"/>
      <c r="M20" s="982"/>
      <c r="N20" s="622"/>
      <c r="O20" s="1063"/>
      <c r="P20" s="622"/>
      <c r="Q20" s="982"/>
      <c r="R20" s="1956" t="s">
        <v>3292</v>
      </c>
    </row>
    <row r="21" spans="1:42" s="224" customFormat="1" ht="15" customHeight="1" x14ac:dyDescent="0.25">
      <c r="A21" s="247">
        <v>45202</v>
      </c>
      <c r="B21" s="882" t="s">
        <v>3934</v>
      </c>
      <c r="C21" s="1276" t="s">
        <v>12</v>
      </c>
      <c r="D21" s="879" t="s">
        <v>1522</v>
      </c>
      <c r="E21" s="871" t="s">
        <v>13</v>
      </c>
      <c r="F21" s="780">
        <v>92.5</v>
      </c>
      <c r="G21" s="982"/>
      <c r="H21" s="95"/>
      <c r="I21" s="1064"/>
      <c r="J21" s="622"/>
      <c r="K21" s="982"/>
      <c r="L21" s="622"/>
      <c r="M21" s="982"/>
      <c r="N21" s="622"/>
      <c r="O21" s="1063"/>
      <c r="P21" s="622"/>
      <c r="Q21" s="982"/>
      <c r="R21" s="1956" t="s">
        <v>3292</v>
      </c>
    </row>
    <row r="22" spans="1:42" s="224" customFormat="1" ht="15" customHeight="1" x14ac:dyDescent="0.25">
      <c r="A22" s="247">
        <v>45202</v>
      </c>
      <c r="B22" s="1275" t="s">
        <v>14</v>
      </c>
      <c r="C22" s="1276" t="s">
        <v>12</v>
      </c>
      <c r="D22" s="1276" t="s">
        <v>1486</v>
      </c>
      <c r="E22" s="1286" t="s">
        <v>13</v>
      </c>
      <c r="F22" s="780">
        <v>16.11</v>
      </c>
      <c r="G22" s="982"/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861"/>
    </row>
    <row r="23" spans="1:42" s="224" customFormat="1" ht="14.25" customHeight="1" x14ac:dyDescent="0.25">
      <c r="A23" s="247">
        <v>45203</v>
      </c>
      <c r="B23" s="882" t="s">
        <v>3935</v>
      </c>
      <c r="C23" s="879" t="s">
        <v>12</v>
      </c>
      <c r="D23" s="879" t="s">
        <v>3017</v>
      </c>
      <c r="E23" s="875" t="s">
        <v>13</v>
      </c>
      <c r="F23" s="780">
        <v>1438.77</v>
      </c>
      <c r="G23" s="982"/>
      <c r="H23" s="1008"/>
      <c r="I23" s="1063"/>
      <c r="J23" s="622"/>
      <c r="K23" s="982">
        <f>F23</f>
        <v>1438.77</v>
      </c>
      <c r="L23" s="622"/>
      <c r="M23" s="982"/>
      <c r="N23" s="622"/>
      <c r="O23" s="1063"/>
      <c r="P23" s="622"/>
      <c r="Q23" s="982"/>
      <c r="R23" s="1028" t="s">
        <v>3936</v>
      </c>
      <c r="S23" s="878"/>
      <c r="T23" s="1035"/>
    </row>
    <row r="24" spans="1:42" s="224" customFormat="1" ht="15" customHeight="1" x14ac:dyDescent="0.25">
      <c r="A24" s="247">
        <v>45203</v>
      </c>
      <c r="B24" s="882" t="s">
        <v>32</v>
      </c>
      <c r="C24" s="1276" t="s">
        <v>12</v>
      </c>
      <c r="D24" s="879" t="s">
        <v>1485</v>
      </c>
      <c r="E24" s="871" t="s">
        <v>13</v>
      </c>
      <c r="F24" s="780">
        <v>20</v>
      </c>
      <c r="G24" s="982"/>
      <c r="H24" s="95"/>
      <c r="I24" s="1064"/>
      <c r="J24" s="622"/>
      <c r="K24" s="982"/>
      <c r="L24" s="622"/>
      <c r="M24" s="982"/>
      <c r="N24" s="622"/>
      <c r="O24" s="1063"/>
      <c r="P24" s="622"/>
      <c r="Q24" s="982"/>
      <c r="R24" s="1956"/>
    </row>
    <row r="25" spans="1:42" s="224" customFormat="1" x14ac:dyDescent="0.25">
      <c r="A25" s="247">
        <v>45204</v>
      </c>
      <c r="B25" s="364" t="s">
        <v>398</v>
      </c>
      <c r="C25" s="1276"/>
      <c r="D25" s="1276"/>
      <c r="E25" s="1277"/>
      <c r="F25" s="1873">
        <v>1200</v>
      </c>
      <c r="G25" s="982"/>
      <c r="H25" s="1008"/>
      <c r="I25" s="1063">
        <v>1200</v>
      </c>
      <c r="J25" s="622"/>
      <c r="K25" s="982"/>
      <c r="L25" s="622"/>
      <c r="M25" s="982"/>
      <c r="N25" s="622"/>
      <c r="O25" s="1063"/>
      <c r="P25" s="622"/>
      <c r="Q25" s="982"/>
      <c r="R25" s="861"/>
      <c r="T25" s="878"/>
    </row>
    <row r="26" spans="1:42" s="224" customFormat="1" x14ac:dyDescent="0.25">
      <c r="A26" s="247">
        <v>45204</v>
      </c>
      <c r="B26" s="882" t="s">
        <v>3130</v>
      </c>
      <c r="C26" s="879" t="s">
        <v>12</v>
      </c>
      <c r="D26" s="879" t="s">
        <v>1506</v>
      </c>
      <c r="E26" s="875" t="s">
        <v>13</v>
      </c>
      <c r="F26" s="1279">
        <v>24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861"/>
      <c r="T26" s="878"/>
    </row>
    <row r="27" spans="1:42" s="224" customFormat="1" x14ac:dyDescent="0.25">
      <c r="A27" s="247">
        <v>45204</v>
      </c>
      <c r="B27" s="882" t="s">
        <v>3937</v>
      </c>
      <c r="C27" s="879" t="s">
        <v>12</v>
      </c>
      <c r="D27" s="879" t="s">
        <v>1525</v>
      </c>
      <c r="E27" s="875" t="s">
        <v>13</v>
      </c>
      <c r="F27" s="1279">
        <v>28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ht="15" customHeight="1" x14ac:dyDescent="0.25">
      <c r="A28" s="247">
        <v>45204</v>
      </c>
      <c r="B28" s="882" t="s">
        <v>32</v>
      </c>
      <c r="C28" s="1276" t="s">
        <v>12</v>
      </c>
      <c r="D28" s="879" t="s">
        <v>1485</v>
      </c>
      <c r="E28" s="871" t="s">
        <v>13</v>
      </c>
      <c r="F28" s="780">
        <v>20</v>
      </c>
      <c r="G28" s="982"/>
      <c r="H28" s="95"/>
      <c r="I28" s="1064"/>
      <c r="J28" s="622"/>
      <c r="K28" s="982"/>
      <c r="L28" s="622"/>
      <c r="M28" s="982"/>
      <c r="N28" s="622"/>
      <c r="O28" s="1063"/>
      <c r="P28" s="622"/>
      <c r="Q28" s="982"/>
      <c r="R28" s="1956"/>
    </row>
    <row r="29" spans="1:42" s="1274" customFormat="1" ht="15" customHeight="1" x14ac:dyDescent="0.25">
      <c r="A29" s="247">
        <v>45204</v>
      </c>
      <c r="B29" s="882" t="s">
        <v>1331</v>
      </c>
      <c r="C29" s="879" t="s">
        <v>12</v>
      </c>
      <c r="D29" s="879" t="s">
        <v>2157</v>
      </c>
      <c r="E29" s="871" t="s">
        <v>13</v>
      </c>
      <c r="F29" s="613">
        <v>80</v>
      </c>
      <c r="G29" s="1278"/>
      <c r="H29" s="1282"/>
      <c r="I29" s="1283"/>
      <c r="J29" s="1279"/>
      <c r="K29" s="1278"/>
      <c r="L29" s="1279"/>
      <c r="M29" s="1278"/>
      <c r="N29" s="1279"/>
      <c r="O29" s="1283"/>
      <c r="P29" s="1702"/>
      <c r="Q29" s="1703"/>
      <c r="R29" s="1281"/>
      <c r="T29" s="1281"/>
      <c r="U29" s="1294"/>
    </row>
    <row r="30" spans="1:42" s="224" customFormat="1" ht="15.75" customHeight="1" x14ac:dyDescent="0.25">
      <c r="A30" s="247">
        <v>45205</v>
      </c>
      <c r="B30" s="873" t="s">
        <v>3938</v>
      </c>
      <c r="C30" s="879" t="s">
        <v>12</v>
      </c>
      <c r="D30" s="874"/>
      <c r="E30" s="871" t="s">
        <v>25</v>
      </c>
      <c r="F30" s="1524"/>
      <c r="G30" s="1002">
        <v>2111.15</v>
      </c>
      <c r="H30" s="538"/>
      <c r="I30" s="982"/>
      <c r="J30" s="622"/>
      <c r="K30" s="982"/>
      <c r="L30" s="622"/>
      <c r="M30" s="982"/>
      <c r="N30" s="622"/>
      <c r="O30" s="1063"/>
      <c r="P30" s="622"/>
      <c r="Q30" s="982"/>
      <c r="R30" s="178"/>
    </row>
    <row r="31" spans="1:42" s="224" customFormat="1" ht="15" customHeight="1" x14ac:dyDescent="0.25">
      <c r="A31" s="247">
        <v>45205</v>
      </c>
      <c r="B31" s="364" t="s">
        <v>3939</v>
      </c>
      <c r="C31" s="879" t="s">
        <v>12</v>
      </c>
      <c r="D31" s="879"/>
      <c r="E31" s="875" t="s">
        <v>25</v>
      </c>
      <c r="F31" s="780"/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982">
        <v>420</v>
      </c>
      <c r="R31" s="927"/>
      <c r="S31" s="927"/>
      <c r="T31" s="878"/>
    </row>
    <row r="32" spans="1:42" s="224" customFormat="1" ht="15" customHeight="1" x14ac:dyDescent="0.25">
      <c r="A32" s="247">
        <v>45205</v>
      </c>
      <c r="B32" s="364" t="s">
        <v>1396</v>
      </c>
      <c r="C32" s="879" t="s">
        <v>12</v>
      </c>
      <c r="D32" s="350"/>
      <c r="E32" s="480" t="s">
        <v>25</v>
      </c>
      <c r="F32" s="613"/>
      <c r="G32" s="967">
        <v>100</v>
      </c>
      <c r="H32" s="1008"/>
      <c r="I32" s="1063"/>
      <c r="J32" s="1116"/>
      <c r="K32" s="1207"/>
      <c r="L32" s="622"/>
      <c r="M32" s="982"/>
      <c r="N32" s="622"/>
      <c r="O32" s="1063"/>
      <c r="P32" s="1116"/>
      <c r="Q32" s="1207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45205</v>
      </c>
      <c r="B33" s="862" t="s">
        <v>3422</v>
      </c>
      <c r="C33" s="879" t="s">
        <v>12</v>
      </c>
      <c r="D33" s="879" t="s">
        <v>1504</v>
      </c>
      <c r="E33" s="871" t="s">
        <v>13</v>
      </c>
      <c r="F33" s="780">
        <v>50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178"/>
      <c r="S33" s="1028"/>
      <c r="T33" s="1035"/>
    </row>
    <row r="34" spans="1:42" s="224" customFormat="1" ht="15" customHeight="1" x14ac:dyDescent="0.25">
      <c r="A34" s="247">
        <v>45205</v>
      </c>
      <c r="B34" s="882" t="s">
        <v>3940</v>
      </c>
      <c r="C34" s="879" t="s">
        <v>12</v>
      </c>
      <c r="D34" s="879" t="s">
        <v>1499</v>
      </c>
      <c r="E34" s="871" t="s">
        <v>13</v>
      </c>
      <c r="F34" s="780">
        <v>34.75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028"/>
      <c r="S34" s="999"/>
      <c r="T34" s="878"/>
    </row>
    <row r="35" spans="1:42" s="224" customFormat="1" ht="15" customHeight="1" x14ac:dyDescent="0.25">
      <c r="A35" s="247">
        <v>45205</v>
      </c>
      <c r="B35" s="882" t="s">
        <v>3941</v>
      </c>
      <c r="C35" s="879" t="s">
        <v>12</v>
      </c>
      <c r="D35" s="879" t="s">
        <v>1499</v>
      </c>
      <c r="E35" s="871" t="s">
        <v>13</v>
      </c>
      <c r="F35" s="780">
        <v>50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861">
        <v>100</v>
      </c>
      <c r="T35" s="1123"/>
      <c r="U35" s="999"/>
    </row>
    <row r="36" spans="1:42" s="224" customFormat="1" ht="15" customHeight="1" x14ac:dyDescent="0.25">
      <c r="A36" s="247">
        <v>45205</v>
      </c>
      <c r="B36" s="364" t="s">
        <v>2977</v>
      </c>
      <c r="C36" s="879" t="s">
        <v>12</v>
      </c>
      <c r="D36" s="350" t="s">
        <v>1491</v>
      </c>
      <c r="E36" s="875" t="s">
        <v>13</v>
      </c>
      <c r="F36" s="780">
        <v>300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1028"/>
      <c r="T36" s="1035"/>
    </row>
    <row r="37" spans="1:42" s="224" customFormat="1" ht="15" customHeight="1" x14ac:dyDescent="0.25">
      <c r="A37" s="247">
        <v>45205</v>
      </c>
      <c r="B37" s="364" t="s">
        <v>3942</v>
      </c>
      <c r="C37" s="879" t="s">
        <v>12</v>
      </c>
      <c r="D37" s="350" t="s">
        <v>1491</v>
      </c>
      <c r="E37" s="875" t="s">
        <v>13</v>
      </c>
      <c r="F37" s="780">
        <v>70</v>
      </c>
      <c r="G37" s="982"/>
      <c r="H37" s="1008"/>
      <c r="I37" s="1063"/>
      <c r="J37" s="622"/>
      <c r="K37" s="982"/>
      <c r="L37" s="622"/>
      <c r="M37" s="982"/>
      <c r="N37" s="622"/>
      <c r="O37" s="1063"/>
      <c r="P37" s="622"/>
      <c r="Q37" s="982"/>
      <c r="R37" s="1028"/>
      <c r="T37" s="1035"/>
    </row>
    <row r="38" spans="1:42" x14ac:dyDescent="0.25">
      <c r="A38" s="247">
        <v>45205</v>
      </c>
      <c r="B38" s="876" t="s">
        <v>3844</v>
      </c>
      <c r="C38" s="879" t="s">
        <v>12</v>
      </c>
      <c r="D38" s="879" t="s">
        <v>1496</v>
      </c>
      <c r="E38" s="871" t="s">
        <v>13</v>
      </c>
      <c r="F38" s="780">
        <v>90</v>
      </c>
      <c r="G38" s="982"/>
      <c r="H38" s="1009"/>
      <c r="I38" s="1063"/>
      <c r="J38" s="622"/>
      <c r="K38" s="982"/>
      <c r="L38" s="622"/>
      <c r="M38" s="982"/>
      <c r="N38" s="622"/>
      <c r="O38" s="1063"/>
      <c r="P38" s="622"/>
      <c r="Q38" s="982"/>
      <c r="R38" s="1029"/>
    </row>
    <row r="39" spans="1:42" s="224" customFormat="1" ht="14.25" customHeight="1" x14ac:dyDescent="0.25">
      <c r="A39" s="247">
        <v>45205</v>
      </c>
      <c r="B39" s="882" t="s">
        <v>3943</v>
      </c>
      <c r="C39" s="879" t="s">
        <v>12</v>
      </c>
      <c r="D39" s="879" t="s">
        <v>3017</v>
      </c>
      <c r="E39" s="875" t="s">
        <v>13</v>
      </c>
      <c r="F39" s="780">
        <v>252.24</v>
      </c>
      <c r="G39" s="982"/>
      <c r="H39" s="1008"/>
      <c r="I39" s="1063"/>
      <c r="J39" s="622"/>
      <c r="K39" s="982">
        <v>252.24</v>
      </c>
      <c r="L39" s="622"/>
      <c r="M39" s="982"/>
      <c r="N39" s="622"/>
      <c r="O39" s="1063"/>
      <c r="P39" s="622"/>
      <c r="Q39" s="982"/>
      <c r="R39" s="861">
        <v>830</v>
      </c>
      <c r="S39" s="878" t="s">
        <v>3897</v>
      </c>
      <c r="T39" s="1035"/>
    </row>
    <row r="40" spans="1:42" s="224" customFormat="1" ht="15" customHeight="1" x14ac:dyDescent="0.25">
      <c r="A40" s="247">
        <v>45205</v>
      </c>
      <c r="B40" s="882" t="s">
        <v>32</v>
      </c>
      <c r="C40" s="1276" t="s">
        <v>12</v>
      </c>
      <c r="D40" s="879" t="s">
        <v>1485</v>
      </c>
      <c r="E40" s="871" t="s">
        <v>13</v>
      </c>
      <c r="F40" s="780">
        <v>20</v>
      </c>
      <c r="G40" s="982"/>
      <c r="H40" s="95"/>
      <c r="I40" s="1064"/>
      <c r="J40" s="622"/>
      <c r="K40" s="982"/>
      <c r="L40" s="622"/>
      <c r="M40" s="982"/>
      <c r="N40" s="622"/>
      <c r="O40" s="1063"/>
      <c r="P40" s="622"/>
      <c r="Q40" s="982"/>
      <c r="R40" s="1956"/>
    </row>
    <row r="41" spans="1:42" s="224" customFormat="1" ht="15" customHeight="1" x14ac:dyDescent="0.25">
      <c r="A41" s="247">
        <v>45205</v>
      </c>
      <c r="B41" s="882" t="s">
        <v>82</v>
      </c>
      <c r="C41" s="879" t="s">
        <v>12</v>
      </c>
      <c r="D41" s="879" t="s">
        <v>1493</v>
      </c>
      <c r="E41" s="871" t="s">
        <v>13</v>
      </c>
      <c r="F41" s="780">
        <v>27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622"/>
      <c r="Q41" s="982"/>
      <c r="R41" s="1280"/>
      <c r="S41" s="927"/>
      <c r="T41" s="878"/>
    </row>
    <row r="42" spans="1:42" s="224" customFormat="1" ht="15" customHeight="1" x14ac:dyDescent="0.25">
      <c r="A42" s="247">
        <v>45206</v>
      </c>
      <c r="B42" s="1275" t="s">
        <v>14</v>
      </c>
      <c r="C42" s="1276" t="s">
        <v>12</v>
      </c>
      <c r="D42" s="1276" t="s">
        <v>1486</v>
      </c>
      <c r="E42" s="1286" t="s">
        <v>13</v>
      </c>
      <c r="F42" s="780">
        <v>8.9600000000000009</v>
      </c>
      <c r="G42" s="946"/>
      <c r="H42" s="95"/>
      <c r="I42" s="1064"/>
      <c r="J42" s="622"/>
      <c r="K42" s="982"/>
      <c r="L42" s="622"/>
      <c r="M42" s="982"/>
      <c r="N42" s="622"/>
      <c r="O42" s="1063"/>
      <c r="P42" s="622"/>
      <c r="Q42" s="982"/>
      <c r="R42" s="861"/>
      <c r="T42" s="927"/>
      <c r="U42" s="999"/>
    </row>
    <row r="43" spans="1:42" s="224" customFormat="1" ht="15" customHeight="1" x14ac:dyDescent="0.25">
      <c r="A43" s="247">
        <v>45206</v>
      </c>
      <c r="B43" s="873" t="s">
        <v>2629</v>
      </c>
      <c r="C43" s="874" t="s">
        <v>19</v>
      </c>
      <c r="D43" s="874" t="s">
        <v>1489</v>
      </c>
      <c r="E43" s="875" t="s">
        <v>13</v>
      </c>
      <c r="F43" s="780">
        <v>138.91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1280"/>
      <c r="S43" s="927"/>
      <c r="T43" s="878"/>
    </row>
    <row r="44" spans="1:42" s="224" customFormat="1" ht="15" customHeight="1" x14ac:dyDescent="0.25">
      <c r="A44" s="247">
        <v>45206</v>
      </c>
      <c r="B44" s="1275" t="s">
        <v>101</v>
      </c>
      <c r="C44" s="1276" t="s">
        <v>12</v>
      </c>
      <c r="D44" s="1276" t="s">
        <v>1493</v>
      </c>
      <c r="E44" s="1286" t="s">
        <v>13</v>
      </c>
      <c r="F44" s="780">
        <v>19.82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982"/>
      <c r="R44" s="1280"/>
      <c r="S44" s="927"/>
      <c r="T44" s="878"/>
    </row>
    <row r="45" spans="1:42" s="224" customFormat="1" ht="15" customHeight="1" x14ac:dyDescent="0.25">
      <c r="A45" s="247">
        <v>45207</v>
      </c>
      <c r="B45" s="873"/>
      <c r="C45" s="874"/>
      <c r="D45" s="874"/>
      <c r="E45" s="875"/>
      <c r="F45" s="780"/>
      <c r="G45" s="982"/>
      <c r="H45" s="622"/>
      <c r="I45" s="982"/>
      <c r="J45" s="622"/>
      <c r="K45" s="982"/>
      <c r="L45" s="622"/>
      <c r="M45" s="982"/>
      <c r="N45" s="622"/>
      <c r="O45" s="1063"/>
      <c r="P45" s="622"/>
      <c r="Q45" s="982"/>
      <c r="R45" s="1280"/>
      <c r="S45" s="927"/>
      <c r="T45" s="878"/>
    </row>
    <row r="46" spans="1:42" s="224" customFormat="1" ht="15" customHeight="1" x14ac:dyDescent="0.25">
      <c r="A46" s="247">
        <v>45208</v>
      </c>
      <c r="B46" s="882" t="s">
        <v>32</v>
      </c>
      <c r="C46" s="1276" t="s">
        <v>12</v>
      </c>
      <c r="D46" s="879" t="s">
        <v>1485</v>
      </c>
      <c r="E46" s="871" t="s">
        <v>13</v>
      </c>
      <c r="F46" s="780">
        <v>20</v>
      </c>
      <c r="G46" s="982"/>
      <c r="H46" s="95"/>
      <c r="I46" s="1064"/>
      <c r="J46" s="622"/>
      <c r="K46" s="982"/>
      <c r="L46" s="622"/>
      <c r="M46" s="982"/>
      <c r="N46" s="622"/>
      <c r="O46" s="1063"/>
      <c r="P46" s="622"/>
      <c r="Q46" s="982"/>
      <c r="R46" s="1956"/>
    </row>
    <row r="47" spans="1:42" s="224" customFormat="1" ht="15" customHeight="1" x14ac:dyDescent="0.25">
      <c r="A47" s="247">
        <v>45208</v>
      </c>
      <c r="B47" s="1688" t="s">
        <v>1820</v>
      </c>
      <c r="C47" s="874" t="s">
        <v>12</v>
      </c>
      <c r="D47" s="874" t="s">
        <v>1489</v>
      </c>
      <c r="E47" s="875" t="s">
        <v>13</v>
      </c>
      <c r="F47" s="780">
        <v>21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927"/>
      <c r="S47" s="927"/>
      <c r="T47" s="878"/>
    </row>
    <row r="48" spans="1:42" s="224" customFormat="1" ht="15" customHeight="1" x14ac:dyDescent="0.25">
      <c r="A48" s="247">
        <v>45209</v>
      </c>
      <c r="B48" s="364" t="s">
        <v>3354</v>
      </c>
      <c r="C48" s="350" t="s">
        <v>12</v>
      </c>
      <c r="D48" s="350"/>
      <c r="E48" s="480" t="s">
        <v>25</v>
      </c>
      <c r="F48" s="613"/>
      <c r="G48" s="967"/>
      <c r="H48" s="1008"/>
      <c r="I48" s="1063"/>
      <c r="J48" s="1110"/>
      <c r="K48" s="1207"/>
      <c r="L48" s="880"/>
      <c r="M48" s="1033"/>
      <c r="N48" s="880"/>
      <c r="O48" s="1525"/>
      <c r="P48" s="613"/>
      <c r="Q48" s="162">
        <v>172.97</v>
      </c>
      <c r="R48" s="1209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45209</v>
      </c>
      <c r="B49" s="882" t="s">
        <v>32</v>
      </c>
      <c r="C49" s="1276" t="s">
        <v>12</v>
      </c>
      <c r="D49" s="879" t="s">
        <v>1485</v>
      </c>
      <c r="E49" s="871" t="s">
        <v>13</v>
      </c>
      <c r="F49" s="780">
        <v>20</v>
      </c>
      <c r="G49" s="982"/>
      <c r="H49" s="95"/>
      <c r="I49" s="1064"/>
      <c r="J49" s="622"/>
      <c r="K49" s="982"/>
      <c r="L49" s="622"/>
      <c r="M49" s="982"/>
      <c r="N49" s="622"/>
      <c r="O49" s="1063"/>
      <c r="P49" s="622"/>
      <c r="Q49" s="982"/>
      <c r="R49" s="1956"/>
    </row>
    <row r="50" spans="1:42" s="224" customFormat="1" ht="15" customHeight="1" x14ac:dyDescent="0.25">
      <c r="A50" s="247">
        <v>45210</v>
      </c>
      <c r="B50" s="882" t="s">
        <v>32</v>
      </c>
      <c r="C50" s="1276" t="s">
        <v>12</v>
      </c>
      <c r="D50" s="879" t="s">
        <v>1485</v>
      </c>
      <c r="E50" s="871" t="s">
        <v>13</v>
      </c>
      <c r="F50" s="780">
        <v>20</v>
      </c>
      <c r="G50" s="982"/>
      <c r="H50" s="622"/>
      <c r="I50" s="982"/>
      <c r="J50" s="622"/>
      <c r="K50" s="982"/>
      <c r="L50" s="622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45210</v>
      </c>
      <c r="B51" s="873" t="s">
        <v>443</v>
      </c>
      <c r="C51" s="874" t="s">
        <v>12</v>
      </c>
      <c r="D51" s="874" t="s">
        <v>1493</v>
      </c>
      <c r="E51" s="875" t="s">
        <v>13</v>
      </c>
      <c r="F51" s="780">
        <v>20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927"/>
      <c r="S51" s="927"/>
      <c r="T51" s="878"/>
    </row>
    <row r="52" spans="1:42" s="224" customFormat="1" ht="15" customHeight="1" x14ac:dyDescent="0.25">
      <c r="A52" s="247">
        <v>45210</v>
      </c>
      <c r="B52" s="882" t="s">
        <v>256</v>
      </c>
      <c r="C52" s="879" t="s">
        <v>12</v>
      </c>
      <c r="D52" s="879"/>
      <c r="E52" s="875"/>
      <c r="F52" s="780"/>
      <c r="G52" s="982">
        <v>800</v>
      </c>
      <c r="H52" s="622">
        <v>800</v>
      </c>
      <c r="I52" s="982"/>
      <c r="J52" s="622"/>
      <c r="K52" s="982"/>
      <c r="L52" s="622"/>
      <c r="M52" s="982"/>
      <c r="N52" s="622"/>
      <c r="O52" s="1063"/>
      <c r="P52" s="880"/>
      <c r="Q52" s="1033"/>
      <c r="R52" s="927"/>
      <c r="T52" s="878"/>
    </row>
    <row r="53" spans="1:42" s="224" customFormat="1" ht="14.25" customHeight="1" x14ac:dyDescent="0.25">
      <c r="A53" s="247">
        <v>45210</v>
      </c>
      <c r="B53" s="882" t="s">
        <v>3944</v>
      </c>
      <c r="C53" s="879" t="s">
        <v>12</v>
      </c>
      <c r="D53" s="879" t="s">
        <v>3017</v>
      </c>
      <c r="E53" s="875" t="s">
        <v>13</v>
      </c>
      <c r="F53" s="780">
        <v>968</v>
      </c>
      <c r="G53" s="982"/>
      <c r="H53" s="1008"/>
      <c r="I53" s="1063"/>
      <c r="J53" s="622"/>
      <c r="K53" s="982">
        <v>968</v>
      </c>
      <c r="L53" s="622"/>
      <c r="M53" s="982"/>
      <c r="N53" s="622"/>
      <c r="O53" s="1063"/>
      <c r="P53" s="622"/>
      <c r="Q53" s="982"/>
      <c r="R53" s="861"/>
      <c r="S53" s="878"/>
      <c r="T53" s="1035"/>
    </row>
    <row r="54" spans="1:42" s="224" customFormat="1" ht="15" customHeight="1" x14ac:dyDescent="0.25">
      <c r="A54" s="247">
        <v>45210</v>
      </c>
      <c r="B54" s="882" t="s">
        <v>3945</v>
      </c>
      <c r="C54" s="879" t="s">
        <v>12</v>
      </c>
      <c r="D54" s="879" t="s">
        <v>3017</v>
      </c>
      <c r="E54" s="875" t="s">
        <v>13</v>
      </c>
      <c r="F54" s="780">
        <v>968</v>
      </c>
      <c r="G54" s="982"/>
      <c r="H54" s="95"/>
      <c r="I54" s="1064"/>
      <c r="J54" s="622"/>
      <c r="K54" s="982">
        <v>968</v>
      </c>
      <c r="L54" s="622"/>
      <c r="M54" s="982"/>
      <c r="N54" s="622"/>
      <c r="O54" s="1063"/>
      <c r="P54" s="622"/>
      <c r="Q54" s="982"/>
      <c r="R54" s="861"/>
    </row>
    <row r="55" spans="1:42" s="224" customFormat="1" x14ac:dyDescent="0.25">
      <c r="A55" s="247">
        <v>45211</v>
      </c>
      <c r="B55" s="1275" t="s">
        <v>14</v>
      </c>
      <c r="C55" s="1276" t="s">
        <v>12</v>
      </c>
      <c r="D55" s="1276" t="s">
        <v>1486</v>
      </c>
      <c r="E55" s="1286" t="s">
        <v>13</v>
      </c>
      <c r="F55" s="780">
        <v>10.44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  <c r="T55" s="878"/>
    </row>
    <row r="56" spans="1:42" s="224" customFormat="1" x14ac:dyDescent="0.25">
      <c r="A56" s="247">
        <v>45211</v>
      </c>
      <c r="B56" s="1275" t="s">
        <v>81</v>
      </c>
      <c r="C56" s="1276" t="s">
        <v>12</v>
      </c>
      <c r="D56" s="1276" t="s">
        <v>1493</v>
      </c>
      <c r="E56" s="1286" t="s">
        <v>13</v>
      </c>
      <c r="F56" s="780">
        <v>7.5</v>
      </c>
      <c r="G56" s="982"/>
      <c r="H56" s="1008"/>
      <c r="I56" s="1063"/>
      <c r="J56" s="622"/>
      <c r="K56" s="982"/>
      <c r="L56" s="622"/>
      <c r="M56" s="982"/>
      <c r="N56" s="622"/>
      <c r="O56" s="1063"/>
      <c r="P56" s="622"/>
      <c r="Q56" s="982"/>
      <c r="R56" s="861"/>
      <c r="T56" s="878"/>
    </row>
    <row r="57" spans="1:42" s="224" customFormat="1" x14ac:dyDescent="0.25">
      <c r="A57" s="247">
        <v>45211</v>
      </c>
      <c r="B57" s="1275" t="s">
        <v>1906</v>
      </c>
      <c r="C57" s="1276" t="s">
        <v>12</v>
      </c>
      <c r="D57" s="1276" t="s">
        <v>1493</v>
      </c>
      <c r="E57" s="1286" t="s">
        <v>13</v>
      </c>
      <c r="F57" s="780">
        <v>40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861"/>
      <c r="T57" s="878"/>
    </row>
    <row r="58" spans="1:42" s="224" customFormat="1" x14ac:dyDescent="0.25">
      <c r="A58" s="247">
        <v>45212</v>
      </c>
      <c r="B58" s="1275" t="s">
        <v>81</v>
      </c>
      <c r="C58" s="1276" t="s">
        <v>12</v>
      </c>
      <c r="D58" s="1276" t="s">
        <v>1493</v>
      </c>
      <c r="E58" s="1286" t="s">
        <v>13</v>
      </c>
      <c r="F58" s="1279">
        <v>10</v>
      </c>
      <c r="G58" s="982"/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861"/>
      <c r="T58" s="878"/>
    </row>
    <row r="59" spans="1:42" s="1274" customFormat="1" ht="15" customHeight="1" x14ac:dyDescent="0.25">
      <c r="A59" s="247">
        <v>45212</v>
      </c>
      <c r="B59" s="882" t="s">
        <v>1331</v>
      </c>
      <c r="C59" s="879" t="s">
        <v>12</v>
      </c>
      <c r="D59" s="879" t="s">
        <v>2157</v>
      </c>
      <c r="E59" s="871" t="s">
        <v>13</v>
      </c>
      <c r="F59" s="613">
        <v>60</v>
      </c>
      <c r="G59" s="1278"/>
      <c r="H59" s="1282"/>
      <c r="I59" s="1283"/>
      <c r="J59" s="1279"/>
      <c r="K59" s="1278"/>
      <c r="L59" s="1279"/>
      <c r="M59" s="1278"/>
      <c r="N59" s="1279"/>
      <c r="O59" s="1283"/>
      <c r="P59" s="1702"/>
      <c r="Q59" s="1703"/>
      <c r="R59" s="1281"/>
      <c r="T59" s="1281"/>
      <c r="U59" s="1294"/>
    </row>
    <row r="60" spans="1:42" s="1274" customFormat="1" ht="15" customHeight="1" x14ac:dyDescent="0.25">
      <c r="A60" s="247">
        <v>45212</v>
      </c>
      <c r="B60" s="882" t="s">
        <v>2595</v>
      </c>
      <c r="C60" s="879" t="s">
        <v>12</v>
      </c>
      <c r="D60" s="879" t="s">
        <v>1489</v>
      </c>
      <c r="E60" s="871" t="s">
        <v>13</v>
      </c>
      <c r="F60" s="613">
        <v>10</v>
      </c>
      <c r="G60" s="1278"/>
      <c r="H60" s="1282"/>
      <c r="I60" s="1283"/>
      <c r="J60" s="1279"/>
      <c r="K60" s="1278"/>
      <c r="L60" s="1279"/>
      <c r="M60" s="1278"/>
      <c r="N60" s="1279"/>
      <c r="O60" s="1283"/>
      <c r="P60" s="1702"/>
      <c r="Q60" s="1703"/>
      <c r="R60" s="1281"/>
      <c r="T60" s="1281"/>
      <c r="U60" s="1294"/>
    </row>
    <row r="61" spans="1:42" s="224" customFormat="1" x14ac:dyDescent="0.25">
      <c r="A61" s="247">
        <v>45212</v>
      </c>
      <c r="B61" s="1275" t="s">
        <v>81</v>
      </c>
      <c r="C61" s="1276" t="s">
        <v>12</v>
      </c>
      <c r="D61" s="1276" t="s">
        <v>1493</v>
      </c>
      <c r="E61" s="1286" t="s">
        <v>13</v>
      </c>
      <c r="F61" s="1279">
        <v>9.01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  <c r="T61" s="878"/>
    </row>
    <row r="62" spans="1:42" s="224" customFormat="1" ht="15" customHeight="1" x14ac:dyDescent="0.25">
      <c r="A62" s="247">
        <v>45121</v>
      </c>
      <c r="B62" s="1275" t="s">
        <v>14</v>
      </c>
      <c r="C62" s="1276" t="s">
        <v>12</v>
      </c>
      <c r="D62" s="1276" t="s">
        <v>1486</v>
      </c>
      <c r="E62" s="1286" t="s">
        <v>13</v>
      </c>
      <c r="F62" s="780">
        <v>7.77</v>
      </c>
      <c r="G62" s="946"/>
      <c r="H62" s="95"/>
      <c r="I62" s="1064"/>
      <c r="J62" s="622"/>
      <c r="K62" s="982"/>
      <c r="L62" s="622"/>
      <c r="M62" s="982"/>
      <c r="N62" s="622"/>
      <c r="O62" s="1063"/>
      <c r="P62" s="622"/>
      <c r="Q62" s="982"/>
      <c r="R62" s="861"/>
      <c r="T62" s="927"/>
      <c r="U62" s="999"/>
    </row>
    <row r="63" spans="1:42" s="224" customFormat="1" ht="15" customHeight="1" x14ac:dyDescent="0.25">
      <c r="A63" s="247">
        <v>45214</v>
      </c>
      <c r="B63" s="1275" t="s">
        <v>14</v>
      </c>
      <c r="C63" s="1276" t="s">
        <v>12</v>
      </c>
      <c r="D63" s="1276" t="s">
        <v>1486</v>
      </c>
      <c r="E63" s="1286" t="s">
        <v>13</v>
      </c>
      <c r="F63" s="613">
        <v>9.1999999999999993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45214</v>
      </c>
      <c r="B64" s="882" t="s">
        <v>32</v>
      </c>
      <c r="C64" s="1276" t="s">
        <v>12</v>
      </c>
      <c r="D64" s="879" t="s">
        <v>1485</v>
      </c>
      <c r="E64" s="871" t="s">
        <v>13</v>
      </c>
      <c r="F64" s="780">
        <v>22</v>
      </c>
      <c r="G64" s="982"/>
      <c r="H64" s="622"/>
      <c r="I64" s="982"/>
      <c r="J64" s="622"/>
      <c r="K64" s="982"/>
      <c r="L64" s="622"/>
      <c r="M64" s="982"/>
      <c r="N64" s="622"/>
      <c r="O64" s="1063"/>
      <c r="P64" s="622"/>
      <c r="Q64" s="982"/>
      <c r="R64" s="927"/>
      <c r="S64" s="927"/>
      <c r="T64" s="878"/>
    </row>
    <row r="65" spans="1:42" s="224" customFormat="1" ht="15" customHeight="1" x14ac:dyDescent="0.25">
      <c r="A65" s="247">
        <v>45215</v>
      </c>
      <c r="B65" s="1275" t="s">
        <v>3946</v>
      </c>
      <c r="C65" s="1276" t="s">
        <v>12</v>
      </c>
      <c r="D65" s="1276" t="s">
        <v>1493</v>
      </c>
      <c r="E65" s="1286" t="s">
        <v>13</v>
      </c>
      <c r="F65" s="613">
        <v>48</v>
      </c>
      <c r="G65" s="967"/>
      <c r="H65" s="1008"/>
      <c r="I65" s="1063"/>
      <c r="J65" s="613"/>
      <c r="K65" s="6"/>
      <c r="L65" s="622"/>
      <c r="M65" s="982"/>
      <c r="N65" s="622"/>
      <c r="O65" s="1063"/>
      <c r="P65" s="613"/>
      <c r="Q65" s="64"/>
      <c r="R65" s="1209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45216</v>
      </c>
      <c r="B66" s="882" t="s">
        <v>32</v>
      </c>
      <c r="C66" s="1276" t="s">
        <v>12</v>
      </c>
      <c r="D66" s="879" t="s">
        <v>1485</v>
      </c>
      <c r="E66" s="871" t="s">
        <v>13</v>
      </c>
      <c r="F66" s="780">
        <v>20</v>
      </c>
      <c r="G66" s="982"/>
      <c r="H66" s="622"/>
      <c r="I66" s="982"/>
      <c r="J66" s="622"/>
      <c r="K66" s="982"/>
      <c r="L66" s="853"/>
      <c r="M66" s="982"/>
      <c r="N66" s="622"/>
      <c r="O66" s="1063"/>
      <c r="P66" s="622"/>
      <c r="Q66" s="982"/>
      <c r="R66" s="927"/>
      <c r="S66" s="927"/>
      <c r="T66" s="878"/>
    </row>
    <row r="67" spans="1:42" s="1274" customFormat="1" ht="15" customHeight="1" x14ac:dyDescent="0.25">
      <c r="A67" s="247">
        <v>45216</v>
      </c>
      <c r="B67" s="882" t="s">
        <v>1331</v>
      </c>
      <c r="C67" s="879" t="s">
        <v>12</v>
      </c>
      <c r="D67" s="879" t="s">
        <v>2157</v>
      </c>
      <c r="E67" s="871" t="s">
        <v>15</v>
      </c>
      <c r="F67" s="613">
        <v>50</v>
      </c>
      <c r="G67" s="1278"/>
      <c r="H67" s="1282"/>
      <c r="I67" s="1283"/>
      <c r="J67" s="1279"/>
      <c r="K67" s="1278"/>
      <c r="L67" s="1279"/>
      <c r="M67" s="1278"/>
      <c r="N67" s="1279"/>
      <c r="O67" s="1283"/>
      <c r="P67" s="1702"/>
      <c r="Q67" s="1703"/>
      <c r="R67" s="1281"/>
      <c r="T67" s="1281"/>
      <c r="U67" s="1294"/>
    </row>
    <row r="68" spans="1:42" s="224" customFormat="1" ht="15" customHeight="1" x14ac:dyDescent="0.25">
      <c r="A68" s="247">
        <v>45217</v>
      </c>
      <c r="B68" s="882" t="s">
        <v>32</v>
      </c>
      <c r="C68" s="1276" t="s">
        <v>12</v>
      </c>
      <c r="D68" s="879" t="s">
        <v>1485</v>
      </c>
      <c r="E68" s="871" t="s">
        <v>13</v>
      </c>
      <c r="F68" s="780">
        <v>20</v>
      </c>
      <c r="G68" s="982"/>
      <c r="H68" s="622"/>
      <c r="I68" s="982"/>
      <c r="J68" s="622"/>
      <c r="K68" s="982"/>
      <c r="L68" s="853"/>
      <c r="M68" s="982"/>
      <c r="N68" s="622"/>
      <c r="O68" s="1063"/>
      <c r="P68" s="622"/>
      <c r="Q68" s="982"/>
      <c r="R68" s="927"/>
      <c r="S68" s="927"/>
      <c r="T68" s="878"/>
    </row>
    <row r="69" spans="1:42" s="224" customFormat="1" ht="15" customHeight="1" x14ac:dyDescent="0.25">
      <c r="A69" s="247">
        <v>45217</v>
      </c>
      <c r="B69" s="364" t="s">
        <v>3325</v>
      </c>
      <c r="C69" s="350" t="s">
        <v>12</v>
      </c>
      <c r="D69" s="350" t="s">
        <v>1504</v>
      </c>
      <c r="E69" s="875" t="s">
        <v>13</v>
      </c>
      <c r="F69" s="780">
        <v>38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827"/>
      <c r="Q69" s="1115"/>
      <c r="R69" s="878"/>
    </row>
    <row r="70" spans="1:42" s="224" customFormat="1" ht="15" customHeight="1" x14ac:dyDescent="0.25">
      <c r="A70" s="247">
        <v>45218</v>
      </c>
      <c r="B70" s="862" t="s">
        <v>3529</v>
      </c>
      <c r="C70" s="879" t="s">
        <v>12</v>
      </c>
      <c r="D70" s="879" t="s">
        <v>1504</v>
      </c>
      <c r="E70" s="871" t="s">
        <v>13</v>
      </c>
      <c r="F70" s="780">
        <v>39.9</v>
      </c>
      <c r="G70" s="946"/>
      <c r="H70" s="95"/>
      <c r="I70" s="1064"/>
      <c r="J70" s="622"/>
      <c r="K70" s="982"/>
      <c r="L70" s="622"/>
      <c r="M70" s="982"/>
      <c r="N70" s="622"/>
      <c r="O70" s="1063"/>
      <c r="P70" s="622"/>
      <c r="Q70" s="982"/>
      <c r="R70" s="1028"/>
      <c r="U70" s="958"/>
    </row>
    <row r="71" spans="1:42" s="224" customFormat="1" ht="15" customHeight="1" x14ac:dyDescent="0.25">
      <c r="A71" s="247">
        <v>45218</v>
      </c>
      <c r="B71" s="882" t="s">
        <v>32</v>
      </c>
      <c r="C71" s="1276" t="s">
        <v>12</v>
      </c>
      <c r="D71" s="879" t="s">
        <v>1485</v>
      </c>
      <c r="E71" s="871" t="s">
        <v>13</v>
      </c>
      <c r="F71" s="780">
        <v>20</v>
      </c>
      <c r="G71" s="967"/>
      <c r="H71" s="1008"/>
      <c r="I71" s="1063"/>
      <c r="J71" s="1116"/>
      <c r="K71" s="1207"/>
      <c r="L71" s="1968"/>
      <c r="M71" s="1033"/>
      <c r="N71" s="880"/>
      <c r="O71" s="1525"/>
      <c r="P71" s="613"/>
      <c r="Q71" s="162"/>
      <c r="R71" s="1209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pans="1:42" s="224" customFormat="1" ht="15" customHeight="1" x14ac:dyDescent="0.25">
      <c r="A72" s="247">
        <v>45218</v>
      </c>
      <c r="B72" s="1275" t="s">
        <v>14</v>
      </c>
      <c r="C72" s="1276" t="s">
        <v>12</v>
      </c>
      <c r="D72" s="1276" t="s">
        <v>1486</v>
      </c>
      <c r="E72" s="1286" t="s">
        <v>13</v>
      </c>
      <c r="F72" s="613">
        <v>10.14</v>
      </c>
      <c r="G72" s="966"/>
      <c r="H72" s="1031"/>
      <c r="I72" s="1525"/>
      <c r="J72" s="1110"/>
      <c r="K72" s="1207"/>
      <c r="L72" s="880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45219</v>
      </c>
      <c r="B73" s="882" t="s">
        <v>3947</v>
      </c>
      <c r="C73" s="350" t="s">
        <v>12</v>
      </c>
      <c r="D73" s="350"/>
      <c r="E73" s="480" t="s">
        <v>25</v>
      </c>
      <c r="F73" s="622"/>
      <c r="G73" s="982">
        <v>2100</v>
      </c>
      <c r="H73" s="1008"/>
      <c r="I73" s="1063"/>
      <c r="J73" s="622"/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45219</v>
      </c>
      <c r="B74" s="862" t="s">
        <v>2867</v>
      </c>
      <c r="C74" s="350" t="s">
        <v>12</v>
      </c>
      <c r="D74" s="874" t="s">
        <v>1504</v>
      </c>
      <c r="E74" s="887" t="s">
        <v>13</v>
      </c>
      <c r="F74" s="780">
        <v>30</v>
      </c>
      <c r="G74" s="982"/>
      <c r="H74" s="1009"/>
      <c r="I74" s="1063"/>
      <c r="J74" s="853"/>
      <c r="K74" s="982"/>
      <c r="L74" s="853"/>
      <c r="M74" s="982"/>
      <c r="N74" s="853"/>
      <c r="O74" s="1063"/>
      <c r="P74" s="622"/>
      <c r="Q74" s="982"/>
      <c r="R74" s="1690"/>
      <c r="S74" s="1690"/>
      <c r="T74" s="1690"/>
      <c r="U74" s="1690"/>
      <c r="V74" s="1690"/>
      <c r="W74" s="1690"/>
      <c r="X74" s="1690"/>
      <c r="Y74" s="1690"/>
      <c r="Z74" s="1690"/>
    </row>
    <row r="75" spans="1:42" s="224" customFormat="1" ht="14.25" customHeight="1" x14ac:dyDescent="0.25">
      <c r="A75" s="247">
        <v>45219</v>
      </c>
      <c r="B75" s="364" t="s">
        <v>2977</v>
      </c>
      <c r="C75" s="350" t="s">
        <v>12</v>
      </c>
      <c r="D75" s="350" t="s">
        <v>1491</v>
      </c>
      <c r="E75" s="875" t="s">
        <v>13</v>
      </c>
      <c r="F75" s="780">
        <v>300</v>
      </c>
      <c r="G75" s="982"/>
      <c r="H75" s="1008"/>
      <c r="I75" s="1063"/>
      <c r="J75" s="622"/>
      <c r="K75" s="982"/>
      <c r="L75" s="622"/>
      <c r="M75" s="982"/>
      <c r="N75" s="622"/>
      <c r="O75" s="1063"/>
      <c r="P75" s="622"/>
      <c r="Q75" s="982"/>
      <c r="R75" s="1029"/>
      <c r="S75" s="89"/>
      <c r="T75" s="930"/>
    </row>
    <row r="76" spans="1:42" s="224" customFormat="1" ht="15" customHeight="1" x14ac:dyDescent="0.25">
      <c r="A76" s="247">
        <v>45219</v>
      </c>
      <c r="B76" s="349" t="s">
        <v>3948</v>
      </c>
      <c r="C76" s="887" t="s">
        <v>12</v>
      </c>
      <c r="D76" s="350" t="s">
        <v>1489</v>
      </c>
      <c r="E76" s="887" t="s">
        <v>13</v>
      </c>
      <c r="F76" s="613">
        <v>89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982"/>
      <c r="R76" s="1080" t="s">
        <v>3949</v>
      </c>
      <c r="S76" s="999"/>
      <c r="T76" s="878"/>
    </row>
    <row r="77" spans="1:42" s="224" customFormat="1" ht="15" customHeight="1" x14ac:dyDescent="0.25">
      <c r="A77" s="247">
        <v>45219</v>
      </c>
      <c r="B77" s="882" t="s">
        <v>3950</v>
      </c>
      <c r="C77" s="879" t="s">
        <v>12</v>
      </c>
      <c r="D77" s="879" t="s">
        <v>1499</v>
      </c>
      <c r="E77" s="871" t="s">
        <v>13</v>
      </c>
      <c r="F77" s="780">
        <v>43.93</v>
      </c>
      <c r="G77" s="982"/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861"/>
      <c r="T77" s="1123"/>
      <c r="U77" s="999"/>
    </row>
    <row r="78" spans="1:42" s="224" customFormat="1" ht="15" customHeight="1" x14ac:dyDescent="0.25">
      <c r="A78" s="247">
        <v>45219</v>
      </c>
      <c r="B78" s="882" t="s">
        <v>3951</v>
      </c>
      <c r="C78" s="879" t="s">
        <v>12</v>
      </c>
      <c r="D78" s="879" t="s">
        <v>1522</v>
      </c>
      <c r="E78" s="871" t="s">
        <v>13</v>
      </c>
      <c r="F78" s="780">
        <v>1000</v>
      </c>
      <c r="G78" s="967"/>
      <c r="H78" s="1008"/>
      <c r="I78" s="1063"/>
      <c r="J78" s="872"/>
      <c r="K78" s="1207"/>
      <c r="L78" s="880"/>
      <c r="M78" s="1033"/>
      <c r="N78" s="880"/>
      <c r="O78" s="1525"/>
      <c r="P78" s="613"/>
      <c r="Q78" s="162"/>
      <c r="R78" s="1973" t="s">
        <v>3952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45219</v>
      </c>
      <c r="B79" s="873" t="s">
        <v>3953</v>
      </c>
      <c r="C79" s="874" t="s">
        <v>12</v>
      </c>
      <c r="D79" s="874" t="s">
        <v>1491</v>
      </c>
      <c r="E79" s="875" t="s">
        <v>13</v>
      </c>
      <c r="F79" s="780">
        <v>115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622"/>
      <c r="Q79" s="982"/>
      <c r="R79" s="1280">
        <v>120</v>
      </c>
      <c r="S79" s="927"/>
      <c r="T79" s="878"/>
    </row>
    <row r="80" spans="1:42" s="224" customFormat="1" ht="15" customHeight="1" x14ac:dyDescent="0.25">
      <c r="A80" s="247">
        <v>45219</v>
      </c>
      <c r="B80" s="873" t="s">
        <v>3954</v>
      </c>
      <c r="C80" s="874" t="s">
        <v>12</v>
      </c>
      <c r="D80" s="874" t="s">
        <v>1489</v>
      </c>
      <c r="E80" s="875" t="s">
        <v>13</v>
      </c>
      <c r="F80" s="780">
        <v>50</v>
      </c>
      <c r="G80" s="982"/>
      <c r="H80" s="622"/>
      <c r="I80" s="982"/>
      <c r="J80" s="622"/>
      <c r="K80" s="982"/>
      <c r="L80" s="622"/>
      <c r="M80" s="982"/>
      <c r="N80" s="622"/>
      <c r="O80" s="1063"/>
      <c r="P80" s="622"/>
      <c r="Q80" s="982"/>
      <c r="R80" s="1280">
        <v>50</v>
      </c>
      <c r="S80" s="927"/>
      <c r="T80" s="878"/>
    </row>
    <row r="81" spans="1:21" s="224" customFormat="1" x14ac:dyDescent="0.25">
      <c r="A81" s="247">
        <v>45219</v>
      </c>
      <c r="B81" s="364" t="s">
        <v>398</v>
      </c>
      <c r="C81" s="1276"/>
      <c r="D81" s="1276"/>
      <c r="E81" s="1277"/>
      <c r="F81" s="1873">
        <v>700</v>
      </c>
      <c r="G81" s="982"/>
      <c r="H81" s="1008"/>
      <c r="I81" s="1063">
        <v>700</v>
      </c>
      <c r="J81" s="622"/>
      <c r="K81" s="982"/>
      <c r="L81" s="622"/>
      <c r="M81" s="982"/>
      <c r="N81" s="622"/>
      <c r="O81" s="1063"/>
      <c r="P81" s="622"/>
      <c r="Q81" s="982"/>
      <c r="R81" s="861"/>
      <c r="T81" s="878"/>
    </row>
    <row r="82" spans="1:21" s="224" customFormat="1" ht="15" customHeight="1" x14ac:dyDescent="0.25">
      <c r="A82" s="247">
        <v>45219</v>
      </c>
      <c r="B82" s="882" t="s">
        <v>32</v>
      </c>
      <c r="C82" s="1276" t="s">
        <v>12</v>
      </c>
      <c r="D82" s="879" t="s">
        <v>1485</v>
      </c>
      <c r="E82" s="871" t="s">
        <v>13</v>
      </c>
      <c r="F82" s="780">
        <v>20</v>
      </c>
      <c r="G82" s="982"/>
      <c r="H82" s="622"/>
      <c r="I82" s="982"/>
      <c r="J82" s="622"/>
      <c r="K82" s="982"/>
      <c r="L82" s="853"/>
      <c r="M82" s="982"/>
      <c r="N82" s="622"/>
      <c r="O82" s="1063"/>
      <c r="P82" s="622"/>
      <c r="Q82" s="982"/>
      <c r="R82" s="927"/>
      <c r="S82" s="927"/>
      <c r="T82" s="878"/>
    </row>
    <row r="83" spans="1:21" s="224" customFormat="1" ht="15" customHeight="1" x14ac:dyDescent="0.25">
      <c r="A83" s="247">
        <v>45219</v>
      </c>
      <c r="B83" s="882" t="s">
        <v>3955</v>
      </c>
      <c r="C83" s="879" t="s">
        <v>12</v>
      </c>
      <c r="D83" s="879" t="s">
        <v>1522</v>
      </c>
      <c r="E83" s="875" t="s">
        <v>13</v>
      </c>
      <c r="F83" s="780">
        <v>25</v>
      </c>
      <c r="G83" s="982"/>
      <c r="H83" s="622"/>
      <c r="I83" s="982"/>
      <c r="J83" s="622"/>
      <c r="K83" s="982"/>
      <c r="L83" s="622"/>
      <c r="M83" s="982"/>
      <c r="N83" s="622"/>
      <c r="O83" s="1063"/>
      <c r="P83" s="880"/>
      <c r="Q83" s="1033"/>
      <c r="R83" s="927"/>
      <c r="T83" s="878"/>
    </row>
    <row r="84" spans="1:21" s="224" customFormat="1" ht="15" customHeight="1" x14ac:dyDescent="0.25">
      <c r="A84" s="247">
        <v>45219</v>
      </c>
      <c r="B84" s="882" t="s">
        <v>2629</v>
      </c>
      <c r="C84" s="879" t="s">
        <v>12</v>
      </c>
      <c r="D84" s="879" t="s">
        <v>1489</v>
      </c>
      <c r="E84" s="871" t="s">
        <v>13</v>
      </c>
      <c r="F84" s="780">
        <v>31.4</v>
      </c>
      <c r="G84" s="946"/>
      <c r="H84" s="95"/>
      <c r="I84" s="1064"/>
      <c r="J84" s="622"/>
      <c r="K84" s="982"/>
      <c r="L84" s="622"/>
      <c r="M84" s="982"/>
      <c r="N84" s="622"/>
      <c r="O84" s="1063"/>
      <c r="P84" s="622"/>
      <c r="Q84" s="982"/>
      <c r="R84" s="861"/>
    </row>
    <row r="85" spans="1:21" s="1274" customFormat="1" ht="15" customHeight="1" x14ac:dyDescent="0.25">
      <c r="A85" s="247">
        <v>45219</v>
      </c>
      <c r="B85" s="882" t="s">
        <v>1331</v>
      </c>
      <c r="C85" s="879" t="s">
        <v>12</v>
      </c>
      <c r="D85" s="879" t="s">
        <v>2157</v>
      </c>
      <c r="E85" s="871" t="s">
        <v>13</v>
      </c>
      <c r="F85" s="613">
        <v>60</v>
      </c>
      <c r="G85" s="1278"/>
      <c r="H85" s="1282"/>
      <c r="I85" s="1283"/>
      <c r="J85" s="1279"/>
      <c r="K85" s="1278"/>
      <c r="L85" s="1279"/>
      <c r="M85" s="1278"/>
      <c r="N85" s="1279"/>
      <c r="O85" s="1283"/>
      <c r="P85" s="1702"/>
      <c r="Q85" s="1703"/>
      <c r="R85" s="1281"/>
      <c r="T85" s="1281"/>
      <c r="U85" s="1294"/>
    </row>
    <row r="86" spans="1:21" s="224" customFormat="1" ht="15" customHeight="1" x14ac:dyDescent="0.25">
      <c r="A86" s="247">
        <v>45220</v>
      </c>
      <c r="B86" s="882" t="s">
        <v>32</v>
      </c>
      <c r="C86" s="1276" t="s">
        <v>12</v>
      </c>
      <c r="D86" s="879" t="s">
        <v>1485</v>
      </c>
      <c r="E86" s="871" t="s">
        <v>13</v>
      </c>
      <c r="F86" s="780">
        <v>20</v>
      </c>
      <c r="G86" s="982"/>
      <c r="H86" s="622"/>
      <c r="I86" s="982"/>
      <c r="J86" s="622"/>
      <c r="K86" s="982"/>
      <c r="L86" s="853"/>
      <c r="M86" s="982"/>
      <c r="N86" s="622"/>
      <c r="O86" s="1063"/>
      <c r="P86" s="622"/>
      <c r="Q86" s="982"/>
      <c r="R86" s="927"/>
      <c r="S86" s="927"/>
      <c r="T86" s="878"/>
    </row>
    <row r="87" spans="1:21" s="224" customFormat="1" ht="15" customHeight="1" x14ac:dyDescent="0.25">
      <c r="A87" s="247">
        <v>45220</v>
      </c>
      <c r="B87" s="882" t="s">
        <v>3956</v>
      </c>
      <c r="C87" s="879" t="s">
        <v>12</v>
      </c>
      <c r="D87" s="879" t="s">
        <v>1523</v>
      </c>
      <c r="E87" s="875" t="s">
        <v>13</v>
      </c>
      <c r="F87" s="780">
        <v>125</v>
      </c>
      <c r="G87" s="982"/>
      <c r="H87" s="622"/>
      <c r="I87" s="982"/>
      <c r="J87" s="622"/>
      <c r="K87" s="982"/>
      <c r="L87" s="622"/>
      <c r="M87" s="982"/>
      <c r="N87" s="622"/>
      <c r="O87" s="1063"/>
      <c r="P87" s="880"/>
      <c r="Q87" s="1033"/>
      <c r="R87" s="927"/>
      <c r="T87" s="878"/>
    </row>
    <row r="88" spans="1:21" s="224" customFormat="1" ht="15" customHeight="1" x14ac:dyDescent="0.25">
      <c r="A88" s="247">
        <v>45220</v>
      </c>
      <c r="B88" s="882" t="s">
        <v>3957</v>
      </c>
      <c r="C88" s="879" t="s">
        <v>12</v>
      </c>
      <c r="D88" s="879" t="s">
        <v>1523</v>
      </c>
      <c r="E88" s="875" t="s">
        <v>13</v>
      </c>
      <c r="F88" s="780">
        <v>20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880"/>
      <c r="Q88" s="1033"/>
      <c r="R88" s="927"/>
      <c r="T88" s="878"/>
    </row>
    <row r="89" spans="1:21" s="224" customFormat="1" ht="15" customHeight="1" x14ac:dyDescent="0.25">
      <c r="A89" s="247">
        <v>45221</v>
      </c>
      <c r="B89" s="882" t="s">
        <v>443</v>
      </c>
      <c r="C89" s="879" t="s">
        <v>12</v>
      </c>
      <c r="D89" s="879" t="s">
        <v>1493</v>
      </c>
      <c r="E89" s="875" t="s">
        <v>13</v>
      </c>
      <c r="F89" s="780">
        <v>19.899999999999999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880"/>
      <c r="Q89" s="1033"/>
      <c r="R89" s="927"/>
      <c r="T89" s="878"/>
    </row>
    <row r="90" spans="1:21" s="224" customFormat="1" ht="15" customHeight="1" x14ac:dyDescent="0.25">
      <c r="A90" s="247">
        <v>45222</v>
      </c>
      <c r="B90" s="882" t="s">
        <v>32</v>
      </c>
      <c r="C90" s="1276" t="s">
        <v>12</v>
      </c>
      <c r="D90" s="879" t="s">
        <v>1485</v>
      </c>
      <c r="E90" s="871" t="s">
        <v>13</v>
      </c>
      <c r="F90" s="780">
        <v>20</v>
      </c>
      <c r="G90" s="946"/>
      <c r="H90" s="95"/>
      <c r="I90" s="1064"/>
      <c r="J90" s="622"/>
      <c r="K90" s="982"/>
      <c r="L90" s="622"/>
      <c r="M90" s="982"/>
      <c r="N90" s="622"/>
      <c r="O90" s="1063"/>
      <c r="P90" s="622"/>
      <c r="Q90" s="982"/>
      <c r="R90" s="861"/>
    </row>
    <row r="91" spans="1:21" s="224" customFormat="1" ht="15" customHeight="1" x14ac:dyDescent="0.25">
      <c r="A91" s="247">
        <v>45222</v>
      </c>
      <c r="B91" s="882" t="s">
        <v>3958</v>
      </c>
      <c r="C91" s="1276" t="s">
        <v>12</v>
      </c>
      <c r="D91" s="879" t="s">
        <v>1489</v>
      </c>
      <c r="E91" s="871" t="s">
        <v>13</v>
      </c>
      <c r="F91" s="780">
        <v>22</v>
      </c>
      <c r="G91" s="946"/>
      <c r="H91" s="95"/>
      <c r="I91" s="1064"/>
      <c r="J91" s="622"/>
      <c r="K91" s="982"/>
      <c r="L91" s="622"/>
      <c r="M91" s="982"/>
      <c r="N91" s="622"/>
      <c r="O91" s="1063"/>
      <c r="P91" s="622"/>
      <c r="Q91" s="982"/>
      <c r="R91" s="861"/>
    </row>
    <row r="92" spans="1:21" s="224" customFormat="1" ht="15" customHeight="1" x14ac:dyDescent="0.25">
      <c r="A92" s="247">
        <v>45223</v>
      </c>
      <c r="B92" s="882" t="s">
        <v>2789</v>
      </c>
      <c r="C92" s="879" t="s">
        <v>12</v>
      </c>
      <c r="D92" s="879" t="s">
        <v>1485</v>
      </c>
      <c r="E92" s="871" t="s">
        <v>13</v>
      </c>
      <c r="F92" s="780">
        <v>10.75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880"/>
      <c r="Q92" s="1033"/>
      <c r="R92" s="927"/>
      <c r="T92" s="878"/>
    </row>
    <row r="93" spans="1:21" s="224" customFormat="1" ht="15" customHeight="1" x14ac:dyDescent="0.25">
      <c r="A93" s="247">
        <v>45223</v>
      </c>
      <c r="B93" s="1275" t="s">
        <v>14</v>
      </c>
      <c r="C93" s="1276" t="s">
        <v>12</v>
      </c>
      <c r="D93" s="1276" t="s">
        <v>1486</v>
      </c>
      <c r="E93" s="1286" t="s">
        <v>13</v>
      </c>
      <c r="F93" s="613">
        <v>10.8</v>
      </c>
      <c r="G93" s="982"/>
      <c r="H93" s="622"/>
      <c r="I93" s="982"/>
      <c r="J93" s="622"/>
      <c r="K93" s="982"/>
      <c r="L93" s="622"/>
      <c r="M93" s="982"/>
      <c r="N93" s="622"/>
      <c r="O93" s="1063"/>
      <c r="P93" s="880"/>
      <c r="Q93" s="1033"/>
      <c r="R93" s="927"/>
      <c r="T93" s="878"/>
    </row>
    <row r="94" spans="1:21" s="224" customFormat="1" ht="15" customHeight="1" x14ac:dyDescent="0.25">
      <c r="A94" s="247">
        <v>45224</v>
      </c>
      <c r="B94" s="882" t="s">
        <v>3476</v>
      </c>
      <c r="C94" s="1276" t="s">
        <v>12</v>
      </c>
      <c r="D94" s="879" t="s">
        <v>1489</v>
      </c>
      <c r="E94" s="871" t="s">
        <v>13</v>
      </c>
      <c r="F94" s="780">
        <v>17</v>
      </c>
      <c r="G94" s="946"/>
      <c r="H94" s="95"/>
      <c r="I94" s="1064"/>
      <c r="J94" s="622"/>
      <c r="K94" s="982"/>
      <c r="L94" s="622"/>
      <c r="M94" s="982"/>
      <c r="N94" s="622"/>
      <c r="O94" s="1063"/>
      <c r="P94" s="622"/>
      <c r="Q94" s="982"/>
      <c r="R94" s="861"/>
    </row>
    <row r="95" spans="1:21" s="224" customFormat="1" ht="15" customHeight="1" x14ac:dyDescent="0.25">
      <c r="A95" s="247">
        <v>45224</v>
      </c>
      <c r="B95" s="882" t="s">
        <v>32</v>
      </c>
      <c r="C95" s="1276" t="s">
        <v>12</v>
      </c>
      <c r="D95" s="879" t="s">
        <v>1485</v>
      </c>
      <c r="E95" s="871" t="s">
        <v>13</v>
      </c>
      <c r="F95" s="780">
        <v>20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861"/>
    </row>
    <row r="96" spans="1:21" s="224" customFormat="1" ht="15" customHeight="1" x14ac:dyDescent="0.25">
      <c r="A96" s="247">
        <v>45225</v>
      </c>
      <c r="B96" s="882" t="s">
        <v>32</v>
      </c>
      <c r="C96" s="1276" t="s">
        <v>12</v>
      </c>
      <c r="D96" s="879" t="s">
        <v>1485</v>
      </c>
      <c r="E96" s="871" t="s">
        <v>13</v>
      </c>
      <c r="F96" s="780">
        <v>20</v>
      </c>
      <c r="G96" s="946"/>
      <c r="H96" s="95"/>
      <c r="I96" s="1064"/>
      <c r="J96" s="622"/>
      <c r="K96" s="982"/>
      <c r="L96" s="622"/>
      <c r="M96" s="982"/>
      <c r="N96" s="622"/>
      <c r="O96" s="1063"/>
      <c r="P96" s="1110"/>
      <c r="Q96" s="1208"/>
      <c r="R96" s="1028"/>
      <c r="U96" s="958"/>
    </row>
    <row r="97" spans="1:26" s="1274" customFormat="1" ht="15" customHeight="1" x14ac:dyDescent="0.25">
      <c r="A97" s="247">
        <v>45225</v>
      </c>
      <c r="B97" s="882" t="s">
        <v>1331</v>
      </c>
      <c r="C97" s="879" t="s">
        <v>12</v>
      </c>
      <c r="D97" s="879" t="s">
        <v>2157</v>
      </c>
      <c r="E97" s="871" t="s">
        <v>13</v>
      </c>
      <c r="F97" s="613">
        <v>100</v>
      </c>
      <c r="G97" s="1278"/>
      <c r="H97" s="1282"/>
      <c r="I97" s="1283"/>
      <c r="J97" s="1279"/>
      <c r="K97" s="1278"/>
      <c r="L97" s="1279"/>
      <c r="M97" s="1278"/>
      <c r="N97" s="1279"/>
      <c r="O97" s="1283"/>
      <c r="P97" s="1702"/>
      <c r="Q97" s="1703"/>
      <c r="R97" s="1281"/>
      <c r="T97" s="1281"/>
      <c r="U97" s="1294"/>
    </row>
    <row r="98" spans="1:26" s="224" customFormat="1" ht="15" customHeight="1" x14ac:dyDescent="0.25">
      <c r="A98" s="247">
        <v>45226</v>
      </c>
      <c r="B98" s="882" t="s">
        <v>32</v>
      </c>
      <c r="C98" s="1276" t="s">
        <v>12</v>
      </c>
      <c r="D98" s="879" t="s">
        <v>1485</v>
      </c>
      <c r="E98" s="871" t="s">
        <v>13</v>
      </c>
      <c r="F98" s="780">
        <v>20</v>
      </c>
      <c r="G98" s="946"/>
      <c r="H98" s="95"/>
      <c r="I98" s="1064"/>
      <c r="J98" s="622"/>
      <c r="K98" s="982"/>
      <c r="L98" s="622"/>
      <c r="M98" s="982"/>
      <c r="N98" s="622"/>
      <c r="O98" s="1063"/>
      <c r="P98" s="1110"/>
      <c r="Q98" s="1208"/>
      <c r="R98" s="1028"/>
      <c r="U98" s="958"/>
    </row>
    <row r="99" spans="1:26" s="224" customFormat="1" ht="15" customHeight="1" x14ac:dyDescent="0.25">
      <c r="A99" s="247">
        <v>45226</v>
      </c>
      <c r="B99" s="1275" t="s">
        <v>14</v>
      </c>
      <c r="C99" s="1276" t="s">
        <v>12</v>
      </c>
      <c r="D99" s="1276" t="s">
        <v>1486</v>
      </c>
      <c r="E99" s="1286" t="s">
        <v>13</v>
      </c>
      <c r="F99" s="780">
        <v>9.17</v>
      </c>
      <c r="G99" s="982"/>
      <c r="H99" s="622"/>
      <c r="I99" s="982"/>
      <c r="J99" s="622"/>
      <c r="K99" s="982"/>
      <c r="L99" s="622"/>
      <c r="M99" s="982"/>
      <c r="N99" s="622"/>
      <c r="O99" s="1063"/>
      <c r="P99" s="622"/>
      <c r="Q99" s="982"/>
      <c r="R99" s="1028"/>
      <c r="S99" s="959"/>
      <c r="T99" s="878"/>
      <c r="U99" s="958"/>
    </row>
    <row r="100" spans="1:26" s="224" customFormat="1" ht="15" customHeight="1" x14ac:dyDescent="0.25">
      <c r="A100" s="247">
        <v>45227</v>
      </c>
      <c r="B100" s="1275" t="s">
        <v>14</v>
      </c>
      <c r="C100" s="1276" t="s">
        <v>12</v>
      </c>
      <c r="D100" s="1276" t="s">
        <v>1486</v>
      </c>
      <c r="E100" s="1286" t="s">
        <v>13</v>
      </c>
      <c r="F100" s="613">
        <v>9.57</v>
      </c>
      <c r="G100" s="982"/>
      <c r="H100" s="622"/>
      <c r="I100" s="982"/>
      <c r="J100" s="622"/>
      <c r="K100" s="982"/>
      <c r="L100" s="622"/>
      <c r="M100" s="982"/>
      <c r="N100" s="622"/>
      <c r="O100" s="1063"/>
      <c r="P100" s="880"/>
      <c r="Q100" s="1033"/>
      <c r="R100" s="927"/>
      <c r="T100" s="878"/>
    </row>
    <row r="101" spans="1:26" s="224" customFormat="1" ht="15" customHeight="1" x14ac:dyDescent="0.25">
      <c r="A101" s="247">
        <v>45227</v>
      </c>
      <c r="B101" s="882" t="s">
        <v>32</v>
      </c>
      <c r="C101" s="1276" t="s">
        <v>12</v>
      </c>
      <c r="D101" s="879" t="s">
        <v>1485</v>
      </c>
      <c r="E101" s="871" t="s">
        <v>13</v>
      </c>
      <c r="F101" s="780">
        <v>15</v>
      </c>
      <c r="G101" s="982"/>
      <c r="H101" s="1008"/>
      <c r="I101" s="1063"/>
      <c r="J101" s="622"/>
      <c r="K101" s="982"/>
      <c r="L101" s="622"/>
      <c r="M101" s="982"/>
      <c r="N101" s="622"/>
      <c r="O101" s="1063"/>
      <c r="P101" s="622"/>
      <c r="Q101" s="982"/>
      <c r="R101" s="861"/>
      <c r="T101" s="1035"/>
    </row>
    <row r="102" spans="1:26" s="224" customFormat="1" ht="15" customHeight="1" x14ac:dyDescent="0.25">
      <c r="A102" s="247">
        <v>45227</v>
      </c>
      <c r="B102" s="882" t="s">
        <v>82</v>
      </c>
      <c r="C102" s="1276" t="s">
        <v>12</v>
      </c>
      <c r="D102" s="879" t="s">
        <v>1493</v>
      </c>
      <c r="E102" s="871" t="s">
        <v>13</v>
      </c>
      <c r="F102" s="780">
        <v>30</v>
      </c>
      <c r="G102" s="982"/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861"/>
      <c r="T102" s="1035"/>
    </row>
    <row r="103" spans="1:26" s="224" customFormat="1" ht="15" customHeight="1" x14ac:dyDescent="0.25">
      <c r="A103" s="247">
        <v>45228</v>
      </c>
      <c r="B103" s="882" t="s">
        <v>32</v>
      </c>
      <c r="C103" s="1276" t="s">
        <v>12</v>
      </c>
      <c r="D103" s="879" t="s">
        <v>1485</v>
      </c>
      <c r="E103" s="871" t="s">
        <v>13</v>
      </c>
      <c r="F103" s="780">
        <v>12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861"/>
      <c r="T103" s="1035"/>
    </row>
    <row r="104" spans="1:26" s="224" customFormat="1" ht="15" customHeight="1" x14ac:dyDescent="0.25">
      <c r="A104" s="247">
        <v>45228</v>
      </c>
      <c r="B104" s="882" t="s">
        <v>443</v>
      </c>
      <c r="C104" s="1276" t="s">
        <v>12</v>
      </c>
      <c r="D104" s="879" t="s">
        <v>1493</v>
      </c>
      <c r="E104" s="871" t="s">
        <v>13</v>
      </c>
      <c r="F104" s="780">
        <v>19.899999999999999</v>
      </c>
      <c r="G104" s="946"/>
      <c r="H104" s="95"/>
      <c r="I104" s="1064"/>
      <c r="J104" s="622"/>
      <c r="K104" s="982"/>
      <c r="L104" s="622"/>
      <c r="M104" s="982"/>
      <c r="N104" s="622"/>
      <c r="O104" s="1063"/>
      <c r="P104" s="622"/>
      <c r="Q104" s="982"/>
      <c r="R104" s="861"/>
      <c r="T104" s="927"/>
      <c r="U104" s="999"/>
    </row>
    <row r="105" spans="1:26" s="224" customFormat="1" ht="15" customHeight="1" x14ac:dyDescent="0.25">
      <c r="A105" s="247">
        <v>45229</v>
      </c>
      <c r="B105" s="882" t="s">
        <v>2789</v>
      </c>
      <c r="C105" s="1276" t="s">
        <v>12</v>
      </c>
      <c r="D105" s="879" t="s">
        <v>1485</v>
      </c>
      <c r="E105" s="871" t="s">
        <v>13</v>
      </c>
      <c r="F105" s="780">
        <v>9.9</v>
      </c>
      <c r="G105" s="982"/>
      <c r="H105" s="1008"/>
      <c r="I105" s="1063"/>
      <c r="J105" s="622"/>
      <c r="K105" s="982"/>
      <c r="L105" s="622"/>
      <c r="M105" s="982"/>
      <c r="N105" s="622"/>
      <c r="O105" s="1063"/>
      <c r="P105" s="622"/>
      <c r="Q105" s="982"/>
      <c r="R105" s="861"/>
      <c r="T105" s="1035"/>
    </row>
    <row r="106" spans="1:26" s="224" customFormat="1" ht="15" customHeight="1" x14ac:dyDescent="0.25">
      <c r="A106" s="247">
        <v>45229</v>
      </c>
      <c r="B106" s="349" t="s">
        <v>3959</v>
      </c>
      <c r="C106" s="350" t="s">
        <v>12</v>
      </c>
      <c r="D106" s="350" t="s">
        <v>1489</v>
      </c>
      <c r="E106" s="480" t="s">
        <v>13</v>
      </c>
      <c r="F106" s="780">
        <v>104</v>
      </c>
      <c r="G106" s="946"/>
      <c r="H106" s="95"/>
      <c r="I106" s="1064"/>
      <c r="J106" s="622"/>
      <c r="K106" s="982"/>
      <c r="L106" s="622"/>
      <c r="M106" s="982"/>
      <c r="N106" s="622"/>
      <c r="O106" s="1063"/>
      <c r="P106" s="622"/>
      <c r="Q106" s="982"/>
      <c r="R106" s="861" t="s">
        <v>3960</v>
      </c>
      <c r="T106" s="927"/>
      <c r="U106" s="999"/>
    </row>
    <row r="107" spans="1:26" s="224" customFormat="1" ht="15" customHeight="1" x14ac:dyDescent="0.25">
      <c r="A107" s="247">
        <v>45230</v>
      </c>
      <c r="B107" s="882" t="s">
        <v>256</v>
      </c>
      <c r="C107" s="879" t="s">
        <v>12</v>
      </c>
      <c r="D107" s="879"/>
      <c r="E107" s="875"/>
      <c r="F107" s="780"/>
      <c r="G107" s="982">
        <v>200</v>
      </c>
      <c r="H107" s="622">
        <v>200</v>
      </c>
      <c r="I107" s="982"/>
      <c r="J107" s="622"/>
      <c r="K107" s="982"/>
      <c r="L107" s="622"/>
      <c r="M107" s="982"/>
      <c r="N107" s="622"/>
      <c r="O107" s="1063"/>
      <c r="P107" s="880"/>
      <c r="Q107" s="1033"/>
      <c r="R107" s="927"/>
      <c r="T107" s="878"/>
    </row>
    <row r="108" spans="1:26" s="224" customFormat="1" ht="15" customHeight="1" x14ac:dyDescent="0.25">
      <c r="A108" s="247">
        <v>45230</v>
      </c>
      <c r="B108" s="882" t="s">
        <v>32</v>
      </c>
      <c r="C108" s="1276" t="s">
        <v>12</v>
      </c>
      <c r="D108" s="879" t="s">
        <v>1485</v>
      </c>
      <c r="E108" s="871" t="s">
        <v>13</v>
      </c>
      <c r="F108" s="780">
        <v>20</v>
      </c>
      <c r="G108" s="982"/>
      <c r="H108" s="1008"/>
      <c r="I108" s="1063"/>
      <c r="J108" s="622"/>
      <c r="K108" s="982"/>
      <c r="L108" s="622"/>
      <c r="M108" s="982"/>
      <c r="N108" s="622"/>
      <c r="O108" s="1063"/>
      <c r="P108" s="622"/>
      <c r="Q108" s="982"/>
      <c r="R108" s="861"/>
      <c r="T108" s="1035"/>
    </row>
    <row r="109" spans="1:26" s="224" customFormat="1" ht="15.75" thickBot="1" x14ac:dyDescent="0.3">
      <c r="A109" s="247">
        <v>45230</v>
      </c>
      <c r="B109" s="862" t="s">
        <v>1666</v>
      </c>
      <c r="C109" s="350" t="s">
        <v>12</v>
      </c>
      <c r="D109" s="1003"/>
      <c r="E109" s="145" t="s">
        <v>25</v>
      </c>
      <c r="F109" s="1036"/>
      <c r="G109" s="1535"/>
      <c r="H109" s="1008"/>
      <c r="I109" s="1063"/>
      <c r="J109" s="1036"/>
      <c r="K109" s="1535"/>
      <c r="L109" s="622"/>
      <c r="M109" s="982">
        <v>55.63</v>
      </c>
      <c r="N109" s="622"/>
      <c r="O109" s="1063">
        <v>0</v>
      </c>
      <c r="P109" s="1036"/>
      <c r="Q109" s="1535"/>
      <c r="R109" s="1815">
        <f>M109/M5</f>
        <v>1.0557980641487946E-2</v>
      </c>
      <c r="T109" s="878"/>
    </row>
    <row r="110" spans="1:26" ht="25.5" customHeight="1" thickBot="1" x14ac:dyDescent="0.3">
      <c r="A110" s="3060"/>
      <c r="B110" s="3061"/>
      <c r="C110" s="3062"/>
      <c r="D110" s="3062"/>
      <c r="E110" s="3062"/>
      <c r="F110" s="1023">
        <f>SUM(F6:F109)</f>
        <v>10838.773333333331</v>
      </c>
      <c r="G110" s="1065">
        <f>SUM(G5:G109)</f>
        <v>11331.951583333359</v>
      </c>
      <c r="H110" s="517">
        <f>SUM(H6:H109)</f>
        <v>1000</v>
      </c>
      <c r="I110" s="93">
        <f>SUM(I5:I109)</f>
        <v>2499.9959999999992</v>
      </c>
      <c r="J110" s="1023">
        <f>SUM(J6:J109)</f>
        <v>0</v>
      </c>
      <c r="K110" s="93">
        <f>SUM(K5:K109)</f>
        <v>25264.340000000004</v>
      </c>
      <c r="L110" s="1023">
        <f>SUM(L6:L109)</f>
        <v>0</v>
      </c>
      <c r="M110" s="93">
        <f>SUM(M5:M109)</f>
        <v>5324.6300000000019</v>
      </c>
      <c r="N110" s="1023">
        <f>SUM(N6:N109)</f>
        <v>0</v>
      </c>
      <c r="O110" s="93">
        <f>SUM(O5:O109)</f>
        <v>0</v>
      </c>
      <c r="P110" s="1211">
        <f>SUM(P6:P109)</f>
        <v>5582.25</v>
      </c>
      <c r="Q110" s="93">
        <f>SUM(Q5:Q109)</f>
        <v>54238.055984720006</v>
      </c>
      <c r="S110" s="216"/>
    </row>
    <row r="111" spans="1:26" ht="25.5" customHeight="1" thickBot="1" x14ac:dyDescent="0.3">
      <c r="A111" s="3117" t="s">
        <v>49</v>
      </c>
      <c r="B111" s="3118"/>
      <c r="C111" s="3118"/>
      <c r="D111" s="3118"/>
      <c r="E111" s="3118"/>
      <c r="F111" s="144" t="s">
        <v>280</v>
      </c>
      <c r="G111" s="519">
        <f>G110-F110</f>
        <v>493.17825000002813</v>
      </c>
      <c r="H111" s="555"/>
      <c r="I111" s="772">
        <f>I110-H110</f>
        <v>1499.9959999999992</v>
      </c>
      <c r="J111" s="593"/>
      <c r="K111" s="993">
        <f>K110-J110</f>
        <v>25264.340000000004</v>
      </c>
      <c r="L111" s="593"/>
      <c r="M111" s="772">
        <f>M110-L110</f>
        <v>5324.6300000000019</v>
      </c>
      <c r="N111" s="593"/>
      <c r="O111" s="772">
        <f>O110-N110</f>
        <v>0</v>
      </c>
      <c r="P111" s="593"/>
      <c r="Q111" s="556">
        <f>Q110-P110</f>
        <v>48655.805984720006</v>
      </c>
      <c r="R111" s="484">
        <f>K111+M111+O111+Q111</f>
        <v>79244.775984720007</v>
      </c>
    </row>
    <row r="112" spans="1:26" x14ac:dyDescent="0.25">
      <c r="J112" s="1238"/>
      <c r="K112" s="1238">
        <f>K111/R111</f>
        <v>0.31881394938729435</v>
      </c>
      <c r="M112" s="1238">
        <f>M111/R111</f>
        <v>6.7192189438792765E-2</v>
      </c>
      <c r="O112" s="1238">
        <f>O111/R111</f>
        <v>0</v>
      </c>
      <c r="P112" s="1239"/>
      <c r="Q112" s="1239">
        <f>Q111/R111</f>
        <v>0.61399386117391297</v>
      </c>
      <c r="R112" s="867"/>
      <c r="S112" s="867"/>
      <c r="T112" s="79"/>
      <c r="W112" s="518"/>
      <c r="X112" s="216"/>
      <c r="Z112" s="877"/>
    </row>
    <row r="113" spans="1:22" x14ac:dyDescent="0.25">
      <c r="B113" s="81" t="s">
        <v>3</v>
      </c>
      <c r="C113" s="193" t="s">
        <v>1484</v>
      </c>
      <c r="D113" s="970" t="s">
        <v>2378</v>
      </c>
      <c r="E113" s="193" t="s">
        <v>3216</v>
      </c>
      <c r="F113" s="1061" t="s">
        <v>3217</v>
      </c>
      <c r="G113" s="216"/>
      <c r="J113" s="867"/>
      <c r="K113" s="866"/>
      <c r="M113" s="866"/>
      <c r="O113" s="866"/>
      <c r="P113" s="1038"/>
      <c r="Q113" s="1038"/>
      <c r="R113" s="865"/>
      <c r="S113" s="867"/>
    </row>
    <row r="114" spans="1:22" x14ac:dyDescent="0.25">
      <c r="B114" s="79" t="s">
        <v>32</v>
      </c>
      <c r="C114" s="85" t="s">
        <v>1485</v>
      </c>
      <c r="D114" s="475">
        <f>SUMIF($D$9:$D$109,"A",$F$9:$F$109)</f>
        <v>418.04999999999995</v>
      </c>
      <c r="E114" s="1202">
        <f t="shared" ref="E114:E131" si="0">D114/$J$133</f>
        <v>13.485483870967741</v>
      </c>
      <c r="F114" s="1203">
        <f t="shared" ref="F114:F130" si="1">E114/$E$134</f>
        <v>9.3844703347026742E-2</v>
      </c>
      <c r="G114" s="800"/>
      <c r="I114" s="769"/>
      <c r="J114" s="1210"/>
      <c r="K114" s="754"/>
      <c r="M114" s="886"/>
      <c r="O114" s="886"/>
      <c r="P114" s="886"/>
      <c r="Q114" s="1210"/>
      <c r="R114" s="1038"/>
      <c r="S114" s="1210"/>
      <c r="U114" s="1201"/>
      <c r="V114" s="877"/>
    </row>
    <row r="115" spans="1:22" x14ac:dyDescent="0.25">
      <c r="B115" s="79" t="s">
        <v>2187</v>
      </c>
      <c r="C115" s="85" t="s">
        <v>2157</v>
      </c>
      <c r="D115" s="475">
        <f>SUMIF($D$7:$D$109,"GAC",$F$7:$F$109)</f>
        <v>430</v>
      </c>
      <c r="E115" s="1202">
        <f t="shared" si="0"/>
        <v>13.870967741935484</v>
      </c>
      <c r="F115" s="1203">
        <f>E115/$E$134</f>
        <v>9.6527263339843322E-2</v>
      </c>
      <c r="G115" s="609"/>
      <c r="J115" s="1038"/>
      <c r="K115" s="1225"/>
      <c r="M115" s="1210"/>
      <c r="O115" s="1038"/>
      <c r="P115" s="1210"/>
      <c r="Q115" s="1038"/>
      <c r="R115" s="1038"/>
      <c r="U115" s="877"/>
      <c r="V115" s="877"/>
    </row>
    <row r="116" spans="1:22" x14ac:dyDescent="0.25">
      <c r="B116" s="79" t="s">
        <v>2188</v>
      </c>
      <c r="C116" s="85" t="s">
        <v>2168</v>
      </c>
      <c r="D116" s="475">
        <f>SUMIF($D$33:$D$109,"GAM",$F$33:$F$109)</f>
        <v>0</v>
      </c>
      <c r="E116" s="1202">
        <f t="shared" si="0"/>
        <v>0</v>
      </c>
      <c r="F116" s="1203">
        <f>E116/$E$134</f>
        <v>0</v>
      </c>
      <c r="J116" s="1038"/>
      <c r="K116" s="1225"/>
      <c r="M116" s="1958"/>
      <c r="O116" s="1038"/>
      <c r="P116" s="1210"/>
      <c r="Q116" s="1038"/>
      <c r="R116" s="1038"/>
      <c r="U116" s="877"/>
      <c r="V116" s="877"/>
    </row>
    <row r="117" spans="1:22" s="85" customFormat="1" x14ac:dyDescent="0.25">
      <c r="A117" s="79"/>
      <c r="B117" s="79" t="s">
        <v>50</v>
      </c>
      <c r="C117" s="85" t="s">
        <v>1493</v>
      </c>
      <c r="D117" s="475">
        <f>SUMIF($D$7:$D$109,"LD",$F$7:$F$109)</f>
        <v>277.81999999999994</v>
      </c>
      <c r="E117" s="1202">
        <f t="shared" si="0"/>
        <v>8.9619354838709651</v>
      </c>
      <c r="F117" s="1203">
        <f t="shared" si="1"/>
        <v>6.2365591397849446E-2</v>
      </c>
      <c r="J117" s="864"/>
      <c r="K117" s="877"/>
      <c r="M117" s="941" t="s">
        <v>3961</v>
      </c>
      <c r="N117" s="877"/>
      <c r="O117" s="863"/>
      <c r="Q117" s="79"/>
      <c r="R117" s="177"/>
      <c r="U117" s="877"/>
      <c r="V117" s="877"/>
    </row>
    <row r="118" spans="1:22" s="85" customFormat="1" x14ac:dyDescent="0.25">
      <c r="A118" s="79"/>
      <c r="B118" s="79" t="s">
        <v>14</v>
      </c>
      <c r="C118" s="85" t="s">
        <v>1486</v>
      </c>
      <c r="D118" s="475">
        <f>SUMIF($D$7:$D$109,"C",$F$7:$F$109)</f>
        <v>106.27000000000001</v>
      </c>
      <c r="E118" s="1202">
        <f t="shared" si="0"/>
        <v>3.4280645161290324</v>
      </c>
      <c r="F118" s="1203">
        <f t="shared" si="1"/>
        <v>2.3855702965407326E-2</v>
      </c>
      <c r="G118" s="79"/>
      <c r="H118" s="79"/>
      <c r="J118" s="1038"/>
      <c r="K118" s="877"/>
      <c r="M118" s="1958">
        <v>5582.25</v>
      </c>
      <c r="N118" s="79"/>
      <c r="O118" s="1038"/>
      <c r="R118" s="177"/>
      <c r="U118" s="877"/>
      <c r="V118" s="877"/>
    </row>
    <row r="119" spans="1:22" s="85" customFormat="1" x14ac:dyDescent="0.25">
      <c r="B119" s="79" t="s">
        <v>51</v>
      </c>
      <c r="C119" s="864" t="s">
        <v>1499</v>
      </c>
      <c r="D119" s="475">
        <f>SUMIF($D$33:$D$109,"CAL",$F$33:$F$109)</f>
        <v>128.68</v>
      </c>
      <c r="E119" s="1202">
        <f t="shared" si="0"/>
        <v>4.1509677419354842</v>
      </c>
      <c r="F119" s="1203">
        <f t="shared" si="1"/>
        <v>2.8886344759467532E-2</v>
      </c>
      <c r="G119" s="79"/>
      <c r="H119" s="79"/>
      <c r="I119" s="79"/>
      <c r="J119" s="1038"/>
      <c r="K119" s="877"/>
      <c r="M119" s="941">
        <v>1600</v>
      </c>
      <c r="N119" s="877" t="s">
        <v>3962</v>
      </c>
      <c r="O119" s="1038"/>
      <c r="P119" s="1210"/>
      <c r="Q119" s="1038"/>
      <c r="R119" s="177"/>
      <c r="U119" s="877"/>
      <c r="V119" s="877"/>
    </row>
    <row r="120" spans="1:22" s="85" customFormat="1" x14ac:dyDescent="0.25">
      <c r="A120" s="79"/>
      <c r="B120" s="79" t="s">
        <v>2189</v>
      </c>
      <c r="C120" s="864" t="s">
        <v>1496</v>
      </c>
      <c r="D120" s="475">
        <f>SUMIF($D$30:$D$109,"AC",$F$30:$F$109)</f>
        <v>90</v>
      </c>
      <c r="E120" s="1202">
        <f t="shared" si="0"/>
        <v>2.903225806451613</v>
      </c>
      <c r="F120" s="1203">
        <f t="shared" si="1"/>
        <v>2.0203380699036974E-2</v>
      </c>
      <c r="G120" s="79"/>
      <c r="J120" s="1038"/>
      <c r="K120" s="877"/>
      <c r="M120" s="1028">
        <v>998</v>
      </c>
      <c r="N120" s="877" t="s">
        <v>3963</v>
      </c>
      <c r="O120" s="177"/>
      <c r="R120" s="177"/>
      <c r="U120" s="877"/>
      <c r="V120" s="877"/>
    </row>
    <row r="121" spans="1:22" s="85" customFormat="1" x14ac:dyDescent="0.25">
      <c r="A121" s="79"/>
      <c r="B121" s="867" t="s">
        <v>53</v>
      </c>
      <c r="C121" s="864" t="s">
        <v>1522</v>
      </c>
      <c r="D121" s="475">
        <f>SUMIF($D$9:$D$109,"DC",$F$9:$F$109)</f>
        <v>1917.5</v>
      </c>
      <c r="E121" s="1202">
        <f t="shared" si="0"/>
        <v>61.854838709677416</v>
      </c>
      <c r="F121" s="1203">
        <f t="shared" si="1"/>
        <v>0.43044424989337104</v>
      </c>
      <c r="J121" s="79"/>
      <c r="K121" s="877"/>
      <c r="M121" s="1028">
        <v>998</v>
      </c>
      <c r="N121" s="877" t="s">
        <v>3963</v>
      </c>
      <c r="O121" s="177"/>
      <c r="P121" s="868"/>
      <c r="Q121" s="769"/>
      <c r="R121" s="79"/>
      <c r="U121" s="877"/>
      <c r="V121" s="877"/>
    </row>
    <row r="122" spans="1:22" s="85" customFormat="1" x14ac:dyDescent="0.25">
      <c r="A122" s="79"/>
      <c r="B122" s="867" t="s">
        <v>2149</v>
      </c>
      <c r="C122" s="864" t="s">
        <v>2131</v>
      </c>
      <c r="D122" s="475">
        <f>SUMIF($D$6:$D$109,"DM",$F$6:$F$109)</f>
        <v>0</v>
      </c>
      <c r="E122" s="1202">
        <f t="shared" si="0"/>
        <v>0</v>
      </c>
      <c r="F122" s="1203">
        <f t="shared" si="1"/>
        <v>0</v>
      </c>
      <c r="I122" s="79"/>
      <c r="K122" s="877"/>
      <c r="M122" s="877"/>
      <c r="O122" s="177"/>
      <c r="U122" s="877"/>
      <c r="V122" s="877"/>
    </row>
    <row r="123" spans="1:22" s="85" customFormat="1" x14ac:dyDescent="0.25">
      <c r="A123" s="79"/>
      <c r="B123" s="79" t="s">
        <v>3048</v>
      </c>
      <c r="C123" s="864" t="s">
        <v>1523</v>
      </c>
      <c r="D123" s="475">
        <f ca="1">SUMIF($D$30:$D$110,"B",$F$30:$F$109)</f>
        <v>145</v>
      </c>
      <c r="E123" s="1202">
        <f t="shared" ca="1" si="0"/>
        <v>4.67741935483871</v>
      </c>
      <c r="F123" s="1203">
        <f t="shared" ca="1" si="1"/>
        <v>3.2549891126226235E-2</v>
      </c>
      <c r="G123" s="866"/>
      <c r="J123" s="1038"/>
      <c r="K123" s="877"/>
      <c r="M123" s="1959">
        <f>M118-M119-M120-M121</f>
        <v>1986.25</v>
      </c>
      <c r="O123" s="177"/>
      <c r="P123" s="866"/>
      <c r="Q123" s="1210"/>
      <c r="R123" s="877"/>
      <c r="U123" s="877"/>
      <c r="V123" s="877"/>
    </row>
    <row r="124" spans="1:22" s="85" customFormat="1" x14ac:dyDescent="0.25">
      <c r="A124" s="79"/>
      <c r="B124" s="79" t="s">
        <v>1686</v>
      </c>
      <c r="C124" s="864" t="s">
        <v>1506</v>
      </c>
      <c r="D124" s="475">
        <f>SUMIF($D$7:$D$109,"R",$F$7:$F$109)</f>
        <v>157.33333333333334</v>
      </c>
      <c r="E124" s="1202">
        <f t="shared" si="0"/>
        <v>5.075268817204301</v>
      </c>
      <c r="F124" s="1203">
        <f t="shared" si="1"/>
        <v>3.5318502555353522E-2</v>
      </c>
      <c r="G124" s="868"/>
      <c r="K124" s="877"/>
      <c r="M124" s="877"/>
      <c r="O124" s="177"/>
      <c r="P124" s="1226"/>
      <c r="Q124" s="1129"/>
      <c r="R124" s="877"/>
      <c r="U124" s="877"/>
      <c r="V124" s="877"/>
    </row>
    <row r="125" spans="1:22" x14ac:dyDescent="0.25">
      <c r="B125" s="79" t="s">
        <v>418</v>
      </c>
      <c r="C125" s="85" t="s">
        <v>1524</v>
      </c>
      <c r="D125" s="475">
        <f>SUMIF($D$30:$D$109,"COM",$F$30:$F$109)</f>
        <v>0</v>
      </c>
      <c r="E125" s="1202">
        <f t="shared" si="0"/>
        <v>0</v>
      </c>
      <c r="F125" s="1203">
        <f>E125/$E$134</f>
        <v>0</v>
      </c>
      <c r="G125" s="85"/>
      <c r="H125" s="85"/>
      <c r="I125" s="85"/>
      <c r="J125" s="769"/>
      <c r="K125" s="1225"/>
      <c r="L125" s="769"/>
      <c r="M125" s="877"/>
      <c r="N125" s="769"/>
      <c r="O125" s="216"/>
      <c r="P125" s="1038"/>
      <c r="Q125" s="1226"/>
      <c r="R125" s="877"/>
      <c r="U125" s="877"/>
      <c r="V125" s="877"/>
    </row>
    <row r="126" spans="1:22" x14ac:dyDescent="0.25">
      <c r="B126" s="79" t="s">
        <v>419</v>
      </c>
      <c r="C126" s="85" t="s">
        <v>1491</v>
      </c>
      <c r="D126" s="475">
        <f>SUMIF($D$30:$D$109,"F",$F$30:$F$109)</f>
        <v>785</v>
      </c>
      <c r="E126" s="1202">
        <f t="shared" si="0"/>
        <v>25.322580645161292</v>
      </c>
      <c r="F126" s="1203">
        <f>E126/$E$134</f>
        <v>0.17621837609715585</v>
      </c>
      <c r="I126" s="85"/>
      <c r="N126" s="216"/>
      <c r="O126" s="216"/>
      <c r="Q126" s="484"/>
      <c r="R126" s="877"/>
      <c r="U126" s="877"/>
      <c r="V126" s="877"/>
    </row>
    <row r="127" spans="1:22" x14ac:dyDescent="0.25">
      <c r="B127" s="79" t="s">
        <v>911</v>
      </c>
      <c r="C127" s="85" t="s">
        <v>1525</v>
      </c>
      <c r="D127" s="475">
        <f>SUMIF($D$9:$D$109,"FER",$F$9:$F$109)</f>
        <v>214.9</v>
      </c>
      <c r="E127" s="1202">
        <f t="shared" si="0"/>
        <v>6.9322580645161294</v>
      </c>
      <c r="F127" s="1203">
        <f t="shared" si="1"/>
        <v>4.8241183469144952E-2</v>
      </c>
      <c r="O127" s="216"/>
      <c r="Q127" s="484"/>
      <c r="R127" s="1673"/>
      <c r="U127" s="877"/>
      <c r="V127" s="877"/>
    </row>
    <row r="128" spans="1:22" x14ac:dyDescent="0.25">
      <c r="B128" s="79" t="s">
        <v>1526</v>
      </c>
      <c r="C128" s="85" t="s">
        <v>1504</v>
      </c>
      <c r="D128" s="475">
        <f>SUMIF($D$33:$D$109,"I",$F$33:$F$109)</f>
        <v>157.9</v>
      </c>
      <c r="E128" s="1202">
        <f t="shared" si="0"/>
        <v>5.0935483870967744</v>
      </c>
      <c r="F128" s="1203">
        <f t="shared" si="1"/>
        <v>3.5445709026421537E-2</v>
      </c>
      <c r="J128" s="769"/>
      <c r="K128" s="868"/>
      <c r="L128" s="769"/>
      <c r="N128" s="769"/>
      <c r="O128" s="886"/>
      <c r="P128" s="1210"/>
      <c r="Q128" s="1038"/>
      <c r="R128" s="1129"/>
      <c r="T128" s="1129"/>
      <c r="U128" s="877"/>
      <c r="V128" s="877"/>
    </row>
    <row r="129" spans="1:24" x14ac:dyDescent="0.25">
      <c r="B129" s="79" t="s">
        <v>2343</v>
      </c>
      <c r="C129" s="85" t="s">
        <v>2315</v>
      </c>
      <c r="D129" s="475">
        <f>SUMIF($D$33:$D$109,"E",$F$33:$F$109)</f>
        <v>0</v>
      </c>
      <c r="E129" s="1202">
        <f t="shared" si="0"/>
        <v>0</v>
      </c>
      <c r="F129" s="1203">
        <f t="shared" si="1"/>
        <v>0</v>
      </c>
      <c r="J129" s="769"/>
      <c r="K129" s="868"/>
      <c r="L129" s="769"/>
      <c r="M129" s="1210"/>
      <c r="N129" s="769"/>
      <c r="O129" s="1673"/>
      <c r="P129" s="1210"/>
      <c r="Q129" s="1038"/>
      <c r="R129" s="1129"/>
      <c r="T129" s="1129"/>
      <c r="U129" s="877"/>
      <c r="V129" s="877"/>
    </row>
    <row r="130" spans="1:24" x14ac:dyDescent="0.25">
      <c r="B130" s="79" t="s">
        <v>3019</v>
      </c>
      <c r="C130" s="85" t="s">
        <v>3017</v>
      </c>
      <c r="D130" s="475">
        <f>SUMIF($D$6:$D$109,"IM",$F$6:$F$109)</f>
        <v>3627.01</v>
      </c>
      <c r="E130" s="1202">
        <f>D130/$J$133</f>
        <v>117.00032258064518</v>
      </c>
      <c r="F130" s="1203">
        <f t="shared" si="1"/>
        <v>0.81419848699126784</v>
      </c>
      <c r="J130" s="769"/>
      <c r="L130" s="769"/>
      <c r="N130" s="769"/>
      <c r="P130" s="941"/>
      <c r="Q130" s="224"/>
      <c r="R130" s="1226"/>
      <c r="S130" s="1129"/>
      <c r="T130" s="1129"/>
      <c r="U130" s="877"/>
      <c r="V130" s="877"/>
    </row>
    <row r="131" spans="1:24" x14ac:dyDescent="0.25">
      <c r="B131" s="79" t="s">
        <v>1527</v>
      </c>
      <c r="C131" s="85" t="s">
        <v>1489</v>
      </c>
      <c r="D131" s="475">
        <f>SUMIF($D$30:$D$109,"OD",$F$30:$F$109)</f>
        <v>483.30999999999995</v>
      </c>
      <c r="E131" s="1202">
        <f t="shared" si="0"/>
        <v>15.59064516129032</v>
      </c>
      <c r="F131" s="1203">
        <f>E131/$E$134</f>
        <v>0.1084943991739062</v>
      </c>
      <c r="P131" s="1210"/>
      <c r="Q131" s="1038"/>
      <c r="R131" s="1226"/>
      <c r="S131" s="1129"/>
      <c r="T131" s="1129"/>
      <c r="U131" s="877"/>
      <c r="V131" s="877"/>
    </row>
    <row r="132" spans="1:24" x14ac:dyDescent="0.25">
      <c r="C132" s="79"/>
      <c r="D132" s="629"/>
      <c r="E132" s="79"/>
      <c r="F132" s="79"/>
      <c r="P132" s="1210"/>
      <c r="Q132" s="1038"/>
      <c r="R132" s="1227"/>
      <c r="S132" s="1129"/>
      <c r="T132" s="1129"/>
      <c r="U132" s="877"/>
      <c r="V132" s="877"/>
    </row>
    <row r="133" spans="1:24" x14ac:dyDescent="0.25">
      <c r="C133" s="3168" t="s">
        <v>486</v>
      </c>
      <c r="D133" s="3168"/>
      <c r="E133" s="863">
        <f ca="1">I133/J133</f>
        <v>288.3475268817204</v>
      </c>
      <c r="G133" s="518" t="s">
        <v>487</v>
      </c>
      <c r="I133" s="629">
        <f ca="1">SUM(D114:D131)</f>
        <v>8938.7733333333326</v>
      </c>
      <c r="J133" s="1517">
        <v>31</v>
      </c>
      <c r="L133" s="216"/>
      <c r="N133" s="216"/>
      <c r="O133" s="1517"/>
      <c r="P133" s="1210"/>
      <c r="Q133" s="1038"/>
      <c r="R133" s="1226"/>
      <c r="S133" s="1129"/>
      <c r="T133" s="1129"/>
      <c r="U133" s="877"/>
      <c r="V133" s="877"/>
    </row>
    <row r="134" spans="1:24" ht="15.75" customHeight="1" x14ac:dyDescent="0.25">
      <c r="B134" s="3167" t="s">
        <v>3725</v>
      </c>
      <c r="C134" s="3167"/>
      <c r="D134" s="3167"/>
      <c r="E134" s="1125">
        <v>143.69999999999999</v>
      </c>
      <c r="H134" s="85"/>
      <c r="K134" s="868"/>
      <c r="M134" s="868"/>
      <c r="O134" s="868"/>
      <c r="P134" s="1210"/>
      <c r="Q134" s="1038"/>
      <c r="R134" s="1226"/>
      <c r="S134" s="1129"/>
      <c r="T134" s="1129"/>
      <c r="U134" s="877"/>
      <c r="V134" s="877"/>
    </row>
    <row r="135" spans="1:24" x14ac:dyDescent="0.25">
      <c r="A135" s="518"/>
      <c r="C135" s="79"/>
      <c r="D135" s="79"/>
      <c r="E135" s="769"/>
      <c r="F135" s="866"/>
      <c r="G135" s="769"/>
      <c r="H135" s="866"/>
      <c r="I135" s="1210"/>
      <c r="J135" s="89"/>
      <c r="L135" s="1038"/>
      <c r="M135" s="1210"/>
      <c r="N135" s="1038"/>
      <c r="O135" s="1210"/>
      <c r="P135" s="1210"/>
      <c r="Q135" s="1038"/>
      <c r="R135" s="769"/>
      <c r="S135" s="484" t="s">
        <v>280</v>
      </c>
      <c r="T135" s="216"/>
      <c r="U135" s="866"/>
      <c r="V135" s="484"/>
      <c r="X135" s="877"/>
    </row>
    <row r="136" spans="1:24" s="518" customFormat="1" x14ac:dyDescent="0.25">
      <c r="A136" s="79"/>
      <c r="B136" s="79"/>
      <c r="C136" s="79"/>
      <c r="D136" s="79"/>
      <c r="E136" s="1126">
        <f ca="1">E134-E133</f>
        <v>-144.64752688172041</v>
      </c>
      <c r="F136" s="1205">
        <f ca="1">SUM(F114:F135)</f>
        <v>2.0065937848414785</v>
      </c>
      <c r="G136" s="85"/>
      <c r="H136" s="85"/>
      <c r="I136" s="89"/>
      <c r="J136" s="79"/>
      <c r="K136" s="79"/>
      <c r="L136" s="79"/>
      <c r="M136" s="79"/>
      <c r="N136" s="79"/>
      <c r="O136" s="79"/>
      <c r="P136" s="1210"/>
      <c r="Q136" s="1038"/>
      <c r="R136" s="79"/>
      <c r="S136" s="79"/>
      <c r="T136" s="866"/>
      <c r="U136" s="484"/>
      <c r="V136" s="79"/>
      <c r="W136" s="877"/>
      <c r="X136" s="79"/>
    </row>
    <row r="137" spans="1:24" s="518" customFormat="1" x14ac:dyDescent="0.25">
      <c r="A137" s="79"/>
      <c r="B137" s="79"/>
      <c r="C137" s="85"/>
      <c r="D137" s="85"/>
      <c r="E137" s="85"/>
      <c r="Q137" s="1038"/>
      <c r="R137" s="484"/>
      <c r="S137" s="79"/>
      <c r="T137" s="877"/>
      <c r="U137" s="79"/>
    </row>
    <row r="138" spans="1:24" s="518" customFormat="1" x14ac:dyDescent="0.25">
      <c r="A138" s="79"/>
      <c r="B138" s="79"/>
      <c r="C138" s="85"/>
      <c r="D138" s="85"/>
      <c r="E138" s="85"/>
      <c r="F138" s="89"/>
      <c r="G138" s="79"/>
      <c r="H138" s="79"/>
      <c r="I138" s="79"/>
      <c r="J138" s="769"/>
      <c r="K138" s="866"/>
      <c r="L138" s="769"/>
      <c r="M138" s="866"/>
      <c r="N138" s="769"/>
      <c r="O138" s="866"/>
      <c r="P138" s="1210"/>
      <c r="Q138" s="1038"/>
      <c r="R138" s="484"/>
      <c r="S138" s="79"/>
      <c r="T138" s="877"/>
      <c r="U138" s="79"/>
    </row>
    <row r="139" spans="1:24" s="518" customFormat="1" x14ac:dyDescent="0.25">
      <c r="A139" s="79"/>
      <c r="B139" s="79"/>
      <c r="C139" s="85"/>
      <c r="D139" s="85"/>
      <c r="E139" s="85"/>
      <c r="F139" s="89"/>
      <c r="G139" s="79"/>
      <c r="H139" s="79"/>
      <c r="I139" s="216"/>
      <c r="J139" s="769"/>
      <c r="K139" s="866"/>
      <c r="L139" s="769"/>
      <c r="M139" s="866"/>
      <c r="N139" s="769"/>
      <c r="O139" s="866"/>
      <c r="P139" s="1210"/>
      <c r="Q139" s="1038"/>
      <c r="R139" s="484"/>
      <c r="S139" s="79"/>
      <c r="T139" s="877"/>
      <c r="U139" s="79"/>
    </row>
    <row r="140" spans="1:24" s="518" customFormat="1" x14ac:dyDescent="0.25">
      <c r="A140" s="79"/>
      <c r="B140" s="79"/>
      <c r="C140" s="79"/>
      <c r="D140" s="79"/>
      <c r="E140" s="79"/>
      <c r="F140" s="79"/>
      <c r="G140" s="79"/>
      <c r="H140" s="79"/>
      <c r="K140" s="866"/>
      <c r="M140" s="866"/>
      <c r="O140" s="866"/>
      <c r="P140" s="1210"/>
      <c r="Q140" s="1038"/>
      <c r="R140" s="484"/>
      <c r="S140" s="79"/>
      <c r="T140" s="877"/>
      <c r="U140" s="79"/>
    </row>
    <row r="141" spans="1:24" s="518" customFormat="1" x14ac:dyDescent="0.25">
      <c r="A141" s="79"/>
      <c r="B141" s="79"/>
      <c r="C141" s="79"/>
      <c r="D141" s="79"/>
      <c r="E141" s="79"/>
      <c r="F141" s="79"/>
      <c r="G141" s="79"/>
      <c r="H141" s="79"/>
      <c r="I141" s="216"/>
      <c r="J141" s="769"/>
      <c r="K141" s="866"/>
      <c r="L141" s="769"/>
      <c r="M141" s="866"/>
      <c r="N141" s="769"/>
      <c r="O141" s="866"/>
      <c r="P141" s="1210"/>
      <c r="Q141" s="1038"/>
      <c r="R141" s="484"/>
      <c r="S141" s="79"/>
      <c r="T141" s="877"/>
      <c r="U141" s="79"/>
    </row>
    <row r="142" spans="1:24" s="518" customFormat="1" x14ac:dyDescent="0.25">
      <c r="A142" s="79"/>
      <c r="B142" s="79"/>
      <c r="C142" s="79"/>
      <c r="D142" s="79"/>
      <c r="E142" s="79"/>
      <c r="F142" s="79"/>
      <c r="G142" s="216"/>
      <c r="H142" s="79"/>
      <c r="I142" s="216"/>
      <c r="J142" s="769"/>
      <c r="K142" s="868"/>
      <c r="L142" s="769"/>
      <c r="M142" s="868"/>
      <c r="N142" s="769"/>
      <c r="O142" s="868"/>
      <c r="P142" s="1210"/>
      <c r="Q142" s="1038"/>
      <c r="R142" s="484"/>
      <c r="S142" s="79"/>
      <c r="T142" s="877"/>
      <c r="U142" s="79"/>
    </row>
    <row r="143" spans="1:24" s="518" customFormat="1" x14ac:dyDescent="0.25">
      <c r="A143" s="79"/>
      <c r="B143" s="79"/>
      <c r="C143" s="79"/>
      <c r="D143" s="79"/>
      <c r="E143" s="79"/>
      <c r="F143" s="79"/>
      <c r="G143" s="216"/>
      <c r="H143" s="79"/>
      <c r="I143" s="216"/>
      <c r="J143" s="769"/>
      <c r="K143" s="866"/>
      <c r="L143" s="769"/>
      <c r="M143" s="866"/>
      <c r="N143" s="769"/>
      <c r="O143" s="866"/>
      <c r="P143" s="1210"/>
      <c r="Q143" s="1038"/>
      <c r="R143" s="484"/>
      <c r="S143" s="79"/>
      <c r="T143" s="877"/>
      <c r="U143" s="79"/>
    </row>
    <row r="144" spans="1:24" s="518" customFormat="1" x14ac:dyDescent="0.25">
      <c r="A144" s="79"/>
      <c r="B144" s="79"/>
      <c r="C144" s="79"/>
      <c r="D144" s="79"/>
      <c r="E144" s="79"/>
      <c r="F144" s="79"/>
      <c r="G144" s="216"/>
      <c r="H144" s="79"/>
      <c r="I144" s="79"/>
      <c r="J144" s="770"/>
      <c r="K144" s="866"/>
      <c r="L144" s="770"/>
      <c r="M144" s="866"/>
      <c r="N144" s="770"/>
      <c r="O144" s="866"/>
      <c r="P144" s="1210"/>
      <c r="Q144" s="1038"/>
      <c r="R144" s="484"/>
      <c r="S144" s="79"/>
      <c r="T144" s="877"/>
      <c r="U144" s="79"/>
    </row>
    <row r="145" spans="1:21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216"/>
      <c r="J145" s="769"/>
      <c r="K145" s="868"/>
      <c r="L145" s="769"/>
      <c r="M145" s="868"/>
      <c r="N145" s="769"/>
      <c r="O145" s="868"/>
      <c r="P145" s="1210"/>
      <c r="Q145" s="1038"/>
      <c r="R145" s="484"/>
      <c r="S145" s="79"/>
      <c r="T145" s="877"/>
      <c r="U145" s="79"/>
    </row>
    <row r="146" spans="1:21" s="518" customFormat="1" x14ac:dyDescent="0.25">
      <c r="A146" s="79"/>
      <c r="B146" s="79"/>
      <c r="C146" s="85"/>
      <c r="D146" s="85"/>
      <c r="E146" s="85"/>
      <c r="F146" s="89"/>
      <c r="G146" s="79"/>
      <c r="H146" s="79"/>
      <c r="I146" s="79"/>
      <c r="J146" s="769"/>
      <c r="K146" s="866"/>
      <c r="L146" s="769"/>
      <c r="M146" s="866"/>
      <c r="N146" s="769"/>
      <c r="O146" s="866"/>
      <c r="P146" s="1210"/>
      <c r="Q146" s="1038"/>
      <c r="R146" s="484"/>
      <c r="S146" s="79"/>
      <c r="T146" s="877"/>
      <c r="U146" s="79"/>
    </row>
    <row r="147" spans="1:21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629"/>
      <c r="J147" s="769"/>
      <c r="K147" s="866"/>
      <c r="L147" s="769"/>
      <c r="M147" s="866"/>
      <c r="N147" s="769"/>
      <c r="O147" s="866"/>
      <c r="P147" s="1210"/>
      <c r="Q147" s="1038"/>
      <c r="R147" s="484"/>
      <c r="S147" s="79"/>
      <c r="T147" s="877"/>
      <c r="U147" s="79"/>
    </row>
    <row r="148" spans="1:21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L148" s="769"/>
      <c r="M148" s="866"/>
      <c r="N148" s="769"/>
      <c r="O148" s="866"/>
      <c r="P148" s="1210"/>
      <c r="Q148" s="1038"/>
      <c r="R148" s="484"/>
      <c r="S148" s="79"/>
      <c r="T148" s="877"/>
      <c r="U148" s="79"/>
    </row>
    <row r="149" spans="1:21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769"/>
      <c r="O149" s="866"/>
      <c r="P149" s="1210"/>
      <c r="Q149" s="1038"/>
      <c r="R149" s="484"/>
      <c r="S149" s="79"/>
      <c r="T149" s="877"/>
      <c r="U149" s="79"/>
    </row>
    <row r="150" spans="1:21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769"/>
      <c r="O150" s="866"/>
      <c r="P150" s="1210"/>
      <c r="Q150" s="1038"/>
      <c r="R150" s="484"/>
      <c r="S150" s="79"/>
      <c r="T150" s="877"/>
      <c r="U150" s="79"/>
    </row>
    <row r="151" spans="1:21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769"/>
      <c r="O151" s="866"/>
      <c r="P151" s="1210"/>
      <c r="Q151" s="1038"/>
      <c r="R151" s="484"/>
      <c r="S151" s="79"/>
      <c r="T151" s="877"/>
      <c r="U151" s="79"/>
    </row>
    <row r="152" spans="1:21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769"/>
      <c r="O152" s="866"/>
      <c r="P152" s="1210"/>
      <c r="Q152" s="1038"/>
      <c r="R152" s="484"/>
      <c r="S152" s="79"/>
      <c r="T152" s="877"/>
      <c r="U152" s="79"/>
    </row>
    <row r="153" spans="1:21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484"/>
      <c r="S153" s="79"/>
      <c r="T153" s="877"/>
      <c r="U153" s="79"/>
    </row>
    <row r="154" spans="1:21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L154" s="769"/>
      <c r="M154" s="866"/>
      <c r="N154" s="769"/>
      <c r="O154" s="866"/>
      <c r="P154" s="1210"/>
      <c r="Q154" s="1038"/>
      <c r="R154" s="484"/>
      <c r="S154" s="79"/>
      <c r="T154" s="877"/>
      <c r="U154" s="79"/>
    </row>
    <row r="155" spans="1:21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769"/>
      <c r="M155" s="866"/>
      <c r="N155" s="769"/>
      <c r="O155" s="866"/>
      <c r="R155" s="484"/>
      <c r="S155" s="79"/>
      <c r="T155" s="877"/>
      <c r="U155" s="79"/>
    </row>
    <row r="156" spans="1:21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6"/>
      <c r="L156" s="769"/>
      <c r="M156" s="866"/>
      <c r="N156" s="769"/>
      <c r="O156" s="866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769"/>
      <c r="O157" s="868"/>
      <c r="P157" s="79"/>
      <c r="Q157" s="79"/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L158" s="769"/>
      <c r="M158" s="868"/>
      <c r="N158" s="769"/>
      <c r="O158" s="868"/>
      <c r="P158" s="81"/>
      <c r="Q158" s="755"/>
      <c r="R158" s="484"/>
      <c r="S158" s="79"/>
      <c r="T158" s="877"/>
      <c r="U158" s="79"/>
    </row>
    <row r="159" spans="1:21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769"/>
      <c r="M159" s="868"/>
      <c r="N159" s="769"/>
      <c r="O159" s="868"/>
      <c r="P159" s="868"/>
      <c r="Q159" s="79"/>
      <c r="R159" s="484"/>
      <c r="S159" s="79"/>
      <c r="T159" s="877"/>
      <c r="U159" s="79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L160" s="769"/>
      <c r="M160" s="868"/>
      <c r="N160" s="769"/>
      <c r="O160" s="868"/>
      <c r="P160" s="754"/>
      <c r="Q160" s="886"/>
      <c r="R160" s="484"/>
      <c r="S160" s="79"/>
      <c r="T160" s="877"/>
      <c r="U160" s="79"/>
    </row>
    <row r="161" spans="1:21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769"/>
      <c r="K161" s="868"/>
      <c r="L161" s="769"/>
      <c r="M161" s="868"/>
      <c r="N161" s="769"/>
      <c r="O161" s="868"/>
      <c r="P161" s="864"/>
      <c r="Q161" s="864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864"/>
      <c r="Q162" s="1032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6"/>
      <c r="L163" s="769"/>
      <c r="M163" s="866"/>
      <c r="N163" s="769"/>
      <c r="O163" s="866"/>
      <c r="P163" s="864"/>
      <c r="Q163" s="1032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8"/>
      <c r="L164" s="769"/>
      <c r="M164" s="868"/>
      <c r="N164" s="769"/>
      <c r="O164" s="868"/>
      <c r="P164" s="85"/>
      <c r="Q164" s="795"/>
      <c r="R164" s="484"/>
      <c r="S164" s="79"/>
      <c r="T164" s="877"/>
      <c r="U164" s="79"/>
    </row>
    <row r="165" spans="1:21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769"/>
      <c r="O165" s="866"/>
      <c r="P165" s="85"/>
      <c r="Q165" s="177"/>
      <c r="R165" s="484"/>
      <c r="S165" s="79"/>
      <c r="T165" s="877"/>
      <c r="U165" s="79"/>
    </row>
    <row r="166" spans="1:21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769"/>
      <c r="K166" s="866"/>
      <c r="L166" s="769"/>
      <c r="M166" s="866"/>
      <c r="N166" s="769"/>
      <c r="O166" s="866"/>
      <c r="P166" s="85"/>
      <c r="Q166" s="177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69"/>
      <c r="K167" s="868"/>
      <c r="L167" s="769"/>
      <c r="M167" s="868"/>
      <c r="N167" s="769"/>
      <c r="O167" s="868"/>
      <c r="P167" s="85"/>
      <c r="Q167" s="177" t="s">
        <v>280</v>
      </c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L168" s="769"/>
      <c r="M168" s="868"/>
      <c r="N168" s="769"/>
      <c r="O168" s="868"/>
      <c r="P168" s="85"/>
      <c r="Q168" s="177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8"/>
      <c r="L169" s="769"/>
      <c r="M169" s="868"/>
      <c r="N169" s="769"/>
      <c r="O169" s="868"/>
      <c r="P169" s="85"/>
      <c r="Q169" s="86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8"/>
      <c r="L170" s="769"/>
      <c r="M170" s="868"/>
      <c r="N170" s="769"/>
      <c r="O170" s="868"/>
      <c r="P170" s="769"/>
      <c r="Q170" s="216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69"/>
      <c r="K171" s="866"/>
      <c r="L171" s="769"/>
      <c r="M171" s="866"/>
      <c r="N171" s="769"/>
      <c r="O171" s="866"/>
      <c r="P171" s="79"/>
      <c r="Q171" s="216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223"/>
      <c r="K172" s="629"/>
      <c r="L172" s="223"/>
      <c r="M172" s="629"/>
      <c r="N172" s="223"/>
      <c r="O172" s="629"/>
      <c r="P172" s="769"/>
      <c r="Q172" s="868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56"/>
      <c r="K173" s="756"/>
      <c r="L173" s="756"/>
      <c r="M173" s="756"/>
      <c r="N173" s="756"/>
      <c r="O173" s="756"/>
      <c r="P173" s="769"/>
      <c r="Q173" s="86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69"/>
      <c r="Q174" s="868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69"/>
      <c r="Q175" s="79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85"/>
      <c r="K178" s="85"/>
      <c r="L178" s="85"/>
      <c r="M178" s="85"/>
      <c r="N178" s="85"/>
      <c r="O178" s="85"/>
      <c r="P178" s="1517"/>
      <c r="Q178" s="79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868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89"/>
      <c r="Q180" s="79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69"/>
      <c r="Q182" s="86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69"/>
      <c r="Q183" s="86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69"/>
      <c r="Q184" s="86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85"/>
      <c r="K185" s="85"/>
      <c r="L185" s="85"/>
      <c r="M185" s="85"/>
      <c r="N185" s="85"/>
      <c r="O185" s="85"/>
      <c r="Q185" s="866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866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69"/>
      <c r="Q187" s="868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69"/>
      <c r="Q188" s="866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70"/>
      <c r="Q189" s="866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69"/>
      <c r="Q190" s="868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71"/>
      <c r="L192" s="771"/>
      <c r="N192" s="771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484"/>
      <c r="S193" s="79"/>
      <c r="T193" s="877"/>
      <c r="U193" s="79"/>
    </row>
    <row r="194" spans="1:21" x14ac:dyDescent="0.25">
      <c r="P194" s="769"/>
      <c r="Q194" s="866"/>
    </row>
    <row r="195" spans="1:21" x14ac:dyDescent="0.25">
      <c r="P195" s="769"/>
      <c r="Q195" s="866"/>
    </row>
    <row r="196" spans="1:21" x14ac:dyDescent="0.25">
      <c r="P196" s="769"/>
      <c r="Q196" s="866"/>
    </row>
    <row r="197" spans="1:21" x14ac:dyDescent="0.25">
      <c r="P197" s="769"/>
      <c r="Q197" s="866"/>
    </row>
    <row r="198" spans="1:21" x14ac:dyDescent="0.25">
      <c r="P198" s="769"/>
      <c r="Q198" s="866"/>
    </row>
    <row r="199" spans="1:21" x14ac:dyDescent="0.25">
      <c r="P199" s="769"/>
      <c r="Q199" s="866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216"/>
      <c r="L200" s="79"/>
      <c r="M200" s="216"/>
      <c r="N200" s="79"/>
      <c r="O200" s="21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L201" s="79"/>
      <c r="M201" s="216"/>
      <c r="N201" s="79"/>
      <c r="O201" s="216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216"/>
      <c r="L202" s="79"/>
      <c r="M202" s="216"/>
      <c r="N202" s="79"/>
      <c r="O202" s="216"/>
      <c r="P202" s="769"/>
      <c r="Q202" s="86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L203" s="79"/>
      <c r="M203" s="216"/>
      <c r="N203" s="79"/>
      <c r="O203" s="216"/>
      <c r="P203" s="769"/>
      <c r="Q203" s="868"/>
      <c r="R203" s="484"/>
      <c r="S203" s="79"/>
      <c r="T203" s="877"/>
      <c r="U203" s="79"/>
    </row>
    <row r="204" spans="1:21" x14ac:dyDescent="0.25">
      <c r="P204" s="769"/>
      <c r="Q204" s="868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216"/>
      <c r="L205" s="79"/>
      <c r="M205" s="216"/>
      <c r="N205" s="79"/>
      <c r="O205" s="216"/>
      <c r="P205" s="769"/>
      <c r="Q205" s="868"/>
      <c r="R205" s="484"/>
      <c r="S205" s="79"/>
      <c r="T205" s="877"/>
      <c r="U205" s="79"/>
    </row>
    <row r="206" spans="1:21" x14ac:dyDescent="0.25">
      <c r="P206" s="769"/>
      <c r="Q206" s="868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629"/>
      <c r="L207" s="79"/>
      <c r="M207" s="629"/>
      <c r="N207" s="79"/>
      <c r="O207" s="629"/>
      <c r="P207" s="769"/>
      <c r="Q207" s="866"/>
      <c r="R207" s="484"/>
      <c r="S207" s="79"/>
      <c r="T207" s="877"/>
      <c r="U207" s="79"/>
    </row>
    <row r="208" spans="1:21" x14ac:dyDescent="0.25">
      <c r="P208" s="769"/>
      <c r="Q208" s="866"/>
    </row>
    <row r="209" spans="1:21" x14ac:dyDescent="0.25">
      <c r="P209" s="769"/>
      <c r="Q209" s="868"/>
    </row>
    <row r="210" spans="1:21" x14ac:dyDescent="0.25">
      <c r="P210" s="769"/>
      <c r="Q210" s="866"/>
    </row>
    <row r="211" spans="1:21" x14ac:dyDescent="0.25">
      <c r="P211" s="769"/>
      <c r="Q211" s="866"/>
    </row>
    <row r="212" spans="1:21" x14ac:dyDescent="0.25">
      <c r="P212" s="769"/>
      <c r="Q212" s="868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769"/>
      <c r="Q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223"/>
      <c r="Q217" s="629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79"/>
      <c r="O218" s="216"/>
      <c r="P218" s="756"/>
      <c r="Q218" s="756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9"/>
      <c r="Q219" s="79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79"/>
      <c r="Q220" s="79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216"/>
      <c r="L221" s="79"/>
      <c r="M221" s="216"/>
      <c r="N221" s="79"/>
      <c r="O221" s="216"/>
      <c r="P221" s="79"/>
      <c r="Q221" s="79"/>
      <c r="R221" s="484"/>
      <c r="S221" s="79"/>
      <c r="T221" s="877"/>
      <c r="U221" s="79"/>
    </row>
    <row r="223" spans="1:21" x14ac:dyDescent="0.25">
      <c r="P223" s="85"/>
      <c r="Q223" s="85"/>
    </row>
    <row r="230" spans="1:42" x14ac:dyDescent="0.25">
      <c r="P230" s="85"/>
      <c r="Q230" s="85"/>
    </row>
    <row r="234" spans="1:42" s="484" customFormat="1" x14ac:dyDescent="0.25">
      <c r="A234" s="79"/>
      <c r="B234" s="79"/>
      <c r="C234" s="85"/>
      <c r="D234" s="85"/>
      <c r="E234" s="85"/>
      <c r="F234" s="8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S234" s="79"/>
      <c r="T234" s="877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</row>
    <row r="235" spans="1:42" s="484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S235" s="79"/>
      <c r="T235" s="877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</row>
    <row r="236" spans="1:42" s="484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S236" s="79"/>
      <c r="T236" s="877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</row>
    <row r="237" spans="1:42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71"/>
      <c r="Q237" s="518"/>
      <c r="S237" s="79"/>
      <c r="T237" s="877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</row>
    <row r="238" spans="1:42" s="484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S238" s="79"/>
      <c r="T238" s="877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216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216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216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216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50" spans="1:42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216"/>
      <c r="S250" s="79"/>
      <c r="T250" s="877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</row>
    <row r="252" spans="1:42" s="484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629"/>
      <c r="S252" s="79"/>
      <c r="T252" s="877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3" spans="1:42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216"/>
      <c r="S263" s="79"/>
      <c r="T263" s="877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216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65" spans="1:42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216"/>
      <c r="S265" s="79"/>
      <c r="T265" s="877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</row>
    <row r="266" spans="1:42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216"/>
      <c r="S266" s="79"/>
      <c r="T266" s="877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</row>
  </sheetData>
  <autoFilter ref="A2:I131" xr:uid="{00000000-0009-0000-0000-00008D000000}"/>
  <mergeCells count="17">
    <mergeCell ref="B134:D134"/>
    <mergeCell ref="L2:M3"/>
    <mergeCell ref="N2:O3"/>
    <mergeCell ref="P2:Q3"/>
    <mergeCell ref="A110:E110"/>
    <mergeCell ref="A111:E111"/>
    <mergeCell ref="C133:D133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1A694-20D7-46F0-9495-B6B6C3F481FA}">
  <sheetPr codeName="Planilha12"/>
  <dimension ref="A1:AP256"/>
  <sheetViews>
    <sheetView zoomScale="85" zoomScaleNormal="85" workbookViewId="0">
      <pane ySplit="5" topLeftCell="A48" activePane="bottomLeft" state="frozen"/>
      <selection pane="bottomLeft" activeCell="F69" sqref="A1:AP256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3964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45231</v>
      </c>
      <c r="B5" s="369" t="s">
        <v>10</v>
      </c>
      <c r="C5" s="370"/>
      <c r="D5" s="370"/>
      <c r="E5" s="777"/>
      <c r="F5" s="179"/>
      <c r="G5" s="933">
        <f>'Outubro-23'!G111</f>
        <v>493.17825000002813</v>
      </c>
      <c r="H5" s="163"/>
      <c r="I5" s="1479">
        <f>'Outubro-23'!I111</f>
        <v>1499.9959999999992</v>
      </c>
      <c r="J5" s="179"/>
      <c r="K5" s="933">
        <f>'Outubro-23'!K111</f>
        <v>25264.340000000004</v>
      </c>
      <c r="L5" s="179"/>
      <c r="M5" s="933">
        <f>'Outubro-23'!M111</f>
        <v>5324.6300000000019</v>
      </c>
      <c r="N5" s="179"/>
      <c r="O5" s="1479">
        <f>'Outubro-23'!O111</f>
        <v>0</v>
      </c>
      <c r="P5" s="179"/>
      <c r="Q5" s="933">
        <f>'Outubro-23'!Q111</f>
        <v>48655.805984720006</v>
      </c>
    </row>
    <row r="6" spans="1:42" s="224" customFormat="1" x14ac:dyDescent="0.25">
      <c r="A6" s="247">
        <v>45231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45231</v>
      </c>
      <c r="B7" s="1275" t="s">
        <v>3831</v>
      </c>
      <c r="C7" s="1276" t="s">
        <v>12</v>
      </c>
      <c r="D7" s="1276"/>
      <c r="E7" s="1277" t="s">
        <v>25</v>
      </c>
      <c r="F7" s="1279"/>
      <c r="G7" s="982">
        <v>150</v>
      </c>
      <c r="H7" s="95"/>
      <c r="I7" s="1064"/>
      <c r="J7" s="622"/>
      <c r="K7" s="982"/>
      <c r="L7" s="622"/>
      <c r="M7" s="982"/>
      <c r="N7" s="622"/>
      <c r="O7" s="1063"/>
      <c r="P7" s="622"/>
      <c r="Q7" s="982"/>
      <c r="R7" s="1956"/>
    </row>
    <row r="8" spans="1:42" s="224" customFormat="1" x14ac:dyDescent="0.25">
      <c r="A8" s="247">
        <v>45231</v>
      </c>
      <c r="B8" s="882" t="s">
        <v>32</v>
      </c>
      <c r="C8" s="1276" t="s">
        <v>12</v>
      </c>
      <c r="D8" s="879" t="s">
        <v>1485</v>
      </c>
      <c r="E8" s="871" t="s">
        <v>13</v>
      </c>
      <c r="F8" s="780">
        <v>20</v>
      </c>
      <c r="G8" s="982"/>
      <c r="H8" s="1008"/>
      <c r="I8" s="1063"/>
      <c r="J8" s="622"/>
      <c r="K8" s="982"/>
      <c r="L8" s="622"/>
      <c r="M8" s="982"/>
      <c r="N8" s="622"/>
      <c r="O8" s="1063"/>
      <c r="P8" s="622"/>
      <c r="Q8" s="982"/>
      <c r="R8" s="861"/>
      <c r="T8" s="878"/>
    </row>
    <row r="9" spans="1:42" s="224" customFormat="1" ht="15" customHeight="1" x14ac:dyDescent="0.25">
      <c r="A9" s="247">
        <v>45232</v>
      </c>
      <c r="B9" s="882" t="s">
        <v>443</v>
      </c>
      <c r="C9" s="879" t="s">
        <v>12</v>
      </c>
      <c r="D9" s="879" t="s">
        <v>1493</v>
      </c>
      <c r="E9" s="871" t="s">
        <v>13</v>
      </c>
      <c r="F9" s="613">
        <v>23.88</v>
      </c>
      <c r="G9" s="967"/>
      <c r="H9" s="1008"/>
      <c r="I9" s="1063"/>
      <c r="J9" s="1110"/>
      <c r="K9" s="1207"/>
      <c r="L9" s="880"/>
      <c r="M9" s="1033"/>
      <c r="N9" s="880"/>
      <c r="O9" s="1525"/>
      <c r="P9" s="613"/>
      <c r="Q9" s="162"/>
      <c r="R9" s="197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45233</v>
      </c>
      <c r="B10" s="882" t="s">
        <v>2629</v>
      </c>
      <c r="C10" s="879" t="s">
        <v>12</v>
      </c>
      <c r="D10" s="879" t="s">
        <v>1489</v>
      </c>
      <c r="E10" s="875" t="s">
        <v>13</v>
      </c>
      <c r="F10" s="780">
        <v>55.43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1976"/>
    </row>
    <row r="11" spans="1:42" s="224" customFormat="1" x14ac:dyDescent="0.25">
      <c r="A11" s="247">
        <v>45233</v>
      </c>
      <c r="B11" s="882" t="s">
        <v>1331</v>
      </c>
      <c r="C11" s="879" t="s">
        <v>12</v>
      </c>
      <c r="D11" s="879" t="s">
        <v>2157</v>
      </c>
      <c r="E11" s="871" t="s">
        <v>13</v>
      </c>
      <c r="F11" s="613">
        <v>50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7"/>
      <c r="T11" s="878"/>
    </row>
    <row r="12" spans="1:42" s="224" customFormat="1" ht="15" customHeight="1" x14ac:dyDescent="0.25">
      <c r="A12" s="247">
        <v>45233</v>
      </c>
      <c r="B12" s="1289" t="s">
        <v>2096</v>
      </c>
      <c r="C12" s="1276" t="s">
        <v>12</v>
      </c>
      <c r="D12" s="1276" t="s">
        <v>1506</v>
      </c>
      <c r="E12" s="1277" t="s">
        <v>13</v>
      </c>
      <c r="F12" s="1279">
        <v>50</v>
      </c>
      <c r="G12" s="982"/>
      <c r="H12" s="1008"/>
      <c r="I12" s="1063"/>
      <c r="J12" s="622"/>
      <c r="K12" s="982"/>
      <c r="L12" s="622"/>
      <c r="M12" s="982"/>
      <c r="N12" s="622"/>
      <c r="O12" s="1063"/>
      <c r="P12" s="622"/>
      <c r="Q12" s="982"/>
      <c r="R12" s="941"/>
      <c r="T12" s="1035"/>
    </row>
    <row r="13" spans="1:42" s="224" customFormat="1" ht="15" customHeight="1" x14ac:dyDescent="0.25">
      <c r="A13" s="247">
        <v>45234</v>
      </c>
      <c r="B13" s="1275" t="s">
        <v>14</v>
      </c>
      <c r="C13" s="1276" t="s">
        <v>12</v>
      </c>
      <c r="D13" s="1276" t="s">
        <v>1486</v>
      </c>
      <c r="E13" s="1286" t="s">
        <v>13</v>
      </c>
      <c r="F13" s="780">
        <v>5.7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982"/>
      <c r="R13" s="941"/>
      <c r="T13" s="927"/>
      <c r="U13" s="999"/>
    </row>
    <row r="14" spans="1:42" s="224" customFormat="1" ht="15" customHeight="1" x14ac:dyDescent="0.25">
      <c r="A14" s="247">
        <v>45234</v>
      </c>
      <c r="B14" s="882" t="s">
        <v>1331</v>
      </c>
      <c r="C14" s="879" t="s">
        <v>12</v>
      </c>
      <c r="D14" s="879" t="s">
        <v>2157</v>
      </c>
      <c r="E14" s="871" t="s">
        <v>13</v>
      </c>
      <c r="F14" s="780">
        <v>60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861"/>
    </row>
    <row r="15" spans="1:42" s="224" customFormat="1" x14ac:dyDescent="0.25">
      <c r="A15" s="247">
        <v>45235</v>
      </c>
      <c r="B15" s="882" t="s">
        <v>101</v>
      </c>
      <c r="C15" s="879" t="s">
        <v>12</v>
      </c>
      <c r="D15" s="879" t="s">
        <v>1493</v>
      </c>
      <c r="E15" s="875" t="s">
        <v>13</v>
      </c>
      <c r="F15" s="1279">
        <v>8</v>
      </c>
      <c r="G15" s="982"/>
      <c r="H15" s="1008"/>
      <c r="I15" s="1063"/>
      <c r="J15" s="622"/>
      <c r="K15" s="982"/>
      <c r="L15" s="622"/>
      <c r="M15" s="982"/>
      <c r="N15" s="622"/>
      <c r="O15" s="1063"/>
      <c r="P15" s="622"/>
      <c r="Q15" s="982"/>
      <c r="R15" s="861"/>
      <c r="T15" s="878"/>
    </row>
    <row r="16" spans="1:42" s="224" customFormat="1" x14ac:dyDescent="0.25">
      <c r="A16" s="247">
        <v>45235</v>
      </c>
      <c r="B16" s="882" t="s">
        <v>3965</v>
      </c>
      <c r="C16" s="879" t="s">
        <v>12</v>
      </c>
      <c r="D16" s="879" t="s">
        <v>1489</v>
      </c>
      <c r="E16" s="875" t="s">
        <v>13</v>
      </c>
      <c r="F16" s="1279">
        <v>3</v>
      </c>
      <c r="G16" s="982"/>
      <c r="H16" s="1008"/>
      <c r="I16" s="1063"/>
      <c r="J16" s="622"/>
      <c r="K16" s="982"/>
      <c r="L16" s="622"/>
      <c r="M16" s="982"/>
      <c r="N16" s="622"/>
      <c r="O16" s="1063"/>
      <c r="P16" s="622"/>
      <c r="Q16" s="982"/>
      <c r="R16" s="861"/>
      <c r="T16" s="878"/>
    </row>
    <row r="17" spans="1:42" s="1274" customFormat="1" ht="15" customHeight="1" x14ac:dyDescent="0.25">
      <c r="A17" s="247">
        <v>45236</v>
      </c>
      <c r="B17" s="882" t="s">
        <v>32</v>
      </c>
      <c r="C17" s="1276" t="s">
        <v>12</v>
      </c>
      <c r="D17" s="879" t="s">
        <v>1485</v>
      </c>
      <c r="E17" s="871" t="s">
        <v>13</v>
      </c>
      <c r="F17" s="780">
        <v>20</v>
      </c>
      <c r="G17" s="1278"/>
      <c r="H17" s="1282"/>
      <c r="I17" s="1283"/>
      <c r="J17" s="1279"/>
      <c r="K17" s="1278"/>
      <c r="L17" s="1279"/>
      <c r="M17" s="1278"/>
      <c r="N17" s="1279"/>
      <c r="O17" s="1283"/>
      <c r="P17" s="1702"/>
      <c r="Q17" s="1703"/>
      <c r="R17" s="1281"/>
      <c r="T17" s="1281"/>
      <c r="U17" s="1294"/>
    </row>
    <row r="18" spans="1:42" s="224" customFormat="1" ht="15" customHeight="1" x14ac:dyDescent="0.25">
      <c r="A18" s="247">
        <v>45236</v>
      </c>
      <c r="B18" s="882" t="s">
        <v>256</v>
      </c>
      <c r="C18" s="879" t="s">
        <v>12</v>
      </c>
      <c r="D18" s="879"/>
      <c r="E18" s="875"/>
      <c r="F18" s="780"/>
      <c r="G18" s="982">
        <v>200</v>
      </c>
      <c r="H18" s="622">
        <v>200</v>
      </c>
      <c r="I18" s="982"/>
      <c r="J18" s="622"/>
      <c r="K18" s="982"/>
      <c r="L18" s="622"/>
      <c r="M18" s="982"/>
      <c r="N18" s="622"/>
      <c r="O18" s="1063"/>
      <c r="P18" s="880"/>
      <c r="Q18" s="1033"/>
      <c r="R18" s="927"/>
      <c r="T18" s="878"/>
    </row>
    <row r="19" spans="1:42" s="224" customFormat="1" ht="15.75" customHeight="1" x14ac:dyDescent="0.25">
      <c r="A19" s="247">
        <v>45237</v>
      </c>
      <c r="B19" s="873" t="s">
        <v>3966</v>
      </c>
      <c r="C19" s="879" t="s">
        <v>12</v>
      </c>
      <c r="D19" s="874"/>
      <c r="E19" s="871" t="s">
        <v>25</v>
      </c>
      <c r="F19" s="1524"/>
      <c r="G19" s="1002">
        <v>2111.5500000000002</v>
      </c>
      <c r="H19" s="538"/>
      <c r="I19" s="982"/>
      <c r="J19" s="622"/>
      <c r="K19" s="982"/>
      <c r="L19" s="622"/>
      <c r="M19" s="982"/>
      <c r="N19" s="622"/>
      <c r="O19" s="1063"/>
      <c r="P19" s="622"/>
      <c r="Q19" s="982"/>
      <c r="R19" s="178"/>
    </row>
    <row r="20" spans="1:42" s="224" customFormat="1" ht="15" customHeight="1" x14ac:dyDescent="0.25">
      <c r="A20" s="247">
        <v>45237</v>
      </c>
      <c r="B20" s="364" t="s">
        <v>3967</v>
      </c>
      <c r="C20" s="879" t="s">
        <v>12</v>
      </c>
      <c r="D20" s="879"/>
      <c r="E20" s="875" t="s">
        <v>25</v>
      </c>
      <c r="F20" s="780"/>
      <c r="G20" s="982"/>
      <c r="H20" s="622"/>
      <c r="I20" s="982"/>
      <c r="J20" s="622"/>
      <c r="K20" s="982"/>
      <c r="L20" s="622"/>
      <c r="M20" s="982"/>
      <c r="N20" s="622"/>
      <c r="O20" s="1063"/>
      <c r="P20" s="622"/>
      <c r="Q20" s="982">
        <v>420</v>
      </c>
      <c r="R20" s="927"/>
      <c r="S20" s="927"/>
      <c r="T20" s="878"/>
    </row>
    <row r="21" spans="1:42" s="224" customFormat="1" ht="15" customHeight="1" x14ac:dyDescent="0.25">
      <c r="A21" s="247">
        <v>45237</v>
      </c>
      <c r="B21" s="364" t="s">
        <v>1396</v>
      </c>
      <c r="C21" s="879" t="s">
        <v>12</v>
      </c>
      <c r="D21" s="350"/>
      <c r="E21" s="480" t="s">
        <v>25</v>
      </c>
      <c r="F21" s="613"/>
      <c r="G21" s="967">
        <v>100</v>
      </c>
      <c r="H21" s="1008"/>
      <c r="I21" s="1063"/>
      <c r="J21" s="1116"/>
      <c r="K21" s="1207"/>
      <c r="L21" s="622"/>
      <c r="M21" s="982"/>
      <c r="N21" s="622"/>
      <c r="O21" s="1063"/>
      <c r="P21" s="1116"/>
      <c r="Q21" s="1207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45237</v>
      </c>
      <c r="B22" s="862" t="s">
        <v>3422</v>
      </c>
      <c r="C22" s="879" t="s">
        <v>12</v>
      </c>
      <c r="D22" s="879" t="s">
        <v>1504</v>
      </c>
      <c r="E22" s="871" t="s">
        <v>13</v>
      </c>
      <c r="F22" s="780">
        <v>50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178"/>
      <c r="S22" s="1028"/>
      <c r="T22" s="1035"/>
    </row>
    <row r="23" spans="1:42" s="224" customFormat="1" ht="15" customHeight="1" x14ac:dyDescent="0.25">
      <c r="A23" s="247">
        <v>45237</v>
      </c>
      <c r="B23" s="882" t="s">
        <v>3968</v>
      </c>
      <c r="C23" s="879" t="s">
        <v>12</v>
      </c>
      <c r="D23" s="879" t="s">
        <v>1499</v>
      </c>
      <c r="E23" s="871" t="s">
        <v>13</v>
      </c>
      <c r="F23" s="780">
        <v>22.75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1028"/>
      <c r="S23" s="999"/>
      <c r="T23" s="878"/>
    </row>
    <row r="24" spans="1:42" s="224" customFormat="1" ht="15" customHeight="1" x14ac:dyDescent="0.25">
      <c r="A24" s="247">
        <v>45237</v>
      </c>
      <c r="B24" s="364" t="s">
        <v>2977</v>
      </c>
      <c r="C24" s="879" t="s">
        <v>12</v>
      </c>
      <c r="D24" s="350" t="s">
        <v>1491</v>
      </c>
      <c r="E24" s="875" t="s">
        <v>13</v>
      </c>
      <c r="F24" s="780">
        <v>300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1028"/>
      <c r="T24" s="1035"/>
    </row>
    <row r="25" spans="1:42" s="224" customFormat="1" ht="15" customHeight="1" x14ac:dyDescent="0.25">
      <c r="A25" s="247">
        <v>45237</v>
      </c>
      <c r="B25" s="364" t="s">
        <v>3942</v>
      </c>
      <c r="C25" s="879" t="s">
        <v>12</v>
      </c>
      <c r="D25" s="350" t="s">
        <v>1491</v>
      </c>
      <c r="E25" s="875" t="s">
        <v>13</v>
      </c>
      <c r="F25" s="780">
        <v>70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1028"/>
      <c r="T25" s="1035"/>
    </row>
    <row r="26" spans="1:42" x14ac:dyDescent="0.25">
      <c r="A26" s="247">
        <v>45237</v>
      </c>
      <c r="B26" s="876" t="s">
        <v>3844</v>
      </c>
      <c r="C26" s="879" t="s">
        <v>12</v>
      </c>
      <c r="D26" s="879" t="s">
        <v>1496</v>
      </c>
      <c r="E26" s="871" t="s">
        <v>13</v>
      </c>
      <c r="F26" s="780">
        <v>90</v>
      </c>
      <c r="G26" s="982"/>
      <c r="H26" s="1009"/>
      <c r="I26" s="1063"/>
      <c r="J26" s="622"/>
      <c r="K26" s="982"/>
      <c r="L26" s="622"/>
      <c r="M26" s="982"/>
      <c r="N26" s="622"/>
      <c r="O26" s="1063"/>
      <c r="P26" s="622"/>
      <c r="Q26" s="982"/>
      <c r="R26" s="1029"/>
    </row>
    <row r="27" spans="1:42" s="224" customFormat="1" ht="14.25" customHeight="1" x14ac:dyDescent="0.25">
      <c r="A27" s="247">
        <v>45237</v>
      </c>
      <c r="B27" s="882" t="s">
        <v>3943</v>
      </c>
      <c r="C27" s="879" t="s">
        <v>12</v>
      </c>
      <c r="D27" s="879" t="s">
        <v>3017</v>
      </c>
      <c r="E27" s="875" t="s">
        <v>13</v>
      </c>
      <c r="F27" s="780">
        <v>253.8</v>
      </c>
      <c r="G27" s="982"/>
      <c r="H27" s="1008"/>
      <c r="I27" s="1063"/>
      <c r="J27" s="622"/>
      <c r="K27" s="982">
        <v>253.8</v>
      </c>
      <c r="L27" s="622"/>
      <c r="M27" s="982"/>
      <c r="N27" s="622"/>
      <c r="O27" s="1063"/>
      <c r="P27" s="622"/>
      <c r="Q27" s="982"/>
      <c r="R27" s="861">
        <v>830</v>
      </c>
      <c r="S27" s="878" t="s">
        <v>3897</v>
      </c>
      <c r="T27" s="1035"/>
    </row>
    <row r="28" spans="1:42" s="224" customFormat="1" ht="15" customHeight="1" x14ac:dyDescent="0.25">
      <c r="A28" s="247">
        <v>45237</v>
      </c>
      <c r="B28" s="873" t="s">
        <v>3969</v>
      </c>
      <c r="C28" s="874" t="s">
        <v>12</v>
      </c>
      <c r="D28" s="874" t="s">
        <v>1523</v>
      </c>
      <c r="E28" s="875" t="s">
        <v>13</v>
      </c>
      <c r="F28" s="780">
        <v>150</v>
      </c>
      <c r="G28" s="982"/>
      <c r="H28" s="622"/>
      <c r="I28" s="982"/>
      <c r="J28" s="622"/>
      <c r="K28" s="982"/>
      <c r="L28" s="622"/>
      <c r="M28" s="982"/>
      <c r="N28" s="622"/>
      <c r="O28" s="1063"/>
      <c r="P28" s="622"/>
      <c r="Q28" s="982"/>
      <c r="R28" s="1280" t="s">
        <v>3970</v>
      </c>
      <c r="S28" s="927"/>
      <c r="T28" s="878"/>
    </row>
    <row r="29" spans="1:42" s="224" customFormat="1" ht="15" customHeight="1" x14ac:dyDescent="0.25">
      <c r="A29" s="247">
        <v>45237</v>
      </c>
      <c r="B29" s="873" t="s">
        <v>3971</v>
      </c>
      <c r="C29" s="874" t="s">
        <v>12</v>
      </c>
      <c r="D29" s="874" t="s">
        <v>1523</v>
      </c>
      <c r="E29" s="875" t="s">
        <v>13</v>
      </c>
      <c r="F29" s="780">
        <v>160</v>
      </c>
      <c r="G29" s="982"/>
      <c r="H29" s="622"/>
      <c r="I29" s="982"/>
      <c r="J29" s="622"/>
      <c r="K29" s="982"/>
      <c r="L29" s="622"/>
      <c r="M29" s="982"/>
      <c r="N29" s="622"/>
      <c r="O29" s="1063"/>
      <c r="P29" s="622"/>
      <c r="Q29" s="982"/>
      <c r="R29" s="1280"/>
      <c r="S29" s="927"/>
      <c r="T29" s="878"/>
    </row>
    <row r="30" spans="1:42" s="224" customFormat="1" ht="15" customHeight="1" x14ac:dyDescent="0.25">
      <c r="A30" s="247">
        <v>45237</v>
      </c>
      <c r="B30" s="882" t="s">
        <v>2789</v>
      </c>
      <c r="C30" s="879" t="s">
        <v>12</v>
      </c>
      <c r="D30" s="879" t="s">
        <v>1485</v>
      </c>
      <c r="E30" s="871" t="s">
        <v>13</v>
      </c>
      <c r="F30" s="780">
        <v>11.4</v>
      </c>
      <c r="G30" s="982"/>
      <c r="H30" s="622"/>
      <c r="I30" s="982"/>
      <c r="J30" s="622"/>
      <c r="K30" s="982"/>
      <c r="L30" s="622"/>
      <c r="M30" s="982"/>
      <c r="N30" s="622"/>
      <c r="O30" s="1063"/>
      <c r="P30" s="622"/>
      <c r="Q30" s="982"/>
      <c r="R30" s="1280"/>
      <c r="S30" s="927"/>
      <c r="T30" s="878"/>
    </row>
    <row r="31" spans="1:42" s="224" customFormat="1" ht="15" customHeight="1" x14ac:dyDescent="0.25">
      <c r="A31" s="247">
        <v>45237</v>
      </c>
      <c r="B31" s="873" t="s">
        <v>3972</v>
      </c>
      <c r="C31" s="874" t="s">
        <v>12</v>
      </c>
      <c r="D31" s="874" t="s">
        <v>1489</v>
      </c>
      <c r="E31" s="875" t="s">
        <v>13</v>
      </c>
      <c r="F31" s="780">
        <v>10</v>
      </c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982"/>
      <c r="R31" s="1280"/>
      <c r="S31" s="927"/>
      <c r="T31" s="878"/>
    </row>
    <row r="32" spans="1:42" s="224" customFormat="1" x14ac:dyDescent="0.25">
      <c r="A32" s="247">
        <v>45237</v>
      </c>
      <c r="B32" s="364" t="s">
        <v>398</v>
      </c>
      <c r="C32" s="1276"/>
      <c r="D32" s="1276"/>
      <c r="E32" s="1277"/>
      <c r="F32" s="1873">
        <v>300</v>
      </c>
      <c r="G32" s="982"/>
      <c r="H32" s="1008"/>
      <c r="I32" s="1063">
        <v>300</v>
      </c>
      <c r="J32" s="622"/>
      <c r="K32" s="982"/>
      <c r="L32" s="622"/>
      <c r="M32" s="982"/>
      <c r="N32" s="622"/>
      <c r="O32" s="1063"/>
      <c r="P32" s="622"/>
      <c r="Q32" s="982"/>
      <c r="R32" s="861"/>
      <c r="T32" s="878"/>
    </row>
    <row r="33" spans="1:42" s="224" customFormat="1" ht="15" customHeight="1" x14ac:dyDescent="0.25">
      <c r="A33" s="247">
        <v>45237</v>
      </c>
      <c r="B33" s="1688" t="s">
        <v>3973</v>
      </c>
      <c r="C33" s="874" t="s">
        <v>12</v>
      </c>
      <c r="D33" s="874" t="s">
        <v>1525</v>
      </c>
      <c r="E33" s="875" t="s">
        <v>13</v>
      </c>
      <c r="F33" s="780">
        <v>186.9</v>
      </c>
      <c r="G33" s="982"/>
      <c r="H33" s="622"/>
      <c r="I33" s="982"/>
      <c r="J33" s="622"/>
      <c r="K33" s="982"/>
      <c r="L33" s="622"/>
      <c r="M33" s="982"/>
      <c r="N33" s="622"/>
      <c r="O33" s="1063"/>
      <c r="P33" s="622"/>
      <c r="Q33" s="982"/>
      <c r="R33" s="1956" t="s">
        <v>3292</v>
      </c>
      <c r="S33" s="927"/>
      <c r="T33" s="878"/>
    </row>
    <row r="34" spans="1:42" s="224" customFormat="1" ht="15" customHeight="1" x14ac:dyDescent="0.25">
      <c r="A34" s="247">
        <v>45237</v>
      </c>
      <c r="B34" s="873" t="s">
        <v>3974</v>
      </c>
      <c r="C34" s="874" t="s">
        <v>12</v>
      </c>
      <c r="D34" s="874" t="s">
        <v>1522</v>
      </c>
      <c r="E34" s="875" t="s">
        <v>13</v>
      </c>
      <c r="F34" s="780">
        <v>92.5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982"/>
      <c r="R34" s="1956" t="s">
        <v>3292</v>
      </c>
      <c r="S34" s="927"/>
      <c r="T34" s="878"/>
    </row>
    <row r="35" spans="1:42" s="1274" customFormat="1" ht="15" customHeight="1" x14ac:dyDescent="0.25">
      <c r="A35" s="247">
        <v>45237</v>
      </c>
      <c r="B35" s="882" t="s">
        <v>1331</v>
      </c>
      <c r="C35" s="879" t="s">
        <v>12</v>
      </c>
      <c r="D35" s="879" t="s">
        <v>2157</v>
      </c>
      <c r="E35" s="871" t="s">
        <v>13</v>
      </c>
      <c r="F35" s="613">
        <v>80</v>
      </c>
      <c r="G35" s="1278"/>
      <c r="H35" s="1282"/>
      <c r="I35" s="1283"/>
      <c r="J35" s="1279"/>
      <c r="K35" s="1278"/>
      <c r="L35" s="1279"/>
      <c r="M35" s="1278"/>
      <c r="N35" s="1279"/>
      <c r="O35" s="1283"/>
      <c r="P35" s="1702"/>
      <c r="Q35" s="1703"/>
      <c r="R35" s="1281"/>
      <c r="T35" s="1281"/>
      <c r="U35" s="1294"/>
    </row>
    <row r="36" spans="1:42" s="224" customFormat="1" ht="15" customHeight="1" x14ac:dyDescent="0.25">
      <c r="A36" s="247">
        <v>45237</v>
      </c>
      <c r="B36" s="1275" t="s">
        <v>14</v>
      </c>
      <c r="C36" s="1276" t="s">
        <v>12</v>
      </c>
      <c r="D36" s="1276" t="s">
        <v>1486</v>
      </c>
      <c r="E36" s="1286" t="s">
        <v>13</v>
      </c>
      <c r="F36" s="780">
        <v>11.64</v>
      </c>
      <c r="G36" s="982"/>
      <c r="H36" s="622"/>
      <c r="I36" s="982"/>
      <c r="J36" s="622"/>
      <c r="K36" s="982"/>
      <c r="L36" s="622"/>
      <c r="M36" s="982"/>
      <c r="N36" s="622"/>
      <c r="O36" s="1063"/>
      <c r="P36" s="622"/>
      <c r="Q36" s="982"/>
      <c r="R36" s="1956"/>
      <c r="S36" s="927"/>
      <c r="T36" s="878"/>
    </row>
    <row r="37" spans="1:42" s="1274" customFormat="1" ht="15" customHeight="1" x14ac:dyDescent="0.25">
      <c r="A37" s="247">
        <v>45238</v>
      </c>
      <c r="B37" s="882" t="s">
        <v>32</v>
      </c>
      <c r="C37" s="1276" t="s">
        <v>12</v>
      </c>
      <c r="D37" s="879" t="s">
        <v>1485</v>
      </c>
      <c r="E37" s="871" t="s">
        <v>13</v>
      </c>
      <c r="F37" s="780">
        <v>20</v>
      </c>
      <c r="G37" s="1278"/>
      <c r="H37" s="1282"/>
      <c r="I37" s="1283"/>
      <c r="J37" s="1279"/>
      <c r="K37" s="1278"/>
      <c r="L37" s="1279"/>
      <c r="M37" s="1278"/>
      <c r="N37" s="1279"/>
      <c r="O37" s="1283"/>
      <c r="P37" s="1702"/>
      <c r="Q37" s="1703"/>
      <c r="R37" s="1281"/>
      <c r="T37" s="1281"/>
      <c r="U37" s="1294"/>
    </row>
    <row r="38" spans="1:42" s="224" customFormat="1" ht="15" customHeight="1" x14ac:dyDescent="0.25">
      <c r="A38" s="247">
        <v>45238</v>
      </c>
      <c r="B38" s="882" t="s">
        <v>3958</v>
      </c>
      <c r="C38" s="1276" t="s">
        <v>12</v>
      </c>
      <c r="D38" s="879" t="s">
        <v>1489</v>
      </c>
      <c r="E38" s="871" t="s">
        <v>13</v>
      </c>
      <c r="F38" s="780">
        <v>22</v>
      </c>
      <c r="G38" s="946"/>
      <c r="H38" s="95"/>
      <c r="I38" s="1064"/>
      <c r="J38" s="622"/>
      <c r="K38" s="982"/>
      <c r="L38" s="622"/>
      <c r="M38" s="982"/>
      <c r="N38" s="622"/>
      <c r="O38" s="1063"/>
      <c r="P38" s="622"/>
      <c r="Q38" s="982"/>
      <c r="R38" s="861"/>
    </row>
    <row r="39" spans="1:42" s="224" customFormat="1" ht="15" customHeight="1" x14ac:dyDescent="0.25">
      <c r="A39" s="247">
        <v>45239</v>
      </c>
      <c r="B39" s="882" t="s">
        <v>32</v>
      </c>
      <c r="C39" s="1276" t="s">
        <v>12</v>
      </c>
      <c r="D39" s="879" t="s">
        <v>1485</v>
      </c>
      <c r="E39" s="871" t="s">
        <v>13</v>
      </c>
      <c r="F39" s="780">
        <v>20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982"/>
      <c r="R39" s="1956"/>
      <c r="S39" s="927"/>
      <c r="T39" s="878"/>
    </row>
    <row r="40" spans="1:42" s="224" customFormat="1" ht="15" customHeight="1" x14ac:dyDescent="0.25">
      <c r="A40" s="247">
        <v>45240</v>
      </c>
      <c r="B40" s="364" t="s">
        <v>3354</v>
      </c>
      <c r="C40" s="350" t="s">
        <v>12</v>
      </c>
      <c r="D40" s="350"/>
      <c r="E40" s="480" t="s">
        <v>25</v>
      </c>
      <c r="F40" s="613"/>
      <c r="G40" s="967"/>
      <c r="H40" s="1008"/>
      <c r="I40" s="1063"/>
      <c r="J40" s="1110"/>
      <c r="K40" s="1207"/>
      <c r="L40" s="880"/>
      <c r="M40" s="1033"/>
      <c r="N40" s="880"/>
      <c r="O40" s="1525"/>
      <c r="P40" s="613"/>
      <c r="Q40" s="162">
        <v>171.46</v>
      </c>
      <c r="R40" s="1209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45240</v>
      </c>
      <c r="B41" s="882" t="s">
        <v>32</v>
      </c>
      <c r="C41" s="1276" t="s">
        <v>12</v>
      </c>
      <c r="D41" s="879" t="s">
        <v>1485</v>
      </c>
      <c r="E41" s="871" t="s">
        <v>13</v>
      </c>
      <c r="F41" s="780">
        <v>20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622"/>
      <c r="Q41" s="982"/>
      <c r="R41" s="1956"/>
      <c r="S41" s="927"/>
      <c r="T41" s="878"/>
    </row>
    <row r="42" spans="1:42" s="224" customFormat="1" ht="15" customHeight="1" x14ac:dyDescent="0.25">
      <c r="A42" s="247">
        <v>45240</v>
      </c>
      <c r="B42" s="1275" t="s">
        <v>3975</v>
      </c>
      <c r="C42" s="1276" t="s">
        <v>12</v>
      </c>
      <c r="D42" s="1276" t="s">
        <v>1489</v>
      </c>
      <c r="E42" s="1286" t="s">
        <v>13</v>
      </c>
      <c r="F42" s="780">
        <v>21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927"/>
      <c r="S42" s="927"/>
      <c r="T42" s="878"/>
    </row>
    <row r="43" spans="1:42" s="224" customFormat="1" ht="15" customHeight="1" x14ac:dyDescent="0.25">
      <c r="A43" s="247">
        <v>45240</v>
      </c>
      <c r="B43" s="1275" t="s">
        <v>443</v>
      </c>
      <c r="C43" s="1276" t="s">
        <v>12</v>
      </c>
      <c r="D43" s="1276" t="s">
        <v>1493</v>
      </c>
      <c r="E43" s="1286" t="s">
        <v>13</v>
      </c>
      <c r="F43" s="780">
        <v>19.899999999999999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927"/>
      <c r="S43" s="927"/>
      <c r="T43" s="878"/>
    </row>
    <row r="44" spans="1:42" s="1274" customFormat="1" ht="15" customHeight="1" x14ac:dyDescent="0.25">
      <c r="A44" s="247">
        <v>45241</v>
      </c>
      <c r="B44" s="882" t="s">
        <v>32</v>
      </c>
      <c r="C44" s="1276" t="s">
        <v>12</v>
      </c>
      <c r="D44" s="879" t="s">
        <v>1485</v>
      </c>
      <c r="E44" s="871" t="s">
        <v>13</v>
      </c>
      <c r="F44" s="780">
        <v>19.899999999999999</v>
      </c>
      <c r="G44" s="1278"/>
      <c r="H44" s="1282"/>
      <c r="I44" s="1283"/>
      <c r="J44" s="1279"/>
      <c r="K44" s="1278"/>
      <c r="L44" s="1279"/>
      <c r="M44" s="1278"/>
      <c r="N44" s="1279"/>
      <c r="O44" s="1283"/>
      <c r="P44" s="1702"/>
      <c r="Q44" s="1703"/>
      <c r="R44" s="1281"/>
      <c r="T44" s="1281"/>
      <c r="U44" s="1294"/>
    </row>
    <row r="45" spans="1:42" s="224" customFormat="1" ht="15" customHeight="1" x14ac:dyDescent="0.25">
      <c r="A45" s="247">
        <v>45241</v>
      </c>
      <c r="B45" s="873" t="s">
        <v>134</v>
      </c>
      <c r="C45" s="874" t="s">
        <v>12</v>
      </c>
      <c r="D45" s="874" t="s">
        <v>1493</v>
      </c>
      <c r="E45" s="875" t="s">
        <v>13</v>
      </c>
      <c r="F45" s="780">
        <v>13.23</v>
      </c>
      <c r="G45" s="982"/>
      <c r="H45" s="622"/>
      <c r="I45" s="982"/>
      <c r="J45" s="622"/>
      <c r="K45" s="982"/>
      <c r="L45" s="622"/>
      <c r="M45" s="982"/>
      <c r="N45" s="622"/>
      <c r="O45" s="1063"/>
      <c r="P45" s="622"/>
      <c r="Q45" s="982"/>
      <c r="R45" s="927"/>
      <c r="S45" s="927"/>
      <c r="T45" s="878"/>
    </row>
    <row r="46" spans="1:42" s="224" customFormat="1" ht="15" customHeight="1" x14ac:dyDescent="0.25">
      <c r="A46" s="247">
        <v>45242</v>
      </c>
      <c r="B46" s="1275" t="s">
        <v>14</v>
      </c>
      <c r="C46" s="1276" t="s">
        <v>12</v>
      </c>
      <c r="D46" s="1276" t="s">
        <v>1486</v>
      </c>
      <c r="E46" s="1286" t="s">
        <v>13</v>
      </c>
      <c r="F46" s="780">
        <v>6.76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1956"/>
      <c r="S46" s="927"/>
      <c r="T46" s="878"/>
    </row>
    <row r="47" spans="1:42" s="1274" customFormat="1" ht="15" customHeight="1" x14ac:dyDescent="0.25">
      <c r="A47" s="247">
        <v>45242</v>
      </c>
      <c r="B47" s="882" t="s">
        <v>32</v>
      </c>
      <c r="C47" s="1276" t="s">
        <v>12</v>
      </c>
      <c r="D47" s="879" t="s">
        <v>1485</v>
      </c>
      <c r="E47" s="871" t="s">
        <v>13</v>
      </c>
      <c r="F47" s="780">
        <v>24</v>
      </c>
      <c r="G47" s="1278"/>
      <c r="H47" s="1282"/>
      <c r="I47" s="1283"/>
      <c r="J47" s="1279"/>
      <c r="K47" s="1278"/>
      <c r="L47" s="1279"/>
      <c r="M47" s="1278"/>
      <c r="N47" s="1279"/>
      <c r="O47" s="1283"/>
      <c r="P47" s="1702"/>
      <c r="Q47" s="1703"/>
      <c r="R47" s="1281"/>
      <c r="T47" s="1281"/>
      <c r="U47" s="1294"/>
    </row>
    <row r="48" spans="1:42" s="224" customFormat="1" ht="15" customHeight="1" x14ac:dyDescent="0.25">
      <c r="A48" s="247">
        <v>45242</v>
      </c>
      <c r="B48" s="873" t="s">
        <v>81</v>
      </c>
      <c r="C48" s="874" t="s">
        <v>12</v>
      </c>
      <c r="D48" s="874" t="s">
        <v>1493</v>
      </c>
      <c r="E48" s="875" t="s">
        <v>13</v>
      </c>
      <c r="F48" s="780">
        <v>5</v>
      </c>
      <c r="G48" s="982"/>
      <c r="H48" s="95"/>
      <c r="I48" s="1064"/>
      <c r="J48" s="622"/>
      <c r="K48" s="982"/>
      <c r="L48" s="622"/>
      <c r="M48" s="982"/>
      <c r="N48" s="622"/>
      <c r="O48" s="1063"/>
      <c r="P48" s="622"/>
      <c r="Q48" s="982"/>
      <c r="R48" s="861"/>
    </row>
    <row r="49" spans="1:42" s="1274" customFormat="1" ht="15" customHeight="1" x14ac:dyDescent="0.25">
      <c r="A49" s="247">
        <v>45243</v>
      </c>
      <c r="B49" s="882" t="s">
        <v>32</v>
      </c>
      <c r="C49" s="1276" t="s">
        <v>12</v>
      </c>
      <c r="D49" s="879" t="s">
        <v>1485</v>
      </c>
      <c r="E49" s="871" t="s">
        <v>13</v>
      </c>
      <c r="F49" s="780">
        <v>20</v>
      </c>
      <c r="G49" s="1278"/>
      <c r="H49" s="1282"/>
      <c r="I49" s="1283"/>
      <c r="J49" s="1279"/>
      <c r="K49" s="1278"/>
      <c r="L49" s="1279"/>
      <c r="M49" s="1278"/>
      <c r="N49" s="1279"/>
      <c r="O49" s="1283"/>
      <c r="P49" s="1702"/>
      <c r="Q49" s="1703"/>
      <c r="R49" s="1281"/>
      <c r="T49" s="1281"/>
      <c r="U49" s="1294"/>
    </row>
    <row r="50" spans="1:42" s="224" customFormat="1" x14ac:dyDescent="0.25">
      <c r="A50" s="247">
        <v>45243</v>
      </c>
      <c r="B50" s="882" t="s">
        <v>115</v>
      </c>
      <c r="C50" s="879" t="s">
        <v>12</v>
      </c>
      <c r="D50" s="879" t="s">
        <v>1489</v>
      </c>
      <c r="E50" s="480" t="s">
        <v>13</v>
      </c>
      <c r="F50" s="780">
        <v>10.75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  <c r="T50" s="878"/>
    </row>
    <row r="51" spans="1:42" s="1274" customFormat="1" ht="15" customHeight="1" x14ac:dyDescent="0.25">
      <c r="A51" s="247">
        <v>45244</v>
      </c>
      <c r="B51" s="882" t="s">
        <v>32</v>
      </c>
      <c r="C51" s="1276" t="s">
        <v>12</v>
      </c>
      <c r="D51" s="879" t="s">
        <v>1485</v>
      </c>
      <c r="E51" s="871" t="s">
        <v>13</v>
      </c>
      <c r="F51" s="780">
        <v>20</v>
      </c>
      <c r="G51" s="1278"/>
      <c r="H51" s="1282"/>
      <c r="I51" s="1283"/>
      <c r="J51" s="1279"/>
      <c r="K51" s="1278"/>
      <c r="L51" s="1279"/>
      <c r="M51" s="1278"/>
      <c r="N51" s="1279"/>
      <c r="O51" s="1283"/>
      <c r="P51" s="1702"/>
      <c r="Q51" s="1703"/>
      <c r="R51" s="1281"/>
      <c r="T51" s="1281"/>
      <c r="U51" s="1294"/>
    </row>
    <row r="52" spans="1:42" s="1274" customFormat="1" ht="15" customHeight="1" x14ac:dyDescent="0.25">
      <c r="A52" s="247">
        <v>45244</v>
      </c>
      <c r="B52" s="882" t="s">
        <v>1331</v>
      </c>
      <c r="C52" s="879" t="s">
        <v>12</v>
      </c>
      <c r="D52" s="879" t="s">
        <v>2157</v>
      </c>
      <c r="E52" s="871" t="s">
        <v>15</v>
      </c>
      <c r="F52" s="613">
        <v>50</v>
      </c>
      <c r="G52" s="1278"/>
      <c r="H52" s="1282"/>
      <c r="I52" s="1283"/>
      <c r="J52" s="1279"/>
      <c r="K52" s="1278"/>
      <c r="L52" s="1279"/>
      <c r="M52" s="1278"/>
      <c r="N52" s="1279"/>
      <c r="O52" s="1283"/>
      <c r="P52" s="1702"/>
      <c r="Q52" s="1703"/>
      <c r="R52" s="1281"/>
      <c r="T52" s="1281"/>
      <c r="U52" s="1294"/>
    </row>
    <row r="53" spans="1:42" s="224" customFormat="1" x14ac:dyDescent="0.25">
      <c r="A53" s="247">
        <v>45245</v>
      </c>
      <c r="B53" s="882" t="s">
        <v>2789</v>
      </c>
      <c r="C53" s="1276" t="s">
        <v>12</v>
      </c>
      <c r="D53" s="879" t="s">
        <v>1485</v>
      </c>
      <c r="E53" s="871" t="s">
        <v>13</v>
      </c>
      <c r="F53" s="1279">
        <v>14.32</v>
      </c>
      <c r="G53" s="982"/>
      <c r="H53" s="1008"/>
      <c r="I53" s="1063"/>
      <c r="J53" s="622"/>
      <c r="K53" s="982"/>
      <c r="L53" s="622"/>
      <c r="M53" s="982"/>
      <c r="N53" s="622"/>
      <c r="O53" s="1063"/>
      <c r="P53" s="622"/>
      <c r="Q53" s="982"/>
      <c r="R53" s="861"/>
      <c r="T53" s="878"/>
    </row>
    <row r="54" spans="1:42" s="224" customFormat="1" ht="15" customHeight="1" x14ac:dyDescent="0.25">
      <c r="A54" s="247">
        <v>45245</v>
      </c>
      <c r="B54" s="1275" t="s">
        <v>14</v>
      </c>
      <c r="C54" s="1276" t="s">
        <v>12</v>
      </c>
      <c r="D54" s="1276" t="s">
        <v>1486</v>
      </c>
      <c r="E54" s="1286" t="s">
        <v>13</v>
      </c>
      <c r="F54" s="613">
        <v>14.39</v>
      </c>
      <c r="G54" s="967"/>
      <c r="H54" s="1008"/>
      <c r="I54" s="1063"/>
      <c r="J54" s="613"/>
      <c r="K54" s="6"/>
      <c r="L54" s="622"/>
      <c r="M54" s="982"/>
      <c r="N54" s="622"/>
      <c r="O54" s="1063"/>
      <c r="P54" s="613"/>
      <c r="Q54" s="64"/>
      <c r="R54" s="1209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x14ac:dyDescent="0.25">
      <c r="A55" s="247">
        <v>45246</v>
      </c>
      <c r="B55" s="882" t="s">
        <v>2789</v>
      </c>
      <c r="C55" s="1276" t="s">
        <v>12</v>
      </c>
      <c r="D55" s="879" t="s">
        <v>1485</v>
      </c>
      <c r="E55" s="871" t="s">
        <v>13</v>
      </c>
      <c r="F55" s="1279">
        <v>14.8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  <c r="T55" s="878"/>
    </row>
    <row r="56" spans="1:42" s="224" customFormat="1" ht="15" customHeight="1" x14ac:dyDescent="0.25">
      <c r="A56" s="247">
        <v>45246</v>
      </c>
      <c r="B56" s="882" t="s">
        <v>256</v>
      </c>
      <c r="C56" s="879" t="s">
        <v>12</v>
      </c>
      <c r="D56" s="879"/>
      <c r="E56" s="875"/>
      <c r="F56" s="780"/>
      <c r="G56" s="982">
        <v>500</v>
      </c>
      <c r="H56" s="622">
        <v>500</v>
      </c>
      <c r="I56" s="982"/>
      <c r="J56" s="622"/>
      <c r="K56" s="982"/>
      <c r="L56" s="622"/>
      <c r="M56" s="982"/>
      <c r="N56" s="622"/>
      <c r="O56" s="1063"/>
      <c r="P56" s="880"/>
      <c r="Q56" s="1033"/>
      <c r="R56" s="927"/>
      <c r="T56" s="878"/>
    </row>
    <row r="57" spans="1:42" s="224" customFormat="1" ht="15" customHeight="1" x14ac:dyDescent="0.25">
      <c r="A57" s="247">
        <v>45246</v>
      </c>
      <c r="B57" s="882" t="s">
        <v>3958</v>
      </c>
      <c r="C57" s="1276" t="s">
        <v>12</v>
      </c>
      <c r="D57" s="879" t="s">
        <v>1489</v>
      </c>
      <c r="E57" s="871" t="s">
        <v>13</v>
      </c>
      <c r="F57" s="780">
        <v>22</v>
      </c>
      <c r="G57" s="982"/>
      <c r="H57" s="622"/>
      <c r="I57" s="982"/>
      <c r="J57" s="622"/>
      <c r="K57" s="982"/>
      <c r="L57" s="622"/>
      <c r="M57" s="982"/>
      <c r="N57" s="622"/>
      <c r="O57" s="1063"/>
      <c r="P57" s="622"/>
      <c r="Q57" s="982"/>
      <c r="R57" s="927"/>
      <c r="S57" s="927"/>
      <c r="T57" s="878"/>
    </row>
    <row r="58" spans="1:42" s="224" customFormat="1" ht="15" customHeight="1" x14ac:dyDescent="0.25">
      <c r="A58" s="247">
        <v>45247</v>
      </c>
      <c r="B58" s="882" t="s">
        <v>3976</v>
      </c>
      <c r="C58" s="350" t="s">
        <v>12</v>
      </c>
      <c r="D58" s="350"/>
      <c r="E58" s="480" t="s">
        <v>25</v>
      </c>
      <c r="F58" s="622"/>
      <c r="G58" s="982">
        <v>2100</v>
      </c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ht="15" customHeight="1" x14ac:dyDescent="0.25">
      <c r="A59" s="247">
        <v>45247</v>
      </c>
      <c r="B59" s="862" t="s">
        <v>2867</v>
      </c>
      <c r="C59" s="350" t="s">
        <v>12</v>
      </c>
      <c r="D59" s="874" t="s">
        <v>1504</v>
      </c>
      <c r="E59" s="887" t="s">
        <v>13</v>
      </c>
      <c r="F59" s="780">
        <v>30</v>
      </c>
      <c r="G59" s="982"/>
      <c r="H59" s="1009"/>
      <c r="I59" s="1063"/>
      <c r="J59" s="853"/>
      <c r="K59" s="982"/>
      <c r="L59" s="853"/>
      <c r="M59" s="982"/>
      <c r="N59" s="853"/>
      <c r="O59" s="1063"/>
      <c r="P59" s="622"/>
      <c r="Q59" s="982"/>
      <c r="R59" s="1690"/>
      <c r="S59" s="1690"/>
      <c r="T59" s="1690"/>
      <c r="U59" s="1690"/>
      <c r="V59" s="1690"/>
      <c r="W59" s="1690"/>
      <c r="X59" s="1690"/>
      <c r="Y59" s="1690"/>
      <c r="Z59" s="1690"/>
    </row>
    <row r="60" spans="1:42" s="224" customFormat="1" ht="14.25" customHeight="1" x14ac:dyDescent="0.25">
      <c r="A60" s="247">
        <v>45247</v>
      </c>
      <c r="B60" s="364" t="s">
        <v>2977</v>
      </c>
      <c r="C60" s="350" t="s">
        <v>12</v>
      </c>
      <c r="D60" s="350" t="s">
        <v>1491</v>
      </c>
      <c r="E60" s="875" t="s">
        <v>13</v>
      </c>
      <c r="F60" s="780">
        <v>300</v>
      </c>
      <c r="G60" s="982"/>
      <c r="H60" s="1008"/>
      <c r="I60" s="1063"/>
      <c r="J60" s="622"/>
      <c r="K60" s="982"/>
      <c r="L60" s="622"/>
      <c r="M60" s="982"/>
      <c r="N60" s="622"/>
      <c r="O60" s="1063"/>
      <c r="P60" s="622"/>
      <c r="Q60" s="982"/>
      <c r="R60" s="1029"/>
      <c r="S60" s="89"/>
      <c r="T60" s="930"/>
    </row>
    <row r="61" spans="1:42" s="224" customFormat="1" ht="15" customHeight="1" x14ac:dyDescent="0.25">
      <c r="A61" s="247">
        <v>45247</v>
      </c>
      <c r="B61" s="349" t="s">
        <v>3977</v>
      </c>
      <c r="C61" s="887" t="s">
        <v>12</v>
      </c>
      <c r="D61" s="350" t="s">
        <v>1522</v>
      </c>
      <c r="E61" s="887" t="s">
        <v>13</v>
      </c>
      <c r="F61" s="613">
        <v>800</v>
      </c>
      <c r="G61" s="982"/>
      <c r="H61" s="872"/>
      <c r="I61" s="1063"/>
      <c r="J61" s="622"/>
      <c r="K61" s="982"/>
      <c r="L61" s="622"/>
      <c r="M61" s="982"/>
      <c r="N61" s="622"/>
      <c r="O61" s="1063"/>
      <c r="P61" s="622"/>
      <c r="Q61" s="982"/>
      <c r="R61" s="927"/>
      <c r="S61" s="999"/>
      <c r="T61" s="878"/>
    </row>
    <row r="62" spans="1:42" s="224" customFormat="1" ht="15" customHeight="1" x14ac:dyDescent="0.25">
      <c r="A62" s="247">
        <v>45247</v>
      </c>
      <c r="B62" s="882" t="s">
        <v>3978</v>
      </c>
      <c r="C62" s="879" t="s">
        <v>12</v>
      </c>
      <c r="D62" s="879" t="s">
        <v>1499</v>
      </c>
      <c r="E62" s="871" t="s">
        <v>13</v>
      </c>
      <c r="F62" s="780">
        <v>36.630000000000003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861"/>
      <c r="T62" s="1123"/>
      <c r="U62" s="999"/>
    </row>
    <row r="63" spans="1:42" s="224" customFormat="1" ht="15" customHeight="1" x14ac:dyDescent="0.25">
      <c r="A63" s="247">
        <v>45247</v>
      </c>
      <c r="B63" s="882" t="s">
        <v>3979</v>
      </c>
      <c r="C63" s="879" t="s">
        <v>12</v>
      </c>
      <c r="D63" s="879" t="s">
        <v>1522</v>
      </c>
      <c r="E63" s="871" t="s">
        <v>13</v>
      </c>
      <c r="F63" s="780">
        <v>1000</v>
      </c>
      <c r="G63" s="967"/>
      <c r="H63" s="1008"/>
      <c r="I63" s="1063"/>
      <c r="J63" s="872"/>
      <c r="K63" s="1207"/>
      <c r="L63" s="880"/>
      <c r="M63" s="1033"/>
      <c r="N63" s="880"/>
      <c r="O63" s="1525"/>
      <c r="P63" s="613"/>
      <c r="Q63" s="162"/>
      <c r="R63" s="1966" t="s">
        <v>3911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45247</v>
      </c>
      <c r="B64" s="364" t="s">
        <v>3325</v>
      </c>
      <c r="C64" s="350" t="s">
        <v>12</v>
      </c>
      <c r="D64" s="350" t="s">
        <v>1504</v>
      </c>
      <c r="E64" s="875" t="s">
        <v>13</v>
      </c>
      <c r="F64" s="780">
        <v>38</v>
      </c>
      <c r="G64" s="982"/>
      <c r="H64" s="622"/>
      <c r="I64" s="982"/>
      <c r="J64" s="622"/>
      <c r="K64" s="982"/>
      <c r="L64" s="622"/>
      <c r="M64" s="982"/>
      <c r="N64" s="622"/>
      <c r="O64" s="1063"/>
      <c r="P64" s="827"/>
      <c r="Q64" s="1115"/>
      <c r="R64" s="878"/>
    </row>
    <row r="65" spans="1:42" s="1274" customFormat="1" ht="15" customHeight="1" x14ac:dyDescent="0.25">
      <c r="A65" s="247">
        <v>45247</v>
      </c>
      <c r="B65" s="882" t="s">
        <v>32</v>
      </c>
      <c r="C65" s="1276" t="s">
        <v>12</v>
      </c>
      <c r="D65" s="879" t="s">
        <v>1485</v>
      </c>
      <c r="E65" s="871" t="s">
        <v>13</v>
      </c>
      <c r="F65" s="780">
        <v>20</v>
      </c>
      <c r="G65" s="1278"/>
      <c r="H65" s="1282"/>
      <c r="I65" s="1283"/>
      <c r="J65" s="1279"/>
      <c r="K65" s="1278"/>
      <c r="L65" s="1279"/>
      <c r="M65" s="1278"/>
      <c r="N65" s="1279"/>
      <c r="O65" s="1283"/>
      <c r="P65" s="1702"/>
      <c r="Q65" s="1703"/>
      <c r="R65" s="1281"/>
      <c r="T65" s="1281"/>
      <c r="U65" s="1294"/>
    </row>
    <row r="66" spans="1:42" s="224" customFormat="1" ht="15" customHeight="1" x14ac:dyDescent="0.25">
      <c r="A66" s="247">
        <v>45247</v>
      </c>
      <c r="B66" s="882" t="s">
        <v>1906</v>
      </c>
      <c r="C66" s="879" t="s">
        <v>12</v>
      </c>
      <c r="D66" s="879" t="s">
        <v>1493</v>
      </c>
      <c r="E66" s="875" t="s">
        <v>13</v>
      </c>
      <c r="F66" s="780">
        <v>8</v>
      </c>
      <c r="G66" s="982"/>
      <c r="H66" s="622"/>
      <c r="I66" s="982"/>
      <c r="J66" s="622"/>
      <c r="K66" s="982"/>
      <c r="L66" s="622"/>
      <c r="M66" s="982"/>
      <c r="N66" s="622"/>
      <c r="O66" s="1063"/>
      <c r="P66" s="880"/>
      <c r="Q66" s="1033"/>
      <c r="R66" s="927"/>
      <c r="T66" s="878"/>
    </row>
    <row r="67" spans="1:42" s="224" customFormat="1" ht="15" customHeight="1" x14ac:dyDescent="0.25">
      <c r="A67" s="247">
        <v>45248</v>
      </c>
      <c r="B67" s="882" t="s">
        <v>2629</v>
      </c>
      <c r="C67" s="879" t="s">
        <v>19</v>
      </c>
      <c r="D67" s="879" t="s">
        <v>1489</v>
      </c>
      <c r="E67" s="871" t="s">
        <v>13</v>
      </c>
      <c r="F67" s="780">
        <v>119.33</v>
      </c>
      <c r="G67" s="946"/>
      <c r="H67" s="95"/>
      <c r="I67" s="1064"/>
      <c r="J67" s="622"/>
      <c r="K67" s="982"/>
      <c r="L67" s="622"/>
      <c r="M67" s="982"/>
      <c r="N67" s="622"/>
      <c r="O67" s="1063"/>
      <c r="P67" s="622"/>
      <c r="Q67" s="982"/>
      <c r="R67" s="861"/>
    </row>
    <row r="68" spans="1:42" s="1274" customFormat="1" ht="15" customHeight="1" x14ac:dyDescent="0.25">
      <c r="A68" s="247">
        <v>45248</v>
      </c>
      <c r="B68" s="882" t="s">
        <v>1331</v>
      </c>
      <c r="C68" s="879" t="s">
        <v>12</v>
      </c>
      <c r="D68" s="879" t="s">
        <v>2157</v>
      </c>
      <c r="E68" s="871" t="s">
        <v>13</v>
      </c>
      <c r="F68" s="613">
        <v>80</v>
      </c>
      <c r="G68" s="1278"/>
      <c r="H68" s="1282"/>
      <c r="I68" s="1283"/>
      <c r="J68" s="1279"/>
      <c r="K68" s="1278"/>
      <c r="L68" s="1279"/>
      <c r="M68" s="1278"/>
      <c r="N68" s="1279"/>
      <c r="O68" s="1283"/>
      <c r="P68" s="1702"/>
      <c r="Q68" s="1703"/>
      <c r="R68" s="1281"/>
      <c r="T68" s="1281"/>
      <c r="U68" s="1294"/>
    </row>
    <row r="69" spans="1:42" s="224" customFormat="1" ht="15" customHeight="1" x14ac:dyDescent="0.25">
      <c r="A69" s="247">
        <v>45248</v>
      </c>
      <c r="B69" s="882" t="s">
        <v>3980</v>
      </c>
      <c r="C69" s="879" t="s">
        <v>12</v>
      </c>
      <c r="D69" s="879" t="s">
        <v>1523</v>
      </c>
      <c r="E69" s="875" t="s">
        <v>13</v>
      </c>
      <c r="F69" s="780">
        <v>55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880"/>
      <c r="Q69" s="1033"/>
      <c r="R69" s="927"/>
      <c r="T69" s="878"/>
    </row>
    <row r="70" spans="1:42" s="224" customFormat="1" ht="15" customHeight="1" x14ac:dyDescent="0.25">
      <c r="A70" s="247">
        <v>45249</v>
      </c>
      <c r="B70" s="1275" t="s">
        <v>14</v>
      </c>
      <c r="C70" s="1276" t="s">
        <v>12</v>
      </c>
      <c r="D70" s="1276" t="s">
        <v>1486</v>
      </c>
      <c r="E70" s="1286" t="s">
        <v>13</v>
      </c>
      <c r="F70" s="613">
        <v>8.7100000000000009</v>
      </c>
      <c r="G70" s="967"/>
      <c r="H70" s="1008"/>
      <c r="I70" s="1063"/>
      <c r="J70" s="613"/>
      <c r="K70" s="6"/>
      <c r="L70" s="622"/>
      <c r="M70" s="982"/>
      <c r="N70" s="622"/>
      <c r="O70" s="1063"/>
      <c r="P70" s="613"/>
      <c r="Q70" s="64"/>
      <c r="R70" s="1209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45249</v>
      </c>
      <c r="B71" s="882" t="s">
        <v>2595</v>
      </c>
      <c r="C71" s="879" t="s">
        <v>12</v>
      </c>
      <c r="D71" s="879" t="s">
        <v>1506</v>
      </c>
      <c r="E71" s="871" t="s">
        <v>13</v>
      </c>
      <c r="F71" s="780">
        <v>10</v>
      </c>
      <c r="G71" s="946"/>
      <c r="H71" s="95"/>
      <c r="I71" s="1064"/>
      <c r="J71" s="622"/>
      <c r="K71" s="982"/>
      <c r="L71" s="622"/>
      <c r="M71" s="982"/>
      <c r="N71" s="622"/>
      <c r="O71" s="1063"/>
      <c r="P71" s="622"/>
      <c r="Q71" s="982"/>
      <c r="R71" s="861"/>
    </row>
    <row r="72" spans="1:42" s="224" customFormat="1" ht="15" customHeight="1" x14ac:dyDescent="0.25">
      <c r="A72" s="247">
        <v>45250</v>
      </c>
      <c r="B72" s="1275" t="s">
        <v>14</v>
      </c>
      <c r="C72" s="1276" t="s">
        <v>12</v>
      </c>
      <c r="D72" s="1276" t="s">
        <v>1486</v>
      </c>
      <c r="E72" s="1286" t="s">
        <v>13</v>
      </c>
      <c r="F72" s="780">
        <v>5.25</v>
      </c>
      <c r="G72" s="982"/>
      <c r="H72" s="622"/>
      <c r="I72" s="982"/>
      <c r="J72" s="622"/>
      <c r="K72" s="982"/>
      <c r="L72" s="622"/>
      <c r="M72" s="982"/>
      <c r="N72" s="622"/>
      <c r="O72" s="1063"/>
      <c r="P72" s="880"/>
      <c r="Q72" s="1033"/>
      <c r="R72" s="927"/>
      <c r="T72" s="878"/>
    </row>
    <row r="73" spans="1:42" s="1274" customFormat="1" ht="15" customHeight="1" x14ac:dyDescent="0.25">
      <c r="A73" s="247">
        <v>45251</v>
      </c>
      <c r="B73" s="882" t="s">
        <v>32</v>
      </c>
      <c r="C73" s="1276" t="s">
        <v>12</v>
      </c>
      <c r="D73" s="879" t="s">
        <v>1485</v>
      </c>
      <c r="E73" s="871" t="s">
        <v>13</v>
      </c>
      <c r="F73" s="780">
        <v>20</v>
      </c>
      <c r="G73" s="1278"/>
      <c r="H73" s="1282"/>
      <c r="I73" s="1283"/>
      <c r="J73" s="1279"/>
      <c r="K73" s="1278"/>
      <c r="L73" s="1279"/>
      <c r="M73" s="1278"/>
      <c r="N73" s="1279"/>
      <c r="O73" s="1283"/>
      <c r="P73" s="1702"/>
      <c r="Q73" s="1703"/>
      <c r="R73" s="1281"/>
      <c r="T73" s="1281"/>
      <c r="U73" s="1294"/>
    </row>
    <row r="74" spans="1:42" s="224" customFormat="1" ht="15" customHeight="1" x14ac:dyDescent="0.25">
      <c r="A74" s="247">
        <v>45251</v>
      </c>
      <c r="B74" s="1275" t="s">
        <v>3981</v>
      </c>
      <c r="C74" s="1276" t="s">
        <v>12</v>
      </c>
      <c r="D74" s="1276" t="s">
        <v>1489</v>
      </c>
      <c r="E74" s="1286" t="s">
        <v>13</v>
      </c>
      <c r="F74" s="780">
        <v>14</v>
      </c>
      <c r="G74" s="946"/>
      <c r="H74" s="95"/>
      <c r="I74" s="1064"/>
      <c r="J74" s="622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45252</v>
      </c>
      <c r="B75" s="862" t="s">
        <v>3529</v>
      </c>
      <c r="C75" s="879" t="s">
        <v>12</v>
      </c>
      <c r="D75" s="879" t="s">
        <v>1504</v>
      </c>
      <c r="E75" s="871" t="s">
        <v>13</v>
      </c>
      <c r="F75" s="780">
        <v>39.9</v>
      </c>
      <c r="G75" s="946"/>
      <c r="H75" s="95"/>
      <c r="I75" s="1064"/>
      <c r="J75" s="622"/>
      <c r="K75" s="982"/>
      <c r="L75" s="622"/>
      <c r="M75" s="982"/>
      <c r="N75" s="622"/>
      <c r="O75" s="1063"/>
      <c r="P75" s="622"/>
      <c r="Q75" s="982"/>
      <c r="R75" s="1028"/>
      <c r="U75" s="958"/>
    </row>
    <row r="76" spans="1:42" s="1274" customFormat="1" ht="15" customHeight="1" x14ac:dyDescent="0.25">
      <c r="A76" s="247">
        <v>45252</v>
      </c>
      <c r="B76" s="882" t="s">
        <v>32</v>
      </c>
      <c r="C76" s="1276" t="s">
        <v>12</v>
      </c>
      <c r="D76" s="879" t="s">
        <v>1485</v>
      </c>
      <c r="E76" s="871" t="s">
        <v>13</v>
      </c>
      <c r="F76" s="780">
        <v>20</v>
      </c>
      <c r="G76" s="1278"/>
      <c r="H76" s="1282"/>
      <c r="I76" s="1283"/>
      <c r="J76" s="1279"/>
      <c r="K76" s="1278"/>
      <c r="L76" s="1279"/>
      <c r="M76" s="1278"/>
      <c r="N76" s="1279"/>
      <c r="O76" s="1283"/>
      <c r="P76" s="1702"/>
      <c r="Q76" s="1703"/>
      <c r="R76" s="1281"/>
      <c r="T76" s="1281"/>
      <c r="U76" s="1294"/>
    </row>
    <row r="77" spans="1:42" s="224" customFormat="1" ht="15" customHeight="1" x14ac:dyDescent="0.25">
      <c r="A77" s="247">
        <v>45252</v>
      </c>
      <c r="B77" s="1275" t="s">
        <v>14</v>
      </c>
      <c r="C77" s="1276" t="s">
        <v>12</v>
      </c>
      <c r="D77" s="1276" t="s">
        <v>1486</v>
      </c>
      <c r="E77" s="1286" t="s">
        <v>13</v>
      </c>
      <c r="F77" s="613">
        <v>8.93</v>
      </c>
      <c r="G77" s="967"/>
      <c r="H77" s="1008"/>
      <c r="I77" s="1063"/>
      <c r="J77" s="613"/>
      <c r="K77" s="6"/>
      <c r="L77" s="622"/>
      <c r="M77" s="982"/>
      <c r="N77" s="622"/>
      <c r="O77" s="1063"/>
      <c r="P77" s="613"/>
      <c r="Q77" s="64"/>
      <c r="R77" s="1209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1274" customFormat="1" ht="15" customHeight="1" x14ac:dyDescent="0.25">
      <c r="A78" s="247">
        <v>45253</v>
      </c>
      <c r="B78" s="882" t="s">
        <v>32</v>
      </c>
      <c r="C78" s="1276" t="s">
        <v>12</v>
      </c>
      <c r="D78" s="879" t="s">
        <v>1485</v>
      </c>
      <c r="E78" s="871" t="s">
        <v>13</v>
      </c>
      <c r="F78" s="780">
        <v>20</v>
      </c>
      <c r="G78" s="1278"/>
      <c r="H78" s="1282"/>
      <c r="I78" s="1283"/>
      <c r="J78" s="1279"/>
      <c r="K78" s="1278"/>
      <c r="L78" s="1279"/>
      <c r="M78" s="1278"/>
      <c r="N78" s="1279"/>
      <c r="O78" s="1283"/>
      <c r="P78" s="1702"/>
      <c r="Q78" s="1703"/>
      <c r="R78" s="1281"/>
      <c r="T78" s="1281"/>
      <c r="U78" s="1294"/>
    </row>
    <row r="79" spans="1:42" s="224" customFormat="1" ht="15" customHeight="1" x14ac:dyDescent="0.25">
      <c r="A79" s="247">
        <v>45253</v>
      </c>
      <c r="B79" s="882" t="s">
        <v>3982</v>
      </c>
      <c r="C79" s="879" t="s">
        <v>12</v>
      </c>
      <c r="D79" s="879" t="s">
        <v>1522</v>
      </c>
      <c r="E79" s="875" t="s">
        <v>13</v>
      </c>
      <c r="F79" s="780">
        <v>30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880"/>
      <c r="Q79" s="1033"/>
      <c r="R79" s="927"/>
      <c r="T79" s="878"/>
    </row>
    <row r="80" spans="1:42" s="1274" customFormat="1" ht="15" customHeight="1" x14ac:dyDescent="0.25">
      <c r="A80" s="247">
        <v>45254</v>
      </c>
      <c r="B80" s="882" t="s">
        <v>32</v>
      </c>
      <c r="C80" s="1276" t="s">
        <v>12</v>
      </c>
      <c r="D80" s="879" t="s">
        <v>1485</v>
      </c>
      <c r="E80" s="871" t="s">
        <v>13</v>
      </c>
      <c r="F80" s="780">
        <v>20</v>
      </c>
      <c r="G80" s="1278"/>
      <c r="H80" s="1282"/>
      <c r="I80" s="1283"/>
      <c r="J80" s="1279"/>
      <c r="K80" s="1278"/>
      <c r="L80" s="1279"/>
      <c r="M80" s="1278"/>
      <c r="N80" s="1279"/>
      <c r="O80" s="1283"/>
      <c r="P80" s="1702"/>
      <c r="Q80" s="1703"/>
      <c r="R80" s="1281"/>
      <c r="T80" s="1281"/>
      <c r="U80" s="1294"/>
    </row>
    <row r="81" spans="1:42" s="224" customFormat="1" ht="15" customHeight="1" x14ac:dyDescent="0.25">
      <c r="A81" s="247">
        <v>45254</v>
      </c>
      <c r="B81" s="882" t="s">
        <v>3983</v>
      </c>
      <c r="C81" s="879" t="s">
        <v>12</v>
      </c>
      <c r="D81" s="879" t="s">
        <v>1506</v>
      </c>
      <c r="E81" s="875" t="s">
        <v>13</v>
      </c>
      <c r="F81" s="780">
        <v>29.5</v>
      </c>
      <c r="G81" s="982"/>
      <c r="H81" s="622"/>
      <c r="I81" s="982"/>
      <c r="J81" s="622"/>
      <c r="K81" s="982"/>
      <c r="L81" s="622"/>
      <c r="M81" s="982"/>
      <c r="N81" s="622"/>
      <c r="O81" s="1063"/>
      <c r="P81" s="880"/>
      <c r="Q81" s="1033"/>
      <c r="R81" s="927"/>
      <c r="T81" s="878"/>
    </row>
    <row r="82" spans="1:42" s="224" customFormat="1" ht="15" customHeight="1" x14ac:dyDescent="0.25">
      <c r="A82" s="247">
        <v>45254</v>
      </c>
      <c r="B82" s="882" t="s">
        <v>3984</v>
      </c>
      <c r="C82" s="879" t="s">
        <v>12</v>
      </c>
      <c r="D82" s="879" t="s">
        <v>1525</v>
      </c>
      <c r="E82" s="871" t="s">
        <v>13</v>
      </c>
      <c r="F82" s="780">
        <v>17</v>
      </c>
      <c r="G82" s="946"/>
      <c r="H82" s="95"/>
      <c r="I82" s="1064"/>
      <c r="J82" s="622"/>
      <c r="K82" s="982"/>
      <c r="L82" s="622"/>
      <c r="M82" s="982"/>
      <c r="N82" s="1979"/>
      <c r="O82" s="1980"/>
      <c r="P82" s="1110"/>
      <c r="Q82" s="1208"/>
      <c r="R82" s="1028"/>
      <c r="U82" s="958"/>
    </row>
    <row r="83" spans="1:42" s="224" customFormat="1" ht="15" customHeight="1" x14ac:dyDescent="0.25">
      <c r="A83" s="247">
        <v>45254</v>
      </c>
      <c r="B83" s="882" t="s">
        <v>3985</v>
      </c>
      <c r="C83" s="879" t="s">
        <v>12</v>
      </c>
      <c r="D83" s="879" t="s">
        <v>1525</v>
      </c>
      <c r="E83" s="871" t="s">
        <v>13</v>
      </c>
      <c r="F83" s="780">
        <v>30</v>
      </c>
      <c r="G83" s="946"/>
      <c r="H83" s="95"/>
      <c r="I83" s="1064"/>
      <c r="J83" s="622"/>
      <c r="K83" s="982"/>
      <c r="L83" s="622"/>
      <c r="M83" s="982"/>
      <c r="N83" s="622"/>
      <c r="O83" s="1063"/>
      <c r="P83" s="613"/>
      <c r="Q83" s="64"/>
      <c r="R83" s="1028"/>
      <c r="U83" s="958"/>
    </row>
    <row r="84" spans="1:42" s="224" customFormat="1" ht="15" customHeight="1" x14ac:dyDescent="0.25">
      <c r="A84" s="247">
        <v>45254</v>
      </c>
      <c r="B84" s="882" t="s">
        <v>443</v>
      </c>
      <c r="C84" s="879" t="s">
        <v>12</v>
      </c>
      <c r="D84" s="879" t="s">
        <v>1493</v>
      </c>
      <c r="E84" s="871" t="s">
        <v>13</v>
      </c>
      <c r="F84" s="780">
        <v>13.93</v>
      </c>
      <c r="G84" s="946"/>
      <c r="H84" s="95"/>
      <c r="I84" s="1064"/>
      <c r="J84" s="622"/>
      <c r="K84" s="982"/>
      <c r="L84" s="622"/>
      <c r="M84" s="982"/>
      <c r="N84" s="880"/>
      <c r="O84" s="1525"/>
      <c r="P84" s="1110"/>
      <c r="Q84" s="1208"/>
      <c r="R84" s="1028"/>
      <c r="U84" s="958"/>
    </row>
    <row r="85" spans="1:42" s="1274" customFormat="1" ht="15" customHeight="1" x14ac:dyDescent="0.25">
      <c r="A85" s="247">
        <v>45255</v>
      </c>
      <c r="B85" s="882" t="s">
        <v>32</v>
      </c>
      <c r="C85" s="1276" t="s">
        <v>12</v>
      </c>
      <c r="D85" s="879" t="s">
        <v>1485</v>
      </c>
      <c r="E85" s="871" t="s">
        <v>13</v>
      </c>
      <c r="F85" s="780">
        <v>20</v>
      </c>
      <c r="G85" s="1278"/>
      <c r="H85" s="1282"/>
      <c r="I85" s="1283"/>
      <c r="J85" s="1279"/>
      <c r="K85" s="1278"/>
      <c r="L85" s="1279"/>
      <c r="M85" s="1278"/>
      <c r="N85" s="1279"/>
      <c r="O85" s="1283"/>
      <c r="P85" s="1702"/>
      <c r="Q85" s="1703"/>
      <c r="R85" s="1281"/>
      <c r="T85" s="1281"/>
      <c r="U85" s="1294"/>
    </row>
    <row r="86" spans="1:42" s="224" customFormat="1" ht="15" customHeight="1" x14ac:dyDescent="0.25">
      <c r="A86" s="247">
        <v>45255</v>
      </c>
      <c r="B86" s="882" t="s">
        <v>82</v>
      </c>
      <c r="C86" s="879" t="s">
        <v>12</v>
      </c>
      <c r="D86" s="879" t="s">
        <v>1493</v>
      </c>
      <c r="E86" s="871" t="s">
        <v>13</v>
      </c>
      <c r="F86" s="780">
        <v>30</v>
      </c>
      <c r="G86" s="946"/>
      <c r="H86" s="95"/>
      <c r="I86" s="1064"/>
      <c r="J86" s="622"/>
      <c r="K86" s="982"/>
      <c r="L86" s="622"/>
      <c r="M86" s="982"/>
      <c r="N86" s="622"/>
      <c r="O86" s="1063"/>
      <c r="P86" s="622"/>
      <c r="Q86" s="982"/>
      <c r="R86" s="1028"/>
      <c r="U86" s="958"/>
    </row>
    <row r="87" spans="1:42" s="224" customFormat="1" ht="15" customHeight="1" x14ac:dyDescent="0.25">
      <c r="A87" s="247">
        <v>45256</v>
      </c>
      <c r="B87" s="1275" t="s">
        <v>14</v>
      </c>
      <c r="C87" s="1276" t="s">
        <v>12</v>
      </c>
      <c r="D87" s="1276" t="s">
        <v>1486</v>
      </c>
      <c r="E87" s="1286" t="s">
        <v>13</v>
      </c>
      <c r="F87" s="613">
        <v>3.93</v>
      </c>
      <c r="G87" s="967"/>
      <c r="H87" s="1008"/>
      <c r="I87" s="1063"/>
      <c r="J87" s="613"/>
      <c r="K87" s="6"/>
      <c r="L87" s="622"/>
      <c r="M87" s="982"/>
      <c r="N87" s="622"/>
      <c r="O87" s="1063"/>
      <c r="P87" s="613"/>
      <c r="Q87" s="64"/>
      <c r="R87" s="1209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45256</v>
      </c>
      <c r="B88" s="882" t="s">
        <v>32</v>
      </c>
      <c r="C88" s="1276" t="s">
        <v>12</v>
      </c>
      <c r="D88" s="879" t="s">
        <v>1485</v>
      </c>
      <c r="E88" s="871" t="s">
        <v>13</v>
      </c>
      <c r="F88" s="780">
        <v>12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622"/>
      <c r="Q88" s="982"/>
      <c r="R88" s="1028"/>
      <c r="S88" s="959"/>
      <c r="T88" s="878"/>
      <c r="U88" s="958"/>
    </row>
    <row r="89" spans="1:42" s="224" customFormat="1" ht="15" customHeight="1" x14ac:dyDescent="0.25">
      <c r="A89" s="247">
        <v>45256</v>
      </c>
      <c r="B89" s="882" t="s">
        <v>443</v>
      </c>
      <c r="C89" s="879" t="s">
        <v>12</v>
      </c>
      <c r="D89" s="879" t="s">
        <v>1493</v>
      </c>
      <c r="E89" s="871" t="s">
        <v>13</v>
      </c>
      <c r="F89" s="780">
        <v>15.48</v>
      </c>
      <c r="G89" s="946"/>
      <c r="H89" s="95"/>
      <c r="I89" s="1064"/>
      <c r="J89" s="622"/>
      <c r="K89" s="982"/>
      <c r="L89" s="622"/>
      <c r="M89" s="982"/>
      <c r="N89" s="622"/>
      <c r="O89" s="1063"/>
      <c r="P89" s="1110"/>
      <c r="Q89" s="1208"/>
      <c r="R89" s="1028"/>
      <c r="U89" s="958"/>
    </row>
    <row r="90" spans="1:42" s="224" customFormat="1" ht="15" customHeight="1" x14ac:dyDescent="0.25">
      <c r="A90" s="247">
        <v>45257</v>
      </c>
      <c r="B90" s="882" t="s">
        <v>32</v>
      </c>
      <c r="C90" s="1276" t="s">
        <v>12</v>
      </c>
      <c r="D90" s="879" t="s">
        <v>1485</v>
      </c>
      <c r="E90" s="871" t="s">
        <v>13</v>
      </c>
      <c r="F90" s="780">
        <v>20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622"/>
      <c r="Q90" s="982"/>
      <c r="R90" s="1028"/>
      <c r="S90" s="959"/>
      <c r="T90" s="878"/>
      <c r="U90" s="958"/>
    </row>
    <row r="91" spans="1:42" s="224" customFormat="1" ht="15" customHeight="1" x14ac:dyDescent="0.25">
      <c r="A91" s="247">
        <v>45257</v>
      </c>
      <c r="B91" s="882" t="s">
        <v>1331</v>
      </c>
      <c r="C91" s="879" t="s">
        <v>12</v>
      </c>
      <c r="D91" s="879" t="s">
        <v>2157</v>
      </c>
      <c r="E91" s="871" t="s">
        <v>15</v>
      </c>
      <c r="F91" s="613">
        <v>80</v>
      </c>
      <c r="G91" s="982"/>
      <c r="H91" s="1008"/>
      <c r="I91" s="1063"/>
      <c r="J91" s="622"/>
      <c r="K91" s="982"/>
      <c r="L91" s="622"/>
      <c r="M91" s="982"/>
      <c r="N91" s="622"/>
      <c r="O91" s="1063"/>
      <c r="P91" s="622"/>
      <c r="Q91" s="982"/>
      <c r="R91" s="861"/>
      <c r="T91" s="1035"/>
    </row>
    <row r="92" spans="1:42" s="224" customFormat="1" ht="15" customHeight="1" x14ac:dyDescent="0.25">
      <c r="A92" s="247">
        <v>45258</v>
      </c>
      <c r="B92" s="882" t="s">
        <v>32</v>
      </c>
      <c r="C92" s="1276" t="s">
        <v>12</v>
      </c>
      <c r="D92" s="879" t="s">
        <v>1485</v>
      </c>
      <c r="E92" s="871" t="s">
        <v>13</v>
      </c>
      <c r="F92" s="780">
        <v>20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622"/>
      <c r="Q92" s="982"/>
      <c r="R92" s="1028"/>
      <c r="S92" s="959"/>
      <c r="T92" s="878"/>
      <c r="U92" s="958"/>
    </row>
    <row r="93" spans="1:42" s="224" customFormat="1" ht="15" customHeight="1" x14ac:dyDescent="0.25">
      <c r="A93" s="247">
        <v>45258</v>
      </c>
      <c r="B93" s="1275" t="s">
        <v>14</v>
      </c>
      <c r="C93" s="1276" t="s">
        <v>12</v>
      </c>
      <c r="D93" s="1276" t="s">
        <v>1486</v>
      </c>
      <c r="E93" s="1286" t="s">
        <v>13</v>
      </c>
      <c r="F93" s="780">
        <v>8.35</v>
      </c>
      <c r="G93" s="946"/>
      <c r="H93" s="95"/>
      <c r="I93" s="1064"/>
      <c r="J93" s="622"/>
      <c r="K93" s="982"/>
      <c r="L93" s="622"/>
      <c r="M93" s="982"/>
      <c r="N93" s="622"/>
      <c r="O93" s="1063"/>
      <c r="P93" s="622"/>
      <c r="Q93" s="982"/>
      <c r="R93" s="861"/>
      <c r="T93" s="927"/>
      <c r="U93" s="999"/>
    </row>
    <row r="94" spans="1:42" s="224" customFormat="1" ht="15" customHeight="1" x14ac:dyDescent="0.25">
      <c r="A94" s="247">
        <v>45259</v>
      </c>
      <c r="B94" s="882" t="s">
        <v>32</v>
      </c>
      <c r="C94" s="1276" t="s">
        <v>12</v>
      </c>
      <c r="D94" s="879" t="s">
        <v>1485</v>
      </c>
      <c r="E94" s="871" t="s">
        <v>13</v>
      </c>
      <c r="F94" s="780">
        <v>20</v>
      </c>
      <c r="G94" s="982"/>
      <c r="H94" s="622"/>
      <c r="I94" s="982"/>
      <c r="J94" s="622"/>
      <c r="K94" s="982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45259</v>
      </c>
      <c r="B95" s="882" t="s">
        <v>3958</v>
      </c>
      <c r="C95" s="1276" t="s">
        <v>12</v>
      </c>
      <c r="D95" s="879" t="s">
        <v>1489</v>
      </c>
      <c r="E95" s="871" t="s">
        <v>13</v>
      </c>
      <c r="F95" s="780">
        <v>22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861"/>
      <c r="T95" s="927"/>
      <c r="U95" s="999"/>
    </row>
    <row r="96" spans="1:42" s="224" customFormat="1" ht="15" customHeight="1" x14ac:dyDescent="0.25">
      <c r="A96" s="247">
        <v>45260</v>
      </c>
      <c r="B96" s="882" t="s">
        <v>32</v>
      </c>
      <c r="C96" s="1276" t="s">
        <v>12</v>
      </c>
      <c r="D96" s="879" t="s">
        <v>1485</v>
      </c>
      <c r="E96" s="871" t="s">
        <v>13</v>
      </c>
      <c r="F96" s="780">
        <v>20</v>
      </c>
      <c r="G96" s="946"/>
      <c r="H96" s="95"/>
      <c r="I96" s="1064"/>
      <c r="J96" s="622"/>
      <c r="K96" s="982"/>
      <c r="L96" s="622"/>
      <c r="M96" s="982"/>
      <c r="N96" s="622"/>
      <c r="O96" s="1063"/>
      <c r="P96" s="622"/>
      <c r="Q96" s="982"/>
      <c r="R96" s="861"/>
      <c r="T96" s="927"/>
      <c r="U96" s="999"/>
    </row>
    <row r="97" spans="1:26" s="224" customFormat="1" ht="15" customHeight="1" x14ac:dyDescent="0.25">
      <c r="A97" s="247">
        <v>45260</v>
      </c>
      <c r="B97" s="364" t="s">
        <v>3986</v>
      </c>
      <c r="C97" s="350"/>
      <c r="D97" s="350"/>
      <c r="E97" s="875"/>
      <c r="F97" s="780"/>
      <c r="G97" s="982">
        <v>2625</v>
      </c>
      <c r="H97" s="1008"/>
      <c r="I97" s="1063"/>
      <c r="J97" s="622"/>
      <c r="K97" s="982"/>
      <c r="L97" s="622"/>
      <c r="M97" s="982"/>
      <c r="N97" s="622"/>
      <c r="O97" s="1063"/>
      <c r="P97" s="622"/>
      <c r="Q97" s="982"/>
      <c r="R97" s="861"/>
      <c r="T97" s="1035"/>
    </row>
    <row r="98" spans="1:26" s="224" customFormat="1" x14ac:dyDescent="0.25">
      <c r="A98" s="247">
        <v>45260</v>
      </c>
      <c r="B98" s="364" t="s">
        <v>398</v>
      </c>
      <c r="C98" s="1276"/>
      <c r="D98" s="1276"/>
      <c r="E98" s="1277"/>
      <c r="F98" s="1873">
        <v>1000</v>
      </c>
      <c r="G98" s="982"/>
      <c r="H98" s="1008"/>
      <c r="I98" s="1063">
        <v>1000</v>
      </c>
      <c r="J98" s="622"/>
      <c r="K98" s="982"/>
      <c r="L98" s="622"/>
      <c r="M98" s="982"/>
      <c r="N98" s="622"/>
      <c r="O98" s="1063"/>
      <c r="P98" s="622"/>
      <c r="Q98" s="982"/>
      <c r="R98" s="861"/>
      <c r="T98" s="878"/>
    </row>
    <row r="99" spans="1:26" s="224" customFormat="1" ht="15.75" thickBot="1" x14ac:dyDescent="0.3">
      <c r="A99" s="247">
        <v>45260</v>
      </c>
      <c r="B99" s="862" t="s">
        <v>1666</v>
      </c>
      <c r="C99" s="350" t="s">
        <v>12</v>
      </c>
      <c r="D99" s="1003"/>
      <c r="E99" s="145" t="s">
        <v>25</v>
      </c>
      <c r="F99" s="1036"/>
      <c r="G99" s="1535"/>
      <c r="H99" s="1008"/>
      <c r="I99" s="1063"/>
      <c r="J99" s="1036"/>
      <c r="K99" s="1535"/>
      <c r="L99" s="622"/>
      <c r="M99" s="982">
        <v>40.21</v>
      </c>
      <c r="N99" s="622"/>
      <c r="O99" s="1063">
        <v>0</v>
      </c>
      <c r="P99" s="1036"/>
      <c r="Q99" s="1535"/>
      <c r="R99" s="1815">
        <f>M99/M5</f>
        <v>7.5516984278719808E-3</v>
      </c>
      <c r="T99" s="878"/>
    </row>
    <row r="100" spans="1:26" ht="25.5" customHeight="1" thickBot="1" x14ac:dyDescent="0.3">
      <c r="A100" s="3060"/>
      <c r="B100" s="3061"/>
      <c r="C100" s="3062"/>
      <c r="D100" s="3062"/>
      <c r="E100" s="3062"/>
      <c r="F100" s="1023">
        <f>SUM(F6:F99)</f>
        <v>6488.9900000000007</v>
      </c>
      <c r="G100" s="1065">
        <f>SUM(G5:G99)</f>
        <v>8279.7282500000292</v>
      </c>
      <c r="H100" s="517">
        <f>SUM(H6:H99)</f>
        <v>700</v>
      </c>
      <c r="I100" s="93">
        <f>SUM(I5:I99)</f>
        <v>2799.9959999999992</v>
      </c>
      <c r="J100" s="1023">
        <f>SUM(J6:J99)</f>
        <v>0</v>
      </c>
      <c r="K100" s="93">
        <f>SUM(K5:K99)</f>
        <v>25518.140000000003</v>
      </c>
      <c r="L100" s="1023">
        <f>SUM(L6:L99)</f>
        <v>0</v>
      </c>
      <c r="M100" s="93">
        <f>SUM(M5:M99)</f>
        <v>5364.840000000002</v>
      </c>
      <c r="N100" s="1023">
        <f>SUM(N6:N99)</f>
        <v>0</v>
      </c>
      <c r="O100" s="93">
        <f>SUM(O5:O99)</f>
        <v>0</v>
      </c>
      <c r="P100" s="1211">
        <f>SUM(P6:P99)</f>
        <v>0</v>
      </c>
      <c r="Q100" s="93">
        <f>SUM(Q5:Q99)</f>
        <v>49247.265984720005</v>
      </c>
      <c r="S100" s="216"/>
    </row>
    <row r="101" spans="1:26" ht="25.5" customHeight="1" thickBot="1" x14ac:dyDescent="0.3">
      <c r="A101" s="3117" t="s">
        <v>49</v>
      </c>
      <c r="B101" s="3118"/>
      <c r="C101" s="3118"/>
      <c r="D101" s="3118"/>
      <c r="E101" s="3118"/>
      <c r="F101" s="144" t="s">
        <v>280</v>
      </c>
      <c r="G101" s="519">
        <f>G100-F100</f>
        <v>1790.7382500000285</v>
      </c>
      <c r="H101" s="555"/>
      <c r="I101" s="772">
        <f>I100-H100</f>
        <v>2099.9959999999992</v>
      </c>
      <c r="J101" s="593"/>
      <c r="K101" s="993">
        <f>K100-J100</f>
        <v>25518.140000000003</v>
      </c>
      <c r="L101" s="593"/>
      <c r="M101" s="772">
        <f>M100-L100</f>
        <v>5364.840000000002</v>
      </c>
      <c r="N101" s="593"/>
      <c r="O101" s="772">
        <f>O100-N100</f>
        <v>0</v>
      </c>
      <c r="P101" s="593"/>
      <c r="Q101" s="556">
        <f>Q100-P100</f>
        <v>49247.265984720005</v>
      </c>
      <c r="R101" s="484">
        <f>K101+M101+O101+Q101</f>
        <v>80130.245984720008</v>
      </c>
    </row>
    <row r="102" spans="1:26" x14ac:dyDescent="0.25">
      <c r="J102" s="1238"/>
      <c r="K102" s="1238">
        <f>K101/R101</f>
        <v>0.31845827610295924</v>
      </c>
      <c r="M102" s="1238">
        <f>M101/R101</f>
        <v>6.6951497952758315E-2</v>
      </c>
      <c r="O102" s="1238">
        <f>O101/R101</f>
        <v>0</v>
      </c>
      <c r="P102" s="1239"/>
      <c r="Q102" s="1239">
        <f>Q101/R101</f>
        <v>0.61459022594428248</v>
      </c>
      <c r="R102" s="867"/>
      <c r="S102" s="867"/>
      <c r="T102" s="79"/>
      <c r="W102" s="518"/>
      <c r="X102" s="216"/>
      <c r="Z102" s="877"/>
    </row>
    <row r="103" spans="1:26" x14ac:dyDescent="0.25">
      <c r="B103" s="81" t="s">
        <v>3</v>
      </c>
      <c r="C103" s="193" t="s">
        <v>1484</v>
      </c>
      <c r="D103" s="970" t="s">
        <v>2378</v>
      </c>
      <c r="E103" s="193" t="s">
        <v>3216</v>
      </c>
      <c r="F103" s="1061" t="s">
        <v>3217</v>
      </c>
      <c r="G103" s="216"/>
      <c r="J103" s="867"/>
      <c r="K103" s="866"/>
      <c r="M103" s="866"/>
      <c r="O103" s="866"/>
      <c r="P103" s="1038"/>
      <c r="Q103" s="1038"/>
      <c r="R103" s="865"/>
      <c r="S103" s="867"/>
    </row>
    <row r="104" spans="1:26" x14ac:dyDescent="0.25">
      <c r="B104" s="79" t="s">
        <v>32</v>
      </c>
      <c r="C104" s="85" t="s">
        <v>1485</v>
      </c>
      <c r="D104" s="475">
        <f>SUMIF($D$8:$D$99,"A",$F$8:$F$99)</f>
        <v>436.42</v>
      </c>
      <c r="E104" s="1202">
        <f t="shared" ref="E104:E121" si="0">D104/$J$123</f>
        <v>14.547333333333334</v>
      </c>
      <c r="F104" s="1203">
        <f t="shared" ref="F104:F120" si="1">E104/$E$124</f>
        <v>0.10123405242403156</v>
      </c>
      <c r="G104" s="800"/>
      <c r="I104" s="769"/>
      <c r="J104" s="1210"/>
      <c r="K104" s="754"/>
      <c r="M104" s="886"/>
      <c r="O104" s="886"/>
      <c r="P104" s="886"/>
      <c r="Q104" s="1210"/>
      <c r="R104" s="1038"/>
      <c r="S104" s="1210"/>
      <c r="U104" s="1201"/>
      <c r="V104" s="877"/>
    </row>
    <row r="105" spans="1:26" x14ac:dyDescent="0.25">
      <c r="B105" s="79" t="s">
        <v>2187</v>
      </c>
      <c r="C105" s="85" t="s">
        <v>2157</v>
      </c>
      <c r="D105" s="475">
        <f>SUMIF($D$7:$D$99,"GAC",$F$7:$F$99)</f>
        <v>400</v>
      </c>
      <c r="E105" s="1202">
        <f t="shared" si="0"/>
        <v>13.333333333333334</v>
      </c>
      <c r="F105" s="1203">
        <f>E105/$E$124</f>
        <v>9.2785896543725363E-2</v>
      </c>
      <c r="G105" s="609"/>
      <c r="J105" s="1038"/>
      <c r="K105" s="1225"/>
      <c r="M105" s="1210"/>
      <c r="O105" s="1038"/>
      <c r="P105" s="1210"/>
      <c r="Q105" s="1038"/>
      <c r="R105" s="1038"/>
      <c r="U105" s="877"/>
      <c r="V105" s="877"/>
    </row>
    <row r="106" spans="1:26" x14ac:dyDescent="0.25">
      <c r="B106" s="79" t="s">
        <v>2188</v>
      </c>
      <c r="C106" s="85" t="s">
        <v>2168</v>
      </c>
      <c r="D106" s="475">
        <f>SUMIF($D$22:$D$99,"GAM",$F$22:$F$99)</f>
        <v>0</v>
      </c>
      <c r="E106" s="1202">
        <f t="shared" si="0"/>
        <v>0</v>
      </c>
      <c r="F106" s="1203">
        <f>E106/$E$124</f>
        <v>0</v>
      </c>
      <c r="J106" s="1038"/>
      <c r="K106" s="1225"/>
      <c r="O106" s="1038"/>
      <c r="P106" s="1210"/>
      <c r="Q106" s="1038"/>
      <c r="R106" s="1038"/>
      <c r="U106" s="877"/>
      <c r="V106" s="877"/>
    </row>
    <row r="107" spans="1:26" s="85" customFormat="1" x14ac:dyDescent="0.25">
      <c r="A107" s="79"/>
      <c r="B107" s="79" t="s">
        <v>50</v>
      </c>
      <c r="C107" s="85" t="s">
        <v>1493</v>
      </c>
      <c r="D107" s="475">
        <f>SUMIF($D$7:$D$99,"LD",$F$7:$F$99)</f>
        <v>137.41999999999999</v>
      </c>
      <c r="E107" s="1202">
        <f t="shared" si="0"/>
        <v>4.5806666666666667</v>
      </c>
      <c r="F107" s="1203">
        <f t="shared" si="1"/>
        <v>3.1876594757596848E-2</v>
      </c>
      <c r="J107" s="864"/>
      <c r="K107" s="877"/>
      <c r="M107" s="177"/>
      <c r="O107" s="863"/>
      <c r="Q107" s="79"/>
      <c r="R107" s="177"/>
      <c r="U107" s="877"/>
      <c r="V107" s="877"/>
    </row>
    <row r="108" spans="1:26" s="85" customFormat="1" x14ac:dyDescent="0.25">
      <c r="A108" s="79"/>
      <c r="B108" s="79" t="s">
        <v>14</v>
      </c>
      <c r="C108" s="85" t="s">
        <v>1486</v>
      </c>
      <c r="D108" s="475">
        <f>SUMIF($D$7:$D$99,"C",$F$7:$F$99)</f>
        <v>73.66</v>
      </c>
      <c r="E108" s="1202">
        <f t="shared" si="0"/>
        <v>2.4553333333333334</v>
      </c>
      <c r="F108" s="1203">
        <f t="shared" si="1"/>
        <v>1.7086522848527026E-2</v>
      </c>
      <c r="G108" s="79"/>
      <c r="H108" s="79"/>
      <c r="J108" s="518"/>
      <c r="K108" s="518"/>
      <c r="L108" s="518"/>
      <c r="M108" s="475"/>
      <c r="O108" s="1038"/>
      <c r="R108" s="177"/>
      <c r="U108" s="877"/>
      <c r="V108" s="877"/>
    </row>
    <row r="109" spans="1:26" s="85" customFormat="1" x14ac:dyDescent="0.25">
      <c r="B109" s="79" t="s">
        <v>51</v>
      </c>
      <c r="C109" s="864" t="s">
        <v>1499</v>
      </c>
      <c r="D109" s="475">
        <f>SUMIF($D$22:$D$99,"CAL",$F$22:$F$99)</f>
        <v>59.38</v>
      </c>
      <c r="E109" s="1202">
        <f t="shared" si="0"/>
        <v>1.9793333333333334</v>
      </c>
      <c r="F109" s="1203">
        <f t="shared" si="1"/>
        <v>1.377406634191603E-2</v>
      </c>
      <c r="G109" s="79"/>
      <c r="H109" s="79"/>
      <c r="I109" s="79"/>
      <c r="J109" s="1038"/>
      <c r="K109" s="877"/>
      <c r="L109" s="459"/>
      <c r="M109" s="475"/>
      <c r="O109" s="1038"/>
      <c r="P109" s="1210"/>
      <c r="Q109" s="1038"/>
      <c r="R109" s="177"/>
      <c r="U109" s="877"/>
      <c r="V109" s="877"/>
    </row>
    <row r="110" spans="1:26" s="85" customFormat="1" x14ac:dyDescent="0.25">
      <c r="A110" s="79"/>
      <c r="B110" s="79" t="s">
        <v>2189</v>
      </c>
      <c r="C110" s="864" t="s">
        <v>1496</v>
      </c>
      <c r="D110" s="475">
        <f>SUMIF($D$19:$D$99,"AC",$F$19:$F$99)</f>
        <v>90</v>
      </c>
      <c r="E110" s="1202">
        <f t="shared" si="0"/>
        <v>3</v>
      </c>
      <c r="F110" s="1203">
        <f t="shared" si="1"/>
        <v>2.0876826722338208E-2</v>
      </c>
      <c r="G110" s="79"/>
      <c r="J110" s="1038"/>
      <c r="K110" s="877"/>
      <c r="L110" s="459"/>
      <c r="M110" s="177"/>
      <c r="N110" s="877"/>
      <c r="O110" s="177"/>
      <c r="R110" s="177"/>
      <c r="U110" s="877"/>
      <c r="V110" s="877"/>
    </row>
    <row r="111" spans="1:26" s="85" customFormat="1" x14ac:dyDescent="0.25">
      <c r="A111" s="79"/>
      <c r="B111" s="867" t="s">
        <v>53</v>
      </c>
      <c r="C111" s="864" t="s">
        <v>1522</v>
      </c>
      <c r="D111" s="475">
        <f>SUMIF($D$9:$D$99,"DC",$F$9:$F$99)</f>
        <v>1922.5</v>
      </c>
      <c r="E111" s="1202">
        <f t="shared" si="0"/>
        <v>64.083333333333329</v>
      </c>
      <c r="F111" s="1203">
        <f t="shared" si="1"/>
        <v>0.44595221526327999</v>
      </c>
      <c r="J111" s="79"/>
      <c r="K111" s="877"/>
      <c r="O111" s="177"/>
      <c r="P111" s="868"/>
      <c r="Q111" s="769"/>
      <c r="R111" s="79"/>
      <c r="U111" s="877"/>
      <c r="V111" s="877"/>
    </row>
    <row r="112" spans="1:26" s="85" customFormat="1" x14ac:dyDescent="0.25">
      <c r="A112" s="79"/>
      <c r="B112" s="867" t="s">
        <v>2149</v>
      </c>
      <c r="C112" s="864" t="s">
        <v>2131</v>
      </c>
      <c r="D112" s="475">
        <f>SUMIF($D$6:$D$99,"DM",$F$6:$F$99)</f>
        <v>0</v>
      </c>
      <c r="E112" s="1202">
        <f t="shared" si="0"/>
        <v>0</v>
      </c>
      <c r="F112" s="1203">
        <f t="shared" si="1"/>
        <v>0</v>
      </c>
      <c r="K112" s="877"/>
      <c r="M112" s="177"/>
      <c r="O112" s="177"/>
      <c r="U112" s="877"/>
      <c r="V112" s="877"/>
    </row>
    <row r="113" spans="1:24" s="85" customFormat="1" x14ac:dyDescent="0.25">
      <c r="A113" s="79"/>
      <c r="B113" s="79" t="s">
        <v>3048</v>
      </c>
      <c r="C113" s="864" t="s">
        <v>1523</v>
      </c>
      <c r="D113" s="475">
        <f ca="1">SUMIF($D$19:$D$100,"B",$F$19:$F$99)</f>
        <v>365</v>
      </c>
      <c r="E113" s="1202">
        <f ca="1">D113/$J$123</f>
        <v>12.166666666666666</v>
      </c>
      <c r="F113" s="1203">
        <f ca="1">E113/$E$124</f>
        <v>8.4667130596149387E-2</v>
      </c>
      <c r="G113" s="866"/>
      <c r="J113" s="1038"/>
      <c r="K113" s="877"/>
      <c r="M113" s="177"/>
      <c r="O113" s="177"/>
      <c r="P113" s="866"/>
      <c r="Q113" s="1210"/>
      <c r="R113" s="877"/>
      <c r="U113" s="877"/>
      <c r="V113" s="877"/>
    </row>
    <row r="114" spans="1:24" s="85" customFormat="1" x14ac:dyDescent="0.25">
      <c r="A114" s="79"/>
      <c r="B114" s="79" t="s">
        <v>1686</v>
      </c>
      <c r="C114" s="864" t="s">
        <v>1506</v>
      </c>
      <c r="D114" s="475">
        <f>SUMIF($D$8:$D$99,"R",$F$8:$F$99)</f>
        <v>89.5</v>
      </c>
      <c r="E114" s="1202">
        <f t="shared" si="0"/>
        <v>2.9833333333333334</v>
      </c>
      <c r="F114" s="1203">
        <f t="shared" si="1"/>
        <v>2.076084435165855E-2</v>
      </c>
      <c r="G114" s="868"/>
      <c r="K114" s="877"/>
      <c r="M114" s="877"/>
      <c r="O114" s="177"/>
      <c r="P114" s="1226"/>
      <c r="Q114" s="1129"/>
      <c r="R114" s="877"/>
      <c r="U114" s="877"/>
      <c r="V114" s="877"/>
    </row>
    <row r="115" spans="1:24" x14ac:dyDescent="0.25">
      <c r="B115" s="79" t="s">
        <v>418</v>
      </c>
      <c r="C115" s="85" t="s">
        <v>1524</v>
      </c>
      <c r="D115" s="475">
        <f>SUMIF($D$19:$D$99,"COM",$F$19:$F$99)</f>
        <v>0</v>
      </c>
      <c r="E115" s="1202">
        <f t="shared" si="0"/>
        <v>0</v>
      </c>
      <c r="F115" s="1203">
        <f>E115/$E$124</f>
        <v>0</v>
      </c>
      <c r="G115" s="85"/>
      <c r="H115" s="85"/>
      <c r="I115" s="85"/>
      <c r="J115" s="769"/>
      <c r="K115" s="1225"/>
      <c r="L115" s="769"/>
      <c r="O115" s="216"/>
      <c r="P115" s="1038"/>
      <c r="Q115" s="1226"/>
      <c r="R115" s="877"/>
      <c r="U115" s="877"/>
      <c r="V115" s="877"/>
    </row>
    <row r="116" spans="1:24" x14ac:dyDescent="0.25">
      <c r="B116" s="79" t="s">
        <v>419</v>
      </c>
      <c r="C116" s="85" t="s">
        <v>1491</v>
      </c>
      <c r="D116" s="475">
        <f>SUMIF($D$19:$D$99,"F",$F$19:$F$99)</f>
        <v>670</v>
      </c>
      <c r="E116" s="1202">
        <f t="shared" si="0"/>
        <v>22.333333333333332</v>
      </c>
      <c r="F116" s="1203">
        <f>E116/$E$124</f>
        <v>0.15541637671073996</v>
      </c>
      <c r="I116" s="85"/>
      <c r="N116" s="216"/>
      <c r="O116" s="216"/>
      <c r="Q116" s="484"/>
      <c r="R116" s="877"/>
      <c r="U116" s="877"/>
      <c r="V116" s="877"/>
    </row>
    <row r="117" spans="1:24" x14ac:dyDescent="0.25">
      <c r="B117" s="79" t="s">
        <v>911</v>
      </c>
      <c r="C117" s="85" t="s">
        <v>1525</v>
      </c>
      <c r="D117" s="475">
        <f>SUMIF($D$9:$D$99,"FER",$F$9:$F$99)</f>
        <v>233.9</v>
      </c>
      <c r="E117" s="1202">
        <f t="shared" si="0"/>
        <v>7.7966666666666669</v>
      </c>
      <c r="F117" s="1203">
        <f t="shared" si="1"/>
        <v>5.4256553003943407E-2</v>
      </c>
      <c r="O117" s="216"/>
      <c r="Q117" s="484"/>
      <c r="R117" s="1673"/>
      <c r="U117" s="877"/>
      <c r="V117" s="877"/>
    </row>
    <row r="118" spans="1:24" x14ac:dyDescent="0.25">
      <c r="B118" s="79" t="s">
        <v>1526</v>
      </c>
      <c r="C118" s="85" t="s">
        <v>1504</v>
      </c>
      <c r="D118" s="475">
        <f>SUMIF($D$22:$D$99,"I",$F$22:$F$99)</f>
        <v>157.9</v>
      </c>
      <c r="E118" s="1202">
        <f t="shared" si="0"/>
        <v>5.2633333333333336</v>
      </c>
      <c r="F118" s="1203">
        <f t="shared" si="1"/>
        <v>3.6627232660635591E-2</v>
      </c>
      <c r="J118" s="769"/>
      <c r="K118" s="868"/>
      <c r="L118" s="769"/>
      <c r="N118" s="769"/>
      <c r="O118" s="886"/>
      <c r="P118" s="1210"/>
      <c r="Q118" s="1038"/>
      <c r="R118" s="1129"/>
      <c r="T118" s="1129"/>
      <c r="U118" s="877"/>
      <c r="V118" s="877"/>
    </row>
    <row r="119" spans="1:24" x14ac:dyDescent="0.25">
      <c r="B119" s="79" t="s">
        <v>2343</v>
      </c>
      <c r="C119" s="85" t="s">
        <v>2315</v>
      </c>
      <c r="D119" s="475">
        <f>SUMIF($D$22:$D$99,"E",$F$22:$F$99)</f>
        <v>0</v>
      </c>
      <c r="E119" s="1202">
        <f t="shared" si="0"/>
        <v>0</v>
      </c>
      <c r="F119" s="1203">
        <f t="shared" si="1"/>
        <v>0</v>
      </c>
      <c r="J119" s="769"/>
      <c r="K119" s="868"/>
      <c r="L119" s="769"/>
      <c r="M119" s="1210"/>
      <c r="N119" s="769"/>
      <c r="O119" s="1673"/>
      <c r="P119" s="1210"/>
      <c r="Q119" s="1038"/>
      <c r="R119" s="1129"/>
      <c r="T119" s="1129"/>
      <c r="U119" s="877"/>
      <c r="V119" s="877"/>
    </row>
    <row r="120" spans="1:24" x14ac:dyDescent="0.25">
      <c r="B120" s="79" t="s">
        <v>3019</v>
      </c>
      <c r="C120" s="85" t="s">
        <v>3017</v>
      </c>
      <c r="D120" s="475">
        <f>SUMIF($D$6:$D$99,"IM",$F$6:$F$99)</f>
        <v>253.8</v>
      </c>
      <c r="E120" s="1202">
        <f t="shared" si="0"/>
        <v>8.4600000000000009</v>
      </c>
      <c r="F120" s="1203">
        <f t="shared" si="1"/>
        <v>5.8872651356993745E-2</v>
      </c>
      <c r="J120" s="769"/>
      <c r="L120" s="769"/>
      <c r="N120" s="769"/>
      <c r="P120" s="941"/>
      <c r="Q120" s="224"/>
      <c r="R120" s="1226"/>
      <c r="S120" s="1129"/>
      <c r="T120" s="1129"/>
      <c r="U120" s="877"/>
      <c r="V120" s="877"/>
    </row>
    <row r="121" spans="1:24" x14ac:dyDescent="0.25">
      <c r="B121" s="79" t="s">
        <v>1527</v>
      </c>
      <c r="C121" s="85" t="s">
        <v>1489</v>
      </c>
      <c r="D121" s="475">
        <f>SUMIF($D$8:$D$99,"OD",$F$8:$F$99)</f>
        <v>299.51</v>
      </c>
      <c r="E121" s="1202">
        <f t="shared" si="0"/>
        <v>9.9836666666666662</v>
      </c>
      <c r="F121" s="1203">
        <f>E121/$E$124</f>
        <v>6.947575968452796E-2</v>
      </c>
      <c r="P121" s="1210"/>
      <c r="Q121" s="1038"/>
      <c r="R121" s="1226"/>
      <c r="S121" s="1129"/>
      <c r="T121" s="1129"/>
      <c r="U121" s="877"/>
      <c r="V121" s="877"/>
    </row>
    <row r="122" spans="1:24" x14ac:dyDescent="0.25">
      <c r="C122" s="79"/>
      <c r="D122" s="629"/>
      <c r="E122" s="79"/>
      <c r="F122" s="79"/>
      <c r="P122" s="1210"/>
      <c r="Q122" s="1038"/>
      <c r="R122" s="1227"/>
      <c r="S122" s="1129"/>
      <c r="T122" s="1129"/>
      <c r="U122" s="877"/>
      <c r="V122" s="877"/>
    </row>
    <row r="123" spans="1:24" x14ac:dyDescent="0.25">
      <c r="C123" s="3168" t="s">
        <v>486</v>
      </c>
      <c r="D123" s="3168"/>
      <c r="E123" s="863">
        <f ca="1">I123/J123</f>
        <v>172.96633333333332</v>
      </c>
      <c r="G123" s="518" t="s">
        <v>487</v>
      </c>
      <c r="I123" s="629">
        <f ca="1">SUM(D104:D121)</f>
        <v>5188.99</v>
      </c>
      <c r="J123" s="1517">
        <v>30</v>
      </c>
      <c r="L123" s="216"/>
      <c r="N123" s="216"/>
      <c r="O123" s="1517"/>
      <c r="P123" s="1210"/>
      <c r="Q123" s="1038"/>
      <c r="R123" s="1226"/>
      <c r="S123" s="1129"/>
      <c r="T123" s="1129"/>
      <c r="U123" s="877"/>
      <c r="V123" s="877"/>
    </row>
    <row r="124" spans="1:24" ht="15.75" customHeight="1" x14ac:dyDescent="0.25">
      <c r="B124" s="3167" t="s">
        <v>3725</v>
      </c>
      <c r="C124" s="3167"/>
      <c r="D124" s="3167"/>
      <c r="E124" s="1125">
        <v>143.69999999999999</v>
      </c>
      <c r="H124" s="85"/>
      <c r="K124" s="868"/>
      <c r="M124" s="868"/>
      <c r="O124" s="868"/>
      <c r="P124" s="1210"/>
      <c r="Q124" s="1038"/>
      <c r="R124" s="1226"/>
      <c r="S124" s="1129"/>
      <c r="T124" s="1129"/>
      <c r="U124" s="877"/>
      <c r="V124" s="877"/>
    </row>
    <row r="125" spans="1:24" x14ac:dyDescent="0.25">
      <c r="A125" s="518"/>
      <c r="C125" s="79"/>
      <c r="D125" s="79"/>
      <c r="E125" s="769"/>
      <c r="F125" s="866"/>
      <c r="G125" s="769"/>
      <c r="H125" s="866"/>
      <c r="I125" s="1210"/>
      <c r="J125" s="89"/>
      <c r="L125" s="1038"/>
      <c r="M125" s="1210"/>
      <c r="N125" s="1038"/>
      <c r="O125" s="1210"/>
      <c r="P125" s="1210"/>
      <c r="Q125" s="1038"/>
      <c r="R125" s="769"/>
      <c r="S125" s="484" t="s">
        <v>280</v>
      </c>
      <c r="T125" s="216"/>
      <c r="U125" s="866"/>
      <c r="V125" s="484"/>
      <c r="X125" s="877"/>
    </row>
    <row r="126" spans="1:24" s="518" customFormat="1" x14ac:dyDescent="0.25">
      <c r="A126" s="79"/>
      <c r="B126" s="79"/>
      <c r="C126" s="79"/>
      <c r="D126" s="79"/>
      <c r="E126" s="1126">
        <f ca="1">E124-E123</f>
        <v>-29.266333333333336</v>
      </c>
      <c r="F126" s="1205">
        <f ca="1">SUM(F104:F125)</f>
        <v>1.2036627232660635</v>
      </c>
      <c r="G126" s="85"/>
      <c r="H126" s="85"/>
      <c r="I126" s="89"/>
      <c r="J126" s="79"/>
      <c r="K126" s="79"/>
      <c r="L126" s="79"/>
      <c r="M126" s="79"/>
      <c r="N126" s="79"/>
      <c r="O126" s="79"/>
      <c r="P126" s="1210"/>
      <c r="Q126" s="1038"/>
      <c r="R126" s="79"/>
      <c r="S126" s="79"/>
      <c r="T126" s="866"/>
      <c r="U126" s="484"/>
      <c r="V126" s="79"/>
      <c r="W126" s="877"/>
      <c r="X126" s="79"/>
    </row>
    <row r="127" spans="1:24" s="518" customFormat="1" x14ac:dyDescent="0.25">
      <c r="A127" s="79"/>
      <c r="B127" s="79"/>
      <c r="C127" s="85"/>
      <c r="D127" s="85"/>
      <c r="E127" s="85"/>
      <c r="Q127" s="1038"/>
      <c r="R127" s="484"/>
      <c r="S127" s="79"/>
      <c r="T127" s="877"/>
      <c r="U127" s="79"/>
    </row>
    <row r="128" spans="1:24" s="518" customFormat="1" x14ac:dyDescent="0.25">
      <c r="A128" s="79"/>
      <c r="B128" s="79"/>
      <c r="C128" s="85"/>
      <c r="D128" s="85"/>
      <c r="E128" s="85"/>
      <c r="F128" s="89"/>
      <c r="G128" s="79"/>
      <c r="H128" s="79"/>
      <c r="I128" s="79"/>
      <c r="J128" s="769"/>
      <c r="K128" s="866"/>
      <c r="L128" s="769"/>
      <c r="M128" s="866"/>
      <c r="N128" s="769"/>
      <c r="O128" s="866"/>
      <c r="P128" s="1210"/>
      <c r="Q128" s="1038"/>
      <c r="R128" s="484"/>
      <c r="S128" s="79"/>
      <c r="T128" s="877"/>
      <c r="U128" s="79"/>
    </row>
    <row r="129" spans="1:21" s="518" customFormat="1" x14ac:dyDescent="0.25">
      <c r="A129" s="79"/>
      <c r="B129" s="79"/>
      <c r="C129" s="85"/>
      <c r="D129" s="85"/>
      <c r="E129" s="85"/>
      <c r="F129" s="89"/>
      <c r="G129" s="79"/>
      <c r="H129" s="79"/>
      <c r="I129" s="216"/>
      <c r="J129" s="769"/>
      <c r="K129" s="866"/>
      <c r="L129" s="769"/>
      <c r="M129" s="866"/>
      <c r="N129" s="769"/>
      <c r="O129" s="866"/>
      <c r="P129" s="1210"/>
      <c r="Q129" s="1038"/>
      <c r="R129" s="484"/>
      <c r="S129" s="79"/>
      <c r="T129" s="877"/>
      <c r="U129" s="79"/>
    </row>
    <row r="130" spans="1:21" s="518" customFormat="1" x14ac:dyDescent="0.25">
      <c r="A130" s="79"/>
      <c r="B130" s="79"/>
      <c r="C130" s="79"/>
      <c r="D130" s="79"/>
      <c r="E130" s="79"/>
      <c r="F130" s="79"/>
      <c r="G130" s="79"/>
      <c r="H130" s="79"/>
      <c r="K130" s="866"/>
      <c r="M130" s="866"/>
      <c r="O130" s="866"/>
      <c r="P130" s="1210"/>
      <c r="Q130" s="1038"/>
      <c r="R130" s="484"/>
      <c r="S130" s="79"/>
      <c r="T130" s="877"/>
      <c r="U130" s="79"/>
    </row>
    <row r="131" spans="1:21" s="518" customFormat="1" x14ac:dyDescent="0.25">
      <c r="A131" s="79"/>
      <c r="B131" s="79"/>
      <c r="C131" s="79"/>
      <c r="D131" s="79"/>
      <c r="E131" s="79"/>
      <c r="F131" s="79"/>
      <c r="G131" s="79"/>
      <c r="H131" s="79"/>
      <c r="I131" s="216"/>
      <c r="J131" s="769"/>
      <c r="K131" s="866"/>
      <c r="L131" s="769"/>
      <c r="M131" s="866"/>
      <c r="N131" s="769"/>
      <c r="O131" s="866"/>
      <c r="P131" s="1210"/>
      <c r="Q131" s="1038"/>
      <c r="R131" s="484"/>
      <c r="S131" s="79"/>
      <c r="T131" s="877"/>
      <c r="U131" s="79"/>
    </row>
    <row r="132" spans="1:21" s="518" customFormat="1" x14ac:dyDescent="0.25">
      <c r="A132" s="79"/>
      <c r="B132" s="79"/>
      <c r="C132" s="79"/>
      <c r="D132" s="79"/>
      <c r="E132" s="79"/>
      <c r="F132" s="79"/>
      <c r="G132" s="216"/>
      <c r="H132" s="79"/>
      <c r="I132" s="216"/>
      <c r="J132" s="769"/>
      <c r="K132" s="868"/>
      <c r="L132" s="769"/>
      <c r="M132" s="868"/>
      <c r="N132" s="769"/>
      <c r="O132" s="868"/>
      <c r="P132" s="1210"/>
      <c r="Q132" s="1038"/>
      <c r="R132" s="484"/>
      <c r="S132" s="79"/>
      <c r="T132" s="877"/>
      <c r="U132" s="79"/>
    </row>
    <row r="133" spans="1:21" s="518" customFormat="1" x14ac:dyDescent="0.25">
      <c r="A133" s="79"/>
      <c r="B133" s="79"/>
      <c r="C133" s="79"/>
      <c r="D133" s="79"/>
      <c r="E133" s="79"/>
      <c r="F133" s="79"/>
      <c r="G133" s="216"/>
      <c r="H133" s="79"/>
      <c r="I133" s="216"/>
      <c r="J133" s="769"/>
      <c r="K133" s="866"/>
      <c r="L133" s="769"/>
      <c r="M133" s="866"/>
      <c r="N133" s="769"/>
      <c r="O133" s="866"/>
      <c r="P133" s="1210"/>
      <c r="Q133" s="1038"/>
      <c r="R133" s="484"/>
      <c r="S133" s="79"/>
      <c r="T133" s="877"/>
      <c r="U133" s="79"/>
    </row>
    <row r="134" spans="1:21" s="518" customFormat="1" x14ac:dyDescent="0.25">
      <c r="A134" s="79"/>
      <c r="B134" s="79"/>
      <c r="C134" s="79"/>
      <c r="D134" s="79"/>
      <c r="E134" s="79"/>
      <c r="F134" s="79"/>
      <c r="G134" s="216"/>
      <c r="H134" s="79"/>
      <c r="I134" s="79"/>
      <c r="J134" s="770"/>
      <c r="K134" s="866"/>
      <c r="L134" s="770"/>
      <c r="M134" s="866"/>
      <c r="N134" s="770"/>
      <c r="O134" s="866"/>
      <c r="P134" s="1210"/>
      <c r="Q134" s="1038"/>
      <c r="R134" s="484"/>
      <c r="S134" s="79"/>
      <c r="T134" s="877"/>
      <c r="U134" s="79"/>
    </row>
    <row r="135" spans="1:21" s="518" customFormat="1" x14ac:dyDescent="0.25">
      <c r="A135" s="79"/>
      <c r="B135" s="79"/>
      <c r="C135" s="79"/>
      <c r="D135" s="79"/>
      <c r="E135" s="79"/>
      <c r="F135" s="79"/>
      <c r="G135" s="79"/>
      <c r="H135" s="79"/>
      <c r="I135" s="216"/>
      <c r="J135" s="769"/>
      <c r="K135" s="868"/>
      <c r="L135" s="769"/>
      <c r="M135" s="868"/>
      <c r="N135" s="769"/>
      <c r="O135" s="868"/>
      <c r="P135" s="1210"/>
      <c r="Q135" s="1038"/>
      <c r="R135" s="484"/>
      <c r="S135" s="79"/>
      <c r="T135" s="877"/>
      <c r="U135" s="79"/>
    </row>
    <row r="136" spans="1:21" s="518" customFormat="1" x14ac:dyDescent="0.25">
      <c r="A136" s="79"/>
      <c r="B136" s="79"/>
      <c r="C136" s="85"/>
      <c r="D136" s="85"/>
      <c r="E136" s="85"/>
      <c r="F136" s="89"/>
      <c r="G136" s="79"/>
      <c r="H136" s="79"/>
      <c r="I136" s="79"/>
      <c r="J136" s="769"/>
      <c r="K136" s="866"/>
      <c r="L136" s="769"/>
      <c r="M136" s="866"/>
      <c r="N136" s="769"/>
      <c r="O136" s="866"/>
      <c r="P136" s="1210"/>
      <c r="Q136" s="1038"/>
      <c r="R136" s="484"/>
      <c r="S136" s="79"/>
      <c r="T136" s="877"/>
      <c r="U136" s="79"/>
    </row>
    <row r="137" spans="1:21" s="518" customFormat="1" x14ac:dyDescent="0.25">
      <c r="A137" s="79"/>
      <c r="B137" s="79"/>
      <c r="C137" s="79"/>
      <c r="D137" s="79"/>
      <c r="E137" s="79"/>
      <c r="F137" s="79"/>
      <c r="G137" s="79"/>
      <c r="H137" s="79"/>
      <c r="I137" s="629"/>
      <c r="J137" s="769"/>
      <c r="K137" s="866"/>
      <c r="L137" s="769"/>
      <c r="M137" s="866"/>
      <c r="N137" s="769"/>
      <c r="O137" s="866"/>
      <c r="P137" s="1210"/>
      <c r="Q137" s="1038"/>
      <c r="R137" s="484"/>
      <c r="S137" s="79"/>
      <c r="T137" s="877"/>
      <c r="U137" s="79"/>
    </row>
    <row r="138" spans="1:21" s="518" customFormat="1" x14ac:dyDescent="0.25">
      <c r="A138" s="79"/>
      <c r="B138" s="79"/>
      <c r="C138" s="85"/>
      <c r="D138" s="85"/>
      <c r="E138" s="85"/>
      <c r="F138" s="89"/>
      <c r="G138" s="79"/>
      <c r="H138" s="79"/>
      <c r="I138" s="79"/>
      <c r="J138" s="769"/>
      <c r="K138" s="866"/>
      <c r="L138" s="769"/>
      <c r="M138" s="866"/>
      <c r="N138" s="769"/>
      <c r="O138" s="866"/>
      <c r="P138" s="1210"/>
      <c r="Q138" s="1038"/>
      <c r="R138" s="484"/>
      <c r="S138" s="79"/>
      <c r="T138" s="877"/>
      <c r="U138" s="79"/>
    </row>
    <row r="139" spans="1:21" s="518" customFormat="1" x14ac:dyDescent="0.25">
      <c r="A139" s="79"/>
      <c r="B139" s="79"/>
      <c r="C139" s="85"/>
      <c r="D139" s="85"/>
      <c r="E139" s="85"/>
      <c r="F139" s="89"/>
      <c r="G139" s="79"/>
      <c r="H139" s="79"/>
      <c r="I139" s="79"/>
      <c r="J139" s="769"/>
      <c r="K139" s="866"/>
      <c r="L139" s="769"/>
      <c r="M139" s="866"/>
      <c r="N139" s="769"/>
      <c r="O139" s="866"/>
      <c r="P139" s="1210"/>
      <c r="Q139" s="1038"/>
      <c r="R139" s="484"/>
      <c r="S139" s="79"/>
      <c r="T139" s="877"/>
      <c r="U139" s="79"/>
    </row>
    <row r="140" spans="1:21" s="518" customFormat="1" x14ac:dyDescent="0.25">
      <c r="A140" s="79"/>
      <c r="B140" s="79"/>
      <c r="C140" s="85"/>
      <c r="D140" s="85"/>
      <c r="E140" s="85"/>
      <c r="F140" s="89"/>
      <c r="G140" s="79"/>
      <c r="H140" s="79"/>
      <c r="I140" s="79"/>
      <c r="J140" s="769"/>
      <c r="K140" s="866"/>
      <c r="L140" s="769"/>
      <c r="M140" s="866"/>
      <c r="N140" s="769"/>
      <c r="O140" s="866"/>
      <c r="P140" s="1210"/>
      <c r="Q140" s="1038"/>
      <c r="R140" s="484"/>
      <c r="S140" s="79"/>
      <c r="T140" s="877"/>
      <c r="U140" s="79"/>
    </row>
    <row r="141" spans="1:21" s="518" customFormat="1" x14ac:dyDescent="0.25">
      <c r="A141" s="79"/>
      <c r="B141" s="79"/>
      <c r="C141" s="85"/>
      <c r="D141" s="85"/>
      <c r="E141" s="85"/>
      <c r="F141" s="89"/>
      <c r="G141" s="79"/>
      <c r="H141" s="79"/>
      <c r="I141" s="79"/>
      <c r="J141" s="769"/>
      <c r="K141" s="866"/>
      <c r="L141" s="769"/>
      <c r="M141" s="866"/>
      <c r="N141" s="769"/>
      <c r="O141" s="866"/>
      <c r="P141" s="1210"/>
      <c r="Q141" s="1038"/>
      <c r="R141" s="484"/>
      <c r="S141" s="79"/>
      <c r="T141" s="877"/>
      <c r="U141" s="79"/>
    </row>
    <row r="142" spans="1:21" s="518" customFormat="1" x14ac:dyDescent="0.25">
      <c r="A142" s="79"/>
      <c r="B142" s="79"/>
      <c r="C142" s="85"/>
      <c r="D142" s="85"/>
      <c r="E142" s="85"/>
      <c r="F142" s="89"/>
      <c r="G142" s="79"/>
      <c r="H142" s="79"/>
      <c r="I142" s="79"/>
      <c r="J142" s="769"/>
      <c r="K142" s="866"/>
      <c r="L142" s="769"/>
      <c r="M142" s="866"/>
      <c r="N142" s="769"/>
      <c r="O142" s="866"/>
      <c r="P142" s="1210"/>
      <c r="Q142" s="1038"/>
      <c r="R142" s="484"/>
      <c r="S142" s="79"/>
      <c r="T142" s="877"/>
      <c r="U142" s="79"/>
    </row>
    <row r="143" spans="1:21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216"/>
      <c r="J143" s="769"/>
      <c r="K143" s="866"/>
      <c r="L143" s="769"/>
      <c r="M143" s="866"/>
      <c r="N143" s="769"/>
      <c r="O143" s="866"/>
      <c r="P143" s="1210"/>
      <c r="Q143" s="1038"/>
      <c r="R143" s="484"/>
      <c r="S143" s="79"/>
      <c r="T143" s="877"/>
      <c r="U143" s="79"/>
    </row>
    <row r="144" spans="1:21" s="518" customFormat="1" x14ac:dyDescent="0.25">
      <c r="A144" s="79"/>
      <c r="B144" s="79"/>
      <c r="C144" s="79"/>
      <c r="D144" s="79"/>
      <c r="E144" s="79"/>
      <c r="F144" s="79"/>
      <c r="G144" s="79"/>
      <c r="H144" s="79"/>
      <c r="I144" s="216"/>
      <c r="J144" s="769"/>
      <c r="K144" s="866"/>
      <c r="L144" s="769"/>
      <c r="M144" s="866"/>
      <c r="N144" s="769"/>
      <c r="O144" s="866"/>
      <c r="P144" s="1210"/>
      <c r="Q144" s="1038"/>
      <c r="R144" s="484"/>
      <c r="S144" s="79"/>
      <c r="T144" s="877"/>
      <c r="U144" s="79"/>
    </row>
    <row r="145" spans="1:21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216"/>
      <c r="J145" s="769"/>
      <c r="K145" s="866"/>
      <c r="L145" s="769"/>
      <c r="M145" s="866"/>
      <c r="N145" s="769"/>
      <c r="O145" s="866"/>
      <c r="R145" s="484"/>
      <c r="S145" s="79"/>
      <c r="T145" s="877"/>
      <c r="U145" s="79"/>
    </row>
    <row r="146" spans="1:21" s="518" customFormat="1" x14ac:dyDescent="0.25">
      <c r="A146" s="79"/>
      <c r="B146" s="79"/>
      <c r="C146" s="79"/>
      <c r="D146" s="79"/>
      <c r="E146" s="79"/>
      <c r="F146" s="79"/>
      <c r="G146" s="79"/>
      <c r="H146" s="79"/>
      <c r="I146" s="216"/>
      <c r="J146" s="769"/>
      <c r="K146" s="866"/>
      <c r="L146" s="769"/>
      <c r="M146" s="866"/>
      <c r="N146" s="769"/>
      <c r="O146" s="866"/>
      <c r="R146" s="484"/>
      <c r="S146" s="79"/>
      <c r="T146" s="877"/>
      <c r="U146" s="79"/>
    </row>
    <row r="147" spans="1:21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216"/>
      <c r="J147" s="769"/>
      <c r="K147" s="868"/>
      <c r="L147" s="769"/>
      <c r="M147" s="868"/>
      <c r="N147" s="769"/>
      <c r="O147" s="868"/>
      <c r="P147" s="79"/>
      <c r="Q147" s="79"/>
      <c r="R147" s="484"/>
      <c r="S147" s="79"/>
      <c r="T147" s="877"/>
      <c r="U147" s="79"/>
    </row>
    <row r="148" spans="1:21" s="518" customFormat="1" x14ac:dyDescent="0.25">
      <c r="A148" s="79"/>
      <c r="B148" s="79"/>
      <c r="C148" s="79"/>
      <c r="D148" s="79"/>
      <c r="E148" s="79"/>
      <c r="F148" s="79"/>
      <c r="G148" s="79"/>
      <c r="H148" s="79"/>
      <c r="I148" s="216"/>
      <c r="J148" s="769"/>
      <c r="K148" s="868"/>
      <c r="L148" s="769"/>
      <c r="M148" s="868"/>
      <c r="N148" s="769"/>
      <c r="O148" s="868"/>
      <c r="P148" s="81"/>
      <c r="Q148" s="755"/>
      <c r="R148" s="484"/>
      <c r="S148" s="79"/>
      <c r="T148" s="877"/>
      <c r="U148" s="79"/>
    </row>
    <row r="149" spans="1:21" s="518" customFormat="1" x14ac:dyDescent="0.25">
      <c r="A149" s="79"/>
      <c r="B149" s="79"/>
      <c r="C149" s="79"/>
      <c r="D149" s="79"/>
      <c r="E149" s="79"/>
      <c r="F149" s="79"/>
      <c r="G149" s="79"/>
      <c r="H149" s="79"/>
      <c r="I149" s="216"/>
      <c r="J149" s="769"/>
      <c r="K149" s="868"/>
      <c r="L149" s="769"/>
      <c r="M149" s="868"/>
      <c r="N149" s="769"/>
      <c r="O149" s="868"/>
      <c r="P149" s="868"/>
      <c r="Q149" s="79"/>
      <c r="R149" s="484"/>
      <c r="S149" s="79"/>
      <c r="T149" s="877"/>
      <c r="U149" s="79"/>
    </row>
    <row r="150" spans="1:21" s="518" customFormat="1" x14ac:dyDescent="0.25">
      <c r="A150" s="79"/>
      <c r="B150" s="79"/>
      <c r="C150" s="79"/>
      <c r="D150" s="79"/>
      <c r="E150" s="79"/>
      <c r="F150" s="79"/>
      <c r="G150" s="79"/>
      <c r="H150" s="79"/>
      <c r="I150" s="216"/>
      <c r="J150" s="769"/>
      <c r="K150" s="868"/>
      <c r="L150" s="769"/>
      <c r="M150" s="868"/>
      <c r="N150" s="769"/>
      <c r="O150" s="868"/>
      <c r="P150" s="754"/>
      <c r="Q150" s="886"/>
      <c r="R150" s="484"/>
      <c r="S150" s="79"/>
      <c r="T150" s="877"/>
      <c r="U150" s="79"/>
    </row>
    <row r="151" spans="1:21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8"/>
      <c r="L151" s="769"/>
      <c r="M151" s="868"/>
      <c r="N151" s="769"/>
      <c r="O151" s="868"/>
      <c r="P151" s="864"/>
      <c r="Q151" s="864"/>
      <c r="R151" s="484"/>
      <c r="S151" s="79"/>
      <c r="T151" s="877"/>
      <c r="U151" s="79"/>
    </row>
    <row r="152" spans="1:21" s="518" customFormat="1" x14ac:dyDescent="0.25">
      <c r="A152" s="79"/>
      <c r="B152" s="79"/>
      <c r="C152" s="85"/>
      <c r="D152" s="85"/>
      <c r="E152" s="85"/>
      <c r="F152" s="89"/>
      <c r="G152" s="79"/>
      <c r="H152" s="79"/>
      <c r="I152" s="79"/>
      <c r="J152" s="769"/>
      <c r="K152" s="866"/>
      <c r="L152" s="769"/>
      <c r="M152" s="866"/>
      <c r="N152" s="769"/>
      <c r="O152" s="866"/>
      <c r="P152" s="864"/>
      <c r="Q152" s="1032"/>
      <c r="R152" s="484"/>
      <c r="S152" s="79"/>
      <c r="T152" s="877"/>
      <c r="U152" s="79"/>
    </row>
    <row r="153" spans="1:21" s="518" customFormat="1" x14ac:dyDescent="0.25">
      <c r="A153" s="79"/>
      <c r="B153" s="79"/>
      <c r="C153" s="85"/>
      <c r="D153" s="85"/>
      <c r="E153" s="85"/>
      <c r="F153" s="89"/>
      <c r="G153" s="79"/>
      <c r="H153" s="79"/>
      <c r="I153" s="79"/>
      <c r="J153" s="769"/>
      <c r="K153" s="866"/>
      <c r="L153" s="769"/>
      <c r="M153" s="866"/>
      <c r="N153" s="769"/>
      <c r="O153" s="866"/>
      <c r="P153" s="864"/>
      <c r="Q153" s="1032"/>
      <c r="R153" s="484"/>
      <c r="S153" s="79"/>
      <c r="T153" s="877"/>
      <c r="U153" s="79"/>
    </row>
    <row r="154" spans="1:21" s="518" customFormat="1" x14ac:dyDescent="0.25">
      <c r="A154" s="79"/>
      <c r="B154" s="79"/>
      <c r="C154" s="85"/>
      <c r="D154" s="85"/>
      <c r="E154" s="85"/>
      <c r="F154" s="89"/>
      <c r="G154" s="79"/>
      <c r="H154" s="79"/>
      <c r="I154" s="79"/>
      <c r="J154" s="769"/>
      <c r="K154" s="868"/>
      <c r="L154" s="769"/>
      <c r="M154" s="868"/>
      <c r="N154" s="769"/>
      <c r="O154" s="868"/>
      <c r="P154" s="85"/>
      <c r="Q154" s="795"/>
      <c r="R154" s="484"/>
      <c r="S154" s="79"/>
      <c r="T154" s="877"/>
      <c r="U154" s="79"/>
    </row>
    <row r="155" spans="1:21" s="518" customFormat="1" x14ac:dyDescent="0.25">
      <c r="A155" s="79"/>
      <c r="B155" s="79"/>
      <c r="C155" s="85"/>
      <c r="D155" s="85"/>
      <c r="E155" s="85"/>
      <c r="F155" s="89"/>
      <c r="G155" s="79"/>
      <c r="H155" s="79"/>
      <c r="I155" s="79"/>
      <c r="J155" s="769"/>
      <c r="K155" s="866"/>
      <c r="L155" s="769"/>
      <c r="M155" s="866"/>
      <c r="N155" s="769"/>
      <c r="O155" s="866"/>
      <c r="P155" s="85"/>
      <c r="Q155" s="177"/>
      <c r="R155" s="484"/>
      <c r="S155" s="79"/>
      <c r="T155" s="877"/>
      <c r="U155" s="79"/>
    </row>
    <row r="156" spans="1:21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769"/>
      <c r="O156" s="866"/>
      <c r="P156" s="85"/>
      <c r="Q156" s="177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79"/>
      <c r="J157" s="769"/>
      <c r="K157" s="868"/>
      <c r="L157" s="769"/>
      <c r="M157" s="868"/>
      <c r="N157" s="769"/>
      <c r="O157" s="868"/>
      <c r="P157" s="85"/>
      <c r="Q157" s="177" t="s">
        <v>280</v>
      </c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79"/>
      <c r="J158" s="769"/>
      <c r="K158" s="868"/>
      <c r="L158" s="769"/>
      <c r="M158" s="868"/>
      <c r="N158" s="769"/>
      <c r="O158" s="868"/>
      <c r="P158" s="85"/>
      <c r="Q158" s="177"/>
      <c r="R158" s="484"/>
      <c r="S158" s="79"/>
      <c r="T158" s="877"/>
      <c r="U158" s="79"/>
    </row>
    <row r="159" spans="1:21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79"/>
      <c r="J159" s="769"/>
      <c r="K159" s="868"/>
      <c r="L159" s="769"/>
      <c r="M159" s="868"/>
      <c r="N159" s="769"/>
      <c r="O159" s="868"/>
      <c r="P159" s="85"/>
      <c r="Q159" s="866"/>
      <c r="R159" s="484"/>
      <c r="S159" s="79"/>
      <c r="T159" s="877"/>
      <c r="U159" s="79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79"/>
      <c r="J160" s="769"/>
      <c r="K160" s="868"/>
      <c r="L160" s="769"/>
      <c r="M160" s="868"/>
      <c r="N160" s="769"/>
      <c r="O160" s="868"/>
      <c r="P160" s="769"/>
      <c r="Q160" s="216"/>
      <c r="R160" s="484"/>
      <c r="S160" s="79"/>
      <c r="T160" s="877"/>
      <c r="U160" s="79"/>
    </row>
    <row r="161" spans="1:21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79"/>
      <c r="J161" s="769"/>
      <c r="K161" s="866"/>
      <c r="L161" s="769"/>
      <c r="M161" s="866"/>
      <c r="N161" s="769"/>
      <c r="O161" s="866"/>
      <c r="P161" s="79"/>
      <c r="Q161" s="216"/>
      <c r="R161" s="484"/>
      <c r="S161" s="79"/>
      <c r="T161" s="877"/>
      <c r="U161" s="79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79"/>
      <c r="J162" s="223"/>
      <c r="K162" s="629"/>
      <c r="L162" s="223"/>
      <c r="M162" s="629"/>
      <c r="N162" s="223"/>
      <c r="O162" s="629"/>
      <c r="P162" s="769"/>
      <c r="Q162" s="86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79"/>
      <c r="J163" s="756"/>
      <c r="K163" s="756"/>
      <c r="L163" s="756"/>
      <c r="M163" s="756"/>
      <c r="N163" s="756"/>
      <c r="O163" s="756"/>
      <c r="P163" s="769"/>
      <c r="Q163" s="86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69"/>
      <c r="Q164" s="86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69"/>
      <c r="Q165" s="79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85"/>
      <c r="K168" s="85"/>
      <c r="L168" s="85"/>
      <c r="M168" s="85"/>
      <c r="N168" s="85"/>
      <c r="O168" s="85"/>
      <c r="P168" s="1517"/>
      <c r="Q168" s="79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86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89"/>
      <c r="Q170" s="79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69"/>
      <c r="Q172" s="866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69"/>
      <c r="Q173" s="866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69"/>
      <c r="Q174" s="866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85"/>
      <c r="K175" s="85"/>
      <c r="L175" s="85"/>
      <c r="M175" s="85"/>
      <c r="N175" s="85"/>
      <c r="O175" s="85"/>
      <c r="Q175" s="866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69"/>
      <c r="Q176" s="866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69"/>
      <c r="Q177" s="868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69"/>
      <c r="Q178" s="866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70"/>
      <c r="Q179" s="86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69"/>
      <c r="Q180" s="868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69"/>
      <c r="Q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71"/>
      <c r="L182" s="771"/>
      <c r="N182" s="771"/>
      <c r="P182" s="769"/>
      <c r="Q182" s="86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69"/>
      <c r="Q183" s="866"/>
      <c r="R183" s="484"/>
      <c r="S183" s="79"/>
      <c r="T183" s="877"/>
      <c r="U183" s="79"/>
    </row>
    <row r="184" spans="1:21" x14ac:dyDescent="0.25">
      <c r="P184" s="769"/>
      <c r="Q184" s="866"/>
    </row>
    <row r="185" spans="1:21" x14ac:dyDescent="0.25">
      <c r="P185" s="769"/>
      <c r="Q185" s="866"/>
    </row>
    <row r="186" spans="1:21" x14ac:dyDescent="0.25">
      <c r="P186" s="769"/>
      <c r="Q186" s="866"/>
    </row>
    <row r="187" spans="1:21" x14ac:dyDescent="0.25">
      <c r="P187" s="769"/>
      <c r="Q187" s="866"/>
    </row>
    <row r="188" spans="1:21" x14ac:dyDescent="0.25">
      <c r="P188" s="769"/>
      <c r="Q188" s="866"/>
    </row>
    <row r="189" spans="1:21" x14ac:dyDescent="0.25">
      <c r="P189" s="769"/>
      <c r="Q189" s="866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216"/>
      <c r="L190" s="79"/>
      <c r="M190" s="216"/>
      <c r="N190" s="79"/>
      <c r="O190" s="216"/>
      <c r="P190" s="769"/>
      <c r="Q190" s="866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216"/>
      <c r="L191" s="79"/>
      <c r="M191" s="216"/>
      <c r="N191" s="79"/>
      <c r="O191" s="216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216"/>
      <c r="L192" s="79"/>
      <c r="M192" s="216"/>
      <c r="N192" s="79"/>
      <c r="O192" s="216"/>
      <c r="P192" s="769"/>
      <c r="Q192" s="868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216"/>
      <c r="L193" s="79"/>
      <c r="M193" s="216"/>
      <c r="N193" s="79"/>
      <c r="O193" s="216"/>
      <c r="P193" s="769"/>
      <c r="Q193" s="868"/>
      <c r="R193" s="484"/>
      <c r="S193" s="79"/>
      <c r="T193" s="877"/>
      <c r="U193" s="79"/>
    </row>
    <row r="194" spans="1:21" x14ac:dyDescent="0.25">
      <c r="P194" s="769"/>
      <c r="Q194" s="868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9"/>
      <c r="K195" s="216"/>
      <c r="L195" s="79"/>
      <c r="M195" s="216"/>
      <c r="N195" s="79"/>
      <c r="O195" s="216"/>
      <c r="P195" s="769"/>
      <c r="Q195" s="868"/>
      <c r="R195" s="484"/>
      <c r="S195" s="79"/>
      <c r="T195" s="877"/>
      <c r="U195" s="79"/>
    </row>
    <row r="196" spans="1:21" x14ac:dyDescent="0.25">
      <c r="P196" s="769"/>
      <c r="Q196" s="868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629"/>
      <c r="L197" s="79"/>
      <c r="M197" s="629"/>
      <c r="N197" s="79"/>
      <c r="O197" s="629"/>
      <c r="P197" s="769"/>
      <c r="Q197" s="866"/>
      <c r="R197" s="484"/>
      <c r="S197" s="79"/>
      <c r="T197" s="877"/>
      <c r="U197" s="79"/>
    </row>
    <row r="198" spans="1:21" x14ac:dyDescent="0.25">
      <c r="P198" s="769"/>
      <c r="Q198" s="866"/>
    </row>
    <row r="199" spans="1:21" x14ac:dyDescent="0.25">
      <c r="P199" s="769"/>
      <c r="Q199" s="868"/>
    </row>
    <row r="200" spans="1:21" x14ac:dyDescent="0.25">
      <c r="P200" s="769"/>
      <c r="Q200" s="866"/>
    </row>
    <row r="201" spans="1:21" x14ac:dyDescent="0.25">
      <c r="P201" s="769"/>
      <c r="Q201" s="866"/>
    </row>
    <row r="202" spans="1:21" x14ac:dyDescent="0.25">
      <c r="P202" s="769"/>
      <c r="Q202" s="868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216"/>
      <c r="L203" s="79"/>
      <c r="M203" s="216"/>
      <c r="N203" s="79"/>
      <c r="O203" s="216"/>
      <c r="P203" s="769"/>
      <c r="Q203" s="86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L204" s="79"/>
      <c r="M204" s="216"/>
      <c r="N204" s="79"/>
      <c r="O204" s="216"/>
      <c r="P204" s="769"/>
      <c r="Q204" s="86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216"/>
      <c r="L205" s="79"/>
      <c r="M205" s="216"/>
      <c r="N205" s="79"/>
      <c r="O205" s="216"/>
      <c r="P205" s="769"/>
      <c r="Q205" s="868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216"/>
      <c r="L206" s="79"/>
      <c r="M206" s="216"/>
      <c r="N206" s="79"/>
      <c r="O206" s="216"/>
      <c r="P206" s="769"/>
      <c r="Q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216"/>
      <c r="L207" s="79"/>
      <c r="M207" s="216"/>
      <c r="N207" s="79"/>
      <c r="O207" s="216"/>
      <c r="P207" s="223"/>
      <c r="Q207" s="629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216"/>
      <c r="L208" s="79"/>
      <c r="M208" s="216"/>
      <c r="N208" s="79"/>
      <c r="O208" s="216"/>
      <c r="P208" s="756"/>
      <c r="Q208" s="756"/>
      <c r="R208" s="484"/>
      <c r="S208" s="79"/>
      <c r="T208" s="877"/>
      <c r="U208" s="79"/>
    </row>
    <row r="209" spans="1:42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216"/>
      <c r="L209" s="79"/>
      <c r="M209" s="216"/>
      <c r="N209" s="79"/>
      <c r="O209" s="216"/>
      <c r="P209" s="79"/>
      <c r="Q209" s="79"/>
      <c r="R209" s="484"/>
      <c r="S209" s="79"/>
      <c r="T209" s="877"/>
      <c r="U209" s="79"/>
    </row>
    <row r="210" spans="1:42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79"/>
      <c r="Q210" s="79"/>
      <c r="R210" s="484"/>
      <c r="S210" s="79"/>
      <c r="T210" s="877"/>
      <c r="U210" s="79"/>
    </row>
    <row r="211" spans="1:42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9"/>
      <c r="Q211" s="79"/>
      <c r="R211" s="484"/>
      <c r="S211" s="79"/>
      <c r="T211" s="877"/>
      <c r="U211" s="79"/>
    </row>
    <row r="213" spans="1:42" x14ac:dyDescent="0.25">
      <c r="P213" s="85"/>
      <c r="Q213" s="85"/>
    </row>
    <row r="220" spans="1:42" x14ac:dyDescent="0.25">
      <c r="P220" s="85"/>
      <c r="Q220" s="85"/>
    </row>
    <row r="224" spans="1:42" s="484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S224" s="79"/>
      <c r="T224" s="877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</row>
    <row r="225" spans="1:42" s="484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S225" s="79"/>
      <c r="T225" s="877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</row>
    <row r="226" spans="1:42" s="484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S226" s="79"/>
      <c r="T226" s="877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</row>
    <row r="227" spans="1:42" s="484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9"/>
      <c r="K227" s="79"/>
      <c r="L227" s="79"/>
      <c r="M227" s="79"/>
      <c r="N227" s="79"/>
      <c r="O227" s="79"/>
      <c r="P227" s="771"/>
      <c r="Q227" s="518"/>
      <c r="S227" s="79"/>
      <c r="T227" s="877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</row>
    <row r="228" spans="1:42" s="484" customFormat="1" x14ac:dyDescent="0.25">
      <c r="A228" s="79"/>
      <c r="B228" s="79"/>
      <c r="C228" s="85"/>
      <c r="D228" s="85"/>
      <c r="E228" s="85"/>
      <c r="F228" s="8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S228" s="79"/>
      <c r="T228" s="877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</row>
    <row r="235" spans="1:42" s="484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216"/>
      <c r="S235" s="79"/>
      <c r="T235" s="877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</row>
    <row r="236" spans="1:42" s="484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216"/>
      <c r="S236" s="79"/>
      <c r="T236" s="877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</row>
    <row r="237" spans="1:42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216"/>
      <c r="S237" s="79"/>
      <c r="T237" s="877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</row>
    <row r="238" spans="1:42" s="484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216"/>
      <c r="S238" s="79"/>
      <c r="T238" s="877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</row>
    <row r="240" spans="1:42" s="484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216"/>
      <c r="S240" s="79"/>
      <c r="T240" s="877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</row>
    <row r="242" spans="1:42" s="484" customFormat="1" x14ac:dyDescent="0.25">
      <c r="A242" s="79"/>
      <c r="B242" s="79"/>
      <c r="C242" s="85"/>
      <c r="D242" s="85"/>
      <c r="E242" s="85"/>
      <c r="F242" s="8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629"/>
      <c r="S242" s="79"/>
      <c r="T242" s="877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216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216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0" spans="1:42" s="484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216"/>
      <c r="S250" s="79"/>
      <c r="T250" s="877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</row>
    <row r="251" spans="1:42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216"/>
      <c r="S251" s="79"/>
      <c r="T251" s="877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</row>
    <row r="252" spans="1:42" s="484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216"/>
      <c r="S252" s="79"/>
      <c r="T252" s="877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</row>
    <row r="253" spans="1:42" s="484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216"/>
      <c r="S253" s="79"/>
      <c r="T253" s="877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</row>
    <row r="254" spans="1:42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216"/>
      <c r="S254" s="79"/>
      <c r="T254" s="877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</sheetData>
  <autoFilter ref="A2:I121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124:D124"/>
    <mergeCell ref="L2:M3"/>
    <mergeCell ref="N2:O3"/>
    <mergeCell ref="P2:Q3"/>
    <mergeCell ref="A100:E100"/>
    <mergeCell ref="A101:E101"/>
    <mergeCell ref="C123:D12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33817-C80E-4EFA-BB2A-F9F118C29159}">
  <sheetPr codeName="Planilha13"/>
  <dimension ref="A1:AP290"/>
  <sheetViews>
    <sheetView zoomScale="85" zoomScaleNormal="85" workbookViewId="0">
      <pane ySplit="5" topLeftCell="A127" activePane="bottomLeft" state="frozen"/>
      <selection pane="bottomLeft" activeCell="D150" sqref="D15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3987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2380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45261</v>
      </c>
      <c r="B5" s="369" t="s">
        <v>10</v>
      </c>
      <c r="C5" s="370"/>
      <c r="D5" s="370"/>
      <c r="E5" s="777"/>
      <c r="F5" s="179"/>
      <c r="G5" s="933">
        <f>'Novembro-23'!G101</f>
        <v>1790.7382500000285</v>
      </c>
      <c r="H5" s="163"/>
      <c r="I5" s="1479">
        <f>'Novembro-23'!I101</f>
        <v>2099.9959999999992</v>
      </c>
      <c r="J5" s="179"/>
      <c r="K5" s="933">
        <f>'Novembro-23'!K101</f>
        <v>25518.140000000003</v>
      </c>
      <c r="L5" s="179"/>
      <c r="M5" s="933">
        <f>'Novembro-23'!M101</f>
        <v>5364.840000000002</v>
      </c>
      <c r="N5" s="179"/>
      <c r="O5" s="1479">
        <f>'Outubro-23'!O111</f>
        <v>0</v>
      </c>
      <c r="P5" s="179"/>
      <c r="Q5" s="933">
        <f>'Novembro-23'!Q101</f>
        <v>49247.265984720005</v>
      </c>
    </row>
    <row r="6" spans="1:42" s="224" customFormat="1" x14ac:dyDescent="0.25">
      <c r="A6" s="247">
        <v>45261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45261</v>
      </c>
      <c r="B7" s="1688" t="s">
        <v>3973</v>
      </c>
      <c r="C7" s="874" t="s">
        <v>12</v>
      </c>
      <c r="D7" s="874" t="s">
        <v>1525</v>
      </c>
      <c r="E7" s="875" t="s">
        <v>13</v>
      </c>
      <c r="F7" s="780">
        <v>186.9</v>
      </c>
      <c r="G7" s="982"/>
      <c r="H7" s="622"/>
      <c r="I7" s="982"/>
      <c r="J7" s="622"/>
      <c r="K7" s="982"/>
      <c r="L7" s="622"/>
      <c r="M7" s="982"/>
      <c r="N7" s="622"/>
      <c r="O7" s="1063"/>
      <c r="P7" s="622"/>
      <c r="Q7" s="982"/>
      <c r="R7" s="1956" t="s">
        <v>3292</v>
      </c>
      <c r="S7" s="927"/>
      <c r="T7" s="878"/>
    </row>
    <row r="8" spans="1:42" s="224" customFormat="1" ht="15" customHeight="1" x14ac:dyDescent="0.25">
      <c r="A8" s="247">
        <v>45261</v>
      </c>
      <c r="B8" s="882" t="s">
        <v>3988</v>
      </c>
      <c r="C8" s="879" t="s">
        <v>12</v>
      </c>
      <c r="D8" s="879" t="s">
        <v>1522</v>
      </c>
      <c r="E8" s="875" t="s">
        <v>13</v>
      </c>
      <c r="F8" s="780">
        <v>800</v>
      </c>
      <c r="G8" s="982"/>
      <c r="H8" s="95"/>
      <c r="I8" s="1064"/>
      <c r="J8" s="622"/>
      <c r="K8" s="982"/>
      <c r="L8" s="622"/>
      <c r="M8" s="982"/>
      <c r="N8" s="622"/>
      <c r="O8" s="1063"/>
      <c r="P8" s="622"/>
      <c r="Q8" s="982"/>
      <c r="R8" s="1956" t="s">
        <v>3292</v>
      </c>
    </row>
    <row r="9" spans="1:42" s="224" customFormat="1" ht="15" customHeight="1" x14ac:dyDescent="0.25">
      <c r="A9" s="247">
        <v>45261</v>
      </c>
      <c r="B9" s="882" t="s">
        <v>32</v>
      </c>
      <c r="C9" s="1276" t="s">
        <v>12</v>
      </c>
      <c r="D9" s="879" t="s">
        <v>1485</v>
      </c>
      <c r="E9" s="871" t="s">
        <v>13</v>
      </c>
      <c r="F9" s="780">
        <v>20</v>
      </c>
      <c r="G9" s="982"/>
      <c r="H9" s="622"/>
      <c r="I9" s="982"/>
      <c r="J9" s="622"/>
      <c r="K9" s="982"/>
      <c r="L9" s="622"/>
      <c r="M9" s="982"/>
      <c r="N9" s="622"/>
      <c r="O9" s="1063"/>
      <c r="P9" s="622"/>
      <c r="Q9" s="982"/>
      <c r="R9" s="1028"/>
      <c r="S9" s="959"/>
      <c r="T9" s="878"/>
      <c r="U9" s="958"/>
    </row>
    <row r="10" spans="1:42" s="224" customFormat="1" x14ac:dyDescent="0.25">
      <c r="A10" s="247">
        <v>45261</v>
      </c>
      <c r="B10" s="882" t="s">
        <v>3989</v>
      </c>
      <c r="C10" s="879" t="s">
        <v>12</v>
      </c>
      <c r="D10" s="879" t="s">
        <v>1493</v>
      </c>
      <c r="E10" s="875" t="s">
        <v>13</v>
      </c>
      <c r="F10" s="1873">
        <v>6</v>
      </c>
      <c r="G10" s="982"/>
      <c r="H10" s="1008"/>
      <c r="I10" s="1063"/>
      <c r="J10" s="622"/>
      <c r="K10" s="982"/>
      <c r="L10" s="622"/>
      <c r="M10" s="982"/>
      <c r="N10" s="622"/>
      <c r="O10" s="1063"/>
      <c r="P10" s="622"/>
      <c r="Q10" s="982"/>
      <c r="R10" s="861"/>
      <c r="T10" s="878"/>
    </row>
    <row r="11" spans="1:42" s="1274" customFormat="1" ht="15" customHeight="1" x14ac:dyDescent="0.25">
      <c r="A11" s="247">
        <v>45261</v>
      </c>
      <c r="B11" s="1275" t="s">
        <v>3990</v>
      </c>
      <c r="C11" s="1276" t="s">
        <v>12</v>
      </c>
      <c r="D11" s="1276" t="s">
        <v>1525</v>
      </c>
      <c r="E11" s="1286" t="s">
        <v>13</v>
      </c>
      <c r="F11" s="780">
        <v>30</v>
      </c>
      <c r="G11" s="1278"/>
      <c r="H11" s="1282"/>
      <c r="I11" s="1283"/>
      <c r="J11" s="1279"/>
      <c r="K11" s="1278"/>
      <c r="L11" s="1279"/>
      <c r="M11" s="1278"/>
      <c r="N11" s="1279"/>
      <c r="O11" s="1283"/>
      <c r="P11" s="1702"/>
      <c r="Q11" s="1703"/>
      <c r="R11" s="1281"/>
      <c r="T11" s="1281"/>
      <c r="U11" s="1294"/>
    </row>
    <row r="12" spans="1:42" s="224" customFormat="1" ht="15" customHeight="1" x14ac:dyDescent="0.25">
      <c r="A12" s="247">
        <v>45261</v>
      </c>
      <c r="B12" s="882" t="s">
        <v>3991</v>
      </c>
      <c r="C12" s="879" t="s">
        <v>12</v>
      </c>
      <c r="D12" s="879" t="s">
        <v>1522</v>
      </c>
      <c r="E12" s="875" t="s">
        <v>13</v>
      </c>
      <c r="F12" s="780">
        <v>155.22999999999999</v>
      </c>
      <c r="G12" s="982"/>
      <c r="H12" s="95"/>
      <c r="I12" s="1064"/>
      <c r="J12" s="622"/>
      <c r="K12" s="982"/>
      <c r="L12" s="622"/>
      <c r="M12" s="982"/>
      <c r="N12" s="622"/>
      <c r="O12" s="1063"/>
      <c r="P12" s="622"/>
      <c r="Q12" s="982"/>
      <c r="R12" s="1956"/>
    </row>
    <row r="13" spans="1:42" s="224" customFormat="1" ht="15" customHeight="1" x14ac:dyDescent="0.25">
      <c r="A13" s="247">
        <v>45261</v>
      </c>
      <c r="B13" s="882" t="s">
        <v>82</v>
      </c>
      <c r="C13" s="879" t="s">
        <v>12</v>
      </c>
      <c r="D13" s="879" t="s">
        <v>1493</v>
      </c>
      <c r="E13" s="871" t="s">
        <v>13</v>
      </c>
      <c r="F13" s="613">
        <v>30</v>
      </c>
      <c r="G13" s="967"/>
      <c r="H13" s="1008"/>
      <c r="I13" s="1063"/>
      <c r="J13" s="1110"/>
      <c r="K13" s="1207"/>
      <c r="L13" s="880"/>
      <c r="M13" s="1033"/>
      <c r="N13" s="880"/>
      <c r="O13" s="1525"/>
      <c r="P13" s="613"/>
      <c r="Q13" s="162"/>
      <c r="R13" s="1956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45262</v>
      </c>
      <c r="B14" s="1275" t="s">
        <v>14</v>
      </c>
      <c r="C14" s="1276" t="s">
        <v>12</v>
      </c>
      <c r="D14" s="1276" t="s">
        <v>1486</v>
      </c>
      <c r="E14" s="1286" t="s">
        <v>13</v>
      </c>
      <c r="F14" s="780">
        <v>6.98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1956"/>
    </row>
    <row r="15" spans="1:42" s="224" customFormat="1" ht="15" customHeight="1" x14ac:dyDescent="0.25">
      <c r="A15" s="247">
        <v>45262</v>
      </c>
      <c r="B15" s="1275" t="s">
        <v>2629</v>
      </c>
      <c r="C15" s="1276" t="s">
        <v>19</v>
      </c>
      <c r="D15" s="1276" t="s">
        <v>1489</v>
      </c>
      <c r="E15" s="1286" t="s">
        <v>13</v>
      </c>
      <c r="F15" s="780">
        <v>63</v>
      </c>
      <c r="G15" s="982"/>
      <c r="H15" s="95"/>
      <c r="I15" s="1064"/>
      <c r="J15" s="622"/>
      <c r="K15" s="982"/>
      <c r="L15" s="622"/>
      <c r="M15" s="982"/>
      <c r="N15" s="622"/>
      <c r="O15" s="1063"/>
      <c r="P15" s="622"/>
      <c r="Q15" s="982"/>
      <c r="R15" s="1956"/>
    </row>
    <row r="16" spans="1:42" s="224" customFormat="1" ht="15" customHeight="1" x14ac:dyDescent="0.25">
      <c r="A16" s="247">
        <v>45262</v>
      </c>
      <c r="B16" s="1275" t="s">
        <v>80</v>
      </c>
      <c r="C16" s="1276" t="s">
        <v>19</v>
      </c>
      <c r="D16" s="1276" t="s">
        <v>1523</v>
      </c>
      <c r="E16" s="1286" t="s">
        <v>13</v>
      </c>
      <c r="F16" s="780">
        <v>26</v>
      </c>
      <c r="G16" s="982"/>
      <c r="H16" s="95"/>
      <c r="I16" s="1064"/>
      <c r="J16" s="622"/>
      <c r="K16" s="982"/>
      <c r="L16" s="622"/>
      <c r="M16" s="982"/>
      <c r="N16" s="622"/>
      <c r="O16" s="1063"/>
      <c r="P16" s="622"/>
      <c r="Q16" s="982"/>
      <c r="R16" s="1956"/>
    </row>
    <row r="17" spans="1:42" s="224" customFormat="1" ht="15" customHeight="1" x14ac:dyDescent="0.25">
      <c r="A17" s="247">
        <v>45262</v>
      </c>
      <c r="B17" s="882" t="s">
        <v>1331</v>
      </c>
      <c r="C17" s="879" t="s">
        <v>12</v>
      </c>
      <c r="D17" s="879" t="s">
        <v>2157</v>
      </c>
      <c r="E17" s="871" t="s">
        <v>15</v>
      </c>
      <c r="F17" s="613">
        <v>60</v>
      </c>
      <c r="G17" s="982"/>
      <c r="H17" s="1008"/>
      <c r="I17" s="1063"/>
      <c r="J17" s="622"/>
      <c r="K17" s="982"/>
      <c r="L17" s="622"/>
      <c r="M17" s="982"/>
      <c r="N17" s="622"/>
      <c r="O17" s="1063"/>
      <c r="P17" s="622"/>
      <c r="Q17" s="982"/>
      <c r="R17" s="861"/>
      <c r="T17" s="1035"/>
    </row>
    <row r="18" spans="1:42" s="224" customFormat="1" ht="15" customHeight="1" x14ac:dyDescent="0.25">
      <c r="A18" s="247">
        <v>45262</v>
      </c>
      <c r="B18" s="1275" t="s">
        <v>147</v>
      </c>
      <c r="C18" s="1276" t="s">
        <v>12</v>
      </c>
      <c r="D18" s="1276" t="s">
        <v>1506</v>
      </c>
      <c r="E18" s="1286" t="s">
        <v>13</v>
      </c>
      <c r="F18" s="780">
        <v>20</v>
      </c>
      <c r="G18" s="982"/>
      <c r="H18" s="95"/>
      <c r="I18" s="1064"/>
      <c r="J18" s="622"/>
      <c r="K18" s="982"/>
      <c r="L18" s="622"/>
      <c r="M18" s="982"/>
      <c r="N18" s="622"/>
      <c r="O18" s="1063"/>
      <c r="P18" s="622"/>
      <c r="Q18" s="982"/>
      <c r="R18" s="1956"/>
    </row>
    <row r="19" spans="1:42" s="224" customFormat="1" ht="15" customHeight="1" x14ac:dyDescent="0.25">
      <c r="A19" s="247">
        <v>45262</v>
      </c>
      <c r="B19" s="882" t="s">
        <v>82</v>
      </c>
      <c r="C19" s="879" t="s">
        <v>12</v>
      </c>
      <c r="D19" s="879" t="s">
        <v>1493</v>
      </c>
      <c r="E19" s="871" t="s">
        <v>13</v>
      </c>
      <c r="F19" s="613">
        <v>40</v>
      </c>
      <c r="G19" s="967"/>
      <c r="H19" s="1008"/>
      <c r="I19" s="1063"/>
      <c r="J19" s="1110"/>
      <c r="K19" s="1207"/>
      <c r="L19" s="880"/>
      <c r="M19" s="1033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x14ac:dyDescent="0.25">
      <c r="A20" s="247">
        <v>45263</v>
      </c>
      <c r="B20" s="1275" t="s">
        <v>3992</v>
      </c>
      <c r="C20" s="879" t="s">
        <v>12</v>
      </c>
      <c r="D20" s="879" t="s">
        <v>1523</v>
      </c>
      <c r="E20" s="875" t="s">
        <v>13</v>
      </c>
      <c r="F20" s="1279">
        <v>32</v>
      </c>
      <c r="G20" s="982"/>
      <c r="H20" s="1008"/>
      <c r="I20" s="1063"/>
      <c r="J20" s="622"/>
      <c r="K20" s="982"/>
      <c r="L20" s="622"/>
      <c r="M20" s="982"/>
      <c r="N20" s="622"/>
      <c r="O20" s="1063"/>
      <c r="P20" s="622"/>
      <c r="Q20" s="982"/>
      <c r="R20" s="861"/>
      <c r="T20" s="878"/>
    </row>
    <row r="21" spans="1:42" s="224" customFormat="1" x14ac:dyDescent="0.25">
      <c r="A21" s="247">
        <v>45263</v>
      </c>
      <c r="B21" s="1275" t="s">
        <v>3993</v>
      </c>
      <c r="C21" s="879" t="s">
        <v>12</v>
      </c>
      <c r="D21" s="879" t="s">
        <v>1523</v>
      </c>
      <c r="E21" s="875" t="s">
        <v>13</v>
      </c>
      <c r="F21" s="1279">
        <v>6</v>
      </c>
      <c r="G21" s="982"/>
      <c r="H21" s="1008"/>
      <c r="I21" s="1063"/>
      <c r="J21" s="622"/>
      <c r="K21" s="982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x14ac:dyDescent="0.25">
      <c r="A22" s="247">
        <v>45263</v>
      </c>
      <c r="B22" s="1275" t="s">
        <v>3994</v>
      </c>
      <c r="C22" s="879" t="s">
        <v>12</v>
      </c>
      <c r="D22" s="879" t="s">
        <v>1523</v>
      </c>
      <c r="E22" s="875" t="s">
        <v>13</v>
      </c>
      <c r="F22" s="1279">
        <v>10.5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861"/>
      <c r="T22" s="878"/>
    </row>
    <row r="23" spans="1:42" s="224" customFormat="1" x14ac:dyDescent="0.25">
      <c r="A23" s="247">
        <v>45263</v>
      </c>
      <c r="B23" s="1275" t="s">
        <v>3995</v>
      </c>
      <c r="C23" s="879" t="s">
        <v>12</v>
      </c>
      <c r="D23" s="879" t="s">
        <v>1485</v>
      </c>
      <c r="E23" s="875" t="s">
        <v>13</v>
      </c>
      <c r="F23" s="1279">
        <v>30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  <c r="T23" s="878"/>
    </row>
    <row r="24" spans="1:42" s="224" customFormat="1" ht="15" customHeight="1" x14ac:dyDescent="0.25">
      <c r="A24" s="247">
        <v>45264</v>
      </c>
      <c r="B24" s="882" t="s">
        <v>32</v>
      </c>
      <c r="C24" s="1276" t="s">
        <v>12</v>
      </c>
      <c r="D24" s="879" t="s">
        <v>1485</v>
      </c>
      <c r="E24" s="871" t="s">
        <v>13</v>
      </c>
      <c r="F24" s="780">
        <v>20</v>
      </c>
      <c r="G24" s="982"/>
      <c r="H24" s="622"/>
      <c r="I24" s="982"/>
      <c r="J24" s="622"/>
      <c r="K24" s="982"/>
      <c r="L24" s="622"/>
      <c r="M24" s="982"/>
      <c r="N24" s="622"/>
      <c r="O24" s="1063"/>
      <c r="P24" s="622"/>
      <c r="Q24" s="982"/>
      <c r="R24" s="1028"/>
      <c r="S24" s="959"/>
      <c r="T24" s="878"/>
      <c r="U24" s="958"/>
    </row>
    <row r="25" spans="1:42" s="224" customFormat="1" ht="15" customHeight="1" x14ac:dyDescent="0.25">
      <c r="A25" s="247">
        <v>45265</v>
      </c>
      <c r="B25" s="1275" t="s">
        <v>14</v>
      </c>
      <c r="C25" s="1276" t="s">
        <v>12</v>
      </c>
      <c r="D25" s="1276" t="s">
        <v>1486</v>
      </c>
      <c r="E25" s="1286" t="s">
        <v>13</v>
      </c>
      <c r="F25" s="780">
        <v>9.5500000000000007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861"/>
      <c r="T25" s="1035"/>
    </row>
    <row r="26" spans="1:42" s="224" customFormat="1" ht="15.75" customHeight="1" x14ac:dyDescent="0.25">
      <c r="A26" s="247">
        <v>45266</v>
      </c>
      <c r="B26" s="873" t="s">
        <v>3996</v>
      </c>
      <c r="C26" s="879" t="s">
        <v>12</v>
      </c>
      <c r="D26" s="874"/>
      <c r="E26" s="871" t="s">
        <v>25</v>
      </c>
      <c r="F26" s="1524"/>
      <c r="G26" s="1002">
        <v>2111.5500000000002</v>
      </c>
      <c r="H26" s="538"/>
      <c r="I26" s="982"/>
      <c r="J26" s="622"/>
      <c r="K26" s="982"/>
      <c r="L26" s="622"/>
      <c r="M26" s="982"/>
      <c r="N26" s="622"/>
      <c r="O26" s="1063"/>
      <c r="P26" s="622"/>
      <c r="Q26" s="982"/>
      <c r="R26" s="178"/>
    </row>
    <row r="27" spans="1:42" s="224" customFormat="1" ht="15" customHeight="1" x14ac:dyDescent="0.25">
      <c r="A27" s="247">
        <v>45266</v>
      </c>
      <c r="B27" s="364" t="s">
        <v>3997</v>
      </c>
      <c r="C27" s="879" t="s">
        <v>12</v>
      </c>
      <c r="D27" s="879"/>
      <c r="E27" s="875" t="s">
        <v>25</v>
      </c>
      <c r="F27" s="780"/>
      <c r="G27" s="982"/>
      <c r="H27" s="622"/>
      <c r="I27" s="982"/>
      <c r="J27" s="622"/>
      <c r="K27" s="982"/>
      <c r="L27" s="622"/>
      <c r="M27" s="982"/>
      <c r="N27" s="622"/>
      <c r="O27" s="1063"/>
      <c r="P27" s="622"/>
      <c r="Q27" s="982">
        <v>630</v>
      </c>
      <c r="R27" s="927"/>
      <c r="S27" s="927"/>
      <c r="T27" s="878"/>
    </row>
    <row r="28" spans="1:42" s="224" customFormat="1" ht="15" customHeight="1" x14ac:dyDescent="0.25">
      <c r="A28" s="247">
        <v>45266</v>
      </c>
      <c r="B28" s="364" t="s">
        <v>1396</v>
      </c>
      <c r="C28" s="879" t="s">
        <v>12</v>
      </c>
      <c r="D28" s="350"/>
      <c r="E28" s="480" t="s">
        <v>25</v>
      </c>
      <c r="F28" s="613"/>
      <c r="G28" s="967">
        <v>100</v>
      </c>
      <c r="H28" s="1008"/>
      <c r="I28" s="1063"/>
      <c r="J28" s="1116"/>
      <c r="K28" s="1207"/>
      <c r="L28" s="622"/>
      <c r="M28" s="982"/>
      <c r="N28" s="622"/>
      <c r="O28" s="1063"/>
      <c r="P28" s="1116"/>
      <c r="Q28" s="1207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" customHeight="1" x14ac:dyDescent="0.25">
      <c r="A29" s="247">
        <v>45266</v>
      </c>
      <c r="B29" s="862" t="s">
        <v>3422</v>
      </c>
      <c r="C29" s="879" t="s">
        <v>12</v>
      </c>
      <c r="D29" s="879" t="s">
        <v>1504</v>
      </c>
      <c r="E29" s="871" t="s">
        <v>13</v>
      </c>
      <c r="F29" s="780">
        <v>50</v>
      </c>
      <c r="G29" s="982"/>
      <c r="H29" s="1008"/>
      <c r="I29" s="1063"/>
      <c r="J29" s="622"/>
      <c r="K29" s="982"/>
      <c r="L29" s="622"/>
      <c r="M29" s="982"/>
      <c r="N29" s="622"/>
      <c r="O29" s="1063"/>
      <c r="P29" s="622"/>
      <c r="Q29" s="982"/>
      <c r="R29" s="178"/>
      <c r="S29" s="1028"/>
      <c r="T29" s="1035"/>
    </row>
    <row r="30" spans="1:42" s="224" customFormat="1" ht="15" customHeight="1" x14ac:dyDescent="0.25">
      <c r="A30" s="247">
        <v>45266</v>
      </c>
      <c r="B30" s="882" t="s">
        <v>3998</v>
      </c>
      <c r="C30" s="879" t="s">
        <v>12</v>
      </c>
      <c r="D30" s="879" t="s">
        <v>1499</v>
      </c>
      <c r="E30" s="871" t="s">
        <v>13</v>
      </c>
      <c r="F30" s="780">
        <v>42.15</v>
      </c>
      <c r="G30" s="982"/>
      <c r="H30" s="1008"/>
      <c r="I30" s="1063"/>
      <c r="J30" s="622"/>
      <c r="K30" s="982"/>
      <c r="L30" s="622"/>
      <c r="M30" s="982"/>
      <c r="N30" s="622"/>
      <c r="O30" s="1063"/>
      <c r="P30" s="622"/>
      <c r="Q30" s="982"/>
      <c r="R30" s="1028">
        <v>122.15</v>
      </c>
      <c r="S30" s="999"/>
      <c r="T30" s="878"/>
    </row>
    <row r="31" spans="1:42" s="224" customFormat="1" ht="15" customHeight="1" x14ac:dyDescent="0.25">
      <c r="A31" s="247">
        <v>45266</v>
      </c>
      <c r="B31" s="364" t="s">
        <v>2977</v>
      </c>
      <c r="C31" s="879" t="s">
        <v>12</v>
      </c>
      <c r="D31" s="350" t="s">
        <v>1491</v>
      </c>
      <c r="E31" s="875" t="s">
        <v>13</v>
      </c>
      <c r="F31" s="780">
        <v>300</v>
      </c>
      <c r="G31" s="982"/>
      <c r="H31" s="1008"/>
      <c r="I31" s="1063"/>
      <c r="J31" s="622"/>
      <c r="K31" s="982"/>
      <c r="L31" s="622"/>
      <c r="M31" s="982"/>
      <c r="N31" s="622"/>
      <c r="O31" s="1063"/>
      <c r="P31" s="622"/>
      <c r="Q31" s="982"/>
      <c r="R31" s="1028"/>
      <c r="T31" s="1035"/>
    </row>
    <row r="32" spans="1:42" s="224" customFormat="1" ht="15" customHeight="1" x14ac:dyDescent="0.25">
      <c r="A32" s="247">
        <v>45266</v>
      </c>
      <c r="B32" s="364" t="s">
        <v>3942</v>
      </c>
      <c r="C32" s="879" t="s">
        <v>12</v>
      </c>
      <c r="D32" s="350" t="s">
        <v>1491</v>
      </c>
      <c r="E32" s="875" t="s">
        <v>13</v>
      </c>
      <c r="F32" s="780">
        <v>70</v>
      </c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1028"/>
      <c r="T32" s="1035"/>
    </row>
    <row r="33" spans="1:21" x14ac:dyDescent="0.25">
      <c r="A33" s="247">
        <v>45266</v>
      </c>
      <c r="B33" s="876" t="s">
        <v>3844</v>
      </c>
      <c r="C33" s="879" t="s">
        <v>12</v>
      </c>
      <c r="D33" s="879" t="s">
        <v>1496</v>
      </c>
      <c r="E33" s="871" t="s">
        <v>13</v>
      </c>
      <c r="F33" s="780">
        <v>90</v>
      </c>
      <c r="G33" s="982"/>
      <c r="H33" s="1009"/>
      <c r="I33" s="1063"/>
      <c r="J33" s="622"/>
      <c r="K33" s="982"/>
      <c r="L33" s="622"/>
      <c r="M33" s="982"/>
      <c r="N33" s="622"/>
      <c r="O33" s="1063"/>
      <c r="P33" s="622"/>
      <c r="Q33" s="982"/>
      <c r="R33" s="1029"/>
    </row>
    <row r="34" spans="1:21" s="224" customFormat="1" ht="14.25" customHeight="1" x14ac:dyDescent="0.25">
      <c r="A34" s="247">
        <v>45266</v>
      </c>
      <c r="B34" s="882" t="s">
        <v>3999</v>
      </c>
      <c r="C34" s="879" t="s">
        <v>12</v>
      </c>
      <c r="D34" s="879" t="s">
        <v>3017</v>
      </c>
      <c r="E34" s="875" t="s">
        <v>13</v>
      </c>
      <c r="F34" s="780">
        <v>240.73</v>
      </c>
      <c r="G34" s="982"/>
      <c r="H34" s="1008"/>
      <c r="I34" s="1063"/>
      <c r="J34" s="622"/>
      <c r="K34" s="982">
        <v>240.73</v>
      </c>
      <c r="L34" s="622"/>
      <c r="M34" s="982"/>
      <c r="N34" s="622"/>
      <c r="O34" s="1063"/>
      <c r="P34" s="622"/>
      <c r="Q34" s="982"/>
      <c r="R34" s="861">
        <v>830</v>
      </c>
      <c r="S34" s="878" t="s">
        <v>3897</v>
      </c>
      <c r="T34" s="1035"/>
    </row>
    <row r="35" spans="1:21" s="224" customFormat="1" ht="15" customHeight="1" x14ac:dyDescent="0.25">
      <c r="A35" s="247">
        <v>45266</v>
      </c>
      <c r="B35" s="873" t="s">
        <v>4000</v>
      </c>
      <c r="C35" s="874" t="s">
        <v>12</v>
      </c>
      <c r="D35" s="874" t="s">
        <v>1523</v>
      </c>
      <c r="E35" s="875" t="s">
        <v>13</v>
      </c>
      <c r="F35" s="780">
        <v>150</v>
      </c>
      <c r="G35" s="982"/>
      <c r="H35" s="622"/>
      <c r="I35" s="982"/>
      <c r="J35" s="622"/>
      <c r="K35" s="982"/>
      <c r="L35" s="622"/>
      <c r="M35" s="982"/>
      <c r="N35" s="622"/>
      <c r="O35" s="1063"/>
      <c r="P35" s="622"/>
      <c r="Q35" s="982"/>
      <c r="R35" s="1280" t="s">
        <v>4001</v>
      </c>
      <c r="S35" s="927"/>
      <c r="T35" s="878"/>
    </row>
    <row r="36" spans="1:21" s="224" customFormat="1" ht="15" customHeight="1" x14ac:dyDescent="0.25">
      <c r="A36" s="247">
        <v>45266</v>
      </c>
      <c r="B36" s="882" t="s">
        <v>4002</v>
      </c>
      <c r="C36" s="879" t="s">
        <v>12</v>
      </c>
      <c r="D36" s="879" t="s">
        <v>1499</v>
      </c>
      <c r="E36" s="871" t="s">
        <v>13</v>
      </c>
      <c r="F36" s="780">
        <v>34.29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861"/>
      <c r="T36" s="1123"/>
      <c r="U36" s="999"/>
    </row>
    <row r="37" spans="1:21" s="224" customFormat="1" ht="15" customHeight="1" x14ac:dyDescent="0.25">
      <c r="A37" s="247">
        <v>45266</v>
      </c>
      <c r="B37" s="882" t="s">
        <v>32</v>
      </c>
      <c r="C37" s="1276" t="s">
        <v>12</v>
      </c>
      <c r="D37" s="879" t="s">
        <v>1485</v>
      </c>
      <c r="E37" s="871" t="s">
        <v>13</v>
      </c>
      <c r="F37" s="780">
        <v>20</v>
      </c>
      <c r="G37" s="982"/>
      <c r="H37" s="622"/>
      <c r="I37" s="982"/>
      <c r="J37" s="622"/>
      <c r="K37" s="982"/>
      <c r="L37" s="622"/>
      <c r="M37" s="982"/>
      <c r="N37" s="622"/>
      <c r="O37" s="1063"/>
      <c r="P37" s="622"/>
      <c r="Q37" s="982"/>
      <c r="R37" s="1028"/>
      <c r="S37" s="959"/>
      <c r="T37" s="878"/>
      <c r="U37" s="958"/>
    </row>
    <row r="38" spans="1:21" s="224" customFormat="1" x14ac:dyDescent="0.25">
      <c r="A38" s="247">
        <v>45266</v>
      </c>
      <c r="B38" s="364" t="s">
        <v>398</v>
      </c>
      <c r="C38" s="1276"/>
      <c r="D38" s="1276"/>
      <c r="E38" s="1277"/>
      <c r="F38" s="1873">
        <v>250</v>
      </c>
      <c r="G38" s="982"/>
      <c r="H38" s="1008"/>
      <c r="I38" s="1063">
        <v>250</v>
      </c>
      <c r="J38" s="622"/>
      <c r="K38" s="982"/>
      <c r="L38" s="622"/>
      <c r="M38" s="982"/>
      <c r="N38" s="622"/>
      <c r="O38" s="1063"/>
      <c r="P38" s="622"/>
      <c r="Q38" s="982"/>
      <c r="R38" s="861"/>
      <c r="T38" s="878"/>
    </row>
    <row r="39" spans="1:21" s="224" customFormat="1" ht="15" customHeight="1" x14ac:dyDescent="0.25">
      <c r="A39" s="247">
        <v>45266</v>
      </c>
      <c r="B39" s="882" t="s">
        <v>1331</v>
      </c>
      <c r="C39" s="879" t="s">
        <v>12</v>
      </c>
      <c r="D39" s="879" t="s">
        <v>2157</v>
      </c>
      <c r="E39" s="871" t="s">
        <v>13</v>
      </c>
      <c r="F39" s="613">
        <v>80</v>
      </c>
      <c r="G39" s="982"/>
      <c r="H39" s="622"/>
      <c r="I39" s="982"/>
      <c r="J39" s="622"/>
      <c r="K39" s="982"/>
      <c r="L39" s="622"/>
      <c r="M39" s="982"/>
      <c r="N39" s="622"/>
      <c r="O39" s="1063"/>
      <c r="P39" s="622"/>
      <c r="Q39" s="982"/>
      <c r="R39" s="1280"/>
      <c r="S39" s="927"/>
      <c r="T39" s="878"/>
    </row>
    <row r="40" spans="1:21" s="224" customFormat="1" ht="15" customHeight="1" x14ac:dyDescent="0.25">
      <c r="A40" s="247">
        <v>45267</v>
      </c>
      <c r="B40" s="882" t="s">
        <v>32</v>
      </c>
      <c r="C40" s="1276" t="s">
        <v>12</v>
      </c>
      <c r="D40" s="879" t="s">
        <v>1485</v>
      </c>
      <c r="E40" s="871" t="s">
        <v>13</v>
      </c>
      <c r="F40" s="780">
        <v>20</v>
      </c>
      <c r="G40" s="982"/>
      <c r="H40" s="622"/>
      <c r="I40" s="982"/>
      <c r="J40" s="622"/>
      <c r="K40" s="982"/>
      <c r="L40" s="622"/>
      <c r="M40" s="982"/>
      <c r="N40" s="622"/>
      <c r="O40" s="1063"/>
      <c r="P40" s="622"/>
      <c r="Q40" s="982"/>
      <c r="R40" s="1028"/>
      <c r="S40" s="959"/>
      <c r="T40" s="878"/>
      <c r="U40" s="958"/>
    </row>
    <row r="41" spans="1:21" s="224" customFormat="1" ht="15" customHeight="1" x14ac:dyDescent="0.25">
      <c r="A41" s="247">
        <v>45267</v>
      </c>
      <c r="B41" s="882" t="s">
        <v>3982</v>
      </c>
      <c r="C41" s="879" t="s">
        <v>12</v>
      </c>
      <c r="D41" s="879" t="s">
        <v>1522</v>
      </c>
      <c r="E41" s="875" t="s">
        <v>13</v>
      </c>
      <c r="F41" s="780">
        <v>20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880"/>
      <c r="Q41" s="1033"/>
      <c r="R41" s="927"/>
      <c r="T41" s="878"/>
    </row>
    <row r="42" spans="1:21" s="224" customFormat="1" ht="15" customHeight="1" x14ac:dyDescent="0.25">
      <c r="A42" s="247">
        <v>45267</v>
      </c>
      <c r="B42" s="882" t="s">
        <v>3958</v>
      </c>
      <c r="C42" s="1276" t="s">
        <v>12</v>
      </c>
      <c r="D42" s="879" t="s">
        <v>1489</v>
      </c>
      <c r="E42" s="871" t="s">
        <v>13</v>
      </c>
      <c r="F42" s="780">
        <v>23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1280"/>
      <c r="S42" s="927"/>
      <c r="T42" s="878"/>
    </row>
    <row r="43" spans="1:21" s="224" customFormat="1" ht="15" customHeight="1" x14ac:dyDescent="0.25">
      <c r="A43" s="247">
        <v>45268</v>
      </c>
      <c r="B43" s="882" t="s">
        <v>32</v>
      </c>
      <c r="C43" s="1276" t="s">
        <v>12</v>
      </c>
      <c r="D43" s="879" t="s">
        <v>1485</v>
      </c>
      <c r="E43" s="871" t="s">
        <v>13</v>
      </c>
      <c r="F43" s="780">
        <v>20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1028"/>
      <c r="S43" s="959"/>
      <c r="T43" s="878"/>
      <c r="U43" s="958"/>
    </row>
    <row r="44" spans="1:21" s="224" customFormat="1" ht="15" customHeight="1" x14ac:dyDescent="0.25">
      <c r="A44" s="247">
        <v>45268</v>
      </c>
      <c r="B44" s="882" t="s">
        <v>539</v>
      </c>
      <c r="C44" s="1276" t="s">
        <v>12</v>
      </c>
      <c r="D44" s="879" t="s">
        <v>1506</v>
      </c>
      <c r="E44" s="871" t="s">
        <v>13</v>
      </c>
      <c r="F44" s="780">
        <v>13.49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982"/>
      <c r="R44" s="1028"/>
      <c r="S44" s="959"/>
      <c r="T44" s="878"/>
      <c r="U44" s="958"/>
    </row>
    <row r="45" spans="1:21" s="224" customFormat="1" ht="15" customHeight="1" x14ac:dyDescent="0.25">
      <c r="A45" s="247">
        <v>45269</v>
      </c>
      <c r="B45" s="1275" t="s">
        <v>14</v>
      </c>
      <c r="C45" s="1276" t="s">
        <v>12</v>
      </c>
      <c r="D45" s="1276" t="s">
        <v>1486</v>
      </c>
      <c r="E45" s="1286" t="s">
        <v>13</v>
      </c>
      <c r="F45" s="780">
        <v>8.67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861"/>
      <c r="T45" s="1035"/>
    </row>
    <row r="46" spans="1:21" s="224" customFormat="1" ht="15" customHeight="1" x14ac:dyDescent="0.25">
      <c r="A46" s="247">
        <v>45269</v>
      </c>
      <c r="B46" s="873" t="s">
        <v>147</v>
      </c>
      <c r="C46" s="874" t="s">
        <v>12</v>
      </c>
      <c r="D46" s="874" t="s">
        <v>1506</v>
      </c>
      <c r="E46" s="875" t="s">
        <v>13</v>
      </c>
      <c r="F46" s="780">
        <v>10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1280"/>
      <c r="S46" s="927"/>
      <c r="T46" s="878"/>
    </row>
    <row r="47" spans="1:21" s="224" customFormat="1" ht="15" customHeight="1" x14ac:dyDescent="0.25">
      <c r="A47" s="247">
        <v>45269</v>
      </c>
      <c r="B47" s="882" t="s">
        <v>32</v>
      </c>
      <c r="C47" s="1276" t="s">
        <v>12</v>
      </c>
      <c r="D47" s="879" t="s">
        <v>1485</v>
      </c>
      <c r="E47" s="871" t="s">
        <v>13</v>
      </c>
      <c r="F47" s="780">
        <v>24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1028"/>
      <c r="S47" s="959"/>
      <c r="T47" s="878"/>
      <c r="U47" s="958"/>
    </row>
    <row r="48" spans="1:21" s="224" customFormat="1" ht="15" customHeight="1" x14ac:dyDescent="0.25">
      <c r="A48" s="247">
        <v>45269</v>
      </c>
      <c r="B48" s="882" t="s">
        <v>81</v>
      </c>
      <c r="C48" s="1276" t="s">
        <v>12</v>
      </c>
      <c r="D48" s="879" t="s">
        <v>1493</v>
      </c>
      <c r="E48" s="871" t="s">
        <v>13</v>
      </c>
      <c r="F48" s="780">
        <v>9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982"/>
      <c r="R48" s="1028"/>
      <c r="S48" s="959"/>
      <c r="T48" s="878"/>
      <c r="U48" s="958"/>
    </row>
    <row r="49" spans="1:42" s="224" customFormat="1" ht="15" customHeight="1" x14ac:dyDescent="0.25">
      <c r="A49" s="247">
        <v>45269</v>
      </c>
      <c r="B49" s="882" t="s">
        <v>134</v>
      </c>
      <c r="C49" s="1276" t="s">
        <v>12</v>
      </c>
      <c r="D49" s="879" t="s">
        <v>1493</v>
      </c>
      <c r="E49" s="871" t="s">
        <v>13</v>
      </c>
      <c r="F49" s="780">
        <v>10</v>
      </c>
      <c r="G49" s="982"/>
      <c r="H49" s="622"/>
      <c r="I49" s="982"/>
      <c r="J49" s="622"/>
      <c r="K49" s="982"/>
      <c r="L49" s="622"/>
      <c r="M49" s="982"/>
      <c r="N49" s="622"/>
      <c r="O49" s="1063"/>
      <c r="P49" s="622"/>
      <c r="Q49" s="982"/>
      <c r="R49" s="1028"/>
      <c r="S49" s="959"/>
      <c r="T49" s="878"/>
      <c r="U49" s="958"/>
    </row>
    <row r="50" spans="1:42" s="224" customFormat="1" ht="15" customHeight="1" x14ac:dyDescent="0.25">
      <c r="A50" s="247">
        <v>45270</v>
      </c>
      <c r="B50" s="1275" t="s">
        <v>14</v>
      </c>
      <c r="C50" s="1276" t="s">
        <v>12</v>
      </c>
      <c r="D50" s="1276" t="s">
        <v>1486</v>
      </c>
      <c r="E50" s="1286" t="s">
        <v>13</v>
      </c>
      <c r="F50" s="780">
        <v>6.84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  <c r="T50" s="1035"/>
    </row>
    <row r="51" spans="1:42" s="224" customFormat="1" ht="15" customHeight="1" x14ac:dyDescent="0.25">
      <c r="A51" s="247">
        <v>45270</v>
      </c>
      <c r="B51" s="1688" t="s">
        <v>443</v>
      </c>
      <c r="C51" s="874" t="s">
        <v>12</v>
      </c>
      <c r="D51" s="874" t="s">
        <v>1493</v>
      </c>
      <c r="E51" s="875" t="s">
        <v>13</v>
      </c>
      <c r="F51" s="780">
        <v>19.899999999999999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927"/>
      <c r="S51" s="927"/>
      <c r="T51" s="878"/>
    </row>
    <row r="52" spans="1:42" s="224" customFormat="1" ht="15" customHeight="1" x14ac:dyDescent="0.25">
      <c r="A52" s="247">
        <v>45270</v>
      </c>
      <c r="B52" s="364" t="s">
        <v>3354</v>
      </c>
      <c r="C52" s="350" t="s">
        <v>12</v>
      </c>
      <c r="D52" s="350"/>
      <c r="E52" s="480" t="s">
        <v>25</v>
      </c>
      <c r="F52" s="613"/>
      <c r="G52" s="967"/>
      <c r="H52" s="1008"/>
      <c r="I52" s="1063"/>
      <c r="J52" s="1110"/>
      <c r="K52" s="1207"/>
      <c r="L52" s="880"/>
      <c r="M52" s="1033"/>
      <c r="N52" s="880"/>
      <c r="O52" s="1525"/>
      <c r="P52" s="613"/>
      <c r="Q52" s="162">
        <v>159.69999999999999</v>
      </c>
      <c r="R52" s="1209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customHeight="1" x14ac:dyDescent="0.25">
      <c r="A53" s="247">
        <v>45271</v>
      </c>
      <c r="B53" s="882" t="s">
        <v>32</v>
      </c>
      <c r="C53" s="1995" t="s">
        <v>12</v>
      </c>
      <c r="D53" s="879" t="s">
        <v>1485</v>
      </c>
      <c r="E53" s="871" t="s">
        <v>13</v>
      </c>
      <c r="F53" s="780">
        <v>20</v>
      </c>
      <c r="G53" s="982"/>
      <c r="H53" s="622"/>
      <c r="I53" s="982"/>
      <c r="J53" s="622"/>
      <c r="K53" s="982"/>
      <c r="L53" s="622"/>
      <c r="M53" s="982"/>
      <c r="N53" s="622"/>
      <c r="O53" s="1063"/>
      <c r="P53" s="622"/>
      <c r="Q53" s="982"/>
      <c r="R53" s="1028"/>
      <c r="S53" s="959"/>
      <c r="T53" s="878"/>
      <c r="U53" s="958"/>
    </row>
    <row r="54" spans="1:42" s="224" customFormat="1" ht="15" customHeight="1" x14ac:dyDescent="0.25">
      <c r="A54" s="247">
        <v>45271</v>
      </c>
      <c r="B54" s="873" t="s">
        <v>4003</v>
      </c>
      <c r="C54" s="879" t="s">
        <v>19</v>
      </c>
      <c r="D54" s="1993" t="s">
        <v>1522</v>
      </c>
      <c r="E54" s="875" t="s">
        <v>13</v>
      </c>
      <c r="F54" s="780">
        <v>92.5</v>
      </c>
      <c r="G54" s="982"/>
      <c r="H54" s="622"/>
      <c r="I54" s="982"/>
      <c r="J54" s="622"/>
      <c r="K54" s="982"/>
      <c r="L54" s="622"/>
      <c r="M54" s="982"/>
      <c r="N54" s="622"/>
      <c r="O54" s="1063"/>
      <c r="P54" s="622"/>
      <c r="Q54" s="982"/>
      <c r="R54" s="1956" t="s">
        <v>3292</v>
      </c>
      <c r="S54" s="927"/>
      <c r="T54" s="878"/>
    </row>
    <row r="55" spans="1:42" s="224" customFormat="1" ht="15" customHeight="1" x14ac:dyDescent="0.25">
      <c r="A55" s="247">
        <v>45272</v>
      </c>
      <c r="B55" s="882" t="s">
        <v>32</v>
      </c>
      <c r="C55" s="1996" t="s">
        <v>12</v>
      </c>
      <c r="D55" s="1990" t="s">
        <v>1485</v>
      </c>
      <c r="E55" s="871" t="s">
        <v>13</v>
      </c>
      <c r="F55" s="780">
        <v>20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1028"/>
      <c r="S55" s="959"/>
      <c r="T55" s="878"/>
      <c r="U55" s="958"/>
    </row>
    <row r="56" spans="1:42" s="224" customFormat="1" ht="15" customHeight="1" x14ac:dyDescent="0.25">
      <c r="A56" s="247">
        <v>45272</v>
      </c>
      <c r="B56" s="882" t="s">
        <v>1331</v>
      </c>
      <c r="C56" s="879" t="s">
        <v>12</v>
      </c>
      <c r="D56" s="1990" t="s">
        <v>2157</v>
      </c>
      <c r="E56" s="871" t="s">
        <v>13</v>
      </c>
      <c r="F56" s="613">
        <v>80</v>
      </c>
      <c r="G56" s="982"/>
      <c r="H56" s="95"/>
      <c r="I56" s="1064"/>
      <c r="J56" s="622"/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ht="15" customHeight="1" x14ac:dyDescent="0.25">
      <c r="A57" s="247">
        <v>45272</v>
      </c>
      <c r="B57" s="1275" t="s">
        <v>14</v>
      </c>
      <c r="C57" s="1996" t="s">
        <v>12</v>
      </c>
      <c r="D57" s="1994" t="s">
        <v>1486</v>
      </c>
      <c r="E57" s="1286" t="s">
        <v>13</v>
      </c>
      <c r="F57" s="780">
        <v>5.21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861"/>
      <c r="T57" s="1035"/>
    </row>
    <row r="58" spans="1:42" s="224" customFormat="1" x14ac:dyDescent="0.25">
      <c r="A58" s="507">
        <v>45273</v>
      </c>
      <c r="B58" s="1991" t="s">
        <v>4004</v>
      </c>
      <c r="C58" s="1997" t="s">
        <v>19</v>
      </c>
      <c r="D58" s="1990" t="s">
        <v>1489</v>
      </c>
      <c r="E58" s="480" t="s">
        <v>13</v>
      </c>
      <c r="F58" s="780">
        <v>144</v>
      </c>
      <c r="G58" s="982"/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1956" t="s">
        <v>3292</v>
      </c>
      <c r="T58" s="878"/>
    </row>
    <row r="59" spans="1:42" s="224" customFormat="1" x14ac:dyDescent="0.25">
      <c r="A59" s="507">
        <v>45273</v>
      </c>
      <c r="B59" s="1992" t="s">
        <v>4005</v>
      </c>
      <c r="C59" s="1997" t="s">
        <v>19</v>
      </c>
      <c r="D59" s="1990" t="s">
        <v>1506</v>
      </c>
      <c r="E59" s="480" t="s">
        <v>13</v>
      </c>
      <c r="F59" s="780">
        <v>80.375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1956" t="s">
        <v>3292</v>
      </c>
      <c r="T59" s="878"/>
    </row>
    <row r="60" spans="1:42" s="224" customFormat="1" ht="15" customHeight="1" x14ac:dyDescent="0.25">
      <c r="A60" s="507">
        <v>45273</v>
      </c>
      <c r="B60" s="882" t="s">
        <v>32</v>
      </c>
      <c r="C60" s="1996" t="s">
        <v>12</v>
      </c>
      <c r="D60" s="1990" t="s">
        <v>1485</v>
      </c>
      <c r="E60" s="871" t="s">
        <v>13</v>
      </c>
      <c r="F60" s="780">
        <v>20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1028"/>
      <c r="S60" s="959"/>
      <c r="T60" s="878"/>
      <c r="U60" s="958"/>
    </row>
    <row r="61" spans="1:42" s="224" customFormat="1" x14ac:dyDescent="0.25">
      <c r="A61" s="247">
        <v>45273</v>
      </c>
      <c r="B61" s="882" t="s">
        <v>4006</v>
      </c>
      <c r="C61" s="879" t="s">
        <v>12</v>
      </c>
      <c r="D61" s="1990" t="s">
        <v>1489</v>
      </c>
      <c r="E61" s="480" t="s">
        <v>13</v>
      </c>
      <c r="F61" s="780">
        <v>17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1956"/>
      <c r="T61" s="878"/>
    </row>
    <row r="62" spans="1:42" s="224" customFormat="1" x14ac:dyDescent="0.25">
      <c r="A62" s="247">
        <v>45274</v>
      </c>
      <c r="B62" s="882" t="s">
        <v>32</v>
      </c>
      <c r="C62" s="1996" t="s">
        <v>12</v>
      </c>
      <c r="D62" s="1990" t="s">
        <v>1485</v>
      </c>
      <c r="E62" s="871" t="s">
        <v>13</v>
      </c>
      <c r="F62" s="780">
        <v>20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1956"/>
      <c r="T62" s="878"/>
    </row>
    <row r="63" spans="1:42" s="224" customFormat="1" ht="15" customHeight="1" x14ac:dyDescent="0.25">
      <c r="A63" s="247">
        <v>45275</v>
      </c>
      <c r="B63" s="1275" t="s">
        <v>4007</v>
      </c>
      <c r="C63" s="1276" t="s">
        <v>12</v>
      </c>
      <c r="D63" s="1276"/>
      <c r="E63" s="1277" t="s">
        <v>25</v>
      </c>
      <c r="F63" s="613"/>
      <c r="G63" s="967">
        <v>5595.82</v>
      </c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x14ac:dyDescent="0.25">
      <c r="A64" s="247">
        <v>45275</v>
      </c>
      <c r="B64" s="364" t="s">
        <v>398</v>
      </c>
      <c r="C64" s="1276"/>
      <c r="D64" s="1276"/>
      <c r="E64" s="1277"/>
      <c r="F64" s="1873">
        <v>5150</v>
      </c>
      <c r="G64" s="982"/>
      <c r="H64" s="1008"/>
      <c r="I64" s="1063">
        <v>5150</v>
      </c>
      <c r="J64" s="622"/>
      <c r="K64" s="982"/>
      <c r="L64" s="622"/>
      <c r="M64" s="982"/>
      <c r="N64" s="622"/>
      <c r="O64" s="1063"/>
      <c r="P64" s="622"/>
      <c r="Q64" s="982"/>
      <c r="R64" s="861"/>
      <c r="T64" s="878"/>
    </row>
    <row r="65" spans="1:42" s="224" customFormat="1" ht="15" customHeight="1" x14ac:dyDescent="0.25">
      <c r="A65" s="247">
        <v>45275</v>
      </c>
      <c r="B65" s="1275" t="s">
        <v>82</v>
      </c>
      <c r="C65" s="1276" t="s">
        <v>12</v>
      </c>
      <c r="D65" s="1276" t="s">
        <v>1493</v>
      </c>
      <c r="E65" s="1286" t="s">
        <v>4008</v>
      </c>
      <c r="F65" s="613">
        <v>30</v>
      </c>
      <c r="G65" s="967"/>
      <c r="H65" s="1008"/>
      <c r="I65" s="1063"/>
      <c r="J65" s="613"/>
      <c r="K65" s="6"/>
      <c r="L65" s="622"/>
      <c r="M65" s="982"/>
      <c r="N65" s="622"/>
      <c r="O65" s="1063"/>
      <c r="P65" s="613"/>
      <c r="Q65" s="64"/>
      <c r="R65" s="1209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45275</v>
      </c>
      <c r="B66" s="1275" t="s">
        <v>4009</v>
      </c>
      <c r="C66" s="1276" t="s">
        <v>12</v>
      </c>
      <c r="D66" s="1276"/>
      <c r="E66" s="1286" t="s">
        <v>25</v>
      </c>
      <c r="F66" s="613"/>
      <c r="G66" s="967">
        <v>1000</v>
      </c>
      <c r="H66" s="1008"/>
      <c r="I66" s="1063"/>
      <c r="J66" s="613"/>
      <c r="K66" s="6"/>
      <c r="L66" s="622"/>
      <c r="M66" s="982"/>
      <c r="N66" s="622"/>
      <c r="O66" s="1063"/>
      <c r="P66" s="613"/>
      <c r="Q66" s="64"/>
      <c r="R66" s="120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45276</v>
      </c>
      <c r="B67" s="882" t="s">
        <v>1331</v>
      </c>
      <c r="C67" s="879" t="s">
        <v>12</v>
      </c>
      <c r="D67" s="1990" t="s">
        <v>2157</v>
      </c>
      <c r="E67" s="871" t="s">
        <v>15</v>
      </c>
      <c r="F67" s="613">
        <v>50</v>
      </c>
      <c r="G67" s="982"/>
      <c r="H67" s="95"/>
      <c r="I67" s="1064"/>
      <c r="J67" s="622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45276</v>
      </c>
      <c r="B68" s="364" t="s">
        <v>2629</v>
      </c>
      <c r="C68" s="350" t="s">
        <v>12</v>
      </c>
      <c r="D68" s="350" t="s">
        <v>1489</v>
      </c>
      <c r="E68" s="875" t="s">
        <v>13</v>
      </c>
      <c r="F68" s="780">
        <v>114</v>
      </c>
      <c r="G68" s="982"/>
      <c r="H68" s="622"/>
      <c r="I68" s="982"/>
      <c r="J68" s="622"/>
      <c r="K68" s="982"/>
      <c r="L68" s="622"/>
      <c r="M68" s="982"/>
      <c r="N68" s="622"/>
      <c r="O68" s="1063"/>
      <c r="P68" s="622"/>
      <c r="Q68" s="982"/>
      <c r="R68" s="927"/>
      <c r="S68" s="927"/>
      <c r="T68" s="878"/>
    </row>
    <row r="69" spans="1:42" s="224" customFormat="1" ht="15" customHeight="1" x14ac:dyDescent="0.25">
      <c r="A69" s="247">
        <v>45276</v>
      </c>
      <c r="B69" s="364" t="s">
        <v>82</v>
      </c>
      <c r="C69" s="350" t="s">
        <v>4010</v>
      </c>
      <c r="D69" s="350" t="s">
        <v>1493</v>
      </c>
      <c r="E69" s="875" t="s">
        <v>13</v>
      </c>
      <c r="F69" s="780">
        <v>50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622"/>
      <c r="Q69" s="982"/>
      <c r="R69" s="927"/>
      <c r="S69" s="927"/>
      <c r="T69" s="878"/>
    </row>
    <row r="70" spans="1:42" s="224" customFormat="1" ht="15" customHeight="1" x14ac:dyDescent="0.25">
      <c r="A70" s="247">
        <v>45277</v>
      </c>
      <c r="B70" s="1275" t="s">
        <v>14</v>
      </c>
      <c r="C70" s="1996" t="s">
        <v>12</v>
      </c>
      <c r="D70" s="1994" t="s">
        <v>1486</v>
      </c>
      <c r="E70" s="1286" t="s">
        <v>13</v>
      </c>
      <c r="F70" s="780">
        <v>8.74</v>
      </c>
      <c r="G70" s="982"/>
      <c r="H70" s="622"/>
      <c r="I70" s="982"/>
      <c r="J70" s="622"/>
      <c r="K70" s="982"/>
      <c r="L70" s="622"/>
      <c r="M70" s="982"/>
      <c r="N70" s="622"/>
      <c r="O70" s="1063"/>
      <c r="P70" s="622"/>
      <c r="Q70" s="982"/>
      <c r="R70" s="927"/>
      <c r="S70" s="927"/>
      <c r="T70" s="878"/>
    </row>
    <row r="71" spans="1:42" s="224" customFormat="1" ht="15" customHeight="1" x14ac:dyDescent="0.25">
      <c r="A71" s="247">
        <v>45278</v>
      </c>
      <c r="B71" s="1275" t="s">
        <v>14</v>
      </c>
      <c r="C71" s="1996" t="s">
        <v>12</v>
      </c>
      <c r="D71" s="1994" t="s">
        <v>1486</v>
      </c>
      <c r="E71" s="1286" t="s">
        <v>13</v>
      </c>
      <c r="F71" s="780">
        <v>6.3</v>
      </c>
      <c r="G71" s="982"/>
      <c r="H71" s="622"/>
      <c r="I71" s="982"/>
      <c r="J71" s="622"/>
      <c r="K71" s="982"/>
      <c r="L71" s="622"/>
      <c r="M71" s="982"/>
      <c r="N71" s="622"/>
      <c r="O71" s="1063"/>
      <c r="P71" s="622"/>
      <c r="Q71" s="982"/>
      <c r="R71" s="927"/>
      <c r="S71" s="927"/>
      <c r="T71" s="878"/>
    </row>
    <row r="72" spans="1:42" s="224" customFormat="1" ht="15" customHeight="1" x14ac:dyDescent="0.25">
      <c r="A72" s="247">
        <v>45278</v>
      </c>
      <c r="B72" s="364" t="s">
        <v>4011</v>
      </c>
      <c r="C72" s="350" t="s">
        <v>19</v>
      </c>
      <c r="D72" s="350" t="s">
        <v>1525</v>
      </c>
      <c r="E72" s="480" t="s">
        <v>13</v>
      </c>
      <c r="F72" s="613">
        <v>40</v>
      </c>
      <c r="G72" s="967"/>
      <c r="H72" s="1008"/>
      <c r="I72" s="1063"/>
      <c r="J72" s="1116"/>
      <c r="K72" s="1207"/>
      <c r="L72" s="1968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45278</v>
      </c>
      <c r="B73" s="364" t="s">
        <v>4012</v>
      </c>
      <c r="C73" s="350" t="s">
        <v>12</v>
      </c>
      <c r="D73" s="350" t="s">
        <v>1524</v>
      </c>
      <c r="E73" s="480" t="s">
        <v>13</v>
      </c>
      <c r="F73" s="613">
        <v>18.100000000000001</v>
      </c>
      <c r="G73" s="967"/>
      <c r="H73" s="1008"/>
      <c r="I73" s="1063"/>
      <c r="J73" s="1116"/>
      <c r="K73" s="1207"/>
      <c r="L73" s="1968"/>
      <c r="M73" s="1033"/>
      <c r="N73" s="880"/>
      <c r="O73" s="1525"/>
      <c r="P73" s="613"/>
      <c r="Q73" s="162"/>
      <c r="R73" s="1209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45278</v>
      </c>
      <c r="B74" s="364" t="s">
        <v>134</v>
      </c>
      <c r="C74" s="350" t="s">
        <v>4010</v>
      </c>
      <c r="D74" s="350" t="s">
        <v>1493</v>
      </c>
      <c r="E74" s="480" t="s">
        <v>13</v>
      </c>
      <c r="F74" s="613">
        <v>8.9</v>
      </c>
      <c r="G74" s="967"/>
      <c r="H74" s="1008"/>
      <c r="I74" s="1063"/>
      <c r="J74" s="1116"/>
      <c r="K74" s="1207"/>
      <c r="L74" s="1968"/>
      <c r="M74" s="1033"/>
      <c r="N74" s="880"/>
      <c r="O74" s="1525"/>
      <c r="P74" s="613"/>
      <c r="Q74" s="162"/>
      <c r="R74" s="120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45278</v>
      </c>
      <c r="B75" s="882" t="s">
        <v>3958</v>
      </c>
      <c r="C75" s="1276" t="s">
        <v>12</v>
      </c>
      <c r="D75" s="879" t="s">
        <v>1489</v>
      </c>
      <c r="E75" s="871" t="s">
        <v>13</v>
      </c>
      <c r="F75" s="780">
        <v>22</v>
      </c>
      <c r="G75" s="982"/>
      <c r="H75" s="622"/>
      <c r="I75" s="982"/>
      <c r="J75" s="622"/>
      <c r="K75" s="982"/>
      <c r="L75" s="622"/>
      <c r="M75" s="982"/>
      <c r="N75" s="622"/>
      <c r="O75" s="1063"/>
      <c r="P75" s="622"/>
      <c r="Q75" s="982"/>
      <c r="R75" s="1280"/>
      <c r="S75" s="927"/>
      <c r="T75" s="878"/>
    </row>
    <row r="76" spans="1:42" s="224" customFormat="1" ht="15" customHeight="1" x14ac:dyDescent="0.25">
      <c r="A76" s="247">
        <v>45279</v>
      </c>
      <c r="B76" s="364" t="s">
        <v>4013</v>
      </c>
      <c r="C76" s="350" t="s">
        <v>12</v>
      </c>
      <c r="D76" s="350" t="s">
        <v>1491</v>
      </c>
      <c r="E76" s="480" t="s">
        <v>13</v>
      </c>
      <c r="F76" s="613">
        <v>20</v>
      </c>
      <c r="G76" s="967"/>
      <c r="H76" s="1008"/>
      <c r="I76" s="1063"/>
      <c r="J76" s="1116"/>
      <c r="K76" s="1207"/>
      <c r="L76" s="1968"/>
      <c r="M76" s="1033"/>
      <c r="N76" s="880"/>
      <c r="O76" s="1525"/>
      <c r="P76" s="613"/>
      <c r="Q76" s="162"/>
      <c r="R76" s="1209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ht="15" customHeight="1" x14ac:dyDescent="0.25">
      <c r="A77" s="247">
        <v>45279</v>
      </c>
      <c r="B77" s="364" t="s">
        <v>4014</v>
      </c>
      <c r="C77" s="350" t="s">
        <v>4010</v>
      </c>
      <c r="D77" s="350" t="s">
        <v>1524</v>
      </c>
      <c r="E77" s="480" t="s">
        <v>13</v>
      </c>
      <c r="F77" s="613">
        <v>7</v>
      </c>
      <c r="G77" s="967"/>
      <c r="H77" s="1008"/>
      <c r="I77" s="1063"/>
      <c r="J77" s="1116"/>
      <c r="K77" s="1207"/>
      <c r="L77" s="1968"/>
      <c r="M77" s="1033"/>
      <c r="N77" s="880"/>
      <c r="O77" s="1525"/>
      <c r="P77" s="613"/>
      <c r="Q77" s="162"/>
      <c r="R77" s="1209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t="15" customHeight="1" x14ac:dyDescent="0.25">
      <c r="A78" s="247">
        <v>45279</v>
      </c>
      <c r="B78" s="364" t="s">
        <v>1331</v>
      </c>
      <c r="C78" s="350" t="s">
        <v>19</v>
      </c>
      <c r="D78" s="350" t="s">
        <v>2157</v>
      </c>
      <c r="E78" s="480" t="s">
        <v>13</v>
      </c>
      <c r="F78" s="613">
        <v>90</v>
      </c>
      <c r="G78" s="967"/>
      <c r="H78" s="1008"/>
      <c r="I78" s="1063"/>
      <c r="J78" s="1116"/>
      <c r="K78" s="1207"/>
      <c r="L78" s="1968"/>
      <c r="M78" s="1033"/>
      <c r="N78" s="880"/>
      <c r="O78" s="1525"/>
      <c r="P78" s="613"/>
      <c r="Q78" s="162"/>
      <c r="R78" s="1209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45279</v>
      </c>
      <c r="B79" s="364" t="s">
        <v>4015</v>
      </c>
      <c r="C79" s="350" t="s">
        <v>12</v>
      </c>
      <c r="D79" s="350" t="s">
        <v>1506</v>
      </c>
      <c r="E79" s="480" t="s">
        <v>13</v>
      </c>
      <c r="F79" s="613">
        <v>25</v>
      </c>
      <c r="G79" s="967"/>
      <c r="H79" s="1008"/>
      <c r="I79" s="1063"/>
      <c r="J79" s="1116"/>
      <c r="K79" s="1207"/>
      <c r="L79" s="1968"/>
      <c r="M79" s="1033"/>
      <c r="N79" s="880"/>
      <c r="O79" s="1525"/>
      <c r="P79" s="613"/>
      <c r="Q79" s="162"/>
      <c r="R79" s="120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customHeight="1" x14ac:dyDescent="0.25">
      <c r="A80" s="247">
        <v>45279</v>
      </c>
      <c r="B80" s="364" t="s">
        <v>4016</v>
      </c>
      <c r="C80" s="350" t="s">
        <v>19</v>
      </c>
      <c r="D80" s="350" t="s">
        <v>1506</v>
      </c>
      <c r="E80" s="480" t="s">
        <v>13</v>
      </c>
      <c r="F80" s="613">
        <v>70</v>
      </c>
      <c r="G80" s="967"/>
      <c r="H80" s="1008"/>
      <c r="I80" s="1063"/>
      <c r="J80" s="1116"/>
      <c r="K80" s="1207"/>
      <c r="L80" s="1968"/>
      <c r="M80" s="1033"/>
      <c r="N80" s="880"/>
      <c r="O80" s="1525"/>
      <c r="P80" s="613"/>
      <c r="Q80" s="162"/>
      <c r="R80" s="1209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45279</v>
      </c>
      <c r="B81" s="364" t="s">
        <v>4017</v>
      </c>
      <c r="C81" s="350" t="s">
        <v>12</v>
      </c>
      <c r="D81" s="350" t="s">
        <v>1493</v>
      </c>
      <c r="E81" s="480" t="s">
        <v>13</v>
      </c>
      <c r="F81" s="613">
        <v>21.96</v>
      </c>
      <c r="G81" s="967"/>
      <c r="H81" s="1008"/>
      <c r="I81" s="1063"/>
      <c r="J81" s="1116"/>
      <c r="K81" s="1207"/>
      <c r="L81" s="1968"/>
      <c r="M81" s="1033"/>
      <c r="N81" s="880"/>
      <c r="O81" s="1525"/>
      <c r="P81" s="613"/>
      <c r="Q81" s="162"/>
      <c r="R81" s="1209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45280</v>
      </c>
      <c r="B82" s="1275" t="s">
        <v>4018</v>
      </c>
      <c r="C82" s="1276" t="s">
        <v>12</v>
      </c>
      <c r="D82" s="1276"/>
      <c r="E82" s="1277" t="s">
        <v>25</v>
      </c>
      <c r="F82" s="1279"/>
      <c r="G82" s="982">
        <v>1746.1</v>
      </c>
      <c r="H82" s="1008"/>
      <c r="I82" s="1063"/>
      <c r="J82" s="622"/>
      <c r="K82" s="982"/>
      <c r="L82" s="622"/>
      <c r="M82" s="982"/>
      <c r="N82" s="622"/>
      <c r="O82" s="1063"/>
      <c r="P82" s="622"/>
      <c r="Q82" s="982"/>
      <c r="R82" s="861"/>
    </row>
    <row r="83" spans="1:42" s="224" customFormat="1" ht="14.25" customHeight="1" x14ac:dyDescent="0.25">
      <c r="A83" s="247">
        <v>45280</v>
      </c>
      <c r="B83" s="364" t="s">
        <v>2977</v>
      </c>
      <c r="C83" s="350" t="s">
        <v>12</v>
      </c>
      <c r="D83" s="350" t="s">
        <v>1491</v>
      </c>
      <c r="E83" s="875" t="s">
        <v>13</v>
      </c>
      <c r="F83" s="1047">
        <v>300</v>
      </c>
      <c r="G83" s="982"/>
      <c r="H83" s="1008"/>
      <c r="I83" s="1063"/>
      <c r="J83" s="622"/>
      <c r="K83" s="982"/>
      <c r="L83" s="622"/>
      <c r="M83" s="982"/>
      <c r="N83" s="622"/>
      <c r="O83" s="1063"/>
      <c r="P83" s="622"/>
      <c r="Q83" s="982"/>
      <c r="R83" s="1029"/>
      <c r="S83" s="89"/>
      <c r="T83" s="930"/>
    </row>
    <row r="84" spans="1:42" s="224" customFormat="1" ht="15" customHeight="1" x14ac:dyDescent="0.25">
      <c r="A84" s="247">
        <v>45280</v>
      </c>
      <c r="B84" s="349" t="s">
        <v>4019</v>
      </c>
      <c r="C84" s="887" t="s">
        <v>12</v>
      </c>
      <c r="D84" s="350" t="s">
        <v>1489</v>
      </c>
      <c r="E84" s="887" t="s">
        <v>13</v>
      </c>
      <c r="F84" s="613">
        <v>78.2</v>
      </c>
      <c r="G84" s="982"/>
      <c r="H84" s="872"/>
      <c r="I84" s="1063"/>
      <c r="J84" s="622"/>
      <c r="K84" s="982"/>
      <c r="L84" s="622"/>
      <c r="M84" s="982"/>
      <c r="N84" s="622"/>
      <c r="O84" s="1063"/>
      <c r="P84" s="622"/>
      <c r="Q84" s="982"/>
      <c r="R84" s="927"/>
      <c r="S84" s="999"/>
      <c r="T84" s="878"/>
    </row>
    <row r="85" spans="1:42" s="224" customFormat="1" ht="15" customHeight="1" x14ac:dyDescent="0.25">
      <c r="A85" s="247">
        <v>45280</v>
      </c>
      <c r="B85" s="349" t="s">
        <v>4019</v>
      </c>
      <c r="C85" s="887" t="s">
        <v>12</v>
      </c>
      <c r="D85" s="350" t="s">
        <v>1525</v>
      </c>
      <c r="E85" s="887" t="s">
        <v>13</v>
      </c>
      <c r="F85" s="613">
        <v>66.209999999999994</v>
      </c>
      <c r="G85" s="982"/>
      <c r="H85" s="872"/>
      <c r="I85" s="1063"/>
      <c r="J85" s="622"/>
      <c r="K85" s="982"/>
      <c r="L85" s="622"/>
      <c r="M85" s="982"/>
      <c r="N85" s="622"/>
      <c r="O85" s="1063"/>
      <c r="P85" s="622"/>
      <c r="Q85" s="982"/>
      <c r="R85" s="927"/>
      <c r="S85" s="999"/>
      <c r="T85" s="878"/>
    </row>
    <row r="86" spans="1:42" s="224" customFormat="1" ht="15" customHeight="1" x14ac:dyDescent="0.25">
      <c r="A86" s="247">
        <v>45280</v>
      </c>
      <c r="B86" s="349" t="s">
        <v>4019</v>
      </c>
      <c r="C86" s="887" t="s">
        <v>12</v>
      </c>
      <c r="D86" s="1005" t="s">
        <v>1525</v>
      </c>
      <c r="E86" s="887" t="s">
        <v>13</v>
      </c>
      <c r="F86" s="1116">
        <v>370</v>
      </c>
      <c r="G86" s="982"/>
      <c r="H86" s="872"/>
      <c r="I86" s="1063"/>
      <c r="J86" s="622"/>
      <c r="K86" s="982"/>
      <c r="L86" s="622"/>
      <c r="M86" s="982"/>
      <c r="N86" s="622"/>
      <c r="O86" s="1063"/>
      <c r="P86" s="622"/>
      <c r="Q86" s="982"/>
      <c r="R86" s="927"/>
      <c r="S86" s="999"/>
      <c r="T86" s="878"/>
    </row>
    <row r="87" spans="1:42" s="224" customFormat="1" ht="15" customHeight="1" x14ac:dyDescent="0.25">
      <c r="A87" s="247">
        <v>45280</v>
      </c>
      <c r="B87" s="882" t="s">
        <v>4020</v>
      </c>
      <c r="C87" s="879" t="s">
        <v>12</v>
      </c>
      <c r="D87" s="879" t="s">
        <v>1522</v>
      </c>
      <c r="E87" s="871" t="s">
        <v>13</v>
      </c>
      <c r="F87" s="780">
        <v>1000</v>
      </c>
      <c r="G87" s="967"/>
      <c r="H87" s="1008"/>
      <c r="I87" s="1063"/>
      <c r="J87" s="872"/>
      <c r="K87" s="1207"/>
      <c r="L87" s="880"/>
      <c r="M87" s="1033"/>
      <c r="N87" s="880"/>
      <c r="O87" s="1525"/>
      <c r="P87" s="613"/>
      <c r="Q87" s="162"/>
      <c r="R87" s="1966" t="s">
        <v>3911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45280</v>
      </c>
      <c r="B88" s="364" t="s">
        <v>3325</v>
      </c>
      <c r="C88" s="350" t="s">
        <v>12</v>
      </c>
      <c r="D88" s="350" t="s">
        <v>1504</v>
      </c>
      <c r="E88" s="875" t="s">
        <v>13</v>
      </c>
      <c r="F88" s="780">
        <v>38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827"/>
      <c r="Q88" s="1115"/>
      <c r="R88" s="878"/>
    </row>
    <row r="89" spans="1:42" s="224" customFormat="1" x14ac:dyDescent="0.25">
      <c r="A89" s="247">
        <v>45280</v>
      </c>
      <c r="B89" s="1275" t="s">
        <v>14</v>
      </c>
      <c r="C89" s="1996" t="s">
        <v>12</v>
      </c>
      <c r="D89" s="1994" t="s">
        <v>1486</v>
      </c>
      <c r="E89" s="1286" t="s">
        <v>13</v>
      </c>
      <c r="F89" s="780">
        <v>6.58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880"/>
      <c r="Q89" s="1033"/>
      <c r="R89" s="927"/>
      <c r="T89" s="878"/>
    </row>
    <row r="90" spans="1:42" s="224" customFormat="1" x14ac:dyDescent="0.25">
      <c r="A90" s="247">
        <v>45280</v>
      </c>
      <c r="B90" s="882" t="s">
        <v>4021</v>
      </c>
      <c r="C90" s="879" t="s">
        <v>12</v>
      </c>
      <c r="D90" s="879" t="s">
        <v>1524</v>
      </c>
      <c r="E90" s="875" t="s">
        <v>13</v>
      </c>
      <c r="F90" s="780">
        <v>91.7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880"/>
      <c r="Q90" s="1033"/>
      <c r="R90" s="927"/>
      <c r="T90" s="878"/>
    </row>
    <row r="91" spans="1:42" s="224" customFormat="1" x14ac:dyDescent="0.25">
      <c r="A91" s="247">
        <v>45280</v>
      </c>
      <c r="B91" s="882" t="s">
        <v>4022</v>
      </c>
      <c r="C91" s="879" t="s">
        <v>12</v>
      </c>
      <c r="D91" s="879" t="s">
        <v>1524</v>
      </c>
      <c r="E91" s="875" t="s">
        <v>15</v>
      </c>
      <c r="F91" s="780">
        <v>50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880"/>
      <c r="Q91" s="1033"/>
      <c r="R91" s="927"/>
      <c r="T91" s="878"/>
    </row>
    <row r="92" spans="1:42" s="224" customFormat="1" x14ac:dyDescent="0.25">
      <c r="A92" s="247">
        <v>45280</v>
      </c>
      <c r="B92" s="882" t="s">
        <v>4023</v>
      </c>
      <c r="C92" s="879" t="s">
        <v>12</v>
      </c>
      <c r="D92" s="879" t="s">
        <v>1524</v>
      </c>
      <c r="E92" s="875" t="s">
        <v>13</v>
      </c>
      <c r="F92" s="780">
        <v>32.9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880"/>
      <c r="Q92" s="1033"/>
      <c r="R92" s="927"/>
      <c r="T92" s="878"/>
    </row>
    <row r="93" spans="1:42" s="224" customFormat="1" x14ac:dyDescent="0.25">
      <c r="A93" s="247">
        <v>45280</v>
      </c>
      <c r="B93" s="882" t="s">
        <v>4024</v>
      </c>
      <c r="C93" s="879" t="s">
        <v>12</v>
      </c>
      <c r="D93" s="879" t="s">
        <v>1491</v>
      </c>
      <c r="E93" s="875" t="s">
        <v>13</v>
      </c>
      <c r="F93" s="780">
        <v>26.98</v>
      </c>
      <c r="G93" s="982"/>
      <c r="H93" s="622"/>
      <c r="I93" s="982"/>
      <c r="J93" s="622"/>
      <c r="K93" s="982"/>
      <c r="L93" s="622"/>
      <c r="M93" s="982"/>
      <c r="N93" s="622"/>
      <c r="O93" s="1063"/>
      <c r="P93" s="880"/>
      <c r="Q93" s="1033"/>
      <c r="R93" s="927"/>
      <c r="T93" s="878"/>
    </row>
    <row r="94" spans="1:42" s="224" customFormat="1" x14ac:dyDescent="0.25">
      <c r="A94" s="247">
        <v>45280</v>
      </c>
      <c r="B94" s="1275" t="s">
        <v>14</v>
      </c>
      <c r="C94" s="1996" t="s">
        <v>12</v>
      </c>
      <c r="D94" s="1994" t="s">
        <v>1486</v>
      </c>
      <c r="E94" s="1286" t="s">
        <v>13</v>
      </c>
      <c r="F94" s="780">
        <v>5.72</v>
      </c>
      <c r="G94" s="982"/>
      <c r="H94" s="622"/>
      <c r="I94" s="982"/>
      <c r="J94" s="622"/>
      <c r="K94" s="982"/>
      <c r="L94" s="622"/>
      <c r="M94" s="982"/>
      <c r="N94" s="622"/>
      <c r="O94" s="1063"/>
      <c r="P94" s="880"/>
      <c r="Q94" s="1033"/>
      <c r="R94" s="927"/>
      <c r="T94" s="878"/>
    </row>
    <row r="95" spans="1:42" s="224" customFormat="1" ht="15" customHeight="1" x14ac:dyDescent="0.25">
      <c r="A95" s="247">
        <v>45280</v>
      </c>
      <c r="B95" s="862" t="s">
        <v>3529</v>
      </c>
      <c r="C95" s="879" t="s">
        <v>12</v>
      </c>
      <c r="D95" s="879" t="s">
        <v>1504</v>
      </c>
      <c r="E95" s="871" t="s">
        <v>13</v>
      </c>
      <c r="F95" s="780">
        <v>39.9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1028"/>
      <c r="U95" s="958"/>
    </row>
    <row r="96" spans="1:42" s="224" customFormat="1" x14ac:dyDescent="0.25">
      <c r="A96" s="247">
        <v>45281</v>
      </c>
      <c r="B96" s="1275" t="s">
        <v>14</v>
      </c>
      <c r="C96" s="1996" t="s">
        <v>12</v>
      </c>
      <c r="D96" s="1994" t="s">
        <v>1486</v>
      </c>
      <c r="E96" s="1286" t="s">
        <v>13</v>
      </c>
      <c r="F96" s="780">
        <v>10.82</v>
      </c>
      <c r="G96" s="982"/>
      <c r="H96" s="622"/>
      <c r="I96" s="982"/>
      <c r="J96" s="622"/>
      <c r="K96" s="982"/>
      <c r="L96" s="622"/>
      <c r="M96" s="982"/>
      <c r="N96" s="622"/>
      <c r="O96" s="1063"/>
      <c r="P96" s="880"/>
      <c r="Q96" s="1033"/>
      <c r="R96" s="927"/>
      <c r="T96" s="878"/>
    </row>
    <row r="97" spans="1:26" s="224" customFormat="1" ht="15" customHeight="1" x14ac:dyDescent="0.25">
      <c r="A97" s="247">
        <v>45281</v>
      </c>
      <c r="B97" s="882" t="s">
        <v>4025</v>
      </c>
      <c r="C97" s="879" t="s">
        <v>19</v>
      </c>
      <c r="D97" s="879" t="s">
        <v>1491</v>
      </c>
      <c r="E97" s="871" t="s">
        <v>13</v>
      </c>
      <c r="F97" s="780">
        <v>45</v>
      </c>
      <c r="G97" s="946"/>
      <c r="H97" s="95"/>
      <c r="I97" s="1064"/>
      <c r="J97" s="622"/>
      <c r="K97" s="982"/>
      <c r="L97" s="622"/>
      <c r="M97" s="982"/>
      <c r="N97" s="622"/>
      <c r="O97" s="1063"/>
      <c r="P97" s="622"/>
      <c r="Q97" s="982"/>
      <c r="R97" s="861"/>
    </row>
    <row r="98" spans="1:26" s="224" customFormat="1" ht="15" customHeight="1" x14ac:dyDescent="0.25">
      <c r="A98" s="247">
        <v>45281</v>
      </c>
      <c r="B98" s="882" t="s">
        <v>4026</v>
      </c>
      <c r="C98" s="879" t="s">
        <v>19</v>
      </c>
      <c r="D98" s="879" t="s">
        <v>1489</v>
      </c>
      <c r="E98" s="871" t="s">
        <v>13</v>
      </c>
      <c r="F98" s="780">
        <v>45</v>
      </c>
      <c r="G98" s="946"/>
      <c r="H98" s="95"/>
      <c r="I98" s="1064"/>
      <c r="J98" s="622"/>
      <c r="K98" s="982"/>
      <c r="L98" s="622"/>
      <c r="M98" s="982"/>
      <c r="N98" s="622"/>
      <c r="O98" s="1063"/>
      <c r="P98" s="622"/>
      <c r="Q98" s="982"/>
      <c r="R98" s="861"/>
    </row>
    <row r="99" spans="1:26" s="224" customFormat="1" ht="15" customHeight="1" x14ac:dyDescent="0.25">
      <c r="A99" s="247">
        <v>45281</v>
      </c>
      <c r="B99" s="882" t="s">
        <v>4027</v>
      </c>
      <c r="C99" s="879" t="s">
        <v>12</v>
      </c>
      <c r="D99" s="879" t="s">
        <v>1493</v>
      </c>
      <c r="E99" s="875" t="s">
        <v>13</v>
      </c>
      <c r="F99" s="780">
        <v>11.8</v>
      </c>
      <c r="G99" s="982"/>
      <c r="H99" s="622"/>
      <c r="I99" s="982"/>
      <c r="J99" s="622"/>
      <c r="K99" s="982"/>
      <c r="L99" s="622"/>
      <c r="M99" s="982"/>
      <c r="N99" s="622"/>
      <c r="O99" s="1063"/>
      <c r="P99" s="880"/>
      <c r="Q99" s="1033"/>
      <c r="R99" s="927"/>
      <c r="T99" s="878"/>
    </row>
    <row r="100" spans="1:26" s="224" customFormat="1" ht="15" customHeight="1" x14ac:dyDescent="0.25">
      <c r="A100" s="247">
        <v>45281</v>
      </c>
      <c r="B100" s="882" t="s">
        <v>23</v>
      </c>
      <c r="C100" s="879" t="s">
        <v>12</v>
      </c>
      <c r="D100" s="879" t="s">
        <v>1489</v>
      </c>
      <c r="E100" s="871" t="s">
        <v>13</v>
      </c>
      <c r="F100" s="780">
        <v>15</v>
      </c>
      <c r="G100" s="946"/>
      <c r="H100" s="95"/>
      <c r="I100" s="1064"/>
      <c r="J100" s="622"/>
      <c r="K100" s="982"/>
      <c r="L100" s="622"/>
      <c r="M100" s="982"/>
      <c r="N100" s="622"/>
      <c r="O100" s="1063"/>
      <c r="P100" s="1110"/>
      <c r="Q100" s="1208"/>
      <c r="R100" s="1028"/>
      <c r="U100" s="958"/>
    </row>
    <row r="101" spans="1:26" s="224" customFormat="1" ht="15" customHeight="1" x14ac:dyDescent="0.25">
      <c r="A101" s="247">
        <v>45281</v>
      </c>
      <c r="B101" s="1275" t="s">
        <v>14</v>
      </c>
      <c r="C101" s="1996" t="s">
        <v>12</v>
      </c>
      <c r="D101" s="1994" t="s">
        <v>1486</v>
      </c>
      <c r="E101" s="1286" t="s">
        <v>13</v>
      </c>
      <c r="F101" s="780">
        <v>11.3</v>
      </c>
      <c r="G101" s="946"/>
      <c r="H101" s="95"/>
      <c r="I101" s="1064"/>
      <c r="J101" s="622"/>
      <c r="K101" s="982"/>
      <c r="L101" s="622"/>
      <c r="M101" s="982"/>
      <c r="N101" s="622"/>
      <c r="O101" s="1063"/>
      <c r="P101" s="622"/>
      <c r="Q101" s="982"/>
      <c r="R101" s="1028"/>
      <c r="U101" s="958"/>
    </row>
    <row r="102" spans="1:26" s="224" customFormat="1" ht="15" customHeight="1" x14ac:dyDescent="0.25">
      <c r="A102" s="247">
        <v>45282</v>
      </c>
      <c r="B102" s="1275" t="s">
        <v>14</v>
      </c>
      <c r="C102" s="1996" t="s">
        <v>12</v>
      </c>
      <c r="D102" s="1994" t="s">
        <v>1486</v>
      </c>
      <c r="E102" s="1286" t="s">
        <v>13</v>
      </c>
      <c r="F102" s="780">
        <v>5.76</v>
      </c>
      <c r="G102" s="982"/>
      <c r="H102" s="622"/>
      <c r="I102" s="982"/>
      <c r="J102" s="622"/>
      <c r="K102" s="982"/>
      <c r="L102" s="622"/>
      <c r="M102" s="982"/>
      <c r="N102" s="622"/>
      <c r="O102" s="1063"/>
      <c r="P102" s="880"/>
      <c r="Q102" s="1033"/>
      <c r="R102" s="927"/>
      <c r="T102" s="878"/>
    </row>
    <row r="103" spans="1:26" s="224" customFormat="1" ht="15" customHeight="1" x14ac:dyDescent="0.25">
      <c r="A103" s="247">
        <v>45283</v>
      </c>
      <c r="B103" s="1275" t="s">
        <v>14</v>
      </c>
      <c r="C103" s="1996" t="s">
        <v>12</v>
      </c>
      <c r="D103" s="1994" t="s">
        <v>1486</v>
      </c>
      <c r="E103" s="1286" t="s">
        <v>13</v>
      </c>
      <c r="F103" s="780">
        <v>3.24</v>
      </c>
      <c r="G103" s="982"/>
      <c r="H103" s="622"/>
      <c r="I103" s="982"/>
      <c r="J103" s="622"/>
      <c r="K103" s="982"/>
      <c r="L103" s="622"/>
      <c r="M103" s="982"/>
      <c r="N103" s="622"/>
      <c r="O103" s="1063"/>
      <c r="P103" s="880"/>
      <c r="Q103" s="1033"/>
      <c r="R103" s="927"/>
      <c r="T103" s="878"/>
    </row>
    <row r="104" spans="1:26" s="224" customFormat="1" ht="15" customHeight="1" x14ac:dyDescent="0.25">
      <c r="A104" s="247">
        <v>45283</v>
      </c>
      <c r="B104" s="1275" t="s">
        <v>4028</v>
      </c>
      <c r="C104" s="1996" t="s">
        <v>12</v>
      </c>
      <c r="D104" s="1994" t="s">
        <v>1491</v>
      </c>
      <c r="E104" s="1286" t="s">
        <v>13</v>
      </c>
      <c r="F104" s="780">
        <v>30</v>
      </c>
      <c r="G104" s="982"/>
      <c r="H104" s="622"/>
      <c r="I104" s="982"/>
      <c r="J104" s="622"/>
      <c r="K104" s="982"/>
      <c r="L104" s="622"/>
      <c r="M104" s="982"/>
      <c r="N104" s="622"/>
      <c r="O104" s="1063"/>
      <c r="P104" s="880"/>
      <c r="Q104" s="1033"/>
      <c r="R104" s="927"/>
      <c r="T104" s="878"/>
    </row>
    <row r="105" spans="1:26" s="224" customFormat="1" ht="15" customHeight="1" x14ac:dyDescent="0.25">
      <c r="A105" s="247">
        <v>45283</v>
      </c>
      <c r="B105" s="1275" t="s">
        <v>147</v>
      </c>
      <c r="C105" s="1996" t="s">
        <v>12</v>
      </c>
      <c r="D105" s="1994" t="s">
        <v>1506</v>
      </c>
      <c r="E105" s="1286" t="s">
        <v>13</v>
      </c>
      <c r="F105" s="780">
        <v>20</v>
      </c>
      <c r="G105" s="982"/>
      <c r="H105" s="622"/>
      <c r="I105" s="982"/>
      <c r="J105" s="622"/>
      <c r="K105" s="982"/>
      <c r="L105" s="622"/>
      <c r="M105" s="982"/>
      <c r="N105" s="622"/>
      <c r="O105" s="1063"/>
      <c r="P105" s="880"/>
      <c r="Q105" s="1033"/>
      <c r="R105" s="927"/>
      <c r="T105" s="878"/>
    </row>
    <row r="106" spans="1:26" s="224" customFormat="1" ht="15" customHeight="1" x14ac:dyDescent="0.25">
      <c r="A106" s="247">
        <v>45283</v>
      </c>
      <c r="B106" s="1275" t="s">
        <v>4029</v>
      </c>
      <c r="C106" s="1996" t="s">
        <v>12</v>
      </c>
      <c r="D106" s="1994" t="s">
        <v>1493</v>
      </c>
      <c r="E106" s="1286" t="s">
        <v>13</v>
      </c>
      <c r="F106" s="780">
        <v>50</v>
      </c>
      <c r="G106" s="982"/>
      <c r="H106" s="622"/>
      <c r="I106" s="982"/>
      <c r="J106" s="622"/>
      <c r="K106" s="982"/>
      <c r="L106" s="622"/>
      <c r="M106" s="982"/>
      <c r="N106" s="622"/>
      <c r="O106" s="1063"/>
      <c r="P106" s="880"/>
      <c r="Q106" s="1033"/>
      <c r="R106" s="927"/>
      <c r="T106" s="878"/>
    </row>
    <row r="107" spans="1:26" s="224" customFormat="1" ht="15" customHeight="1" x14ac:dyDescent="0.25">
      <c r="A107" s="247">
        <v>45284</v>
      </c>
      <c r="B107" s="1275" t="s">
        <v>14</v>
      </c>
      <c r="C107" s="1996" t="s">
        <v>12</v>
      </c>
      <c r="D107" s="1994" t="s">
        <v>1486</v>
      </c>
      <c r="E107" s="1286" t="s">
        <v>13</v>
      </c>
      <c r="F107" s="780">
        <v>6.26</v>
      </c>
      <c r="G107" s="946"/>
      <c r="H107" s="95"/>
      <c r="I107" s="1064"/>
      <c r="J107" s="622"/>
      <c r="K107" s="982"/>
      <c r="L107" s="622"/>
      <c r="M107" s="982"/>
      <c r="N107" s="622"/>
      <c r="O107" s="1063"/>
      <c r="P107" s="872"/>
      <c r="Q107" s="64"/>
      <c r="R107" s="1028"/>
      <c r="U107" s="958"/>
    </row>
    <row r="108" spans="1:26" s="224" customFormat="1" ht="15" customHeight="1" x14ac:dyDescent="0.25">
      <c r="A108" s="247">
        <v>45284</v>
      </c>
      <c r="B108" s="1275" t="s">
        <v>4030</v>
      </c>
      <c r="C108" s="1996" t="s">
        <v>12</v>
      </c>
      <c r="D108" s="1994" t="s">
        <v>1523</v>
      </c>
      <c r="E108" s="1286" t="s">
        <v>13</v>
      </c>
      <c r="F108" s="780">
        <v>42</v>
      </c>
      <c r="G108" s="946"/>
      <c r="H108" s="95"/>
      <c r="I108" s="1064"/>
      <c r="J108" s="622"/>
      <c r="K108" s="982"/>
      <c r="L108" s="622"/>
      <c r="M108" s="982"/>
      <c r="N108" s="622"/>
      <c r="O108" s="1063"/>
      <c r="P108" s="872"/>
      <c r="Q108" s="64"/>
      <c r="R108" s="1028"/>
      <c r="U108" s="958"/>
    </row>
    <row r="109" spans="1:26" s="224" customFormat="1" ht="15" customHeight="1" x14ac:dyDescent="0.25">
      <c r="A109" s="247">
        <v>45284</v>
      </c>
      <c r="B109" s="1275" t="s">
        <v>4031</v>
      </c>
      <c r="C109" s="1996" t="s">
        <v>12</v>
      </c>
      <c r="D109" s="1994" t="s">
        <v>1523</v>
      </c>
      <c r="E109" s="1286" t="s">
        <v>13</v>
      </c>
      <c r="F109" s="780">
        <v>70</v>
      </c>
      <c r="G109" s="946"/>
      <c r="H109" s="95"/>
      <c r="I109" s="1064"/>
      <c r="J109" s="622"/>
      <c r="K109" s="982"/>
      <c r="L109" s="622"/>
      <c r="M109" s="982"/>
      <c r="N109" s="622"/>
      <c r="O109" s="1063"/>
      <c r="P109" s="872"/>
      <c r="Q109" s="64"/>
      <c r="R109" s="1028"/>
      <c r="U109" s="958"/>
    </row>
    <row r="110" spans="1:26" s="224" customFormat="1" ht="15" customHeight="1" x14ac:dyDescent="0.25">
      <c r="A110" s="247">
        <v>45284</v>
      </c>
      <c r="B110" s="1275" t="s">
        <v>4032</v>
      </c>
      <c r="C110" s="1996" t="s">
        <v>12</v>
      </c>
      <c r="D110" s="1994" t="s">
        <v>1523</v>
      </c>
      <c r="E110" s="1286" t="s">
        <v>13</v>
      </c>
      <c r="F110" s="780">
        <v>9</v>
      </c>
      <c r="G110" s="946"/>
      <c r="H110" s="95"/>
      <c r="I110" s="1064"/>
      <c r="J110" s="622"/>
      <c r="K110" s="982"/>
      <c r="L110" s="622"/>
      <c r="M110" s="982"/>
      <c r="N110" s="622"/>
      <c r="O110" s="1063"/>
      <c r="P110" s="872"/>
      <c r="Q110" s="64"/>
      <c r="R110" s="1028"/>
      <c r="U110" s="958"/>
    </row>
    <row r="111" spans="1:26" s="224" customFormat="1" ht="15" customHeight="1" x14ac:dyDescent="0.25">
      <c r="A111" s="247">
        <v>45284</v>
      </c>
      <c r="B111" s="1275" t="s">
        <v>2887</v>
      </c>
      <c r="C111" s="1996" t="s">
        <v>12</v>
      </c>
      <c r="D111" s="1994" t="s">
        <v>1489</v>
      </c>
      <c r="E111" s="1286" t="s">
        <v>13</v>
      </c>
      <c r="F111" s="780">
        <v>4.5</v>
      </c>
      <c r="G111" s="946"/>
      <c r="H111" s="95"/>
      <c r="I111" s="1064"/>
      <c r="J111" s="622"/>
      <c r="K111" s="982"/>
      <c r="L111" s="622"/>
      <c r="M111" s="982"/>
      <c r="N111" s="622"/>
      <c r="O111" s="1063"/>
      <c r="P111" s="872"/>
      <c r="Q111" s="64"/>
      <c r="R111" s="1028"/>
      <c r="U111" s="958"/>
    </row>
    <row r="112" spans="1:26" s="224" customFormat="1" ht="15" customHeight="1" x14ac:dyDescent="0.25">
      <c r="A112" s="247">
        <v>45285</v>
      </c>
      <c r="B112" s="862" t="s">
        <v>2867</v>
      </c>
      <c r="C112" s="350" t="s">
        <v>12</v>
      </c>
      <c r="D112" s="874" t="s">
        <v>1504</v>
      </c>
      <c r="E112" s="887" t="s">
        <v>13</v>
      </c>
      <c r="F112" s="780">
        <v>30</v>
      </c>
      <c r="G112" s="982"/>
      <c r="H112" s="1009"/>
      <c r="I112" s="1063"/>
      <c r="J112" s="853"/>
      <c r="K112" s="982"/>
      <c r="L112" s="853"/>
      <c r="M112" s="982"/>
      <c r="N112" s="853"/>
      <c r="O112" s="1063"/>
      <c r="P112" s="622"/>
      <c r="Q112" s="982"/>
      <c r="R112" s="1690"/>
      <c r="S112" s="1690"/>
      <c r="T112" s="1690"/>
      <c r="U112" s="1690"/>
      <c r="V112" s="1690"/>
      <c r="W112" s="1690"/>
      <c r="X112" s="1690"/>
      <c r="Y112" s="1690"/>
      <c r="Z112" s="1690"/>
    </row>
    <row r="113" spans="1:21" s="224" customFormat="1" ht="15" customHeight="1" x14ac:dyDescent="0.25">
      <c r="A113" s="247">
        <v>45286</v>
      </c>
      <c r="B113" s="882"/>
      <c r="C113" s="879"/>
      <c r="D113" s="879"/>
      <c r="E113" s="871"/>
      <c r="F113" s="780"/>
      <c r="G113" s="982"/>
      <c r="H113" s="622"/>
      <c r="I113" s="982"/>
      <c r="J113" s="622"/>
      <c r="K113" s="982"/>
      <c r="L113" s="622"/>
      <c r="M113" s="982"/>
      <c r="N113" s="622"/>
      <c r="O113" s="1063"/>
      <c r="P113" s="622"/>
      <c r="Q113" s="982"/>
      <c r="R113" s="1028"/>
      <c r="S113" s="959"/>
      <c r="T113" s="878"/>
      <c r="U113" s="958"/>
    </row>
    <row r="114" spans="1:21" s="224" customFormat="1" ht="15" customHeight="1" x14ac:dyDescent="0.25">
      <c r="A114" s="247">
        <v>45287</v>
      </c>
      <c r="B114" s="882" t="s">
        <v>32</v>
      </c>
      <c r="C114" s="1996" t="s">
        <v>12</v>
      </c>
      <c r="D114" s="1990" t="s">
        <v>1485</v>
      </c>
      <c r="E114" s="871" t="s">
        <v>13</v>
      </c>
      <c r="F114" s="780">
        <v>20</v>
      </c>
      <c r="G114" s="982"/>
      <c r="H114" s="622"/>
      <c r="I114" s="982"/>
      <c r="J114" s="622"/>
      <c r="K114" s="982"/>
      <c r="L114" s="622"/>
      <c r="M114" s="982"/>
      <c r="N114" s="622"/>
      <c r="O114" s="1063"/>
      <c r="P114" s="622"/>
      <c r="Q114" s="982"/>
      <c r="R114" s="1028"/>
      <c r="S114" s="959"/>
      <c r="T114" s="878"/>
      <c r="U114" s="958"/>
    </row>
    <row r="115" spans="1:21" s="224" customFormat="1" ht="15" customHeight="1" x14ac:dyDescent="0.25">
      <c r="A115" s="247">
        <v>45287</v>
      </c>
      <c r="B115" s="882" t="s">
        <v>4033</v>
      </c>
      <c r="C115" s="1996" t="s">
        <v>12</v>
      </c>
      <c r="D115" s="1990" t="s">
        <v>1522</v>
      </c>
      <c r="E115" s="871" t="s">
        <v>13</v>
      </c>
      <c r="F115" s="780">
        <v>27</v>
      </c>
      <c r="G115" s="982"/>
      <c r="H115" s="622"/>
      <c r="I115" s="982"/>
      <c r="J115" s="622"/>
      <c r="K115" s="982"/>
      <c r="L115" s="622"/>
      <c r="M115" s="982"/>
      <c r="N115" s="622"/>
      <c r="O115" s="1063"/>
      <c r="P115" s="622"/>
      <c r="Q115" s="982"/>
      <c r="R115" s="1028"/>
      <c r="S115" s="959"/>
      <c r="T115" s="878"/>
      <c r="U115" s="958"/>
    </row>
    <row r="116" spans="1:21" s="224" customFormat="1" ht="15" customHeight="1" x14ac:dyDescent="0.25">
      <c r="A116" s="247">
        <v>45287</v>
      </c>
      <c r="B116" s="364" t="s">
        <v>1331</v>
      </c>
      <c r="C116" s="350" t="s">
        <v>12</v>
      </c>
      <c r="D116" s="350" t="s">
        <v>2157</v>
      </c>
      <c r="E116" s="480" t="s">
        <v>15</v>
      </c>
      <c r="F116" s="780">
        <v>60</v>
      </c>
      <c r="G116" s="982"/>
      <c r="H116" s="1008"/>
      <c r="I116" s="1063"/>
      <c r="J116" s="622"/>
      <c r="K116" s="982"/>
      <c r="L116" s="622"/>
      <c r="M116" s="982"/>
      <c r="N116" s="622"/>
      <c r="O116" s="1063"/>
      <c r="P116" s="622"/>
      <c r="Q116" s="982"/>
      <c r="R116" s="861"/>
      <c r="T116" s="1035"/>
    </row>
    <row r="117" spans="1:21" s="224" customFormat="1" ht="15" customHeight="1" x14ac:dyDescent="0.25">
      <c r="A117" s="247">
        <v>45288</v>
      </c>
      <c r="B117" s="882" t="s">
        <v>256</v>
      </c>
      <c r="C117" s="879" t="s">
        <v>12</v>
      </c>
      <c r="D117" s="879"/>
      <c r="E117" s="875"/>
      <c r="F117" s="780"/>
      <c r="G117" s="982">
        <v>1500</v>
      </c>
      <c r="H117" s="622">
        <v>1500</v>
      </c>
      <c r="I117" s="982"/>
      <c r="J117" s="622"/>
      <c r="K117" s="982"/>
      <c r="L117" s="622"/>
      <c r="M117" s="982"/>
      <c r="N117" s="622"/>
      <c r="O117" s="1063"/>
      <c r="P117" s="880"/>
      <c r="Q117" s="1033"/>
      <c r="R117" s="927"/>
      <c r="T117" s="878"/>
    </row>
    <row r="118" spans="1:21" s="224" customFormat="1" ht="15" customHeight="1" x14ac:dyDescent="0.25">
      <c r="A118" s="247">
        <v>45288</v>
      </c>
      <c r="B118" s="349" t="s">
        <v>4034</v>
      </c>
      <c r="C118" s="350" t="s">
        <v>19</v>
      </c>
      <c r="D118" s="350" t="s">
        <v>1523</v>
      </c>
      <c r="E118" s="480" t="s">
        <v>13</v>
      </c>
      <c r="F118" s="780">
        <v>157.91</v>
      </c>
      <c r="G118" s="946"/>
      <c r="H118" s="95"/>
      <c r="I118" s="1064"/>
      <c r="J118" s="622"/>
      <c r="K118" s="982"/>
      <c r="L118" s="622"/>
      <c r="M118" s="982"/>
      <c r="N118" s="622"/>
      <c r="O118" s="1063"/>
      <c r="P118" s="622"/>
      <c r="Q118" s="982"/>
      <c r="R118" s="861"/>
      <c r="T118" s="927"/>
      <c r="U118" s="999"/>
    </row>
    <row r="119" spans="1:21" s="224" customFormat="1" ht="15" customHeight="1" x14ac:dyDescent="0.25">
      <c r="A119" s="247">
        <v>45288</v>
      </c>
      <c r="B119" s="349" t="s">
        <v>4035</v>
      </c>
      <c r="C119" s="350" t="s">
        <v>12</v>
      </c>
      <c r="D119" s="350" t="s">
        <v>1491</v>
      </c>
      <c r="E119" s="480" t="s">
        <v>13</v>
      </c>
      <c r="F119" s="780">
        <v>400</v>
      </c>
      <c r="G119" s="946"/>
      <c r="H119" s="95"/>
      <c r="I119" s="1064"/>
      <c r="J119" s="622"/>
      <c r="K119" s="982"/>
      <c r="L119" s="622"/>
      <c r="M119" s="982"/>
      <c r="N119" s="622"/>
      <c r="O119" s="1063"/>
      <c r="P119" s="622"/>
      <c r="Q119" s="982"/>
      <c r="R119" s="861"/>
      <c r="T119" s="927"/>
      <c r="U119" s="999"/>
    </row>
    <row r="120" spans="1:21" s="224" customFormat="1" ht="15" customHeight="1" x14ac:dyDescent="0.25">
      <c r="A120" s="247">
        <v>45288</v>
      </c>
      <c r="B120" s="882" t="s">
        <v>32</v>
      </c>
      <c r="C120" s="1996" t="s">
        <v>12</v>
      </c>
      <c r="D120" s="1990" t="s">
        <v>1485</v>
      </c>
      <c r="E120" s="871" t="s">
        <v>13</v>
      </c>
      <c r="F120" s="780">
        <v>20</v>
      </c>
      <c r="G120" s="982"/>
      <c r="H120" s="622"/>
      <c r="I120" s="982"/>
      <c r="J120" s="622"/>
      <c r="K120" s="982"/>
      <c r="L120" s="622"/>
      <c r="M120" s="982"/>
      <c r="N120" s="622"/>
      <c r="O120" s="1063"/>
      <c r="P120" s="622"/>
      <c r="Q120" s="982"/>
      <c r="R120" s="1028"/>
      <c r="S120" s="959"/>
      <c r="T120" s="878"/>
      <c r="U120" s="958"/>
    </row>
    <row r="121" spans="1:21" s="224" customFormat="1" ht="15" customHeight="1" x14ac:dyDescent="0.25">
      <c r="A121" s="247">
        <v>45288</v>
      </c>
      <c r="B121" s="349" t="s">
        <v>4036</v>
      </c>
      <c r="C121" s="350" t="s">
        <v>12</v>
      </c>
      <c r="D121" s="350" t="s">
        <v>1489</v>
      </c>
      <c r="E121" s="480" t="s">
        <v>13</v>
      </c>
      <c r="F121" s="780">
        <v>8.6999999999999993</v>
      </c>
      <c r="G121" s="946"/>
      <c r="H121" s="95"/>
      <c r="I121" s="1064"/>
      <c r="J121" s="622"/>
      <c r="K121" s="982"/>
      <c r="L121" s="622"/>
      <c r="M121" s="982"/>
      <c r="N121" s="622"/>
      <c r="O121" s="1063"/>
      <c r="P121" s="622"/>
      <c r="Q121" s="982"/>
      <c r="R121" s="861"/>
      <c r="T121" s="927"/>
      <c r="U121" s="999"/>
    </row>
    <row r="122" spans="1:21" s="224" customFormat="1" ht="15" customHeight="1" x14ac:dyDescent="0.25">
      <c r="A122" s="247">
        <v>45288</v>
      </c>
      <c r="B122" s="349" t="s">
        <v>1906</v>
      </c>
      <c r="C122" s="350" t="s">
        <v>12</v>
      </c>
      <c r="D122" s="350" t="s">
        <v>1493</v>
      </c>
      <c r="E122" s="480" t="s">
        <v>13</v>
      </c>
      <c r="F122" s="780">
        <v>8</v>
      </c>
      <c r="G122" s="946"/>
      <c r="H122" s="95"/>
      <c r="I122" s="1064"/>
      <c r="J122" s="622"/>
      <c r="K122" s="982"/>
      <c r="L122" s="622"/>
      <c r="M122" s="982"/>
      <c r="N122" s="622"/>
      <c r="O122" s="1063"/>
      <c r="P122" s="622"/>
      <c r="Q122" s="982"/>
      <c r="R122" s="861"/>
      <c r="T122" s="927"/>
      <c r="U122" s="999"/>
    </row>
    <row r="123" spans="1:21" s="224" customFormat="1" ht="15" customHeight="1" x14ac:dyDescent="0.25">
      <c r="A123" s="247">
        <v>45289</v>
      </c>
      <c r="B123" s="349" t="s">
        <v>4037</v>
      </c>
      <c r="C123" s="350" t="s">
        <v>12</v>
      </c>
      <c r="D123" s="350" t="s">
        <v>1522</v>
      </c>
      <c r="E123" s="480" t="s">
        <v>13</v>
      </c>
      <c r="F123" s="780">
        <v>67</v>
      </c>
      <c r="G123" s="946"/>
      <c r="H123" s="95"/>
      <c r="I123" s="1064"/>
      <c r="J123" s="622"/>
      <c r="K123" s="982"/>
      <c r="L123" s="622"/>
      <c r="M123" s="982"/>
      <c r="N123" s="622"/>
      <c r="O123" s="1063"/>
      <c r="P123" s="622"/>
      <c r="Q123" s="982"/>
      <c r="R123" s="861"/>
      <c r="T123" s="927"/>
      <c r="U123" s="999"/>
    </row>
    <row r="124" spans="1:21" s="224" customFormat="1" ht="15" customHeight="1" x14ac:dyDescent="0.25">
      <c r="A124" s="247">
        <v>45289</v>
      </c>
      <c r="B124" s="349" t="s">
        <v>4038</v>
      </c>
      <c r="C124" s="350" t="s">
        <v>12</v>
      </c>
      <c r="D124" s="350" t="s">
        <v>1522</v>
      </c>
      <c r="E124" s="480" t="s">
        <v>13</v>
      </c>
      <c r="F124" s="780">
        <v>27</v>
      </c>
      <c r="G124" s="946"/>
      <c r="H124" s="95"/>
      <c r="I124" s="1064"/>
      <c r="J124" s="622"/>
      <c r="K124" s="982"/>
      <c r="L124" s="622"/>
      <c r="M124" s="982"/>
      <c r="N124" s="622"/>
      <c r="O124" s="1063"/>
      <c r="P124" s="622"/>
      <c r="Q124" s="982"/>
      <c r="R124" s="861"/>
      <c r="T124" s="927"/>
      <c r="U124" s="999"/>
    </row>
    <row r="125" spans="1:21" s="224" customFormat="1" ht="15" customHeight="1" x14ac:dyDescent="0.25">
      <c r="A125" s="247">
        <v>45289</v>
      </c>
      <c r="B125" s="349" t="s">
        <v>1795</v>
      </c>
      <c r="C125" s="350" t="s">
        <v>12</v>
      </c>
      <c r="D125" s="350" t="s">
        <v>1493</v>
      </c>
      <c r="E125" s="480" t="s">
        <v>13</v>
      </c>
      <c r="F125" s="780">
        <v>39.299999999999997</v>
      </c>
      <c r="G125" s="946"/>
      <c r="H125" s="95"/>
      <c r="I125" s="1064"/>
      <c r="J125" s="622"/>
      <c r="K125" s="982"/>
      <c r="L125" s="622"/>
      <c r="M125" s="982"/>
      <c r="N125" s="622"/>
      <c r="O125" s="1063"/>
      <c r="P125" s="622"/>
      <c r="Q125" s="982"/>
      <c r="R125" s="861"/>
      <c r="T125" s="927"/>
      <c r="U125" s="999"/>
    </row>
    <row r="126" spans="1:21" s="224" customFormat="1" ht="15" customHeight="1" x14ac:dyDescent="0.25">
      <c r="A126" s="247">
        <v>45289</v>
      </c>
      <c r="B126" s="349" t="s">
        <v>4039</v>
      </c>
      <c r="C126" s="350" t="s">
        <v>12</v>
      </c>
      <c r="D126" s="350" t="s">
        <v>1506</v>
      </c>
      <c r="E126" s="480" t="s">
        <v>13</v>
      </c>
      <c r="F126" s="780">
        <v>100</v>
      </c>
      <c r="G126" s="946"/>
      <c r="H126" s="95"/>
      <c r="I126" s="1064"/>
      <c r="J126" s="622"/>
      <c r="K126" s="982"/>
      <c r="L126" s="622"/>
      <c r="M126" s="982"/>
      <c r="N126" s="622"/>
      <c r="O126" s="1063"/>
      <c r="P126" s="622"/>
      <c r="Q126" s="982"/>
      <c r="R126" s="861"/>
      <c r="T126" s="927"/>
      <c r="U126" s="999"/>
    </row>
    <row r="127" spans="1:21" s="224" customFormat="1" ht="15" customHeight="1" x14ac:dyDescent="0.25">
      <c r="A127" s="247">
        <v>45289</v>
      </c>
      <c r="B127" s="349" t="s">
        <v>4040</v>
      </c>
      <c r="C127" s="350" t="s">
        <v>12</v>
      </c>
      <c r="D127" s="350" t="s">
        <v>1506</v>
      </c>
      <c r="E127" s="480" t="s">
        <v>13</v>
      </c>
      <c r="F127" s="780">
        <v>70</v>
      </c>
      <c r="G127" s="946"/>
      <c r="H127" s="95"/>
      <c r="I127" s="1064"/>
      <c r="J127" s="622"/>
      <c r="K127" s="982"/>
      <c r="L127" s="622"/>
      <c r="M127" s="982"/>
      <c r="N127" s="622"/>
      <c r="O127" s="1063"/>
      <c r="P127" s="622"/>
      <c r="Q127" s="982"/>
      <c r="R127" s="861"/>
      <c r="T127" s="927"/>
      <c r="U127" s="999"/>
    </row>
    <row r="128" spans="1:21" s="224" customFormat="1" ht="15" customHeight="1" x14ac:dyDescent="0.25">
      <c r="A128" s="247">
        <v>45290</v>
      </c>
      <c r="B128" s="349" t="s">
        <v>4041</v>
      </c>
      <c r="C128" s="350" t="s">
        <v>12</v>
      </c>
      <c r="D128" s="350" t="s">
        <v>1489</v>
      </c>
      <c r="E128" s="480" t="s">
        <v>13</v>
      </c>
      <c r="F128" s="780">
        <v>50</v>
      </c>
      <c r="G128" s="946"/>
      <c r="H128" s="95"/>
      <c r="I128" s="1064"/>
      <c r="J128" s="622"/>
      <c r="K128" s="982"/>
      <c r="L128" s="622"/>
      <c r="M128" s="982"/>
      <c r="N128" s="622"/>
      <c r="O128" s="1063"/>
      <c r="P128" s="622"/>
      <c r="Q128" s="982"/>
      <c r="R128" s="861"/>
      <c r="T128" s="927"/>
      <c r="U128" s="999"/>
    </row>
    <row r="129" spans="1:26" s="224" customFormat="1" ht="15" customHeight="1" x14ac:dyDescent="0.25">
      <c r="A129" s="247">
        <v>45290</v>
      </c>
      <c r="B129" s="1275" t="s">
        <v>14</v>
      </c>
      <c r="C129" s="1996" t="s">
        <v>12</v>
      </c>
      <c r="D129" s="1994" t="s">
        <v>1486</v>
      </c>
      <c r="E129" s="1286" t="s">
        <v>13</v>
      </c>
      <c r="F129" s="780">
        <v>6.08</v>
      </c>
      <c r="G129" s="946"/>
      <c r="H129" s="95"/>
      <c r="I129" s="1064"/>
      <c r="J129" s="622"/>
      <c r="K129" s="982"/>
      <c r="L129" s="622"/>
      <c r="M129" s="982"/>
      <c r="N129" s="622"/>
      <c r="O129" s="1063"/>
      <c r="P129" s="622"/>
      <c r="Q129" s="982"/>
      <c r="R129" s="861"/>
      <c r="T129" s="927"/>
      <c r="U129" s="999"/>
    </row>
    <row r="130" spans="1:26" s="224" customFormat="1" ht="15" customHeight="1" x14ac:dyDescent="0.25">
      <c r="A130" s="247">
        <v>45290</v>
      </c>
      <c r="B130" s="349" t="s">
        <v>2629</v>
      </c>
      <c r="C130" s="350" t="s">
        <v>12</v>
      </c>
      <c r="D130" s="350" t="s">
        <v>1489</v>
      </c>
      <c r="E130" s="480" t="s">
        <v>13</v>
      </c>
      <c r="F130" s="780">
        <v>67.760000000000005</v>
      </c>
      <c r="G130" s="946"/>
      <c r="H130" s="95"/>
      <c r="I130" s="1064"/>
      <c r="J130" s="622"/>
      <c r="K130" s="982"/>
      <c r="L130" s="622"/>
      <c r="M130" s="982"/>
      <c r="N130" s="622"/>
      <c r="O130" s="1063"/>
      <c r="P130" s="622"/>
      <c r="Q130" s="982"/>
      <c r="R130" s="861"/>
      <c r="T130" s="927"/>
      <c r="U130" s="999"/>
    </row>
    <row r="131" spans="1:26" s="224" customFormat="1" ht="15" customHeight="1" x14ac:dyDescent="0.25">
      <c r="A131" s="247">
        <v>45290</v>
      </c>
      <c r="B131" s="349" t="s">
        <v>82</v>
      </c>
      <c r="C131" s="350" t="s">
        <v>12</v>
      </c>
      <c r="D131" s="350" t="s">
        <v>1493</v>
      </c>
      <c r="E131" s="480" t="s">
        <v>13</v>
      </c>
      <c r="F131" s="780">
        <v>42</v>
      </c>
      <c r="G131" s="946"/>
      <c r="H131" s="95"/>
      <c r="I131" s="1064"/>
      <c r="J131" s="622"/>
      <c r="K131" s="982"/>
      <c r="L131" s="622"/>
      <c r="M131" s="982"/>
      <c r="N131" s="622"/>
      <c r="O131" s="1063"/>
      <c r="P131" s="622"/>
      <c r="Q131" s="982"/>
      <c r="R131" s="861"/>
      <c r="T131" s="927"/>
      <c r="U131" s="999"/>
    </row>
    <row r="132" spans="1:26" s="224" customFormat="1" ht="15" customHeight="1" x14ac:dyDescent="0.25">
      <c r="A132" s="247">
        <v>45291</v>
      </c>
      <c r="B132" s="882"/>
      <c r="C132" s="879"/>
      <c r="D132" s="879"/>
      <c r="E132" s="871"/>
      <c r="F132" s="780"/>
      <c r="G132" s="982"/>
      <c r="H132" s="622"/>
      <c r="I132" s="982"/>
      <c r="J132" s="622"/>
      <c r="K132" s="982"/>
      <c r="L132" s="622"/>
      <c r="M132" s="982"/>
      <c r="N132" s="622"/>
      <c r="O132" s="1063"/>
      <c r="P132" s="622"/>
      <c r="Q132" s="982"/>
      <c r="R132" s="1028"/>
      <c r="S132" s="959"/>
      <c r="T132" s="878"/>
      <c r="U132" s="958"/>
    </row>
    <row r="133" spans="1:26" s="224" customFormat="1" ht="15.75" thickBot="1" x14ac:dyDescent="0.3">
      <c r="A133" s="247">
        <v>45291</v>
      </c>
      <c r="B133" s="862" t="s">
        <v>1666</v>
      </c>
      <c r="C133" s="350" t="s">
        <v>12</v>
      </c>
      <c r="D133" s="1003"/>
      <c r="E133" s="145" t="s">
        <v>25</v>
      </c>
      <c r="F133" s="1036"/>
      <c r="G133" s="1535"/>
      <c r="H133" s="1008"/>
      <c r="I133" s="1063"/>
      <c r="J133" s="1036"/>
      <c r="K133" s="1535"/>
      <c r="L133" s="622"/>
      <c r="M133" s="982">
        <v>38.71</v>
      </c>
      <c r="N133" s="622"/>
      <c r="O133" s="1063">
        <v>0</v>
      </c>
      <c r="P133" s="1036"/>
      <c r="Q133" s="1535"/>
      <c r="R133" s="1815">
        <f>M133/M5</f>
        <v>7.2154994370754741E-3</v>
      </c>
      <c r="T133" s="878"/>
    </row>
    <row r="134" spans="1:26" ht="25.5" customHeight="1" thickBot="1" x14ac:dyDescent="0.3">
      <c r="A134" s="3060"/>
      <c r="B134" s="3061"/>
      <c r="C134" s="3062"/>
      <c r="D134" s="3062"/>
      <c r="E134" s="3062"/>
      <c r="F134" s="1023">
        <f>SUM(F6:F133)</f>
        <v>12981.934999999996</v>
      </c>
      <c r="G134" s="1065">
        <f>SUM(G5:G133)</f>
        <v>13844.208250000029</v>
      </c>
      <c r="H134" s="517">
        <f>SUM(H6:H133)</f>
        <v>1500</v>
      </c>
      <c r="I134" s="93">
        <f>SUM(I5:I133)</f>
        <v>7499.9959999999992</v>
      </c>
      <c r="J134" s="1023">
        <f>SUM(J6:J133)</f>
        <v>0</v>
      </c>
      <c r="K134" s="93">
        <f>SUM(K5:K133)</f>
        <v>25758.870000000003</v>
      </c>
      <c r="L134" s="1023">
        <f>SUM(L6:L133)</f>
        <v>0</v>
      </c>
      <c r="M134" s="93">
        <f>SUM(M5:M133)</f>
        <v>5403.550000000002</v>
      </c>
      <c r="N134" s="1023">
        <f>SUM(N6:N133)</f>
        <v>0</v>
      </c>
      <c r="O134" s="93">
        <f>SUM(O5:O133)</f>
        <v>0</v>
      </c>
      <c r="P134" s="1211">
        <f>SUM(P6:P133)</f>
        <v>0</v>
      </c>
      <c r="Q134" s="93">
        <f>SUM(Q5:Q133)</f>
        <v>50036.965984720002</v>
      </c>
      <c r="S134" s="216"/>
    </row>
    <row r="135" spans="1:26" ht="25.5" customHeight="1" thickBot="1" x14ac:dyDescent="0.3">
      <c r="A135" s="3117" t="s">
        <v>49</v>
      </c>
      <c r="B135" s="3118"/>
      <c r="C135" s="3118"/>
      <c r="D135" s="3118"/>
      <c r="E135" s="3118"/>
      <c r="F135" s="144" t="s">
        <v>280</v>
      </c>
      <c r="G135" s="519">
        <f>G134-F134</f>
        <v>862.27325000003293</v>
      </c>
      <c r="H135" s="555"/>
      <c r="I135" s="772">
        <f>I134-H134</f>
        <v>5999.9959999999992</v>
      </c>
      <c r="J135" s="593"/>
      <c r="K135" s="993">
        <f>K134-J134</f>
        <v>25758.870000000003</v>
      </c>
      <c r="L135" s="593"/>
      <c r="M135" s="772">
        <f>M134-L134</f>
        <v>5403.550000000002</v>
      </c>
      <c r="N135" s="593"/>
      <c r="O135" s="772">
        <f>O134-N134</f>
        <v>0</v>
      </c>
      <c r="P135" s="593"/>
      <c r="Q135" s="556">
        <f>Q134-P134</f>
        <v>50036.965984720002</v>
      </c>
      <c r="R135" s="484">
        <f>K135+M135+O135+Q135</f>
        <v>81199.385984720007</v>
      </c>
    </row>
    <row r="136" spans="1:26" x14ac:dyDescent="0.25">
      <c r="J136" s="1238"/>
      <c r="K136" s="1238">
        <f>K135/R135</f>
        <v>0.31722986187170521</v>
      </c>
      <c r="M136" s="1238">
        <f>M135/R135</f>
        <v>6.6546685476375836E-2</v>
      </c>
      <c r="O136" s="1238">
        <f>O135/R135</f>
        <v>0</v>
      </c>
      <c r="P136" s="1239"/>
      <c r="Q136" s="1239">
        <f>Q135/R135</f>
        <v>0.61622345265191891</v>
      </c>
      <c r="R136" s="867"/>
      <c r="S136" s="867"/>
      <c r="T136" s="79"/>
      <c r="W136" s="518"/>
      <c r="X136" s="216"/>
      <c r="Z136" s="877"/>
    </row>
    <row r="137" spans="1:26" x14ac:dyDescent="0.25">
      <c r="B137" s="81" t="s">
        <v>3</v>
      </c>
      <c r="C137" s="193" t="s">
        <v>1484</v>
      </c>
      <c r="D137" s="970" t="s">
        <v>2378</v>
      </c>
      <c r="E137" s="193" t="s">
        <v>3216</v>
      </c>
      <c r="F137" s="1061" t="s">
        <v>3217</v>
      </c>
      <c r="G137" s="216"/>
      <c r="J137" s="867"/>
      <c r="K137" s="866"/>
      <c r="M137" s="866"/>
      <c r="O137" s="866"/>
      <c r="P137" s="1038"/>
      <c r="Q137" s="1038"/>
      <c r="R137" s="865"/>
      <c r="S137" s="867"/>
    </row>
    <row r="138" spans="1:26" x14ac:dyDescent="0.25">
      <c r="B138" s="79" t="s">
        <v>32</v>
      </c>
      <c r="C138" s="85" t="s">
        <v>1485</v>
      </c>
      <c r="D138" s="475">
        <f>SUMIF($D$7:$D$133,"A",$F$7:$F$133)</f>
        <v>274</v>
      </c>
      <c r="E138" s="1202">
        <f t="shared" ref="E138:E155" si="0">D138/$J$157</f>
        <v>8.8387096774193541</v>
      </c>
      <c r="F138" s="1203">
        <f t="shared" ref="F138:F154" si="1">E138/$E$158</f>
        <v>6.1508070128179229E-2</v>
      </c>
      <c r="G138" s="800"/>
      <c r="I138" s="769"/>
      <c r="J138" s="1210"/>
      <c r="K138" s="754"/>
      <c r="O138" s="886"/>
      <c r="P138" s="886"/>
      <c r="Q138" s="1210"/>
      <c r="R138" s="1038"/>
      <c r="S138" s="1210"/>
      <c r="U138" s="1201"/>
      <c r="V138" s="877"/>
    </row>
    <row r="139" spans="1:26" x14ac:dyDescent="0.25">
      <c r="B139" s="79" t="s">
        <v>2187</v>
      </c>
      <c r="C139" s="85" t="s">
        <v>2157</v>
      </c>
      <c r="D139" s="475">
        <f>SUMIF($D$8:$D$133,"GAC",$F$8:$F$133)</f>
        <v>420</v>
      </c>
      <c r="E139" s="1202">
        <f t="shared" si="0"/>
        <v>13.548387096774194</v>
      </c>
      <c r="F139" s="1203">
        <f>E139/$E$158</f>
        <v>9.4282443262172541E-2</v>
      </c>
      <c r="G139" s="609"/>
      <c r="L139" s="864"/>
      <c r="M139" s="877"/>
      <c r="N139" s="1983" t="s">
        <v>368</v>
      </c>
      <c r="O139" s="1981">
        <v>5595.82</v>
      </c>
      <c r="P139" s="1985">
        <v>45275</v>
      </c>
      <c r="Q139" s="1038"/>
      <c r="R139" s="1038"/>
      <c r="U139" s="877"/>
      <c r="V139" s="877"/>
    </row>
    <row r="140" spans="1:26" x14ac:dyDescent="0.25">
      <c r="B140" s="79" t="s">
        <v>2188</v>
      </c>
      <c r="C140" s="85" t="s">
        <v>2168</v>
      </c>
      <c r="D140" s="475">
        <f>SUMIF($D$29:$D$133,"GAM",$F$29:$F$133)</f>
        <v>0</v>
      </c>
      <c r="E140" s="1202">
        <f t="shared" si="0"/>
        <v>0</v>
      </c>
      <c r="F140" s="1203">
        <f>E140/$E$158</f>
        <v>0</v>
      </c>
      <c r="M140" s="1984"/>
      <c r="N140" s="85" t="s">
        <v>4042</v>
      </c>
      <c r="O140" s="177">
        <v>2625</v>
      </c>
      <c r="P140" s="1985">
        <v>45280</v>
      </c>
      <c r="Q140" s="1038"/>
      <c r="R140" s="1038"/>
      <c r="U140" s="877"/>
      <c r="V140" s="877"/>
    </row>
    <row r="141" spans="1:26" s="85" customFormat="1" x14ac:dyDescent="0.25">
      <c r="A141" s="79"/>
      <c r="B141" s="79" t="s">
        <v>50</v>
      </c>
      <c r="C141" s="85" t="s">
        <v>1493</v>
      </c>
      <c r="D141" s="475">
        <f>SUMIF($D$8:$D$133,"LD",$F$8:$F$133)</f>
        <v>376.86000000000007</v>
      </c>
      <c r="E141" s="1202">
        <f t="shared" si="0"/>
        <v>12.15677419354839</v>
      </c>
      <c r="F141" s="1203">
        <f t="shared" si="1"/>
        <v>8.459828944710085E-2</v>
      </c>
      <c r="L141" s="3204" t="s">
        <v>4043</v>
      </c>
      <c r="M141" s="3204"/>
      <c r="N141" s="3204"/>
      <c r="O141" s="475">
        <v>1000</v>
      </c>
      <c r="P141" s="1986">
        <v>45280</v>
      </c>
      <c r="Q141" s="79"/>
      <c r="R141" s="177"/>
      <c r="U141" s="877"/>
      <c r="V141" s="877"/>
    </row>
    <row r="142" spans="1:26" s="85" customFormat="1" x14ac:dyDescent="0.25">
      <c r="A142" s="79"/>
      <c r="B142" s="79" t="s">
        <v>14</v>
      </c>
      <c r="C142" s="85" t="s">
        <v>1486</v>
      </c>
      <c r="D142" s="475">
        <f>SUMIF($D$8:$D$133,"C",$F$8:$F$133)</f>
        <v>108.05</v>
      </c>
      <c r="E142" s="1202">
        <f t="shared" si="0"/>
        <v>3.4854838709677418</v>
      </c>
      <c r="F142" s="1203">
        <f t="shared" si="1"/>
        <v>2.425528093923272E-2</v>
      </c>
      <c r="G142" s="79"/>
      <c r="L142" s="3204" t="s">
        <v>2867</v>
      </c>
      <c r="M142" s="3204"/>
      <c r="N142" s="3204"/>
      <c r="O142" s="475">
        <v>30</v>
      </c>
      <c r="P142" s="1986">
        <v>45280</v>
      </c>
      <c r="R142" s="177"/>
      <c r="U142" s="877"/>
      <c r="V142" s="877"/>
    </row>
    <row r="143" spans="1:26" s="85" customFormat="1" x14ac:dyDescent="0.25">
      <c r="B143" s="79" t="s">
        <v>51</v>
      </c>
      <c r="C143" s="864" t="s">
        <v>1499</v>
      </c>
      <c r="D143" s="475">
        <f>SUMIF($D$29:$D$133,"CAL",$F$29:$F$133)</f>
        <v>76.44</v>
      </c>
      <c r="E143" s="1202">
        <f t="shared" si="0"/>
        <v>2.4658064516129032</v>
      </c>
      <c r="F143" s="1203">
        <f t="shared" si="1"/>
        <v>1.7159404673715403E-2</v>
      </c>
      <c r="G143" s="79"/>
      <c r="I143" s="79"/>
      <c r="L143" s="3204" t="s">
        <v>2977</v>
      </c>
      <c r="M143" s="3204"/>
      <c r="N143" s="3204"/>
      <c r="O143" s="1028">
        <v>300</v>
      </c>
      <c r="P143" s="1986">
        <v>45280</v>
      </c>
      <c r="Q143" s="1038"/>
      <c r="R143" s="177"/>
      <c r="U143" s="877"/>
      <c r="V143" s="877"/>
    </row>
    <row r="144" spans="1:26" s="85" customFormat="1" x14ac:dyDescent="0.25">
      <c r="A144" s="79"/>
      <c r="B144" s="79" t="s">
        <v>2189</v>
      </c>
      <c r="C144" s="864" t="s">
        <v>1496</v>
      </c>
      <c r="D144" s="475">
        <f>SUMIF($D$26:$D$133,"AC",$F$26:$F$133)</f>
        <v>90</v>
      </c>
      <c r="E144" s="1202">
        <f t="shared" si="0"/>
        <v>2.903225806451613</v>
      </c>
      <c r="F144" s="1203">
        <f t="shared" si="1"/>
        <v>2.0203380699036974E-2</v>
      </c>
      <c r="G144" s="79"/>
      <c r="L144" s="3204" t="s">
        <v>4019</v>
      </c>
      <c r="M144" s="3204"/>
      <c r="N144" s="3204"/>
      <c r="O144" s="475">
        <v>503</v>
      </c>
      <c r="P144" s="1986">
        <v>45280</v>
      </c>
      <c r="R144" s="177"/>
      <c r="U144" s="877"/>
      <c r="V144" s="877"/>
    </row>
    <row r="145" spans="1:24" s="85" customFormat="1" x14ac:dyDescent="0.25">
      <c r="A145" s="79"/>
      <c r="B145" s="867" t="s">
        <v>53</v>
      </c>
      <c r="C145" s="864" t="s">
        <v>1522</v>
      </c>
      <c r="D145" s="475">
        <f>SUMIF($D$7:$D$133,"DC",$F$7:$F$133)</f>
        <v>2188.73</v>
      </c>
      <c r="E145" s="1202">
        <f t="shared" si="0"/>
        <v>70.604193548387101</v>
      </c>
      <c r="F145" s="1203">
        <f t="shared" si="1"/>
        <v>0.49133050486003554</v>
      </c>
      <c r="L145" s="3204" t="s">
        <v>4002</v>
      </c>
      <c r="M145" s="3204"/>
      <c r="N145" s="3204"/>
      <c r="O145" s="475">
        <v>30</v>
      </c>
      <c r="P145" s="1986">
        <v>45280</v>
      </c>
      <c r="Q145" s="769"/>
      <c r="R145" s="79"/>
      <c r="U145" s="877"/>
      <c r="V145" s="877"/>
    </row>
    <row r="146" spans="1:24" s="85" customFormat="1" x14ac:dyDescent="0.25">
      <c r="A146" s="79"/>
      <c r="B146" s="867" t="s">
        <v>2149</v>
      </c>
      <c r="C146" s="864" t="s">
        <v>2131</v>
      </c>
      <c r="D146" s="475">
        <f>SUMIF($D$6:$D$133,"DM",$F$6:$F$133)</f>
        <v>0</v>
      </c>
      <c r="E146" s="1202">
        <f t="shared" si="0"/>
        <v>0</v>
      </c>
      <c r="F146" s="1203">
        <f t="shared" si="1"/>
        <v>0</v>
      </c>
      <c r="L146" s="3204" t="s">
        <v>3325</v>
      </c>
      <c r="M146" s="3204"/>
      <c r="N146" s="3204"/>
      <c r="O146" s="475">
        <v>38</v>
      </c>
      <c r="P146" s="1986">
        <v>45280</v>
      </c>
      <c r="U146" s="877"/>
      <c r="V146" s="877"/>
    </row>
    <row r="147" spans="1:24" s="85" customFormat="1" x14ac:dyDescent="0.25">
      <c r="A147" s="79"/>
      <c r="B147" s="79" t="s">
        <v>3048</v>
      </c>
      <c r="C147" s="864" t="s">
        <v>1523</v>
      </c>
      <c r="D147" s="475">
        <f ca="1">SUMIF($D$7:$D$134,"B",$F$7:$F$133)</f>
        <v>503.40999999999997</v>
      </c>
      <c r="E147" s="1202">
        <f t="shared" ca="1" si="0"/>
        <v>16.239032258064515</v>
      </c>
      <c r="F147" s="1203">
        <f t="shared" ca="1" si="1"/>
        <v>0.11300648753002447</v>
      </c>
      <c r="G147" s="866"/>
      <c r="L147" s="3204" t="s">
        <v>3529</v>
      </c>
      <c r="M147" s="3204"/>
      <c r="N147" s="3204"/>
      <c r="O147" s="1223">
        <v>40</v>
      </c>
      <c r="P147" s="1986">
        <v>45280</v>
      </c>
      <c r="Q147" s="1210"/>
      <c r="R147" s="877"/>
      <c r="U147" s="877"/>
      <c r="V147" s="877"/>
    </row>
    <row r="148" spans="1:24" s="85" customFormat="1" x14ac:dyDescent="0.25">
      <c r="A148" s="79"/>
      <c r="B148" s="79" t="s">
        <v>1686</v>
      </c>
      <c r="C148" s="864" t="s">
        <v>1506</v>
      </c>
      <c r="D148" s="475">
        <f>SUMIF($D$8:$D$133,"R",$F$8:$F$133)</f>
        <v>408.86500000000001</v>
      </c>
      <c r="E148" s="1202">
        <f t="shared" si="0"/>
        <v>13.189193548387097</v>
      </c>
      <c r="F148" s="1203">
        <f t="shared" si="1"/>
        <v>9.1782836105686133E-2</v>
      </c>
      <c r="G148" s="868"/>
      <c r="L148" s="3168"/>
      <c r="M148" s="3168"/>
      <c r="N148" s="3168"/>
      <c r="P148" s="1986"/>
      <c r="Q148" s="1129"/>
      <c r="R148" s="877"/>
      <c r="U148" s="877"/>
      <c r="V148" s="877"/>
    </row>
    <row r="149" spans="1:24" x14ac:dyDescent="0.25">
      <c r="B149" s="79" t="s">
        <v>418</v>
      </c>
      <c r="C149" s="85" t="s">
        <v>1524</v>
      </c>
      <c r="D149" s="475">
        <f>SUMIF($D$26:$D$133,"COM",$F$26:$F$133)</f>
        <v>199.70000000000002</v>
      </c>
      <c r="E149" s="1202">
        <f t="shared" si="0"/>
        <v>6.4419354838709681</v>
      </c>
      <c r="F149" s="1203">
        <f>E149/$E$158</f>
        <v>4.4829056951085376E-2</v>
      </c>
      <c r="G149" s="85"/>
      <c r="H149" s="85"/>
      <c r="I149" s="85"/>
      <c r="L149" s="3204" t="s">
        <v>3422</v>
      </c>
      <c r="M149" s="3204"/>
      <c r="N149" s="3204"/>
      <c r="O149" s="1223">
        <v>50</v>
      </c>
      <c r="P149" s="1987">
        <v>45297</v>
      </c>
      <c r="Q149" s="1226"/>
      <c r="R149" s="877"/>
      <c r="U149" s="877"/>
      <c r="V149" s="877"/>
    </row>
    <row r="150" spans="1:24" x14ac:dyDescent="0.25">
      <c r="B150" s="79" t="s">
        <v>419</v>
      </c>
      <c r="C150" s="85" t="s">
        <v>1491</v>
      </c>
      <c r="D150" s="475">
        <f>SUMIF($D$26:$D$133,"F",$F$26:$F$133)</f>
        <v>1191.98</v>
      </c>
      <c r="E150" s="1202">
        <f t="shared" si="0"/>
        <v>38.450967741935486</v>
      </c>
      <c r="F150" s="1203">
        <f>E150/$E$158</f>
        <v>0.26757806361820102</v>
      </c>
      <c r="I150" s="85"/>
      <c r="L150" s="3204" t="s">
        <v>4044</v>
      </c>
      <c r="M150" s="3204"/>
      <c r="N150" s="3204"/>
      <c r="O150" s="484">
        <v>70</v>
      </c>
      <c r="P150" s="1987">
        <v>45297</v>
      </c>
      <c r="Q150" s="484"/>
      <c r="R150" s="877"/>
      <c r="U150" s="877"/>
      <c r="V150" s="877"/>
    </row>
    <row r="151" spans="1:24" x14ac:dyDescent="0.25">
      <c r="B151" s="79" t="s">
        <v>911</v>
      </c>
      <c r="C151" s="85" t="s">
        <v>1525</v>
      </c>
      <c r="D151" s="475">
        <f>SUMIF($D$7:$D$133,"FER",$F$7:$F$133)</f>
        <v>693.1099999999999</v>
      </c>
      <c r="E151" s="1202">
        <f t="shared" si="0"/>
        <v>22.358387096774191</v>
      </c>
      <c r="F151" s="1203">
        <f t="shared" si="1"/>
        <v>0.15559072440343905</v>
      </c>
      <c r="L151" s="3204" t="s">
        <v>2977</v>
      </c>
      <c r="M151" s="3204"/>
      <c r="N151" s="3204"/>
      <c r="O151" s="484">
        <v>300</v>
      </c>
      <c r="P151" s="1987">
        <v>45297</v>
      </c>
      <c r="Q151" s="484"/>
      <c r="R151" s="1673"/>
      <c r="U151" s="877"/>
      <c r="V151" s="877"/>
    </row>
    <row r="152" spans="1:24" x14ac:dyDescent="0.25">
      <c r="B152" s="79" t="s">
        <v>1526</v>
      </c>
      <c r="C152" s="85" t="s">
        <v>1504</v>
      </c>
      <c r="D152" s="475">
        <f>SUMIF($D$29:$D$133,"I",$F$29:$F$133)</f>
        <v>157.9</v>
      </c>
      <c r="E152" s="1202">
        <f t="shared" si="0"/>
        <v>5.0935483870967744</v>
      </c>
      <c r="F152" s="1203">
        <f t="shared" si="1"/>
        <v>3.5445709026421537E-2</v>
      </c>
      <c r="L152" s="3205" t="s">
        <v>3942</v>
      </c>
      <c r="M152" s="3205"/>
      <c r="N152" s="3205"/>
      <c r="O152" s="484">
        <v>70</v>
      </c>
      <c r="P152" s="1987">
        <v>45297</v>
      </c>
      <c r="Q152" s="1038"/>
      <c r="R152" s="1129"/>
      <c r="T152" s="1129"/>
      <c r="U152" s="877"/>
      <c r="V152" s="877"/>
    </row>
    <row r="153" spans="1:24" x14ac:dyDescent="0.25">
      <c r="B153" s="79" t="s">
        <v>2343</v>
      </c>
      <c r="C153" s="85" t="s">
        <v>2315</v>
      </c>
      <c r="D153" s="475">
        <f>SUMIF($D$29:$D$133,"E",$F$29:$F$133)</f>
        <v>0</v>
      </c>
      <c r="E153" s="1202">
        <f t="shared" si="0"/>
        <v>0</v>
      </c>
      <c r="F153" s="1203">
        <f t="shared" si="1"/>
        <v>0</v>
      </c>
      <c r="L153" s="3205" t="s">
        <v>3844</v>
      </c>
      <c r="M153" s="3205"/>
      <c r="N153" s="3205"/>
      <c r="O153" s="484">
        <v>90</v>
      </c>
      <c r="P153" s="1987">
        <v>45297</v>
      </c>
      <c r="Q153" s="1038"/>
      <c r="R153" s="1129"/>
      <c r="T153" s="1129"/>
      <c r="U153" s="877"/>
      <c r="V153" s="877"/>
    </row>
    <row r="154" spans="1:24" x14ac:dyDescent="0.25">
      <c r="B154" s="79" t="s">
        <v>3019</v>
      </c>
      <c r="C154" s="85" t="s">
        <v>3017</v>
      </c>
      <c r="D154" s="475">
        <f>SUMIF($D$6:$D$133,"IM",$F$6:$F$133)</f>
        <v>240.73</v>
      </c>
      <c r="E154" s="1202">
        <f t="shared" si="0"/>
        <v>7.7654838709677412</v>
      </c>
      <c r="F154" s="1203">
        <f t="shared" si="1"/>
        <v>5.4039553729768555E-2</v>
      </c>
      <c r="L154" s="3205" t="s">
        <v>4045</v>
      </c>
      <c r="M154" s="3205"/>
      <c r="N154" s="3205"/>
      <c r="O154" s="484">
        <v>550</v>
      </c>
      <c r="P154" s="1987">
        <v>45297</v>
      </c>
      <c r="Q154" s="224"/>
      <c r="R154" s="1226"/>
      <c r="S154" s="1129"/>
      <c r="T154" s="1129"/>
      <c r="U154" s="877"/>
      <c r="V154" s="877"/>
    </row>
    <row r="155" spans="1:24" x14ac:dyDescent="0.25">
      <c r="B155" s="79" t="s">
        <v>1527</v>
      </c>
      <c r="C155" s="85" t="s">
        <v>1489</v>
      </c>
      <c r="D155" s="475">
        <f>SUMIF($D$7:$D$133,"OD",$F$7:$F$133)</f>
        <v>652.16000000000008</v>
      </c>
      <c r="E155" s="1202">
        <f t="shared" si="0"/>
        <v>21.037419354838711</v>
      </c>
      <c r="F155" s="1203">
        <f>E155/$E$158</f>
        <v>0.14639818618537725</v>
      </c>
      <c r="L155" s="3204" t="s">
        <v>4046</v>
      </c>
      <c r="M155" s="3204"/>
      <c r="N155" s="3204"/>
      <c r="O155" s="484">
        <v>150</v>
      </c>
      <c r="P155" s="1987">
        <v>45297</v>
      </c>
      <c r="Q155" s="1038"/>
      <c r="R155" s="1226"/>
      <c r="S155" s="1129"/>
      <c r="T155" s="1129"/>
      <c r="U155" s="877"/>
      <c r="V155" s="877"/>
    </row>
    <row r="156" spans="1:24" x14ac:dyDescent="0.25">
      <c r="C156" s="79"/>
      <c r="D156" s="629"/>
      <c r="E156" s="79"/>
      <c r="F156" s="79"/>
      <c r="L156" s="3168"/>
      <c r="M156" s="3168"/>
      <c r="N156" s="3168"/>
      <c r="P156" s="1210"/>
      <c r="Q156" s="1038"/>
      <c r="R156" s="1227"/>
      <c r="S156" s="1129"/>
      <c r="T156" s="1129"/>
      <c r="U156" s="877"/>
      <c r="V156" s="877"/>
    </row>
    <row r="157" spans="1:24" x14ac:dyDescent="0.25">
      <c r="C157" s="3168" t="s">
        <v>486</v>
      </c>
      <c r="D157" s="3168"/>
      <c r="E157" s="863">
        <f ca="1">I157/J157</f>
        <v>244.57854838709673</v>
      </c>
      <c r="G157" s="518" t="s">
        <v>487</v>
      </c>
      <c r="I157" s="629">
        <f ca="1">SUM(D138:D155)</f>
        <v>7581.9349999999986</v>
      </c>
      <c r="J157" s="1517">
        <v>31</v>
      </c>
      <c r="L157" s="3141" t="s">
        <v>2867</v>
      </c>
      <c r="M157" s="3141"/>
      <c r="N157" s="3141"/>
      <c r="O157" s="1982">
        <v>30</v>
      </c>
      <c r="P157" s="1954">
        <v>45311</v>
      </c>
      <c r="Q157" s="1038"/>
      <c r="R157" s="1226"/>
      <c r="S157" s="1129"/>
      <c r="T157" s="1129"/>
      <c r="U157" s="877"/>
      <c r="V157" s="877"/>
    </row>
    <row r="158" spans="1:24" ht="15.75" customHeight="1" x14ac:dyDescent="0.25">
      <c r="B158" s="3167" t="s">
        <v>3725</v>
      </c>
      <c r="C158" s="3167"/>
      <c r="D158" s="3167"/>
      <c r="E158" s="1125">
        <v>143.69999999999999</v>
      </c>
      <c r="H158" s="85"/>
      <c r="K158" s="868"/>
      <c r="L158" s="3166" t="s">
        <v>2977</v>
      </c>
      <c r="M158" s="3166"/>
      <c r="N158" s="3166"/>
      <c r="O158" s="484">
        <v>300</v>
      </c>
      <c r="P158" s="1954">
        <v>45311</v>
      </c>
      <c r="Q158" s="1038"/>
      <c r="R158" s="1226"/>
      <c r="S158" s="1129"/>
      <c r="T158" s="1129"/>
      <c r="U158" s="877"/>
      <c r="V158" s="877"/>
    </row>
    <row r="159" spans="1:24" x14ac:dyDescent="0.25">
      <c r="A159" s="518"/>
      <c r="C159" s="79"/>
      <c r="D159" s="79"/>
      <c r="E159" s="769"/>
      <c r="F159" s="866"/>
      <c r="G159" s="769"/>
      <c r="H159" s="866"/>
      <c r="I159" s="1210"/>
      <c r="J159" s="89"/>
      <c r="L159" s="3141" t="s">
        <v>4047</v>
      </c>
      <c r="M159" s="3141"/>
      <c r="N159" s="3141"/>
      <c r="O159" s="958">
        <v>1000</v>
      </c>
      <c r="P159" s="1954">
        <v>45311</v>
      </c>
      <c r="Q159" s="1038"/>
      <c r="R159" s="769"/>
      <c r="S159" s="484" t="s">
        <v>280</v>
      </c>
      <c r="T159" s="216"/>
      <c r="U159" s="866"/>
      <c r="V159" s="484"/>
      <c r="X159" s="877"/>
    </row>
    <row r="160" spans="1:24" s="518" customFormat="1" x14ac:dyDescent="0.25">
      <c r="A160" s="79"/>
      <c r="B160" s="79"/>
      <c r="C160" s="79"/>
      <c r="D160" s="79"/>
      <c r="E160" s="1126">
        <f ca="1">E158-E157</f>
        <v>-100.87854838709674</v>
      </c>
      <c r="F160" s="1205">
        <f ca="1">SUM(F138:F159)</f>
        <v>1.7020079915594768</v>
      </c>
      <c r="G160" s="85"/>
      <c r="H160" s="85"/>
      <c r="I160" s="89"/>
      <c r="J160" s="79"/>
      <c r="K160" s="79"/>
      <c r="L160" s="3141" t="s">
        <v>4048</v>
      </c>
      <c r="M160" s="3141"/>
      <c r="N160" s="3141"/>
      <c r="O160" s="1982">
        <v>30</v>
      </c>
      <c r="P160" s="1954">
        <v>45311</v>
      </c>
      <c r="Q160" s="1038"/>
      <c r="R160" s="79"/>
      <c r="S160" s="79"/>
      <c r="T160" s="866"/>
      <c r="U160" s="484"/>
      <c r="V160" s="79"/>
      <c r="W160" s="877"/>
      <c r="X160" s="79"/>
    </row>
    <row r="161" spans="1:21" s="518" customFormat="1" x14ac:dyDescent="0.25">
      <c r="A161" s="79"/>
      <c r="B161" s="79"/>
      <c r="C161" s="85"/>
      <c r="D161" s="85"/>
      <c r="E161" s="85"/>
      <c r="L161" s="3206" t="s">
        <v>3325</v>
      </c>
      <c r="M161" s="3206"/>
      <c r="N161" s="3206"/>
      <c r="O161" s="1982">
        <v>40</v>
      </c>
      <c r="P161" s="1954">
        <v>45311</v>
      </c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O162" s="866"/>
      <c r="P162" s="1954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216"/>
      <c r="J163" s="769"/>
      <c r="K163" s="866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K164" s="866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Q165" s="1038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216"/>
      <c r="H166" s="79"/>
      <c r="I166" s="216"/>
      <c r="J166" s="769"/>
      <c r="K166" s="868"/>
      <c r="P166" s="1954"/>
      <c r="Q166" s="1038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216"/>
      <c r="H167" s="79"/>
      <c r="I167" s="216"/>
      <c r="J167" s="769"/>
      <c r="K167" s="866"/>
      <c r="L167" s="769"/>
      <c r="M167" s="866"/>
      <c r="N167" s="769"/>
      <c r="O167" s="1959">
        <f>O140+O139-O141-O142-O143-O144-O145-O146-O147-O148-O149-O150-O151-O152-O153-O154-O155-O156-O157-O158-O159-O160-O161-O162-O166</f>
        <v>3599.8199999999997</v>
      </c>
      <c r="P167" s="1210"/>
      <c r="Q167" s="1038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216"/>
      <c r="H168" s="79"/>
      <c r="I168" s="79"/>
      <c r="J168" s="770"/>
      <c r="K168" s="866"/>
      <c r="L168" s="770"/>
      <c r="M168" s="866"/>
      <c r="N168" s="770"/>
      <c r="O168" s="866"/>
      <c r="P168" s="1210"/>
      <c r="Q168" s="1038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1210"/>
      <c r="Q169" s="103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6"/>
      <c r="L170" s="769"/>
      <c r="M170" s="866"/>
      <c r="N170" s="769"/>
      <c r="O170" s="866"/>
      <c r="P170" s="1210"/>
      <c r="Q170" s="1038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629"/>
      <c r="J171" s="769"/>
      <c r="K171" s="866"/>
      <c r="L171" s="769"/>
      <c r="M171" s="866"/>
      <c r="N171" s="769"/>
      <c r="O171" s="866"/>
      <c r="P171" s="1210"/>
      <c r="Q171" s="1038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1210"/>
      <c r="Q172" s="1038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1210"/>
      <c r="Q173" s="103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6"/>
      <c r="L174" s="769"/>
      <c r="M174" s="866"/>
      <c r="N174" s="769"/>
      <c r="O174" s="866"/>
      <c r="P174" s="1210"/>
      <c r="Q174" s="1038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1210"/>
      <c r="Q175" s="1038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1210"/>
      <c r="Q176" s="1038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769"/>
      <c r="K177" s="866"/>
      <c r="L177" s="769"/>
      <c r="M177" s="866"/>
      <c r="N177" s="769"/>
      <c r="O177" s="866"/>
      <c r="P177" s="1210"/>
      <c r="Q177" s="1038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69"/>
      <c r="K178" s="866"/>
      <c r="L178" s="769"/>
      <c r="M178" s="866"/>
      <c r="N178" s="769"/>
      <c r="O178" s="866"/>
      <c r="P178" s="1210"/>
      <c r="Q178" s="1038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6"/>
      <c r="L179" s="769"/>
      <c r="M179" s="866"/>
      <c r="N179" s="769"/>
      <c r="O179" s="86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769"/>
      <c r="M180" s="866"/>
      <c r="N180" s="769"/>
      <c r="O180" s="86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8"/>
      <c r="L181" s="769"/>
      <c r="M181" s="868"/>
      <c r="N181" s="769"/>
      <c r="O181" s="868"/>
      <c r="P181" s="79"/>
      <c r="Q181" s="79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769"/>
      <c r="K182" s="868"/>
      <c r="L182" s="769"/>
      <c r="M182" s="868"/>
      <c r="N182" s="769"/>
      <c r="O182" s="868"/>
      <c r="P182" s="81"/>
      <c r="Q182" s="755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769"/>
      <c r="K183" s="868"/>
      <c r="L183" s="769"/>
      <c r="M183" s="868"/>
      <c r="N183" s="769"/>
      <c r="O183" s="868"/>
      <c r="P183" s="868"/>
      <c r="Q183" s="79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769"/>
      <c r="K184" s="868"/>
      <c r="L184" s="769"/>
      <c r="M184" s="868"/>
      <c r="N184" s="769"/>
      <c r="O184" s="868"/>
      <c r="P184" s="754"/>
      <c r="Q184" s="88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69"/>
      <c r="K185" s="868"/>
      <c r="L185" s="769"/>
      <c r="M185" s="868"/>
      <c r="N185" s="769"/>
      <c r="O185" s="868"/>
      <c r="P185" s="864"/>
      <c r="Q185" s="864"/>
      <c r="R185" s="484"/>
      <c r="S185" s="79"/>
      <c r="T185" s="877"/>
      <c r="U185" s="79"/>
    </row>
    <row r="186" spans="1:21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769"/>
      <c r="M186" s="866"/>
      <c r="N186" s="769"/>
      <c r="O186" s="866"/>
      <c r="P186" s="864"/>
      <c r="Q186" s="1032"/>
      <c r="R186" s="484"/>
      <c r="S186" s="79"/>
      <c r="T186" s="877"/>
      <c r="U186" s="79"/>
    </row>
    <row r="187" spans="1:21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6"/>
      <c r="L187" s="769"/>
      <c r="M187" s="866"/>
      <c r="N187" s="769"/>
      <c r="O187" s="866"/>
      <c r="P187" s="864"/>
      <c r="Q187" s="1032"/>
      <c r="R187" s="484"/>
      <c r="S187" s="79"/>
      <c r="T187" s="877"/>
      <c r="U187" s="79"/>
    </row>
    <row r="188" spans="1:21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8"/>
      <c r="L188" s="769"/>
      <c r="M188" s="868"/>
      <c r="N188" s="769"/>
      <c r="O188" s="868"/>
      <c r="P188" s="85"/>
      <c r="Q188" s="795"/>
      <c r="R188" s="484"/>
      <c r="S188" s="79"/>
      <c r="T188" s="877"/>
      <c r="U188" s="79"/>
    </row>
    <row r="189" spans="1:21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6"/>
      <c r="L189" s="769"/>
      <c r="M189" s="866"/>
      <c r="N189" s="769"/>
      <c r="O189" s="866"/>
      <c r="P189" s="85"/>
      <c r="Q189" s="177"/>
      <c r="R189" s="484"/>
      <c r="S189" s="79"/>
      <c r="T189" s="877"/>
      <c r="U189" s="79"/>
    </row>
    <row r="190" spans="1:21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866"/>
      <c r="L190" s="769"/>
      <c r="M190" s="866"/>
      <c r="N190" s="769"/>
      <c r="O190" s="866"/>
      <c r="P190" s="85"/>
      <c r="Q190" s="177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8"/>
      <c r="L191" s="769"/>
      <c r="M191" s="868"/>
      <c r="N191" s="769"/>
      <c r="O191" s="868"/>
      <c r="P191" s="85"/>
      <c r="Q191" s="177" t="s">
        <v>280</v>
      </c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8"/>
      <c r="L192" s="769"/>
      <c r="M192" s="868"/>
      <c r="N192" s="769"/>
      <c r="O192" s="868"/>
      <c r="P192" s="85"/>
      <c r="Q192" s="177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8"/>
      <c r="L193" s="769"/>
      <c r="M193" s="868"/>
      <c r="N193" s="769"/>
      <c r="O193" s="868"/>
      <c r="P193" s="85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8"/>
      <c r="L194" s="769"/>
      <c r="M194" s="868"/>
      <c r="N194" s="769"/>
      <c r="O194" s="868"/>
      <c r="P194" s="769"/>
      <c r="Q194" s="21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6"/>
      <c r="L195" s="769"/>
      <c r="M195" s="866"/>
      <c r="N195" s="769"/>
      <c r="O195" s="866"/>
      <c r="P195" s="79"/>
      <c r="Q195" s="21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223"/>
      <c r="K196" s="629"/>
      <c r="L196" s="223"/>
      <c r="M196" s="629"/>
      <c r="N196" s="223"/>
      <c r="O196" s="629"/>
      <c r="P196" s="769"/>
      <c r="Q196" s="86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56"/>
      <c r="K197" s="756"/>
      <c r="L197" s="756"/>
      <c r="M197" s="756"/>
      <c r="N197" s="756"/>
      <c r="O197" s="756"/>
      <c r="P197" s="769"/>
      <c r="Q197" s="86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69"/>
      <c r="Q199" s="79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85"/>
      <c r="K202" s="85"/>
      <c r="L202" s="85"/>
      <c r="M202" s="85"/>
      <c r="N202" s="85"/>
      <c r="O202" s="85"/>
      <c r="P202" s="1517"/>
      <c r="Q202" s="79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86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89"/>
      <c r="Q204" s="79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69"/>
      <c r="Q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69"/>
      <c r="Q207" s="866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69"/>
      <c r="Q208" s="866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85"/>
      <c r="K209" s="85"/>
      <c r="L209" s="85"/>
      <c r="M209" s="85"/>
      <c r="N209" s="85"/>
      <c r="O209" s="85"/>
      <c r="Q209" s="866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69"/>
      <c r="Q211" s="86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69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70"/>
      <c r="Q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69"/>
      <c r="Q215" s="86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71"/>
      <c r="L216" s="771"/>
      <c r="N216" s="771"/>
      <c r="P216" s="769"/>
      <c r="Q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69"/>
      <c r="Q217" s="866"/>
      <c r="R217" s="484"/>
      <c r="S217" s="79"/>
      <c r="T217" s="877"/>
      <c r="U217" s="79"/>
    </row>
    <row r="218" spans="1:21" x14ac:dyDescent="0.25">
      <c r="P218" s="769"/>
      <c r="Q218" s="866"/>
    </row>
    <row r="219" spans="1:21" x14ac:dyDescent="0.25">
      <c r="P219" s="769"/>
      <c r="Q219" s="866"/>
    </row>
    <row r="220" spans="1:21" x14ac:dyDescent="0.25">
      <c r="P220" s="769"/>
      <c r="Q220" s="866"/>
    </row>
    <row r="221" spans="1:21" x14ac:dyDescent="0.25">
      <c r="P221" s="769"/>
      <c r="Q221" s="866"/>
    </row>
    <row r="222" spans="1:21" x14ac:dyDescent="0.25">
      <c r="P222" s="769"/>
      <c r="Q222" s="866"/>
    </row>
    <row r="223" spans="1:21" x14ac:dyDescent="0.25">
      <c r="P223" s="769"/>
      <c r="Q223" s="866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6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769"/>
      <c r="Q227" s="868"/>
      <c r="R227" s="484"/>
      <c r="S227" s="79"/>
      <c r="T227" s="877"/>
      <c r="U227" s="79"/>
    </row>
    <row r="228" spans="1:21" x14ac:dyDescent="0.25">
      <c r="P228" s="769"/>
      <c r="Q228" s="868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69"/>
      <c r="Q229" s="868"/>
      <c r="R229" s="484"/>
      <c r="S229" s="79"/>
      <c r="T229" s="877"/>
      <c r="U229" s="79"/>
    </row>
    <row r="230" spans="1:21" x14ac:dyDescent="0.25">
      <c r="P230" s="769"/>
      <c r="Q230" s="868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629"/>
      <c r="L231" s="79"/>
      <c r="M231" s="629"/>
      <c r="N231" s="79"/>
      <c r="O231" s="629"/>
      <c r="P231" s="769"/>
      <c r="Q231" s="866"/>
      <c r="R231" s="484"/>
      <c r="S231" s="79"/>
      <c r="T231" s="877"/>
      <c r="U231" s="79"/>
    </row>
    <row r="232" spans="1:21" x14ac:dyDescent="0.25">
      <c r="P232" s="769"/>
      <c r="Q232" s="866"/>
    </row>
    <row r="233" spans="1:21" x14ac:dyDescent="0.25">
      <c r="P233" s="769"/>
      <c r="Q233" s="868"/>
    </row>
    <row r="234" spans="1:21" x14ac:dyDescent="0.25">
      <c r="P234" s="769"/>
      <c r="Q234" s="866"/>
    </row>
    <row r="235" spans="1:21" x14ac:dyDescent="0.25">
      <c r="P235" s="769"/>
      <c r="Q235" s="866"/>
    </row>
    <row r="236" spans="1:21" x14ac:dyDescent="0.25">
      <c r="P236" s="769"/>
      <c r="Q236" s="868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9"/>
      <c r="O237" s="216"/>
      <c r="P237" s="769"/>
      <c r="Q237" s="868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216"/>
      <c r="L238" s="79"/>
      <c r="M238" s="216"/>
      <c r="N238" s="79"/>
      <c r="O238" s="216"/>
      <c r="P238" s="769"/>
      <c r="Q238" s="868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9"/>
      <c r="O239" s="216"/>
      <c r="P239" s="76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216"/>
      <c r="L240" s="79"/>
      <c r="M240" s="216"/>
      <c r="N240" s="79"/>
      <c r="O240" s="216"/>
      <c r="P240" s="769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216"/>
      <c r="L241" s="79"/>
      <c r="M241" s="216"/>
      <c r="N241" s="79"/>
      <c r="O241" s="216"/>
      <c r="P241" s="223"/>
      <c r="Q241" s="629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216"/>
      <c r="L242" s="79"/>
      <c r="M242" s="216"/>
      <c r="N242" s="79"/>
      <c r="O242" s="216"/>
      <c r="P242" s="756"/>
      <c r="Q242" s="75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216"/>
      <c r="L243" s="79"/>
      <c r="M243" s="216"/>
      <c r="N243" s="79"/>
      <c r="O243" s="216"/>
      <c r="P243" s="79"/>
      <c r="Q243" s="79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216"/>
      <c r="L244" s="79"/>
      <c r="M244" s="216"/>
      <c r="N244" s="79"/>
      <c r="O244" s="216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216"/>
      <c r="L245" s="79"/>
      <c r="M245" s="216"/>
      <c r="N245" s="79"/>
      <c r="O245" s="216"/>
      <c r="P245" s="79"/>
      <c r="Q245" s="79"/>
      <c r="R245" s="484"/>
      <c r="S245" s="79"/>
      <c r="T245" s="877"/>
      <c r="U245" s="79"/>
    </row>
    <row r="247" spans="1:21" x14ac:dyDescent="0.25">
      <c r="P247" s="85"/>
      <c r="Q247" s="85"/>
    </row>
    <row r="254" spans="1:21" x14ac:dyDescent="0.25">
      <c r="P254" s="85"/>
      <c r="Q254" s="85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71"/>
      <c r="Q261" s="518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629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  <row r="282" spans="1:42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216"/>
      <c r="S282" s="79"/>
      <c r="T282" s="877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</row>
    <row r="283" spans="1:42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216"/>
      <c r="S283" s="79"/>
      <c r="T283" s="877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</row>
    <row r="284" spans="1:42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216"/>
      <c r="S284" s="79"/>
      <c r="T284" s="877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</row>
    <row r="285" spans="1:42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216"/>
      <c r="S285" s="79"/>
      <c r="T285" s="877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</row>
    <row r="286" spans="1:42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216"/>
      <c r="S286" s="79"/>
      <c r="T286" s="877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</row>
    <row r="287" spans="1:42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216"/>
      <c r="S287" s="79"/>
      <c r="T287" s="877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216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216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216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</sheetData>
  <autoFilter ref="A2:I155" xr:uid="{00000000-0009-0000-0000-00008D000000}"/>
  <mergeCells count="38">
    <mergeCell ref="L160:N160"/>
    <mergeCell ref="L161:N161"/>
    <mergeCell ref="L157:N157"/>
    <mergeCell ref="L158:N158"/>
    <mergeCell ref="L159:N159"/>
    <mergeCell ref="L155:N155"/>
    <mergeCell ref="L156:N156"/>
    <mergeCell ref="L148:N148"/>
    <mergeCell ref="L149:N149"/>
    <mergeCell ref="L150:N150"/>
    <mergeCell ref="L151:N151"/>
    <mergeCell ref="L152:N152"/>
    <mergeCell ref="L147:N147"/>
    <mergeCell ref="B158:D158"/>
    <mergeCell ref="L2:M3"/>
    <mergeCell ref="N2:O3"/>
    <mergeCell ref="P2:Q3"/>
    <mergeCell ref="A134:E134"/>
    <mergeCell ref="A135:E135"/>
    <mergeCell ref="C157:D157"/>
    <mergeCell ref="L142:N142"/>
    <mergeCell ref="L141:N141"/>
    <mergeCell ref="L143:N143"/>
    <mergeCell ref="L144:N144"/>
    <mergeCell ref="L145:N145"/>
    <mergeCell ref="L146:N146"/>
    <mergeCell ref="L153:N153"/>
    <mergeCell ref="L154:N154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114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Planilha32"/>
  <dimension ref="A1:AM84"/>
  <sheetViews>
    <sheetView topLeftCell="A37" zoomScale="80" zoomScaleNormal="80" workbookViewId="0">
      <selection activeCell="N74" sqref="N74"/>
    </sheetView>
  </sheetViews>
  <sheetFormatPr defaultColWidth="9.140625" defaultRowHeight="15" x14ac:dyDescent="0.25"/>
  <cols>
    <col min="1" max="1" width="21.42578125" style="79" customWidth="1"/>
    <col min="2" max="2" width="19.42578125" style="79" customWidth="1"/>
    <col min="3" max="3" width="15.140625" style="89" customWidth="1"/>
    <col min="4" max="4" width="14.28515625" style="85" customWidth="1"/>
    <col min="5" max="5" width="14.28515625" style="85" bestFit="1" customWidth="1"/>
    <col min="6" max="6" width="13.85546875" style="89" bestFit="1" customWidth="1"/>
    <col min="7" max="7" width="13.85546875" style="79" customWidth="1"/>
    <col min="8" max="8" width="14.28515625" style="79" bestFit="1" customWidth="1"/>
    <col min="9" max="9" width="13.85546875" style="79" bestFit="1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5.28515625" style="79" bestFit="1" customWidth="1"/>
    <col min="17" max="22" width="15.28515625" style="79" customWidth="1"/>
    <col min="23" max="26" width="9.140625" style="79"/>
    <col min="27" max="27" width="20.7109375" style="79" bestFit="1" customWidth="1"/>
    <col min="28" max="28" width="17.85546875" style="79" bestFit="1" customWidth="1"/>
    <col min="29" max="29" width="20.140625" style="79" bestFit="1" customWidth="1"/>
    <col min="30" max="30" width="16.5703125" style="79" bestFit="1" customWidth="1"/>
    <col min="31" max="31" width="15.140625" style="79" bestFit="1" customWidth="1"/>
    <col min="32" max="32" width="16.5703125" style="79" bestFit="1" customWidth="1"/>
    <col min="33" max="33" width="15.140625" style="79" bestFit="1" customWidth="1"/>
    <col min="34" max="34" width="15.85546875" style="79" bestFit="1" customWidth="1"/>
    <col min="35" max="35" width="17.7109375" style="79" bestFit="1" customWidth="1"/>
    <col min="36" max="36" width="20.5703125" style="79" bestFit="1" customWidth="1"/>
    <col min="37" max="37" width="18.7109375" style="79" bestFit="1" customWidth="1"/>
    <col min="38" max="39" width="20.85546875" style="79" bestFit="1" customWidth="1"/>
    <col min="40" max="16384" width="9.140625" style="79"/>
  </cols>
  <sheetData>
    <row r="1" spans="1:39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39" ht="15.75" x14ac:dyDescent="0.25">
      <c r="A2" s="333" t="s">
        <v>5449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</row>
    <row r="3" spans="1:39" x14ac:dyDescent="0.25">
      <c r="A3" s="329" t="s">
        <v>32</v>
      </c>
      <c r="B3" s="336">
        <f>C3/12</f>
        <v>407.82666666666665</v>
      </c>
      <c r="C3" s="1042">
        <f>D3+E3+F3+G3+H3+I3+J3+K3+L3+M3+N3+O3</f>
        <v>4893.92</v>
      </c>
      <c r="D3" s="549">
        <f>'Janeiro-23'!D123</f>
        <v>328.9</v>
      </c>
      <c r="E3" s="547">
        <f>'Fevereiro-23'!D124</f>
        <v>406.9</v>
      </c>
      <c r="F3" s="549">
        <f>'Março-23'!D125</f>
        <v>460</v>
      </c>
      <c r="G3" s="588">
        <f>'Abril-23'!D125</f>
        <v>397.9</v>
      </c>
      <c r="H3" s="549">
        <f>'Maio-23'!D136</f>
        <v>472</v>
      </c>
      <c r="I3" s="588">
        <f>'Junho-23'!D120</f>
        <v>417</v>
      </c>
      <c r="J3" s="549">
        <f>'Julho-23'!D117</f>
        <v>458.9</v>
      </c>
      <c r="K3" s="549">
        <f>'Agosto-23'!D126</f>
        <v>499.9</v>
      </c>
      <c r="L3" s="588">
        <f>'Setembro-23'!D123</f>
        <v>323.95</v>
      </c>
      <c r="M3" s="561">
        <f>'Outubro-23'!D114</f>
        <v>418.04999999999995</v>
      </c>
      <c r="N3" s="561">
        <f>'Novembro-23'!D104</f>
        <v>436.42</v>
      </c>
      <c r="O3" s="565">
        <f>'Dezembro-23'!D138</f>
        <v>274</v>
      </c>
    </row>
    <row r="4" spans="1:39" x14ac:dyDescent="0.25">
      <c r="A4" s="329" t="s">
        <v>2187</v>
      </c>
      <c r="B4" s="336">
        <f t="shared" ref="B4:B20" si="0">C4/12</f>
        <v>458.33333333333331</v>
      </c>
      <c r="C4" s="1042">
        <f t="shared" ref="C4:C19" si="1">D4+E4+F4+G4+H4+I4+J4+K4+L4+M4+N4+O4</f>
        <v>5500</v>
      </c>
      <c r="D4" s="549">
        <f>'Janeiro-23'!D124</f>
        <v>590</v>
      </c>
      <c r="E4" s="587">
        <f>'Fevereiro-23'!D125</f>
        <v>470</v>
      </c>
      <c r="F4" s="588">
        <f>'Março-23'!D126</f>
        <v>430</v>
      </c>
      <c r="G4" s="588">
        <f>'Abril-23'!D126</f>
        <v>410</v>
      </c>
      <c r="H4" s="549">
        <f>'Maio-23'!D137</f>
        <v>490</v>
      </c>
      <c r="I4" s="588">
        <f>'Junho-23'!D121</f>
        <v>460</v>
      </c>
      <c r="J4" s="588">
        <f>'Julho-23'!D118</f>
        <v>450</v>
      </c>
      <c r="K4" s="549">
        <f>'Agosto-23'!D127</f>
        <v>490</v>
      </c>
      <c r="L4" s="588">
        <f>'Setembro-23'!D124</f>
        <v>460</v>
      </c>
      <c r="M4" s="565">
        <f>'Outubro-23'!D115</f>
        <v>430</v>
      </c>
      <c r="N4" s="565">
        <f>'Novembro-23'!D105</f>
        <v>400</v>
      </c>
      <c r="O4" s="561">
        <f>'Dezembro-23'!D139</f>
        <v>420</v>
      </c>
    </row>
    <row r="5" spans="1:39" x14ac:dyDescent="0.25">
      <c r="A5" s="329" t="s">
        <v>2188</v>
      </c>
      <c r="B5" s="336">
        <f t="shared" si="0"/>
        <v>0</v>
      </c>
      <c r="C5" s="1042">
        <f t="shared" si="1"/>
        <v>0</v>
      </c>
      <c r="D5" s="588">
        <f>'Janeiro-23'!D125</f>
        <v>0</v>
      </c>
      <c r="E5" s="587">
        <f>'Fevereiro-23'!D126</f>
        <v>0</v>
      </c>
      <c r="F5" s="588">
        <f>'Março-23'!D127</f>
        <v>0</v>
      </c>
      <c r="G5" s="588">
        <f>'Abril-23'!D127</f>
        <v>0</v>
      </c>
      <c r="H5" s="588">
        <f>'Maio-23'!D138</f>
        <v>0</v>
      </c>
      <c r="I5" s="588">
        <f>'Junho-23'!D122</f>
        <v>0</v>
      </c>
      <c r="J5" s="588">
        <f>'Julho-23'!D119</f>
        <v>0</v>
      </c>
      <c r="K5" s="588">
        <f>'Agosto-23'!D128</f>
        <v>0</v>
      </c>
      <c r="L5" s="588">
        <f>'Setembro-23'!D125</f>
        <v>0</v>
      </c>
      <c r="M5" s="565">
        <f>'Outubro-23'!D116</f>
        <v>0</v>
      </c>
      <c r="N5" s="565">
        <f>'Novembro-23'!D106</f>
        <v>0</v>
      </c>
      <c r="O5" s="565">
        <f>'Dezembro-23'!D140</f>
        <v>0</v>
      </c>
    </row>
    <row r="6" spans="1:39" x14ac:dyDescent="0.25">
      <c r="A6" s="329" t="s">
        <v>50</v>
      </c>
      <c r="B6" s="336">
        <f t="shared" si="0"/>
        <v>309.32</v>
      </c>
      <c r="C6" s="1042">
        <f t="shared" si="1"/>
        <v>3711.8399999999997</v>
      </c>
      <c r="D6" s="588">
        <f>'Janeiro-23'!D126</f>
        <v>344.96999999999997</v>
      </c>
      <c r="E6" s="587">
        <f>'Fevereiro-23'!D127</f>
        <v>334.89</v>
      </c>
      <c r="F6" s="588">
        <f>'Março-23'!D128</f>
        <v>330.29999999999995</v>
      </c>
      <c r="G6" s="588">
        <f>'Abril-23'!D128</f>
        <v>318.68999999999994</v>
      </c>
      <c r="H6" s="549">
        <f>'Maio-23'!D139</f>
        <v>329.12</v>
      </c>
      <c r="I6" s="549">
        <f>'Junho-23'!D123</f>
        <v>374.8</v>
      </c>
      <c r="J6" s="588">
        <f>'Julho-23'!D120</f>
        <v>341.95</v>
      </c>
      <c r="K6" s="588">
        <f>'Agosto-23'!D129</f>
        <v>312.14</v>
      </c>
      <c r="L6" s="588">
        <f>'Setembro-23'!D126</f>
        <v>232.88</v>
      </c>
      <c r="M6" s="561">
        <f>'Outubro-23'!D117</f>
        <v>277.81999999999994</v>
      </c>
      <c r="N6" s="565">
        <f>'Novembro-23'!D107</f>
        <v>137.41999999999999</v>
      </c>
      <c r="O6" s="561">
        <f>'Dezembro-23'!D141</f>
        <v>376.86000000000007</v>
      </c>
    </row>
    <row r="7" spans="1:39" x14ac:dyDescent="0.25">
      <c r="A7" s="329" t="s">
        <v>14</v>
      </c>
      <c r="B7" s="336">
        <f t="shared" si="0"/>
        <v>125.20666666666666</v>
      </c>
      <c r="C7" s="1042">
        <f t="shared" si="1"/>
        <v>1502.48</v>
      </c>
      <c r="D7" s="588">
        <f>'Janeiro-23'!D127</f>
        <v>80.28</v>
      </c>
      <c r="E7" s="547">
        <f>'Fevereiro-23'!D128</f>
        <v>125.00999999999999</v>
      </c>
      <c r="F7" s="549">
        <f>'Março-23'!D129</f>
        <v>224.56</v>
      </c>
      <c r="G7" s="588">
        <f>'Abril-23'!D129</f>
        <v>172.86999999999998</v>
      </c>
      <c r="H7" s="588">
        <f>'Maio-23'!D140</f>
        <v>114.74</v>
      </c>
      <c r="I7" s="549">
        <f>'Junho-23'!D124</f>
        <v>150.19999999999999</v>
      </c>
      <c r="J7" s="588">
        <f>'Julho-23'!D121</f>
        <v>125.82999999999997</v>
      </c>
      <c r="K7" s="588">
        <f>'Agosto-23'!D130</f>
        <v>109.78</v>
      </c>
      <c r="L7" s="549">
        <f>'Setembro-23'!D127</f>
        <v>111.22999999999999</v>
      </c>
      <c r="M7" s="565">
        <f>'Outubro-23'!D118</f>
        <v>106.27000000000001</v>
      </c>
      <c r="N7" s="565">
        <f>'Novembro-23'!D108</f>
        <v>73.66</v>
      </c>
      <c r="O7" s="561">
        <f>'Dezembro-23'!D142</f>
        <v>108.05</v>
      </c>
    </row>
    <row r="8" spans="1:39" x14ac:dyDescent="0.25">
      <c r="A8" s="329" t="s">
        <v>358</v>
      </c>
      <c r="B8" s="336">
        <f t="shared" si="0"/>
        <v>76.232500000000002</v>
      </c>
      <c r="C8" s="1042">
        <f t="shared" si="1"/>
        <v>914.79</v>
      </c>
      <c r="D8" s="549">
        <f>'Janeiro-23'!D128</f>
        <v>130.63999999999999</v>
      </c>
      <c r="E8" s="587">
        <f>'Fevereiro-23'!D129</f>
        <v>81.61</v>
      </c>
      <c r="F8" s="588">
        <f>'Março-23'!D130</f>
        <v>51.239999999999995</v>
      </c>
      <c r="G8" s="549">
        <f>'Abril-23'!D130</f>
        <v>96.09</v>
      </c>
      <c r="H8" s="549">
        <f>'Maio-23'!D141</f>
        <v>98.240000000000009</v>
      </c>
      <c r="I8" s="588">
        <f>'Junho-23'!D125</f>
        <v>33.79</v>
      </c>
      <c r="J8" s="549">
        <f>'Julho-23'!D122</f>
        <v>91.97999999999999</v>
      </c>
      <c r="K8" s="588">
        <f>'Agosto-23'!D131</f>
        <v>0</v>
      </c>
      <c r="L8" s="549">
        <f>'Setembro-23'!D128</f>
        <v>66.7</v>
      </c>
      <c r="M8" s="561">
        <f>'Outubro-23'!D119</f>
        <v>128.68</v>
      </c>
      <c r="N8" s="565">
        <f>'Novembro-23'!D109</f>
        <v>59.38</v>
      </c>
      <c r="O8" s="561">
        <f>'Dezembro-23'!D143</f>
        <v>76.44</v>
      </c>
    </row>
    <row r="9" spans="1:39" x14ac:dyDescent="0.25">
      <c r="A9" s="329" t="s">
        <v>2189</v>
      </c>
      <c r="B9" s="336">
        <f t="shared" si="0"/>
        <v>127.42</v>
      </c>
      <c r="C9" s="1043">
        <f t="shared" si="1"/>
        <v>1529.04</v>
      </c>
      <c r="D9" s="588">
        <f>'Janeiro-23'!D129</f>
        <v>115.29</v>
      </c>
      <c r="E9" s="547">
        <f>'Fevereiro-23'!D130</f>
        <v>178.51</v>
      </c>
      <c r="F9" s="588">
        <f>'Março-23'!D131</f>
        <v>113.03333333333333</v>
      </c>
      <c r="G9" s="588">
        <f>'Abril-23'!D131</f>
        <v>113.03333333333333</v>
      </c>
      <c r="H9" s="588">
        <f>'Maio-23'!D142</f>
        <v>113.03333333333333</v>
      </c>
      <c r="I9" s="549">
        <f>'Junho-23'!D126</f>
        <v>216.24</v>
      </c>
      <c r="J9" s="588">
        <f>'Julho-23'!D123</f>
        <v>80</v>
      </c>
      <c r="K9" s="549">
        <f>'Agosto-23'!D132</f>
        <v>90</v>
      </c>
      <c r="L9" s="549">
        <f>'Setembro-23'!D129</f>
        <v>239.9</v>
      </c>
      <c r="M9" s="565">
        <f>'Outubro-23'!D120</f>
        <v>90</v>
      </c>
      <c r="N9" s="565">
        <f>'Novembro-23'!D110</f>
        <v>90</v>
      </c>
      <c r="O9" s="565">
        <f>'Dezembro-23'!D144</f>
        <v>90</v>
      </c>
    </row>
    <row r="10" spans="1:39" x14ac:dyDescent="0.25">
      <c r="A10" s="329" t="s">
        <v>53</v>
      </c>
      <c r="B10" s="336">
        <f t="shared" si="0"/>
        <v>1343.927611111111</v>
      </c>
      <c r="C10" s="1043">
        <f t="shared" si="1"/>
        <v>16127.131333333333</v>
      </c>
      <c r="D10" s="588">
        <f>'Janeiro-23'!D130</f>
        <v>1045.01</v>
      </c>
      <c r="E10" s="587">
        <f>'Fevereiro-23'!D131</f>
        <v>670.99666666666667</v>
      </c>
      <c r="F10" s="588">
        <f>'Março-23'!D132</f>
        <v>505.99666666666667</v>
      </c>
      <c r="G10" s="549">
        <f>'Abril-23'!D132</f>
        <v>721.66</v>
      </c>
      <c r="H10" s="588">
        <f>'Maio-23'!D143</f>
        <v>319.33266666666668</v>
      </c>
      <c r="I10" s="588">
        <f>'Junho-23'!D127</f>
        <v>289.33266666666668</v>
      </c>
      <c r="J10" s="588">
        <f>'Julho-23'!D124</f>
        <v>249.33266666666665</v>
      </c>
      <c r="K10" s="549">
        <f>'Agosto-23'!D133</f>
        <v>3944.67</v>
      </c>
      <c r="L10" s="588">
        <f>'Setembro-23'!D130</f>
        <v>2352.0700000000002</v>
      </c>
      <c r="M10" s="565">
        <f>'Outubro-23'!D121</f>
        <v>1917.5</v>
      </c>
      <c r="N10" s="561">
        <f>'Novembro-23'!D111</f>
        <v>1922.5</v>
      </c>
      <c r="O10" s="561">
        <f>'Dezembro-23'!D145</f>
        <v>2188.73</v>
      </c>
    </row>
    <row r="11" spans="1:39" x14ac:dyDescent="0.25">
      <c r="A11" s="906" t="s">
        <v>2149</v>
      </c>
      <c r="B11" s="336">
        <f t="shared" si="0"/>
        <v>0</v>
      </c>
      <c r="C11" s="1042">
        <f t="shared" si="1"/>
        <v>0</v>
      </c>
      <c r="D11" s="588">
        <f>'Janeiro-23'!D131</f>
        <v>0</v>
      </c>
      <c r="E11" s="587">
        <f>'Fevereiro-23'!D132</f>
        <v>0</v>
      </c>
      <c r="F11" s="588">
        <f>'Março-23'!D133</f>
        <v>0</v>
      </c>
      <c r="G11" s="588">
        <f>'Abril-23'!D133</f>
        <v>0</v>
      </c>
      <c r="H11" s="588">
        <f>'Maio-23'!D144</f>
        <v>0</v>
      </c>
      <c r="I11" s="588">
        <f>'Junho-23'!D128</f>
        <v>0</v>
      </c>
      <c r="J11" s="588">
        <f>'Julho-23'!D125</f>
        <v>0</v>
      </c>
      <c r="K11" s="588">
        <f>'Agosto-23'!D134</f>
        <v>0</v>
      </c>
      <c r="L11" s="588">
        <f>'Setembro-23'!D131</f>
        <v>0</v>
      </c>
      <c r="M11" s="565">
        <f>'Outubro-23'!D122</f>
        <v>0</v>
      </c>
      <c r="N11" s="565">
        <f>'Novembro-23'!D112</f>
        <v>0</v>
      </c>
      <c r="O11" s="565">
        <f>'Dezembro-23'!D146</f>
        <v>0</v>
      </c>
    </row>
    <row r="12" spans="1:39" x14ac:dyDescent="0.25">
      <c r="A12" s="329" t="s">
        <v>3048</v>
      </c>
      <c r="B12" s="336">
        <f t="shared" ca="1" si="0"/>
        <v>235.57749999999999</v>
      </c>
      <c r="C12" s="1042">
        <f t="shared" ca="1" si="1"/>
        <v>2826.93</v>
      </c>
      <c r="D12" s="588">
        <f ca="1">'Janeiro-23'!D132</f>
        <v>696</v>
      </c>
      <c r="E12" s="587">
        <f ca="1">'Fevereiro-23'!D133</f>
        <v>62</v>
      </c>
      <c r="F12" s="588">
        <f ca="1">'Março-23'!D134</f>
        <v>20</v>
      </c>
      <c r="G12" s="549">
        <f ca="1">'Abril-23'!D134</f>
        <v>141</v>
      </c>
      <c r="H12" s="549">
        <f ca="1">'Maio-23'!D145</f>
        <v>244.6</v>
      </c>
      <c r="I12" s="588">
        <f ca="1">'Junho-23'!D129</f>
        <v>44</v>
      </c>
      <c r="J12" s="588">
        <f ca="1">'Julho-23'!D126</f>
        <v>25</v>
      </c>
      <c r="K12" s="549">
        <f ca="1">'Agosto-23'!D135</f>
        <v>57.9</v>
      </c>
      <c r="L12" s="549">
        <f ca="1">'Setembro-23'!D132</f>
        <v>523.02</v>
      </c>
      <c r="M12" s="565">
        <f ca="1">'Outubro-23'!D123</f>
        <v>145</v>
      </c>
      <c r="N12" s="561">
        <f ca="1">'Novembro-23'!D113</f>
        <v>365</v>
      </c>
      <c r="O12" s="561">
        <f ca="1">'Dezembro-23'!D147</f>
        <v>503.40999999999997</v>
      </c>
      <c r="AA12"/>
      <c r="AB12"/>
    </row>
    <row r="13" spans="1:39" x14ac:dyDescent="0.25">
      <c r="A13" s="329" t="s">
        <v>1686</v>
      </c>
      <c r="B13" s="336">
        <f t="shared" si="0"/>
        <v>238.10541666666668</v>
      </c>
      <c r="C13" s="1042">
        <f t="shared" si="1"/>
        <v>2857.2650000000003</v>
      </c>
      <c r="D13" s="588">
        <f>'Janeiro-23'!D133</f>
        <v>420</v>
      </c>
      <c r="E13" s="587">
        <f>'Fevereiro-23'!D134</f>
        <v>164</v>
      </c>
      <c r="F13" s="549">
        <f>'Março-23'!D135</f>
        <v>242</v>
      </c>
      <c r="G13" s="588">
        <f>'Abril-23'!D135</f>
        <v>258.89999999999998</v>
      </c>
      <c r="H13" s="549">
        <f>'Maio-23'!D146</f>
        <v>275</v>
      </c>
      <c r="I13" s="588">
        <f>'Junho-23'!D130</f>
        <v>82</v>
      </c>
      <c r="J13" s="549">
        <f>'Julho-23'!D127</f>
        <v>303</v>
      </c>
      <c r="K13" s="588">
        <f>'Agosto-23'!D136</f>
        <v>263.33333333333337</v>
      </c>
      <c r="L13" s="588">
        <f>'Setembro-23'!D133</f>
        <v>193.33333333333334</v>
      </c>
      <c r="M13" s="565">
        <f>'Outubro-23'!D124</f>
        <v>157.33333333333334</v>
      </c>
      <c r="N13" s="565">
        <f>'Novembro-23'!D114</f>
        <v>89.5</v>
      </c>
      <c r="O13" s="561">
        <f>'Dezembro-23'!D148</f>
        <v>408.86500000000001</v>
      </c>
    </row>
    <row r="14" spans="1:39" x14ac:dyDescent="0.25">
      <c r="A14" s="329" t="s">
        <v>418</v>
      </c>
      <c r="B14" s="336">
        <f t="shared" si="0"/>
        <v>85.672499999999999</v>
      </c>
      <c r="C14" s="1042">
        <f t="shared" si="1"/>
        <v>1028.07</v>
      </c>
      <c r="D14" s="549">
        <f>'Janeiro-23'!D134</f>
        <v>279.46999999999997</v>
      </c>
      <c r="E14" s="547">
        <f>'Fevereiro-23'!D135</f>
        <v>349.4</v>
      </c>
      <c r="F14" s="588">
        <f>'Março-23'!D136</f>
        <v>72</v>
      </c>
      <c r="G14" s="588">
        <f>'Abril-23'!D136</f>
        <v>59</v>
      </c>
      <c r="H14" s="588">
        <f>'Maio-23'!D147</f>
        <v>59</v>
      </c>
      <c r="I14" s="588">
        <f>'Junho-23'!D131</f>
        <v>9.5</v>
      </c>
      <c r="J14" s="588">
        <f>'Julho-23'!D128</f>
        <v>0</v>
      </c>
      <c r="K14" s="588">
        <f>'Agosto-23'!D137</f>
        <v>0</v>
      </c>
      <c r="L14" s="588">
        <f>'Setembro-23'!D134</f>
        <v>0</v>
      </c>
      <c r="M14" s="565">
        <f>'Outubro-23'!D125</f>
        <v>0</v>
      </c>
      <c r="N14" s="565">
        <f>'Novembro-23'!D115</f>
        <v>0</v>
      </c>
      <c r="O14" s="561">
        <f>'Dezembro-23'!D149</f>
        <v>199.70000000000002</v>
      </c>
      <c r="AA14" s="2019" t="s">
        <v>6104</v>
      </c>
      <c r="AB14" t="s">
        <v>6092</v>
      </c>
      <c r="AC14" t="s">
        <v>6093</v>
      </c>
      <c r="AD14" t="s">
        <v>6094</v>
      </c>
      <c r="AE14" t="s">
        <v>6095</v>
      </c>
      <c r="AF14" t="s">
        <v>6097</v>
      </c>
      <c r="AG14" t="s">
        <v>6096</v>
      </c>
      <c r="AH14" t="s">
        <v>6098</v>
      </c>
      <c r="AI14" t="s">
        <v>6099</v>
      </c>
      <c r="AJ14" t="s">
        <v>6100</v>
      </c>
      <c r="AK14" t="s">
        <v>6101</v>
      </c>
      <c r="AL14" t="s">
        <v>6102</v>
      </c>
      <c r="AM14" t="s">
        <v>6103</v>
      </c>
    </row>
    <row r="15" spans="1:39" x14ac:dyDescent="0.25">
      <c r="A15" s="329" t="s">
        <v>419</v>
      </c>
      <c r="B15" s="336">
        <f t="shared" si="0"/>
        <v>821.0241666666667</v>
      </c>
      <c r="C15" s="1042">
        <f t="shared" si="1"/>
        <v>9852.2900000000009</v>
      </c>
      <c r="D15" s="588">
        <f>'Janeiro-23'!D135</f>
        <v>849.9</v>
      </c>
      <c r="E15" s="587">
        <f>'Fevereiro-23'!D136</f>
        <v>739.8</v>
      </c>
      <c r="F15" s="549">
        <f>'Março-23'!D137</f>
        <v>915.69</v>
      </c>
      <c r="G15" s="549">
        <f>'Abril-23'!D137</f>
        <v>920.11</v>
      </c>
      <c r="H15" s="588">
        <f>'Maio-23'!D148</f>
        <v>686.89</v>
      </c>
      <c r="I15" s="549">
        <f>'Junho-23'!D132</f>
        <v>800</v>
      </c>
      <c r="J15" s="549">
        <f>'Julho-23'!D129</f>
        <v>836</v>
      </c>
      <c r="K15" s="588">
        <f>'Agosto-23'!D138</f>
        <v>668.46</v>
      </c>
      <c r="L15" s="549">
        <f>'Setembro-23'!D135</f>
        <v>788.46</v>
      </c>
      <c r="M15" s="565">
        <f>'Outubro-23'!D126</f>
        <v>785</v>
      </c>
      <c r="N15" s="565">
        <f>'Novembro-23'!D116</f>
        <v>670</v>
      </c>
      <c r="O15" s="561">
        <f>'Dezembro-23'!D150</f>
        <v>1191.98</v>
      </c>
      <c r="AA15" s="202" t="s">
        <v>32</v>
      </c>
      <c r="AB15">
        <v>328.9</v>
      </c>
      <c r="AC15">
        <v>406.9</v>
      </c>
      <c r="AD15">
        <v>460</v>
      </c>
      <c r="AE15">
        <v>397.9</v>
      </c>
      <c r="AF15">
        <v>417</v>
      </c>
      <c r="AG15">
        <v>472</v>
      </c>
      <c r="AH15">
        <v>458.9</v>
      </c>
      <c r="AI15">
        <v>499.9</v>
      </c>
      <c r="AJ15">
        <v>323.95</v>
      </c>
      <c r="AK15">
        <v>418.04999999999995</v>
      </c>
      <c r="AL15">
        <v>436.42</v>
      </c>
      <c r="AM15">
        <v>274</v>
      </c>
    </row>
    <row r="16" spans="1:39" x14ac:dyDescent="0.25">
      <c r="A16" s="329" t="s">
        <v>5439</v>
      </c>
      <c r="B16" s="336">
        <f t="shared" si="0"/>
        <v>238.65916666666666</v>
      </c>
      <c r="C16" s="1042">
        <f t="shared" si="1"/>
        <v>2863.91</v>
      </c>
      <c r="D16" s="588">
        <f>'Janeiro-23'!D136</f>
        <v>8</v>
      </c>
      <c r="E16" s="587">
        <f>'Fevereiro-23'!D137</f>
        <v>0</v>
      </c>
      <c r="F16" s="549">
        <f>'Março-23'!D138</f>
        <v>118</v>
      </c>
      <c r="G16" s="588">
        <f>'Abril-23'!D138</f>
        <v>0</v>
      </c>
      <c r="H16" s="549">
        <f>'Maio-23'!D149</f>
        <v>487.79999999999995</v>
      </c>
      <c r="I16" s="588">
        <f>'Junho-23'!D133</f>
        <v>454.4</v>
      </c>
      <c r="J16" s="588">
        <f>'Julho-23'!D130</f>
        <v>52</v>
      </c>
      <c r="K16" s="549">
        <f>'Agosto-23'!D139</f>
        <v>364.9</v>
      </c>
      <c r="L16" s="588">
        <f>'Setembro-23'!D136</f>
        <v>236.9</v>
      </c>
      <c r="M16" s="565">
        <f>'Outubro-23'!D127</f>
        <v>214.9</v>
      </c>
      <c r="N16" s="561">
        <f>'Novembro-23'!D117</f>
        <v>233.9</v>
      </c>
      <c r="O16" s="561">
        <f>'Dezembro-23'!D151</f>
        <v>693.1099999999999</v>
      </c>
      <c r="AA16" s="202" t="s">
        <v>6105</v>
      </c>
      <c r="AB16">
        <v>328.9</v>
      </c>
      <c r="AC16">
        <v>406.9</v>
      </c>
      <c r="AD16">
        <v>460</v>
      </c>
      <c r="AE16">
        <v>397.9</v>
      </c>
      <c r="AF16">
        <v>417</v>
      </c>
      <c r="AG16">
        <v>472</v>
      </c>
      <c r="AH16">
        <v>458.9</v>
      </c>
      <c r="AI16">
        <v>499.9</v>
      </c>
      <c r="AJ16">
        <v>323.95</v>
      </c>
      <c r="AK16">
        <v>418.04999999999995</v>
      </c>
      <c r="AL16">
        <v>436.42</v>
      </c>
      <c r="AM16">
        <v>274</v>
      </c>
    </row>
    <row r="17" spans="1:39" x14ac:dyDescent="0.25">
      <c r="A17" s="329" t="s">
        <v>1526</v>
      </c>
      <c r="B17" s="336">
        <f t="shared" si="0"/>
        <v>153.43750000000003</v>
      </c>
      <c r="C17" s="1042">
        <f t="shared" si="1"/>
        <v>1841.2500000000005</v>
      </c>
      <c r="D17" s="588">
        <f>'Janeiro-23'!D137</f>
        <v>132.49</v>
      </c>
      <c r="E17" s="547">
        <f>'Fevereiro-23'!D138</f>
        <v>144.44</v>
      </c>
      <c r="F17" s="549">
        <f>'Março-23'!D139</f>
        <v>152.39000000000001</v>
      </c>
      <c r="G17" s="588">
        <f>'Abril-23'!D139</f>
        <v>148.53</v>
      </c>
      <c r="H17" s="549">
        <f>'Maio-23'!D150</f>
        <v>158</v>
      </c>
      <c r="I17" s="588">
        <f>'Junho-23'!D134</f>
        <v>157.9</v>
      </c>
      <c r="J17" s="549">
        <f>'Julho-23'!D131</f>
        <v>158</v>
      </c>
      <c r="K17" s="588">
        <f>'Agosto-23'!D140</f>
        <v>157.9</v>
      </c>
      <c r="L17" s="588">
        <f>'Setembro-23'!D137</f>
        <v>157.9</v>
      </c>
      <c r="M17" s="565">
        <f>'Outubro-23'!D128</f>
        <v>157.9</v>
      </c>
      <c r="N17" s="565">
        <f>'Novembro-23'!D118</f>
        <v>157.9</v>
      </c>
      <c r="O17" s="565">
        <f>'Dezembro-23'!D152</f>
        <v>157.9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</row>
    <row r="18" spans="1:39" x14ac:dyDescent="0.25">
      <c r="A18" s="329" t="s">
        <v>2343</v>
      </c>
      <c r="B18" s="336">
        <f t="shared" si="0"/>
        <v>0</v>
      </c>
      <c r="C18" s="1042">
        <f t="shared" si="1"/>
        <v>0</v>
      </c>
      <c r="D18" s="588">
        <f>'Janeiro-23'!D138</f>
        <v>0</v>
      </c>
      <c r="E18" s="587">
        <f>'Fevereiro-23'!D139</f>
        <v>0</v>
      </c>
      <c r="F18" s="588">
        <f>'Março-23'!D140</f>
        <v>0</v>
      </c>
      <c r="G18" s="588">
        <f>'Abril-23'!D140</f>
        <v>0</v>
      </c>
      <c r="H18" s="588">
        <f>'Maio-23'!D151</f>
        <v>0</v>
      </c>
      <c r="I18" s="588">
        <f>'Junho-23'!D135</f>
        <v>0</v>
      </c>
      <c r="J18" s="588">
        <f>'Julho-23'!D132</f>
        <v>0</v>
      </c>
      <c r="K18" s="588">
        <f>'Agosto-23'!D141</f>
        <v>0</v>
      </c>
      <c r="L18" s="588">
        <f>'Setembro-23'!D138</f>
        <v>0</v>
      </c>
      <c r="M18" s="565">
        <f>'Outubro-23'!D129</f>
        <v>0</v>
      </c>
      <c r="N18" s="565">
        <f>'Novembro-23'!D119</f>
        <v>0</v>
      </c>
      <c r="O18" s="565">
        <f>'Dezembro-23'!D153</f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</row>
    <row r="19" spans="1:39" x14ac:dyDescent="0.25">
      <c r="A19" s="329" t="s">
        <v>3019</v>
      </c>
      <c r="B19" s="336">
        <f t="shared" si="0"/>
        <v>762.93249999999989</v>
      </c>
      <c r="C19" s="1042">
        <f t="shared" si="1"/>
        <v>9155.1899999999987</v>
      </c>
      <c r="D19" s="549">
        <f>'Janeiro-23'!D139</f>
        <v>660.88</v>
      </c>
      <c r="E19" s="587">
        <f>'Fevereiro-23'!D140</f>
        <v>611.62</v>
      </c>
      <c r="F19" s="549">
        <f>'Março-23'!D141</f>
        <v>617.13</v>
      </c>
      <c r="G19" s="549">
        <f>'Abril-23'!D141</f>
        <v>617.45000000000005</v>
      </c>
      <c r="H19" s="588">
        <f>'Maio-23'!D152</f>
        <v>566.15</v>
      </c>
      <c r="I19" s="549">
        <f>'Junho-23'!D136</f>
        <v>567.03</v>
      </c>
      <c r="J19" s="549">
        <f>'Julho-23'!D133</f>
        <v>576.75</v>
      </c>
      <c r="K19" s="588">
        <f>'Agosto-23'!D142</f>
        <v>542</v>
      </c>
      <c r="L19" s="588">
        <f>'Setembro-23'!D139</f>
        <v>274.64</v>
      </c>
      <c r="M19" s="561">
        <f>'Outubro-23'!D130</f>
        <v>3627.01</v>
      </c>
      <c r="N19" s="565">
        <f>'Novembro-23'!D120</f>
        <v>253.8</v>
      </c>
      <c r="O19" s="565">
        <f>'Dezembro-23'!D154</f>
        <v>240.73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</row>
    <row r="20" spans="1:39" x14ac:dyDescent="0.25">
      <c r="A20" s="329" t="s">
        <v>1527</v>
      </c>
      <c r="B20" s="336">
        <f t="shared" si="0"/>
        <v>343.9469444444444</v>
      </c>
      <c r="C20" s="1042">
        <f>D20+E20+F20+G20+H20+I20+J20+K20+L20+M20+N20+O20</f>
        <v>4127.3633333333328</v>
      </c>
      <c r="D20" s="549">
        <f>'Janeiro-23'!D140</f>
        <v>423.31333333333333</v>
      </c>
      <c r="E20" s="587">
        <f>'Fevereiro-23'!D141</f>
        <v>254.04999999999998</v>
      </c>
      <c r="F20" s="588">
        <f>'Março-23'!D142</f>
        <v>168.98000000000002</v>
      </c>
      <c r="G20" s="549">
        <f>'Abril-23'!D142</f>
        <v>204.61</v>
      </c>
      <c r="H20" s="549">
        <f>'Maio-23'!D153</f>
        <v>333.16999999999996</v>
      </c>
      <c r="I20" s="588">
        <f>'Junho-23'!D137</f>
        <v>237.18</v>
      </c>
      <c r="J20" s="549">
        <f>'Julho-23'!D134</f>
        <v>498.86</v>
      </c>
      <c r="K20" s="588">
        <f>'Agosto-23'!D143</f>
        <v>400.45</v>
      </c>
      <c r="L20" s="588">
        <f>'Setembro-23'!D140</f>
        <v>171.77000000000004</v>
      </c>
      <c r="M20" s="561">
        <f>'Outubro-23'!D131</f>
        <v>483.30999999999995</v>
      </c>
      <c r="N20" s="565">
        <f>'Novembro-23'!D121</f>
        <v>299.51</v>
      </c>
      <c r="O20" s="561">
        <f>'Dezembro-23'!D155</f>
        <v>652.16000000000008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</row>
    <row r="21" spans="1:39" ht="15.75" x14ac:dyDescent="0.25">
      <c r="A21" s="389" t="s">
        <v>361</v>
      </c>
      <c r="B21" s="551">
        <f t="shared" ref="B21:N21" ca="1" si="2">SUM(B3:B20)</f>
        <v>5727.6224722222214</v>
      </c>
      <c r="C21" s="552">
        <f t="shared" ca="1" si="2"/>
        <v>68731.469666666657</v>
      </c>
      <c r="D21" s="552">
        <f t="shared" ca="1" si="2"/>
        <v>6105.1433333333334</v>
      </c>
      <c r="E21" s="552">
        <f t="shared" ca="1" si="2"/>
        <v>4593.2266666666674</v>
      </c>
      <c r="F21" s="552">
        <f t="shared" ca="1" si="2"/>
        <v>4421.32</v>
      </c>
      <c r="G21" s="552">
        <f t="shared" ca="1" si="2"/>
        <v>4579.8433333333332</v>
      </c>
      <c r="H21" s="552">
        <f t="shared" ca="1" si="2"/>
        <v>4747.0759999999991</v>
      </c>
      <c r="I21" s="552">
        <f t="shared" ca="1" si="2"/>
        <v>4293.3726666666671</v>
      </c>
      <c r="J21" s="552">
        <f t="shared" ca="1" si="2"/>
        <v>4247.6026666666667</v>
      </c>
      <c r="K21" s="552">
        <f t="shared" ca="1" si="2"/>
        <v>7901.4333333333316</v>
      </c>
      <c r="L21" s="552">
        <f t="shared" ca="1" si="2"/>
        <v>6132.7533333333331</v>
      </c>
      <c r="M21" s="552">
        <f t="shared" ca="1" si="2"/>
        <v>8938.7733333333326</v>
      </c>
      <c r="N21" s="552">
        <f t="shared" ca="1" si="2"/>
        <v>5188.99</v>
      </c>
      <c r="O21" s="552">
        <f ca="1">SUM(O3:O20)</f>
        <v>7581.9349999999986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</row>
    <row r="22" spans="1:39" x14ac:dyDescent="0.25">
      <c r="A22" s="588"/>
      <c r="B22" s="551"/>
      <c r="C22" s="79"/>
      <c r="D22" s="552"/>
      <c r="E22" s="552"/>
      <c r="F22" s="552"/>
      <c r="G22" s="552"/>
      <c r="H22" s="552"/>
      <c r="I22" s="552"/>
      <c r="J22" s="552"/>
      <c r="K22" s="552"/>
      <c r="L22" s="552"/>
      <c r="M22" s="552"/>
      <c r="N22" s="552"/>
      <c r="O22" s="552"/>
      <c r="AA22"/>
      <c r="AB22"/>
      <c r="AC22"/>
      <c r="AD22"/>
      <c r="AE22"/>
      <c r="AF22"/>
      <c r="AG22"/>
      <c r="AH22"/>
      <c r="AI22"/>
      <c r="AJ22"/>
      <c r="AK22"/>
      <c r="AL22"/>
      <c r="AM22"/>
    </row>
    <row r="23" spans="1:39" x14ac:dyDescent="0.25">
      <c r="F23" s="79"/>
      <c r="AA23"/>
      <c r="AB23"/>
      <c r="AC23"/>
      <c r="AD23"/>
      <c r="AE23"/>
      <c r="AF23"/>
      <c r="AG23"/>
      <c r="AH23"/>
      <c r="AI23"/>
      <c r="AJ23"/>
      <c r="AK23"/>
      <c r="AL23"/>
      <c r="AM23"/>
    </row>
    <row r="24" spans="1:39" ht="15.75" x14ac:dyDescent="0.25">
      <c r="A24" s="333" t="s">
        <v>5449</v>
      </c>
      <c r="B24" s="334" t="s">
        <v>5440</v>
      </c>
      <c r="C24" s="1041" t="s">
        <v>345</v>
      </c>
      <c r="D24" s="334" t="s">
        <v>346</v>
      </c>
      <c r="E24" s="334" t="s">
        <v>347</v>
      </c>
      <c r="F24" s="334" t="s">
        <v>348</v>
      </c>
      <c r="G24" s="334" t="s">
        <v>349</v>
      </c>
      <c r="H24" s="334" t="s">
        <v>350</v>
      </c>
      <c r="I24" s="334" t="s">
        <v>351</v>
      </c>
      <c r="J24" s="334" t="s">
        <v>352</v>
      </c>
      <c r="K24" s="334" t="s">
        <v>353</v>
      </c>
      <c r="L24" s="334" t="s">
        <v>354</v>
      </c>
      <c r="M24" s="334" t="s">
        <v>355</v>
      </c>
      <c r="N24" s="334" t="s">
        <v>356</v>
      </c>
      <c r="O24" s="334" t="s">
        <v>357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</row>
    <row r="25" spans="1:39" x14ac:dyDescent="0.25">
      <c r="A25" s="329" t="s">
        <v>32</v>
      </c>
      <c r="B25" s="336">
        <f>C25/10</f>
        <v>16.147608909370199</v>
      </c>
      <c r="C25" s="1042">
        <f>D25+E25+F25+G25+H25+I25+J25+K25+L25+M25+N25+O25</f>
        <v>161.476089093702</v>
      </c>
      <c r="D25" s="588">
        <f>'Janeiro-23'!E123</f>
        <v>10.609677419354838</v>
      </c>
      <c r="E25" s="547">
        <f>'Fevereiro-23'!E124</f>
        <v>14.532142857142857</v>
      </c>
      <c r="F25" s="547">
        <f>'Março-23'!E125</f>
        <v>14.838709677419354</v>
      </c>
      <c r="G25" s="588">
        <f>'Abril-23'!E125</f>
        <v>13.263333333333332</v>
      </c>
      <c r="H25" s="549">
        <f>'Maio-23'!E136</f>
        <v>15.733333333333333</v>
      </c>
      <c r="I25" s="588">
        <f>'Junho-23'!E120</f>
        <v>13.9</v>
      </c>
      <c r="J25" s="549">
        <f>'Julho-23'!E117</f>
        <v>14.803225806451612</v>
      </c>
      <c r="K25" s="549">
        <f>'Agosto-23'!E126</f>
        <v>16.125806451612902</v>
      </c>
      <c r="L25" s="588">
        <f>'Setembro-23'!E123</f>
        <v>10.798333333333334</v>
      </c>
      <c r="M25" s="561">
        <f>'Outubro-23'!E114</f>
        <v>13.485483870967741</v>
      </c>
      <c r="N25" s="561">
        <f>'Novembro-23'!E104</f>
        <v>14.547333333333334</v>
      </c>
      <c r="O25" s="565">
        <f>'Dezembro-23'!E138</f>
        <v>8.8387096774193541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</row>
    <row r="26" spans="1:39" x14ac:dyDescent="0.25">
      <c r="A26" s="329" t="s">
        <v>2187</v>
      </c>
      <c r="B26" s="336">
        <f t="shared" ref="B26:B42" si="3">C26/10</f>
        <v>18.143087557603689</v>
      </c>
      <c r="C26" s="1042">
        <f t="shared" ref="C26:C33" si="4">D26+E26+F26+G26+H26+I26+J26+K26+L26+M26+N26+O26</f>
        <v>181.4308755760369</v>
      </c>
      <c r="D26" s="588">
        <f>'Janeiro-23'!E124</f>
        <v>19.032258064516128</v>
      </c>
      <c r="E26" s="587">
        <f>'Fevereiro-23'!E125</f>
        <v>16.785714285714285</v>
      </c>
      <c r="F26" s="587">
        <f>'Março-23'!E126</f>
        <v>13.870967741935484</v>
      </c>
      <c r="G26" s="588">
        <f>'Abril-23'!E126</f>
        <v>13.666666666666666</v>
      </c>
      <c r="H26" s="549">
        <f>'Maio-23'!E137</f>
        <v>16.333333333333332</v>
      </c>
      <c r="I26" s="588">
        <f>'Junho-23'!E121</f>
        <v>15.333333333333334</v>
      </c>
      <c r="J26" s="588">
        <f>'Julho-23'!E118</f>
        <v>14.516129032258064</v>
      </c>
      <c r="K26" s="549">
        <f>'Agosto-23'!E127</f>
        <v>15.806451612903226</v>
      </c>
      <c r="L26" s="588">
        <f>'Setembro-23'!E124</f>
        <v>15.333333333333334</v>
      </c>
      <c r="M26" s="565">
        <f>'Outubro-23'!E115</f>
        <v>13.870967741935484</v>
      </c>
      <c r="N26" s="565">
        <f>'Novembro-23'!E105</f>
        <v>13.333333333333334</v>
      </c>
      <c r="O26" s="565">
        <f>'Dezembro-23'!E139</f>
        <v>13.548387096774194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</row>
    <row r="27" spans="1:39" x14ac:dyDescent="0.25">
      <c r="A27" s="329" t="s">
        <v>2188</v>
      </c>
      <c r="B27" s="336">
        <f t="shared" si="3"/>
        <v>0</v>
      </c>
      <c r="C27" s="1042">
        <f t="shared" si="4"/>
        <v>0</v>
      </c>
      <c r="D27" s="588">
        <f>'Janeiro-23'!E125</f>
        <v>0</v>
      </c>
      <c r="E27" s="587">
        <f>'Fevereiro-23'!E126</f>
        <v>0</v>
      </c>
      <c r="F27" s="587">
        <f>'Março-23'!E127</f>
        <v>0</v>
      </c>
      <c r="G27" s="588">
        <f>'Abril-23'!E127</f>
        <v>0</v>
      </c>
      <c r="H27" s="588">
        <f>'Maio-23'!E138</f>
        <v>0</v>
      </c>
      <c r="I27" s="588">
        <f>'Junho-23'!E122</f>
        <v>0</v>
      </c>
      <c r="J27" s="588">
        <f>'Julho-23'!E119</f>
        <v>0</v>
      </c>
      <c r="K27" s="588">
        <f>'Agosto-23'!E128</f>
        <v>0</v>
      </c>
      <c r="L27" s="588">
        <f>'Setembro-23'!E125</f>
        <v>0</v>
      </c>
      <c r="M27" s="565">
        <f>'Outubro-23'!E116</f>
        <v>0</v>
      </c>
      <c r="N27" s="565">
        <f>'Novembro-23'!E106</f>
        <v>0</v>
      </c>
      <c r="O27" s="565">
        <f>'Dezembro-23'!E140</f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</row>
    <row r="28" spans="1:39" x14ac:dyDescent="0.25">
      <c r="A28" s="329" t="s">
        <v>50</v>
      </c>
      <c r="B28" s="336">
        <f t="shared" si="3"/>
        <v>12.239198079877109</v>
      </c>
      <c r="C28" s="1042">
        <f>D28+E28+F28+G28+H28+I28+J28+K28+L28+M28+N28+O28</f>
        <v>122.3919807987711</v>
      </c>
      <c r="D28" s="588">
        <f>'Janeiro-23'!E126</f>
        <v>11.128064516129031</v>
      </c>
      <c r="E28" s="547">
        <f>'Fevereiro-23'!E127</f>
        <v>11.960357142857143</v>
      </c>
      <c r="F28" s="587">
        <f>'Março-23'!E128</f>
        <v>10.654838709677417</v>
      </c>
      <c r="G28" s="588">
        <f>'Abril-23'!E128</f>
        <v>10.622999999999998</v>
      </c>
      <c r="H28" s="549">
        <f>'Maio-23'!E139</f>
        <v>10.970666666666666</v>
      </c>
      <c r="I28" s="549">
        <f>'Junho-23'!E123</f>
        <v>12.493333333333334</v>
      </c>
      <c r="J28" s="588">
        <f>'Julho-23'!E120</f>
        <v>11.030645161290321</v>
      </c>
      <c r="K28" s="588">
        <f>'Agosto-23'!E129</f>
        <v>10.069032258064516</v>
      </c>
      <c r="L28" s="588">
        <f>'Setembro-23'!E126</f>
        <v>7.7626666666666662</v>
      </c>
      <c r="M28" s="561">
        <f>'Outubro-23'!E117</f>
        <v>8.9619354838709651</v>
      </c>
      <c r="N28" s="565">
        <f>'Novembro-23'!E107</f>
        <v>4.5806666666666667</v>
      </c>
      <c r="O28" s="565">
        <f>'Dezembro-23'!E141</f>
        <v>12.15677419354839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</row>
    <row r="29" spans="1:39" x14ac:dyDescent="0.25">
      <c r="A29" s="329" t="s">
        <v>14</v>
      </c>
      <c r="B29" s="336">
        <f t="shared" si="3"/>
        <v>4.9568728878648232</v>
      </c>
      <c r="C29" s="1042">
        <f>D29+E29+F29+G29+H29+I29+J29+K29+L29+M29+N29+O29</f>
        <v>49.56872887864823</v>
      </c>
      <c r="D29" s="588">
        <f>'Janeiro-23'!E127</f>
        <v>2.5896774193548389</v>
      </c>
      <c r="E29" s="547">
        <f>'Fevereiro-23'!E128</f>
        <v>4.4646428571428567</v>
      </c>
      <c r="F29" s="547">
        <f>'Março-23'!E129</f>
        <v>7.2438709677419357</v>
      </c>
      <c r="G29" s="588">
        <f>'Abril-23'!E129</f>
        <v>5.7623333333333324</v>
      </c>
      <c r="H29" s="588">
        <f>'Maio-23'!E140</f>
        <v>3.8246666666666664</v>
      </c>
      <c r="I29" s="549">
        <f>'Junho-23'!E124</f>
        <v>5.0066666666666659</v>
      </c>
      <c r="J29" s="588">
        <f>'Julho-23'!E121</f>
        <v>4.0590322580645148</v>
      </c>
      <c r="K29" s="588">
        <f>'Agosto-23'!E130</f>
        <v>3.5412903225806454</v>
      </c>
      <c r="L29" s="549">
        <f>'Setembro-23'!E127</f>
        <v>3.7076666666666664</v>
      </c>
      <c r="M29" s="565">
        <f>'Outubro-23'!E118</f>
        <v>3.4280645161290324</v>
      </c>
      <c r="N29" s="565">
        <f>'Novembro-23'!E108</f>
        <v>2.4553333333333334</v>
      </c>
      <c r="O29" s="565">
        <f>'Dezembro-23'!E142</f>
        <v>3.4854838709677418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</row>
    <row r="30" spans="1:39" x14ac:dyDescent="0.25">
      <c r="A30" s="329" t="s">
        <v>358</v>
      </c>
      <c r="B30" s="336">
        <f t="shared" si="3"/>
        <v>3.0172277265745011</v>
      </c>
      <c r="C30" s="1042">
        <f t="shared" si="4"/>
        <v>30.172277265745009</v>
      </c>
      <c r="D30" s="588">
        <f>'Janeiro-23'!E128</f>
        <v>4.2141935483870965</v>
      </c>
      <c r="E30" s="587">
        <f>'Fevereiro-23'!E129</f>
        <v>2.9146428571428573</v>
      </c>
      <c r="F30" s="587">
        <f>'Março-23'!E130</f>
        <v>1.6529032258064515</v>
      </c>
      <c r="G30" s="549">
        <f>'Abril-23'!E130</f>
        <v>3.2030000000000003</v>
      </c>
      <c r="H30" s="549">
        <f>'Maio-23'!E141</f>
        <v>3.2746666666666671</v>
      </c>
      <c r="I30" s="588">
        <f>'Junho-23'!E125</f>
        <v>1.1263333333333334</v>
      </c>
      <c r="J30" s="549">
        <f>'Julho-23'!E122</f>
        <v>2.9670967741935481</v>
      </c>
      <c r="K30" s="588">
        <f>'Agosto-23'!E131</f>
        <v>0</v>
      </c>
      <c r="L30" s="549">
        <f>'Setembro-23'!E128</f>
        <v>2.2233333333333336</v>
      </c>
      <c r="M30" s="561">
        <f>'Outubro-23'!E119</f>
        <v>4.1509677419354842</v>
      </c>
      <c r="N30" s="565">
        <f>'Novembro-23'!E109</f>
        <v>1.9793333333333334</v>
      </c>
      <c r="O30" s="561">
        <f>'Dezembro-23'!E143</f>
        <v>2.4658064516129032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</row>
    <row r="31" spans="1:39" x14ac:dyDescent="0.25">
      <c r="A31" s="329" t="s">
        <v>2189</v>
      </c>
      <c r="B31" s="336">
        <f t="shared" si="3"/>
        <v>5.0771170762928834</v>
      </c>
      <c r="C31" s="1042">
        <f>D31+E31+F31+G31+H31+I31+J31+K31+L31+M31+N31+O31</f>
        <v>50.771170762928833</v>
      </c>
      <c r="D31" s="588">
        <f>'Janeiro-23'!E129</f>
        <v>3.7190322580645163</v>
      </c>
      <c r="E31" s="547">
        <f>'Fevereiro-23'!E130</f>
        <v>6.3753571428571423</v>
      </c>
      <c r="F31" s="587">
        <f>'Março-23'!E131</f>
        <v>3.6462365591397847</v>
      </c>
      <c r="G31" s="549">
        <f>'Abril-23'!E131</f>
        <v>3.7677777777777779</v>
      </c>
      <c r="H31" s="588">
        <f>'Maio-23'!E142</f>
        <v>3.7677777777777779</v>
      </c>
      <c r="I31" s="549">
        <f>'Junho-23'!E126</f>
        <v>7.2080000000000002</v>
      </c>
      <c r="J31" s="588">
        <f>'Julho-23'!E123</f>
        <v>2.5806451612903225</v>
      </c>
      <c r="K31" s="549">
        <f>'Agosto-23'!E132</f>
        <v>2.903225806451613</v>
      </c>
      <c r="L31" s="549">
        <f>'Setembro-23'!E129</f>
        <v>7.996666666666667</v>
      </c>
      <c r="M31" s="565">
        <f>'Outubro-23'!E120</f>
        <v>2.903225806451613</v>
      </c>
      <c r="N31" s="561">
        <f>'Novembro-23'!E110</f>
        <v>3</v>
      </c>
      <c r="O31" s="565">
        <f>'Dezembro-23'!E144</f>
        <v>2.903225806451613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</row>
    <row r="32" spans="1:39" x14ac:dyDescent="0.25">
      <c r="A32" s="329" t="s">
        <v>53</v>
      </c>
      <c r="B32" s="336">
        <f t="shared" si="3"/>
        <v>52.857592508960565</v>
      </c>
      <c r="C32" s="1042">
        <f t="shared" si="4"/>
        <v>528.57592508960568</v>
      </c>
      <c r="D32" s="588">
        <f>'Janeiro-23'!E130</f>
        <v>33.71</v>
      </c>
      <c r="E32" s="587">
        <f>'Fevereiro-23'!E131</f>
        <v>23.964166666666667</v>
      </c>
      <c r="F32" s="587">
        <f>'Março-23'!E132</f>
        <v>16.322473118279571</v>
      </c>
      <c r="G32" s="549">
        <f>'Abril-23'!E132</f>
        <v>24.055333333333333</v>
      </c>
      <c r="H32" s="588">
        <f>'Maio-23'!E143</f>
        <v>10.644422222222223</v>
      </c>
      <c r="I32" s="588">
        <f>'Junho-23'!E127</f>
        <v>9.6444222222222233</v>
      </c>
      <c r="J32" s="588">
        <f>'Julho-23'!E124</f>
        <v>8.0429892473118283</v>
      </c>
      <c r="K32" s="549">
        <f>'Agosto-23'!E133</f>
        <v>127.24741935483871</v>
      </c>
      <c r="L32" s="588">
        <f>'Setembro-23'!E130</f>
        <v>78.402333333333345</v>
      </c>
      <c r="M32" s="565">
        <f>'Outubro-23'!E121</f>
        <v>61.854838709677416</v>
      </c>
      <c r="N32" s="561">
        <f>'Novembro-23'!E111</f>
        <v>64.083333333333329</v>
      </c>
      <c r="O32" s="565">
        <f>'Dezembro-23'!E145</f>
        <v>70.604193548387101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</row>
    <row r="33" spans="1:39" x14ac:dyDescent="0.25">
      <c r="A33" s="906" t="s">
        <v>2149</v>
      </c>
      <c r="B33" s="336">
        <f t="shared" si="3"/>
        <v>0</v>
      </c>
      <c r="C33" s="1042">
        <f t="shared" si="4"/>
        <v>0</v>
      </c>
      <c r="D33" s="588">
        <f>'Janeiro-23'!E131</f>
        <v>0</v>
      </c>
      <c r="E33" s="587">
        <f>'Fevereiro-23'!E132</f>
        <v>0</v>
      </c>
      <c r="F33" s="587">
        <f>'Março-23'!E133</f>
        <v>0</v>
      </c>
      <c r="G33" s="588">
        <f>'Abril-23'!E133</f>
        <v>0</v>
      </c>
      <c r="H33" s="588">
        <f>'Maio-23'!E144</f>
        <v>0</v>
      </c>
      <c r="I33" s="588">
        <f>'Junho-23'!E128</f>
        <v>0</v>
      </c>
      <c r="J33" s="588">
        <f>'Julho-23'!E125</f>
        <v>0</v>
      </c>
      <c r="K33" s="588">
        <f>'Agosto-23'!E134</f>
        <v>0</v>
      </c>
      <c r="L33" s="588">
        <f>'Setembro-23'!E131</f>
        <v>0</v>
      </c>
      <c r="M33" s="565">
        <f>'Outubro-23'!E122</f>
        <v>0</v>
      </c>
      <c r="N33" s="565">
        <f>'Novembro-23'!E112</f>
        <v>0</v>
      </c>
      <c r="O33" s="565">
        <f>'Dezembro-23'!E146</f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 x14ac:dyDescent="0.25">
      <c r="A34" s="329" t="s">
        <v>3048</v>
      </c>
      <c r="B34" s="336">
        <f t="shared" ca="1" si="3"/>
        <v>9.2822371735791087</v>
      </c>
      <c r="C34" s="1042">
        <f ca="1">D34+E34+F34+G34+H34+I34+J34+K34+L34+M34+N34+O34</f>
        <v>92.82237173579108</v>
      </c>
      <c r="D34" s="588">
        <f ca="1">'Janeiro-23'!E132</f>
        <v>22.451612903225808</v>
      </c>
      <c r="E34" s="587">
        <f ca="1">'Fevereiro-23'!E133</f>
        <v>2.2142857142857144</v>
      </c>
      <c r="F34" s="587">
        <f ca="1">'Março-23'!E134</f>
        <v>0.64516129032258063</v>
      </c>
      <c r="G34" s="549">
        <f ca="1">'Abril-23'!E134</f>
        <v>4.7</v>
      </c>
      <c r="H34" s="549">
        <f ca="1">'Maio-23'!E145</f>
        <v>8.1533333333333324</v>
      </c>
      <c r="I34" s="588">
        <f ca="1">'Junho-23'!E129</f>
        <v>1.4666666666666666</v>
      </c>
      <c r="J34" s="588">
        <f ca="1">'Julho-23'!E126</f>
        <v>0.80645161290322576</v>
      </c>
      <c r="K34" s="549">
        <f ca="1">'Agosto-23'!E135</f>
        <v>1.8677419354838709</v>
      </c>
      <c r="L34" s="549">
        <f ca="1">'Setembro-23'!E132</f>
        <v>17.434000000000001</v>
      </c>
      <c r="M34" s="565">
        <f ca="1">'Outubro-23'!E123</f>
        <v>4.67741935483871</v>
      </c>
      <c r="N34" s="561">
        <f ca="1">'Novembro-23'!E113</f>
        <v>12.166666666666666</v>
      </c>
      <c r="O34" s="565">
        <f ca="1">'Dezembro-23'!E147</f>
        <v>16.239032258064515</v>
      </c>
    </row>
    <row r="35" spans="1:39" x14ac:dyDescent="0.25">
      <c r="A35" s="329" t="s">
        <v>1686</v>
      </c>
      <c r="B35" s="336">
        <f t="shared" si="3"/>
        <v>9.3703038914490531</v>
      </c>
      <c r="C35" s="1042">
        <f t="shared" ref="C35:C41" si="5">D35+E35+F35+G35+H35+I35+J35+K35+L35+M35+N35+O35</f>
        <v>93.703038914490534</v>
      </c>
      <c r="D35" s="588">
        <f>'Janeiro-23'!E133</f>
        <v>13.548387096774194</v>
      </c>
      <c r="E35" s="587">
        <f>'Fevereiro-23'!E134</f>
        <v>5.8571428571428568</v>
      </c>
      <c r="F35" s="547">
        <f>'Março-23'!E135</f>
        <v>7.806451612903226</v>
      </c>
      <c r="G35" s="549">
        <f>'Abril-23'!E135</f>
        <v>8.629999999999999</v>
      </c>
      <c r="H35" s="549">
        <f>'Maio-23'!E146</f>
        <v>9.1666666666666661</v>
      </c>
      <c r="I35" s="588">
        <f>'Junho-23'!E130</f>
        <v>2.7333333333333334</v>
      </c>
      <c r="J35" s="549">
        <f>'Julho-23'!E127</f>
        <v>9.7741935483870961</v>
      </c>
      <c r="K35" s="588">
        <f>'Agosto-23'!E136</f>
        <v>8.4946236559139798</v>
      </c>
      <c r="L35" s="588">
        <f>'Setembro-23'!E133</f>
        <v>6.4444444444444446</v>
      </c>
      <c r="M35" s="565">
        <f>'Outubro-23'!E124</f>
        <v>5.075268817204301</v>
      </c>
      <c r="N35" s="565">
        <f>'Novembro-23'!E114</f>
        <v>2.9833333333333334</v>
      </c>
      <c r="O35" s="565">
        <f>'Dezembro-23'!E148</f>
        <v>13.189193548387097</v>
      </c>
    </row>
    <row r="36" spans="1:39" x14ac:dyDescent="0.25">
      <c r="A36" s="329" t="s">
        <v>418</v>
      </c>
      <c r="B36" s="336">
        <f t="shared" si="3"/>
        <v>3.4508248847926266</v>
      </c>
      <c r="C36" s="1042">
        <f>D36+E36+F36+G36+H36+I36+J36+K36+L36+M36+N36+O36</f>
        <v>34.508248847926268</v>
      </c>
      <c r="D36" s="588">
        <f>'Janeiro-23'!E134</f>
        <v>9.0151612903225793</v>
      </c>
      <c r="E36" s="547">
        <f>'Fevereiro-23'!E135</f>
        <v>12.478571428571428</v>
      </c>
      <c r="F36" s="587">
        <f>'Março-23'!E136</f>
        <v>2.3225806451612905</v>
      </c>
      <c r="G36" s="588">
        <f>'Abril-23'!E136</f>
        <v>1.9666666666666666</v>
      </c>
      <c r="H36" s="588">
        <f>'Maio-23'!E147</f>
        <v>1.9666666666666666</v>
      </c>
      <c r="I36" s="588">
        <f>'Junho-23'!E131</f>
        <v>0.31666666666666665</v>
      </c>
      <c r="J36" s="588">
        <f>'Julho-23'!E128</f>
        <v>0</v>
      </c>
      <c r="K36" s="588">
        <f>'Agosto-23'!E137</f>
        <v>0</v>
      </c>
      <c r="L36" s="588">
        <f>'Setembro-23'!E134</f>
        <v>0</v>
      </c>
      <c r="M36" s="565">
        <f>'Outubro-23'!E125</f>
        <v>0</v>
      </c>
      <c r="N36" s="565">
        <f>'Novembro-23'!E115</f>
        <v>0</v>
      </c>
      <c r="O36" s="565">
        <f>'Dezembro-23'!E149</f>
        <v>6.4419354838709681</v>
      </c>
    </row>
    <row r="37" spans="1:39" x14ac:dyDescent="0.25">
      <c r="A37" s="329" t="s">
        <v>419</v>
      </c>
      <c r="B37" s="336">
        <f t="shared" si="3"/>
        <v>32.452912749615976</v>
      </c>
      <c r="C37" s="1042">
        <f t="shared" si="5"/>
        <v>324.52912749615973</v>
      </c>
      <c r="D37" s="588">
        <f>'Janeiro-23'!E135</f>
        <v>27.416129032258063</v>
      </c>
      <c r="E37" s="587">
        <f>'Fevereiro-23'!E136</f>
        <v>26.421428571428571</v>
      </c>
      <c r="F37" s="547">
        <f>'Março-23'!E137</f>
        <v>29.538387096774194</v>
      </c>
      <c r="G37" s="549">
        <f>'Abril-23'!E137</f>
        <v>30.670333333333335</v>
      </c>
      <c r="H37" s="588">
        <f>'Maio-23'!E148</f>
        <v>22.896333333333335</v>
      </c>
      <c r="I37" s="549">
        <f>'Junho-23'!E132</f>
        <v>26.666666666666668</v>
      </c>
      <c r="J37" s="588">
        <f>'Julho-23'!E129</f>
        <v>26.967741935483872</v>
      </c>
      <c r="K37" s="588">
        <f>'Agosto-23'!E138</f>
        <v>21.563225806451616</v>
      </c>
      <c r="L37" s="549">
        <f>'Setembro-23'!E135</f>
        <v>26.282</v>
      </c>
      <c r="M37" s="565">
        <f>'Outubro-23'!E126</f>
        <v>25.322580645161292</v>
      </c>
      <c r="N37" s="565">
        <f>'Novembro-23'!E116</f>
        <v>22.333333333333332</v>
      </c>
      <c r="O37" s="565">
        <f>'Dezembro-23'!E150</f>
        <v>38.450967741935486</v>
      </c>
    </row>
    <row r="38" spans="1:39" x14ac:dyDescent="0.25">
      <c r="A38" s="329" t="s">
        <v>911</v>
      </c>
      <c r="B38" s="336">
        <f t="shared" si="3"/>
        <v>9.390354838709678</v>
      </c>
      <c r="C38" s="1042">
        <f t="shared" si="5"/>
        <v>93.903548387096777</v>
      </c>
      <c r="D38" s="588">
        <f>'Janeiro-23'!E136</f>
        <v>0.25806451612903225</v>
      </c>
      <c r="E38" s="587">
        <f>'Fevereiro-23'!E137</f>
        <v>0</v>
      </c>
      <c r="F38" s="547">
        <f>'Março-23'!E138</f>
        <v>3.806451612903226</v>
      </c>
      <c r="G38" s="588">
        <f>'Abril-23'!E138</f>
        <v>0</v>
      </c>
      <c r="H38" s="549">
        <f>'Maio-23'!E149</f>
        <v>16.259999999999998</v>
      </c>
      <c r="I38" s="588">
        <f>'Junho-23'!E133</f>
        <v>15.146666666666667</v>
      </c>
      <c r="J38" s="588">
        <f>'Julho-23'!E130</f>
        <v>1.6774193548387097</v>
      </c>
      <c r="K38" s="549">
        <f>'Agosto-23'!E139</f>
        <v>11.770967741935483</v>
      </c>
      <c r="L38" s="588">
        <f>'Setembro-23'!E136</f>
        <v>7.8966666666666665</v>
      </c>
      <c r="M38" s="565">
        <f>'Outubro-23'!E127</f>
        <v>6.9322580645161294</v>
      </c>
      <c r="N38" s="561">
        <f>'Novembro-23'!E117</f>
        <v>7.7966666666666669</v>
      </c>
      <c r="O38" s="565">
        <f>'Dezembro-23'!E151</f>
        <v>22.358387096774191</v>
      </c>
    </row>
    <row r="39" spans="1:39" x14ac:dyDescent="0.25">
      <c r="A39" s="329" t="s">
        <v>1526</v>
      </c>
      <c r="B39" s="336">
        <f t="shared" si="3"/>
        <v>6.0733334869431648</v>
      </c>
      <c r="C39" s="1042">
        <f t="shared" si="5"/>
        <v>60.733334869431644</v>
      </c>
      <c r="D39" s="588">
        <f>'Janeiro-23'!E137</f>
        <v>4.273870967741936</v>
      </c>
      <c r="E39" s="547">
        <f>'Fevereiro-23'!E138</f>
        <v>5.1585714285714284</v>
      </c>
      <c r="F39" s="587">
        <f>'Março-23'!E139</f>
        <v>4.9158064516129034</v>
      </c>
      <c r="G39" s="549">
        <f>'Abril-23'!E139</f>
        <v>4.9509999999999996</v>
      </c>
      <c r="H39" s="549">
        <f>'Maio-23'!E150</f>
        <v>5.2666666666666666</v>
      </c>
      <c r="I39" s="588">
        <f>'Junho-23'!E134</f>
        <v>5.2633333333333336</v>
      </c>
      <c r="J39" s="588">
        <f>'Julho-23'!E131</f>
        <v>5.096774193548387</v>
      </c>
      <c r="K39" s="588">
        <f>'Agosto-23'!E140</f>
        <v>5.0935483870967744</v>
      </c>
      <c r="L39" s="549">
        <f>'Setembro-23'!E137</f>
        <v>5.2633333333333336</v>
      </c>
      <c r="M39" s="565">
        <f>'Outubro-23'!E128</f>
        <v>5.0935483870967744</v>
      </c>
      <c r="N39" s="561">
        <f>'Novembro-23'!E118</f>
        <v>5.2633333333333336</v>
      </c>
      <c r="O39" s="565">
        <f>'Dezembro-23'!E152</f>
        <v>5.0935483870967744</v>
      </c>
    </row>
    <row r="40" spans="1:39" x14ac:dyDescent="0.25">
      <c r="A40" s="329" t="s">
        <v>2343</v>
      </c>
      <c r="B40" s="336">
        <f t="shared" si="3"/>
        <v>0</v>
      </c>
      <c r="C40" s="1043">
        <f t="shared" si="5"/>
        <v>0</v>
      </c>
      <c r="D40" s="588">
        <f>'Janeiro-23'!E138</f>
        <v>0</v>
      </c>
      <c r="E40" s="587">
        <f>'Fevereiro-23'!E139</f>
        <v>0</v>
      </c>
      <c r="F40" s="587">
        <f>'Março-23'!E140</f>
        <v>0</v>
      </c>
      <c r="G40" s="588">
        <f>'Abril-23'!E140</f>
        <v>0</v>
      </c>
      <c r="H40" s="588">
        <f>'Maio-23'!E151</f>
        <v>0</v>
      </c>
      <c r="I40" s="588">
        <f>'Junho-23'!E135</f>
        <v>0</v>
      </c>
      <c r="J40" s="588">
        <f>'Julho-23'!E132</f>
        <v>0</v>
      </c>
      <c r="K40" s="588">
        <f>'Agosto-23'!E141</f>
        <v>0</v>
      </c>
      <c r="L40" s="588">
        <f>'Setembro-23'!E138</f>
        <v>0</v>
      </c>
      <c r="M40" s="565">
        <f>'Outubro-23'!E129</f>
        <v>0</v>
      </c>
      <c r="N40" s="565">
        <f>'Novembro-23'!E119</f>
        <v>0</v>
      </c>
      <c r="O40" s="565">
        <f>'Dezembro-23'!E153</f>
        <v>0</v>
      </c>
    </row>
    <row r="41" spans="1:39" x14ac:dyDescent="0.25">
      <c r="A41" s="329" t="s">
        <v>3019</v>
      </c>
      <c r="B41" s="336">
        <f t="shared" si="3"/>
        <v>29.989321658986171</v>
      </c>
      <c r="C41" s="1043">
        <f t="shared" si="5"/>
        <v>299.89321658986171</v>
      </c>
      <c r="D41" s="588">
        <f>'Janeiro-23'!E139</f>
        <v>21.318709677419356</v>
      </c>
      <c r="E41" s="547">
        <f>'Fevereiro-23'!E140</f>
        <v>21.84357142857143</v>
      </c>
      <c r="F41" s="587">
        <f>'Março-23'!E141</f>
        <v>19.907419354838709</v>
      </c>
      <c r="G41" s="549">
        <f>'Abril-23'!E141</f>
        <v>20.581666666666667</v>
      </c>
      <c r="H41" s="588">
        <f>'Maio-23'!E152</f>
        <v>18.871666666666666</v>
      </c>
      <c r="I41" s="549">
        <f>'Junho-23'!E136</f>
        <v>18.901</v>
      </c>
      <c r="J41" s="588">
        <f>'Julho-23'!E133</f>
        <v>18.60483870967742</v>
      </c>
      <c r="K41" s="588">
        <f>'Agosto-23'!E142</f>
        <v>17.483870967741936</v>
      </c>
      <c r="L41" s="588">
        <f>'Setembro-23'!E139</f>
        <v>9.1546666666666656</v>
      </c>
      <c r="M41" s="561">
        <f>'Outubro-23'!E130</f>
        <v>117.00032258064518</v>
      </c>
      <c r="N41" s="565">
        <f>'Novembro-23'!E120</f>
        <v>8.4600000000000009</v>
      </c>
      <c r="O41" s="565">
        <f>'Dezembro-23'!E154</f>
        <v>7.7654838709677412</v>
      </c>
    </row>
    <row r="42" spans="1:39" x14ac:dyDescent="0.25">
      <c r="A42" s="329" t="s">
        <v>1527</v>
      </c>
      <c r="B42" s="336">
        <f t="shared" si="3"/>
        <v>13.535884869431644</v>
      </c>
      <c r="C42" s="1042">
        <f>D42+E42+F42+G42+H42+I42+J42+K42+L42+M42+N42+O42</f>
        <v>135.35884869431644</v>
      </c>
      <c r="D42" s="588">
        <f>'Janeiro-23'!E140</f>
        <v>13.6552688172043</v>
      </c>
      <c r="E42" s="587">
        <f>'Fevereiro-23'!E141</f>
        <v>9.0732142857142843</v>
      </c>
      <c r="F42" s="587">
        <f>'Março-23'!E142</f>
        <v>5.4509677419354841</v>
      </c>
      <c r="G42" s="549">
        <f>'Abril-23'!E142</f>
        <v>6.820333333333334</v>
      </c>
      <c r="H42" s="549">
        <f>'Maio-23'!E153</f>
        <v>11.105666666666666</v>
      </c>
      <c r="I42" s="588">
        <f>'Junho-23'!E137</f>
        <v>7.9060000000000006</v>
      </c>
      <c r="J42" s="549">
        <f>'Julho-23'!E134</f>
        <v>16.09225806451613</v>
      </c>
      <c r="K42" s="588">
        <f>'Agosto-23'!E143</f>
        <v>12.917741935483871</v>
      </c>
      <c r="L42" s="588">
        <f>'Setembro-23'!E140</f>
        <v>5.725666666666668</v>
      </c>
      <c r="M42" s="561">
        <f>'Outubro-23'!E131</f>
        <v>15.59064516129032</v>
      </c>
      <c r="N42" s="565">
        <f>'Novembro-23'!E121</f>
        <v>9.9836666666666662</v>
      </c>
      <c r="O42" s="565">
        <f>'Dezembro-23'!E155</f>
        <v>21.037419354838711</v>
      </c>
    </row>
    <row r="43" spans="1:39" ht="15.75" x14ac:dyDescent="0.25">
      <c r="A43" s="389" t="s">
        <v>361</v>
      </c>
      <c r="B43" s="551">
        <f ca="1">SUM(B25:B42)</f>
        <v>225.9838783000512</v>
      </c>
      <c r="C43" s="552">
        <f t="shared" ref="C43" ca="1" si="6">SUM(C25:C42)</f>
        <v>2259.8387830005117</v>
      </c>
      <c r="D43" s="552">
        <f t="shared" ref="D43:N43" ca="1" si="7">SUM(D25:D42)</f>
        <v>196.94010752688169</v>
      </c>
      <c r="E43" s="552">
        <f ca="1">SUM(E25:E42)</f>
        <v>164.04380952380953</v>
      </c>
      <c r="F43" s="552">
        <f t="shared" ca="1" si="7"/>
        <v>142.62322580645161</v>
      </c>
      <c r="G43" s="552">
        <f t="shared" ca="1" si="7"/>
        <v>152.66144444444444</v>
      </c>
      <c r="H43" s="552">
        <f t="shared" ca="1" si="7"/>
        <v>158.23586666666671</v>
      </c>
      <c r="I43" s="552">
        <f t="shared" ca="1" si="7"/>
        <v>143.11242222222222</v>
      </c>
      <c r="J43" s="552">
        <f t="shared" ca="1" si="7"/>
        <v>137.01944086021504</v>
      </c>
      <c r="K43" s="552">
        <f ca="1">SUM(K25:K42)</f>
        <v>254.88494623655916</v>
      </c>
      <c r="L43" s="552">
        <f t="shared" ca="1" si="7"/>
        <v>204.42511111111114</v>
      </c>
      <c r="M43" s="552">
        <f t="shared" ca="1" si="7"/>
        <v>288.3475268817204</v>
      </c>
      <c r="N43" s="552">
        <f t="shared" ca="1" si="7"/>
        <v>172.96633333333335</v>
      </c>
      <c r="O43" s="552">
        <f ca="1">SUM(O25:O42)</f>
        <v>244.57854838709673</v>
      </c>
    </row>
    <row r="44" spans="1:39" x14ac:dyDescent="0.25">
      <c r="F44" s="79"/>
    </row>
    <row r="45" spans="1:39" x14ac:dyDescent="0.25">
      <c r="F45" s="79"/>
    </row>
    <row r="46" spans="1:39" x14ac:dyDescent="0.25">
      <c r="F46" s="79"/>
    </row>
    <row r="47" spans="1:39" x14ac:dyDescent="0.25">
      <c r="B47" s="864" t="s">
        <v>5450</v>
      </c>
      <c r="C47" s="864" t="s">
        <v>5451</v>
      </c>
      <c r="F47" s="79"/>
    </row>
    <row r="48" spans="1:39" s="200" customFormat="1" ht="18" customHeight="1" x14ac:dyDescent="0.3">
      <c r="A48" s="198" t="s">
        <v>362</v>
      </c>
      <c r="B48" s="846">
        <v>5000</v>
      </c>
      <c r="C48" s="846">
        <v>5250</v>
      </c>
      <c r="E48" s="196"/>
      <c r="F48" s="196"/>
      <c r="G48" s="196"/>
      <c r="H48" s="196"/>
      <c r="I48" s="196"/>
      <c r="J48" s="196"/>
      <c r="K48" s="196"/>
      <c r="L48" s="196"/>
      <c r="M48" s="196"/>
    </row>
    <row r="49" spans="1:22" s="200" customFormat="1" ht="17.25" customHeight="1" x14ac:dyDescent="0.3">
      <c r="A49" s="198"/>
      <c r="I49" s="196"/>
      <c r="J49" s="196"/>
      <c r="K49" s="196"/>
      <c r="L49" s="196"/>
      <c r="M49" s="196"/>
      <c r="N49" s="196"/>
    </row>
    <row r="50" spans="1:22" ht="15.75" x14ac:dyDescent="0.25">
      <c r="A50" s="197" t="s">
        <v>5452</v>
      </c>
      <c r="B50" s="278" t="s">
        <v>5444</v>
      </c>
      <c r="C50" s="278" t="s">
        <v>345</v>
      </c>
      <c r="D50" s="195" t="s">
        <v>346</v>
      </c>
      <c r="E50" s="195" t="s">
        <v>347</v>
      </c>
      <c r="F50" s="195" t="s">
        <v>348</v>
      </c>
      <c r="G50" s="195" t="s">
        <v>349</v>
      </c>
      <c r="H50" s="195" t="s">
        <v>364</v>
      </c>
      <c r="I50" s="195" t="s">
        <v>351</v>
      </c>
      <c r="J50" s="195" t="s">
        <v>352</v>
      </c>
      <c r="K50" s="195" t="s">
        <v>353</v>
      </c>
      <c r="L50" s="195" t="s">
        <v>354</v>
      </c>
      <c r="M50" s="195" t="s">
        <v>355</v>
      </c>
      <c r="N50" s="195" t="s">
        <v>365</v>
      </c>
      <c r="O50" s="195" t="s">
        <v>357</v>
      </c>
      <c r="P50" s="193"/>
      <c r="Q50" s="193"/>
      <c r="R50" s="193"/>
      <c r="S50" s="193"/>
      <c r="T50" s="193"/>
      <c r="U50" s="193"/>
      <c r="V50" s="193"/>
    </row>
    <row r="51" spans="1:22" x14ac:dyDescent="0.25">
      <c r="A51" s="79" t="s">
        <v>366</v>
      </c>
      <c r="B51" s="633">
        <f>C51/12</f>
        <v>1836.1108333333334</v>
      </c>
      <c r="C51" s="633">
        <f t="shared" ref="C51:C59" si="8">D51+E51+F51+G51+H51+I51+J51+K51+L51+M51+N51+O51</f>
        <v>22033.33</v>
      </c>
      <c r="D51" s="1112">
        <v>1333.33</v>
      </c>
      <c r="E51" s="1112">
        <v>2000</v>
      </c>
      <c r="F51" s="1112">
        <v>2000</v>
      </c>
      <c r="G51" s="1112">
        <v>2000</v>
      </c>
      <c r="H51" s="1112">
        <v>2100</v>
      </c>
      <c r="I51" s="1112">
        <v>2100</v>
      </c>
      <c r="J51" s="1112">
        <v>2100</v>
      </c>
      <c r="K51" s="1112">
        <v>2100</v>
      </c>
      <c r="L51" s="1112">
        <v>2100</v>
      </c>
      <c r="M51" s="1112">
        <v>2100</v>
      </c>
      <c r="N51" s="1112">
        <v>2100</v>
      </c>
      <c r="O51" s="1112"/>
      <c r="P51" s="629"/>
      <c r="Q51" s="629"/>
      <c r="R51" s="629"/>
      <c r="S51" s="629"/>
      <c r="T51" s="629"/>
      <c r="U51" s="629"/>
      <c r="V51" s="629"/>
    </row>
    <row r="52" spans="1:22" x14ac:dyDescent="0.25">
      <c r="A52" s="79" t="s">
        <v>367</v>
      </c>
      <c r="B52" s="633">
        <f t="shared" ref="B52:B59" si="9">C52/12</f>
        <v>2017.9199999999998</v>
      </c>
      <c r="C52" s="633">
        <f t="shared" si="8"/>
        <v>24215.039999999997</v>
      </c>
      <c r="D52" s="1112">
        <v>1463.33</v>
      </c>
      <c r="E52" s="177">
        <v>2124.85</v>
      </c>
      <c r="F52" s="1112">
        <v>1730.3</v>
      </c>
      <c r="G52" s="1112">
        <v>2195.7399999999998</v>
      </c>
      <c r="H52" s="1112">
        <v>2111.5500000000002</v>
      </c>
      <c r="I52" s="1112">
        <v>2100.5500000000002</v>
      </c>
      <c r="J52" s="1112">
        <v>1822.14</v>
      </c>
      <c r="K52" s="1112">
        <v>2111.5500000000002</v>
      </c>
      <c r="L52" s="1112">
        <v>2111.5500000000002</v>
      </c>
      <c r="M52" s="1112">
        <v>2111.5500000000002</v>
      </c>
      <c r="N52" s="1112">
        <v>2111.5500000000002</v>
      </c>
      <c r="O52" s="1112">
        <v>2220.38</v>
      </c>
      <c r="P52" s="216"/>
      <c r="Q52" s="216"/>
      <c r="R52" s="216"/>
      <c r="S52" s="216"/>
      <c r="T52" s="216"/>
      <c r="U52" s="216"/>
      <c r="V52" s="216"/>
    </row>
    <row r="53" spans="1:22" x14ac:dyDescent="0.25">
      <c r="A53" s="79" t="s">
        <v>2506</v>
      </c>
      <c r="B53" s="633">
        <f t="shared" si="9"/>
        <v>100</v>
      </c>
      <c r="C53" s="633">
        <f t="shared" si="8"/>
        <v>1200</v>
      </c>
      <c r="D53" s="1112">
        <v>100</v>
      </c>
      <c r="E53" s="1112">
        <v>100</v>
      </c>
      <c r="F53" s="1112">
        <v>100</v>
      </c>
      <c r="G53" s="1112">
        <v>100</v>
      </c>
      <c r="H53" s="1112">
        <v>100</v>
      </c>
      <c r="I53" s="1112">
        <v>100</v>
      </c>
      <c r="J53" s="1112">
        <v>100</v>
      </c>
      <c r="K53" s="1112">
        <v>100</v>
      </c>
      <c r="L53" s="1112">
        <v>100</v>
      </c>
      <c r="M53" s="1112">
        <v>100</v>
      </c>
      <c r="N53" s="1112">
        <v>100</v>
      </c>
      <c r="O53" s="1113">
        <v>100</v>
      </c>
      <c r="P53" s="216"/>
      <c r="Q53" s="216"/>
      <c r="R53" s="216"/>
      <c r="S53" s="216"/>
      <c r="T53" s="216"/>
      <c r="U53" s="216"/>
      <c r="V53" s="216"/>
    </row>
    <row r="54" spans="1:22" x14ac:dyDescent="0.25">
      <c r="A54" s="79" t="s">
        <v>368</v>
      </c>
      <c r="B54" s="633">
        <f t="shared" si="9"/>
        <v>466.31833333333333</v>
      </c>
      <c r="C54" s="633">
        <f t="shared" si="8"/>
        <v>5595.82</v>
      </c>
      <c r="D54" s="1112"/>
      <c r="E54" s="1112"/>
      <c r="F54" s="1112"/>
      <c r="G54" s="1112"/>
      <c r="H54" s="1112"/>
      <c r="I54" s="1112"/>
      <c r="J54" s="1112"/>
      <c r="K54" s="1112"/>
      <c r="L54" s="1112"/>
      <c r="M54" s="1113"/>
      <c r="N54" s="1113"/>
      <c r="O54" s="1113">
        <v>5595.82</v>
      </c>
      <c r="P54" s="216"/>
      <c r="Q54" s="216"/>
      <c r="R54" s="216"/>
      <c r="S54" s="216"/>
      <c r="T54" s="216"/>
      <c r="U54" s="216"/>
      <c r="V54" s="216"/>
    </row>
    <row r="55" spans="1:22" x14ac:dyDescent="0.25">
      <c r="A55" s="79" t="s">
        <v>369</v>
      </c>
      <c r="B55" s="633">
        <f t="shared" si="9"/>
        <v>364.25833333333338</v>
      </c>
      <c r="C55" s="633">
        <f t="shared" si="8"/>
        <v>4371.1000000000004</v>
      </c>
      <c r="D55" s="1112"/>
      <c r="E55" s="1112"/>
      <c r="F55" s="1112"/>
      <c r="G55" s="1112"/>
      <c r="H55" s="1112"/>
      <c r="I55" s="1112"/>
      <c r="J55" s="1112"/>
      <c r="K55" s="1112"/>
      <c r="L55" s="1112"/>
      <c r="M55" s="1113"/>
      <c r="N55" s="1038">
        <v>2625</v>
      </c>
      <c r="O55" s="1113">
        <v>1746.1</v>
      </c>
      <c r="P55" s="216"/>
      <c r="Q55" s="216"/>
      <c r="R55" s="216"/>
      <c r="S55" s="216"/>
      <c r="T55" s="216"/>
      <c r="U55" s="216"/>
      <c r="V55" s="216"/>
    </row>
    <row r="56" spans="1:22" x14ac:dyDescent="0.25">
      <c r="A56" s="79" t="s">
        <v>5436</v>
      </c>
      <c r="B56" s="633">
        <f t="shared" si="9"/>
        <v>37.5</v>
      </c>
      <c r="C56" s="633">
        <f t="shared" si="8"/>
        <v>450</v>
      </c>
      <c r="D56" s="1112"/>
      <c r="E56" s="1112">
        <v>150</v>
      </c>
      <c r="F56" s="1112"/>
      <c r="G56" s="1112"/>
      <c r="H56" s="1112"/>
      <c r="I56" s="1112"/>
      <c r="J56" s="1112">
        <v>150</v>
      </c>
      <c r="K56" s="1112"/>
      <c r="L56" s="1112"/>
      <c r="M56" s="1113"/>
      <c r="N56" s="1038">
        <v>150</v>
      </c>
      <c r="O56" s="1113"/>
      <c r="P56" s="216"/>
      <c r="Q56" s="216"/>
      <c r="R56" s="216"/>
      <c r="S56" s="216"/>
      <c r="T56" s="216"/>
      <c r="U56" s="216"/>
      <c r="V56" s="216"/>
    </row>
    <row r="57" spans="1:22" x14ac:dyDescent="0.25">
      <c r="A57" s="79" t="s">
        <v>5437</v>
      </c>
      <c r="B57" s="633">
        <f t="shared" si="9"/>
        <v>465.1875</v>
      </c>
      <c r="C57" s="633">
        <f t="shared" si="8"/>
        <v>5582.25</v>
      </c>
      <c r="D57" s="1112"/>
      <c r="E57" s="1112"/>
      <c r="F57" s="1112"/>
      <c r="G57" s="1112"/>
      <c r="H57" s="1112"/>
      <c r="I57" s="1112"/>
      <c r="J57" s="1112"/>
      <c r="K57" s="1112"/>
      <c r="L57" s="1112"/>
      <c r="M57" s="1113">
        <v>5582.25</v>
      </c>
      <c r="N57" s="1038"/>
      <c r="O57" s="1113"/>
      <c r="P57" s="216"/>
      <c r="Q57" s="216"/>
      <c r="R57" s="216"/>
      <c r="S57" s="216"/>
      <c r="T57" s="216"/>
      <c r="U57" s="216"/>
      <c r="V57" s="216"/>
    </row>
    <row r="58" spans="1:22" x14ac:dyDescent="0.25">
      <c r="A58" s="79" t="s">
        <v>5453</v>
      </c>
      <c r="B58" s="633">
        <f t="shared" si="9"/>
        <v>41.705833333333338</v>
      </c>
      <c r="C58" s="633">
        <f t="shared" si="8"/>
        <v>500.47</v>
      </c>
      <c r="D58" s="1112"/>
      <c r="E58" s="1112"/>
      <c r="F58" s="1112"/>
      <c r="G58" s="1112"/>
      <c r="H58" s="1112">
        <v>500.47</v>
      </c>
      <c r="I58" s="1112"/>
      <c r="J58" s="1112"/>
      <c r="K58" s="1112"/>
      <c r="L58" s="1112"/>
      <c r="M58" s="1113"/>
      <c r="N58" s="1038"/>
      <c r="O58" s="1113"/>
      <c r="P58" s="216"/>
      <c r="Q58" s="216"/>
      <c r="R58" s="216"/>
      <c r="S58" s="216"/>
      <c r="T58" s="216"/>
      <c r="U58" s="216"/>
      <c r="V58" s="216"/>
    </row>
    <row r="59" spans="1:22" x14ac:dyDescent="0.25">
      <c r="A59" s="79" t="s">
        <v>5447</v>
      </c>
      <c r="B59" s="633">
        <f t="shared" si="9"/>
        <v>83.333333333333329</v>
      </c>
      <c r="C59" s="633">
        <f t="shared" si="8"/>
        <v>1000</v>
      </c>
      <c r="D59" s="1112"/>
      <c r="E59" s="1112"/>
      <c r="F59" s="1112"/>
      <c r="G59" s="1112"/>
      <c r="H59" s="1112"/>
      <c r="I59" s="1112"/>
      <c r="J59" s="1112"/>
      <c r="K59" s="1112"/>
      <c r="L59" s="1112"/>
      <c r="M59" s="1113"/>
      <c r="N59" s="1038"/>
      <c r="O59" s="1113">
        <v>1000</v>
      </c>
      <c r="P59" s="216"/>
      <c r="Q59" s="216"/>
      <c r="R59" s="216"/>
      <c r="S59" s="216"/>
      <c r="T59" s="216"/>
      <c r="U59" s="216"/>
      <c r="V59" s="216"/>
    </row>
    <row r="60" spans="1:22" ht="15.75" x14ac:dyDescent="0.25">
      <c r="A60" s="280" t="s">
        <v>361</v>
      </c>
      <c r="B60" s="206">
        <f>SUM(B51:B59)</f>
        <v>5412.3341666666665</v>
      </c>
      <c r="C60" s="206">
        <f>SUM(C51:C59)</f>
        <v>64948.009999999995</v>
      </c>
      <c r="D60" s="206">
        <f t="shared" ref="D60:N60" si="10">SUM(D51:D58)</f>
        <v>2896.66</v>
      </c>
      <c r="E60" s="206">
        <f t="shared" si="10"/>
        <v>4374.8500000000004</v>
      </c>
      <c r="F60" s="206">
        <f t="shared" si="10"/>
        <v>3830.3</v>
      </c>
      <c r="G60" s="206">
        <f t="shared" si="10"/>
        <v>4295.74</v>
      </c>
      <c r="H60" s="206">
        <f t="shared" si="10"/>
        <v>4812.0200000000004</v>
      </c>
      <c r="I60" s="206">
        <f t="shared" si="10"/>
        <v>4300.55</v>
      </c>
      <c r="J60" s="206">
        <f t="shared" si="10"/>
        <v>4172.1400000000003</v>
      </c>
      <c r="K60" s="206">
        <f t="shared" si="10"/>
        <v>4311.55</v>
      </c>
      <c r="L60" s="206">
        <f t="shared" si="10"/>
        <v>4311.55</v>
      </c>
      <c r="M60" s="206">
        <f t="shared" si="10"/>
        <v>9893.7999999999993</v>
      </c>
      <c r="N60" s="206">
        <f t="shared" si="10"/>
        <v>7086.55</v>
      </c>
      <c r="O60" s="206">
        <f>SUM(O51:O59)</f>
        <v>10662.3</v>
      </c>
      <c r="P60" s="633"/>
      <c r="Q60" s="633"/>
      <c r="R60" s="633"/>
      <c r="S60" s="633"/>
      <c r="T60" s="633"/>
      <c r="U60" s="633"/>
      <c r="V60" s="633"/>
    </row>
    <row r="61" spans="1:22" ht="15.75" x14ac:dyDescent="0.25">
      <c r="A61" s="280"/>
      <c r="B61" s="206"/>
      <c r="C61" s="216"/>
      <c r="D61" s="865"/>
      <c r="E61" s="1112"/>
      <c r="F61" s="865"/>
      <c r="G61" s="865"/>
      <c r="H61" s="865"/>
      <c r="I61" s="865"/>
      <c r="J61" s="865"/>
      <c r="K61" s="865"/>
      <c r="L61" s="865"/>
      <c r="M61" s="865"/>
      <c r="N61" s="865"/>
      <c r="O61" s="865"/>
      <c r="P61" s="633"/>
      <c r="Q61" s="633"/>
      <c r="R61" s="633"/>
      <c r="S61" s="633"/>
      <c r="T61" s="633"/>
      <c r="U61" s="633"/>
      <c r="V61" s="633"/>
    </row>
    <row r="62" spans="1:22" x14ac:dyDescent="0.25">
      <c r="B62" s="206"/>
      <c r="C62" s="865"/>
      <c r="D62" s="865"/>
      <c r="E62" s="865"/>
      <c r="F62" s="865"/>
      <c r="G62" s="865"/>
      <c r="H62" s="865"/>
      <c r="I62" s="865"/>
      <c r="J62" s="865"/>
      <c r="K62" s="865"/>
      <c r="L62" s="865"/>
      <c r="M62" s="865"/>
      <c r="N62" s="865"/>
      <c r="O62" s="865"/>
      <c r="P62" s="865"/>
      <c r="Q62" s="865"/>
      <c r="R62" s="865"/>
      <c r="S62" s="865"/>
      <c r="T62" s="865"/>
      <c r="U62" s="865"/>
      <c r="V62" s="865"/>
    </row>
    <row r="63" spans="1:22" x14ac:dyDescent="0.25">
      <c r="B63" s="206"/>
      <c r="C63" s="865"/>
      <c r="D63" s="865"/>
      <c r="E63" s="865"/>
      <c r="F63" s="865"/>
      <c r="G63" s="865"/>
      <c r="H63" s="865"/>
      <c r="I63" s="865"/>
      <c r="J63" s="865"/>
      <c r="K63" s="865"/>
      <c r="L63" s="865"/>
      <c r="M63" s="865"/>
      <c r="N63" s="865"/>
      <c r="O63" s="865"/>
      <c r="P63" s="216"/>
      <c r="Q63" s="216"/>
      <c r="R63" s="216"/>
      <c r="S63" s="216"/>
      <c r="T63" s="216"/>
      <c r="U63" s="216"/>
      <c r="V63" s="216"/>
    </row>
    <row r="64" spans="1:22" ht="17.25" customHeight="1" x14ac:dyDescent="0.3">
      <c r="A64" s="353" t="s">
        <v>5448</v>
      </c>
      <c r="B64" s="200" t="s">
        <v>381</v>
      </c>
      <c r="C64" s="1094" t="s">
        <v>382</v>
      </c>
      <c r="D64" s="355" t="s">
        <v>383</v>
      </c>
    </row>
    <row r="65" spans="1:9" ht="18.75" x14ac:dyDescent="0.3">
      <c r="A65" s="353">
        <f>B60</f>
        <v>5412.3341666666665</v>
      </c>
      <c r="B65" s="329" t="s">
        <v>32</v>
      </c>
      <c r="C65" s="338">
        <f t="shared" ref="C65:C81" si="11">B3</f>
        <v>407.82666666666665</v>
      </c>
      <c r="D65" s="225">
        <f>C65/A65</f>
        <v>7.5351346407688244E-2</v>
      </c>
      <c r="F65" s="801"/>
      <c r="G65" s="629"/>
      <c r="I65" s="629"/>
    </row>
    <row r="66" spans="1:9" x14ac:dyDescent="0.25">
      <c r="B66" s="329" t="s">
        <v>2187</v>
      </c>
      <c r="C66" s="338">
        <f t="shared" si="11"/>
        <v>458.33333333333331</v>
      </c>
      <c r="D66" s="225">
        <f>C66/A65</f>
        <v>8.4683118081677944E-2</v>
      </c>
      <c r="E66" s="177"/>
      <c r="F66" s="801"/>
      <c r="G66" s="629"/>
      <c r="I66" s="629"/>
    </row>
    <row r="67" spans="1:9" x14ac:dyDescent="0.25">
      <c r="B67" s="329" t="s">
        <v>2188</v>
      </c>
      <c r="C67" s="338">
        <f t="shared" si="11"/>
        <v>0</v>
      </c>
      <c r="D67" s="225">
        <f>C67/A65</f>
        <v>0</v>
      </c>
      <c r="E67" s="177"/>
      <c r="F67" s="801"/>
      <c r="G67" s="629"/>
      <c r="I67" s="629"/>
    </row>
    <row r="68" spans="1:9" x14ac:dyDescent="0.25">
      <c r="B68" s="329" t="s">
        <v>50</v>
      </c>
      <c r="C68" s="338">
        <f t="shared" si="11"/>
        <v>309.32</v>
      </c>
      <c r="D68" s="225">
        <f>C68/A65</f>
        <v>5.7150942730962814E-2</v>
      </c>
      <c r="E68" s="177"/>
      <c r="F68" s="801"/>
      <c r="G68" s="629"/>
      <c r="I68" s="629"/>
    </row>
    <row r="69" spans="1:9" x14ac:dyDescent="0.25">
      <c r="B69" s="329" t="s">
        <v>14</v>
      </c>
      <c r="C69" s="338">
        <f t="shared" si="11"/>
        <v>125.20666666666666</v>
      </c>
      <c r="D69" s="225">
        <f>C69/A65</f>
        <v>2.3133580228247179E-2</v>
      </c>
      <c r="E69" s="177"/>
      <c r="F69" s="801"/>
      <c r="G69" s="629"/>
      <c r="I69" s="629"/>
    </row>
    <row r="70" spans="1:9" x14ac:dyDescent="0.25">
      <c r="B70" s="329" t="s">
        <v>358</v>
      </c>
      <c r="C70" s="338">
        <f t="shared" si="11"/>
        <v>76.232500000000002</v>
      </c>
      <c r="D70" s="225">
        <f>C70/A65</f>
        <v>1.4084958107261486E-2</v>
      </c>
      <c r="E70" s="177"/>
      <c r="F70" s="801"/>
      <c r="G70" s="629"/>
      <c r="I70" s="629"/>
    </row>
    <row r="71" spans="1:9" x14ac:dyDescent="0.25">
      <c r="B71" s="329" t="s">
        <v>2189</v>
      </c>
      <c r="C71" s="338">
        <f t="shared" si="11"/>
        <v>127.42</v>
      </c>
      <c r="D71" s="225">
        <f>C71/A65</f>
        <v>2.354252270392888E-2</v>
      </c>
      <c r="E71" s="177"/>
      <c r="F71" s="801"/>
      <c r="G71" s="629"/>
      <c r="I71" s="629"/>
    </row>
    <row r="72" spans="1:9" x14ac:dyDescent="0.25">
      <c r="B72" s="329" t="s">
        <v>53</v>
      </c>
      <c r="C72" s="338">
        <f t="shared" si="11"/>
        <v>1343.927611111111</v>
      </c>
      <c r="D72" s="225">
        <f>C72/A65</f>
        <v>0.2483083212762536</v>
      </c>
      <c r="E72" s="177"/>
      <c r="F72" s="801"/>
      <c r="G72" s="629"/>
      <c r="I72" s="629"/>
    </row>
    <row r="73" spans="1:9" x14ac:dyDescent="0.25">
      <c r="B73" s="906" t="s">
        <v>2149</v>
      </c>
      <c r="C73" s="338">
        <f t="shared" si="11"/>
        <v>0</v>
      </c>
      <c r="D73" s="225">
        <f>C73/A65</f>
        <v>0</v>
      </c>
      <c r="E73" s="177"/>
      <c r="F73" s="801"/>
      <c r="G73" s="629"/>
      <c r="I73" s="629"/>
    </row>
    <row r="74" spans="1:9" x14ac:dyDescent="0.25">
      <c r="B74" s="329" t="s">
        <v>56</v>
      </c>
      <c r="C74" s="338">
        <f t="shared" ca="1" si="11"/>
        <v>235.57749999999999</v>
      </c>
      <c r="D74" s="225">
        <f ca="1">C74/A65</f>
        <v>4.3526044908843244E-2</v>
      </c>
      <c r="E74" s="177"/>
      <c r="F74" s="801"/>
      <c r="G74" s="629"/>
      <c r="I74" s="629"/>
    </row>
    <row r="75" spans="1:9" ht="14.25" customHeight="1" x14ac:dyDescent="0.25">
      <c r="B75" s="329" t="s">
        <v>1686</v>
      </c>
      <c r="C75" s="338">
        <f t="shared" si="11"/>
        <v>238.10541666666668</v>
      </c>
      <c r="D75" s="225">
        <f>C75/A65</f>
        <v>4.39931107973901E-2</v>
      </c>
      <c r="F75" s="801"/>
      <c r="G75" s="629"/>
      <c r="I75" s="629"/>
    </row>
    <row r="76" spans="1:9" x14ac:dyDescent="0.25">
      <c r="B76" s="329" t="s">
        <v>418</v>
      </c>
      <c r="C76" s="338">
        <f t="shared" si="11"/>
        <v>85.672499999999999</v>
      </c>
      <c r="D76" s="225">
        <f>C76/A65</f>
        <v>1.5829122401132843E-2</v>
      </c>
      <c r="F76" s="801"/>
      <c r="G76" s="629"/>
      <c r="I76" s="629"/>
    </row>
    <row r="77" spans="1:9" x14ac:dyDescent="0.25">
      <c r="B77" s="329" t="s">
        <v>419</v>
      </c>
      <c r="C77" s="338">
        <f t="shared" si="11"/>
        <v>821.0241666666667</v>
      </c>
      <c r="D77" s="225">
        <f>C77/A65</f>
        <v>0.15169502498998816</v>
      </c>
      <c r="F77" s="801"/>
    </row>
    <row r="78" spans="1:9" x14ac:dyDescent="0.25">
      <c r="B78" s="329" t="s">
        <v>911</v>
      </c>
      <c r="C78" s="338">
        <f t="shared" si="11"/>
        <v>238.65916666666666</v>
      </c>
      <c r="D78" s="225">
        <f>C78/A65</f>
        <v>4.4095423400963327E-2</v>
      </c>
    </row>
    <row r="79" spans="1:9" x14ac:dyDescent="0.25">
      <c r="B79" s="329" t="s">
        <v>1526</v>
      </c>
      <c r="C79" s="338">
        <f t="shared" si="11"/>
        <v>153.43750000000003</v>
      </c>
      <c r="D79" s="225">
        <f>C79/A65</f>
        <v>2.8349598394161735E-2</v>
      </c>
      <c r="E79" s="85" t="s">
        <v>280</v>
      </c>
    </row>
    <row r="80" spans="1:9" x14ac:dyDescent="0.25">
      <c r="B80" s="329" t="s">
        <v>2343</v>
      </c>
      <c r="C80" s="338">
        <f t="shared" si="11"/>
        <v>0</v>
      </c>
      <c r="D80" s="225">
        <f>C80/A65</f>
        <v>0</v>
      </c>
    </row>
    <row r="81" spans="2:4" x14ac:dyDescent="0.25">
      <c r="B81" s="329" t="s">
        <v>3019</v>
      </c>
      <c r="C81" s="338">
        <f t="shared" si="11"/>
        <v>762.93249999999989</v>
      </c>
      <c r="D81" s="225">
        <f>C81/A65</f>
        <v>0.14096182469639945</v>
      </c>
    </row>
    <row r="82" spans="2:4" x14ac:dyDescent="0.25">
      <c r="B82" s="329" t="s">
        <v>1527</v>
      </c>
      <c r="C82" s="338">
        <f>B20</f>
        <v>343.9469444444444</v>
      </c>
      <c r="D82" s="225">
        <f>C82/A65</f>
        <v>6.3548726640482639E-2</v>
      </c>
    </row>
    <row r="83" spans="2:4" x14ac:dyDescent="0.25">
      <c r="C83" s="867"/>
      <c r="D83" s="1122"/>
    </row>
    <row r="84" spans="2:4" ht="18.75" x14ac:dyDescent="0.3">
      <c r="B84" s="200" t="s">
        <v>388</v>
      </c>
      <c r="C84" s="1095">
        <f ca="1">SUM(C65:C82)</f>
        <v>5727.6224722222214</v>
      </c>
      <c r="D84" s="1087">
        <f ca="1">SUM(D65:D82)</f>
        <v>1.0582536657653816</v>
      </c>
    </row>
  </sheetData>
  <pageMargins left="0.78740157499999996" right="0.78740157499999996" top="0.984251969" bottom="0.984251969" header="0.49212598499999999" footer="0.49212598499999999"/>
  <pageSetup paperSize="9" orientation="landscape" horizontalDpi="4294967294" r:id="rId2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654F3-1AC0-481C-8BDC-2058760A994F}">
  <sheetPr codeName="Planilha14"/>
  <dimension ref="A1:AP276"/>
  <sheetViews>
    <sheetView zoomScale="85" zoomScaleNormal="85" workbookViewId="0">
      <pane ySplit="5" topLeftCell="A99" activePane="bottomLeft" state="frozen"/>
      <selection pane="bottomLeft" activeCell="G111" sqref="G11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6351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7</v>
      </c>
      <c r="I2" s="3086"/>
      <c r="J2" s="3085" t="s">
        <v>3173</v>
      </c>
      <c r="K2" s="3086"/>
      <c r="L2" s="3085" t="s">
        <v>1637</v>
      </c>
      <c r="M2" s="3086"/>
      <c r="N2" s="3085" t="s">
        <v>6116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45292</v>
      </c>
      <c r="B5" s="369" t="s">
        <v>10</v>
      </c>
      <c r="C5" s="370"/>
      <c r="D5" s="370"/>
      <c r="E5" s="777"/>
      <c r="F5" s="179"/>
      <c r="G5" s="933">
        <f>'Dezembro-23'!G135</f>
        <v>862.27325000003293</v>
      </c>
      <c r="H5" s="163"/>
      <c r="I5" s="1479">
        <f>'Dezembro-23'!I135</f>
        <v>5999.9959999999992</v>
      </c>
      <c r="J5" s="179"/>
      <c r="K5" s="933">
        <f>'Dezembro-23'!K135</f>
        <v>25758.870000000003</v>
      </c>
      <c r="L5" s="179"/>
      <c r="M5" s="933">
        <f>'Dezembro-23'!M135</f>
        <v>5403.550000000002</v>
      </c>
      <c r="N5" s="179"/>
      <c r="O5" s="1479">
        <f>'Outubro-23'!O111</f>
        <v>0</v>
      </c>
      <c r="P5" s="179"/>
      <c r="Q5" s="933">
        <f>'Dezembro-23'!Q135</f>
        <v>50036.965984720002</v>
      </c>
    </row>
    <row r="6" spans="1:42" s="224" customFormat="1" x14ac:dyDescent="0.25">
      <c r="A6" s="247">
        <v>45292</v>
      </c>
      <c r="B6" s="348" t="s">
        <v>11</v>
      </c>
      <c r="C6" s="351"/>
      <c r="D6" s="351"/>
      <c r="E6" s="673"/>
      <c r="F6" s="538">
        <v>20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45292</v>
      </c>
      <c r="B7" s="882" t="s">
        <v>4049</v>
      </c>
      <c r="C7" s="879" t="s">
        <v>12</v>
      </c>
      <c r="D7" s="879" t="s">
        <v>1523</v>
      </c>
      <c r="E7" s="875" t="s">
        <v>13</v>
      </c>
      <c r="F7" s="780">
        <v>100</v>
      </c>
      <c r="G7" s="982"/>
      <c r="H7" s="95"/>
      <c r="I7" s="1064"/>
      <c r="J7" s="622"/>
      <c r="K7" s="982"/>
      <c r="L7" s="622"/>
      <c r="M7" s="982"/>
      <c r="N7" s="622"/>
      <c r="O7" s="1063"/>
      <c r="P7" s="622"/>
      <c r="Q7" s="982"/>
      <c r="R7" s="1956"/>
    </row>
    <row r="8" spans="1:42" s="224" customFormat="1" ht="15" customHeight="1" x14ac:dyDescent="0.25">
      <c r="A8" s="247">
        <v>45292</v>
      </c>
      <c r="B8" s="882" t="s">
        <v>147</v>
      </c>
      <c r="C8" s="879" t="s">
        <v>12</v>
      </c>
      <c r="D8" s="879" t="s">
        <v>1506</v>
      </c>
      <c r="E8" s="875" t="s">
        <v>13</v>
      </c>
      <c r="F8" s="780">
        <v>25</v>
      </c>
      <c r="G8" s="982"/>
      <c r="H8" s="95"/>
      <c r="I8" s="1064"/>
      <c r="J8" s="622"/>
      <c r="K8" s="982"/>
      <c r="L8" s="622"/>
      <c r="M8" s="982"/>
      <c r="N8" s="622"/>
      <c r="O8" s="1063"/>
      <c r="P8" s="622"/>
      <c r="Q8" s="982"/>
      <c r="R8" s="1956"/>
    </row>
    <row r="9" spans="1:42" s="224" customFormat="1" x14ac:dyDescent="0.25">
      <c r="A9" s="247">
        <v>45292</v>
      </c>
      <c r="B9" s="882" t="s">
        <v>2595</v>
      </c>
      <c r="C9" s="879" t="s">
        <v>12</v>
      </c>
      <c r="D9" s="879" t="s">
        <v>1506</v>
      </c>
      <c r="E9" s="875" t="s">
        <v>13</v>
      </c>
      <c r="F9" s="780">
        <v>15</v>
      </c>
      <c r="G9" s="982"/>
      <c r="H9" s="1008"/>
      <c r="I9" s="1063"/>
      <c r="J9" s="622"/>
      <c r="K9" s="982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47">
        <v>45292</v>
      </c>
      <c r="B10" s="882" t="s">
        <v>14</v>
      </c>
      <c r="C10" s="879" t="s">
        <v>12</v>
      </c>
      <c r="D10" s="879" t="s">
        <v>1486</v>
      </c>
      <c r="E10" s="875" t="s">
        <v>13</v>
      </c>
      <c r="F10" s="780">
        <v>7.48</v>
      </c>
      <c r="G10" s="982"/>
      <c r="H10" s="95"/>
      <c r="I10" s="1064"/>
      <c r="J10" s="622"/>
      <c r="K10" s="982"/>
      <c r="L10" s="622"/>
      <c r="M10" s="982"/>
      <c r="N10" s="622"/>
      <c r="O10" s="1063"/>
      <c r="P10" s="622"/>
      <c r="Q10" s="982"/>
      <c r="R10" s="1956"/>
    </row>
    <row r="11" spans="1:42" s="224" customFormat="1" x14ac:dyDescent="0.25">
      <c r="A11" s="247">
        <v>45292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1279">
        <v>8.94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47">
        <v>45293</v>
      </c>
      <c r="B12" s="882" t="s">
        <v>4050</v>
      </c>
      <c r="C12" s="879" t="s">
        <v>12</v>
      </c>
      <c r="D12" s="879" t="s">
        <v>1523</v>
      </c>
      <c r="E12" s="875" t="s">
        <v>13</v>
      </c>
      <c r="F12" s="613">
        <v>79.84</v>
      </c>
      <c r="G12" s="967"/>
      <c r="H12" s="1008"/>
      <c r="I12" s="1063"/>
      <c r="J12" s="2013"/>
      <c r="K12" s="1207"/>
      <c r="L12" s="880"/>
      <c r="M12" s="1033"/>
      <c r="N12" s="880"/>
      <c r="O12" s="1525"/>
      <c r="P12" s="613"/>
      <c r="Q12" s="162"/>
      <c r="R12" s="1956" t="s">
        <v>3292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45293</v>
      </c>
      <c r="B13" s="882" t="s">
        <v>4051</v>
      </c>
      <c r="C13" s="879" t="s">
        <v>12</v>
      </c>
      <c r="D13" s="879" t="s">
        <v>1523</v>
      </c>
      <c r="E13" s="875" t="s">
        <v>13</v>
      </c>
      <c r="F13" s="613">
        <v>176.14</v>
      </c>
      <c r="G13" s="967"/>
      <c r="H13" s="1008"/>
      <c r="I13" s="1063"/>
      <c r="J13" s="2013"/>
      <c r="K13" s="1207"/>
      <c r="L13" s="880"/>
      <c r="M13" s="1033"/>
      <c r="N13" s="880"/>
      <c r="O13" s="1525"/>
      <c r="P13" s="613"/>
      <c r="Q13" s="162"/>
      <c r="R13" s="1956" t="s">
        <v>3292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45293</v>
      </c>
      <c r="B14" s="882" t="s">
        <v>4052</v>
      </c>
      <c r="C14" s="879" t="s">
        <v>12</v>
      </c>
      <c r="D14" s="879" t="s">
        <v>2157</v>
      </c>
      <c r="E14" s="875" t="s">
        <v>13</v>
      </c>
      <c r="F14" s="613">
        <v>120.62</v>
      </c>
      <c r="G14" s="967"/>
      <c r="H14" s="1008"/>
      <c r="I14" s="1063"/>
      <c r="J14" s="2013"/>
      <c r="K14" s="1207"/>
      <c r="L14" s="880"/>
      <c r="M14" s="1033"/>
      <c r="N14" s="880"/>
      <c r="O14" s="1525"/>
      <c r="P14" s="613"/>
      <c r="Q14" s="162"/>
      <c r="R14" s="1956" t="s">
        <v>3292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45294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613">
        <v>25</v>
      </c>
      <c r="G15" s="967"/>
      <c r="H15" s="1008"/>
      <c r="I15" s="1063"/>
      <c r="J15" s="2013"/>
      <c r="K15" s="1207"/>
      <c r="L15" s="880"/>
      <c r="M15" s="1033"/>
      <c r="N15" s="880"/>
      <c r="O15" s="1525"/>
      <c r="P15" s="613"/>
      <c r="Q15" s="162"/>
      <c r="R15" s="1956" t="s">
        <v>3292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x14ac:dyDescent="0.25">
      <c r="A16" s="247">
        <v>45295</v>
      </c>
      <c r="B16" s="882" t="s">
        <v>4053</v>
      </c>
      <c r="C16" s="879" t="s">
        <v>12</v>
      </c>
      <c r="D16" s="879" t="s">
        <v>1523</v>
      </c>
      <c r="E16" s="875" t="s">
        <v>13</v>
      </c>
      <c r="F16" s="1279">
        <v>11</v>
      </c>
      <c r="G16" s="982"/>
      <c r="H16" s="1008"/>
      <c r="I16" s="1063"/>
      <c r="J16" s="622"/>
      <c r="K16" s="982"/>
      <c r="L16" s="622"/>
      <c r="M16" s="982"/>
      <c r="N16" s="622"/>
      <c r="O16" s="1063"/>
      <c r="P16" s="622"/>
      <c r="Q16" s="982"/>
      <c r="R16" s="861"/>
      <c r="T16" s="878"/>
    </row>
    <row r="17" spans="1:42" s="224" customFormat="1" ht="15" customHeight="1" x14ac:dyDescent="0.25">
      <c r="A17" s="247">
        <v>45295</v>
      </c>
      <c r="B17" s="882" t="s">
        <v>4054</v>
      </c>
      <c r="C17" s="879" t="s">
        <v>12</v>
      </c>
      <c r="D17" s="879" t="s">
        <v>1506</v>
      </c>
      <c r="E17" s="875" t="s">
        <v>13</v>
      </c>
      <c r="F17" s="780">
        <v>35</v>
      </c>
      <c r="G17" s="982"/>
      <c r="H17" s="95"/>
      <c r="I17" s="1064"/>
      <c r="J17" s="880"/>
      <c r="K17" s="982"/>
      <c r="L17" s="622"/>
      <c r="M17" s="982"/>
      <c r="N17" s="622"/>
      <c r="O17" s="1063"/>
      <c r="P17" s="622"/>
      <c r="Q17" s="982"/>
      <c r="R17" s="1956"/>
    </row>
    <row r="18" spans="1:42" s="224" customFormat="1" x14ac:dyDescent="0.25">
      <c r="A18" s="247">
        <v>45295</v>
      </c>
      <c r="B18" s="882" t="s">
        <v>4055</v>
      </c>
      <c r="C18" s="879" t="s">
        <v>12</v>
      </c>
      <c r="D18" s="879" t="s">
        <v>1493</v>
      </c>
      <c r="E18" s="875" t="s">
        <v>13</v>
      </c>
      <c r="F18" s="1279">
        <v>14</v>
      </c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ht="15" customHeight="1" x14ac:dyDescent="0.25">
      <c r="A19" s="247">
        <v>45296</v>
      </c>
      <c r="B19" s="882" t="s">
        <v>32</v>
      </c>
      <c r="C19" s="879" t="s">
        <v>12</v>
      </c>
      <c r="D19" s="879" t="s">
        <v>1485</v>
      </c>
      <c r="E19" s="875" t="s">
        <v>13</v>
      </c>
      <c r="F19" s="780">
        <v>20</v>
      </c>
      <c r="G19" s="982"/>
      <c r="H19" s="1008"/>
      <c r="I19" s="1063"/>
      <c r="J19" s="622"/>
      <c r="K19" s="982"/>
      <c r="L19" s="622"/>
      <c r="M19" s="982"/>
      <c r="N19" s="622"/>
      <c r="O19" s="1063"/>
      <c r="P19" s="622"/>
      <c r="Q19" s="982"/>
      <c r="R19" s="861"/>
      <c r="T19" s="1035"/>
    </row>
    <row r="20" spans="1:42" s="224" customFormat="1" ht="15.75" customHeight="1" x14ac:dyDescent="0.25">
      <c r="A20" s="247">
        <v>45296</v>
      </c>
      <c r="B20" s="873" t="s">
        <v>4056</v>
      </c>
      <c r="C20" s="879" t="s">
        <v>12</v>
      </c>
      <c r="D20" s="874"/>
      <c r="E20" s="871" t="s">
        <v>25</v>
      </c>
      <c r="F20" s="1524"/>
      <c r="G20" s="1002">
        <v>2220.38</v>
      </c>
      <c r="H20" s="538"/>
      <c r="I20" s="982"/>
      <c r="J20" s="622"/>
      <c r="K20" s="982"/>
      <c r="L20" s="622"/>
      <c r="M20" s="982"/>
      <c r="N20" s="622"/>
      <c r="O20" s="1063"/>
      <c r="P20" s="622"/>
      <c r="Q20" s="982"/>
      <c r="R20" s="178"/>
    </row>
    <row r="21" spans="1:42" s="224" customFormat="1" ht="15" customHeight="1" x14ac:dyDescent="0.25">
      <c r="A21" s="247">
        <v>45296</v>
      </c>
      <c r="B21" s="364" t="s">
        <v>4057</v>
      </c>
      <c r="C21" s="879" t="s">
        <v>12</v>
      </c>
      <c r="D21" s="879"/>
      <c r="E21" s="875" t="s">
        <v>25</v>
      </c>
      <c r="F21" s="780"/>
      <c r="G21" s="982"/>
      <c r="H21" s="622"/>
      <c r="I21" s="982"/>
      <c r="J21" s="622"/>
      <c r="K21" s="982"/>
      <c r="L21" s="622"/>
      <c r="M21" s="982"/>
      <c r="N21" s="622"/>
      <c r="O21" s="1063"/>
      <c r="P21" s="622"/>
      <c r="Q21" s="982">
        <v>695.33</v>
      </c>
      <c r="R21" s="927"/>
      <c r="S21" s="927"/>
      <c r="T21" s="878"/>
    </row>
    <row r="22" spans="1:42" s="224" customFormat="1" ht="15" customHeight="1" x14ac:dyDescent="0.25">
      <c r="A22" s="247">
        <v>45296</v>
      </c>
      <c r="B22" s="364" t="s">
        <v>1396</v>
      </c>
      <c r="C22" s="879" t="s">
        <v>12</v>
      </c>
      <c r="D22" s="350"/>
      <c r="E22" s="480" t="s">
        <v>25</v>
      </c>
      <c r="F22" s="613"/>
      <c r="G22" s="967">
        <v>100</v>
      </c>
      <c r="H22" s="1008"/>
      <c r="I22" s="1063"/>
      <c r="J22" s="1116"/>
      <c r="K22" s="1207"/>
      <c r="L22" s="622"/>
      <c r="M22" s="982"/>
      <c r="N22" s="622"/>
      <c r="O22" s="1063"/>
      <c r="P22" s="1116"/>
      <c r="Q22" s="1207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45296</v>
      </c>
      <c r="B23" s="862" t="s">
        <v>3422</v>
      </c>
      <c r="C23" s="879" t="s">
        <v>12</v>
      </c>
      <c r="D23" s="879" t="s">
        <v>1504</v>
      </c>
      <c r="E23" s="875" t="s">
        <v>13</v>
      </c>
      <c r="F23" s="780">
        <v>50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178"/>
      <c r="S23" s="1028"/>
      <c r="T23" s="1035"/>
    </row>
    <row r="24" spans="1:42" s="224" customFormat="1" ht="15" customHeight="1" x14ac:dyDescent="0.25">
      <c r="A24" s="247">
        <v>45296</v>
      </c>
      <c r="B24" s="882" t="s">
        <v>4044</v>
      </c>
      <c r="C24" s="879" t="s">
        <v>12</v>
      </c>
      <c r="D24" s="879" t="s">
        <v>1499</v>
      </c>
      <c r="E24" s="875" t="s">
        <v>13</v>
      </c>
      <c r="F24" s="780">
        <v>48.4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1028"/>
      <c r="S24" s="999"/>
      <c r="T24" s="878"/>
    </row>
    <row r="25" spans="1:42" s="224" customFormat="1" ht="15" customHeight="1" x14ac:dyDescent="0.25">
      <c r="A25" s="247">
        <v>45296</v>
      </c>
      <c r="B25" s="364" t="s">
        <v>2977</v>
      </c>
      <c r="C25" s="879" t="s">
        <v>12</v>
      </c>
      <c r="D25" s="350" t="s">
        <v>1491</v>
      </c>
      <c r="E25" s="875" t="s">
        <v>13</v>
      </c>
      <c r="F25" s="780">
        <v>330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1028"/>
      <c r="T25" s="1035"/>
    </row>
    <row r="26" spans="1:42" s="224" customFormat="1" ht="15" customHeight="1" x14ac:dyDescent="0.25">
      <c r="A26" s="247">
        <v>45296</v>
      </c>
      <c r="B26" s="364" t="s">
        <v>3942</v>
      </c>
      <c r="C26" s="879" t="s">
        <v>12</v>
      </c>
      <c r="D26" s="350" t="s">
        <v>1491</v>
      </c>
      <c r="E26" s="875" t="s">
        <v>13</v>
      </c>
      <c r="F26" s="780">
        <v>70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1028"/>
      <c r="T26" s="1035"/>
    </row>
    <row r="27" spans="1:42" x14ac:dyDescent="0.25">
      <c r="A27" s="247">
        <v>45296</v>
      </c>
      <c r="B27" s="876" t="s">
        <v>3844</v>
      </c>
      <c r="C27" s="879" t="s">
        <v>12</v>
      </c>
      <c r="D27" s="879" t="s">
        <v>1496</v>
      </c>
      <c r="E27" s="875" t="s">
        <v>13</v>
      </c>
      <c r="F27" s="780">
        <v>90</v>
      </c>
      <c r="G27" s="982"/>
      <c r="H27" s="1009"/>
      <c r="I27" s="1063"/>
      <c r="J27" s="622"/>
      <c r="K27" s="982"/>
      <c r="L27" s="622"/>
      <c r="M27" s="982"/>
      <c r="N27" s="622"/>
      <c r="O27" s="1063"/>
      <c r="P27" s="622"/>
      <c r="Q27" s="982"/>
      <c r="R27" s="1029"/>
    </row>
    <row r="28" spans="1:42" s="224" customFormat="1" ht="14.25" customHeight="1" x14ac:dyDescent="0.25">
      <c r="A28" s="247">
        <v>45296</v>
      </c>
      <c r="B28" s="882" t="s">
        <v>4045</v>
      </c>
      <c r="C28" s="879" t="s">
        <v>12</v>
      </c>
      <c r="D28" s="879" t="s">
        <v>3017</v>
      </c>
      <c r="E28" s="875" t="s">
        <v>13</v>
      </c>
      <c r="F28" s="780">
        <v>541.28</v>
      </c>
      <c r="G28" s="982"/>
      <c r="H28" s="1008"/>
      <c r="I28" s="1063"/>
      <c r="J28" s="622"/>
      <c r="K28" s="982">
        <v>541.28</v>
      </c>
      <c r="L28" s="622"/>
      <c r="M28" s="982"/>
      <c r="N28" s="622"/>
      <c r="O28" s="1063"/>
      <c r="P28" s="622"/>
      <c r="Q28" s="982"/>
      <c r="R28" s="955">
        <v>500</v>
      </c>
      <c r="S28" s="878" t="s">
        <v>3897</v>
      </c>
      <c r="T28" s="1035"/>
    </row>
    <row r="29" spans="1:42" s="224" customFormat="1" ht="15" customHeight="1" x14ac:dyDescent="0.25">
      <c r="A29" s="247">
        <v>45296</v>
      </c>
      <c r="B29" s="873" t="s">
        <v>4046</v>
      </c>
      <c r="C29" s="879" t="s">
        <v>12</v>
      </c>
      <c r="D29" s="874" t="s">
        <v>1523</v>
      </c>
      <c r="E29" s="875" t="s">
        <v>13</v>
      </c>
      <c r="F29" s="780">
        <v>147</v>
      </c>
      <c r="G29" s="982"/>
      <c r="H29" s="622"/>
      <c r="I29" s="982"/>
      <c r="J29" s="622"/>
      <c r="K29" s="982"/>
      <c r="L29" s="622"/>
      <c r="M29" s="982"/>
      <c r="N29" s="622"/>
      <c r="O29" s="1063"/>
      <c r="P29" s="622"/>
      <c r="Q29" s="982"/>
      <c r="R29" s="1280" t="s">
        <v>3970</v>
      </c>
      <c r="S29" s="927"/>
      <c r="T29" s="878"/>
    </row>
    <row r="30" spans="1:42" s="224" customFormat="1" x14ac:dyDescent="0.25">
      <c r="A30" s="247">
        <v>45297</v>
      </c>
      <c r="B30" s="882" t="s">
        <v>4053</v>
      </c>
      <c r="C30" s="879" t="s">
        <v>12</v>
      </c>
      <c r="D30" s="879" t="s">
        <v>1523</v>
      </c>
      <c r="E30" s="875" t="s">
        <v>13</v>
      </c>
      <c r="F30" s="1279">
        <v>11</v>
      </c>
      <c r="G30" s="982"/>
      <c r="H30" s="1008"/>
      <c r="I30" s="1063"/>
      <c r="J30" s="622"/>
      <c r="K30" s="982"/>
      <c r="L30" s="622"/>
      <c r="M30" s="982"/>
      <c r="N30" s="622"/>
      <c r="O30" s="1063"/>
      <c r="P30" s="622"/>
      <c r="Q30" s="982"/>
      <c r="R30" s="861"/>
      <c r="T30" s="878"/>
    </row>
    <row r="31" spans="1:42" s="224" customFormat="1" x14ac:dyDescent="0.25">
      <c r="A31" s="247">
        <v>45297</v>
      </c>
      <c r="B31" s="882" t="s">
        <v>4058</v>
      </c>
      <c r="C31" s="879" t="s">
        <v>12</v>
      </c>
      <c r="D31" s="879" t="s">
        <v>1523</v>
      </c>
      <c r="E31" s="875" t="s">
        <v>15</v>
      </c>
      <c r="F31" s="1279">
        <v>10</v>
      </c>
      <c r="G31" s="982"/>
      <c r="H31" s="1008"/>
      <c r="I31" s="1063"/>
      <c r="J31" s="622"/>
      <c r="K31" s="982"/>
      <c r="L31" s="622"/>
      <c r="M31" s="982"/>
      <c r="N31" s="622"/>
      <c r="O31" s="1063"/>
      <c r="P31" s="622"/>
      <c r="Q31" s="982"/>
      <c r="R31" s="861"/>
      <c r="T31" s="878"/>
    </row>
    <row r="32" spans="1:42" s="224" customFormat="1" ht="15" customHeight="1" x14ac:dyDescent="0.25">
      <c r="A32" s="247">
        <v>45297</v>
      </c>
      <c r="B32" s="873" t="s">
        <v>4059</v>
      </c>
      <c r="C32" s="879" t="s">
        <v>12</v>
      </c>
      <c r="D32" s="874" t="s">
        <v>1523</v>
      </c>
      <c r="E32" s="875" t="s">
        <v>13</v>
      </c>
      <c r="F32" s="780">
        <v>70</v>
      </c>
      <c r="G32" s="982"/>
      <c r="H32" s="622"/>
      <c r="I32" s="982"/>
      <c r="J32" s="622"/>
      <c r="K32" s="982"/>
      <c r="L32" s="622"/>
      <c r="M32" s="982"/>
      <c r="N32" s="622"/>
      <c r="O32" s="1063"/>
      <c r="P32" s="622"/>
      <c r="Q32" s="982"/>
      <c r="R32" s="1280"/>
      <c r="S32" s="927"/>
      <c r="T32" s="878"/>
    </row>
    <row r="33" spans="1:42" s="224" customFormat="1" x14ac:dyDescent="0.25">
      <c r="A33" s="247">
        <v>45297</v>
      </c>
      <c r="B33" s="882" t="s">
        <v>4060</v>
      </c>
      <c r="C33" s="879" t="s">
        <v>12</v>
      </c>
      <c r="D33" s="879" t="s">
        <v>1493</v>
      </c>
      <c r="E33" s="875" t="s">
        <v>13</v>
      </c>
      <c r="F33" s="1873">
        <v>40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861"/>
      <c r="T33" s="878"/>
    </row>
    <row r="34" spans="1:42" s="224" customFormat="1" ht="15" customHeight="1" x14ac:dyDescent="0.25">
      <c r="A34" s="247">
        <v>45297</v>
      </c>
      <c r="B34" s="873" t="s">
        <v>4061</v>
      </c>
      <c r="C34" s="879" t="s">
        <v>12</v>
      </c>
      <c r="D34" s="879" t="s">
        <v>1493</v>
      </c>
      <c r="E34" s="875" t="s">
        <v>13</v>
      </c>
      <c r="F34" s="780">
        <v>20</v>
      </c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982"/>
      <c r="R34" s="1280"/>
      <c r="S34" s="927"/>
      <c r="T34" s="878"/>
    </row>
    <row r="35" spans="1:42" s="224" customFormat="1" x14ac:dyDescent="0.25">
      <c r="A35" s="247">
        <v>45298</v>
      </c>
      <c r="B35" s="882" t="s">
        <v>4053</v>
      </c>
      <c r="C35" s="879" t="s">
        <v>12</v>
      </c>
      <c r="D35" s="879" t="s">
        <v>1523</v>
      </c>
      <c r="E35" s="875" t="s">
        <v>13</v>
      </c>
      <c r="F35" s="1279">
        <v>11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861"/>
      <c r="T35" s="878"/>
    </row>
    <row r="36" spans="1:42" s="224" customFormat="1" ht="15" customHeight="1" x14ac:dyDescent="0.25">
      <c r="A36" s="247">
        <v>45298</v>
      </c>
      <c r="B36" s="873" t="s">
        <v>4062</v>
      </c>
      <c r="C36" s="879" t="s">
        <v>12</v>
      </c>
      <c r="D36" s="874" t="s">
        <v>1523</v>
      </c>
      <c r="E36" s="875" t="s">
        <v>13</v>
      </c>
      <c r="F36" s="780">
        <v>40</v>
      </c>
      <c r="G36" s="982"/>
      <c r="H36" s="622"/>
      <c r="I36" s="982"/>
      <c r="J36" s="622"/>
      <c r="K36" s="982"/>
      <c r="L36" s="622"/>
      <c r="M36" s="982"/>
      <c r="N36" s="622"/>
      <c r="O36" s="1063"/>
      <c r="P36" s="622"/>
      <c r="Q36" s="982"/>
      <c r="R36" s="1280"/>
      <c r="S36" s="927"/>
      <c r="T36" s="878"/>
    </row>
    <row r="37" spans="1:42" s="224" customFormat="1" ht="15" customHeight="1" x14ac:dyDescent="0.25">
      <c r="A37" s="247">
        <v>45298</v>
      </c>
      <c r="B37" s="882" t="s">
        <v>4060</v>
      </c>
      <c r="C37" s="879" t="s">
        <v>12</v>
      </c>
      <c r="D37" s="879" t="s">
        <v>1493</v>
      </c>
      <c r="E37" s="875" t="s">
        <v>13</v>
      </c>
      <c r="F37" s="1873">
        <v>40</v>
      </c>
      <c r="G37" s="982"/>
      <c r="H37" s="622"/>
      <c r="I37" s="982"/>
      <c r="J37" s="622"/>
      <c r="K37" s="982"/>
      <c r="L37" s="622"/>
      <c r="M37" s="982"/>
      <c r="N37" s="622"/>
      <c r="O37" s="1063"/>
      <c r="P37" s="622"/>
      <c r="Q37" s="982"/>
      <c r="R37" s="1280"/>
      <c r="S37" s="927"/>
      <c r="T37" s="878"/>
    </row>
    <row r="38" spans="1:42" s="224" customFormat="1" ht="15" customHeight="1" x14ac:dyDescent="0.25">
      <c r="A38" s="247">
        <v>45299</v>
      </c>
      <c r="B38" s="882" t="s">
        <v>256</v>
      </c>
      <c r="C38" s="879"/>
      <c r="D38" s="879"/>
      <c r="E38" s="875"/>
      <c r="F38" s="780"/>
      <c r="G38" s="982">
        <v>500</v>
      </c>
      <c r="H38" s="622">
        <v>500</v>
      </c>
      <c r="I38" s="982"/>
      <c r="J38" s="622"/>
      <c r="K38" s="982"/>
      <c r="L38" s="622"/>
      <c r="M38" s="982"/>
      <c r="N38" s="622"/>
      <c r="O38" s="1063"/>
      <c r="P38" s="880"/>
      <c r="Q38" s="1033"/>
      <c r="R38" s="927"/>
      <c r="T38" s="878"/>
    </row>
    <row r="39" spans="1:42" s="224" customFormat="1" x14ac:dyDescent="0.25">
      <c r="A39" s="247">
        <v>45299</v>
      </c>
      <c r="B39" s="882" t="s">
        <v>4053</v>
      </c>
      <c r="C39" s="879" t="s">
        <v>12</v>
      </c>
      <c r="D39" s="879" t="s">
        <v>1523</v>
      </c>
      <c r="E39" s="875" t="s">
        <v>13</v>
      </c>
      <c r="F39" s="1279">
        <v>11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861"/>
      <c r="T39" s="878"/>
    </row>
    <row r="40" spans="1:42" s="224" customFormat="1" x14ac:dyDescent="0.25">
      <c r="A40" s="247">
        <v>45299</v>
      </c>
      <c r="B40" s="882" t="s">
        <v>4058</v>
      </c>
      <c r="C40" s="879" t="s">
        <v>12</v>
      </c>
      <c r="D40" s="879" t="s">
        <v>1523</v>
      </c>
      <c r="E40" s="875" t="s">
        <v>15</v>
      </c>
      <c r="F40" s="1279">
        <v>10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861"/>
      <c r="T40" s="878"/>
    </row>
    <row r="41" spans="1:42" s="224" customFormat="1" ht="15" customHeight="1" x14ac:dyDescent="0.25">
      <c r="A41" s="247">
        <v>45299</v>
      </c>
      <c r="B41" s="873" t="s">
        <v>4059</v>
      </c>
      <c r="C41" s="879" t="s">
        <v>12</v>
      </c>
      <c r="D41" s="874" t="s">
        <v>1523</v>
      </c>
      <c r="E41" s="875" t="s">
        <v>13</v>
      </c>
      <c r="F41" s="780">
        <v>60</v>
      </c>
      <c r="G41" s="982"/>
      <c r="H41" s="622"/>
      <c r="I41" s="982"/>
      <c r="J41" s="622"/>
      <c r="K41" s="982"/>
      <c r="L41" s="622"/>
      <c r="M41" s="982"/>
      <c r="N41" s="622"/>
      <c r="O41" s="1063"/>
      <c r="P41" s="622"/>
      <c r="Q41" s="982"/>
      <c r="R41" s="927"/>
      <c r="S41" s="927"/>
      <c r="T41" s="878"/>
    </row>
    <row r="42" spans="1:42" s="224" customFormat="1" ht="15" customHeight="1" x14ac:dyDescent="0.25">
      <c r="A42" s="247">
        <v>45299</v>
      </c>
      <c r="B42" s="1688" t="s">
        <v>4063</v>
      </c>
      <c r="C42" s="879" t="s">
        <v>12</v>
      </c>
      <c r="D42" s="874" t="s">
        <v>1523</v>
      </c>
      <c r="E42" s="875" t="s">
        <v>13</v>
      </c>
      <c r="F42" s="780">
        <v>60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927"/>
      <c r="S42" s="927"/>
      <c r="T42" s="878"/>
    </row>
    <row r="43" spans="1:42" s="224" customFormat="1" ht="15" customHeight="1" x14ac:dyDescent="0.25">
      <c r="A43" s="247">
        <v>45299</v>
      </c>
      <c r="B43" s="1688" t="s">
        <v>4064</v>
      </c>
      <c r="C43" s="879" t="s">
        <v>12</v>
      </c>
      <c r="D43" s="874" t="s">
        <v>1489</v>
      </c>
      <c r="E43" s="875" t="s">
        <v>13</v>
      </c>
      <c r="F43" s="780">
        <v>12</v>
      </c>
      <c r="G43" s="982"/>
      <c r="H43" s="622"/>
      <c r="I43" s="982"/>
      <c r="J43" s="622"/>
      <c r="K43" s="982"/>
      <c r="L43" s="622"/>
      <c r="M43" s="982"/>
      <c r="N43" s="622"/>
      <c r="O43" s="1063"/>
      <c r="P43" s="622"/>
      <c r="Q43" s="982"/>
      <c r="R43" s="927"/>
      <c r="S43" s="927"/>
      <c r="T43" s="878"/>
    </row>
    <row r="44" spans="1:42" s="224" customFormat="1" ht="15" customHeight="1" x14ac:dyDescent="0.25">
      <c r="A44" s="247">
        <v>45300</v>
      </c>
      <c r="B44" s="1688" t="s">
        <v>4065</v>
      </c>
      <c r="C44" s="879" t="s">
        <v>12</v>
      </c>
      <c r="D44" s="874" t="s">
        <v>1523</v>
      </c>
      <c r="E44" s="875" t="s">
        <v>13</v>
      </c>
      <c r="F44" s="780">
        <v>100</v>
      </c>
      <c r="G44" s="982"/>
      <c r="H44" s="622"/>
      <c r="I44" s="982"/>
      <c r="J44" s="622"/>
      <c r="K44" s="982"/>
      <c r="L44" s="622"/>
      <c r="M44" s="982"/>
      <c r="N44" s="622"/>
      <c r="O44" s="1063"/>
      <c r="P44" s="622"/>
      <c r="Q44" s="982"/>
      <c r="R44" s="927"/>
      <c r="S44" s="927"/>
      <c r="T44" s="878"/>
    </row>
    <row r="45" spans="1:42" s="224" customFormat="1" ht="15" customHeight="1" x14ac:dyDescent="0.25">
      <c r="A45" s="247">
        <v>45300</v>
      </c>
      <c r="B45" s="1688" t="s">
        <v>4066</v>
      </c>
      <c r="C45" s="879" t="s">
        <v>12</v>
      </c>
      <c r="D45" s="874" t="s">
        <v>1523</v>
      </c>
      <c r="E45" s="875" t="s">
        <v>13</v>
      </c>
      <c r="F45" s="780">
        <v>60</v>
      </c>
      <c r="G45" s="982"/>
      <c r="H45" s="622"/>
      <c r="I45" s="982"/>
      <c r="J45" s="622"/>
      <c r="K45" s="982"/>
      <c r="L45" s="622"/>
      <c r="M45" s="982"/>
      <c r="N45" s="622"/>
      <c r="O45" s="1063"/>
      <c r="P45" s="622"/>
      <c r="Q45" s="982"/>
      <c r="R45" s="927"/>
      <c r="S45" s="927"/>
      <c r="T45" s="878"/>
    </row>
    <row r="46" spans="1:42" s="224" customFormat="1" ht="15" customHeight="1" x14ac:dyDescent="0.25">
      <c r="A46" s="247">
        <v>45300</v>
      </c>
      <c r="B46" s="1688" t="s">
        <v>4067</v>
      </c>
      <c r="C46" s="879" t="s">
        <v>12</v>
      </c>
      <c r="D46" s="874" t="s">
        <v>1523</v>
      </c>
      <c r="E46" s="875" t="s">
        <v>13</v>
      </c>
      <c r="F46" s="780">
        <v>19.350000000000001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927"/>
      <c r="S46" s="927"/>
      <c r="T46" s="878"/>
    </row>
    <row r="47" spans="1:42" s="224" customFormat="1" ht="15" customHeight="1" x14ac:dyDescent="0.25">
      <c r="A47" s="247">
        <v>45300</v>
      </c>
      <c r="B47" s="1688" t="s">
        <v>82</v>
      </c>
      <c r="C47" s="879" t="s">
        <v>12</v>
      </c>
      <c r="D47" s="874" t="s">
        <v>1493</v>
      </c>
      <c r="E47" s="875" t="s">
        <v>13</v>
      </c>
      <c r="F47" s="780">
        <v>43</v>
      </c>
      <c r="G47" s="982"/>
      <c r="H47" s="622"/>
      <c r="I47" s="982"/>
      <c r="J47" s="622"/>
      <c r="K47" s="982"/>
      <c r="L47" s="622"/>
      <c r="M47" s="982"/>
      <c r="N47" s="622"/>
      <c r="O47" s="1063"/>
      <c r="P47" s="622"/>
      <c r="Q47" s="982"/>
      <c r="R47" s="927"/>
      <c r="S47" s="927"/>
      <c r="T47" s="878"/>
    </row>
    <row r="48" spans="1:42" s="224" customFormat="1" ht="15" customHeight="1" x14ac:dyDescent="0.25">
      <c r="A48" s="247">
        <v>45301</v>
      </c>
      <c r="B48" s="364" t="s">
        <v>3354</v>
      </c>
      <c r="C48" s="879"/>
      <c r="D48" s="350"/>
      <c r="E48" s="480" t="s">
        <v>25</v>
      </c>
      <c r="F48" s="613"/>
      <c r="G48" s="967"/>
      <c r="H48" s="1008"/>
      <c r="I48" s="1063"/>
      <c r="J48" s="2014"/>
      <c r="K48" s="1207"/>
      <c r="L48" s="880"/>
      <c r="M48" s="1033"/>
      <c r="N48" s="880"/>
      <c r="O48" s="1525"/>
      <c r="P48" s="613"/>
      <c r="Q48" s="162">
        <v>157.96</v>
      </c>
      <c r="R48" s="1209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45301</v>
      </c>
      <c r="B49" s="1275" t="s">
        <v>4052</v>
      </c>
      <c r="C49" s="879" t="s">
        <v>12</v>
      </c>
      <c r="D49" s="1276" t="s">
        <v>2157</v>
      </c>
      <c r="E49" s="875" t="s">
        <v>13</v>
      </c>
      <c r="F49" s="780">
        <v>80</v>
      </c>
      <c r="G49" s="982"/>
      <c r="H49" s="622"/>
      <c r="I49" s="982"/>
      <c r="J49" s="622"/>
      <c r="K49" s="982"/>
      <c r="L49" s="622"/>
      <c r="M49" s="982"/>
      <c r="N49" s="622"/>
      <c r="O49" s="1063"/>
      <c r="P49" s="622"/>
      <c r="Q49" s="982"/>
      <c r="R49" s="927"/>
      <c r="S49" s="927"/>
      <c r="T49" s="878"/>
    </row>
    <row r="50" spans="1:42" s="224" customFormat="1" ht="15" customHeight="1" x14ac:dyDescent="0.25">
      <c r="A50" s="247">
        <v>45301</v>
      </c>
      <c r="B50" s="1275" t="s">
        <v>4052</v>
      </c>
      <c r="C50" s="879" t="s">
        <v>12</v>
      </c>
      <c r="D50" s="1276" t="s">
        <v>2157</v>
      </c>
      <c r="E50" s="875" t="s">
        <v>13</v>
      </c>
      <c r="F50" s="780">
        <v>116.3</v>
      </c>
      <c r="G50" s="982"/>
      <c r="H50" s="622"/>
      <c r="I50" s="982"/>
      <c r="J50" s="622"/>
      <c r="K50" s="982"/>
      <c r="L50" s="622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45301</v>
      </c>
      <c r="B51" s="882" t="s">
        <v>2629</v>
      </c>
      <c r="C51" s="879" t="s">
        <v>12</v>
      </c>
      <c r="D51" s="879" t="s">
        <v>1489</v>
      </c>
      <c r="E51" s="875" t="s">
        <v>13</v>
      </c>
      <c r="F51" s="780">
        <v>85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927"/>
      <c r="S51" s="927"/>
      <c r="T51" s="878"/>
    </row>
    <row r="52" spans="1:42" s="224" customFormat="1" ht="15" customHeight="1" x14ac:dyDescent="0.25">
      <c r="A52" s="247">
        <v>45301</v>
      </c>
      <c r="B52" s="882" t="s">
        <v>14</v>
      </c>
      <c r="C52" s="879" t="s">
        <v>12</v>
      </c>
      <c r="D52" s="879" t="s">
        <v>1486</v>
      </c>
      <c r="E52" s="875" t="s">
        <v>13</v>
      </c>
      <c r="F52" s="780">
        <v>9</v>
      </c>
      <c r="G52" s="982"/>
      <c r="H52" s="622"/>
      <c r="I52" s="982"/>
      <c r="J52" s="622"/>
      <c r="K52" s="982"/>
      <c r="L52" s="622"/>
      <c r="M52" s="982"/>
      <c r="N52" s="622"/>
      <c r="O52" s="1063"/>
      <c r="P52" s="622"/>
      <c r="Q52" s="982"/>
      <c r="R52" s="927"/>
      <c r="S52" s="927"/>
      <c r="T52" s="878"/>
    </row>
    <row r="53" spans="1:42" s="224" customFormat="1" ht="15" customHeight="1" x14ac:dyDescent="0.25">
      <c r="A53" s="247">
        <v>45302</v>
      </c>
      <c r="B53" s="882" t="s">
        <v>14</v>
      </c>
      <c r="C53" s="879" t="s">
        <v>12</v>
      </c>
      <c r="D53" s="879" t="s">
        <v>1486</v>
      </c>
      <c r="E53" s="875" t="s">
        <v>13</v>
      </c>
      <c r="F53" s="780">
        <v>8.7100000000000009</v>
      </c>
      <c r="G53" s="982"/>
      <c r="H53" s="622"/>
      <c r="I53" s="982"/>
      <c r="J53" s="622"/>
      <c r="K53" s="982"/>
      <c r="L53" s="622"/>
      <c r="M53" s="982"/>
      <c r="N53" s="622"/>
      <c r="O53" s="1063"/>
      <c r="P53" s="622"/>
      <c r="Q53" s="982"/>
      <c r="R53" s="927"/>
      <c r="S53" s="927"/>
      <c r="T53" s="878"/>
    </row>
    <row r="54" spans="1:42" s="224" customFormat="1" ht="15" customHeight="1" x14ac:dyDescent="0.25">
      <c r="A54" s="247">
        <v>45303</v>
      </c>
      <c r="B54" s="882" t="s">
        <v>32</v>
      </c>
      <c r="C54" s="879" t="s">
        <v>12</v>
      </c>
      <c r="D54" s="879" t="s">
        <v>1485</v>
      </c>
      <c r="E54" s="875" t="s">
        <v>13</v>
      </c>
      <c r="F54" s="780">
        <v>24</v>
      </c>
      <c r="G54" s="982"/>
      <c r="H54" s="95"/>
      <c r="I54" s="1064"/>
      <c r="J54" s="622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5" customHeight="1" x14ac:dyDescent="0.25">
      <c r="A55" s="247">
        <v>45303</v>
      </c>
      <c r="B55" s="882" t="s">
        <v>14</v>
      </c>
      <c r="C55" s="879" t="s">
        <v>12</v>
      </c>
      <c r="D55" s="879" t="s">
        <v>1486</v>
      </c>
      <c r="E55" s="875" t="s">
        <v>13</v>
      </c>
      <c r="F55" s="780">
        <v>10.81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927"/>
      <c r="S55" s="927"/>
      <c r="T55" s="878"/>
    </row>
    <row r="56" spans="1:42" s="224" customFormat="1" ht="15" customHeight="1" x14ac:dyDescent="0.25">
      <c r="A56" s="247">
        <v>45304</v>
      </c>
      <c r="B56" s="882" t="s">
        <v>14</v>
      </c>
      <c r="C56" s="879" t="s">
        <v>12</v>
      </c>
      <c r="D56" s="879" t="s">
        <v>1486</v>
      </c>
      <c r="E56" s="875" t="s">
        <v>13</v>
      </c>
      <c r="F56" s="780">
        <v>6.84</v>
      </c>
      <c r="G56" s="982"/>
      <c r="H56" s="622"/>
      <c r="I56" s="982"/>
      <c r="J56" s="622"/>
      <c r="K56" s="982"/>
      <c r="L56" s="622"/>
      <c r="M56" s="982"/>
      <c r="N56" s="622"/>
      <c r="O56" s="1063"/>
      <c r="P56" s="622"/>
      <c r="Q56" s="982"/>
      <c r="R56" s="927"/>
      <c r="S56" s="927"/>
      <c r="T56" s="878"/>
    </row>
    <row r="57" spans="1:42" s="224" customFormat="1" ht="15" customHeight="1" x14ac:dyDescent="0.25">
      <c r="A57" s="247">
        <v>45304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30</v>
      </c>
      <c r="G57" s="982"/>
      <c r="H57" s="95"/>
      <c r="I57" s="1064"/>
      <c r="J57" s="622"/>
      <c r="K57" s="982"/>
      <c r="L57" s="622"/>
      <c r="M57" s="982"/>
      <c r="N57" s="622"/>
      <c r="O57" s="1063"/>
      <c r="P57" s="622"/>
      <c r="Q57" s="982"/>
      <c r="R57" s="861"/>
    </row>
    <row r="58" spans="1:42" s="224" customFormat="1" x14ac:dyDescent="0.25">
      <c r="A58" s="247">
        <v>45304</v>
      </c>
      <c r="B58" s="882" t="s">
        <v>6074</v>
      </c>
      <c r="C58" s="879" t="s">
        <v>19</v>
      </c>
      <c r="D58" s="879" t="s">
        <v>1489</v>
      </c>
      <c r="E58" s="875" t="s">
        <v>13</v>
      </c>
      <c r="F58" s="780">
        <v>327.64999999999998</v>
      </c>
      <c r="G58" s="982"/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861"/>
      <c r="T58" s="878"/>
    </row>
    <row r="59" spans="1:42" s="224" customFormat="1" x14ac:dyDescent="0.25">
      <c r="A59" s="2027">
        <v>45304</v>
      </c>
      <c r="B59" s="611" t="s">
        <v>6128</v>
      </c>
      <c r="C59" s="454" t="s">
        <v>19</v>
      </c>
      <c r="D59" s="454" t="s">
        <v>1489</v>
      </c>
      <c r="E59" s="2028" t="s">
        <v>13</v>
      </c>
      <c r="F59" s="780">
        <v>-327.64999999999998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861"/>
      <c r="T59" s="878"/>
    </row>
    <row r="60" spans="1:42" s="224" customFormat="1" ht="15" customHeight="1" x14ac:dyDescent="0.25">
      <c r="A60" s="247">
        <v>45305</v>
      </c>
      <c r="B60" s="882" t="s">
        <v>14</v>
      </c>
      <c r="C60" s="879" t="s">
        <v>12</v>
      </c>
      <c r="D60" s="879" t="s">
        <v>1486</v>
      </c>
      <c r="E60" s="875" t="s">
        <v>13</v>
      </c>
      <c r="F60" s="780">
        <v>7.2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927"/>
      <c r="S60" s="927"/>
      <c r="T60" s="878"/>
    </row>
    <row r="61" spans="1:42" s="224" customFormat="1" x14ac:dyDescent="0.25">
      <c r="A61" s="247">
        <v>45305</v>
      </c>
      <c r="B61" s="1275" t="s">
        <v>82</v>
      </c>
      <c r="C61" s="879" t="s">
        <v>12</v>
      </c>
      <c r="D61" s="1276" t="s">
        <v>1493</v>
      </c>
      <c r="E61" s="875" t="s">
        <v>13</v>
      </c>
      <c r="F61" s="1279">
        <v>30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  <c r="T61" s="878"/>
    </row>
    <row r="62" spans="1:42" s="224" customFormat="1" ht="15" customHeight="1" x14ac:dyDescent="0.25">
      <c r="A62" s="247">
        <v>45306</v>
      </c>
      <c r="B62" s="882" t="s">
        <v>14</v>
      </c>
      <c r="C62" s="879" t="s">
        <v>12</v>
      </c>
      <c r="D62" s="879" t="s">
        <v>1486</v>
      </c>
      <c r="E62" s="875" t="s">
        <v>13</v>
      </c>
      <c r="F62" s="780">
        <v>4.93</v>
      </c>
      <c r="G62" s="982"/>
      <c r="H62" s="622"/>
      <c r="I62" s="982"/>
      <c r="J62" s="622"/>
      <c r="K62" s="982"/>
      <c r="L62" s="622"/>
      <c r="M62" s="982"/>
      <c r="N62" s="622"/>
      <c r="O62" s="1063"/>
      <c r="P62" s="622"/>
      <c r="Q62" s="982"/>
      <c r="R62" s="927"/>
      <c r="S62" s="927"/>
      <c r="T62" s="878"/>
    </row>
    <row r="63" spans="1:42" s="224" customFormat="1" ht="15" customHeight="1" x14ac:dyDescent="0.25">
      <c r="A63" s="247">
        <v>45306</v>
      </c>
      <c r="B63" s="1275" t="s">
        <v>6073</v>
      </c>
      <c r="C63" s="879" t="s">
        <v>12</v>
      </c>
      <c r="D63" s="1276" t="s">
        <v>1524</v>
      </c>
      <c r="E63" s="875" t="s">
        <v>13</v>
      </c>
      <c r="F63" s="613">
        <v>18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45306</v>
      </c>
      <c r="B64" s="1289" t="s">
        <v>2096</v>
      </c>
      <c r="C64" s="879" t="s">
        <v>12</v>
      </c>
      <c r="D64" s="1276" t="s">
        <v>1506</v>
      </c>
      <c r="E64" s="875" t="s">
        <v>13</v>
      </c>
      <c r="F64" s="1279">
        <v>50</v>
      </c>
      <c r="G64" s="967"/>
      <c r="H64" s="1008"/>
      <c r="I64" s="1063"/>
      <c r="J64" s="613"/>
      <c r="K64" s="6"/>
      <c r="L64" s="622"/>
      <c r="M64" s="982"/>
      <c r="N64" s="622"/>
      <c r="O64" s="1063"/>
      <c r="P64" s="613"/>
      <c r="Q64" s="64"/>
      <c r="R64" s="1209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45306</v>
      </c>
      <c r="B65" s="1275" t="s">
        <v>2629</v>
      </c>
      <c r="C65" s="879" t="s">
        <v>12</v>
      </c>
      <c r="D65" s="1276" t="s">
        <v>1489</v>
      </c>
      <c r="E65" s="1286" t="s">
        <v>13</v>
      </c>
      <c r="F65" s="613">
        <v>31.47</v>
      </c>
      <c r="G65" s="967"/>
      <c r="H65" s="1008"/>
      <c r="I65" s="1063"/>
      <c r="J65" s="613"/>
      <c r="K65" s="6"/>
      <c r="L65" s="622"/>
      <c r="M65" s="982"/>
      <c r="N65" s="622"/>
      <c r="O65" s="1063"/>
      <c r="P65" s="613"/>
      <c r="Q65" s="64"/>
      <c r="R65" s="1209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45306</v>
      </c>
      <c r="B66" s="1275" t="s">
        <v>81</v>
      </c>
      <c r="C66" s="1276" t="s">
        <v>12</v>
      </c>
      <c r="D66" s="1276" t="s">
        <v>1493</v>
      </c>
      <c r="E66" s="1286" t="s">
        <v>13</v>
      </c>
      <c r="F66" s="613">
        <v>5</v>
      </c>
      <c r="G66" s="967"/>
      <c r="H66" s="1008"/>
      <c r="I66" s="1063"/>
      <c r="J66" s="613"/>
      <c r="K66" s="6"/>
      <c r="L66" s="622"/>
      <c r="M66" s="982"/>
      <c r="N66" s="622"/>
      <c r="O66" s="1063"/>
      <c r="P66" s="613"/>
      <c r="Q66" s="64"/>
      <c r="R66" s="120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45307</v>
      </c>
      <c r="B67" s="1275" t="s">
        <v>1331</v>
      </c>
      <c r="C67" s="879" t="s">
        <v>12</v>
      </c>
      <c r="D67" s="1276" t="s">
        <v>2157</v>
      </c>
      <c r="E67" s="875" t="s">
        <v>13</v>
      </c>
      <c r="F67" s="780">
        <v>80</v>
      </c>
      <c r="G67" s="982"/>
      <c r="H67" s="622"/>
      <c r="I67" s="982"/>
      <c r="J67" s="622"/>
      <c r="K67" s="982"/>
      <c r="L67" s="622"/>
      <c r="M67" s="982"/>
      <c r="N67" s="622"/>
      <c r="O67" s="1063"/>
      <c r="P67" s="622"/>
      <c r="Q67" s="982"/>
      <c r="R67" s="927"/>
      <c r="S67" s="927"/>
      <c r="T67" s="878"/>
    </row>
    <row r="68" spans="1:42" s="224" customFormat="1" ht="15" customHeight="1" x14ac:dyDescent="0.25">
      <c r="A68" s="247">
        <v>45307</v>
      </c>
      <c r="B68" s="882" t="s">
        <v>32</v>
      </c>
      <c r="C68" s="879" t="s">
        <v>12</v>
      </c>
      <c r="D68" s="879" t="s">
        <v>1485</v>
      </c>
      <c r="E68" s="875" t="s">
        <v>13</v>
      </c>
      <c r="F68" s="780">
        <v>24</v>
      </c>
      <c r="G68" s="982"/>
      <c r="H68" s="622"/>
      <c r="I68" s="982"/>
      <c r="J68" s="622"/>
      <c r="K68" s="982"/>
      <c r="L68" s="622"/>
      <c r="M68" s="982"/>
      <c r="N68" s="622"/>
      <c r="O68" s="1063"/>
      <c r="P68" s="622"/>
      <c r="Q68" s="982"/>
      <c r="R68" s="927"/>
      <c r="S68" s="927"/>
      <c r="T68" s="878"/>
    </row>
    <row r="69" spans="1:42" s="224" customFormat="1" ht="15" customHeight="1" x14ac:dyDescent="0.25">
      <c r="A69" s="247">
        <v>45308</v>
      </c>
      <c r="B69" s="364" t="s">
        <v>3325</v>
      </c>
      <c r="C69" s="879" t="s">
        <v>12</v>
      </c>
      <c r="D69" s="350" t="s">
        <v>1504</v>
      </c>
      <c r="E69" s="875" t="s">
        <v>13</v>
      </c>
      <c r="F69" s="780">
        <v>38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827"/>
      <c r="Q69" s="1115"/>
      <c r="R69" s="878"/>
    </row>
    <row r="70" spans="1:42" s="224" customFormat="1" ht="15" customHeight="1" x14ac:dyDescent="0.25">
      <c r="A70" s="247">
        <v>45308</v>
      </c>
      <c r="B70" s="882" t="s">
        <v>256</v>
      </c>
      <c r="C70" s="879"/>
      <c r="D70" s="879"/>
      <c r="E70" s="875"/>
      <c r="F70" s="780"/>
      <c r="G70" s="982">
        <v>1600</v>
      </c>
      <c r="H70" s="622">
        <v>1600</v>
      </c>
      <c r="I70" s="982"/>
      <c r="J70" s="622"/>
      <c r="K70" s="982"/>
      <c r="L70" s="622"/>
      <c r="M70" s="982"/>
      <c r="N70" s="622"/>
      <c r="O70" s="1063"/>
      <c r="P70" s="880"/>
      <c r="Q70" s="1033"/>
      <c r="R70" s="927"/>
      <c r="T70" s="878"/>
    </row>
    <row r="71" spans="1:42" s="224" customFormat="1" ht="15" customHeight="1" x14ac:dyDescent="0.25">
      <c r="A71" s="247">
        <v>45308</v>
      </c>
      <c r="B71" s="349" t="s">
        <v>4047</v>
      </c>
      <c r="C71" s="879" t="s">
        <v>12</v>
      </c>
      <c r="D71" s="350" t="s">
        <v>1525</v>
      </c>
      <c r="E71" s="875" t="s">
        <v>13</v>
      </c>
      <c r="F71" s="613">
        <v>186.9</v>
      </c>
      <c r="G71" s="982"/>
      <c r="H71" s="872"/>
      <c r="I71" s="1063"/>
      <c r="J71" s="622"/>
      <c r="K71" s="982"/>
      <c r="L71" s="622"/>
      <c r="M71" s="982"/>
      <c r="N71" s="622"/>
      <c r="O71" s="1063"/>
      <c r="P71" s="622"/>
      <c r="Q71" s="982"/>
      <c r="R71" s="927"/>
      <c r="S71" s="999"/>
      <c r="T71" s="878"/>
    </row>
    <row r="72" spans="1:42" s="224" customFormat="1" ht="15" customHeight="1" x14ac:dyDescent="0.25">
      <c r="A72" s="247">
        <v>45308</v>
      </c>
      <c r="B72" s="349" t="s">
        <v>4047</v>
      </c>
      <c r="C72" s="879" t="s">
        <v>12</v>
      </c>
      <c r="D72" s="350" t="s">
        <v>1522</v>
      </c>
      <c r="E72" s="875" t="s">
        <v>13</v>
      </c>
      <c r="F72" s="613">
        <v>800</v>
      </c>
      <c r="G72" s="982"/>
      <c r="H72" s="872"/>
      <c r="I72" s="1063"/>
      <c r="J72" s="622"/>
      <c r="K72" s="982"/>
      <c r="L72" s="622"/>
      <c r="M72" s="982"/>
      <c r="N72" s="622"/>
      <c r="O72" s="1063"/>
      <c r="P72" s="622"/>
      <c r="Q72" s="982"/>
      <c r="R72" s="927"/>
      <c r="S72" s="999"/>
      <c r="T72" s="878"/>
    </row>
    <row r="73" spans="1:42" s="224" customFormat="1" ht="15" customHeight="1" x14ac:dyDescent="0.25">
      <c r="A73" s="247">
        <v>45308</v>
      </c>
      <c r="B73" s="349" t="s">
        <v>4047</v>
      </c>
      <c r="C73" s="879" t="s">
        <v>12</v>
      </c>
      <c r="D73" s="350" t="s">
        <v>1506</v>
      </c>
      <c r="E73" s="875" t="s">
        <v>13</v>
      </c>
      <c r="F73" s="613">
        <v>80.375</v>
      </c>
      <c r="G73" s="982"/>
      <c r="H73" s="872"/>
      <c r="I73" s="1063"/>
      <c r="J73" s="622"/>
      <c r="K73" s="982"/>
      <c r="L73" s="622"/>
      <c r="M73" s="982"/>
      <c r="N73" s="622"/>
      <c r="O73" s="1063"/>
      <c r="P73" s="622"/>
      <c r="Q73" s="982"/>
      <c r="R73" s="927"/>
      <c r="S73" s="999"/>
      <c r="T73" s="878"/>
    </row>
    <row r="74" spans="1:42" s="224" customFormat="1" ht="15" customHeight="1" x14ac:dyDescent="0.25">
      <c r="A74" s="247">
        <v>45308</v>
      </c>
      <c r="B74" s="349" t="s">
        <v>4047</v>
      </c>
      <c r="C74" s="879" t="s">
        <v>12</v>
      </c>
      <c r="D74" s="1005" t="s">
        <v>1506</v>
      </c>
      <c r="E74" s="875" t="s">
        <v>13</v>
      </c>
      <c r="F74" s="1116">
        <v>100</v>
      </c>
      <c r="G74" s="982"/>
      <c r="H74" s="872"/>
      <c r="I74" s="1063"/>
      <c r="J74" s="622"/>
      <c r="K74" s="982"/>
      <c r="L74" s="622"/>
      <c r="M74" s="982"/>
      <c r="N74" s="622"/>
      <c r="O74" s="1063"/>
      <c r="P74" s="622"/>
      <c r="Q74" s="982"/>
      <c r="R74" s="927"/>
      <c r="S74" s="999"/>
      <c r="T74" s="878"/>
    </row>
    <row r="75" spans="1:42" s="224" customFormat="1" ht="15" customHeight="1" x14ac:dyDescent="0.25">
      <c r="A75" s="247">
        <v>45308</v>
      </c>
      <c r="B75" s="349" t="s">
        <v>4047</v>
      </c>
      <c r="C75" s="879" t="s">
        <v>12</v>
      </c>
      <c r="D75" s="350" t="s">
        <v>1491</v>
      </c>
      <c r="E75" s="875" t="s">
        <v>13</v>
      </c>
      <c r="F75" s="613">
        <v>50</v>
      </c>
      <c r="G75" s="982"/>
      <c r="H75" s="872"/>
      <c r="I75" s="1063"/>
      <c r="J75" s="622"/>
      <c r="K75" s="982"/>
      <c r="L75" s="622"/>
      <c r="M75" s="982"/>
      <c r="N75" s="622"/>
      <c r="O75" s="1063"/>
      <c r="P75" s="622"/>
      <c r="Q75" s="982"/>
      <c r="R75" s="927"/>
      <c r="S75" s="999"/>
      <c r="T75" s="878"/>
    </row>
    <row r="76" spans="1:42" s="224" customFormat="1" ht="15" customHeight="1" x14ac:dyDescent="0.25">
      <c r="A76" s="247">
        <v>45308</v>
      </c>
      <c r="B76" s="349" t="s">
        <v>4047</v>
      </c>
      <c r="C76" s="879" t="s">
        <v>12</v>
      </c>
      <c r="D76" s="350" t="s">
        <v>1489</v>
      </c>
      <c r="E76" s="875" t="s">
        <v>13</v>
      </c>
      <c r="F76" s="613">
        <v>50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982"/>
      <c r="R76" s="927"/>
      <c r="S76" s="999"/>
      <c r="T76" s="878"/>
    </row>
    <row r="77" spans="1:42" s="224" customFormat="1" ht="15" customHeight="1" x14ac:dyDescent="0.25">
      <c r="A77" s="247">
        <v>45308</v>
      </c>
      <c r="B77" s="349" t="s">
        <v>4047</v>
      </c>
      <c r="C77" s="879" t="s">
        <v>12</v>
      </c>
      <c r="D77" s="350" t="s">
        <v>1489</v>
      </c>
      <c r="E77" s="875" t="s">
        <v>13</v>
      </c>
      <c r="F77" s="613">
        <v>30</v>
      </c>
      <c r="G77" s="982"/>
      <c r="H77" s="872"/>
      <c r="I77" s="1063"/>
      <c r="J77" s="622"/>
      <c r="K77" s="982"/>
      <c r="L77" s="622"/>
      <c r="M77" s="982"/>
      <c r="N77" s="622"/>
      <c r="O77" s="1063"/>
      <c r="P77" s="622"/>
      <c r="Q77" s="982"/>
      <c r="R77" s="927"/>
      <c r="S77" s="999"/>
      <c r="T77" s="878"/>
    </row>
    <row r="78" spans="1:42" s="224" customFormat="1" ht="15" customHeight="1" x14ac:dyDescent="0.25">
      <c r="A78" s="247">
        <v>45308</v>
      </c>
      <c r="B78" s="349" t="s">
        <v>4047</v>
      </c>
      <c r="C78" s="879" t="s">
        <v>12</v>
      </c>
      <c r="D78" s="1005" t="s">
        <v>1491</v>
      </c>
      <c r="E78" s="875" t="s">
        <v>13</v>
      </c>
      <c r="F78" s="1116">
        <v>55.5</v>
      </c>
      <c r="G78" s="982"/>
      <c r="H78" s="872"/>
      <c r="I78" s="1063"/>
      <c r="J78" s="622"/>
      <c r="K78" s="982"/>
      <c r="L78" s="622"/>
      <c r="M78" s="982"/>
      <c r="N78" s="622"/>
      <c r="O78" s="1063"/>
      <c r="P78" s="622"/>
      <c r="Q78" s="982"/>
      <c r="R78" s="927"/>
      <c r="S78" s="999"/>
      <c r="T78" s="878"/>
    </row>
    <row r="79" spans="1:42" s="224" customFormat="1" ht="15" customHeight="1" x14ac:dyDescent="0.25">
      <c r="A79" s="247">
        <v>45308</v>
      </c>
      <c r="B79" s="349" t="s">
        <v>4047</v>
      </c>
      <c r="C79" s="879" t="s">
        <v>12</v>
      </c>
      <c r="D79" s="350" t="s">
        <v>1489</v>
      </c>
      <c r="E79" s="875" t="s">
        <v>13</v>
      </c>
      <c r="F79" s="613">
        <v>55.5</v>
      </c>
      <c r="G79" s="982"/>
      <c r="H79" s="872"/>
      <c r="I79" s="1063"/>
      <c r="J79" s="622"/>
      <c r="K79" s="982"/>
      <c r="L79" s="622"/>
      <c r="M79" s="982"/>
      <c r="N79" s="622"/>
      <c r="O79" s="1063"/>
      <c r="P79" s="622"/>
      <c r="Q79" s="982"/>
      <c r="R79" s="927"/>
      <c r="S79" s="999"/>
      <c r="T79" s="878"/>
    </row>
    <row r="80" spans="1:42" s="224" customFormat="1" ht="15" customHeight="1" x14ac:dyDescent="0.25">
      <c r="A80" s="247">
        <v>45308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780">
        <v>12.7</v>
      </c>
      <c r="G80" s="982"/>
      <c r="H80" s="95"/>
      <c r="I80" s="1064"/>
      <c r="J80" s="622"/>
      <c r="K80" s="982"/>
      <c r="L80" s="622"/>
      <c r="M80" s="982"/>
      <c r="N80" s="622"/>
      <c r="O80" s="1063"/>
      <c r="P80" s="622"/>
      <c r="Q80" s="982"/>
      <c r="R80" s="861"/>
    </row>
    <row r="81" spans="1:42" s="224" customFormat="1" ht="15" customHeight="1" x14ac:dyDescent="0.25">
      <c r="A81" s="247">
        <v>45308</v>
      </c>
      <c r="B81" s="882" t="s">
        <v>14</v>
      </c>
      <c r="C81" s="879" t="s">
        <v>12</v>
      </c>
      <c r="D81" s="879" t="s">
        <v>1486</v>
      </c>
      <c r="E81" s="875" t="s">
        <v>13</v>
      </c>
      <c r="F81" s="613">
        <v>10.25</v>
      </c>
      <c r="G81" s="967"/>
      <c r="H81" s="1008"/>
      <c r="I81" s="1063"/>
      <c r="J81" s="613"/>
      <c r="K81" s="6"/>
      <c r="L81" s="622"/>
      <c r="M81" s="982"/>
      <c r="N81" s="622"/>
      <c r="O81" s="1063"/>
      <c r="P81" s="613"/>
      <c r="Q81" s="64"/>
      <c r="R81" s="1209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45309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20</v>
      </c>
      <c r="G82" s="982"/>
      <c r="H82" s="622"/>
      <c r="I82" s="982"/>
      <c r="J82" s="622"/>
      <c r="K82" s="982"/>
      <c r="L82" s="622"/>
      <c r="M82" s="982"/>
      <c r="N82" s="622"/>
      <c r="O82" s="1063"/>
      <c r="P82" s="622"/>
      <c r="Q82" s="982"/>
      <c r="R82" s="927"/>
      <c r="S82" s="927"/>
      <c r="T82" s="878"/>
    </row>
    <row r="83" spans="1:42" s="224" customFormat="1" ht="15" customHeight="1" x14ac:dyDescent="0.25">
      <c r="A83" s="247">
        <v>45309</v>
      </c>
      <c r="B83" s="882" t="s">
        <v>3958</v>
      </c>
      <c r="C83" s="1276" t="s">
        <v>12</v>
      </c>
      <c r="D83" s="879" t="s">
        <v>1489</v>
      </c>
      <c r="E83" s="871" t="s">
        <v>13</v>
      </c>
      <c r="F83" s="780">
        <v>22</v>
      </c>
      <c r="G83" s="982"/>
      <c r="H83" s="622"/>
      <c r="I83" s="982"/>
      <c r="J83" s="622"/>
      <c r="K83" s="982"/>
      <c r="L83" s="853"/>
      <c r="M83" s="982"/>
      <c r="N83" s="622"/>
      <c r="O83" s="1063"/>
      <c r="P83" s="622"/>
      <c r="Q83" s="982"/>
      <c r="R83" s="927"/>
      <c r="S83" s="927"/>
      <c r="T83" s="878"/>
    </row>
    <row r="84" spans="1:42" s="224" customFormat="1" ht="15" customHeight="1" x14ac:dyDescent="0.25">
      <c r="A84" s="247">
        <v>45310</v>
      </c>
      <c r="B84" s="882" t="s">
        <v>3611</v>
      </c>
      <c r="C84" s="879" t="s">
        <v>12</v>
      </c>
      <c r="D84" s="350"/>
      <c r="E84" s="480" t="s">
        <v>25</v>
      </c>
      <c r="F84" s="622"/>
      <c r="G84" s="982">
        <v>0</v>
      </c>
      <c r="H84" s="1008"/>
      <c r="I84" s="1063"/>
      <c r="J84" s="622"/>
      <c r="K84" s="982"/>
      <c r="L84" s="622"/>
      <c r="M84" s="982"/>
      <c r="N84" s="622"/>
      <c r="O84" s="1063"/>
      <c r="P84" s="622"/>
      <c r="Q84" s="982"/>
      <c r="R84" s="861"/>
    </row>
    <row r="85" spans="1:42" s="224" customFormat="1" ht="14.25" customHeight="1" x14ac:dyDescent="0.25">
      <c r="A85" s="247">
        <v>45310</v>
      </c>
      <c r="B85" s="364" t="s">
        <v>2977</v>
      </c>
      <c r="C85" s="879" t="s">
        <v>12</v>
      </c>
      <c r="D85" s="350" t="s">
        <v>1491</v>
      </c>
      <c r="E85" s="875" t="s">
        <v>13</v>
      </c>
      <c r="F85" s="780">
        <v>400</v>
      </c>
      <c r="G85" s="982"/>
      <c r="H85" s="1008"/>
      <c r="I85" s="1063"/>
      <c r="J85" s="622"/>
      <c r="K85" s="982"/>
      <c r="L85" s="622"/>
      <c r="M85" s="982"/>
      <c r="N85" s="622"/>
      <c r="O85" s="1063"/>
      <c r="P85" s="622"/>
      <c r="Q85" s="982"/>
      <c r="R85" s="1029"/>
      <c r="S85" s="89"/>
      <c r="T85" s="930"/>
    </row>
    <row r="86" spans="1:42" s="224" customFormat="1" ht="15" customHeight="1" x14ac:dyDescent="0.25">
      <c r="A86" s="247">
        <v>45310</v>
      </c>
      <c r="B86" s="882" t="s">
        <v>4048</v>
      </c>
      <c r="C86" s="879" t="s">
        <v>12</v>
      </c>
      <c r="D86" s="879" t="s">
        <v>1499</v>
      </c>
      <c r="E86" s="875" t="s">
        <v>13</v>
      </c>
      <c r="F86" s="780">
        <v>34.29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982"/>
      <c r="R86" s="861"/>
      <c r="T86" s="1123"/>
      <c r="U86" s="999"/>
    </row>
    <row r="87" spans="1:42" s="224" customFormat="1" ht="15" customHeight="1" x14ac:dyDescent="0.25">
      <c r="A87" s="247">
        <v>45310</v>
      </c>
      <c r="B87" s="862" t="s">
        <v>3529</v>
      </c>
      <c r="C87" s="879" t="s">
        <v>12</v>
      </c>
      <c r="D87" s="879" t="s">
        <v>1504</v>
      </c>
      <c r="E87" s="875" t="s">
        <v>13</v>
      </c>
      <c r="F87" s="780">
        <v>39.9</v>
      </c>
      <c r="G87" s="946"/>
      <c r="H87" s="95"/>
      <c r="I87" s="1064"/>
      <c r="J87" s="622"/>
      <c r="K87" s="982"/>
      <c r="L87" s="622"/>
      <c r="M87" s="982"/>
      <c r="N87" s="622"/>
      <c r="O87" s="1063"/>
      <c r="P87" s="622"/>
      <c r="Q87" s="982"/>
      <c r="R87" s="1028"/>
      <c r="U87" s="958"/>
    </row>
    <row r="88" spans="1:42" s="224" customFormat="1" ht="15" customHeight="1" x14ac:dyDescent="0.25">
      <c r="A88" s="247">
        <v>45310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780">
        <v>20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622"/>
      <c r="Q88" s="982"/>
      <c r="R88" s="927"/>
      <c r="S88" s="927"/>
      <c r="T88" s="878"/>
    </row>
    <row r="89" spans="1:42" s="224" customFormat="1" ht="15" customHeight="1" x14ac:dyDescent="0.25">
      <c r="A89" s="247">
        <v>45310</v>
      </c>
      <c r="B89" s="882" t="s">
        <v>443</v>
      </c>
      <c r="C89" s="879" t="s">
        <v>12</v>
      </c>
      <c r="D89" s="879" t="s">
        <v>1493</v>
      </c>
      <c r="E89" s="875" t="s">
        <v>13</v>
      </c>
      <c r="F89" s="780">
        <v>14.9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880"/>
      <c r="Q89" s="1033"/>
      <c r="R89" s="927"/>
      <c r="T89" s="878"/>
    </row>
    <row r="90" spans="1:42" s="224" customFormat="1" ht="15" customHeight="1" x14ac:dyDescent="0.25">
      <c r="A90" s="247">
        <v>45310</v>
      </c>
      <c r="B90" s="882" t="s">
        <v>2629</v>
      </c>
      <c r="C90" s="879" t="s">
        <v>12</v>
      </c>
      <c r="D90" s="879" t="s">
        <v>1489</v>
      </c>
      <c r="E90" s="875" t="s">
        <v>13</v>
      </c>
      <c r="F90" s="780">
        <v>9.77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880"/>
      <c r="Q90" s="1033"/>
      <c r="R90" s="927"/>
      <c r="T90" s="878"/>
    </row>
    <row r="91" spans="1:42" s="224" customFormat="1" ht="15" customHeight="1" x14ac:dyDescent="0.25">
      <c r="A91" s="247">
        <v>45311</v>
      </c>
      <c r="B91" s="882"/>
      <c r="C91" s="879"/>
      <c r="D91" s="879"/>
      <c r="E91" s="875"/>
      <c r="F91" s="613"/>
      <c r="G91" s="967"/>
      <c r="H91" s="1008"/>
      <c r="I91" s="1063"/>
      <c r="J91" s="613"/>
      <c r="K91" s="6"/>
      <c r="L91" s="622"/>
      <c r="M91" s="982"/>
      <c r="N91" s="622"/>
      <c r="O91" s="1063"/>
      <c r="P91" s="613"/>
      <c r="Q91" s="64"/>
      <c r="R91" s="1209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ht="15" customHeight="1" x14ac:dyDescent="0.25">
      <c r="A92" s="247">
        <v>45312</v>
      </c>
      <c r="B92" s="882" t="s">
        <v>256</v>
      </c>
      <c r="C92" s="879"/>
      <c r="D92" s="879"/>
      <c r="E92" s="875"/>
      <c r="F92" s="780"/>
      <c r="G92" s="982">
        <v>600</v>
      </c>
      <c r="H92" s="622">
        <v>600</v>
      </c>
      <c r="I92" s="982"/>
      <c r="J92" s="622"/>
      <c r="K92" s="982"/>
      <c r="L92" s="622"/>
      <c r="M92" s="982"/>
      <c r="N92" s="622"/>
      <c r="O92" s="1063"/>
      <c r="P92" s="880"/>
      <c r="Q92" s="1033"/>
      <c r="R92" s="927"/>
      <c r="T92" s="878"/>
    </row>
    <row r="93" spans="1:42" s="224" customFormat="1" ht="15" customHeight="1" x14ac:dyDescent="0.25">
      <c r="A93" s="247">
        <v>45312</v>
      </c>
      <c r="B93" s="882" t="s">
        <v>14</v>
      </c>
      <c r="C93" s="879" t="s">
        <v>12</v>
      </c>
      <c r="D93" s="879" t="s">
        <v>1486</v>
      </c>
      <c r="E93" s="875" t="s">
        <v>13</v>
      </c>
      <c r="F93" s="613">
        <v>7.59</v>
      </c>
      <c r="G93" s="967"/>
      <c r="H93" s="1008"/>
      <c r="I93" s="1063"/>
      <c r="J93" s="613"/>
      <c r="K93" s="6"/>
      <c r="L93" s="622"/>
      <c r="M93" s="982"/>
      <c r="N93" s="622"/>
      <c r="O93" s="1063"/>
      <c r="P93" s="613"/>
      <c r="Q93" s="64"/>
      <c r="R93" s="1209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45312</v>
      </c>
      <c r="B94" s="882" t="s">
        <v>81</v>
      </c>
      <c r="C94" s="879" t="s">
        <v>12</v>
      </c>
      <c r="D94" s="879" t="s">
        <v>1493</v>
      </c>
      <c r="E94" s="871" t="s">
        <v>13</v>
      </c>
      <c r="F94" s="780">
        <v>12.5</v>
      </c>
      <c r="G94" s="946"/>
      <c r="H94" s="95"/>
      <c r="I94" s="1064"/>
      <c r="J94" s="622"/>
      <c r="K94" s="982"/>
      <c r="L94" s="622"/>
      <c r="M94" s="982"/>
      <c r="N94" s="622"/>
      <c r="O94" s="1063"/>
      <c r="P94" s="622"/>
      <c r="Q94" s="982"/>
      <c r="R94" s="861"/>
    </row>
    <row r="95" spans="1:42" s="224" customFormat="1" ht="15" customHeight="1" x14ac:dyDescent="0.25">
      <c r="A95" s="247">
        <v>45312</v>
      </c>
      <c r="B95" s="882" t="s">
        <v>1906</v>
      </c>
      <c r="C95" s="879" t="s">
        <v>12</v>
      </c>
      <c r="D95" s="879" t="s">
        <v>1493</v>
      </c>
      <c r="E95" s="871" t="s">
        <v>13</v>
      </c>
      <c r="F95" s="780">
        <v>23</v>
      </c>
      <c r="G95" s="946"/>
      <c r="H95" s="95"/>
      <c r="I95" s="1064"/>
      <c r="J95" s="622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45313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20</v>
      </c>
      <c r="G96" s="982"/>
      <c r="H96" s="622"/>
      <c r="I96" s="982"/>
      <c r="J96" s="622"/>
      <c r="K96" s="982"/>
      <c r="L96" s="622"/>
      <c r="M96" s="982"/>
      <c r="N96" s="622"/>
      <c r="O96" s="1063"/>
      <c r="P96" s="622"/>
      <c r="Q96" s="982"/>
      <c r="R96" s="927"/>
      <c r="S96" s="927"/>
      <c r="T96" s="878"/>
    </row>
    <row r="97" spans="1:26" s="224" customFormat="1" ht="15" customHeight="1" x14ac:dyDescent="0.25">
      <c r="A97" s="247">
        <v>45313</v>
      </c>
      <c r="B97" s="1275" t="s">
        <v>1331</v>
      </c>
      <c r="C97" s="879" t="s">
        <v>12</v>
      </c>
      <c r="D97" s="1276" t="s">
        <v>2157</v>
      </c>
      <c r="E97" s="875" t="s">
        <v>15</v>
      </c>
      <c r="F97" s="780">
        <v>50</v>
      </c>
      <c r="G97" s="982"/>
      <c r="H97" s="622"/>
      <c r="I97" s="982"/>
      <c r="J97" s="622"/>
      <c r="K97" s="982"/>
      <c r="L97" s="622"/>
      <c r="M97" s="982"/>
      <c r="N97" s="622"/>
      <c r="O97" s="1063"/>
      <c r="P97" s="880"/>
      <c r="Q97" s="1033"/>
      <c r="R97" s="927"/>
      <c r="T97" s="878"/>
    </row>
    <row r="98" spans="1:26" s="224" customFormat="1" ht="15" customHeight="1" x14ac:dyDescent="0.25">
      <c r="A98" s="247">
        <v>45314</v>
      </c>
      <c r="B98" s="882" t="s">
        <v>32</v>
      </c>
      <c r="C98" s="879" t="s">
        <v>12</v>
      </c>
      <c r="D98" s="879" t="s">
        <v>1485</v>
      </c>
      <c r="E98" s="875" t="s">
        <v>13</v>
      </c>
      <c r="F98" s="780">
        <v>20</v>
      </c>
      <c r="G98" s="982"/>
      <c r="H98" s="622"/>
      <c r="I98" s="982"/>
      <c r="J98" s="622"/>
      <c r="K98" s="982"/>
      <c r="L98" s="622"/>
      <c r="M98" s="982"/>
      <c r="N98" s="622"/>
      <c r="O98" s="1063"/>
      <c r="P98" s="622"/>
      <c r="Q98" s="982"/>
      <c r="R98" s="927"/>
      <c r="S98" s="927"/>
      <c r="T98" s="878"/>
    </row>
    <row r="99" spans="1:26" s="224" customFormat="1" ht="15" customHeight="1" x14ac:dyDescent="0.25">
      <c r="A99" s="247">
        <v>45314</v>
      </c>
      <c r="B99" s="882" t="s">
        <v>6117</v>
      </c>
      <c r="C99" s="879" t="s">
        <v>12</v>
      </c>
      <c r="D99" s="879"/>
      <c r="E99" s="875" t="s">
        <v>25</v>
      </c>
      <c r="F99" s="780">
        <v>100</v>
      </c>
      <c r="G99" s="982"/>
      <c r="H99" s="622"/>
      <c r="I99" s="982"/>
      <c r="J99" s="622"/>
      <c r="K99" s="982"/>
      <c r="L99" s="622"/>
      <c r="M99" s="982"/>
      <c r="N99" s="622"/>
      <c r="O99" s="1063">
        <v>100</v>
      </c>
      <c r="P99" s="622"/>
      <c r="Q99" s="982"/>
      <c r="R99" s="927"/>
      <c r="S99" s="927"/>
      <c r="T99" s="878"/>
    </row>
    <row r="100" spans="1:26" s="224" customFormat="1" ht="15" customHeight="1" x14ac:dyDescent="0.25">
      <c r="A100" s="247">
        <v>45314</v>
      </c>
      <c r="B100" s="882" t="s">
        <v>6090</v>
      </c>
      <c r="C100" s="879" t="s">
        <v>12</v>
      </c>
      <c r="D100" s="879"/>
      <c r="E100" s="875"/>
      <c r="F100" s="780"/>
      <c r="G100" s="982">
        <v>423.85</v>
      </c>
      <c r="H100" s="622"/>
      <c r="I100" s="982"/>
      <c r="J100" s="622"/>
      <c r="K100" s="982"/>
      <c r="L100" s="622">
        <v>423.85</v>
      </c>
      <c r="M100" s="982"/>
      <c r="N100" s="622"/>
      <c r="O100" s="1063"/>
      <c r="P100" s="880"/>
      <c r="Q100" s="1033"/>
      <c r="R100" s="927"/>
      <c r="T100" s="878"/>
    </row>
    <row r="101" spans="1:26" s="224" customFormat="1" ht="15" customHeight="1" x14ac:dyDescent="0.25">
      <c r="A101" s="247">
        <v>45314</v>
      </c>
      <c r="B101" s="882" t="s">
        <v>14</v>
      </c>
      <c r="C101" s="879" t="s">
        <v>12</v>
      </c>
      <c r="D101" s="879" t="s">
        <v>1486</v>
      </c>
      <c r="E101" s="875" t="s">
        <v>13</v>
      </c>
      <c r="F101" s="780">
        <v>7.6</v>
      </c>
      <c r="G101" s="982"/>
      <c r="H101" s="622"/>
      <c r="I101" s="982"/>
      <c r="J101" s="622"/>
      <c r="K101" s="982"/>
      <c r="L101" s="622"/>
      <c r="M101" s="982"/>
      <c r="N101" s="622"/>
      <c r="O101" s="1063"/>
      <c r="P101" s="880"/>
      <c r="Q101" s="1033"/>
      <c r="R101" s="927"/>
      <c r="T101" s="878"/>
    </row>
    <row r="102" spans="1:26" s="224" customFormat="1" ht="15" customHeight="1" x14ac:dyDescent="0.25">
      <c r="A102" s="247">
        <v>45315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20</v>
      </c>
      <c r="G102" s="982"/>
      <c r="H102" s="622"/>
      <c r="I102" s="982"/>
      <c r="J102" s="622"/>
      <c r="K102" s="982"/>
      <c r="L102" s="622"/>
      <c r="M102" s="982"/>
      <c r="N102" s="622"/>
      <c r="O102" s="1063"/>
      <c r="P102" s="622"/>
      <c r="Q102" s="982"/>
      <c r="R102" s="927"/>
      <c r="S102" s="927"/>
      <c r="T102" s="878"/>
    </row>
    <row r="103" spans="1:26" s="224" customFormat="1" ht="15" customHeight="1" x14ac:dyDescent="0.25">
      <c r="A103" s="247">
        <v>45316</v>
      </c>
      <c r="B103" s="862" t="s">
        <v>2867</v>
      </c>
      <c r="C103" s="879" t="s">
        <v>12</v>
      </c>
      <c r="D103" s="874" t="s">
        <v>1504</v>
      </c>
      <c r="E103" s="875" t="s">
        <v>13</v>
      </c>
      <c r="F103" s="780">
        <v>30</v>
      </c>
      <c r="G103" s="982"/>
      <c r="H103" s="1009"/>
      <c r="I103" s="1063"/>
      <c r="J103" s="853"/>
      <c r="K103" s="982"/>
      <c r="L103" s="853"/>
      <c r="M103" s="982"/>
      <c r="N103" s="853"/>
      <c r="O103" s="1063"/>
      <c r="P103" s="622"/>
      <c r="Q103" s="982"/>
      <c r="R103" s="1690"/>
      <c r="S103" s="1690"/>
      <c r="T103" s="1690"/>
      <c r="U103" s="1690"/>
      <c r="V103" s="1690"/>
      <c r="W103" s="1690"/>
      <c r="X103" s="1690"/>
      <c r="Y103" s="1690"/>
      <c r="Z103" s="1690"/>
    </row>
    <row r="104" spans="1:26" s="224" customFormat="1" ht="15" customHeight="1" x14ac:dyDescent="0.25">
      <c r="A104" s="247">
        <v>45316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20</v>
      </c>
      <c r="G104" s="982"/>
      <c r="H104" s="622"/>
      <c r="I104" s="982"/>
      <c r="J104" s="622"/>
      <c r="K104" s="982"/>
      <c r="L104" s="622"/>
      <c r="M104" s="982"/>
      <c r="N104" s="622"/>
      <c r="O104" s="1063"/>
      <c r="P104" s="622"/>
      <c r="Q104" s="982"/>
      <c r="R104" s="927"/>
      <c r="S104" s="927"/>
      <c r="T104" s="878"/>
    </row>
    <row r="105" spans="1:26" s="224" customFormat="1" ht="15" customHeight="1" x14ac:dyDescent="0.25">
      <c r="A105" s="247">
        <v>45317</v>
      </c>
      <c r="B105" s="882" t="s">
        <v>32</v>
      </c>
      <c r="C105" s="879" t="s">
        <v>12</v>
      </c>
      <c r="D105" s="879" t="s">
        <v>1485</v>
      </c>
      <c r="E105" s="875" t="s">
        <v>13</v>
      </c>
      <c r="F105" s="780">
        <v>20</v>
      </c>
      <c r="G105" s="982"/>
      <c r="H105" s="622"/>
      <c r="I105" s="982"/>
      <c r="J105" s="622"/>
      <c r="K105" s="982"/>
      <c r="L105" s="622"/>
      <c r="M105" s="982"/>
      <c r="N105" s="622"/>
      <c r="O105" s="1063"/>
      <c r="P105" s="622"/>
      <c r="Q105" s="982"/>
      <c r="R105" s="927"/>
      <c r="S105" s="927"/>
      <c r="T105" s="878"/>
    </row>
    <row r="106" spans="1:26" s="224" customFormat="1" ht="15" customHeight="1" x14ac:dyDescent="0.25">
      <c r="A106" s="247">
        <v>45317</v>
      </c>
      <c r="B106" s="882" t="s">
        <v>82</v>
      </c>
      <c r="C106" s="879" t="s">
        <v>12</v>
      </c>
      <c r="D106" s="879" t="s">
        <v>1493</v>
      </c>
      <c r="E106" s="871" t="s">
        <v>13</v>
      </c>
      <c r="F106" s="780">
        <v>35</v>
      </c>
      <c r="G106" s="946"/>
      <c r="H106" s="95"/>
      <c r="I106" s="1064"/>
      <c r="J106" s="622"/>
      <c r="K106" s="982"/>
      <c r="L106" s="622"/>
      <c r="M106" s="982"/>
      <c r="N106" s="622"/>
      <c r="O106" s="1063"/>
      <c r="P106" s="622"/>
      <c r="Q106" s="982"/>
      <c r="R106" s="1028"/>
      <c r="U106" s="958"/>
    </row>
    <row r="107" spans="1:26" s="224" customFormat="1" ht="15" customHeight="1" x14ac:dyDescent="0.25">
      <c r="A107" s="247">
        <v>45318</v>
      </c>
      <c r="B107" s="364" t="s">
        <v>2629</v>
      </c>
      <c r="C107" s="350" t="s">
        <v>19</v>
      </c>
      <c r="D107" s="350" t="s">
        <v>1489</v>
      </c>
      <c r="E107" s="875" t="s">
        <v>13</v>
      </c>
      <c r="F107" s="780">
        <v>59.33</v>
      </c>
      <c r="G107" s="982"/>
      <c r="H107" s="1008"/>
      <c r="I107" s="1063"/>
      <c r="J107" s="622"/>
      <c r="K107" s="982"/>
      <c r="L107" s="622"/>
      <c r="M107" s="982"/>
      <c r="N107" s="622"/>
      <c r="O107" s="1063"/>
      <c r="P107" s="622"/>
      <c r="Q107" s="982"/>
      <c r="R107" s="861"/>
      <c r="T107" s="1035"/>
    </row>
    <row r="108" spans="1:26" s="224" customFormat="1" ht="15" customHeight="1" x14ac:dyDescent="0.25">
      <c r="A108" s="247">
        <v>45318</v>
      </c>
      <c r="B108" s="882" t="s">
        <v>82</v>
      </c>
      <c r="C108" s="879" t="s">
        <v>12</v>
      </c>
      <c r="D108" s="879" t="s">
        <v>1493</v>
      </c>
      <c r="E108" s="871" t="s">
        <v>13</v>
      </c>
      <c r="F108" s="780">
        <v>44.9</v>
      </c>
      <c r="G108" s="982"/>
      <c r="H108" s="1008"/>
      <c r="I108" s="1063"/>
      <c r="J108" s="622"/>
      <c r="K108" s="982"/>
      <c r="L108" s="622"/>
      <c r="M108" s="982"/>
      <c r="N108" s="622"/>
      <c r="O108" s="1063"/>
      <c r="P108" s="622"/>
      <c r="Q108" s="982"/>
      <c r="R108" s="861"/>
      <c r="T108" s="1035"/>
    </row>
    <row r="109" spans="1:26" s="224" customFormat="1" ht="15" customHeight="1" x14ac:dyDescent="0.25">
      <c r="A109" s="247">
        <v>45319</v>
      </c>
      <c r="B109" s="349" t="s">
        <v>14</v>
      </c>
      <c r="C109" s="350" t="s">
        <v>12</v>
      </c>
      <c r="D109" s="350" t="s">
        <v>1486</v>
      </c>
      <c r="E109" s="480" t="s">
        <v>13</v>
      </c>
      <c r="F109" s="780">
        <v>6.12</v>
      </c>
      <c r="G109" s="946"/>
      <c r="H109" s="95"/>
      <c r="I109" s="1064"/>
      <c r="J109" s="622"/>
      <c r="K109" s="982"/>
      <c r="L109" s="622"/>
      <c r="M109" s="982"/>
      <c r="N109" s="622"/>
      <c r="O109" s="1063"/>
      <c r="P109" s="622"/>
      <c r="Q109" s="982"/>
      <c r="R109" s="861"/>
      <c r="T109" s="927"/>
      <c r="U109" s="999"/>
    </row>
    <row r="110" spans="1:26" s="224" customFormat="1" ht="15" customHeight="1" x14ac:dyDescent="0.25">
      <c r="A110" s="247">
        <v>45319</v>
      </c>
      <c r="B110" s="349" t="s">
        <v>443</v>
      </c>
      <c r="C110" s="350" t="s">
        <v>12</v>
      </c>
      <c r="D110" s="350" t="s">
        <v>1493</v>
      </c>
      <c r="E110" s="480" t="s">
        <v>13</v>
      </c>
      <c r="F110" s="780">
        <v>7.96</v>
      </c>
      <c r="G110" s="946"/>
      <c r="H110" s="95"/>
      <c r="I110" s="1064"/>
      <c r="J110" s="622"/>
      <c r="K110" s="982"/>
      <c r="L110" s="622"/>
      <c r="M110" s="982"/>
      <c r="N110" s="622"/>
      <c r="O110" s="1063"/>
      <c r="P110" s="622"/>
      <c r="Q110" s="982"/>
      <c r="R110" s="861"/>
      <c r="T110" s="927"/>
      <c r="U110" s="999"/>
    </row>
    <row r="111" spans="1:26" s="224" customFormat="1" ht="15" customHeight="1" x14ac:dyDescent="0.25">
      <c r="A111" s="247">
        <v>45320</v>
      </c>
      <c r="B111" s="882" t="s">
        <v>2789</v>
      </c>
      <c r="C111" s="879" t="s">
        <v>12</v>
      </c>
      <c r="D111" s="879" t="s">
        <v>1485</v>
      </c>
      <c r="E111" s="875" t="s">
        <v>13</v>
      </c>
      <c r="F111" s="780">
        <v>10.55</v>
      </c>
      <c r="G111" s="982"/>
      <c r="H111" s="622"/>
      <c r="I111" s="982"/>
      <c r="J111" s="622"/>
      <c r="K111" s="982"/>
      <c r="L111" s="622"/>
      <c r="M111" s="982"/>
      <c r="N111" s="622"/>
      <c r="O111" s="1063"/>
      <c r="P111" s="622"/>
      <c r="Q111" s="982"/>
      <c r="R111" s="927"/>
      <c r="S111" s="927"/>
      <c r="T111" s="878"/>
    </row>
    <row r="112" spans="1:26" s="224" customFormat="1" ht="15" customHeight="1" x14ac:dyDescent="0.25">
      <c r="A112" s="247">
        <v>45320</v>
      </c>
      <c r="B112" s="882" t="s">
        <v>6117</v>
      </c>
      <c r="C112" s="879" t="s">
        <v>12</v>
      </c>
      <c r="D112" s="879"/>
      <c r="E112" s="875" t="s">
        <v>25</v>
      </c>
      <c r="F112" s="780">
        <v>9.61</v>
      </c>
      <c r="G112" s="982"/>
      <c r="H112" s="622">
        <v>100</v>
      </c>
      <c r="I112" s="982"/>
      <c r="J112" s="622"/>
      <c r="K112" s="982"/>
      <c r="L112" s="622"/>
      <c r="M112" s="982"/>
      <c r="N112" s="622"/>
      <c r="O112" s="1063">
        <v>109.61</v>
      </c>
      <c r="P112" s="622"/>
      <c r="Q112" s="982"/>
      <c r="R112" s="927"/>
      <c r="S112" s="927"/>
      <c r="T112" s="878"/>
    </row>
    <row r="113" spans="1:26" s="224" customFormat="1" ht="15" customHeight="1" x14ac:dyDescent="0.25">
      <c r="A113" s="247">
        <v>45320</v>
      </c>
      <c r="B113" s="882" t="s">
        <v>3958</v>
      </c>
      <c r="C113" s="1276" t="s">
        <v>12</v>
      </c>
      <c r="D113" s="879" t="s">
        <v>1489</v>
      </c>
      <c r="E113" s="871" t="s">
        <v>13</v>
      </c>
      <c r="F113" s="780">
        <v>21</v>
      </c>
      <c r="G113" s="982"/>
      <c r="H113" s="622"/>
      <c r="I113" s="982"/>
      <c r="J113" s="622"/>
      <c r="K113" s="982"/>
      <c r="L113" s="853"/>
      <c r="M113" s="982"/>
      <c r="N113" s="622"/>
      <c r="O113" s="1063"/>
      <c r="P113" s="622"/>
      <c r="Q113" s="982"/>
      <c r="R113" s="927"/>
      <c r="S113" s="927"/>
      <c r="T113" s="878"/>
    </row>
    <row r="114" spans="1:26" s="224" customFormat="1" ht="15" customHeight="1" x14ac:dyDescent="0.25">
      <c r="A114" s="247">
        <v>45320</v>
      </c>
      <c r="B114" s="1275" t="s">
        <v>1331</v>
      </c>
      <c r="C114" s="879" t="s">
        <v>12</v>
      </c>
      <c r="D114" s="1276" t="s">
        <v>2157</v>
      </c>
      <c r="E114" s="875" t="s">
        <v>15</v>
      </c>
      <c r="F114" s="780">
        <v>50</v>
      </c>
      <c r="G114" s="946"/>
      <c r="H114" s="95"/>
      <c r="I114" s="1064"/>
      <c r="J114" s="622"/>
      <c r="K114" s="982"/>
      <c r="L114" s="622"/>
      <c r="M114" s="982"/>
      <c r="N114" s="622"/>
      <c r="O114" s="1063"/>
      <c r="P114" s="622"/>
      <c r="Q114" s="982"/>
      <c r="R114" s="861"/>
      <c r="T114" s="927"/>
      <c r="U114" s="999"/>
    </row>
    <row r="115" spans="1:26" s="224" customFormat="1" ht="15" customHeight="1" x14ac:dyDescent="0.25">
      <c r="A115" s="247">
        <v>45321</v>
      </c>
      <c r="B115" s="882" t="s">
        <v>256</v>
      </c>
      <c r="C115" s="879"/>
      <c r="D115" s="879"/>
      <c r="E115" s="875"/>
      <c r="F115" s="780"/>
      <c r="G115" s="982">
        <v>800</v>
      </c>
      <c r="H115" s="622">
        <v>800</v>
      </c>
      <c r="I115" s="982"/>
      <c r="J115" s="622"/>
      <c r="K115" s="982"/>
      <c r="L115" s="622"/>
      <c r="M115" s="982"/>
      <c r="N115" s="622"/>
      <c r="O115" s="1063"/>
      <c r="P115" s="880"/>
      <c r="Q115" s="1033"/>
      <c r="R115" s="927"/>
      <c r="T115" s="878"/>
    </row>
    <row r="116" spans="1:26" s="224" customFormat="1" ht="15" customHeight="1" x14ac:dyDescent="0.25">
      <c r="A116" s="247">
        <v>45321</v>
      </c>
      <c r="B116" s="882" t="s">
        <v>2789</v>
      </c>
      <c r="C116" s="879" t="s">
        <v>12</v>
      </c>
      <c r="D116" s="879" t="s">
        <v>1485</v>
      </c>
      <c r="E116" s="875" t="s">
        <v>13</v>
      </c>
      <c r="F116" s="780">
        <v>10.55</v>
      </c>
      <c r="G116" s="982"/>
      <c r="H116" s="622"/>
      <c r="I116" s="982"/>
      <c r="J116" s="622"/>
      <c r="K116" s="982"/>
      <c r="L116" s="622"/>
      <c r="M116" s="982"/>
      <c r="N116" s="622"/>
      <c r="O116" s="1063"/>
      <c r="P116" s="622"/>
      <c r="Q116" s="982"/>
      <c r="R116" s="927"/>
      <c r="S116" s="927"/>
      <c r="T116" s="878"/>
    </row>
    <row r="117" spans="1:26" s="224" customFormat="1" ht="15" customHeight="1" x14ac:dyDescent="0.25">
      <c r="A117" s="247">
        <v>45321</v>
      </c>
      <c r="B117" s="882" t="s">
        <v>2570</v>
      </c>
      <c r="C117" s="879" t="s">
        <v>12</v>
      </c>
      <c r="D117" s="879" t="s">
        <v>1489</v>
      </c>
      <c r="E117" s="875" t="s">
        <v>13</v>
      </c>
      <c r="F117" s="780">
        <v>10</v>
      </c>
      <c r="G117" s="982"/>
      <c r="H117" s="622"/>
      <c r="I117" s="982"/>
      <c r="J117" s="622"/>
      <c r="K117" s="982"/>
      <c r="L117" s="622"/>
      <c r="M117" s="982"/>
      <c r="N117" s="622"/>
      <c r="O117" s="1063"/>
      <c r="P117" s="622"/>
      <c r="Q117" s="982"/>
      <c r="R117" s="927"/>
      <c r="S117" s="927"/>
      <c r="T117" s="878"/>
    </row>
    <row r="118" spans="1:26" s="224" customFormat="1" ht="15" customHeight="1" x14ac:dyDescent="0.25">
      <c r="A118" s="247">
        <v>45321</v>
      </c>
      <c r="B118" s="349" t="s">
        <v>14</v>
      </c>
      <c r="C118" s="350" t="s">
        <v>12</v>
      </c>
      <c r="D118" s="350" t="s">
        <v>1486</v>
      </c>
      <c r="E118" s="480" t="s">
        <v>13</v>
      </c>
      <c r="F118" s="780">
        <v>6.33</v>
      </c>
      <c r="G118" s="946"/>
      <c r="H118" s="95"/>
      <c r="I118" s="1064"/>
      <c r="J118" s="622"/>
      <c r="K118" s="982"/>
      <c r="L118" s="622"/>
      <c r="M118" s="982"/>
      <c r="N118" s="622"/>
      <c r="O118" s="1063"/>
      <c r="P118" s="622"/>
      <c r="Q118" s="982"/>
      <c r="R118" s="861"/>
      <c r="T118" s="927"/>
      <c r="U118" s="999"/>
    </row>
    <row r="119" spans="1:26" s="224" customFormat="1" ht="15" customHeight="1" x14ac:dyDescent="0.25">
      <c r="A119" s="247">
        <v>45322</v>
      </c>
      <c r="B119" s="882" t="s">
        <v>32</v>
      </c>
      <c r="C119" s="879" t="s">
        <v>12</v>
      </c>
      <c r="D119" s="879" t="s">
        <v>1485</v>
      </c>
      <c r="E119" s="875" t="s">
        <v>13</v>
      </c>
      <c r="F119" s="780">
        <v>20</v>
      </c>
      <c r="G119" s="982"/>
      <c r="H119" s="622"/>
      <c r="I119" s="982"/>
      <c r="J119" s="622"/>
      <c r="K119" s="982"/>
      <c r="L119" s="622"/>
      <c r="M119" s="982"/>
      <c r="N119" s="622"/>
      <c r="O119" s="1063"/>
      <c r="P119" s="622"/>
      <c r="Q119" s="982"/>
      <c r="R119" s="1028"/>
      <c r="S119" s="959"/>
      <c r="T119" s="878"/>
      <c r="U119" s="958"/>
    </row>
    <row r="120" spans="1:26" s="224" customFormat="1" ht="15" customHeight="1" x14ac:dyDescent="0.25">
      <c r="A120" s="247">
        <v>45322</v>
      </c>
      <c r="B120" s="349" t="s">
        <v>6110</v>
      </c>
      <c r="C120" s="350" t="s">
        <v>12</v>
      </c>
      <c r="D120" s="350"/>
      <c r="E120" s="480" t="s">
        <v>25</v>
      </c>
      <c r="F120" s="780"/>
      <c r="G120" s="946">
        <v>10.02</v>
      </c>
      <c r="H120" s="95"/>
      <c r="I120" s="1064"/>
      <c r="J120" s="622"/>
      <c r="K120" s="982"/>
      <c r="L120" s="622"/>
      <c r="M120" s="982"/>
      <c r="N120" s="622"/>
      <c r="O120" s="1063"/>
      <c r="P120" s="622"/>
      <c r="Q120" s="982"/>
      <c r="R120" s="861"/>
      <c r="T120" s="927"/>
      <c r="U120" s="999"/>
    </row>
    <row r="121" spans="1:26" s="224" customFormat="1" ht="15.75" thickBot="1" x14ac:dyDescent="0.3">
      <c r="A121" s="247">
        <v>45322</v>
      </c>
      <c r="B121" s="862" t="s">
        <v>1666</v>
      </c>
      <c r="C121" s="879" t="s">
        <v>12</v>
      </c>
      <c r="D121" s="1003"/>
      <c r="E121" s="145" t="s">
        <v>25</v>
      </c>
      <c r="F121" s="1036"/>
      <c r="G121" s="1535"/>
      <c r="H121" s="1008"/>
      <c r="I121" s="1063"/>
      <c r="J121" s="1036"/>
      <c r="K121" s="1535"/>
      <c r="L121" s="622"/>
      <c r="M121" s="982">
        <v>43.8</v>
      </c>
      <c r="N121" s="622"/>
      <c r="O121" s="1063">
        <v>0</v>
      </c>
      <c r="P121" s="1036"/>
      <c r="Q121" s="1535"/>
      <c r="R121" s="1815">
        <f>M121/M5</f>
        <v>8.1057823097778273E-3</v>
      </c>
      <c r="T121" s="878"/>
    </row>
    <row r="122" spans="1:26" ht="25.5" customHeight="1" thickBot="1" x14ac:dyDescent="0.3">
      <c r="A122" s="3060"/>
      <c r="B122" s="3061"/>
      <c r="C122" s="3062"/>
      <c r="D122" s="3062"/>
      <c r="E122" s="3062"/>
      <c r="F122" s="1023">
        <f>SUM(F6:F121)</f>
        <v>5825.4349999999986</v>
      </c>
      <c r="G122" s="1065">
        <f>SUM(G5:G121)</f>
        <v>7116.5232500000338</v>
      </c>
      <c r="H122" s="517">
        <f>SUM(H6:H121)</f>
        <v>3600</v>
      </c>
      <c r="I122" s="93">
        <f>SUM(I5:I121)</f>
        <v>5999.9959999999992</v>
      </c>
      <c r="J122" s="1023">
        <f>SUM(J6:J121)</f>
        <v>0</v>
      </c>
      <c r="K122" s="93">
        <f>SUM(K5:K121)</f>
        <v>26300.15</v>
      </c>
      <c r="L122" s="1023">
        <f>SUM(L6:L121)</f>
        <v>423.85</v>
      </c>
      <c r="M122" s="93">
        <f>SUM(M5:M121)</f>
        <v>5447.3500000000022</v>
      </c>
      <c r="N122" s="1023">
        <f>SUM(N6:N121)</f>
        <v>0</v>
      </c>
      <c r="O122" s="93">
        <f>SUM(O5:O121)</f>
        <v>209.61</v>
      </c>
      <c r="P122" s="1211">
        <f>SUM(P6:P121)</f>
        <v>0</v>
      </c>
      <c r="Q122" s="93">
        <f>SUM(Q5:Q121)</f>
        <v>50890.255984720003</v>
      </c>
      <c r="S122" s="216"/>
    </row>
    <row r="123" spans="1:26" ht="25.5" customHeight="1" thickBot="1" x14ac:dyDescent="0.3">
      <c r="A123" s="3117" t="s">
        <v>49</v>
      </c>
      <c r="B123" s="3118"/>
      <c r="C123" s="3118"/>
      <c r="D123" s="3118"/>
      <c r="E123" s="3118"/>
      <c r="F123" s="144" t="s">
        <v>280</v>
      </c>
      <c r="G123" s="519">
        <f>G122-F122</f>
        <v>1291.0882500000353</v>
      </c>
      <c r="H123" s="555"/>
      <c r="I123" s="772">
        <f>I122-H122</f>
        <v>2399.9959999999992</v>
      </c>
      <c r="J123" s="593"/>
      <c r="K123" s="993">
        <f>K122-J122</f>
        <v>26300.15</v>
      </c>
      <c r="L123" s="593"/>
      <c r="M123" s="772">
        <f>M122-L122</f>
        <v>5023.5000000000018</v>
      </c>
      <c r="N123" s="593"/>
      <c r="O123" s="772">
        <f>O122-N122</f>
        <v>209.61</v>
      </c>
      <c r="P123" s="593"/>
      <c r="Q123" s="556">
        <f>Q122-P122</f>
        <v>50890.255984720003</v>
      </c>
      <c r="R123" s="484">
        <f>K123+M123+O123+Q123</f>
        <v>82423.515984719998</v>
      </c>
    </row>
    <row r="124" spans="1:26" x14ac:dyDescent="0.25">
      <c r="J124" s="1238"/>
      <c r="K124" s="1238">
        <f>K123/R123</f>
        <v>0.31908551444075289</v>
      </c>
      <c r="M124" s="1238">
        <f>M123/R123</f>
        <v>6.0947412155182491E-2</v>
      </c>
      <c r="O124" s="1238">
        <f>O123/R123</f>
        <v>2.5430849132771567E-3</v>
      </c>
      <c r="P124" s="1239"/>
      <c r="Q124" s="1239">
        <f>Q123/R123</f>
        <v>0.6174239884907875</v>
      </c>
      <c r="R124" s="867"/>
      <c r="S124" s="867"/>
      <c r="T124" s="79"/>
      <c r="W124" s="518"/>
      <c r="X124" s="216"/>
      <c r="Z124" s="877"/>
    </row>
    <row r="125" spans="1:26" x14ac:dyDescent="0.25">
      <c r="B125" s="81" t="s">
        <v>3</v>
      </c>
      <c r="C125" s="193" t="s">
        <v>1484</v>
      </c>
      <c r="D125" s="970" t="s">
        <v>2378</v>
      </c>
      <c r="E125" s="193" t="s">
        <v>3216</v>
      </c>
      <c r="F125" s="1061" t="s">
        <v>3217</v>
      </c>
      <c r="G125" s="216"/>
      <c r="J125" s="867"/>
      <c r="K125" s="866"/>
      <c r="M125" s="866"/>
      <c r="O125" s="866"/>
      <c r="P125" s="1038"/>
      <c r="Q125" s="1038"/>
      <c r="R125" s="865"/>
      <c r="S125" s="867"/>
    </row>
    <row r="126" spans="1:26" x14ac:dyDescent="0.25">
      <c r="B126" s="79" t="s">
        <v>32</v>
      </c>
      <c r="C126" s="85" t="s">
        <v>1485</v>
      </c>
      <c r="D126" s="475">
        <f>SUMIF($D$15:$D$121,"A",$F$15:$F$121)</f>
        <v>316.8</v>
      </c>
      <c r="E126" s="1202">
        <f t="shared" ref="E126:E141" si="0">D126/$J$143</f>
        <v>10.219354838709679</v>
      </c>
      <c r="F126" s="1203">
        <f t="shared" ref="F126:F141" si="1">E126/$E$144</f>
        <v>7.1115900060610152E-2</v>
      </c>
      <c r="G126" s="800"/>
      <c r="I126" s="769"/>
      <c r="J126" s="1210"/>
      <c r="K126" s="754"/>
      <c r="M126" s="886"/>
      <c r="O126" s="886"/>
      <c r="P126" s="886"/>
      <c r="Q126" s="1210"/>
      <c r="R126" s="1038"/>
      <c r="S126" s="1210"/>
      <c r="U126" s="1201"/>
      <c r="V126" s="877"/>
    </row>
    <row r="127" spans="1:26" x14ac:dyDescent="0.25">
      <c r="B127" s="79" t="s">
        <v>2187</v>
      </c>
      <c r="C127" s="85" t="s">
        <v>2157</v>
      </c>
      <c r="D127" s="475">
        <f>SUMIF($D$10:$D$121,"GAC",$F$10:$F$121)</f>
        <v>496.92</v>
      </c>
      <c r="E127" s="1202">
        <f t="shared" si="0"/>
        <v>16.02967741935484</v>
      </c>
      <c r="F127" s="1203">
        <f t="shared" si="1"/>
        <v>0.11154959929961615</v>
      </c>
      <c r="G127" s="609"/>
      <c r="J127" s="1038"/>
      <c r="K127" s="1225"/>
      <c r="M127" s="1210"/>
      <c r="O127" s="1038"/>
      <c r="P127" s="1210"/>
      <c r="Q127" s="1038"/>
      <c r="R127" s="1038"/>
      <c r="U127" s="877"/>
      <c r="V127" s="877"/>
    </row>
    <row r="128" spans="1:26" s="85" customFormat="1" x14ac:dyDescent="0.25">
      <c r="A128" s="79"/>
      <c r="B128" s="79" t="s">
        <v>50</v>
      </c>
      <c r="C128" s="85" t="s">
        <v>1493</v>
      </c>
      <c r="D128" s="475">
        <f>SUMIF($D$10:$D$121,"LD",$F$10:$F$121)</f>
        <v>330.25999999999993</v>
      </c>
      <c r="E128" s="1202">
        <f t="shared" si="0"/>
        <v>10.653548387096771</v>
      </c>
      <c r="F128" s="1203">
        <f t="shared" si="1"/>
        <v>7.4137427885154997E-2</v>
      </c>
      <c r="J128" s="864"/>
      <c r="K128" s="877"/>
      <c r="M128" s="941"/>
      <c r="N128" s="877"/>
      <c r="O128" s="863"/>
      <c r="Q128" s="79"/>
      <c r="R128" s="177"/>
      <c r="U128" s="877"/>
      <c r="V128" s="877"/>
    </row>
    <row r="129" spans="1:22" s="85" customFormat="1" x14ac:dyDescent="0.25">
      <c r="A129" s="79"/>
      <c r="B129" s="79" t="s">
        <v>14</v>
      </c>
      <c r="C129" s="85" t="s">
        <v>1486</v>
      </c>
      <c r="D129" s="475">
        <f>SUMIF($D$10:$D$121,"C",$F$10:$F$121)</f>
        <v>101.8</v>
      </c>
      <c r="E129" s="1202">
        <f t="shared" si="0"/>
        <v>3.2838709677419353</v>
      </c>
      <c r="F129" s="1203">
        <f t="shared" si="1"/>
        <v>2.2852268390688487E-2</v>
      </c>
      <c r="G129" s="79"/>
      <c r="H129" s="79"/>
      <c r="J129" s="1038"/>
      <c r="K129" s="877"/>
      <c r="M129" s="1028"/>
      <c r="N129" s="877"/>
      <c r="O129" s="1038"/>
      <c r="R129" s="177"/>
      <c r="U129" s="877"/>
      <c r="V129" s="877"/>
    </row>
    <row r="130" spans="1:22" s="85" customFormat="1" x14ac:dyDescent="0.25">
      <c r="B130" s="79" t="s">
        <v>51</v>
      </c>
      <c r="C130" s="864" t="s">
        <v>1499</v>
      </c>
      <c r="D130" s="475">
        <f>SUMIF($D$23:$D$121,"CAL",$F$23:$F$121)</f>
        <v>82.69</v>
      </c>
      <c r="E130" s="1202">
        <f t="shared" si="0"/>
        <v>2.6674193548387097</v>
      </c>
      <c r="F130" s="1203">
        <f t="shared" si="1"/>
        <v>1.8562417222259639E-2</v>
      </c>
      <c r="G130" s="79"/>
      <c r="H130" s="79"/>
      <c r="I130" s="79"/>
      <c r="J130" s="1038"/>
      <c r="K130" s="877"/>
      <c r="M130" s="1028"/>
      <c r="N130" s="877"/>
      <c r="O130" s="1038"/>
      <c r="P130" s="1210"/>
      <c r="Q130" s="1038"/>
      <c r="R130" s="177"/>
      <c r="U130" s="877"/>
      <c r="V130" s="877"/>
    </row>
    <row r="131" spans="1:22" s="85" customFormat="1" x14ac:dyDescent="0.25">
      <c r="A131" s="79"/>
      <c r="B131" s="79" t="s">
        <v>2189</v>
      </c>
      <c r="C131" s="864" t="s">
        <v>1496</v>
      </c>
      <c r="D131" s="475">
        <f>SUMIF($D$20:$D$121,"AC",$F$20:$F$121)</f>
        <v>90</v>
      </c>
      <c r="E131" s="1202">
        <f t="shared" si="0"/>
        <v>2.903225806451613</v>
      </c>
      <c r="F131" s="1203">
        <f t="shared" si="1"/>
        <v>2.0203380699036974E-2</v>
      </c>
      <c r="G131" s="79"/>
      <c r="J131" s="1038"/>
      <c r="K131" s="877"/>
      <c r="M131" s="877"/>
      <c r="O131" s="177"/>
      <c r="R131" s="177"/>
      <c r="U131" s="877"/>
      <c r="V131" s="877"/>
    </row>
    <row r="132" spans="1:22" s="85" customFormat="1" x14ac:dyDescent="0.25">
      <c r="A132" s="79"/>
      <c r="B132" s="867" t="s">
        <v>53</v>
      </c>
      <c r="C132" s="864" t="s">
        <v>1522</v>
      </c>
      <c r="D132" s="475">
        <f>SUMIF($D$15:$D$121,"DC",$F$15:$F$121)</f>
        <v>800</v>
      </c>
      <c r="E132" s="1202">
        <f t="shared" si="0"/>
        <v>25.806451612903224</v>
      </c>
      <c r="F132" s="1203">
        <f t="shared" si="1"/>
        <v>0.17958560621366199</v>
      </c>
      <c r="J132" s="79"/>
      <c r="K132" s="877"/>
      <c r="M132" s="1959"/>
      <c r="O132" s="177"/>
      <c r="P132" s="868"/>
      <c r="Q132" s="769"/>
      <c r="R132" s="79"/>
      <c r="U132" s="877"/>
      <c r="V132" s="877"/>
    </row>
    <row r="133" spans="1:22" s="85" customFormat="1" x14ac:dyDescent="0.25">
      <c r="A133" s="79"/>
      <c r="B133" s="79" t="s">
        <v>3048</v>
      </c>
      <c r="C133" s="864" t="s">
        <v>1523</v>
      </c>
      <c r="D133" s="475">
        <f ca="1">SUMIF($D$7:$D$122,"B",$F$7:$F$121)</f>
        <v>976.33</v>
      </c>
      <c r="E133" s="1202">
        <f t="shared" ca="1" si="0"/>
        <v>31.494516129032259</v>
      </c>
      <c r="F133" s="1203">
        <f t="shared" ca="1" si="1"/>
        <v>0.21916851864323078</v>
      </c>
      <c r="G133" s="866"/>
      <c r="J133" s="1038"/>
      <c r="K133" s="877"/>
      <c r="M133" s="877"/>
      <c r="O133" s="177"/>
      <c r="P133" s="866"/>
      <c r="Q133" s="1210"/>
      <c r="R133" s="877"/>
      <c r="U133" s="877"/>
      <c r="V133" s="877"/>
    </row>
    <row r="134" spans="1:22" s="85" customFormat="1" x14ac:dyDescent="0.25">
      <c r="A134" s="79"/>
      <c r="B134" s="79" t="s">
        <v>1686</v>
      </c>
      <c r="C134" s="864" t="s">
        <v>1506</v>
      </c>
      <c r="D134" s="475">
        <f>SUMIF($D$7:$D$121,"R",$F$7:$F$121)</f>
        <v>305.375</v>
      </c>
      <c r="E134" s="1202">
        <f t="shared" si="0"/>
        <v>9.8508064516129039</v>
      </c>
      <c r="F134" s="1203">
        <f t="shared" si="1"/>
        <v>6.8551193121871287E-2</v>
      </c>
      <c r="G134" s="868"/>
      <c r="K134" s="877"/>
      <c r="M134" s="877"/>
      <c r="O134" s="177"/>
      <c r="P134" s="1226"/>
      <c r="Q134" s="1129"/>
      <c r="R134" s="877"/>
      <c r="U134" s="877"/>
      <c r="V134" s="877"/>
    </row>
    <row r="135" spans="1:22" x14ac:dyDescent="0.25">
      <c r="B135" s="79" t="s">
        <v>418</v>
      </c>
      <c r="C135" s="85" t="s">
        <v>1524</v>
      </c>
      <c r="D135" s="475">
        <f>SUMIF($D$20:$D$121,"COM",$F$20:$F$121)</f>
        <v>18</v>
      </c>
      <c r="E135" s="1202">
        <f t="shared" si="0"/>
        <v>0.58064516129032262</v>
      </c>
      <c r="F135" s="1203">
        <f t="shared" si="1"/>
        <v>4.0406761398073948E-3</v>
      </c>
      <c r="G135" s="85"/>
      <c r="H135" s="85"/>
      <c r="I135" s="85"/>
      <c r="J135" s="769"/>
      <c r="K135" s="1225"/>
      <c r="L135" s="769"/>
      <c r="M135" s="877"/>
      <c r="N135" s="769"/>
      <c r="O135" s="216"/>
      <c r="P135" s="1038"/>
      <c r="Q135" s="1226"/>
      <c r="R135" s="877"/>
      <c r="U135" s="877"/>
      <c r="V135" s="877"/>
    </row>
    <row r="136" spans="1:22" x14ac:dyDescent="0.25">
      <c r="B136" s="79" t="s">
        <v>419</v>
      </c>
      <c r="C136" s="85" t="s">
        <v>1491</v>
      </c>
      <c r="D136" s="475">
        <f>SUMIF($D$20:$D$121,"F",$F$20:$F$121)</f>
        <v>905.5</v>
      </c>
      <c r="E136" s="1202">
        <f t="shared" si="0"/>
        <v>29.20967741935484</v>
      </c>
      <c r="F136" s="1203">
        <f t="shared" si="1"/>
        <v>0.20326845803308868</v>
      </c>
      <c r="I136" s="85"/>
      <c r="N136" s="216"/>
      <c r="O136" s="216"/>
      <c r="Q136" s="484"/>
      <c r="R136" s="877"/>
      <c r="U136" s="877"/>
      <c r="V136" s="877"/>
    </row>
    <row r="137" spans="1:22" x14ac:dyDescent="0.25">
      <c r="B137" s="79" t="s">
        <v>911</v>
      </c>
      <c r="C137" s="85" t="s">
        <v>1525</v>
      </c>
      <c r="D137" s="475">
        <f>SUMIF($D$15:$D$121,"FER",$F$15:$F$121)</f>
        <v>186.9</v>
      </c>
      <c r="E137" s="1202">
        <f t="shared" si="0"/>
        <v>6.0290322580645164</v>
      </c>
      <c r="F137" s="1203">
        <f t="shared" si="1"/>
        <v>4.1955687251666783E-2</v>
      </c>
      <c r="O137" s="216"/>
      <c r="Q137" s="484"/>
      <c r="R137" s="1673"/>
      <c r="U137" s="877"/>
      <c r="V137" s="877"/>
    </row>
    <row r="138" spans="1:22" x14ac:dyDescent="0.25">
      <c r="B138" s="79" t="s">
        <v>1526</v>
      </c>
      <c r="C138" s="85" t="s">
        <v>1504</v>
      </c>
      <c r="D138" s="475">
        <f>SUMIF($D$23:$D$121,"I",$F$23:$F$121)</f>
        <v>157.9</v>
      </c>
      <c r="E138" s="1202">
        <f t="shared" si="0"/>
        <v>5.0935483870967744</v>
      </c>
      <c r="F138" s="1203">
        <f t="shared" si="1"/>
        <v>3.5445709026421537E-2</v>
      </c>
      <c r="J138" s="769"/>
      <c r="K138" s="868"/>
      <c r="L138" s="769"/>
      <c r="N138" s="769"/>
      <c r="O138" s="886"/>
      <c r="P138" s="1210"/>
      <c r="Q138" s="1038"/>
      <c r="R138" s="1129"/>
      <c r="T138" s="1129"/>
      <c r="U138" s="877"/>
      <c r="V138" s="877"/>
    </row>
    <row r="139" spans="1:22" x14ac:dyDescent="0.25">
      <c r="B139" s="79" t="s">
        <v>2343</v>
      </c>
      <c r="C139" s="85" t="s">
        <v>2315</v>
      </c>
      <c r="D139" s="475">
        <f>SUMIF($D$23:$D$121,"E",$F$23:$F$121)</f>
        <v>0</v>
      </c>
      <c r="E139" s="1202">
        <f t="shared" si="0"/>
        <v>0</v>
      </c>
      <c r="F139" s="1203">
        <f t="shared" si="1"/>
        <v>0</v>
      </c>
      <c r="J139" s="769"/>
      <c r="K139" s="868"/>
      <c r="L139" s="769"/>
      <c r="M139" s="1210"/>
      <c r="N139" s="769"/>
      <c r="O139" s="1673"/>
      <c r="P139" s="1210"/>
      <c r="Q139" s="1038"/>
      <c r="R139" s="1129"/>
      <c r="T139" s="1129"/>
      <c r="U139" s="877"/>
      <c r="V139" s="877"/>
    </row>
    <row r="140" spans="1:22" x14ac:dyDescent="0.25">
      <c r="B140" s="79" t="s">
        <v>3019</v>
      </c>
      <c r="C140" s="85" t="s">
        <v>3017</v>
      </c>
      <c r="D140" s="475">
        <f>SUMIF($D$6:$D$121,"IM",$F$6:$F$121)</f>
        <v>541.28</v>
      </c>
      <c r="E140" s="1202">
        <f t="shared" si="0"/>
        <v>17.460645161290323</v>
      </c>
      <c r="F140" s="1203">
        <f t="shared" si="1"/>
        <v>0.12150762116416371</v>
      </c>
      <c r="J140" s="769"/>
      <c r="L140" s="769"/>
      <c r="N140" s="769"/>
      <c r="P140" s="941"/>
      <c r="Q140" s="224"/>
      <c r="R140" s="1226"/>
      <c r="S140" s="1129"/>
      <c r="T140" s="1129"/>
      <c r="U140" s="877"/>
      <c r="V140" s="877"/>
    </row>
    <row r="141" spans="1:22" x14ac:dyDescent="0.25">
      <c r="B141" s="79" t="s">
        <v>1527</v>
      </c>
      <c r="C141" s="85" t="s">
        <v>1489</v>
      </c>
      <c r="D141" s="475">
        <f>SUMIF($D$20:$D$121,"OD",$F$20:$F$121)</f>
        <v>386.07</v>
      </c>
      <c r="E141" s="1202">
        <f t="shared" si="0"/>
        <v>12.453870967741935</v>
      </c>
      <c r="F141" s="1203">
        <f t="shared" si="1"/>
        <v>8.6665768738635601E-2</v>
      </c>
      <c r="P141" s="1210"/>
      <c r="Q141" s="1038"/>
      <c r="R141" s="1226"/>
      <c r="S141" s="1129"/>
      <c r="T141" s="1129"/>
      <c r="U141" s="877"/>
      <c r="V141" s="877"/>
    </row>
    <row r="142" spans="1:22" x14ac:dyDescent="0.25">
      <c r="C142" s="79"/>
      <c r="D142" s="629"/>
      <c r="E142" s="79"/>
      <c r="F142" s="79"/>
      <c r="K142" s="459" t="s">
        <v>6481</v>
      </c>
      <c r="L142" s="2125" t="s">
        <v>6482</v>
      </c>
      <c r="P142" s="1210"/>
      <c r="Q142" s="1038"/>
      <c r="R142" s="1227"/>
      <c r="S142" s="1129"/>
      <c r="T142" s="1129"/>
      <c r="U142" s="877"/>
      <c r="V142" s="877"/>
    </row>
    <row r="143" spans="1:22" x14ac:dyDescent="0.25">
      <c r="C143" s="3168" t="s">
        <v>486</v>
      </c>
      <c r="D143" s="3168"/>
      <c r="E143" s="863">
        <f ca="1">I143/J143</f>
        <v>183.7362903225806</v>
      </c>
      <c r="G143" s="518" t="s">
        <v>487</v>
      </c>
      <c r="I143" s="629">
        <f ca="1">SUM(D126:D141)</f>
        <v>5695.8249999999989</v>
      </c>
      <c r="J143" s="1517">
        <v>31</v>
      </c>
      <c r="K143" s="484">
        <f ca="1">I143-4311</f>
        <v>1384.8249999999989</v>
      </c>
      <c r="L143" s="216"/>
      <c r="N143" s="216"/>
      <c r="O143" s="1517"/>
      <c r="P143" s="1210"/>
      <c r="Q143" s="1038"/>
      <c r="R143" s="1226"/>
      <c r="S143" s="1129"/>
      <c r="T143" s="1129"/>
      <c r="U143" s="877"/>
      <c r="V143" s="877"/>
    </row>
    <row r="144" spans="1:22" ht="15.75" customHeight="1" x14ac:dyDescent="0.25">
      <c r="B144" s="3167" t="s">
        <v>3725</v>
      </c>
      <c r="C144" s="3167"/>
      <c r="D144" s="3167"/>
      <c r="E144" s="1125">
        <v>143.69999999999999</v>
      </c>
      <c r="H144" s="85"/>
      <c r="K144" s="868"/>
      <c r="M144" s="868"/>
      <c r="O144" s="868"/>
      <c r="P144" s="1210"/>
      <c r="Q144" s="1038"/>
      <c r="R144" s="1226"/>
      <c r="S144" s="1129"/>
      <c r="T144" s="1129"/>
      <c r="U144" s="877"/>
      <c r="V144" s="877"/>
    </row>
    <row r="145" spans="1:24" x14ac:dyDescent="0.25">
      <c r="A145" s="518"/>
      <c r="C145" s="79"/>
      <c r="D145" s="79"/>
      <c r="E145" s="769"/>
      <c r="F145" s="866"/>
      <c r="G145" s="769"/>
      <c r="H145" s="866"/>
      <c r="I145" s="1210"/>
      <c r="J145" s="89"/>
      <c r="L145" s="1038"/>
      <c r="M145" s="1210"/>
      <c r="N145" s="1038"/>
      <c r="O145" s="1210"/>
      <c r="P145" s="1210"/>
      <c r="Q145" s="1038"/>
      <c r="R145" s="769"/>
      <c r="S145" s="484" t="s">
        <v>280</v>
      </c>
      <c r="T145" s="216"/>
      <c r="U145" s="866"/>
      <c r="V145" s="484"/>
      <c r="X145" s="877"/>
    </row>
    <row r="146" spans="1:24" s="518" customFormat="1" x14ac:dyDescent="0.25">
      <c r="A146" s="79"/>
      <c r="B146" s="79"/>
      <c r="C146" s="79"/>
      <c r="D146" s="79"/>
      <c r="E146" s="1126">
        <f ca="1">E144-E143</f>
        <v>-40.036290322580612</v>
      </c>
      <c r="F146" s="1205">
        <f ca="1">SUM(F126:F145)</f>
        <v>1.2786102318899142</v>
      </c>
      <c r="G146" s="85"/>
      <c r="H146" s="85"/>
      <c r="I146" s="89"/>
      <c r="J146" s="79"/>
      <c r="K146" s="79"/>
      <c r="L146" s="79"/>
      <c r="M146" s="79"/>
      <c r="N146" s="79"/>
      <c r="O146" s="79"/>
      <c r="P146" s="1210"/>
      <c r="Q146" s="1038"/>
      <c r="R146" s="79"/>
      <c r="S146" s="79"/>
      <c r="T146" s="866"/>
      <c r="U146" s="484"/>
      <c r="V146" s="79"/>
      <c r="W146" s="877"/>
      <c r="X146" s="79"/>
    </row>
    <row r="147" spans="1:24" s="518" customFormat="1" x14ac:dyDescent="0.25">
      <c r="A147" s="79"/>
      <c r="B147" s="79"/>
      <c r="C147" s="85"/>
      <c r="D147" s="85"/>
      <c r="E147" s="85"/>
      <c r="Q147" s="1038"/>
      <c r="R147" s="484"/>
      <c r="S147" s="79"/>
      <c r="T147" s="877"/>
      <c r="U147" s="79"/>
    </row>
    <row r="148" spans="1:24" s="518" customFormat="1" x14ac:dyDescent="0.25">
      <c r="A148" s="79"/>
      <c r="B148" s="1124" t="s">
        <v>6376</v>
      </c>
      <c r="C148" s="2125"/>
      <c r="D148" s="2219">
        <f>SUMIF($E$7:$E$120,"crédito",$G$7:$G$120)</f>
        <v>2330.4</v>
      </c>
      <c r="E148" s="85"/>
      <c r="F148" s="89"/>
      <c r="G148" s="79"/>
      <c r="H148" s="79"/>
      <c r="I148" s="79"/>
      <c r="J148" s="769"/>
      <c r="K148" s="866"/>
      <c r="L148" s="769"/>
      <c r="M148" s="866"/>
      <c r="N148" s="769"/>
      <c r="O148" s="866"/>
      <c r="P148" s="1210"/>
      <c r="Q148" s="1038"/>
      <c r="R148" s="484"/>
      <c r="S148" s="79"/>
      <c r="T148" s="877"/>
      <c r="U148" s="79"/>
    </row>
    <row r="149" spans="1:24" s="518" customFormat="1" x14ac:dyDescent="0.25">
      <c r="A149" s="79"/>
      <c r="B149" s="518" t="s">
        <v>6496</v>
      </c>
      <c r="C149" s="459"/>
      <c r="D149" s="2218">
        <f ca="1">SUM(D126:D142)</f>
        <v>5695.8249999999989</v>
      </c>
      <c r="E149" s="85"/>
      <c r="F149" s="89"/>
      <c r="G149" s="79"/>
      <c r="H149" s="79"/>
      <c r="I149" s="216"/>
      <c r="J149" s="769"/>
      <c r="K149" s="866"/>
      <c r="L149" s="769"/>
      <c r="M149" s="866"/>
      <c r="N149" s="769"/>
      <c r="O149" s="866"/>
      <c r="P149" s="1210"/>
      <c r="Q149" s="1038"/>
      <c r="R149" s="484"/>
      <c r="S149" s="79"/>
      <c r="T149" s="877"/>
      <c r="U149" s="79"/>
    </row>
    <row r="150" spans="1:24" s="518" customFormat="1" x14ac:dyDescent="0.25">
      <c r="A150" s="79"/>
      <c r="B150" s="81" t="s">
        <v>6497</v>
      </c>
      <c r="C150" s="81"/>
      <c r="D150" s="1014">
        <f ca="1">D148-D149</f>
        <v>-3365.4249999999988</v>
      </c>
      <c r="E150" s="79"/>
      <c r="F150" s="79"/>
      <c r="G150" s="79"/>
      <c r="H150" s="79"/>
      <c r="K150" s="866"/>
      <c r="M150" s="866"/>
      <c r="O150" s="866"/>
      <c r="P150" s="1210"/>
      <c r="Q150" s="1038"/>
      <c r="R150" s="484"/>
      <c r="S150" s="79"/>
      <c r="T150" s="877"/>
      <c r="U150" s="79"/>
    </row>
    <row r="151" spans="1:24" s="518" customFormat="1" x14ac:dyDescent="0.25">
      <c r="A151" s="79"/>
      <c r="B151" s="79"/>
      <c r="C151" s="79"/>
      <c r="D151" s="79"/>
      <c r="E151" s="79"/>
      <c r="F151" s="79"/>
      <c r="G151" s="79"/>
      <c r="H151" s="79"/>
      <c r="I151" s="216"/>
      <c r="J151" s="769"/>
      <c r="K151" s="866"/>
      <c r="L151" s="769"/>
      <c r="M151" s="866"/>
      <c r="N151" s="769"/>
      <c r="O151" s="866"/>
      <c r="P151" s="1210"/>
      <c r="Q151" s="1038"/>
      <c r="R151" s="484"/>
      <c r="S151" s="79"/>
      <c r="T151" s="877"/>
      <c r="U151" s="79"/>
    </row>
    <row r="152" spans="1:24" s="518" customFormat="1" x14ac:dyDescent="0.25">
      <c r="A152" s="79"/>
      <c r="B152" s="79"/>
      <c r="C152" s="79"/>
      <c r="D152" s="79"/>
      <c r="E152" s="79"/>
      <c r="F152" s="79"/>
      <c r="G152" s="216"/>
      <c r="H152" s="79"/>
      <c r="I152" s="216"/>
      <c r="J152" s="769"/>
      <c r="K152" s="868"/>
      <c r="L152" s="769"/>
      <c r="M152" s="868"/>
      <c r="N152" s="769"/>
      <c r="O152" s="868"/>
      <c r="P152" s="1210"/>
      <c r="Q152" s="1038"/>
      <c r="R152" s="484"/>
      <c r="S152" s="79"/>
      <c r="T152" s="877"/>
      <c r="U152" s="79"/>
    </row>
    <row r="153" spans="1:24" s="518" customFormat="1" x14ac:dyDescent="0.25">
      <c r="A153" s="79"/>
      <c r="B153" s="79"/>
      <c r="C153" s="79"/>
      <c r="D153" s="79"/>
      <c r="E153" s="79"/>
      <c r="F153" s="79"/>
      <c r="G153" s="216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484"/>
      <c r="S153" s="79"/>
      <c r="T153" s="877"/>
      <c r="U153" s="79"/>
    </row>
    <row r="154" spans="1:24" s="518" customFormat="1" x14ac:dyDescent="0.25">
      <c r="A154" s="79"/>
      <c r="B154" s="79"/>
      <c r="C154" s="79"/>
      <c r="D154" s="79"/>
      <c r="E154" s="79"/>
      <c r="F154" s="79"/>
      <c r="G154" s="216"/>
      <c r="H154" s="79"/>
      <c r="I154" s="79"/>
      <c r="J154" s="770"/>
      <c r="K154" s="866"/>
      <c r="L154" s="770"/>
      <c r="M154" s="866"/>
      <c r="N154" s="770"/>
      <c r="O154" s="866"/>
      <c r="P154" s="1210"/>
      <c r="Q154" s="1038"/>
      <c r="R154" s="484"/>
      <c r="S154" s="79"/>
      <c r="T154" s="877"/>
      <c r="U154" s="79"/>
    </row>
    <row r="155" spans="1:24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8"/>
      <c r="L155" s="769"/>
      <c r="M155" s="868"/>
      <c r="N155" s="769"/>
      <c r="O155" s="868"/>
      <c r="P155" s="1210"/>
      <c r="Q155" s="1038"/>
      <c r="R155" s="484"/>
      <c r="S155" s="79"/>
      <c r="T155" s="877"/>
      <c r="U155" s="79"/>
    </row>
    <row r="156" spans="1:24" s="518" customFormat="1" x14ac:dyDescent="0.25">
      <c r="A156" s="79"/>
      <c r="B156" s="79"/>
      <c r="C156" s="85"/>
      <c r="D156" s="85"/>
      <c r="E156" s="85"/>
      <c r="F156" s="89"/>
      <c r="G156" s="79"/>
      <c r="H156" s="79"/>
      <c r="I156" s="79"/>
      <c r="J156" s="769"/>
      <c r="K156" s="866"/>
      <c r="L156" s="769"/>
      <c r="M156" s="866"/>
      <c r="N156" s="769"/>
      <c r="O156" s="866"/>
      <c r="P156" s="1210"/>
      <c r="Q156" s="1038"/>
      <c r="R156" s="484"/>
      <c r="S156" s="79"/>
      <c r="T156" s="877"/>
      <c r="U156" s="79"/>
    </row>
    <row r="157" spans="1:24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629"/>
      <c r="J157" s="769"/>
      <c r="K157" s="866"/>
      <c r="L157" s="769"/>
      <c r="M157" s="866"/>
      <c r="N157" s="769"/>
      <c r="O157" s="866"/>
      <c r="P157" s="1210"/>
      <c r="Q157" s="1038"/>
      <c r="R157" s="484"/>
      <c r="S157" s="79"/>
      <c r="T157" s="877"/>
      <c r="U157" s="79"/>
    </row>
    <row r="158" spans="1:24" s="518" customFormat="1" x14ac:dyDescent="0.25">
      <c r="A158" s="79"/>
      <c r="B158" s="79"/>
      <c r="C158" s="85"/>
      <c r="D158" s="85"/>
      <c r="E158" s="85"/>
      <c r="F158" s="89"/>
      <c r="G158" s="79"/>
      <c r="H158" s="79"/>
      <c r="I158" s="79"/>
      <c r="J158" s="769"/>
      <c r="K158" s="866"/>
      <c r="L158" s="769"/>
      <c r="M158" s="866"/>
      <c r="N158" s="769"/>
      <c r="O158" s="866"/>
      <c r="P158" s="1210"/>
      <c r="Q158" s="1038"/>
      <c r="R158" s="484"/>
      <c r="S158" s="79"/>
      <c r="T158" s="877"/>
      <c r="U158" s="79"/>
    </row>
    <row r="159" spans="1:24" s="518" customFormat="1" x14ac:dyDescent="0.25">
      <c r="A159" s="79"/>
      <c r="B159" s="79"/>
      <c r="C159" s="85"/>
      <c r="D159" s="85"/>
      <c r="E159" s="85"/>
      <c r="F159" s="89"/>
      <c r="G159" s="79"/>
      <c r="H159" s="79"/>
      <c r="I159" s="79"/>
      <c r="J159" s="769"/>
      <c r="K159" s="866"/>
      <c r="L159" s="769"/>
      <c r="M159" s="866"/>
      <c r="N159" s="769"/>
      <c r="O159" s="866"/>
      <c r="P159" s="1210"/>
      <c r="Q159" s="1038"/>
      <c r="R159" s="484"/>
      <c r="S159" s="79"/>
      <c r="T159" s="877"/>
      <c r="U159" s="79"/>
    </row>
    <row r="160" spans="1:24" s="518" customFormat="1" x14ac:dyDescent="0.25">
      <c r="A160" s="79"/>
      <c r="B160" s="79"/>
      <c r="C160" s="85"/>
      <c r="D160" s="85"/>
      <c r="E160" s="85"/>
      <c r="F160" s="89"/>
      <c r="G160" s="79"/>
      <c r="H160" s="79"/>
      <c r="I160" s="79"/>
      <c r="J160" s="769"/>
      <c r="K160" s="866"/>
      <c r="L160" s="769"/>
      <c r="M160" s="866"/>
      <c r="N160" s="769"/>
      <c r="O160" s="866"/>
      <c r="P160" s="1210"/>
      <c r="Q160" s="1038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1210"/>
      <c r="Q161" s="1038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1210"/>
      <c r="Q162" s="1038"/>
      <c r="R162" s="484"/>
      <c r="S162" s="79"/>
      <c r="T162" s="877"/>
      <c r="U162" s="79"/>
    </row>
    <row r="163" spans="1:21" s="518" customFormat="1" x14ac:dyDescent="0.25">
      <c r="A163" s="79"/>
      <c r="B163" s="79"/>
      <c r="C163" s="79"/>
      <c r="D163" s="79"/>
      <c r="E163" s="79"/>
      <c r="F163" s="79"/>
      <c r="G163" s="79"/>
      <c r="H163" s="79"/>
      <c r="I163" s="216"/>
      <c r="J163" s="769"/>
      <c r="K163" s="866"/>
      <c r="L163" s="769"/>
      <c r="M163" s="866"/>
      <c r="N163" s="769"/>
      <c r="O163" s="866"/>
      <c r="P163" s="1210"/>
      <c r="Q163" s="1038"/>
      <c r="R163" s="484"/>
      <c r="S163" s="79"/>
      <c r="T163" s="877"/>
      <c r="U163" s="79"/>
    </row>
    <row r="164" spans="1:21" s="518" customFormat="1" x14ac:dyDescent="0.25">
      <c r="A164" s="79"/>
      <c r="B164" s="79"/>
      <c r="C164" s="79"/>
      <c r="D164" s="79"/>
      <c r="E164" s="79"/>
      <c r="F164" s="79"/>
      <c r="G164" s="79"/>
      <c r="H164" s="79"/>
      <c r="I164" s="216"/>
      <c r="J164" s="769"/>
      <c r="K164" s="866"/>
      <c r="L164" s="769"/>
      <c r="M164" s="866"/>
      <c r="N164" s="769"/>
      <c r="O164" s="866"/>
      <c r="P164" s="1210"/>
      <c r="Q164" s="1038"/>
      <c r="R164" s="484"/>
      <c r="S164" s="79"/>
      <c r="T164" s="877"/>
      <c r="U164" s="79"/>
    </row>
    <row r="165" spans="1:21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769"/>
      <c r="K165" s="866"/>
      <c r="L165" s="769"/>
      <c r="M165" s="866"/>
      <c r="N165" s="769"/>
      <c r="O165" s="866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216"/>
      <c r="J166" s="769"/>
      <c r="K166" s="866"/>
      <c r="L166" s="769"/>
      <c r="M166" s="866"/>
      <c r="N166" s="769"/>
      <c r="O166" s="866"/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216"/>
      <c r="J167" s="769"/>
      <c r="K167" s="868"/>
      <c r="L167" s="769"/>
      <c r="M167" s="868"/>
      <c r="N167" s="769"/>
      <c r="O167" s="868"/>
      <c r="P167" s="79"/>
      <c r="Q167" s="79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216"/>
      <c r="J168" s="769"/>
      <c r="K168" s="868"/>
      <c r="L168" s="769"/>
      <c r="M168" s="868"/>
      <c r="N168" s="769"/>
      <c r="O168" s="868"/>
      <c r="P168" s="81"/>
      <c r="Q168" s="755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216"/>
      <c r="J169" s="769"/>
      <c r="K169" s="868"/>
      <c r="L169" s="769"/>
      <c r="M169" s="868"/>
      <c r="N169" s="769"/>
      <c r="O169" s="868"/>
      <c r="P169" s="868"/>
      <c r="Q169" s="79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216"/>
      <c r="J170" s="769"/>
      <c r="K170" s="868"/>
      <c r="L170" s="769"/>
      <c r="M170" s="868"/>
      <c r="N170" s="769"/>
      <c r="O170" s="868"/>
      <c r="P170" s="754"/>
      <c r="Q170" s="886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216"/>
      <c r="J171" s="769"/>
      <c r="K171" s="868"/>
      <c r="L171" s="769"/>
      <c r="M171" s="868"/>
      <c r="N171" s="769"/>
      <c r="O171" s="868"/>
      <c r="P171" s="864"/>
      <c r="Q171" s="864"/>
      <c r="R171" s="484"/>
      <c r="S171" s="79"/>
      <c r="T171" s="877"/>
      <c r="U171" s="79"/>
    </row>
    <row r="172" spans="1:21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864"/>
      <c r="Q172" s="1032"/>
      <c r="R172" s="484"/>
      <c r="S172" s="79"/>
      <c r="T172" s="877"/>
      <c r="U172" s="79"/>
    </row>
    <row r="173" spans="1:21" s="518" customFormat="1" x14ac:dyDescent="0.25">
      <c r="A173" s="79"/>
      <c r="B173" s="79"/>
      <c r="C173" s="85"/>
      <c r="D173" s="85"/>
      <c r="E173" s="85"/>
      <c r="F173" s="89"/>
      <c r="G173" s="79"/>
      <c r="H173" s="79"/>
      <c r="I173" s="79"/>
      <c r="J173" s="769"/>
      <c r="K173" s="866"/>
      <c r="L173" s="769"/>
      <c r="M173" s="866"/>
      <c r="N173" s="769"/>
      <c r="O173" s="866"/>
      <c r="P173" s="864"/>
      <c r="Q173" s="1032"/>
      <c r="R173" s="484"/>
      <c r="S173" s="79"/>
      <c r="T173" s="877"/>
      <c r="U173" s="79"/>
    </row>
    <row r="174" spans="1:21" s="518" customFormat="1" x14ac:dyDescent="0.25">
      <c r="A174" s="79"/>
      <c r="B174" s="79"/>
      <c r="C174" s="85"/>
      <c r="D174" s="85"/>
      <c r="E174" s="85"/>
      <c r="F174" s="89"/>
      <c r="G174" s="79"/>
      <c r="H174" s="79"/>
      <c r="I174" s="79"/>
      <c r="J174" s="769"/>
      <c r="K174" s="868"/>
      <c r="L174" s="769"/>
      <c r="M174" s="868"/>
      <c r="N174" s="769"/>
      <c r="O174" s="868"/>
      <c r="P174" s="85"/>
      <c r="Q174" s="795"/>
      <c r="R174" s="484"/>
      <c r="S174" s="79"/>
      <c r="T174" s="877"/>
      <c r="U174" s="79"/>
    </row>
    <row r="175" spans="1:21" s="518" customFormat="1" x14ac:dyDescent="0.25">
      <c r="A175" s="79"/>
      <c r="B175" s="79"/>
      <c r="C175" s="85"/>
      <c r="D175" s="85"/>
      <c r="E175" s="85"/>
      <c r="F175" s="89"/>
      <c r="G175" s="79"/>
      <c r="H175" s="79"/>
      <c r="I175" s="79"/>
      <c r="J175" s="769"/>
      <c r="K175" s="866"/>
      <c r="L175" s="769"/>
      <c r="M175" s="866"/>
      <c r="N175" s="769"/>
      <c r="O175" s="866"/>
      <c r="P175" s="85"/>
      <c r="Q175" s="177"/>
      <c r="R175" s="484"/>
      <c r="S175" s="79"/>
      <c r="T175" s="877"/>
      <c r="U175" s="79"/>
    </row>
    <row r="176" spans="1:21" s="518" customFormat="1" x14ac:dyDescent="0.25">
      <c r="A176" s="79"/>
      <c r="B176" s="79"/>
      <c r="C176" s="85"/>
      <c r="D176" s="85"/>
      <c r="E176" s="85"/>
      <c r="F176" s="89"/>
      <c r="G176" s="79"/>
      <c r="H176" s="79"/>
      <c r="I176" s="79"/>
      <c r="J176" s="769"/>
      <c r="K176" s="866"/>
      <c r="L176" s="769"/>
      <c r="M176" s="866"/>
      <c r="N176" s="769"/>
      <c r="O176" s="866"/>
      <c r="P176" s="85"/>
      <c r="Q176" s="177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769"/>
      <c r="K177" s="868"/>
      <c r="L177" s="769"/>
      <c r="M177" s="868"/>
      <c r="N177" s="769"/>
      <c r="O177" s="868"/>
      <c r="P177" s="85"/>
      <c r="Q177" s="177" t="s">
        <v>280</v>
      </c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69"/>
      <c r="K178" s="868"/>
      <c r="L178" s="769"/>
      <c r="M178" s="868"/>
      <c r="N178" s="769"/>
      <c r="O178" s="868"/>
      <c r="P178" s="85"/>
      <c r="Q178" s="177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69"/>
      <c r="K179" s="868"/>
      <c r="L179" s="769"/>
      <c r="M179" s="868"/>
      <c r="N179" s="769"/>
      <c r="O179" s="868"/>
      <c r="P179" s="85"/>
      <c r="Q179" s="866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69"/>
      <c r="K180" s="868"/>
      <c r="L180" s="769"/>
      <c r="M180" s="868"/>
      <c r="N180" s="769"/>
      <c r="O180" s="868"/>
      <c r="P180" s="769"/>
      <c r="Q180" s="216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69"/>
      <c r="K181" s="866"/>
      <c r="L181" s="769"/>
      <c r="M181" s="866"/>
      <c r="N181" s="769"/>
      <c r="O181" s="866"/>
      <c r="P181" s="79"/>
      <c r="Q181" s="21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223"/>
      <c r="K182" s="629"/>
      <c r="L182" s="223"/>
      <c r="M182" s="629"/>
      <c r="N182" s="223"/>
      <c r="O182" s="629"/>
      <c r="P182" s="769"/>
      <c r="Q182" s="868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56"/>
      <c r="K183" s="756"/>
      <c r="L183" s="756"/>
      <c r="M183" s="756"/>
      <c r="N183" s="756"/>
      <c r="O183" s="756"/>
      <c r="P183" s="769"/>
      <c r="Q183" s="868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69"/>
      <c r="Q184" s="868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79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85"/>
      <c r="K188" s="85"/>
      <c r="L188" s="85"/>
      <c r="M188" s="85"/>
      <c r="N188" s="85"/>
      <c r="O188" s="85"/>
      <c r="P188" s="1517"/>
      <c r="Q188" s="79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868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89"/>
      <c r="Q190" s="79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69"/>
      <c r="Q193" s="866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69"/>
      <c r="Q194" s="866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85"/>
      <c r="K195" s="85"/>
      <c r="L195" s="85"/>
      <c r="M195" s="85"/>
      <c r="N195" s="85"/>
      <c r="O195" s="85"/>
      <c r="Q195" s="866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69"/>
      <c r="Q196" s="866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69"/>
      <c r="Q197" s="86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69"/>
      <c r="Q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70"/>
      <c r="Q199" s="866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69"/>
      <c r="Q200" s="868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69"/>
      <c r="Q201" s="866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71"/>
      <c r="L202" s="771"/>
      <c r="N202" s="771"/>
      <c r="P202" s="769"/>
      <c r="Q202" s="866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69"/>
      <c r="Q203" s="866"/>
      <c r="R203" s="484"/>
      <c r="S203" s="79"/>
      <c r="T203" s="877"/>
      <c r="U203" s="79"/>
    </row>
    <row r="204" spans="1:21" x14ac:dyDescent="0.25">
      <c r="P204" s="769"/>
      <c r="Q204" s="866"/>
    </row>
    <row r="205" spans="1:21" x14ac:dyDescent="0.25">
      <c r="P205" s="769"/>
      <c r="Q205" s="866"/>
    </row>
    <row r="206" spans="1:21" x14ac:dyDescent="0.25">
      <c r="P206" s="769"/>
      <c r="Q206" s="866"/>
    </row>
    <row r="207" spans="1:21" x14ac:dyDescent="0.25">
      <c r="P207" s="769"/>
      <c r="Q207" s="866"/>
    </row>
    <row r="208" spans="1:21" x14ac:dyDescent="0.25">
      <c r="P208" s="769"/>
      <c r="Q208" s="866"/>
    </row>
    <row r="209" spans="1:21" x14ac:dyDescent="0.25">
      <c r="P209" s="769"/>
      <c r="Q209" s="866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216"/>
      <c r="L210" s="79"/>
      <c r="M210" s="216"/>
      <c r="N210" s="79"/>
      <c r="O210" s="216"/>
      <c r="P210" s="769"/>
      <c r="Q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216"/>
      <c r="L211" s="79"/>
      <c r="M211" s="216"/>
      <c r="N211" s="79"/>
      <c r="O211" s="216"/>
      <c r="P211" s="769"/>
      <c r="Q211" s="866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484"/>
      <c r="S213" s="79"/>
      <c r="T213" s="877"/>
      <c r="U213" s="79"/>
    </row>
    <row r="214" spans="1:21" x14ac:dyDescent="0.25">
      <c r="P214" s="769"/>
      <c r="Q214" s="868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8"/>
      <c r="R215" s="484"/>
      <c r="S215" s="79"/>
      <c r="T215" s="877"/>
      <c r="U215" s="79"/>
    </row>
    <row r="216" spans="1:21" x14ac:dyDescent="0.25">
      <c r="P216" s="769"/>
      <c r="Q216" s="868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629"/>
      <c r="L217" s="79"/>
      <c r="M217" s="629"/>
      <c r="N217" s="79"/>
      <c r="O217" s="629"/>
      <c r="P217" s="769"/>
      <c r="Q217" s="866"/>
      <c r="R217" s="484"/>
      <c r="S217" s="79"/>
      <c r="T217" s="877"/>
      <c r="U217" s="79"/>
    </row>
    <row r="218" spans="1:21" x14ac:dyDescent="0.25">
      <c r="P218" s="769"/>
      <c r="Q218" s="866"/>
    </row>
    <row r="219" spans="1:21" x14ac:dyDescent="0.25">
      <c r="P219" s="769"/>
      <c r="Q219" s="868"/>
    </row>
    <row r="220" spans="1:21" x14ac:dyDescent="0.25">
      <c r="P220" s="769"/>
      <c r="Q220" s="866"/>
    </row>
    <row r="221" spans="1:21" x14ac:dyDescent="0.25">
      <c r="P221" s="769"/>
      <c r="Q221" s="866"/>
    </row>
    <row r="222" spans="1:21" x14ac:dyDescent="0.25">
      <c r="P222" s="769"/>
      <c r="Q222" s="868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216"/>
      <c r="L223" s="79"/>
      <c r="M223" s="216"/>
      <c r="N223" s="79"/>
      <c r="O223" s="216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216"/>
      <c r="L224" s="79"/>
      <c r="M224" s="216"/>
      <c r="N224" s="79"/>
      <c r="O224" s="216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216"/>
      <c r="L225" s="79"/>
      <c r="M225" s="216"/>
      <c r="N225" s="79"/>
      <c r="O225" s="216"/>
      <c r="P225" s="769"/>
      <c r="Q225" s="86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9"/>
      <c r="K226" s="216"/>
      <c r="L226" s="79"/>
      <c r="M226" s="216"/>
      <c r="N226" s="79"/>
      <c r="O226" s="216"/>
      <c r="P226" s="769"/>
      <c r="Q226" s="86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216"/>
      <c r="L227" s="79"/>
      <c r="M227" s="216"/>
      <c r="N227" s="79"/>
      <c r="O227" s="216"/>
      <c r="P227" s="223"/>
      <c r="Q227" s="629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9"/>
      <c r="K228" s="216"/>
      <c r="L228" s="79"/>
      <c r="M228" s="216"/>
      <c r="N228" s="79"/>
      <c r="O228" s="216"/>
      <c r="P228" s="756"/>
      <c r="Q228" s="75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9"/>
      <c r="K229" s="216"/>
      <c r="L229" s="79"/>
      <c r="M229" s="216"/>
      <c r="N229" s="79"/>
      <c r="O229" s="216"/>
      <c r="P229" s="79"/>
      <c r="Q229" s="79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9"/>
      <c r="K230" s="216"/>
      <c r="L230" s="79"/>
      <c r="M230" s="216"/>
      <c r="N230" s="79"/>
      <c r="O230" s="216"/>
      <c r="P230" s="79"/>
      <c r="Q230" s="79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9"/>
      <c r="K231" s="216"/>
      <c r="L231" s="79"/>
      <c r="M231" s="216"/>
      <c r="N231" s="79"/>
      <c r="O231" s="216"/>
      <c r="P231" s="79"/>
      <c r="Q231" s="79"/>
      <c r="R231" s="484"/>
      <c r="S231" s="79"/>
      <c r="T231" s="877"/>
      <c r="U231" s="79"/>
    </row>
    <row r="233" spans="1:21" x14ac:dyDescent="0.25">
      <c r="P233" s="85"/>
      <c r="Q233" s="85"/>
    </row>
    <row r="240" spans="1:21" x14ac:dyDescent="0.25">
      <c r="P240" s="85"/>
      <c r="Q240" s="85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71"/>
      <c r="Q247" s="518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8" spans="1:42" s="484" customFormat="1" x14ac:dyDescent="0.25">
      <c r="A248" s="79"/>
      <c r="B248" s="79"/>
      <c r="C248" s="85"/>
      <c r="D248" s="85"/>
      <c r="E248" s="85"/>
      <c r="F248" s="8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S248" s="79"/>
      <c r="T248" s="87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</row>
    <row r="255" spans="1:42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216"/>
      <c r="S255" s="79"/>
      <c r="T255" s="87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</row>
    <row r="256" spans="1:42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216"/>
      <c r="S256" s="79"/>
      <c r="T256" s="87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629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8" spans="1:42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216"/>
      <c r="S268" s="79"/>
      <c r="T268" s="877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</row>
    <row r="269" spans="1:42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216"/>
      <c r="S269" s="79"/>
      <c r="T269" s="87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</row>
    <row r="270" spans="1:42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216"/>
      <c r="S270" s="79"/>
      <c r="T270" s="87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</row>
    <row r="271" spans="1:42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216"/>
      <c r="S271" s="79"/>
      <c r="T271" s="87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</row>
    <row r="272" spans="1:42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216"/>
      <c r="S272" s="79"/>
      <c r="T272" s="87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</row>
    <row r="273" spans="1:42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216"/>
      <c r="S273" s="79"/>
      <c r="T273" s="87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</row>
    <row r="274" spans="1:42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216"/>
      <c r="S274" s="79"/>
      <c r="T274" s="87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</row>
    <row r="275" spans="1:42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216"/>
      <c r="S275" s="79"/>
      <c r="T275" s="87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</row>
    <row r="276" spans="1:42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216"/>
      <c r="S276" s="79"/>
      <c r="T276" s="87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</row>
  </sheetData>
  <autoFilter ref="A2:I141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N2:O3"/>
    <mergeCell ref="B144:D144"/>
    <mergeCell ref="L2:M3"/>
    <mergeCell ref="P2:Q3"/>
    <mergeCell ref="A122:E122"/>
    <mergeCell ref="A123:E123"/>
    <mergeCell ref="C143:D143"/>
  </mergeCells>
  <phoneticPr fontId="115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88B69-91F4-4819-B40C-6AC20FBAD801}">
  <sheetPr codeName="Planilha15"/>
  <dimension ref="A1:AP265"/>
  <sheetViews>
    <sheetView zoomScale="85" zoomScaleNormal="85" workbookViewId="0">
      <pane ySplit="5" topLeftCell="A93" activePane="bottomLeft" state="frozen"/>
      <selection pane="bottomLeft" activeCell="D124" sqref="D12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6352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6121</v>
      </c>
      <c r="I2" s="3086"/>
      <c r="J2" s="3085" t="s">
        <v>3173</v>
      </c>
      <c r="K2" s="3086"/>
      <c r="L2" s="3085" t="s">
        <v>1637</v>
      </c>
      <c r="M2" s="3086"/>
      <c r="N2" s="3085" t="s">
        <v>6116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45323</v>
      </c>
      <c r="B5" s="369" t="s">
        <v>10</v>
      </c>
      <c r="C5" s="370"/>
      <c r="D5" s="370"/>
      <c r="E5" s="777"/>
      <c r="F5" s="179"/>
      <c r="G5" s="933">
        <f>'Janeiro-24'!G123</f>
        <v>1291.0882500000353</v>
      </c>
      <c r="H5" s="163"/>
      <c r="I5" s="1479">
        <f>'Janeiro-24'!I123</f>
        <v>2399.9959999999992</v>
      </c>
      <c r="J5" s="179"/>
      <c r="K5" s="933">
        <f>'Janeiro-24'!K123</f>
        <v>26300.15</v>
      </c>
      <c r="L5" s="179"/>
      <c r="M5" s="933">
        <f>'Janeiro-24'!M123</f>
        <v>5023.5000000000018</v>
      </c>
      <c r="N5" s="179"/>
      <c r="O5" s="1479">
        <f>'Janeiro-24'!O123</f>
        <v>209.61</v>
      </c>
      <c r="P5" s="179"/>
      <c r="Q5" s="933">
        <f>'Janeiro-24'!Q123</f>
        <v>50890.255984720003</v>
      </c>
    </row>
    <row r="6" spans="1:42" s="224" customFormat="1" x14ac:dyDescent="0.25">
      <c r="A6" s="247">
        <v>45323</v>
      </c>
      <c r="B6" s="348" t="s">
        <v>11</v>
      </c>
      <c r="C6" s="351"/>
      <c r="D6" s="351"/>
      <c r="E6" s="673"/>
      <c r="F6" s="538">
        <v>15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45323</v>
      </c>
      <c r="B7" s="882" t="s">
        <v>256</v>
      </c>
      <c r="C7" s="879"/>
      <c r="D7" s="879"/>
      <c r="E7" s="875"/>
      <c r="F7" s="780"/>
      <c r="G7" s="982">
        <v>1400</v>
      </c>
      <c r="H7" s="622">
        <v>1400</v>
      </c>
      <c r="I7" s="982"/>
      <c r="J7" s="622"/>
      <c r="K7" s="982"/>
      <c r="L7" s="622"/>
      <c r="M7" s="982"/>
      <c r="N7" s="622"/>
      <c r="O7" s="1063"/>
      <c r="P7" s="880"/>
      <c r="Q7" s="1033"/>
      <c r="R7" s="927"/>
      <c r="T7" s="878"/>
    </row>
    <row r="8" spans="1:42" s="224" customFormat="1" ht="15" customHeight="1" x14ac:dyDescent="0.25">
      <c r="A8" s="247">
        <v>45323</v>
      </c>
      <c r="B8" s="882" t="s">
        <v>6120</v>
      </c>
      <c r="C8" s="879" t="s">
        <v>12</v>
      </c>
      <c r="D8" s="879" t="s">
        <v>1522</v>
      </c>
      <c r="E8" s="871" t="s">
        <v>13</v>
      </c>
      <c r="F8" s="780">
        <v>1568.49</v>
      </c>
      <c r="G8" s="946"/>
      <c r="H8" s="95"/>
      <c r="I8" s="1064"/>
      <c r="J8" s="622"/>
      <c r="K8" s="982"/>
      <c r="L8" s="622"/>
      <c r="M8" s="982"/>
      <c r="N8" s="622"/>
      <c r="O8" s="1063"/>
      <c r="P8" s="1110"/>
      <c r="Q8" s="1208"/>
      <c r="R8" s="1028"/>
      <c r="U8" s="958"/>
    </row>
    <row r="9" spans="1:42" s="224" customFormat="1" ht="15" customHeight="1" x14ac:dyDescent="0.25">
      <c r="A9" s="247">
        <v>45323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20</v>
      </c>
      <c r="G9" s="982"/>
      <c r="H9" s="95"/>
      <c r="I9" s="1064"/>
      <c r="J9" s="622"/>
      <c r="K9" s="982"/>
      <c r="L9" s="622"/>
      <c r="M9" s="982"/>
      <c r="N9" s="622"/>
      <c r="O9" s="1063"/>
      <c r="P9" s="622"/>
      <c r="Q9" s="982"/>
      <c r="R9" s="1956"/>
    </row>
    <row r="10" spans="1:42" s="224" customFormat="1" x14ac:dyDescent="0.25">
      <c r="A10" s="247">
        <v>45324</v>
      </c>
      <c r="B10" s="882" t="s">
        <v>32</v>
      </c>
      <c r="C10" s="879" t="s">
        <v>12</v>
      </c>
      <c r="D10" s="879" t="s">
        <v>1485</v>
      </c>
      <c r="E10" s="875" t="s">
        <v>13</v>
      </c>
      <c r="F10" s="780">
        <v>20</v>
      </c>
      <c r="G10" s="982"/>
      <c r="H10" s="1008"/>
      <c r="I10" s="1063"/>
      <c r="J10" s="622"/>
      <c r="K10" s="982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ht="15" customHeight="1" x14ac:dyDescent="0.25">
      <c r="A11" s="247">
        <v>45324</v>
      </c>
      <c r="B11" s="1275" t="s">
        <v>1331</v>
      </c>
      <c r="C11" s="879" t="s">
        <v>12</v>
      </c>
      <c r="D11" s="1276" t="s">
        <v>2157</v>
      </c>
      <c r="E11" s="875" t="s">
        <v>13</v>
      </c>
      <c r="F11" s="780">
        <v>50</v>
      </c>
      <c r="G11" s="967"/>
      <c r="H11" s="1008"/>
      <c r="I11" s="1063"/>
      <c r="J11" s="2013"/>
      <c r="K11" s="1207"/>
      <c r="L11" s="880"/>
      <c r="M11" s="1033"/>
      <c r="N11" s="880"/>
      <c r="O11" s="1525"/>
      <c r="P11" s="613"/>
      <c r="Q11" s="162"/>
      <c r="R11" s="1956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45324</v>
      </c>
      <c r="B12" s="882" t="s">
        <v>443</v>
      </c>
      <c r="C12" s="879" t="s">
        <v>12</v>
      </c>
      <c r="D12" s="879" t="s">
        <v>1493</v>
      </c>
      <c r="E12" s="871" t="s">
        <v>13</v>
      </c>
      <c r="F12" s="613">
        <v>18.88</v>
      </c>
      <c r="G12" s="967"/>
      <c r="H12" s="1008"/>
      <c r="I12" s="1063"/>
      <c r="J12" s="2013"/>
      <c r="K12" s="1207"/>
      <c r="L12" s="880"/>
      <c r="M12" s="1033"/>
      <c r="N12" s="880"/>
      <c r="O12" s="1525"/>
      <c r="P12" s="613"/>
      <c r="Q12" s="162"/>
      <c r="R12" s="1956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45325</v>
      </c>
      <c r="B13" s="349" t="s">
        <v>14</v>
      </c>
      <c r="C13" s="350" t="s">
        <v>12</v>
      </c>
      <c r="D13" s="350" t="s">
        <v>1486</v>
      </c>
      <c r="E13" s="480" t="s">
        <v>13</v>
      </c>
      <c r="F13" s="780">
        <v>8.17</v>
      </c>
      <c r="G13" s="946"/>
      <c r="H13" s="95"/>
      <c r="I13" s="1064"/>
      <c r="J13" s="622"/>
      <c r="K13" s="982"/>
      <c r="L13" s="622"/>
      <c r="M13" s="982"/>
      <c r="N13" s="622"/>
      <c r="O13" s="1063"/>
      <c r="P13" s="622"/>
      <c r="Q13" s="982"/>
      <c r="R13" s="861"/>
      <c r="T13" s="927"/>
      <c r="U13" s="999"/>
    </row>
    <row r="14" spans="1:42" s="224" customFormat="1" x14ac:dyDescent="0.25">
      <c r="A14" s="247">
        <v>45325</v>
      </c>
      <c r="B14" s="882" t="s">
        <v>32</v>
      </c>
      <c r="C14" s="879" t="s">
        <v>12</v>
      </c>
      <c r="D14" s="879" t="s">
        <v>1485</v>
      </c>
      <c r="E14" s="875" t="s">
        <v>13</v>
      </c>
      <c r="F14" s="780">
        <v>14.9</v>
      </c>
      <c r="G14" s="982"/>
      <c r="H14" s="1008"/>
      <c r="I14" s="1063"/>
      <c r="J14" s="622"/>
      <c r="K14" s="982"/>
      <c r="L14" s="622"/>
      <c r="M14" s="982"/>
      <c r="N14" s="622"/>
      <c r="O14" s="1063"/>
      <c r="P14" s="622"/>
      <c r="Q14" s="982"/>
      <c r="R14" s="861"/>
      <c r="T14" s="878"/>
    </row>
    <row r="15" spans="1:42" s="224" customFormat="1" ht="15" customHeight="1" x14ac:dyDescent="0.25">
      <c r="A15" s="247">
        <v>45325</v>
      </c>
      <c r="B15" s="882" t="s">
        <v>82</v>
      </c>
      <c r="C15" s="879" t="s">
        <v>12</v>
      </c>
      <c r="D15" s="879" t="s">
        <v>1493</v>
      </c>
      <c r="E15" s="871" t="s">
        <v>13</v>
      </c>
      <c r="F15" s="613">
        <v>27.5</v>
      </c>
      <c r="G15" s="967"/>
      <c r="H15" s="1008"/>
      <c r="I15" s="1063"/>
      <c r="J15" s="2013"/>
      <c r="K15" s="1207"/>
      <c r="L15" s="880"/>
      <c r="M15" s="1033"/>
      <c r="N15" s="880"/>
      <c r="O15" s="1525"/>
      <c r="P15" s="613"/>
      <c r="Q15" s="162"/>
      <c r="R15" s="1956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45326</v>
      </c>
      <c r="B16" s="882" t="s">
        <v>1906</v>
      </c>
      <c r="C16" s="879" t="s">
        <v>12</v>
      </c>
      <c r="D16" s="879" t="s">
        <v>1493</v>
      </c>
      <c r="E16" s="871" t="s">
        <v>13</v>
      </c>
      <c r="F16" s="613">
        <v>20</v>
      </c>
      <c r="G16" s="967"/>
      <c r="H16" s="1008"/>
      <c r="I16" s="1063"/>
      <c r="J16" s="2013"/>
      <c r="K16" s="1207"/>
      <c r="L16" s="880"/>
      <c r="M16" s="1033"/>
      <c r="N16" s="880"/>
      <c r="O16" s="1525"/>
      <c r="P16" s="613"/>
      <c r="Q16" s="162"/>
      <c r="R16" s="195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x14ac:dyDescent="0.25">
      <c r="A17" s="247">
        <v>45327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11.4</v>
      </c>
      <c r="G17" s="982"/>
      <c r="H17" s="1008"/>
      <c r="I17" s="1063"/>
      <c r="J17" s="622"/>
      <c r="K17" s="982"/>
      <c r="L17" s="622"/>
      <c r="M17" s="982"/>
      <c r="N17" s="622"/>
      <c r="O17" s="1063"/>
      <c r="P17" s="622"/>
      <c r="Q17" s="982"/>
      <c r="R17" s="861"/>
      <c r="T17" s="878"/>
    </row>
    <row r="18" spans="1:42" s="224" customFormat="1" x14ac:dyDescent="0.25">
      <c r="A18" s="247">
        <v>45327</v>
      </c>
      <c r="B18" s="882" t="s">
        <v>17</v>
      </c>
      <c r="C18" s="879" t="s">
        <v>12</v>
      </c>
      <c r="D18" s="879" t="s">
        <v>1493</v>
      </c>
      <c r="E18" s="875" t="s">
        <v>13</v>
      </c>
      <c r="F18" s="780">
        <v>7</v>
      </c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ht="15" customHeight="1" x14ac:dyDescent="0.25">
      <c r="A19" s="247">
        <v>45327</v>
      </c>
      <c r="B19" s="882" t="s">
        <v>6127</v>
      </c>
      <c r="C19" s="879" t="s">
        <v>12</v>
      </c>
      <c r="D19" s="879"/>
      <c r="E19" s="875" t="s">
        <v>25</v>
      </c>
      <c r="F19" s="780">
        <v>1.4</v>
      </c>
      <c r="G19" s="982"/>
      <c r="H19" s="622"/>
      <c r="I19" s="982"/>
      <c r="J19" s="622"/>
      <c r="K19" s="982"/>
      <c r="L19" s="622"/>
      <c r="M19" s="982"/>
      <c r="N19" s="622"/>
      <c r="O19" s="1063">
        <v>1.4</v>
      </c>
      <c r="P19" s="622"/>
      <c r="Q19" s="982"/>
      <c r="R19" s="927"/>
      <c r="S19" s="927"/>
      <c r="T19" s="878"/>
    </row>
    <row r="20" spans="1:42" s="224" customFormat="1" ht="15.75" customHeight="1" x14ac:dyDescent="0.25">
      <c r="A20" s="247">
        <v>45328</v>
      </c>
      <c r="B20" s="873" t="s">
        <v>6082</v>
      </c>
      <c r="C20" s="879" t="s">
        <v>12</v>
      </c>
      <c r="D20" s="874"/>
      <c r="E20" s="871" t="s">
        <v>25</v>
      </c>
      <c r="F20" s="1524"/>
      <c r="G20" s="1002">
        <v>2116.5700000000002</v>
      </c>
      <c r="H20" s="538"/>
      <c r="I20" s="982"/>
      <c r="J20" s="622"/>
      <c r="K20" s="982"/>
      <c r="L20" s="622"/>
      <c r="M20" s="982"/>
      <c r="N20" s="622"/>
      <c r="O20" s="1063"/>
      <c r="P20" s="622"/>
      <c r="Q20" s="982"/>
      <c r="R20" s="178"/>
    </row>
    <row r="21" spans="1:42" s="224" customFormat="1" ht="15" customHeight="1" x14ac:dyDescent="0.25">
      <c r="A21" s="247">
        <v>45328</v>
      </c>
      <c r="B21" s="364" t="s">
        <v>6083</v>
      </c>
      <c r="C21" s="879" t="s">
        <v>12</v>
      </c>
      <c r="D21" s="879"/>
      <c r="E21" s="875" t="s">
        <v>25</v>
      </c>
      <c r="F21" s="780"/>
      <c r="G21" s="982"/>
      <c r="H21" s="622"/>
      <c r="I21" s="982"/>
      <c r="J21" s="622"/>
      <c r="K21" s="982"/>
      <c r="L21" s="622"/>
      <c r="M21" s="982"/>
      <c r="N21" s="622"/>
      <c r="O21" s="1063"/>
      <c r="P21" s="622"/>
      <c r="Q21" s="982">
        <v>494.66</v>
      </c>
      <c r="R21" s="927"/>
      <c r="S21" s="927"/>
      <c r="T21" s="878"/>
    </row>
    <row r="22" spans="1:42" s="224" customFormat="1" ht="15" customHeight="1" x14ac:dyDescent="0.25">
      <c r="A22" s="247">
        <v>45328</v>
      </c>
      <c r="B22" s="364" t="s">
        <v>3354</v>
      </c>
      <c r="C22" s="350" t="s">
        <v>12</v>
      </c>
      <c r="D22" s="350"/>
      <c r="E22" s="480" t="s">
        <v>25</v>
      </c>
      <c r="F22" s="613"/>
      <c r="G22" s="967"/>
      <c r="H22" s="1008"/>
      <c r="I22" s="1063"/>
      <c r="J22" s="872"/>
      <c r="K22" s="1207"/>
      <c r="L22" s="880"/>
      <c r="M22" s="1033"/>
      <c r="N22" s="880"/>
      <c r="O22" s="1525"/>
      <c r="P22" s="613"/>
      <c r="Q22" s="162">
        <v>170.12</v>
      </c>
      <c r="R22" s="2018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45328</v>
      </c>
      <c r="B23" s="364" t="s">
        <v>1396</v>
      </c>
      <c r="C23" s="879" t="s">
        <v>12</v>
      </c>
      <c r="D23" s="350"/>
      <c r="E23" s="480" t="s">
        <v>25</v>
      </c>
      <c r="F23" s="613"/>
      <c r="G23" s="967">
        <v>100</v>
      </c>
      <c r="H23" s="1008"/>
      <c r="I23" s="1063"/>
      <c r="J23" s="1116"/>
      <c r="K23" s="1207"/>
      <c r="L23" s="622"/>
      <c r="M23" s="982"/>
      <c r="N23" s="622"/>
      <c r="O23" s="1063"/>
      <c r="P23" s="1116"/>
      <c r="Q23" s="1207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4.25" customHeight="1" x14ac:dyDescent="0.25">
      <c r="A24" s="247">
        <v>45328</v>
      </c>
      <c r="B24" s="862" t="s">
        <v>3422</v>
      </c>
      <c r="C24" s="879" t="s">
        <v>12</v>
      </c>
      <c r="D24" s="879" t="s">
        <v>1504</v>
      </c>
      <c r="E24" s="871" t="s">
        <v>13</v>
      </c>
      <c r="F24" s="780">
        <v>50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178"/>
      <c r="S24" s="1028"/>
      <c r="T24" s="1035"/>
    </row>
    <row r="25" spans="1:42" s="224" customFormat="1" ht="15" customHeight="1" x14ac:dyDescent="0.25">
      <c r="A25" s="247">
        <v>45328</v>
      </c>
      <c r="B25" s="882" t="s">
        <v>6084</v>
      </c>
      <c r="C25" s="879" t="s">
        <v>12</v>
      </c>
      <c r="D25" s="879" t="s">
        <v>1499</v>
      </c>
      <c r="E25" s="871" t="s">
        <v>13</v>
      </c>
      <c r="F25" s="780">
        <v>91.4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1028">
        <v>271.39999999999998</v>
      </c>
      <c r="S25" s="999"/>
      <c r="T25" s="878"/>
    </row>
    <row r="26" spans="1:42" s="224" customFormat="1" ht="15" customHeight="1" x14ac:dyDescent="0.25">
      <c r="A26" s="247">
        <v>45328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330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1028"/>
      <c r="T26" s="1035"/>
    </row>
    <row r="27" spans="1:42" s="224" customFormat="1" ht="15" customHeight="1" x14ac:dyDescent="0.25">
      <c r="A27" s="247">
        <v>45328</v>
      </c>
      <c r="B27" s="364" t="s">
        <v>3942</v>
      </c>
      <c r="C27" s="879" t="s">
        <v>12</v>
      </c>
      <c r="D27" s="350" t="s">
        <v>1491</v>
      </c>
      <c r="E27" s="875" t="s">
        <v>13</v>
      </c>
      <c r="F27" s="780">
        <v>70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1028"/>
      <c r="T27" s="1035"/>
    </row>
    <row r="28" spans="1:42" x14ac:dyDescent="0.25">
      <c r="A28" s="247">
        <v>45328</v>
      </c>
      <c r="B28" s="876" t="s">
        <v>3844</v>
      </c>
      <c r="C28" s="879" t="s">
        <v>12</v>
      </c>
      <c r="D28" s="879" t="s">
        <v>1496</v>
      </c>
      <c r="E28" s="871" t="s">
        <v>13</v>
      </c>
      <c r="F28" s="780">
        <v>90</v>
      </c>
      <c r="G28" s="982"/>
      <c r="H28" s="1009"/>
      <c r="I28" s="1063"/>
      <c r="J28" s="622"/>
      <c r="K28" s="982"/>
      <c r="L28" s="622"/>
      <c r="M28" s="982"/>
      <c r="N28" s="622"/>
      <c r="O28" s="1063"/>
      <c r="P28" s="622"/>
      <c r="Q28" s="982"/>
      <c r="R28" s="1029"/>
    </row>
    <row r="29" spans="1:42" s="224" customFormat="1" ht="14.25" customHeight="1" x14ac:dyDescent="0.25">
      <c r="A29" s="247">
        <v>45328</v>
      </c>
      <c r="B29" s="882" t="s">
        <v>6085</v>
      </c>
      <c r="C29" s="879" t="s">
        <v>12</v>
      </c>
      <c r="D29" s="879" t="s">
        <v>3017</v>
      </c>
      <c r="E29" s="875" t="s">
        <v>13</v>
      </c>
      <c r="F29" s="780">
        <v>544.38</v>
      </c>
      <c r="G29" s="982"/>
      <c r="H29" s="1008"/>
      <c r="I29" s="1063"/>
      <c r="J29" s="622"/>
      <c r="K29" s="982">
        <v>544.38</v>
      </c>
      <c r="L29" s="622"/>
      <c r="M29" s="982"/>
      <c r="N29" s="622"/>
      <c r="O29" s="1063"/>
      <c r="P29" s="622"/>
      <c r="Q29" s="982"/>
      <c r="R29" s="861"/>
      <c r="S29" s="878"/>
      <c r="T29" s="1035"/>
    </row>
    <row r="30" spans="1:42" s="224" customFormat="1" ht="15" customHeight="1" x14ac:dyDescent="0.25">
      <c r="A30" s="247">
        <v>45328</v>
      </c>
      <c r="B30" s="873" t="s">
        <v>6081</v>
      </c>
      <c r="C30" s="874" t="s">
        <v>12</v>
      </c>
      <c r="D30" s="874" t="s">
        <v>1523</v>
      </c>
      <c r="E30" s="875" t="s">
        <v>13</v>
      </c>
      <c r="F30" s="780">
        <v>147</v>
      </c>
      <c r="G30" s="982"/>
      <c r="H30" s="622"/>
      <c r="I30" s="982"/>
      <c r="J30" s="622"/>
      <c r="K30" s="982"/>
      <c r="L30" s="622"/>
      <c r="M30" s="982"/>
      <c r="N30" s="622"/>
      <c r="O30" s="1063"/>
      <c r="P30" s="622"/>
      <c r="Q30" s="982"/>
      <c r="R30" s="2017">
        <v>147</v>
      </c>
      <c r="S30" s="927"/>
      <c r="T30" s="878"/>
    </row>
    <row r="31" spans="1:42" s="224" customFormat="1" ht="15" customHeight="1" x14ac:dyDescent="0.25">
      <c r="A31" s="247">
        <v>45328</v>
      </c>
      <c r="B31" s="882" t="s">
        <v>6091</v>
      </c>
      <c r="C31" s="879" t="s">
        <v>12</v>
      </c>
      <c r="D31" s="879" t="s">
        <v>1489</v>
      </c>
      <c r="E31" s="871" t="s">
        <v>13</v>
      </c>
      <c r="F31" s="780">
        <v>216</v>
      </c>
      <c r="G31" s="982"/>
      <c r="H31" s="622"/>
      <c r="I31" s="982"/>
      <c r="J31" s="622"/>
      <c r="K31" s="982"/>
      <c r="L31" s="622"/>
      <c r="M31" s="982"/>
      <c r="N31" s="622"/>
      <c r="O31" s="1063"/>
      <c r="P31" s="622"/>
      <c r="Q31" s="982"/>
      <c r="R31" s="1028">
        <v>216</v>
      </c>
      <c r="S31" s="959"/>
      <c r="T31" s="878"/>
      <c r="U31" s="958"/>
    </row>
    <row r="32" spans="1:42" s="224" customFormat="1" ht="15" customHeight="1" x14ac:dyDescent="0.25">
      <c r="A32" s="247">
        <v>45328</v>
      </c>
      <c r="B32" s="882" t="s">
        <v>6079</v>
      </c>
      <c r="C32" s="879" t="s">
        <v>12</v>
      </c>
      <c r="D32" s="879" t="s">
        <v>1489</v>
      </c>
      <c r="E32" s="871" t="s">
        <v>13</v>
      </c>
      <c r="F32" s="780">
        <v>115</v>
      </c>
      <c r="G32" s="982"/>
      <c r="H32" s="622"/>
      <c r="I32" s="982"/>
      <c r="J32" s="622"/>
      <c r="K32" s="982"/>
      <c r="L32" s="622"/>
      <c r="M32" s="982"/>
      <c r="N32" s="622"/>
      <c r="O32" s="1063"/>
      <c r="P32" s="622"/>
      <c r="Q32" s="982"/>
      <c r="R32" s="1028" t="s">
        <v>6125</v>
      </c>
      <c r="S32" s="959"/>
      <c r="T32" s="878"/>
      <c r="U32" s="958"/>
    </row>
    <row r="33" spans="1:42" s="224" customFormat="1" x14ac:dyDescent="0.25">
      <c r="A33" s="247">
        <v>45328</v>
      </c>
      <c r="B33" s="882" t="s">
        <v>32</v>
      </c>
      <c r="C33" s="879" t="s">
        <v>12</v>
      </c>
      <c r="D33" s="879" t="s">
        <v>1485</v>
      </c>
      <c r="E33" s="875" t="s">
        <v>13</v>
      </c>
      <c r="F33" s="780">
        <v>9.9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861"/>
      <c r="T33" s="878"/>
    </row>
    <row r="34" spans="1:42" s="224" customFormat="1" ht="15" customHeight="1" x14ac:dyDescent="0.25">
      <c r="A34" s="247">
        <v>45328</v>
      </c>
      <c r="B34" s="882" t="s">
        <v>6127</v>
      </c>
      <c r="C34" s="879" t="s">
        <v>12</v>
      </c>
      <c r="D34" s="879"/>
      <c r="E34" s="875" t="s">
        <v>25</v>
      </c>
      <c r="F34" s="780">
        <v>10.1</v>
      </c>
      <c r="G34" s="982"/>
      <c r="H34" s="622"/>
      <c r="I34" s="982"/>
      <c r="J34" s="622"/>
      <c r="K34" s="982"/>
      <c r="L34" s="622"/>
      <c r="M34" s="982"/>
      <c r="N34" s="622"/>
      <c r="O34" s="1063">
        <v>10.1</v>
      </c>
      <c r="P34" s="622"/>
      <c r="Q34" s="982"/>
      <c r="R34" s="927"/>
      <c r="S34" s="927"/>
      <c r="T34" s="878"/>
    </row>
    <row r="35" spans="1:42" s="224" customFormat="1" ht="15" customHeight="1" x14ac:dyDescent="0.25">
      <c r="A35" s="247">
        <v>45328</v>
      </c>
      <c r="B35" s="882" t="s">
        <v>6087</v>
      </c>
      <c r="C35" s="879" t="s">
        <v>12</v>
      </c>
      <c r="D35" s="879" t="s">
        <v>1499</v>
      </c>
      <c r="E35" s="871" t="s">
        <v>13</v>
      </c>
      <c r="F35" s="780">
        <v>48.85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861">
        <v>98.85</v>
      </c>
      <c r="T35" s="1123"/>
      <c r="U35" s="999"/>
    </row>
    <row r="36" spans="1:42" s="224" customFormat="1" ht="15" customHeight="1" x14ac:dyDescent="0.25">
      <c r="A36" s="247">
        <v>45328</v>
      </c>
      <c r="B36" s="882" t="s">
        <v>6129</v>
      </c>
      <c r="C36" s="879" t="s">
        <v>12</v>
      </c>
      <c r="D36" s="879"/>
      <c r="E36" s="875" t="s">
        <v>25</v>
      </c>
      <c r="F36" s="780">
        <v>300</v>
      </c>
      <c r="G36" s="982"/>
      <c r="H36" s="622"/>
      <c r="I36" s="982"/>
      <c r="J36" s="622"/>
      <c r="K36" s="982"/>
      <c r="L36" s="622"/>
      <c r="M36" s="982"/>
      <c r="N36" s="622"/>
      <c r="O36" s="1063">
        <v>300</v>
      </c>
      <c r="P36" s="622"/>
      <c r="Q36" s="982"/>
      <c r="R36" s="927"/>
      <c r="S36" s="927"/>
      <c r="T36" s="878"/>
    </row>
    <row r="37" spans="1:42" s="224" customFormat="1" ht="15" customHeight="1" x14ac:dyDescent="0.25">
      <c r="A37" s="247">
        <v>45328</v>
      </c>
      <c r="B37" s="1275" t="s">
        <v>1331</v>
      </c>
      <c r="C37" s="879" t="s">
        <v>12</v>
      </c>
      <c r="D37" s="1276" t="s">
        <v>2157</v>
      </c>
      <c r="E37" s="875" t="s">
        <v>13</v>
      </c>
      <c r="F37" s="780">
        <v>50</v>
      </c>
      <c r="G37" s="967"/>
      <c r="H37" s="1008"/>
      <c r="I37" s="1063"/>
      <c r="J37" s="2013"/>
      <c r="K37" s="1207"/>
      <c r="L37" s="880"/>
      <c r="M37" s="1033"/>
      <c r="N37" s="880"/>
      <c r="O37" s="1525"/>
      <c r="P37" s="613"/>
      <c r="Q37" s="162"/>
      <c r="R37" s="1956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45328</v>
      </c>
      <c r="B38" s="349" t="s">
        <v>14</v>
      </c>
      <c r="C38" s="350" t="s">
        <v>12</v>
      </c>
      <c r="D38" s="350" t="s">
        <v>1486</v>
      </c>
      <c r="E38" s="480" t="s">
        <v>13</v>
      </c>
      <c r="F38" s="780">
        <v>8.48</v>
      </c>
      <c r="G38" s="982"/>
      <c r="H38" s="622"/>
      <c r="I38" s="982"/>
      <c r="J38" s="622"/>
      <c r="K38" s="982"/>
      <c r="L38" s="622"/>
      <c r="M38" s="982"/>
      <c r="N38" s="622"/>
      <c r="O38" s="1063"/>
      <c r="P38" s="622"/>
      <c r="Q38" s="982"/>
      <c r="R38" s="927"/>
      <c r="S38" s="927"/>
      <c r="T38" s="878"/>
    </row>
    <row r="39" spans="1:42" s="224" customFormat="1" x14ac:dyDescent="0.25">
      <c r="A39" s="247">
        <v>45329</v>
      </c>
      <c r="B39" s="882" t="s">
        <v>32</v>
      </c>
      <c r="C39" s="879" t="s">
        <v>12</v>
      </c>
      <c r="D39" s="879" t="s">
        <v>1485</v>
      </c>
      <c r="E39" s="875" t="s">
        <v>13</v>
      </c>
      <c r="F39" s="780">
        <v>20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861"/>
      <c r="T39" s="878"/>
    </row>
    <row r="40" spans="1:42" s="224" customFormat="1" ht="15" customHeight="1" x14ac:dyDescent="0.25">
      <c r="A40" s="247">
        <v>45330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20</v>
      </c>
      <c r="G40" s="982"/>
      <c r="H40" s="95"/>
      <c r="I40" s="1064"/>
      <c r="J40" s="622"/>
      <c r="K40" s="982"/>
      <c r="L40" s="622"/>
      <c r="M40" s="982"/>
      <c r="N40" s="622"/>
      <c r="O40" s="1063"/>
      <c r="P40" s="622"/>
      <c r="Q40" s="982"/>
      <c r="R40" s="861"/>
    </row>
    <row r="41" spans="1:42" s="224" customFormat="1" x14ac:dyDescent="0.25">
      <c r="A41" s="247">
        <v>45330</v>
      </c>
      <c r="B41" s="349" t="s">
        <v>14</v>
      </c>
      <c r="C41" s="350" t="s">
        <v>12</v>
      </c>
      <c r="D41" s="350" t="s">
        <v>1486</v>
      </c>
      <c r="E41" s="480" t="s">
        <v>13</v>
      </c>
      <c r="F41" s="780">
        <v>6.41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861"/>
      <c r="T41" s="878"/>
    </row>
    <row r="42" spans="1:42" s="224" customFormat="1" x14ac:dyDescent="0.25">
      <c r="A42" s="247">
        <v>45331</v>
      </c>
      <c r="B42" s="1275" t="s">
        <v>6137</v>
      </c>
      <c r="C42" s="1276" t="s">
        <v>12</v>
      </c>
      <c r="D42" s="1276" t="s">
        <v>1489</v>
      </c>
      <c r="E42" s="1277" t="s">
        <v>13</v>
      </c>
      <c r="F42" s="1279">
        <v>35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861"/>
      <c r="T42" s="878"/>
    </row>
    <row r="43" spans="1:42" s="224" customFormat="1" ht="15" customHeight="1" x14ac:dyDescent="0.25">
      <c r="A43" s="247">
        <v>45331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20</v>
      </c>
      <c r="G43" s="982"/>
      <c r="H43" s="95"/>
      <c r="I43" s="1064"/>
      <c r="J43" s="622"/>
      <c r="K43" s="982"/>
      <c r="L43" s="622"/>
      <c r="M43" s="982"/>
      <c r="N43" s="622"/>
      <c r="O43" s="1063"/>
      <c r="P43" s="622"/>
      <c r="Q43" s="982"/>
      <c r="R43" s="861"/>
    </row>
    <row r="44" spans="1:42" s="224" customFormat="1" x14ac:dyDescent="0.25">
      <c r="A44" s="247">
        <v>45331</v>
      </c>
      <c r="B44" s="1275" t="s">
        <v>82</v>
      </c>
      <c r="C44" s="1276" t="s">
        <v>12</v>
      </c>
      <c r="D44" s="1276" t="s">
        <v>1493</v>
      </c>
      <c r="E44" s="1277" t="s">
        <v>13</v>
      </c>
      <c r="F44" s="1279">
        <v>35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861"/>
      <c r="T44" s="878"/>
    </row>
    <row r="45" spans="1:42" s="224" customFormat="1" x14ac:dyDescent="0.25">
      <c r="A45" s="247">
        <v>45331</v>
      </c>
      <c r="B45" s="1275" t="s">
        <v>6166</v>
      </c>
      <c r="C45" s="1276" t="s">
        <v>12</v>
      </c>
      <c r="D45" s="1276" t="s">
        <v>1523</v>
      </c>
      <c r="E45" s="1277" t="s">
        <v>13</v>
      </c>
      <c r="F45" s="1279">
        <v>31.08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861"/>
      <c r="T45" s="878"/>
    </row>
    <row r="46" spans="1:42" s="224" customFormat="1" x14ac:dyDescent="0.25">
      <c r="A46" s="247">
        <v>45332</v>
      </c>
      <c r="B46" s="1275" t="s">
        <v>2987</v>
      </c>
      <c r="C46" s="1276" t="s">
        <v>12</v>
      </c>
      <c r="D46" s="1276" t="s">
        <v>1523</v>
      </c>
      <c r="E46" s="1277" t="s">
        <v>13</v>
      </c>
      <c r="F46" s="1279">
        <v>7</v>
      </c>
      <c r="G46" s="982"/>
      <c r="H46" s="1008"/>
      <c r="I46" s="1063"/>
      <c r="J46" s="622"/>
      <c r="K46" s="982"/>
      <c r="L46" s="622"/>
      <c r="M46" s="982"/>
      <c r="N46" s="622"/>
      <c r="O46" s="1063"/>
      <c r="P46" s="622"/>
      <c r="Q46" s="982"/>
      <c r="R46" s="861"/>
      <c r="T46" s="878"/>
    </row>
    <row r="47" spans="1:42" s="224" customFormat="1" x14ac:dyDescent="0.25">
      <c r="A47" s="247">
        <v>45332</v>
      </c>
      <c r="B47" s="1275" t="s">
        <v>2839</v>
      </c>
      <c r="C47" s="1276" t="s">
        <v>12</v>
      </c>
      <c r="D47" s="1276" t="s">
        <v>1523</v>
      </c>
      <c r="E47" s="1277" t="s">
        <v>13</v>
      </c>
      <c r="F47" s="1279">
        <v>20</v>
      </c>
      <c r="G47" s="982"/>
      <c r="H47" s="1008"/>
      <c r="I47" s="1063"/>
      <c r="J47" s="622"/>
      <c r="K47" s="982"/>
      <c r="L47" s="622"/>
      <c r="M47" s="982"/>
      <c r="N47" s="622"/>
      <c r="O47" s="1063"/>
      <c r="P47" s="622"/>
      <c r="Q47" s="982"/>
      <c r="R47" s="861"/>
      <c r="T47" s="878"/>
    </row>
    <row r="48" spans="1:42" s="224" customFormat="1" ht="15" customHeight="1" x14ac:dyDescent="0.25">
      <c r="A48" s="247">
        <v>45332</v>
      </c>
      <c r="B48" s="1275" t="s">
        <v>1906</v>
      </c>
      <c r="C48" s="1276" t="s">
        <v>12</v>
      </c>
      <c r="D48" s="1276" t="s">
        <v>1493</v>
      </c>
      <c r="E48" s="1286" t="s">
        <v>13</v>
      </c>
      <c r="F48" s="613">
        <v>44</v>
      </c>
      <c r="G48" s="967"/>
      <c r="H48" s="1008"/>
      <c r="I48" s="1063"/>
      <c r="J48" s="613"/>
      <c r="K48" s="6"/>
      <c r="L48" s="622"/>
      <c r="M48" s="982"/>
      <c r="N48" s="622"/>
      <c r="O48" s="1063"/>
      <c r="P48" s="613"/>
      <c r="Q48" s="64"/>
      <c r="R48" s="1209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45333</v>
      </c>
      <c r="B49" s="1289" t="s">
        <v>2096</v>
      </c>
      <c r="C49" s="879" t="s">
        <v>12</v>
      </c>
      <c r="D49" s="1276" t="s">
        <v>1506</v>
      </c>
      <c r="E49" s="875" t="s">
        <v>13</v>
      </c>
      <c r="F49" s="1279">
        <v>50</v>
      </c>
      <c r="G49" s="967"/>
      <c r="H49" s="1008"/>
      <c r="I49" s="1063"/>
      <c r="J49" s="613"/>
      <c r="K49" s="6"/>
      <c r="L49" s="622"/>
      <c r="M49" s="982"/>
      <c r="N49" s="622"/>
      <c r="O49" s="1063"/>
      <c r="P49" s="613"/>
      <c r="Q49" s="64"/>
      <c r="R49" s="120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x14ac:dyDescent="0.25">
      <c r="A50" s="247">
        <v>45333</v>
      </c>
      <c r="B50" s="349" t="s">
        <v>14</v>
      </c>
      <c r="C50" s="350" t="s">
        <v>12</v>
      </c>
      <c r="D50" s="350" t="s">
        <v>1486</v>
      </c>
      <c r="E50" s="480" t="s">
        <v>13</v>
      </c>
      <c r="F50" s="780">
        <v>7.34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  <c r="T50" s="878"/>
    </row>
    <row r="51" spans="1:42" s="224" customFormat="1" ht="15" customHeight="1" x14ac:dyDescent="0.25">
      <c r="A51" s="247">
        <v>45333</v>
      </c>
      <c r="B51" s="364" t="s">
        <v>6138</v>
      </c>
      <c r="C51" s="350" t="s">
        <v>12</v>
      </c>
      <c r="D51" s="350" t="s">
        <v>1491</v>
      </c>
      <c r="E51" s="875" t="s">
        <v>13</v>
      </c>
      <c r="F51" s="780">
        <v>38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927"/>
      <c r="S51" s="927"/>
      <c r="T51" s="878"/>
    </row>
    <row r="52" spans="1:42" s="224" customFormat="1" ht="15" customHeight="1" x14ac:dyDescent="0.25">
      <c r="A52" s="247">
        <v>45333</v>
      </c>
      <c r="B52" s="1275" t="s">
        <v>443</v>
      </c>
      <c r="C52" s="1276" t="s">
        <v>12</v>
      </c>
      <c r="D52" s="1276" t="s">
        <v>1493</v>
      </c>
      <c r="E52" s="1286" t="s">
        <v>13</v>
      </c>
      <c r="F52" s="613">
        <v>7.96</v>
      </c>
      <c r="G52" s="967"/>
      <c r="H52" s="1008"/>
      <c r="I52" s="1063"/>
      <c r="J52" s="613"/>
      <c r="K52" s="6"/>
      <c r="L52" s="622"/>
      <c r="M52" s="982"/>
      <c r="N52" s="622"/>
      <c r="O52" s="1063"/>
      <c r="P52" s="613"/>
      <c r="Q52" s="64"/>
      <c r="R52" s="1209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x14ac:dyDescent="0.25">
      <c r="A53" s="247">
        <v>45334</v>
      </c>
      <c r="B53" s="882" t="s">
        <v>32</v>
      </c>
      <c r="C53" s="879" t="s">
        <v>12</v>
      </c>
      <c r="D53" s="879" t="s">
        <v>1485</v>
      </c>
      <c r="E53" s="875" t="s">
        <v>13</v>
      </c>
      <c r="F53" s="780">
        <v>10.55</v>
      </c>
      <c r="G53" s="982"/>
      <c r="H53" s="1008"/>
      <c r="I53" s="1063"/>
      <c r="J53" s="622"/>
      <c r="K53" s="982"/>
      <c r="L53" s="622"/>
      <c r="M53" s="982"/>
      <c r="N53" s="622"/>
      <c r="O53" s="1063"/>
      <c r="P53" s="622"/>
      <c r="Q53" s="982"/>
      <c r="R53" s="861"/>
      <c r="T53" s="878"/>
    </row>
    <row r="54" spans="1:42" s="224" customFormat="1" ht="15" customHeight="1" x14ac:dyDescent="0.25">
      <c r="A54" s="247">
        <v>45334</v>
      </c>
      <c r="B54" s="882" t="s">
        <v>6127</v>
      </c>
      <c r="C54" s="879" t="s">
        <v>12</v>
      </c>
      <c r="D54" s="879"/>
      <c r="E54" s="875" t="s">
        <v>25</v>
      </c>
      <c r="F54" s="780">
        <v>9.4499999999999993</v>
      </c>
      <c r="G54" s="982"/>
      <c r="H54" s="622"/>
      <c r="I54" s="982"/>
      <c r="J54" s="622"/>
      <c r="K54" s="982"/>
      <c r="L54" s="622"/>
      <c r="M54" s="982"/>
      <c r="N54" s="622"/>
      <c r="O54" s="1063">
        <v>9.4499999999999993</v>
      </c>
      <c r="P54" s="622"/>
      <c r="Q54" s="982"/>
      <c r="R54" s="927"/>
      <c r="S54" s="927"/>
      <c r="T54" s="878"/>
    </row>
    <row r="55" spans="1:42" s="224" customFormat="1" ht="15" customHeight="1" x14ac:dyDescent="0.25">
      <c r="A55" s="247">
        <v>45334</v>
      </c>
      <c r="B55" s="1275" t="s">
        <v>1331</v>
      </c>
      <c r="C55" s="879" t="s">
        <v>12</v>
      </c>
      <c r="D55" s="1276" t="s">
        <v>2157</v>
      </c>
      <c r="E55" s="875" t="s">
        <v>13</v>
      </c>
      <c r="F55" s="780">
        <v>80</v>
      </c>
      <c r="G55" s="967"/>
      <c r="H55" s="1008"/>
      <c r="I55" s="1063"/>
      <c r="J55" s="2013"/>
      <c r="K55" s="1207"/>
      <c r="L55" s="880"/>
      <c r="M55" s="1033"/>
      <c r="N55" s="880"/>
      <c r="O55" s="1525"/>
      <c r="P55" s="613"/>
      <c r="Q55" s="162"/>
      <c r="R55" s="195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x14ac:dyDescent="0.25">
      <c r="A56" s="247">
        <v>45335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20</v>
      </c>
      <c r="G56" s="982"/>
      <c r="H56" s="1008"/>
      <c r="I56" s="1063"/>
      <c r="J56" s="622"/>
      <c r="K56" s="982"/>
      <c r="L56" s="622"/>
      <c r="M56" s="982"/>
      <c r="N56" s="622"/>
      <c r="O56" s="1063"/>
      <c r="P56" s="622"/>
      <c r="Q56" s="982"/>
      <c r="R56" s="861"/>
      <c r="T56" s="878"/>
    </row>
    <row r="57" spans="1:42" s="224" customFormat="1" ht="15" customHeight="1" x14ac:dyDescent="0.25">
      <c r="A57" s="247">
        <v>45335</v>
      </c>
      <c r="B57" s="349" t="s">
        <v>14</v>
      </c>
      <c r="C57" s="350" t="s">
        <v>12</v>
      </c>
      <c r="D57" s="350" t="s">
        <v>1486</v>
      </c>
      <c r="E57" s="480" t="s">
        <v>13</v>
      </c>
      <c r="F57" s="780">
        <v>10.33</v>
      </c>
      <c r="G57" s="982"/>
      <c r="H57" s="622"/>
      <c r="I57" s="982"/>
      <c r="J57" s="622"/>
      <c r="K57" s="982"/>
      <c r="L57" s="853"/>
      <c r="M57" s="982"/>
      <c r="N57" s="622"/>
      <c r="O57" s="1063"/>
      <c r="P57" s="622"/>
      <c r="Q57" s="982"/>
      <c r="R57" s="927"/>
      <c r="S57" s="927"/>
      <c r="T57" s="878"/>
    </row>
    <row r="58" spans="1:42" s="224" customFormat="1" x14ac:dyDescent="0.25">
      <c r="A58" s="247">
        <v>45336</v>
      </c>
      <c r="B58" s="882" t="s">
        <v>32</v>
      </c>
      <c r="C58" s="879" t="s">
        <v>12</v>
      </c>
      <c r="D58" s="879" t="s">
        <v>1485</v>
      </c>
      <c r="E58" s="875" t="s">
        <v>13</v>
      </c>
      <c r="F58" s="780">
        <v>20</v>
      </c>
      <c r="G58" s="982"/>
      <c r="H58" s="1008"/>
      <c r="I58" s="1063"/>
      <c r="J58" s="622"/>
      <c r="K58" s="982"/>
      <c r="L58" s="622"/>
      <c r="M58" s="982"/>
      <c r="N58" s="622"/>
      <c r="O58" s="1063"/>
      <c r="P58" s="622"/>
      <c r="Q58" s="982"/>
      <c r="R58" s="861"/>
      <c r="T58" s="878"/>
    </row>
    <row r="59" spans="1:42" s="224" customFormat="1" ht="15" customHeight="1" x14ac:dyDescent="0.25">
      <c r="A59" s="247">
        <v>45336</v>
      </c>
      <c r="B59" s="882" t="s">
        <v>3958</v>
      </c>
      <c r="C59" s="1276" t="s">
        <v>12</v>
      </c>
      <c r="D59" s="879" t="s">
        <v>1489</v>
      </c>
      <c r="E59" s="871" t="s">
        <v>13</v>
      </c>
      <c r="F59" s="780">
        <v>23</v>
      </c>
      <c r="G59" s="967"/>
      <c r="H59" s="1008"/>
      <c r="I59" s="1063"/>
      <c r="J59" s="1116"/>
      <c r="K59" s="1207"/>
      <c r="L59" s="1968"/>
      <c r="M59" s="1033"/>
      <c r="N59" s="880"/>
      <c r="O59" s="1525"/>
      <c r="P59" s="613"/>
      <c r="Q59" s="162"/>
      <c r="R59" s="120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x14ac:dyDescent="0.25">
      <c r="A60" s="247">
        <v>45337</v>
      </c>
      <c r="B60" s="882" t="s">
        <v>32</v>
      </c>
      <c r="C60" s="879" t="s">
        <v>12</v>
      </c>
      <c r="D60" s="879" t="s">
        <v>1485</v>
      </c>
      <c r="E60" s="875" t="s">
        <v>13</v>
      </c>
      <c r="F60" s="780">
        <v>20</v>
      </c>
      <c r="G60" s="982"/>
      <c r="H60" s="1008"/>
      <c r="I60" s="1063"/>
      <c r="J60" s="622"/>
      <c r="K60" s="982"/>
      <c r="L60" s="622"/>
      <c r="M60" s="982"/>
      <c r="N60" s="622"/>
      <c r="O60" s="1063"/>
      <c r="P60" s="622"/>
      <c r="Q60" s="982"/>
      <c r="R60" s="861"/>
      <c r="T60" s="878"/>
    </row>
    <row r="61" spans="1:42" s="224" customFormat="1" x14ac:dyDescent="0.25">
      <c r="A61" s="247">
        <v>45338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20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  <c r="T61" s="878"/>
    </row>
    <row r="62" spans="1:42" s="224" customFormat="1" ht="15" customHeight="1" x14ac:dyDescent="0.25">
      <c r="A62" s="247">
        <v>45338</v>
      </c>
      <c r="B62" s="1275" t="s">
        <v>6161</v>
      </c>
      <c r="C62" s="1276" t="s">
        <v>12</v>
      </c>
      <c r="D62" s="1276"/>
      <c r="E62" s="1286"/>
      <c r="F62" s="613"/>
      <c r="G62" s="967">
        <v>200</v>
      </c>
      <c r="H62" s="1008"/>
      <c r="I62" s="1063"/>
      <c r="J62" s="613"/>
      <c r="K62" s="6"/>
      <c r="L62" s="622"/>
      <c r="M62" s="982"/>
      <c r="N62" s="622">
        <v>200</v>
      </c>
      <c r="O62" s="1063"/>
      <c r="P62" s="613"/>
      <c r="Q62" s="64"/>
      <c r="R62" s="1209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5" customHeight="1" x14ac:dyDescent="0.25">
      <c r="A63" s="247">
        <v>45338</v>
      </c>
      <c r="B63" s="1275" t="s">
        <v>6162</v>
      </c>
      <c r="C63" s="1276" t="s">
        <v>12</v>
      </c>
      <c r="D63" s="1276" t="s">
        <v>1489</v>
      </c>
      <c r="E63" s="1286" t="s">
        <v>13</v>
      </c>
      <c r="F63" s="613">
        <v>127.69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45338</v>
      </c>
      <c r="B64" s="1275" t="s">
        <v>1331</v>
      </c>
      <c r="C64" s="879" t="s">
        <v>12</v>
      </c>
      <c r="D64" s="1276" t="s">
        <v>2157</v>
      </c>
      <c r="E64" s="875" t="s">
        <v>13</v>
      </c>
      <c r="F64" s="613">
        <v>60</v>
      </c>
      <c r="G64" s="967"/>
      <c r="H64" s="1008"/>
      <c r="I64" s="1063"/>
      <c r="J64" s="613"/>
      <c r="K64" s="6"/>
      <c r="L64" s="622"/>
      <c r="M64" s="982"/>
      <c r="N64" s="622"/>
      <c r="O64" s="1063"/>
      <c r="P64" s="613"/>
      <c r="Q64" s="64"/>
      <c r="R64" s="1209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45338</v>
      </c>
      <c r="B65" s="364" t="s">
        <v>443</v>
      </c>
      <c r="C65" s="350" t="s">
        <v>12</v>
      </c>
      <c r="D65" s="350" t="s">
        <v>1493</v>
      </c>
      <c r="E65" s="875" t="s">
        <v>13</v>
      </c>
      <c r="F65" s="780">
        <v>14.9</v>
      </c>
      <c r="G65" s="982"/>
      <c r="H65" s="622"/>
      <c r="I65" s="982"/>
      <c r="J65" s="622"/>
      <c r="K65" s="982"/>
      <c r="L65" s="853"/>
      <c r="M65" s="982"/>
      <c r="N65" s="622"/>
      <c r="O65" s="1063"/>
      <c r="P65" s="622"/>
      <c r="Q65" s="982"/>
      <c r="R65" s="927"/>
      <c r="S65" s="927"/>
      <c r="T65" s="878"/>
    </row>
    <row r="66" spans="1:42" s="224" customFormat="1" ht="15" customHeight="1" x14ac:dyDescent="0.25">
      <c r="A66" s="247">
        <v>45339</v>
      </c>
      <c r="B66" s="364" t="s">
        <v>6163</v>
      </c>
      <c r="C66" s="350" t="s">
        <v>12</v>
      </c>
      <c r="D66" s="350" t="s">
        <v>1489</v>
      </c>
      <c r="E66" s="480" t="s">
        <v>13</v>
      </c>
      <c r="F66" s="613">
        <v>6.36</v>
      </c>
      <c r="G66" s="967"/>
      <c r="H66" s="1008"/>
      <c r="I66" s="1063"/>
      <c r="J66" s="1116"/>
      <c r="K66" s="1207"/>
      <c r="L66" s="1968"/>
      <c r="M66" s="1033"/>
      <c r="N66" s="880"/>
      <c r="O66" s="1525"/>
      <c r="P66" s="613"/>
      <c r="Q66" s="162"/>
      <c r="R66" s="120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45339</v>
      </c>
      <c r="B67" s="364" t="s">
        <v>6163</v>
      </c>
      <c r="C67" s="350" t="s">
        <v>12</v>
      </c>
      <c r="D67" s="350" t="s">
        <v>1489</v>
      </c>
      <c r="E67" s="480" t="s">
        <v>13</v>
      </c>
      <c r="F67" s="613">
        <v>6.36</v>
      </c>
      <c r="G67" s="967"/>
      <c r="H67" s="1008"/>
      <c r="I67" s="1063"/>
      <c r="J67" s="1116"/>
      <c r="K67" s="1207"/>
      <c r="L67" s="1968"/>
      <c r="M67" s="1033"/>
      <c r="N67" s="880"/>
      <c r="O67" s="1525"/>
      <c r="P67" s="613"/>
      <c r="Q67" s="162"/>
      <c r="R67" s="1209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ht="15" customHeight="1" x14ac:dyDescent="0.25">
      <c r="A68" s="247">
        <v>45339</v>
      </c>
      <c r="B68" s="364" t="s">
        <v>82</v>
      </c>
      <c r="C68" s="350" t="s">
        <v>12</v>
      </c>
      <c r="D68" s="350" t="s">
        <v>1493</v>
      </c>
      <c r="E68" s="480" t="s">
        <v>13</v>
      </c>
      <c r="F68" s="613">
        <v>31</v>
      </c>
      <c r="G68" s="967"/>
      <c r="H68" s="1008"/>
      <c r="I68" s="1063"/>
      <c r="J68" s="1116"/>
      <c r="K68" s="1207"/>
      <c r="L68" s="1968"/>
      <c r="M68" s="1033"/>
      <c r="N68" s="880"/>
      <c r="O68" s="1525"/>
      <c r="P68" s="613"/>
      <c r="Q68" s="162"/>
      <c r="R68" s="1209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customHeight="1" x14ac:dyDescent="0.25">
      <c r="A69" s="247">
        <v>45339</v>
      </c>
      <c r="B69" s="364" t="s">
        <v>2629</v>
      </c>
      <c r="C69" s="350" t="s">
        <v>19</v>
      </c>
      <c r="D69" s="350" t="s">
        <v>1489</v>
      </c>
      <c r="E69" s="875" t="s">
        <v>13</v>
      </c>
      <c r="F69" s="780">
        <v>25.87</v>
      </c>
      <c r="G69" s="982"/>
      <c r="H69" s="1008"/>
      <c r="I69" s="1063"/>
      <c r="J69" s="622"/>
      <c r="K69" s="982"/>
      <c r="L69" s="622"/>
      <c r="M69" s="982"/>
      <c r="N69" s="622"/>
      <c r="O69" s="1063"/>
      <c r="P69" s="622"/>
      <c r="Q69" s="982"/>
      <c r="R69" s="861"/>
      <c r="T69" s="1035"/>
    </row>
    <row r="70" spans="1:42" s="224" customFormat="1" ht="15" customHeight="1" x14ac:dyDescent="0.25">
      <c r="A70" s="247">
        <v>45340</v>
      </c>
      <c r="B70" s="349" t="s">
        <v>14</v>
      </c>
      <c r="C70" s="350" t="s">
        <v>12</v>
      </c>
      <c r="D70" s="350" t="s">
        <v>1486</v>
      </c>
      <c r="E70" s="480" t="s">
        <v>13</v>
      </c>
      <c r="F70" s="780">
        <v>6.91</v>
      </c>
      <c r="G70" s="982"/>
      <c r="H70" s="622"/>
      <c r="I70" s="982"/>
      <c r="J70" s="622"/>
      <c r="K70" s="982"/>
      <c r="L70" s="853"/>
      <c r="M70" s="982"/>
      <c r="N70" s="622"/>
      <c r="O70" s="1063"/>
      <c r="P70" s="622"/>
      <c r="Q70" s="982"/>
      <c r="R70" s="927"/>
      <c r="S70" s="927"/>
      <c r="T70" s="878"/>
    </row>
    <row r="71" spans="1:42" s="224" customFormat="1" x14ac:dyDescent="0.25">
      <c r="A71" s="247">
        <v>45340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780">
        <v>12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861"/>
      <c r="T71" s="878"/>
    </row>
    <row r="72" spans="1:42" s="224" customFormat="1" ht="15" customHeight="1" x14ac:dyDescent="0.25">
      <c r="A72" s="247">
        <v>45340</v>
      </c>
      <c r="B72" s="364" t="s">
        <v>81</v>
      </c>
      <c r="C72" s="350" t="s">
        <v>12</v>
      </c>
      <c r="D72" s="350" t="s">
        <v>1493</v>
      </c>
      <c r="E72" s="480" t="s">
        <v>13</v>
      </c>
      <c r="F72" s="613">
        <v>15</v>
      </c>
      <c r="G72" s="966"/>
      <c r="H72" s="1031"/>
      <c r="I72" s="1525"/>
      <c r="J72" s="613"/>
      <c r="K72" s="6"/>
      <c r="L72" s="853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45341</v>
      </c>
      <c r="B73" s="349" t="s">
        <v>14</v>
      </c>
      <c r="C73" s="350" t="s">
        <v>12</v>
      </c>
      <c r="D73" s="350" t="s">
        <v>1486</v>
      </c>
      <c r="E73" s="480" t="s">
        <v>13</v>
      </c>
      <c r="F73" s="613">
        <v>4.5199999999999996</v>
      </c>
      <c r="G73" s="966"/>
      <c r="H73" s="1031"/>
      <c r="I73" s="1525"/>
      <c r="J73" s="872"/>
      <c r="K73" s="1207"/>
      <c r="L73" s="880"/>
      <c r="M73" s="1033"/>
      <c r="N73" s="880"/>
      <c r="O73" s="1525"/>
      <c r="P73" s="613"/>
      <c r="Q73" s="162"/>
      <c r="R73" s="1209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45341</v>
      </c>
      <c r="B74" s="349" t="s">
        <v>445</v>
      </c>
      <c r="C74" s="350" t="s">
        <v>12</v>
      </c>
      <c r="D74" s="350" t="s">
        <v>1493</v>
      </c>
      <c r="E74" s="480" t="s">
        <v>13</v>
      </c>
      <c r="F74" s="613">
        <v>13.5</v>
      </c>
      <c r="G74" s="966"/>
      <c r="H74" s="1031"/>
      <c r="I74" s="1525"/>
      <c r="J74" s="1110"/>
      <c r="K74" s="1207"/>
      <c r="L74" s="880"/>
      <c r="M74" s="1033"/>
      <c r="N74" s="880"/>
      <c r="O74" s="1525"/>
      <c r="P74" s="613"/>
      <c r="Q74" s="162"/>
      <c r="R74" s="120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45342</v>
      </c>
      <c r="B75" s="882" t="s">
        <v>3643</v>
      </c>
      <c r="C75" s="350" t="s">
        <v>12</v>
      </c>
      <c r="D75" s="350"/>
      <c r="E75" s="480" t="s">
        <v>25</v>
      </c>
      <c r="F75" s="622"/>
      <c r="G75" s="982">
        <v>2100</v>
      </c>
      <c r="H75" s="1008"/>
      <c r="I75" s="1063"/>
      <c r="J75" s="622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45342</v>
      </c>
      <c r="B76" s="862" t="s">
        <v>2867</v>
      </c>
      <c r="C76" s="350" t="s">
        <v>12</v>
      </c>
      <c r="D76" s="874" t="s">
        <v>1504</v>
      </c>
      <c r="E76" s="887" t="s">
        <v>13</v>
      </c>
      <c r="F76" s="780">
        <v>30</v>
      </c>
      <c r="G76" s="982"/>
      <c r="H76" s="1009"/>
      <c r="I76" s="1063"/>
      <c r="J76" s="853"/>
      <c r="K76" s="982"/>
      <c r="L76" s="853"/>
      <c r="M76" s="982"/>
      <c r="N76" s="853"/>
      <c r="O76" s="1063"/>
      <c r="P76" s="622"/>
      <c r="Q76" s="982"/>
      <c r="R76" s="1690"/>
      <c r="S76" s="1690"/>
      <c r="T76" s="1690"/>
      <c r="U76" s="1690"/>
      <c r="V76" s="1690"/>
      <c r="W76" s="1690"/>
      <c r="X76" s="1690"/>
      <c r="Y76" s="1690"/>
      <c r="Z76" s="1690"/>
    </row>
    <row r="77" spans="1:42" s="224" customFormat="1" ht="14.25" customHeight="1" x14ac:dyDescent="0.25">
      <c r="A77" s="247">
        <v>45342</v>
      </c>
      <c r="B77" s="364" t="s">
        <v>2977</v>
      </c>
      <c r="C77" s="350" t="s">
        <v>12</v>
      </c>
      <c r="D77" s="350" t="s">
        <v>1491</v>
      </c>
      <c r="E77" s="875" t="s">
        <v>13</v>
      </c>
      <c r="F77" s="780">
        <v>400</v>
      </c>
      <c r="G77" s="982"/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1029"/>
      <c r="S77" s="89"/>
      <c r="T77" s="930"/>
    </row>
    <row r="78" spans="1:42" s="224" customFormat="1" ht="15" customHeight="1" x14ac:dyDescent="0.25">
      <c r="A78" s="247">
        <v>45342</v>
      </c>
      <c r="B78" s="349" t="s">
        <v>6086</v>
      </c>
      <c r="C78" s="887" t="s">
        <v>12</v>
      </c>
      <c r="D78" s="350" t="s">
        <v>1525</v>
      </c>
      <c r="E78" s="887" t="s">
        <v>13</v>
      </c>
      <c r="F78" s="613">
        <v>186.9</v>
      </c>
      <c r="G78" s="982"/>
      <c r="H78" s="872"/>
      <c r="I78" s="1063"/>
      <c r="J78" s="622"/>
      <c r="K78" s="982"/>
      <c r="L78" s="622"/>
      <c r="M78" s="982"/>
      <c r="N78" s="622"/>
      <c r="O78" s="1063"/>
      <c r="P78" s="622"/>
      <c r="Q78" s="982"/>
      <c r="R78" s="927"/>
      <c r="S78" s="999"/>
      <c r="T78" s="878"/>
    </row>
    <row r="79" spans="1:42" s="224" customFormat="1" ht="15" customHeight="1" x14ac:dyDescent="0.25">
      <c r="A79" s="247">
        <v>45342</v>
      </c>
      <c r="B79" s="349" t="s">
        <v>6086</v>
      </c>
      <c r="C79" s="887" t="s">
        <v>12</v>
      </c>
      <c r="D79" s="350" t="s">
        <v>1506</v>
      </c>
      <c r="E79" s="887" t="s">
        <v>13</v>
      </c>
      <c r="F79" s="613">
        <v>100</v>
      </c>
      <c r="G79" s="982"/>
      <c r="H79" s="872"/>
      <c r="I79" s="1063"/>
      <c r="J79" s="622"/>
      <c r="K79" s="982"/>
      <c r="L79" s="622"/>
      <c r="M79" s="982"/>
      <c r="N79" s="622"/>
      <c r="O79" s="1063"/>
      <c r="P79" s="622"/>
      <c r="Q79" s="982"/>
      <c r="R79" s="927"/>
      <c r="S79" s="999"/>
      <c r="T79" s="878"/>
    </row>
    <row r="80" spans="1:42" s="224" customFormat="1" ht="15.75" customHeight="1" x14ac:dyDescent="0.25">
      <c r="A80" s="247">
        <v>45342</v>
      </c>
      <c r="B80" s="349" t="s">
        <v>6086</v>
      </c>
      <c r="C80" s="887" t="s">
        <v>12</v>
      </c>
      <c r="D80" s="1005" t="s">
        <v>1491</v>
      </c>
      <c r="E80" s="887" t="s">
        <v>13</v>
      </c>
      <c r="F80" s="1116">
        <v>50</v>
      </c>
      <c r="G80" s="982"/>
      <c r="H80" s="872"/>
      <c r="I80" s="1063"/>
      <c r="J80" s="622"/>
      <c r="K80" s="982"/>
      <c r="L80" s="622"/>
      <c r="M80" s="982"/>
      <c r="N80" s="622"/>
      <c r="O80" s="1063"/>
      <c r="P80" s="622"/>
      <c r="Q80" s="982"/>
      <c r="R80" s="927"/>
      <c r="S80" s="999"/>
      <c r="T80" s="878"/>
    </row>
    <row r="81" spans="1:42" s="224" customFormat="1" ht="15" customHeight="1" x14ac:dyDescent="0.25">
      <c r="A81" s="247">
        <v>45342</v>
      </c>
      <c r="B81" s="349" t="s">
        <v>6086</v>
      </c>
      <c r="C81" s="887" t="s">
        <v>12</v>
      </c>
      <c r="D81" s="350" t="s">
        <v>1489</v>
      </c>
      <c r="E81" s="887" t="s">
        <v>13</v>
      </c>
      <c r="F81" s="613">
        <v>50</v>
      </c>
      <c r="G81" s="982"/>
      <c r="H81" s="872"/>
      <c r="I81" s="1063"/>
      <c r="J81" s="622"/>
      <c r="K81" s="982"/>
      <c r="L81" s="622"/>
      <c r="M81" s="982"/>
      <c r="N81" s="622"/>
      <c r="O81" s="1063"/>
      <c r="P81" s="622"/>
      <c r="Q81" s="982"/>
      <c r="R81" s="927"/>
      <c r="S81" s="999"/>
      <c r="T81" s="878"/>
    </row>
    <row r="82" spans="1:42" s="224" customFormat="1" ht="15" customHeight="1" x14ac:dyDescent="0.25">
      <c r="A82" s="247">
        <v>45342</v>
      </c>
      <c r="B82" s="349" t="s">
        <v>6086</v>
      </c>
      <c r="C82" s="887" t="s">
        <v>12</v>
      </c>
      <c r="D82" s="350" t="s">
        <v>1504</v>
      </c>
      <c r="E82" s="887" t="s">
        <v>13</v>
      </c>
      <c r="F82" s="613">
        <v>11.95</v>
      </c>
      <c r="G82" s="982"/>
      <c r="H82" s="872"/>
      <c r="I82" s="1063"/>
      <c r="J82" s="622"/>
      <c r="K82" s="982"/>
      <c r="L82" s="622"/>
      <c r="M82" s="982"/>
      <c r="N82" s="622"/>
      <c r="O82" s="1063"/>
      <c r="P82" s="622"/>
      <c r="Q82" s="982"/>
      <c r="R82" s="927"/>
      <c r="S82" s="999"/>
      <c r="T82" s="878"/>
    </row>
    <row r="83" spans="1:42" s="224" customFormat="1" ht="15" customHeight="1" x14ac:dyDescent="0.25">
      <c r="A83" s="247">
        <v>45342</v>
      </c>
      <c r="B83" s="349" t="s">
        <v>6086</v>
      </c>
      <c r="C83" s="887" t="s">
        <v>12</v>
      </c>
      <c r="D83" s="1005" t="s">
        <v>1496</v>
      </c>
      <c r="E83" s="887" t="s">
        <v>13</v>
      </c>
      <c r="F83" s="1116">
        <v>39.284999999999997</v>
      </c>
      <c r="G83" s="982"/>
      <c r="H83" s="872"/>
      <c r="I83" s="1063"/>
      <c r="J83" s="622"/>
      <c r="K83" s="982"/>
      <c r="L83" s="622"/>
      <c r="M83" s="982"/>
      <c r="N83" s="622"/>
      <c r="O83" s="1063"/>
      <c r="P83" s="622"/>
      <c r="Q83" s="982"/>
      <c r="R83" s="927"/>
      <c r="S83" s="999"/>
      <c r="T83" s="878"/>
    </row>
    <row r="84" spans="1:42" s="224" customFormat="1" ht="15" customHeight="1" x14ac:dyDescent="0.25">
      <c r="A84" s="247">
        <v>45342</v>
      </c>
      <c r="B84" s="349" t="s">
        <v>6086</v>
      </c>
      <c r="C84" s="887" t="s">
        <v>12</v>
      </c>
      <c r="D84" s="350" t="s">
        <v>1491</v>
      </c>
      <c r="E84" s="887" t="s">
        <v>13</v>
      </c>
      <c r="F84" s="613">
        <v>31.9</v>
      </c>
      <c r="G84" s="982"/>
      <c r="H84" s="872"/>
      <c r="I84" s="1063"/>
      <c r="J84" s="622"/>
      <c r="K84" s="982"/>
      <c r="L84" s="622"/>
      <c r="M84" s="982"/>
      <c r="N84" s="622"/>
      <c r="O84" s="1063"/>
      <c r="P84" s="622"/>
      <c r="Q84" s="982"/>
      <c r="R84" s="927"/>
      <c r="S84" s="999"/>
      <c r="T84" s="878"/>
    </row>
    <row r="85" spans="1:42" s="224" customFormat="1" ht="15" customHeight="1" x14ac:dyDescent="0.25">
      <c r="A85" s="247">
        <v>45342</v>
      </c>
      <c r="B85" s="364" t="s">
        <v>3325</v>
      </c>
      <c r="C85" s="350" t="s">
        <v>12</v>
      </c>
      <c r="D85" s="350" t="s">
        <v>1504</v>
      </c>
      <c r="E85" s="875" t="s">
        <v>13</v>
      </c>
      <c r="F85" s="780">
        <v>38</v>
      </c>
      <c r="G85" s="982"/>
      <c r="H85" s="622"/>
      <c r="I85" s="982"/>
      <c r="J85" s="622"/>
      <c r="K85" s="982"/>
      <c r="L85" s="622"/>
      <c r="M85" s="982"/>
      <c r="N85" s="622"/>
      <c r="O85" s="1063"/>
      <c r="P85" s="827"/>
      <c r="Q85" s="1115"/>
      <c r="R85" s="878"/>
    </row>
    <row r="86" spans="1:42" s="224" customFormat="1" ht="15" customHeight="1" x14ac:dyDescent="0.25">
      <c r="A86" s="247">
        <v>45342</v>
      </c>
      <c r="B86" s="882" t="s">
        <v>6164</v>
      </c>
      <c r="C86" s="879" t="s">
        <v>12</v>
      </c>
      <c r="D86" s="879"/>
      <c r="E86" s="875"/>
      <c r="F86" s="780">
        <v>300</v>
      </c>
      <c r="G86" s="982"/>
      <c r="H86" s="622"/>
      <c r="I86" s="982">
        <v>300</v>
      </c>
      <c r="J86" s="622"/>
      <c r="K86" s="982"/>
      <c r="L86" s="622"/>
      <c r="M86" s="982"/>
      <c r="N86" s="622"/>
      <c r="O86" s="1063"/>
      <c r="P86" s="622"/>
      <c r="Q86" s="982"/>
      <c r="R86" s="927"/>
      <c r="S86" s="927"/>
      <c r="T86" s="878"/>
    </row>
    <row r="87" spans="1:42" s="224" customFormat="1" x14ac:dyDescent="0.25">
      <c r="A87" s="247">
        <v>45342</v>
      </c>
      <c r="B87" s="882" t="s">
        <v>32</v>
      </c>
      <c r="C87" s="879" t="s">
        <v>12</v>
      </c>
      <c r="D87" s="879" t="s">
        <v>1485</v>
      </c>
      <c r="E87" s="875" t="s">
        <v>13</v>
      </c>
      <c r="F87" s="780">
        <v>20</v>
      </c>
      <c r="G87" s="982"/>
      <c r="H87" s="1008"/>
      <c r="I87" s="1063"/>
      <c r="J87" s="622"/>
      <c r="K87" s="982"/>
      <c r="L87" s="622"/>
      <c r="M87" s="982"/>
      <c r="N87" s="622"/>
      <c r="O87" s="1063"/>
      <c r="P87" s="622"/>
      <c r="Q87" s="982"/>
      <c r="R87" s="861"/>
      <c r="T87" s="878"/>
    </row>
    <row r="88" spans="1:42" s="224" customFormat="1" ht="15" customHeight="1" x14ac:dyDescent="0.25">
      <c r="A88" s="247">
        <v>45343</v>
      </c>
      <c r="B88" s="862" t="s">
        <v>3529</v>
      </c>
      <c r="C88" s="879" t="s">
        <v>12</v>
      </c>
      <c r="D88" s="879" t="s">
        <v>1504</v>
      </c>
      <c r="E88" s="871" t="s">
        <v>13</v>
      </c>
      <c r="F88" s="780">
        <v>39.9</v>
      </c>
      <c r="G88" s="946"/>
      <c r="H88" s="95"/>
      <c r="I88" s="1064"/>
      <c r="J88" s="622"/>
      <c r="K88" s="982"/>
      <c r="L88" s="622"/>
      <c r="M88" s="982"/>
      <c r="N88" s="622"/>
      <c r="O88" s="1063"/>
      <c r="P88" s="622"/>
      <c r="Q88" s="982"/>
      <c r="R88" s="1028"/>
      <c r="U88" s="958"/>
    </row>
    <row r="89" spans="1:42" s="224" customFormat="1" ht="15" customHeight="1" x14ac:dyDescent="0.25">
      <c r="A89" s="247">
        <v>45343</v>
      </c>
      <c r="B89" s="882" t="s">
        <v>32</v>
      </c>
      <c r="C89" s="879" t="s">
        <v>12</v>
      </c>
      <c r="D89" s="879" t="s">
        <v>1485</v>
      </c>
      <c r="E89" s="875" t="s">
        <v>13</v>
      </c>
      <c r="F89" s="780">
        <v>22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880"/>
      <c r="Q89" s="1033"/>
      <c r="R89" s="927"/>
      <c r="T89" s="878"/>
    </row>
    <row r="90" spans="1:42" s="224" customFormat="1" ht="15" customHeight="1" x14ac:dyDescent="0.25">
      <c r="A90" s="247">
        <v>45343</v>
      </c>
      <c r="B90" s="882" t="s">
        <v>6165</v>
      </c>
      <c r="C90" s="879" t="s">
        <v>19</v>
      </c>
      <c r="D90" s="879" t="s">
        <v>1489</v>
      </c>
      <c r="E90" s="871" t="s">
        <v>13</v>
      </c>
      <c r="F90" s="780">
        <v>110.89</v>
      </c>
      <c r="G90" s="946"/>
      <c r="H90" s="95"/>
      <c r="I90" s="1064"/>
      <c r="J90" s="622"/>
      <c r="K90" s="982"/>
      <c r="L90" s="622"/>
      <c r="M90" s="982"/>
      <c r="N90" s="622"/>
      <c r="O90" s="1063"/>
      <c r="P90" s="622"/>
      <c r="Q90" s="982"/>
      <c r="R90" s="861"/>
    </row>
    <row r="91" spans="1:42" s="224" customFormat="1" ht="15" customHeight="1" x14ac:dyDescent="0.25">
      <c r="A91" s="247">
        <v>45343</v>
      </c>
      <c r="B91" s="1275" t="s">
        <v>1906</v>
      </c>
      <c r="C91" s="1276" t="s">
        <v>12</v>
      </c>
      <c r="D91" s="1276" t="s">
        <v>1493</v>
      </c>
      <c r="E91" s="1286" t="s">
        <v>13</v>
      </c>
      <c r="F91" s="613">
        <v>8</v>
      </c>
      <c r="G91" s="967"/>
      <c r="H91" s="1008"/>
      <c r="I91" s="1063"/>
      <c r="J91" s="613"/>
      <c r="K91" s="6"/>
      <c r="L91" s="622"/>
      <c r="M91" s="982"/>
      <c r="N91" s="622"/>
      <c r="O91" s="1063"/>
      <c r="P91" s="613"/>
      <c r="Q91" s="64"/>
      <c r="R91" s="1209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x14ac:dyDescent="0.25">
      <c r="A92" s="247">
        <v>45344</v>
      </c>
      <c r="B92" s="882" t="s">
        <v>32</v>
      </c>
      <c r="C92" s="879" t="s">
        <v>12</v>
      </c>
      <c r="D92" s="879" t="s">
        <v>1485</v>
      </c>
      <c r="E92" s="875" t="s">
        <v>13</v>
      </c>
      <c r="F92" s="780">
        <v>10.55</v>
      </c>
      <c r="G92" s="982"/>
      <c r="H92" s="1008"/>
      <c r="I92" s="1063"/>
      <c r="J92" s="622"/>
      <c r="K92" s="982"/>
      <c r="L92" s="622"/>
      <c r="M92" s="982"/>
      <c r="N92" s="622"/>
      <c r="O92" s="1063"/>
      <c r="P92" s="622"/>
      <c r="Q92" s="982"/>
      <c r="R92" s="861"/>
      <c r="T92" s="878"/>
    </row>
    <row r="93" spans="1:42" s="224" customFormat="1" ht="15" customHeight="1" x14ac:dyDescent="0.25">
      <c r="A93" s="247">
        <v>45344</v>
      </c>
      <c r="B93" s="882" t="s">
        <v>6127</v>
      </c>
      <c r="C93" s="879" t="s">
        <v>12</v>
      </c>
      <c r="D93" s="879"/>
      <c r="E93" s="875" t="s">
        <v>25</v>
      </c>
      <c r="F93" s="780">
        <v>11.45</v>
      </c>
      <c r="G93" s="982"/>
      <c r="H93" s="622"/>
      <c r="I93" s="982"/>
      <c r="J93" s="622"/>
      <c r="K93" s="982"/>
      <c r="L93" s="622"/>
      <c r="M93" s="982"/>
      <c r="N93" s="622"/>
      <c r="O93" s="1063">
        <v>11.45</v>
      </c>
      <c r="P93" s="622"/>
      <c r="Q93" s="982"/>
      <c r="R93" s="927"/>
      <c r="S93" s="927"/>
      <c r="T93" s="878"/>
    </row>
    <row r="94" spans="1:42" s="224" customFormat="1" ht="15" customHeight="1" x14ac:dyDescent="0.25">
      <c r="A94" s="247">
        <v>45344</v>
      </c>
      <c r="B94" s="1275" t="s">
        <v>1331</v>
      </c>
      <c r="C94" s="879" t="s">
        <v>12</v>
      </c>
      <c r="D94" s="1276" t="s">
        <v>2157</v>
      </c>
      <c r="E94" s="875" t="s">
        <v>13</v>
      </c>
      <c r="F94" s="613">
        <v>80</v>
      </c>
      <c r="G94" s="967"/>
      <c r="H94" s="1008"/>
      <c r="I94" s="1063"/>
      <c r="J94" s="613"/>
      <c r="K94" s="6"/>
      <c r="L94" s="622"/>
      <c r="M94" s="982"/>
      <c r="N94" s="622"/>
      <c r="O94" s="1063"/>
      <c r="P94" s="613"/>
      <c r="Q94" s="64"/>
      <c r="R94" s="1209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customHeight="1" x14ac:dyDescent="0.25">
      <c r="A95" s="247">
        <v>45344</v>
      </c>
      <c r="B95" s="882" t="s">
        <v>81</v>
      </c>
      <c r="C95" s="879" t="s">
        <v>12</v>
      </c>
      <c r="D95" s="879" t="s">
        <v>1493</v>
      </c>
      <c r="E95" s="875" t="s">
        <v>13</v>
      </c>
      <c r="F95" s="780">
        <v>5</v>
      </c>
      <c r="G95" s="982"/>
      <c r="H95" s="622"/>
      <c r="I95" s="982"/>
      <c r="J95" s="622"/>
      <c r="K95" s="982"/>
      <c r="L95" s="622"/>
      <c r="M95" s="982"/>
      <c r="N95" s="622"/>
      <c r="O95" s="1063"/>
      <c r="P95" s="880"/>
      <c r="Q95" s="1033"/>
      <c r="R95" s="927"/>
      <c r="T95" s="878"/>
    </row>
    <row r="96" spans="1:42" s="224" customFormat="1" x14ac:dyDescent="0.25">
      <c r="A96" s="247">
        <v>45345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22</v>
      </c>
      <c r="G96" s="982"/>
      <c r="H96" s="1008"/>
      <c r="I96" s="1063"/>
      <c r="J96" s="622"/>
      <c r="K96" s="982"/>
      <c r="L96" s="622"/>
      <c r="M96" s="982"/>
      <c r="N96" s="622"/>
      <c r="O96" s="1063"/>
      <c r="P96" s="622"/>
      <c r="Q96" s="982"/>
      <c r="R96" s="861"/>
      <c r="T96" s="878"/>
    </row>
    <row r="97" spans="1:42" s="224" customFormat="1" ht="15" customHeight="1" x14ac:dyDescent="0.25">
      <c r="A97" s="247">
        <v>45345</v>
      </c>
      <c r="B97" s="882" t="s">
        <v>2629</v>
      </c>
      <c r="C97" s="879" t="s">
        <v>12</v>
      </c>
      <c r="D97" s="879" t="s">
        <v>1489</v>
      </c>
      <c r="E97" s="875" t="s">
        <v>13</v>
      </c>
      <c r="F97" s="780">
        <v>122</v>
      </c>
      <c r="G97" s="982"/>
      <c r="H97" s="622"/>
      <c r="I97" s="982"/>
      <c r="J97" s="622"/>
      <c r="K97" s="982"/>
      <c r="L97" s="622"/>
      <c r="M97" s="982"/>
      <c r="N97" s="622"/>
      <c r="O97" s="1063"/>
      <c r="P97" s="880"/>
      <c r="Q97" s="1033"/>
      <c r="R97" s="927"/>
      <c r="T97" s="878"/>
    </row>
    <row r="98" spans="1:42" s="224" customFormat="1" ht="15" customHeight="1" x14ac:dyDescent="0.25">
      <c r="A98" s="247">
        <v>45346</v>
      </c>
      <c r="B98" s="349" t="s">
        <v>14</v>
      </c>
      <c r="C98" s="350" t="s">
        <v>12</v>
      </c>
      <c r="D98" s="350" t="s">
        <v>1486</v>
      </c>
      <c r="E98" s="480" t="s">
        <v>13</v>
      </c>
      <c r="F98" s="613">
        <v>7.23</v>
      </c>
      <c r="G98" s="966"/>
      <c r="H98" s="1031"/>
      <c r="I98" s="1525"/>
      <c r="J98" s="872"/>
      <c r="K98" s="1207"/>
      <c r="L98" s="880"/>
      <c r="M98" s="1033"/>
      <c r="N98" s="880"/>
      <c r="O98" s="1525"/>
      <c r="P98" s="613"/>
      <c r="Q98" s="162"/>
      <c r="R98" s="1209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45347</v>
      </c>
      <c r="B99" s="349" t="s">
        <v>14</v>
      </c>
      <c r="C99" s="350" t="s">
        <v>12</v>
      </c>
      <c r="D99" s="350" t="s">
        <v>1486</v>
      </c>
      <c r="E99" s="480" t="s">
        <v>13</v>
      </c>
      <c r="F99" s="780">
        <v>8.06</v>
      </c>
      <c r="G99" s="946"/>
      <c r="H99" s="95"/>
      <c r="I99" s="1064"/>
      <c r="J99" s="622"/>
      <c r="K99" s="982"/>
      <c r="L99" s="622"/>
      <c r="M99" s="982"/>
      <c r="N99" s="622"/>
      <c r="O99" s="1063"/>
      <c r="P99" s="1110"/>
      <c r="Q99" s="1208"/>
      <c r="R99" s="1028"/>
      <c r="U99" s="958"/>
    </row>
    <row r="100" spans="1:42" s="224" customFormat="1" ht="15" customHeight="1" x14ac:dyDescent="0.25">
      <c r="A100" s="247">
        <v>45348</v>
      </c>
      <c r="B100" s="882" t="s">
        <v>32</v>
      </c>
      <c r="C100" s="879" t="s">
        <v>12</v>
      </c>
      <c r="D100" s="879" t="s">
        <v>1485</v>
      </c>
      <c r="E100" s="875" t="s">
        <v>13</v>
      </c>
      <c r="F100" s="780">
        <v>22</v>
      </c>
      <c r="G100" s="946"/>
      <c r="H100" s="95"/>
      <c r="I100" s="1064"/>
      <c r="J100" s="622"/>
      <c r="K100" s="982"/>
      <c r="L100" s="622"/>
      <c r="M100" s="982"/>
      <c r="N100" s="622"/>
      <c r="O100" s="1063"/>
      <c r="P100" s="622"/>
      <c r="Q100" s="982"/>
      <c r="R100" s="1028"/>
      <c r="U100" s="958"/>
    </row>
    <row r="101" spans="1:42" s="224" customFormat="1" ht="15" customHeight="1" x14ac:dyDescent="0.25">
      <c r="A101" s="247">
        <v>45349</v>
      </c>
      <c r="B101" s="882" t="s">
        <v>6169</v>
      </c>
      <c r="C101" s="879" t="s">
        <v>12</v>
      </c>
      <c r="D101" s="879" t="s">
        <v>1485</v>
      </c>
      <c r="E101" s="875" t="s">
        <v>13</v>
      </c>
      <c r="F101" s="780">
        <v>10.55</v>
      </c>
      <c r="G101" s="982"/>
      <c r="H101" s="622"/>
      <c r="I101" s="982"/>
      <c r="J101" s="622"/>
      <c r="K101" s="982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customHeight="1" x14ac:dyDescent="0.25">
      <c r="A102" s="247">
        <v>45349</v>
      </c>
      <c r="B102" s="882" t="s">
        <v>6127</v>
      </c>
      <c r="C102" s="879" t="s">
        <v>12</v>
      </c>
      <c r="D102" s="879"/>
      <c r="E102" s="875" t="s">
        <v>25</v>
      </c>
      <c r="F102" s="780">
        <v>11.45</v>
      </c>
      <c r="G102" s="982"/>
      <c r="H102" s="622"/>
      <c r="I102" s="982"/>
      <c r="J102" s="622"/>
      <c r="K102" s="982"/>
      <c r="L102" s="622"/>
      <c r="M102" s="982"/>
      <c r="N102" s="622"/>
      <c r="O102" s="1063">
        <v>11.45</v>
      </c>
      <c r="P102" s="622"/>
      <c r="Q102" s="982"/>
      <c r="R102" s="861"/>
      <c r="T102" s="1035"/>
    </row>
    <row r="103" spans="1:42" s="224" customFormat="1" ht="15" customHeight="1" x14ac:dyDescent="0.25">
      <c r="A103" s="247">
        <v>45349</v>
      </c>
      <c r="B103" s="349" t="s">
        <v>14</v>
      </c>
      <c r="C103" s="350" t="s">
        <v>12</v>
      </c>
      <c r="D103" s="350" t="s">
        <v>1486</v>
      </c>
      <c r="E103" s="480" t="s">
        <v>13</v>
      </c>
      <c r="F103" s="780">
        <v>8.43</v>
      </c>
      <c r="G103" s="946"/>
      <c r="H103" s="95"/>
      <c r="I103" s="1064"/>
      <c r="J103" s="622"/>
      <c r="K103" s="982"/>
      <c r="L103" s="622"/>
      <c r="M103" s="982"/>
      <c r="N103" s="622"/>
      <c r="O103" s="1063"/>
      <c r="P103" s="1110"/>
      <c r="Q103" s="1208"/>
      <c r="R103" s="1028"/>
      <c r="U103" s="958"/>
    </row>
    <row r="104" spans="1:42" s="224" customFormat="1" x14ac:dyDescent="0.25">
      <c r="A104" s="247">
        <v>45350</v>
      </c>
      <c r="B104" s="882" t="s">
        <v>32</v>
      </c>
      <c r="C104" s="879" t="s">
        <v>12</v>
      </c>
      <c r="D104" s="879" t="s">
        <v>1485</v>
      </c>
      <c r="E104" s="875" t="s">
        <v>13</v>
      </c>
      <c r="F104" s="780">
        <v>22</v>
      </c>
      <c r="G104" s="982"/>
      <c r="H104" s="1008"/>
      <c r="I104" s="1063"/>
      <c r="J104" s="622"/>
      <c r="K104" s="982"/>
      <c r="L104" s="622"/>
      <c r="M104" s="982"/>
      <c r="N104" s="622"/>
      <c r="O104" s="1063"/>
      <c r="P104" s="622"/>
      <c r="Q104" s="982"/>
      <c r="R104" s="861"/>
      <c r="T104" s="878"/>
    </row>
    <row r="105" spans="1:42" s="224" customFormat="1" ht="15" customHeight="1" x14ac:dyDescent="0.25">
      <c r="A105" s="247">
        <v>45350</v>
      </c>
      <c r="B105" s="1275" t="s">
        <v>1331</v>
      </c>
      <c r="C105" s="879" t="s">
        <v>12</v>
      </c>
      <c r="D105" s="1276" t="s">
        <v>2157</v>
      </c>
      <c r="E105" s="875" t="s">
        <v>13</v>
      </c>
      <c r="F105" s="613">
        <v>80</v>
      </c>
      <c r="G105" s="946"/>
      <c r="H105" s="95"/>
      <c r="I105" s="1064"/>
      <c r="J105" s="622"/>
      <c r="K105" s="982"/>
      <c r="L105" s="622"/>
      <c r="M105" s="982"/>
      <c r="N105" s="622"/>
      <c r="O105" s="1063"/>
      <c r="P105" s="622"/>
      <c r="Q105" s="982"/>
      <c r="R105" s="861"/>
      <c r="T105" s="927"/>
      <c r="U105" s="999"/>
    </row>
    <row r="106" spans="1:42" s="224" customFormat="1" ht="15" customHeight="1" x14ac:dyDescent="0.25">
      <c r="A106" s="247">
        <v>45351</v>
      </c>
      <c r="B106" s="882" t="s">
        <v>6169</v>
      </c>
      <c r="C106" s="879" t="s">
        <v>12</v>
      </c>
      <c r="D106" s="879" t="s">
        <v>1485</v>
      </c>
      <c r="E106" s="875" t="s">
        <v>13</v>
      </c>
      <c r="F106" s="780">
        <v>10.55</v>
      </c>
      <c r="G106" s="982"/>
      <c r="H106" s="622"/>
      <c r="I106" s="982"/>
      <c r="J106" s="622"/>
      <c r="K106" s="982"/>
      <c r="L106" s="622"/>
      <c r="M106" s="982"/>
      <c r="N106" s="622"/>
      <c r="O106" s="1063"/>
      <c r="P106" s="622"/>
      <c r="Q106" s="982"/>
      <c r="R106" s="1028"/>
      <c r="S106" s="959"/>
      <c r="T106" s="878"/>
      <c r="U106" s="958"/>
    </row>
    <row r="107" spans="1:42" s="224" customFormat="1" ht="15" customHeight="1" x14ac:dyDescent="0.25">
      <c r="A107" s="247">
        <v>45351</v>
      </c>
      <c r="B107" s="882" t="s">
        <v>6127</v>
      </c>
      <c r="C107" s="879" t="s">
        <v>12</v>
      </c>
      <c r="D107" s="879"/>
      <c r="E107" s="875" t="s">
        <v>25</v>
      </c>
      <c r="F107" s="780">
        <v>11.45</v>
      </c>
      <c r="G107" s="982"/>
      <c r="H107" s="622"/>
      <c r="I107" s="982"/>
      <c r="J107" s="622"/>
      <c r="K107" s="982"/>
      <c r="L107" s="622"/>
      <c r="M107" s="982"/>
      <c r="N107" s="622"/>
      <c r="O107" s="1063">
        <v>11.45</v>
      </c>
      <c r="P107" s="622"/>
      <c r="Q107" s="982"/>
      <c r="R107" s="861"/>
      <c r="T107" s="1035"/>
    </row>
    <row r="108" spans="1:42" s="224" customFormat="1" ht="15" customHeight="1" x14ac:dyDescent="0.25">
      <c r="A108" s="247">
        <v>45351</v>
      </c>
      <c r="B108" s="349" t="s">
        <v>1906</v>
      </c>
      <c r="C108" s="350" t="s">
        <v>12</v>
      </c>
      <c r="D108" s="350" t="s">
        <v>1493</v>
      </c>
      <c r="E108" s="480" t="s">
        <v>13</v>
      </c>
      <c r="F108" s="780">
        <v>8</v>
      </c>
      <c r="G108" s="946"/>
      <c r="H108" s="95"/>
      <c r="I108" s="1064"/>
      <c r="J108" s="622"/>
      <c r="K108" s="982"/>
      <c r="L108" s="622"/>
      <c r="M108" s="982"/>
      <c r="N108" s="622"/>
      <c r="O108" s="1063"/>
      <c r="P108" s="622"/>
      <c r="Q108" s="982"/>
      <c r="R108" s="861"/>
      <c r="T108" s="927"/>
      <c r="U108" s="999"/>
    </row>
    <row r="109" spans="1:42" s="224" customFormat="1" ht="15" customHeight="1" x14ac:dyDescent="0.25">
      <c r="A109" s="247">
        <v>45351</v>
      </c>
      <c r="B109" s="349" t="s">
        <v>6168</v>
      </c>
      <c r="C109" s="350" t="s">
        <v>12</v>
      </c>
      <c r="D109" s="350"/>
      <c r="E109" s="480" t="s">
        <v>25</v>
      </c>
      <c r="F109" s="780"/>
      <c r="G109" s="946"/>
      <c r="H109" s="95"/>
      <c r="I109" s="1064"/>
      <c r="J109" s="622"/>
      <c r="K109" s="982"/>
      <c r="L109" s="622"/>
      <c r="M109" s="982"/>
      <c r="N109" s="622"/>
      <c r="O109" s="1063">
        <v>8.61</v>
      </c>
      <c r="P109" s="622"/>
      <c r="Q109" s="982"/>
      <c r="R109" s="861"/>
      <c r="T109" s="927"/>
      <c r="U109" s="999"/>
    </row>
    <row r="110" spans="1:42" s="224" customFormat="1" ht="15.75" thickBot="1" x14ac:dyDescent="0.3">
      <c r="A110" s="247">
        <v>45351</v>
      </c>
      <c r="B110" s="862" t="s">
        <v>1666</v>
      </c>
      <c r="C110" s="350" t="s">
        <v>12</v>
      </c>
      <c r="D110" s="1003"/>
      <c r="E110" s="145" t="s">
        <v>25</v>
      </c>
      <c r="F110" s="1036"/>
      <c r="G110" s="1535"/>
      <c r="H110" s="1008"/>
      <c r="I110" s="1063"/>
      <c r="J110" s="1036"/>
      <c r="K110" s="1535"/>
      <c r="L110" s="622"/>
      <c r="M110" s="1538">
        <v>52.46</v>
      </c>
      <c r="N110" s="622"/>
      <c r="O110" s="1063"/>
      <c r="P110" s="1036"/>
      <c r="Q110" s="1535"/>
      <c r="R110" s="1815">
        <f>M110/M5</f>
        <v>1.0442918284064892E-2</v>
      </c>
      <c r="T110" s="878"/>
    </row>
    <row r="111" spans="1:42" ht="25.5" customHeight="1" thickBot="1" x14ac:dyDescent="0.3">
      <c r="A111" s="3060"/>
      <c r="B111" s="3061"/>
      <c r="C111" s="3062"/>
      <c r="D111" s="3062"/>
      <c r="E111" s="3062"/>
      <c r="F111" s="1023">
        <f>SUM(F6:F110)</f>
        <v>6632.6249999999982</v>
      </c>
      <c r="G111" s="1065">
        <f>SUM(G5:G110)</f>
        <v>7207.658250000035</v>
      </c>
      <c r="H111" s="517">
        <f>SUM(H6:H110)</f>
        <v>1400</v>
      </c>
      <c r="I111" s="93">
        <f>SUM(I5:I110)</f>
        <v>2699.9959999999992</v>
      </c>
      <c r="J111" s="1023">
        <f>SUM(J6:J110)</f>
        <v>0</v>
      </c>
      <c r="K111" s="93">
        <f>SUM(K5:K110)</f>
        <v>26844.530000000002</v>
      </c>
      <c r="L111" s="1023">
        <f>SUM(L6:L110)</f>
        <v>0</v>
      </c>
      <c r="M111" s="93">
        <f>SUM(M5:M110)</f>
        <v>5075.9600000000019</v>
      </c>
      <c r="N111" s="1023">
        <f>SUM(N6:N110)</f>
        <v>200</v>
      </c>
      <c r="O111" s="93">
        <f>SUM(O5:O110)</f>
        <v>573.52000000000021</v>
      </c>
      <c r="P111" s="1211">
        <f>SUM(P6:P110)</f>
        <v>0</v>
      </c>
      <c r="Q111" s="93">
        <f>SUM(Q5:Q110)</f>
        <v>51555.035984720009</v>
      </c>
      <c r="S111" s="216"/>
    </row>
    <row r="112" spans="1:42" ht="25.5" customHeight="1" thickBot="1" x14ac:dyDescent="0.3">
      <c r="A112" s="3117" t="s">
        <v>49</v>
      </c>
      <c r="B112" s="3118"/>
      <c r="C112" s="3118"/>
      <c r="D112" s="3118"/>
      <c r="E112" s="3118"/>
      <c r="F112" s="144" t="s">
        <v>280</v>
      </c>
      <c r="G112" s="519">
        <f>G111-F111</f>
        <v>575.03325000003679</v>
      </c>
      <c r="H112" s="555"/>
      <c r="I112" s="772">
        <f>I111-H111</f>
        <v>1299.9959999999992</v>
      </c>
      <c r="J112" s="593"/>
      <c r="K112" s="993">
        <f>K111-J111</f>
        <v>26844.530000000002</v>
      </c>
      <c r="L112" s="593"/>
      <c r="M112" s="772">
        <f>M111-L111</f>
        <v>5075.9600000000019</v>
      </c>
      <c r="N112" s="593"/>
      <c r="O112" s="772">
        <f>O111-N111</f>
        <v>373.52000000000021</v>
      </c>
      <c r="P112" s="593"/>
      <c r="Q112" s="556">
        <f>Q111-P111</f>
        <v>51555.035984720009</v>
      </c>
      <c r="R112" s="484">
        <f>K112+M112+O112+Q112</f>
        <v>83849.045984720011</v>
      </c>
    </row>
    <row r="113" spans="1:26" x14ac:dyDescent="0.25">
      <c r="I113" s="216"/>
      <c r="J113" s="1238"/>
      <c r="K113" s="1238">
        <f>K112/R112</f>
        <v>0.32015307609930277</v>
      </c>
      <c r="M113" s="1238">
        <f>M112/R112</f>
        <v>6.0536884354355142E-2</v>
      </c>
      <c r="O113" s="1238">
        <f>O112/R112</f>
        <v>4.4546720313081148E-3</v>
      </c>
      <c r="P113" s="1239"/>
      <c r="Q113" s="1239">
        <f>Q112/R112</f>
        <v>0.614855367515034</v>
      </c>
      <c r="R113" s="867"/>
      <c r="S113" s="867"/>
      <c r="T113" s="79"/>
      <c r="W113" s="518"/>
      <c r="X113" s="216"/>
      <c r="Z113" s="877"/>
    </row>
    <row r="114" spans="1:26" x14ac:dyDescent="0.25">
      <c r="B114" s="81" t="s">
        <v>3</v>
      </c>
      <c r="C114" s="193" t="s">
        <v>1484</v>
      </c>
      <c r="D114" s="970" t="s">
        <v>2378</v>
      </c>
      <c r="E114" s="193" t="s">
        <v>3216</v>
      </c>
      <c r="F114" s="1061" t="s">
        <v>3217</v>
      </c>
      <c r="G114" s="216"/>
      <c r="J114" s="867"/>
      <c r="K114" s="866"/>
      <c r="M114" s="866"/>
      <c r="O114" s="866"/>
      <c r="P114" s="1038"/>
      <c r="Q114" s="1038"/>
      <c r="R114" s="865"/>
      <c r="S114" s="867"/>
    </row>
    <row r="115" spans="1:26" x14ac:dyDescent="0.25">
      <c r="B115" s="79" t="s">
        <v>32</v>
      </c>
      <c r="C115" s="85" t="s">
        <v>1485</v>
      </c>
      <c r="D115" s="475">
        <f>SUMIF($D$8:$D$110,"A",$F$8:$F$110)</f>
        <v>378.40000000000003</v>
      </c>
      <c r="E115" s="1202">
        <f t="shared" ref="E115:E130" si="0">D115/$J$132</f>
        <v>13.048275862068966</v>
      </c>
      <c r="F115" s="1203">
        <f t="shared" ref="F115:F130" si="1">E115/$E$133</f>
        <v>8.7226926011558029E-2</v>
      </c>
      <c r="G115" s="800"/>
      <c r="I115" s="631"/>
      <c r="J115" s="1210"/>
      <c r="K115" s="754"/>
      <c r="M115" s="886"/>
      <c r="O115" s="886"/>
      <c r="P115" s="886"/>
      <c r="Q115" s="1210"/>
      <c r="R115" s="1038"/>
      <c r="S115" s="1210"/>
      <c r="U115" s="1201"/>
      <c r="V115" s="877"/>
    </row>
    <row r="116" spans="1:26" x14ac:dyDescent="0.25">
      <c r="B116" s="79" t="s">
        <v>2187</v>
      </c>
      <c r="C116" s="85" t="s">
        <v>2157</v>
      </c>
      <c r="D116" s="475">
        <f>SUMIF($D$9:$D$110,"GAC",$F$9:$F$110)</f>
        <v>400</v>
      </c>
      <c r="E116" s="1202">
        <f t="shared" si="0"/>
        <v>13.793103448275861</v>
      </c>
      <c r="F116" s="1203">
        <f t="shared" si="1"/>
        <v>9.2206052866340399E-2</v>
      </c>
      <c r="G116" s="609"/>
      <c r="J116" s="1038"/>
      <c r="K116" s="1225"/>
      <c r="M116" s="1210"/>
      <c r="O116" s="1038"/>
      <c r="P116" s="1210"/>
      <c r="Q116" s="1038"/>
      <c r="R116" s="1038"/>
      <c r="U116" s="877"/>
      <c r="V116" s="877"/>
    </row>
    <row r="117" spans="1:26" s="85" customFormat="1" x14ac:dyDescent="0.25">
      <c r="A117" s="79"/>
      <c r="B117" s="79" t="s">
        <v>50</v>
      </c>
      <c r="C117" s="85" t="s">
        <v>1493</v>
      </c>
      <c r="D117" s="475">
        <f>SUMIF($D$9:$D$110,"LD",$F$9:$F$110)</f>
        <v>255.74</v>
      </c>
      <c r="E117" s="1202">
        <f t="shared" si="0"/>
        <v>8.8186206896551731</v>
      </c>
      <c r="F117" s="1203">
        <f t="shared" si="1"/>
        <v>5.8951939900094744E-2</v>
      </c>
      <c r="J117" s="864"/>
      <c r="K117" s="877"/>
      <c r="M117" s="941"/>
      <c r="N117" s="877"/>
      <c r="O117" s="863"/>
      <c r="Q117" s="79"/>
      <c r="R117" s="177"/>
      <c r="U117" s="877"/>
      <c r="V117" s="877"/>
    </row>
    <row r="118" spans="1:26" s="85" customFormat="1" x14ac:dyDescent="0.25">
      <c r="A118" s="79"/>
      <c r="B118" s="79" t="s">
        <v>14</v>
      </c>
      <c r="C118" s="85" t="s">
        <v>1486</v>
      </c>
      <c r="D118" s="475">
        <f>SUMIF($D$9:$D$110,"C",$F$9:$F$110)</f>
        <v>75.88</v>
      </c>
      <c r="E118" s="1202">
        <f t="shared" si="0"/>
        <v>2.6165517241379308</v>
      </c>
      <c r="F118" s="1203">
        <f t="shared" si="1"/>
        <v>1.7491488228744773E-2</v>
      </c>
      <c r="G118" s="79"/>
      <c r="H118" s="79"/>
      <c r="J118" s="1038"/>
      <c r="K118" s="877"/>
      <c r="M118" s="1028"/>
      <c r="N118" s="877"/>
      <c r="O118" s="1038"/>
      <c r="R118" s="177"/>
      <c r="U118" s="877"/>
      <c r="V118" s="877"/>
    </row>
    <row r="119" spans="1:26" s="85" customFormat="1" x14ac:dyDescent="0.25">
      <c r="B119" s="79" t="s">
        <v>51</v>
      </c>
      <c r="C119" s="864" t="s">
        <v>1499</v>
      </c>
      <c r="D119" s="475">
        <f>SUMIF($D$24:$D$110,"CAL",$F$24:$F$110)</f>
        <v>140.25</v>
      </c>
      <c r="E119" s="1202">
        <f t="shared" si="0"/>
        <v>4.8362068965517242</v>
      </c>
      <c r="F119" s="1203">
        <f t="shared" si="1"/>
        <v>3.2329747286260604E-2</v>
      </c>
      <c r="G119" s="79"/>
      <c r="H119" s="79"/>
      <c r="I119" s="79"/>
      <c r="J119" s="1038"/>
      <c r="K119" s="877"/>
      <c r="M119" s="1028"/>
      <c r="N119" s="877"/>
      <c r="O119" s="1038"/>
      <c r="P119" s="1210"/>
      <c r="Q119" s="1038"/>
      <c r="R119" s="177"/>
      <c r="U119" s="877"/>
      <c r="V119" s="877"/>
    </row>
    <row r="120" spans="1:26" s="85" customFormat="1" x14ac:dyDescent="0.25">
      <c r="A120" s="79"/>
      <c r="B120" s="79" t="s">
        <v>2189</v>
      </c>
      <c r="C120" s="864" t="s">
        <v>1496</v>
      </c>
      <c r="D120" s="475">
        <f>SUMIF($D$20:$D$110,"AC",$F$20:$F$110)</f>
        <v>129.285</v>
      </c>
      <c r="E120" s="1202">
        <f t="shared" si="0"/>
        <v>4.4581034482758621</v>
      </c>
      <c r="F120" s="1203">
        <f t="shared" si="1"/>
        <v>2.9802148862062051E-2</v>
      </c>
      <c r="G120" s="79"/>
      <c r="J120" s="1038"/>
      <c r="K120" s="877"/>
      <c r="M120" s="877"/>
      <c r="O120" s="177"/>
      <c r="R120" s="177"/>
      <c r="U120" s="877"/>
      <c r="V120" s="877"/>
    </row>
    <row r="121" spans="1:26" s="85" customFormat="1" x14ac:dyDescent="0.25">
      <c r="A121" s="79"/>
      <c r="B121" s="867" t="s">
        <v>53</v>
      </c>
      <c r="C121" s="864" t="s">
        <v>1522</v>
      </c>
      <c r="D121" s="475">
        <f>SUMIF($D$8:$D$110,"DC",$F$8:$F$110)</f>
        <v>1568.49</v>
      </c>
      <c r="E121" s="1202">
        <f t="shared" si="0"/>
        <v>54.085862068965518</v>
      </c>
      <c r="F121" s="1203">
        <f t="shared" si="1"/>
        <v>0.36156067965081568</v>
      </c>
      <c r="J121" s="79"/>
      <c r="K121" s="877"/>
      <c r="M121" s="1959"/>
      <c r="O121" s="177"/>
      <c r="P121" s="868"/>
      <c r="Q121" s="769"/>
      <c r="R121" s="79"/>
      <c r="U121" s="877"/>
      <c r="V121" s="877"/>
    </row>
    <row r="122" spans="1:26" s="85" customFormat="1" x14ac:dyDescent="0.25">
      <c r="A122" s="79"/>
      <c r="B122" s="79" t="s">
        <v>3048</v>
      </c>
      <c r="C122" s="864" t="s">
        <v>1523</v>
      </c>
      <c r="D122" s="475">
        <f ca="1">SUMIF($D$20:$D$111,"B",$F$20:$F$110)</f>
        <v>205.07999999999998</v>
      </c>
      <c r="E122" s="1202">
        <f t="shared" ca="1" si="0"/>
        <v>7.0717241379310343</v>
      </c>
      <c r="F122" s="1203">
        <f t="shared" ca="1" si="1"/>
        <v>4.7274043304572723E-2</v>
      </c>
      <c r="G122" s="866"/>
      <c r="J122" s="1038"/>
      <c r="K122" s="877"/>
      <c r="M122" s="877"/>
      <c r="O122" s="177"/>
      <c r="P122" s="866"/>
      <c r="Q122" s="1210"/>
      <c r="R122" s="877"/>
      <c r="U122" s="877"/>
      <c r="V122" s="877"/>
    </row>
    <row r="123" spans="1:26" s="85" customFormat="1" x14ac:dyDescent="0.25">
      <c r="A123" s="79"/>
      <c r="B123" s="79" t="s">
        <v>1686</v>
      </c>
      <c r="C123" s="864" t="s">
        <v>1506</v>
      </c>
      <c r="D123" s="475">
        <f>SUMIF($D$20:$D$110,"R",$F$20:$F$110)</f>
        <v>150</v>
      </c>
      <c r="E123" s="1202">
        <f t="shared" si="0"/>
        <v>5.1724137931034484</v>
      </c>
      <c r="F123" s="1203">
        <f t="shared" si="1"/>
        <v>3.4577269824877653E-2</v>
      </c>
      <c r="G123" s="868"/>
      <c r="K123" s="877"/>
      <c r="M123" s="877"/>
      <c r="O123" s="177"/>
      <c r="P123" s="1226"/>
      <c r="Q123" s="1129"/>
      <c r="R123" s="877"/>
      <c r="U123" s="877"/>
      <c r="V123" s="877"/>
    </row>
    <row r="124" spans="1:26" x14ac:dyDescent="0.25">
      <c r="B124" s="79" t="s">
        <v>418</v>
      </c>
      <c r="C124" s="85" t="s">
        <v>1524</v>
      </c>
      <c r="D124" s="475">
        <f>SUMIF($D$20:$D$110,"COM",$F$20:$F$110)</f>
        <v>0</v>
      </c>
      <c r="E124" s="1202">
        <f t="shared" si="0"/>
        <v>0</v>
      </c>
      <c r="F124" s="1203">
        <f t="shared" si="1"/>
        <v>0</v>
      </c>
      <c r="G124" s="85"/>
      <c r="H124" s="85"/>
      <c r="I124" s="85"/>
      <c r="J124" s="769"/>
      <c r="K124" s="1225"/>
      <c r="L124" s="769"/>
      <c r="M124" s="877"/>
      <c r="N124" s="769"/>
      <c r="O124" s="216"/>
      <c r="P124" s="1038"/>
      <c r="Q124" s="1226"/>
      <c r="R124" s="877"/>
      <c r="U124" s="877"/>
      <c r="V124" s="877"/>
    </row>
    <row r="125" spans="1:26" x14ac:dyDescent="0.25">
      <c r="B125" s="79" t="s">
        <v>419</v>
      </c>
      <c r="C125" s="85" t="s">
        <v>1491</v>
      </c>
      <c r="D125" s="475">
        <f>SUMIF($D$20:$D$110,"F",$F$20:$F$110)</f>
        <v>919.9</v>
      </c>
      <c r="E125" s="1202">
        <f t="shared" si="0"/>
        <v>31.720689655172414</v>
      </c>
      <c r="F125" s="1203">
        <f t="shared" si="1"/>
        <v>0.21205087007936635</v>
      </c>
      <c r="I125" s="85"/>
      <c r="N125" s="216"/>
      <c r="O125" s="216"/>
      <c r="Q125" s="484"/>
      <c r="R125" s="877"/>
      <c r="U125" s="877"/>
      <c r="V125" s="877"/>
    </row>
    <row r="126" spans="1:26" x14ac:dyDescent="0.25">
      <c r="B126" s="79" t="s">
        <v>911</v>
      </c>
      <c r="C126" s="85" t="s">
        <v>1525</v>
      </c>
      <c r="D126" s="475">
        <f>SUMIF($D$16:$D$110,"FER",$F$16:$F$110)</f>
        <v>186.9</v>
      </c>
      <c r="E126" s="1202">
        <f t="shared" si="0"/>
        <v>6.4448275862068964</v>
      </c>
      <c r="F126" s="1203">
        <f t="shared" si="1"/>
        <v>4.3083278201797554E-2</v>
      </c>
      <c r="O126" s="216"/>
      <c r="Q126" s="484"/>
      <c r="R126" s="1673"/>
      <c r="U126" s="877"/>
      <c r="V126" s="877"/>
    </row>
    <row r="127" spans="1:26" x14ac:dyDescent="0.25">
      <c r="B127" s="79" t="s">
        <v>1526</v>
      </c>
      <c r="C127" s="85" t="s">
        <v>1504</v>
      </c>
      <c r="D127" s="475">
        <f>SUMIF($D$24:$D$110,"I",$F$24:$F$110)</f>
        <v>169.85</v>
      </c>
      <c r="E127" s="1202">
        <f t="shared" si="0"/>
        <v>5.8568965517241374</v>
      </c>
      <c r="F127" s="1203">
        <f t="shared" si="1"/>
        <v>3.9152995198369796E-2</v>
      </c>
      <c r="J127" s="769"/>
      <c r="K127" s="868"/>
      <c r="L127" s="769"/>
      <c r="N127" s="769"/>
      <c r="O127" s="886"/>
      <c r="P127" s="1210"/>
      <c r="Q127" s="1038"/>
      <c r="R127" s="1129"/>
      <c r="T127" s="1129"/>
      <c r="U127" s="877"/>
      <c r="V127" s="877"/>
    </row>
    <row r="128" spans="1:26" x14ac:dyDescent="0.25">
      <c r="B128" s="79" t="s">
        <v>2343</v>
      </c>
      <c r="C128" s="85" t="s">
        <v>2315</v>
      </c>
      <c r="D128" s="475">
        <f>SUMIF($D$24:$D$110,"E",$F$24:$F$110)</f>
        <v>0</v>
      </c>
      <c r="E128" s="1202">
        <f t="shared" si="0"/>
        <v>0</v>
      </c>
      <c r="F128" s="1203">
        <f t="shared" si="1"/>
        <v>0</v>
      </c>
      <c r="J128" s="769"/>
      <c r="K128" s="868"/>
      <c r="L128" s="769"/>
      <c r="M128" s="1210"/>
      <c r="N128" s="769"/>
      <c r="O128" s="1673"/>
      <c r="P128" s="1210"/>
      <c r="Q128" s="1038"/>
      <c r="R128" s="1129"/>
      <c r="T128" s="1129"/>
      <c r="U128" s="877"/>
      <c r="V128" s="877"/>
    </row>
    <row r="129" spans="1:24" x14ac:dyDescent="0.25">
      <c r="B129" s="79" t="s">
        <v>3019</v>
      </c>
      <c r="C129" s="85" t="s">
        <v>3017</v>
      </c>
      <c r="D129" s="475">
        <f>SUMIF($D$6:$D$110,"IM",$F$6:$F$110)</f>
        <v>544.38</v>
      </c>
      <c r="E129" s="1202">
        <f t="shared" si="0"/>
        <v>18.771724137931034</v>
      </c>
      <c r="F129" s="1203">
        <f t="shared" si="1"/>
        <v>0.12548782764844599</v>
      </c>
      <c r="J129" s="769"/>
      <c r="L129" s="769"/>
      <c r="N129" s="769"/>
      <c r="P129" s="941"/>
      <c r="Q129" s="224"/>
      <c r="R129" s="1226"/>
      <c r="S129" s="1129"/>
      <c r="T129" s="1129"/>
      <c r="U129" s="877"/>
      <c r="V129" s="877"/>
    </row>
    <row r="130" spans="1:24" x14ac:dyDescent="0.25">
      <c r="B130" s="79" t="s">
        <v>1527</v>
      </c>
      <c r="C130" s="85" t="s">
        <v>1489</v>
      </c>
      <c r="D130" s="475">
        <f>SUMIF($D$20:$D$110,"OD",$F$20:$F$110)</f>
        <v>838.17000000000007</v>
      </c>
      <c r="E130" s="1202">
        <f t="shared" si="0"/>
        <v>28.902413793103452</v>
      </c>
      <c r="F130" s="1203">
        <f t="shared" si="1"/>
        <v>0.19321086832745138</v>
      </c>
      <c r="P130" s="1210"/>
      <c r="Q130" s="1038"/>
      <c r="R130" s="1226"/>
      <c r="S130" s="1129"/>
      <c r="T130" s="1129"/>
      <c r="U130" s="877"/>
      <c r="V130" s="877"/>
    </row>
    <row r="131" spans="1:24" x14ac:dyDescent="0.25">
      <c r="C131" s="79"/>
      <c r="D131" s="629"/>
      <c r="E131" s="79"/>
      <c r="F131" s="79"/>
      <c r="K131" s="459" t="s">
        <v>6481</v>
      </c>
      <c r="L131" s="2125" t="s">
        <v>6482</v>
      </c>
      <c r="P131" s="1210"/>
      <c r="Q131" s="1038"/>
      <c r="R131" s="1227"/>
      <c r="S131" s="1129"/>
      <c r="T131" s="1129"/>
      <c r="U131" s="877"/>
      <c r="V131" s="877"/>
    </row>
    <row r="132" spans="1:24" x14ac:dyDescent="0.25">
      <c r="C132" s="3168" t="s">
        <v>486</v>
      </c>
      <c r="D132" s="3168"/>
      <c r="E132" s="863">
        <f ca="1">I132/J132</f>
        <v>205.59741379310344</v>
      </c>
      <c r="G132" s="518" t="s">
        <v>487</v>
      </c>
      <c r="I132" s="629">
        <f ca="1">SUM(D115:D130)</f>
        <v>5962.3249999999998</v>
      </c>
      <c r="J132" s="1517">
        <v>29</v>
      </c>
      <c r="K132" s="484">
        <f ca="1">I132-4487</f>
        <v>1475.3249999999998</v>
      </c>
      <c r="L132" s="216"/>
      <c r="N132" s="216"/>
      <c r="O132" s="1517"/>
      <c r="P132" s="1210"/>
      <c r="Q132" s="1038"/>
      <c r="R132" s="1226"/>
      <c r="S132" s="1129"/>
      <c r="T132" s="1129"/>
      <c r="U132" s="877"/>
      <c r="V132" s="877"/>
    </row>
    <row r="133" spans="1:24" ht="15.75" customHeight="1" x14ac:dyDescent="0.25">
      <c r="B133" s="3167" t="s">
        <v>6141</v>
      </c>
      <c r="C133" s="3167"/>
      <c r="D133" s="3167"/>
      <c r="E133" s="1125">
        <v>149.59</v>
      </c>
      <c r="H133" s="85"/>
      <c r="K133" s="868"/>
      <c r="M133" s="868"/>
      <c r="O133" s="868"/>
      <c r="P133" s="1210"/>
      <c r="Q133" s="1038"/>
      <c r="R133" s="1226"/>
      <c r="S133" s="1129"/>
      <c r="T133" s="1129"/>
      <c r="U133" s="877"/>
      <c r="V133" s="877"/>
    </row>
    <row r="134" spans="1:24" x14ac:dyDescent="0.25">
      <c r="A134" s="518"/>
      <c r="C134" s="79"/>
      <c r="D134" s="79"/>
      <c r="E134" s="769"/>
      <c r="F134" s="866"/>
      <c r="G134" s="769"/>
      <c r="H134" s="866"/>
      <c r="I134" s="1210"/>
      <c r="J134" s="89"/>
      <c r="L134" s="1038"/>
      <c r="M134" s="1210"/>
      <c r="N134" s="1038"/>
      <c r="O134" s="1210"/>
      <c r="P134" s="1210"/>
      <c r="Q134" s="1038"/>
      <c r="R134" s="769"/>
      <c r="S134" s="484" t="s">
        <v>280</v>
      </c>
      <c r="T134" s="216"/>
      <c r="U134" s="866"/>
      <c r="V134" s="484"/>
      <c r="X134" s="877"/>
    </row>
    <row r="135" spans="1:24" s="518" customFormat="1" x14ac:dyDescent="0.25">
      <c r="A135" s="79"/>
      <c r="B135" s="79"/>
      <c r="C135" s="79"/>
      <c r="D135" s="79"/>
      <c r="E135" s="1126">
        <f ca="1">E133-E132</f>
        <v>-56.007413793103439</v>
      </c>
      <c r="F135" s="1205">
        <f ca="1">SUM(F115:F134)</f>
        <v>1.3744061353907577</v>
      </c>
      <c r="G135" s="85"/>
      <c r="H135" s="85"/>
      <c r="I135" s="89"/>
      <c r="J135" s="79"/>
      <c r="K135" s="79"/>
      <c r="L135" s="79"/>
      <c r="M135" s="79"/>
      <c r="N135" s="79"/>
      <c r="O135" s="79"/>
      <c r="P135" s="1210"/>
      <c r="Q135" s="1038"/>
      <c r="R135" s="79"/>
      <c r="S135" s="79"/>
      <c r="T135" s="866"/>
      <c r="U135" s="484"/>
      <c r="V135" s="79"/>
      <c r="W135" s="877"/>
      <c r="X135" s="79"/>
    </row>
    <row r="136" spans="1:24" s="518" customFormat="1" x14ac:dyDescent="0.25">
      <c r="A136" s="79"/>
      <c r="B136" s="79"/>
      <c r="C136" s="85"/>
      <c r="D136" s="85"/>
      <c r="E136" s="85"/>
      <c r="Q136" s="1038"/>
      <c r="R136" s="484"/>
      <c r="S136" s="79"/>
      <c r="T136" s="877"/>
      <c r="U136" s="79"/>
    </row>
    <row r="137" spans="1:24" s="518" customFormat="1" x14ac:dyDescent="0.25">
      <c r="A137" s="79"/>
      <c r="B137" s="1124" t="s">
        <v>6376</v>
      </c>
      <c r="C137" s="2125"/>
      <c r="D137" s="2219">
        <f>SUMIF($E$7:$E$109,"crédito",$G$7:$G$110)</f>
        <v>4316.57</v>
      </c>
      <c r="E137" s="85"/>
      <c r="F137" s="89"/>
      <c r="G137" s="79"/>
      <c r="H137" s="79"/>
      <c r="I137" s="79"/>
      <c r="J137" s="769"/>
      <c r="K137" s="866"/>
      <c r="L137" s="769"/>
      <c r="M137" s="866"/>
      <c r="N137" s="769"/>
      <c r="O137" s="866"/>
      <c r="P137" s="1210"/>
      <c r="Q137" s="1038"/>
      <c r="R137" s="484"/>
      <c r="S137" s="79"/>
      <c r="T137" s="877"/>
      <c r="U137" s="79"/>
    </row>
    <row r="138" spans="1:24" s="518" customFormat="1" x14ac:dyDescent="0.25">
      <c r="A138" s="79"/>
      <c r="B138" s="518" t="s">
        <v>6496</v>
      </c>
      <c r="C138" s="459"/>
      <c r="D138" s="2218">
        <f ca="1">SUM(D115:D130)</f>
        <v>5962.3249999999998</v>
      </c>
      <c r="E138" s="85"/>
      <c r="F138" s="89"/>
      <c r="G138" s="79"/>
      <c r="H138" s="79"/>
      <c r="I138" s="216"/>
      <c r="J138" s="769"/>
      <c r="K138" s="866"/>
      <c r="L138" s="769"/>
      <c r="M138" s="866"/>
      <c r="N138" s="769"/>
      <c r="O138" s="866"/>
      <c r="P138" s="1210"/>
      <c r="Q138" s="1038"/>
      <c r="R138" s="484"/>
      <c r="S138" s="79"/>
      <c r="T138" s="877"/>
      <c r="U138" s="79"/>
    </row>
    <row r="139" spans="1:24" s="518" customFormat="1" x14ac:dyDescent="0.25">
      <c r="A139" s="79"/>
      <c r="B139" s="81" t="s">
        <v>6497</v>
      </c>
      <c r="C139" s="81"/>
      <c r="D139" s="1014">
        <f ca="1">D137-D138</f>
        <v>-1645.7550000000001</v>
      </c>
      <c r="E139" s="79"/>
      <c r="F139" s="79"/>
      <c r="G139" s="79"/>
      <c r="H139" s="79"/>
      <c r="K139" s="866"/>
      <c r="M139" s="866"/>
      <c r="O139" s="866"/>
      <c r="P139" s="1210"/>
      <c r="Q139" s="1038"/>
      <c r="R139" s="484"/>
      <c r="S139" s="79"/>
      <c r="T139" s="877"/>
      <c r="U139" s="79"/>
    </row>
    <row r="140" spans="1:24" s="518" customFormat="1" x14ac:dyDescent="0.25">
      <c r="A140" s="79"/>
      <c r="B140" s="79"/>
      <c r="C140" s="79"/>
      <c r="D140" s="79"/>
      <c r="E140" s="79"/>
      <c r="F140" s="79"/>
      <c r="G140" s="79"/>
      <c r="H140" s="79"/>
      <c r="I140" s="216"/>
      <c r="J140" s="769"/>
      <c r="K140" s="866"/>
      <c r="L140" s="769"/>
      <c r="M140" s="866"/>
      <c r="N140" s="769"/>
      <c r="O140" s="866"/>
      <c r="P140" s="1210"/>
      <c r="Q140" s="1038"/>
      <c r="R140" s="484"/>
      <c r="S140" s="79"/>
      <c r="T140" s="877"/>
      <c r="U140" s="79"/>
    </row>
    <row r="141" spans="1:24" s="518" customFormat="1" x14ac:dyDescent="0.25">
      <c r="A141" s="79"/>
      <c r="B141" s="79"/>
      <c r="C141" s="79"/>
      <c r="D141" s="79"/>
      <c r="E141" s="79"/>
      <c r="F141" s="79"/>
      <c r="G141" s="216"/>
      <c r="H141" s="79"/>
      <c r="I141" s="216"/>
      <c r="J141" s="769"/>
      <c r="K141" s="868"/>
      <c r="L141" s="769"/>
      <c r="M141" s="868"/>
      <c r="N141" s="769"/>
      <c r="O141" s="868"/>
      <c r="P141" s="1210"/>
      <c r="Q141" s="1038"/>
      <c r="R141" s="484"/>
      <c r="S141" s="79"/>
      <c r="T141" s="877"/>
      <c r="U141" s="79"/>
    </row>
    <row r="142" spans="1:24" s="518" customFormat="1" x14ac:dyDescent="0.25">
      <c r="A142" s="79"/>
      <c r="B142" s="79"/>
      <c r="C142" s="79"/>
      <c r="D142" s="79"/>
      <c r="E142" s="79"/>
      <c r="F142" s="79"/>
      <c r="G142" s="216"/>
      <c r="H142" s="79"/>
      <c r="I142" s="216"/>
      <c r="J142" s="769"/>
      <c r="K142" s="866"/>
      <c r="L142" s="769"/>
      <c r="M142" s="866"/>
      <c r="N142" s="769"/>
      <c r="O142" s="866"/>
      <c r="P142" s="1210"/>
      <c r="Q142" s="1038"/>
      <c r="R142" s="484"/>
      <c r="S142" s="79"/>
      <c r="T142" s="877"/>
      <c r="U142" s="79"/>
    </row>
    <row r="143" spans="1:24" s="518" customFormat="1" x14ac:dyDescent="0.25">
      <c r="A143" s="79"/>
      <c r="B143" s="79"/>
      <c r="C143" s="79"/>
      <c r="D143" s="79"/>
      <c r="E143" s="79"/>
      <c r="F143" s="79"/>
      <c r="G143" s="216"/>
      <c r="H143" s="79"/>
      <c r="I143" s="79"/>
      <c r="J143" s="770"/>
      <c r="K143" s="866"/>
      <c r="L143" s="770"/>
      <c r="M143" s="866"/>
      <c r="N143" s="770"/>
      <c r="O143" s="866"/>
      <c r="P143" s="1210"/>
      <c r="Q143" s="1038"/>
      <c r="R143" s="484"/>
      <c r="S143" s="79"/>
      <c r="T143" s="877"/>
      <c r="U143" s="79"/>
    </row>
    <row r="144" spans="1:24" s="518" customFormat="1" x14ac:dyDescent="0.25">
      <c r="A144" s="79"/>
      <c r="B144" s="79"/>
      <c r="C144" s="79"/>
      <c r="D144" s="79"/>
      <c r="E144" s="79"/>
      <c r="F144" s="79"/>
      <c r="G144" s="79"/>
      <c r="H144" s="79"/>
      <c r="I144" s="216"/>
      <c r="J144" s="769"/>
      <c r="K144" s="868"/>
      <c r="L144" s="769"/>
      <c r="M144" s="868"/>
      <c r="N144" s="769"/>
      <c r="O144" s="868"/>
      <c r="P144" s="1210"/>
      <c r="Q144" s="1038"/>
      <c r="R144" s="484"/>
      <c r="S144" s="79"/>
      <c r="T144" s="877"/>
      <c r="U144" s="79"/>
    </row>
    <row r="145" spans="1:21" s="518" customFormat="1" x14ac:dyDescent="0.25">
      <c r="A145" s="79"/>
      <c r="B145" s="79"/>
      <c r="C145" s="85"/>
      <c r="D145" s="85"/>
      <c r="E145" s="85"/>
      <c r="F145" s="89"/>
      <c r="G145" s="79"/>
      <c r="H145" s="79"/>
      <c r="I145" s="79"/>
      <c r="J145" s="769"/>
      <c r="K145" s="866"/>
      <c r="L145" s="769"/>
      <c r="M145" s="866"/>
      <c r="N145" s="769"/>
      <c r="O145" s="866"/>
      <c r="P145" s="1210"/>
      <c r="Q145" s="1038"/>
      <c r="R145" s="484"/>
      <c r="S145" s="79"/>
      <c r="T145" s="877"/>
      <c r="U145" s="79"/>
    </row>
    <row r="146" spans="1:21" s="518" customFormat="1" x14ac:dyDescent="0.25">
      <c r="A146" s="79"/>
      <c r="B146" s="79"/>
      <c r="C146" s="79"/>
      <c r="D146" s="79"/>
      <c r="E146" s="79"/>
      <c r="F146" s="79"/>
      <c r="G146" s="79"/>
      <c r="H146" s="79"/>
      <c r="I146" s="629"/>
      <c r="J146" s="769"/>
      <c r="K146" s="866"/>
      <c r="L146" s="769"/>
      <c r="M146" s="866"/>
      <c r="N146" s="769"/>
      <c r="O146" s="866"/>
      <c r="P146" s="1210"/>
      <c r="Q146" s="1038"/>
      <c r="R146" s="484"/>
      <c r="S146" s="79"/>
      <c r="T146" s="877"/>
      <c r="U146" s="79"/>
    </row>
    <row r="147" spans="1:21" s="518" customFormat="1" x14ac:dyDescent="0.25">
      <c r="A147" s="79"/>
      <c r="B147" s="79"/>
      <c r="C147" s="85"/>
      <c r="D147" s="85"/>
      <c r="E147" s="85"/>
      <c r="F147" s="89"/>
      <c r="G147" s="79"/>
      <c r="H147" s="79"/>
      <c r="I147" s="79"/>
      <c r="J147" s="769"/>
      <c r="K147" s="866"/>
      <c r="L147" s="769"/>
      <c r="M147" s="866"/>
      <c r="N147" s="769"/>
      <c r="O147" s="866"/>
      <c r="P147" s="1210"/>
      <c r="Q147" s="1038"/>
      <c r="R147" s="484"/>
      <c r="S147" s="79"/>
      <c r="T147" s="877"/>
      <c r="U147" s="79"/>
    </row>
    <row r="148" spans="1:21" s="518" customFormat="1" x14ac:dyDescent="0.25">
      <c r="A148" s="79"/>
      <c r="B148" s="79"/>
      <c r="C148" s="85"/>
      <c r="D148" s="85"/>
      <c r="E148" s="85"/>
      <c r="F148" s="89"/>
      <c r="G148" s="79"/>
      <c r="H148" s="79"/>
      <c r="I148" s="79"/>
      <c r="J148" s="769"/>
      <c r="K148" s="866"/>
      <c r="L148" s="769"/>
      <c r="M148" s="866"/>
      <c r="N148" s="769"/>
      <c r="O148" s="866"/>
      <c r="P148" s="1210"/>
      <c r="Q148" s="1038"/>
      <c r="R148" s="484"/>
      <c r="S148" s="79"/>
      <c r="T148" s="877"/>
      <c r="U148" s="79"/>
    </row>
    <row r="149" spans="1:21" s="518" customFormat="1" x14ac:dyDescent="0.25">
      <c r="A149" s="79"/>
      <c r="B149" s="79"/>
      <c r="C149" s="85"/>
      <c r="D149" s="85"/>
      <c r="E149" s="85"/>
      <c r="F149" s="89"/>
      <c r="G149" s="79"/>
      <c r="H149" s="79"/>
      <c r="I149" s="79"/>
      <c r="J149" s="769"/>
      <c r="K149" s="866"/>
      <c r="L149" s="769"/>
      <c r="M149" s="866"/>
      <c r="N149" s="769"/>
      <c r="O149" s="866"/>
      <c r="P149" s="1210"/>
      <c r="Q149" s="1038"/>
      <c r="R149" s="484"/>
      <c r="S149" s="79"/>
      <c r="T149" s="877"/>
      <c r="U149" s="79"/>
    </row>
    <row r="150" spans="1:21" s="518" customFormat="1" x14ac:dyDescent="0.25">
      <c r="A150" s="79"/>
      <c r="B150" s="79"/>
      <c r="C150" s="85"/>
      <c r="D150" s="85"/>
      <c r="E150" s="85"/>
      <c r="F150" s="89"/>
      <c r="G150" s="79"/>
      <c r="H150" s="79"/>
      <c r="I150" s="79"/>
      <c r="J150" s="769"/>
      <c r="K150" s="866"/>
      <c r="L150" s="769"/>
      <c r="M150" s="866"/>
      <c r="N150" s="769"/>
      <c r="O150" s="866"/>
      <c r="P150" s="1210"/>
      <c r="Q150" s="1038"/>
      <c r="R150" s="484"/>
      <c r="S150" s="79"/>
      <c r="T150" s="877"/>
      <c r="U150" s="79"/>
    </row>
    <row r="151" spans="1:21" s="518" customFormat="1" x14ac:dyDescent="0.25">
      <c r="A151" s="79"/>
      <c r="B151" s="79"/>
      <c r="C151" s="85"/>
      <c r="D151" s="85"/>
      <c r="E151" s="85"/>
      <c r="F151" s="89"/>
      <c r="G151" s="79"/>
      <c r="H151" s="79"/>
      <c r="I151" s="79"/>
      <c r="J151" s="769"/>
      <c r="K151" s="866"/>
      <c r="L151" s="769"/>
      <c r="M151" s="866"/>
      <c r="N151" s="769"/>
      <c r="O151" s="866"/>
      <c r="P151" s="1210"/>
      <c r="Q151" s="1038"/>
      <c r="R151" s="484"/>
      <c r="S151" s="79"/>
      <c r="T151" s="877"/>
      <c r="U151" s="79"/>
    </row>
    <row r="152" spans="1:21" s="518" customFormat="1" x14ac:dyDescent="0.25">
      <c r="A152" s="79"/>
      <c r="B152" s="79"/>
      <c r="C152" s="79"/>
      <c r="D152" s="79"/>
      <c r="E152" s="79"/>
      <c r="F152" s="79"/>
      <c r="G152" s="79"/>
      <c r="H152" s="79"/>
      <c r="I152" s="216"/>
      <c r="J152" s="769"/>
      <c r="K152" s="866"/>
      <c r="L152" s="769"/>
      <c r="M152" s="866"/>
      <c r="N152" s="769"/>
      <c r="O152" s="866"/>
      <c r="P152" s="1210"/>
      <c r="Q152" s="1038"/>
      <c r="R152" s="484"/>
      <c r="S152" s="79"/>
      <c r="T152" s="877"/>
      <c r="U152" s="79"/>
    </row>
    <row r="153" spans="1:21" s="518" customFormat="1" x14ac:dyDescent="0.25">
      <c r="A153" s="79"/>
      <c r="B153" s="79"/>
      <c r="C153" s="79"/>
      <c r="D153" s="79"/>
      <c r="E153" s="79"/>
      <c r="F153" s="79"/>
      <c r="G153" s="79"/>
      <c r="H153" s="79"/>
      <c r="I153" s="216"/>
      <c r="J153" s="769"/>
      <c r="K153" s="866"/>
      <c r="L153" s="769"/>
      <c r="M153" s="866"/>
      <c r="N153" s="769"/>
      <c r="O153" s="866"/>
      <c r="P153" s="1210"/>
      <c r="Q153" s="1038"/>
      <c r="R153" s="484"/>
      <c r="S153" s="79"/>
      <c r="T153" s="877"/>
      <c r="U153" s="79"/>
    </row>
    <row r="154" spans="1:21" s="518" customFormat="1" x14ac:dyDescent="0.25">
      <c r="A154" s="79"/>
      <c r="B154" s="79"/>
      <c r="C154" s="79"/>
      <c r="D154" s="79"/>
      <c r="E154" s="79"/>
      <c r="F154" s="79"/>
      <c r="G154" s="79"/>
      <c r="H154" s="79"/>
      <c r="I154" s="216"/>
      <c r="J154" s="769"/>
      <c r="K154" s="866"/>
      <c r="L154" s="769"/>
      <c r="M154" s="866"/>
      <c r="N154" s="769"/>
      <c r="O154" s="866"/>
      <c r="R154" s="484"/>
      <c r="S154" s="79"/>
      <c r="T154" s="877"/>
      <c r="U154" s="79"/>
    </row>
    <row r="155" spans="1:21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216"/>
      <c r="J155" s="769"/>
      <c r="K155" s="866"/>
      <c r="L155" s="769"/>
      <c r="M155" s="866"/>
      <c r="N155" s="769"/>
      <c r="O155" s="866"/>
      <c r="R155" s="484"/>
      <c r="S155" s="79"/>
      <c r="T155" s="877"/>
      <c r="U155" s="79"/>
    </row>
    <row r="156" spans="1:21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216"/>
      <c r="J156" s="769"/>
      <c r="K156" s="868"/>
      <c r="L156" s="769"/>
      <c r="M156" s="868"/>
      <c r="N156" s="769"/>
      <c r="O156" s="868"/>
      <c r="P156" s="79"/>
      <c r="Q156" s="79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216"/>
      <c r="J157" s="769"/>
      <c r="K157" s="868"/>
      <c r="L157" s="769"/>
      <c r="M157" s="868"/>
      <c r="N157" s="769"/>
      <c r="O157" s="868"/>
      <c r="P157" s="81"/>
      <c r="Q157" s="755"/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216"/>
      <c r="J158" s="769"/>
      <c r="K158" s="868"/>
      <c r="L158" s="769"/>
      <c r="M158" s="868"/>
      <c r="N158" s="769"/>
      <c r="O158" s="868"/>
      <c r="P158" s="868"/>
      <c r="Q158" s="79"/>
      <c r="R158" s="484"/>
      <c r="S158" s="79"/>
      <c r="T158" s="877"/>
      <c r="U158" s="79"/>
    </row>
    <row r="159" spans="1:21" s="518" customFormat="1" x14ac:dyDescent="0.25">
      <c r="A159" s="79"/>
      <c r="B159" s="79"/>
      <c r="C159" s="79"/>
      <c r="D159" s="79"/>
      <c r="E159" s="79"/>
      <c r="F159" s="79"/>
      <c r="G159" s="79"/>
      <c r="H159" s="79"/>
      <c r="I159" s="216"/>
      <c r="J159" s="769"/>
      <c r="K159" s="868"/>
      <c r="L159" s="769"/>
      <c r="M159" s="868"/>
      <c r="N159" s="769"/>
      <c r="O159" s="868"/>
      <c r="P159" s="754"/>
      <c r="Q159" s="886"/>
      <c r="R159" s="484"/>
      <c r="S159" s="79"/>
      <c r="T159" s="877"/>
      <c r="U159" s="79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216"/>
      <c r="J160" s="769"/>
      <c r="K160" s="868"/>
      <c r="L160" s="769"/>
      <c r="M160" s="868"/>
      <c r="N160" s="769"/>
      <c r="O160" s="868"/>
      <c r="P160" s="864"/>
      <c r="Q160" s="864"/>
      <c r="R160" s="484"/>
      <c r="S160" s="79"/>
      <c r="T160" s="877"/>
      <c r="U160" s="79"/>
    </row>
    <row r="161" spans="1:21" s="518" customFormat="1" x14ac:dyDescent="0.25">
      <c r="A161" s="79"/>
      <c r="B161" s="79"/>
      <c r="C161" s="85"/>
      <c r="D161" s="85"/>
      <c r="E161" s="85"/>
      <c r="F161" s="89"/>
      <c r="G161" s="79"/>
      <c r="H161" s="79"/>
      <c r="I161" s="79"/>
      <c r="J161" s="769"/>
      <c r="K161" s="866"/>
      <c r="L161" s="769"/>
      <c r="M161" s="866"/>
      <c r="N161" s="769"/>
      <c r="O161" s="866"/>
      <c r="P161" s="864"/>
      <c r="Q161" s="1032"/>
      <c r="R161" s="484"/>
      <c r="S161" s="79"/>
      <c r="T161" s="877"/>
      <c r="U161" s="79"/>
    </row>
    <row r="162" spans="1:21" s="518" customFormat="1" x14ac:dyDescent="0.25">
      <c r="A162" s="79"/>
      <c r="B162" s="79"/>
      <c r="C162" s="85"/>
      <c r="D162" s="85"/>
      <c r="E162" s="85"/>
      <c r="F162" s="89"/>
      <c r="G162" s="79"/>
      <c r="H162" s="79"/>
      <c r="I162" s="79"/>
      <c r="J162" s="769"/>
      <c r="K162" s="866"/>
      <c r="L162" s="769"/>
      <c r="M162" s="866"/>
      <c r="N162" s="769"/>
      <c r="O162" s="866"/>
      <c r="P162" s="864"/>
      <c r="Q162" s="1032"/>
      <c r="R162" s="484"/>
      <c r="S162" s="79"/>
      <c r="T162" s="877"/>
      <c r="U162" s="79"/>
    </row>
    <row r="163" spans="1:21" s="518" customFormat="1" x14ac:dyDescent="0.25">
      <c r="A163" s="79"/>
      <c r="B163" s="79"/>
      <c r="C163" s="85"/>
      <c r="D163" s="85"/>
      <c r="E163" s="85"/>
      <c r="F163" s="89"/>
      <c r="G163" s="79"/>
      <c r="H163" s="79"/>
      <c r="I163" s="79"/>
      <c r="J163" s="769"/>
      <c r="K163" s="868"/>
      <c r="L163" s="769"/>
      <c r="M163" s="868"/>
      <c r="N163" s="769"/>
      <c r="O163" s="868"/>
      <c r="P163" s="85"/>
      <c r="Q163" s="795"/>
      <c r="R163" s="484"/>
      <c r="S163" s="79"/>
      <c r="T163" s="877"/>
      <c r="U163" s="79"/>
    </row>
    <row r="164" spans="1:21" s="518" customFormat="1" x14ac:dyDescent="0.25">
      <c r="A164" s="79"/>
      <c r="B164" s="79"/>
      <c r="C164" s="85"/>
      <c r="D164" s="85"/>
      <c r="E164" s="85"/>
      <c r="F164" s="89"/>
      <c r="G164" s="79"/>
      <c r="H164" s="79"/>
      <c r="I164" s="79"/>
      <c r="J164" s="769"/>
      <c r="K164" s="866"/>
      <c r="L164" s="769"/>
      <c r="M164" s="866"/>
      <c r="N164" s="769"/>
      <c r="O164" s="866"/>
      <c r="P164" s="85"/>
      <c r="Q164" s="177"/>
      <c r="R164" s="484"/>
      <c r="S164" s="79"/>
      <c r="T164" s="877"/>
      <c r="U164" s="79"/>
    </row>
    <row r="165" spans="1:21" s="518" customFormat="1" x14ac:dyDescent="0.25">
      <c r="A165" s="79"/>
      <c r="B165" s="79"/>
      <c r="C165" s="85"/>
      <c r="D165" s="85"/>
      <c r="E165" s="85"/>
      <c r="F165" s="89"/>
      <c r="G165" s="79"/>
      <c r="H165" s="79"/>
      <c r="I165" s="79"/>
      <c r="J165" s="769"/>
      <c r="K165" s="866"/>
      <c r="L165" s="769"/>
      <c r="M165" s="866"/>
      <c r="N165" s="769"/>
      <c r="O165" s="866"/>
      <c r="P165" s="85"/>
      <c r="Q165" s="177"/>
      <c r="R165" s="484"/>
      <c r="S165" s="79"/>
      <c r="T165" s="877"/>
      <c r="U165" s="79"/>
    </row>
    <row r="166" spans="1:21" s="518" customFormat="1" x14ac:dyDescent="0.25">
      <c r="A166" s="79"/>
      <c r="B166" s="79"/>
      <c r="C166" s="79"/>
      <c r="D166" s="79"/>
      <c r="E166" s="79"/>
      <c r="F166" s="79"/>
      <c r="G166" s="79"/>
      <c r="H166" s="79"/>
      <c r="I166" s="79"/>
      <c r="J166" s="769"/>
      <c r="K166" s="868"/>
      <c r="L166" s="769"/>
      <c r="M166" s="868"/>
      <c r="N166" s="769"/>
      <c r="O166" s="868"/>
      <c r="P166" s="85"/>
      <c r="Q166" s="177" t="s">
        <v>280</v>
      </c>
      <c r="R166" s="484"/>
      <c r="S166" s="79"/>
      <c r="T166" s="877"/>
      <c r="U166" s="79"/>
    </row>
    <row r="167" spans="1:21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79"/>
      <c r="J167" s="769"/>
      <c r="K167" s="868"/>
      <c r="L167" s="769"/>
      <c r="M167" s="868"/>
      <c r="N167" s="769"/>
      <c r="O167" s="868"/>
      <c r="P167" s="85"/>
      <c r="Q167" s="177"/>
      <c r="R167" s="484"/>
      <c r="S167" s="79"/>
      <c r="T167" s="877"/>
      <c r="U167" s="79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69"/>
      <c r="K168" s="868"/>
      <c r="L168" s="769"/>
      <c r="M168" s="868"/>
      <c r="N168" s="769"/>
      <c r="O168" s="868"/>
      <c r="P168" s="85"/>
      <c r="Q168" s="866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69"/>
      <c r="K169" s="868"/>
      <c r="L169" s="769"/>
      <c r="M169" s="868"/>
      <c r="N169" s="769"/>
      <c r="O169" s="868"/>
      <c r="P169" s="769"/>
      <c r="Q169" s="216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69"/>
      <c r="K170" s="866"/>
      <c r="L170" s="769"/>
      <c r="M170" s="866"/>
      <c r="N170" s="769"/>
      <c r="O170" s="866"/>
      <c r="P170" s="79"/>
      <c r="Q170" s="216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223"/>
      <c r="K171" s="629"/>
      <c r="L171" s="223"/>
      <c r="M171" s="629"/>
      <c r="N171" s="223"/>
      <c r="O171" s="629"/>
      <c r="P171" s="769"/>
      <c r="Q171" s="868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56"/>
      <c r="K172" s="756"/>
      <c r="L172" s="756"/>
      <c r="M172" s="756"/>
      <c r="N172" s="756"/>
      <c r="O172" s="756"/>
      <c r="P172" s="769"/>
      <c r="Q172" s="868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69"/>
      <c r="Q173" s="868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69"/>
      <c r="Q174" s="79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484"/>
      <c r="S176" s="79"/>
      <c r="T176" s="877"/>
      <c r="U176" s="79"/>
    </row>
    <row r="177" spans="1:21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79"/>
      <c r="J177" s="85"/>
      <c r="K177" s="85"/>
      <c r="L177" s="85"/>
      <c r="M177" s="85"/>
      <c r="N177" s="85"/>
      <c r="O177" s="85"/>
      <c r="P177" s="1517"/>
      <c r="Q177" s="79"/>
      <c r="R177" s="484"/>
      <c r="S177" s="79"/>
      <c r="T177" s="877"/>
      <c r="U177" s="79"/>
    </row>
    <row r="178" spans="1:21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868"/>
      <c r="R178" s="484"/>
      <c r="S178" s="79"/>
      <c r="T178" s="877"/>
      <c r="U178" s="79"/>
    </row>
    <row r="179" spans="1:21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89"/>
      <c r="Q179" s="79"/>
      <c r="R179" s="484"/>
      <c r="S179" s="79"/>
      <c r="T179" s="877"/>
      <c r="U179" s="79"/>
    </row>
    <row r="180" spans="1:21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484"/>
      <c r="S180" s="79"/>
      <c r="T180" s="877"/>
      <c r="U180" s="79"/>
    </row>
    <row r="181" spans="1:21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69"/>
      <c r="Q181" s="866"/>
      <c r="R181" s="484"/>
      <c r="S181" s="79"/>
      <c r="T181" s="877"/>
      <c r="U181" s="79"/>
    </row>
    <row r="182" spans="1:21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69"/>
      <c r="Q182" s="866"/>
      <c r="R182" s="484"/>
      <c r="S182" s="79"/>
      <c r="T182" s="877"/>
      <c r="U182" s="79"/>
    </row>
    <row r="183" spans="1:21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69"/>
      <c r="Q183" s="866"/>
      <c r="R183" s="484"/>
      <c r="S183" s="79"/>
      <c r="T183" s="877"/>
      <c r="U183" s="79"/>
    </row>
    <row r="184" spans="1:21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79"/>
      <c r="J184" s="85"/>
      <c r="K184" s="85"/>
      <c r="L184" s="85"/>
      <c r="M184" s="85"/>
      <c r="N184" s="85"/>
      <c r="O184" s="85"/>
      <c r="Q184" s="866"/>
      <c r="R184" s="484"/>
      <c r="S184" s="79"/>
      <c r="T184" s="877"/>
      <c r="U184" s="79"/>
    </row>
    <row r="185" spans="1:21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69"/>
      <c r="Q185" s="866"/>
      <c r="R185" s="484"/>
      <c r="S185" s="79"/>
      <c r="T185" s="877"/>
      <c r="U185" s="79"/>
    </row>
    <row r="186" spans="1:21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69"/>
      <c r="Q186" s="868"/>
      <c r="R186" s="484"/>
      <c r="S186" s="79"/>
      <c r="T186" s="877"/>
      <c r="U186" s="79"/>
    </row>
    <row r="187" spans="1:21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69"/>
      <c r="Q187" s="866"/>
      <c r="R187" s="484"/>
      <c r="S187" s="79"/>
      <c r="T187" s="877"/>
      <c r="U187" s="79"/>
    </row>
    <row r="188" spans="1:21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70"/>
      <c r="Q188" s="866"/>
      <c r="R188" s="484"/>
      <c r="S188" s="79"/>
      <c r="T188" s="877"/>
      <c r="U188" s="79"/>
    </row>
    <row r="189" spans="1:21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69"/>
      <c r="Q189" s="868"/>
      <c r="R189" s="484"/>
      <c r="S189" s="79"/>
      <c r="T189" s="877"/>
      <c r="U189" s="79"/>
    </row>
    <row r="190" spans="1:21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69"/>
      <c r="Q190" s="866"/>
      <c r="R190" s="484"/>
      <c r="S190" s="79"/>
      <c r="T190" s="877"/>
      <c r="U190" s="79"/>
    </row>
    <row r="191" spans="1:21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71"/>
      <c r="L191" s="771"/>
      <c r="N191" s="771"/>
      <c r="P191" s="769"/>
      <c r="Q191" s="866"/>
      <c r="R191" s="484"/>
      <c r="S191" s="79"/>
      <c r="T191" s="877"/>
      <c r="U191" s="79"/>
    </row>
    <row r="192" spans="1:21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69"/>
      <c r="Q192" s="866"/>
      <c r="R192" s="484"/>
      <c r="S192" s="79"/>
      <c r="T192" s="877"/>
      <c r="U192" s="79"/>
    </row>
    <row r="193" spans="1:21" x14ac:dyDescent="0.25">
      <c r="P193" s="769"/>
      <c r="Q193" s="866"/>
    </row>
    <row r="194" spans="1:21" x14ac:dyDescent="0.25">
      <c r="P194" s="769"/>
      <c r="Q194" s="866"/>
    </row>
    <row r="195" spans="1:21" x14ac:dyDescent="0.25">
      <c r="P195" s="769"/>
      <c r="Q195" s="866"/>
    </row>
    <row r="196" spans="1:21" x14ac:dyDescent="0.25">
      <c r="P196" s="769"/>
      <c r="Q196" s="866"/>
    </row>
    <row r="197" spans="1:21" x14ac:dyDescent="0.25">
      <c r="P197" s="769"/>
      <c r="Q197" s="866"/>
    </row>
    <row r="198" spans="1:21" x14ac:dyDescent="0.25">
      <c r="P198" s="769"/>
      <c r="Q198" s="866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9"/>
      <c r="K199" s="216"/>
      <c r="L199" s="79"/>
      <c r="M199" s="216"/>
      <c r="N199" s="79"/>
      <c r="O199" s="216"/>
      <c r="P199" s="769"/>
      <c r="Q199" s="866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9"/>
      <c r="K200" s="216"/>
      <c r="L200" s="79"/>
      <c r="M200" s="216"/>
      <c r="N200" s="79"/>
      <c r="O200" s="216"/>
      <c r="P200" s="769"/>
      <c r="Q200" s="866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9"/>
      <c r="K201" s="216"/>
      <c r="L201" s="79"/>
      <c r="M201" s="216"/>
      <c r="N201" s="79"/>
      <c r="O201" s="216"/>
      <c r="P201" s="769"/>
      <c r="Q201" s="868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9"/>
      <c r="K202" s="216"/>
      <c r="L202" s="79"/>
      <c r="M202" s="216"/>
      <c r="N202" s="79"/>
      <c r="O202" s="216"/>
      <c r="P202" s="769"/>
      <c r="Q202" s="868"/>
      <c r="R202" s="484"/>
      <c r="S202" s="79"/>
      <c r="T202" s="877"/>
      <c r="U202" s="79"/>
    </row>
    <row r="203" spans="1:21" x14ac:dyDescent="0.25">
      <c r="P203" s="769"/>
      <c r="Q203" s="868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9"/>
      <c r="K204" s="216"/>
      <c r="L204" s="79"/>
      <c r="M204" s="216"/>
      <c r="N204" s="79"/>
      <c r="O204" s="216"/>
      <c r="P204" s="769"/>
      <c r="Q204" s="868"/>
      <c r="R204" s="484"/>
      <c r="S204" s="79"/>
      <c r="T204" s="877"/>
      <c r="U204" s="79"/>
    </row>
    <row r="205" spans="1:21" x14ac:dyDescent="0.25">
      <c r="P205" s="769"/>
      <c r="Q205" s="868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9"/>
      <c r="K206" s="629"/>
      <c r="L206" s="79"/>
      <c r="M206" s="629"/>
      <c r="N206" s="79"/>
      <c r="O206" s="629"/>
      <c r="P206" s="769"/>
      <c r="Q206" s="866"/>
      <c r="R206" s="484"/>
      <c r="S206" s="79"/>
      <c r="T206" s="877"/>
      <c r="U206" s="79"/>
    </row>
    <row r="207" spans="1:21" x14ac:dyDescent="0.25">
      <c r="P207" s="769"/>
      <c r="Q207" s="866"/>
    </row>
    <row r="208" spans="1:21" x14ac:dyDescent="0.25">
      <c r="P208" s="769"/>
      <c r="Q208" s="868"/>
    </row>
    <row r="209" spans="1:21" x14ac:dyDescent="0.25">
      <c r="P209" s="769"/>
      <c r="Q209" s="866"/>
    </row>
    <row r="210" spans="1:21" x14ac:dyDescent="0.25">
      <c r="P210" s="769"/>
      <c r="Q210" s="866"/>
    </row>
    <row r="211" spans="1:21" x14ac:dyDescent="0.25">
      <c r="P211" s="769"/>
      <c r="Q211" s="868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9"/>
      <c r="K212" s="216"/>
      <c r="L212" s="79"/>
      <c r="M212" s="216"/>
      <c r="N212" s="79"/>
      <c r="O212" s="216"/>
      <c r="P212" s="769"/>
      <c r="Q212" s="86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216"/>
      <c r="L213" s="79"/>
      <c r="M213" s="216"/>
      <c r="N213" s="79"/>
      <c r="O213" s="216"/>
      <c r="P213" s="769"/>
      <c r="Q213" s="86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216"/>
      <c r="L214" s="79"/>
      <c r="M214" s="216"/>
      <c r="N214" s="79"/>
      <c r="O214" s="216"/>
      <c r="P214" s="769"/>
      <c r="Q214" s="86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216"/>
      <c r="L215" s="79"/>
      <c r="M215" s="216"/>
      <c r="N215" s="79"/>
      <c r="O215" s="216"/>
      <c r="P215" s="769"/>
      <c r="Q215" s="86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216"/>
      <c r="L216" s="79"/>
      <c r="M216" s="216"/>
      <c r="N216" s="79"/>
      <c r="O216" s="216"/>
      <c r="P216" s="223"/>
      <c r="Q216" s="629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216"/>
      <c r="L217" s="79"/>
      <c r="M217" s="216"/>
      <c r="N217" s="79"/>
      <c r="O217" s="216"/>
      <c r="P217" s="756"/>
      <c r="Q217" s="75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216"/>
      <c r="L218" s="79"/>
      <c r="M218" s="216"/>
      <c r="N218" s="79"/>
      <c r="O218" s="216"/>
      <c r="P218" s="79"/>
      <c r="Q218" s="79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9"/>
      <c r="K219" s="216"/>
      <c r="L219" s="79"/>
      <c r="M219" s="216"/>
      <c r="N219" s="79"/>
      <c r="O219" s="216"/>
      <c r="P219" s="79"/>
      <c r="Q219" s="79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216"/>
      <c r="L220" s="79"/>
      <c r="M220" s="216"/>
      <c r="N220" s="79"/>
      <c r="O220" s="216"/>
      <c r="P220" s="79"/>
      <c r="Q220" s="79"/>
      <c r="R220" s="484"/>
      <c r="S220" s="79"/>
      <c r="T220" s="877"/>
      <c r="U220" s="79"/>
    </row>
    <row r="222" spans="1:21" x14ac:dyDescent="0.25">
      <c r="P222" s="85"/>
      <c r="Q222" s="85"/>
    </row>
    <row r="229" spans="1:42" x14ac:dyDescent="0.25">
      <c r="P229" s="85"/>
      <c r="Q229" s="85"/>
    </row>
    <row r="233" spans="1:42" s="484" customFormat="1" x14ac:dyDescent="0.25">
      <c r="A233" s="79"/>
      <c r="B233" s="79"/>
      <c r="C233" s="85"/>
      <c r="D233" s="85"/>
      <c r="E233" s="85"/>
      <c r="F233" s="8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S233" s="79"/>
      <c r="T233" s="877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</row>
    <row r="234" spans="1:42" s="484" customFormat="1" x14ac:dyDescent="0.25">
      <c r="A234" s="79"/>
      <c r="B234" s="79"/>
      <c r="C234" s="85"/>
      <c r="D234" s="85"/>
      <c r="E234" s="85"/>
      <c r="F234" s="8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S234" s="79"/>
      <c r="T234" s="877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</row>
    <row r="235" spans="1:42" s="484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S235" s="79"/>
      <c r="T235" s="877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</row>
    <row r="236" spans="1:42" s="484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9"/>
      <c r="K236" s="79"/>
      <c r="L236" s="79"/>
      <c r="M236" s="79"/>
      <c r="N236" s="79"/>
      <c r="O236" s="79"/>
      <c r="P236" s="771"/>
      <c r="Q236" s="518"/>
      <c r="S236" s="79"/>
      <c r="T236" s="877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</row>
    <row r="237" spans="1:42" s="484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S237" s="79"/>
      <c r="T237" s="877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</row>
    <row r="244" spans="1:42" s="484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216"/>
      <c r="S244" s="79"/>
      <c r="T244" s="87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</row>
    <row r="245" spans="1:42" s="484" customFormat="1" x14ac:dyDescent="0.25">
      <c r="A245" s="79"/>
      <c r="B245" s="79"/>
      <c r="C245" s="85"/>
      <c r="D245" s="85"/>
      <c r="E245" s="85"/>
      <c r="F245" s="8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216"/>
      <c r="S245" s="79"/>
      <c r="T245" s="87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</row>
    <row r="246" spans="1:42" s="484" customFormat="1" x14ac:dyDescent="0.25">
      <c r="A246" s="79"/>
      <c r="B246" s="79"/>
      <c r="C246" s="85"/>
      <c r="D246" s="85"/>
      <c r="E246" s="85"/>
      <c r="F246" s="8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216"/>
      <c r="S246" s="79"/>
      <c r="T246" s="87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</row>
    <row r="247" spans="1:42" s="484" customFormat="1" x14ac:dyDescent="0.25">
      <c r="A247" s="79"/>
      <c r="B247" s="79"/>
      <c r="C247" s="85"/>
      <c r="D247" s="85"/>
      <c r="E247" s="85"/>
      <c r="F247" s="8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216"/>
      <c r="S247" s="79"/>
      <c r="T247" s="87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</row>
    <row r="249" spans="1:42" s="484" customFormat="1" x14ac:dyDescent="0.25">
      <c r="A249" s="79"/>
      <c r="B249" s="79"/>
      <c r="C249" s="85"/>
      <c r="D249" s="85"/>
      <c r="E249" s="85"/>
      <c r="F249" s="8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216"/>
      <c r="S249" s="79"/>
      <c r="T249" s="87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</row>
    <row r="251" spans="1:42" s="484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629"/>
      <c r="S251" s="79"/>
      <c r="T251" s="877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</row>
    <row r="257" spans="1:42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216"/>
      <c r="S257" s="79"/>
      <c r="T257" s="87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</row>
    <row r="258" spans="1:42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216"/>
      <c r="S258" s="79"/>
      <c r="T258" s="87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</row>
    <row r="259" spans="1:42" s="484" customFormat="1" x14ac:dyDescent="0.25">
      <c r="A259" s="79"/>
      <c r="B259" s="79"/>
      <c r="C259" s="85"/>
      <c r="D259" s="85"/>
      <c r="E259" s="85"/>
      <c r="F259" s="8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216"/>
      <c r="S259" s="79"/>
      <c r="T259" s="87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</row>
    <row r="260" spans="1:42" s="484" customFormat="1" x14ac:dyDescent="0.25">
      <c r="A260" s="79"/>
      <c r="B260" s="79"/>
      <c r="C260" s="85"/>
      <c r="D260" s="85"/>
      <c r="E260" s="85"/>
      <c r="F260" s="8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216"/>
      <c r="S260" s="79"/>
      <c r="T260" s="87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</row>
    <row r="261" spans="1:42" s="484" customFormat="1" x14ac:dyDescent="0.25">
      <c r="A261" s="79"/>
      <c r="B261" s="79"/>
      <c r="C261" s="85"/>
      <c r="D261" s="85"/>
      <c r="E261" s="85"/>
      <c r="F261" s="8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216"/>
      <c r="S261" s="79"/>
      <c r="T261" s="87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</row>
    <row r="262" spans="1:42" s="484" customFormat="1" x14ac:dyDescent="0.25">
      <c r="A262" s="79"/>
      <c r="B262" s="79"/>
      <c r="C262" s="85"/>
      <c r="D262" s="85"/>
      <c r="E262" s="85"/>
      <c r="F262" s="8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216"/>
      <c r="S262" s="79"/>
      <c r="T262" s="87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</row>
    <row r="263" spans="1:42" s="484" customFormat="1" x14ac:dyDescent="0.25">
      <c r="A263" s="79"/>
      <c r="B263" s="79"/>
      <c r="C263" s="85"/>
      <c r="D263" s="85"/>
      <c r="E263" s="85"/>
      <c r="F263" s="8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216"/>
      <c r="S263" s="79"/>
      <c r="T263" s="877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</row>
    <row r="264" spans="1:42" s="484" customFormat="1" x14ac:dyDescent="0.25">
      <c r="A264" s="79"/>
      <c r="B264" s="79"/>
      <c r="C264" s="85"/>
      <c r="D264" s="85"/>
      <c r="E264" s="85"/>
      <c r="F264" s="8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216"/>
      <c r="S264" s="79"/>
      <c r="T264" s="87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</row>
    <row r="265" spans="1:42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216"/>
      <c r="S265" s="79"/>
      <c r="T265" s="877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</row>
  </sheetData>
  <autoFilter ref="A2:I130" xr:uid="{00000000-0009-0000-0000-00008D000000}"/>
  <mergeCells count="17">
    <mergeCell ref="B133:D133"/>
    <mergeCell ref="L2:M3"/>
    <mergeCell ref="N2:O3"/>
    <mergeCell ref="P2:Q3"/>
    <mergeCell ref="A111:E111"/>
    <mergeCell ref="A112:E112"/>
    <mergeCell ref="C132:D132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115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5B613-86D2-42F4-9CEF-8E5853547F2B}">
  <sheetPr codeName="Planilha16" filterMode="1"/>
  <dimension ref="A1:AR300"/>
  <sheetViews>
    <sheetView zoomScale="85" zoomScaleNormal="85" workbookViewId="0">
      <pane ySplit="5" topLeftCell="A6" activePane="bottomLeft" state="frozen"/>
      <selection pane="bottomLeft" activeCell="F65" sqref="F65:F17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6353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9" t="s">
        <v>2</v>
      </c>
      <c r="B2" s="3089" t="s">
        <v>3</v>
      </c>
      <c r="C2" s="3089" t="s">
        <v>4</v>
      </c>
      <c r="D2" s="3089" t="s">
        <v>1484</v>
      </c>
      <c r="E2" s="3089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1637</v>
      </c>
      <c r="O2" s="3086"/>
      <c r="P2" s="3085" t="s">
        <v>6263</v>
      </c>
      <c r="Q2" s="3086"/>
      <c r="R2" s="3085" t="s">
        <v>3306</v>
      </c>
      <c r="S2" s="3086"/>
    </row>
    <row r="3" spans="1:44" ht="13.5" hidden="1" customHeight="1" thickBot="1" x14ac:dyDescent="0.3">
      <c r="A3" s="3090"/>
      <c r="B3" s="3090"/>
      <c r="C3" s="3090"/>
      <c r="D3" s="3090"/>
      <c r="E3" s="3090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hidden="1" customHeight="1" thickBot="1" x14ac:dyDescent="0.3">
      <c r="A4" s="3091"/>
      <c r="B4" s="3091"/>
      <c r="C4" s="3091"/>
      <c r="D4" s="3091"/>
      <c r="E4" s="3091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hidden="1" x14ac:dyDescent="0.25">
      <c r="A5" s="281">
        <v>45352</v>
      </c>
      <c r="B5" s="369" t="s">
        <v>10</v>
      </c>
      <c r="C5" s="370"/>
      <c r="D5" s="370"/>
      <c r="E5" s="777"/>
      <c r="F5" s="179"/>
      <c r="G5" s="933">
        <f>'Fevereiro-24'!G112</f>
        <v>575.03325000003679</v>
      </c>
      <c r="H5" s="163"/>
      <c r="I5" s="1479">
        <f>'Fevereiro-24'!I112</f>
        <v>1299.9959999999992</v>
      </c>
      <c r="J5" s="179"/>
      <c r="K5" s="933">
        <v>0</v>
      </c>
      <c r="L5" s="179"/>
      <c r="M5" s="933">
        <f>'Fevereiro-24'!K112</f>
        <v>26844.530000000002</v>
      </c>
      <c r="N5" s="179"/>
      <c r="O5" s="933">
        <f>'Fevereiro-24'!M112</f>
        <v>5075.9600000000019</v>
      </c>
      <c r="P5" s="179"/>
      <c r="Q5" s="1479">
        <f>'Fevereiro-24'!O112</f>
        <v>373.52000000000021</v>
      </c>
      <c r="R5" s="179"/>
      <c r="S5" s="933">
        <f>'Fevereiro-24'!Q112</f>
        <v>51555.035984720009</v>
      </c>
    </row>
    <row r="6" spans="1:44" s="224" customFormat="1" hidden="1" x14ac:dyDescent="0.25">
      <c r="A6" s="247">
        <v>45352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hidden="1" customHeight="1" x14ac:dyDescent="0.25">
      <c r="A7" s="247">
        <v>45352</v>
      </c>
      <c r="B7" s="349" t="s">
        <v>3130</v>
      </c>
      <c r="C7" s="350" t="s">
        <v>12</v>
      </c>
      <c r="D7" s="350" t="s">
        <v>1506</v>
      </c>
      <c r="E7" s="480" t="s">
        <v>13</v>
      </c>
      <c r="F7" s="780">
        <v>26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  <c r="V7" s="927"/>
      <c r="W7" s="999"/>
    </row>
    <row r="8" spans="1:44" s="224" customFormat="1" ht="15" hidden="1" customHeight="1" x14ac:dyDescent="0.25">
      <c r="A8" s="247">
        <v>45352</v>
      </c>
      <c r="B8" s="882" t="s">
        <v>6171</v>
      </c>
      <c r="C8" s="879" t="s">
        <v>12</v>
      </c>
      <c r="D8" s="879" t="s">
        <v>1523</v>
      </c>
      <c r="E8" s="875" t="s">
        <v>13</v>
      </c>
      <c r="F8" s="780">
        <v>35</v>
      </c>
      <c r="G8" s="982"/>
      <c r="H8" s="622"/>
      <c r="I8" s="982"/>
      <c r="J8" s="622"/>
      <c r="K8" s="982"/>
      <c r="L8" s="622"/>
      <c r="M8" s="982"/>
      <c r="N8" s="622"/>
      <c r="O8" s="982"/>
      <c r="P8" s="622"/>
      <c r="Q8" s="1063"/>
      <c r="R8" s="880"/>
      <c r="S8" s="1033"/>
      <c r="T8" s="927"/>
      <c r="V8" s="878"/>
    </row>
    <row r="9" spans="1:44" s="224" customFormat="1" ht="15" hidden="1" customHeight="1" x14ac:dyDescent="0.25">
      <c r="A9" s="247">
        <v>45352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22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1063"/>
      <c r="R9" s="1110"/>
      <c r="S9" s="1208"/>
      <c r="T9" s="1028"/>
      <c r="W9" s="958"/>
    </row>
    <row r="10" spans="1:44" s="224" customFormat="1" hidden="1" x14ac:dyDescent="0.25">
      <c r="A10" s="247">
        <v>45352</v>
      </c>
      <c r="B10" s="882" t="s">
        <v>443</v>
      </c>
      <c r="C10" s="879" t="s">
        <v>12</v>
      </c>
      <c r="D10" s="879" t="s">
        <v>1493</v>
      </c>
      <c r="E10" s="875" t="s">
        <v>13</v>
      </c>
      <c r="F10" s="1279">
        <v>19.88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  <c r="V10" s="878"/>
    </row>
    <row r="11" spans="1:44" s="224" customFormat="1" hidden="1" x14ac:dyDescent="0.25">
      <c r="A11" s="247">
        <v>45353</v>
      </c>
      <c r="B11" s="349" t="s">
        <v>14</v>
      </c>
      <c r="C11" s="350" t="s">
        <v>12</v>
      </c>
      <c r="D11" s="350" t="s">
        <v>1486</v>
      </c>
      <c r="E11" s="480" t="s">
        <v>13</v>
      </c>
      <c r="F11" s="1279">
        <v>5.94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  <c r="V11" s="878"/>
    </row>
    <row r="12" spans="1:44" s="224" customFormat="1" hidden="1" x14ac:dyDescent="0.25">
      <c r="A12" s="247">
        <v>45353</v>
      </c>
      <c r="B12" s="349" t="s">
        <v>82</v>
      </c>
      <c r="C12" s="350" t="s">
        <v>12</v>
      </c>
      <c r="D12" s="350" t="s">
        <v>1493</v>
      </c>
      <c r="E12" s="480" t="s">
        <v>13</v>
      </c>
      <c r="F12" s="1279">
        <v>29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622"/>
      <c r="Q12" s="1063"/>
      <c r="R12" s="622"/>
      <c r="S12" s="982"/>
      <c r="T12" s="861"/>
      <c r="V12" s="878"/>
    </row>
    <row r="13" spans="1:44" s="224" customFormat="1" hidden="1" x14ac:dyDescent="0.25">
      <c r="A13" s="247">
        <v>45354</v>
      </c>
      <c r="B13" s="349" t="s">
        <v>14</v>
      </c>
      <c r="C13" s="350" t="s">
        <v>12</v>
      </c>
      <c r="D13" s="350" t="s">
        <v>1486</v>
      </c>
      <c r="E13" s="480" t="s">
        <v>13</v>
      </c>
      <c r="F13" s="1279">
        <v>8.35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  <c r="V13" s="878"/>
    </row>
    <row r="14" spans="1:44" s="224" customFormat="1" ht="15" hidden="1" customHeight="1" x14ac:dyDescent="0.25">
      <c r="A14" s="247">
        <v>45354</v>
      </c>
      <c r="B14" s="882" t="s">
        <v>81</v>
      </c>
      <c r="C14" s="879" t="s">
        <v>12</v>
      </c>
      <c r="D14" s="879" t="s">
        <v>1493</v>
      </c>
      <c r="E14" s="871" t="s">
        <v>13</v>
      </c>
      <c r="F14" s="613">
        <v>20.5</v>
      </c>
      <c r="G14" s="967"/>
      <c r="H14" s="1008"/>
      <c r="I14" s="1063"/>
      <c r="J14" s="2013"/>
      <c r="K14" s="1207"/>
      <c r="L14" s="2013"/>
      <c r="M14" s="1207"/>
      <c r="N14" s="880"/>
      <c r="O14" s="1033"/>
      <c r="P14" s="880"/>
      <c r="Q14" s="1525"/>
      <c r="R14" s="613"/>
      <c r="S14" s="162"/>
      <c r="T14" s="1956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s="224" customFormat="1" ht="15" hidden="1" customHeight="1" x14ac:dyDescent="0.25">
      <c r="A15" s="247">
        <v>45354</v>
      </c>
      <c r="B15" s="882" t="s">
        <v>1906</v>
      </c>
      <c r="C15" s="879" t="s">
        <v>12</v>
      </c>
      <c r="D15" s="879" t="s">
        <v>1493</v>
      </c>
      <c r="E15" s="871" t="s">
        <v>13</v>
      </c>
      <c r="F15" s="613">
        <v>25</v>
      </c>
      <c r="G15" s="967"/>
      <c r="H15" s="1008"/>
      <c r="I15" s="1063"/>
      <c r="J15" s="2013"/>
      <c r="K15" s="1207"/>
      <c r="L15" s="2013"/>
      <c r="M15" s="1207"/>
      <c r="N15" s="880"/>
      <c r="O15" s="1033"/>
      <c r="P15" s="880"/>
      <c r="Q15" s="1525"/>
      <c r="R15" s="613"/>
      <c r="S15" s="162"/>
      <c r="T15" s="1956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s="224" customFormat="1" ht="15" hidden="1" customHeight="1" x14ac:dyDescent="0.25">
      <c r="A16" s="247">
        <v>45355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22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1063"/>
      <c r="R16" s="1110"/>
      <c r="S16" s="1208"/>
      <c r="T16" s="1028"/>
      <c r="W16" s="958"/>
    </row>
    <row r="17" spans="1:44" s="224" customFormat="1" ht="15" hidden="1" customHeight="1" x14ac:dyDescent="0.25">
      <c r="A17" s="247">
        <v>45355</v>
      </c>
      <c r="B17" s="882" t="s">
        <v>539</v>
      </c>
      <c r="C17" s="879" t="s">
        <v>12</v>
      </c>
      <c r="D17" s="879" t="s">
        <v>1506</v>
      </c>
      <c r="E17" s="871" t="s">
        <v>13</v>
      </c>
      <c r="F17" s="613">
        <v>9.9</v>
      </c>
      <c r="G17" s="967"/>
      <c r="H17" s="1008"/>
      <c r="I17" s="1063"/>
      <c r="J17" s="2013"/>
      <c r="K17" s="1207"/>
      <c r="L17" s="2013"/>
      <c r="M17" s="1207"/>
      <c r="N17" s="880"/>
      <c r="O17" s="1033"/>
      <c r="P17" s="880"/>
      <c r="Q17" s="1525"/>
      <c r="R17" s="613"/>
      <c r="S17" s="162"/>
      <c r="T17" s="1956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s="224" customFormat="1" ht="15" hidden="1" customHeight="1" x14ac:dyDescent="0.25">
      <c r="A18" s="247">
        <v>45355</v>
      </c>
      <c r="B18" s="882" t="s">
        <v>6173</v>
      </c>
      <c r="C18" s="879" t="s">
        <v>12</v>
      </c>
      <c r="D18" s="879" t="s">
        <v>1525</v>
      </c>
      <c r="E18" s="875" t="s">
        <v>13</v>
      </c>
      <c r="F18" s="780">
        <v>15</v>
      </c>
      <c r="G18" s="946"/>
      <c r="H18" s="95"/>
      <c r="I18" s="1064"/>
      <c r="J18" s="622"/>
      <c r="K18" s="982"/>
      <c r="L18" s="622"/>
      <c r="M18" s="982"/>
      <c r="N18" s="622"/>
      <c r="O18" s="982"/>
      <c r="P18" s="622"/>
      <c r="Q18" s="1063"/>
      <c r="R18" s="613"/>
      <c r="S18" s="64"/>
      <c r="T18" s="1028"/>
      <c r="W18" s="958"/>
    </row>
    <row r="19" spans="1:44" s="224" customFormat="1" ht="15" hidden="1" customHeight="1" x14ac:dyDescent="0.25">
      <c r="A19" s="247">
        <v>45355</v>
      </c>
      <c r="B19" s="882" t="s">
        <v>6174</v>
      </c>
      <c r="C19" s="879" t="s">
        <v>12</v>
      </c>
      <c r="D19" s="879" t="s">
        <v>1525</v>
      </c>
      <c r="E19" s="875" t="s">
        <v>13</v>
      </c>
      <c r="F19" s="780">
        <v>20</v>
      </c>
      <c r="G19" s="946"/>
      <c r="H19" s="95"/>
      <c r="I19" s="1519"/>
      <c r="J19" s="880"/>
      <c r="K19" s="1033"/>
      <c r="L19" s="880"/>
      <c r="M19" s="1033"/>
      <c r="N19" s="880"/>
      <c r="O19" s="1033"/>
      <c r="P19" s="880"/>
      <c r="Q19" s="1525"/>
      <c r="R19" s="1110"/>
      <c r="S19" s="1208"/>
      <c r="T19" s="1028"/>
      <c r="W19" s="958"/>
    </row>
    <row r="20" spans="1:44" s="224" customFormat="1" ht="15" hidden="1" customHeight="1" x14ac:dyDescent="0.25">
      <c r="A20" s="247">
        <v>45355</v>
      </c>
      <c r="B20" s="882" t="s">
        <v>3958</v>
      </c>
      <c r="C20" s="1276" t="s">
        <v>12</v>
      </c>
      <c r="D20" s="879" t="s">
        <v>1489</v>
      </c>
      <c r="E20" s="871" t="s">
        <v>13</v>
      </c>
      <c r="F20" s="780">
        <v>23</v>
      </c>
      <c r="G20" s="967"/>
      <c r="H20" s="1008"/>
      <c r="I20" s="1063"/>
      <c r="J20" s="2013"/>
      <c r="K20" s="1207"/>
      <c r="L20" s="2013"/>
      <c r="M20" s="1207"/>
      <c r="N20" s="880"/>
      <c r="O20" s="1033"/>
      <c r="P20" s="880"/>
      <c r="Q20" s="1525"/>
      <c r="R20" s="613"/>
      <c r="S20" s="162"/>
      <c r="T20" s="1956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s="224" customFormat="1" ht="15" hidden="1" customHeight="1" x14ac:dyDescent="0.25">
      <c r="A21" s="247">
        <v>45356</v>
      </c>
      <c r="B21" s="1275" t="s">
        <v>6194</v>
      </c>
      <c r="C21" s="1276" t="s">
        <v>12</v>
      </c>
      <c r="D21" s="1276" t="s">
        <v>1489</v>
      </c>
      <c r="E21" s="1286" t="s">
        <v>13</v>
      </c>
      <c r="F21" s="613">
        <v>116.69</v>
      </c>
      <c r="G21" s="967"/>
      <c r="H21" s="1008"/>
      <c r="I21" s="1063"/>
      <c r="J21" s="613"/>
      <c r="K21" s="6"/>
      <c r="L21" s="613"/>
      <c r="M21" s="6"/>
      <c r="N21" s="622"/>
      <c r="O21" s="982"/>
      <c r="P21" s="622"/>
      <c r="Q21" s="1063"/>
      <c r="R21" s="613"/>
      <c r="S21" s="64"/>
      <c r="T21" s="1209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hidden="1" customHeight="1" x14ac:dyDescent="0.25">
      <c r="A22" s="247">
        <v>45356</v>
      </c>
      <c r="B22" s="1275" t="s">
        <v>1331</v>
      </c>
      <c r="C22" s="879" t="s">
        <v>12</v>
      </c>
      <c r="D22" s="1276" t="s">
        <v>2157</v>
      </c>
      <c r="E22" s="875" t="s">
        <v>13</v>
      </c>
      <c r="F22" s="613">
        <v>60</v>
      </c>
      <c r="G22" s="946"/>
      <c r="H22" s="95"/>
      <c r="I22" s="1064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861"/>
      <c r="V22" s="927"/>
      <c r="W22" s="999"/>
    </row>
    <row r="23" spans="1:44" s="224" customFormat="1" ht="15" hidden="1" customHeight="1" x14ac:dyDescent="0.25">
      <c r="A23" s="247">
        <v>45356</v>
      </c>
      <c r="B23" s="882" t="s">
        <v>6169</v>
      </c>
      <c r="C23" s="879" t="s">
        <v>12</v>
      </c>
      <c r="D23" s="879" t="s">
        <v>1485</v>
      </c>
      <c r="E23" s="875" t="s">
        <v>13</v>
      </c>
      <c r="F23" s="613">
        <v>11.4</v>
      </c>
      <c r="G23" s="967"/>
      <c r="H23" s="1008"/>
      <c r="I23" s="1063"/>
      <c r="J23" s="2013"/>
      <c r="K23" s="1207"/>
      <c r="L23" s="2013"/>
      <c r="M23" s="1207"/>
      <c r="N23" s="880"/>
      <c r="O23" s="1033"/>
      <c r="P23" s="880"/>
      <c r="Q23" s="1525"/>
      <c r="R23" s="613"/>
      <c r="S23" s="162"/>
      <c r="T23" s="1956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hidden="1" x14ac:dyDescent="0.25">
      <c r="A24" s="247">
        <v>45356</v>
      </c>
      <c r="B24" s="349" t="s">
        <v>14</v>
      </c>
      <c r="C24" s="350" t="s">
        <v>12</v>
      </c>
      <c r="D24" s="350" t="s">
        <v>1486</v>
      </c>
      <c r="E24" s="480" t="s">
        <v>13</v>
      </c>
      <c r="F24" s="1279">
        <v>15.25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861"/>
      <c r="V24" s="878"/>
    </row>
    <row r="25" spans="1:44" s="224" customFormat="1" ht="15" hidden="1" customHeight="1" x14ac:dyDescent="0.25">
      <c r="A25" s="247">
        <v>45356</v>
      </c>
      <c r="B25" s="882" t="s">
        <v>6161</v>
      </c>
      <c r="C25" s="879" t="s">
        <v>12</v>
      </c>
      <c r="D25" s="879"/>
      <c r="E25" s="875"/>
      <c r="F25" s="613"/>
      <c r="G25" s="967">
        <v>110.51</v>
      </c>
      <c r="H25" s="1008"/>
      <c r="I25" s="1063"/>
      <c r="J25" s="2013"/>
      <c r="K25" s="1207"/>
      <c r="L25" s="2013"/>
      <c r="M25" s="1207"/>
      <c r="N25" s="880"/>
      <c r="O25" s="1033"/>
      <c r="P25" s="880">
        <v>110.51</v>
      </c>
      <c r="Q25" s="1525"/>
      <c r="R25" s="613"/>
      <c r="S25" s="162"/>
      <c r="T25" s="1956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s="224" customFormat="1" ht="15.75" hidden="1" customHeight="1" x14ac:dyDescent="0.25">
      <c r="A26" s="247">
        <v>45357</v>
      </c>
      <c r="B26" s="873" t="s">
        <v>6131</v>
      </c>
      <c r="C26" s="879" t="s">
        <v>12</v>
      </c>
      <c r="D26" s="874"/>
      <c r="E26" s="887" t="s">
        <v>25</v>
      </c>
      <c r="F26" s="1524"/>
      <c r="G26" s="1002">
        <v>2286.12</v>
      </c>
      <c r="H26" s="538"/>
      <c r="I26" s="982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78"/>
    </row>
    <row r="27" spans="1:44" s="224" customFormat="1" ht="15" hidden="1" customHeight="1" x14ac:dyDescent="0.25">
      <c r="A27" s="247">
        <v>45357</v>
      </c>
      <c r="B27" s="364" t="s">
        <v>6132</v>
      </c>
      <c r="C27" s="879" t="s">
        <v>12</v>
      </c>
      <c r="D27" s="879"/>
      <c r="E27" s="983" t="s">
        <v>25</v>
      </c>
      <c r="F27" s="780"/>
      <c r="G27" s="982"/>
      <c r="H27" s="622"/>
      <c r="I27" s="982"/>
      <c r="J27" s="622"/>
      <c r="K27" s="982"/>
      <c r="L27" s="622"/>
      <c r="M27" s="982"/>
      <c r="N27" s="622"/>
      <c r="O27" s="982"/>
      <c r="P27" s="622"/>
      <c r="Q27" s="1063"/>
      <c r="R27" s="622"/>
      <c r="S27" s="982">
        <v>420</v>
      </c>
      <c r="T27" s="927"/>
      <c r="U27" s="927"/>
      <c r="V27" s="878"/>
    </row>
    <row r="28" spans="1:44" s="224" customFormat="1" ht="15" hidden="1" customHeight="1" x14ac:dyDescent="0.25">
      <c r="A28" s="247">
        <v>45357</v>
      </c>
      <c r="B28" s="364" t="s">
        <v>3354</v>
      </c>
      <c r="C28" s="350" t="s">
        <v>12</v>
      </c>
      <c r="D28" s="350"/>
      <c r="E28" s="145" t="s">
        <v>25</v>
      </c>
      <c r="F28" s="613"/>
      <c r="G28" s="967"/>
      <c r="H28" s="1008"/>
      <c r="I28" s="1063"/>
      <c r="J28" s="1116"/>
      <c r="K28" s="1207"/>
      <c r="L28" s="1116"/>
      <c r="M28" s="1207"/>
      <c r="N28" s="880"/>
      <c r="O28" s="1033"/>
      <c r="P28" s="880"/>
      <c r="Q28" s="1525"/>
      <c r="R28" s="613"/>
      <c r="S28" s="162">
        <v>131.19999999999999</v>
      </c>
      <c r="T28" s="201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s="224" customFormat="1" ht="15" hidden="1" customHeight="1" x14ac:dyDescent="0.25">
      <c r="A29" s="247">
        <v>45357</v>
      </c>
      <c r="B29" s="364" t="s">
        <v>1396</v>
      </c>
      <c r="C29" s="879" t="s">
        <v>12</v>
      </c>
      <c r="D29" s="350"/>
      <c r="E29" s="919" t="s">
        <v>25</v>
      </c>
      <c r="F29" s="1116"/>
      <c r="G29" s="966">
        <v>150</v>
      </c>
      <c r="H29" s="1031"/>
      <c r="I29" s="1525"/>
      <c r="J29" s="1116"/>
      <c r="K29" s="1207"/>
      <c r="L29" s="1116"/>
      <c r="M29" s="1207"/>
      <c r="N29" s="880"/>
      <c r="O29" s="1033"/>
      <c r="P29" s="622"/>
      <c r="Q29" s="1063"/>
      <c r="R29" s="1116"/>
      <c r="S29" s="1207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s="224" customFormat="1" ht="15" hidden="1" customHeight="1" x14ac:dyDescent="0.25">
      <c r="A30" s="247">
        <v>45357</v>
      </c>
      <c r="B30" s="862" t="s">
        <v>3422</v>
      </c>
      <c r="C30" s="879" t="s">
        <v>12</v>
      </c>
      <c r="D30" s="879" t="s">
        <v>1504</v>
      </c>
      <c r="E30" s="871" t="s">
        <v>13</v>
      </c>
      <c r="F30" s="780">
        <v>50</v>
      </c>
      <c r="G30" s="982"/>
      <c r="H30" s="1008"/>
      <c r="I30" s="1063"/>
      <c r="J30" s="622"/>
      <c r="K30" s="982"/>
      <c r="L30" s="622"/>
      <c r="M30" s="982"/>
      <c r="N30" s="622"/>
      <c r="O30" s="982"/>
      <c r="P30" s="622"/>
      <c r="Q30" s="1063"/>
      <c r="R30" s="622"/>
      <c r="S30" s="982"/>
      <c r="T30" s="178"/>
      <c r="U30" s="1028"/>
      <c r="V30" s="1035"/>
    </row>
    <row r="31" spans="1:44" s="224" customFormat="1" ht="15" hidden="1" customHeight="1" x14ac:dyDescent="0.25">
      <c r="A31" s="247">
        <v>45357</v>
      </c>
      <c r="B31" s="882" t="s">
        <v>6133</v>
      </c>
      <c r="C31" s="879" t="s">
        <v>12</v>
      </c>
      <c r="D31" s="879" t="s">
        <v>1499</v>
      </c>
      <c r="E31" s="871" t="s">
        <v>13</v>
      </c>
      <c r="F31" s="780">
        <v>80.2</v>
      </c>
      <c r="G31" s="982"/>
      <c r="H31" s="1008"/>
      <c r="I31" s="1063"/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1028">
        <v>190.2</v>
      </c>
      <c r="U31" s="999"/>
      <c r="V31" s="878"/>
    </row>
    <row r="32" spans="1:44" s="224" customFormat="1" ht="15" hidden="1" customHeight="1" x14ac:dyDescent="0.25">
      <c r="A32" s="247">
        <v>45357</v>
      </c>
      <c r="B32" s="364" t="s">
        <v>2977</v>
      </c>
      <c r="C32" s="879" t="s">
        <v>12</v>
      </c>
      <c r="D32" s="350" t="s">
        <v>1491</v>
      </c>
      <c r="E32" s="875" t="s">
        <v>13</v>
      </c>
      <c r="F32" s="780">
        <v>400</v>
      </c>
      <c r="G32" s="982"/>
      <c r="H32" s="1008"/>
      <c r="I32" s="1063"/>
      <c r="J32" s="622"/>
      <c r="K32" s="982"/>
      <c r="L32" s="622"/>
      <c r="M32" s="982"/>
      <c r="N32" s="622"/>
      <c r="O32" s="982"/>
      <c r="P32" s="622"/>
      <c r="Q32" s="1063"/>
      <c r="R32" s="622"/>
      <c r="S32" s="982"/>
      <c r="T32" s="1028"/>
      <c r="V32" s="1035"/>
    </row>
    <row r="33" spans="1:44" hidden="1" x14ac:dyDescent="0.25">
      <c r="A33" s="247">
        <v>45357</v>
      </c>
      <c r="B33" s="876" t="s">
        <v>3844</v>
      </c>
      <c r="C33" s="879" t="s">
        <v>12</v>
      </c>
      <c r="D33" s="879" t="s">
        <v>1496</v>
      </c>
      <c r="E33" s="871" t="s">
        <v>13</v>
      </c>
      <c r="F33" s="780">
        <v>90</v>
      </c>
      <c r="G33" s="982"/>
      <c r="H33" s="1009"/>
      <c r="I33" s="1063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029"/>
    </row>
    <row r="34" spans="1:44" s="224" customFormat="1" ht="15" hidden="1" customHeight="1" x14ac:dyDescent="0.25">
      <c r="A34" s="247">
        <v>45357</v>
      </c>
      <c r="B34" s="882" t="s">
        <v>6122</v>
      </c>
      <c r="C34" s="879" t="s">
        <v>12</v>
      </c>
      <c r="D34" s="879" t="s">
        <v>1489</v>
      </c>
      <c r="E34" s="871" t="s">
        <v>13</v>
      </c>
      <c r="F34" s="780">
        <v>216</v>
      </c>
      <c r="G34" s="982"/>
      <c r="H34" s="622"/>
      <c r="I34" s="982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1028">
        <v>216</v>
      </c>
      <c r="U34" s="959"/>
      <c r="V34" s="878"/>
      <c r="W34" s="958"/>
    </row>
    <row r="35" spans="1:44" s="224" customFormat="1" ht="15" hidden="1" customHeight="1" x14ac:dyDescent="0.25">
      <c r="A35" s="247">
        <v>45357</v>
      </c>
      <c r="B35" s="882" t="s">
        <v>32</v>
      </c>
      <c r="C35" s="879" t="s">
        <v>12</v>
      </c>
      <c r="D35" s="879" t="s">
        <v>1485</v>
      </c>
      <c r="E35" s="875" t="s">
        <v>13</v>
      </c>
      <c r="F35" s="780">
        <v>22</v>
      </c>
      <c r="G35" s="946"/>
      <c r="H35" s="95"/>
      <c r="I35" s="1064"/>
      <c r="J35" s="622"/>
      <c r="K35" s="982"/>
      <c r="L35" s="622"/>
      <c r="M35" s="982"/>
      <c r="N35" s="622"/>
      <c r="O35" s="982"/>
      <c r="P35" s="622"/>
      <c r="Q35" s="1063"/>
      <c r="R35" s="1110"/>
      <c r="S35" s="1208"/>
      <c r="T35" s="1028"/>
      <c r="W35" s="958"/>
    </row>
    <row r="36" spans="1:44" s="224" customFormat="1" ht="15" hidden="1" customHeight="1" x14ac:dyDescent="0.25">
      <c r="A36" s="247">
        <v>45357</v>
      </c>
      <c r="B36" s="882" t="s">
        <v>6207</v>
      </c>
      <c r="C36" s="879" t="s">
        <v>12</v>
      </c>
      <c r="D36" s="879"/>
      <c r="E36" s="875" t="s">
        <v>25</v>
      </c>
      <c r="F36" s="780"/>
      <c r="G36" s="982"/>
      <c r="H36" s="95"/>
      <c r="I36" s="1064"/>
      <c r="J36" s="622"/>
      <c r="K36" s="982">
        <v>14538</v>
      </c>
      <c r="L36" s="622"/>
      <c r="M36" s="982"/>
      <c r="N36" s="622"/>
      <c r="O36" s="982"/>
      <c r="P36" s="622"/>
      <c r="Q36" s="1063"/>
      <c r="R36" s="622">
        <f>K36</f>
        <v>14538</v>
      </c>
      <c r="S36" s="982"/>
      <c r="T36" s="861"/>
    </row>
    <row r="37" spans="1:44" s="224" customFormat="1" ht="15" hidden="1" customHeight="1" x14ac:dyDescent="0.25">
      <c r="A37" s="247">
        <v>45357</v>
      </c>
      <c r="B37" s="882" t="s">
        <v>6215</v>
      </c>
      <c r="C37" s="879" t="s">
        <v>12</v>
      </c>
      <c r="D37" s="879"/>
      <c r="E37" s="875"/>
      <c r="F37" s="780"/>
      <c r="G37" s="982"/>
      <c r="H37" s="95"/>
      <c r="I37" s="1064"/>
      <c r="J37" s="622"/>
      <c r="K37" s="982"/>
      <c r="L37" s="622"/>
      <c r="M37" s="982"/>
      <c r="N37" s="622"/>
      <c r="O37" s="982"/>
      <c r="P37" s="622"/>
      <c r="Q37" s="1063"/>
      <c r="R37" s="622">
        <v>9198.86</v>
      </c>
      <c r="S37" s="982"/>
      <c r="T37" s="861"/>
    </row>
    <row r="38" spans="1:44" s="224" customFormat="1" ht="15" hidden="1" customHeight="1" x14ac:dyDescent="0.25">
      <c r="A38" s="247">
        <v>45357</v>
      </c>
      <c r="B38" s="882" t="s">
        <v>6216</v>
      </c>
      <c r="C38" s="879" t="s">
        <v>12</v>
      </c>
      <c r="D38" s="879"/>
      <c r="E38" s="875"/>
      <c r="F38" s="780"/>
      <c r="G38" s="982"/>
      <c r="H38" s="95"/>
      <c r="I38" s="1064"/>
      <c r="J38" s="622"/>
      <c r="K38" s="982"/>
      <c r="L38" s="622"/>
      <c r="M38" s="982"/>
      <c r="N38" s="622"/>
      <c r="O38" s="982"/>
      <c r="P38" s="622"/>
      <c r="Q38" s="1063"/>
      <c r="R38" s="622">
        <v>461.12</v>
      </c>
      <c r="S38" s="982"/>
      <c r="T38" s="861"/>
    </row>
    <row r="39" spans="1:44" s="224" customFormat="1" ht="15" hidden="1" customHeight="1" x14ac:dyDescent="0.25">
      <c r="A39" s="247">
        <v>45357</v>
      </c>
      <c r="B39" s="882" t="s">
        <v>6208</v>
      </c>
      <c r="C39" s="879" t="s">
        <v>12</v>
      </c>
      <c r="D39" s="879"/>
      <c r="E39" s="875" t="s">
        <v>13</v>
      </c>
      <c r="F39" s="780">
        <v>500</v>
      </c>
      <c r="G39" s="982"/>
      <c r="H39" s="95"/>
      <c r="I39" s="1064"/>
      <c r="J39" s="622"/>
      <c r="K39" s="982">
        <v>500</v>
      </c>
      <c r="L39" s="622"/>
      <c r="M39" s="982"/>
      <c r="N39" s="622"/>
      <c r="O39" s="982"/>
      <c r="P39" s="622"/>
      <c r="Q39" s="1063"/>
      <c r="R39" s="622"/>
      <c r="S39" s="982"/>
      <c r="T39" s="861"/>
    </row>
    <row r="40" spans="1:44" s="224" customFormat="1" ht="15" hidden="1" customHeight="1" x14ac:dyDescent="0.25">
      <c r="A40" s="247">
        <v>45357</v>
      </c>
      <c r="B40" s="882" t="s">
        <v>6214</v>
      </c>
      <c r="C40" s="879" t="s">
        <v>12</v>
      </c>
      <c r="D40" s="879"/>
      <c r="E40" s="875" t="s">
        <v>13</v>
      </c>
      <c r="F40" s="780"/>
      <c r="G40" s="982"/>
      <c r="H40" s="95"/>
      <c r="I40" s="1064"/>
      <c r="J40" s="622"/>
      <c r="K40" s="982">
        <v>550</v>
      </c>
      <c r="L40" s="622"/>
      <c r="M40" s="982"/>
      <c r="N40" s="622"/>
      <c r="O40" s="982"/>
      <c r="P40" s="622"/>
      <c r="Q40" s="1063"/>
      <c r="R40" s="622"/>
      <c r="S40" s="982"/>
      <c r="T40" s="861"/>
    </row>
    <row r="41" spans="1:44" s="224" customFormat="1" ht="15" hidden="1" customHeight="1" x14ac:dyDescent="0.25">
      <c r="A41" s="247">
        <v>45358</v>
      </c>
      <c r="B41" s="882" t="s">
        <v>6164</v>
      </c>
      <c r="C41" s="879" t="s">
        <v>12</v>
      </c>
      <c r="D41" s="879"/>
      <c r="E41" s="875"/>
      <c r="F41" s="780">
        <v>200</v>
      </c>
      <c r="G41" s="982"/>
      <c r="H41" s="622"/>
      <c r="I41" s="982">
        <v>200</v>
      </c>
      <c r="J41" s="622"/>
      <c r="K41" s="982"/>
      <c r="L41" s="622"/>
      <c r="M41" s="982"/>
      <c r="N41" s="622"/>
      <c r="O41" s="1063"/>
      <c r="P41" s="622"/>
      <c r="Q41" s="982"/>
      <c r="R41" s="1114"/>
      <c r="S41" s="1115"/>
      <c r="T41" s="878"/>
    </row>
    <row r="42" spans="1:44" s="224" customFormat="1" ht="15" hidden="1" customHeight="1" x14ac:dyDescent="0.25">
      <c r="A42" s="247">
        <v>45358</v>
      </c>
      <c r="B42" s="882" t="s">
        <v>32</v>
      </c>
      <c r="C42" s="879" t="s">
        <v>12</v>
      </c>
      <c r="D42" s="879" t="s">
        <v>1485</v>
      </c>
      <c r="E42" s="875" t="s">
        <v>13</v>
      </c>
      <c r="F42" s="780">
        <v>22</v>
      </c>
      <c r="G42" s="982"/>
      <c r="H42" s="95"/>
      <c r="I42" s="1064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861"/>
    </row>
    <row r="43" spans="1:44" s="224" customFormat="1" ht="15" hidden="1" customHeight="1" x14ac:dyDescent="0.25">
      <c r="A43" s="247">
        <v>45358</v>
      </c>
      <c r="B43" s="1275" t="s">
        <v>1331</v>
      </c>
      <c r="C43" s="879" t="s">
        <v>12</v>
      </c>
      <c r="D43" s="1276" t="s">
        <v>2157</v>
      </c>
      <c r="E43" s="875" t="s">
        <v>13</v>
      </c>
      <c r="F43" s="613">
        <v>60</v>
      </c>
      <c r="G43" s="946"/>
      <c r="H43" s="95"/>
      <c r="I43" s="1064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861"/>
      <c r="V43" s="927"/>
      <c r="W43" s="999"/>
    </row>
    <row r="44" spans="1:44" s="224" customFormat="1" hidden="1" x14ac:dyDescent="0.25">
      <c r="A44" s="247">
        <v>45358</v>
      </c>
      <c r="B44" s="349" t="s">
        <v>1906</v>
      </c>
      <c r="C44" s="350" t="s">
        <v>12</v>
      </c>
      <c r="D44" s="350" t="s">
        <v>1493</v>
      </c>
      <c r="E44" s="480" t="s">
        <v>13</v>
      </c>
      <c r="F44" s="780">
        <v>8</v>
      </c>
      <c r="G44" s="982"/>
      <c r="H44" s="1008"/>
      <c r="I44" s="1063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861"/>
      <c r="V44" s="878"/>
    </row>
    <row r="45" spans="1:44" s="224" customFormat="1" ht="15" hidden="1" customHeight="1" x14ac:dyDescent="0.25">
      <c r="A45" s="247">
        <v>45359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780">
        <v>22</v>
      </c>
      <c r="G45" s="982"/>
      <c r="H45" s="95"/>
      <c r="I45" s="1064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861"/>
    </row>
    <row r="46" spans="1:44" s="224" customFormat="1" hidden="1" x14ac:dyDescent="0.25">
      <c r="A46" s="247">
        <v>45359</v>
      </c>
      <c r="B46" s="1275" t="s">
        <v>81</v>
      </c>
      <c r="C46" s="1276" t="s">
        <v>12</v>
      </c>
      <c r="D46" s="1276" t="s">
        <v>1493</v>
      </c>
      <c r="E46" s="1277" t="s">
        <v>13</v>
      </c>
      <c r="F46" s="1279">
        <v>8</v>
      </c>
      <c r="G46" s="982"/>
      <c r="H46" s="1008"/>
      <c r="I46" s="1063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861"/>
      <c r="V46" s="878"/>
    </row>
    <row r="47" spans="1:44" s="224" customFormat="1" ht="15" hidden="1" customHeight="1" x14ac:dyDescent="0.25">
      <c r="A47" s="247">
        <v>45359</v>
      </c>
      <c r="B47" s="1275" t="s">
        <v>6220</v>
      </c>
      <c r="C47" s="1276" t="s">
        <v>12</v>
      </c>
      <c r="D47" s="1276" t="s">
        <v>1489</v>
      </c>
      <c r="E47" s="1286" t="s">
        <v>13</v>
      </c>
      <c r="F47" s="613">
        <v>4.5</v>
      </c>
      <c r="G47" s="967"/>
      <c r="H47" s="1008"/>
      <c r="I47" s="1063"/>
      <c r="J47" s="613"/>
      <c r="K47" s="6"/>
      <c r="L47" s="613"/>
      <c r="M47" s="6"/>
      <c r="N47" s="622"/>
      <c r="O47" s="982"/>
      <c r="P47" s="622"/>
      <c r="Q47" s="1063"/>
      <c r="R47" s="613"/>
      <c r="S47" s="64"/>
      <c r="T47" s="1209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s="224" customFormat="1" hidden="1" x14ac:dyDescent="0.25">
      <c r="A48" s="247">
        <v>45360</v>
      </c>
      <c r="B48" s="349" t="s">
        <v>14</v>
      </c>
      <c r="C48" s="350" t="s">
        <v>12</v>
      </c>
      <c r="D48" s="350" t="s">
        <v>1486</v>
      </c>
      <c r="E48" s="480" t="s">
        <v>13</v>
      </c>
      <c r="F48" s="1279">
        <v>8.06</v>
      </c>
      <c r="G48" s="982"/>
      <c r="H48" s="1008"/>
      <c r="I48" s="1063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861"/>
      <c r="V48" s="878"/>
    </row>
    <row r="49" spans="1:44" s="224" customFormat="1" ht="15" hidden="1" customHeight="1" x14ac:dyDescent="0.25">
      <c r="A49" s="247">
        <v>45360</v>
      </c>
      <c r="B49" s="1289" t="s">
        <v>2096</v>
      </c>
      <c r="C49" s="879" t="s">
        <v>12</v>
      </c>
      <c r="D49" s="1276" t="s">
        <v>1506</v>
      </c>
      <c r="E49" s="875" t="s">
        <v>13</v>
      </c>
      <c r="F49" s="1279">
        <v>50</v>
      </c>
      <c r="G49" s="967"/>
      <c r="H49" s="1008"/>
      <c r="I49" s="1063"/>
      <c r="J49" s="613"/>
      <c r="K49" s="6"/>
      <c r="L49" s="613"/>
      <c r="M49" s="6"/>
      <c r="N49" s="622"/>
      <c r="O49" s="982"/>
      <c r="P49" s="622"/>
      <c r="Q49" s="1063"/>
      <c r="R49" s="613"/>
      <c r="S49" s="64"/>
      <c r="T49" s="120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ht="15" hidden="1" customHeight="1" x14ac:dyDescent="0.25">
      <c r="A50" s="247">
        <v>45360</v>
      </c>
      <c r="B50" s="882" t="s">
        <v>32</v>
      </c>
      <c r="C50" s="879" t="s">
        <v>12</v>
      </c>
      <c r="D50" s="879" t="s">
        <v>1485</v>
      </c>
      <c r="E50" s="875" t="s">
        <v>13</v>
      </c>
      <c r="F50" s="780">
        <v>20</v>
      </c>
      <c r="G50" s="982"/>
      <c r="H50" s="95"/>
      <c r="I50" s="1064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ht="15" hidden="1" customHeight="1" x14ac:dyDescent="0.25">
      <c r="A51" s="247">
        <v>45360</v>
      </c>
      <c r="B51" s="1275" t="s">
        <v>525</v>
      </c>
      <c r="C51" s="1276" t="s">
        <v>12</v>
      </c>
      <c r="D51" s="1276" t="s">
        <v>1493</v>
      </c>
      <c r="E51" s="1286" t="s">
        <v>13</v>
      </c>
      <c r="F51" s="613">
        <v>33</v>
      </c>
      <c r="G51" s="967"/>
      <c r="H51" s="1008"/>
      <c r="I51" s="1063"/>
      <c r="J51" s="613"/>
      <c r="K51" s="6"/>
      <c r="L51" s="613"/>
      <c r="M51" s="6"/>
      <c r="N51" s="622"/>
      <c r="O51" s="982"/>
      <c r="P51" s="622"/>
      <c r="Q51" s="1063"/>
      <c r="R51" s="613"/>
      <c r="S51" s="64"/>
      <c r="T51" s="1209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s="224" customFormat="1" ht="15" hidden="1" customHeight="1" x14ac:dyDescent="0.25">
      <c r="A52" s="247">
        <v>45361</v>
      </c>
      <c r="B52" s="1275" t="s">
        <v>1331</v>
      </c>
      <c r="C52" s="879" t="s">
        <v>12</v>
      </c>
      <c r="D52" s="1276" t="s">
        <v>2157</v>
      </c>
      <c r="E52" s="875" t="s">
        <v>13</v>
      </c>
      <c r="F52" s="613">
        <v>50</v>
      </c>
      <c r="G52" s="946"/>
      <c r="H52" s="95"/>
      <c r="I52" s="1064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  <c r="V52" s="927"/>
      <c r="W52" s="999"/>
    </row>
    <row r="53" spans="1:44" s="224" customFormat="1" hidden="1" x14ac:dyDescent="0.25">
      <c r="A53" s="247">
        <v>45361</v>
      </c>
      <c r="B53" s="349" t="s">
        <v>14</v>
      </c>
      <c r="C53" s="350" t="s">
        <v>12</v>
      </c>
      <c r="D53" s="350" t="s">
        <v>1486</v>
      </c>
      <c r="E53" s="480" t="s">
        <v>13</v>
      </c>
      <c r="F53" s="1279">
        <v>8.06</v>
      </c>
      <c r="G53" s="982"/>
      <c r="H53" s="1008"/>
      <c r="I53" s="1063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861"/>
      <c r="V53" s="878"/>
    </row>
    <row r="54" spans="1:44" s="224" customFormat="1" ht="15" hidden="1" customHeight="1" x14ac:dyDescent="0.25">
      <c r="A54" s="247">
        <v>45361</v>
      </c>
      <c r="B54" s="1275" t="s">
        <v>6221</v>
      </c>
      <c r="C54" s="1276" t="s">
        <v>12</v>
      </c>
      <c r="D54" s="1276" t="s">
        <v>1489</v>
      </c>
      <c r="E54" s="1286" t="s">
        <v>13</v>
      </c>
      <c r="F54" s="613">
        <v>4.5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927"/>
      <c r="U54" s="927"/>
      <c r="V54" s="878"/>
    </row>
    <row r="55" spans="1:44" s="224" customFormat="1" ht="15" hidden="1" customHeight="1" x14ac:dyDescent="0.25">
      <c r="A55" s="247">
        <v>45362</v>
      </c>
      <c r="B55" s="1275" t="s">
        <v>6231</v>
      </c>
      <c r="C55" s="1276" t="s">
        <v>12</v>
      </c>
      <c r="D55" s="1276" t="s">
        <v>1522</v>
      </c>
      <c r="E55" s="1286" t="s">
        <v>13</v>
      </c>
      <c r="F55" s="613">
        <v>29.97</v>
      </c>
      <c r="G55" s="967"/>
      <c r="H55" s="1008"/>
      <c r="I55" s="1063"/>
      <c r="J55" s="613"/>
      <c r="K55" s="6"/>
      <c r="L55" s="613"/>
      <c r="M55" s="6"/>
      <c r="N55" s="622"/>
      <c r="O55" s="982"/>
      <c r="P55" s="622"/>
      <c r="Q55" s="1063"/>
      <c r="R55" s="613"/>
      <c r="S55" s="64"/>
      <c r="T55" s="1209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</row>
    <row r="56" spans="1:44" s="224" customFormat="1" ht="15" hidden="1" customHeight="1" x14ac:dyDescent="0.25">
      <c r="A56" s="247">
        <v>45362</v>
      </c>
      <c r="B56" s="1275" t="s">
        <v>6232</v>
      </c>
      <c r="C56" s="1276" t="s">
        <v>12</v>
      </c>
      <c r="D56" s="1276" t="s">
        <v>1522</v>
      </c>
      <c r="E56" s="1286" t="s">
        <v>13</v>
      </c>
      <c r="F56" s="613">
        <v>121</v>
      </c>
      <c r="G56" s="967"/>
      <c r="H56" s="1008"/>
      <c r="I56" s="1063"/>
      <c r="J56" s="613"/>
      <c r="K56" s="6"/>
      <c r="L56" s="613"/>
      <c r="M56" s="6"/>
      <c r="N56" s="622"/>
      <c r="O56" s="982"/>
      <c r="P56" s="622"/>
      <c r="Q56" s="1063"/>
      <c r="R56" s="613"/>
      <c r="S56" s="64"/>
      <c r="T56" s="1209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hidden="1" customHeight="1" x14ac:dyDescent="0.25">
      <c r="A57" s="247">
        <v>45362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613">
        <v>18</v>
      </c>
      <c r="G57" s="967"/>
      <c r="H57" s="1008"/>
      <c r="I57" s="1063"/>
      <c r="J57" s="613"/>
      <c r="K57" s="6"/>
      <c r="L57" s="613"/>
      <c r="M57" s="6"/>
      <c r="N57" s="622"/>
      <c r="O57" s="982"/>
      <c r="P57" s="622"/>
      <c r="Q57" s="1063"/>
      <c r="R57" s="613"/>
      <c r="S57" s="64"/>
      <c r="T57" s="1209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 s="224" customFormat="1" ht="15" hidden="1" customHeight="1" x14ac:dyDescent="0.25">
      <c r="A58" s="247">
        <v>45362</v>
      </c>
      <c r="B58" s="1275" t="s">
        <v>6161</v>
      </c>
      <c r="C58" s="1276" t="s">
        <v>12</v>
      </c>
      <c r="D58" s="1276"/>
      <c r="E58" s="1286"/>
      <c r="F58" s="613"/>
      <c r="G58" s="967">
        <v>257.11</v>
      </c>
      <c r="H58" s="1008"/>
      <c r="I58" s="1063"/>
      <c r="J58" s="613"/>
      <c r="K58" s="6"/>
      <c r="L58" s="613"/>
      <c r="M58" s="6"/>
      <c r="N58" s="622"/>
      <c r="O58" s="982"/>
      <c r="P58" s="622">
        <v>263.01</v>
      </c>
      <c r="Q58" s="1063"/>
      <c r="R58" s="613"/>
      <c r="S58" s="64"/>
      <c r="T58" s="1209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</row>
    <row r="59" spans="1:44" s="224" customFormat="1" ht="15" hidden="1" customHeight="1" x14ac:dyDescent="0.25">
      <c r="A59" s="247">
        <v>45362</v>
      </c>
      <c r="B59" s="1275" t="s">
        <v>81</v>
      </c>
      <c r="C59" s="1276" t="s">
        <v>12</v>
      </c>
      <c r="D59" s="1276" t="s">
        <v>1493</v>
      </c>
      <c r="E59" s="1286" t="s">
        <v>13</v>
      </c>
      <c r="F59" s="613">
        <v>8</v>
      </c>
      <c r="G59" s="967"/>
      <c r="H59" s="1008"/>
      <c r="I59" s="1063"/>
      <c r="J59" s="613"/>
      <c r="K59" s="6"/>
      <c r="L59" s="613"/>
      <c r="M59" s="6"/>
      <c r="N59" s="622"/>
      <c r="O59" s="982"/>
      <c r="P59" s="622"/>
      <c r="Q59" s="1063"/>
      <c r="R59" s="613"/>
      <c r="S59" s="64"/>
      <c r="T59" s="120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 s="224" customFormat="1" ht="15" hidden="1" customHeight="1" x14ac:dyDescent="0.25">
      <c r="A60" s="247">
        <v>45363</v>
      </c>
      <c r="B60" s="364" t="s">
        <v>6243</v>
      </c>
      <c r="C60" s="350" t="s">
        <v>12</v>
      </c>
      <c r="D60" s="350" t="s">
        <v>1489</v>
      </c>
      <c r="E60" s="875" t="s">
        <v>13</v>
      </c>
      <c r="F60" s="780">
        <v>20</v>
      </c>
      <c r="G60" s="982"/>
      <c r="H60" s="622"/>
      <c r="I60" s="982"/>
      <c r="J60" s="622"/>
      <c r="K60" s="982"/>
      <c r="L60" s="622"/>
      <c r="M60" s="982"/>
      <c r="N60" s="853"/>
      <c r="O60" s="982"/>
      <c r="P60" s="622"/>
      <c r="Q60" s="1063"/>
      <c r="R60" s="622"/>
      <c r="S60" s="982"/>
      <c r="T60" s="927"/>
      <c r="U60" s="927"/>
      <c r="V60" s="878"/>
    </row>
    <row r="61" spans="1:44" s="224" customFormat="1" ht="15" hidden="1" customHeight="1" x14ac:dyDescent="0.25">
      <c r="A61" s="247">
        <v>45363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22</v>
      </c>
      <c r="G61" s="982"/>
      <c r="H61" s="95"/>
      <c r="I61" s="1064"/>
      <c r="J61" s="622"/>
      <c r="K61" s="982"/>
      <c r="L61" s="622"/>
      <c r="M61" s="982"/>
      <c r="N61" s="622"/>
      <c r="O61" s="982"/>
      <c r="P61" s="622"/>
      <c r="Q61" s="1063"/>
      <c r="R61" s="622"/>
      <c r="S61" s="982"/>
      <c r="T61" s="861"/>
    </row>
    <row r="62" spans="1:44" s="224" customFormat="1" ht="15" hidden="1" customHeight="1" x14ac:dyDescent="0.25">
      <c r="A62" s="247">
        <v>45364</v>
      </c>
      <c r="B62" s="882" t="s">
        <v>6169</v>
      </c>
      <c r="C62" s="879" t="s">
        <v>12</v>
      </c>
      <c r="D62" s="879" t="s">
        <v>1485</v>
      </c>
      <c r="E62" s="875" t="s">
        <v>13</v>
      </c>
      <c r="F62" s="613">
        <v>11.4</v>
      </c>
      <c r="G62" s="967"/>
      <c r="H62" s="1008"/>
      <c r="I62" s="1063"/>
      <c r="J62" s="2013"/>
      <c r="K62" s="1207"/>
      <c r="L62" s="2013"/>
      <c r="M62" s="1207"/>
      <c r="N62" s="880"/>
      <c r="O62" s="1033"/>
      <c r="P62" s="880"/>
      <c r="Q62" s="1525"/>
      <c r="R62" s="613"/>
      <c r="S62" s="162"/>
      <c r="T62" s="1956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ht="15" hidden="1" customHeight="1" x14ac:dyDescent="0.25">
      <c r="A63" s="247">
        <v>45364</v>
      </c>
      <c r="B63" s="882" t="s">
        <v>6251</v>
      </c>
      <c r="C63" s="879" t="s">
        <v>12</v>
      </c>
      <c r="D63" s="879"/>
      <c r="E63" s="875" t="s">
        <v>13</v>
      </c>
      <c r="F63" s="780">
        <v>11.45</v>
      </c>
      <c r="G63" s="982"/>
      <c r="H63" s="95"/>
      <c r="I63" s="1064"/>
      <c r="J63" s="622"/>
      <c r="K63" s="982">
        <v>11.45</v>
      </c>
      <c r="L63" s="622"/>
      <c r="M63" s="982"/>
      <c r="N63" s="622"/>
      <c r="O63" s="982"/>
      <c r="P63" s="622"/>
      <c r="Q63" s="1063"/>
      <c r="R63" s="622"/>
      <c r="S63" s="982"/>
      <c r="T63" s="861"/>
    </row>
    <row r="64" spans="1:44" s="224" customFormat="1" ht="15" hidden="1" customHeight="1" x14ac:dyDescent="0.25">
      <c r="A64" s="247">
        <v>45364</v>
      </c>
      <c r="B64" s="882" t="s">
        <v>6258</v>
      </c>
      <c r="C64" s="879" t="s">
        <v>12</v>
      </c>
      <c r="D64" s="879"/>
      <c r="E64" s="875"/>
      <c r="F64" s="780"/>
      <c r="G64" s="982">
        <v>950</v>
      </c>
      <c r="H64" s="95"/>
      <c r="I64" s="1064"/>
      <c r="J64" s="613">
        <v>1500</v>
      </c>
      <c r="K64" s="982"/>
      <c r="L64" s="622"/>
      <c r="M64" s="982"/>
      <c r="N64" s="622"/>
      <c r="O64" s="982"/>
      <c r="P64" s="622"/>
      <c r="Q64" s="1063"/>
      <c r="R64" s="622"/>
      <c r="S64" s="982"/>
      <c r="T64" s="861"/>
    </row>
    <row r="65" spans="1:44" s="224" customFormat="1" ht="15" customHeight="1" x14ac:dyDescent="0.25">
      <c r="A65" s="247">
        <v>45364</v>
      </c>
      <c r="B65" s="1275" t="s">
        <v>6305</v>
      </c>
      <c r="C65" s="1276" t="s">
        <v>12</v>
      </c>
      <c r="D65" s="1276" t="s">
        <v>1524</v>
      </c>
      <c r="E65" s="1286" t="s">
        <v>13</v>
      </c>
      <c r="F65" s="613">
        <v>950</v>
      </c>
      <c r="G65" s="967"/>
      <c r="H65" s="1008"/>
      <c r="I65" s="1063"/>
      <c r="J65" s="613"/>
      <c r="K65" s="6"/>
      <c r="L65" s="613"/>
      <c r="M65" s="6"/>
      <c r="N65" s="622"/>
      <c r="O65" s="982"/>
      <c r="P65" s="622"/>
      <c r="Q65" s="1063"/>
      <c r="R65" s="613"/>
      <c r="S65" s="64"/>
      <c r="T65" s="2062" t="s">
        <v>6218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 s="224" customFormat="1" ht="15" hidden="1" customHeight="1" x14ac:dyDescent="0.25">
      <c r="A66" s="247">
        <v>45365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22</v>
      </c>
      <c r="G66" s="982"/>
      <c r="H66" s="95"/>
      <c r="I66" s="1064"/>
      <c r="J66" s="622"/>
      <c r="K66" s="982"/>
      <c r="L66" s="622"/>
      <c r="M66" s="982"/>
      <c r="N66" s="622"/>
      <c r="O66" s="982"/>
      <c r="P66" s="622"/>
      <c r="Q66" s="1063"/>
      <c r="R66" s="622"/>
      <c r="S66" s="982"/>
      <c r="T66" s="861"/>
    </row>
    <row r="67" spans="1:44" s="224" customFormat="1" ht="15" customHeight="1" x14ac:dyDescent="0.25">
      <c r="A67" s="247">
        <v>45365</v>
      </c>
      <c r="B67" s="364" t="s">
        <v>6259</v>
      </c>
      <c r="C67" s="350" t="s">
        <v>12</v>
      </c>
      <c r="D67" s="350" t="s">
        <v>1524</v>
      </c>
      <c r="E67" s="480" t="s">
        <v>13</v>
      </c>
      <c r="F67" s="613">
        <v>8</v>
      </c>
      <c r="G67" s="967"/>
      <c r="H67" s="1008"/>
      <c r="I67" s="1063"/>
      <c r="J67" s="1116"/>
      <c r="K67" s="1207"/>
      <c r="L67" s="1116"/>
      <c r="M67" s="1207"/>
      <c r="N67" s="1968"/>
      <c r="O67" s="1033"/>
      <c r="P67" s="880"/>
      <c r="Q67" s="1525"/>
      <c r="R67" s="613"/>
      <c r="S67" s="162"/>
      <c r="T67" s="1209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 s="224" customFormat="1" ht="15" hidden="1" customHeight="1" x14ac:dyDescent="0.25">
      <c r="A68" s="247">
        <v>45365</v>
      </c>
      <c r="B68" s="1275" t="s">
        <v>1331</v>
      </c>
      <c r="C68" s="879" t="s">
        <v>12</v>
      </c>
      <c r="D68" s="1276" t="s">
        <v>2157</v>
      </c>
      <c r="E68" s="875" t="s">
        <v>13</v>
      </c>
      <c r="F68" s="613">
        <v>50</v>
      </c>
      <c r="G68" s="967"/>
      <c r="H68" s="1008"/>
      <c r="I68" s="1063"/>
      <c r="J68" s="613"/>
      <c r="K68" s="6"/>
      <c r="L68" s="613"/>
      <c r="M68" s="6"/>
      <c r="N68" s="622"/>
      <c r="O68" s="982"/>
      <c r="P68" s="622"/>
      <c r="Q68" s="1063"/>
      <c r="R68" s="613"/>
      <c r="S68" s="64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hidden="1" customHeight="1" x14ac:dyDescent="0.25">
      <c r="A69" s="247">
        <v>45366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780">
        <v>22</v>
      </c>
      <c r="G69" s="982"/>
      <c r="H69" s="95"/>
      <c r="I69" s="1064"/>
      <c r="J69" s="622"/>
      <c r="K69" s="982"/>
      <c r="L69" s="622"/>
      <c r="M69" s="982"/>
      <c r="N69" s="622"/>
      <c r="O69" s="982"/>
      <c r="P69" s="622"/>
      <c r="Q69" s="1063"/>
      <c r="R69" s="622"/>
      <c r="S69" s="982"/>
      <c r="T69" s="861"/>
    </row>
    <row r="70" spans="1:44" s="224" customFormat="1" hidden="1" x14ac:dyDescent="0.25">
      <c r="A70" s="247">
        <v>45366</v>
      </c>
      <c r="B70" s="882" t="s">
        <v>443</v>
      </c>
      <c r="C70" s="879" t="s">
        <v>12</v>
      </c>
      <c r="D70" s="879" t="s">
        <v>1493</v>
      </c>
      <c r="E70" s="875" t="s">
        <v>13</v>
      </c>
      <c r="F70" s="1279">
        <v>23.68</v>
      </c>
      <c r="G70" s="982"/>
      <c r="H70" s="1008"/>
      <c r="I70" s="1063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861"/>
      <c r="V70" s="878"/>
    </row>
    <row r="71" spans="1:44" s="224" customFormat="1" hidden="1" x14ac:dyDescent="0.25">
      <c r="A71" s="247">
        <v>45366</v>
      </c>
      <c r="B71" s="862" t="s">
        <v>1666</v>
      </c>
      <c r="C71" s="350" t="s">
        <v>12</v>
      </c>
      <c r="D71" s="1807"/>
      <c r="E71" s="145" t="s">
        <v>25</v>
      </c>
      <c r="F71" s="622"/>
      <c r="G71" s="982"/>
      <c r="H71" s="1008"/>
      <c r="I71" s="1063"/>
      <c r="J71" s="622"/>
      <c r="K71" s="982"/>
      <c r="L71" s="622"/>
      <c r="M71" s="982"/>
      <c r="N71" s="622"/>
      <c r="O71" s="982">
        <v>18.04</v>
      </c>
      <c r="P71" s="622"/>
      <c r="Q71" s="1063"/>
      <c r="R71" s="622"/>
      <c r="S71" s="982"/>
      <c r="T71" s="1815">
        <f>O71/O5</f>
        <v>3.554007517789737E-3</v>
      </c>
      <c r="V71" s="878"/>
    </row>
    <row r="72" spans="1:44" s="224" customFormat="1" ht="15" hidden="1" customHeight="1" x14ac:dyDescent="0.25">
      <c r="A72" s="247">
        <v>45366</v>
      </c>
      <c r="B72" s="349" t="s">
        <v>6260</v>
      </c>
      <c r="C72" s="352" t="s">
        <v>12</v>
      </c>
      <c r="D72" s="352"/>
      <c r="E72" s="919"/>
      <c r="F72" s="1116"/>
      <c r="G72" s="966">
        <v>5094</v>
      </c>
      <c r="H72" s="1031"/>
      <c r="I72" s="1525"/>
      <c r="J72" s="2013"/>
      <c r="K72" s="1207"/>
      <c r="L72" s="2013"/>
      <c r="M72" s="1207"/>
      <c r="N72" s="880">
        <v>5094</v>
      </c>
      <c r="O72" s="1033"/>
      <c r="P72" s="880"/>
      <c r="Q72" s="1525"/>
      <c r="R72" s="1116"/>
      <c r="S72" s="2064"/>
      <c r="T72" s="1209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 s="224" customFormat="1" ht="15" hidden="1" customHeight="1" x14ac:dyDescent="0.25">
      <c r="A73" s="247">
        <v>45366</v>
      </c>
      <c r="B73" s="364" t="s">
        <v>6261</v>
      </c>
      <c r="C73" s="350" t="s">
        <v>12</v>
      </c>
      <c r="D73" s="350"/>
      <c r="E73" s="480" t="s">
        <v>13</v>
      </c>
      <c r="F73" s="613">
        <v>5000</v>
      </c>
      <c r="G73" s="966"/>
      <c r="H73" s="1031"/>
      <c r="I73" s="1525"/>
      <c r="J73" s="872"/>
      <c r="K73" s="1207"/>
      <c r="L73" s="872"/>
      <c r="M73" s="1207"/>
      <c r="N73" s="880"/>
      <c r="O73" s="1033"/>
      <c r="P73" s="880"/>
      <c r="Q73" s="1525">
        <f>F73</f>
        <v>5000</v>
      </c>
      <c r="R73" s="613"/>
      <c r="S73" s="162"/>
      <c r="T73" s="1209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idden="1" x14ac:dyDescent="0.25">
      <c r="A74" s="247">
        <v>45367</v>
      </c>
      <c r="B74" s="349" t="s">
        <v>445</v>
      </c>
      <c r="C74" s="350" t="s">
        <v>12</v>
      </c>
      <c r="D74" s="350" t="s">
        <v>1493</v>
      </c>
      <c r="E74" s="480" t="s">
        <v>13</v>
      </c>
      <c r="F74" s="1279">
        <v>6.5</v>
      </c>
      <c r="G74" s="982"/>
      <c r="H74" s="1008"/>
      <c r="I74" s="1063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861"/>
      <c r="V74" s="878"/>
    </row>
    <row r="75" spans="1:44" s="224" customFormat="1" ht="15" hidden="1" customHeight="1" x14ac:dyDescent="0.25">
      <c r="A75" s="247">
        <v>45367</v>
      </c>
      <c r="B75" s="1275" t="s">
        <v>1331</v>
      </c>
      <c r="C75" s="879" t="s">
        <v>19</v>
      </c>
      <c r="D75" s="1276" t="s">
        <v>2157</v>
      </c>
      <c r="E75" s="875" t="s">
        <v>13</v>
      </c>
      <c r="F75" s="613">
        <v>90</v>
      </c>
      <c r="G75" s="966"/>
      <c r="H75" s="1031"/>
      <c r="I75" s="1525"/>
      <c r="J75" s="872"/>
      <c r="K75" s="1207"/>
      <c r="L75" s="872"/>
      <c r="M75" s="1207"/>
      <c r="N75" s="880"/>
      <c r="O75" s="1033"/>
      <c r="P75" s="880"/>
      <c r="Q75" s="1525"/>
      <c r="R75" s="613"/>
      <c r="S75" s="162"/>
      <c r="T75" s="1209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 s="224" customFormat="1" ht="15" hidden="1" customHeight="1" x14ac:dyDescent="0.25">
      <c r="A76" s="247">
        <v>45367</v>
      </c>
      <c r="B76" s="364" t="s">
        <v>6267</v>
      </c>
      <c r="C76" s="350" t="s">
        <v>12</v>
      </c>
      <c r="D76" s="350" t="s">
        <v>1493</v>
      </c>
      <c r="E76" s="480" t="s">
        <v>13</v>
      </c>
      <c r="F76" s="613">
        <v>30</v>
      </c>
      <c r="G76" s="966"/>
      <c r="H76" s="1031"/>
      <c r="I76" s="1525"/>
      <c r="J76" s="872"/>
      <c r="K76" s="1207"/>
      <c r="L76" s="872"/>
      <c r="M76" s="1207"/>
      <c r="N76" s="880"/>
      <c r="O76" s="1033"/>
      <c r="P76" s="880"/>
      <c r="Q76" s="1525"/>
      <c r="R76" s="613"/>
      <c r="S76" s="162"/>
      <c r="T76" s="1209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</row>
    <row r="77" spans="1:44" s="224" customFormat="1" ht="15" hidden="1" customHeight="1" x14ac:dyDescent="0.25">
      <c r="A77" s="247">
        <v>45367</v>
      </c>
      <c r="B77" s="364" t="s">
        <v>2627</v>
      </c>
      <c r="C77" s="350" t="s">
        <v>12</v>
      </c>
      <c r="D77" s="350" t="s">
        <v>1493</v>
      </c>
      <c r="E77" s="480" t="s">
        <v>13</v>
      </c>
      <c r="F77" s="613">
        <v>31.8</v>
      </c>
      <c r="G77" s="966"/>
      <c r="H77" s="1031"/>
      <c r="I77" s="1525"/>
      <c r="J77" s="872"/>
      <c r="K77" s="1207"/>
      <c r="L77" s="872"/>
      <c r="M77" s="1207"/>
      <c r="N77" s="880"/>
      <c r="O77" s="1033"/>
      <c r="P77" s="880"/>
      <c r="Q77" s="1525"/>
      <c r="R77" s="613"/>
      <c r="S77" s="162"/>
      <c r="T77" s="1209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 s="224" customFormat="1" ht="15" hidden="1" customHeight="1" x14ac:dyDescent="0.25">
      <c r="A78" s="247">
        <v>45368</v>
      </c>
      <c r="B78" s="349" t="s">
        <v>14</v>
      </c>
      <c r="C78" s="350" t="s">
        <v>12</v>
      </c>
      <c r="D78" s="350" t="s">
        <v>1486</v>
      </c>
      <c r="E78" s="480" t="s">
        <v>13</v>
      </c>
      <c r="F78" s="1279">
        <v>8.9700000000000006</v>
      </c>
      <c r="G78" s="967"/>
      <c r="H78" s="1008"/>
      <c r="I78" s="1063"/>
      <c r="J78" s="1116"/>
      <c r="K78" s="1207"/>
      <c r="L78" s="1116"/>
      <c r="M78" s="1207"/>
      <c r="N78" s="1968"/>
      <c r="O78" s="1033"/>
      <c r="P78" s="880"/>
      <c r="Q78" s="1525"/>
      <c r="R78" s="613"/>
      <c r="S78" s="162"/>
      <c r="T78" s="1209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 s="224" customFormat="1" hidden="1" x14ac:dyDescent="0.25">
      <c r="A79" s="247">
        <v>45368</v>
      </c>
      <c r="B79" s="349" t="s">
        <v>445</v>
      </c>
      <c r="C79" s="350" t="s">
        <v>12</v>
      </c>
      <c r="D79" s="350" t="s">
        <v>1493</v>
      </c>
      <c r="E79" s="480" t="s">
        <v>13</v>
      </c>
      <c r="F79" s="1279">
        <v>15</v>
      </c>
      <c r="G79" s="982"/>
      <c r="H79" s="1008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861"/>
      <c r="V79" s="878"/>
    </row>
    <row r="80" spans="1:44" s="224" customFormat="1" hidden="1" x14ac:dyDescent="0.25">
      <c r="A80" s="247">
        <v>45368</v>
      </c>
      <c r="B80" s="349" t="s">
        <v>81</v>
      </c>
      <c r="C80" s="350" t="s">
        <v>12</v>
      </c>
      <c r="D80" s="350" t="s">
        <v>1493</v>
      </c>
      <c r="E80" s="480" t="s">
        <v>13</v>
      </c>
      <c r="F80" s="1279">
        <v>7.5</v>
      </c>
      <c r="G80" s="982"/>
      <c r="H80" s="1008"/>
      <c r="I80" s="1063"/>
      <c r="J80" s="622"/>
      <c r="K80" s="982"/>
      <c r="L80" s="622"/>
      <c r="M80" s="982"/>
      <c r="N80" s="622"/>
      <c r="O80" s="982"/>
      <c r="P80" s="622"/>
      <c r="Q80" s="1063"/>
      <c r="R80" s="622"/>
      <c r="S80" s="982"/>
      <c r="T80" s="861"/>
      <c r="V80" s="878"/>
    </row>
    <row r="81" spans="1:44" s="224" customFormat="1" hidden="1" x14ac:dyDescent="0.25">
      <c r="A81" s="247">
        <v>45368</v>
      </c>
      <c r="B81" s="349" t="s">
        <v>6268</v>
      </c>
      <c r="C81" s="350" t="s">
        <v>12</v>
      </c>
      <c r="D81" s="350" t="s">
        <v>1493</v>
      </c>
      <c r="E81" s="480" t="s">
        <v>13</v>
      </c>
      <c r="F81" s="1279">
        <v>50</v>
      </c>
      <c r="G81" s="982"/>
      <c r="H81" s="1008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861"/>
      <c r="V81" s="878"/>
    </row>
    <row r="82" spans="1:44" s="224" customFormat="1" ht="15" hidden="1" customHeight="1" x14ac:dyDescent="0.25">
      <c r="A82" s="247">
        <v>45369</v>
      </c>
      <c r="B82" s="882" t="s">
        <v>6258</v>
      </c>
      <c r="C82" s="879" t="s">
        <v>12</v>
      </c>
      <c r="D82" s="879"/>
      <c r="E82" s="875"/>
      <c r="F82" s="780"/>
      <c r="G82" s="982">
        <v>652.39</v>
      </c>
      <c r="H82" s="95"/>
      <c r="I82" s="1064"/>
      <c r="J82" s="613">
        <v>652.39</v>
      </c>
      <c r="K82" s="982"/>
      <c r="L82" s="622"/>
      <c r="M82" s="982"/>
      <c r="N82" s="622"/>
      <c r="O82" s="982"/>
      <c r="P82" s="622"/>
      <c r="Q82" s="1063"/>
      <c r="R82" s="622"/>
      <c r="S82" s="982"/>
      <c r="T82" s="861"/>
    </row>
    <row r="83" spans="1:44" s="224" customFormat="1" ht="15" customHeight="1" x14ac:dyDescent="0.25">
      <c r="A83" s="247">
        <v>45369</v>
      </c>
      <c r="B83" s="1275" t="s">
        <v>6275</v>
      </c>
      <c r="C83" s="1276" t="s">
        <v>12</v>
      </c>
      <c r="D83" s="1276" t="s">
        <v>1524</v>
      </c>
      <c r="E83" s="1286" t="s">
        <v>13</v>
      </c>
      <c r="F83" s="613">
        <v>652.39</v>
      </c>
      <c r="G83" s="967"/>
      <c r="H83" s="1008"/>
      <c r="I83" s="1063"/>
      <c r="J83" s="613"/>
      <c r="K83" s="6"/>
      <c r="L83" s="613"/>
      <c r="M83" s="6"/>
      <c r="N83" s="622"/>
      <c r="O83" s="982"/>
      <c r="P83" s="622"/>
      <c r="Q83" s="1063"/>
      <c r="R83" s="613"/>
      <c r="S83" s="64"/>
      <c r="T83" s="2062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 s="224" customFormat="1" ht="15" hidden="1" customHeight="1" x14ac:dyDescent="0.25">
      <c r="A84" s="247">
        <v>45369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22</v>
      </c>
      <c r="G84" s="982"/>
      <c r="H84" s="95"/>
      <c r="I84" s="1064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861"/>
    </row>
    <row r="85" spans="1:44" s="224" customFormat="1" ht="15" hidden="1" customHeight="1" x14ac:dyDescent="0.25">
      <c r="A85" s="247">
        <v>45369</v>
      </c>
      <c r="B85" s="364" t="s">
        <v>6280</v>
      </c>
      <c r="C85" s="350" t="s">
        <v>12</v>
      </c>
      <c r="D85" s="350" t="s">
        <v>1522</v>
      </c>
      <c r="E85" s="480" t="s">
        <v>13</v>
      </c>
      <c r="F85" s="613">
        <v>25</v>
      </c>
      <c r="G85" s="966"/>
      <c r="H85" s="1031"/>
      <c r="I85" s="1525"/>
      <c r="J85" s="872"/>
      <c r="K85" s="1207"/>
      <c r="L85" s="872"/>
      <c r="M85" s="1207"/>
      <c r="N85" s="880"/>
      <c r="O85" s="1033"/>
      <c r="P85" s="880"/>
      <c r="Q85" s="1525"/>
      <c r="R85" s="613"/>
      <c r="S85" s="162"/>
      <c r="T85" s="1209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5" hidden="1" customHeight="1" x14ac:dyDescent="0.25">
      <c r="A86" s="247">
        <v>45370</v>
      </c>
      <c r="B86" s="882" t="s">
        <v>32</v>
      </c>
      <c r="C86" s="879" t="s">
        <v>12</v>
      </c>
      <c r="D86" s="879" t="s">
        <v>1485</v>
      </c>
      <c r="E86" s="875" t="s">
        <v>13</v>
      </c>
      <c r="F86" s="780">
        <v>22</v>
      </c>
      <c r="G86" s="982"/>
      <c r="H86" s="95"/>
      <c r="I86" s="1064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861"/>
    </row>
    <row r="87" spans="1:44" s="224" customFormat="1" ht="15" hidden="1" customHeight="1" x14ac:dyDescent="0.25">
      <c r="A87" s="247">
        <v>45371</v>
      </c>
      <c r="B87" s="882" t="s">
        <v>3686</v>
      </c>
      <c r="C87" s="350" t="s">
        <v>12</v>
      </c>
      <c r="D87" s="350"/>
      <c r="E87" s="480" t="s">
        <v>25</v>
      </c>
      <c r="F87" s="622"/>
      <c r="G87" s="982">
        <v>2236.5</v>
      </c>
      <c r="H87" s="1008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861"/>
    </row>
    <row r="88" spans="1:44" s="224" customFormat="1" ht="14.25" hidden="1" customHeight="1" x14ac:dyDescent="0.25">
      <c r="A88" s="247">
        <v>45371</v>
      </c>
      <c r="B88" s="364" t="s">
        <v>2977</v>
      </c>
      <c r="C88" s="350" t="s">
        <v>12</v>
      </c>
      <c r="D88" s="350" t="s">
        <v>1491</v>
      </c>
      <c r="E88" s="875" t="s">
        <v>13</v>
      </c>
      <c r="F88" s="780">
        <v>400</v>
      </c>
      <c r="G88" s="982"/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1029"/>
      <c r="U88" s="89"/>
      <c r="V88" s="930"/>
    </row>
    <row r="89" spans="1:44" s="224" customFormat="1" ht="15" hidden="1" customHeight="1" x14ac:dyDescent="0.25">
      <c r="A89" s="247">
        <v>45371</v>
      </c>
      <c r="B89" s="349" t="s">
        <v>6134</v>
      </c>
      <c r="C89" s="887" t="s">
        <v>12</v>
      </c>
      <c r="D89" s="350" t="s">
        <v>1496</v>
      </c>
      <c r="E89" s="887" t="s">
        <v>13</v>
      </c>
      <c r="F89" s="613">
        <v>39.39</v>
      </c>
      <c r="G89" s="982"/>
      <c r="H89" s="872"/>
      <c r="I89" s="1063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927"/>
      <c r="U89" s="999"/>
      <c r="V89" s="878"/>
    </row>
    <row r="90" spans="1:44" s="224" customFormat="1" ht="15" customHeight="1" x14ac:dyDescent="0.25">
      <c r="A90" s="247">
        <v>45371</v>
      </c>
      <c r="B90" s="349" t="s">
        <v>6134</v>
      </c>
      <c r="C90" s="887" t="s">
        <v>12</v>
      </c>
      <c r="D90" s="350" t="s">
        <v>1524</v>
      </c>
      <c r="E90" s="887" t="s">
        <v>13</v>
      </c>
      <c r="F90" s="613">
        <v>364.125</v>
      </c>
      <c r="G90" s="982"/>
      <c r="H90" s="872"/>
      <c r="I90" s="1063"/>
      <c r="J90" s="622"/>
      <c r="K90" s="982"/>
      <c r="L90" s="622"/>
      <c r="M90" s="982"/>
      <c r="N90" s="622"/>
      <c r="O90" s="982"/>
      <c r="P90" s="622"/>
      <c r="Q90" s="1063"/>
      <c r="R90" s="622"/>
      <c r="S90" s="982"/>
      <c r="T90" s="927"/>
      <c r="U90" s="999"/>
      <c r="V90" s="878"/>
    </row>
    <row r="91" spans="1:44" s="224" customFormat="1" ht="15" customHeight="1" x14ac:dyDescent="0.25">
      <c r="A91" s="247">
        <v>45371</v>
      </c>
      <c r="B91" s="349" t="s">
        <v>6134</v>
      </c>
      <c r="C91" s="887" t="s">
        <v>12</v>
      </c>
      <c r="D91" s="1005" t="s">
        <v>1524</v>
      </c>
      <c r="E91" s="887" t="s">
        <v>13</v>
      </c>
      <c r="F91" s="1116">
        <v>402.45</v>
      </c>
      <c r="G91" s="982"/>
      <c r="H91" s="872"/>
      <c r="I91" s="1063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927"/>
      <c r="U91" s="999"/>
      <c r="V91" s="878"/>
    </row>
    <row r="92" spans="1:44" s="224" customFormat="1" ht="15" customHeight="1" x14ac:dyDescent="0.25">
      <c r="A92" s="247">
        <v>45371</v>
      </c>
      <c r="B92" s="349" t="s">
        <v>6134</v>
      </c>
      <c r="C92" s="887" t="s">
        <v>12</v>
      </c>
      <c r="D92" s="350" t="s">
        <v>1524</v>
      </c>
      <c r="E92" s="887" t="s">
        <v>13</v>
      </c>
      <c r="F92" s="613">
        <v>481.92</v>
      </c>
      <c r="G92" s="982"/>
      <c r="H92" s="872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927"/>
      <c r="U92" s="999"/>
      <c r="V92" s="878"/>
    </row>
    <row r="93" spans="1:44" s="224" customFormat="1" ht="15" hidden="1" customHeight="1" x14ac:dyDescent="0.25">
      <c r="A93" s="247">
        <v>45371</v>
      </c>
      <c r="B93" s="349" t="s">
        <v>6134</v>
      </c>
      <c r="C93" s="887" t="s">
        <v>12</v>
      </c>
      <c r="D93" s="350" t="s">
        <v>1522</v>
      </c>
      <c r="E93" s="887" t="s">
        <v>13</v>
      </c>
      <c r="F93" s="613">
        <v>210</v>
      </c>
      <c r="G93" s="982"/>
      <c r="H93" s="872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927"/>
      <c r="U93" s="999"/>
      <c r="V93" s="878"/>
    </row>
    <row r="94" spans="1:44" s="224" customFormat="1" ht="15" hidden="1" customHeight="1" x14ac:dyDescent="0.25">
      <c r="A94" s="247">
        <v>45371</v>
      </c>
      <c r="B94" s="882" t="s">
        <v>6135</v>
      </c>
      <c r="C94" s="879" t="s">
        <v>12</v>
      </c>
      <c r="D94" s="879" t="s">
        <v>1499</v>
      </c>
      <c r="E94" s="871" t="s">
        <v>13</v>
      </c>
      <c r="F94" s="780">
        <v>0</v>
      </c>
      <c r="G94" s="982"/>
      <c r="H94" s="1008"/>
      <c r="I94" s="1063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861" t="s">
        <v>6344</v>
      </c>
      <c r="V94" s="1123"/>
      <c r="W94" s="999"/>
    </row>
    <row r="95" spans="1:44" s="224" customFormat="1" ht="15" hidden="1" customHeight="1" x14ac:dyDescent="0.25">
      <c r="A95" s="247">
        <v>45371</v>
      </c>
      <c r="B95" s="364" t="s">
        <v>3325</v>
      </c>
      <c r="C95" s="350" t="s">
        <v>12</v>
      </c>
      <c r="D95" s="350" t="s">
        <v>1504</v>
      </c>
      <c r="E95" s="875" t="s">
        <v>13</v>
      </c>
      <c r="F95" s="780">
        <v>38</v>
      </c>
      <c r="G95" s="982"/>
      <c r="H95" s="622"/>
      <c r="I95" s="982"/>
      <c r="J95" s="622"/>
      <c r="K95" s="982"/>
      <c r="L95" s="622"/>
      <c r="M95" s="982"/>
      <c r="N95" s="622"/>
      <c r="O95" s="982"/>
      <c r="P95" s="622"/>
      <c r="Q95" s="1063"/>
      <c r="R95" s="827"/>
      <c r="S95" s="1115"/>
      <c r="T95" s="878"/>
    </row>
    <row r="96" spans="1:44" s="224" customFormat="1" ht="15" hidden="1" customHeight="1" x14ac:dyDescent="0.25">
      <c r="A96" s="247">
        <v>45371</v>
      </c>
      <c r="B96" s="882" t="s">
        <v>6258</v>
      </c>
      <c r="C96" s="879" t="s">
        <v>12</v>
      </c>
      <c r="D96" s="879"/>
      <c r="E96" s="875"/>
      <c r="F96" s="780"/>
      <c r="G96" s="982">
        <v>1248.5</v>
      </c>
      <c r="H96" s="95"/>
      <c r="I96" s="1064"/>
      <c r="J96" s="613">
        <v>1248.5</v>
      </c>
      <c r="K96" s="982"/>
      <c r="L96" s="622"/>
      <c r="M96" s="982"/>
      <c r="N96" s="622"/>
      <c r="O96" s="982"/>
      <c r="P96" s="622"/>
      <c r="Q96" s="1063"/>
      <c r="R96" s="622"/>
      <c r="S96" s="982"/>
      <c r="T96" s="861"/>
    </row>
    <row r="97" spans="1:44" s="224" customFormat="1" ht="15" hidden="1" customHeight="1" x14ac:dyDescent="0.25">
      <c r="A97" s="247">
        <v>45371</v>
      </c>
      <c r="B97" s="882" t="s">
        <v>6164</v>
      </c>
      <c r="C97" s="879" t="s">
        <v>12</v>
      </c>
      <c r="D97" s="879"/>
      <c r="E97" s="875" t="s">
        <v>25</v>
      </c>
      <c r="F97" s="780">
        <v>600</v>
      </c>
      <c r="G97" s="982"/>
      <c r="H97" s="622"/>
      <c r="I97" s="982">
        <v>600</v>
      </c>
      <c r="J97" s="622"/>
      <c r="K97" s="982"/>
      <c r="L97" s="622"/>
      <c r="M97" s="982"/>
      <c r="N97" s="622"/>
      <c r="O97" s="1063"/>
      <c r="P97" s="622"/>
      <c r="Q97" s="982"/>
      <c r="R97" s="1114"/>
      <c r="S97" s="1115"/>
      <c r="T97" s="878"/>
    </row>
    <row r="98" spans="1:44" s="224" customFormat="1" ht="15" hidden="1" customHeight="1" x14ac:dyDescent="0.25">
      <c r="A98" s="247">
        <v>45371</v>
      </c>
      <c r="B98" s="882" t="s">
        <v>6169</v>
      </c>
      <c r="C98" s="879" t="s">
        <v>12</v>
      </c>
      <c r="D98" s="879" t="s">
        <v>1485</v>
      </c>
      <c r="E98" s="875" t="s">
        <v>13</v>
      </c>
      <c r="F98" s="613">
        <v>10.55</v>
      </c>
      <c r="G98" s="967"/>
      <c r="H98" s="1008"/>
      <c r="I98" s="1063"/>
      <c r="J98" s="2013"/>
      <c r="K98" s="1207"/>
      <c r="L98" s="2013"/>
      <c r="M98" s="1207"/>
      <c r="N98" s="880"/>
      <c r="O98" s="1033"/>
      <c r="P98" s="880"/>
      <c r="Q98" s="1525"/>
      <c r="R98" s="613"/>
      <c r="S98" s="162"/>
      <c r="T98" s="1956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</row>
    <row r="99" spans="1:44" s="224" customFormat="1" ht="15" hidden="1" customHeight="1" x14ac:dyDescent="0.25">
      <c r="A99" s="247">
        <v>45371</v>
      </c>
      <c r="B99" s="882" t="s">
        <v>6251</v>
      </c>
      <c r="C99" s="879" t="s">
        <v>12</v>
      </c>
      <c r="D99" s="879"/>
      <c r="E99" s="875" t="s">
        <v>13</v>
      </c>
      <c r="F99" s="780">
        <v>11.45</v>
      </c>
      <c r="G99" s="982"/>
      <c r="H99" s="1008"/>
      <c r="I99" s="1063"/>
      <c r="J99" s="622"/>
      <c r="K99" s="982">
        <v>11.45</v>
      </c>
      <c r="L99" s="622"/>
      <c r="M99" s="982"/>
      <c r="N99" s="622"/>
      <c r="O99" s="982"/>
      <c r="P99" s="622"/>
      <c r="Q99" s="1063"/>
      <c r="R99" s="622"/>
      <c r="S99" s="982"/>
      <c r="T99" s="861"/>
    </row>
    <row r="100" spans="1:44" s="224" customFormat="1" ht="15" hidden="1" customHeight="1" x14ac:dyDescent="0.25">
      <c r="A100" s="247">
        <v>45371</v>
      </c>
      <c r="B100" s="349" t="s">
        <v>14</v>
      </c>
      <c r="C100" s="350" t="s">
        <v>12</v>
      </c>
      <c r="D100" s="350" t="s">
        <v>1486</v>
      </c>
      <c r="E100" s="480" t="s">
        <v>13</v>
      </c>
      <c r="F100" s="1279">
        <v>10.78</v>
      </c>
      <c r="G100" s="967"/>
      <c r="H100" s="1008"/>
      <c r="I100" s="1063"/>
      <c r="J100" s="1116"/>
      <c r="K100" s="1207"/>
      <c r="L100" s="1116"/>
      <c r="M100" s="1207"/>
      <c r="N100" s="1968"/>
      <c r="O100" s="1033"/>
      <c r="P100" s="880"/>
      <c r="Q100" s="1525"/>
      <c r="R100" s="613"/>
      <c r="S100" s="162"/>
      <c r="T100" s="1209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</row>
    <row r="101" spans="1:44" s="224" customFormat="1" ht="15" hidden="1" customHeight="1" x14ac:dyDescent="0.25">
      <c r="A101" s="247">
        <v>45371</v>
      </c>
      <c r="B101" s="862" t="s">
        <v>3529</v>
      </c>
      <c r="C101" s="879" t="s">
        <v>12</v>
      </c>
      <c r="D101" s="879" t="s">
        <v>1504</v>
      </c>
      <c r="E101" s="871" t="s">
        <v>13</v>
      </c>
      <c r="F101" s="780">
        <v>40</v>
      </c>
      <c r="G101" s="946"/>
      <c r="H101" s="95"/>
      <c r="I101" s="1064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1028"/>
      <c r="W101" s="958"/>
    </row>
    <row r="102" spans="1:44" s="224" customFormat="1" ht="15" hidden="1" customHeight="1" x14ac:dyDescent="0.25">
      <c r="A102" s="247">
        <v>45372</v>
      </c>
      <c r="B102" s="882" t="s">
        <v>32</v>
      </c>
      <c r="C102" s="879" t="s">
        <v>12</v>
      </c>
      <c r="D102" s="879" t="s">
        <v>1485</v>
      </c>
      <c r="E102" s="875" t="s">
        <v>13</v>
      </c>
      <c r="F102" s="780">
        <v>22</v>
      </c>
      <c r="G102" s="982"/>
      <c r="H102" s="95"/>
      <c r="I102" s="1064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</row>
    <row r="103" spans="1:44" s="224" customFormat="1" ht="15" hidden="1" customHeight="1" x14ac:dyDescent="0.25">
      <c r="A103" s="247">
        <v>45372</v>
      </c>
      <c r="B103" s="882" t="s">
        <v>6299</v>
      </c>
      <c r="C103" s="879" t="s">
        <v>12</v>
      </c>
      <c r="D103" s="879" t="s">
        <v>1522</v>
      </c>
      <c r="E103" s="875" t="s">
        <v>13</v>
      </c>
      <c r="F103" s="780">
        <v>160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1063"/>
      <c r="R103" s="880"/>
      <c r="S103" s="1033"/>
      <c r="T103" s="2098" t="s">
        <v>6298</v>
      </c>
      <c r="V103" s="878"/>
    </row>
    <row r="104" spans="1:44" s="224" customFormat="1" ht="15" hidden="1" customHeight="1" x14ac:dyDescent="0.25">
      <c r="A104" s="247">
        <v>45372</v>
      </c>
      <c r="B104" s="882" t="s">
        <v>6302</v>
      </c>
      <c r="C104" s="879" t="s">
        <v>12</v>
      </c>
      <c r="D104" s="879" t="s">
        <v>1489</v>
      </c>
      <c r="E104" s="875" t="s">
        <v>13</v>
      </c>
      <c r="F104" s="780">
        <v>20</v>
      </c>
      <c r="G104" s="982"/>
      <c r="H104" s="95"/>
      <c r="I104" s="1064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861"/>
    </row>
    <row r="105" spans="1:44" s="224" customFormat="1" ht="15" hidden="1" customHeight="1" x14ac:dyDescent="0.25">
      <c r="A105" s="247">
        <v>45372</v>
      </c>
      <c r="B105" s="882" t="s">
        <v>81</v>
      </c>
      <c r="C105" s="879" t="s">
        <v>12</v>
      </c>
      <c r="D105" s="879" t="s">
        <v>1493</v>
      </c>
      <c r="E105" s="871" t="s">
        <v>13</v>
      </c>
      <c r="F105" s="780">
        <v>5</v>
      </c>
      <c r="G105" s="946"/>
      <c r="H105" s="95"/>
      <c r="I105" s="1064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861"/>
    </row>
    <row r="106" spans="1:44" s="224" customFormat="1" ht="15" hidden="1" customHeight="1" x14ac:dyDescent="0.25">
      <c r="A106" s="247">
        <v>45373</v>
      </c>
      <c r="B106" s="882" t="s">
        <v>6303</v>
      </c>
      <c r="C106" s="879" t="s">
        <v>12</v>
      </c>
      <c r="D106" s="879" t="s">
        <v>1493</v>
      </c>
      <c r="E106" s="875" t="s">
        <v>13</v>
      </c>
      <c r="F106" s="780">
        <v>25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1063"/>
      <c r="R106" s="880"/>
      <c r="S106" s="1033"/>
      <c r="T106" s="927"/>
      <c r="V106" s="878"/>
    </row>
    <row r="107" spans="1:44" s="224" customFormat="1" ht="15" hidden="1" customHeight="1" x14ac:dyDescent="0.25">
      <c r="A107" s="247">
        <v>45373</v>
      </c>
      <c r="B107" s="882" t="s">
        <v>6304</v>
      </c>
      <c r="C107" s="879" t="s">
        <v>12</v>
      </c>
      <c r="D107" s="879" t="s">
        <v>1493</v>
      </c>
      <c r="E107" s="875" t="s">
        <v>13</v>
      </c>
      <c r="F107" s="780">
        <v>30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622"/>
      <c r="Q107" s="1063"/>
      <c r="R107" s="880"/>
      <c r="S107" s="1033"/>
      <c r="T107" s="927"/>
      <c r="V107" s="878"/>
    </row>
    <row r="108" spans="1:44" s="224" customFormat="1" ht="15" hidden="1" customHeight="1" x14ac:dyDescent="0.25">
      <c r="A108" s="247">
        <v>45373</v>
      </c>
      <c r="B108" s="882" t="s">
        <v>6258</v>
      </c>
      <c r="C108" s="879" t="s">
        <v>12</v>
      </c>
      <c r="D108" s="879"/>
      <c r="E108" s="875"/>
      <c r="F108" s="780"/>
      <c r="G108" s="982">
        <v>1000</v>
      </c>
      <c r="H108" s="95"/>
      <c r="I108" s="1064"/>
      <c r="J108" s="613">
        <v>1000</v>
      </c>
      <c r="K108" s="982"/>
      <c r="L108" s="622"/>
      <c r="M108" s="982"/>
      <c r="N108" s="622"/>
      <c r="O108" s="982"/>
      <c r="P108" s="622"/>
      <c r="Q108" s="1063"/>
      <c r="R108" s="622"/>
      <c r="S108" s="982"/>
      <c r="T108" s="861"/>
    </row>
    <row r="109" spans="1:44" s="224" customFormat="1" ht="15" customHeight="1" x14ac:dyDescent="0.25">
      <c r="A109" s="247">
        <v>45373</v>
      </c>
      <c r="B109" s="1275" t="s">
        <v>6306</v>
      </c>
      <c r="C109" s="1276" t="s">
        <v>12</v>
      </c>
      <c r="D109" s="1276" t="s">
        <v>1524</v>
      </c>
      <c r="E109" s="1286" t="s">
        <v>13</v>
      </c>
      <c r="F109" s="613">
        <v>1000</v>
      </c>
      <c r="G109" s="967"/>
      <c r="H109" s="1008"/>
      <c r="I109" s="1063"/>
      <c r="J109" s="613"/>
      <c r="K109" s="6"/>
      <c r="L109" s="613"/>
      <c r="M109" s="6"/>
      <c r="N109" s="622"/>
      <c r="O109" s="982"/>
      <c r="P109" s="622"/>
      <c r="Q109" s="1063"/>
      <c r="R109" s="613"/>
      <c r="S109" s="64"/>
      <c r="T109" s="2062" t="s">
        <v>6218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</row>
    <row r="110" spans="1:44" s="224" customFormat="1" ht="15" hidden="1" customHeight="1" x14ac:dyDescent="0.25">
      <c r="A110" s="247">
        <v>45373</v>
      </c>
      <c r="B110" s="882" t="s">
        <v>1906</v>
      </c>
      <c r="C110" s="879" t="s">
        <v>12</v>
      </c>
      <c r="D110" s="879" t="s">
        <v>1493</v>
      </c>
      <c r="E110" s="871" t="s">
        <v>13</v>
      </c>
      <c r="F110" s="780">
        <v>16</v>
      </c>
      <c r="G110" s="946"/>
      <c r="H110" s="95"/>
      <c r="I110" s="1064"/>
      <c r="J110" s="622"/>
      <c r="K110" s="982"/>
      <c r="L110" s="622"/>
      <c r="M110" s="982"/>
      <c r="N110" s="622"/>
      <c r="O110" s="982"/>
      <c r="P110" s="622"/>
      <c r="Q110" s="1063"/>
      <c r="R110" s="1110"/>
      <c r="S110" s="1208"/>
      <c r="T110" s="1028"/>
      <c r="W110" s="958"/>
    </row>
    <row r="111" spans="1:44" s="224" customFormat="1" ht="15" hidden="1" customHeight="1" x14ac:dyDescent="0.25">
      <c r="A111" s="247">
        <v>45374</v>
      </c>
      <c r="B111" s="349" t="s">
        <v>14</v>
      </c>
      <c r="C111" s="350" t="s">
        <v>12</v>
      </c>
      <c r="D111" s="350" t="s">
        <v>1486</v>
      </c>
      <c r="E111" s="480" t="s">
        <v>13</v>
      </c>
      <c r="F111" s="1279">
        <v>6.78</v>
      </c>
      <c r="G111" s="967"/>
      <c r="H111" s="1008"/>
      <c r="I111" s="1063"/>
      <c r="J111" s="1116"/>
      <c r="K111" s="1207"/>
      <c r="L111" s="1116"/>
      <c r="M111" s="1207"/>
      <c r="N111" s="1968"/>
      <c r="O111" s="1033"/>
      <c r="P111" s="880"/>
      <c r="Q111" s="1525"/>
      <c r="R111" s="613"/>
      <c r="S111" s="162"/>
      <c r="T111" s="1209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</row>
    <row r="112" spans="1:44" s="224" customFormat="1" ht="15" hidden="1" customHeight="1" x14ac:dyDescent="0.25">
      <c r="A112" s="247">
        <v>45374</v>
      </c>
      <c r="B112" s="349" t="s">
        <v>2629</v>
      </c>
      <c r="C112" s="350" t="s">
        <v>12</v>
      </c>
      <c r="D112" s="350" t="s">
        <v>1489</v>
      </c>
      <c r="E112" s="480" t="s">
        <v>13</v>
      </c>
      <c r="F112" s="1279">
        <v>99.32</v>
      </c>
      <c r="G112" s="967"/>
      <c r="H112" s="1008"/>
      <c r="I112" s="1063"/>
      <c r="J112" s="1116"/>
      <c r="K112" s="1207"/>
      <c r="L112" s="1116"/>
      <c r="M112" s="1207"/>
      <c r="N112" s="1968"/>
      <c r="O112" s="1033"/>
      <c r="P112" s="880"/>
      <c r="Q112" s="1525"/>
      <c r="R112" s="613"/>
      <c r="S112" s="162"/>
      <c r="T112" s="1209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</row>
    <row r="113" spans="1:44" s="224" customFormat="1" ht="15" hidden="1" customHeight="1" x14ac:dyDescent="0.25">
      <c r="A113" s="247">
        <v>45374</v>
      </c>
      <c r="B113" s="882" t="s">
        <v>6309</v>
      </c>
      <c r="C113" s="879" t="s">
        <v>12</v>
      </c>
      <c r="D113" s="879" t="s">
        <v>1491</v>
      </c>
      <c r="E113" s="875" t="s">
        <v>13</v>
      </c>
      <c r="F113" s="780">
        <v>27.9</v>
      </c>
      <c r="G113" s="982"/>
      <c r="H113" s="622"/>
      <c r="I113" s="982"/>
      <c r="J113" s="622"/>
      <c r="K113" s="982"/>
      <c r="L113" s="622"/>
      <c r="M113" s="982"/>
      <c r="N113" s="622"/>
      <c r="O113" s="982"/>
      <c r="P113" s="622"/>
      <c r="Q113" s="1063"/>
      <c r="R113" s="880"/>
      <c r="S113" s="1033"/>
      <c r="T113" s="927"/>
      <c r="V113" s="878"/>
    </row>
    <row r="114" spans="1:44" s="224" customFormat="1" hidden="1" x14ac:dyDescent="0.25">
      <c r="A114" s="247">
        <v>45374</v>
      </c>
      <c r="B114" s="349" t="s">
        <v>82</v>
      </c>
      <c r="C114" s="350" t="s">
        <v>12</v>
      </c>
      <c r="D114" s="350" t="s">
        <v>1493</v>
      </c>
      <c r="E114" s="480" t="s">
        <v>13</v>
      </c>
      <c r="F114" s="1279">
        <v>53.9</v>
      </c>
      <c r="G114" s="982"/>
      <c r="H114" s="1008"/>
      <c r="I114" s="1063"/>
      <c r="J114" s="622"/>
      <c r="K114" s="982"/>
      <c r="L114" s="622"/>
      <c r="M114" s="982"/>
      <c r="N114" s="622"/>
      <c r="O114" s="982"/>
      <c r="P114" s="622"/>
      <c r="Q114" s="1063"/>
      <c r="R114" s="622"/>
      <c r="S114" s="982"/>
      <c r="T114" s="861"/>
      <c r="V114" s="878"/>
    </row>
    <row r="115" spans="1:44" s="224" customFormat="1" ht="15" hidden="1" customHeight="1" x14ac:dyDescent="0.25">
      <c r="A115" s="247">
        <v>45375</v>
      </c>
      <c r="B115" s="349" t="s">
        <v>14</v>
      </c>
      <c r="C115" s="350" t="s">
        <v>12</v>
      </c>
      <c r="D115" s="350" t="s">
        <v>1486</v>
      </c>
      <c r="E115" s="480" t="s">
        <v>13</v>
      </c>
      <c r="F115" s="1279">
        <v>6.97</v>
      </c>
      <c r="G115" s="967"/>
      <c r="H115" s="1008"/>
      <c r="I115" s="1063"/>
      <c r="J115" s="1116"/>
      <c r="K115" s="1207"/>
      <c r="L115" s="1116"/>
      <c r="M115" s="1207"/>
      <c r="N115" s="1968"/>
      <c r="O115" s="1033"/>
      <c r="P115" s="880"/>
      <c r="Q115" s="1525"/>
      <c r="R115" s="613"/>
      <c r="S115" s="162"/>
      <c r="T115" s="1209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</row>
    <row r="116" spans="1:44" s="224" customFormat="1" ht="15" hidden="1" customHeight="1" x14ac:dyDescent="0.25">
      <c r="A116" s="247">
        <v>45375</v>
      </c>
      <c r="B116" s="882" t="s">
        <v>6310</v>
      </c>
      <c r="C116" s="879" t="s">
        <v>12</v>
      </c>
      <c r="D116" s="879" t="s">
        <v>1491</v>
      </c>
      <c r="E116" s="871" t="s">
        <v>13</v>
      </c>
      <c r="F116" s="780">
        <v>45</v>
      </c>
      <c r="G116" s="946"/>
      <c r="H116" s="95"/>
      <c r="I116" s="1064"/>
      <c r="J116" s="622"/>
      <c r="K116" s="982"/>
      <c r="L116" s="622"/>
      <c r="M116" s="982"/>
      <c r="N116" s="622"/>
      <c r="O116" s="982"/>
      <c r="P116" s="622"/>
      <c r="Q116" s="1063"/>
      <c r="R116" s="613"/>
      <c r="S116" s="64"/>
      <c r="T116" s="1028"/>
      <c r="W116" s="958"/>
    </row>
    <row r="117" spans="1:44" s="224" customFormat="1" ht="15" hidden="1" customHeight="1" x14ac:dyDescent="0.25">
      <c r="A117" s="247">
        <v>45375</v>
      </c>
      <c r="B117" s="882" t="s">
        <v>2595</v>
      </c>
      <c r="C117" s="879" t="s">
        <v>12</v>
      </c>
      <c r="D117" s="879" t="s">
        <v>1506</v>
      </c>
      <c r="E117" s="871" t="s">
        <v>13</v>
      </c>
      <c r="F117" s="780">
        <v>10</v>
      </c>
      <c r="G117" s="946"/>
      <c r="H117" s="95"/>
      <c r="I117" s="1064"/>
      <c r="J117" s="622"/>
      <c r="K117" s="982"/>
      <c r="L117" s="622"/>
      <c r="M117" s="982"/>
      <c r="N117" s="622"/>
      <c r="O117" s="982"/>
      <c r="P117" s="622"/>
      <c r="Q117" s="1525"/>
      <c r="R117" s="1110"/>
      <c r="S117" s="1208"/>
      <c r="T117" s="1028"/>
      <c r="W117" s="958"/>
    </row>
    <row r="118" spans="1:44" s="224" customFormat="1" ht="15" hidden="1" customHeight="1" x14ac:dyDescent="0.25">
      <c r="A118" s="247">
        <v>45376</v>
      </c>
      <c r="B118" s="862" t="s">
        <v>2867</v>
      </c>
      <c r="C118" s="350" t="s">
        <v>12</v>
      </c>
      <c r="D118" s="874" t="s">
        <v>1504</v>
      </c>
      <c r="E118" s="887" t="s">
        <v>13</v>
      </c>
      <c r="F118" s="780">
        <v>30</v>
      </c>
      <c r="G118" s="982"/>
      <c r="H118" s="1009"/>
      <c r="I118" s="1063"/>
      <c r="J118" s="853"/>
      <c r="K118" s="982"/>
      <c r="L118" s="853"/>
      <c r="M118" s="982"/>
      <c r="N118" s="853"/>
      <c r="O118" s="982"/>
      <c r="P118" s="853"/>
      <c r="Q118" s="1063"/>
      <c r="R118" s="622"/>
      <c r="S118" s="982"/>
      <c r="T118" s="1690"/>
      <c r="U118" s="1690"/>
      <c r="V118" s="1690"/>
      <c r="W118" s="1690"/>
      <c r="X118" s="1690"/>
      <c r="Y118" s="1690"/>
      <c r="Z118" s="1690"/>
      <c r="AA118" s="1690"/>
      <c r="AB118" s="1690"/>
    </row>
    <row r="119" spans="1:44" s="224" customFormat="1" ht="15" hidden="1" customHeight="1" x14ac:dyDescent="0.25">
      <c r="A119" s="247">
        <v>45376</v>
      </c>
      <c r="B119" s="882" t="s">
        <v>6169</v>
      </c>
      <c r="C119" s="879" t="s">
        <v>12</v>
      </c>
      <c r="D119" s="879" t="s">
        <v>1485</v>
      </c>
      <c r="E119" s="875" t="s">
        <v>13</v>
      </c>
      <c r="F119" s="613">
        <v>10.5</v>
      </c>
      <c r="G119" s="967"/>
      <c r="H119" s="1008"/>
      <c r="I119" s="1063"/>
      <c r="J119" s="2013"/>
      <c r="K119" s="1207"/>
      <c r="L119" s="2013"/>
      <c r="M119" s="1207"/>
      <c r="N119" s="880"/>
      <c r="O119" s="1033"/>
      <c r="P119" s="880"/>
      <c r="Q119" s="1525"/>
      <c r="R119" s="613"/>
      <c r="S119" s="162"/>
      <c r="T119" s="1956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</row>
    <row r="120" spans="1:44" s="224" customFormat="1" ht="15" hidden="1" customHeight="1" x14ac:dyDescent="0.25">
      <c r="A120" s="247">
        <v>45376</v>
      </c>
      <c r="B120" s="882" t="s">
        <v>6251</v>
      </c>
      <c r="C120" s="879" t="s">
        <v>12</v>
      </c>
      <c r="D120" s="879"/>
      <c r="E120" s="875" t="s">
        <v>13</v>
      </c>
      <c r="F120" s="780">
        <v>11.5</v>
      </c>
      <c r="G120" s="982"/>
      <c r="H120" s="95"/>
      <c r="I120" s="1064"/>
      <c r="J120" s="622"/>
      <c r="K120" s="982">
        <v>11.5</v>
      </c>
      <c r="L120" s="622"/>
      <c r="M120" s="982"/>
      <c r="N120" s="622"/>
      <c r="O120" s="982"/>
      <c r="P120" s="622"/>
      <c r="Q120" s="1063"/>
      <c r="R120" s="622"/>
      <c r="S120" s="982"/>
      <c r="T120" s="861"/>
    </row>
    <row r="121" spans="1:44" s="224" customFormat="1" ht="15" hidden="1" customHeight="1" x14ac:dyDescent="0.25">
      <c r="A121" s="247">
        <v>45376</v>
      </c>
      <c r="B121" s="882" t="s">
        <v>6258</v>
      </c>
      <c r="C121" s="879" t="s">
        <v>12</v>
      </c>
      <c r="D121" s="879"/>
      <c r="E121" s="875"/>
      <c r="F121" s="780"/>
      <c r="G121" s="982">
        <v>635.9</v>
      </c>
      <c r="H121" s="95"/>
      <c r="I121" s="1064"/>
      <c r="J121" s="613">
        <v>635.9</v>
      </c>
      <c r="K121" s="982"/>
      <c r="L121" s="622"/>
      <c r="M121" s="982"/>
      <c r="N121" s="622"/>
      <c r="O121" s="982"/>
      <c r="P121" s="622"/>
      <c r="Q121" s="1063"/>
      <c r="R121" s="622"/>
      <c r="S121" s="982"/>
      <c r="T121" s="861"/>
    </row>
    <row r="122" spans="1:44" s="224" customFormat="1" ht="15" customHeight="1" x14ac:dyDescent="0.25">
      <c r="A122" s="247">
        <v>45376</v>
      </c>
      <c r="B122" s="1275" t="s">
        <v>6314</v>
      </c>
      <c r="C122" s="1276" t="s">
        <v>12</v>
      </c>
      <c r="D122" s="1276" t="s">
        <v>1524</v>
      </c>
      <c r="E122" s="1286" t="s">
        <v>13</v>
      </c>
      <c r="F122" s="613">
        <v>635.9</v>
      </c>
      <c r="G122" s="967"/>
      <c r="H122" s="1008"/>
      <c r="I122" s="1063"/>
      <c r="J122" s="613"/>
      <c r="K122" s="6"/>
      <c r="L122" s="613"/>
      <c r="M122" s="6"/>
      <c r="N122" s="622"/>
      <c r="O122" s="982"/>
      <c r="P122" s="622"/>
      <c r="Q122" s="1063"/>
      <c r="R122" s="613"/>
      <c r="S122" s="64"/>
      <c r="T122" s="2062" t="s">
        <v>6315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</row>
    <row r="123" spans="1:44" s="224" customFormat="1" ht="15" hidden="1" customHeight="1" x14ac:dyDescent="0.25">
      <c r="A123" s="247">
        <v>45377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22</v>
      </c>
      <c r="G123" s="982"/>
      <c r="H123" s="95"/>
      <c r="I123" s="1064"/>
      <c r="J123" s="622"/>
      <c r="K123" s="982"/>
      <c r="L123" s="622"/>
      <c r="M123" s="982"/>
      <c r="N123" s="622"/>
      <c r="O123" s="982"/>
      <c r="P123" s="622"/>
      <c r="Q123" s="1063"/>
      <c r="R123" s="622"/>
      <c r="S123" s="982"/>
      <c r="T123" s="861"/>
    </row>
    <row r="124" spans="1:44" s="224" customFormat="1" ht="15" customHeight="1" x14ac:dyDescent="0.25">
      <c r="A124" s="247">
        <v>45377</v>
      </c>
      <c r="B124" s="882" t="s">
        <v>6318</v>
      </c>
      <c r="C124" s="879" t="s">
        <v>12</v>
      </c>
      <c r="D124" s="879" t="s">
        <v>1524</v>
      </c>
      <c r="E124" s="871" t="s">
        <v>13</v>
      </c>
      <c r="F124" s="780">
        <v>21.99</v>
      </c>
      <c r="G124" s="946"/>
      <c r="H124" s="95"/>
      <c r="I124" s="1064"/>
      <c r="J124" s="622"/>
      <c r="K124" s="982"/>
      <c r="L124" s="622"/>
      <c r="M124" s="982"/>
      <c r="N124" s="622"/>
      <c r="O124" s="982"/>
      <c r="P124" s="622"/>
      <c r="Q124" s="1063"/>
      <c r="R124" s="622"/>
      <c r="S124" s="982"/>
      <c r="T124" s="1028"/>
      <c r="W124" s="958"/>
    </row>
    <row r="125" spans="1:44" s="224" customFormat="1" ht="15" hidden="1" customHeight="1" x14ac:dyDescent="0.25">
      <c r="A125" s="247">
        <v>45378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22</v>
      </c>
      <c r="G125" s="982"/>
      <c r="H125" s="95"/>
      <c r="I125" s="1064"/>
      <c r="J125" s="622"/>
      <c r="K125" s="982"/>
      <c r="L125" s="622"/>
      <c r="M125" s="982"/>
      <c r="N125" s="622"/>
      <c r="O125" s="982"/>
      <c r="P125" s="622"/>
      <c r="Q125" s="1063"/>
      <c r="R125" s="622"/>
      <c r="S125" s="982"/>
      <c r="T125" s="861"/>
    </row>
    <row r="126" spans="1:44" s="224" customFormat="1" ht="15" hidden="1" customHeight="1" x14ac:dyDescent="0.25">
      <c r="A126" s="247">
        <v>45378</v>
      </c>
      <c r="B126" s="882" t="s">
        <v>6258</v>
      </c>
      <c r="C126" s="879" t="s">
        <v>12</v>
      </c>
      <c r="D126" s="879"/>
      <c r="E126" s="875"/>
      <c r="F126" s="780"/>
      <c r="G126" s="982">
        <v>281.89999999999998</v>
      </c>
      <c r="H126" s="95"/>
      <c r="I126" s="1064"/>
      <c r="J126" s="613">
        <v>281.89999999999998</v>
      </c>
      <c r="K126" s="982"/>
      <c r="L126" s="622"/>
      <c r="M126" s="982"/>
      <c r="N126" s="622"/>
      <c r="O126" s="982"/>
      <c r="P126" s="622"/>
      <c r="Q126" s="1063"/>
      <c r="R126" s="622"/>
      <c r="S126" s="982"/>
      <c r="T126" s="861"/>
    </row>
    <row r="127" spans="1:44" s="224" customFormat="1" ht="15" customHeight="1" x14ac:dyDescent="0.25">
      <c r="A127" s="247">
        <v>45378</v>
      </c>
      <c r="B127" s="1275" t="s">
        <v>6314</v>
      </c>
      <c r="C127" s="1276" t="s">
        <v>12</v>
      </c>
      <c r="D127" s="1276" t="s">
        <v>1524</v>
      </c>
      <c r="E127" s="1286" t="s">
        <v>13</v>
      </c>
      <c r="F127" s="613">
        <v>281.89999999999998</v>
      </c>
      <c r="G127" s="967"/>
      <c r="H127" s="1008"/>
      <c r="I127" s="1063"/>
      <c r="J127" s="613"/>
      <c r="K127" s="6"/>
      <c r="L127" s="613"/>
      <c r="M127" s="6"/>
      <c r="N127" s="622"/>
      <c r="O127" s="982"/>
      <c r="P127" s="622"/>
      <c r="Q127" s="1063"/>
      <c r="R127" s="613"/>
      <c r="S127" s="64"/>
      <c r="T127" s="2062" t="s">
        <v>6319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</row>
    <row r="128" spans="1:44" s="224" customFormat="1" ht="15" hidden="1" customHeight="1" x14ac:dyDescent="0.25">
      <c r="A128" s="247">
        <v>45378</v>
      </c>
      <c r="B128" s="882" t="s">
        <v>6320</v>
      </c>
      <c r="C128" s="879" t="s">
        <v>19</v>
      </c>
      <c r="D128" s="879" t="s">
        <v>1491</v>
      </c>
      <c r="E128" s="871" t="s">
        <v>13</v>
      </c>
      <c r="F128" s="780">
        <v>49</v>
      </c>
      <c r="G128" s="946"/>
      <c r="H128" s="95"/>
      <c r="I128" s="1064"/>
      <c r="J128" s="622"/>
      <c r="K128" s="982"/>
      <c r="L128" s="622"/>
      <c r="M128" s="982"/>
      <c r="N128" s="622"/>
      <c r="O128" s="982"/>
      <c r="P128" s="622"/>
      <c r="Q128" s="1063"/>
      <c r="R128" s="622"/>
      <c r="S128" s="982"/>
      <c r="T128" s="1028"/>
      <c r="W128" s="958"/>
    </row>
    <row r="129" spans="1:44" s="224" customFormat="1" ht="15" hidden="1" customHeight="1" x14ac:dyDescent="0.25">
      <c r="A129" s="247">
        <v>45378</v>
      </c>
      <c r="B129" s="882" t="s">
        <v>6321</v>
      </c>
      <c r="C129" s="879" t="s">
        <v>19</v>
      </c>
      <c r="D129" s="879" t="s">
        <v>1489</v>
      </c>
      <c r="E129" s="871" t="s">
        <v>13</v>
      </c>
      <c r="F129" s="780">
        <v>49</v>
      </c>
      <c r="G129" s="946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1028"/>
      <c r="W129" s="958"/>
    </row>
    <row r="130" spans="1:44" s="224" customFormat="1" ht="15" hidden="1" customHeight="1" x14ac:dyDescent="0.25">
      <c r="A130" s="247">
        <v>45378</v>
      </c>
      <c r="B130" s="1275" t="s">
        <v>1331</v>
      </c>
      <c r="C130" s="879" t="s">
        <v>19</v>
      </c>
      <c r="D130" s="1276" t="s">
        <v>2157</v>
      </c>
      <c r="E130" s="875" t="s">
        <v>13</v>
      </c>
      <c r="F130" s="613">
        <v>80</v>
      </c>
      <c r="G130" s="946"/>
      <c r="H130" s="95"/>
      <c r="I130" s="1064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1028"/>
      <c r="W130" s="958"/>
    </row>
    <row r="131" spans="1:44" s="224" customFormat="1" ht="15" hidden="1" customHeight="1" x14ac:dyDescent="0.25">
      <c r="A131" s="247">
        <v>45379</v>
      </c>
      <c r="B131" s="882" t="s">
        <v>32</v>
      </c>
      <c r="C131" s="879" t="s">
        <v>12</v>
      </c>
      <c r="D131" s="879" t="s">
        <v>1485</v>
      </c>
      <c r="E131" s="875" t="s">
        <v>13</v>
      </c>
      <c r="F131" s="780">
        <v>22</v>
      </c>
      <c r="G131" s="982"/>
      <c r="H131" s="95"/>
      <c r="I131" s="1064"/>
      <c r="J131" s="622"/>
      <c r="K131" s="982"/>
      <c r="L131" s="622"/>
      <c r="M131" s="982"/>
      <c r="N131" s="622"/>
      <c r="O131" s="982"/>
      <c r="P131" s="622"/>
      <c r="Q131" s="1063"/>
      <c r="R131" s="622"/>
      <c r="S131" s="982"/>
      <c r="T131" s="861"/>
    </row>
    <row r="132" spans="1:44" s="224" customFormat="1" ht="15" hidden="1" customHeight="1" x14ac:dyDescent="0.25">
      <c r="A132" s="247">
        <v>45379</v>
      </c>
      <c r="B132" s="882" t="s">
        <v>467</v>
      </c>
      <c r="C132" s="879" t="s">
        <v>12</v>
      </c>
      <c r="D132" s="879" t="s">
        <v>1489</v>
      </c>
      <c r="E132" s="871" t="s">
        <v>13</v>
      </c>
      <c r="F132" s="780">
        <v>4.29</v>
      </c>
      <c r="G132" s="982"/>
      <c r="H132" s="622"/>
      <c r="I132" s="982"/>
      <c r="J132" s="622"/>
      <c r="K132" s="982"/>
      <c r="L132" s="622"/>
      <c r="M132" s="982"/>
      <c r="N132" s="622"/>
      <c r="O132" s="982"/>
      <c r="P132" s="622"/>
      <c r="Q132" s="1063"/>
      <c r="R132" s="622"/>
      <c r="S132" s="982"/>
      <c r="T132" s="1028"/>
      <c r="U132" s="959"/>
      <c r="V132" s="878"/>
      <c r="W132" s="958"/>
    </row>
    <row r="133" spans="1:44" s="224" customFormat="1" ht="15" hidden="1" customHeight="1" x14ac:dyDescent="0.25">
      <c r="A133" s="247">
        <v>45379</v>
      </c>
      <c r="B133" s="882" t="s">
        <v>82</v>
      </c>
      <c r="C133" s="879" t="s">
        <v>12</v>
      </c>
      <c r="D133" s="879" t="s">
        <v>1493</v>
      </c>
      <c r="E133" s="875" t="s">
        <v>13</v>
      </c>
      <c r="F133" s="780">
        <v>31</v>
      </c>
      <c r="G133" s="982"/>
      <c r="H133" s="95"/>
      <c r="I133" s="1064"/>
      <c r="J133" s="622"/>
      <c r="K133" s="982"/>
      <c r="L133" s="622"/>
      <c r="M133" s="982"/>
      <c r="N133" s="622"/>
      <c r="O133" s="982"/>
      <c r="P133" s="622"/>
      <c r="Q133" s="1063"/>
      <c r="R133" s="622"/>
      <c r="S133" s="982"/>
      <c r="T133" s="861"/>
    </row>
    <row r="134" spans="1:44" s="224" customFormat="1" ht="15" hidden="1" customHeight="1" x14ac:dyDescent="0.25">
      <c r="A134" s="247">
        <v>45380</v>
      </c>
      <c r="B134" s="349" t="s">
        <v>14</v>
      </c>
      <c r="C134" s="350" t="s">
        <v>12</v>
      </c>
      <c r="D134" s="350" t="s">
        <v>1486</v>
      </c>
      <c r="E134" s="480" t="s">
        <v>13</v>
      </c>
      <c r="F134" s="780">
        <v>7.63</v>
      </c>
      <c r="G134" s="982"/>
      <c r="H134" s="622"/>
      <c r="I134" s="982"/>
      <c r="J134" s="622"/>
      <c r="K134" s="982"/>
      <c r="L134" s="622"/>
      <c r="M134" s="982"/>
      <c r="N134" s="622"/>
      <c r="O134" s="982"/>
      <c r="P134" s="622"/>
      <c r="Q134" s="1063"/>
      <c r="R134" s="622"/>
      <c r="S134" s="982"/>
      <c r="T134" s="1028"/>
      <c r="U134" s="959"/>
      <c r="V134" s="878"/>
      <c r="W134" s="958"/>
    </row>
    <row r="135" spans="1:44" s="224" customFormat="1" ht="15" hidden="1" customHeight="1" x14ac:dyDescent="0.25">
      <c r="A135" s="247">
        <v>45380</v>
      </c>
      <c r="B135" s="364" t="s">
        <v>6322</v>
      </c>
      <c r="C135" s="350" t="s">
        <v>12</v>
      </c>
      <c r="D135" s="350" t="s">
        <v>1493</v>
      </c>
      <c r="E135" s="875" t="s">
        <v>13</v>
      </c>
      <c r="F135" s="780">
        <v>29.99</v>
      </c>
      <c r="G135" s="982"/>
      <c r="H135" s="1008"/>
      <c r="I135" s="1063"/>
      <c r="J135" s="622"/>
      <c r="K135" s="982"/>
      <c r="L135" s="622"/>
      <c r="M135" s="982"/>
      <c r="N135" s="622"/>
      <c r="O135" s="982"/>
      <c r="P135" s="622"/>
      <c r="Q135" s="1063"/>
      <c r="R135" s="622"/>
      <c r="S135" s="982"/>
      <c r="T135" s="861"/>
      <c r="V135" s="1035"/>
    </row>
    <row r="136" spans="1:44" s="224" customFormat="1" ht="15" hidden="1" customHeight="1" x14ac:dyDescent="0.25">
      <c r="A136" s="247">
        <v>45380</v>
      </c>
      <c r="B136" s="882" t="s">
        <v>6258</v>
      </c>
      <c r="C136" s="879" t="s">
        <v>12</v>
      </c>
      <c r="D136" s="879"/>
      <c r="E136" s="875"/>
      <c r="F136" s="780"/>
      <c r="G136" s="982">
        <v>1500</v>
      </c>
      <c r="H136" s="95"/>
      <c r="I136" s="1064"/>
      <c r="J136" s="613">
        <v>1500</v>
      </c>
      <c r="K136" s="982"/>
      <c r="L136" s="622"/>
      <c r="M136" s="982"/>
      <c r="N136" s="622"/>
      <c r="O136" s="982"/>
      <c r="P136" s="622"/>
      <c r="Q136" s="1063"/>
      <c r="R136" s="622"/>
      <c r="S136" s="982"/>
      <c r="T136" s="861"/>
    </row>
    <row r="137" spans="1:44" s="224" customFormat="1" ht="15" customHeight="1" x14ac:dyDescent="0.25">
      <c r="A137" s="247">
        <v>45380</v>
      </c>
      <c r="B137" s="1275" t="s">
        <v>6323</v>
      </c>
      <c r="C137" s="1276" t="s">
        <v>12</v>
      </c>
      <c r="D137" s="1276" t="s">
        <v>1524</v>
      </c>
      <c r="E137" s="1286" t="s">
        <v>13</v>
      </c>
      <c r="F137" s="613">
        <v>1500</v>
      </c>
      <c r="G137" s="967"/>
      <c r="H137" s="1008"/>
      <c r="I137" s="1063"/>
      <c r="J137" s="613"/>
      <c r="K137" s="6"/>
      <c r="L137" s="613"/>
      <c r="M137" s="6"/>
      <c r="N137" s="622"/>
      <c r="O137" s="982"/>
      <c r="P137" s="622"/>
      <c r="Q137" s="1063"/>
      <c r="R137" s="613"/>
      <c r="S137" s="64"/>
      <c r="T137" s="2062" t="s">
        <v>6218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</row>
    <row r="138" spans="1:44" s="224" customFormat="1" ht="15" hidden="1" customHeight="1" x14ac:dyDescent="0.25">
      <c r="A138" s="247">
        <v>45380</v>
      </c>
      <c r="B138" s="349" t="s">
        <v>14</v>
      </c>
      <c r="C138" s="350" t="s">
        <v>12</v>
      </c>
      <c r="D138" s="350" t="s">
        <v>1486</v>
      </c>
      <c r="E138" s="480" t="s">
        <v>13</v>
      </c>
      <c r="F138" s="780">
        <v>13.69</v>
      </c>
      <c r="G138" s="982"/>
      <c r="H138" s="622"/>
      <c r="I138" s="982"/>
      <c r="J138" s="622"/>
      <c r="K138" s="982"/>
      <c r="L138" s="622"/>
      <c r="M138" s="982"/>
      <c r="N138" s="622"/>
      <c r="O138" s="982"/>
      <c r="P138" s="622"/>
      <c r="Q138" s="1063"/>
      <c r="R138" s="622"/>
      <c r="S138" s="982"/>
      <c r="T138" s="1028"/>
      <c r="U138" s="959"/>
      <c r="V138" s="878"/>
      <c r="W138" s="958"/>
    </row>
    <row r="139" spans="1:44" s="224" customFormat="1" ht="15" hidden="1" customHeight="1" x14ac:dyDescent="0.25">
      <c r="A139" s="247">
        <v>45381</v>
      </c>
      <c r="B139" s="349" t="s">
        <v>14</v>
      </c>
      <c r="C139" s="350" t="s">
        <v>12</v>
      </c>
      <c r="D139" s="350" t="s">
        <v>1486</v>
      </c>
      <c r="E139" s="480" t="s">
        <v>13</v>
      </c>
      <c r="F139" s="780">
        <v>7.34</v>
      </c>
      <c r="G139" s="982"/>
      <c r="H139" s="1008"/>
      <c r="I139" s="1063"/>
      <c r="J139" s="622"/>
      <c r="K139" s="982"/>
      <c r="L139" s="622"/>
      <c r="M139" s="982"/>
      <c r="N139" s="622"/>
      <c r="O139" s="982"/>
      <c r="P139" s="622"/>
      <c r="Q139" s="1063"/>
      <c r="R139" s="622"/>
      <c r="S139" s="982"/>
      <c r="T139" s="861"/>
      <c r="V139" s="1035"/>
    </row>
    <row r="140" spans="1:44" s="224" customFormat="1" ht="15" hidden="1" customHeight="1" x14ac:dyDescent="0.25">
      <c r="A140" s="247">
        <v>45381</v>
      </c>
      <c r="B140" s="349" t="s">
        <v>6324</v>
      </c>
      <c r="C140" s="350" t="s">
        <v>12</v>
      </c>
      <c r="D140" s="350" t="s">
        <v>1489</v>
      </c>
      <c r="E140" s="480" t="s">
        <v>13</v>
      </c>
      <c r="F140" s="780">
        <v>20.41</v>
      </c>
      <c r="G140" s="946"/>
      <c r="H140" s="95"/>
      <c r="I140" s="1064"/>
      <c r="J140" s="622"/>
      <c r="K140" s="982"/>
      <c r="L140" s="622"/>
      <c r="M140" s="982"/>
      <c r="N140" s="622"/>
      <c r="O140" s="982"/>
      <c r="P140" s="622"/>
      <c r="Q140" s="1063"/>
      <c r="R140" s="622"/>
      <c r="S140" s="982"/>
      <c r="T140" s="861"/>
      <c r="V140" s="927"/>
      <c r="W140" s="999"/>
    </row>
    <row r="141" spans="1:44" s="224" customFormat="1" ht="15" hidden="1" customHeight="1" x14ac:dyDescent="0.25">
      <c r="A141" s="247">
        <v>45381</v>
      </c>
      <c r="B141" s="349" t="s">
        <v>6325</v>
      </c>
      <c r="C141" s="350" t="s">
        <v>12</v>
      </c>
      <c r="D141" s="350" t="s">
        <v>1489</v>
      </c>
      <c r="E141" s="480" t="s">
        <v>13</v>
      </c>
      <c r="F141" s="780">
        <v>5.6</v>
      </c>
      <c r="G141" s="982"/>
      <c r="H141" s="1008"/>
      <c r="I141" s="1063"/>
      <c r="J141" s="622"/>
      <c r="K141" s="982"/>
      <c r="L141" s="622"/>
      <c r="M141" s="982"/>
      <c r="N141" s="622"/>
      <c r="O141" s="982"/>
      <c r="P141" s="622"/>
      <c r="Q141" s="1063"/>
      <c r="R141" s="622"/>
      <c r="S141" s="982"/>
      <c r="T141" s="861"/>
      <c r="V141" s="1035"/>
    </row>
    <row r="142" spans="1:44" s="224" customFormat="1" ht="15" hidden="1" customHeight="1" x14ac:dyDescent="0.25">
      <c r="A142" s="247">
        <v>45381</v>
      </c>
      <c r="B142" s="349" t="s">
        <v>82</v>
      </c>
      <c r="C142" s="350" t="s">
        <v>12</v>
      </c>
      <c r="D142" s="350" t="s">
        <v>1493</v>
      </c>
      <c r="E142" s="480" t="s">
        <v>13</v>
      </c>
      <c r="F142" s="780">
        <v>20</v>
      </c>
      <c r="G142" s="946"/>
      <c r="H142" s="95"/>
      <c r="I142" s="1064"/>
      <c r="J142" s="622"/>
      <c r="K142" s="982"/>
      <c r="L142" s="622"/>
      <c r="M142" s="982"/>
      <c r="N142" s="622"/>
      <c r="O142" s="982"/>
      <c r="P142" s="622"/>
      <c r="Q142" s="1063"/>
      <c r="R142" s="622"/>
      <c r="S142" s="982"/>
      <c r="T142" s="861"/>
      <c r="V142" s="927"/>
      <c r="W142" s="999"/>
    </row>
    <row r="143" spans="1:44" s="224" customFormat="1" ht="15" hidden="1" customHeight="1" x14ac:dyDescent="0.25">
      <c r="A143" s="247">
        <v>45382</v>
      </c>
      <c r="B143" s="349" t="s">
        <v>14</v>
      </c>
      <c r="C143" s="350" t="s">
        <v>12</v>
      </c>
      <c r="D143" s="350" t="s">
        <v>1486</v>
      </c>
      <c r="E143" s="480" t="s">
        <v>13</v>
      </c>
      <c r="F143" s="780">
        <v>5.24</v>
      </c>
      <c r="G143" s="982"/>
      <c r="H143" s="1008"/>
      <c r="I143" s="1063"/>
      <c r="J143" s="622"/>
      <c r="K143" s="982"/>
      <c r="L143" s="622"/>
      <c r="M143" s="982"/>
      <c r="N143" s="622"/>
      <c r="O143" s="982"/>
      <c r="P143" s="622"/>
      <c r="Q143" s="1063"/>
      <c r="R143" s="622"/>
      <c r="S143" s="982"/>
      <c r="T143" s="861"/>
      <c r="V143" s="1035"/>
    </row>
    <row r="144" spans="1:44" s="224" customFormat="1" ht="15" hidden="1" customHeight="1" x14ac:dyDescent="0.25">
      <c r="A144" s="247">
        <v>45382</v>
      </c>
      <c r="B144" s="349" t="s">
        <v>80</v>
      </c>
      <c r="C144" s="350" t="s">
        <v>12</v>
      </c>
      <c r="D144" s="350" t="s">
        <v>1523</v>
      </c>
      <c r="E144" s="480" t="s">
        <v>13</v>
      </c>
      <c r="F144" s="780">
        <v>20</v>
      </c>
      <c r="G144" s="946"/>
      <c r="H144" s="95"/>
      <c r="I144" s="1064"/>
      <c r="J144" s="622"/>
      <c r="K144" s="982"/>
      <c r="L144" s="622"/>
      <c r="M144" s="982"/>
      <c r="N144" s="622"/>
      <c r="O144" s="982"/>
      <c r="P144" s="622"/>
      <c r="Q144" s="1063"/>
      <c r="R144" s="622"/>
      <c r="S144" s="982"/>
      <c r="T144" s="861"/>
      <c r="V144" s="927"/>
      <c r="W144" s="999"/>
    </row>
    <row r="145" spans="1:28" s="224" customFormat="1" ht="15" hidden="1" customHeight="1" thickBot="1" x14ac:dyDescent="0.3">
      <c r="A145" s="247">
        <v>45382</v>
      </c>
      <c r="B145" s="349" t="s">
        <v>6168</v>
      </c>
      <c r="C145" s="350" t="s">
        <v>12</v>
      </c>
      <c r="D145" s="350"/>
      <c r="E145" s="480" t="s">
        <v>25</v>
      </c>
      <c r="F145" s="780"/>
      <c r="G145" s="946"/>
      <c r="H145" s="95"/>
      <c r="I145" s="2096">
        <v>17.489999999999998</v>
      </c>
      <c r="J145" s="622"/>
      <c r="K145" s="2096">
        <v>8.09</v>
      </c>
      <c r="L145" s="622"/>
      <c r="M145" s="982"/>
      <c r="N145" s="622"/>
      <c r="O145" s="982"/>
      <c r="P145" s="622"/>
      <c r="Q145" s="2096">
        <v>2.89</v>
      </c>
      <c r="R145" s="622"/>
      <c r="S145" s="982"/>
      <c r="T145" s="861"/>
      <c r="V145" s="927"/>
      <c r="W145" s="999"/>
    </row>
    <row r="146" spans="1:28" ht="25.5" hidden="1" customHeight="1" thickBot="1" x14ac:dyDescent="0.3">
      <c r="A146" s="3060"/>
      <c r="B146" s="3061"/>
      <c r="C146" s="3062"/>
      <c r="D146" s="3062"/>
      <c r="E146" s="3062"/>
      <c r="F146" s="1023">
        <f>SUM(F6:F145)</f>
        <v>16657.404999999995</v>
      </c>
      <c r="G146" s="1065">
        <f>SUM(G5:G145)</f>
        <v>16977.963250000037</v>
      </c>
      <c r="H146" s="517">
        <f>SUM(H6:H145)</f>
        <v>0</v>
      </c>
      <c r="I146" s="93">
        <f>SUM(I5:I145)</f>
        <v>2117.485999999999</v>
      </c>
      <c r="J146" s="1023">
        <f>SUM(J6:J145)</f>
        <v>6818.6899999999987</v>
      </c>
      <c r="K146" s="93">
        <f>SUM(K5:K145)</f>
        <v>15630.490000000002</v>
      </c>
      <c r="L146" s="1023">
        <f>SUM(L6:L145)</f>
        <v>0</v>
      </c>
      <c r="M146" s="93">
        <f>SUM(M5:M145)</f>
        <v>26844.530000000002</v>
      </c>
      <c r="N146" s="1023">
        <f>SUM(N6:N145)</f>
        <v>5094</v>
      </c>
      <c r="O146" s="93">
        <f>SUM(O5:O145)</f>
        <v>5094.0000000000018</v>
      </c>
      <c r="P146" s="1023">
        <f>SUM(P6:P145)</f>
        <v>373.52</v>
      </c>
      <c r="Q146" s="93">
        <f>SUM(Q5:Q145)</f>
        <v>5376.4100000000008</v>
      </c>
      <c r="R146" s="1211">
        <f>SUM(R6:R145)</f>
        <v>24197.98</v>
      </c>
      <c r="S146" s="93">
        <f>SUM(S5:S145)</f>
        <v>52106.235984720006</v>
      </c>
      <c r="U146" s="216"/>
    </row>
    <row r="147" spans="1:28" ht="25.5" hidden="1" customHeight="1" thickBot="1" x14ac:dyDescent="0.3">
      <c r="A147" s="3117" t="s">
        <v>49</v>
      </c>
      <c r="B147" s="3118"/>
      <c r="C147" s="3118"/>
      <c r="D147" s="3118"/>
      <c r="E147" s="3118"/>
      <c r="F147" s="144" t="s">
        <v>280</v>
      </c>
      <c r="G147" s="519">
        <f>G146-F146</f>
        <v>320.55825000004188</v>
      </c>
      <c r="H147" s="555"/>
      <c r="I147" s="772">
        <f>I146-H146</f>
        <v>2117.485999999999</v>
      </c>
      <c r="J147" s="593"/>
      <c r="K147" s="993">
        <f>K146-J146</f>
        <v>8811.8000000000029</v>
      </c>
      <c r="L147" s="593"/>
      <c r="M147" s="993">
        <f>M146-L146</f>
        <v>26844.530000000002</v>
      </c>
      <c r="N147" s="593"/>
      <c r="O147" s="772">
        <f>O146-N146</f>
        <v>0</v>
      </c>
      <c r="P147" s="593"/>
      <c r="Q147" s="772">
        <f>Q146-P146</f>
        <v>5002.8900000000012</v>
      </c>
      <c r="R147" s="593"/>
      <c r="S147" s="556">
        <f>S146-R146</f>
        <v>27908.255984720006</v>
      </c>
      <c r="T147" s="484">
        <f>M147+O147+Q147+S147</f>
        <v>59755.675984720016</v>
      </c>
    </row>
    <row r="148" spans="1:28" hidden="1" x14ac:dyDescent="0.25">
      <c r="J148" s="1238"/>
      <c r="K148" s="1238"/>
      <c r="L148" s="1238"/>
      <c r="M148" s="1238">
        <f>M147/T147</f>
        <v>0.44923816118931287</v>
      </c>
      <c r="O148" s="1238">
        <f>O147/T147</f>
        <v>0</v>
      </c>
      <c r="Q148" s="1238">
        <f>Q147/T147</f>
        <v>8.3722423310536698E-2</v>
      </c>
      <c r="R148" s="1239"/>
      <c r="S148" s="1239">
        <f>S147/T147</f>
        <v>0.46703941550015032</v>
      </c>
      <c r="T148" s="867"/>
      <c r="U148" s="867"/>
      <c r="V148" s="79"/>
      <c r="Y148" s="518"/>
      <c r="Z148" s="216"/>
      <c r="AB148" s="877"/>
    </row>
    <row r="149" spans="1:28" hidden="1" x14ac:dyDescent="0.25">
      <c r="B149" s="81" t="s">
        <v>3</v>
      </c>
      <c r="C149" s="193" t="s">
        <v>1484</v>
      </c>
      <c r="D149" s="970" t="s">
        <v>2378</v>
      </c>
      <c r="E149" s="193" t="s">
        <v>3216</v>
      </c>
      <c r="F149" s="1061" t="s">
        <v>3217</v>
      </c>
      <c r="G149" s="216"/>
      <c r="I149" s="216"/>
      <c r="J149" s="867"/>
      <c r="K149" s="866"/>
      <c r="L149" s="867"/>
      <c r="M149" s="866"/>
      <c r="O149" s="866"/>
      <c r="Q149" s="866"/>
      <c r="R149" s="1038"/>
      <c r="S149" s="1038">
        <f>S147+R36+R37+R38</f>
        <v>52106.235984720006</v>
      </c>
      <c r="T149" s="865"/>
      <c r="U149" s="867"/>
    </row>
    <row r="150" spans="1:28" hidden="1" x14ac:dyDescent="0.25">
      <c r="B150" s="79" t="s">
        <v>32</v>
      </c>
      <c r="C150" s="85" t="s">
        <v>1485</v>
      </c>
      <c r="D150" s="475">
        <f>SUMIF($D$7:$D$145,"A",$F$7:$F$145)</f>
        <v>389.85</v>
      </c>
      <c r="E150" s="1202">
        <f t="shared" ref="E150:E165" si="0">D150/$K$167</f>
        <v>12.575806451612904</v>
      </c>
      <c r="F150" s="1203">
        <f t="shared" ref="F150:F165" si="1">E150/$E$168</f>
        <v>7.9177777822910675E-2</v>
      </c>
      <c r="G150" s="630"/>
      <c r="H150" s="1210"/>
      <c r="I150" s="1210"/>
      <c r="J150" s="1038" t="s">
        <v>6327</v>
      </c>
      <c r="K150" s="216">
        <v>780.76</v>
      </c>
      <c r="L150" s="1210"/>
      <c r="M150" s="754"/>
      <c r="O150" s="886"/>
      <c r="Q150" s="886"/>
      <c r="R150" s="886"/>
      <c r="S150" s="1210"/>
      <c r="T150" s="1038"/>
      <c r="U150" s="1210"/>
      <c r="W150" s="1201"/>
      <c r="X150" s="877"/>
    </row>
    <row r="151" spans="1:28" hidden="1" x14ac:dyDescent="0.25">
      <c r="B151" s="79" t="s">
        <v>2187</v>
      </c>
      <c r="C151" s="85" t="s">
        <v>2157</v>
      </c>
      <c r="D151" s="475">
        <f>SUMIF($D$12:$D$145,"GAC",$F$12:$F$145)</f>
        <v>390</v>
      </c>
      <c r="E151" s="1202">
        <f t="shared" si="0"/>
        <v>12.580645161290322</v>
      </c>
      <c r="F151" s="1203">
        <f t="shared" si="1"/>
        <v>7.9208242531576656E-2</v>
      </c>
      <c r="G151" s="609"/>
      <c r="J151" s="1038" t="s">
        <v>6328</v>
      </c>
      <c r="K151" s="1225">
        <v>8031.04</v>
      </c>
      <c r="L151" s="1038"/>
      <c r="M151" s="1225"/>
      <c r="O151" s="1210"/>
      <c r="Q151" s="1038"/>
      <c r="R151" s="1210"/>
      <c r="S151" s="1038"/>
      <c r="T151" s="1038"/>
      <c r="W151" s="877"/>
      <c r="X151" s="877"/>
    </row>
    <row r="152" spans="1:28" s="85" customFormat="1" hidden="1" x14ac:dyDescent="0.25">
      <c r="A152" s="79"/>
      <c r="B152" s="79" t="s">
        <v>50</v>
      </c>
      <c r="C152" s="85" t="s">
        <v>1493</v>
      </c>
      <c r="D152" s="475">
        <f>SUMIF($D$7:$D$145,"LD",$F$7:$F$145)</f>
        <v>526.75</v>
      </c>
      <c r="E152" s="1202">
        <f t="shared" si="0"/>
        <v>16.991935483870968</v>
      </c>
      <c r="F152" s="1203">
        <f t="shared" si="1"/>
        <v>0.10698190193207181</v>
      </c>
      <c r="J152" s="2125"/>
      <c r="K152" s="1129">
        <f>SUM(K150:K151)</f>
        <v>8811.7999999999993</v>
      </c>
      <c r="L152" s="864"/>
      <c r="M152" s="877"/>
      <c r="O152" s="941"/>
      <c r="P152" s="877"/>
      <c r="Q152" s="863"/>
      <c r="S152" s="79"/>
      <c r="T152" s="177"/>
      <c r="W152" s="877"/>
      <c r="X152" s="877"/>
    </row>
    <row r="153" spans="1:28" s="85" customFormat="1" hidden="1" x14ac:dyDescent="0.25">
      <c r="A153" s="79"/>
      <c r="B153" s="79" t="s">
        <v>14</v>
      </c>
      <c r="C153" s="85" t="s">
        <v>1486</v>
      </c>
      <c r="D153" s="475">
        <f>SUMIF($D$7:$D$145,"C",$F$7:$F$145)</f>
        <v>113.05999999999999</v>
      </c>
      <c r="E153" s="1202">
        <f t="shared" si="0"/>
        <v>3.6470967741935478</v>
      </c>
      <c r="F153" s="1203">
        <f t="shared" si="1"/>
        <v>2.2962266411846299E-2</v>
      </c>
      <c r="G153" s="79"/>
      <c r="H153" s="79"/>
      <c r="J153" s="1038"/>
      <c r="L153" s="1038"/>
      <c r="M153" s="877"/>
      <c r="O153" s="1028"/>
      <c r="P153" s="877"/>
      <c r="Q153" s="1038"/>
      <c r="T153" s="177"/>
      <c r="W153" s="877"/>
      <c r="X153" s="877"/>
    </row>
    <row r="154" spans="1:28" s="85" customFormat="1" hidden="1" x14ac:dyDescent="0.25">
      <c r="B154" s="79" t="s">
        <v>51</v>
      </c>
      <c r="C154" s="864" t="s">
        <v>1499</v>
      </c>
      <c r="D154" s="475">
        <f>SUMIF($D$30:$D$145,"CAL",$F$30:$F$145)</f>
        <v>80.2</v>
      </c>
      <c r="E154" s="1202">
        <f t="shared" si="0"/>
        <v>2.5870967741935487</v>
      </c>
      <c r="F154" s="1203">
        <f t="shared" si="1"/>
        <v>1.6288464233416535E-2</v>
      </c>
      <c r="G154" s="79"/>
      <c r="H154" s="79"/>
      <c r="I154" s="79"/>
      <c r="J154" s="1038"/>
      <c r="K154" s="877"/>
      <c r="L154" s="1038"/>
      <c r="M154" s="877"/>
      <c r="O154" s="1028"/>
      <c r="P154" s="877"/>
      <c r="Q154" s="1038"/>
      <c r="R154" s="1210"/>
      <c r="S154" s="1038"/>
      <c r="T154" s="177"/>
      <c r="W154" s="877"/>
      <c r="X154" s="877"/>
    </row>
    <row r="155" spans="1:28" s="85" customFormat="1" hidden="1" x14ac:dyDescent="0.25">
      <c r="A155" s="79"/>
      <c r="B155" s="79" t="s">
        <v>2189</v>
      </c>
      <c r="C155" s="864" t="s">
        <v>1496</v>
      </c>
      <c r="D155" s="475">
        <f>SUMIF($D$26:$D$145,"AC",$F$26:$F$145)</f>
        <v>129.38999999999999</v>
      </c>
      <c r="E155" s="1202">
        <f t="shared" si="0"/>
        <v>4.1738709677419354</v>
      </c>
      <c r="F155" s="1203">
        <f t="shared" si="1"/>
        <v>2.6278857695283857E-2</v>
      </c>
      <c r="G155" s="79"/>
      <c r="J155" s="1038"/>
      <c r="K155" s="877"/>
      <c r="L155" s="1038"/>
      <c r="M155" s="877"/>
      <c r="O155" s="877"/>
      <c r="Q155" s="177"/>
      <c r="T155" s="177"/>
      <c r="W155" s="877"/>
      <c r="X155" s="877"/>
    </row>
    <row r="156" spans="1:28" s="85" customFormat="1" hidden="1" x14ac:dyDescent="0.25">
      <c r="A156" s="79"/>
      <c r="B156" s="867" t="s">
        <v>53</v>
      </c>
      <c r="C156" s="864" t="s">
        <v>1522</v>
      </c>
      <c r="D156" s="475">
        <f>SUMIF($D$9:$D$145,"DC",$F$9:$F$145)</f>
        <v>545.97</v>
      </c>
      <c r="E156" s="1202">
        <f t="shared" si="0"/>
        <v>17.611935483870969</v>
      </c>
      <c r="F156" s="1203">
        <f t="shared" si="1"/>
        <v>0.11088544660247414</v>
      </c>
      <c r="J156" s="79"/>
      <c r="K156" s="877"/>
      <c r="L156" s="79"/>
      <c r="M156" s="877"/>
      <c r="O156" s="1959"/>
      <c r="Q156" s="177"/>
      <c r="R156" s="868"/>
      <c r="S156" s="769"/>
      <c r="T156" s="79"/>
      <c r="W156" s="877"/>
      <c r="X156" s="877"/>
    </row>
    <row r="157" spans="1:28" s="85" customFormat="1" hidden="1" x14ac:dyDescent="0.25">
      <c r="A157" s="79"/>
      <c r="B157" s="79" t="s">
        <v>3048</v>
      </c>
      <c r="C157" s="864" t="s">
        <v>1523</v>
      </c>
      <c r="D157" s="475">
        <f ca="1">SUMIF($D$7:$D$146,"B",$F$7:$F$145)</f>
        <v>55</v>
      </c>
      <c r="E157" s="1202">
        <f t="shared" ca="1" si="0"/>
        <v>1.7741935483870968</v>
      </c>
      <c r="F157" s="1203">
        <f t="shared" ca="1" si="1"/>
        <v>1.1170393177530042E-2</v>
      </c>
      <c r="G157" s="866"/>
      <c r="J157" s="1038"/>
      <c r="K157" s="877"/>
      <c r="L157" s="1038"/>
      <c r="M157" s="877"/>
      <c r="O157" s="877"/>
      <c r="Q157" s="177"/>
      <c r="R157" s="866"/>
      <c r="S157" s="1210"/>
      <c r="T157" s="877"/>
      <c r="W157" s="877"/>
      <c r="X157" s="877"/>
    </row>
    <row r="158" spans="1:28" s="85" customFormat="1" hidden="1" x14ac:dyDescent="0.25">
      <c r="A158" s="79"/>
      <c r="B158" s="79" t="s">
        <v>1686</v>
      </c>
      <c r="C158" s="864" t="s">
        <v>1506</v>
      </c>
      <c r="D158" s="475">
        <f>SUMIF($D$7:$D$145,"R",$F$7:$F$145)</f>
        <v>95.9</v>
      </c>
      <c r="E158" s="1202">
        <f t="shared" si="0"/>
        <v>3.0935483870967744</v>
      </c>
      <c r="F158" s="1203">
        <f t="shared" si="1"/>
        <v>1.9477103740456931E-2</v>
      </c>
      <c r="G158" s="868"/>
      <c r="K158" s="877"/>
      <c r="M158" s="877"/>
      <c r="O158" s="877"/>
      <c r="Q158" s="177"/>
      <c r="R158" s="1226"/>
      <c r="S158" s="1129"/>
      <c r="T158" s="877"/>
      <c r="W158" s="877"/>
      <c r="X158" s="877"/>
    </row>
    <row r="159" spans="1:28" hidden="1" x14ac:dyDescent="0.25">
      <c r="B159" s="79" t="s">
        <v>418</v>
      </c>
      <c r="C159" s="85" t="s">
        <v>1524</v>
      </c>
      <c r="D159" s="475">
        <f>SUMIF($D$26:$D$145,"COM",$F$26:$F$145)</f>
        <v>6298.6749999999993</v>
      </c>
      <c r="E159" s="1202">
        <f t="shared" si="0"/>
        <v>203.18306451612901</v>
      </c>
      <c r="F159" s="1203">
        <f t="shared" si="1"/>
        <v>1.2792486590450733</v>
      </c>
      <c r="G159" s="85"/>
      <c r="H159" s="85"/>
      <c r="I159" s="85"/>
      <c r="J159" s="769"/>
      <c r="K159" s="1225"/>
      <c r="L159" s="769"/>
      <c r="M159" s="1225"/>
      <c r="N159" s="769"/>
      <c r="O159" s="877"/>
      <c r="P159" s="769"/>
      <c r="Q159" s="216"/>
      <c r="R159" s="1038"/>
      <c r="S159" s="1226"/>
      <c r="T159" s="877"/>
      <c r="W159" s="877"/>
      <c r="X159" s="877"/>
    </row>
    <row r="160" spans="1:28" hidden="1" x14ac:dyDescent="0.25">
      <c r="B160" s="79" t="s">
        <v>419</v>
      </c>
      <c r="C160" s="85" t="s">
        <v>1491</v>
      </c>
      <c r="D160" s="475">
        <f>SUMIF($D$26:$D$145,"F",$F$26:$F$145)</f>
        <v>921.9</v>
      </c>
      <c r="E160" s="1202">
        <f t="shared" si="0"/>
        <v>29.738709677419354</v>
      </c>
      <c r="F160" s="1203">
        <f t="shared" si="1"/>
        <v>0.18723609946118083</v>
      </c>
      <c r="I160" s="85"/>
      <c r="P160" s="216"/>
      <c r="Q160" s="216"/>
      <c r="S160" s="484"/>
      <c r="T160" s="877"/>
      <c r="W160" s="877"/>
      <c r="X160" s="877"/>
    </row>
    <row r="161" spans="1:26" hidden="1" x14ac:dyDescent="0.25">
      <c r="B161" s="79" t="s">
        <v>911</v>
      </c>
      <c r="C161" s="85" t="s">
        <v>1525</v>
      </c>
      <c r="D161" s="475">
        <f>SUMIF($D$7:$D$145,"FER",$F$7:$F$145)</f>
        <v>35</v>
      </c>
      <c r="E161" s="1202">
        <f t="shared" si="0"/>
        <v>1.1290322580645162</v>
      </c>
      <c r="F161" s="1203">
        <f t="shared" si="1"/>
        <v>7.1084320220645729E-3</v>
      </c>
      <c r="Q161" s="216"/>
      <c r="S161" s="484"/>
      <c r="T161" s="1673"/>
      <c r="W161" s="877"/>
      <c r="X161" s="877"/>
    </row>
    <row r="162" spans="1:26" hidden="1" x14ac:dyDescent="0.25">
      <c r="B162" s="79" t="s">
        <v>1526</v>
      </c>
      <c r="C162" s="85" t="s">
        <v>1504</v>
      </c>
      <c r="D162" s="475">
        <f>SUMIF($D$30:$D$145,"I",$F$30:$F$145)</f>
        <v>158</v>
      </c>
      <c r="E162" s="1202">
        <f t="shared" si="0"/>
        <v>5.096774193548387</v>
      </c>
      <c r="F162" s="1203">
        <f t="shared" si="1"/>
        <v>3.2089493128177216E-2</v>
      </c>
      <c r="J162" s="769"/>
      <c r="K162" s="868"/>
      <c r="L162" s="769"/>
      <c r="M162" s="868"/>
      <c r="N162" s="769"/>
      <c r="P162" s="769"/>
      <c r="Q162" s="886"/>
      <c r="R162" s="1210"/>
      <c r="S162" s="1038"/>
      <c r="T162" s="1129"/>
      <c r="V162" s="1129"/>
      <c r="W162" s="877"/>
      <c r="X162" s="877"/>
    </row>
    <row r="163" spans="1:26" hidden="1" x14ac:dyDescent="0.25">
      <c r="B163" s="79" t="s">
        <v>2343</v>
      </c>
      <c r="C163" s="85" t="s">
        <v>2315</v>
      </c>
      <c r="D163" s="475">
        <f>SUMIF($D$30:$D$145,"E",$F$30:$F$145)</f>
        <v>0</v>
      </c>
      <c r="E163" s="1202">
        <f t="shared" si="0"/>
        <v>0</v>
      </c>
      <c r="F163" s="1203">
        <f t="shared" si="1"/>
        <v>0</v>
      </c>
      <c r="J163" s="769"/>
      <c r="K163" s="868"/>
      <c r="L163" s="769"/>
      <c r="M163" s="868"/>
      <c r="N163" s="769"/>
      <c r="O163" s="1210"/>
      <c r="P163" s="769"/>
      <c r="Q163" s="1673"/>
      <c r="R163" s="1210"/>
      <c r="S163" s="1038"/>
      <c r="T163" s="1129"/>
      <c r="V163" s="1129"/>
      <c r="W163" s="877"/>
      <c r="X163" s="877"/>
    </row>
    <row r="164" spans="1:26" hidden="1" x14ac:dyDescent="0.25">
      <c r="B164" s="79" t="s">
        <v>3019</v>
      </c>
      <c r="C164" s="85" t="s">
        <v>3017</v>
      </c>
      <c r="D164" s="475">
        <f>SUMIF($D$6:$D$145,"IM",$F$6:$F$145)</f>
        <v>0</v>
      </c>
      <c r="E164" s="1202">
        <f t="shared" si="0"/>
        <v>0</v>
      </c>
      <c r="F164" s="1203">
        <f t="shared" si="1"/>
        <v>0</v>
      </c>
      <c r="J164" s="769"/>
      <c r="L164" s="769"/>
      <c r="N164" s="769"/>
      <c r="P164" s="769"/>
      <c r="R164" s="941"/>
      <c r="S164" s="224"/>
      <c r="T164" s="1226"/>
      <c r="U164" s="1129"/>
      <c r="V164" s="1129"/>
      <c r="W164" s="877"/>
      <c r="X164" s="877"/>
    </row>
    <row r="165" spans="1:26" hidden="1" x14ac:dyDescent="0.25">
      <c r="B165" s="79" t="s">
        <v>1527</v>
      </c>
      <c r="C165" s="85" t="s">
        <v>1489</v>
      </c>
      <c r="D165" s="475">
        <f>SUMIF($D$7:$D$145,"OD",$F$7:$F$145)</f>
        <v>583.30999999999995</v>
      </c>
      <c r="E165" s="1202">
        <f t="shared" si="0"/>
        <v>18.816451612903226</v>
      </c>
      <c r="F165" s="1203">
        <f t="shared" si="1"/>
        <v>0.11846912807972816</v>
      </c>
      <c r="R165" s="1210"/>
      <c r="S165" s="1038"/>
      <c r="T165" s="1226"/>
      <c r="U165" s="1129"/>
      <c r="V165" s="1129"/>
      <c r="W165" s="877"/>
      <c r="X165" s="877"/>
    </row>
    <row r="166" spans="1:26" hidden="1" x14ac:dyDescent="0.25">
      <c r="C166" s="79"/>
      <c r="D166" s="629"/>
      <c r="E166" s="79"/>
      <c r="F166" s="79"/>
      <c r="L166" s="459" t="s">
        <v>6481</v>
      </c>
      <c r="M166" s="2125" t="s">
        <v>6482</v>
      </c>
      <c r="R166" s="1210"/>
      <c r="S166" s="1038"/>
      <c r="T166" s="1227"/>
      <c r="U166" s="1129"/>
      <c r="V166" s="1129"/>
      <c r="W166" s="877"/>
      <c r="X166" s="877"/>
    </row>
    <row r="167" spans="1:26" hidden="1" x14ac:dyDescent="0.25">
      <c r="C167" s="3168" t="s">
        <v>486</v>
      </c>
      <c r="D167" s="3168"/>
      <c r="E167" s="863">
        <f ca="1">J167/K167</f>
        <v>333.00016129032258</v>
      </c>
      <c r="G167" s="518" t="s">
        <v>487</v>
      </c>
      <c r="J167" s="2105">
        <f ca="1">SUM(D150:D165)</f>
        <v>10323.004999999999</v>
      </c>
      <c r="K167" s="1517">
        <v>31</v>
      </c>
      <c r="M167" s="1138">
        <f ca="1">4765.07-J168</f>
        <v>740.73999999999978</v>
      </c>
      <c r="N167" s="216"/>
      <c r="P167" s="216"/>
      <c r="Q167" s="1517"/>
      <c r="R167" s="1210"/>
      <c r="S167" s="1038"/>
      <c r="T167" s="1226"/>
      <c r="U167" s="1129"/>
      <c r="V167" s="1129"/>
      <c r="W167" s="877"/>
      <c r="X167" s="877"/>
    </row>
    <row r="168" spans="1:26" ht="15.75" hidden="1" customHeight="1" x14ac:dyDescent="0.25">
      <c r="B168" s="3167" t="s">
        <v>6247</v>
      </c>
      <c r="C168" s="3167"/>
      <c r="D168" s="3167"/>
      <c r="E168" s="1125">
        <v>158.83000000000001</v>
      </c>
      <c r="G168" s="518" t="s">
        <v>6257</v>
      </c>
      <c r="J168" s="629">
        <f ca="1">J167-D159</f>
        <v>4024.33</v>
      </c>
      <c r="K168" s="1517"/>
      <c r="M168" s="868"/>
      <c r="O168" s="868"/>
      <c r="Q168" s="868"/>
      <c r="R168" s="1210"/>
      <c r="S168" s="1038"/>
      <c r="T168" s="1226"/>
      <c r="U168" s="1129"/>
      <c r="V168" s="1129"/>
      <c r="W168" s="877"/>
      <c r="X168" s="877"/>
    </row>
    <row r="169" spans="1:26" hidden="1" x14ac:dyDescent="0.25">
      <c r="A169" s="518"/>
      <c r="C169" s="79"/>
      <c r="D169" s="79"/>
      <c r="E169" s="769"/>
      <c r="F169" s="866"/>
      <c r="G169" s="769"/>
      <c r="H169" s="866"/>
      <c r="I169" s="1210"/>
      <c r="J169" s="89"/>
      <c r="L169" s="89"/>
      <c r="N169" s="1038"/>
      <c r="O169" s="1210"/>
      <c r="P169" s="1038"/>
      <c r="Q169" s="1210"/>
      <c r="R169" s="1210"/>
      <c r="S169" s="1038"/>
      <c r="T169" s="769"/>
      <c r="U169" s="484" t="s">
        <v>280</v>
      </c>
      <c r="V169" s="216"/>
      <c r="W169" s="866"/>
      <c r="X169" s="484"/>
      <c r="Z169" s="877"/>
    </row>
    <row r="170" spans="1:26" s="518" customFormat="1" hidden="1" x14ac:dyDescent="0.25">
      <c r="A170" s="79"/>
      <c r="B170" s="79"/>
      <c r="C170" s="79"/>
      <c r="D170" s="79"/>
      <c r="E170" s="1126">
        <f ca="1">E168-E167</f>
        <v>-174.17016129032257</v>
      </c>
      <c r="F170" s="1205">
        <f ca="1">SUM(F150:F169)</f>
        <v>2.0965822658837912</v>
      </c>
      <c r="G170" s="85"/>
      <c r="H170" s="85"/>
      <c r="I170" s="89"/>
      <c r="J170" s="79"/>
      <c r="K170" s="79"/>
      <c r="L170" s="79"/>
      <c r="M170" s="79"/>
      <c r="N170" s="79"/>
      <c r="O170" s="79"/>
      <c r="P170" s="79"/>
      <c r="Q170" s="79"/>
      <c r="R170" s="1210"/>
      <c r="S170" s="1038"/>
      <c r="T170" s="79"/>
      <c r="U170" s="79"/>
      <c r="V170" s="866"/>
      <c r="W170" s="484"/>
      <c r="X170" s="79"/>
      <c r="Y170" s="877"/>
      <c r="Z170" s="79"/>
    </row>
    <row r="171" spans="1:26" s="518" customFormat="1" x14ac:dyDescent="0.25">
      <c r="A171" s="79"/>
      <c r="B171" s="79"/>
      <c r="C171" s="85"/>
      <c r="D171" s="85"/>
      <c r="E171" s="85"/>
      <c r="S171" s="1038"/>
      <c r="T171" s="484"/>
      <c r="U171" s="79"/>
      <c r="V171" s="877"/>
      <c r="W171" s="79"/>
    </row>
    <row r="172" spans="1:26" s="518" customFormat="1" x14ac:dyDescent="0.25">
      <c r="A172" s="79"/>
      <c r="B172" s="1124" t="s">
        <v>6376</v>
      </c>
      <c r="C172" s="2125"/>
      <c r="D172" s="2219">
        <f>SUMIF($E$7:$E$145,"crédito",$G$7:$G$145)</f>
        <v>4672.62</v>
      </c>
      <c r="E172" s="85"/>
      <c r="F172" s="89"/>
      <c r="G172" s="79"/>
      <c r="H172" s="79"/>
      <c r="I172" s="79"/>
      <c r="J172" s="769"/>
      <c r="K172" s="866"/>
      <c r="L172" s="769"/>
      <c r="M172" s="866"/>
      <c r="N172" s="769"/>
      <c r="O172" s="866"/>
      <c r="P172" s="769"/>
      <c r="Q172" s="866"/>
      <c r="R172" s="1210"/>
      <c r="S172" s="1038"/>
      <c r="T172" s="484"/>
      <c r="U172" s="79"/>
      <c r="V172" s="877"/>
      <c r="W172" s="79"/>
    </row>
    <row r="173" spans="1:26" s="518" customFormat="1" x14ac:dyDescent="0.25">
      <c r="A173" s="79"/>
      <c r="B173" s="518" t="s">
        <v>6496</v>
      </c>
      <c r="C173" s="459"/>
      <c r="D173" s="2218">
        <f ca="1">SUM(D150:D165)-D159</f>
        <v>4024.33</v>
      </c>
      <c r="E173" s="85"/>
      <c r="F173" s="89"/>
      <c r="G173" s="79"/>
      <c r="H173" s="79"/>
      <c r="I173" s="216"/>
      <c r="J173" s="769"/>
      <c r="K173" s="866"/>
      <c r="L173" s="769"/>
      <c r="M173" s="866"/>
      <c r="N173" s="769"/>
      <c r="O173" s="866"/>
      <c r="P173" s="769"/>
      <c r="Q173" s="866"/>
      <c r="R173" s="1210"/>
      <c r="S173" s="1038"/>
      <c r="T173" s="484"/>
      <c r="U173" s="79"/>
      <c r="V173" s="877"/>
      <c r="W173" s="79"/>
    </row>
    <row r="174" spans="1:26" s="518" customFormat="1" x14ac:dyDescent="0.25">
      <c r="A174" s="79"/>
      <c r="B174" s="81" t="s">
        <v>6497</v>
      </c>
      <c r="C174" s="81"/>
      <c r="D174" s="1014">
        <f ca="1">D172-D173</f>
        <v>648.29</v>
      </c>
      <c r="E174" s="79"/>
      <c r="F174" s="79"/>
      <c r="G174" s="79"/>
      <c r="H174" s="79"/>
      <c r="K174" s="866"/>
      <c r="M174" s="866"/>
      <c r="O174" s="866"/>
      <c r="Q174" s="866"/>
      <c r="R174" s="1210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769"/>
      <c r="K175" s="866"/>
      <c r="L175" s="769"/>
      <c r="M175" s="866"/>
      <c r="N175" s="769"/>
      <c r="O175" s="866"/>
      <c r="P175" s="769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79"/>
      <c r="C176" s="79"/>
      <c r="D176" s="79"/>
      <c r="E176" s="79"/>
      <c r="F176" s="79"/>
      <c r="G176" s="216"/>
      <c r="H176" s="79"/>
      <c r="I176" s="216"/>
      <c r="J176" s="769"/>
      <c r="K176" s="868"/>
      <c r="L176" s="769"/>
      <c r="M176" s="868"/>
      <c r="N176" s="769"/>
      <c r="O176" s="868"/>
      <c r="P176" s="769"/>
      <c r="Q176" s="868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216"/>
      <c r="H177" s="79"/>
      <c r="I177" s="216"/>
      <c r="J177" s="769"/>
      <c r="K177" s="866"/>
      <c r="L177" s="769"/>
      <c r="M177" s="866"/>
      <c r="N177" s="769"/>
      <c r="O177" s="866"/>
      <c r="P177" s="769"/>
      <c r="Q177" s="866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216"/>
      <c r="H178" s="79"/>
      <c r="I178" s="79"/>
      <c r="J178" s="770"/>
      <c r="K178" s="866"/>
      <c r="L178" s="770"/>
      <c r="M178" s="866"/>
      <c r="N178" s="770"/>
      <c r="O178" s="866"/>
      <c r="P178" s="770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769"/>
      <c r="K179" s="868"/>
      <c r="L179" s="769"/>
      <c r="M179" s="868"/>
      <c r="N179" s="769"/>
      <c r="O179" s="868"/>
      <c r="P179" s="769"/>
      <c r="Q179" s="868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69"/>
      <c r="K180" s="866"/>
      <c r="L180" s="769"/>
      <c r="M180" s="866"/>
      <c r="N180" s="769"/>
      <c r="O180" s="866"/>
      <c r="P180" s="769"/>
      <c r="Q180" s="866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629"/>
      <c r="J181" s="769"/>
      <c r="K181" s="866"/>
      <c r="L181" s="769"/>
      <c r="M181" s="866"/>
      <c r="N181" s="769"/>
      <c r="O181" s="866"/>
      <c r="P181" s="769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6"/>
      <c r="L182" s="769"/>
      <c r="M182" s="866"/>
      <c r="N182" s="769"/>
      <c r="O182" s="866"/>
      <c r="P182" s="769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6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6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769"/>
      <c r="K187" s="866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69"/>
      <c r="K188" s="866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69"/>
      <c r="K189" s="866"/>
      <c r="L189" s="769"/>
      <c r="M189" s="866"/>
      <c r="N189" s="769"/>
      <c r="O189" s="866"/>
      <c r="P189" s="769"/>
      <c r="Q189" s="866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69"/>
      <c r="K190" s="866"/>
      <c r="L190" s="769"/>
      <c r="M190" s="866"/>
      <c r="N190" s="769"/>
      <c r="O190" s="866"/>
      <c r="P190" s="769"/>
      <c r="Q190" s="866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69"/>
      <c r="K191" s="868"/>
      <c r="L191" s="769"/>
      <c r="M191" s="868"/>
      <c r="N191" s="769"/>
      <c r="O191" s="868"/>
      <c r="P191" s="769"/>
      <c r="Q191" s="868"/>
      <c r="R191" s="79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69"/>
      <c r="K192" s="868"/>
      <c r="L192" s="769"/>
      <c r="M192" s="868"/>
      <c r="N192" s="769"/>
      <c r="O192" s="868"/>
      <c r="P192" s="769"/>
      <c r="Q192" s="868"/>
      <c r="R192" s="81"/>
      <c r="S192" s="755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69"/>
      <c r="K193" s="868"/>
      <c r="L193" s="769"/>
      <c r="M193" s="868"/>
      <c r="N193" s="769"/>
      <c r="O193" s="868"/>
      <c r="P193" s="769"/>
      <c r="Q193" s="868"/>
      <c r="R193" s="868"/>
      <c r="S193" s="79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769"/>
      <c r="K194" s="868"/>
      <c r="L194" s="769"/>
      <c r="M194" s="868"/>
      <c r="N194" s="769"/>
      <c r="O194" s="868"/>
      <c r="P194" s="769"/>
      <c r="Q194" s="868"/>
      <c r="R194" s="754"/>
      <c r="S194" s="88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769"/>
      <c r="K195" s="868"/>
      <c r="L195" s="769"/>
      <c r="M195" s="868"/>
      <c r="N195" s="769"/>
      <c r="O195" s="868"/>
      <c r="P195" s="769"/>
      <c r="Q195" s="868"/>
      <c r="R195" s="864"/>
      <c r="S195" s="864"/>
      <c r="T195" s="484"/>
      <c r="U195" s="79"/>
      <c r="V195" s="877"/>
      <c r="W195" s="79"/>
    </row>
    <row r="196" spans="1:23" s="518" customFormat="1" x14ac:dyDescent="0.25">
      <c r="A196" s="79"/>
      <c r="B196" s="79"/>
      <c r="C196" s="85"/>
      <c r="D196" s="85"/>
      <c r="E196" s="85"/>
      <c r="F196" s="89"/>
      <c r="G196" s="79"/>
      <c r="H196" s="79"/>
      <c r="I196" s="79"/>
      <c r="J196" s="769"/>
      <c r="K196" s="866"/>
      <c r="L196" s="769"/>
      <c r="M196" s="866"/>
      <c r="N196" s="769"/>
      <c r="O196" s="866"/>
      <c r="P196" s="769"/>
      <c r="Q196" s="866"/>
      <c r="R196" s="864"/>
      <c r="S196" s="1032"/>
      <c r="T196" s="484"/>
      <c r="U196" s="79"/>
      <c r="V196" s="877"/>
      <c r="W196" s="79"/>
    </row>
    <row r="197" spans="1:23" s="518" customFormat="1" x14ac:dyDescent="0.25">
      <c r="A197" s="79"/>
      <c r="B197" s="79"/>
      <c r="C197" s="85"/>
      <c r="D197" s="85"/>
      <c r="E197" s="85"/>
      <c r="F197" s="89"/>
      <c r="G197" s="79"/>
      <c r="H197" s="79"/>
      <c r="I197" s="79"/>
      <c r="J197" s="769"/>
      <c r="K197" s="866"/>
      <c r="L197" s="769"/>
      <c r="M197" s="866"/>
      <c r="N197" s="769"/>
      <c r="O197" s="866"/>
      <c r="P197" s="769"/>
      <c r="Q197" s="866"/>
      <c r="R197" s="864"/>
      <c r="S197" s="1032"/>
      <c r="T197" s="484"/>
      <c r="U197" s="79"/>
      <c r="V197" s="877"/>
      <c r="W197" s="79"/>
    </row>
    <row r="198" spans="1:23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69"/>
      <c r="K198" s="868"/>
      <c r="L198" s="769"/>
      <c r="M198" s="868"/>
      <c r="N198" s="769"/>
      <c r="O198" s="868"/>
      <c r="P198" s="769"/>
      <c r="Q198" s="868"/>
      <c r="R198" s="85"/>
      <c r="S198" s="795"/>
      <c r="T198" s="484"/>
      <c r="U198" s="79"/>
      <c r="V198" s="877"/>
      <c r="W198" s="79"/>
    </row>
    <row r="199" spans="1:23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69"/>
      <c r="K199" s="866"/>
      <c r="L199" s="769"/>
      <c r="M199" s="866"/>
      <c r="N199" s="769"/>
      <c r="O199" s="866"/>
      <c r="P199" s="769"/>
      <c r="Q199" s="866"/>
      <c r="R199" s="85"/>
      <c r="S199" s="177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6"/>
      <c r="L200" s="769"/>
      <c r="M200" s="866"/>
      <c r="N200" s="769"/>
      <c r="O200" s="866"/>
      <c r="P200" s="769"/>
      <c r="Q200" s="866"/>
      <c r="R200" s="85"/>
      <c r="S200" s="177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69"/>
      <c r="K201" s="868"/>
      <c r="L201" s="769"/>
      <c r="M201" s="868"/>
      <c r="N201" s="769"/>
      <c r="O201" s="868"/>
      <c r="P201" s="769"/>
      <c r="Q201" s="868"/>
      <c r="R201" s="85"/>
      <c r="S201" s="177" t="s">
        <v>280</v>
      </c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8"/>
      <c r="L202" s="769"/>
      <c r="M202" s="868"/>
      <c r="N202" s="769"/>
      <c r="O202" s="868"/>
      <c r="P202" s="769"/>
      <c r="Q202" s="868"/>
      <c r="R202" s="85"/>
      <c r="S202" s="177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8"/>
      <c r="L203" s="769"/>
      <c r="M203" s="868"/>
      <c r="N203" s="769"/>
      <c r="O203" s="868"/>
      <c r="P203" s="769"/>
      <c r="Q203" s="868"/>
      <c r="R203" s="85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8"/>
      <c r="L204" s="769"/>
      <c r="M204" s="868"/>
      <c r="N204" s="769"/>
      <c r="O204" s="868"/>
      <c r="P204" s="769"/>
      <c r="Q204" s="868"/>
      <c r="R204" s="769"/>
      <c r="S204" s="21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69"/>
      <c r="M205" s="866"/>
      <c r="N205" s="769"/>
      <c r="O205" s="866"/>
      <c r="P205" s="769"/>
      <c r="Q205" s="866"/>
      <c r="R205" s="79"/>
      <c r="S205" s="21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223"/>
      <c r="K206" s="629"/>
      <c r="L206" s="223"/>
      <c r="M206" s="629"/>
      <c r="N206" s="223"/>
      <c r="O206" s="629"/>
      <c r="P206" s="223"/>
      <c r="Q206" s="629"/>
      <c r="R206" s="769"/>
      <c r="S206" s="868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56"/>
      <c r="K207" s="756"/>
      <c r="L207" s="756"/>
      <c r="M207" s="756"/>
      <c r="N207" s="756"/>
      <c r="O207" s="756"/>
      <c r="P207" s="756"/>
      <c r="Q207" s="756"/>
      <c r="R207" s="769"/>
      <c r="S207" s="868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69"/>
      <c r="S208" s="868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69"/>
      <c r="S209" s="79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85"/>
      <c r="K212" s="85"/>
      <c r="L212" s="85"/>
      <c r="M212" s="85"/>
      <c r="N212" s="85"/>
      <c r="O212" s="85"/>
      <c r="P212" s="85"/>
      <c r="Q212" s="85"/>
      <c r="R212" s="1517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868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89"/>
      <c r="S214" s="79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69"/>
      <c r="S216" s="866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69"/>
      <c r="S217" s="866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69"/>
      <c r="S218" s="866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85"/>
      <c r="K219" s="85"/>
      <c r="L219" s="85"/>
      <c r="M219" s="85"/>
      <c r="N219" s="85"/>
      <c r="O219" s="85"/>
      <c r="P219" s="85"/>
      <c r="Q219" s="85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69"/>
      <c r="S221" s="868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70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69"/>
      <c r="S225" s="866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71"/>
      <c r="L226" s="771"/>
      <c r="N226" s="771"/>
      <c r="P226" s="771"/>
      <c r="R226" s="769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69"/>
      <c r="S227" s="866"/>
      <c r="T227" s="484"/>
      <c r="U227" s="79"/>
      <c r="V227" s="877"/>
      <c r="W227" s="79"/>
    </row>
    <row r="228" spans="1:23" x14ac:dyDescent="0.25">
      <c r="R228" s="769"/>
      <c r="S228" s="866"/>
    </row>
    <row r="229" spans="1:23" x14ac:dyDescent="0.25">
      <c r="R229" s="769"/>
      <c r="S229" s="866"/>
    </row>
    <row r="230" spans="1:23" x14ac:dyDescent="0.25">
      <c r="R230" s="769"/>
      <c r="S230" s="866"/>
    </row>
    <row r="231" spans="1:23" x14ac:dyDescent="0.25">
      <c r="R231" s="769"/>
      <c r="S231" s="866"/>
    </row>
    <row r="232" spans="1:23" x14ac:dyDescent="0.25">
      <c r="R232" s="769"/>
      <c r="S232" s="866"/>
    </row>
    <row r="233" spans="1:23" x14ac:dyDescent="0.25">
      <c r="R233" s="769"/>
      <c r="S233" s="866"/>
    </row>
    <row r="234" spans="1:23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216"/>
      <c r="L234" s="79"/>
      <c r="M234" s="216"/>
      <c r="N234" s="79"/>
      <c r="O234" s="216"/>
      <c r="P234" s="79"/>
      <c r="Q234" s="216"/>
      <c r="R234" s="769"/>
      <c r="S234" s="866"/>
      <c r="T234" s="484"/>
      <c r="U234" s="79"/>
      <c r="V234" s="877"/>
      <c r="W234" s="79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216"/>
      <c r="L235" s="79"/>
      <c r="M235" s="216"/>
      <c r="N235" s="79"/>
      <c r="O235" s="216"/>
      <c r="P235" s="79"/>
      <c r="Q235" s="216"/>
      <c r="R235" s="769"/>
      <c r="S235" s="866"/>
      <c r="T235" s="484"/>
      <c r="U235" s="79"/>
      <c r="V235" s="877"/>
      <c r="W235" s="79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216"/>
      <c r="L236" s="79"/>
      <c r="M236" s="216"/>
      <c r="N236" s="79"/>
      <c r="O236" s="216"/>
      <c r="P236" s="79"/>
      <c r="Q236" s="216"/>
      <c r="R236" s="769"/>
      <c r="S236" s="868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216"/>
      <c r="L237" s="79"/>
      <c r="M237" s="216"/>
      <c r="N237" s="79"/>
      <c r="O237" s="216"/>
      <c r="P237" s="79"/>
      <c r="Q237" s="216"/>
      <c r="R237" s="769"/>
      <c r="S237" s="868"/>
      <c r="T237" s="484"/>
      <c r="U237" s="79"/>
      <c r="V237" s="877"/>
      <c r="W237" s="79"/>
    </row>
    <row r="238" spans="1:23" x14ac:dyDescent="0.25">
      <c r="R238" s="769"/>
      <c r="S238" s="868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216"/>
      <c r="L239" s="79"/>
      <c r="M239" s="216"/>
      <c r="N239" s="79"/>
      <c r="O239" s="216"/>
      <c r="P239" s="79"/>
      <c r="Q239" s="216"/>
      <c r="R239" s="769"/>
      <c r="S239" s="868"/>
      <c r="T239" s="484"/>
      <c r="U239" s="79"/>
      <c r="V239" s="877"/>
      <c r="W239" s="79"/>
    </row>
    <row r="240" spans="1:23" x14ac:dyDescent="0.25">
      <c r="R240" s="769"/>
      <c r="S240" s="868"/>
    </row>
    <row r="241" spans="1:23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629"/>
      <c r="L241" s="79"/>
      <c r="M241" s="629"/>
      <c r="N241" s="79"/>
      <c r="O241" s="629"/>
      <c r="P241" s="79"/>
      <c r="Q241" s="629"/>
      <c r="R241" s="769"/>
      <c r="S241" s="866"/>
      <c r="T241" s="484"/>
      <c r="U241" s="79"/>
      <c r="V241" s="877"/>
      <c r="W241" s="79"/>
    </row>
    <row r="242" spans="1:23" x14ac:dyDescent="0.25">
      <c r="R242" s="769"/>
      <c r="S242" s="866"/>
    </row>
    <row r="243" spans="1:23" x14ac:dyDescent="0.25">
      <c r="R243" s="769"/>
      <c r="S243" s="868"/>
    </row>
    <row r="244" spans="1:23" x14ac:dyDescent="0.25">
      <c r="R244" s="769"/>
      <c r="S244" s="866"/>
    </row>
    <row r="245" spans="1:23" x14ac:dyDescent="0.25">
      <c r="R245" s="769"/>
      <c r="S245" s="866"/>
    </row>
    <row r="246" spans="1:23" x14ac:dyDescent="0.25">
      <c r="R246" s="769"/>
      <c r="S246" s="868"/>
    </row>
    <row r="247" spans="1:23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216"/>
      <c r="L247" s="79"/>
      <c r="M247" s="216"/>
      <c r="N247" s="79"/>
      <c r="O247" s="216"/>
      <c r="P247" s="79"/>
      <c r="Q247" s="216"/>
      <c r="R247" s="769"/>
      <c r="S247" s="868"/>
      <c r="T247" s="484"/>
      <c r="U247" s="79"/>
      <c r="V247" s="877"/>
      <c r="W247" s="79"/>
    </row>
    <row r="248" spans="1:23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216"/>
      <c r="L248" s="79"/>
      <c r="M248" s="216"/>
      <c r="N248" s="79"/>
      <c r="O248" s="216"/>
      <c r="P248" s="79"/>
      <c r="Q248" s="216"/>
      <c r="R248" s="769"/>
      <c r="S248" s="868"/>
      <c r="T248" s="484"/>
      <c r="U248" s="79"/>
      <c r="V248" s="877"/>
      <c r="W248" s="79"/>
    </row>
    <row r="249" spans="1:23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216"/>
      <c r="L249" s="79"/>
      <c r="M249" s="216"/>
      <c r="N249" s="79"/>
      <c r="O249" s="216"/>
      <c r="P249" s="79"/>
      <c r="Q249" s="216"/>
      <c r="R249" s="769"/>
      <c r="S249" s="868"/>
      <c r="T249" s="484"/>
      <c r="U249" s="79"/>
      <c r="V249" s="877"/>
      <c r="W249" s="79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216"/>
      <c r="L250" s="79"/>
      <c r="M250" s="216"/>
      <c r="N250" s="79"/>
      <c r="O250" s="216"/>
      <c r="P250" s="79"/>
      <c r="Q250" s="216"/>
      <c r="R250" s="769"/>
      <c r="S250" s="866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216"/>
      <c r="L251" s="79"/>
      <c r="M251" s="216"/>
      <c r="N251" s="79"/>
      <c r="O251" s="216"/>
      <c r="P251" s="79"/>
      <c r="Q251" s="216"/>
      <c r="R251" s="223"/>
      <c r="S251" s="629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216"/>
      <c r="L252" s="79"/>
      <c r="M252" s="216"/>
      <c r="N252" s="79"/>
      <c r="O252" s="216"/>
      <c r="P252" s="79"/>
      <c r="Q252" s="216"/>
      <c r="R252" s="756"/>
      <c r="S252" s="756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216"/>
      <c r="L253" s="79"/>
      <c r="M253" s="216"/>
      <c r="N253" s="79"/>
      <c r="O253" s="216"/>
      <c r="P253" s="79"/>
      <c r="Q253" s="216"/>
      <c r="R253" s="79"/>
      <c r="S253" s="79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216"/>
      <c r="L254" s="79"/>
      <c r="M254" s="216"/>
      <c r="N254" s="79"/>
      <c r="O254" s="216"/>
      <c r="P254" s="79"/>
      <c r="Q254" s="216"/>
      <c r="R254" s="79"/>
      <c r="S254" s="79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216"/>
      <c r="L255" s="79"/>
      <c r="M255" s="216"/>
      <c r="N255" s="79"/>
      <c r="O255" s="216"/>
      <c r="P255" s="79"/>
      <c r="Q255" s="216"/>
      <c r="R255" s="79"/>
      <c r="S255" s="79"/>
      <c r="T255" s="484"/>
      <c r="U255" s="79"/>
      <c r="V255" s="877"/>
      <c r="W255" s="79"/>
    </row>
    <row r="257" spans="1:44" x14ac:dyDescent="0.25">
      <c r="R257" s="85"/>
      <c r="S257" s="85"/>
    </row>
    <row r="264" spans="1:44" x14ac:dyDescent="0.25">
      <c r="R264" s="85"/>
      <c r="S264" s="85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71"/>
      <c r="S271" s="518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9" spans="1:44" s="484" customFormat="1" x14ac:dyDescent="0.25">
      <c r="A279" s="79"/>
      <c r="B279" s="79"/>
      <c r="C279" s="85"/>
      <c r="D279" s="85"/>
      <c r="E279" s="85"/>
      <c r="F279" s="8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216"/>
      <c r="U279" s="79"/>
      <c r="V279" s="877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629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  <row r="292" spans="1:44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216"/>
      <c r="U292" s="79"/>
      <c r="V292" s="877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</row>
    <row r="293" spans="1:44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216"/>
      <c r="U293" s="79"/>
      <c r="V293" s="877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</row>
    <row r="294" spans="1:44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216"/>
      <c r="U294" s="79"/>
      <c r="V294" s="877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</sheetData>
  <autoFilter ref="A2:E170" xr:uid="{F425B613-86D2-42F4-9CEF-8E5853547F2B}">
    <filterColumn colId="3">
      <filters>
        <filter val="COM"/>
      </filters>
    </filterColumn>
  </autoFilter>
  <mergeCells count="18">
    <mergeCell ref="A1:E1"/>
    <mergeCell ref="F1:S1"/>
    <mergeCell ref="R2:S3"/>
    <mergeCell ref="P2:Q3"/>
    <mergeCell ref="N2:O3"/>
    <mergeCell ref="L2:M3"/>
    <mergeCell ref="B168:D168"/>
    <mergeCell ref="A146:E146"/>
    <mergeCell ref="A147:E147"/>
    <mergeCell ref="C167:D167"/>
    <mergeCell ref="J2:K3"/>
    <mergeCell ref="B2:B4"/>
    <mergeCell ref="A2:A4"/>
    <mergeCell ref="H2:I3"/>
    <mergeCell ref="F2:G3"/>
    <mergeCell ref="E2:E4"/>
    <mergeCell ref="D2:D4"/>
    <mergeCell ref="C2:C4"/>
  </mergeCells>
  <phoneticPr fontId="118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D5B7-15C9-4F73-A152-C3F04AC9E2E4}">
  <sheetPr codeName="Planilha17"/>
  <dimension ref="A1:AR286"/>
  <sheetViews>
    <sheetView zoomScale="85" zoomScaleNormal="85" workbookViewId="0">
      <pane ySplit="5" topLeftCell="A111" activePane="bottomLeft" state="frozen"/>
      <selection pane="bottomLeft" activeCell="Q128" sqref="F127:Q12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6438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45383</v>
      </c>
      <c r="B5" s="369" t="s">
        <v>10</v>
      </c>
      <c r="C5" s="370"/>
      <c r="D5" s="370"/>
      <c r="E5" s="777"/>
      <c r="F5" s="179"/>
      <c r="G5" s="933">
        <f>'Março-24'!G147</f>
        <v>320.55825000004188</v>
      </c>
      <c r="H5" s="163"/>
      <c r="I5" s="1479">
        <f>'Março-24'!I147</f>
        <v>2117.485999999999</v>
      </c>
      <c r="J5" s="179"/>
      <c r="K5" s="933">
        <f>'Março-24'!K147</f>
        <v>8811.8000000000029</v>
      </c>
      <c r="L5" s="179"/>
      <c r="M5" s="933">
        <f>'Março-24'!M147</f>
        <v>26844.530000000002</v>
      </c>
      <c r="N5" s="179"/>
      <c r="O5" s="933">
        <f>'Março-24'!O147</f>
        <v>0</v>
      </c>
      <c r="P5" s="179"/>
      <c r="Q5" s="1479">
        <f>'Março-24'!Q147</f>
        <v>5002.8900000000012</v>
      </c>
      <c r="R5" s="179"/>
      <c r="S5" s="933">
        <f>'Março-24'!S147</f>
        <v>27908.255984720006</v>
      </c>
    </row>
    <row r="6" spans="1:44" s="224" customFormat="1" x14ac:dyDescent="0.25">
      <c r="A6" s="247">
        <v>45383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customHeight="1" x14ac:dyDescent="0.25">
      <c r="A7" s="247">
        <v>45383</v>
      </c>
      <c r="B7" s="882" t="s">
        <v>32</v>
      </c>
      <c r="C7" s="879" t="s">
        <v>12</v>
      </c>
      <c r="D7" s="879" t="s">
        <v>1485</v>
      </c>
      <c r="E7" s="875" t="s">
        <v>13</v>
      </c>
      <c r="F7" s="780">
        <v>22</v>
      </c>
      <c r="G7" s="982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</row>
    <row r="8" spans="1:44" s="224" customFormat="1" ht="15" customHeight="1" x14ac:dyDescent="0.25">
      <c r="A8" s="247">
        <v>45383</v>
      </c>
      <c r="B8" s="349" t="s">
        <v>256</v>
      </c>
      <c r="C8" s="350" t="s">
        <v>12</v>
      </c>
      <c r="D8" s="350"/>
      <c r="E8" s="480"/>
      <c r="F8" s="780"/>
      <c r="G8" s="946">
        <v>400</v>
      </c>
      <c r="H8" s="95">
        <v>400</v>
      </c>
      <c r="I8" s="1064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927"/>
      <c r="W8" s="999"/>
    </row>
    <row r="9" spans="1:44" s="224" customFormat="1" ht="15" customHeight="1" x14ac:dyDescent="0.25">
      <c r="A9" s="247">
        <v>45383</v>
      </c>
      <c r="B9" s="1275" t="s">
        <v>1331</v>
      </c>
      <c r="C9" s="879" t="s">
        <v>19</v>
      </c>
      <c r="D9" s="1276" t="s">
        <v>2157</v>
      </c>
      <c r="E9" s="875" t="s">
        <v>15</v>
      </c>
      <c r="F9" s="613">
        <v>100</v>
      </c>
      <c r="G9" s="946"/>
      <c r="H9" s="95"/>
      <c r="I9" s="1064"/>
      <c r="J9" s="622"/>
      <c r="K9" s="982"/>
      <c r="L9" s="622"/>
      <c r="M9" s="982"/>
      <c r="N9" s="622"/>
      <c r="O9" s="982"/>
      <c r="P9" s="622"/>
      <c r="Q9" s="1063"/>
      <c r="R9" s="622"/>
      <c r="S9" s="982"/>
      <c r="T9" s="1028"/>
      <c r="W9" s="958"/>
    </row>
    <row r="10" spans="1:44" s="224" customFormat="1" ht="15" customHeight="1" x14ac:dyDescent="0.25">
      <c r="A10" s="247">
        <v>45383</v>
      </c>
      <c r="B10" s="882" t="s">
        <v>6329</v>
      </c>
      <c r="C10" s="879" t="s">
        <v>12</v>
      </c>
      <c r="D10" s="879"/>
      <c r="E10" s="875" t="s">
        <v>25</v>
      </c>
      <c r="F10" s="780"/>
      <c r="G10" s="982"/>
      <c r="H10" s="622"/>
      <c r="I10" s="982"/>
      <c r="J10" s="622"/>
      <c r="K10" s="982"/>
      <c r="L10" s="622"/>
      <c r="M10" s="982"/>
      <c r="N10" s="622"/>
      <c r="O10" s="982">
        <v>100</v>
      </c>
      <c r="P10" s="622"/>
      <c r="Q10" s="1063"/>
      <c r="R10" s="880"/>
      <c r="S10" s="1033"/>
      <c r="T10" s="1080" t="s">
        <v>6331</v>
      </c>
      <c r="V10" s="878"/>
    </row>
    <row r="11" spans="1:44" s="224" customFormat="1" ht="15" customHeight="1" x14ac:dyDescent="0.25">
      <c r="A11" s="247">
        <v>45384</v>
      </c>
      <c r="B11" s="882" t="s">
        <v>6169</v>
      </c>
      <c r="C11" s="879" t="s">
        <v>12</v>
      </c>
      <c r="D11" s="879" t="s">
        <v>1485</v>
      </c>
      <c r="E11" s="875" t="s">
        <v>13</v>
      </c>
      <c r="F11" s="613">
        <v>10.55</v>
      </c>
      <c r="G11" s="967"/>
      <c r="H11" s="1008"/>
      <c r="I11" s="1063"/>
      <c r="J11" s="2013"/>
      <c r="K11" s="1207"/>
      <c r="L11" s="2013"/>
      <c r="M11" s="1207"/>
      <c r="N11" s="880"/>
      <c r="O11" s="1033"/>
      <c r="P11" s="880"/>
      <c r="Q11" s="1525"/>
      <c r="R11" s="613"/>
      <c r="S11" s="162"/>
      <c r="T11" s="1956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</row>
    <row r="12" spans="1:44" s="224" customFormat="1" ht="15" customHeight="1" x14ac:dyDescent="0.25">
      <c r="A12" s="247">
        <v>45384</v>
      </c>
      <c r="B12" s="882" t="s">
        <v>6251</v>
      </c>
      <c r="C12" s="879" t="s">
        <v>12</v>
      </c>
      <c r="D12" s="879"/>
      <c r="E12" s="875" t="s">
        <v>13</v>
      </c>
      <c r="F12" s="780">
        <v>11.45</v>
      </c>
      <c r="G12" s="982"/>
      <c r="H12" s="95"/>
      <c r="I12" s="1064"/>
      <c r="J12" s="622"/>
      <c r="K12" s="982">
        <v>11.45</v>
      </c>
      <c r="L12" s="622"/>
      <c r="M12" s="982"/>
      <c r="N12" s="622"/>
      <c r="O12" s="982"/>
      <c r="P12" s="622"/>
      <c r="Q12" s="1063"/>
      <c r="R12" s="622"/>
      <c r="S12" s="982"/>
      <c r="T12" s="861"/>
    </row>
    <row r="13" spans="1:44" s="224" customFormat="1" ht="15" customHeight="1" x14ac:dyDescent="0.25">
      <c r="A13" s="247">
        <v>45384</v>
      </c>
      <c r="B13" s="882" t="s">
        <v>6258</v>
      </c>
      <c r="C13" s="879" t="s">
        <v>12</v>
      </c>
      <c r="D13" s="879"/>
      <c r="E13" s="875"/>
      <c r="F13" s="780"/>
      <c r="G13" s="982">
        <v>91</v>
      </c>
      <c r="H13" s="95"/>
      <c r="I13" s="1064"/>
      <c r="J13" s="613">
        <v>91</v>
      </c>
      <c r="K13" s="982"/>
      <c r="L13" s="622"/>
      <c r="M13" s="982"/>
      <c r="N13" s="622"/>
      <c r="O13" s="982"/>
      <c r="P13" s="622"/>
      <c r="Q13" s="1063"/>
      <c r="R13" s="622"/>
      <c r="S13" s="982"/>
      <c r="T13" s="861"/>
    </row>
    <row r="14" spans="1:44" s="224" customFormat="1" ht="15" customHeight="1" x14ac:dyDescent="0.25">
      <c r="A14" s="247">
        <v>45384</v>
      </c>
      <c r="B14" s="1275" t="s">
        <v>6332</v>
      </c>
      <c r="C14" s="1276" t="s">
        <v>12</v>
      </c>
      <c r="D14" s="1276" t="s">
        <v>1524</v>
      </c>
      <c r="E14" s="1286" t="s">
        <v>13</v>
      </c>
      <c r="F14" s="613">
        <v>91</v>
      </c>
      <c r="G14" s="967"/>
      <c r="H14" s="1008"/>
      <c r="I14" s="1063"/>
      <c r="J14" s="613"/>
      <c r="K14" s="6"/>
      <c r="L14" s="613"/>
      <c r="M14" s="6"/>
      <c r="N14" s="622"/>
      <c r="O14" s="982"/>
      <c r="P14" s="622"/>
      <c r="Q14" s="1063"/>
      <c r="R14" s="613"/>
      <c r="S14" s="64"/>
      <c r="T14" s="2062" t="s">
        <v>6333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</row>
    <row r="15" spans="1:44" s="224" customFormat="1" ht="15" customHeight="1" x14ac:dyDescent="0.25">
      <c r="A15" s="247">
        <v>45384</v>
      </c>
      <c r="B15" s="349" t="s">
        <v>14</v>
      </c>
      <c r="C15" s="350" t="s">
        <v>12</v>
      </c>
      <c r="D15" s="350" t="s">
        <v>1486</v>
      </c>
      <c r="E15" s="480" t="s">
        <v>13</v>
      </c>
      <c r="F15" s="780">
        <v>4.3499999999999996</v>
      </c>
      <c r="G15" s="946"/>
      <c r="H15" s="95"/>
      <c r="I15" s="1064"/>
      <c r="J15" s="622"/>
      <c r="K15" s="982"/>
      <c r="L15" s="622"/>
      <c r="M15" s="982"/>
      <c r="N15" s="622"/>
      <c r="O15" s="982"/>
      <c r="P15" s="622"/>
      <c r="Q15" s="1063"/>
      <c r="R15" s="1110"/>
      <c r="S15" s="1208"/>
      <c r="T15" s="1028"/>
      <c r="W15" s="958"/>
    </row>
    <row r="16" spans="1:44" s="224" customFormat="1" ht="15" customHeight="1" x14ac:dyDescent="0.25">
      <c r="A16" s="247">
        <v>45385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22</v>
      </c>
      <c r="G16" s="982"/>
      <c r="H16" s="95"/>
      <c r="I16" s="1064"/>
      <c r="J16" s="622"/>
      <c r="K16" s="982"/>
      <c r="L16" s="622"/>
      <c r="M16" s="982"/>
      <c r="N16" s="622"/>
      <c r="O16" s="982"/>
      <c r="P16" s="622"/>
      <c r="Q16" s="1063"/>
      <c r="R16" s="622"/>
      <c r="S16" s="982"/>
      <c r="T16" s="861"/>
    </row>
    <row r="17" spans="1:44" s="224" customFormat="1" ht="15" customHeight="1" x14ac:dyDescent="0.25">
      <c r="A17" s="247">
        <v>45385</v>
      </c>
      <c r="B17" s="882" t="s">
        <v>6258</v>
      </c>
      <c r="C17" s="879" t="s">
        <v>12</v>
      </c>
      <c r="D17" s="879"/>
      <c r="E17" s="875"/>
      <c r="F17" s="780"/>
      <c r="G17" s="982">
        <v>48</v>
      </c>
      <c r="H17" s="1008"/>
      <c r="I17" s="1063"/>
      <c r="J17" s="613">
        <v>48</v>
      </c>
      <c r="K17" s="982"/>
      <c r="L17" s="622"/>
      <c r="M17" s="982"/>
      <c r="N17" s="622"/>
      <c r="O17" s="982"/>
      <c r="P17" s="622"/>
      <c r="Q17" s="1063"/>
      <c r="R17" s="622"/>
      <c r="S17" s="982"/>
      <c r="T17" s="861"/>
    </row>
    <row r="18" spans="1:44" s="224" customFormat="1" ht="15" customHeight="1" x14ac:dyDescent="0.25">
      <c r="A18" s="247">
        <v>45385</v>
      </c>
      <c r="B18" s="1275" t="s">
        <v>6338</v>
      </c>
      <c r="C18" s="1276" t="s">
        <v>12</v>
      </c>
      <c r="D18" s="1276" t="s">
        <v>1524</v>
      </c>
      <c r="E18" s="1286" t="s">
        <v>13</v>
      </c>
      <c r="F18" s="613">
        <v>48</v>
      </c>
      <c r="G18" s="967"/>
      <c r="H18" s="1008"/>
      <c r="I18" s="1063"/>
      <c r="J18" s="613"/>
      <c r="K18" s="6"/>
      <c r="L18" s="613"/>
      <c r="M18" s="6"/>
      <c r="N18" s="622"/>
      <c r="O18" s="982"/>
      <c r="P18" s="622"/>
      <c r="Q18" s="1063"/>
      <c r="R18" s="613"/>
      <c r="S18" s="162"/>
      <c r="T18" s="2126" t="s">
        <v>6337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s="224" customFormat="1" ht="15" customHeight="1" x14ac:dyDescent="0.25">
      <c r="A19" s="247">
        <v>45385</v>
      </c>
      <c r="B19" s="882" t="s">
        <v>6258</v>
      </c>
      <c r="C19" s="879" t="s">
        <v>12</v>
      </c>
      <c r="D19" s="879"/>
      <c r="E19" s="875"/>
      <c r="F19" s="780"/>
      <c r="G19" s="982">
        <v>65</v>
      </c>
      <c r="H19" s="1008"/>
      <c r="I19" s="1063"/>
      <c r="J19" s="613">
        <v>65</v>
      </c>
      <c r="K19" s="982"/>
      <c r="L19" s="622"/>
      <c r="M19" s="982"/>
      <c r="N19" s="622"/>
      <c r="O19" s="982"/>
      <c r="P19" s="622"/>
      <c r="Q19" s="1063"/>
      <c r="R19" s="622"/>
      <c r="S19" s="982"/>
      <c r="T19" s="861"/>
    </row>
    <row r="20" spans="1:44" s="224" customFormat="1" ht="15" customHeight="1" x14ac:dyDescent="0.25">
      <c r="A20" s="247">
        <v>45385</v>
      </c>
      <c r="B20" s="1275" t="s">
        <v>6338</v>
      </c>
      <c r="C20" s="1276" t="s">
        <v>12</v>
      </c>
      <c r="D20" s="1276" t="s">
        <v>1524</v>
      </c>
      <c r="E20" s="1286" t="s">
        <v>13</v>
      </c>
      <c r="F20" s="613">
        <v>65</v>
      </c>
      <c r="G20" s="967"/>
      <c r="H20" s="1008"/>
      <c r="I20" s="1063"/>
      <c r="J20" s="613"/>
      <c r="K20" s="6"/>
      <c r="L20" s="613"/>
      <c r="M20" s="6"/>
      <c r="N20" s="622"/>
      <c r="O20" s="982"/>
      <c r="P20" s="622"/>
      <c r="Q20" s="1063"/>
      <c r="R20" s="613"/>
      <c r="S20" s="162"/>
      <c r="T20" s="2126" t="s">
        <v>6340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s="224" customFormat="1" ht="15.75" customHeight="1" x14ac:dyDescent="0.25">
      <c r="A21" s="247">
        <v>45385</v>
      </c>
      <c r="B21" s="882" t="s">
        <v>1906</v>
      </c>
      <c r="C21" s="879" t="s">
        <v>12</v>
      </c>
      <c r="D21" s="879" t="s">
        <v>1493</v>
      </c>
      <c r="E21" s="871" t="s">
        <v>13</v>
      </c>
      <c r="F21" s="780">
        <v>16</v>
      </c>
      <c r="G21" s="982"/>
      <c r="H21" s="1008"/>
      <c r="I21" s="1063"/>
      <c r="J21" s="622"/>
      <c r="K21" s="982"/>
      <c r="L21" s="622"/>
      <c r="M21" s="982"/>
      <c r="N21" s="622"/>
      <c r="O21" s="982"/>
      <c r="P21" s="622"/>
      <c r="Q21" s="1063"/>
      <c r="R21" s="622"/>
      <c r="S21" s="982"/>
      <c r="T21" s="861"/>
      <c r="V21" s="878"/>
    </row>
    <row r="22" spans="1:44" s="224" customFormat="1" ht="15" customHeight="1" x14ac:dyDescent="0.25">
      <c r="A22" s="247">
        <v>45385</v>
      </c>
      <c r="B22" s="882" t="s">
        <v>6258</v>
      </c>
      <c r="C22" s="879" t="s">
        <v>12</v>
      </c>
      <c r="D22" s="879"/>
      <c r="E22" s="875"/>
      <c r="F22" s="780"/>
      <c r="G22" s="982">
        <v>242.45</v>
      </c>
      <c r="H22" s="1008"/>
      <c r="I22" s="1063"/>
      <c r="J22" s="613">
        <v>242.45</v>
      </c>
      <c r="K22" s="982"/>
      <c r="L22" s="622"/>
      <c r="M22" s="982"/>
      <c r="N22" s="622"/>
      <c r="O22" s="982"/>
      <c r="P22" s="622"/>
      <c r="Q22" s="1063"/>
      <c r="R22" s="622"/>
      <c r="S22" s="982"/>
      <c r="T22" s="861"/>
    </row>
    <row r="23" spans="1:44" s="224" customFormat="1" ht="15" customHeight="1" x14ac:dyDescent="0.25">
      <c r="A23" s="247">
        <v>45385</v>
      </c>
      <c r="B23" s="1275" t="s">
        <v>6342</v>
      </c>
      <c r="C23" s="1276" t="s">
        <v>12</v>
      </c>
      <c r="D23" s="1276" t="s">
        <v>1524</v>
      </c>
      <c r="E23" s="1286" t="s">
        <v>13</v>
      </c>
      <c r="F23" s="613">
        <v>242.45</v>
      </c>
      <c r="G23" s="967"/>
      <c r="H23" s="1008"/>
      <c r="I23" s="1063"/>
      <c r="J23" s="613"/>
      <c r="K23" s="6"/>
      <c r="L23" s="613"/>
      <c r="M23" s="6"/>
      <c r="N23" s="622"/>
      <c r="O23" s="982"/>
      <c r="P23" s="622"/>
      <c r="Q23" s="1063"/>
      <c r="R23" s="613"/>
      <c r="S23" s="162"/>
      <c r="T23" s="2126" t="s">
        <v>6341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ht="15" customHeight="1" x14ac:dyDescent="0.25">
      <c r="A24" s="247">
        <v>45386</v>
      </c>
      <c r="B24" s="882" t="s">
        <v>32</v>
      </c>
      <c r="C24" s="879" t="s">
        <v>12</v>
      </c>
      <c r="D24" s="879" t="s">
        <v>1485</v>
      </c>
      <c r="E24" s="875" t="s">
        <v>13</v>
      </c>
      <c r="F24" s="780">
        <v>22</v>
      </c>
      <c r="G24" s="982"/>
      <c r="H24" s="95"/>
      <c r="I24" s="1064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861"/>
    </row>
    <row r="25" spans="1:44" s="224" customFormat="1" ht="15" customHeight="1" x14ac:dyDescent="0.25">
      <c r="A25" s="247">
        <v>45386</v>
      </c>
      <c r="B25" s="882" t="s">
        <v>6258</v>
      </c>
      <c r="C25" s="879" t="s">
        <v>12</v>
      </c>
      <c r="D25" s="879"/>
      <c r="E25" s="875"/>
      <c r="F25" s="780"/>
      <c r="G25" s="982">
        <v>750</v>
      </c>
      <c r="H25" s="95"/>
      <c r="I25" s="1064"/>
      <c r="J25" s="613">
        <v>750</v>
      </c>
      <c r="K25" s="982"/>
      <c r="L25" s="622"/>
      <c r="M25" s="982"/>
      <c r="N25" s="622"/>
      <c r="O25" s="982"/>
      <c r="P25" s="622"/>
      <c r="Q25" s="1063"/>
      <c r="R25" s="622"/>
      <c r="S25" s="982"/>
      <c r="T25" s="861"/>
    </row>
    <row r="26" spans="1:44" s="224" customFormat="1" ht="15" customHeight="1" x14ac:dyDescent="0.25">
      <c r="A26" s="247">
        <v>45386</v>
      </c>
      <c r="B26" s="1275" t="s">
        <v>6323</v>
      </c>
      <c r="C26" s="1276" t="s">
        <v>12</v>
      </c>
      <c r="D26" s="1276" t="s">
        <v>1524</v>
      </c>
      <c r="E26" s="1286" t="s">
        <v>13</v>
      </c>
      <c r="F26" s="613">
        <v>750</v>
      </c>
      <c r="G26" s="967"/>
      <c r="H26" s="1008"/>
      <c r="I26" s="1063"/>
      <c r="J26" s="613"/>
      <c r="K26" s="6"/>
      <c r="L26" s="613"/>
      <c r="M26" s="6"/>
      <c r="N26" s="622"/>
      <c r="O26" s="982"/>
      <c r="P26" s="622"/>
      <c r="Q26" s="1063"/>
      <c r="R26" s="613"/>
      <c r="S26" s="64"/>
      <c r="T26" s="2062" t="s">
        <v>6343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s="224" customFormat="1" ht="15.75" customHeight="1" x14ac:dyDescent="0.25">
      <c r="A27" s="247">
        <v>45387</v>
      </c>
      <c r="B27" s="873" t="s">
        <v>6181</v>
      </c>
      <c r="C27" s="879" t="s">
        <v>12</v>
      </c>
      <c r="D27" s="874"/>
      <c r="E27" s="887" t="s">
        <v>25</v>
      </c>
      <c r="F27" s="1524"/>
      <c r="G27" s="1002">
        <v>2377.06</v>
      </c>
      <c r="H27" s="538"/>
      <c r="I27" s="982"/>
      <c r="J27" s="2013"/>
      <c r="K27" s="1207"/>
      <c r="L27" s="622"/>
      <c r="M27" s="982"/>
      <c r="N27" s="622"/>
      <c r="O27" s="982"/>
      <c r="P27" s="622"/>
      <c r="Q27" s="1063"/>
      <c r="R27" s="622"/>
      <c r="S27" s="982"/>
      <c r="T27" s="178"/>
    </row>
    <row r="28" spans="1:44" s="224" customFormat="1" ht="15" customHeight="1" x14ac:dyDescent="0.25">
      <c r="A28" s="247">
        <v>45387</v>
      </c>
      <c r="B28" s="364" t="s">
        <v>1396</v>
      </c>
      <c r="C28" s="879" t="s">
        <v>12</v>
      </c>
      <c r="D28" s="350"/>
      <c r="E28" s="919" t="s">
        <v>25</v>
      </c>
      <c r="F28" s="1116"/>
      <c r="G28" s="966">
        <v>150</v>
      </c>
      <c r="H28" s="1031"/>
      <c r="I28" s="1525"/>
      <c r="J28" s="2013"/>
      <c r="K28" s="1207"/>
      <c r="L28" s="1116"/>
      <c r="M28" s="1207"/>
      <c r="N28" s="880"/>
      <c r="O28" s="1033"/>
      <c r="P28" s="622"/>
      <c r="Q28" s="1063"/>
      <c r="R28" s="1116"/>
      <c r="S28" s="1207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s="224" customFormat="1" ht="15" customHeight="1" x14ac:dyDescent="0.25">
      <c r="A29" s="247">
        <v>45387</v>
      </c>
      <c r="B29" s="862" t="s">
        <v>3422</v>
      </c>
      <c r="C29" s="879" t="s">
        <v>12</v>
      </c>
      <c r="D29" s="879" t="s">
        <v>1504</v>
      </c>
      <c r="E29" s="871" t="s">
        <v>13</v>
      </c>
      <c r="F29" s="780">
        <v>50</v>
      </c>
      <c r="G29" s="982"/>
      <c r="H29" s="1008"/>
      <c r="I29" s="1063"/>
      <c r="J29" s="622"/>
      <c r="K29" s="982"/>
      <c r="L29" s="622"/>
      <c r="M29" s="982"/>
      <c r="N29" s="622"/>
      <c r="O29" s="982"/>
      <c r="P29" s="622"/>
      <c r="Q29" s="1063"/>
      <c r="R29" s="622"/>
      <c r="S29" s="982"/>
      <c r="T29" s="178">
        <v>110</v>
      </c>
      <c r="U29" s="1028"/>
      <c r="V29" s="1035"/>
    </row>
    <row r="30" spans="1:44" s="224" customFormat="1" ht="15" customHeight="1" x14ac:dyDescent="0.25">
      <c r="A30" s="247">
        <v>45387</v>
      </c>
      <c r="B30" s="882" t="s">
        <v>6345</v>
      </c>
      <c r="C30" s="879" t="s">
        <v>12</v>
      </c>
      <c r="D30" s="879" t="s">
        <v>1499</v>
      </c>
      <c r="E30" s="871" t="s">
        <v>13</v>
      </c>
      <c r="F30" s="780">
        <v>170</v>
      </c>
      <c r="G30" s="982"/>
      <c r="H30" s="1008"/>
      <c r="I30" s="1063"/>
      <c r="J30" s="880"/>
      <c r="K30" s="1033"/>
      <c r="L30" s="622"/>
      <c r="M30" s="982"/>
      <c r="N30" s="622"/>
      <c r="O30" s="982"/>
      <c r="P30" s="622"/>
      <c r="Q30" s="1063"/>
      <c r="R30" s="622"/>
      <c r="S30" s="982"/>
      <c r="T30" s="1028">
        <v>493.58</v>
      </c>
      <c r="U30" s="999"/>
      <c r="V30" s="878"/>
    </row>
    <row r="31" spans="1:44" s="224" customFormat="1" ht="15" customHeight="1" x14ac:dyDescent="0.25">
      <c r="A31" s="247">
        <v>45387</v>
      </c>
      <c r="B31" s="364" t="s">
        <v>2977</v>
      </c>
      <c r="C31" s="879" t="s">
        <v>12</v>
      </c>
      <c r="D31" s="350" t="s">
        <v>1491</v>
      </c>
      <c r="E31" s="875" t="s">
        <v>13</v>
      </c>
      <c r="F31" s="780">
        <v>400</v>
      </c>
      <c r="G31" s="982"/>
      <c r="H31" s="1008"/>
      <c r="I31" s="1063"/>
      <c r="J31" s="2013"/>
      <c r="K31" s="1207"/>
      <c r="L31" s="622"/>
      <c r="M31" s="982"/>
      <c r="N31" s="622"/>
      <c r="O31" s="982"/>
      <c r="P31" s="622"/>
      <c r="Q31" s="1063"/>
      <c r="R31" s="622"/>
      <c r="S31" s="982"/>
      <c r="T31" s="1028"/>
      <c r="V31" s="1035"/>
    </row>
    <row r="32" spans="1:44" x14ac:dyDescent="0.25">
      <c r="A32" s="247">
        <v>45387</v>
      </c>
      <c r="B32" s="876" t="s">
        <v>3844</v>
      </c>
      <c r="C32" s="879" t="s">
        <v>12</v>
      </c>
      <c r="D32" s="879" t="s">
        <v>1496</v>
      </c>
      <c r="E32" s="871" t="s">
        <v>13</v>
      </c>
      <c r="F32" s="780">
        <v>90</v>
      </c>
      <c r="G32" s="982"/>
      <c r="H32" s="1009"/>
      <c r="I32" s="1063"/>
      <c r="J32" s="613"/>
      <c r="K32" s="6"/>
      <c r="L32" s="622"/>
      <c r="M32" s="982"/>
      <c r="N32" s="622"/>
      <c r="O32" s="982"/>
      <c r="P32" s="622"/>
      <c r="Q32" s="1063"/>
      <c r="R32" s="622"/>
      <c r="S32" s="982"/>
      <c r="T32" s="1029"/>
    </row>
    <row r="33" spans="1:44" s="224" customFormat="1" ht="15" customHeight="1" x14ac:dyDescent="0.25">
      <c r="A33" s="247">
        <v>45387</v>
      </c>
      <c r="B33" s="882" t="s">
        <v>6180</v>
      </c>
      <c r="C33" s="879" t="s">
        <v>12</v>
      </c>
      <c r="D33" s="879" t="s">
        <v>1489</v>
      </c>
      <c r="E33" s="871" t="s">
        <v>13</v>
      </c>
      <c r="F33" s="780">
        <v>216</v>
      </c>
      <c r="G33" s="982"/>
      <c r="H33" s="622"/>
      <c r="I33" s="982"/>
      <c r="J33" s="622"/>
      <c r="K33" s="982"/>
      <c r="L33" s="622"/>
      <c r="M33" s="982"/>
      <c r="N33" s="622"/>
      <c r="O33" s="982"/>
      <c r="P33" s="622"/>
      <c r="Q33" s="1063"/>
      <c r="R33" s="622"/>
      <c r="S33" s="982"/>
      <c r="T33" s="1028">
        <v>216</v>
      </c>
      <c r="U33" s="959"/>
      <c r="V33" s="878"/>
      <c r="W33" s="958"/>
    </row>
    <row r="34" spans="1:44" s="224" customFormat="1" ht="15" customHeight="1" x14ac:dyDescent="0.25">
      <c r="A34" s="247">
        <v>45387</v>
      </c>
      <c r="B34" s="882" t="s">
        <v>32</v>
      </c>
      <c r="C34" s="879" t="s">
        <v>12</v>
      </c>
      <c r="D34" s="879" t="s">
        <v>1485</v>
      </c>
      <c r="E34" s="875" t="s">
        <v>13</v>
      </c>
      <c r="F34" s="780">
        <v>22</v>
      </c>
      <c r="G34" s="982"/>
      <c r="H34" s="95"/>
      <c r="I34" s="1064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861"/>
    </row>
    <row r="35" spans="1:44" s="224" customFormat="1" ht="15" customHeight="1" x14ac:dyDescent="0.25">
      <c r="A35" s="247">
        <v>45387</v>
      </c>
      <c r="B35" s="882" t="s">
        <v>82</v>
      </c>
      <c r="C35" s="879" t="s">
        <v>12</v>
      </c>
      <c r="D35" s="879" t="s">
        <v>1493</v>
      </c>
      <c r="E35" s="875" t="s">
        <v>13</v>
      </c>
      <c r="F35" s="780">
        <v>31</v>
      </c>
      <c r="G35" s="982"/>
      <c r="H35" s="95"/>
      <c r="I35" s="1064"/>
      <c r="J35" s="622"/>
      <c r="K35" s="982"/>
      <c r="L35" s="622"/>
      <c r="M35" s="982"/>
      <c r="N35" s="622"/>
      <c r="O35" s="982"/>
      <c r="P35" s="622"/>
      <c r="Q35" s="1063"/>
      <c r="R35" s="622"/>
      <c r="S35" s="982"/>
      <c r="T35" s="861"/>
    </row>
    <row r="36" spans="1:44" s="224" customFormat="1" ht="15" customHeight="1" x14ac:dyDescent="0.25">
      <c r="A36" s="247">
        <v>45388</v>
      </c>
      <c r="B36" s="1289" t="s">
        <v>2096</v>
      </c>
      <c r="C36" s="879" t="s">
        <v>12</v>
      </c>
      <c r="D36" s="1276" t="s">
        <v>1506</v>
      </c>
      <c r="E36" s="875" t="s">
        <v>13</v>
      </c>
      <c r="F36" s="1279">
        <v>50</v>
      </c>
      <c r="G36" s="967"/>
      <c r="H36" s="1008"/>
      <c r="I36" s="1063"/>
      <c r="J36" s="613"/>
      <c r="K36" s="6"/>
      <c r="L36" s="613"/>
      <c r="M36" s="6"/>
      <c r="N36" s="622"/>
      <c r="O36" s="982"/>
      <c r="P36" s="622"/>
      <c r="Q36" s="1063"/>
      <c r="R36" s="613"/>
      <c r="S36" s="64"/>
      <c r="T36" s="1209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s="224" customFormat="1" x14ac:dyDescent="0.25">
      <c r="A37" s="247">
        <v>45388</v>
      </c>
      <c r="B37" s="882" t="s">
        <v>2629</v>
      </c>
      <c r="C37" s="879" t="s">
        <v>12</v>
      </c>
      <c r="D37" s="879" t="s">
        <v>1489</v>
      </c>
      <c r="E37" s="480" t="s">
        <v>13</v>
      </c>
      <c r="F37" s="780">
        <v>121.18</v>
      </c>
      <c r="G37" s="982"/>
      <c r="H37" s="1008"/>
      <c r="I37" s="1063"/>
      <c r="J37" s="622"/>
      <c r="K37" s="982"/>
      <c r="L37" s="622"/>
      <c r="M37" s="982"/>
      <c r="N37" s="622"/>
      <c r="O37" s="982"/>
      <c r="P37" s="622"/>
      <c r="Q37" s="1063"/>
      <c r="R37" s="622"/>
      <c r="S37" s="982"/>
      <c r="T37" s="861"/>
      <c r="V37" s="878"/>
    </row>
    <row r="38" spans="1:44" s="224" customFormat="1" x14ac:dyDescent="0.25">
      <c r="A38" s="247">
        <v>45388</v>
      </c>
      <c r="B38" s="882" t="s">
        <v>6350</v>
      </c>
      <c r="C38" s="879" t="s">
        <v>12</v>
      </c>
      <c r="D38" s="879" t="s">
        <v>1493</v>
      </c>
      <c r="E38" s="480" t="s">
        <v>13</v>
      </c>
      <c r="F38" s="780">
        <v>22.55</v>
      </c>
      <c r="G38" s="982"/>
      <c r="H38" s="1008"/>
      <c r="I38" s="1063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861"/>
      <c r="V38" s="878"/>
    </row>
    <row r="39" spans="1:44" s="224" customFormat="1" x14ac:dyDescent="0.25">
      <c r="A39" s="247">
        <v>45388</v>
      </c>
      <c r="B39" s="882" t="s">
        <v>6349</v>
      </c>
      <c r="C39" s="879" t="s">
        <v>12</v>
      </c>
      <c r="D39" s="879" t="s">
        <v>1523</v>
      </c>
      <c r="E39" s="480" t="s">
        <v>13</v>
      </c>
      <c r="F39" s="780">
        <v>18</v>
      </c>
      <c r="G39" s="982"/>
      <c r="H39" s="1008"/>
      <c r="I39" s="1063"/>
      <c r="J39" s="622"/>
      <c r="K39" s="982"/>
      <c r="L39" s="622"/>
      <c r="M39" s="982"/>
      <c r="N39" s="622"/>
      <c r="O39" s="982"/>
      <c r="P39" s="622"/>
      <c r="Q39" s="1063"/>
      <c r="R39" s="622"/>
      <c r="S39" s="982"/>
      <c r="T39" s="861"/>
      <c r="V39" s="878"/>
    </row>
    <row r="40" spans="1:44" s="224" customFormat="1" ht="15" customHeight="1" x14ac:dyDescent="0.25">
      <c r="A40" s="247">
        <v>45388</v>
      </c>
      <c r="B40" s="882" t="s">
        <v>6208</v>
      </c>
      <c r="C40" s="879" t="s">
        <v>12</v>
      </c>
      <c r="D40" s="879"/>
      <c r="E40" s="875" t="s">
        <v>13</v>
      </c>
      <c r="F40" s="780">
        <v>850</v>
      </c>
      <c r="G40" s="982"/>
      <c r="H40" s="95"/>
      <c r="I40" s="1064"/>
      <c r="J40" s="622"/>
      <c r="K40" s="982">
        <v>850</v>
      </c>
      <c r="L40" s="622"/>
      <c r="M40" s="982"/>
      <c r="N40" s="622"/>
      <c r="O40" s="982"/>
      <c r="P40" s="622"/>
      <c r="Q40" s="1063"/>
      <c r="R40" s="622"/>
      <c r="S40" s="982"/>
      <c r="T40" s="861"/>
    </row>
    <row r="41" spans="1:44" s="224" customFormat="1" ht="15" customHeight="1" x14ac:dyDescent="0.25">
      <c r="A41" s="247">
        <v>45388</v>
      </c>
      <c r="B41" s="882" t="s">
        <v>6214</v>
      </c>
      <c r="C41" s="879" t="s">
        <v>12</v>
      </c>
      <c r="D41" s="879"/>
      <c r="E41" s="875" t="s">
        <v>13</v>
      </c>
      <c r="F41" s="780"/>
      <c r="G41" s="982"/>
      <c r="H41" s="95"/>
      <c r="I41" s="1064"/>
      <c r="J41" s="622"/>
      <c r="K41" s="982">
        <v>650</v>
      </c>
      <c r="L41" s="622"/>
      <c r="M41" s="982"/>
      <c r="N41" s="622"/>
      <c r="O41" s="982"/>
      <c r="P41" s="622"/>
      <c r="Q41" s="1063"/>
      <c r="R41" s="622"/>
      <c r="S41" s="982"/>
      <c r="T41" s="861"/>
    </row>
    <row r="42" spans="1:44" s="224" customFormat="1" x14ac:dyDescent="0.25">
      <c r="A42" s="247">
        <v>45389</v>
      </c>
      <c r="B42" s="1275"/>
      <c r="C42" s="1276"/>
      <c r="D42" s="1276"/>
      <c r="E42" s="1277"/>
      <c r="F42" s="1279"/>
      <c r="G42" s="982"/>
      <c r="H42" s="1008"/>
      <c r="I42" s="1063"/>
      <c r="J42" s="2013"/>
      <c r="K42" s="1207"/>
      <c r="L42" s="622"/>
      <c r="M42" s="982"/>
      <c r="N42" s="622"/>
      <c r="O42" s="982"/>
      <c r="P42" s="622"/>
      <c r="Q42" s="1063"/>
      <c r="R42" s="622"/>
      <c r="S42" s="982"/>
      <c r="T42" s="861"/>
      <c r="V42" s="878"/>
    </row>
    <row r="43" spans="1:44" s="224" customFormat="1" ht="15" customHeight="1" x14ac:dyDescent="0.25">
      <c r="A43" s="247">
        <v>45390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22</v>
      </c>
      <c r="G43" s="982"/>
      <c r="H43" s="95"/>
      <c r="I43" s="1064"/>
      <c r="J43" s="622"/>
      <c r="K43" s="982"/>
      <c r="L43" s="622"/>
      <c r="M43" s="982"/>
      <c r="N43" s="622"/>
      <c r="O43" s="982"/>
      <c r="P43" s="622"/>
      <c r="Q43" s="1063"/>
      <c r="R43" s="622"/>
      <c r="S43" s="982"/>
      <c r="T43" s="861"/>
    </row>
    <row r="44" spans="1:44" s="224" customFormat="1" ht="15" customHeight="1" x14ac:dyDescent="0.25">
      <c r="A44" s="247">
        <v>45390</v>
      </c>
      <c r="B44" s="1275" t="s">
        <v>6354</v>
      </c>
      <c r="C44" s="1276" t="s">
        <v>19</v>
      </c>
      <c r="D44" s="1276" t="s">
        <v>1522</v>
      </c>
      <c r="E44" s="1286" t="s">
        <v>13</v>
      </c>
      <c r="F44" s="613">
        <v>53</v>
      </c>
      <c r="G44" s="967"/>
      <c r="H44" s="1008"/>
      <c r="I44" s="1063"/>
      <c r="J44" s="622"/>
      <c r="K44" s="982"/>
      <c r="L44" s="613"/>
      <c r="M44" s="6"/>
      <c r="N44" s="622"/>
      <c r="O44" s="982"/>
      <c r="P44" s="622"/>
      <c r="Q44" s="1063"/>
      <c r="R44" s="613"/>
      <c r="S44" s="64"/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47">
        <v>45390</v>
      </c>
      <c r="B45" s="1275" t="s">
        <v>6355</v>
      </c>
      <c r="C45" s="1276" t="s">
        <v>19</v>
      </c>
      <c r="D45" s="1276" t="s">
        <v>1524</v>
      </c>
      <c r="E45" s="1286" t="s">
        <v>13</v>
      </c>
      <c r="F45" s="613">
        <v>33.82</v>
      </c>
      <c r="G45" s="967"/>
      <c r="H45" s="1008"/>
      <c r="I45" s="1063"/>
      <c r="J45" s="622"/>
      <c r="K45" s="982"/>
      <c r="L45" s="613"/>
      <c r="M45" s="6"/>
      <c r="N45" s="622"/>
      <c r="O45" s="982"/>
      <c r="P45" s="622"/>
      <c r="Q45" s="1063"/>
      <c r="R45" s="613"/>
      <c r="S45" s="64"/>
      <c r="T45" s="1209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s="224" customFormat="1" ht="15" customHeight="1" x14ac:dyDescent="0.25">
      <c r="A46" s="247">
        <v>45390</v>
      </c>
      <c r="B46" s="882" t="s">
        <v>3958</v>
      </c>
      <c r="C46" s="1276" t="s">
        <v>12</v>
      </c>
      <c r="D46" s="879" t="s">
        <v>1489</v>
      </c>
      <c r="E46" s="871" t="s">
        <v>13</v>
      </c>
      <c r="F46" s="780">
        <v>23</v>
      </c>
      <c r="G46" s="967"/>
      <c r="H46" s="1008"/>
      <c r="I46" s="1063"/>
      <c r="J46" s="2013"/>
      <c r="K46" s="1207"/>
      <c r="L46" s="2013"/>
      <c r="M46" s="1207"/>
      <c r="N46" s="880"/>
      <c r="O46" s="1033"/>
      <c r="P46" s="880"/>
      <c r="Q46" s="1525"/>
      <c r="R46" s="613"/>
      <c r="S46" s="162"/>
      <c r="T46" s="195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s="224" customFormat="1" ht="15" customHeight="1" x14ac:dyDescent="0.25">
      <c r="A47" s="247">
        <v>45390</v>
      </c>
      <c r="B47" s="882" t="s">
        <v>6329</v>
      </c>
      <c r="C47" s="879" t="s">
        <v>12</v>
      </c>
      <c r="D47" s="879"/>
      <c r="E47" s="875" t="s">
        <v>25</v>
      </c>
      <c r="F47" s="780"/>
      <c r="G47" s="982">
        <v>100</v>
      </c>
      <c r="H47" s="622"/>
      <c r="I47" s="982"/>
      <c r="J47" s="622"/>
      <c r="K47" s="982"/>
      <c r="L47" s="622"/>
      <c r="M47" s="982"/>
      <c r="N47" s="622"/>
      <c r="O47" s="982"/>
      <c r="P47" s="622"/>
      <c r="Q47" s="1063"/>
      <c r="R47" s="880"/>
      <c r="S47" s="1033"/>
      <c r="T47" s="1080" t="s">
        <v>6331</v>
      </c>
      <c r="V47" s="878"/>
    </row>
    <row r="48" spans="1:44" s="224" customFormat="1" ht="15" customHeight="1" x14ac:dyDescent="0.25">
      <c r="A48" s="247">
        <v>45391</v>
      </c>
      <c r="B48" s="1275" t="s">
        <v>6356</v>
      </c>
      <c r="C48" s="1276" t="s">
        <v>12</v>
      </c>
      <c r="D48" s="1276" t="s">
        <v>1489</v>
      </c>
      <c r="E48" s="1286" t="s">
        <v>13</v>
      </c>
      <c r="F48" s="613">
        <v>15</v>
      </c>
      <c r="G48" s="967"/>
      <c r="H48" s="1008"/>
      <c r="I48" s="1063"/>
      <c r="J48" s="622"/>
      <c r="K48" s="982"/>
      <c r="L48" s="613"/>
      <c r="M48" s="6"/>
      <c r="N48" s="622"/>
      <c r="O48" s="982"/>
      <c r="P48" s="622"/>
      <c r="Q48" s="1063"/>
      <c r="R48" s="613"/>
      <c r="S48" s="64"/>
      <c r="T48" s="1209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s="224" customFormat="1" ht="15" customHeight="1" x14ac:dyDescent="0.25">
      <c r="A49" s="247">
        <v>45391</v>
      </c>
      <c r="B49" s="882" t="s">
        <v>6169</v>
      </c>
      <c r="C49" s="879" t="s">
        <v>12</v>
      </c>
      <c r="D49" s="879" t="s">
        <v>1485</v>
      </c>
      <c r="E49" s="875" t="s">
        <v>13</v>
      </c>
      <c r="F49" s="613">
        <v>10.1</v>
      </c>
      <c r="G49" s="967"/>
      <c r="H49" s="1008"/>
      <c r="I49" s="1063"/>
      <c r="J49" s="2013"/>
      <c r="K49" s="1207"/>
      <c r="L49" s="2013"/>
      <c r="M49" s="1207"/>
      <c r="N49" s="880"/>
      <c r="O49" s="1033"/>
      <c r="P49" s="880"/>
      <c r="Q49" s="1525"/>
      <c r="R49" s="613"/>
      <c r="S49" s="162"/>
      <c r="T49" s="1956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ht="15" customHeight="1" x14ac:dyDescent="0.25">
      <c r="A50" s="247">
        <v>45391</v>
      </c>
      <c r="B50" s="882" t="s">
        <v>6251</v>
      </c>
      <c r="C50" s="879" t="s">
        <v>12</v>
      </c>
      <c r="D50" s="879"/>
      <c r="E50" s="875" t="s">
        <v>13</v>
      </c>
      <c r="F50" s="780">
        <v>11.9</v>
      </c>
      <c r="G50" s="982"/>
      <c r="H50" s="95"/>
      <c r="I50" s="1064"/>
      <c r="J50" s="622"/>
      <c r="K50" s="982">
        <v>11.9</v>
      </c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ht="15" customHeight="1" x14ac:dyDescent="0.25">
      <c r="A51" s="247">
        <v>45391</v>
      </c>
      <c r="B51" s="1275" t="s">
        <v>1331</v>
      </c>
      <c r="C51" s="879" t="s">
        <v>19</v>
      </c>
      <c r="D51" s="1276" t="s">
        <v>2157</v>
      </c>
      <c r="E51" s="875" t="s">
        <v>15</v>
      </c>
      <c r="F51" s="613">
        <v>100</v>
      </c>
      <c r="G51" s="946"/>
      <c r="H51" s="95"/>
      <c r="I51" s="1064"/>
      <c r="J51" s="622"/>
      <c r="K51" s="982"/>
      <c r="L51" s="622"/>
      <c r="M51" s="982"/>
      <c r="N51" s="622"/>
      <c r="O51" s="982"/>
      <c r="P51" s="622"/>
      <c r="Q51" s="1063"/>
      <c r="R51" s="622"/>
      <c r="S51" s="982"/>
      <c r="T51" s="1028"/>
      <c r="W51" s="958"/>
    </row>
    <row r="52" spans="1:44" s="224" customFormat="1" ht="15" customHeight="1" x14ac:dyDescent="0.25">
      <c r="A52" s="247">
        <v>45392</v>
      </c>
      <c r="B52" s="882" t="s">
        <v>32</v>
      </c>
      <c r="C52" s="879" t="s">
        <v>12</v>
      </c>
      <c r="D52" s="879" t="s">
        <v>1485</v>
      </c>
      <c r="E52" s="875" t="s">
        <v>13</v>
      </c>
      <c r="F52" s="780">
        <v>22</v>
      </c>
      <c r="G52" s="982"/>
      <c r="H52" s="95"/>
      <c r="I52" s="1064"/>
      <c r="J52" s="622"/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47">
        <v>45392</v>
      </c>
      <c r="B53" s="364" t="s">
        <v>6362</v>
      </c>
      <c r="C53" s="350" t="s">
        <v>12</v>
      </c>
      <c r="D53" s="350" t="s">
        <v>1489</v>
      </c>
      <c r="E53" s="875" t="s">
        <v>13</v>
      </c>
      <c r="F53" s="780">
        <v>34.9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927"/>
      <c r="U53" s="927"/>
      <c r="V53" s="878"/>
    </row>
    <row r="54" spans="1:44" s="224" customFormat="1" ht="15" customHeight="1" x14ac:dyDescent="0.25">
      <c r="A54" s="247">
        <v>45393</v>
      </c>
      <c r="B54" s="882" t="s">
        <v>32</v>
      </c>
      <c r="C54" s="879" t="s">
        <v>12</v>
      </c>
      <c r="D54" s="879" t="s">
        <v>1485</v>
      </c>
      <c r="E54" s="875" t="s">
        <v>13</v>
      </c>
      <c r="F54" s="780">
        <v>22</v>
      </c>
      <c r="G54" s="967"/>
      <c r="H54" s="1008"/>
      <c r="I54" s="1063"/>
      <c r="J54" s="1116"/>
      <c r="K54" s="1207"/>
      <c r="L54" s="613"/>
      <c r="M54" s="6"/>
      <c r="N54" s="622"/>
      <c r="O54" s="982"/>
      <c r="P54" s="622"/>
      <c r="Q54" s="1063"/>
      <c r="R54" s="613"/>
      <c r="S54" s="64"/>
      <c r="T54" s="1209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</row>
    <row r="55" spans="1:44" s="224" customFormat="1" ht="15" customHeight="1" x14ac:dyDescent="0.25">
      <c r="A55" s="247">
        <v>45394</v>
      </c>
      <c r="B55" s="882" t="s">
        <v>6258</v>
      </c>
      <c r="C55" s="879" t="s">
        <v>12</v>
      </c>
      <c r="D55" s="879"/>
      <c r="E55" s="875"/>
      <c r="F55" s="780"/>
      <c r="G55" s="982">
        <v>100</v>
      </c>
      <c r="H55" s="1008"/>
      <c r="I55" s="1063"/>
      <c r="J55" s="613">
        <v>750</v>
      </c>
      <c r="K55" s="982"/>
      <c r="L55" s="622"/>
      <c r="M55" s="982"/>
      <c r="N55" s="622"/>
      <c r="O55" s="982"/>
      <c r="P55" s="622"/>
      <c r="Q55" s="1063"/>
      <c r="R55" s="622"/>
      <c r="S55" s="982"/>
      <c r="T55" s="861"/>
    </row>
    <row r="56" spans="1:44" s="224" customFormat="1" ht="15" customHeight="1" x14ac:dyDescent="0.25">
      <c r="A56" s="247">
        <v>45394</v>
      </c>
      <c r="B56" s="1275" t="s">
        <v>6363</v>
      </c>
      <c r="C56" s="1276" t="s">
        <v>12</v>
      </c>
      <c r="D56" s="1276" t="s">
        <v>1524</v>
      </c>
      <c r="E56" s="1286" t="s">
        <v>13</v>
      </c>
      <c r="F56" s="613">
        <v>100</v>
      </c>
      <c r="G56" s="967"/>
      <c r="H56" s="1008"/>
      <c r="I56" s="1063"/>
      <c r="J56" s="613"/>
      <c r="K56" s="6"/>
      <c r="L56" s="613"/>
      <c r="M56" s="6"/>
      <c r="N56" s="622"/>
      <c r="O56" s="982"/>
      <c r="P56" s="622"/>
      <c r="Q56" s="1063"/>
      <c r="R56" s="613"/>
      <c r="S56" s="64"/>
      <c r="T56" s="2062" t="s">
        <v>6343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47">
        <v>45394</v>
      </c>
      <c r="B57" s="882" t="s">
        <v>32</v>
      </c>
      <c r="C57" s="879" t="s">
        <v>12</v>
      </c>
      <c r="D57" s="879" t="s">
        <v>1485</v>
      </c>
      <c r="E57" s="875" t="s">
        <v>13</v>
      </c>
      <c r="F57" s="780">
        <v>22</v>
      </c>
      <c r="G57" s="967"/>
      <c r="H57" s="1008"/>
      <c r="I57" s="1063"/>
      <c r="J57" s="1116"/>
      <c r="K57" s="1207"/>
      <c r="L57" s="613"/>
      <c r="M57" s="6"/>
      <c r="N57" s="622"/>
      <c r="O57" s="982"/>
      <c r="P57" s="622"/>
      <c r="Q57" s="1063"/>
      <c r="R57" s="613"/>
      <c r="S57" s="64"/>
      <c r="T57" s="1209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 s="224" customFormat="1" ht="15" customHeight="1" x14ac:dyDescent="0.25">
      <c r="A58" s="247">
        <v>45394</v>
      </c>
      <c r="B58" s="364" t="s">
        <v>6364</v>
      </c>
      <c r="C58" s="350" t="s">
        <v>12</v>
      </c>
      <c r="D58" s="350" t="s">
        <v>1493</v>
      </c>
      <c r="E58" s="875" t="s">
        <v>13</v>
      </c>
      <c r="F58" s="780">
        <v>7</v>
      </c>
      <c r="G58" s="982"/>
      <c r="H58" s="622"/>
      <c r="I58" s="982"/>
      <c r="J58" s="1116"/>
      <c r="K58" s="1207"/>
      <c r="L58" s="622"/>
      <c r="M58" s="982"/>
      <c r="N58" s="853"/>
      <c r="O58" s="982"/>
      <c r="P58" s="622"/>
      <c r="Q58" s="1063"/>
      <c r="R58" s="622"/>
      <c r="S58" s="982"/>
      <c r="T58" s="927"/>
      <c r="U58" s="927"/>
      <c r="V58" s="878"/>
    </row>
    <row r="59" spans="1:44" s="224" customFormat="1" ht="15" customHeight="1" x14ac:dyDescent="0.25">
      <c r="A59" s="247">
        <v>45394</v>
      </c>
      <c r="B59" s="364" t="s">
        <v>443</v>
      </c>
      <c r="C59" s="350" t="s">
        <v>12</v>
      </c>
      <c r="D59" s="350" t="s">
        <v>1493</v>
      </c>
      <c r="E59" s="480" t="s">
        <v>13</v>
      </c>
      <c r="F59" s="613">
        <v>17.899999999999999</v>
      </c>
      <c r="G59" s="967"/>
      <c r="H59" s="1008"/>
      <c r="I59" s="1063"/>
      <c r="J59" s="622"/>
      <c r="K59" s="982"/>
      <c r="L59" s="1116"/>
      <c r="M59" s="1207"/>
      <c r="N59" s="1968"/>
      <c r="O59" s="1033"/>
      <c r="P59" s="880"/>
      <c r="Q59" s="1525"/>
      <c r="R59" s="613"/>
      <c r="S59" s="162"/>
      <c r="T59" s="120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</row>
    <row r="60" spans="1:44" s="224" customFormat="1" ht="15" customHeight="1" x14ac:dyDescent="0.25">
      <c r="A60" s="247">
        <v>45395</v>
      </c>
      <c r="B60" s="349" t="s">
        <v>14</v>
      </c>
      <c r="C60" s="350" t="s">
        <v>12</v>
      </c>
      <c r="D60" s="350" t="s">
        <v>1486</v>
      </c>
      <c r="E60" s="480" t="s">
        <v>13</v>
      </c>
      <c r="F60" s="780">
        <v>9.58</v>
      </c>
      <c r="G60" s="946"/>
      <c r="H60" s="95"/>
      <c r="I60" s="1064"/>
      <c r="J60" s="622"/>
      <c r="K60" s="982"/>
      <c r="L60" s="622"/>
      <c r="M60" s="982"/>
      <c r="N60" s="622"/>
      <c r="O60" s="982"/>
      <c r="P60" s="622"/>
      <c r="Q60" s="1063"/>
      <c r="R60" s="1110"/>
      <c r="S60" s="1208"/>
      <c r="T60" s="1028"/>
      <c r="W60" s="958"/>
    </row>
    <row r="61" spans="1:44" s="224" customFormat="1" ht="15" customHeight="1" x14ac:dyDescent="0.25">
      <c r="A61" s="247">
        <v>45395</v>
      </c>
      <c r="B61" s="1275" t="s">
        <v>82</v>
      </c>
      <c r="C61" s="1276" t="s">
        <v>12</v>
      </c>
      <c r="D61" s="1276" t="s">
        <v>1493</v>
      </c>
      <c r="E61" s="1286" t="s">
        <v>13</v>
      </c>
      <c r="F61" s="613">
        <v>20</v>
      </c>
      <c r="G61" s="967"/>
      <c r="H61" s="1008"/>
      <c r="I61" s="1063"/>
      <c r="J61" s="622"/>
      <c r="K61" s="982"/>
      <c r="L61" s="613"/>
      <c r="M61" s="6"/>
      <c r="N61" s="622"/>
      <c r="O61" s="982"/>
      <c r="P61" s="622"/>
      <c r="Q61" s="1063"/>
      <c r="R61" s="613"/>
      <c r="S61" s="64"/>
      <c r="T61" s="1209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5" customHeight="1" x14ac:dyDescent="0.25">
      <c r="A62" s="247">
        <v>45396</v>
      </c>
      <c r="B62" s="349" t="s">
        <v>14</v>
      </c>
      <c r="C62" s="350" t="s">
        <v>12</v>
      </c>
      <c r="D62" s="350" t="s">
        <v>1486</v>
      </c>
      <c r="E62" s="480" t="s">
        <v>13</v>
      </c>
      <c r="F62" s="780">
        <v>9.52</v>
      </c>
      <c r="G62" s="946"/>
      <c r="H62" s="95"/>
      <c r="I62" s="1064"/>
      <c r="J62" s="622"/>
      <c r="K62" s="982"/>
      <c r="L62" s="622"/>
      <c r="M62" s="982"/>
      <c r="N62" s="622"/>
      <c r="O62" s="982"/>
      <c r="P62" s="622"/>
      <c r="Q62" s="1063"/>
      <c r="R62" s="1110"/>
      <c r="S62" s="1208"/>
      <c r="T62" s="1028"/>
      <c r="W62" s="958"/>
    </row>
    <row r="63" spans="1:44" s="224" customFormat="1" ht="15" customHeight="1" x14ac:dyDescent="0.25">
      <c r="A63" s="247">
        <v>45396</v>
      </c>
      <c r="B63" s="364" t="s">
        <v>1906</v>
      </c>
      <c r="C63" s="350" t="s">
        <v>12</v>
      </c>
      <c r="D63" s="350" t="s">
        <v>1493</v>
      </c>
      <c r="E63" s="875" t="s">
        <v>13</v>
      </c>
      <c r="F63" s="780">
        <v>32</v>
      </c>
      <c r="G63" s="982"/>
      <c r="H63" s="622"/>
      <c r="I63" s="982"/>
      <c r="J63" s="622"/>
      <c r="K63" s="982"/>
      <c r="L63" s="622"/>
      <c r="M63" s="982"/>
      <c r="N63" s="853"/>
      <c r="O63" s="982"/>
      <c r="P63" s="622"/>
      <c r="Q63" s="1063"/>
      <c r="R63" s="622"/>
      <c r="S63" s="982"/>
      <c r="T63" s="927"/>
      <c r="U63" s="927"/>
      <c r="V63" s="878"/>
    </row>
    <row r="64" spans="1:44" s="224" customFormat="1" ht="15" customHeight="1" x14ac:dyDescent="0.25">
      <c r="A64" s="247">
        <v>45397</v>
      </c>
      <c r="B64" s="882" t="s">
        <v>32</v>
      </c>
      <c r="C64" s="879" t="s">
        <v>12</v>
      </c>
      <c r="D64" s="879" t="s">
        <v>1485</v>
      </c>
      <c r="E64" s="875" t="s">
        <v>13</v>
      </c>
      <c r="F64" s="780">
        <v>22</v>
      </c>
      <c r="G64" s="967"/>
      <c r="H64" s="1008"/>
      <c r="I64" s="1063"/>
      <c r="J64" s="1116"/>
      <c r="K64" s="1207"/>
      <c r="L64" s="613"/>
      <c r="M64" s="6"/>
      <c r="N64" s="622"/>
      <c r="O64" s="982"/>
      <c r="P64" s="622"/>
      <c r="Q64" s="1063"/>
      <c r="R64" s="613"/>
      <c r="S64" s="64"/>
      <c r="T64" s="1209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 s="224" customFormat="1" ht="15" customHeight="1" x14ac:dyDescent="0.25">
      <c r="A65" s="247">
        <v>45397</v>
      </c>
      <c r="B65" s="882" t="s">
        <v>6329</v>
      </c>
      <c r="C65" s="879" t="s">
        <v>12</v>
      </c>
      <c r="D65" s="879"/>
      <c r="E65" s="875"/>
      <c r="F65" s="780"/>
      <c r="G65" s="982"/>
      <c r="H65" s="622"/>
      <c r="I65" s="982"/>
      <c r="J65" s="622"/>
      <c r="K65" s="982"/>
      <c r="L65" s="622"/>
      <c r="M65" s="982"/>
      <c r="N65" s="622"/>
      <c r="O65" s="982">
        <v>100</v>
      </c>
      <c r="P65" s="622"/>
      <c r="Q65" s="1063"/>
      <c r="R65" s="880"/>
      <c r="S65" s="1033"/>
      <c r="T65" s="1080" t="s">
        <v>6331</v>
      </c>
      <c r="V65" s="878"/>
    </row>
    <row r="66" spans="1:44" s="224" customFormat="1" ht="15" customHeight="1" x14ac:dyDescent="0.25">
      <c r="A66" s="247">
        <v>45398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22</v>
      </c>
      <c r="G66" s="967"/>
      <c r="H66" s="1008"/>
      <c r="I66" s="1063"/>
      <c r="J66" s="1116"/>
      <c r="K66" s="1207"/>
      <c r="L66" s="613"/>
      <c r="M66" s="6"/>
      <c r="N66" s="622"/>
      <c r="O66" s="982"/>
      <c r="P66" s="622"/>
      <c r="Q66" s="1063"/>
      <c r="R66" s="613"/>
      <c r="S66" s="64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ht="15" customHeight="1" x14ac:dyDescent="0.25">
      <c r="A67" s="247">
        <v>45399</v>
      </c>
      <c r="B67" s="882" t="s">
        <v>6169</v>
      </c>
      <c r="C67" s="879" t="s">
        <v>12</v>
      </c>
      <c r="D67" s="879" t="s">
        <v>1485</v>
      </c>
      <c r="E67" s="875" t="s">
        <v>13</v>
      </c>
      <c r="F67" s="613">
        <v>11.4</v>
      </c>
      <c r="G67" s="967"/>
      <c r="H67" s="1008"/>
      <c r="I67" s="1063"/>
      <c r="J67" s="2013"/>
      <c r="K67" s="1207"/>
      <c r="L67" s="2013"/>
      <c r="M67" s="1207"/>
      <c r="N67" s="880"/>
      <c r="O67" s="1033"/>
      <c r="P67" s="880"/>
      <c r="Q67" s="1525"/>
      <c r="R67" s="613"/>
      <c r="S67" s="162"/>
      <c r="T67" s="1956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 s="224" customFormat="1" ht="15" customHeight="1" x14ac:dyDescent="0.25">
      <c r="A68" s="247">
        <v>45399</v>
      </c>
      <c r="B68" s="364" t="s">
        <v>81</v>
      </c>
      <c r="C68" s="350" t="s">
        <v>12</v>
      </c>
      <c r="D68" s="350" t="s">
        <v>1493</v>
      </c>
      <c r="E68" s="480" t="s">
        <v>13</v>
      </c>
      <c r="F68" s="613">
        <v>6</v>
      </c>
      <c r="G68" s="966"/>
      <c r="H68" s="1031"/>
      <c r="I68" s="1525"/>
      <c r="J68" s="622"/>
      <c r="K68" s="982"/>
      <c r="L68" s="872"/>
      <c r="M68" s="1207"/>
      <c r="N68" s="880"/>
      <c r="O68" s="1033"/>
      <c r="P68" s="880"/>
      <c r="Q68" s="1525"/>
      <c r="R68" s="613"/>
      <c r="S68" s="162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customHeight="1" x14ac:dyDescent="0.25">
      <c r="A69" s="247">
        <v>45399</v>
      </c>
      <c r="B69" s="364" t="s">
        <v>3130</v>
      </c>
      <c r="C69" s="350" t="s">
        <v>12</v>
      </c>
      <c r="D69" s="350" t="s">
        <v>1506</v>
      </c>
      <c r="E69" s="480" t="s">
        <v>13</v>
      </c>
      <c r="F69" s="613">
        <v>26</v>
      </c>
      <c r="G69" s="967"/>
      <c r="H69" s="1008"/>
      <c r="I69" s="1063"/>
      <c r="J69" s="622"/>
      <c r="K69" s="982"/>
      <c r="L69" s="1116"/>
      <c r="M69" s="1207"/>
      <c r="N69" s="1968"/>
      <c r="O69" s="1033"/>
      <c r="P69" s="880"/>
      <c r="Q69" s="1525"/>
      <c r="R69" s="613"/>
      <c r="S69" s="162"/>
      <c r="T69" s="120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</row>
    <row r="70" spans="1:44" s="224" customFormat="1" ht="15" customHeight="1" x14ac:dyDescent="0.25">
      <c r="A70" s="247">
        <v>45399</v>
      </c>
      <c r="B70" s="1275" t="s">
        <v>1331</v>
      </c>
      <c r="C70" s="879" t="s">
        <v>19</v>
      </c>
      <c r="D70" s="1276" t="s">
        <v>2157</v>
      </c>
      <c r="E70" s="875" t="s">
        <v>15</v>
      </c>
      <c r="F70" s="613">
        <v>80</v>
      </c>
      <c r="G70" s="946"/>
      <c r="H70" s="95"/>
      <c r="I70" s="1064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1028"/>
      <c r="W70" s="958"/>
    </row>
    <row r="71" spans="1:44" s="224" customFormat="1" ht="15" customHeight="1" x14ac:dyDescent="0.25">
      <c r="A71" s="247">
        <v>45399</v>
      </c>
      <c r="B71" s="364" t="s">
        <v>3325</v>
      </c>
      <c r="C71" s="350" t="s">
        <v>12</v>
      </c>
      <c r="D71" s="350" t="s">
        <v>1504</v>
      </c>
      <c r="E71" s="875" t="s">
        <v>13</v>
      </c>
      <c r="F71" s="780">
        <v>39.9</v>
      </c>
      <c r="G71" s="982"/>
      <c r="H71" s="622"/>
      <c r="I71" s="982"/>
      <c r="J71" s="613"/>
      <c r="K71" s="6"/>
      <c r="L71" s="622"/>
      <c r="M71" s="982"/>
      <c r="N71" s="622"/>
      <c r="O71" s="982"/>
      <c r="P71" s="622"/>
      <c r="Q71" s="1063"/>
      <c r="R71" s="827"/>
      <c r="S71" s="1115"/>
      <c r="T71" s="878"/>
    </row>
    <row r="72" spans="1:44" s="224" customFormat="1" ht="15" customHeight="1" x14ac:dyDescent="0.25">
      <c r="A72" s="247">
        <v>45399</v>
      </c>
      <c r="B72" s="364" t="s">
        <v>3114</v>
      </c>
      <c r="C72" s="350" t="s">
        <v>12</v>
      </c>
      <c r="D72" s="350" t="s">
        <v>1489</v>
      </c>
      <c r="E72" s="480" t="s">
        <v>13</v>
      </c>
      <c r="F72" s="613">
        <v>4.5</v>
      </c>
      <c r="G72" s="966"/>
      <c r="H72" s="1031"/>
      <c r="I72" s="1525"/>
      <c r="J72" s="622"/>
      <c r="K72" s="982"/>
      <c r="L72" s="872"/>
      <c r="M72" s="1207"/>
      <c r="N72" s="880"/>
      <c r="O72" s="1033"/>
      <c r="P72" s="880"/>
      <c r="Q72" s="1525"/>
      <c r="R72" s="613"/>
      <c r="S72" s="162"/>
      <c r="T72" s="1209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 s="224" customFormat="1" ht="15" customHeight="1" x14ac:dyDescent="0.25">
      <c r="A73" s="247">
        <v>45399</v>
      </c>
      <c r="B73" s="364" t="s">
        <v>134</v>
      </c>
      <c r="C73" s="350" t="s">
        <v>12</v>
      </c>
      <c r="D73" s="350" t="s">
        <v>1493</v>
      </c>
      <c r="E73" s="480" t="s">
        <v>13</v>
      </c>
      <c r="F73" s="613">
        <v>13.9</v>
      </c>
      <c r="G73" s="966"/>
      <c r="H73" s="1031"/>
      <c r="I73" s="1525"/>
      <c r="J73" s="622"/>
      <c r="K73" s="982"/>
      <c r="L73" s="872"/>
      <c r="M73" s="1207"/>
      <c r="N73" s="880"/>
      <c r="O73" s="1033"/>
      <c r="P73" s="880"/>
      <c r="Q73" s="1525"/>
      <c r="R73" s="613"/>
      <c r="S73" s="162"/>
      <c r="T73" s="1209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45400</v>
      </c>
      <c r="B74" s="882" t="s">
        <v>32</v>
      </c>
      <c r="C74" s="879" t="s">
        <v>12</v>
      </c>
      <c r="D74" s="879" t="s">
        <v>1485</v>
      </c>
      <c r="E74" s="875" t="s">
        <v>13</v>
      </c>
      <c r="F74" s="780">
        <v>22</v>
      </c>
      <c r="G74" s="967"/>
      <c r="H74" s="1008"/>
      <c r="I74" s="1063"/>
      <c r="J74" s="1116"/>
      <c r="K74" s="1207"/>
      <c r="L74" s="613"/>
      <c r="M74" s="6"/>
      <c r="N74" s="622"/>
      <c r="O74" s="982"/>
      <c r="P74" s="622"/>
      <c r="Q74" s="1063"/>
      <c r="R74" s="613"/>
      <c r="S74" s="64"/>
      <c r="T74" s="1209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</row>
    <row r="75" spans="1:44" s="224" customFormat="1" ht="15" customHeight="1" x14ac:dyDescent="0.25">
      <c r="A75" s="247">
        <v>45400</v>
      </c>
      <c r="B75" s="364" t="s">
        <v>6370</v>
      </c>
      <c r="C75" s="350" t="s">
        <v>12</v>
      </c>
      <c r="D75" s="350" t="s">
        <v>1489</v>
      </c>
      <c r="E75" s="480" t="s">
        <v>13</v>
      </c>
      <c r="F75" s="613">
        <v>14.4</v>
      </c>
      <c r="G75" s="966"/>
      <c r="H75" s="1031"/>
      <c r="I75" s="1525"/>
      <c r="J75" s="622"/>
      <c r="K75" s="982"/>
      <c r="L75" s="1110"/>
      <c r="M75" s="1207"/>
      <c r="N75" s="880"/>
      <c r="O75" s="1033"/>
      <c r="P75" s="880"/>
      <c r="Q75" s="1525"/>
      <c r="R75" s="613"/>
      <c r="S75" s="162"/>
      <c r="T75" s="1209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 s="224" customFormat="1" ht="15" customHeight="1" x14ac:dyDescent="0.25">
      <c r="A76" s="247">
        <v>45401</v>
      </c>
      <c r="B76" s="882" t="s">
        <v>3720</v>
      </c>
      <c r="C76" s="350" t="s">
        <v>12</v>
      </c>
      <c r="D76" s="350"/>
      <c r="E76" s="480" t="s">
        <v>25</v>
      </c>
      <c r="F76" s="622"/>
      <c r="G76" s="982">
        <v>2236.5</v>
      </c>
      <c r="H76" s="1008"/>
      <c r="I76" s="1063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861"/>
    </row>
    <row r="77" spans="1:44" s="224" customFormat="1" ht="15" customHeight="1" x14ac:dyDescent="0.25">
      <c r="A77" s="247">
        <v>45401</v>
      </c>
      <c r="B77" s="364" t="s">
        <v>6182</v>
      </c>
      <c r="C77" s="879" t="s">
        <v>12</v>
      </c>
      <c r="D77" s="879"/>
      <c r="E77" s="983" t="s">
        <v>25</v>
      </c>
      <c r="F77" s="780"/>
      <c r="G77" s="982"/>
      <c r="H77" s="622"/>
      <c r="I77" s="982"/>
      <c r="J77" s="2013"/>
      <c r="K77" s="1207"/>
      <c r="L77" s="622"/>
      <c r="M77" s="982"/>
      <c r="N77" s="622"/>
      <c r="O77" s="982"/>
      <c r="P77" s="622"/>
      <c r="Q77" s="1063"/>
      <c r="R77" s="622"/>
      <c r="S77" s="982">
        <v>447.3</v>
      </c>
      <c r="T77" s="927"/>
      <c r="U77" s="927"/>
      <c r="V77" s="878"/>
    </row>
    <row r="78" spans="1:44" s="224" customFormat="1" ht="15" customHeight="1" x14ac:dyDescent="0.25">
      <c r="A78" s="247">
        <v>45401</v>
      </c>
      <c r="B78" s="364" t="s">
        <v>3354</v>
      </c>
      <c r="C78" s="350" t="s">
        <v>12</v>
      </c>
      <c r="D78" s="350"/>
      <c r="E78" s="145" t="s">
        <v>25</v>
      </c>
      <c r="F78" s="613"/>
      <c r="G78" s="967"/>
      <c r="H78" s="1008"/>
      <c r="I78" s="1063"/>
      <c r="J78" s="622"/>
      <c r="K78" s="982"/>
      <c r="L78" s="1116"/>
      <c r="M78" s="1207"/>
      <c r="N78" s="880"/>
      <c r="O78" s="1033"/>
      <c r="P78" s="880"/>
      <c r="Q78" s="1525"/>
      <c r="R78" s="613"/>
      <c r="S78" s="162">
        <v>145.79</v>
      </c>
      <c r="T78" s="201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 s="224" customFormat="1" ht="14.25" customHeight="1" x14ac:dyDescent="0.25">
      <c r="A79" s="247">
        <v>45401</v>
      </c>
      <c r="B79" s="364" t="s">
        <v>2977</v>
      </c>
      <c r="C79" s="350" t="s">
        <v>12</v>
      </c>
      <c r="D79" s="350" t="s">
        <v>1491</v>
      </c>
      <c r="E79" s="875" t="s">
        <v>13</v>
      </c>
      <c r="F79" s="780">
        <v>400</v>
      </c>
      <c r="G79" s="982"/>
      <c r="H79" s="1008"/>
      <c r="I79" s="1063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1029"/>
      <c r="U79" s="89"/>
      <c r="V79" s="930"/>
    </row>
    <row r="80" spans="1:44" s="224" customFormat="1" ht="15" customHeight="1" x14ac:dyDescent="0.25">
      <c r="A80" s="247">
        <v>45401</v>
      </c>
      <c r="B80" s="882" t="s">
        <v>6373</v>
      </c>
      <c r="C80" s="879" t="s">
        <v>12</v>
      </c>
      <c r="D80" s="879"/>
      <c r="E80" s="875"/>
      <c r="F80" s="780"/>
      <c r="G80" s="982">
        <v>1189</v>
      </c>
      <c r="H80" s="1008"/>
      <c r="I80" s="1063"/>
      <c r="J80" s="613">
        <v>1189</v>
      </c>
      <c r="K80" s="982"/>
      <c r="L80" s="622"/>
      <c r="M80" s="982"/>
      <c r="N80" s="622"/>
      <c r="O80" s="982"/>
      <c r="P80" s="622"/>
      <c r="Q80" s="1063"/>
      <c r="R80" s="622"/>
      <c r="S80" s="982"/>
      <c r="T80" s="861"/>
    </row>
    <row r="81" spans="1:23" s="224" customFormat="1" ht="15" customHeight="1" x14ac:dyDescent="0.25">
      <c r="A81" s="247">
        <v>45401</v>
      </c>
      <c r="B81" s="349" t="s">
        <v>6371</v>
      </c>
      <c r="C81" s="887" t="s">
        <v>12</v>
      </c>
      <c r="D81" s="350" t="s">
        <v>1496</v>
      </c>
      <c r="E81" s="887" t="s">
        <v>13</v>
      </c>
      <c r="F81" s="613">
        <v>74.11</v>
      </c>
      <c r="G81" s="982"/>
      <c r="H81" s="872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927"/>
      <c r="U81" s="999"/>
      <c r="V81" s="878"/>
    </row>
    <row r="82" spans="1:23" s="224" customFormat="1" ht="15" customHeight="1" x14ac:dyDescent="0.25">
      <c r="A82" s="247">
        <v>45401</v>
      </c>
      <c r="B82" s="349" t="s">
        <v>6372</v>
      </c>
      <c r="C82" s="887" t="s">
        <v>12</v>
      </c>
      <c r="D82" s="350" t="s">
        <v>1524</v>
      </c>
      <c r="E82" s="887" t="s">
        <v>13</v>
      </c>
      <c r="F82" s="613">
        <v>402.45</v>
      </c>
      <c r="G82" s="982"/>
      <c r="H82" s="872"/>
      <c r="I82" s="1063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927"/>
      <c r="U82" s="999"/>
      <c r="V82" s="878"/>
    </row>
    <row r="83" spans="1:23" s="224" customFormat="1" ht="15" customHeight="1" x14ac:dyDescent="0.25">
      <c r="A83" s="247">
        <v>45401</v>
      </c>
      <c r="B83" s="349" t="s">
        <v>6372</v>
      </c>
      <c r="C83" s="887" t="s">
        <v>12</v>
      </c>
      <c r="D83" s="350" t="s">
        <v>1524</v>
      </c>
      <c r="E83" s="887" t="s">
        <v>13</v>
      </c>
      <c r="F83" s="613">
        <v>314.51249999999999</v>
      </c>
      <c r="G83" s="982"/>
      <c r="H83" s="872"/>
      <c r="I83" s="1063"/>
      <c r="J83" s="622"/>
      <c r="K83" s="982"/>
      <c r="L83" s="622"/>
      <c r="M83" s="982"/>
      <c r="N83" s="622"/>
      <c r="O83" s="982"/>
      <c r="P83" s="622"/>
      <c r="Q83" s="1063"/>
      <c r="R83" s="622"/>
      <c r="S83" s="982"/>
      <c r="T83" s="927"/>
      <c r="U83" s="999"/>
      <c r="V83" s="878"/>
    </row>
    <row r="84" spans="1:23" s="224" customFormat="1" ht="15" customHeight="1" x14ac:dyDescent="0.25">
      <c r="A84" s="247">
        <v>45401</v>
      </c>
      <c r="B84" s="349" t="s">
        <v>6372</v>
      </c>
      <c r="C84" s="887" t="s">
        <v>12</v>
      </c>
      <c r="D84" s="1005" t="s">
        <v>1522</v>
      </c>
      <c r="E84" s="887" t="s">
        <v>13</v>
      </c>
      <c r="F84" s="1116">
        <v>210</v>
      </c>
      <c r="G84" s="982"/>
      <c r="H84" s="872"/>
      <c r="I84" s="1063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927"/>
      <c r="U84" s="999"/>
      <c r="V84" s="878"/>
    </row>
    <row r="85" spans="1:23" s="224" customFormat="1" ht="15" customHeight="1" x14ac:dyDescent="0.25">
      <c r="A85" s="247">
        <v>45401</v>
      </c>
      <c r="B85" s="349" t="s">
        <v>6372</v>
      </c>
      <c r="C85" s="887" t="s">
        <v>12</v>
      </c>
      <c r="D85" s="350" t="s">
        <v>1522</v>
      </c>
      <c r="E85" s="887" t="s">
        <v>13</v>
      </c>
      <c r="F85" s="613">
        <v>69.655000000000001</v>
      </c>
      <c r="G85" s="982"/>
      <c r="H85" s="872"/>
      <c r="I85" s="1063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927"/>
      <c r="U85" s="999"/>
      <c r="V85" s="878"/>
    </row>
    <row r="86" spans="1:23" s="224" customFormat="1" ht="15" customHeight="1" x14ac:dyDescent="0.25">
      <c r="A86" s="247">
        <v>45401</v>
      </c>
      <c r="B86" s="349" t="s">
        <v>6372</v>
      </c>
      <c r="C86" s="887" t="s">
        <v>12</v>
      </c>
      <c r="D86" s="350" t="s">
        <v>1522</v>
      </c>
      <c r="E86" s="887" t="s">
        <v>13</v>
      </c>
      <c r="F86" s="613">
        <v>143</v>
      </c>
      <c r="G86" s="982"/>
      <c r="H86" s="872"/>
      <c r="I86" s="1063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927"/>
      <c r="U86" s="999"/>
      <c r="V86" s="878"/>
    </row>
    <row r="87" spans="1:23" s="224" customFormat="1" ht="15" customHeight="1" x14ac:dyDescent="0.25">
      <c r="A87" s="247">
        <v>45401</v>
      </c>
      <c r="B87" s="349" t="s">
        <v>6372</v>
      </c>
      <c r="C87" s="887" t="s">
        <v>12</v>
      </c>
      <c r="D87" s="350" t="s">
        <v>1524</v>
      </c>
      <c r="E87" s="887" t="s">
        <v>13</v>
      </c>
      <c r="F87" s="613">
        <v>472.5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99"/>
      <c r="V87" s="878"/>
    </row>
    <row r="88" spans="1:23" s="224" customFormat="1" ht="15" customHeight="1" x14ac:dyDescent="0.25">
      <c r="A88" s="247">
        <v>45401</v>
      </c>
      <c r="B88" s="882" t="s">
        <v>6346</v>
      </c>
      <c r="C88" s="879" t="s">
        <v>12</v>
      </c>
      <c r="D88" s="879" t="s">
        <v>1499</v>
      </c>
      <c r="E88" s="871" t="s">
        <v>13</v>
      </c>
      <c r="F88" s="780">
        <v>43.93</v>
      </c>
      <c r="G88" s="982"/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  <c r="V88" s="1123"/>
      <c r="W88" s="999"/>
    </row>
    <row r="89" spans="1:23" s="224" customFormat="1" ht="15" customHeight="1" x14ac:dyDescent="0.25">
      <c r="A89" s="247">
        <v>45401</v>
      </c>
      <c r="B89" s="862" t="s">
        <v>3529</v>
      </c>
      <c r="C89" s="879" t="s">
        <v>12</v>
      </c>
      <c r="D89" s="879" t="s">
        <v>1504</v>
      </c>
      <c r="E89" s="871" t="s">
        <v>13</v>
      </c>
      <c r="F89" s="780">
        <v>39.9</v>
      </c>
      <c r="G89" s="946"/>
      <c r="H89" s="95"/>
      <c r="I89" s="1064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1028"/>
      <c r="W89" s="958"/>
    </row>
    <row r="90" spans="1:23" s="224" customFormat="1" ht="15" customHeight="1" x14ac:dyDescent="0.25">
      <c r="A90" s="247">
        <v>45401</v>
      </c>
      <c r="B90" s="882" t="s">
        <v>6208</v>
      </c>
      <c r="C90" s="879" t="s">
        <v>12</v>
      </c>
      <c r="D90" s="879"/>
      <c r="E90" s="875" t="s">
        <v>13</v>
      </c>
      <c r="F90" s="780">
        <v>600</v>
      </c>
      <c r="G90" s="982"/>
      <c r="H90" s="95"/>
      <c r="I90" s="1064"/>
      <c r="J90" s="622"/>
      <c r="K90" s="982">
        <v>600</v>
      </c>
      <c r="L90" s="622"/>
      <c r="M90" s="982"/>
      <c r="N90" s="622"/>
      <c r="O90" s="982"/>
      <c r="P90" s="622"/>
      <c r="Q90" s="1063"/>
      <c r="R90" s="622"/>
      <c r="S90" s="982"/>
      <c r="T90" s="861"/>
    </row>
    <row r="91" spans="1:23" s="224" customFormat="1" ht="15" customHeight="1" x14ac:dyDescent="0.25">
      <c r="A91" s="247">
        <v>45401</v>
      </c>
      <c r="B91" s="882" t="s">
        <v>32</v>
      </c>
      <c r="C91" s="879" t="s">
        <v>12</v>
      </c>
      <c r="D91" s="879" t="s">
        <v>1485</v>
      </c>
      <c r="E91" s="875" t="s">
        <v>13</v>
      </c>
      <c r="F91" s="780">
        <v>22</v>
      </c>
      <c r="G91" s="982"/>
      <c r="H91" s="622"/>
      <c r="I91" s="982"/>
      <c r="J91" s="622"/>
      <c r="K91" s="982"/>
      <c r="L91" s="622"/>
      <c r="M91" s="982"/>
      <c r="N91" s="622"/>
      <c r="O91" s="982"/>
      <c r="P91" s="622"/>
      <c r="Q91" s="1063"/>
      <c r="R91" s="880"/>
      <c r="S91" s="1033"/>
      <c r="T91" s="927"/>
      <c r="V91" s="878"/>
    </row>
    <row r="92" spans="1:23" s="224" customFormat="1" ht="15" customHeight="1" x14ac:dyDescent="0.25">
      <c r="A92" s="247">
        <v>45401</v>
      </c>
      <c r="B92" s="1275" t="s">
        <v>82</v>
      </c>
      <c r="C92" s="879" t="s">
        <v>19</v>
      </c>
      <c r="D92" s="1276" t="s">
        <v>1493</v>
      </c>
      <c r="E92" s="875" t="s">
        <v>13</v>
      </c>
      <c r="F92" s="613">
        <v>31</v>
      </c>
      <c r="G92" s="946"/>
      <c r="H92" s="95"/>
      <c r="I92" s="1064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1028"/>
      <c r="W92" s="958"/>
    </row>
    <row r="93" spans="1:23" s="224" customFormat="1" ht="15" customHeight="1" x14ac:dyDescent="0.25">
      <c r="A93" s="247">
        <v>45402</v>
      </c>
      <c r="B93" s="1275" t="s">
        <v>2629</v>
      </c>
      <c r="C93" s="879" t="s">
        <v>12</v>
      </c>
      <c r="D93" s="1276" t="s">
        <v>1489</v>
      </c>
      <c r="E93" s="875" t="s">
        <v>13</v>
      </c>
      <c r="F93" s="613">
        <v>70.84</v>
      </c>
      <c r="G93" s="946"/>
      <c r="H93" s="95"/>
      <c r="I93" s="1064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1028"/>
      <c r="W93" s="958"/>
    </row>
    <row r="94" spans="1:23" s="224" customFormat="1" ht="15" customHeight="1" x14ac:dyDescent="0.25">
      <c r="A94" s="247">
        <v>45402</v>
      </c>
      <c r="B94" s="1275" t="s">
        <v>1331</v>
      </c>
      <c r="C94" s="879" t="s">
        <v>19</v>
      </c>
      <c r="D94" s="1276" t="s">
        <v>2157</v>
      </c>
      <c r="E94" s="875" t="s">
        <v>15</v>
      </c>
      <c r="F94" s="613">
        <v>50</v>
      </c>
      <c r="G94" s="946"/>
      <c r="H94" s="95"/>
      <c r="I94" s="1064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1028"/>
      <c r="W94" s="958"/>
    </row>
    <row r="95" spans="1:23" s="224" customFormat="1" ht="15" customHeight="1" x14ac:dyDescent="0.25">
      <c r="A95" s="247">
        <v>45402</v>
      </c>
      <c r="B95" s="882" t="s">
        <v>14</v>
      </c>
      <c r="C95" s="879" t="s">
        <v>12</v>
      </c>
      <c r="D95" s="879" t="s">
        <v>1486</v>
      </c>
      <c r="E95" s="871" t="s">
        <v>13</v>
      </c>
      <c r="F95" s="780">
        <v>22.48</v>
      </c>
      <c r="G95" s="946"/>
      <c r="H95" s="95"/>
      <c r="I95" s="1064"/>
      <c r="J95" s="613"/>
      <c r="K95" s="6"/>
      <c r="L95" s="622"/>
      <c r="M95" s="982"/>
      <c r="N95" s="622"/>
      <c r="O95" s="982"/>
      <c r="P95" s="622"/>
      <c r="Q95" s="1063"/>
      <c r="R95" s="622"/>
      <c r="S95" s="982"/>
      <c r="T95" s="861"/>
    </row>
    <row r="96" spans="1:23" s="224" customFormat="1" ht="15" customHeight="1" x14ac:dyDescent="0.25">
      <c r="A96" s="247">
        <v>45403</v>
      </c>
      <c r="B96" s="882" t="s">
        <v>6382</v>
      </c>
      <c r="C96" s="879" t="s">
        <v>12</v>
      </c>
      <c r="D96" s="879" t="s">
        <v>1493</v>
      </c>
      <c r="E96" s="871" t="s">
        <v>13</v>
      </c>
      <c r="F96" s="780">
        <v>15</v>
      </c>
      <c r="G96" s="946"/>
      <c r="H96" s="95"/>
      <c r="I96" s="1064"/>
      <c r="J96" s="613"/>
      <c r="K96" s="6"/>
      <c r="L96" s="622"/>
      <c r="M96" s="982"/>
      <c r="N96" s="622"/>
      <c r="O96" s="982"/>
      <c r="P96" s="622"/>
      <c r="Q96" s="1063"/>
      <c r="R96" s="622"/>
      <c r="S96" s="982"/>
      <c r="T96" s="861"/>
    </row>
    <row r="97" spans="1:44" s="224" customFormat="1" ht="15" customHeight="1" x14ac:dyDescent="0.25">
      <c r="A97" s="247">
        <v>45403</v>
      </c>
      <c r="B97" s="364" t="s">
        <v>3354</v>
      </c>
      <c r="C97" s="350" t="s">
        <v>12</v>
      </c>
      <c r="D97" s="350"/>
      <c r="E97" s="145" t="s">
        <v>25</v>
      </c>
      <c r="F97" s="613"/>
      <c r="G97" s="967"/>
      <c r="H97" s="1008"/>
      <c r="I97" s="1063"/>
      <c r="J97" s="622"/>
      <c r="K97" s="982"/>
      <c r="L97" s="1116"/>
      <c r="M97" s="1207"/>
      <c r="N97" s="880"/>
      <c r="O97" s="1033"/>
      <c r="P97" s="880"/>
      <c r="Q97" s="1525"/>
      <c r="R97" s="613"/>
      <c r="S97" s="162">
        <v>53.5</v>
      </c>
      <c r="T97" s="2018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</row>
    <row r="98" spans="1:44" s="224" customFormat="1" ht="15" customHeight="1" x14ac:dyDescent="0.25">
      <c r="A98" s="247">
        <v>45404</v>
      </c>
      <c r="B98" s="882" t="s">
        <v>32</v>
      </c>
      <c r="C98" s="879" t="s">
        <v>12</v>
      </c>
      <c r="D98" s="879" t="s">
        <v>1485</v>
      </c>
      <c r="E98" s="875" t="s">
        <v>13</v>
      </c>
      <c r="F98" s="780">
        <v>22</v>
      </c>
      <c r="G98" s="967"/>
      <c r="H98" s="1008"/>
      <c r="I98" s="1063"/>
      <c r="J98" s="1116"/>
      <c r="K98" s="1207"/>
      <c r="L98" s="613"/>
      <c r="M98" s="6"/>
      <c r="N98" s="622"/>
      <c r="O98" s="982"/>
      <c r="P98" s="622"/>
      <c r="Q98" s="1063"/>
      <c r="R98" s="613"/>
      <c r="S98" s="64"/>
      <c r="T98" s="1209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</row>
    <row r="99" spans="1:44" s="224" customFormat="1" ht="15" customHeight="1" x14ac:dyDescent="0.25">
      <c r="A99" s="247">
        <v>45404</v>
      </c>
      <c r="B99" s="882" t="s">
        <v>6384</v>
      </c>
      <c r="C99" s="879" t="s">
        <v>12</v>
      </c>
      <c r="D99" s="879"/>
      <c r="E99" s="875"/>
      <c r="F99" s="780"/>
      <c r="G99" s="982"/>
      <c r="H99" s="95"/>
      <c r="I99" s="1064"/>
      <c r="J99" s="622"/>
      <c r="K99" s="982">
        <v>200.33</v>
      </c>
      <c r="L99" s="622"/>
      <c r="M99" s="982"/>
      <c r="N99" s="622">
        <v>200.33</v>
      </c>
      <c r="O99" s="982"/>
      <c r="P99" s="622"/>
      <c r="Q99" s="1063"/>
      <c r="R99" s="622"/>
      <c r="S99" s="982"/>
      <c r="T99" s="861"/>
    </row>
    <row r="100" spans="1:44" s="224" customFormat="1" ht="15" customHeight="1" x14ac:dyDescent="0.25">
      <c r="A100" s="247">
        <v>45404</v>
      </c>
      <c r="B100" s="882" t="s">
        <v>6329</v>
      </c>
      <c r="C100" s="879" t="s">
        <v>12</v>
      </c>
      <c r="D100" s="879"/>
      <c r="E100" s="875" t="s">
        <v>25</v>
      </c>
      <c r="F100" s="780"/>
      <c r="G100" s="982">
        <v>100</v>
      </c>
      <c r="H100" s="622"/>
      <c r="I100" s="982"/>
      <c r="J100" s="622"/>
      <c r="K100" s="982"/>
      <c r="L100" s="622"/>
      <c r="M100" s="982"/>
      <c r="N100" s="622"/>
      <c r="O100" s="982"/>
      <c r="P100" s="622"/>
      <c r="Q100" s="1063"/>
      <c r="R100" s="880"/>
      <c r="S100" s="1033"/>
      <c r="T100" s="1080" t="s">
        <v>6331</v>
      </c>
      <c r="V100" s="878"/>
    </row>
    <row r="101" spans="1:44" s="224" customFormat="1" ht="15" customHeight="1" x14ac:dyDescent="0.25">
      <c r="A101" s="247">
        <v>45404</v>
      </c>
      <c r="B101" s="882" t="s">
        <v>32</v>
      </c>
      <c r="C101" s="879" t="s">
        <v>12</v>
      </c>
      <c r="D101" s="879" t="s">
        <v>1485</v>
      </c>
      <c r="E101" s="875" t="s">
        <v>13</v>
      </c>
      <c r="F101" s="780">
        <v>11.4</v>
      </c>
      <c r="G101" s="982"/>
      <c r="H101" s="622"/>
      <c r="I101" s="982"/>
      <c r="J101" s="622"/>
      <c r="K101" s="982"/>
      <c r="L101" s="622"/>
      <c r="M101" s="982"/>
      <c r="N101" s="622"/>
      <c r="O101" s="982"/>
      <c r="P101" s="622"/>
      <c r="Q101" s="1063"/>
      <c r="R101" s="880"/>
      <c r="S101" s="1033"/>
      <c r="T101" s="927"/>
      <c r="V101" s="878"/>
    </row>
    <row r="102" spans="1:44" s="224" customFormat="1" ht="15" customHeight="1" x14ac:dyDescent="0.25">
      <c r="A102" s="247">
        <v>45405</v>
      </c>
      <c r="B102" s="882" t="s">
        <v>6258</v>
      </c>
      <c r="C102" s="879" t="s">
        <v>12</v>
      </c>
      <c r="D102" s="879"/>
      <c r="E102" s="875"/>
      <c r="F102" s="780"/>
      <c r="G102" s="982">
        <v>680</v>
      </c>
      <c r="H102" s="1008"/>
      <c r="I102" s="1063"/>
      <c r="J102" s="613">
        <v>680</v>
      </c>
      <c r="K102" s="982"/>
      <c r="L102" s="622"/>
      <c r="M102" s="982"/>
      <c r="N102" s="622"/>
      <c r="O102" s="982"/>
      <c r="P102" s="622"/>
      <c r="Q102" s="1063"/>
      <c r="R102" s="622"/>
      <c r="S102" s="982"/>
      <c r="T102" s="861"/>
    </row>
    <row r="103" spans="1:44" s="224" customFormat="1" ht="15" customHeight="1" x14ac:dyDescent="0.25">
      <c r="A103" s="247">
        <v>45405</v>
      </c>
      <c r="B103" s="1275" t="s">
        <v>6390</v>
      </c>
      <c r="C103" s="1276" t="s">
        <v>12</v>
      </c>
      <c r="D103" s="1276" t="s">
        <v>1524</v>
      </c>
      <c r="E103" s="1286" t="s">
        <v>13</v>
      </c>
      <c r="F103" s="613">
        <v>680</v>
      </c>
      <c r="G103" s="967"/>
      <c r="H103" s="1008"/>
      <c r="I103" s="1063"/>
      <c r="J103" s="613"/>
      <c r="K103" s="6"/>
      <c r="L103" s="613"/>
      <c r="M103" s="6"/>
      <c r="N103" s="622"/>
      <c r="O103" s="982"/>
      <c r="P103" s="622"/>
      <c r="Q103" s="1063"/>
      <c r="R103" s="613"/>
      <c r="S103" s="162"/>
      <c r="T103" s="2126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</row>
    <row r="104" spans="1:44" s="224" customFormat="1" ht="15" customHeight="1" x14ac:dyDescent="0.25">
      <c r="A104" s="247">
        <v>45405</v>
      </c>
      <c r="B104" s="882" t="s">
        <v>14</v>
      </c>
      <c r="C104" s="879" t="s">
        <v>12</v>
      </c>
      <c r="D104" s="879" t="s">
        <v>1486</v>
      </c>
      <c r="E104" s="871" t="s">
        <v>13</v>
      </c>
      <c r="F104" s="780">
        <v>5.04</v>
      </c>
      <c r="G104" s="946"/>
      <c r="H104" s="95"/>
      <c r="I104" s="1064"/>
      <c r="J104" s="613"/>
      <c r="K104" s="6"/>
      <c r="L104" s="622"/>
      <c r="M104" s="982"/>
      <c r="N104" s="622"/>
      <c r="O104" s="982"/>
      <c r="P104" s="622"/>
      <c r="Q104" s="1063"/>
      <c r="R104" s="1110"/>
      <c r="S104" s="1208"/>
      <c r="T104" s="1028"/>
      <c r="W104" s="958"/>
    </row>
    <row r="105" spans="1:44" s="224" customFormat="1" ht="15" customHeight="1" x14ac:dyDescent="0.25">
      <c r="A105" s="247">
        <v>45406</v>
      </c>
      <c r="B105" s="862" t="s">
        <v>2867</v>
      </c>
      <c r="C105" s="350" t="s">
        <v>12</v>
      </c>
      <c r="D105" s="874" t="s">
        <v>1504</v>
      </c>
      <c r="E105" s="887" t="s">
        <v>13</v>
      </c>
      <c r="F105" s="780">
        <v>30</v>
      </c>
      <c r="G105" s="982"/>
      <c r="H105" s="1009"/>
      <c r="I105" s="1063"/>
      <c r="J105" s="622"/>
      <c r="K105" s="982"/>
      <c r="L105" s="853"/>
      <c r="M105" s="982"/>
      <c r="N105" s="853"/>
      <c r="O105" s="982"/>
      <c r="P105" s="853"/>
      <c r="Q105" s="1063"/>
      <c r="R105" s="622"/>
      <c r="S105" s="982"/>
      <c r="T105" s="1690"/>
      <c r="U105" s="1690"/>
      <c r="V105" s="1690"/>
      <c r="W105" s="1690"/>
      <c r="X105" s="1690"/>
      <c r="Y105" s="1690"/>
      <c r="Z105" s="1690"/>
      <c r="AA105" s="1690"/>
      <c r="AB105" s="1690"/>
    </row>
    <row r="106" spans="1:44" s="224" customFormat="1" ht="15" customHeight="1" x14ac:dyDescent="0.25">
      <c r="A106" s="247">
        <v>45406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780">
        <v>22</v>
      </c>
      <c r="G106" s="982"/>
      <c r="H106" s="622"/>
      <c r="I106" s="982"/>
      <c r="J106" s="622"/>
      <c r="K106" s="982"/>
      <c r="L106" s="622"/>
      <c r="M106" s="982"/>
      <c r="N106" s="622"/>
      <c r="O106" s="982"/>
      <c r="P106" s="622"/>
      <c r="Q106" s="1063"/>
      <c r="R106" s="880"/>
      <c r="S106" s="1033"/>
      <c r="T106" s="927"/>
      <c r="V106" s="878"/>
    </row>
    <row r="107" spans="1:44" s="224" customFormat="1" ht="15" customHeight="1" x14ac:dyDescent="0.25">
      <c r="A107" s="247">
        <v>45406</v>
      </c>
      <c r="B107" s="882" t="s">
        <v>134</v>
      </c>
      <c r="C107" s="879" t="s">
        <v>12</v>
      </c>
      <c r="D107" s="879" t="s">
        <v>1493</v>
      </c>
      <c r="E107" s="871" t="s">
        <v>13</v>
      </c>
      <c r="F107" s="780">
        <v>7.65</v>
      </c>
      <c r="G107" s="946"/>
      <c r="H107" s="95"/>
      <c r="I107" s="1064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1028"/>
      <c r="W107" s="958"/>
    </row>
    <row r="108" spans="1:44" s="224" customFormat="1" ht="15" customHeight="1" x14ac:dyDescent="0.25">
      <c r="A108" s="247">
        <v>45406</v>
      </c>
      <c r="B108" s="1275" t="s">
        <v>1331</v>
      </c>
      <c r="C108" s="879" t="s">
        <v>19</v>
      </c>
      <c r="D108" s="1276" t="s">
        <v>2157</v>
      </c>
      <c r="E108" s="875" t="s">
        <v>15</v>
      </c>
      <c r="F108" s="613">
        <v>50</v>
      </c>
      <c r="G108" s="946"/>
      <c r="H108" s="95"/>
      <c r="I108" s="1064"/>
      <c r="J108" s="622"/>
      <c r="K108" s="982"/>
      <c r="L108" s="622"/>
      <c r="M108" s="982"/>
      <c r="N108" s="622"/>
      <c r="O108" s="982"/>
      <c r="P108" s="622"/>
      <c r="Q108" s="1063"/>
      <c r="R108" s="622"/>
      <c r="S108" s="982"/>
      <c r="T108" s="1028"/>
      <c r="W108" s="958"/>
    </row>
    <row r="109" spans="1:44" s="224" customFormat="1" ht="15" customHeight="1" x14ac:dyDescent="0.25">
      <c r="A109" s="247">
        <v>45407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22</v>
      </c>
      <c r="G109" s="982"/>
      <c r="H109" s="622"/>
      <c r="I109" s="982"/>
      <c r="J109" s="622"/>
      <c r="K109" s="982"/>
      <c r="L109" s="622"/>
      <c r="M109" s="982"/>
      <c r="N109" s="622"/>
      <c r="O109" s="982"/>
      <c r="P109" s="622"/>
      <c r="Q109" s="1063"/>
      <c r="R109" s="880"/>
      <c r="S109" s="1033"/>
      <c r="T109" s="927"/>
      <c r="V109" s="878"/>
    </row>
    <row r="110" spans="1:44" s="224" customFormat="1" ht="15" customHeight="1" x14ac:dyDescent="0.25">
      <c r="A110" s="247">
        <v>45407</v>
      </c>
      <c r="B110" s="882" t="s">
        <v>14</v>
      </c>
      <c r="C110" s="879" t="s">
        <v>12</v>
      </c>
      <c r="D110" s="879" t="s">
        <v>1486</v>
      </c>
      <c r="E110" s="871" t="s">
        <v>13</v>
      </c>
      <c r="F110" s="780">
        <v>9.5</v>
      </c>
      <c r="G110" s="982"/>
      <c r="H110" s="622"/>
      <c r="I110" s="982"/>
      <c r="J110" s="872"/>
      <c r="K110" s="1207"/>
      <c r="L110" s="622"/>
      <c r="M110" s="982"/>
      <c r="N110" s="622"/>
      <c r="O110" s="982"/>
      <c r="P110" s="622"/>
      <c r="Q110" s="1063"/>
      <c r="R110" s="622"/>
      <c r="S110" s="982"/>
      <c r="T110" s="1028"/>
      <c r="U110" s="959"/>
      <c r="V110" s="878"/>
      <c r="W110" s="958"/>
    </row>
    <row r="111" spans="1:44" s="224" customFormat="1" ht="15" customHeight="1" x14ac:dyDescent="0.25">
      <c r="A111" s="247">
        <v>45408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780">
        <v>22</v>
      </c>
      <c r="G111" s="982"/>
      <c r="H111" s="622"/>
      <c r="I111" s="982"/>
      <c r="J111" s="622"/>
      <c r="K111" s="982"/>
      <c r="L111" s="622"/>
      <c r="M111" s="982"/>
      <c r="N111" s="622"/>
      <c r="O111" s="982"/>
      <c r="P111" s="622"/>
      <c r="Q111" s="1063"/>
      <c r="R111" s="880"/>
      <c r="S111" s="1033"/>
      <c r="T111" s="927"/>
      <c r="V111" s="878"/>
    </row>
    <row r="112" spans="1:44" s="224" customFormat="1" ht="15" customHeight="1" x14ac:dyDescent="0.25">
      <c r="A112" s="247">
        <v>45408</v>
      </c>
      <c r="B112" s="364" t="s">
        <v>6364</v>
      </c>
      <c r="C112" s="350" t="s">
        <v>12</v>
      </c>
      <c r="D112" s="350" t="s">
        <v>1493</v>
      </c>
      <c r="E112" s="875" t="s">
        <v>13</v>
      </c>
      <c r="F112" s="780">
        <v>7</v>
      </c>
      <c r="G112" s="982"/>
      <c r="H112" s="1008"/>
      <c r="I112" s="1063"/>
      <c r="J112" s="1116"/>
      <c r="K112" s="1207"/>
      <c r="L112" s="622"/>
      <c r="M112" s="982"/>
      <c r="N112" s="622"/>
      <c r="O112" s="982"/>
      <c r="P112" s="622"/>
      <c r="Q112" s="1063"/>
      <c r="R112" s="622"/>
      <c r="S112" s="982"/>
      <c r="T112" s="861"/>
      <c r="V112" s="1035"/>
    </row>
    <row r="113" spans="1:44" s="224" customFormat="1" ht="15" customHeight="1" x14ac:dyDescent="0.25">
      <c r="A113" s="247">
        <v>45408</v>
      </c>
      <c r="B113" s="364" t="s">
        <v>2629</v>
      </c>
      <c r="C113" s="350" t="s">
        <v>12</v>
      </c>
      <c r="D113" s="350" t="s">
        <v>1489</v>
      </c>
      <c r="E113" s="875" t="s">
        <v>13</v>
      </c>
      <c r="F113" s="780">
        <v>16.239999999999998</v>
      </c>
      <c r="G113" s="982"/>
      <c r="H113" s="1008"/>
      <c r="I113" s="1063"/>
      <c r="J113" s="1116"/>
      <c r="K113" s="1207"/>
      <c r="L113" s="622"/>
      <c r="M113" s="982"/>
      <c r="N113" s="622"/>
      <c r="O113" s="982"/>
      <c r="P113" s="622"/>
      <c r="Q113" s="1063"/>
      <c r="R113" s="622"/>
      <c r="S113" s="982"/>
      <c r="T113" s="861"/>
      <c r="V113" s="1035"/>
    </row>
    <row r="114" spans="1:44" s="224" customFormat="1" ht="15" customHeight="1" x14ac:dyDescent="0.25">
      <c r="A114" s="247">
        <v>45409</v>
      </c>
      <c r="B114" s="882" t="s">
        <v>6258</v>
      </c>
      <c r="C114" s="879" t="s">
        <v>12</v>
      </c>
      <c r="D114" s="879"/>
      <c r="E114" s="875"/>
      <c r="F114" s="780"/>
      <c r="G114" s="982">
        <v>175</v>
      </c>
      <c r="H114" s="1008"/>
      <c r="I114" s="1063"/>
      <c r="J114" s="613">
        <v>175</v>
      </c>
      <c r="K114" s="982"/>
      <c r="L114" s="622"/>
      <c r="M114" s="982"/>
      <c r="N114" s="622"/>
      <c r="O114" s="982"/>
      <c r="P114" s="622"/>
      <c r="Q114" s="1063"/>
      <c r="R114" s="622"/>
      <c r="S114" s="982"/>
      <c r="T114" s="861"/>
    </row>
    <row r="115" spans="1:44" s="224" customFormat="1" ht="15" customHeight="1" x14ac:dyDescent="0.25">
      <c r="A115" s="247">
        <v>45409</v>
      </c>
      <c r="B115" s="1275" t="s">
        <v>6396</v>
      </c>
      <c r="C115" s="1276" t="s">
        <v>12</v>
      </c>
      <c r="D115" s="1276" t="s">
        <v>1524</v>
      </c>
      <c r="E115" s="1286" t="s">
        <v>13</v>
      </c>
      <c r="F115" s="613">
        <v>175</v>
      </c>
      <c r="G115" s="967"/>
      <c r="H115" s="1008"/>
      <c r="I115" s="1063"/>
      <c r="J115" s="613"/>
      <c r="K115" s="6"/>
      <c r="L115" s="613"/>
      <c r="M115" s="6"/>
      <c r="N115" s="622"/>
      <c r="O115" s="982"/>
      <c r="P115" s="622"/>
      <c r="Q115" s="1063"/>
      <c r="R115" s="613"/>
      <c r="S115" s="162"/>
      <c r="T115" s="2126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</row>
    <row r="116" spans="1:44" s="224" customFormat="1" ht="15" customHeight="1" x14ac:dyDescent="0.25">
      <c r="A116" s="247">
        <v>45409</v>
      </c>
      <c r="B116" s="364" t="s">
        <v>2629</v>
      </c>
      <c r="C116" s="350" t="s">
        <v>12</v>
      </c>
      <c r="D116" s="350" t="s">
        <v>1489</v>
      </c>
      <c r="E116" s="875" t="s">
        <v>13</v>
      </c>
      <c r="F116" s="780">
        <v>12.7</v>
      </c>
      <c r="G116" s="982"/>
      <c r="H116" s="1008"/>
      <c r="I116" s="1063"/>
      <c r="J116" s="1116"/>
      <c r="K116" s="1207"/>
      <c r="L116" s="622"/>
      <c r="M116" s="982"/>
      <c r="N116" s="622"/>
      <c r="O116" s="982"/>
      <c r="P116" s="622"/>
      <c r="Q116" s="1063"/>
      <c r="R116" s="622"/>
      <c r="S116" s="982"/>
      <c r="T116" s="861"/>
      <c r="V116" s="1035"/>
    </row>
    <row r="117" spans="1:44" s="224" customFormat="1" ht="15" customHeight="1" x14ac:dyDescent="0.25">
      <c r="A117" s="247">
        <v>45410</v>
      </c>
      <c r="B117" s="882" t="s">
        <v>14</v>
      </c>
      <c r="C117" s="879" t="s">
        <v>12</v>
      </c>
      <c r="D117" s="879" t="s">
        <v>1486</v>
      </c>
      <c r="E117" s="871" t="s">
        <v>13</v>
      </c>
      <c r="F117" s="780">
        <v>5.65</v>
      </c>
      <c r="G117" s="982"/>
      <c r="H117" s="622"/>
      <c r="I117" s="982"/>
      <c r="J117" s="872"/>
      <c r="K117" s="1207"/>
      <c r="L117" s="622"/>
      <c r="M117" s="982"/>
      <c r="N117" s="622"/>
      <c r="O117" s="982"/>
      <c r="P117" s="622"/>
      <c r="Q117" s="1063"/>
      <c r="R117" s="622"/>
      <c r="S117" s="982"/>
      <c r="T117" s="1028"/>
      <c r="U117" s="959"/>
      <c r="V117" s="878"/>
      <c r="W117" s="958"/>
    </row>
    <row r="118" spans="1:44" s="224" customFormat="1" ht="15" customHeight="1" x14ac:dyDescent="0.25">
      <c r="A118" s="247">
        <v>45411</v>
      </c>
      <c r="B118" s="882" t="s">
        <v>6169</v>
      </c>
      <c r="C118" s="879" t="s">
        <v>12</v>
      </c>
      <c r="D118" s="879" t="s">
        <v>1485</v>
      </c>
      <c r="E118" s="875" t="s">
        <v>13</v>
      </c>
      <c r="F118" s="613">
        <v>8.9</v>
      </c>
      <c r="G118" s="967"/>
      <c r="H118" s="1008"/>
      <c r="I118" s="1063"/>
      <c r="J118" s="2013"/>
      <c r="K118" s="1207"/>
      <c r="L118" s="2013"/>
      <c r="M118" s="1207"/>
      <c r="N118" s="880"/>
      <c r="O118" s="1033"/>
      <c r="P118" s="880"/>
      <c r="Q118" s="1525"/>
      <c r="R118" s="613"/>
      <c r="S118" s="162"/>
      <c r="T118" s="1956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</row>
    <row r="119" spans="1:44" s="224" customFormat="1" ht="15" customHeight="1" x14ac:dyDescent="0.25">
      <c r="A119" s="247">
        <v>45411</v>
      </c>
      <c r="B119" s="882" t="s">
        <v>6251</v>
      </c>
      <c r="C119" s="879" t="s">
        <v>12</v>
      </c>
      <c r="D119" s="879"/>
      <c r="E119" s="875" t="s">
        <v>13</v>
      </c>
      <c r="F119" s="780">
        <v>13.1</v>
      </c>
      <c r="G119" s="982"/>
      <c r="H119" s="95"/>
      <c r="I119" s="1064"/>
      <c r="J119" s="622"/>
      <c r="K119" s="982">
        <v>13.1</v>
      </c>
      <c r="L119" s="622"/>
      <c r="M119" s="982"/>
      <c r="N119" s="622"/>
      <c r="O119" s="982"/>
      <c r="P119" s="622"/>
      <c r="Q119" s="1063"/>
      <c r="R119" s="622"/>
      <c r="S119" s="982"/>
      <c r="T119" s="861"/>
    </row>
    <row r="120" spans="1:44" s="224" customFormat="1" ht="15" customHeight="1" x14ac:dyDescent="0.25">
      <c r="A120" s="247">
        <v>45411</v>
      </c>
      <c r="B120" s="1275" t="s">
        <v>6397</v>
      </c>
      <c r="C120" s="1276" t="s">
        <v>12</v>
      </c>
      <c r="D120" s="1276" t="s">
        <v>1524</v>
      </c>
      <c r="E120" s="1286"/>
      <c r="F120" s="613">
        <v>158</v>
      </c>
      <c r="G120" s="967">
        <v>158</v>
      </c>
      <c r="H120" s="1008"/>
      <c r="I120" s="1063"/>
      <c r="J120" s="613">
        <v>158</v>
      </c>
      <c r="K120" s="6"/>
      <c r="L120" s="613"/>
      <c r="M120" s="6"/>
      <c r="N120" s="622"/>
      <c r="O120" s="982"/>
      <c r="P120" s="622"/>
      <c r="Q120" s="1063"/>
      <c r="R120" s="613"/>
      <c r="S120" s="162"/>
      <c r="T120" s="2126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</row>
    <row r="121" spans="1:44" s="224" customFormat="1" ht="15" customHeight="1" x14ac:dyDescent="0.25">
      <c r="A121" s="247">
        <v>45411</v>
      </c>
      <c r="B121" s="364" t="s">
        <v>2629</v>
      </c>
      <c r="C121" s="350" t="s">
        <v>12</v>
      </c>
      <c r="D121" s="350" t="s">
        <v>1489</v>
      </c>
      <c r="E121" s="875" t="s">
        <v>13</v>
      </c>
      <c r="F121" s="780">
        <v>12.7</v>
      </c>
      <c r="G121" s="982"/>
      <c r="H121" s="1008"/>
      <c r="I121" s="1063"/>
      <c r="J121" s="1116"/>
      <c r="K121" s="1207"/>
      <c r="L121" s="622"/>
      <c r="M121" s="982"/>
      <c r="N121" s="622"/>
      <c r="O121" s="982"/>
      <c r="P121" s="622"/>
      <c r="Q121" s="1063"/>
      <c r="R121" s="622"/>
      <c r="S121" s="982"/>
      <c r="T121" s="861"/>
      <c r="V121" s="1035"/>
    </row>
    <row r="122" spans="1:44" s="224" customFormat="1" ht="15" customHeight="1" x14ac:dyDescent="0.25">
      <c r="A122" s="247">
        <v>45411</v>
      </c>
      <c r="B122" s="349" t="s">
        <v>6402</v>
      </c>
      <c r="C122" s="350" t="s">
        <v>12</v>
      </c>
      <c r="D122" s="350" t="s">
        <v>1506</v>
      </c>
      <c r="E122" s="480" t="s">
        <v>13</v>
      </c>
      <c r="F122" s="780">
        <v>40</v>
      </c>
      <c r="G122" s="946"/>
      <c r="H122" s="95"/>
      <c r="I122" s="1064"/>
      <c r="J122" s="622"/>
      <c r="K122" s="982"/>
      <c r="L122" s="622"/>
      <c r="M122" s="982"/>
      <c r="N122" s="622"/>
      <c r="O122" s="982"/>
      <c r="P122" s="622"/>
      <c r="Q122" s="1063"/>
      <c r="R122" s="622"/>
      <c r="S122" s="982"/>
      <c r="T122" s="861"/>
      <c r="V122" s="927"/>
      <c r="W122" s="999"/>
    </row>
    <row r="123" spans="1:44" s="224" customFormat="1" ht="15" customHeight="1" x14ac:dyDescent="0.25">
      <c r="A123" s="247">
        <v>45411</v>
      </c>
      <c r="B123" s="882" t="s">
        <v>14</v>
      </c>
      <c r="C123" s="879" t="s">
        <v>12</v>
      </c>
      <c r="D123" s="879" t="s">
        <v>1486</v>
      </c>
      <c r="E123" s="871" t="s">
        <v>13</v>
      </c>
      <c r="F123" s="780">
        <v>8.86</v>
      </c>
      <c r="G123" s="982"/>
      <c r="H123" s="622"/>
      <c r="I123" s="982"/>
      <c r="J123" s="872"/>
      <c r="K123" s="1207"/>
      <c r="L123" s="622"/>
      <c r="M123" s="982"/>
      <c r="N123" s="622"/>
      <c r="O123" s="982"/>
      <c r="P123" s="622"/>
      <c r="Q123" s="1063"/>
      <c r="R123" s="622"/>
      <c r="S123" s="982"/>
      <c r="T123" s="1028"/>
      <c r="U123" s="959"/>
      <c r="V123" s="878"/>
      <c r="W123" s="958"/>
    </row>
    <row r="124" spans="1:44" s="224" customFormat="1" ht="15" customHeight="1" x14ac:dyDescent="0.25">
      <c r="A124" s="247">
        <v>45411</v>
      </c>
      <c r="B124" s="882" t="s">
        <v>6258</v>
      </c>
      <c r="C124" s="879" t="s">
        <v>12</v>
      </c>
      <c r="D124" s="879"/>
      <c r="E124" s="875"/>
      <c r="F124" s="780"/>
      <c r="G124" s="982">
        <v>1035</v>
      </c>
      <c r="H124" s="95"/>
      <c r="I124" s="1064"/>
      <c r="J124" s="613">
        <v>1035</v>
      </c>
      <c r="K124" s="982"/>
      <c r="L124" s="622"/>
      <c r="M124" s="982"/>
      <c r="N124" s="622"/>
      <c r="O124" s="982"/>
      <c r="P124" s="622"/>
      <c r="Q124" s="1063"/>
      <c r="R124" s="622"/>
      <c r="S124" s="982"/>
      <c r="T124" s="861"/>
    </row>
    <row r="125" spans="1:44" s="224" customFormat="1" ht="15" customHeight="1" x14ac:dyDescent="0.25">
      <c r="A125" s="247">
        <v>45411</v>
      </c>
      <c r="B125" s="1275" t="s">
        <v>6403</v>
      </c>
      <c r="C125" s="1276" t="s">
        <v>12</v>
      </c>
      <c r="D125" s="1276" t="s">
        <v>1524</v>
      </c>
      <c r="E125" s="1286" t="s">
        <v>13</v>
      </c>
      <c r="F125" s="613">
        <v>1000</v>
      </c>
      <c r="G125" s="967"/>
      <c r="H125" s="1008"/>
      <c r="I125" s="1063"/>
      <c r="J125" s="613"/>
      <c r="K125" s="6"/>
      <c r="L125" s="613"/>
      <c r="M125" s="6"/>
      <c r="N125" s="622"/>
      <c r="O125" s="982"/>
      <c r="P125" s="622"/>
      <c r="Q125" s="1063"/>
      <c r="R125" s="613"/>
      <c r="S125" s="64"/>
      <c r="T125" s="2062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</row>
    <row r="126" spans="1:44" s="224" customFormat="1" ht="15" customHeight="1" x14ac:dyDescent="0.25">
      <c r="A126" s="247">
        <v>45411</v>
      </c>
      <c r="B126" s="882" t="s">
        <v>6404</v>
      </c>
      <c r="C126" s="879" t="s">
        <v>12</v>
      </c>
      <c r="D126" s="879" t="s">
        <v>1524</v>
      </c>
      <c r="E126" s="875" t="s">
        <v>25</v>
      </c>
      <c r="F126" s="780">
        <v>35</v>
      </c>
      <c r="G126" s="982"/>
      <c r="H126" s="622"/>
      <c r="I126" s="982"/>
      <c r="J126" s="622"/>
      <c r="K126" s="982"/>
      <c r="L126" s="622"/>
      <c r="M126" s="982"/>
      <c r="N126" s="622"/>
      <c r="O126" s="982"/>
      <c r="P126" s="622"/>
      <c r="Q126" s="1063"/>
      <c r="R126" s="880"/>
      <c r="S126" s="1033"/>
      <c r="T126" s="1080"/>
      <c r="V126" s="878"/>
    </row>
    <row r="127" spans="1:44" s="224" customFormat="1" ht="15" customHeight="1" x14ac:dyDescent="0.25">
      <c r="A127" s="247">
        <v>45411</v>
      </c>
      <c r="B127" s="882" t="s">
        <v>6329</v>
      </c>
      <c r="C127" s="879" t="s">
        <v>12</v>
      </c>
      <c r="D127" s="879"/>
      <c r="E127" s="875" t="s">
        <v>25</v>
      </c>
      <c r="F127" s="780"/>
      <c r="G127" s="982">
        <v>100</v>
      </c>
      <c r="H127" s="622"/>
      <c r="I127" s="982"/>
      <c r="J127" s="622"/>
      <c r="K127" s="982"/>
      <c r="L127" s="622"/>
      <c r="M127" s="982"/>
      <c r="N127" s="622"/>
      <c r="O127" s="982"/>
      <c r="P127" s="622"/>
      <c r="Q127" s="1063"/>
      <c r="R127" s="880"/>
      <c r="S127" s="1033"/>
      <c r="T127" s="1080" t="s">
        <v>6331</v>
      </c>
      <c r="V127" s="878"/>
    </row>
    <row r="128" spans="1:44" s="224" customFormat="1" ht="15" customHeight="1" x14ac:dyDescent="0.25">
      <c r="A128" s="247">
        <v>45412</v>
      </c>
      <c r="B128" s="882" t="s">
        <v>32</v>
      </c>
      <c r="C128" s="879" t="s">
        <v>12</v>
      </c>
      <c r="D128" s="879" t="s">
        <v>1485</v>
      </c>
      <c r="E128" s="875" t="s">
        <v>13</v>
      </c>
      <c r="F128" s="780">
        <v>22</v>
      </c>
      <c r="G128" s="946"/>
      <c r="H128" s="95"/>
      <c r="I128" s="1064"/>
      <c r="J128" s="853"/>
      <c r="K128" s="982"/>
      <c r="L128" s="622"/>
      <c r="M128" s="982"/>
      <c r="N128" s="622"/>
      <c r="O128" s="982"/>
      <c r="P128" s="622"/>
      <c r="Q128" s="1063"/>
      <c r="R128" s="622"/>
      <c r="S128" s="982"/>
      <c r="T128" s="861"/>
      <c r="V128" s="927"/>
      <c r="W128" s="999"/>
    </row>
    <row r="129" spans="1:28" s="224" customFormat="1" ht="15" customHeight="1" x14ac:dyDescent="0.25">
      <c r="A129" s="247">
        <v>45412</v>
      </c>
      <c r="B129" s="1275" t="s">
        <v>1331</v>
      </c>
      <c r="C129" s="879" t="s">
        <v>19</v>
      </c>
      <c r="D129" s="1276" t="s">
        <v>2157</v>
      </c>
      <c r="E129" s="875" t="s">
        <v>13</v>
      </c>
      <c r="F129" s="780">
        <v>20</v>
      </c>
      <c r="G129" s="946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861"/>
      <c r="V129" s="927"/>
      <c r="W129" s="999"/>
    </row>
    <row r="130" spans="1:28" s="224" customFormat="1" ht="15" customHeight="1" x14ac:dyDescent="0.25">
      <c r="A130" s="247">
        <v>45412</v>
      </c>
      <c r="B130" s="882" t="s">
        <v>14</v>
      </c>
      <c r="C130" s="879" t="s">
        <v>12</v>
      </c>
      <c r="D130" s="879" t="s">
        <v>1486</v>
      </c>
      <c r="E130" s="871" t="s">
        <v>13</v>
      </c>
      <c r="F130" s="780">
        <v>12.18</v>
      </c>
      <c r="G130" s="982"/>
      <c r="H130" s="622"/>
      <c r="I130" s="982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1028"/>
      <c r="U130" s="959"/>
      <c r="V130" s="878"/>
      <c r="W130" s="958"/>
    </row>
    <row r="131" spans="1:28" s="224" customFormat="1" ht="15" customHeight="1" thickBot="1" x14ac:dyDescent="0.3">
      <c r="A131" s="247">
        <v>45412</v>
      </c>
      <c r="B131" s="349" t="s">
        <v>6168</v>
      </c>
      <c r="C131" s="350" t="s">
        <v>12</v>
      </c>
      <c r="D131" s="350"/>
      <c r="E131" s="480" t="s">
        <v>25</v>
      </c>
      <c r="F131" s="780"/>
      <c r="G131" s="946"/>
      <c r="H131" s="95"/>
      <c r="I131" s="2096">
        <v>12.46</v>
      </c>
      <c r="J131" s="622"/>
      <c r="K131" s="2096">
        <v>53.29</v>
      </c>
      <c r="L131" s="622"/>
      <c r="M131" s="982"/>
      <c r="N131" s="622"/>
      <c r="O131" s="2096">
        <v>0.33</v>
      </c>
      <c r="P131" s="622"/>
      <c r="Q131" s="2096">
        <v>47.51</v>
      </c>
      <c r="R131" s="622"/>
      <c r="S131" s="982"/>
      <c r="T131" s="861"/>
      <c r="V131" s="927"/>
      <c r="W131" s="999"/>
    </row>
    <row r="132" spans="1:28" ht="25.5" customHeight="1" thickBot="1" x14ac:dyDescent="0.3">
      <c r="A132" s="3060"/>
      <c r="B132" s="3061"/>
      <c r="C132" s="3062"/>
      <c r="D132" s="3062"/>
      <c r="E132" s="3062"/>
      <c r="F132" s="1023">
        <f>SUM(F6:F131)</f>
        <v>9683.6474999999991</v>
      </c>
      <c r="G132" s="1065">
        <f>SUM(G5:G131)</f>
        <v>10317.568250000042</v>
      </c>
      <c r="H132" s="517">
        <f>SUM(H6:H131)</f>
        <v>400</v>
      </c>
      <c r="I132" s="93">
        <f>SUM(I5:I131)</f>
        <v>2129.945999999999</v>
      </c>
      <c r="J132" s="517">
        <f>SUM(J6:J131)</f>
        <v>5183.45</v>
      </c>
      <c r="K132" s="93">
        <f>SUM(K5:K131)</f>
        <v>11201.870000000004</v>
      </c>
      <c r="L132" s="1023">
        <f>SUM(L6:L131)</f>
        <v>0</v>
      </c>
      <c r="M132" s="93">
        <f>SUM(M5:M131)</f>
        <v>26844.530000000002</v>
      </c>
      <c r="N132" s="1023">
        <f>SUM(N6:N131)</f>
        <v>200.33</v>
      </c>
      <c r="O132" s="93">
        <f>SUM(O5:O131)</f>
        <v>200.33</v>
      </c>
      <c r="P132" s="1023">
        <f>SUM(P6:P131)</f>
        <v>0</v>
      </c>
      <c r="Q132" s="93">
        <f>SUM(Q5:Q131)</f>
        <v>5050.4000000000015</v>
      </c>
      <c r="R132" s="1023">
        <f>SUM(R6:R131)</f>
        <v>0</v>
      </c>
      <c r="S132" s="93">
        <f>SUM(S5:S131)</f>
        <v>28554.845984720007</v>
      </c>
      <c r="U132" s="216"/>
    </row>
    <row r="133" spans="1:28" ht="25.5" customHeight="1" thickBot="1" x14ac:dyDescent="0.3">
      <c r="A133" s="3063" t="s">
        <v>49</v>
      </c>
      <c r="B133" s="3064"/>
      <c r="C133" s="3064"/>
      <c r="D133" s="3064"/>
      <c r="E133" s="3064"/>
      <c r="F133" s="2046" t="s">
        <v>280</v>
      </c>
      <c r="G133" s="1066">
        <f>G132-F132</f>
        <v>633.92075000004297</v>
      </c>
      <c r="H133" s="1221"/>
      <c r="I133" s="772">
        <f>I132-H132</f>
        <v>1729.945999999999</v>
      </c>
      <c r="J133" s="1221"/>
      <c r="K133" s="772">
        <f>K132-J132</f>
        <v>6018.4200000000046</v>
      </c>
      <c r="L133" s="1222"/>
      <c r="M133" s="993">
        <f>M132-L132</f>
        <v>26844.530000000002</v>
      </c>
      <c r="N133" s="1222"/>
      <c r="O133" s="772">
        <f>O132-N132</f>
        <v>0</v>
      </c>
      <c r="P133" s="1222"/>
      <c r="Q133" s="772">
        <f>Q132-P132</f>
        <v>5050.4000000000015</v>
      </c>
      <c r="R133" s="1222"/>
      <c r="S133" s="772">
        <f>S132-R132</f>
        <v>28554.845984720007</v>
      </c>
      <c r="T133" s="484">
        <f>M133+O133+Q133+S133</f>
        <v>60449.775984720007</v>
      </c>
    </row>
    <row r="134" spans="1:28" x14ac:dyDescent="0.25">
      <c r="J134" s="1210"/>
      <c r="K134" s="1038"/>
      <c r="L134" s="2044"/>
      <c r="M134" s="1238">
        <f>M133/T133</f>
        <v>0.44407989215353816</v>
      </c>
      <c r="O134" s="1238">
        <f>O133/T133</f>
        <v>0</v>
      </c>
      <c r="Q134" s="1238">
        <f>Q133/T133</f>
        <v>8.3547042445229244E-2</v>
      </c>
      <c r="R134" s="1239"/>
      <c r="S134" s="1239">
        <f>S133/T133</f>
        <v>0.47237306540123264</v>
      </c>
      <c r="T134" s="867"/>
      <c r="U134" s="867"/>
      <c r="V134" s="79"/>
      <c r="Y134" s="518"/>
      <c r="Z134" s="216"/>
      <c r="AB134" s="877"/>
    </row>
    <row r="135" spans="1:28" x14ac:dyDescent="0.25">
      <c r="B135" s="81" t="s">
        <v>3</v>
      </c>
      <c r="C135" s="193" t="s">
        <v>1484</v>
      </c>
      <c r="D135" s="970" t="s">
        <v>2378</v>
      </c>
      <c r="E135" s="193" t="s">
        <v>3216</v>
      </c>
      <c r="F135" s="1061" t="s">
        <v>3217</v>
      </c>
      <c r="G135" s="216"/>
      <c r="I135" s="216"/>
      <c r="J135" s="1038" t="s">
        <v>6327</v>
      </c>
      <c r="K135" s="216">
        <v>2015.24</v>
      </c>
      <c r="L135" s="867"/>
      <c r="M135" s="866"/>
      <c r="O135" s="866"/>
      <c r="Q135" s="866"/>
      <c r="R135" s="1038"/>
      <c r="T135" s="865"/>
      <c r="U135" s="867"/>
    </row>
    <row r="136" spans="1:28" x14ac:dyDescent="0.25">
      <c r="B136" s="79" t="s">
        <v>32</v>
      </c>
      <c r="C136" s="85" t="s">
        <v>1485</v>
      </c>
      <c r="D136" s="475">
        <f>SUMIF($D$7:$D$131,"A",$F$7:$F$131)</f>
        <v>426.34999999999997</v>
      </c>
      <c r="E136" s="1202">
        <f t="shared" ref="E136:E151" si="0">D136/$K$153</f>
        <v>14.211666666666666</v>
      </c>
      <c r="F136" s="1203">
        <f t="shared" ref="F136:F151" si="1">E136/$E$154</f>
        <v>8.9477218829356317E-2</v>
      </c>
      <c r="G136" s="800"/>
      <c r="I136" s="769"/>
      <c r="J136" s="1038" t="s">
        <v>6328</v>
      </c>
      <c r="K136" s="1225">
        <v>4003.18</v>
      </c>
      <c r="L136" s="1210"/>
      <c r="M136" s="754"/>
      <c r="O136" s="886"/>
      <c r="Q136" s="886"/>
      <c r="R136" s="886"/>
      <c r="S136" s="1038">
        <v>24197.98</v>
      </c>
      <c r="T136" s="1038" t="s">
        <v>6378</v>
      </c>
      <c r="U136" s="1210"/>
      <c r="W136" s="1201"/>
      <c r="X136" s="877"/>
    </row>
    <row r="137" spans="1:28" x14ac:dyDescent="0.25">
      <c r="B137" s="79" t="s">
        <v>2187</v>
      </c>
      <c r="C137" s="85" t="s">
        <v>2157</v>
      </c>
      <c r="D137" s="475">
        <f>SUMIF($D$7:$D$131,"GAC",$F$7:$F$131)</f>
        <v>400</v>
      </c>
      <c r="E137" s="1202">
        <f t="shared" si="0"/>
        <v>13.333333333333334</v>
      </c>
      <c r="F137" s="1203">
        <f t="shared" si="1"/>
        <v>8.3947197212953045E-2</v>
      </c>
      <c r="G137" s="609"/>
      <c r="J137" s="2125"/>
      <c r="K137" s="1129">
        <f>SUM(K135:K136)</f>
        <v>6018.42</v>
      </c>
      <c r="L137" s="1038"/>
      <c r="M137" s="1225"/>
      <c r="O137" s="1210"/>
      <c r="Q137" s="1038"/>
      <c r="R137" s="1210"/>
      <c r="S137" s="1210">
        <f>S133+S136</f>
        <v>52752.82598472001</v>
      </c>
      <c r="T137" s="1038" t="s">
        <v>6379</v>
      </c>
      <c r="W137" s="877"/>
      <c r="X137" s="877"/>
    </row>
    <row r="138" spans="1:28" s="85" customFormat="1" x14ac:dyDescent="0.25">
      <c r="A138" s="79"/>
      <c r="B138" s="79" t="s">
        <v>50</v>
      </c>
      <c r="C138" s="85" t="s">
        <v>1493</v>
      </c>
      <c r="D138" s="475">
        <f>SUMIF($D$7:$D$131,"LD",$F$7:$F$131)</f>
        <v>227</v>
      </c>
      <c r="E138" s="1202">
        <f t="shared" si="0"/>
        <v>7.5666666666666664</v>
      </c>
      <c r="F138" s="1203">
        <f t="shared" si="1"/>
        <v>4.7640034418350852E-2</v>
      </c>
      <c r="J138" s="1210"/>
      <c r="K138" s="1038"/>
      <c r="L138" s="864"/>
      <c r="M138" s="877"/>
      <c r="O138" s="941"/>
      <c r="P138" s="877"/>
      <c r="Q138" s="863"/>
      <c r="S138" s="79"/>
      <c r="T138" s="177"/>
      <c r="W138" s="877"/>
      <c r="X138" s="877"/>
    </row>
    <row r="139" spans="1:28" s="85" customFormat="1" x14ac:dyDescent="0.25">
      <c r="A139" s="79"/>
      <c r="B139" s="79" t="s">
        <v>14</v>
      </c>
      <c r="C139" s="85" t="s">
        <v>1486</v>
      </c>
      <c r="D139" s="475">
        <f>SUMIF($D$7:$D$131,"C",$F$7:$F$131)</f>
        <v>87.16</v>
      </c>
      <c r="E139" s="1202">
        <f t="shared" si="0"/>
        <v>2.9053333333333331</v>
      </c>
      <c r="F139" s="1203">
        <f t="shared" si="1"/>
        <v>1.8292094272702467E-2</v>
      </c>
      <c r="G139" s="79"/>
      <c r="H139" s="79"/>
      <c r="J139" s="1210"/>
      <c r="K139" s="1038"/>
      <c r="L139" s="1038"/>
      <c r="M139" s="877"/>
      <c r="O139" s="1028"/>
      <c r="P139" s="877"/>
      <c r="Q139" s="1038"/>
      <c r="T139" s="177"/>
      <c r="W139" s="877"/>
      <c r="X139" s="877"/>
    </row>
    <row r="140" spans="1:28" s="85" customFormat="1" x14ac:dyDescent="0.25">
      <c r="B140" s="79" t="s">
        <v>51</v>
      </c>
      <c r="C140" s="864" t="s">
        <v>1499</v>
      </c>
      <c r="D140" s="475">
        <f>SUMIF($D$29:$D$131,"CAL",$F$29:$F$131)</f>
        <v>213.93</v>
      </c>
      <c r="E140" s="1202">
        <f t="shared" si="0"/>
        <v>7.1310000000000002</v>
      </c>
      <c r="F140" s="1203">
        <f t="shared" si="1"/>
        <v>4.4897059749417614E-2</v>
      </c>
      <c r="G140" s="79"/>
      <c r="H140" s="79"/>
      <c r="I140" s="79"/>
      <c r="J140" s="1210"/>
      <c r="K140" s="1038"/>
      <c r="L140" s="1038"/>
      <c r="M140" s="877"/>
      <c r="O140" s="1028"/>
      <c r="P140" s="877"/>
      <c r="Q140" s="1038"/>
      <c r="R140" s="1210"/>
      <c r="S140" s="1038"/>
      <c r="T140" s="177"/>
      <c r="W140" s="877"/>
      <c r="X140" s="877"/>
    </row>
    <row r="141" spans="1:28" s="85" customFormat="1" x14ac:dyDescent="0.25">
      <c r="A141" s="79"/>
      <c r="B141" s="79" t="s">
        <v>2189</v>
      </c>
      <c r="C141" s="864" t="s">
        <v>1496</v>
      </c>
      <c r="D141" s="475">
        <f>SUMIF($D$27:$D$131,"AC",$F$27:$F$131)</f>
        <v>164.11</v>
      </c>
      <c r="E141" s="1202">
        <f t="shared" si="0"/>
        <v>5.4703333333333335</v>
      </c>
      <c r="F141" s="1203">
        <f t="shared" si="1"/>
        <v>3.4441436336544312E-2</v>
      </c>
      <c r="G141" s="79"/>
      <c r="I141" s="177"/>
      <c r="J141" s="177"/>
      <c r="K141" s="177"/>
      <c r="L141" s="177"/>
      <c r="M141" s="177"/>
      <c r="N141" s="177"/>
      <c r="O141" s="177"/>
      <c r="P141" s="177"/>
      <c r="Q141" s="177"/>
      <c r="T141" s="177"/>
      <c r="W141" s="877"/>
      <c r="X141" s="877"/>
    </row>
    <row r="142" spans="1:28" s="85" customFormat="1" x14ac:dyDescent="0.25">
      <c r="A142" s="79"/>
      <c r="B142" s="867" t="s">
        <v>53</v>
      </c>
      <c r="C142" s="864" t="s">
        <v>1522</v>
      </c>
      <c r="D142" s="475">
        <f>SUMIF($D$15:$D$131,"DC",$F$15:$F$131)</f>
        <v>475.65499999999997</v>
      </c>
      <c r="E142" s="1202">
        <f t="shared" si="0"/>
        <v>15.855166666666666</v>
      </c>
      <c r="F142" s="1203">
        <f t="shared" si="1"/>
        <v>9.9824760225817946E-2</v>
      </c>
      <c r="J142" s="1210"/>
      <c r="K142" s="1038"/>
      <c r="L142" s="79"/>
      <c r="M142" s="877"/>
      <c r="O142" s="1959"/>
      <c r="Q142" s="177"/>
      <c r="R142" s="868"/>
      <c r="S142" s="769"/>
      <c r="T142" s="79"/>
      <c r="W142" s="877"/>
      <c r="X142" s="877"/>
    </row>
    <row r="143" spans="1:28" s="85" customFormat="1" x14ac:dyDescent="0.25">
      <c r="A143" s="79"/>
      <c r="B143" s="79" t="s">
        <v>3048</v>
      </c>
      <c r="C143" s="864" t="s">
        <v>1523</v>
      </c>
      <c r="D143" s="475">
        <f ca="1">SUMIF($D$8:$D$132,"B",$F$8:$F$131)</f>
        <v>18</v>
      </c>
      <c r="E143" s="1202">
        <f t="shared" ca="1" si="0"/>
        <v>0.6</v>
      </c>
      <c r="F143" s="1203">
        <f t="shared" ca="1" si="1"/>
        <v>3.7776238745828869E-3</v>
      </c>
      <c r="G143" s="866"/>
      <c r="J143" s="1210"/>
      <c r="K143" s="1038"/>
      <c r="L143" s="1038"/>
      <c r="M143" s="877"/>
      <c r="O143" s="877"/>
      <c r="Q143" s="177"/>
      <c r="R143" s="866"/>
      <c r="S143" s="1210"/>
      <c r="T143" s="877"/>
      <c r="W143" s="877"/>
      <c r="X143" s="877"/>
    </row>
    <row r="144" spans="1:28" s="85" customFormat="1" x14ac:dyDescent="0.25">
      <c r="A144" s="79"/>
      <c r="B144" s="79" t="s">
        <v>1686</v>
      </c>
      <c r="C144" s="864" t="s">
        <v>1506</v>
      </c>
      <c r="D144" s="475">
        <f>SUMIF($D$8:$D$131,"R",$F$8:$F$131)</f>
        <v>116</v>
      </c>
      <c r="E144" s="1202">
        <f t="shared" si="0"/>
        <v>3.8666666666666667</v>
      </c>
      <c r="F144" s="1203">
        <f t="shared" si="1"/>
        <v>2.4344687191756382E-2</v>
      </c>
      <c r="G144" s="868"/>
      <c r="J144" s="1210"/>
      <c r="K144" s="1038"/>
      <c r="M144" s="877"/>
      <c r="O144" s="877"/>
      <c r="Q144" s="177"/>
      <c r="R144" s="1226"/>
      <c r="S144" s="1129"/>
      <c r="T144" s="877"/>
      <c r="W144" s="877"/>
      <c r="X144" s="877"/>
    </row>
    <row r="145" spans="1:26" x14ac:dyDescent="0.25">
      <c r="B145" s="79" t="s">
        <v>418</v>
      </c>
      <c r="C145" s="85" t="s">
        <v>1524</v>
      </c>
      <c r="D145" s="475">
        <f>SUMIF($D$7:$D$131,"COM",$F$7:$F$131)</f>
        <v>4567.7325000000001</v>
      </c>
      <c r="E145" s="1202">
        <f t="shared" si="0"/>
        <v>152.25775000000002</v>
      </c>
      <c r="F145" s="1203">
        <f t="shared" si="1"/>
        <v>0.9586208524837877</v>
      </c>
      <c r="G145" s="85"/>
      <c r="H145" s="85"/>
      <c r="I145" s="85"/>
      <c r="J145" s="1210"/>
      <c r="K145" s="1038"/>
      <c r="L145" s="1210"/>
      <c r="M145" s="1118"/>
      <c r="N145" s="1210"/>
      <c r="O145" s="877"/>
      <c r="P145" s="769"/>
      <c r="Q145" s="216"/>
      <c r="R145" s="1038"/>
      <c r="S145" s="1226"/>
      <c r="T145" s="877"/>
      <c r="W145" s="877"/>
      <c r="X145" s="877"/>
    </row>
    <row r="146" spans="1:26" x14ac:dyDescent="0.25">
      <c r="B146" s="79" t="s">
        <v>419</v>
      </c>
      <c r="C146" s="85" t="s">
        <v>1491</v>
      </c>
      <c r="D146" s="475">
        <f>SUMIF($D$27:$D$131,"F",$F$27:$F$131)</f>
        <v>800</v>
      </c>
      <c r="E146" s="1202">
        <f t="shared" si="0"/>
        <v>26.666666666666668</v>
      </c>
      <c r="F146" s="1203">
        <f t="shared" si="1"/>
        <v>0.16789439442590609</v>
      </c>
      <c r="I146" s="85"/>
      <c r="J146" s="1210"/>
      <c r="K146" s="1038"/>
      <c r="P146" s="216"/>
      <c r="Q146" s="216"/>
      <c r="S146" s="484"/>
      <c r="T146" s="877"/>
      <c r="W146" s="877"/>
      <c r="X146" s="877"/>
    </row>
    <row r="147" spans="1:26" x14ac:dyDescent="0.25">
      <c r="B147" s="79" t="s">
        <v>911</v>
      </c>
      <c r="C147" s="85" t="s">
        <v>1525</v>
      </c>
      <c r="D147" s="475">
        <f>SUMIF($D$27:$D$131,"FER",$F$27:$F$131)</f>
        <v>0</v>
      </c>
      <c r="E147" s="1202">
        <f t="shared" si="0"/>
        <v>0</v>
      </c>
      <c r="F147" s="1203">
        <f t="shared" si="1"/>
        <v>0</v>
      </c>
      <c r="J147" s="1210"/>
      <c r="K147" s="1038"/>
      <c r="Q147" s="216"/>
      <c r="S147" s="484"/>
      <c r="T147" s="1673"/>
      <c r="W147" s="877"/>
      <c r="X147" s="877"/>
    </row>
    <row r="148" spans="1:26" x14ac:dyDescent="0.25">
      <c r="B148" s="79" t="s">
        <v>1526</v>
      </c>
      <c r="C148" s="85" t="s">
        <v>1504</v>
      </c>
      <c r="D148" s="475">
        <f>SUMIF($D$29:$D$131,"I",$F$29:$F$131)</f>
        <v>159.80000000000001</v>
      </c>
      <c r="E148" s="1202">
        <f t="shared" si="0"/>
        <v>5.3266666666666671</v>
      </c>
      <c r="F148" s="1203">
        <f t="shared" si="1"/>
        <v>3.3536905286574742E-2</v>
      </c>
      <c r="J148" s="1210"/>
      <c r="K148" s="1038"/>
      <c r="L148" s="1210"/>
      <c r="M148" s="1032"/>
      <c r="N148" s="1210"/>
      <c r="P148" s="769"/>
      <c r="Q148" s="886"/>
      <c r="R148" s="1210"/>
      <c r="S148" s="1038"/>
      <c r="T148" s="1129"/>
      <c r="V148" s="1129"/>
      <c r="W148" s="877"/>
      <c r="X148" s="877"/>
    </row>
    <row r="149" spans="1:26" x14ac:dyDescent="0.25">
      <c r="B149" s="79" t="s">
        <v>2343</v>
      </c>
      <c r="C149" s="85" t="s">
        <v>2315</v>
      </c>
      <c r="D149" s="475">
        <f>SUMIF($D$29:$D$131,"E",$F$29:$F$131)</f>
        <v>0</v>
      </c>
      <c r="E149" s="1202">
        <f t="shared" si="0"/>
        <v>0</v>
      </c>
      <c r="F149" s="1203">
        <f t="shared" si="1"/>
        <v>0</v>
      </c>
      <c r="J149" s="1210"/>
      <c r="K149" s="1038"/>
      <c r="L149" s="1210"/>
      <c r="M149" s="1032"/>
      <c r="N149" s="1210"/>
      <c r="O149" s="1210"/>
      <c r="P149" s="769"/>
      <c r="Q149" s="1673"/>
      <c r="R149" s="1210"/>
      <c r="S149" s="1038"/>
      <c r="T149" s="1129"/>
      <c r="V149" s="1129"/>
      <c r="W149" s="877"/>
      <c r="X149" s="877"/>
    </row>
    <row r="150" spans="1:26" x14ac:dyDescent="0.25">
      <c r="B150" s="79" t="s">
        <v>3019</v>
      </c>
      <c r="C150" s="85" t="s">
        <v>3017</v>
      </c>
      <c r="D150" s="475">
        <f>SUMIF($D$6:$D$131,"IM",$F$6:$F$131)</f>
        <v>0</v>
      </c>
      <c r="E150" s="1202">
        <f t="shared" si="0"/>
        <v>0</v>
      </c>
      <c r="F150" s="1203">
        <f t="shared" si="1"/>
        <v>0</v>
      </c>
      <c r="J150" s="1210"/>
      <c r="K150" s="1038"/>
      <c r="L150" s="1210"/>
      <c r="N150" s="1210"/>
      <c r="P150" s="769"/>
      <c r="R150" s="941"/>
      <c r="S150" s="224"/>
      <c r="T150" s="1226"/>
      <c r="U150" s="1129"/>
      <c r="V150" s="1129"/>
      <c r="W150" s="877"/>
      <c r="X150" s="877"/>
    </row>
    <row r="151" spans="1:26" x14ac:dyDescent="0.25">
      <c r="B151" s="79" t="s">
        <v>1527</v>
      </c>
      <c r="C151" s="85" t="s">
        <v>1489</v>
      </c>
      <c r="D151" s="475">
        <f>SUMIF($D$27:$D$131,"OD",$F$27:$F$131)</f>
        <v>541.46</v>
      </c>
      <c r="E151" s="1202">
        <f t="shared" si="0"/>
        <v>18.048666666666669</v>
      </c>
      <c r="F151" s="1203">
        <f t="shared" si="1"/>
        <v>0.1136351235073139</v>
      </c>
      <c r="J151" s="1210"/>
      <c r="K151" s="1038"/>
      <c r="R151" s="1210"/>
      <c r="S151" s="1038"/>
      <c r="T151" s="1226"/>
      <c r="U151" s="1129"/>
      <c r="V151" s="1129"/>
      <c r="W151" s="877"/>
      <c r="X151" s="877"/>
    </row>
    <row r="152" spans="1:26" x14ac:dyDescent="0.25">
      <c r="C152" s="79"/>
      <c r="D152" s="629"/>
      <c r="E152" s="79"/>
      <c r="F152" s="79"/>
      <c r="J152" s="2037"/>
      <c r="K152" s="629"/>
      <c r="L152" s="459" t="s">
        <v>6481</v>
      </c>
      <c r="M152" s="2125" t="s">
        <v>6482</v>
      </c>
      <c r="R152" s="1210"/>
      <c r="S152" s="1038"/>
      <c r="T152" s="1227"/>
      <c r="U152" s="1129"/>
      <c r="V152" s="1129"/>
      <c r="W152" s="877"/>
      <c r="X152" s="877"/>
    </row>
    <row r="153" spans="1:26" x14ac:dyDescent="0.25">
      <c r="C153" s="3168" t="s">
        <v>486</v>
      </c>
      <c r="D153" s="3168"/>
      <c r="E153" s="863">
        <f ca="1">J153/K153</f>
        <v>273.23991666666666</v>
      </c>
      <c r="G153" s="518" t="s">
        <v>487</v>
      </c>
      <c r="J153" s="629">
        <f ca="1">SUM(D136:D151)</f>
        <v>8197.1975000000002</v>
      </c>
      <c r="K153" s="1517">
        <v>30</v>
      </c>
      <c r="M153" s="1138">
        <f ca="1">4765.07-J154</f>
        <v>1135.6049999999996</v>
      </c>
      <c r="N153" s="881"/>
      <c r="P153" s="216"/>
      <c r="Q153" s="1517"/>
      <c r="R153" s="1210"/>
      <c r="S153" s="1038"/>
      <c r="T153" s="1226"/>
      <c r="U153" s="1129"/>
      <c r="V153" s="1129"/>
      <c r="W153" s="877"/>
      <c r="X153" s="877"/>
    </row>
    <row r="154" spans="1:26" ht="15.75" customHeight="1" x14ac:dyDescent="0.25">
      <c r="B154" s="3167" t="s">
        <v>6247</v>
      </c>
      <c r="C154" s="3167"/>
      <c r="D154" s="3167"/>
      <c r="E154" s="1125">
        <v>158.83000000000001</v>
      </c>
      <c r="G154" s="518" t="s">
        <v>6257</v>
      </c>
      <c r="J154" s="629">
        <f ca="1">J153-D145</f>
        <v>3629.4650000000001</v>
      </c>
      <c r="L154" s="2136"/>
      <c r="M154" s="1032"/>
      <c r="O154" s="1032"/>
      <c r="Q154" s="868"/>
      <c r="R154" s="1210"/>
      <c r="S154" s="1038"/>
      <c r="T154" s="1226"/>
      <c r="U154" s="1129"/>
      <c r="V154" s="1129"/>
      <c r="W154" s="877"/>
      <c r="X154" s="877"/>
    </row>
    <row r="155" spans="1:26" x14ac:dyDescent="0.25">
      <c r="A155" s="518"/>
      <c r="C155" s="79"/>
      <c r="D155" s="79"/>
      <c r="E155" s="769"/>
      <c r="F155" s="866"/>
      <c r="G155" s="769"/>
      <c r="H155" s="866"/>
      <c r="I155" s="1210"/>
      <c r="K155" s="866"/>
      <c r="L155" s="89"/>
      <c r="N155" s="1038"/>
      <c r="O155" s="1210"/>
      <c r="P155" s="1038"/>
      <c r="Q155" s="1210"/>
      <c r="R155" s="1210"/>
      <c r="S155" s="1038"/>
      <c r="T155" s="769"/>
      <c r="U155" s="484" t="s">
        <v>280</v>
      </c>
      <c r="V155" s="216"/>
      <c r="W155" s="866"/>
      <c r="X155" s="484"/>
      <c r="Z155" s="877"/>
    </row>
    <row r="156" spans="1:26" s="518" customFormat="1" x14ac:dyDescent="0.25">
      <c r="A156" s="79"/>
      <c r="B156" s="79"/>
      <c r="C156" s="79"/>
      <c r="D156" s="79"/>
      <c r="E156" s="1126">
        <f ca="1">E154-E153</f>
        <v>-114.40991666666665</v>
      </c>
      <c r="F156" s="1205">
        <f ca="1">SUM(F136:F155)</f>
        <v>1.7203293878150643</v>
      </c>
      <c r="G156" s="85"/>
      <c r="H156" s="85"/>
      <c r="I156" s="89"/>
      <c r="J156" s="1210"/>
      <c r="K156" s="754"/>
      <c r="L156" s="79"/>
      <c r="M156" s="79"/>
      <c r="N156" s="79"/>
      <c r="O156" s="79"/>
      <c r="P156" s="79"/>
      <c r="Q156" s="79"/>
      <c r="R156" s="1210"/>
      <c r="S156" s="1038"/>
      <c r="T156" s="79"/>
      <c r="U156" s="79"/>
      <c r="V156" s="866"/>
      <c r="W156" s="484"/>
      <c r="X156" s="79"/>
      <c r="Y156" s="877"/>
      <c r="Z156" s="79"/>
    </row>
    <row r="157" spans="1:26" s="518" customFormat="1" x14ac:dyDescent="0.25">
      <c r="A157" s="79"/>
      <c r="B157" s="79"/>
      <c r="C157" s="85"/>
      <c r="D157" s="85"/>
      <c r="E157" s="85"/>
      <c r="J157" s="1038"/>
      <c r="K157" s="1225"/>
      <c r="S157" s="1038"/>
      <c r="T157" s="484"/>
      <c r="U157" s="79"/>
      <c r="V157" s="877"/>
      <c r="W157" s="79"/>
    </row>
    <row r="158" spans="1:26" s="518" customFormat="1" x14ac:dyDescent="0.25">
      <c r="A158" s="79"/>
      <c r="B158" s="1124" t="s">
        <v>6376</v>
      </c>
      <c r="C158" s="2125"/>
      <c r="D158" s="2219">
        <f>SUMIF($E$7:$E$131,"crédito",$G$7:$G$131)</f>
        <v>5063.5599999999995</v>
      </c>
      <c r="E158" s="85"/>
      <c r="F158" s="89"/>
      <c r="G158" s="79"/>
      <c r="H158" s="79"/>
      <c r="I158" s="79"/>
      <c r="J158" s="1038"/>
      <c r="K158" s="1225"/>
      <c r="L158" s="769"/>
      <c r="M158" s="866"/>
      <c r="N158" s="769"/>
      <c r="O158" s="866"/>
      <c r="P158" s="769"/>
      <c r="Q158" s="866"/>
      <c r="R158" s="1210"/>
      <c r="S158" s="1038"/>
      <c r="T158" s="484"/>
      <c r="U158" s="79"/>
      <c r="V158" s="877"/>
      <c r="W158" s="79"/>
    </row>
    <row r="159" spans="1:26" s="518" customFormat="1" x14ac:dyDescent="0.25">
      <c r="A159" s="79"/>
      <c r="B159" s="518" t="s">
        <v>6496</v>
      </c>
      <c r="C159" s="459"/>
      <c r="D159" s="2218">
        <f ca="1">SUM(D136:D151)-D145</f>
        <v>3629.4650000000001</v>
      </c>
      <c r="E159" s="85"/>
      <c r="F159" s="89"/>
      <c r="G159" s="79"/>
      <c r="H159" s="79"/>
      <c r="I159" s="216"/>
      <c r="J159" s="864"/>
      <c r="K159" s="877"/>
      <c r="L159" s="769"/>
      <c r="M159" s="866"/>
      <c r="N159" s="769"/>
      <c r="O159" s="866"/>
      <c r="P159" s="769"/>
      <c r="Q159" s="866"/>
      <c r="R159" s="1210"/>
      <c r="S159" s="1038"/>
      <c r="T159" s="484"/>
      <c r="U159" s="79"/>
      <c r="V159" s="877"/>
      <c r="W159" s="79"/>
    </row>
    <row r="160" spans="1:26" s="518" customFormat="1" x14ac:dyDescent="0.25">
      <c r="A160" s="79"/>
      <c r="B160" s="81" t="s">
        <v>6497</v>
      </c>
      <c r="C160" s="81"/>
      <c r="D160" s="1014">
        <f ca="1">D158-D159</f>
        <v>1434.0949999999993</v>
      </c>
      <c r="E160" s="79"/>
      <c r="F160" s="79"/>
      <c r="G160" s="79"/>
      <c r="H160" s="79"/>
      <c r="J160" s="1038"/>
      <c r="K160" s="877"/>
      <c r="M160" s="866"/>
      <c r="O160" s="866"/>
      <c r="Q160" s="866"/>
      <c r="R160" s="1210"/>
      <c r="S160" s="1038"/>
      <c r="T160" s="484"/>
      <c r="U160" s="79"/>
      <c r="V160" s="877"/>
      <c r="W160" s="79"/>
    </row>
    <row r="161" spans="1:23" s="518" customFormat="1" x14ac:dyDescent="0.25">
      <c r="A161" s="79"/>
      <c r="B161" s="79"/>
      <c r="C161" s="79"/>
      <c r="D161" s="79"/>
      <c r="E161" s="79"/>
      <c r="F161" s="79"/>
      <c r="G161" s="79"/>
      <c r="H161" s="79"/>
      <c r="I161" s="216"/>
      <c r="J161" s="1038"/>
      <c r="K161" s="877"/>
      <c r="L161" s="769"/>
      <c r="M161" s="866"/>
      <c r="N161" s="769"/>
      <c r="O161" s="866"/>
      <c r="P161" s="769"/>
      <c r="Q161" s="866"/>
      <c r="R161" s="1210"/>
      <c r="S161" s="1038"/>
      <c r="T161" s="484"/>
      <c r="U161" s="79"/>
      <c r="V161" s="877"/>
      <c r="W161" s="79"/>
    </row>
    <row r="162" spans="1:23" s="518" customFormat="1" x14ac:dyDescent="0.25">
      <c r="A162" s="79"/>
      <c r="B162" s="79"/>
      <c r="C162" s="79"/>
      <c r="D162" s="79"/>
      <c r="E162" s="79"/>
      <c r="F162" s="79"/>
      <c r="G162" s="216"/>
      <c r="H162" s="79"/>
      <c r="I162" s="216"/>
      <c r="J162" s="1038"/>
      <c r="K162" s="877"/>
      <c r="L162" s="769"/>
      <c r="M162" s="868"/>
      <c r="N162" s="769"/>
      <c r="O162" s="868"/>
      <c r="P162" s="769"/>
      <c r="Q162" s="868"/>
      <c r="R162" s="1210"/>
      <c r="S162" s="1038"/>
      <c r="T162" s="484"/>
      <c r="U162" s="79"/>
      <c r="V162" s="877"/>
      <c r="W162" s="79"/>
    </row>
    <row r="163" spans="1:23" s="518" customFormat="1" x14ac:dyDescent="0.25">
      <c r="A163" s="79"/>
      <c r="B163" s="79"/>
      <c r="C163" s="79"/>
      <c r="D163" s="79"/>
      <c r="E163" s="79"/>
      <c r="F163" s="79"/>
      <c r="G163" s="216"/>
      <c r="H163" s="79"/>
      <c r="I163" s="216"/>
      <c r="J163" s="79"/>
      <c r="K163" s="877"/>
      <c r="L163" s="769"/>
      <c r="M163" s="866"/>
      <c r="N163" s="769"/>
      <c r="O163" s="866"/>
      <c r="P163" s="769"/>
      <c r="Q163" s="866"/>
      <c r="R163" s="1210"/>
      <c r="S163" s="1038"/>
      <c r="T163" s="484"/>
      <c r="U163" s="79"/>
      <c r="V163" s="877"/>
      <c r="W163" s="79"/>
    </row>
    <row r="164" spans="1:23" s="518" customFormat="1" x14ac:dyDescent="0.25">
      <c r="A164" s="79"/>
      <c r="B164" s="79"/>
      <c r="C164" s="79"/>
      <c r="D164" s="79"/>
      <c r="E164" s="79"/>
      <c r="F164" s="79"/>
      <c r="G164" s="216"/>
      <c r="H164" s="79"/>
      <c r="I164" s="79"/>
      <c r="J164" s="85"/>
      <c r="K164" s="877"/>
      <c r="L164" s="770"/>
      <c r="M164" s="866"/>
      <c r="N164" s="770"/>
      <c r="O164" s="866"/>
      <c r="P164" s="770"/>
      <c r="Q164" s="866"/>
      <c r="R164" s="1210"/>
      <c r="S164" s="1038"/>
      <c r="T164" s="484"/>
      <c r="U164" s="79"/>
      <c r="V164" s="877"/>
      <c r="W164" s="79"/>
    </row>
    <row r="165" spans="1:23" s="518" customFormat="1" x14ac:dyDescent="0.25">
      <c r="A165" s="79"/>
      <c r="B165" s="79"/>
      <c r="C165" s="79"/>
      <c r="D165" s="79"/>
      <c r="E165" s="79"/>
      <c r="F165" s="79"/>
      <c r="G165" s="79"/>
      <c r="H165" s="79"/>
      <c r="I165" s="216"/>
      <c r="J165" s="1038"/>
      <c r="K165" s="877"/>
      <c r="L165" s="769"/>
      <c r="M165" s="868"/>
      <c r="N165" s="769"/>
      <c r="O165" s="868"/>
      <c r="P165" s="769"/>
      <c r="Q165" s="868"/>
      <c r="R165" s="1210"/>
      <c r="S165" s="1038"/>
      <c r="T165" s="484"/>
      <c r="U165" s="79"/>
      <c r="V165" s="877"/>
      <c r="W165" s="79"/>
    </row>
    <row r="166" spans="1:23" s="518" customFormat="1" x14ac:dyDescent="0.25">
      <c r="A166" s="79"/>
      <c r="B166" s="79"/>
      <c r="C166" s="85"/>
      <c r="D166" s="85"/>
      <c r="E166" s="85"/>
      <c r="F166" s="89"/>
      <c r="G166" s="79"/>
      <c r="H166" s="79"/>
      <c r="I166" s="79"/>
      <c r="J166" s="85"/>
      <c r="K166" s="877"/>
      <c r="L166" s="769"/>
      <c r="M166" s="866"/>
      <c r="N166" s="769"/>
      <c r="O166" s="866"/>
      <c r="P166" s="769"/>
      <c r="Q166" s="866"/>
      <c r="R166" s="1210"/>
      <c r="S166" s="1038"/>
      <c r="T166" s="484"/>
      <c r="U166" s="79"/>
      <c r="V166" s="877"/>
      <c r="W166" s="79"/>
    </row>
    <row r="167" spans="1:23" s="518" customFormat="1" x14ac:dyDescent="0.25">
      <c r="A167" s="79"/>
      <c r="B167" s="79"/>
      <c r="C167" s="79"/>
      <c r="D167" s="79"/>
      <c r="E167" s="79"/>
      <c r="F167" s="79"/>
      <c r="G167" s="79"/>
      <c r="H167" s="79"/>
      <c r="I167" s="629"/>
      <c r="J167" s="769"/>
      <c r="K167" s="1225"/>
      <c r="L167" s="769"/>
      <c r="M167" s="866"/>
      <c r="N167" s="769"/>
      <c r="O167" s="866"/>
      <c r="P167" s="769"/>
      <c r="Q167" s="866"/>
      <c r="R167" s="1210"/>
      <c r="S167" s="1038"/>
      <c r="T167" s="484"/>
      <c r="U167" s="79"/>
      <c r="V167" s="877"/>
      <c r="W167" s="79"/>
    </row>
    <row r="168" spans="1:23" s="518" customFormat="1" x14ac:dyDescent="0.25">
      <c r="A168" s="79"/>
      <c r="B168" s="79"/>
      <c r="C168" s="85"/>
      <c r="D168" s="85"/>
      <c r="E168" s="85"/>
      <c r="F168" s="89"/>
      <c r="G168" s="79"/>
      <c r="H168" s="79"/>
      <c r="I168" s="79"/>
      <c r="J168" s="79"/>
      <c r="K168" s="79"/>
      <c r="L168" s="769"/>
      <c r="M168" s="866"/>
      <c r="N168" s="769"/>
      <c r="O168" s="866"/>
      <c r="P168" s="769"/>
      <c r="Q168" s="866"/>
      <c r="R168" s="1210"/>
      <c r="S168" s="1038"/>
      <c r="T168" s="484"/>
      <c r="U168" s="79"/>
      <c r="V168" s="877"/>
      <c r="W168" s="79"/>
    </row>
    <row r="169" spans="1:23" s="518" customFormat="1" x14ac:dyDescent="0.25">
      <c r="A169" s="79"/>
      <c r="B169" s="79"/>
      <c r="C169" s="85"/>
      <c r="D169" s="85"/>
      <c r="E169" s="85"/>
      <c r="F169" s="89"/>
      <c r="G169" s="79"/>
      <c r="H169" s="79"/>
      <c r="I169" s="79"/>
      <c r="J169" s="79"/>
      <c r="K169" s="79"/>
      <c r="L169" s="769"/>
      <c r="M169" s="866"/>
      <c r="N169" s="769"/>
      <c r="O169" s="866"/>
      <c r="P169" s="769"/>
      <c r="Q169" s="866"/>
      <c r="R169" s="1210"/>
      <c r="S169" s="1038"/>
      <c r="T169" s="484"/>
      <c r="U169" s="79"/>
      <c r="V169" s="877"/>
      <c r="W169" s="79"/>
    </row>
    <row r="170" spans="1:23" s="518" customFormat="1" x14ac:dyDescent="0.25">
      <c r="A170" s="79"/>
      <c r="B170" s="79"/>
      <c r="C170" s="85"/>
      <c r="D170" s="85"/>
      <c r="E170" s="85"/>
      <c r="F170" s="89"/>
      <c r="G170" s="79"/>
      <c r="H170" s="79"/>
      <c r="I170" s="79"/>
      <c r="J170" s="769"/>
      <c r="K170" s="868"/>
      <c r="L170" s="769"/>
      <c r="M170" s="866"/>
      <c r="N170" s="769"/>
      <c r="O170" s="866"/>
      <c r="P170" s="769"/>
      <c r="Q170" s="866"/>
      <c r="R170" s="1210"/>
      <c r="S170" s="1038"/>
      <c r="T170" s="484"/>
      <c r="U170" s="79"/>
      <c r="V170" s="877"/>
      <c r="W170" s="79"/>
    </row>
    <row r="171" spans="1:23" s="518" customFormat="1" x14ac:dyDescent="0.25">
      <c r="A171" s="79"/>
      <c r="B171" s="79"/>
      <c r="C171" s="85"/>
      <c r="D171" s="85"/>
      <c r="E171" s="85"/>
      <c r="F171" s="89"/>
      <c r="G171" s="79"/>
      <c r="H171" s="79"/>
      <c r="I171" s="79"/>
      <c r="J171" s="769"/>
      <c r="K171" s="868"/>
      <c r="L171" s="769"/>
      <c r="M171" s="866"/>
      <c r="N171" s="769"/>
      <c r="O171" s="866"/>
      <c r="P171" s="769"/>
      <c r="Q171" s="866"/>
      <c r="R171" s="1210"/>
      <c r="S171" s="1038"/>
      <c r="T171" s="484"/>
      <c r="U171" s="79"/>
      <c r="V171" s="877"/>
      <c r="W171" s="79"/>
    </row>
    <row r="172" spans="1:23" s="518" customFormat="1" x14ac:dyDescent="0.25">
      <c r="A172" s="79"/>
      <c r="B172" s="79"/>
      <c r="C172" s="85"/>
      <c r="D172" s="85"/>
      <c r="E172" s="85"/>
      <c r="F172" s="89"/>
      <c r="G172" s="79"/>
      <c r="H172" s="79"/>
      <c r="I172" s="79"/>
      <c r="J172" s="769"/>
      <c r="K172" s="79"/>
      <c r="L172" s="769"/>
      <c r="M172" s="866"/>
      <c r="N172" s="769"/>
      <c r="O172" s="866"/>
      <c r="P172" s="769"/>
      <c r="Q172" s="866"/>
      <c r="R172" s="1210"/>
      <c r="S172" s="1038"/>
      <c r="T172" s="484"/>
      <c r="U172" s="79"/>
      <c r="V172" s="877"/>
      <c r="W172" s="79"/>
    </row>
    <row r="173" spans="1:23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79"/>
      <c r="K173" s="79"/>
      <c r="L173" s="769"/>
      <c r="M173" s="866"/>
      <c r="N173" s="769"/>
      <c r="O173" s="866"/>
      <c r="P173" s="769"/>
      <c r="Q173" s="866"/>
      <c r="R173" s="1210"/>
      <c r="S173" s="1038"/>
      <c r="T173" s="484"/>
      <c r="U173" s="79"/>
      <c r="V173" s="877"/>
      <c r="W173" s="79"/>
    </row>
    <row r="174" spans="1:23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216"/>
      <c r="J174" s="79"/>
      <c r="K174" s="79"/>
      <c r="L174" s="769"/>
      <c r="M174" s="866"/>
      <c r="N174" s="769"/>
      <c r="O174" s="866"/>
      <c r="P174" s="769"/>
      <c r="Q174" s="866"/>
      <c r="R174" s="1210"/>
      <c r="S174" s="1038"/>
      <c r="T174" s="484"/>
      <c r="U174" s="79"/>
      <c r="V174" s="877"/>
      <c r="W174" s="79"/>
    </row>
    <row r="175" spans="1:23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216"/>
      <c r="J175" s="1517"/>
      <c r="K175" s="79"/>
      <c r="L175" s="769"/>
      <c r="M175" s="866"/>
      <c r="N175" s="769"/>
      <c r="O175" s="866"/>
      <c r="P175" s="769"/>
      <c r="Q175" s="866"/>
      <c r="T175" s="484"/>
      <c r="U175" s="79"/>
      <c r="V175" s="877"/>
      <c r="W175" s="79"/>
    </row>
    <row r="176" spans="1:23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79"/>
      <c r="K176" s="868"/>
      <c r="L176" s="769"/>
      <c r="M176" s="866"/>
      <c r="N176" s="769"/>
      <c r="O176" s="866"/>
      <c r="P176" s="769"/>
      <c r="Q176" s="866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89"/>
      <c r="K177" s="79"/>
      <c r="L177" s="769"/>
      <c r="M177" s="868"/>
      <c r="N177" s="769"/>
      <c r="O177" s="868"/>
      <c r="P177" s="769"/>
      <c r="Q177" s="868"/>
      <c r="R177" s="79"/>
      <c r="S177" s="79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79"/>
      <c r="K178" s="79"/>
      <c r="L178" s="769"/>
      <c r="M178" s="868"/>
      <c r="N178" s="769"/>
      <c r="O178" s="868"/>
      <c r="P178" s="769"/>
      <c r="Q178" s="868"/>
      <c r="R178" s="81"/>
      <c r="S178" s="755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L179" s="769"/>
      <c r="M179" s="868"/>
      <c r="N179" s="769"/>
      <c r="O179" s="868"/>
      <c r="P179" s="769"/>
      <c r="Q179" s="868"/>
      <c r="R179" s="868"/>
      <c r="S179" s="79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769"/>
      <c r="K180" s="866"/>
      <c r="L180" s="769"/>
      <c r="M180" s="868"/>
      <c r="N180" s="769"/>
      <c r="O180" s="868"/>
      <c r="P180" s="769"/>
      <c r="Q180" s="868"/>
      <c r="R180" s="754"/>
      <c r="S180" s="886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769"/>
      <c r="K181" s="866"/>
      <c r="L181" s="769"/>
      <c r="M181" s="868"/>
      <c r="N181" s="769"/>
      <c r="O181" s="868"/>
      <c r="P181" s="769"/>
      <c r="Q181" s="868"/>
      <c r="R181" s="864"/>
      <c r="S181" s="864"/>
      <c r="T181" s="484"/>
      <c r="U181" s="79"/>
      <c r="V181" s="877"/>
      <c r="W181" s="79"/>
    </row>
    <row r="182" spans="1:23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K182" s="866"/>
      <c r="L182" s="769"/>
      <c r="M182" s="866"/>
      <c r="N182" s="769"/>
      <c r="O182" s="866"/>
      <c r="P182" s="769"/>
      <c r="Q182" s="866"/>
      <c r="R182" s="864"/>
      <c r="S182" s="1032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6"/>
      <c r="L183" s="769"/>
      <c r="M183" s="866"/>
      <c r="N183" s="769"/>
      <c r="O183" s="866"/>
      <c r="P183" s="769"/>
      <c r="Q183" s="866"/>
      <c r="R183" s="864"/>
      <c r="S183" s="1032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868"/>
      <c r="L184" s="769"/>
      <c r="M184" s="868"/>
      <c r="N184" s="769"/>
      <c r="O184" s="868"/>
      <c r="P184" s="769"/>
      <c r="Q184" s="868"/>
      <c r="R184" s="85"/>
      <c r="S184" s="795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6"/>
      <c r="L185" s="769"/>
      <c r="M185" s="866"/>
      <c r="N185" s="769"/>
      <c r="O185" s="866"/>
      <c r="P185" s="769"/>
      <c r="Q185" s="866"/>
      <c r="R185" s="85"/>
      <c r="S185" s="177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70"/>
      <c r="K186" s="866"/>
      <c r="L186" s="769"/>
      <c r="M186" s="866"/>
      <c r="N186" s="769"/>
      <c r="O186" s="866"/>
      <c r="P186" s="769"/>
      <c r="Q186" s="866"/>
      <c r="R186" s="85"/>
      <c r="S186" s="177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79"/>
      <c r="J187" s="769"/>
      <c r="K187" s="868"/>
      <c r="L187" s="769"/>
      <c r="M187" s="868"/>
      <c r="N187" s="769"/>
      <c r="O187" s="868"/>
      <c r="P187" s="769"/>
      <c r="Q187" s="868"/>
      <c r="R187" s="85"/>
      <c r="S187" s="177" t="s">
        <v>280</v>
      </c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79"/>
      <c r="J188" s="769"/>
      <c r="K188" s="866"/>
      <c r="L188" s="769"/>
      <c r="M188" s="868"/>
      <c r="N188" s="769"/>
      <c r="O188" s="868"/>
      <c r="P188" s="769"/>
      <c r="Q188" s="868"/>
      <c r="R188" s="85"/>
      <c r="S188" s="177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79"/>
      <c r="J189" s="769"/>
      <c r="K189" s="866"/>
      <c r="L189" s="769"/>
      <c r="M189" s="868"/>
      <c r="N189" s="769"/>
      <c r="O189" s="868"/>
      <c r="P189" s="769"/>
      <c r="Q189" s="868"/>
      <c r="R189" s="85"/>
      <c r="S189" s="866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79"/>
      <c r="J190" s="769"/>
      <c r="K190" s="866"/>
      <c r="L190" s="769"/>
      <c r="M190" s="868"/>
      <c r="N190" s="769"/>
      <c r="O190" s="868"/>
      <c r="P190" s="769"/>
      <c r="Q190" s="868"/>
      <c r="R190" s="769"/>
      <c r="S190" s="216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79"/>
      <c r="J191" s="769"/>
      <c r="K191" s="866"/>
      <c r="L191" s="769"/>
      <c r="M191" s="866"/>
      <c r="N191" s="769"/>
      <c r="O191" s="866"/>
      <c r="P191" s="769"/>
      <c r="Q191" s="866"/>
      <c r="R191" s="79"/>
      <c r="S191" s="21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79"/>
      <c r="J192" s="769"/>
      <c r="K192" s="866"/>
      <c r="L192" s="223"/>
      <c r="M192" s="629"/>
      <c r="N192" s="223"/>
      <c r="O192" s="629"/>
      <c r="P192" s="223"/>
      <c r="Q192" s="629"/>
      <c r="R192" s="769"/>
      <c r="S192" s="868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79"/>
      <c r="J193" s="769"/>
      <c r="K193" s="866"/>
      <c r="L193" s="756"/>
      <c r="M193" s="756"/>
      <c r="N193" s="756"/>
      <c r="O193" s="756"/>
      <c r="P193" s="756"/>
      <c r="Q193" s="756"/>
      <c r="R193" s="769"/>
      <c r="S193" s="868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79"/>
      <c r="J194" s="769"/>
      <c r="K194" s="866"/>
      <c r="L194" s="79"/>
      <c r="M194" s="79"/>
      <c r="N194" s="79"/>
      <c r="O194" s="79"/>
      <c r="P194" s="79"/>
      <c r="Q194" s="79"/>
      <c r="R194" s="769"/>
      <c r="S194" s="868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79"/>
      <c r="J195" s="769"/>
      <c r="K195" s="866"/>
      <c r="L195" s="79"/>
      <c r="M195" s="79"/>
      <c r="N195" s="79"/>
      <c r="O195" s="79"/>
      <c r="P195" s="79"/>
      <c r="Q195" s="79"/>
      <c r="R195" s="769"/>
      <c r="S195" s="79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79"/>
      <c r="J196" s="769"/>
      <c r="K196" s="866"/>
      <c r="L196" s="79"/>
      <c r="M196" s="79"/>
      <c r="N196" s="79"/>
      <c r="O196" s="79"/>
      <c r="P196" s="79"/>
      <c r="Q196" s="79"/>
      <c r="R196" s="79"/>
      <c r="S196" s="79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79"/>
      <c r="J197" s="769"/>
      <c r="K197" s="866"/>
      <c r="L197" s="79"/>
      <c r="M197" s="79"/>
      <c r="N197" s="79"/>
      <c r="O197" s="79"/>
      <c r="P197" s="79"/>
      <c r="Q197" s="79"/>
      <c r="R197" s="79"/>
      <c r="S197" s="79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79"/>
      <c r="J198" s="769"/>
      <c r="K198" s="866"/>
      <c r="L198" s="85"/>
      <c r="M198" s="85"/>
      <c r="N198" s="85"/>
      <c r="O198" s="85"/>
      <c r="P198" s="85"/>
      <c r="Q198" s="85"/>
      <c r="R198" s="1517"/>
      <c r="S198" s="79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8"/>
      <c r="L199" s="79"/>
      <c r="M199" s="79"/>
      <c r="N199" s="79"/>
      <c r="O199" s="79"/>
      <c r="P199" s="79"/>
      <c r="Q199" s="79"/>
      <c r="R199" s="79"/>
      <c r="S199" s="868"/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8"/>
      <c r="L200" s="79"/>
      <c r="M200" s="79"/>
      <c r="N200" s="79"/>
      <c r="O200" s="79"/>
      <c r="P200" s="79"/>
      <c r="Q200" s="79"/>
      <c r="R200" s="89"/>
      <c r="S200" s="79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69"/>
      <c r="K201" s="868"/>
      <c r="L201" s="79"/>
      <c r="M201" s="79"/>
      <c r="N201" s="79"/>
      <c r="O201" s="79"/>
      <c r="P201" s="79"/>
      <c r="Q201" s="79"/>
      <c r="R201" s="79"/>
      <c r="S201" s="79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8"/>
      <c r="L202" s="79"/>
      <c r="M202" s="79"/>
      <c r="N202" s="79"/>
      <c r="O202" s="79"/>
      <c r="P202" s="79"/>
      <c r="Q202" s="79"/>
      <c r="R202" s="769"/>
      <c r="S202" s="86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8"/>
      <c r="L203" s="79"/>
      <c r="M203" s="79"/>
      <c r="N203" s="79"/>
      <c r="O203" s="79"/>
      <c r="P203" s="79"/>
      <c r="Q203" s="79"/>
      <c r="R203" s="769"/>
      <c r="S203" s="86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L204" s="79"/>
      <c r="M204" s="79"/>
      <c r="N204" s="79"/>
      <c r="O204" s="79"/>
      <c r="P204" s="79"/>
      <c r="Q204" s="79"/>
      <c r="R204" s="769"/>
      <c r="S204" s="86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85"/>
      <c r="M205" s="85"/>
      <c r="N205" s="85"/>
      <c r="O205" s="85"/>
      <c r="P205" s="85"/>
      <c r="Q205" s="85"/>
      <c r="S205" s="86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8"/>
      <c r="L206" s="79"/>
      <c r="M206" s="79"/>
      <c r="N206" s="79"/>
      <c r="O206" s="79"/>
      <c r="P206" s="79"/>
      <c r="Q206" s="79"/>
      <c r="R206" s="769"/>
      <c r="S206" s="86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9"/>
      <c r="M207" s="79"/>
      <c r="N207" s="79"/>
      <c r="O207" s="79"/>
      <c r="P207" s="79"/>
      <c r="Q207" s="79"/>
      <c r="R207" s="769"/>
      <c r="S207" s="868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9"/>
      <c r="M208" s="79"/>
      <c r="N208" s="79"/>
      <c r="O208" s="79"/>
      <c r="P208" s="79"/>
      <c r="Q208" s="79"/>
      <c r="R208" s="769"/>
      <c r="S208" s="866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8"/>
      <c r="L209" s="79"/>
      <c r="M209" s="79"/>
      <c r="N209" s="79"/>
      <c r="O209" s="79"/>
      <c r="P209" s="79"/>
      <c r="Q209" s="79"/>
      <c r="R209" s="770"/>
      <c r="S209" s="866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8"/>
      <c r="L210" s="79"/>
      <c r="M210" s="79"/>
      <c r="N210" s="79"/>
      <c r="O210" s="79"/>
      <c r="P210" s="79"/>
      <c r="Q210" s="79"/>
      <c r="R210" s="769"/>
      <c r="S210" s="868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8"/>
      <c r="L211" s="79"/>
      <c r="M211" s="79"/>
      <c r="N211" s="79"/>
      <c r="O211" s="79"/>
      <c r="P211" s="79"/>
      <c r="Q211" s="79"/>
      <c r="R211" s="769"/>
      <c r="S211" s="866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8"/>
      <c r="L212" s="771"/>
      <c r="N212" s="771"/>
      <c r="P212" s="771"/>
      <c r="R212" s="769"/>
      <c r="S212" s="866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9"/>
      <c r="M213" s="79"/>
      <c r="N213" s="79"/>
      <c r="O213" s="79"/>
      <c r="P213" s="79"/>
      <c r="Q213" s="79"/>
      <c r="R213" s="769"/>
      <c r="S213" s="866"/>
      <c r="T213" s="484"/>
      <c r="U213" s="79"/>
      <c r="V213" s="877"/>
      <c r="W213" s="79"/>
    </row>
    <row r="214" spans="1:23" x14ac:dyDescent="0.25">
      <c r="J214" s="223"/>
      <c r="K214" s="629"/>
      <c r="R214" s="769"/>
      <c r="S214" s="866"/>
    </row>
    <row r="215" spans="1:23" x14ac:dyDescent="0.25">
      <c r="J215" s="756"/>
      <c r="K215" s="756"/>
      <c r="R215" s="769"/>
      <c r="S215" s="866"/>
    </row>
    <row r="216" spans="1:23" x14ac:dyDescent="0.25">
      <c r="R216" s="769"/>
      <c r="S216" s="866"/>
    </row>
    <row r="217" spans="1:23" x14ac:dyDescent="0.25">
      <c r="R217" s="769"/>
      <c r="S217" s="866"/>
    </row>
    <row r="218" spans="1:23" x14ac:dyDescent="0.25">
      <c r="R218" s="769"/>
      <c r="S218" s="866"/>
    </row>
    <row r="219" spans="1:23" x14ac:dyDescent="0.25">
      <c r="R219" s="769"/>
      <c r="S219" s="866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85"/>
      <c r="K220" s="85"/>
      <c r="L220" s="79"/>
      <c r="M220" s="216"/>
      <c r="N220" s="79"/>
      <c r="O220" s="216"/>
      <c r="P220" s="79"/>
      <c r="Q220" s="216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216"/>
      <c r="N221" s="79"/>
      <c r="O221" s="216"/>
      <c r="P221" s="79"/>
      <c r="Q221" s="216"/>
      <c r="R221" s="769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216"/>
      <c r="N222" s="79"/>
      <c r="O222" s="216"/>
      <c r="P222" s="79"/>
      <c r="Q222" s="216"/>
      <c r="R222" s="769"/>
      <c r="S222" s="868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216"/>
      <c r="N223" s="79"/>
      <c r="O223" s="216"/>
      <c r="P223" s="79"/>
      <c r="Q223" s="216"/>
      <c r="R223" s="769"/>
      <c r="S223" s="868"/>
      <c r="T223" s="484"/>
      <c r="U223" s="79"/>
      <c r="V223" s="877"/>
      <c r="W223" s="79"/>
    </row>
    <row r="224" spans="1:23" x14ac:dyDescent="0.25">
      <c r="R224" s="769"/>
      <c r="S224" s="868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216"/>
      <c r="N225" s="79"/>
      <c r="O225" s="216"/>
      <c r="P225" s="79"/>
      <c r="Q225" s="216"/>
      <c r="R225" s="769"/>
      <c r="S225" s="868"/>
      <c r="T225" s="484"/>
      <c r="U225" s="79"/>
      <c r="V225" s="877"/>
      <c r="W225" s="79"/>
    </row>
    <row r="226" spans="1:23" x14ac:dyDescent="0.25">
      <c r="R226" s="769"/>
      <c r="S226" s="868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85"/>
      <c r="K227" s="85"/>
      <c r="L227" s="79"/>
      <c r="M227" s="629"/>
      <c r="N227" s="79"/>
      <c r="O227" s="629"/>
      <c r="P227" s="79"/>
      <c r="Q227" s="629"/>
      <c r="R227" s="769"/>
      <c r="S227" s="866"/>
      <c r="T227" s="484"/>
      <c r="U227" s="79"/>
      <c r="V227" s="877"/>
      <c r="W227" s="79"/>
    </row>
    <row r="228" spans="1:23" x14ac:dyDescent="0.25">
      <c r="R228" s="769"/>
      <c r="S228" s="866"/>
    </row>
    <row r="229" spans="1:23" x14ac:dyDescent="0.25">
      <c r="R229" s="769"/>
      <c r="S229" s="868"/>
    </row>
    <row r="230" spans="1:23" x14ac:dyDescent="0.25">
      <c r="R230" s="769"/>
      <c r="S230" s="866"/>
    </row>
    <row r="231" spans="1:23" x14ac:dyDescent="0.25">
      <c r="R231" s="769"/>
      <c r="S231" s="866"/>
    </row>
    <row r="232" spans="1:23" x14ac:dyDescent="0.25">
      <c r="R232" s="769"/>
      <c r="S232" s="868"/>
    </row>
    <row r="233" spans="1:23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216"/>
      <c r="N233" s="79"/>
      <c r="O233" s="216"/>
      <c r="P233" s="79"/>
      <c r="Q233" s="216"/>
      <c r="R233" s="769"/>
      <c r="S233" s="868"/>
      <c r="T233" s="484"/>
      <c r="U233" s="79"/>
      <c r="V233" s="877"/>
      <c r="W233" s="79"/>
    </row>
    <row r="234" spans="1:23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71"/>
      <c r="L234" s="79"/>
      <c r="M234" s="216"/>
      <c r="N234" s="79"/>
      <c r="O234" s="216"/>
      <c r="P234" s="79"/>
      <c r="Q234" s="216"/>
      <c r="R234" s="769"/>
      <c r="S234" s="868"/>
      <c r="T234" s="484"/>
      <c r="U234" s="79"/>
      <c r="V234" s="877"/>
      <c r="W234" s="79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216"/>
      <c r="N235" s="79"/>
      <c r="O235" s="216"/>
      <c r="P235" s="79"/>
      <c r="Q235" s="216"/>
      <c r="R235" s="769"/>
      <c r="S235" s="868"/>
      <c r="T235" s="484"/>
      <c r="U235" s="79"/>
      <c r="V235" s="877"/>
      <c r="W235" s="79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216"/>
      <c r="N236" s="79"/>
      <c r="O236" s="216"/>
      <c r="P236" s="79"/>
      <c r="Q236" s="216"/>
      <c r="R236" s="769"/>
      <c r="S236" s="866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216"/>
      <c r="N237" s="79"/>
      <c r="O237" s="216"/>
      <c r="P237" s="79"/>
      <c r="Q237" s="216"/>
      <c r="R237" s="223"/>
      <c r="S237" s="629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216"/>
      <c r="N238" s="79"/>
      <c r="O238" s="216"/>
      <c r="P238" s="79"/>
      <c r="Q238" s="216"/>
      <c r="R238" s="756"/>
      <c r="S238" s="756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216"/>
      <c r="N239" s="79"/>
      <c r="O239" s="216"/>
      <c r="P239" s="79"/>
      <c r="Q239" s="216"/>
      <c r="R239" s="79"/>
      <c r="S239" s="79"/>
      <c r="T239" s="484"/>
      <c r="U239" s="79"/>
      <c r="V239" s="877"/>
      <c r="W239" s="79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216"/>
      <c r="N240" s="79"/>
      <c r="O240" s="216"/>
      <c r="P240" s="79"/>
      <c r="Q240" s="216"/>
      <c r="R240" s="79"/>
      <c r="S240" s="79"/>
      <c r="T240" s="484"/>
      <c r="U240" s="79"/>
      <c r="V240" s="877"/>
      <c r="W240" s="79"/>
    </row>
    <row r="241" spans="1:44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216"/>
      <c r="N241" s="79"/>
      <c r="O241" s="216"/>
      <c r="P241" s="79"/>
      <c r="Q241" s="216"/>
      <c r="R241" s="79"/>
      <c r="S241" s="79"/>
      <c r="T241" s="484"/>
      <c r="U241" s="79"/>
      <c r="V241" s="877"/>
      <c r="W241" s="79"/>
    </row>
    <row r="242" spans="1:44" x14ac:dyDescent="0.25">
      <c r="K242" s="216"/>
    </row>
    <row r="243" spans="1:44" x14ac:dyDescent="0.25">
      <c r="K243" s="216"/>
      <c r="R243" s="85"/>
      <c r="S243" s="85"/>
    </row>
    <row r="244" spans="1:44" x14ac:dyDescent="0.25">
      <c r="K244" s="216"/>
    </row>
    <row r="245" spans="1:44" x14ac:dyDescent="0.25">
      <c r="K245" s="216"/>
    </row>
    <row r="247" spans="1:44" x14ac:dyDescent="0.25">
      <c r="K247" s="216"/>
    </row>
    <row r="249" spans="1:44" x14ac:dyDescent="0.25">
      <c r="K249" s="629"/>
    </row>
    <row r="250" spans="1:44" x14ac:dyDescent="0.25">
      <c r="R250" s="85"/>
      <c r="S250" s="85"/>
    </row>
    <row r="254" spans="1:44" s="484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U254" s="79"/>
      <c r="V254" s="877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</row>
    <row r="255" spans="1:44" s="484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9"/>
      <c r="K255" s="216"/>
      <c r="L255" s="79"/>
      <c r="M255" s="79"/>
      <c r="N255" s="79"/>
      <c r="O255" s="79"/>
      <c r="P255" s="79"/>
      <c r="Q255" s="79"/>
      <c r="R255" s="79"/>
      <c r="S255" s="79"/>
      <c r="U255" s="79"/>
      <c r="V255" s="877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</row>
    <row r="256" spans="1:44" s="484" customFormat="1" x14ac:dyDescent="0.25">
      <c r="A256" s="79"/>
      <c r="B256" s="79"/>
      <c r="C256" s="85"/>
      <c r="D256" s="85"/>
      <c r="E256" s="85"/>
      <c r="F256" s="89"/>
      <c r="G256" s="79"/>
      <c r="H256" s="79"/>
      <c r="I256" s="79"/>
      <c r="J256" s="79"/>
      <c r="K256" s="216"/>
      <c r="L256" s="79"/>
      <c r="M256" s="79"/>
      <c r="N256" s="79"/>
      <c r="O256" s="79"/>
      <c r="P256" s="79"/>
      <c r="Q256" s="79"/>
      <c r="R256" s="79"/>
      <c r="S256" s="79"/>
      <c r="U256" s="79"/>
      <c r="V256" s="877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484" customFormat="1" x14ac:dyDescent="0.25">
      <c r="A257" s="79"/>
      <c r="B257" s="79"/>
      <c r="C257" s="85"/>
      <c r="D257" s="85"/>
      <c r="E257" s="85"/>
      <c r="F257" s="89"/>
      <c r="G257" s="79"/>
      <c r="H257" s="79"/>
      <c r="I257" s="79"/>
      <c r="J257" s="79"/>
      <c r="K257" s="216"/>
      <c r="L257" s="79"/>
      <c r="M257" s="79"/>
      <c r="N257" s="79"/>
      <c r="O257" s="79"/>
      <c r="P257" s="79"/>
      <c r="Q257" s="79"/>
      <c r="R257" s="771"/>
      <c r="S257" s="518"/>
      <c r="U257" s="79"/>
      <c r="V257" s="877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484" customFormat="1" x14ac:dyDescent="0.25">
      <c r="A258" s="79"/>
      <c r="B258" s="79"/>
      <c r="C258" s="85"/>
      <c r="D258" s="85"/>
      <c r="E258" s="85"/>
      <c r="F258" s="89"/>
      <c r="G258" s="79"/>
      <c r="H258" s="79"/>
      <c r="I258" s="79"/>
      <c r="J258" s="79"/>
      <c r="K258" s="216"/>
      <c r="L258" s="79"/>
      <c r="M258" s="79"/>
      <c r="N258" s="79"/>
      <c r="O258" s="79"/>
      <c r="P258" s="79"/>
      <c r="Q258" s="79"/>
      <c r="R258" s="79"/>
      <c r="S258" s="79"/>
      <c r="U258" s="79"/>
      <c r="V258" s="877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59" spans="1:44" x14ac:dyDescent="0.25">
      <c r="K259" s="216"/>
    </row>
    <row r="260" spans="1:44" x14ac:dyDescent="0.25">
      <c r="K260" s="216"/>
    </row>
    <row r="261" spans="1:44" x14ac:dyDescent="0.25">
      <c r="K261" s="216"/>
    </row>
    <row r="262" spans="1:44" x14ac:dyDescent="0.25">
      <c r="K262" s="216"/>
    </row>
    <row r="263" spans="1:44" x14ac:dyDescent="0.25">
      <c r="K263" s="216"/>
    </row>
    <row r="265" spans="1:44" s="484" customFormat="1" x14ac:dyDescent="0.25">
      <c r="A265" s="79"/>
      <c r="B265" s="79"/>
      <c r="C265" s="85"/>
      <c r="D265" s="85"/>
      <c r="E265" s="85"/>
      <c r="F265" s="8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216"/>
      <c r="U265" s="79"/>
      <c r="V265" s="877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</row>
    <row r="266" spans="1:44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216"/>
      <c r="U266" s="79"/>
      <c r="V266" s="877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216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216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216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62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8" spans="1:44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216"/>
      <c r="U278" s="79"/>
      <c r="V278" s="877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</row>
    <row r="279" spans="1:44" s="484" customFormat="1" x14ac:dyDescent="0.25">
      <c r="A279" s="79"/>
      <c r="B279" s="79"/>
      <c r="C279" s="85"/>
      <c r="D279" s="85"/>
      <c r="E279" s="85"/>
      <c r="F279" s="8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216"/>
      <c r="U279" s="79"/>
      <c r="V279" s="877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216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</sheetData>
  <autoFilter ref="A2:S151" xr:uid="{2CB2D5B7-15C9-4F73-A152-C3F04AC9E2E4}">
    <filterColumn colId="5" showButton="0"/>
    <filterColumn colId="7" showButton="0"/>
    <filterColumn colId="9" showButton="0"/>
    <filterColumn colId="11" showButton="0"/>
    <filterColumn colId="13" showButton="0"/>
    <filterColumn colId="15" showButton="0"/>
    <filterColumn colId="17" showButton="0"/>
  </autoFilter>
  <mergeCells count="18">
    <mergeCell ref="B154:D154"/>
    <mergeCell ref="N2:O3"/>
    <mergeCell ref="P2:Q3"/>
    <mergeCell ref="R2:S3"/>
    <mergeCell ref="A132:E132"/>
    <mergeCell ref="A133:E133"/>
    <mergeCell ref="C153:D153"/>
    <mergeCell ref="J2:K3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L2:M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C8049-2893-4E33-B90E-63F4DF94DF01}">
  <sheetPr codeName="Planilha18"/>
  <dimension ref="A1:AR301"/>
  <sheetViews>
    <sheetView zoomScale="85" zoomScaleNormal="85" workbookViewId="0">
      <pane ySplit="5" topLeftCell="A145" activePane="bottomLeft" state="frozen"/>
      <selection pane="bottomLeft" activeCell="B103" sqref="B10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6439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45413</v>
      </c>
      <c r="B5" s="369" t="s">
        <v>10</v>
      </c>
      <c r="C5" s="370"/>
      <c r="D5" s="370"/>
      <c r="E5" s="777"/>
      <c r="F5" s="179"/>
      <c r="G5" s="933">
        <f>'Abril-24'!G133</f>
        <v>633.92075000004297</v>
      </c>
      <c r="H5" s="163"/>
      <c r="I5" s="1479">
        <f>'Abril-24'!I133</f>
        <v>1729.945999999999</v>
      </c>
      <c r="J5" s="179"/>
      <c r="K5" s="933">
        <f>'Abril-24'!K133</f>
        <v>6018.4200000000046</v>
      </c>
      <c r="L5" s="179"/>
      <c r="M5" s="933">
        <f>'Abril-24'!M133</f>
        <v>26844.530000000002</v>
      </c>
      <c r="N5" s="179"/>
      <c r="O5" s="933">
        <f>'Abril-24'!O133</f>
        <v>0</v>
      </c>
      <c r="P5" s="179"/>
      <c r="Q5" s="1479">
        <f>'Abril-24'!Q133</f>
        <v>5050.4000000000015</v>
      </c>
      <c r="R5" s="179"/>
      <c r="S5" s="933">
        <f>'Abril-24'!S133</f>
        <v>28554.845984720007</v>
      </c>
    </row>
    <row r="6" spans="1:44" s="224" customFormat="1" x14ac:dyDescent="0.25">
      <c r="A6" s="247">
        <v>45413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customHeight="1" x14ac:dyDescent="0.25">
      <c r="A7" s="247">
        <v>45413</v>
      </c>
      <c r="B7" s="1275" t="s">
        <v>1331</v>
      </c>
      <c r="C7" s="879" t="s">
        <v>19</v>
      </c>
      <c r="D7" s="1276" t="s">
        <v>2157</v>
      </c>
      <c r="E7" s="875" t="s">
        <v>13</v>
      </c>
      <c r="F7" s="780">
        <v>40</v>
      </c>
      <c r="G7" s="982"/>
      <c r="H7" s="622"/>
      <c r="I7" s="982"/>
      <c r="J7" s="622"/>
      <c r="K7" s="982"/>
      <c r="L7" s="622"/>
      <c r="M7" s="982"/>
      <c r="N7" s="622"/>
      <c r="O7" s="982"/>
      <c r="P7" s="622"/>
      <c r="Q7" s="1063"/>
      <c r="R7" s="880"/>
      <c r="S7" s="1033"/>
      <c r="T7" s="927"/>
      <c r="V7" s="878"/>
    </row>
    <row r="8" spans="1:44" s="224" customFormat="1" ht="15" customHeight="1" x14ac:dyDescent="0.25">
      <c r="A8" s="247">
        <v>45413</v>
      </c>
      <c r="B8" s="882" t="s">
        <v>14</v>
      </c>
      <c r="C8" s="879" t="s">
        <v>12</v>
      </c>
      <c r="D8" s="879" t="s">
        <v>1486</v>
      </c>
      <c r="E8" s="871" t="s">
        <v>13</v>
      </c>
      <c r="F8" s="780">
        <v>6.69</v>
      </c>
      <c r="G8" s="946"/>
      <c r="H8" s="95"/>
      <c r="I8" s="1064"/>
      <c r="J8" s="622"/>
      <c r="K8" s="982"/>
      <c r="L8" s="622"/>
      <c r="M8" s="982"/>
      <c r="N8" s="622"/>
      <c r="O8" s="982"/>
      <c r="P8" s="622"/>
      <c r="Q8" s="1063"/>
      <c r="R8" s="622"/>
      <c r="S8" s="982"/>
      <c r="T8" s="861"/>
      <c r="V8" s="927"/>
      <c r="W8" s="999"/>
    </row>
    <row r="9" spans="1:44" s="224" customFormat="1" ht="15" customHeight="1" x14ac:dyDescent="0.25">
      <c r="A9" s="247">
        <v>45413</v>
      </c>
      <c r="B9" s="882" t="s">
        <v>81</v>
      </c>
      <c r="C9" s="879" t="s">
        <v>12</v>
      </c>
      <c r="D9" s="879" t="s">
        <v>1493</v>
      </c>
      <c r="E9" s="875" t="s">
        <v>13</v>
      </c>
      <c r="F9" s="780">
        <v>5</v>
      </c>
      <c r="G9" s="982"/>
      <c r="H9" s="622"/>
      <c r="I9" s="982"/>
      <c r="J9" s="622"/>
      <c r="K9" s="982"/>
      <c r="L9" s="622"/>
      <c r="M9" s="982"/>
      <c r="N9" s="622"/>
      <c r="O9" s="982"/>
      <c r="P9" s="622"/>
      <c r="Q9" s="1063"/>
      <c r="R9" s="880"/>
      <c r="S9" s="1033"/>
      <c r="T9" s="927"/>
      <c r="V9" s="878"/>
    </row>
    <row r="10" spans="1:44" s="224" customFormat="1" ht="15" customHeight="1" x14ac:dyDescent="0.25">
      <c r="A10" s="247">
        <v>45413</v>
      </c>
      <c r="B10" s="882" t="s">
        <v>81</v>
      </c>
      <c r="C10" s="879" t="s">
        <v>12</v>
      </c>
      <c r="D10" s="879" t="s">
        <v>1493</v>
      </c>
      <c r="E10" s="875" t="s">
        <v>13</v>
      </c>
      <c r="F10" s="780">
        <v>8</v>
      </c>
      <c r="G10" s="946"/>
      <c r="H10" s="95"/>
      <c r="I10" s="1064"/>
      <c r="J10" s="622"/>
      <c r="K10" s="982"/>
      <c r="L10" s="622"/>
      <c r="M10" s="982"/>
      <c r="N10" s="622"/>
      <c r="O10" s="982"/>
      <c r="P10" s="622"/>
      <c r="Q10" s="1063"/>
      <c r="R10" s="1110"/>
      <c r="S10" s="1208"/>
      <c r="T10" s="1028"/>
      <c r="W10" s="958"/>
    </row>
    <row r="11" spans="1:44" s="224" customFormat="1" ht="15" customHeight="1" x14ac:dyDescent="0.25">
      <c r="A11" s="247">
        <v>45414</v>
      </c>
      <c r="B11" s="882" t="s">
        <v>6258</v>
      </c>
      <c r="C11" s="879" t="s">
        <v>12</v>
      </c>
      <c r="D11" s="879"/>
      <c r="E11" s="875"/>
      <c r="F11" s="780"/>
      <c r="G11" s="982">
        <v>166.5</v>
      </c>
      <c r="H11" s="1008"/>
      <c r="I11" s="1063"/>
      <c r="J11" s="613">
        <v>166.5</v>
      </c>
      <c r="K11" s="982"/>
      <c r="L11" s="622"/>
      <c r="M11" s="982"/>
      <c r="N11" s="622"/>
      <c r="O11" s="982"/>
      <c r="P11" s="622"/>
      <c r="Q11" s="1063"/>
      <c r="R11" s="622"/>
      <c r="S11" s="982"/>
      <c r="T11" s="861"/>
    </row>
    <row r="12" spans="1:44" s="224" customFormat="1" ht="15" customHeight="1" x14ac:dyDescent="0.25">
      <c r="A12" s="247">
        <v>45414</v>
      </c>
      <c r="B12" s="1275" t="s">
        <v>6396</v>
      </c>
      <c r="C12" s="1276" t="s">
        <v>12</v>
      </c>
      <c r="D12" s="1276" t="s">
        <v>1524</v>
      </c>
      <c r="E12" s="1286" t="s">
        <v>13</v>
      </c>
      <c r="F12" s="613">
        <v>166.5</v>
      </c>
      <c r="G12" s="967"/>
      <c r="H12" s="1008"/>
      <c r="I12" s="1063"/>
      <c r="J12" s="613"/>
      <c r="K12" s="6"/>
      <c r="L12" s="613"/>
      <c r="M12" s="6"/>
      <c r="N12" s="622"/>
      <c r="O12" s="982"/>
      <c r="P12" s="622"/>
      <c r="Q12" s="1063"/>
      <c r="R12" s="613"/>
      <c r="S12" s="162"/>
      <c r="T12" s="2126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s="224" customFormat="1" x14ac:dyDescent="0.25">
      <c r="A13" s="247">
        <v>45414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780">
        <v>22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  <c r="V13" s="878"/>
    </row>
    <row r="14" spans="1:44" s="224" customFormat="1" ht="15" customHeight="1" x14ac:dyDescent="0.25">
      <c r="A14" s="247">
        <v>45414</v>
      </c>
      <c r="B14" s="882" t="s">
        <v>14</v>
      </c>
      <c r="C14" s="879" t="s">
        <v>12</v>
      </c>
      <c r="D14" s="879" t="s">
        <v>1486</v>
      </c>
      <c r="E14" s="871" t="s">
        <v>13</v>
      </c>
      <c r="F14" s="780">
        <v>10</v>
      </c>
      <c r="G14" s="946"/>
      <c r="H14" s="95"/>
      <c r="I14" s="1064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861"/>
      <c r="V14" s="927"/>
      <c r="W14" s="999"/>
    </row>
    <row r="15" spans="1:44" s="224" customFormat="1" x14ac:dyDescent="0.25">
      <c r="A15" s="247">
        <v>45415</v>
      </c>
      <c r="B15" s="882" t="s">
        <v>32</v>
      </c>
      <c r="C15" s="879" t="s">
        <v>12</v>
      </c>
      <c r="D15" s="879" t="s">
        <v>1485</v>
      </c>
      <c r="E15" s="875" t="s">
        <v>13</v>
      </c>
      <c r="F15" s="780">
        <v>22</v>
      </c>
      <c r="G15" s="982"/>
      <c r="H15" s="1008"/>
      <c r="I15" s="1063"/>
      <c r="J15" s="622"/>
      <c r="K15" s="982"/>
      <c r="L15" s="622"/>
      <c r="M15" s="982"/>
      <c r="N15" s="622"/>
      <c r="O15" s="982"/>
      <c r="P15" s="622"/>
      <c r="Q15" s="1063"/>
      <c r="R15" s="622"/>
      <c r="S15" s="982"/>
      <c r="T15" s="861"/>
      <c r="V15" s="878"/>
    </row>
    <row r="16" spans="1:44" s="224" customFormat="1" ht="15" customHeight="1" x14ac:dyDescent="0.25">
      <c r="A16" s="247">
        <v>45415</v>
      </c>
      <c r="B16" s="882" t="s">
        <v>6258</v>
      </c>
      <c r="C16" s="879" t="s">
        <v>12</v>
      </c>
      <c r="D16" s="879"/>
      <c r="E16" s="875"/>
      <c r="F16" s="780"/>
      <c r="G16" s="982">
        <v>1000</v>
      </c>
      <c r="H16" s="95"/>
      <c r="I16" s="1064"/>
      <c r="J16" s="613">
        <v>1000</v>
      </c>
      <c r="K16" s="982"/>
      <c r="L16" s="622"/>
      <c r="M16" s="982"/>
      <c r="N16" s="622"/>
      <c r="O16" s="982"/>
      <c r="P16" s="622"/>
      <c r="Q16" s="1063"/>
      <c r="R16" s="622"/>
      <c r="S16" s="982"/>
      <c r="T16" s="861"/>
    </row>
    <row r="17" spans="1:44" s="224" customFormat="1" ht="15" customHeight="1" x14ac:dyDescent="0.25">
      <c r="A17" s="247">
        <v>45415</v>
      </c>
      <c r="B17" s="1275" t="s">
        <v>6412</v>
      </c>
      <c r="C17" s="1276" t="s">
        <v>12</v>
      </c>
      <c r="D17" s="1276" t="s">
        <v>1524</v>
      </c>
      <c r="E17" s="1286" t="s">
        <v>13</v>
      </c>
      <c r="F17" s="613">
        <v>1000</v>
      </c>
      <c r="G17" s="967"/>
      <c r="H17" s="1008"/>
      <c r="I17" s="1063"/>
      <c r="J17" s="613"/>
      <c r="K17" s="6"/>
      <c r="L17" s="613"/>
      <c r="M17" s="6"/>
      <c r="N17" s="622"/>
      <c r="O17" s="982"/>
      <c r="P17" s="622"/>
      <c r="Q17" s="1063"/>
      <c r="R17" s="613"/>
      <c r="S17" s="64"/>
      <c r="T17" s="2062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44" s="224" customFormat="1" ht="15" customHeight="1" x14ac:dyDescent="0.25">
      <c r="A18" s="247">
        <v>45415</v>
      </c>
      <c r="B18" s="882" t="s">
        <v>82</v>
      </c>
      <c r="C18" s="879" t="s">
        <v>12</v>
      </c>
      <c r="D18" s="879" t="s">
        <v>1493</v>
      </c>
      <c r="E18" s="871" t="s">
        <v>13</v>
      </c>
      <c r="F18" s="613">
        <v>20</v>
      </c>
      <c r="G18" s="967"/>
      <c r="H18" s="1008"/>
      <c r="I18" s="1063"/>
      <c r="J18" s="622"/>
      <c r="K18" s="982"/>
      <c r="L18" s="2013"/>
      <c r="M18" s="1207"/>
      <c r="N18" s="880"/>
      <c r="O18" s="1033"/>
      <c r="P18" s="880"/>
      <c r="Q18" s="1525"/>
      <c r="R18" s="613"/>
      <c r="S18" s="162"/>
      <c r="T18" s="1956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s="224" customFormat="1" x14ac:dyDescent="0.25">
      <c r="A19" s="247">
        <v>45416</v>
      </c>
      <c r="B19" s="882" t="s">
        <v>2629</v>
      </c>
      <c r="C19" s="879" t="s">
        <v>12</v>
      </c>
      <c r="D19" s="879" t="s">
        <v>1489</v>
      </c>
      <c r="E19" s="875" t="s">
        <v>13</v>
      </c>
      <c r="F19" s="1279">
        <v>75.87</v>
      </c>
      <c r="G19" s="982"/>
      <c r="H19" s="1008"/>
      <c r="I19" s="1063"/>
      <c r="J19" s="622"/>
      <c r="K19" s="982"/>
      <c r="L19" s="622"/>
      <c r="M19" s="982"/>
      <c r="N19" s="622"/>
      <c r="O19" s="982"/>
      <c r="P19" s="622"/>
      <c r="Q19" s="1063"/>
      <c r="R19" s="622"/>
      <c r="S19" s="982"/>
      <c r="T19" s="861"/>
      <c r="V19" s="878"/>
    </row>
    <row r="20" spans="1:44" s="224" customFormat="1" x14ac:dyDescent="0.25">
      <c r="A20" s="247">
        <v>45416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1279">
        <v>15</v>
      </c>
      <c r="G20" s="982"/>
      <c r="H20" s="1008"/>
      <c r="I20" s="1063"/>
      <c r="J20" s="622"/>
      <c r="K20" s="982"/>
      <c r="L20" s="622"/>
      <c r="M20" s="982"/>
      <c r="N20" s="622"/>
      <c r="O20" s="982"/>
      <c r="P20" s="622"/>
      <c r="Q20" s="1063"/>
      <c r="R20" s="622"/>
      <c r="S20" s="982"/>
      <c r="T20" s="861"/>
      <c r="V20" s="878"/>
    </row>
    <row r="21" spans="1:44" s="224" customFormat="1" ht="15" customHeight="1" x14ac:dyDescent="0.25">
      <c r="A21" s="247">
        <v>45416</v>
      </c>
      <c r="B21" s="882" t="s">
        <v>1906</v>
      </c>
      <c r="C21" s="879" t="s">
        <v>12</v>
      </c>
      <c r="D21" s="879" t="s">
        <v>1493</v>
      </c>
      <c r="E21" s="871" t="s">
        <v>13</v>
      </c>
      <c r="F21" s="613">
        <v>40</v>
      </c>
      <c r="G21" s="967"/>
      <c r="H21" s="1008"/>
      <c r="I21" s="1063"/>
      <c r="J21" s="622"/>
      <c r="K21" s="982"/>
      <c r="L21" s="2013"/>
      <c r="M21" s="1207"/>
      <c r="N21" s="880"/>
      <c r="O21" s="1033"/>
      <c r="P21" s="880"/>
      <c r="Q21" s="1525"/>
      <c r="R21" s="613"/>
      <c r="S21" s="162"/>
      <c r="T21" s="1956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customHeight="1" x14ac:dyDescent="0.25">
      <c r="A22" s="247">
        <v>45417</v>
      </c>
      <c r="B22" s="882" t="s">
        <v>17</v>
      </c>
      <c r="C22" s="879" t="s">
        <v>12</v>
      </c>
      <c r="D22" s="879" t="s">
        <v>1493</v>
      </c>
      <c r="E22" s="871" t="s">
        <v>13</v>
      </c>
      <c r="F22" s="613">
        <v>2.5</v>
      </c>
      <c r="G22" s="967"/>
      <c r="H22" s="1008"/>
      <c r="I22" s="1063"/>
      <c r="J22" s="622"/>
      <c r="K22" s="982"/>
      <c r="L22" s="2013"/>
      <c r="M22" s="1207"/>
      <c r="N22" s="880"/>
      <c r="O22" s="1033"/>
      <c r="P22" s="880"/>
      <c r="Q22" s="1525"/>
      <c r="R22" s="613"/>
      <c r="S22" s="162"/>
      <c r="T22" s="1956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s="224" customFormat="1" ht="15" customHeight="1" x14ac:dyDescent="0.25">
      <c r="A23" s="247">
        <v>45418</v>
      </c>
      <c r="B23" s="882" t="s">
        <v>6329</v>
      </c>
      <c r="C23" s="879" t="s">
        <v>12</v>
      </c>
      <c r="D23" s="879"/>
      <c r="E23" s="875" t="s">
        <v>25</v>
      </c>
      <c r="F23" s="780"/>
      <c r="G23" s="982">
        <v>100</v>
      </c>
      <c r="H23" s="622"/>
      <c r="I23" s="982"/>
      <c r="J23" s="622"/>
      <c r="K23" s="982"/>
      <c r="L23" s="622"/>
      <c r="M23" s="982"/>
      <c r="N23" s="622"/>
      <c r="O23" s="982"/>
      <c r="P23" s="880"/>
      <c r="Q23" s="1525"/>
      <c r="R23" s="613"/>
      <c r="S23" s="162"/>
      <c r="T23" s="1956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x14ac:dyDescent="0.25">
      <c r="A24" s="247">
        <v>45418</v>
      </c>
      <c r="B24" s="882" t="s">
        <v>32</v>
      </c>
      <c r="C24" s="879" t="s">
        <v>12</v>
      </c>
      <c r="D24" s="879" t="s">
        <v>1485</v>
      </c>
      <c r="E24" s="875" t="s">
        <v>13</v>
      </c>
      <c r="F24" s="1279">
        <v>22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861"/>
      <c r="V24" s="878"/>
    </row>
    <row r="25" spans="1:44" s="224" customFormat="1" ht="15" customHeight="1" x14ac:dyDescent="0.25">
      <c r="A25" s="247">
        <v>45418</v>
      </c>
      <c r="B25" s="882" t="s">
        <v>3958</v>
      </c>
      <c r="C25" s="879" t="s">
        <v>12</v>
      </c>
      <c r="D25" s="879" t="s">
        <v>1489</v>
      </c>
      <c r="E25" s="875" t="s">
        <v>13</v>
      </c>
      <c r="F25" s="780">
        <v>23</v>
      </c>
      <c r="G25" s="982"/>
      <c r="H25" s="622"/>
      <c r="I25" s="982"/>
      <c r="J25" s="622"/>
      <c r="K25" s="982"/>
      <c r="L25" s="622"/>
      <c r="M25" s="982"/>
      <c r="N25" s="622"/>
      <c r="O25" s="982"/>
      <c r="P25" s="880"/>
      <c r="Q25" s="1525"/>
      <c r="R25" s="613"/>
      <c r="S25" s="162"/>
      <c r="T25" s="1956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s="224" customFormat="1" ht="15.75" customHeight="1" x14ac:dyDescent="0.25">
      <c r="A26" s="247">
        <v>45419</v>
      </c>
      <c r="B26" s="873" t="s">
        <v>6359</v>
      </c>
      <c r="C26" s="879" t="s">
        <v>12</v>
      </c>
      <c r="D26" s="874"/>
      <c r="E26" s="887" t="s">
        <v>25</v>
      </c>
      <c r="F26" s="1524"/>
      <c r="G26" s="1002">
        <v>2377.06</v>
      </c>
      <c r="H26" s="538"/>
      <c r="I26" s="982"/>
      <c r="J26" s="2013"/>
      <c r="K26" s="1207"/>
      <c r="L26" s="622"/>
      <c r="M26" s="982"/>
      <c r="N26" s="622"/>
      <c r="O26" s="982"/>
      <c r="P26" s="622"/>
      <c r="Q26" s="1063"/>
      <c r="R26" s="622"/>
      <c r="S26" s="982"/>
      <c r="T26" s="178"/>
    </row>
    <row r="27" spans="1:44" s="224" customFormat="1" ht="15" customHeight="1" x14ac:dyDescent="0.25">
      <c r="A27" s="247">
        <v>45419</v>
      </c>
      <c r="B27" s="364" t="s">
        <v>1396</v>
      </c>
      <c r="C27" s="879" t="s">
        <v>12</v>
      </c>
      <c r="D27" s="350"/>
      <c r="E27" s="919" t="s">
        <v>25</v>
      </c>
      <c r="F27" s="1116"/>
      <c r="G27" s="966">
        <v>150</v>
      </c>
      <c r="H27" s="1031"/>
      <c r="I27" s="1525"/>
      <c r="J27" s="2013"/>
      <c r="K27" s="1207"/>
      <c r="L27" s="1116"/>
      <c r="M27" s="1207"/>
      <c r="N27" s="880"/>
      <c r="O27" s="1033"/>
      <c r="P27" s="622"/>
      <c r="Q27" s="1063"/>
      <c r="R27" s="1116"/>
      <c r="S27" s="120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s="224" customFormat="1" ht="15" customHeight="1" x14ac:dyDescent="0.25">
      <c r="A28" s="247">
        <v>45419</v>
      </c>
      <c r="B28" s="862" t="s">
        <v>3422</v>
      </c>
      <c r="C28" s="879" t="s">
        <v>12</v>
      </c>
      <c r="D28" s="879" t="s">
        <v>1504</v>
      </c>
      <c r="E28" s="871" t="s">
        <v>13</v>
      </c>
      <c r="F28" s="780">
        <v>49.9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1063"/>
      <c r="R28" s="622"/>
      <c r="S28" s="982"/>
      <c r="T28" s="1808"/>
      <c r="U28" s="1028"/>
      <c r="V28" s="1035"/>
    </row>
    <row r="29" spans="1:44" s="224" customFormat="1" ht="15" customHeight="1" x14ac:dyDescent="0.25">
      <c r="A29" s="247">
        <v>45419</v>
      </c>
      <c r="B29" s="882" t="s">
        <v>6361</v>
      </c>
      <c r="C29" s="879" t="s">
        <v>12</v>
      </c>
      <c r="D29" s="879" t="s">
        <v>1499</v>
      </c>
      <c r="E29" s="871" t="s">
        <v>13</v>
      </c>
      <c r="F29" s="780">
        <v>83.75</v>
      </c>
      <c r="G29" s="982"/>
      <c r="H29" s="1008"/>
      <c r="I29" s="1063"/>
      <c r="J29" s="880"/>
      <c r="K29" s="1033"/>
      <c r="L29" s="622"/>
      <c r="M29" s="982"/>
      <c r="N29" s="622"/>
      <c r="O29" s="982"/>
      <c r="P29" s="622"/>
      <c r="Q29" s="1063"/>
      <c r="R29" s="622"/>
      <c r="S29" s="982"/>
      <c r="T29" s="2201" t="s">
        <v>6411</v>
      </c>
      <c r="U29" s="999"/>
      <c r="V29" s="878"/>
    </row>
    <row r="30" spans="1:44" s="224" customFormat="1" ht="15" customHeight="1" x14ac:dyDescent="0.25">
      <c r="A30" s="247">
        <v>45419</v>
      </c>
      <c r="B30" s="364" t="s">
        <v>2977</v>
      </c>
      <c r="C30" s="879" t="s">
        <v>12</v>
      </c>
      <c r="D30" s="350" t="s">
        <v>1491</v>
      </c>
      <c r="E30" s="875" t="s">
        <v>13</v>
      </c>
      <c r="F30" s="780">
        <v>400</v>
      </c>
      <c r="G30" s="982"/>
      <c r="H30" s="1008"/>
      <c r="I30" s="1063"/>
      <c r="J30" s="2013"/>
      <c r="K30" s="1207"/>
      <c r="L30" s="622"/>
      <c r="M30" s="982"/>
      <c r="N30" s="622"/>
      <c r="O30" s="982"/>
      <c r="P30" s="622"/>
      <c r="Q30" s="1063"/>
      <c r="R30" s="622"/>
      <c r="S30" s="982"/>
      <c r="T30" s="1028"/>
      <c r="V30" s="1035"/>
    </row>
    <row r="31" spans="1:44" x14ac:dyDescent="0.25">
      <c r="A31" s="247">
        <v>45419</v>
      </c>
      <c r="B31" s="876" t="s">
        <v>6393</v>
      </c>
      <c r="C31" s="879" t="s">
        <v>12</v>
      </c>
      <c r="D31" s="879" t="s">
        <v>1491</v>
      </c>
      <c r="E31" s="871" t="s">
        <v>13</v>
      </c>
      <c r="F31" s="780">
        <v>80</v>
      </c>
      <c r="G31" s="982"/>
      <c r="H31" s="1009"/>
      <c r="I31" s="1063"/>
      <c r="J31" s="613"/>
      <c r="K31" s="6"/>
      <c r="L31" s="622"/>
      <c r="M31" s="982"/>
      <c r="N31" s="622"/>
      <c r="O31" s="982"/>
      <c r="P31" s="622"/>
      <c r="Q31" s="1063"/>
      <c r="R31" s="622"/>
      <c r="S31" s="982"/>
      <c r="T31" s="1029"/>
    </row>
    <row r="32" spans="1:44" x14ac:dyDescent="0.25">
      <c r="A32" s="247">
        <v>45419</v>
      </c>
      <c r="B32" s="876" t="s">
        <v>3844</v>
      </c>
      <c r="C32" s="879" t="s">
        <v>12</v>
      </c>
      <c r="D32" s="879" t="s">
        <v>1496</v>
      </c>
      <c r="E32" s="871" t="s">
        <v>13</v>
      </c>
      <c r="F32" s="780">
        <v>90</v>
      </c>
      <c r="G32" s="982"/>
      <c r="H32" s="1009"/>
      <c r="I32" s="1063"/>
      <c r="J32" s="613"/>
      <c r="K32" s="6"/>
      <c r="L32" s="622"/>
      <c r="M32" s="982"/>
      <c r="N32" s="622"/>
      <c r="O32" s="982"/>
      <c r="P32" s="622"/>
      <c r="Q32" s="1063"/>
      <c r="R32" s="622"/>
      <c r="S32" s="982"/>
      <c r="T32" s="1029"/>
    </row>
    <row r="33" spans="1:44" s="224" customFormat="1" ht="15" customHeight="1" x14ac:dyDescent="0.25">
      <c r="A33" s="247">
        <v>45419</v>
      </c>
      <c r="B33" s="1289" t="s">
        <v>2096</v>
      </c>
      <c r="C33" s="879" t="s">
        <v>12</v>
      </c>
      <c r="D33" s="1276" t="s">
        <v>1506</v>
      </c>
      <c r="E33" s="875" t="s">
        <v>13</v>
      </c>
      <c r="F33" s="1873">
        <v>50</v>
      </c>
      <c r="G33" s="967"/>
      <c r="H33" s="1008"/>
      <c r="I33" s="1063"/>
      <c r="J33" s="613"/>
      <c r="K33" s="6"/>
      <c r="L33" s="613"/>
      <c r="M33" s="6"/>
      <c r="N33" s="622"/>
      <c r="O33" s="982"/>
      <c r="P33" s="622"/>
      <c r="Q33" s="1063"/>
      <c r="R33" s="613"/>
      <c r="S33" s="64"/>
      <c r="T33" s="1209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</row>
    <row r="34" spans="1:44" s="224" customFormat="1" ht="15" customHeight="1" x14ac:dyDescent="0.25">
      <c r="A34" s="247">
        <v>45419</v>
      </c>
      <c r="B34" s="882" t="s">
        <v>6208</v>
      </c>
      <c r="C34" s="879" t="s">
        <v>12</v>
      </c>
      <c r="D34" s="879"/>
      <c r="E34" s="875" t="s">
        <v>13</v>
      </c>
      <c r="F34" s="780">
        <v>900</v>
      </c>
      <c r="G34" s="982"/>
      <c r="H34" s="1008"/>
      <c r="I34" s="1063"/>
      <c r="J34" s="622"/>
      <c r="K34" s="982">
        <v>900</v>
      </c>
      <c r="L34" s="622"/>
      <c r="M34" s="982"/>
      <c r="N34" s="622"/>
      <c r="O34" s="982"/>
      <c r="P34" s="622"/>
      <c r="Q34" s="1063"/>
      <c r="R34" s="622"/>
      <c r="S34" s="982"/>
      <c r="T34" s="861"/>
    </row>
    <row r="35" spans="1:44" s="224" customFormat="1" ht="15" customHeight="1" x14ac:dyDescent="0.25">
      <c r="A35" s="247">
        <v>45419</v>
      </c>
      <c r="B35" s="882" t="s">
        <v>6214</v>
      </c>
      <c r="C35" s="879" t="s">
        <v>12</v>
      </c>
      <c r="D35" s="879"/>
      <c r="E35" s="875" t="s">
        <v>13</v>
      </c>
      <c r="F35" s="780"/>
      <c r="G35" s="982"/>
      <c r="H35" s="95"/>
      <c r="I35" s="1064"/>
      <c r="J35" s="622"/>
      <c r="K35" s="982">
        <v>650</v>
      </c>
      <c r="L35" s="622"/>
      <c r="M35" s="982"/>
      <c r="N35" s="622"/>
      <c r="O35" s="982"/>
      <c r="P35" s="622"/>
      <c r="Q35" s="1063"/>
      <c r="R35" s="622"/>
      <c r="S35" s="982"/>
      <c r="T35" s="861"/>
    </row>
    <row r="36" spans="1:44" s="224" customFormat="1" x14ac:dyDescent="0.25">
      <c r="A36" s="247">
        <v>45419</v>
      </c>
      <c r="B36" s="882" t="s">
        <v>32</v>
      </c>
      <c r="C36" s="879" t="s">
        <v>12</v>
      </c>
      <c r="D36" s="879" t="s">
        <v>1485</v>
      </c>
      <c r="E36" s="875" t="s">
        <v>13</v>
      </c>
      <c r="F36" s="1279">
        <v>22</v>
      </c>
      <c r="G36" s="982"/>
      <c r="H36" s="1008"/>
      <c r="I36" s="1063"/>
      <c r="J36" s="622"/>
      <c r="K36" s="982"/>
      <c r="L36" s="622"/>
      <c r="M36" s="982"/>
      <c r="N36" s="622"/>
      <c r="O36" s="982"/>
      <c r="P36" s="622"/>
      <c r="Q36" s="1063"/>
      <c r="R36" s="622"/>
      <c r="S36" s="982"/>
      <c r="T36" s="861"/>
      <c r="V36" s="878"/>
    </row>
    <row r="37" spans="1:44" s="224" customFormat="1" ht="15" customHeight="1" x14ac:dyDescent="0.25">
      <c r="A37" s="247">
        <v>45419</v>
      </c>
      <c r="B37" s="882" t="s">
        <v>14</v>
      </c>
      <c r="C37" s="879" t="s">
        <v>12</v>
      </c>
      <c r="D37" s="879" t="s">
        <v>1486</v>
      </c>
      <c r="E37" s="871" t="s">
        <v>13</v>
      </c>
      <c r="F37" s="780">
        <v>9.68</v>
      </c>
      <c r="G37" s="982"/>
      <c r="H37" s="95"/>
      <c r="I37" s="1064"/>
      <c r="J37" s="2013"/>
      <c r="K37" s="1207"/>
      <c r="L37" s="622"/>
      <c r="M37" s="982"/>
      <c r="N37" s="622"/>
      <c r="O37" s="982"/>
      <c r="P37" s="622"/>
      <c r="Q37" s="1063"/>
      <c r="R37" s="622"/>
      <c r="S37" s="982"/>
      <c r="T37" s="861"/>
    </row>
    <row r="38" spans="1:44" s="224" customFormat="1" ht="15" customHeight="1" x14ac:dyDescent="0.25">
      <c r="A38" s="247">
        <v>45419</v>
      </c>
      <c r="B38" s="1275" t="s">
        <v>1331</v>
      </c>
      <c r="C38" s="879" t="s">
        <v>12</v>
      </c>
      <c r="D38" s="1276" t="s">
        <v>2157</v>
      </c>
      <c r="E38" s="875" t="s">
        <v>13</v>
      </c>
      <c r="F38" s="780">
        <v>80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1063"/>
      <c r="R38" s="880"/>
      <c r="S38" s="1033"/>
      <c r="T38" s="927"/>
      <c r="V38" s="878"/>
    </row>
    <row r="39" spans="1:44" s="224" customFormat="1" ht="15" customHeight="1" x14ac:dyDescent="0.25">
      <c r="A39" s="247">
        <v>45419</v>
      </c>
      <c r="B39" s="882" t="s">
        <v>6258</v>
      </c>
      <c r="C39" s="879" t="s">
        <v>12</v>
      </c>
      <c r="D39" s="879"/>
      <c r="E39" s="875"/>
      <c r="F39" s="780"/>
      <c r="G39" s="982">
        <v>133.19999999999999</v>
      </c>
      <c r="H39" s="1008"/>
      <c r="I39" s="1063"/>
      <c r="J39" s="613">
        <v>133.19999999999999</v>
      </c>
      <c r="K39" s="982"/>
      <c r="L39" s="622"/>
      <c r="M39" s="982"/>
      <c r="N39" s="622"/>
      <c r="O39" s="982"/>
      <c r="P39" s="622"/>
      <c r="Q39" s="1063"/>
      <c r="R39" s="622"/>
      <c r="S39" s="982"/>
      <c r="T39" s="861"/>
    </row>
    <row r="40" spans="1:44" s="224" customFormat="1" ht="15" customHeight="1" x14ac:dyDescent="0.25">
      <c r="A40" s="247">
        <v>45419</v>
      </c>
      <c r="B40" s="1275" t="s">
        <v>6417</v>
      </c>
      <c r="C40" s="1276" t="s">
        <v>12</v>
      </c>
      <c r="D40" s="1276" t="s">
        <v>1524</v>
      </c>
      <c r="E40" s="1286" t="s">
        <v>13</v>
      </c>
      <c r="F40" s="613">
        <v>133.19999999999999</v>
      </c>
      <c r="G40" s="967"/>
      <c r="H40" s="1008"/>
      <c r="I40" s="1063"/>
      <c r="J40" s="613"/>
      <c r="K40" s="6"/>
      <c r="L40" s="613"/>
      <c r="M40" s="6"/>
      <c r="N40" s="622"/>
      <c r="O40" s="982"/>
      <c r="P40" s="622"/>
      <c r="Q40" s="1063"/>
      <c r="R40" s="613"/>
      <c r="S40" s="162"/>
      <c r="T40" s="2126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s="224" customFormat="1" ht="15" customHeight="1" x14ac:dyDescent="0.25">
      <c r="A41" s="247">
        <v>45420</v>
      </c>
      <c r="B41" s="882" t="s">
        <v>6258</v>
      </c>
      <c r="C41" s="879" t="s">
        <v>12</v>
      </c>
      <c r="D41" s="879"/>
      <c r="E41" s="875"/>
      <c r="F41" s="780"/>
      <c r="G41" s="982">
        <v>135.5</v>
      </c>
      <c r="H41" s="1008"/>
      <c r="I41" s="1063"/>
      <c r="J41" s="613">
        <v>135.5</v>
      </c>
      <c r="K41" s="982"/>
      <c r="L41" s="622"/>
      <c r="M41" s="982"/>
      <c r="N41" s="622"/>
      <c r="O41" s="982"/>
      <c r="P41" s="622"/>
      <c r="Q41" s="1063"/>
      <c r="R41" s="622"/>
      <c r="S41" s="982"/>
      <c r="T41" s="861"/>
    </row>
    <row r="42" spans="1:44" s="224" customFormat="1" ht="15" customHeight="1" x14ac:dyDescent="0.25">
      <c r="A42" s="247">
        <v>45420</v>
      </c>
      <c r="B42" s="1275" t="s">
        <v>6421</v>
      </c>
      <c r="C42" s="1276" t="s">
        <v>12</v>
      </c>
      <c r="D42" s="1276" t="s">
        <v>1524</v>
      </c>
      <c r="E42" s="1286" t="s">
        <v>13</v>
      </c>
      <c r="F42" s="613">
        <v>135.5</v>
      </c>
      <c r="G42" s="967"/>
      <c r="H42" s="1008"/>
      <c r="I42" s="1063"/>
      <c r="J42" s="613"/>
      <c r="K42" s="6"/>
      <c r="L42" s="613"/>
      <c r="M42" s="6"/>
      <c r="N42" s="622"/>
      <c r="O42" s="982"/>
      <c r="P42" s="622"/>
      <c r="Q42" s="1063"/>
      <c r="R42" s="613"/>
      <c r="S42" s="162"/>
      <c r="T42" s="2126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</row>
    <row r="43" spans="1:44" s="224" customFormat="1" ht="15" customHeight="1" x14ac:dyDescent="0.25">
      <c r="A43" s="247">
        <v>45421</v>
      </c>
      <c r="B43" s="882" t="s">
        <v>6258</v>
      </c>
      <c r="C43" s="879" t="s">
        <v>12</v>
      </c>
      <c r="D43" s="879"/>
      <c r="E43" s="875"/>
      <c r="F43" s="780"/>
      <c r="G43" s="982">
        <v>395.5</v>
      </c>
      <c r="H43" s="1008"/>
      <c r="I43" s="1063"/>
      <c r="J43" s="613">
        <v>395.5</v>
      </c>
      <c r="K43" s="982"/>
      <c r="L43" s="622"/>
      <c r="M43" s="982"/>
      <c r="N43" s="622"/>
      <c r="O43" s="982"/>
      <c r="P43" s="622"/>
      <c r="Q43" s="1063"/>
      <c r="R43" s="622"/>
      <c r="S43" s="982"/>
      <c r="T43" s="861"/>
    </row>
    <row r="44" spans="1:44" s="224" customFormat="1" ht="15" customHeight="1" x14ac:dyDescent="0.25">
      <c r="A44" s="247">
        <v>45421</v>
      </c>
      <c r="B44" s="1275" t="s">
        <v>6423</v>
      </c>
      <c r="C44" s="1276" t="s">
        <v>12</v>
      </c>
      <c r="D44" s="1276" t="s">
        <v>1524</v>
      </c>
      <c r="E44" s="1286" t="s">
        <v>13</v>
      </c>
      <c r="F44" s="613">
        <v>395.5</v>
      </c>
      <c r="G44" s="967"/>
      <c r="H44" s="1008"/>
      <c r="I44" s="1063"/>
      <c r="J44" s="613"/>
      <c r="K44" s="6"/>
      <c r="L44" s="613"/>
      <c r="M44" s="6"/>
      <c r="N44" s="622"/>
      <c r="O44" s="982"/>
      <c r="P44" s="622"/>
      <c r="Q44" s="1063"/>
      <c r="R44" s="613"/>
      <c r="S44" s="162"/>
      <c r="T44" s="2126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x14ac:dyDescent="0.25">
      <c r="A45" s="247">
        <v>45421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1279">
        <v>22</v>
      </c>
      <c r="G45" s="982"/>
      <c r="H45" s="1008"/>
      <c r="I45" s="1063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861"/>
      <c r="V45" s="878"/>
    </row>
    <row r="46" spans="1:44" s="224" customFormat="1" ht="15" customHeight="1" x14ac:dyDescent="0.25">
      <c r="A46" s="247">
        <v>45421</v>
      </c>
      <c r="B46" s="882" t="s">
        <v>81</v>
      </c>
      <c r="C46" s="879" t="s">
        <v>12</v>
      </c>
      <c r="D46" s="879" t="s">
        <v>1493</v>
      </c>
      <c r="E46" s="871" t="s">
        <v>13</v>
      </c>
      <c r="F46" s="780">
        <v>6.5</v>
      </c>
      <c r="G46" s="982"/>
      <c r="H46" s="95"/>
      <c r="I46" s="1064"/>
      <c r="J46" s="2013"/>
      <c r="K46" s="1207"/>
      <c r="L46" s="622"/>
      <c r="M46" s="982"/>
      <c r="N46" s="622"/>
      <c r="O46" s="982"/>
      <c r="P46" s="622"/>
      <c r="Q46" s="1063"/>
      <c r="R46" s="622"/>
      <c r="S46" s="982"/>
      <c r="T46" s="861"/>
    </row>
    <row r="47" spans="1:44" s="224" customFormat="1" ht="15" customHeight="1" x14ac:dyDescent="0.25">
      <c r="A47" s="247">
        <v>45421</v>
      </c>
      <c r="B47" s="882" t="s">
        <v>6258</v>
      </c>
      <c r="C47" s="879" t="s">
        <v>12</v>
      </c>
      <c r="D47" s="879"/>
      <c r="E47" s="875"/>
      <c r="F47" s="780"/>
      <c r="G47" s="982">
        <v>1000</v>
      </c>
      <c r="H47" s="95"/>
      <c r="I47" s="1064"/>
      <c r="J47" s="613">
        <v>1000</v>
      </c>
      <c r="K47" s="982"/>
      <c r="L47" s="622"/>
      <c r="M47" s="982"/>
      <c r="N47" s="622"/>
      <c r="O47" s="982"/>
      <c r="P47" s="622"/>
      <c r="Q47" s="1063"/>
      <c r="R47" s="622"/>
      <c r="S47" s="982"/>
      <c r="T47" s="861"/>
    </row>
    <row r="48" spans="1:44" s="224" customFormat="1" ht="15" customHeight="1" x14ac:dyDescent="0.25">
      <c r="A48" s="247">
        <v>45421</v>
      </c>
      <c r="B48" s="1275" t="s">
        <v>6426</v>
      </c>
      <c r="C48" s="1276" t="s">
        <v>12</v>
      </c>
      <c r="D48" s="1276" t="s">
        <v>1524</v>
      </c>
      <c r="E48" s="1286" t="s">
        <v>13</v>
      </c>
      <c r="F48" s="613">
        <v>1000</v>
      </c>
      <c r="G48" s="967"/>
      <c r="H48" s="1008"/>
      <c r="I48" s="1063"/>
      <c r="J48" s="613"/>
      <c r="K48" s="6"/>
      <c r="L48" s="613"/>
      <c r="M48" s="6"/>
      <c r="N48" s="622"/>
      <c r="O48" s="982"/>
      <c r="P48" s="622"/>
      <c r="Q48" s="1063"/>
      <c r="R48" s="613"/>
      <c r="S48" s="64"/>
      <c r="T48" s="2062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</row>
    <row r="49" spans="1:44" s="224" customFormat="1" ht="15" customHeight="1" x14ac:dyDescent="0.25">
      <c r="A49" s="247">
        <v>45421</v>
      </c>
      <c r="B49" s="882" t="s">
        <v>14</v>
      </c>
      <c r="C49" s="879" t="s">
        <v>12</v>
      </c>
      <c r="D49" s="879" t="s">
        <v>1486</v>
      </c>
      <c r="E49" s="871" t="s">
        <v>13</v>
      </c>
      <c r="F49" s="780">
        <v>3.85</v>
      </c>
      <c r="G49" s="982"/>
      <c r="H49" s="95"/>
      <c r="I49" s="1064"/>
      <c r="J49" s="2013"/>
      <c r="K49" s="1207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ht="15" customHeight="1" x14ac:dyDescent="0.25">
      <c r="A50" s="247">
        <v>45422</v>
      </c>
      <c r="B50" s="882" t="s">
        <v>390</v>
      </c>
      <c r="C50" s="879" t="s">
        <v>12</v>
      </c>
      <c r="D50" s="879"/>
      <c r="E50" s="875"/>
      <c r="F50" s="780"/>
      <c r="G50" s="982">
        <v>732.65</v>
      </c>
      <c r="H50" s="95">
        <v>732.65</v>
      </c>
      <c r="I50" s="1064"/>
      <c r="J50" s="613"/>
      <c r="K50" s="982"/>
      <c r="L50" s="622"/>
      <c r="M50" s="982"/>
      <c r="N50" s="622"/>
      <c r="O50" s="982"/>
      <c r="P50" s="622"/>
      <c r="Q50" s="1063"/>
      <c r="R50" s="622"/>
      <c r="S50" s="982"/>
      <c r="T50" s="861"/>
    </row>
    <row r="51" spans="1:44" s="224" customFormat="1" ht="15" customHeight="1" x14ac:dyDescent="0.25">
      <c r="A51" s="247">
        <v>45422</v>
      </c>
      <c r="B51" s="882" t="s">
        <v>6208</v>
      </c>
      <c r="C51" s="879" t="s">
        <v>12</v>
      </c>
      <c r="D51" s="879"/>
      <c r="E51" s="875" t="s">
        <v>13</v>
      </c>
      <c r="F51" s="780">
        <v>732.65</v>
      </c>
      <c r="G51" s="982"/>
      <c r="H51" s="1008"/>
      <c r="I51" s="1063"/>
      <c r="J51" s="622"/>
      <c r="K51" s="982">
        <v>732.65</v>
      </c>
      <c r="L51" s="622"/>
      <c r="M51" s="982"/>
      <c r="N51" s="622"/>
      <c r="O51" s="982"/>
      <c r="P51" s="622"/>
      <c r="Q51" s="1063"/>
      <c r="R51" s="622"/>
      <c r="S51" s="982"/>
      <c r="T51" s="861"/>
    </row>
    <row r="52" spans="1:44" s="224" customFormat="1" ht="15" customHeight="1" x14ac:dyDescent="0.25">
      <c r="A52" s="247">
        <v>45422</v>
      </c>
      <c r="B52" s="882" t="s">
        <v>6258</v>
      </c>
      <c r="C52" s="879" t="s">
        <v>12</v>
      </c>
      <c r="D52" s="879"/>
      <c r="E52" s="875"/>
      <c r="F52" s="780"/>
      <c r="G52" s="982">
        <v>66.599999999999994</v>
      </c>
      <c r="H52" s="1008"/>
      <c r="I52" s="1063"/>
      <c r="J52" s="613">
        <v>66.599999999999994</v>
      </c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47">
        <v>45422</v>
      </c>
      <c r="B53" s="1275" t="s">
        <v>6427</v>
      </c>
      <c r="C53" s="1276" t="s">
        <v>12</v>
      </c>
      <c r="D53" s="1276" t="s">
        <v>1524</v>
      </c>
      <c r="E53" s="1286" t="s">
        <v>13</v>
      </c>
      <c r="F53" s="613">
        <v>66.599999999999994</v>
      </c>
      <c r="G53" s="967"/>
      <c r="H53" s="1008"/>
      <c r="I53" s="1063"/>
      <c r="J53" s="613"/>
      <c r="K53" s="6"/>
      <c r="L53" s="613"/>
      <c r="M53" s="6"/>
      <c r="N53" s="622"/>
      <c r="O53" s="982"/>
      <c r="P53" s="622"/>
      <c r="Q53" s="1063"/>
      <c r="R53" s="613"/>
      <c r="S53" s="162"/>
      <c r="T53" s="2126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</row>
    <row r="54" spans="1:44" s="224" customFormat="1" x14ac:dyDescent="0.25">
      <c r="A54" s="247">
        <v>45422</v>
      </c>
      <c r="B54" s="882" t="s">
        <v>6430</v>
      </c>
      <c r="C54" s="879" t="s">
        <v>12</v>
      </c>
      <c r="D54" s="879" t="s">
        <v>1491</v>
      </c>
      <c r="E54" s="480" t="s">
        <v>13</v>
      </c>
      <c r="F54" s="780">
        <v>59</v>
      </c>
      <c r="G54" s="982"/>
      <c r="H54" s="1008"/>
      <c r="I54" s="1063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861"/>
      <c r="V54" s="878"/>
    </row>
    <row r="55" spans="1:44" s="224" customFormat="1" x14ac:dyDescent="0.25">
      <c r="A55" s="247">
        <v>45422</v>
      </c>
      <c r="B55" s="882" t="s">
        <v>6431</v>
      </c>
      <c r="C55" s="879" t="s">
        <v>12</v>
      </c>
      <c r="D55" s="879" t="s">
        <v>1489</v>
      </c>
      <c r="E55" s="480" t="s">
        <v>13</v>
      </c>
      <c r="F55" s="780">
        <v>59</v>
      </c>
      <c r="G55" s="982"/>
      <c r="H55" s="1008"/>
      <c r="I55" s="1063"/>
      <c r="J55" s="622"/>
      <c r="K55" s="982"/>
      <c r="L55" s="622"/>
      <c r="M55" s="982"/>
      <c r="N55" s="622"/>
      <c r="O55" s="982"/>
      <c r="P55" s="622"/>
      <c r="Q55" s="1063"/>
      <c r="R55" s="622"/>
      <c r="S55" s="982"/>
      <c r="T55" s="861"/>
      <c r="V55" s="878"/>
    </row>
    <row r="56" spans="1:44" s="224" customFormat="1" x14ac:dyDescent="0.25">
      <c r="A56" s="247">
        <v>45422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1279">
        <v>22</v>
      </c>
      <c r="G56" s="982"/>
      <c r="H56" s="1008"/>
      <c r="I56" s="1063"/>
      <c r="J56" s="2013"/>
      <c r="K56" s="1207"/>
      <c r="L56" s="622"/>
      <c r="M56" s="982"/>
      <c r="N56" s="622"/>
      <c r="O56" s="982"/>
      <c r="P56" s="622"/>
      <c r="Q56" s="1063"/>
      <c r="R56" s="622"/>
      <c r="S56" s="982"/>
      <c r="T56" s="861"/>
      <c r="V56" s="878"/>
    </row>
    <row r="57" spans="1:44" s="224" customFormat="1" ht="15" customHeight="1" x14ac:dyDescent="0.25">
      <c r="A57" s="247">
        <v>45422</v>
      </c>
      <c r="B57" s="1275" t="s">
        <v>443</v>
      </c>
      <c r="C57" s="1276" t="s">
        <v>12</v>
      </c>
      <c r="D57" s="1276" t="s">
        <v>1493</v>
      </c>
      <c r="E57" s="1286" t="s">
        <v>13</v>
      </c>
      <c r="F57" s="613">
        <v>23.68</v>
      </c>
      <c r="G57" s="967"/>
      <c r="H57" s="1008"/>
      <c r="I57" s="1063"/>
      <c r="J57" s="622"/>
      <c r="K57" s="982"/>
      <c r="L57" s="613"/>
      <c r="M57" s="6"/>
      <c r="N57" s="622"/>
      <c r="O57" s="982"/>
      <c r="P57" s="622"/>
      <c r="Q57" s="1063"/>
      <c r="R57" s="613"/>
      <c r="S57" s="64"/>
      <c r="T57" s="1209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 s="224" customFormat="1" ht="15" customHeight="1" x14ac:dyDescent="0.25">
      <c r="A58" s="247">
        <v>45423</v>
      </c>
      <c r="B58" s="882" t="s">
        <v>14</v>
      </c>
      <c r="C58" s="879" t="s">
        <v>12</v>
      </c>
      <c r="D58" s="879" t="s">
        <v>1486</v>
      </c>
      <c r="E58" s="871" t="s">
        <v>13</v>
      </c>
      <c r="F58" s="780">
        <v>11.49</v>
      </c>
      <c r="G58" s="982"/>
      <c r="H58" s="95"/>
      <c r="I58" s="1064"/>
      <c r="J58" s="2013"/>
      <c r="K58" s="1207"/>
      <c r="L58" s="622"/>
      <c r="M58" s="982"/>
      <c r="N58" s="622"/>
      <c r="O58" s="982"/>
      <c r="P58" s="622"/>
      <c r="Q58" s="1063"/>
      <c r="R58" s="622"/>
      <c r="S58" s="982"/>
      <c r="T58" s="861"/>
    </row>
    <row r="59" spans="1:44" s="224" customFormat="1" ht="15" customHeight="1" x14ac:dyDescent="0.25">
      <c r="A59" s="247">
        <v>45423</v>
      </c>
      <c r="B59" s="364" t="s">
        <v>82</v>
      </c>
      <c r="C59" s="350" t="s">
        <v>12</v>
      </c>
      <c r="D59" s="350" t="s">
        <v>1493</v>
      </c>
      <c r="E59" s="875" t="s">
        <v>13</v>
      </c>
      <c r="F59" s="780">
        <v>30.98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927"/>
      <c r="U59" s="927"/>
      <c r="V59" s="878"/>
    </row>
    <row r="60" spans="1:44" s="224" customFormat="1" ht="15" customHeight="1" x14ac:dyDescent="0.25">
      <c r="A60" s="247">
        <v>45424</v>
      </c>
      <c r="B60" s="882" t="s">
        <v>14</v>
      </c>
      <c r="C60" s="879" t="s">
        <v>12</v>
      </c>
      <c r="D60" s="879" t="s">
        <v>1486</v>
      </c>
      <c r="E60" s="871" t="s">
        <v>13</v>
      </c>
      <c r="F60" s="780">
        <v>7.77</v>
      </c>
      <c r="G60" s="982"/>
      <c r="H60" s="95"/>
      <c r="I60" s="1064"/>
      <c r="J60" s="2013"/>
      <c r="K60" s="1207"/>
      <c r="L60" s="622"/>
      <c r="M60" s="982"/>
      <c r="N60" s="622"/>
      <c r="O60" s="982"/>
      <c r="P60" s="622"/>
      <c r="Q60" s="1063"/>
      <c r="R60" s="622"/>
      <c r="S60" s="982"/>
      <c r="T60" s="861"/>
    </row>
    <row r="61" spans="1:44" s="224" customFormat="1" ht="15" customHeight="1" x14ac:dyDescent="0.25">
      <c r="A61" s="247">
        <v>45424</v>
      </c>
      <c r="B61" s="1275" t="s">
        <v>1331</v>
      </c>
      <c r="C61" s="879" t="s">
        <v>19</v>
      </c>
      <c r="D61" s="1276" t="s">
        <v>2157</v>
      </c>
      <c r="E61" s="875" t="s">
        <v>13</v>
      </c>
      <c r="F61" s="780">
        <v>90</v>
      </c>
      <c r="G61" s="982"/>
      <c r="H61" s="622"/>
      <c r="I61" s="982"/>
      <c r="J61" s="622"/>
      <c r="K61" s="982"/>
      <c r="L61" s="622"/>
      <c r="M61" s="982"/>
      <c r="N61" s="622"/>
      <c r="O61" s="982"/>
      <c r="P61" s="622"/>
      <c r="Q61" s="1063"/>
      <c r="R61" s="880"/>
      <c r="S61" s="1033"/>
      <c r="T61" s="927"/>
      <c r="V61" s="878"/>
    </row>
    <row r="62" spans="1:44" s="224" customFormat="1" ht="15" customHeight="1" x14ac:dyDescent="0.25">
      <c r="A62" s="247">
        <v>45424</v>
      </c>
      <c r="B62" s="1275" t="s">
        <v>6362</v>
      </c>
      <c r="C62" s="1276" t="s">
        <v>12</v>
      </c>
      <c r="D62" s="1276" t="s">
        <v>1489</v>
      </c>
      <c r="E62" s="1286" t="s">
        <v>13</v>
      </c>
      <c r="F62" s="613">
        <v>34.9</v>
      </c>
      <c r="G62" s="967"/>
      <c r="H62" s="1008"/>
      <c r="I62" s="1063"/>
      <c r="J62" s="1116"/>
      <c r="K62" s="1207"/>
      <c r="L62" s="613"/>
      <c r="M62" s="6"/>
      <c r="N62" s="622"/>
      <c r="O62" s="982"/>
      <c r="P62" s="622"/>
      <c r="Q62" s="1063"/>
      <c r="R62" s="613"/>
      <c r="S62" s="64"/>
      <c r="T62" s="1209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x14ac:dyDescent="0.25">
      <c r="A63" s="247">
        <v>45424</v>
      </c>
      <c r="B63" s="882" t="s">
        <v>32</v>
      </c>
      <c r="C63" s="879" t="s">
        <v>12</v>
      </c>
      <c r="D63" s="879" t="s">
        <v>1485</v>
      </c>
      <c r="E63" s="875" t="s">
        <v>13</v>
      </c>
      <c r="F63" s="1279">
        <v>19.899999999999999</v>
      </c>
      <c r="G63" s="982"/>
      <c r="H63" s="1008"/>
      <c r="I63" s="1063"/>
      <c r="J63" s="2013"/>
      <c r="K63" s="1207"/>
      <c r="L63" s="622"/>
      <c r="M63" s="982"/>
      <c r="N63" s="622"/>
      <c r="O63" s="982"/>
      <c r="P63" s="622"/>
      <c r="Q63" s="1063"/>
      <c r="R63" s="622"/>
      <c r="S63" s="982"/>
      <c r="T63" s="861"/>
      <c r="V63" s="878"/>
    </row>
    <row r="64" spans="1:44" s="224" customFormat="1" ht="15" customHeight="1" x14ac:dyDescent="0.25">
      <c r="A64" s="247">
        <v>45424</v>
      </c>
      <c r="B64" s="1275" t="s">
        <v>134</v>
      </c>
      <c r="C64" s="1276" t="s">
        <v>12</v>
      </c>
      <c r="D64" s="1276" t="s">
        <v>1493</v>
      </c>
      <c r="E64" s="1286" t="s">
        <v>13</v>
      </c>
      <c r="F64" s="613">
        <v>13.9</v>
      </c>
      <c r="G64" s="967"/>
      <c r="H64" s="1008"/>
      <c r="I64" s="1063"/>
      <c r="J64" s="1116"/>
      <c r="K64" s="1207"/>
      <c r="L64" s="613"/>
      <c r="M64" s="6"/>
      <c r="N64" s="622"/>
      <c r="O64" s="982"/>
      <c r="P64" s="622"/>
      <c r="Q64" s="1063"/>
      <c r="R64" s="613"/>
      <c r="S64" s="64"/>
      <c r="T64" s="1209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 s="224" customFormat="1" x14ac:dyDescent="0.25">
      <c r="A65" s="247">
        <v>45425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1279">
        <v>22</v>
      </c>
      <c r="G65" s="982"/>
      <c r="H65" s="1008"/>
      <c r="I65" s="1063"/>
      <c r="J65" s="2013"/>
      <c r="K65" s="1207"/>
      <c r="L65" s="622"/>
      <c r="M65" s="982"/>
      <c r="N65" s="622"/>
      <c r="O65" s="982"/>
      <c r="P65" s="622"/>
      <c r="Q65" s="1063"/>
      <c r="R65" s="622"/>
      <c r="S65" s="982"/>
      <c r="T65" s="861"/>
      <c r="V65" s="878"/>
    </row>
    <row r="66" spans="1:44" s="224" customFormat="1" ht="15" customHeight="1" x14ac:dyDescent="0.25">
      <c r="A66" s="247">
        <v>45425</v>
      </c>
      <c r="B66" s="882" t="s">
        <v>6258</v>
      </c>
      <c r="C66" s="879" t="s">
        <v>12</v>
      </c>
      <c r="D66" s="879"/>
      <c r="E66" s="875"/>
      <c r="F66" s="780"/>
      <c r="G66" s="982">
        <v>62</v>
      </c>
      <c r="H66" s="1008"/>
      <c r="I66" s="1063"/>
      <c r="J66" s="613">
        <v>62</v>
      </c>
      <c r="K66" s="982"/>
      <c r="L66" s="622"/>
      <c r="M66" s="982"/>
      <c r="N66" s="622"/>
      <c r="O66" s="982"/>
      <c r="P66" s="622"/>
      <c r="Q66" s="1063"/>
      <c r="R66" s="622"/>
      <c r="S66" s="982"/>
      <c r="T66" s="861"/>
    </row>
    <row r="67" spans="1:44" s="224" customFormat="1" ht="15" customHeight="1" x14ac:dyDescent="0.25">
      <c r="A67" s="247">
        <v>45425</v>
      </c>
      <c r="B67" s="1275" t="s">
        <v>6446</v>
      </c>
      <c r="C67" s="1276" t="s">
        <v>12</v>
      </c>
      <c r="D67" s="1276" t="s">
        <v>1524</v>
      </c>
      <c r="E67" s="1286" t="s">
        <v>13</v>
      </c>
      <c r="F67" s="613">
        <v>62</v>
      </c>
      <c r="G67" s="967"/>
      <c r="H67" s="1008"/>
      <c r="I67" s="1063"/>
      <c r="J67" s="613"/>
      <c r="K67" s="6"/>
      <c r="L67" s="613"/>
      <c r="M67" s="6"/>
      <c r="N67" s="622"/>
      <c r="O67" s="982"/>
      <c r="P67" s="622"/>
      <c r="Q67" s="1063"/>
      <c r="R67" s="613"/>
      <c r="S67" s="162"/>
      <c r="T67" s="2126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 s="224" customFormat="1" ht="15" customHeight="1" x14ac:dyDescent="0.25">
      <c r="A68" s="247">
        <v>45425</v>
      </c>
      <c r="B68" s="882" t="s">
        <v>6329</v>
      </c>
      <c r="C68" s="879" t="s">
        <v>12</v>
      </c>
      <c r="D68" s="879"/>
      <c r="E68" s="875" t="s">
        <v>25</v>
      </c>
      <c r="F68" s="780"/>
      <c r="G68" s="982">
        <v>100</v>
      </c>
      <c r="H68" s="622"/>
      <c r="I68" s="982"/>
      <c r="J68" s="622"/>
      <c r="K68" s="982"/>
      <c r="L68" s="622"/>
      <c r="M68" s="982"/>
      <c r="N68" s="622"/>
      <c r="O68" s="982"/>
      <c r="P68" s="880"/>
      <c r="Q68" s="1525"/>
      <c r="R68" s="613"/>
      <c r="S68" s="162"/>
      <c r="T68" s="1956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x14ac:dyDescent="0.25">
      <c r="A69" s="247">
        <v>45426</v>
      </c>
      <c r="B69" s="882" t="s">
        <v>32</v>
      </c>
      <c r="C69" s="879" t="s">
        <v>12</v>
      </c>
      <c r="D69" s="879" t="s">
        <v>1485</v>
      </c>
      <c r="E69" s="875" t="s">
        <v>13</v>
      </c>
      <c r="F69" s="1279">
        <v>22</v>
      </c>
      <c r="G69" s="982"/>
      <c r="H69" s="1008"/>
      <c r="I69" s="1063"/>
      <c r="J69" s="2013"/>
      <c r="K69" s="1207"/>
      <c r="L69" s="622"/>
      <c r="M69" s="982"/>
      <c r="N69" s="622"/>
      <c r="O69" s="982"/>
      <c r="P69" s="622"/>
      <c r="Q69" s="1063"/>
      <c r="R69" s="622"/>
      <c r="S69" s="982"/>
      <c r="T69" s="861"/>
      <c r="V69" s="878"/>
    </row>
    <row r="70" spans="1:44" s="224" customFormat="1" ht="15" customHeight="1" x14ac:dyDescent="0.25">
      <c r="A70" s="247">
        <v>45426</v>
      </c>
      <c r="B70" s="364" t="s">
        <v>2629</v>
      </c>
      <c r="C70" s="350" t="s">
        <v>19</v>
      </c>
      <c r="D70" s="350" t="s">
        <v>1489</v>
      </c>
      <c r="E70" s="875" t="s">
        <v>13</v>
      </c>
      <c r="F70" s="780">
        <v>127.82</v>
      </c>
      <c r="G70" s="982"/>
      <c r="H70" s="622"/>
      <c r="I70" s="982"/>
      <c r="J70" s="1116"/>
      <c r="K70" s="1207"/>
      <c r="L70" s="622"/>
      <c r="M70" s="982"/>
      <c r="N70" s="853"/>
      <c r="O70" s="982"/>
      <c r="P70" s="622"/>
      <c r="Q70" s="1063"/>
      <c r="R70" s="622"/>
      <c r="S70" s="982"/>
      <c r="T70" s="927"/>
      <c r="U70" s="927"/>
      <c r="V70" s="878"/>
    </row>
    <row r="71" spans="1:44" s="224" customFormat="1" x14ac:dyDescent="0.25">
      <c r="A71" s="247">
        <v>45427</v>
      </c>
      <c r="B71" s="882" t="s">
        <v>32</v>
      </c>
      <c r="C71" s="879" t="s">
        <v>12</v>
      </c>
      <c r="D71" s="879" t="s">
        <v>1485</v>
      </c>
      <c r="E71" s="875" t="s">
        <v>13</v>
      </c>
      <c r="F71" s="1279">
        <v>22</v>
      </c>
      <c r="G71" s="982"/>
      <c r="H71" s="1008"/>
      <c r="I71" s="1063"/>
      <c r="J71" s="2013"/>
      <c r="K71" s="1207"/>
      <c r="L71" s="622"/>
      <c r="M71" s="982"/>
      <c r="N71" s="622"/>
      <c r="O71" s="982"/>
      <c r="P71" s="622"/>
      <c r="Q71" s="1063"/>
      <c r="R71" s="622"/>
      <c r="S71" s="982"/>
      <c r="T71" s="861"/>
      <c r="V71" s="878"/>
    </row>
    <row r="72" spans="1:44" s="224" customFormat="1" ht="15" customHeight="1" x14ac:dyDescent="0.25">
      <c r="A72" s="247">
        <v>45427</v>
      </c>
      <c r="B72" s="882" t="s">
        <v>14</v>
      </c>
      <c r="C72" s="879" t="s">
        <v>12</v>
      </c>
      <c r="D72" s="879" t="s">
        <v>1486</v>
      </c>
      <c r="E72" s="871" t="s">
        <v>13</v>
      </c>
      <c r="F72" s="613">
        <v>10.119999999999999</v>
      </c>
      <c r="G72" s="967"/>
      <c r="H72" s="1008"/>
      <c r="I72" s="1063"/>
      <c r="J72" s="622"/>
      <c r="K72" s="982"/>
      <c r="L72" s="1116"/>
      <c r="M72" s="1207"/>
      <c r="N72" s="1968"/>
      <c r="O72" s="1033"/>
      <c r="P72" s="880"/>
      <c r="Q72" s="1525"/>
      <c r="R72" s="613"/>
      <c r="S72" s="162"/>
      <c r="T72" s="1209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 s="224" customFormat="1" ht="15" customHeight="1" x14ac:dyDescent="0.25">
      <c r="A73" s="247">
        <v>45428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1279">
        <v>22</v>
      </c>
      <c r="G73" s="967"/>
      <c r="H73" s="1008"/>
      <c r="I73" s="1063"/>
      <c r="J73" s="622"/>
      <c r="K73" s="982"/>
      <c r="L73" s="613"/>
      <c r="M73" s="6"/>
      <c r="N73" s="622"/>
      <c r="O73" s="982"/>
      <c r="P73" s="622"/>
      <c r="Q73" s="1063"/>
      <c r="R73" s="613"/>
      <c r="S73" s="64"/>
      <c r="T73" s="1209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45429</v>
      </c>
      <c r="B74" s="862" t="s">
        <v>3529</v>
      </c>
      <c r="C74" s="879" t="s">
        <v>12</v>
      </c>
      <c r="D74" s="879" t="s">
        <v>1504</v>
      </c>
      <c r="E74" s="871" t="s">
        <v>13</v>
      </c>
      <c r="F74" s="780">
        <v>40</v>
      </c>
      <c r="G74" s="946"/>
      <c r="H74" s="95"/>
      <c r="I74" s="1064"/>
      <c r="J74" s="622"/>
      <c r="K74" s="982"/>
      <c r="L74" s="622"/>
      <c r="M74" s="982"/>
      <c r="N74" s="622"/>
      <c r="O74" s="982"/>
      <c r="P74" s="622"/>
      <c r="Q74" s="1063"/>
      <c r="R74" s="622"/>
      <c r="S74" s="982"/>
      <c r="T74" s="1028"/>
      <c r="W74" s="958"/>
    </row>
    <row r="75" spans="1:44" s="224" customFormat="1" ht="15" customHeight="1" x14ac:dyDescent="0.25">
      <c r="A75" s="247">
        <v>45429</v>
      </c>
      <c r="B75" s="882" t="s">
        <v>6453</v>
      </c>
      <c r="C75" s="879" t="s">
        <v>12</v>
      </c>
      <c r="D75" s="879"/>
      <c r="E75" s="875"/>
      <c r="F75" s="780"/>
      <c r="G75" s="982"/>
      <c r="H75" s="1008"/>
      <c r="I75" s="1063"/>
      <c r="J75" s="622"/>
      <c r="K75" s="982"/>
      <c r="L75" s="622"/>
      <c r="M75" s="982"/>
      <c r="N75" s="622"/>
      <c r="O75" s="982"/>
      <c r="P75" s="622">
        <v>1067.57</v>
      </c>
      <c r="Q75" s="1063"/>
      <c r="R75" s="622"/>
      <c r="S75" s="982"/>
      <c r="T75" s="861"/>
    </row>
    <row r="76" spans="1:44" s="224" customFormat="1" ht="15" customHeight="1" x14ac:dyDescent="0.25">
      <c r="A76" s="247">
        <v>45429</v>
      </c>
      <c r="B76" s="882" t="s">
        <v>6208</v>
      </c>
      <c r="C76" s="879" t="s">
        <v>12</v>
      </c>
      <c r="D76" s="879"/>
      <c r="E76" s="875" t="s">
        <v>13</v>
      </c>
      <c r="F76" s="780"/>
      <c r="G76" s="982"/>
      <c r="H76" s="1008"/>
      <c r="I76" s="1063"/>
      <c r="J76" s="622"/>
      <c r="K76" s="982">
        <v>1067.57</v>
      </c>
      <c r="L76" s="622"/>
      <c r="M76" s="982"/>
      <c r="N76" s="622"/>
      <c r="O76" s="982"/>
      <c r="P76" s="622"/>
      <c r="Q76" s="1063"/>
      <c r="R76" s="622"/>
      <c r="S76" s="982"/>
      <c r="T76" s="861"/>
    </row>
    <row r="77" spans="1:44" s="224" customFormat="1" ht="15" customHeight="1" x14ac:dyDescent="0.25">
      <c r="A77" s="247">
        <v>45429</v>
      </c>
      <c r="B77" s="882" t="s">
        <v>6258</v>
      </c>
      <c r="C77" s="879" t="s">
        <v>12</v>
      </c>
      <c r="D77" s="879"/>
      <c r="E77" s="875"/>
      <c r="F77" s="780"/>
      <c r="G77" s="982">
        <v>700</v>
      </c>
      <c r="H77" s="95"/>
      <c r="I77" s="1064"/>
      <c r="J77" s="613">
        <v>700</v>
      </c>
      <c r="K77" s="982"/>
      <c r="L77" s="622"/>
      <c r="M77" s="982"/>
      <c r="N77" s="622"/>
      <c r="O77" s="982"/>
      <c r="P77" s="622"/>
      <c r="Q77" s="1063"/>
      <c r="R77" s="622"/>
      <c r="S77" s="982"/>
      <c r="T77" s="861"/>
    </row>
    <row r="78" spans="1:44" s="224" customFormat="1" ht="15" customHeight="1" x14ac:dyDescent="0.25">
      <c r="A78" s="247">
        <v>45429</v>
      </c>
      <c r="B78" s="1275" t="s">
        <v>6451</v>
      </c>
      <c r="C78" s="1276" t="s">
        <v>12</v>
      </c>
      <c r="D78" s="1276" t="s">
        <v>1524</v>
      </c>
      <c r="E78" s="1286" t="s">
        <v>13</v>
      </c>
      <c r="F78" s="613">
        <v>700</v>
      </c>
      <c r="G78" s="967"/>
      <c r="H78" s="1008"/>
      <c r="I78" s="1063"/>
      <c r="J78" s="613"/>
      <c r="K78" s="6"/>
      <c r="L78" s="613"/>
      <c r="M78" s="6"/>
      <c r="N78" s="622"/>
      <c r="O78" s="982"/>
      <c r="P78" s="622"/>
      <c r="Q78" s="1063"/>
      <c r="R78" s="613"/>
      <c r="S78" s="64"/>
      <c r="T78" s="2062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 s="224" customFormat="1" ht="15" customHeight="1" x14ac:dyDescent="0.25">
      <c r="A79" s="247">
        <v>45429</v>
      </c>
      <c r="B79" s="364" t="s">
        <v>6452</v>
      </c>
      <c r="C79" s="350" t="s">
        <v>12</v>
      </c>
      <c r="D79" s="350" t="s">
        <v>1524</v>
      </c>
      <c r="E79" s="875" t="s">
        <v>13</v>
      </c>
      <c r="F79" s="780">
        <v>20</v>
      </c>
      <c r="G79" s="982"/>
      <c r="H79" s="622"/>
      <c r="I79" s="982"/>
      <c r="J79" s="622"/>
      <c r="K79" s="982"/>
      <c r="L79" s="622"/>
      <c r="M79" s="982"/>
      <c r="N79" s="853"/>
      <c r="O79" s="982"/>
      <c r="P79" s="622"/>
      <c r="Q79" s="1063"/>
      <c r="R79" s="622"/>
      <c r="S79" s="982"/>
      <c r="T79" s="927"/>
      <c r="U79" s="927"/>
      <c r="V79" s="878"/>
    </row>
    <row r="80" spans="1:44" s="224" customFormat="1" ht="15" customHeight="1" x14ac:dyDescent="0.25">
      <c r="A80" s="247">
        <v>45429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1279">
        <v>22</v>
      </c>
      <c r="G80" s="967"/>
      <c r="H80" s="1008"/>
      <c r="I80" s="1063"/>
      <c r="J80" s="622"/>
      <c r="K80" s="982"/>
      <c r="L80" s="613"/>
      <c r="M80" s="6"/>
      <c r="N80" s="622"/>
      <c r="O80" s="982"/>
      <c r="P80" s="622"/>
      <c r="Q80" s="1063"/>
      <c r="R80" s="613"/>
      <c r="S80" s="64"/>
      <c r="T80" s="1209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 s="224" customFormat="1" ht="15" customHeight="1" x14ac:dyDescent="0.25">
      <c r="A81" s="247">
        <v>45429</v>
      </c>
      <c r="B81" s="364" t="s">
        <v>82</v>
      </c>
      <c r="C81" s="350" t="s">
        <v>12</v>
      </c>
      <c r="D81" s="350" t="s">
        <v>1493</v>
      </c>
      <c r="E81" s="480" t="s">
        <v>13</v>
      </c>
      <c r="F81" s="613">
        <v>26</v>
      </c>
      <c r="G81" s="966"/>
      <c r="H81" s="1031"/>
      <c r="I81" s="1525"/>
      <c r="J81" s="622"/>
      <c r="K81" s="982"/>
      <c r="L81" s="872"/>
      <c r="M81" s="1207"/>
      <c r="N81" s="880"/>
      <c r="O81" s="1033"/>
      <c r="P81" s="880"/>
      <c r="Q81" s="1525"/>
      <c r="R81" s="613"/>
      <c r="S81" s="162"/>
      <c r="T81" s="1209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s="224" customFormat="1" ht="15" customHeight="1" x14ac:dyDescent="0.25">
      <c r="A82" s="247">
        <v>45429</v>
      </c>
      <c r="B82" s="364" t="s">
        <v>81</v>
      </c>
      <c r="C82" s="350" t="s">
        <v>12</v>
      </c>
      <c r="D82" s="350" t="s">
        <v>1493</v>
      </c>
      <c r="E82" s="480" t="s">
        <v>13</v>
      </c>
      <c r="F82" s="613">
        <v>8</v>
      </c>
      <c r="G82" s="966"/>
      <c r="H82" s="1031"/>
      <c r="I82" s="1525"/>
      <c r="J82" s="622"/>
      <c r="K82" s="982"/>
      <c r="L82" s="872"/>
      <c r="M82" s="1207"/>
      <c r="N82" s="880"/>
      <c r="O82" s="1033"/>
      <c r="P82" s="880"/>
      <c r="Q82" s="1525"/>
      <c r="R82" s="613"/>
      <c r="S82" s="162"/>
      <c r="T82" s="1209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</row>
    <row r="83" spans="1:44" s="224" customFormat="1" ht="15" customHeight="1" x14ac:dyDescent="0.25">
      <c r="A83" s="247">
        <v>45430</v>
      </c>
      <c r="B83" s="882" t="s">
        <v>14</v>
      </c>
      <c r="C83" s="879" t="s">
        <v>12</v>
      </c>
      <c r="D83" s="879" t="s">
        <v>1486</v>
      </c>
      <c r="E83" s="480" t="s">
        <v>13</v>
      </c>
      <c r="F83" s="613">
        <v>9.61</v>
      </c>
      <c r="G83" s="966"/>
      <c r="H83" s="1031"/>
      <c r="I83" s="1525"/>
      <c r="J83" s="622"/>
      <c r="K83" s="982"/>
      <c r="L83" s="872"/>
      <c r="M83" s="1207"/>
      <c r="N83" s="880"/>
      <c r="O83" s="1033"/>
      <c r="P83" s="880"/>
      <c r="Q83" s="1525"/>
      <c r="R83" s="613"/>
      <c r="S83" s="162"/>
      <c r="T83" s="1209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 s="224" customFormat="1" ht="15" customHeight="1" x14ac:dyDescent="0.25">
      <c r="A84" s="247">
        <v>45430</v>
      </c>
      <c r="B84" s="1275" t="s">
        <v>1331</v>
      </c>
      <c r="C84" s="879" t="s">
        <v>19</v>
      </c>
      <c r="D84" s="1276" t="s">
        <v>2157</v>
      </c>
      <c r="E84" s="875" t="s">
        <v>13</v>
      </c>
      <c r="F84" s="780">
        <v>80</v>
      </c>
      <c r="G84" s="967"/>
      <c r="H84" s="1008"/>
      <c r="I84" s="1063"/>
      <c r="J84" s="622"/>
      <c r="K84" s="982"/>
      <c r="L84" s="1116"/>
      <c r="M84" s="1207"/>
      <c r="N84" s="1968"/>
      <c r="O84" s="1033"/>
      <c r="P84" s="880"/>
      <c r="Q84" s="1525"/>
      <c r="R84" s="613"/>
      <c r="S84" s="162"/>
      <c r="T84" s="1209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s="224" customFormat="1" ht="15" customHeight="1" x14ac:dyDescent="0.25">
      <c r="A85" s="247">
        <v>45430</v>
      </c>
      <c r="B85" s="1275" t="s">
        <v>6454</v>
      </c>
      <c r="C85" s="879" t="s">
        <v>19</v>
      </c>
      <c r="D85" s="1276" t="s">
        <v>1489</v>
      </c>
      <c r="E85" s="875" t="s">
        <v>13</v>
      </c>
      <c r="F85" s="780">
        <v>3</v>
      </c>
      <c r="G85" s="967"/>
      <c r="H85" s="1008"/>
      <c r="I85" s="1063"/>
      <c r="J85" s="622"/>
      <c r="K85" s="982"/>
      <c r="L85" s="1116"/>
      <c r="M85" s="1207"/>
      <c r="N85" s="1968"/>
      <c r="O85" s="1033"/>
      <c r="P85" s="880"/>
      <c r="Q85" s="1525"/>
      <c r="R85" s="613"/>
      <c r="S85" s="162"/>
      <c r="T85" s="1209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5" customHeight="1" x14ac:dyDescent="0.25">
      <c r="A86" s="247">
        <v>45430</v>
      </c>
      <c r="B86" s="364" t="s">
        <v>82</v>
      </c>
      <c r="C86" s="350" t="s">
        <v>12</v>
      </c>
      <c r="D86" s="350" t="s">
        <v>1493</v>
      </c>
      <c r="E86" s="480" t="s">
        <v>13</v>
      </c>
      <c r="F86" s="613">
        <v>26</v>
      </c>
      <c r="G86" s="966"/>
      <c r="H86" s="1031"/>
      <c r="I86" s="1525"/>
      <c r="J86" s="622"/>
      <c r="K86" s="982"/>
      <c r="L86" s="872"/>
      <c r="M86" s="1207"/>
      <c r="N86" s="880"/>
      <c r="O86" s="1033"/>
      <c r="P86" s="880"/>
      <c r="Q86" s="1525"/>
      <c r="R86" s="613"/>
      <c r="S86" s="162"/>
      <c r="T86" s="1209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</row>
    <row r="87" spans="1:44" s="224" customFormat="1" ht="15" customHeight="1" x14ac:dyDescent="0.25">
      <c r="A87" s="247">
        <v>45431</v>
      </c>
      <c r="B87" s="882" t="s">
        <v>14</v>
      </c>
      <c r="C87" s="879" t="s">
        <v>12</v>
      </c>
      <c r="D87" s="879" t="s">
        <v>1486</v>
      </c>
      <c r="E87" s="480" t="s">
        <v>13</v>
      </c>
      <c r="F87" s="613">
        <v>10.47</v>
      </c>
      <c r="G87" s="966"/>
      <c r="H87" s="1031"/>
      <c r="I87" s="1525"/>
      <c r="J87" s="622"/>
      <c r="K87" s="982"/>
      <c r="L87" s="872"/>
      <c r="M87" s="1207"/>
      <c r="N87" s="880"/>
      <c r="O87" s="1033"/>
      <c r="P87" s="880"/>
      <c r="Q87" s="1525"/>
      <c r="R87" s="613"/>
      <c r="S87" s="162"/>
      <c r="T87" s="1209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</row>
    <row r="88" spans="1:44" s="224" customFormat="1" ht="15" customHeight="1" x14ac:dyDescent="0.25">
      <c r="A88" s="247">
        <v>45432</v>
      </c>
      <c r="B88" s="882" t="s">
        <v>3747</v>
      </c>
      <c r="C88" s="350" t="s">
        <v>12</v>
      </c>
      <c r="D88" s="350"/>
      <c r="E88" s="480" t="s">
        <v>25</v>
      </c>
      <c r="F88" s="622"/>
      <c r="G88" s="982">
        <v>2236.5</v>
      </c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</row>
    <row r="89" spans="1:44" s="224" customFormat="1" ht="15" customHeight="1" x14ac:dyDescent="0.25">
      <c r="A89" s="247">
        <v>45432</v>
      </c>
      <c r="B89" s="882" t="s">
        <v>6329</v>
      </c>
      <c r="C89" s="879" t="s">
        <v>12</v>
      </c>
      <c r="D89" s="879"/>
      <c r="E89" s="875" t="s">
        <v>25</v>
      </c>
      <c r="F89" s="780"/>
      <c r="G89" s="982">
        <v>100</v>
      </c>
      <c r="H89" s="622"/>
      <c r="I89" s="982"/>
      <c r="J89" s="622"/>
      <c r="K89" s="982"/>
      <c r="L89" s="622"/>
      <c r="M89" s="982"/>
      <c r="N89" s="622"/>
      <c r="O89" s="982"/>
      <c r="P89" s="880"/>
      <c r="Q89" s="1525"/>
      <c r="R89" s="613"/>
      <c r="S89" s="162"/>
      <c r="T89" s="1956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</row>
    <row r="90" spans="1:44" s="224" customFormat="1" ht="15" customHeight="1" x14ac:dyDescent="0.25">
      <c r="A90" s="247">
        <v>45432</v>
      </c>
      <c r="B90" s="364" t="s">
        <v>6360</v>
      </c>
      <c r="C90" s="879" t="s">
        <v>12</v>
      </c>
      <c r="D90" s="879"/>
      <c r="E90" s="983" t="s">
        <v>25</v>
      </c>
      <c r="F90" s="780"/>
      <c r="G90" s="982"/>
      <c r="H90" s="622"/>
      <c r="I90" s="982"/>
      <c r="J90" s="2013"/>
      <c r="K90" s="1207"/>
      <c r="L90" s="622"/>
      <c r="M90" s="982"/>
      <c r="N90" s="622"/>
      <c r="O90" s="982"/>
      <c r="P90" s="622"/>
      <c r="Q90" s="1063"/>
      <c r="R90" s="622"/>
      <c r="S90" s="982">
        <v>447.3</v>
      </c>
      <c r="T90" s="927"/>
      <c r="U90" s="927"/>
      <c r="V90" s="878"/>
    </row>
    <row r="91" spans="1:44" s="224" customFormat="1" ht="15" customHeight="1" x14ac:dyDescent="0.25">
      <c r="A91" s="247">
        <v>45432</v>
      </c>
      <c r="B91" s="364" t="s">
        <v>3354</v>
      </c>
      <c r="C91" s="350" t="s">
        <v>12</v>
      </c>
      <c r="D91" s="350"/>
      <c r="E91" s="145" t="s">
        <v>25</v>
      </c>
      <c r="F91" s="613"/>
      <c r="G91" s="967"/>
      <c r="H91" s="1008"/>
      <c r="I91" s="1063"/>
      <c r="J91" s="622"/>
      <c r="K91" s="982"/>
      <c r="L91" s="1116"/>
      <c r="M91" s="1207"/>
      <c r="N91" s="880"/>
      <c r="O91" s="1033"/>
      <c r="P91" s="880"/>
      <c r="Q91" s="1525"/>
      <c r="R91" s="613"/>
      <c r="S91" s="162">
        <v>184.34</v>
      </c>
      <c r="T91" s="2018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</row>
    <row r="92" spans="1:44" s="224" customFormat="1" ht="14.25" customHeight="1" x14ac:dyDescent="0.25">
      <c r="A92" s="247">
        <v>45432</v>
      </c>
      <c r="B92" s="364" t="s">
        <v>2977</v>
      </c>
      <c r="C92" s="350" t="s">
        <v>12</v>
      </c>
      <c r="D92" s="350" t="s">
        <v>1491</v>
      </c>
      <c r="E92" s="875" t="s">
        <v>13</v>
      </c>
      <c r="F92" s="1047">
        <v>400</v>
      </c>
      <c r="G92" s="982"/>
      <c r="H92" s="1008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1029"/>
      <c r="U92" s="89"/>
      <c r="V92" s="930"/>
    </row>
    <row r="93" spans="1:44" s="224" customFormat="1" ht="15" customHeight="1" x14ac:dyDescent="0.25">
      <c r="A93" s="247">
        <v>45432</v>
      </c>
      <c r="B93" s="349" t="s">
        <v>6456</v>
      </c>
      <c r="C93" s="887" t="s">
        <v>12</v>
      </c>
      <c r="D93" s="350" t="s">
        <v>1491</v>
      </c>
      <c r="E93" s="887" t="s">
        <v>13</v>
      </c>
      <c r="F93" s="613">
        <v>31.9</v>
      </c>
      <c r="G93" s="982"/>
      <c r="H93" s="872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927"/>
      <c r="U93" s="999"/>
      <c r="V93" s="878"/>
    </row>
    <row r="94" spans="1:44" s="224" customFormat="1" ht="15" customHeight="1" x14ac:dyDescent="0.25">
      <c r="A94" s="247">
        <v>45432</v>
      </c>
      <c r="B94" s="349" t="s">
        <v>6456</v>
      </c>
      <c r="C94" s="887" t="s">
        <v>12</v>
      </c>
      <c r="D94" s="350" t="s">
        <v>1491</v>
      </c>
      <c r="E94" s="887" t="s">
        <v>13</v>
      </c>
      <c r="F94" s="613">
        <v>31.9</v>
      </c>
      <c r="G94" s="982"/>
      <c r="H94" s="872"/>
      <c r="I94" s="1063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927"/>
      <c r="U94" s="999"/>
      <c r="V94" s="878"/>
    </row>
    <row r="95" spans="1:44" s="224" customFormat="1" ht="15" customHeight="1" x14ac:dyDescent="0.25">
      <c r="A95" s="247">
        <v>45432</v>
      </c>
      <c r="B95" s="349" t="s">
        <v>6456</v>
      </c>
      <c r="C95" s="887" t="s">
        <v>12</v>
      </c>
      <c r="D95" s="1005" t="s">
        <v>1522</v>
      </c>
      <c r="E95" s="887" t="s">
        <v>13</v>
      </c>
      <c r="F95" s="1116">
        <v>69.66</v>
      </c>
      <c r="G95" s="982"/>
      <c r="H95" s="872"/>
      <c r="I95" s="1063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927"/>
      <c r="U95" s="999"/>
      <c r="V95" s="878"/>
    </row>
    <row r="96" spans="1:44" s="224" customFormat="1" ht="15" customHeight="1" x14ac:dyDescent="0.25">
      <c r="A96" s="247">
        <v>45432</v>
      </c>
      <c r="B96" s="349" t="s">
        <v>6456</v>
      </c>
      <c r="C96" s="887" t="s">
        <v>12</v>
      </c>
      <c r="D96" s="350" t="s">
        <v>1524</v>
      </c>
      <c r="E96" s="887" t="s">
        <v>13</v>
      </c>
      <c r="F96" s="613">
        <v>472.5</v>
      </c>
      <c r="G96" s="982"/>
      <c r="H96" s="872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927"/>
      <c r="U96" s="999"/>
      <c r="V96" s="878"/>
    </row>
    <row r="97" spans="1:44" s="224" customFormat="1" ht="15" customHeight="1" x14ac:dyDescent="0.25">
      <c r="A97" s="247">
        <v>45432</v>
      </c>
      <c r="B97" s="349" t="s">
        <v>6455</v>
      </c>
      <c r="C97" s="887" t="s">
        <v>12</v>
      </c>
      <c r="D97" s="350" t="s">
        <v>1506</v>
      </c>
      <c r="E97" s="887" t="s">
        <v>13</v>
      </c>
      <c r="F97" s="613">
        <v>136.9</v>
      </c>
      <c r="G97" s="982"/>
      <c r="H97" s="872"/>
      <c r="I97" s="1063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927"/>
      <c r="U97" s="999"/>
      <c r="V97" s="878"/>
    </row>
    <row r="98" spans="1:44" s="224" customFormat="1" ht="15" customHeight="1" x14ac:dyDescent="0.25">
      <c r="A98" s="247">
        <v>45432</v>
      </c>
      <c r="B98" s="349" t="s">
        <v>6455</v>
      </c>
      <c r="C98" s="887" t="s">
        <v>12</v>
      </c>
      <c r="D98" s="350" t="s">
        <v>1489</v>
      </c>
      <c r="E98" s="887" t="s">
        <v>13</v>
      </c>
      <c r="F98" s="613">
        <v>79.5</v>
      </c>
      <c r="G98" s="982"/>
      <c r="H98" s="872"/>
      <c r="I98" s="1063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2274" t="s">
        <v>6637</v>
      </c>
      <c r="U98" s="999"/>
      <c r="V98" s="878"/>
    </row>
    <row r="99" spans="1:44" s="224" customFormat="1" ht="15" customHeight="1" x14ac:dyDescent="0.25">
      <c r="A99" s="247">
        <v>45432</v>
      </c>
      <c r="B99" s="349" t="s">
        <v>6456</v>
      </c>
      <c r="C99" s="887" t="s">
        <v>12</v>
      </c>
      <c r="D99" s="350" t="s">
        <v>1524</v>
      </c>
      <c r="E99" s="887" t="s">
        <v>13</v>
      </c>
      <c r="F99" s="613">
        <v>770.97500000000002</v>
      </c>
      <c r="G99" s="982"/>
      <c r="H99" s="872"/>
      <c r="I99" s="1063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927"/>
      <c r="U99" s="999"/>
      <c r="V99" s="878"/>
    </row>
    <row r="100" spans="1:44" s="224" customFormat="1" ht="15" customHeight="1" x14ac:dyDescent="0.25">
      <c r="A100" s="247">
        <v>45432</v>
      </c>
      <c r="B100" s="349" t="s">
        <v>6455</v>
      </c>
      <c r="C100" s="887" t="s">
        <v>12</v>
      </c>
      <c r="D100" s="350" t="s">
        <v>1506</v>
      </c>
      <c r="E100" s="887" t="s">
        <v>13</v>
      </c>
      <c r="F100" s="613">
        <v>110.98</v>
      </c>
      <c r="G100" s="982"/>
      <c r="H100" s="872"/>
      <c r="I100" s="1063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927"/>
      <c r="U100" s="999"/>
      <c r="V100" s="878"/>
    </row>
    <row r="101" spans="1:44" s="224" customFormat="1" ht="15" customHeight="1" x14ac:dyDescent="0.25">
      <c r="A101" s="247">
        <v>45432</v>
      </c>
      <c r="B101" s="882" t="s">
        <v>6437</v>
      </c>
      <c r="C101" s="879" t="s">
        <v>12</v>
      </c>
      <c r="D101" s="879" t="s">
        <v>1499</v>
      </c>
      <c r="E101" s="871" t="s">
        <v>13</v>
      </c>
      <c r="F101" s="780">
        <v>42</v>
      </c>
      <c r="G101" s="982"/>
      <c r="H101" s="1008"/>
      <c r="I101" s="1063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861"/>
      <c r="V101" s="1123"/>
      <c r="W101" s="999"/>
    </row>
    <row r="102" spans="1:44" s="224" customFormat="1" ht="15" customHeight="1" x14ac:dyDescent="0.25">
      <c r="A102" s="247">
        <v>45432</v>
      </c>
      <c r="B102" s="364" t="s">
        <v>6425</v>
      </c>
      <c r="C102" s="350" t="s">
        <v>12</v>
      </c>
      <c r="D102" s="350" t="s">
        <v>1504</v>
      </c>
      <c r="E102" s="875" t="s">
        <v>13</v>
      </c>
      <c r="F102" s="780">
        <v>40</v>
      </c>
      <c r="G102" s="982"/>
      <c r="H102" s="622"/>
      <c r="I102" s="982"/>
      <c r="J102" s="613"/>
      <c r="K102" s="6"/>
      <c r="L102" s="622"/>
      <c r="M102" s="982"/>
      <c r="N102" s="622"/>
      <c r="O102" s="982"/>
      <c r="P102" s="622"/>
      <c r="Q102" s="1063"/>
      <c r="R102" s="827"/>
      <c r="S102" s="1115"/>
      <c r="T102" s="878"/>
    </row>
    <row r="103" spans="1:44" s="224" customFormat="1" ht="15" customHeight="1" x14ac:dyDescent="0.25">
      <c r="A103" s="247">
        <v>45432</v>
      </c>
      <c r="B103" s="882" t="s">
        <v>1708</v>
      </c>
      <c r="C103" s="879" t="s">
        <v>12</v>
      </c>
      <c r="D103" s="879" t="s">
        <v>1489</v>
      </c>
      <c r="E103" s="875" t="s">
        <v>13</v>
      </c>
      <c r="F103" s="780">
        <v>116</v>
      </c>
      <c r="G103" s="982"/>
      <c r="H103" s="622"/>
      <c r="I103" s="982"/>
      <c r="J103" s="622"/>
      <c r="K103" s="982"/>
      <c r="L103" s="622"/>
      <c r="M103" s="982"/>
      <c r="N103" s="622"/>
      <c r="O103" s="982"/>
      <c r="P103" s="622"/>
      <c r="Q103" s="1063"/>
      <c r="R103" s="880"/>
      <c r="S103" s="1033"/>
      <c r="T103" s="927">
        <v>116</v>
      </c>
      <c r="V103" s="878"/>
    </row>
    <row r="104" spans="1:44" s="224" customFormat="1" ht="15" customHeight="1" x14ac:dyDescent="0.25">
      <c r="A104" s="247">
        <v>45432</v>
      </c>
      <c r="B104" s="882" t="s">
        <v>6405</v>
      </c>
      <c r="C104" s="879" t="s">
        <v>12</v>
      </c>
      <c r="D104" s="879" t="s">
        <v>1524</v>
      </c>
      <c r="E104" s="871" t="s">
        <v>13</v>
      </c>
      <c r="F104" s="780">
        <v>310</v>
      </c>
      <c r="G104" s="946"/>
      <c r="H104" s="95"/>
      <c r="I104" s="1064"/>
      <c r="J104" s="613"/>
      <c r="K104" s="6"/>
      <c r="L104" s="622"/>
      <c r="M104" s="982"/>
      <c r="N104" s="622"/>
      <c r="O104" s="982"/>
      <c r="P104" s="622"/>
      <c r="Q104" s="1063"/>
      <c r="R104" s="622"/>
      <c r="S104" s="982"/>
      <c r="T104" s="861">
        <v>310</v>
      </c>
    </row>
    <row r="105" spans="1:44" s="224" customFormat="1" ht="15" customHeight="1" x14ac:dyDescent="0.25">
      <c r="A105" s="247">
        <v>45432</v>
      </c>
      <c r="B105" s="882" t="s">
        <v>6258</v>
      </c>
      <c r="C105" s="879" t="s">
        <v>12</v>
      </c>
      <c r="D105" s="879"/>
      <c r="E105" s="875"/>
      <c r="F105" s="780"/>
      <c r="G105" s="982">
        <v>1553.48</v>
      </c>
      <c r="H105" s="95"/>
      <c r="I105" s="1064"/>
      <c r="J105" s="613">
        <v>1553.48</v>
      </c>
      <c r="K105" s="982"/>
      <c r="L105" s="622"/>
      <c r="M105" s="982"/>
      <c r="N105" s="622"/>
      <c r="O105" s="982"/>
      <c r="P105" s="622"/>
      <c r="Q105" s="1063"/>
      <c r="R105" s="622"/>
      <c r="S105" s="982"/>
      <c r="T105" s="861"/>
    </row>
    <row r="106" spans="1:44" s="224" customFormat="1" x14ac:dyDescent="0.25">
      <c r="A106" s="247">
        <v>45432</v>
      </c>
      <c r="B106" s="882" t="s">
        <v>32</v>
      </c>
      <c r="C106" s="879" t="s">
        <v>12</v>
      </c>
      <c r="D106" s="879" t="s">
        <v>1485</v>
      </c>
      <c r="E106" s="875" t="s">
        <v>13</v>
      </c>
      <c r="F106" s="1279">
        <v>12</v>
      </c>
      <c r="G106" s="982"/>
      <c r="H106" s="1008"/>
      <c r="I106" s="1063"/>
      <c r="J106" s="2013"/>
      <c r="K106" s="1207"/>
      <c r="L106" s="622"/>
      <c r="M106" s="982"/>
      <c r="N106" s="622"/>
      <c r="O106" s="982"/>
      <c r="P106" s="622"/>
      <c r="Q106" s="1063"/>
      <c r="R106" s="622"/>
      <c r="S106" s="982"/>
      <c r="T106" s="861"/>
      <c r="V106" s="878"/>
    </row>
    <row r="107" spans="1:44" s="224" customFormat="1" ht="15" customHeight="1" x14ac:dyDescent="0.25">
      <c r="A107" s="247">
        <v>45433</v>
      </c>
      <c r="B107" s="882" t="s">
        <v>6258</v>
      </c>
      <c r="C107" s="879" t="s">
        <v>12</v>
      </c>
      <c r="D107" s="879"/>
      <c r="E107" s="875"/>
      <c r="F107" s="780"/>
      <c r="G107" s="982">
        <v>100</v>
      </c>
      <c r="H107" s="1008"/>
      <c r="I107" s="1063"/>
      <c r="J107" s="613">
        <v>100</v>
      </c>
      <c r="K107" s="982"/>
      <c r="L107" s="622"/>
      <c r="M107" s="982"/>
      <c r="N107" s="622"/>
      <c r="O107" s="982"/>
      <c r="P107" s="622"/>
      <c r="Q107" s="1063"/>
      <c r="R107" s="622"/>
      <c r="S107" s="982"/>
      <c r="T107" s="1028" t="s">
        <v>6462</v>
      </c>
    </row>
    <row r="108" spans="1:44" s="224" customFormat="1" ht="15" customHeight="1" x14ac:dyDescent="0.25">
      <c r="A108" s="247">
        <v>45433</v>
      </c>
      <c r="B108" s="1275" t="s">
        <v>6463</v>
      </c>
      <c r="C108" s="1276" t="s">
        <v>12</v>
      </c>
      <c r="D108" s="1276" t="s">
        <v>1524</v>
      </c>
      <c r="E108" s="1286" t="s">
        <v>13</v>
      </c>
      <c r="F108" s="613">
        <v>100</v>
      </c>
      <c r="G108" s="967"/>
      <c r="H108" s="1008"/>
      <c r="I108" s="1063"/>
      <c r="J108" s="613"/>
      <c r="K108" s="6"/>
      <c r="L108" s="613"/>
      <c r="M108" s="6"/>
      <c r="N108" s="622"/>
      <c r="O108" s="982"/>
      <c r="P108" s="622"/>
      <c r="Q108" s="1063"/>
      <c r="R108" s="613"/>
      <c r="S108" s="162"/>
      <c r="T108" s="2126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</row>
    <row r="109" spans="1:44" s="224" customFormat="1" ht="15" customHeight="1" x14ac:dyDescent="0.25">
      <c r="A109" s="247">
        <v>45433</v>
      </c>
      <c r="B109" s="882" t="s">
        <v>6208</v>
      </c>
      <c r="C109" s="879" t="s">
        <v>12</v>
      </c>
      <c r="D109" s="879"/>
      <c r="E109" s="875" t="s">
        <v>13</v>
      </c>
      <c r="F109" s="780">
        <v>500</v>
      </c>
      <c r="G109" s="982"/>
      <c r="H109" s="1008"/>
      <c r="I109" s="1063"/>
      <c r="J109" s="622"/>
      <c r="K109" s="982">
        <v>500</v>
      </c>
      <c r="L109" s="622"/>
      <c r="M109" s="982"/>
      <c r="N109" s="622"/>
      <c r="O109" s="982"/>
      <c r="P109" s="622"/>
      <c r="Q109" s="1063"/>
      <c r="R109" s="622"/>
      <c r="S109" s="982"/>
      <c r="T109" s="861"/>
    </row>
    <row r="110" spans="1:44" s="224" customFormat="1" ht="15" customHeight="1" x14ac:dyDescent="0.25">
      <c r="A110" s="247">
        <v>45433</v>
      </c>
      <c r="B110" s="882" t="s">
        <v>32</v>
      </c>
      <c r="C110" s="879" t="s">
        <v>12</v>
      </c>
      <c r="D110" s="879" t="s">
        <v>1485</v>
      </c>
      <c r="E110" s="875" t="s">
        <v>13</v>
      </c>
      <c r="F110" s="1279">
        <v>22</v>
      </c>
      <c r="G110" s="982"/>
      <c r="H110" s="622"/>
      <c r="I110" s="982"/>
      <c r="J110" s="1116"/>
      <c r="K110" s="1207"/>
      <c r="L110" s="622"/>
      <c r="M110" s="982"/>
      <c r="N110" s="622"/>
      <c r="O110" s="982"/>
      <c r="P110" s="622"/>
      <c r="Q110" s="1063"/>
      <c r="R110" s="880"/>
      <c r="S110" s="1033"/>
      <c r="T110" s="927"/>
      <c r="V110" s="878"/>
    </row>
    <row r="111" spans="1:44" s="224" customFormat="1" ht="15" customHeight="1" x14ac:dyDescent="0.25">
      <c r="A111" s="247">
        <v>45434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1279">
        <v>22</v>
      </c>
      <c r="G111" s="982"/>
      <c r="H111" s="622"/>
      <c r="I111" s="982"/>
      <c r="J111" s="1116"/>
      <c r="K111" s="1207"/>
      <c r="L111" s="622"/>
      <c r="M111" s="982"/>
      <c r="N111" s="622"/>
      <c r="O111" s="982"/>
      <c r="P111" s="622"/>
      <c r="Q111" s="1063"/>
      <c r="R111" s="880"/>
      <c r="S111" s="1033"/>
      <c r="T111" s="927"/>
      <c r="V111" s="878"/>
    </row>
    <row r="112" spans="1:44" s="224" customFormat="1" ht="15" customHeight="1" x14ac:dyDescent="0.25">
      <c r="A112" s="247">
        <v>45434</v>
      </c>
      <c r="B112" s="882" t="s">
        <v>443</v>
      </c>
      <c r="C112" s="879" t="s">
        <v>12</v>
      </c>
      <c r="D112" s="879" t="s">
        <v>1493</v>
      </c>
      <c r="E112" s="875" t="s">
        <v>13</v>
      </c>
      <c r="F112" s="780">
        <v>11.8</v>
      </c>
      <c r="G112" s="982"/>
      <c r="H112" s="622"/>
      <c r="I112" s="982"/>
      <c r="J112" s="1116"/>
      <c r="K112" s="1207"/>
      <c r="L112" s="622"/>
      <c r="M112" s="982"/>
      <c r="N112" s="622"/>
      <c r="O112" s="982"/>
      <c r="P112" s="622"/>
      <c r="Q112" s="1063"/>
      <c r="R112" s="880"/>
      <c r="S112" s="1033"/>
      <c r="T112" s="927"/>
      <c r="V112" s="878"/>
    </row>
    <row r="113" spans="1:44" s="224" customFormat="1" ht="15" customHeight="1" x14ac:dyDescent="0.25">
      <c r="A113" s="247">
        <v>45435</v>
      </c>
      <c r="B113" s="882" t="s">
        <v>6258</v>
      </c>
      <c r="C113" s="879" t="s">
        <v>12</v>
      </c>
      <c r="D113" s="879"/>
      <c r="E113" s="875"/>
      <c r="F113" s="780"/>
      <c r="G113" s="982">
        <v>1080</v>
      </c>
      <c r="H113" s="95"/>
      <c r="I113" s="1064"/>
      <c r="J113" s="613">
        <v>1080</v>
      </c>
      <c r="K113" s="982"/>
      <c r="L113" s="622"/>
      <c r="M113" s="982"/>
      <c r="N113" s="622"/>
      <c r="O113" s="982"/>
      <c r="P113" s="622"/>
      <c r="Q113" s="1063"/>
      <c r="R113" s="622"/>
      <c r="S113" s="982"/>
      <c r="T113" s="861"/>
    </row>
    <row r="114" spans="1:44" s="224" customFormat="1" ht="15" customHeight="1" x14ac:dyDescent="0.25">
      <c r="A114" s="247">
        <v>45435</v>
      </c>
      <c r="B114" s="1275" t="s">
        <v>6474</v>
      </c>
      <c r="C114" s="1276" t="s">
        <v>12</v>
      </c>
      <c r="D114" s="1276" t="s">
        <v>1524</v>
      </c>
      <c r="E114" s="1286" t="s">
        <v>13</v>
      </c>
      <c r="F114" s="613">
        <v>1000</v>
      </c>
      <c r="G114" s="967"/>
      <c r="H114" s="1008"/>
      <c r="I114" s="1063"/>
      <c r="J114" s="613"/>
      <c r="K114" s="6"/>
      <c r="L114" s="613"/>
      <c r="M114" s="6"/>
      <c r="N114" s="622"/>
      <c r="O114" s="982"/>
      <c r="P114" s="622"/>
      <c r="Q114" s="1063"/>
      <c r="R114" s="613"/>
      <c r="S114" s="64"/>
      <c r="T114" s="1028" t="s">
        <v>6477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</row>
    <row r="115" spans="1:44" s="224" customFormat="1" ht="15" customHeight="1" x14ac:dyDescent="0.25">
      <c r="A115" s="247">
        <v>45435</v>
      </c>
      <c r="B115" s="1275" t="s">
        <v>6480</v>
      </c>
      <c r="C115" s="879" t="s">
        <v>12</v>
      </c>
      <c r="D115" s="1276" t="s">
        <v>1524</v>
      </c>
      <c r="E115" s="1286" t="s">
        <v>13</v>
      </c>
      <c r="F115" s="780">
        <v>45</v>
      </c>
      <c r="G115" s="982"/>
      <c r="H115" s="622"/>
      <c r="I115" s="982"/>
      <c r="J115" s="1116"/>
      <c r="K115" s="1207"/>
      <c r="L115" s="622"/>
      <c r="M115" s="982"/>
      <c r="N115" s="622"/>
      <c r="O115" s="982"/>
      <c r="P115" s="622"/>
      <c r="Q115" s="1063"/>
      <c r="R115" s="880"/>
      <c r="S115" s="1033"/>
      <c r="T115" s="1028" t="s">
        <v>6478</v>
      </c>
      <c r="V115" s="878"/>
    </row>
    <row r="116" spans="1:44" s="224" customFormat="1" ht="15" customHeight="1" x14ac:dyDescent="0.25">
      <c r="A116" s="247">
        <v>45435</v>
      </c>
      <c r="B116" s="1275" t="s">
        <v>6476</v>
      </c>
      <c r="C116" s="879" t="s">
        <v>12</v>
      </c>
      <c r="D116" s="1276" t="s">
        <v>1524</v>
      </c>
      <c r="E116" s="1286" t="s">
        <v>13</v>
      </c>
      <c r="F116" s="780">
        <v>35</v>
      </c>
      <c r="G116" s="982"/>
      <c r="H116" s="622"/>
      <c r="I116" s="982"/>
      <c r="J116" s="1116"/>
      <c r="K116" s="1207"/>
      <c r="L116" s="622"/>
      <c r="M116" s="982"/>
      <c r="N116" s="622"/>
      <c r="O116" s="982"/>
      <c r="P116" s="622"/>
      <c r="Q116" s="1063"/>
      <c r="R116" s="880"/>
      <c r="S116" s="1033"/>
      <c r="T116" s="1028" t="s">
        <v>6479</v>
      </c>
      <c r="V116" s="878"/>
    </row>
    <row r="117" spans="1:44" s="224" customFormat="1" ht="15" customHeight="1" x14ac:dyDescent="0.25">
      <c r="A117" s="247">
        <v>45435</v>
      </c>
      <c r="B117" s="882" t="s">
        <v>6169</v>
      </c>
      <c r="C117" s="879" t="s">
        <v>12</v>
      </c>
      <c r="D117" s="879" t="s">
        <v>1485</v>
      </c>
      <c r="E117" s="875" t="s">
        <v>13</v>
      </c>
      <c r="F117" s="613">
        <v>9.9</v>
      </c>
      <c r="G117" s="967"/>
      <c r="H117" s="1008"/>
      <c r="I117" s="1063"/>
      <c r="J117" s="2013"/>
      <c r="K117" s="1207"/>
      <c r="L117" s="2013"/>
      <c r="M117" s="1207"/>
      <c r="N117" s="880"/>
      <c r="O117" s="1033"/>
      <c r="P117" s="880"/>
      <c r="Q117" s="1525"/>
      <c r="R117" s="613"/>
      <c r="S117" s="162"/>
      <c r="T117" s="1956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</row>
    <row r="118" spans="1:44" s="224" customFormat="1" ht="15" customHeight="1" x14ac:dyDescent="0.25">
      <c r="A118" s="247">
        <v>45435</v>
      </c>
      <c r="B118" s="882" t="s">
        <v>6251</v>
      </c>
      <c r="C118" s="879" t="s">
        <v>12</v>
      </c>
      <c r="D118" s="879"/>
      <c r="E118" s="875" t="s">
        <v>13</v>
      </c>
      <c r="F118" s="780">
        <v>12.5</v>
      </c>
      <c r="G118" s="982"/>
      <c r="H118" s="95"/>
      <c r="I118" s="1064"/>
      <c r="J118" s="622"/>
      <c r="K118" s="982">
        <v>12.5</v>
      </c>
      <c r="L118" s="622"/>
      <c r="M118" s="982"/>
      <c r="N118" s="622"/>
      <c r="O118" s="982"/>
      <c r="P118" s="622"/>
      <c r="Q118" s="1063"/>
      <c r="R118" s="622"/>
      <c r="S118" s="982"/>
      <c r="T118" s="861"/>
    </row>
    <row r="119" spans="1:44" s="224" customFormat="1" ht="15" customHeight="1" x14ac:dyDescent="0.25">
      <c r="A119" s="247">
        <v>45435</v>
      </c>
      <c r="B119" s="882" t="s">
        <v>6258</v>
      </c>
      <c r="C119" s="879" t="s">
        <v>12</v>
      </c>
      <c r="D119" s="879"/>
      <c r="E119" s="875"/>
      <c r="F119" s="780"/>
      <c r="G119" s="982">
        <v>340</v>
      </c>
      <c r="H119" s="95"/>
      <c r="I119" s="1064"/>
      <c r="J119" s="613">
        <v>340</v>
      </c>
      <c r="K119" s="982"/>
      <c r="L119" s="622"/>
      <c r="M119" s="982"/>
      <c r="N119" s="622"/>
      <c r="O119" s="982"/>
      <c r="P119" s="622"/>
      <c r="Q119" s="1063"/>
      <c r="R119" s="622"/>
      <c r="S119" s="982"/>
      <c r="T119" s="861"/>
    </row>
    <row r="120" spans="1:44" s="224" customFormat="1" ht="15" customHeight="1" x14ac:dyDescent="0.25">
      <c r="A120" s="247">
        <v>45435</v>
      </c>
      <c r="B120" s="1275" t="s">
        <v>6488</v>
      </c>
      <c r="C120" s="879" t="s">
        <v>12</v>
      </c>
      <c r="D120" s="1276" t="s">
        <v>1524</v>
      </c>
      <c r="E120" s="1286" t="s">
        <v>13</v>
      </c>
      <c r="F120" s="780">
        <v>347.2</v>
      </c>
      <c r="G120" s="982"/>
      <c r="H120" s="622"/>
      <c r="I120" s="982"/>
      <c r="J120" s="1116"/>
      <c r="K120" s="1207"/>
      <c r="L120" s="622"/>
      <c r="M120" s="982"/>
      <c r="N120" s="622"/>
      <c r="O120" s="982"/>
      <c r="P120" s="622"/>
      <c r="Q120" s="1063"/>
      <c r="R120" s="880"/>
      <c r="S120" s="1033"/>
      <c r="T120" s="1028" t="s">
        <v>6489</v>
      </c>
      <c r="V120" s="878"/>
    </row>
    <row r="121" spans="1:44" s="224" customFormat="1" ht="15" customHeight="1" x14ac:dyDescent="0.25">
      <c r="A121" s="247">
        <v>45435</v>
      </c>
      <c r="B121" s="882" t="s">
        <v>14</v>
      </c>
      <c r="C121" s="879" t="s">
        <v>12</v>
      </c>
      <c r="D121" s="879" t="s">
        <v>1486</v>
      </c>
      <c r="E121" s="480" t="s">
        <v>13</v>
      </c>
      <c r="F121" s="780">
        <v>9.5</v>
      </c>
      <c r="G121" s="982"/>
      <c r="H121" s="622"/>
      <c r="I121" s="982"/>
      <c r="J121" s="1116"/>
      <c r="K121" s="1207"/>
      <c r="L121" s="622"/>
      <c r="M121" s="982"/>
      <c r="N121" s="622"/>
      <c r="O121" s="982"/>
      <c r="P121" s="622"/>
      <c r="Q121" s="1063"/>
      <c r="R121" s="880"/>
      <c r="S121" s="1033"/>
      <c r="T121" s="927"/>
      <c r="V121" s="878"/>
    </row>
    <row r="122" spans="1:44" s="224" customFormat="1" ht="15" customHeight="1" x14ac:dyDescent="0.25">
      <c r="A122" s="247">
        <v>45435</v>
      </c>
      <c r="B122" s="1275" t="s">
        <v>1331</v>
      </c>
      <c r="C122" s="879" t="s">
        <v>19</v>
      </c>
      <c r="D122" s="1276" t="s">
        <v>2157</v>
      </c>
      <c r="E122" s="875" t="s">
        <v>13</v>
      </c>
      <c r="F122" s="780">
        <v>80</v>
      </c>
      <c r="G122" s="967"/>
      <c r="H122" s="1008"/>
      <c r="I122" s="1063"/>
      <c r="J122" s="622"/>
      <c r="K122" s="982"/>
      <c r="L122" s="1116"/>
      <c r="M122" s="1207"/>
      <c r="N122" s="1968"/>
      <c r="O122" s="1033"/>
      <c r="P122" s="880"/>
      <c r="Q122" s="1525"/>
      <c r="R122" s="613"/>
      <c r="S122" s="162"/>
      <c r="T122" s="1209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</row>
    <row r="123" spans="1:44" s="224" customFormat="1" ht="15" customHeight="1" x14ac:dyDescent="0.25">
      <c r="A123" s="247">
        <v>45436</v>
      </c>
      <c r="B123" s="862" t="s">
        <v>2867</v>
      </c>
      <c r="C123" s="350" t="s">
        <v>12</v>
      </c>
      <c r="D123" s="874" t="s">
        <v>1504</v>
      </c>
      <c r="E123" s="887" t="s">
        <v>13</v>
      </c>
      <c r="F123" s="780">
        <v>30</v>
      </c>
      <c r="G123" s="982"/>
      <c r="H123" s="1009"/>
      <c r="I123" s="1063"/>
      <c r="J123" s="622"/>
      <c r="K123" s="982"/>
      <c r="L123" s="853"/>
      <c r="M123" s="982"/>
      <c r="N123" s="853"/>
      <c r="O123" s="982"/>
      <c r="P123" s="853"/>
      <c r="Q123" s="1063"/>
      <c r="R123" s="622"/>
      <c r="S123" s="982"/>
      <c r="T123" s="1690"/>
      <c r="U123" s="1690"/>
      <c r="V123" s="1690"/>
      <c r="W123" s="1690"/>
      <c r="X123" s="1690"/>
      <c r="Y123" s="1690"/>
      <c r="Z123" s="1690"/>
      <c r="AA123" s="1690"/>
      <c r="AB123" s="1690"/>
    </row>
    <row r="124" spans="1:44" s="224" customFormat="1" ht="15" customHeight="1" x14ac:dyDescent="0.25">
      <c r="A124" s="247">
        <v>45436</v>
      </c>
      <c r="B124" s="882" t="s">
        <v>32</v>
      </c>
      <c r="C124" s="879" t="s">
        <v>12</v>
      </c>
      <c r="D124" s="879" t="s">
        <v>1485</v>
      </c>
      <c r="E124" s="875" t="s">
        <v>13</v>
      </c>
      <c r="F124" s="1279">
        <v>22</v>
      </c>
      <c r="G124" s="982"/>
      <c r="H124" s="622"/>
      <c r="I124" s="982"/>
      <c r="J124" s="1116"/>
      <c r="K124" s="1207"/>
      <c r="L124" s="622"/>
      <c r="M124" s="982"/>
      <c r="N124" s="622"/>
      <c r="O124" s="982"/>
      <c r="P124" s="622"/>
      <c r="Q124" s="1063"/>
      <c r="R124" s="622"/>
      <c r="S124" s="982"/>
      <c r="T124" s="927"/>
      <c r="V124" s="878"/>
    </row>
    <row r="125" spans="1:44" s="224" customFormat="1" ht="15" customHeight="1" x14ac:dyDescent="0.25">
      <c r="A125" s="247">
        <v>45436</v>
      </c>
      <c r="B125" s="882" t="s">
        <v>539</v>
      </c>
      <c r="C125" s="879" t="s">
        <v>12</v>
      </c>
      <c r="D125" s="879" t="s">
        <v>1506</v>
      </c>
      <c r="E125" s="871" t="s">
        <v>13</v>
      </c>
      <c r="F125" s="780">
        <v>9.9</v>
      </c>
      <c r="G125" s="946"/>
      <c r="H125" s="95"/>
      <c r="I125" s="1064"/>
      <c r="J125" s="613"/>
      <c r="K125" s="6"/>
      <c r="L125" s="622"/>
      <c r="M125" s="982"/>
      <c r="N125" s="622"/>
      <c r="O125" s="982"/>
      <c r="P125" s="622"/>
      <c r="Q125" s="1063"/>
      <c r="R125" s="1116"/>
      <c r="S125" s="1215"/>
      <c r="T125" s="1028"/>
      <c r="W125" s="958"/>
    </row>
    <row r="126" spans="1:44" s="224" customFormat="1" ht="15" customHeight="1" x14ac:dyDescent="0.25">
      <c r="A126" s="247">
        <v>45436</v>
      </c>
      <c r="B126" s="882" t="s">
        <v>81</v>
      </c>
      <c r="C126" s="879" t="s">
        <v>12</v>
      </c>
      <c r="D126" s="879" t="s">
        <v>1493</v>
      </c>
      <c r="E126" s="871" t="s">
        <v>13</v>
      </c>
      <c r="F126" s="780">
        <v>6.5</v>
      </c>
      <c r="G126" s="946"/>
      <c r="H126" s="95"/>
      <c r="I126" s="1064"/>
      <c r="J126" s="613"/>
      <c r="K126" s="6"/>
      <c r="L126" s="622"/>
      <c r="M126" s="982"/>
      <c r="N126" s="622"/>
      <c r="O126" s="982"/>
      <c r="P126" s="622"/>
      <c r="Q126" s="1525"/>
      <c r="R126" s="1116"/>
      <c r="S126" s="1215"/>
      <c r="T126" s="1028"/>
      <c r="W126" s="958"/>
    </row>
    <row r="127" spans="1:44" s="224" customFormat="1" ht="15" customHeight="1" x14ac:dyDescent="0.25">
      <c r="A127" s="247">
        <v>45436</v>
      </c>
      <c r="B127" s="882" t="s">
        <v>14</v>
      </c>
      <c r="C127" s="879" t="s">
        <v>12</v>
      </c>
      <c r="D127" s="879" t="s">
        <v>1486</v>
      </c>
      <c r="E127" s="871" t="s">
        <v>13</v>
      </c>
      <c r="F127" s="780">
        <v>18.09</v>
      </c>
      <c r="G127" s="946"/>
      <c r="H127" s="95"/>
      <c r="I127" s="1064"/>
      <c r="J127" s="613"/>
      <c r="K127" s="6"/>
      <c r="L127" s="622"/>
      <c r="M127" s="982"/>
      <c r="N127" s="622"/>
      <c r="O127" s="982"/>
      <c r="P127" s="622"/>
      <c r="Q127" s="1063"/>
      <c r="R127" s="1110"/>
      <c r="S127" s="1208"/>
      <c r="T127" s="1028"/>
      <c r="W127" s="958"/>
    </row>
    <row r="128" spans="1:44" s="224" customFormat="1" ht="15" customHeight="1" x14ac:dyDescent="0.25">
      <c r="A128" s="247">
        <v>45437</v>
      </c>
      <c r="B128" s="882" t="s">
        <v>6490</v>
      </c>
      <c r="C128" s="879" t="s">
        <v>12</v>
      </c>
      <c r="D128" s="879" t="s">
        <v>1523</v>
      </c>
      <c r="E128" s="871" t="s">
        <v>13</v>
      </c>
      <c r="F128" s="780">
        <v>40</v>
      </c>
      <c r="G128" s="946"/>
      <c r="H128" s="95"/>
      <c r="I128" s="1064"/>
      <c r="J128" s="622"/>
      <c r="K128" s="982"/>
      <c r="L128" s="622"/>
      <c r="M128" s="982"/>
      <c r="N128" s="622"/>
      <c r="O128" s="982"/>
      <c r="P128" s="622"/>
      <c r="Q128" s="1063"/>
      <c r="R128" s="622"/>
      <c r="S128" s="982"/>
      <c r="T128" s="1028"/>
      <c r="W128" s="958"/>
    </row>
    <row r="129" spans="1:44" s="224" customFormat="1" ht="15" customHeight="1" x14ac:dyDescent="0.25">
      <c r="A129" s="247">
        <v>45437</v>
      </c>
      <c r="B129" s="882" t="s">
        <v>443</v>
      </c>
      <c r="C129" s="879" t="s">
        <v>12</v>
      </c>
      <c r="D129" s="879" t="s">
        <v>1493</v>
      </c>
      <c r="E129" s="875" t="s">
        <v>13</v>
      </c>
      <c r="F129" s="780">
        <v>10.8</v>
      </c>
      <c r="G129" s="946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1028"/>
      <c r="W129" s="958"/>
    </row>
    <row r="130" spans="1:44" s="224" customFormat="1" ht="15" customHeight="1" x14ac:dyDescent="0.25">
      <c r="A130" s="247">
        <v>45438</v>
      </c>
      <c r="B130" s="882" t="s">
        <v>14</v>
      </c>
      <c r="C130" s="879" t="s">
        <v>12</v>
      </c>
      <c r="D130" s="879" t="s">
        <v>1486</v>
      </c>
      <c r="E130" s="871" t="s">
        <v>13</v>
      </c>
      <c r="F130" s="780">
        <v>19.190000000000001</v>
      </c>
      <c r="G130" s="982"/>
      <c r="H130" s="622"/>
      <c r="I130" s="982"/>
      <c r="J130" s="872"/>
      <c r="K130" s="1207"/>
      <c r="L130" s="622"/>
      <c r="M130" s="982"/>
      <c r="N130" s="622"/>
      <c r="O130" s="982"/>
      <c r="P130" s="622"/>
      <c r="Q130" s="1063"/>
      <c r="R130" s="622"/>
      <c r="S130" s="982"/>
      <c r="T130" s="1028"/>
      <c r="U130" s="959"/>
      <c r="V130" s="878"/>
      <c r="W130" s="958"/>
    </row>
    <row r="131" spans="1:44" s="224" customFormat="1" ht="15" customHeight="1" x14ac:dyDescent="0.25">
      <c r="A131" s="247">
        <v>45439</v>
      </c>
      <c r="B131" s="882" t="s">
        <v>32</v>
      </c>
      <c r="C131" s="879" t="s">
        <v>12</v>
      </c>
      <c r="D131" s="879" t="s">
        <v>1485</v>
      </c>
      <c r="E131" s="875" t="s">
        <v>13</v>
      </c>
      <c r="F131" s="1279">
        <v>22</v>
      </c>
      <c r="G131" s="982"/>
      <c r="H131" s="622"/>
      <c r="I131" s="982"/>
      <c r="J131" s="1116"/>
      <c r="K131" s="1207"/>
      <c r="L131" s="622"/>
      <c r="M131" s="982"/>
      <c r="N131" s="622"/>
      <c r="O131" s="982"/>
      <c r="P131" s="622"/>
      <c r="Q131" s="1063"/>
      <c r="R131" s="880"/>
      <c r="S131" s="1033"/>
      <c r="T131" s="927"/>
      <c r="V131" s="878"/>
    </row>
    <row r="132" spans="1:44" s="224" customFormat="1" ht="15" customHeight="1" x14ac:dyDescent="0.25">
      <c r="A132" s="247">
        <v>45439</v>
      </c>
      <c r="B132" s="882" t="s">
        <v>134</v>
      </c>
      <c r="C132" s="879" t="s">
        <v>12</v>
      </c>
      <c r="D132" s="879" t="s">
        <v>1493</v>
      </c>
      <c r="E132" s="875" t="s">
        <v>13</v>
      </c>
      <c r="F132" s="1279">
        <v>8</v>
      </c>
      <c r="G132" s="982"/>
      <c r="H132" s="622"/>
      <c r="I132" s="982"/>
      <c r="J132" s="1116"/>
      <c r="K132" s="1207"/>
      <c r="L132" s="622"/>
      <c r="M132" s="982"/>
      <c r="N132" s="622"/>
      <c r="O132" s="982"/>
      <c r="P132" s="622"/>
      <c r="Q132" s="1063"/>
      <c r="R132" s="880"/>
      <c r="S132" s="1033"/>
      <c r="T132" s="927"/>
      <c r="V132" s="878"/>
    </row>
    <row r="133" spans="1:44" s="224" customFormat="1" ht="15" customHeight="1" x14ac:dyDescent="0.25">
      <c r="A133" s="247">
        <v>45439</v>
      </c>
      <c r="B133" s="882" t="s">
        <v>6329</v>
      </c>
      <c r="C133" s="879" t="s">
        <v>12</v>
      </c>
      <c r="D133" s="879"/>
      <c r="E133" s="875" t="s">
        <v>25</v>
      </c>
      <c r="F133" s="780"/>
      <c r="G133" s="982">
        <v>100</v>
      </c>
      <c r="H133" s="622"/>
      <c r="I133" s="982"/>
      <c r="J133" s="622"/>
      <c r="K133" s="982"/>
      <c r="L133" s="622"/>
      <c r="M133" s="982"/>
      <c r="N133" s="622"/>
      <c r="O133" s="982"/>
      <c r="P133" s="880"/>
      <c r="Q133" s="1525"/>
      <c r="R133" s="613"/>
      <c r="S133" s="162"/>
      <c r="T133" s="1956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</row>
    <row r="134" spans="1:44" s="224" customFormat="1" ht="15" customHeight="1" x14ac:dyDescent="0.25">
      <c r="A134" s="247">
        <v>45440</v>
      </c>
      <c r="B134" s="882" t="s">
        <v>32</v>
      </c>
      <c r="C134" s="879" t="s">
        <v>12</v>
      </c>
      <c r="D134" s="879" t="s">
        <v>1485</v>
      </c>
      <c r="E134" s="875" t="s">
        <v>13</v>
      </c>
      <c r="F134" s="1279">
        <v>22</v>
      </c>
      <c r="G134" s="982"/>
      <c r="H134" s="622"/>
      <c r="I134" s="982"/>
      <c r="J134" s="1116"/>
      <c r="K134" s="1207"/>
      <c r="L134" s="622"/>
      <c r="M134" s="982"/>
      <c r="N134" s="622"/>
      <c r="O134" s="982"/>
      <c r="P134" s="622"/>
      <c r="Q134" s="1063"/>
      <c r="R134" s="622"/>
      <c r="S134" s="982"/>
      <c r="T134" s="927"/>
      <c r="V134" s="878"/>
    </row>
    <row r="135" spans="1:44" s="224" customFormat="1" ht="15" customHeight="1" x14ac:dyDescent="0.25">
      <c r="A135" s="247">
        <v>45440</v>
      </c>
      <c r="B135" s="882" t="s">
        <v>81</v>
      </c>
      <c r="C135" s="879" t="s">
        <v>12</v>
      </c>
      <c r="D135" s="879" t="s">
        <v>1493</v>
      </c>
      <c r="E135" s="871" t="s">
        <v>13</v>
      </c>
      <c r="F135" s="780">
        <v>6</v>
      </c>
      <c r="G135" s="946"/>
      <c r="H135" s="95"/>
      <c r="I135" s="1064"/>
      <c r="J135" s="613"/>
      <c r="K135" s="6"/>
      <c r="L135" s="622"/>
      <c r="M135" s="982"/>
      <c r="N135" s="622"/>
      <c r="O135" s="982"/>
      <c r="P135" s="622"/>
      <c r="Q135" s="1525"/>
      <c r="R135" s="1116"/>
      <c r="S135" s="1215"/>
      <c r="T135" s="1028"/>
      <c r="W135" s="958"/>
    </row>
    <row r="136" spans="1:44" s="224" customFormat="1" ht="15" customHeight="1" x14ac:dyDescent="0.25">
      <c r="A136" s="247">
        <v>45440</v>
      </c>
      <c r="B136" s="882" t="s">
        <v>14</v>
      </c>
      <c r="C136" s="879" t="s">
        <v>12</v>
      </c>
      <c r="D136" s="879" t="s">
        <v>1486</v>
      </c>
      <c r="E136" s="871" t="s">
        <v>13</v>
      </c>
      <c r="F136" s="780">
        <v>9.8800000000000008</v>
      </c>
      <c r="G136" s="982"/>
      <c r="H136" s="1008"/>
      <c r="I136" s="1063"/>
      <c r="J136" s="1116"/>
      <c r="K136" s="1207"/>
      <c r="L136" s="622"/>
      <c r="M136" s="982"/>
      <c r="N136" s="622"/>
      <c r="O136" s="982"/>
      <c r="P136" s="622"/>
      <c r="Q136" s="1063"/>
      <c r="R136" s="622"/>
      <c r="S136" s="982"/>
      <c r="T136" s="861"/>
      <c r="V136" s="1035"/>
    </row>
    <row r="137" spans="1:44" s="224" customFormat="1" ht="15" customHeight="1" x14ac:dyDescent="0.25">
      <c r="A137" s="247">
        <v>45441</v>
      </c>
      <c r="B137" s="882" t="s">
        <v>32</v>
      </c>
      <c r="C137" s="879" t="s">
        <v>12</v>
      </c>
      <c r="D137" s="879" t="s">
        <v>1485</v>
      </c>
      <c r="E137" s="875" t="s">
        <v>13</v>
      </c>
      <c r="F137" s="1279">
        <v>22</v>
      </c>
      <c r="G137" s="982"/>
      <c r="H137" s="622"/>
      <c r="I137" s="982"/>
      <c r="J137" s="872"/>
      <c r="K137" s="1207"/>
      <c r="L137" s="622"/>
      <c r="M137" s="982"/>
      <c r="N137" s="622"/>
      <c r="O137" s="982"/>
      <c r="P137" s="622"/>
      <c r="Q137" s="1063"/>
      <c r="R137" s="622"/>
      <c r="S137" s="982"/>
      <c r="T137" s="1028"/>
      <c r="U137" s="959"/>
      <c r="V137" s="878"/>
      <c r="W137" s="958"/>
    </row>
    <row r="138" spans="1:44" s="224" customFormat="1" ht="15" customHeight="1" x14ac:dyDescent="0.25">
      <c r="A138" s="247">
        <v>45441</v>
      </c>
      <c r="B138" s="364" t="s">
        <v>6491</v>
      </c>
      <c r="C138" s="350" t="s">
        <v>12</v>
      </c>
      <c r="D138" s="350" t="s">
        <v>2157</v>
      </c>
      <c r="E138" s="875" t="s">
        <v>15</v>
      </c>
      <c r="F138" s="780">
        <v>52.79</v>
      </c>
      <c r="G138" s="982"/>
      <c r="H138" s="1008"/>
      <c r="I138" s="1063"/>
      <c r="J138" s="1110"/>
      <c r="K138" s="1207"/>
      <c r="L138" s="622"/>
      <c r="M138" s="982"/>
      <c r="N138" s="622"/>
      <c r="O138" s="982"/>
      <c r="P138" s="622"/>
      <c r="Q138" s="1063"/>
      <c r="R138" s="622"/>
      <c r="S138" s="982"/>
      <c r="T138" s="861"/>
      <c r="V138" s="1035"/>
    </row>
    <row r="139" spans="1:44" s="224" customFormat="1" ht="15" customHeight="1" x14ac:dyDescent="0.25">
      <c r="A139" s="247">
        <v>45441</v>
      </c>
      <c r="B139" s="882" t="s">
        <v>1906</v>
      </c>
      <c r="C139" s="879" t="s">
        <v>12</v>
      </c>
      <c r="D139" s="879" t="s">
        <v>1493</v>
      </c>
      <c r="E139" s="875" t="s">
        <v>13</v>
      </c>
      <c r="F139" s="1279">
        <v>16</v>
      </c>
      <c r="G139" s="982"/>
      <c r="H139" s="622"/>
      <c r="I139" s="982"/>
      <c r="J139" s="872"/>
      <c r="K139" s="1207"/>
      <c r="L139" s="622"/>
      <c r="M139" s="982"/>
      <c r="N139" s="622"/>
      <c r="O139" s="982"/>
      <c r="P139" s="622"/>
      <c r="Q139" s="1063"/>
      <c r="R139" s="622"/>
      <c r="S139" s="982"/>
      <c r="T139" s="1028"/>
      <c r="U139" s="959"/>
      <c r="V139" s="878"/>
      <c r="W139" s="958"/>
    </row>
    <row r="140" spans="1:44" s="224" customFormat="1" ht="15" customHeight="1" x14ac:dyDescent="0.25">
      <c r="A140" s="247">
        <v>45442</v>
      </c>
      <c r="B140" s="882" t="s">
        <v>14</v>
      </c>
      <c r="C140" s="879" t="s">
        <v>12</v>
      </c>
      <c r="D140" s="879" t="s">
        <v>1486</v>
      </c>
      <c r="E140" s="871" t="s">
        <v>13</v>
      </c>
      <c r="F140" s="780">
        <v>7.2</v>
      </c>
      <c r="G140" s="982"/>
      <c r="H140" s="1008"/>
      <c r="I140" s="1063"/>
      <c r="J140" s="1116"/>
      <c r="K140" s="1207"/>
      <c r="L140" s="622"/>
      <c r="M140" s="982"/>
      <c r="N140" s="622"/>
      <c r="O140" s="982"/>
      <c r="P140" s="622"/>
      <c r="Q140" s="1063"/>
      <c r="R140" s="622"/>
      <c r="S140" s="982"/>
      <c r="T140" s="861"/>
      <c r="V140" s="1035"/>
    </row>
    <row r="141" spans="1:44" s="224" customFormat="1" ht="15" customHeight="1" x14ac:dyDescent="0.25">
      <c r="A141" s="247">
        <v>45442</v>
      </c>
      <c r="B141" s="349" t="s">
        <v>134</v>
      </c>
      <c r="C141" s="350" t="s">
        <v>12</v>
      </c>
      <c r="D141" s="350" t="s">
        <v>1493</v>
      </c>
      <c r="E141" s="480" t="s">
        <v>13</v>
      </c>
      <c r="F141" s="780">
        <v>25.66</v>
      </c>
      <c r="G141" s="946"/>
      <c r="H141" s="95"/>
      <c r="I141" s="1064"/>
      <c r="J141" s="622"/>
      <c r="K141" s="982"/>
      <c r="L141" s="622"/>
      <c r="M141" s="982"/>
      <c r="N141" s="622"/>
      <c r="O141" s="982"/>
      <c r="P141" s="622"/>
      <c r="Q141" s="1063"/>
      <c r="R141" s="622"/>
      <c r="S141" s="982"/>
      <c r="T141" s="861"/>
      <c r="V141" s="927"/>
      <c r="W141" s="999"/>
    </row>
    <row r="142" spans="1:44" s="224" customFormat="1" ht="15" customHeight="1" x14ac:dyDescent="0.25">
      <c r="A142" s="247">
        <v>45443</v>
      </c>
      <c r="B142" s="882" t="s">
        <v>32</v>
      </c>
      <c r="C142" s="879" t="s">
        <v>12</v>
      </c>
      <c r="D142" s="879" t="s">
        <v>1485</v>
      </c>
      <c r="E142" s="875" t="s">
        <v>13</v>
      </c>
      <c r="F142" s="1279">
        <v>22</v>
      </c>
      <c r="G142" s="982"/>
      <c r="H142" s="622"/>
      <c r="I142" s="982"/>
      <c r="J142" s="872"/>
      <c r="K142" s="1207"/>
      <c r="L142" s="622"/>
      <c r="M142" s="982"/>
      <c r="N142" s="622"/>
      <c r="O142" s="982"/>
      <c r="P142" s="622"/>
      <c r="Q142" s="1063"/>
      <c r="R142" s="622"/>
      <c r="S142" s="982"/>
      <c r="T142" s="1028"/>
      <c r="U142" s="959"/>
      <c r="V142" s="878"/>
      <c r="W142" s="958"/>
    </row>
    <row r="143" spans="1:44" s="224" customFormat="1" ht="15" customHeight="1" x14ac:dyDescent="0.25">
      <c r="A143" s="247">
        <v>45443</v>
      </c>
      <c r="B143" s="882" t="s">
        <v>2629</v>
      </c>
      <c r="C143" s="879" t="s">
        <v>12</v>
      </c>
      <c r="D143" s="879" t="s">
        <v>1489</v>
      </c>
      <c r="E143" s="875" t="s">
        <v>13</v>
      </c>
      <c r="F143" s="1279">
        <v>11.99</v>
      </c>
      <c r="G143" s="982"/>
      <c r="H143" s="622"/>
      <c r="I143" s="982"/>
      <c r="J143" s="872"/>
      <c r="K143" s="1207"/>
      <c r="L143" s="622"/>
      <c r="M143" s="982"/>
      <c r="N143" s="622"/>
      <c r="O143" s="982"/>
      <c r="P143" s="622"/>
      <c r="Q143" s="1063"/>
      <c r="R143" s="622"/>
      <c r="S143" s="982"/>
      <c r="T143" s="1028"/>
      <c r="U143" s="959"/>
      <c r="V143" s="878"/>
      <c r="W143" s="958"/>
    </row>
    <row r="144" spans="1:44" s="224" customFormat="1" ht="15" customHeight="1" x14ac:dyDescent="0.25">
      <c r="A144" s="247">
        <v>45443</v>
      </c>
      <c r="B144" s="349" t="s">
        <v>82</v>
      </c>
      <c r="C144" s="350" t="s">
        <v>12</v>
      </c>
      <c r="D144" s="350" t="s">
        <v>1493</v>
      </c>
      <c r="E144" s="480" t="s">
        <v>13</v>
      </c>
      <c r="F144" s="780">
        <v>30</v>
      </c>
      <c r="G144" s="946"/>
      <c r="H144" s="95"/>
      <c r="I144" s="1064"/>
      <c r="J144" s="853"/>
      <c r="K144" s="982"/>
      <c r="L144" s="622"/>
      <c r="M144" s="982"/>
      <c r="N144" s="622"/>
      <c r="O144" s="982"/>
      <c r="P144" s="622"/>
      <c r="Q144" s="1063"/>
      <c r="R144" s="622"/>
      <c r="S144" s="982"/>
      <c r="T144" s="861"/>
      <c r="V144" s="927"/>
      <c r="W144" s="999"/>
    </row>
    <row r="145" spans="1:28" s="224" customFormat="1" ht="15" customHeight="1" x14ac:dyDescent="0.25">
      <c r="A145" s="247">
        <v>45443</v>
      </c>
      <c r="B145" s="364" t="s">
        <v>3758</v>
      </c>
      <c r="C145" s="350"/>
      <c r="D145" s="350"/>
      <c r="E145" s="875"/>
      <c r="F145" s="780"/>
      <c r="G145" s="982"/>
      <c r="H145" s="1008"/>
      <c r="I145" s="1063"/>
      <c r="J145" s="622"/>
      <c r="K145" s="982"/>
      <c r="L145" s="622"/>
      <c r="M145" s="982"/>
      <c r="N145" s="622"/>
      <c r="O145" s="982"/>
      <c r="P145" s="622"/>
      <c r="Q145" s="1063"/>
      <c r="R145" s="622"/>
      <c r="S145" s="982"/>
      <c r="T145" s="861">
        <v>1364.87</v>
      </c>
      <c r="V145" s="1035"/>
    </row>
    <row r="146" spans="1:28" s="224" customFormat="1" ht="15" customHeight="1" thickBot="1" x14ac:dyDescent="0.3">
      <c r="A146" s="247">
        <v>45443</v>
      </c>
      <c r="B146" s="349" t="s">
        <v>6168</v>
      </c>
      <c r="C146" s="350" t="s">
        <v>12</v>
      </c>
      <c r="D146" s="350"/>
      <c r="E146" s="480" t="s">
        <v>25</v>
      </c>
      <c r="F146" s="780"/>
      <c r="G146" s="946"/>
      <c r="H146" s="95"/>
      <c r="I146" s="2096">
        <v>7.52</v>
      </c>
      <c r="J146" s="622"/>
      <c r="K146" s="2096">
        <v>20.64</v>
      </c>
      <c r="L146" s="622"/>
      <c r="M146" s="982"/>
      <c r="N146" s="622"/>
      <c r="O146" s="982"/>
      <c r="P146" s="622"/>
      <c r="Q146" s="2096">
        <v>28.18</v>
      </c>
      <c r="R146" s="622"/>
      <c r="S146" s="982"/>
      <c r="T146" s="861"/>
      <c r="V146" s="927"/>
      <c r="W146" s="999"/>
    </row>
    <row r="147" spans="1:28" ht="25.5" customHeight="1" thickBot="1" x14ac:dyDescent="0.3">
      <c r="A147" s="3060"/>
      <c r="B147" s="3061"/>
      <c r="C147" s="3062"/>
      <c r="D147" s="3062"/>
      <c r="E147" s="3062"/>
      <c r="F147" s="1023">
        <f>SUM(F6:F146)</f>
        <v>12576.544999999996</v>
      </c>
      <c r="G147" s="1065">
        <f>SUM(G5:G146)</f>
        <v>13262.910750000043</v>
      </c>
      <c r="H147" s="517">
        <f>SUM(H6:H146)</f>
        <v>732.65</v>
      </c>
      <c r="I147" s="93">
        <f>SUM(I5:I146)</f>
        <v>1737.465999999999</v>
      </c>
      <c r="J147" s="517">
        <f>SUM(J6:J146)</f>
        <v>6732.78</v>
      </c>
      <c r="K147" s="93">
        <f>SUM(K5:K146)</f>
        <v>9901.7800000000043</v>
      </c>
      <c r="L147" s="1023">
        <f>SUM(L6:L146)</f>
        <v>0</v>
      </c>
      <c r="M147" s="93">
        <f>SUM(M5:M146)</f>
        <v>26844.530000000002</v>
      </c>
      <c r="N147" s="1023">
        <f>SUM(N6:N146)</f>
        <v>0</v>
      </c>
      <c r="O147" s="93">
        <f>SUM(O5:O146)</f>
        <v>0</v>
      </c>
      <c r="P147" s="1023">
        <f>SUM(P6:P146)</f>
        <v>1067.57</v>
      </c>
      <c r="Q147" s="93">
        <f>SUM(Q5:Q146)</f>
        <v>5078.5800000000017</v>
      </c>
      <c r="R147" s="1023">
        <f>SUM(R6:R146)</f>
        <v>0</v>
      </c>
      <c r="S147" s="93">
        <f>SUM(S5:S146)</f>
        <v>29186.485984720006</v>
      </c>
      <c r="U147" s="216"/>
    </row>
    <row r="148" spans="1:28" ht="25.5" customHeight="1" thickBot="1" x14ac:dyDescent="0.3">
      <c r="A148" s="3063" t="s">
        <v>49</v>
      </c>
      <c r="B148" s="3064"/>
      <c r="C148" s="3064"/>
      <c r="D148" s="3064"/>
      <c r="E148" s="3064"/>
      <c r="F148" s="2046" t="s">
        <v>280</v>
      </c>
      <c r="G148" s="1066">
        <f>G147-F147</f>
        <v>686.36575000004632</v>
      </c>
      <c r="H148" s="1221"/>
      <c r="I148" s="772">
        <f>I147-H147</f>
        <v>1004.815999999999</v>
      </c>
      <c r="J148" s="1221"/>
      <c r="K148" s="772">
        <f>K147-J147</f>
        <v>3169.0000000000045</v>
      </c>
      <c r="L148" s="1222"/>
      <c r="M148" s="993">
        <f>M147-L147</f>
        <v>26844.530000000002</v>
      </c>
      <c r="N148" s="1222"/>
      <c r="O148" s="772">
        <f>O147-N147</f>
        <v>0</v>
      </c>
      <c r="P148" s="1222"/>
      <c r="Q148" s="772">
        <f>Q147-P147</f>
        <v>4011.010000000002</v>
      </c>
      <c r="R148" s="1222"/>
      <c r="S148" s="772">
        <f>S147-R147</f>
        <v>29186.485984720006</v>
      </c>
      <c r="T148" s="484">
        <f>M148+O148+Q148+S148</f>
        <v>60042.025984720007</v>
      </c>
    </row>
    <row r="149" spans="1:28" x14ac:dyDescent="0.25">
      <c r="J149" s="1210"/>
      <c r="K149" s="1038"/>
      <c r="L149" s="2044"/>
      <c r="M149" s="1238">
        <f>M148/T148</f>
        <v>0.44709567273482115</v>
      </c>
      <c r="O149" s="1238">
        <f>O148/T148</f>
        <v>0</v>
      </c>
      <c r="Q149" s="1238">
        <f>Q148/T148</f>
        <v>6.6803375372789006E-2</v>
      </c>
      <c r="R149" s="1239"/>
      <c r="S149" s="1239">
        <f>S148/T148</f>
        <v>0.48610095189238994</v>
      </c>
      <c r="T149" s="867"/>
      <c r="U149" s="867"/>
      <c r="V149" s="79"/>
      <c r="Y149" s="518"/>
      <c r="Z149" s="216"/>
      <c r="AB149" s="877"/>
    </row>
    <row r="150" spans="1:28" x14ac:dyDescent="0.25">
      <c r="B150" s="81" t="s">
        <v>3</v>
      </c>
      <c r="C150" s="193" t="s">
        <v>1484</v>
      </c>
      <c r="D150" s="970" t="s">
        <v>2378</v>
      </c>
      <c r="E150" s="193" t="s">
        <v>3216</v>
      </c>
      <c r="F150" s="1061" t="s">
        <v>3217</v>
      </c>
      <c r="G150" s="216"/>
      <c r="I150" s="216"/>
      <c r="J150" s="1038" t="s">
        <v>6327</v>
      </c>
      <c r="K150" s="216">
        <v>1552.96</v>
      </c>
      <c r="L150" s="867"/>
      <c r="M150" s="866"/>
      <c r="O150" s="866"/>
      <c r="Q150" s="866"/>
      <c r="R150" s="1038"/>
      <c r="S150" s="1038"/>
      <c r="T150" s="865"/>
      <c r="U150" s="867"/>
    </row>
    <row r="151" spans="1:28" x14ac:dyDescent="0.25">
      <c r="B151" s="79" t="s">
        <v>32</v>
      </c>
      <c r="C151" s="85" t="s">
        <v>1485</v>
      </c>
      <c r="D151" s="475">
        <f>SUMIF($D$7:$D$146,"A",$F$7:$F$146)</f>
        <v>452.79999999999995</v>
      </c>
      <c r="E151" s="1202">
        <f t="shared" ref="E151:E166" si="0">D151/$K$168</f>
        <v>14.606451612903225</v>
      </c>
      <c r="F151" s="1203">
        <f t="shared" ref="F151:F166" si="1">E151/$E$169</f>
        <v>9.1962800559738239E-2</v>
      </c>
      <c r="G151" s="2203"/>
      <c r="I151" s="769"/>
      <c r="J151" s="1038" t="s">
        <v>6328</v>
      </c>
      <c r="K151" s="1225">
        <v>1616.04</v>
      </c>
      <c r="L151" s="1210"/>
      <c r="M151" s="754"/>
      <c r="O151" s="886"/>
      <c r="Q151" s="886"/>
      <c r="R151" s="886"/>
      <c r="S151" s="1038">
        <v>24197.98</v>
      </c>
      <c r="T151" s="1038" t="s">
        <v>6378</v>
      </c>
      <c r="U151" s="1210"/>
      <c r="W151" s="1201"/>
      <c r="X151" s="877"/>
    </row>
    <row r="152" spans="1:28" x14ac:dyDescent="0.25">
      <c r="B152" s="79" t="s">
        <v>2187</v>
      </c>
      <c r="C152" s="85" t="s">
        <v>2157</v>
      </c>
      <c r="D152" s="475">
        <f>SUMIF($D$7:$D$146,"GAC",$F$7:$F$146)</f>
        <v>422.79</v>
      </c>
      <c r="E152" s="1202">
        <f t="shared" si="0"/>
        <v>13.638387096774194</v>
      </c>
      <c r="F152" s="1203">
        <f t="shared" si="1"/>
        <v>8.5867827845962308E-2</v>
      </c>
      <c r="G152" s="2203"/>
      <c r="J152" s="2125"/>
      <c r="K152" s="1129">
        <f>SUM(K150:K151)</f>
        <v>3169</v>
      </c>
      <c r="L152" s="1038"/>
      <c r="M152" s="1225"/>
      <c r="O152" s="1210"/>
      <c r="Q152" s="1038"/>
      <c r="R152" s="1210"/>
      <c r="S152" s="1210">
        <f>S148+S151</f>
        <v>53384.465984720009</v>
      </c>
      <c r="T152" s="1038" t="s">
        <v>6379</v>
      </c>
      <c r="W152" s="877"/>
      <c r="X152" s="877"/>
    </row>
    <row r="153" spans="1:28" s="85" customFormat="1" x14ac:dyDescent="0.25">
      <c r="A153" s="79"/>
      <c r="B153" s="79" t="s">
        <v>50</v>
      </c>
      <c r="C153" s="85" t="s">
        <v>1493</v>
      </c>
      <c r="D153" s="475">
        <f>SUMIF($D$7:$D$146,"LD",$F$7:$F$146)</f>
        <v>325.32000000000005</v>
      </c>
      <c r="E153" s="1202">
        <f t="shared" si="0"/>
        <v>10.494193548387099</v>
      </c>
      <c r="F153" s="1203">
        <f t="shared" si="1"/>
        <v>6.6071860154801348E-2</v>
      </c>
      <c r="G153" s="2203"/>
      <c r="J153" s="1210"/>
      <c r="K153" s="1038"/>
      <c r="L153" s="864"/>
      <c r="M153" s="877"/>
      <c r="O153" s="941"/>
      <c r="P153" s="877"/>
      <c r="Q153" s="863"/>
      <c r="S153" s="79"/>
      <c r="T153" s="177"/>
      <c r="W153" s="877"/>
      <c r="X153" s="877"/>
    </row>
    <row r="154" spans="1:28" s="85" customFormat="1" x14ac:dyDescent="0.25">
      <c r="A154" s="79"/>
      <c r="B154" s="79" t="s">
        <v>14</v>
      </c>
      <c r="C154" s="85" t="s">
        <v>1486</v>
      </c>
      <c r="D154" s="475">
        <f>SUMIF($D$7:$D$146,"C",$F$7:$F$146)</f>
        <v>143.54</v>
      </c>
      <c r="E154" s="1202">
        <f t="shared" si="0"/>
        <v>4.6303225806451609</v>
      </c>
      <c r="F154" s="1203">
        <f t="shared" si="1"/>
        <v>2.9152695212775675E-2</v>
      </c>
      <c r="G154" s="2203"/>
      <c r="H154" s="79"/>
      <c r="J154" s="1210"/>
      <c r="K154" s="1038"/>
      <c r="L154" s="1038"/>
      <c r="M154" s="877"/>
      <c r="O154" s="1028"/>
      <c r="P154" s="877"/>
      <c r="Q154" s="1038"/>
      <c r="T154" s="177"/>
      <c r="W154" s="877"/>
      <c r="X154" s="877"/>
    </row>
    <row r="155" spans="1:28" s="85" customFormat="1" x14ac:dyDescent="0.25">
      <c r="B155" s="79" t="s">
        <v>51</v>
      </c>
      <c r="C155" s="864" t="s">
        <v>1499</v>
      </c>
      <c r="D155" s="475">
        <f>SUMIF($D$7:$D$146,"CAL",$F$7:$F$146)</f>
        <v>125.75</v>
      </c>
      <c r="E155" s="1202">
        <f t="shared" si="0"/>
        <v>4.056451612903226</v>
      </c>
      <c r="F155" s="1203">
        <f t="shared" si="1"/>
        <v>2.5539580764989144E-2</v>
      </c>
      <c r="G155" s="2203"/>
      <c r="H155" s="79"/>
      <c r="I155" s="79"/>
      <c r="J155" s="1210"/>
      <c r="K155" s="1038"/>
      <c r="L155" s="1038"/>
      <c r="M155" s="877"/>
      <c r="O155" s="1028"/>
      <c r="P155" s="877"/>
      <c r="Q155" s="1038"/>
      <c r="R155" s="1210"/>
      <c r="S155" s="1038"/>
      <c r="T155" s="177"/>
      <c r="W155" s="877"/>
      <c r="X155" s="877"/>
    </row>
    <row r="156" spans="1:28" s="85" customFormat="1" x14ac:dyDescent="0.25">
      <c r="A156" s="79"/>
      <c r="B156" s="79" t="s">
        <v>2189</v>
      </c>
      <c r="C156" s="864" t="s">
        <v>1496</v>
      </c>
      <c r="D156" s="475">
        <f>SUMIF($D$26:$D$146,"AC",$F$26:$F$146)</f>
        <v>90</v>
      </c>
      <c r="E156" s="1202">
        <f t="shared" si="0"/>
        <v>2.903225806451613</v>
      </c>
      <c r="F156" s="1203">
        <f t="shared" si="1"/>
        <v>1.8278825199594614E-2</v>
      </c>
      <c r="G156" s="2203"/>
      <c r="J156" s="1210"/>
      <c r="K156" s="1038"/>
      <c r="L156" s="1038"/>
      <c r="M156" s="877"/>
      <c r="O156" s="877"/>
      <c r="Q156" s="177"/>
      <c r="T156" s="177"/>
      <c r="W156" s="877"/>
      <c r="X156" s="877"/>
    </row>
    <row r="157" spans="1:28" s="85" customFormat="1" x14ac:dyDescent="0.25">
      <c r="A157" s="79"/>
      <c r="B157" s="867" t="s">
        <v>53</v>
      </c>
      <c r="C157" s="864" t="s">
        <v>1522</v>
      </c>
      <c r="D157" s="475">
        <f>SUMIF($D$10:$D$146,"DC",$F$10:$F$146)</f>
        <v>69.66</v>
      </c>
      <c r="E157" s="1202">
        <f t="shared" si="0"/>
        <v>2.2470967741935484</v>
      </c>
      <c r="F157" s="1203">
        <f t="shared" si="1"/>
        <v>1.4147810704486232E-2</v>
      </c>
      <c r="G157" s="2203"/>
      <c r="J157" s="1210"/>
      <c r="K157" s="1038"/>
      <c r="L157" s="79"/>
      <c r="M157" s="877"/>
      <c r="O157" s="1959"/>
      <c r="Q157" s="177"/>
      <c r="R157" s="868"/>
      <c r="S157" s="769"/>
      <c r="T157" s="79"/>
      <c r="W157" s="877"/>
      <c r="X157" s="877"/>
    </row>
    <row r="158" spans="1:28" s="85" customFormat="1" x14ac:dyDescent="0.25">
      <c r="A158" s="79"/>
      <c r="B158" s="79" t="s">
        <v>3048</v>
      </c>
      <c r="C158" s="864" t="s">
        <v>1523</v>
      </c>
      <c r="D158" s="475">
        <f ca="1">SUMIF($D$8:$D$147,"B",$F$8:$F$146)</f>
        <v>40</v>
      </c>
      <c r="E158" s="1202">
        <f t="shared" ca="1" si="0"/>
        <v>1.2903225806451613</v>
      </c>
      <c r="F158" s="1203">
        <f t="shared" ca="1" si="1"/>
        <v>8.1239223109309394E-3</v>
      </c>
      <c r="G158" s="2203"/>
      <c r="J158" s="1210"/>
      <c r="K158" s="1038"/>
      <c r="L158" s="1038"/>
      <c r="M158" s="877"/>
      <c r="O158" s="877"/>
      <c r="Q158" s="177"/>
      <c r="R158" s="866"/>
      <c r="S158" s="1210"/>
      <c r="T158" s="877"/>
      <c r="W158" s="877"/>
      <c r="X158" s="877"/>
    </row>
    <row r="159" spans="1:28" s="85" customFormat="1" x14ac:dyDescent="0.25">
      <c r="A159" s="79"/>
      <c r="B159" s="79" t="s">
        <v>1686</v>
      </c>
      <c r="C159" s="864" t="s">
        <v>1506</v>
      </c>
      <c r="D159" s="475">
        <f>SUMIF($D$8:$D$146,"R",$F$8:$F$146)</f>
        <v>307.77999999999997</v>
      </c>
      <c r="E159" s="1202">
        <f t="shared" si="0"/>
        <v>9.928387096774193</v>
      </c>
      <c r="F159" s="1203">
        <f t="shared" si="1"/>
        <v>6.2509520221458115E-2</v>
      </c>
      <c r="G159" s="2203"/>
      <c r="J159" s="1210"/>
      <c r="K159" s="1038"/>
      <c r="M159" s="877"/>
      <c r="O159" s="877"/>
      <c r="Q159" s="177"/>
      <c r="R159" s="1226"/>
      <c r="S159" s="1129"/>
      <c r="T159" s="877"/>
      <c r="W159" s="877"/>
      <c r="X159" s="877"/>
    </row>
    <row r="160" spans="1:28" x14ac:dyDescent="0.25">
      <c r="B160" s="79" t="s">
        <v>418</v>
      </c>
      <c r="C160" s="85" t="s">
        <v>1524</v>
      </c>
      <c r="D160" s="475">
        <f>SUMIF($D$7:$D$146,"COM",$F$7:$F$146)</f>
        <v>6759.9749999999995</v>
      </c>
      <c r="E160" s="1202">
        <f t="shared" si="0"/>
        <v>218.06370967741933</v>
      </c>
      <c r="F160" s="1203">
        <f t="shared" si="1"/>
        <v>1.3729377930958844</v>
      </c>
      <c r="G160" s="2203"/>
      <c r="H160" s="85"/>
      <c r="I160" s="85"/>
      <c r="J160" s="1210"/>
      <c r="K160" s="1038"/>
      <c r="L160" s="769"/>
      <c r="M160" s="1225"/>
      <c r="N160" s="769"/>
      <c r="O160" s="877"/>
      <c r="P160" s="769"/>
      <c r="Q160" s="216"/>
      <c r="R160" s="1038"/>
      <c r="S160" s="1226"/>
      <c r="T160" s="877"/>
      <c r="W160" s="877"/>
      <c r="X160" s="877"/>
    </row>
    <row r="161" spans="1:26" x14ac:dyDescent="0.25">
      <c r="B161" s="79" t="s">
        <v>419</v>
      </c>
      <c r="C161" s="85" t="s">
        <v>1491</v>
      </c>
      <c r="D161" s="475">
        <f>SUMIF($D$26:$D$146,"F",$F$26:$F$146)</f>
        <v>1002.8</v>
      </c>
      <c r="E161" s="1202">
        <f t="shared" si="0"/>
        <v>32.348387096774189</v>
      </c>
      <c r="F161" s="1203">
        <f t="shared" si="1"/>
        <v>0.20366673233503862</v>
      </c>
      <c r="G161" s="2203"/>
      <c r="I161" s="85"/>
      <c r="J161" s="1210"/>
      <c r="K161" s="1038"/>
      <c r="P161" s="216"/>
      <c r="Q161" s="216"/>
      <c r="S161" s="484"/>
      <c r="T161" s="877"/>
      <c r="W161" s="877"/>
      <c r="X161" s="877"/>
    </row>
    <row r="162" spans="1:26" x14ac:dyDescent="0.25">
      <c r="B162" s="79" t="s">
        <v>911</v>
      </c>
      <c r="C162" s="85" t="s">
        <v>1525</v>
      </c>
      <c r="D162" s="475">
        <f>SUMIF($D$26:$D$146,"FER",$F$26:$F$146)</f>
        <v>0</v>
      </c>
      <c r="E162" s="1202">
        <f t="shared" si="0"/>
        <v>0</v>
      </c>
      <c r="F162" s="1203">
        <f t="shared" si="1"/>
        <v>0</v>
      </c>
      <c r="G162" s="2203"/>
      <c r="J162" s="1210"/>
      <c r="K162" s="1038"/>
      <c r="Q162" s="216"/>
      <c r="S162" s="484"/>
      <c r="T162" s="1673"/>
      <c r="W162" s="877"/>
      <c r="X162" s="877"/>
    </row>
    <row r="163" spans="1:26" x14ac:dyDescent="0.25">
      <c r="B163" s="79" t="s">
        <v>1526</v>
      </c>
      <c r="C163" s="85" t="s">
        <v>1504</v>
      </c>
      <c r="D163" s="475">
        <f>SUMIF($D$28:$D$146,"I",$F$28:$F$146)</f>
        <v>159.9</v>
      </c>
      <c r="E163" s="1202">
        <f t="shared" si="0"/>
        <v>5.1580645161290324</v>
      </c>
      <c r="F163" s="1203">
        <f t="shared" si="1"/>
        <v>3.2475379437946435E-2</v>
      </c>
      <c r="G163" s="2203"/>
      <c r="J163" s="1210"/>
      <c r="K163" s="1038"/>
      <c r="L163" s="769"/>
      <c r="M163" s="868"/>
      <c r="N163" s="769"/>
      <c r="P163" s="769"/>
      <c r="Q163" s="886"/>
      <c r="R163" s="1210"/>
      <c r="S163" s="1038"/>
      <c r="T163" s="1129"/>
      <c r="V163" s="1129"/>
      <c r="W163" s="877"/>
      <c r="X163" s="877"/>
    </row>
    <row r="164" spans="1:26" x14ac:dyDescent="0.25">
      <c r="B164" s="79" t="s">
        <v>2343</v>
      </c>
      <c r="C164" s="85" t="s">
        <v>2315</v>
      </c>
      <c r="D164" s="475">
        <f>SUMIF($D$28:$D$146,"E",$F$28:$F$146)</f>
        <v>0</v>
      </c>
      <c r="E164" s="1202">
        <f t="shared" si="0"/>
        <v>0</v>
      </c>
      <c r="F164" s="1203">
        <f t="shared" si="1"/>
        <v>0</v>
      </c>
      <c r="G164" s="2203"/>
      <c r="J164" s="1210"/>
      <c r="K164" s="1038"/>
      <c r="L164" s="769"/>
      <c r="M164" s="868"/>
      <c r="N164" s="769"/>
      <c r="O164" s="1210"/>
      <c r="P164" s="769"/>
      <c r="Q164" s="1673"/>
      <c r="R164" s="1210"/>
      <c r="S164" s="1038"/>
      <c r="T164" s="1129"/>
      <c r="V164" s="1129"/>
      <c r="W164" s="877"/>
      <c r="X164" s="877"/>
    </row>
    <row r="165" spans="1:26" x14ac:dyDescent="0.25">
      <c r="B165" s="79" t="s">
        <v>3019</v>
      </c>
      <c r="C165" s="85" t="s">
        <v>3017</v>
      </c>
      <c r="D165" s="475">
        <f>SUMIF($D$6:$D$146,"IM",$F$6:$F$146)</f>
        <v>0</v>
      </c>
      <c r="E165" s="1202">
        <f t="shared" si="0"/>
        <v>0</v>
      </c>
      <c r="F165" s="1203">
        <f t="shared" si="1"/>
        <v>0</v>
      </c>
      <c r="G165" s="2203"/>
      <c r="J165" s="1210"/>
      <c r="K165" s="1038"/>
      <c r="L165" s="769"/>
      <c r="N165" s="769"/>
      <c r="P165" s="769"/>
      <c r="R165" s="941"/>
      <c r="S165" s="224"/>
      <c r="T165" s="1226"/>
      <c r="U165" s="1129"/>
      <c r="V165" s="1129"/>
      <c r="W165" s="877"/>
      <c r="X165" s="877"/>
    </row>
    <row r="166" spans="1:26" x14ac:dyDescent="0.25">
      <c r="B166" s="79" t="s">
        <v>1527</v>
      </c>
      <c r="C166" s="85" t="s">
        <v>1489</v>
      </c>
      <c r="D166" s="475">
        <f>SUMIF($D$7:$D$146,"OD",$F$7:$F$146)</f>
        <v>531.08000000000004</v>
      </c>
      <c r="E166" s="1202">
        <f t="shared" si="0"/>
        <v>17.131612903225808</v>
      </c>
      <c r="F166" s="1203">
        <f t="shared" si="1"/>
        <v>0.10786131652223009</v>
      </c>
      <c r="G166" s="2203"/>
      <c r="J166" s="1210"/>
      <c r="K166" s="1038"/>
      <c r="R166" s="1210"/>
      <c r="S166" s="1038"/>
      <c r="T166" s="1226"/>
      <c r="U166" s="1129"/>
      <c r="V166" s="1129"/>
      <c r="W166" s="877"/>
      <c r="X166" s="877"/>
    </row>
    <row r="167" spans="1:26" x14ac:dyDescent="0.25">
      <c r="C167" s="79"/>
      <c r="D167" s="629"/>
      <c r="E167" s="79"/>
      <c r="F167" s="79"/>
      <c r="J167" s="2037"/>
      <c r="K167" s="629"/>
      <c r="L167" s="459" t="s">
        <v>6481</v>
      </c>
      <c r="M167" s="2125" t="s">
        <v>6482</v>
      </c>
      <c r="R167" s="1210"/>
      <c r="S167" s="1038"/>
      <c r="T167" s="1227"/>
      <c r="U167" s="1129"/>
      <c r="V167" s="1129"/>
      <c r="W167" s="877"/>
      <c r="X167" s="877"/>
    </row>
    <row r="168" spans="1:26" x14ac:dyDescent="0.25">
      <c r="C168" s="3168" t="s">
        <v>486</v>
      </c>
      <c r="D168" s="3168"/>
      <c r="E168" s="863">
        <f ca="1">J168/K168</f>
        <v>336.49661290322575</v>
      </c>
      <c r="G168" s="518" t="s">
        <v>487</v>
      </c>
      <c r="J168" s="629">
        <f ca="1">SUM(D151:D166)</f>
        <v>10431.394999999999</v>
      </c>
      <c r="K168" s="1517">
        <v>31</v>
      </c>
      <c r="M168" s="1138">
        <f ca="1">4765.07-J169</f>
        <v>1093.6500000000005</v>
      </c>
      <c r="N168" s="216"/>
      <c r="P168" s="216"/>
      <c r="Q168" s="1517"/>
      <c r="R168" s="1210"/>
      <c r="S168" s="1038"/>
      <c r="T168" s="1226"/>
      <c r="U168" s="1129"/>
      <c r="V168" s="1129"/>
      <c r="W168" s="877"/>
      <c r="X168" s="877"/>
    </row>
    <row r="169" spans="1:26" ht="15.75" customHeight="1" x14ac:dyDescent="0.25">
      <c r="B169" s="3167" t="s">
        <v>6247</v>
      </c>
      <c r="C169" s="3167"/>
      <c r="D169" s="3167"/>
      <c r="E169" s="1125">
        <v>158.83000000000001</v>
      </c>
      <c r="G169" s="518" t="s">
        <v>6257</v>
      </c>
      <c r="J169" s="629">
        <f ca="1">J168-D160</f>
        <v>3671.4199999999992</v>
      </c>
      <c r="L169" s="1517"/>
      <c r="M169" s="868"/>
      <c r="O169" s="868"/>
      <c r="P169" s="2210"/>
      <c r="Q169" s="868"/>
      <c r="R169" s="1210"/>
      <c r="S169" s="1038"/>
      <c r="T169" s="1226"/>
      <c r="U169" s="1129"/>
      <c r="V169" s="1129"/>
      <c r="W169" s="877"/>
      <c r="X169" s="877"/>
    </row>
    <row r="170" spans="1:26" x14ac:dyDescent="0.25">
      <c r="A170" s="518"/>
      <c r="C170" s="79"/>
      <c r="D170" s="79"/>
      <c r="E170" s="769"/>
      <c r="F170" s="866"/>
      <c r="G170" s="769"/>
      <c r="H170" s="866"/>
      <c r="I170" s="1210"/>
      <c r="J170" s="867"/>
      <c r="K170" s="866"/>
      <c r="L170" s="89"/>
      <c r="N170" s="1038"/>
      <c r="O170" s="1210"/>
      <c r="P170" s="1038"/>
      <c r="Q170" s="1210"/>
      <c r="R170" s="1210"/>
      <c r="S170" s="1038"/>
      <c r="T170" s="769"/>
      <c r="U170" s="484" t="s">
        <v>280</v>
      </c>
      <c r="V170" s="216"/>
      <c r="W170" s="866"/>
      <c r="X170" s="484"/>
      <c r="Z170" s="877"/>
    </row>
    <row r="171" spans="1:26" s="518" customFormat="1" x14ac:dyDescent="0.25">
      <c r="A171" s="79"/>
      <c r="B171" s="79"/>
      <c r="C171" s="79"/>
      <c r="D171" s="79"/>
      <c r="E171" s="1126">
        <f ca="1">E169-E168</f>
        <v>-177.66661290322574</v>
      </c>
      <c r="F171" s="1205">
        <f ca="1">SUM(F151:F170)</f>
        <v>2.1185960643658364</v>
      </c>
      <c r="G171" s="85"/>
      <c r="H171" s="85"/>
      <c r="I171" s="89"/>
      <c r="J171" s="1210"/>
      <c r="K171" s="754"/>
      <c r="L171" s="79"/>
      <c r="M171" s="79"/>
      <c r="N171" s="79"/>
      <c r="O171" s="79"/>
      <c r="P171" s="79"/>
      <c r="Q171" s="79"/>
      <c r="R171" s="1210"/>
      <c r="S171" s="1038"/>
      <c r="T171" s="79"/>
      <c r="U171" s="79"/>
      <c r="V171" s="866"/>
      <c r="W171" s="484"/>
      <c r="X171" s="79"/>
      <c r="Y171" s="877"/>
      <c r="Z171" s="79"/>
    </row>
    <row r="172" spans="1:26" s="518" customFormat="1" x14ac:dyDescent="0.25">
      <c r="A172" s="79"/>
      <c r="B172" s="79"/>
      <c r="C172" s="85"/>
      <c r="D172" s="85"/>
      <c r="E172" s="85"/>
      <c r="J172" s="1038"/>
      <c r="K172" s="1225"/>
      <c r="S172" s="1038"/>
      <c r="T172" s="484"/>
      <c r="U172" s="79"/>
      <c r="V172" s="877"/>
      <c r="W172" s="79"/>
    </row>
    <row r="173" spans="1:26" s="518" customFormat="1" x14ac:dyDescent="0.25">
      <c r="A173" s="79"/>
      <c r="B173" s="1124" t="s">
        <v>6376</v>
      </c>
      <c r="C173" s="2125"/>
      <c r="D173" s="2219">
        <f>SUMIF($E$7:$E$146,"crédito",$G$7:$G$146)</f>
        <v>5163.5599999999995</v>
      </c>
      <c r="E173" s="85"/>
      <c r="F173" s="89"/>
      <c r="G173" s="79"/>
      <c r="H173" s="79"/>
      <c r="I173" s="79"/>
      <c r="J173" s="1038"/>
      <c r="K173" s="1225"/>
      <c r="L173" s="769"/>
      <c r="M173" s="866"/>
      <c r="N173" s="769"/>
      <c r="O173" s="866"/>
      <c r="P173" s="769"/>
      <c r="Q173" s="866"/>
      <c r="R173" s="1210"/>
      <c r="S173" s="1038"/>
      <c r="T173" s="484"/>
      <c r="U173" s="79"/>
      <c r="V173" s="877"/>
      <c r="W173" s="79"/>
    </row>
    <row r="174" spans="1:26" s="518" customFormat="1" x14ac:dyDescent="0.25">
      <c r="A174" s="79"/>
      <c r="B174" s="518" t="s">
        <v>6496</v>
      </c>
      <c r="C174" s="459"/>
      <c r="D174" s="2218">
        <f ca="1">SUM(D151:D167)-D160</f>
        <v>3671.4199999999992</v>
      </c>
      <c r="E174" s="85"/>
      <c r="F174" s="89"/>
      <c r="G174" s="79"/>
      <c r="H174" s="79"/>
      <c r="I174" s="216"/>
      <c r="J174" s="864"/>
      <c r="K174" s="877"/>
      <c r="L174" s="769"/>
      <c r="M174" s="866"/>
      <c r="N174" s="769"/>
      <c r="O174" s="866"/>
      <c r="P174" s="769"/>
      <c r="Q174" s="866"/>
      <c r="R174" s="1210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81" t="s">
        <v>6497</v>
      </c>
      <c r="C175" s="81"/>
      <c r="D175" s="1014">
        <f ca="1">D173-D174</f>
        <v>1492.1400000000003</v>
      </c>
      <c r="E175" s="79"/>
      <c r="F175" s="79"/>
      <c r="G175" s="79"/>
      <c r="H175" s="79"/>
      <c r="J175" s="1038"/>
      <c r="K175" s="877"/>
      <c r="M175" s="866"/>
      <c r="O175" s="866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216"/>
      <c r="J176" s="1038"/>
      <c r="K176" s="877"/>
      <c r="L176" s="769"/>
      <c r="M176" s="866"/>
      <c r="N176" s="769"/>
      <c r="O176" s="866"/>
      <c r="P176" s="769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216"/>
      <c r="H177" s="79"/>
      <c r="I177" s="216"/>
      <c r="J177" s="1038"/>
      <c r="K177" s="877"/>
      <c r="L177" s="769"/>
      <c r="M177" s="868"/>
      <c r="N177" s="769"/>
      <c r="O177" s="868"/>
      <c r="P177" s="769"/>
      <c r="Q177" s="868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216"/>
      <c r="H178" s="79"/>
      <c r="I178" s="216"/>
      <c r="J178" s="79"/>
      <c r="K178" s="877"/>
      <c r="L178" s="769"/>
      <c r="M178" s="866"/>
      <c r="N178" s="769"/>
      <c r="O178" s="866"/>
      <c r="P178" s="769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216"/>
      <c r="H179" s="79"/>
      <c r="I179" s="79"/>
      <c r="J179" s="85"/>
      <c r="K179" s="877"/>
      <c r="L179" s="770"/>
      <c r="M179" s="866"/>
      <c r="N179" s="770"/>
      <c r="O179" s="866"/>
      <c r="P179" s="770"/>
      <c r="Q179" s="866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79"/>
      <c r="H180" s="79"/>
      <c r="I180" s="216"/>
      <c r="J180" s="1038"/>
      <c r="K180" s="877"/>
      <c r="L180" s="769"/>
      <c r="M180" s="868"/>
      <c r="N180" s="769"/>
      <c r="O180" s="868"/>
      <c r="P180" s="769"/>
      <c r="Q180" s="868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85"/>
      <c r="K181" s="877"/>
      <c r="L181" s="769"/>
      <c r="M181" s="866"/>
      <c r="N181" s="769"/>
      <c r="O181" s="866"/>
      <c r="P181" s="769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629"/>
      <c r="J182" s="769"/>
      <c r="K182" s="1225"/>
      <c r="L182" s="769"/>
      <c r="M182" s="866"/>
      <c r="N182" s="769"/>
      <c r="O182" s="866"/>
      <c r="P182" s="769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9"/>
      <c r="K183" s="79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9"/>
      <c r="K184" s="79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69"/>
      <c r="K185" s="868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8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79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9"/>
      <c r="K188" s="79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9"/>
      <c r="K189" s="79"/>
      <c r="L189" s="769"/>
      <c r="M189" s="866"/>
      <c r="N189" s="769"/>
      <c r="O189" s="866"/>
      <c r="P189" s="769"/>
      <c r="Q189" s="866"/>
      <c r="R189" s="1210"/>
      <c r="S189" s="103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1517"/>
      <c r="K190" s="79"/>
      <c r="L190" s="769"/>
      <c r="M190" s="866"/>
      <c r="N190" s="769"/>
      <c r="O190" s="866"/>
      <c r="P190" s="769"/>
      <c r="Q190" s="866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9"/>
      <c r="K191" s="868"/>
      <c r="L191" s="769"/>
      <c r="M191" s="866"/>
      <c r="N191" s="769"/>
      <c r="O191" s="866"/>
      <c r="P191" s="769"/>
      <c r="Q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89"/>
      <c r="K192" s="79"/>
      <c r="L192" s="769"/>
      <c r="M192" s="868"/>
      <c r="N192" s="769"/>
      <c r="O192" s="868"/>
      <c r="P192" s="769"/>
      <c r="Q192" s="868"/>
      <c r="R192" s="79"/>
      <c r="S192" s="79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9"/>
      <c r="K193" s="79"/>
      <c r="L193" s="769"/>
      <c r="M193" s="868"/>
      <c r="N193" s="769"/>
      <c r="O193" s="868"/>
      <c r="P193" s="769"/>
      <c r="Q193" s="868"/>
      <c r="R193" s="81"/>
      <c r="S193" s="755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L194" s="769"/>
      <c r="M194" s="868"/>
      <c r="N194" s="769"/>
      <c r="O194" s="868"/>
      <c r="P194" s="769"/>
      <c r="Q194" s="868"/>
      <c r="R194" s="868"/>
      <c r="S194" s="79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769"/>
      <c r="K195" s="866"/>
      <c r="L195" s="769"/>
      <c r="M195" s="868"/>
      <c r="N195" s="769"/>
      <c r="O195" s="868"/>
      <c r="P195" s="769"/>
      <c r="Q195" s="868"/>
      <c r="R195" s="754"/>
      <c r="S195" s="886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769"/>
      <c r="K196" s="866"/>
      <c r="L196" s="769"/>
      <c r="M196" s="868"/>
      <c r="N196" s="769"/>
      <c r="O196" s="868"/>
      <c r="P196" s="769"/>
      <c r="Q196" s="868"/>
      <c r="R196" s="864"/>
      <c r="S196" s="864"/>
      <c r="T196" s="484"/>
      <c r="U196" s="79"/>
      <c r="V196" s="877"/>
      <c r="W196" s="79"/>
    </row>
    <row r="197" spans="1:23" s="518" customFormat="1" x14ac:dyDescent="0.25">
      <c r="A197" s="79"/>
      <c r="B197" s="79"/>
      <c r="C197" s="85"/>
      <c r="D197" s="85"/>
      <c r="E197" s="85"/>
      <c r="F197" s="89"/>
      <c r="G197" s="79"/>
      <c r="H197" s="79"/>
      <c r="I197" s="79"/>
      <c r="K197" s="866"/>
      <c r="L197" s="769"/>
      <c r="M197" s="866"/>
      <c r="N197" s="769"/>
      <c r="O197" s="866"/>
      <c r="P197" s="769"/>
      <c r="Q197" s="866"/>
      <c r="R197" s="864"/>
      <c r="S197" s="1032"/>
      <c r="T197" s="484"/>
      <c r="U197" s="79"/>
      <c r="V197" s="877"/>
      <c r="W197" s="79"/>
    </row>
    <row r="198" spans="1:23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69"/>
      <c r="K198" s="866"/>
      <c r="L198" s="769"/>
      <c r="M198" s="866"/>
      <c r="N198" s="769"/>
      <c r="O198" s="866"/>
      <c r="P198" s="769"/>
      <c r="Q198" s="866"/>
      <c r="R198" s="864"/>
      <c r="S198" s="1032"/>
      <c r="T198" s="484"/>
      <c r="U198" s="79"/>
      <c r="V198" s="877"/>
      <c r="W198" s="79"/>
    </row>
    <row r="199" spans="1:23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69"/>
      <c r="K199" s="868"/>
      <c r="L199" s="769"/>
      <c r="M199" s="868"/>
      <c r="N199" s="769"/>
      <c r="O199" s="868"/>
      <c r="P199" s="769"/>
      <c r="Q199" s="868"/>
      <c r="R199" s="85"/>
      <c r="S199" s="795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6"/>
      <c r="L200" s="769"/>
      <c r="M200" s="866"/>
      <c r="N200" s="769"/>
      <c r="O200" s="866"/>
      <c r="P200" s="769"/>
      <c r="Q200" s="866"/>
      <c r="R200" s="85"/>
      <c r="S200" s="177"/>
      <c r="T200" s="484"/>
      <c r="U200" s="79"/>
      <c r="V200" s="877"/>
      <c r="W200" s="79"/>
    </row>
    <row r="201" spans="1:23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70"/>
      <c r="K201" s="866"/>
      <c r="L201" s="769"/>
      <c r="M201" s="866"/>
      <c r="N201" s="769"/>
      <c r="O201" s="866"/>
      <c r="P201" s="769"/>
      <c r="Q201" s="866"/>
      <c r="R201" s="85"/>
      <c r="S201" s="177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8"/>
      <c r="L202" s="769"/>
      <c r="M202" s="868"/>
      <c r="N202" s="769"/>
      <c r="O202" s="868"/>
      <c r="P202" s="769"/>
      <c r="Q202" s="868"/>
      <c r="R202" s="85"/>
      <c r="S202" s="177" t="s">
        <v>280</v>
      </c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6"/>
      <c r="L203" s="769"/>
      <c r="M203" s="868"/>
      <c r="N203" s="769"/>
      <c r="O203" s="868"/>
      <c r="P203" s="769"/>
      <c r="Q203" s="868"/>
      <c r="R203" s="85"/>
      <c r="S203" s="177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L204" s="769"/>
      <c r="M204" s="868"/>
      <c r="N204" s="769"/>
      <c r="O204" s="868"/>
      <c r="P204" s="769"/>
      <c r="Q204" s="868"/>
      <c r="R204" s="85"/>
      <c r="S204" s="866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69"/>
      <c r="M205" s="868"/>
      <c r="N205" s="769"/>
      <c r="O205" s="868"/>
      <c r="P205" s="769"/>
      <c r="Q205" s="868"/>
      <c r="R205" s="769"/>
      <c r="S205" s="21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69"/>
      <c r="M206" s="866"/>
      <c r="N206" s="769"/>
      <c r="O206" s="866"/>
      <c r="P206" s="769"/>
      <c r="Q206" s="866"/>
      <c r="R206" s="79"/>
      <c r="S206" s="21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223"/>
      <c r="M207" s="629"/>
      <c r="N207" s="223"/>
      <c r="O207" s="629"/>
      <c r="P207" s="223"/>
      <c r="Q207" s="629"/>
      <c r="R207" s="769"/>
      <c r="S207" s="868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56"/>
      <c r="M208" s="756"/>
      <c r="N208" s="756"/>
      <c r="O208" s="756"/>
      <c r="P208" s="756"/>
      <c r="Q208" s="756"/>
      <c r="R208" s="769"/>
      <c r="S208" s="868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79"/>
      <c r="M209" s="79"/>
      <c r="N209" s="79"/>
      <c r="O209" s="79"/>
      <c r="P209" s="79"/>
      <c r="Q209" s="79"/>
      <c r="R209" s="769"/>
      <c r="S209" s="868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79"/>
      <c r="M210" s="79"/>
      <c r="N210" s="79"/>
      <c r="O210" s="79"/>
      <c r="P210" s="79"/>
      <c r="Q210" s="79"/>
      <c r="R210" s="769"/>
      <c r="S210" s="79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9"/>
      <c r="M211" s="79"/>
      <c r="N211" s="79"/>
      <c r="O211" s="79"/>
      <c r="P211" s="79"/>
      <c r="Q211" s="79"/>
      <c r="R211" s="79"/>
      <c r="S211" s="79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9"/>
      <c r="M212" s="79"/>
      <c r="N212" s="79"/>
      <c r="O212" s="79"/>
      <c r="P212" s="79"/>
      <c r="Q212" s="79"/>
      <c r="R212" s="79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85"/>
      <c r="M213" s="85"/>
      <c r="N213" s="85"/>
      <c r="O213" s="85"/>
      <c r="P213" s="85"/>
      <c r="Q213" s="85"/>
      <c r="R213" s="1517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8"/>
      <c r="L214" s="79"/>
      <c r="M214" s="79"/>
      <c r="N214" s="79"/>
      <c r="O214" s="79"/>
      <c r="P214" s="79"/>
      <c r="Q214" s="79"/>
      <c r="R214" s="79"/>
      <c r="S214" s="868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8"/>
      <c r="L215" s="79"/>
      <c r="M215" s="79"/>
      <c r="N215" s="79"/>
      <c r="O215" s="79"/>
      <c r="P215" s="79"/>
      <c r="Q215" s="79"/>
      <c r="R215" s="89"/>
      <c r="S215" s="79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8"/>
      <c r="L216" s="79"/>
      <c r="M216" s="79"/>
      <c r="N216" s="79"/>
      <c r="O216" s="79"/>
      <c r="P216" s="79"/>
      <c r="Q216" s="79"/>
      <c r="R216" s="79"/>
      <c r="S216" s="79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9"/>
      <c r="M217" s="79"/>
      <c r="N217" s="79"/>
      <c r="O217" s="79"/>
      <c r="P217" s="79"/>
      <c r="Q217" s="79"/>
      <c r="R217" s="769"/>
      <c r="S217" s="866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769"/>
      <c r="S218" s="866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6"/>
      <c r="L219" s="79"/>
      <c r="M219" s="79"/>
      <c r="N219" s="79"/>
      <c r="O219" s="79"/>
      <c r="P219" s="79"/>
      <c r="Q219" s="79"/>
      <c r="R219" s="769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85"/>
      <c r="M220" s="85"/>
      <c r="N220" s="85"/>
      <c r="O220" s="85"/>
      <c r="P220" s="85"/>
      <c r="Q220" s="85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8"/>
      <c r="L221" s="79"/>
      <c r="M221" s="79"/>
      <c r="N221" s="79"/>
      <c r="O221" s="79"/>
      <c r="P221" s="79"/>
      <c r="Q221" s="79"/>
      <c r="R221" s="769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6"/>
      <c r="L222" s="79"/>
      <c r="M222" s="79"/>
      <c r="N222" s="79"/>
      <c r="O222" s="79"/>
      <c r="P222" s="79"/>
      <c r="Q222" s="79"/>
      <c r="R222" s="769"/>
      <c r="S222" s="868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79"/>
      <c r="M223" s="79"/>
      <c r="N223" s="79"/>
      <c r="O223" s="79"/>
      <c r="P223" s="79"/>
      <c r="Q223" s="79"/>
      <c r="R223" s="769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9"/>
      <c r="M224" s="79"/>
      <c r="N224" s="79"/>
      <c r="O224" s="79"/>
      <c r="P224" s="79"/>
      <c r="Q224" s="79"/>
      <c r="R224" s="770"/>
      <c r="S224" s="866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8"/>
      <c r="L225" s="79"/>
      <c r="M225" s="79"/>
      <c r="N225" s="79"/>
      <c r="O225" s="79"/>
      <c r="P225" s="79"/>
      <c r="Q225" s="79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8"/>
      <c r="L226" s="79"/>
      <c r="M226" s="79"/>
      <c r="N226" s="79"/>
      <c r="O226" s="79"/>
      <c r="P226" s="79"/>
      <c r="Q226" s="79"/>
      <c r="R226" s="769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71"/>
      <c r="N227" s="771"/>
      <c r="P227" s="771"/>
      <c r="R227" s="769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79"/>
      <c r="M228" s="79"/>
      <c r="N228" s="79"/>
      <c r="O228" s="79"/>
      <c r="P228" s="79"/>
      <c r="Q228" s="79"/>
      <c r="R228" s="769"/>
      <c r="S228" s="866"/>
      <c r="T228" s="484"/>
      <c r="U228" s="79"/>
      <c r="V228" s="877"/>
      <c r="W228" s="79"/>
    </row>
    <row r="229" spans="1:23" x14ac:dyDescent="0.25">
      <c r="J229" s="223"/>
      <c r="K229" s="629"/>
      <c r="R229" s="769"/>
      <c r="S229" s="866"/>
    </row>
    <row r="230" spans="1:23" x14ac:dyDescent="0.25">
      <c r="J230" s="756"/>
      <c r="K230" s="756"/>
      <c r="R230" s="769"/>
      <c r="S230" s="866"/>
    </row>
    <row r="231" spans="1:23" x14ac:dyDescent="0.25">
      <c r="R231" s="769"/>
      <c r="S231" s="866"/>
    </row>
    <row r="232" spans="1:23" x14ac:dyDescent="0.25">
      <c r="R232" s="769"/>
      <c r="S232" s="866"/>
    </row>
    <row r="233" spans="1:23" x14ac:dyDescent="0.25">
      <c r="R233" s="769"/>
      <c r="S233" s="866"/>
    </row>
    <row r="234" spans="1:23" x14ac:dyDescent="0.25">
      <c r="R234" s="769"/>
      <c r="S234" s="866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85"/>
      <c r="K235" s="85"/>
      <c r="L235" s="79"/>
      <c r="M235" s="216"/>
      <c r="N235" s="79"/>
      <c r="O235" s="216"/>
      <c r="P235" s="79"/>
      <c r="Q235" s="216"/>
      <c r="R235" s="769"/>
      <c r="S235" s="866"/>
      <c r="T235" s="484"/>
      <c r="U235" s="79"/>
      <c r="V235" s="877"/>
      <c r="W235" s="79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9"/>
      <c r="K236" s="79"/>
      <c r="L236" s="79"/>
      <c r="M236" s="216"/>
      <c r="N236" s="79"/>
      <c r="O236" s="216"/>
      <c r="P236" s="79"/>
      <c r="Q236" s="216"/>
      <c r="R236" s="769"/>
      <c r="S236" s="866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216"/>
      <c r="N237" s="79"/>
      <c r="O237" s="216"/>
      <c r="P237" s="79"/>
      <c r="Q237" s="216"/>
      <c r="R237" s="769"/>
      <c r="S237" s="868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216"/>
      <c r="N238" s="79"/>
      <c r="O238" s="216"/>
      <c r="P238" s="79"/>
      <c r="Q238" s="216"/>
      <c r="R238" s="769"/>
      <c r="S238" s="868"/>
      <c r="T238" s="484"/>
      <c r="U238" s="79"/>
      <c r="V238" s="877"/>
      <c r="W238" s="79"/>
    </row>
    <row r="239" spans="1:23" x14ac:dyDescent="0.25">
      <c r="R239" s="769"/>
      <c r="S239" s="868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216"/>
      <c r="N240" s="79"/>
      <c r="O240" s="216"/>
      <c r="P240" s="79"/>
      <c r="Q240" s="216"/>
      <c r="R240" s="769"/>
      <c r="S240" s="868"/>
      <c r="T240" s="484"/>
      <c r="U240" s="79"/>
      <c r="V240" s="877"/>
      <c r="W240" s="79"/>
    </row>
    <row r="241" spans="1:23" x14ac:dyDescent="0.25">
      <c r="R241" s="769"/>
      <c r="S241" s="868"/>
    </row>
    <row r="242" spans="1:23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85"/>
      <c r="K242" s="85"/>
      <c r="L242" s="79"/>
      <c r="M242" s="629"/>
      <c r="N242" s="79"/>
      <c r="O242" s="629"/>
      <c r="P242" s="79"/>
      <c r="Q242" s="629"/>
      <c r="R242" s="769"/>
      <c r="S242" s="866"/>
      <c r="T242" s="484"/>
      <c r="U242" s="79"/>
      <c r="V242" s="877"/>
      <c r="W242" s="79"/>
    </row>
    <row r="243" spans="1:23" x14ac:dyDescent="0.25">
      <c r="R243" s="769"/>
      <c r="S243" s="866"/>
    </row>
    <row r="244" spans="1:23" x14ac:dyDescent="0.25">
      <c r="R244" s="769"/>
      <c r="S244" s="868"/>
    </row>
    <row r="245" spans="1:23" x14ac:dyDescent="0.25">
      <c r="R245" s="769"/>
      <c r="S245" s="866"/>
    </row>
    <row r="246" spans="1:23" x14ac:dyDescent="0.25">
      <c r="R246" s="769"/>
      <c r="S246" s="866"/>
    </row>
    <row r="247" spans="1:23" x14ac:dyDescent="0.25">
      <c r="R247" s="769"/>
      <c r="S247" s="868"/>
    </row>
    <row r="248" spans="1:23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216"/>
      <c r="N248" s="79"/>
      <c r="O248" s="216"/>
      <c r="P248" s="79"/>
      <c r="Q248" s="216"/>
      <c r="R248" s="769"/>
      <c r="S248" s="868"/>
      <c r="T248" s="484"/>
      <c r="U248" s="79"/>
      <c r="V248" s="877"/>
      <c r="W248" s="79"/>
    </row>
    <row r="249" spans="1:23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71"/>
      <c r="L249" s="79"/>
      <c r="M249" s="216"/>
      <c r="N249" s="79"/>
      <c r="O249" s="216"/>
      <c r="P249" s="79"/>
      <c r="Q249" s="216"/>
      <c r="R249" s="769"/>
      <c r="S249" s="868"/>
      <c r="T249" s="484"/>
      <c r="U249" s="79"/>
      <c r="V249" s="877"/>
      <c r="W249" s="79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216"/>
      <c r="N250" s="79"/>
      <c r="O250" s="216"/>
      <c r="P250" s="79"/>
      <c r="Q250" s="216"/>
      <c r="R250" s="769"/>
      <c r="S250" s="868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9"/>
      <c r="Q251" s="216"/>
      <c r="R251" s="769"/>
      <c r="S251" s="866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9"/>
      <c r="Q252" s="216"/>
      <c r="R252" s="223"/>
      <c r="S252" s="629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756"/>
      <c r="S253" s="756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216"/>
      <c r="N254" s="79"/>
      <c r="O254" s="216"/>
      <c r="P254" s="79"/>
      <c r="Q254" s="216"/>
      <c r="R254" s="79"/>
      <c r="S254" s="79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9"/>
      <c r="Q255" s="216"/>
      <c r="R255" s="79"/>
      <c r="S255" s="79"/>
      <c r="T255" s="484"/>
      <c r="U255" s="79"/>
      <c r="V255" s="877"/>
      <c r="W255" s="79"/>
    </row>
    <row r="256" spans="1:23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9"/>
      <c r="Q256" s="216"/>
      <c r="R256" s="79"/>
      <c r="S256" s="79"/>
      <c r="T256" s="484"/>
      <c r="U256" s="79"/>
      <c r="V256" s="877"/>
      <c r="W256" s="79"/>
    </row>
    <row r="257" spans="1:44" x14ac:dyDescent="0.25">
      <c r="K257" s="216"/>
    </row>
    <row r="258" spans="1:44" x14ac:dyDescent="0.25">
      <c r="K258" s="216"/>
      <c r="R258" s="85"/>
      <c r="S258" s="85"/>
    </row>
    <row r="259" spans="1:44" x14ac:dyDescent="0.25">
      <c r="K259" s="216"/>
    </row>
    <row r="260" spans="1:44" x14ac:dyDescent="0.25">
      <c r="K260" s="216"/>
    </row>
    <row r="262" spans="1:44" x14ac:dyDescent="0.25">
      <c r="K262" s="216"/>
    </row>
    <row r="264" spans="1:44" x14ac:dyDescent="0.25">
      <c r="K264" s="629"/>
    </row>
    <row r="265" spans="1:44" x14ac:dyDescent="0.25">
      <c r="R265" s="85"/>
      <c r="S265" s="85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216"/>
      <c r="L270" s="79"/>
      <c r="M270" s="79"/>
      <c r="N270" s="79"/>
      <c r="O270" s="79"/>
      <c r="P270" s="79"/>
      <c r="Q270" s="79"/>
      <c r="R270" s="79"/>
      <c r="S270" s="79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216"/>
      <c r="L271" s="79"/>
      <c r="M271" s="79"/>
      <c r="N271" s="79"/>
      <c r="O271" s="79"/>
      <c r="P271" s="79"/>
      <c r="Q271" s="79"/>
      <c r="R271" s="79"/>
      <c r="S271" s="79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216"/>
      <c r="L272" s="79"/>
      <c r="M272" s="79"/>
      <c r="N272" s="79"/>
      <c r="O272" s="79"/>
      <c r="P272" s="79"/>
      <c r="Q272" s="79"/>
      <c r="R272" s="771"/>
      <c r="S272" s="518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216"/>
      <c r="L273" s="79"/>
      <c r="M273" s="79"/>
      <c r="N273" s="79"/>
      <c r="O273" s="79"/>
      <c r="P273" s="79"/>
      <c r="Q273" s="79"/>
      <c r="R273" s="79"/>
      <c r="S273" s="79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x14ac:dyDescent="0.25">
      <c r="K274" s="216"/>
    </row>
    <row r="275" spans="1:44" x14ac:dyDescent="0.25">
      <c r="K275" s="216"/>
    </row>
    <row r="276" spans="1:44" x14ac:dyDescent="0.25">
      <c r="K276" s="216"/>
    </row>
    <row r="277" spans="1:44" x14ac:dyDescent="0.25">
      <c r="K277" s="216"/>
    </row>
    <row r="278" spans="1:44" x14ac:dyDescent="0.25">
      <c r="K278" s="216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7" spans="1:44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629"/>
      <c r="U287" s="79"/>
      <c r="V287" s="877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</row>
    <row r="293" spans="1:44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216"/>
      <c r="U293" s="79"/>
      <c r="V293" s="877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</row>
    <row r="294" spans="1:44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216"/>
      <c r="U294" s="79"/>
      <c r="V294" s="877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  <row r="301" spans="1:44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216"/>
      <c r="U301" s="79"/>
      <c r="V301" s="877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</row>
  </sheetData>
  <autoFilter ref="A2:I166" xr:uid="{00000000-0009-0000-0000-00008D000000}"/>
  <mergeCells count="18">
    <mergeCell ref="R2:S3"/>
    <mergeCell ref="A147:E147"/>
    <mergeCell ref="A148:E148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68:D168"/>
    <mergeCell ref="B169:D169"/>
    <mergeCell ref="L2:M3"/>
    <mergeCell ref="N2:O3"/>
    <mergeCell ref="P2:Q3"/>
  </mergeCells>
  <phoneticPr fontId="127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29844-8430-4ACA-8907-8BB4A27A8DA0}">
  <sheetPr codeName="Planilha19"/>
  <dimension ref="A1:AR303"/>
  <sheetViews>
    <sheetView zoomScale="85" zoomScaleNormal="85" workbookViewId="0">
      <pane ySplit="5" topLeftCell="A129" activePane="bottomLeft" state="frozen"/>
      <selection pane="bottomLeft" activeCell="F9" sqref="F9:F1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6440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45444</v>
      </c>
      <c r="B5" s="369" t="s">
        <v>10</v>
      </c>
      <c r="C5" s="370"/>
      <c r="D5" s="370"/>
      <c r="E5" s="777"/>
      <c r="F5" s="179"/>
      <c r="G5" s="933">
        <f>'Maio-24'!G148</f>
        <v>686.36575000004632</v>
      </c>
      <c r="H5" s="163"/>
      <c r="I5" s="1479">
        <f>'Maio-24'!I148</f>
        <v>1004.815999999999</v>
      </c>
      <c r="J5" s="179"/>
      <c r="K5" s="933">
        <f>'Maio-24'!K148</f>
        <v>3169.0000000000045</v>
      </c>
      <c r="L5" s="179"/>
      <c r="M5" s="933">
        <f>'Maio-24'!M148</f>
        <v>26844.530000000002</v>
      </c>
      <c r="N5" s="179"/>
      <c r="O5" s="933">
        <f>'Maio-24'!O148</f>
        <v>0</v>
      </c>
      <c r="P5" s="179"/>
      <c r="Q5" s="1479">
        <f>'Maio-24'!Q148</f>
        <v>4011.010000000002</v>
      </c>
      <c r="R5" s="179"/>
      <c r="S5" s="933">
        <f>'Maio-24'!S148</f>
        <v>29186.485984720006</v>
      </c>
    </row>
    <row r="6" spans="1:44" s="224" customFormat="1" x14ac:dyDescent="0.25">
      <c r="A6" s="247">
        <v>45444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customHeight="1" x14ac:dyDescent="0.25">
      <c r="A7" s="247">
        <v>45444</v>
      </c>
      <c r="B7" s="349" t="s">
        <v>6493</v>
      </c>
      <c r="C7" s="350"/>
      <c r="D7" s="350"/>
      <c r="E7" s="480"/>
      <c r="F7" s="780"/>
      <c r="G7" s="946">
        <v>100</v>
      </c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  <c r="V7" s="927"/>
      <c r="W7" s="999"/>
    </row>
    <row r="8" spans="1:44" s="224" customFormat="1" ht="15" customHeight="1" x14ac:dyDescent="0.25">
      <c r="A8" s="247">
        <v>45444</v>
      </c>
      <c r="B8" s="882" t="s">
        <v>6258</v>
      </c>
      <c r="C8" s="879" t="s">
        <v>12</v>
      </c>
      <c r="D8" s="879"/>
      <c r="E8" s="875" t="s">
        <v>13</v>
      </c>
      <c r="F8" s="780"/>
      <c r="G8" s="982">
        <v>1000</v>
      </c>
      <c r="H8" s="95"/>
      <c r="I8" s="1064"/>
      <c r="J8" s="613">
        <v>1000</v>
      </c>
      <c r="K8" s="982"/>
      <c r="L8" s="622"/>
      <c r="M8" s="982"/>
      <c r="N8" s="622"/>
      <c r="O8" s="982"/>
      <c r="P8" s="622"/>
      <c r="Q8" s="1063"/>
      <c r="R8" s="622"/>
      <c r="S8" s="982"/>
      <c r="T8" s="861"/>
    </row>
    <row r="9" spans="1:44" s="224" customFormat="1" ht="15" customHeight="1" x14ac:dyDescent="0.25">
      <c r="A9" s="247">
        <v>45444</v>
      </c>
      <c r="B9" s="1275" t="s">
        <v>6492</v>
      </c>
      <c r="C9" s="1276" t="s">
        <v>12</v>
      </c>
      <c r="D9" s="1276" t="s">
        <v>1524</v>
      </c>
      <c r="E9" s="1286" t="s">
        <v>13</v>
      </c>
      <c r="F9" s="613">
        <v>1000</v>
      </c>
      <c r="G9" s="967"/>
      <c r="H9" s="1008"/>
      <c r="I9" s="1063"/>
      <c r="J9" s="613"/>
      <c r="K9" s="6"/>
      <c r="L9" s="613"/>
      <c r="M9" s="6"/>
      <c r="N9" s="622"/>
      <c r="O9" s="982"/>
      <c r="P9" s="622"/>
      <c r="Q9" s="1063"/>
      <c r="R9" s="613"/>
      <c r="S9" s="64"/>
      <c r="T9" s="1028" t="s">
        <v>6477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s="224" customFormat="1" ht="15" customHeight="1" x14ac:dyDescent="0.25">
      <c r="A10" s="247">
        <v>45444</v>
      </c>
      <c r="B10" s="882" t="s">
        <v>14</v>
      </c>
      <c r="C10" s="879" t="s">
        <v>12</v>
      </c>
      <c r="D10" s="879" t="s">
        <v>1486</v>
      </c>
      <c r="E10" s="871" t="s">
        <v>13</v>
      </c>
      <c r="F10" s="780">
        <v>7.57</v>
      </c>
      <c r="G10" s="982"/>
      <c r="H10" s="622"/>
      <c r="I10" s="982"/>
      <c r="J10" s="622"/>
      <c r="K10" s="982"/>
      <c r="L10" s="622"/>
      <c r="M10" s="982"/>
      <c r="N10" s="622"/>
      <c r="O10" s="982"/>
      <c r="P10" s="622"/>
      <c r="Q10" s="1063"/>
      <c r="R10" s="880"/>
      <c r="S10" s="1033"/>
      <c r="T10" s="927"/>
      <c r="V10" s="878"/>
    </row>
    <row r="11" spans="1:44" s="224" customFormat="1" ht="15" customHeight="1" x14ac:dyDescent="0.25">
      <c r="A11" s="247">
        <v>45444</v>
      </c>
      <c r="B11" s="882" t="s">
        <v>2629</v>
      </c>
      <c r="C11" s="879" t="s">
        <v>12</v>
      </c>
      <c r="D11" s="879" t="s">
        <v>1489</v>
      </c>
      <c r="E11" s="871" t="s">
        <v>13</v>
      </c>
      <c r="F11" s="780">
        <v>67.88</v>
      </c>
      <c r="G11" s="946"/>
      <c r="H11" s="95"/>
      <c r="I11" s="1064"/>
      <c r="J11" s="622"/>
      <c r="K11" s="982"/>
      <c r="L11" s="622"/>
      <c r="M11" s="982"/>
      <c r="N11" s="622"/>
      <c r="O11" s="982"/>
      <c r="P11" s="622"/>
      <c r="Q11" s="1063"/>
      <c r="R11" s="1110"/>
      <c r="S11" s="1208"/>
      <c r="T11" s="1028"/>
      <c r="W11" s="958"/>
    </row>
    <row r="12" spans="1:44" s="224" customFormat="1" ht="15" customHeight="1" x14ac:dyDescent="0.25">
      <c r="A12" s="247">
        <v>45444</v>
      </c>
      <c r="B12" s="882" t="s">
        <v>80</v>
      </c>
      <c r="C12" s="879" t="s">
        <v>12</v>
      </c>
      <c r="D12" s="879" t="s">
        <v>1523</v>
      </c>
      <c r="E12" s="871" t="s">
        <v>13</v>
      </c>
      <c r="F12" s="780">
        <v>32</v>
      </c>
      <c r="G12" s="946"/>
      <c r="H12" s="95"/>
      <c r="I12" s="1064"/>
      <c r="J12" s="622"/>
      <c r="K12" s="982"/>
      <c r="L12" s="622"/>
      <c r="M12" s="982"/>
      <c r="N12" s="622"/>
      <c r="O12" s="982"/>
      <c r="P12" s="622"/>
      <c r="Q12" s="1063"/>
      <c r="R12" s="613"/>
      <c r="S12" s="64"/>
      <c r="T12" s="1028"/>
      <c r="W12" s="958"/>
    </row>
    <row r="13" spans="1:44" s="224" customFormat="1" ht="15" customHeight="1" x14ac:dyDescent="0.25">
      <c r="A13" s="247">
        <v>45444</v>
      </c>
      <c r="B13" s="882" t="s">
        <v>32</v>
      </c>
      <c r="C13" s="879" t="s">
        <v>12</v>
      </c>
      <c r="D13" s="879" t="s">
        <v>1485</v>
      </c>
      <c r="E13" s="871" t="s">
        <v>13</v>
      </c>
      <c r="F13" s="780">
        <v>15</v>
      </c>
      <c r="G13" s="946"/>
      <c r="H13" s="95"/>
      <c r="I13" s="1064"/>
      <c r="J13" s="622"/>
      <c r="K13" s="982"/>
      <c r="L13" s="622"/>
      <c r="M13" s="982"/>
      <c r="N13" s="622"/>
      <c r="O13" s="982"/>
      <c r="P13" s="622"/>
      <c r="Q13" s="1063"/>
      <c r="R13" s="1110"/>
      <c r="S13" s="1208"/>
      <c r="T13" s="1028"/>
      <c r="W13" s="958"/>
    </row>
    <row r="14" spans="1:44" s="224" customFormat="1" ht="15" customHeight="1" x14ac:dyDescent="0.25">
      <c r="A14" s="247">
        <v>45444</v>
      </c>
      <c r="B14" s="349" t="s">
        <v>82</v>
      </c>
      <c r="C14" s="350" t="s">
        <v>12</v>
      </c>
      <c r="D14" s="350" t="s">
        <v>1493</v>
      </c>
      <c r="E14" s="480" t="s">
        <v>13</v>
      </c>
      <c r="F14" s="780">
        <v>32</v>
      </c>
      <c r="G14" s="946"/>
      <c r="H14" s="95"/>
      <c r="I14" s="1064"/>
      <c r="J14" s="853"/>
      <c r="K14" s="982"/>
      <c r="L14" s="622"/>
      <c r="M14" s="982"/>
      <c r="N14" s="622"/>
      <c r="O14" s="982"/>
      <c r="P14" s="622"/>
      <c r="Q14" s="1063"/>
      <c r="R14" s="622"/>
      <c r="S14" s="982"/>
      <c r="T14" s="861"/>
      <c r="V14" s="927"/>
      <c r="W14" s="999"/>
    </row>
    <row r="15" spans="1:44" s="224" customFormat="1" ht="15" customHeight="1" x14ac:dyDescent="0.25">
      <c r="A15" s="247">
        <v>45445</v>
      </c>
      <c r="B15" s="882" t="s">
        <v>14</v>
      </c>
      <c r="C15" s="879" t="s">
        <v>12</v>
      </c>
      <c r="D15" s="879" t="s">
        <v>1486</v>
      </c>
      <c r="E15" s="871" t="s">
        <v>13</v>
      </c>
      <c r="F15" s="780">
        <v>9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1063"/>
      <c r="R15" s="880"/>
      <c r="S15" s="1033"/>
      <c r="T15" s="927"/>
      <c r="V15" s="878"/>
    </row>
    <row r="16" spans="1:44" s="224" customFormat="1" x14ac:dyDescent="0.25">
      <c r="A16" s="247">
        <v>45445</v>
      </c>
      <c r="B16" s="882" t="s">
        <v>6495</v>
      </c>
      <c r="C16" s="879" t="s">
        <v>12</v>
      </c>
      <c r="D16" s="879" t="s">
        <v>1523</v>
      </c>
      <c r="E16" s="875" t="s">
        <v>13</v>
      </c>
      <c r="F16" s="1279">
        <v>18.97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622"/>
      <c r="Q16" s="1063"/>
      <c r="R16" s="622"/>
      <c r="S16" s="982"/>
      <c r="T16" s="861"/>
      <c r="V16" s="878"/>
    </row>
    <row r="17" spans="1:44" s="224" customFormat="1" x14ac:dyDescent="0.25">
      <c r="A17" s="247">
        <v>45445</v>
      </c>
      <c r="B17" s="882" t="s">
        <v>6494</v>
      </c>
      <c r="C17" s="879" t="s">
        <v>12</v>
      </c>
      <c r="D17" s="879" t="s">
        <v>1523</v>
      </c>
      <c r="E17" s="875" t="s">
        <v>13</v>
      </c>
      <c r="F17" s="1279">
        <v>20</v>
      </c>
      <c r="G17" s="982"/>
      <c r="H17" s="1008"/>
      <c r="I17" s="1063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861"/>
      <c r="V17" s="878"/>
    </row>
    <row r="18" spans="1:44" s="224" customFormat="1" x14ac:dyDescent="0.25">
      <c r="A18" s="247">
        <v>45445</v>
      </c>
      <c r="B18" s="882" t="s">
        <v>50</v>
      </c>
      <c r="C18" s="879" t="s">
        <v>12</v>
      </c>
      <c r="D18" s="879" t="s">
        <v>1493</v>
      </c>
      <c r="E18" s="875" t="s">
        <v>13</v>
      </c>
      <c r="F18" s="1279">
        <v>9.02</v>
      </c>
      <c r="G18" s="982"/>
      <c r="H18" s="1008"/>
      <c r="I18" s="1063"/>
      <c r="J18" s="622"/>
      <c r="K18" s="982"/>
      <c r="L18" s="622"/>
      <c r="M18" s="982"/>
      <c r="N18" s="622"/>
      <c r="O18" s="982"/>
      <c r="P18" s="622"/>
      <c r="Q18" s="1063"/>
      <c r="R18" s="622"/>
      <c r="S18" s="982"/>
      <c r="T18" s="861"/>
      <c r="V18" s="878"/>
    </row>
    <row r="19" spans="1:44" s="224" customFormat="1" ht="15" customHeight="1" x14ac:dyDescent="0.25">
      <c r="A19" s="247">
        <v>45446</v>
      </c>
      <c r="B19" s="882" t="s">
        <v>32</v>
      </c>
      <c r="C19" s="879" t="s">
        <v>12</v>
      </c>
      <c r="D19" s="879" t="s">
        <v>1485</v>
      </c>
      <c r="E19" s="871" t="s">
        <v>13</v>
      </c>
      <c r="F19" s="780">
        <v>22</v>
      </c>
      <c r="G19" s="946"/>
      <c r="H19" s="95"/>
      <c r="I19" s="1064"/>
      <c r="J19" s="622"/>
      <c r="K19" s="982"/>
      <c r="L19" s="622"/>
      <c r="M19" s="982"/>
      <c r="N19" s="622"/>
      <c r="O19" s="982"/>
      <c r="P19" s="622"/>
      <c r="Q19" s="1063"/>
      <c r="R19" s="1110"/>
      <c r="S19" s="1208"/>
      <c r="T19" s="1028"/>
      <c r="W19" s="958"/>
    </row>
    <row r="20" spans="1:44" s="224" customFormat="1" ht="15" customHeight="1" x14ac:dyDescent="0.25">
      <c r="A20" s="247">
        <v>45446</v>
      </c>
      <c r="B20" s="364" t="s">
        <v>3958</v>
      </c>
      <c r="C20" s="350" t="s">
        <v>12</v>
      </c>
      <c r="D20" s="350" t="s">
        <v>1489</v>
      </c>
      <c r="E20" s="875" t="s">
        <v>13</v>
      </c>
      <c r="F20" s="780">
        <v>23</v>
      </c>
      <c r="G20" s="967"/>
      <c r="H20" s="1008"/>
      <c r="I20" s="1063"/>
      <c r="J20" s="622"/>
      <c r="K20" s="982"/>
      <c r="L20" s="2013"/>
      <c r="M20" s="1207"/>
      <c r="N20" s="880"/>
      <c r="O20" s="1033"/>
      <c r="P20" s="880"/>
      <c r="Q20" s="1525"/>
      <c r="R20" s="613"/>
      <c r="S20" s="162"/>
      <c r="T20" s="1956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</row>
    <row r="21" spans="1:44" s="224" customFormat="1" ht="15" customHeight="1" x14ac:dyDescent="0.25">
      <c r="A21" s="247">
        <v>45446</v>
      </c>
      <c r="B21" s="364" t="s">
        <v>2097</v>
      </c>
      <c r="C21" s="350" t="s">
        <v>12</v>
      </c>
      <c r="D21" s="350" t="s">
        <v>2157</v>
      </c>
      <c r="E21" s="875" t="s">
        <v>13</v>
      </c>
      <c r="F21" s="780">
        <v>80</v>
      </c>
      <c r="G21" s="967"/>
      <c r="H21" s="1008"/>
      <c r="I21" s="1063"/>
      <c r="J21" s="622"/>
      <c r="K21" s="982"/>
      <c r="L21" s="2013"/>
      <c r="M21" s="1207"/>
      <c r="N21" s="880"/>
      <c r="O21" s="1033"/>
      <c r="P21" s="880"/>
      <c r="Q21" s="1525"/>
      <c r="R21" s="613"/>
      <c r="S21" s="162"/>
      <c r="T21" s="1956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customHeight="1" x14ac:dyDescent="0.25">
      <c r="A22" s="247">
        <v>45447</v>
      </c>
      <c r="B22" s="882" t="s">
        <v>6329</v>
      </c>
      <c r="C22" s="879" t="s">
        <v>12</v>
      </c>
      <c r="D22" s="879"/>
      <c r="E22" s="875" t="s">
        <v>25</v>
      </c>
      <c r="F22" s="780"/>
      <c r="G22" s="982">
        <v>100</v>
      </c>
      <c r="H22" s="622"/>
      <c r="I22" s="982"/>
      <c r="J22" s="622"/>
      <c r="K22" s="982"/>
      <c r="L22" s="622"/>
      <c r="M22" s="982"/>
      <c r="N22" s="622"/>
      <c r="O22" s="982"/>
      <c r="P22" s="880"/>
      <c r="Q22" s="1525"/>
      <c r="R22" s="613"/>
      <c r="S22" s="162"/>
      <c r="T22" s="1956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s="224" customFormat="1" ht="15" customHeight="1" x14ac:dyDescent="0.25">
      <c r="A23" s="247">
        <v>45447</v>
      </c>
      <c r="B23" s="882" t="s">
        <v>6258</v>
      </c>
      <c r="C23" s="879" t="s">
        <v>12</v>
      </c>
      <c r="D23" s="879"/>
      <c r="E23" s="875" t="s">
        <v>13</v>
      </c>
      <c r="F23" s="780"/>
      <c r="G23" s="982">
        <v>90</v>
      </c>
      <c r="H23" s="95"/>
      <c r="I23" s="1064"/>
      <c r="J23" s="613">
        <v>90</v>
      </c>
      <c r="K23" s="982"/>
      <c r="L23" s="622"/>
      <c r="M23" s="982"/>
      <c r="N23" s="622"/>
      <c r="O23" s="982"/>
      <c r="P23" s="622"/>
      <c r="Q23" s="1063"/>
      <c r="R23" s="622"/>
      <c r="S23" s="982"/>
      <c r="T23" s="861"/>
    </row>
    <row r="24" spans="1:44" s="224" customFormat="1" x14ac:dyDescent="0.25">
      <c r="A24" s="247">
        <v>45447</v>
      </c>
      <c r="B24" s="1275" t="s">
        <v>6499</v>
      </c>
      <c r="C24" s="879" t="s">
        <v>12</v>
      </c>
      <c r="D24" s="1276" t="s">
        <v>1524</v>
      </c>
      <c r="E24" s="1286" t="s">
        <v>13</v>
      </c>
      <c r="F24" s="780">
        <v>40</v>
      </c>
      <c r="G24" s="982"/>
      <c r="H24" s="1008"/>
      <c r="I24" s="1063"/>
      <c r="J24" s="622"/>
      <c r="K24" s="982"/>
      <c r="L24" s="622"/>
      <c r="M24" s="982"/>
      <c r="N24" s="622"/>
      <c r="O24" s="982"/>
      <c r="P24" s="622"/>
      <c r="Q24" s="1063"/>
      <c r="R24" s="622"/>
      <c r="S24" s="982"/>
      <c r="T24" s="1028" t="s">
        <v>6478</v>
      </c>
      <c r="V24" s="878"/>
    </row>
    <row r="25" spans="1:44" s="224" customFormat="1" x14ac:dyDescent="0.25">
      <c r="A25" s="247">
        <v>45447</v>
      </c>
      <c r="B25" s="1275" t="s">
        <v>6500</v>
      </c>
      <c r="C25" s="879" t="s">
        <v>12</v>
      </c>
      <c r="D25" s="1276" t="s">
        <v>1524</v>
      </c>
      <c r="E25" s="1286" t="s">
        <v>13</v>
      </c>
      <c r="F25" s="780">
        <v>50</v>
      </c>
      <c r="G25" s="982"/>
      <c r="H25" s="1008"/>
      <c r="I25" s="1063"/>
      <c r="J25" s="622"/>
      <c r="K25" s="982"/>
      <c r="L25" s="622"/>
      <c r="M25" s="982"/>
      <c r="N25" s="622"/>
      <c r="O25" s="982"/>
      <c r="P25" s="622"/>
      <c r="Q25" s="1063"/>
      <c r="R25" s="622"/>
      <c r="S25" s="982"/>
      <c r="T25" s="1028" t="s">
        <v>6501</v>
      </c>
      <c r="V25" s="878"/>
    </row>
    <row r="26" spans="1:44" s="224" customFormat="1" ht="15" customHeight="1" x14ac:dyDescent="0.25">
      <c r="A26" s="247">
        <v>45447</v>
      </c>
      <c r="B26" s="882" t="s">
        <v>32</v>
      </c>
      <c r="C26" s="879" t="s">
        <v>12</v>
      </c>
      <c r="D26" s="879" t="s">
        <v>1485</v>
      </c>
      <c r="E26" s="871" t="s">
        <v>13</v>
      </c>
      <c r="F26" s="780">
        <v>22</v>
      </c>
      <c r="G26" s="946"/>
      <c r="H26" s="95"/>
      <c r="I26" s="1064"/>
      <c r="J26" s="622"/>
      <c r="K26" s="982"/>
      <c r="L26" s="622"/>
      <c r="M26" s="982"/>
      <c r="N26" s="622"/>
      <c r="O26" s="982"/>
      <c r="P26" s="622"/>
      <c r="Q26" s="1063"/>
      <c r="R26" s="1110"/>
      <c r="S26" s="1208"/>
      <c r="T26" s="1028"/>
      <c r="W26" s="958"/>
    </row>
    <row r="27" spans="1:44" s="224" customFormat="1" x14ac:dyDescent="0.25">
      <c r="A27" s="247">
        <v>45447</v>
      </c>
      <c r="B27" s="882" t="s">
        <v>6506</v>
      </c>
      <c r="C27" s="879" t="s">
        <v>12</v>
      </c>
      <c r="D27" s="879" t="s">
        <v>1489</v>
      </c>
      <c r="E27" s="875" t="s">
        <v>13</v>
      </c>
      <c r="F27" s="1279">
        <v>8</v>
      </c>
      <c r="G27" s="982"/>
      <c r="H27" s="1008"/>
      <c r="I27" s="1063"/>
      <c r="J27" s="622"/>
      <c r="K27" s="982"/>
      <c r="L27" s="622"/>
      <c r="M27" s="982"/>
      <c r="N27" s="622"/>
      <c r="O27" s="982"/>
      <c r="P27" s="622"/>
      <c r="Q27" s="1063"/>
      <c r="R27" s="622"/>
      <c r="S27" s="982"/>
      <c r="T27" s="861"/>
      <c r="V27" s="878"/>
    </row>
    <row r="28" spans="1:44" s="224" customFormat="1" x14ac:dyDescent="0.25">
      <c r="A28" s="247">
        <v>45448</v>
      </c>
      <c r="B28" s="882" t="s">
        <v>2789</v>
      </c>
      <c r="C28" s="879" t="s">
        <v>12</v>
      </c>
      <c r="D28" s="879" t="s">
        <v>1493</v>
      </c>
      <c r="E28" s="871" t="s">
        <v>13</v>
      </c>
      <c r="F28" s="1279">
        <v>11.5</v>
      </c>
      <c r="G28" s="982"/>
      <c r="H28" s="1008"/>
      <c r="I28" s="1063"/>
      <c r="J28" s="622"/>
      <c r="K28" s="982"/>
      <c r="L28" s="622"/>
      <c r="M28" s="982"/>
      <c r="N28" s="622"/>
      <c r="O28" s="982"/>
      <c r="P28" s="622"/>
      <c r="Q28" s="1063"/>
      <c r="R28" s="622"/>
      <c r="S28" s="982"/>
      <c r="T28" s="861"/>
      <c r="V28" s="878"/>
    </row>
    <row r="29" spans="1:44" s="224" customFormat="1" ht="15.75" customHeight="1" x14ac:dyDescent="0.25">
      <c r="A29" s="247">
        <v>45449</v>
      </c>
      <c r="B29" s="873" t="s">
        <v>6432</v>
      </c>
      <c r="C29" s="879" t="s">
        <v>12</v>
      </c>
      <c r="D29" s="874"/>
      <c r="E29" s="887" t="s">
        <v>25</v>
      </c>
      <c r="F29" s="1524"/>
      <c r="G29" s="1002">
        <v>2377.06</v>
      </c>
      <c r="H29" s="538"/>
      <c r="I29" s="982"/>
      <c r="J29" s="2013"/>
      <c r="K29" s="1207"/>
      <c r="L29" s="622"/>
      <c r="M29" s="982"/>
      <c r="N29" s="622"/>
      <c r="O29" s="982"/>
      <c r="P29" s="622"/>
      <c r="Q29" s="1063"/>
      <c r="R29" s="622"/>
      <c r="S29" s="982"/>
      <c r="T29" s="178"/>
    </row>
    <row r="30" spans="1:44" s="224" customFormat="1" ht="15" customHeight="1" x14ac:dyDescent="0.25">
      <c r="A30" s="247">
        <v>45449</v>
      </c>
      <c r="B30" s="364" t="s">
        <v>1396</v>
      </c>
      <c r="C30" s="879" t="s">
        <v>12</v>
      </c>
      <c r="D30" s="350"/>
      <c r="E30" s="919" t="s">
        <v>25</v>
      </c>
      <c r="F30" s="1116"/>
      <c r="G30" s="966">
        <v>150</v>
      </c>
      <c r="H30" s="1031"/>
      <c r="I30" s="1525"/>
      <c r="J30" s="2013"/>
      <c r="K30" s="1207"/>
      <c r="L30" s="1116"/>
      <c r="M30" s="1207"/>
      <c r="N30" s="880"/>
      <c r="O30" s="1033"/>
      <c r="P30" s="622"/>
      <c r="Q30" s="1063"/>
      <c r="R30" s="1116"/>
      <c r="S30" s="1207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</row>
    <row r="31" spans="1:44" s="224" customFormat="1" ht="15" customHeight="1" x14ac:dyDescent="0.25">
      <c r="A31" s="247">
        <v>45449</v>
      </c>
      <c r="B31" s="862" t="s">
        <v>6416</v>
      </c>
      <c r="C31" s="879" t="s">
        <v>12</v>
      </c>
      <c r="D31" s="879" t="s">
        <v>1504</v>
      </c>
      <c r="E31" s="871" t="s">
        <v>13</v>
      </c>
      <c r="F31" s="780">
        <v>39.9</v>
      </c>
      <c r="G31" s="982"/>
      <c r="H31" s="1008"/>
      <c r="I31" s="1063"/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1808"/>
      <c r="U31" s="1028"/>
      <c r="V31" s="1035"/>
    </row>
    <row r="32" spans="1:44" s="224" customFormat="1" ht="15" customHeight="1" x14ac:dyDescent="0.25">
      <c r="A32" s="247">
        <v>45449</v>
      </c>
      <c r="B32" s="882" t="s">
        <v>6433</v>
      </c>
      <c r="C32" s="879" t="s">
        <v>12</v>
      </c>
      <c r="D32" s="879" t="s">
        <v>1499</v>
      </c>
      <c r="E32" s="871" t="s">
        <v>13</v>
      </c>
      <c r="F32" s="780">
        <v>85.84</v>
      </c>
      <c r="G32" s="982"/>
      <c r="H32" s="1008"/>
      <c r="I32" s="1063"/>
      <c r="J32" s="880"/>
      <c r="K32" s="1033"/>
      <c r="L32" s="622"/>
      <c r="M32" s="982"/>
      <c r="N32" s="622"/>
      <c r="O32" s="982"/>
      <c r="P32" s="622"/>
      <c r="Q32" s="1063"/>
      <c r="R32" s="622"/>
      <c r="S32" s="982"/>
      <c r="T32" s="1028">
        <v>245.84</v>
      </c>
      <c r="U32" s="999"/>
      <c r="V32" s="878"/>
    </row>
    <row r="33" spans="1:44" s="224" customFormat="1" ht="15" customHeight="1" x14ac:dyDescent="0.25">
      <c r="A33" s="247">
        <v>45449</v>
      </c>
      <c r="B33" s="364" t="s">
        <v>2977</v>
      </c>
      <c r="C33" s="879" t="s">
        <v>12</v>
      </c>
      <c r="D33" s="350" t="s">
        <v>1491</v>
      </c>
      <c r="E33" s="875" t="s">
        <v>13</v>
      </c>
      <c r="F33" s="780">
        <v>400</v>
      </c>
      <c r="G33" s="982"/>
      <c r="H33" s="1008"/>
      <c r="I33" s="1063"/>
      <c r="J33" s="2013"/>
      <c r="K33" s="1207"/>
      <c r="L33" s="622"/>
      <c r="M33" s="982"/>
      <c r="N33" s="622"/>
      <c r="O33" s="982"/>
      <c r="P33" s="622"/>
      <c r="Q33" s="1063"/>
      <c r="R33" s="622"/>
      <c r="S33" s="982"/>
      <c r="T33" s="1028"/>
      <c r="V33" s="1035"/>
    </row>
    <row r="34" spans="1:44" x14ac:dyDescent="0.25">
      <c r="A34" s="247">
        <v>45449</v>
      </c>
      <c r="B34" s="876" t="s">
        <v>6393</v>
      </c>
      <c r="C34" s="879" t="s">
        <v>12</v>
      </c>
      <c r="D34" s="879" t="s">
        <v>1491</v>
      </c>
      <c r="E34" s="871" t="s">
        <v>13</v>
      </c>
      <c r="F34" s="780">
        <v>80</v>
      </c>
      <c r="G34" s="982"/>
      <c r="H34" s="1009"/>
      <c r="I34" s="1063"/>
      <c r="J34" s="613"/>
      <c r="K34" s="6"/>
      <c r="L34" s="622"/>
      <c r="M34" s="982"/>
      <c r="N34" s="622"/>
      <c r="O34" s="982"/>
      <c r="P34" s="622"/>
      <c r="Q34" s="1063"/>
      <c r="R34" s="622"/>
      <c r="S34" s="982"/>
      <c r="T34" s="1029"/>
    </row>
    <row r="35" spans="1:44" x14ac:dyDescent="0.25">
      <c r="A35" s="247">
        <v>45449</v>
      </c>
      <c r="B35" s="876" t="s">
        <v>3844</v>
      </c>
      <c r="C35" s="879" t="s">
        <v>12</v>
      </c>
      <c r="D35" s="879" t="s">
        <v>1496</v>
      </c>
      <c r="E35" s="871" t="s">
        <v>13</v>
      </c>
      <c r="F35" s="780">
        <v>90</v>
      </c>
      <c r="G35" s="982"/>
      <c r="H35" s="1009"/>
      <c r="I35" s="1063"/>
      <c r="J35" s="613"/>
      <c r="K35" s="6"/>
      <c r="L35" s="622"/>
      <c r="M35" s="982"/>
      <c r="N35" s="622"/>
      <c r="O35" s="982"/>
      <c r="P35" s="622"/>
      <c r="Q35" s="1063"/>
      <c r="R35" s="622"/>
      <c r="S35" s="982"/>
      <c r="T35" s="1029"/>
    </row>
    <row r="36" spans="1:44" s="224" customFormat="1" ht="15" customHeight="1" x14ac:dyDescent="0.25">
      <c r="A36" s="247">
        <v>45449</v>
      </c>
      <c r="B36" s="1289" t="s">
        <v>2096</v>
      </c>
      <c r="C36" s="879" t="s">
        <v>12</v>
      </c>
      <c r="D36" s="1276" t="s">
        <v>1506</v>
      </c>
      <c r="E36" s="875" t="s">
        <v>13</v>
      </c>
      <c r="F36" s="1873">
        <v>50</v>
      </c>
      <c r="G36" s="967"/>
      <c r="H36" s="1008"/>
      <c r="I36" s="1063"/>
      <c r="J36" s="613"/>
      <c r="K36" s="6"/>
      <c r="L36" s="613"/>
      <c r="M36" s="6"/>
      <c r="N36" s="622"/>
      <c r="O36" s="982"/>
      <c r="P36" s="622"/>
      <c r="Q36" s="1063"/>
      <c r="R36" s="613"/>
      <c r="S36" s="64"/>
      <c r="T36" s="1209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</row>
    <row r="37" spans="1:44" s="224" customFormat="1" ht="15" customHeight="1" x14ac:dyDescent="0.25">
      <c r="A37" s="247">
        <v>45449</v>
      </c>
      <c r="B37" s="882" t="s">
        <v>6208</v>
      </c>
      <c r="C37" s="879" t="s">
        <v>12</v>
      </c>
      <c r="D37" s="879"/>
      <c r="E37" s="875" t="s">
        <v>13</v>
      </c>
      <c r="F37" s="780">
        <v>1100</v>
      </c>
      <c r="G37" s="982"/>
      <c r="H37" s="1008"/>
      <c r="I37" s="1063"/>
      <c r="J37" s="622"/>
      <c r="K37" s="982">
        <v>1100</v>
      </c>
      <c r="L37" s="622"/>
      <c r="M37" s="982"/>
      <c r="N37" s="622"/>
      <c r="O37" s="982"/>
      <c r="P37" s="622"/>
      <c r="Q37" s="1063"/>
      <c r="R37" s="622"/>
      <c r="S37" s="982"/>
      <c r="T37" s="861"/>
    </row>
    <row r="38" spans="1:44" s="224" customFormat="1" ht="15" customHeight="1" x14ac:dyDescent="0.25">
      <c r="A38" s="247">
        <v>45449</v>
      </c>
      <c r="B38" s="882" t="s">
        <v>6214</v>
      </c>
      <c r="C38" s="879" t="s">
        <v>12</v>
      </c>
      <c r="D38" s="879"/>
      <c r="E38" s="875" t="s">
        <v>13</v>
      </c>
      <c r="F38" s="780"/>
      <c r="G38" s="982"/>
      <c r="H38" s="95"/>
      <c r="I38" s="1064"/>
      <c r="J38" s="622"/>
      <c r="K38" s="982">
        <v>650</v>
      </c>
      <c r="L38" s="622"/>
      <c r="M38" s="982"/>
      <c r="N38" s="622"/>
      <c r="O38" s="982"/>
      <c r="P38" s="622"/>
      <c r="Q38" s="1063"/>
      <c r="R38" s="622"/>
      <c r="S38" s="982"/>
      <c r="T38" s="861"/>
    </row>
    <row r="39" spans="1:44" s="224" customFormat="1" ht="15" customHeight="1" x14ac:dyDescent="0.25">
      <c r="A39" s="247">
        <v>45449</v>
      </c>
      <c r="B39" s="882" t="s">
        <v>6258</v>
      </c>
      <c r="C39" s="879" t="s">
        <v>12</v>
      </c>
      <c r="D39" s="879"/>
      <c r="E39" s="875" t="s">
        <v>13</v>
      </c>
      <c r="F39" s="780"/>
      <c r="G39" s="982">
        <v>229.8</v>
      </c>
      <c r="H39" s="95"/>
      <c r="I39" s="1064"/>
      <c r="J39" s="613">
        <v>229.8</v>
      </c>
      <c r="K39" s="982"/>
      <c r="L39" s="622"/>
      <c r="M39" s="982"/>
      <c r="N39" s="622"/>
      <c r="O39" s="982"/>
      <c r="P39" s="622"/>
      <c r="Q39" s="1063"/>
      <c r="R39" s="622"/>
      <c r="S39" s="982"/>
      <c r="T39" s="861"/>
    </row>
    <row r="40" spans="1:44" s="224" customFormat="1" ht="15" customHeight="1" x14ac:dyDescent="0.25">
      <c r="A40" s="247">
        <v>45449</v>
      </c>
      <c r="B40" s="882" t="s">
        <v>6510</v>
      </c>
      <c r="C40" s="879" t="s">
        <v>12</v>
      </c>
      <c r="D40" s="879" t="s">
        <v>1524</v>
      </c>
      <c r="E40" s="871" t="s">
        <v>13</v>
      </c>
      <c r="F40" s="780">
        <v>155</v>
      </c>
      <c r="G40" s="982"/>
      <c r="H40" s="1008"/>
      <c r="I40" s="1064"/>
      <c r="J40" s="613"/>
      <c r="K40" s="6"/>
      <c r="L40" s="622"/>
      <c r="M40" s="982"/>
      <c r="N40" s="622"/>
      <c r="O40" s="982"/>
      <c r="P40" s="622"/>
      <c r="Q40" s="1063"/>
      <c r="R40" s="622"/>
      <c r="S40" s="982"/>
      <c r="T40" s="1028" t="s">
        <v>6498</v>
      </c>
    </row>
    <row r="41" spans="1:44" s="224" customFormat="1" ht="15" customHeight="1" x14ac:dyDescent="0.25">
      <c r="A41" s="247">
        <v>45449</v>
      </c>
      <c r="B41" s="1275" t="s">
        <v>6508</v>
      </c>
      <c r="C41" s="879" t="s">
        <v>12</v>
      </c>
      <c r="D41" s="1276" t="s">
        <v>1524</v>
      </c>
      <c r="E41" s="1286" t="s">
        <v>13</v>
      </c>
      <c r="F41" s="780">
        <v>74.8</v>
      </c>
      <c r="G41" s="982"/>
      <c r="H41" s="622"/>
      <c r="I41" s="982"/>
      <c r="J41" s="1116"/>
      <c r="K41" s="1207"/>
      <c r="L41" s="622"/>
      <c r="M41" s="982"/>
      <c r="N41" s="622"/>
      <c r="O41" s="982"/>
      <c r="P41" s="622"/>
      <c r="Q41" s="1063"/>
      <c r="R41" s="880"/>
      <c r="S41" s="1033"/>
      <c r="T41" s="1028" t="s">
        <v>6509</v>
      </c>
      <c r="V41" s="878"/>
    </row>
    <row r="42" spans="1:44" s="224" customFormat="1" ht="15" customHeight="1" x14ac:dyDescent="0.25">
      <c r="A42" s="247">
        <v>45449</v>
      </c>
      <c r="B42" s="882" t="s">
        <v>6436</v>
      </c>
      <c r="C42" s="879" t="s">
        <v>12</v>
      </c>
      <c r="D42" s="879" t="s">
        <v>1499</v>
      </c>
      <c r="E42" s="871" t="s">
        <v>13</v>
      </c>
      <c r="F42" s="780">
        <v>0</v>
      </c>
      <c r="G42" s="982"/>
      <c r="H42" s="1008"/>
      <c r="I42" s="1063"/>
      <c r="J42" s="622"/>
      <c r="K42" s="982"/>
      <c r="L42" s="622"/>
      <c r="M42" s="982"/>
      <c r="N42" s="622"/>
      <c r="O42" s="982"/>
      <c r="P42" s="622"/>
      <c r="Q42" s="1063"/>
      <c r="R42" s="622"/>
      <c r="S42" s="982"/>
      <c r="T42" s="1028" t="s">
        <v>6512</v>
      </c>
      <c r="V42" s="1123"/>
      <c r="W42" s="999"/>
    </row>
    <row r="43" spans="1:44" s="224" customFormat="1" ht="15" customHeight="1" x14ac:dyDescent="0.25">
      <c r="A43" s="247">
        <v>45449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1279">
        <v>22</v>
      </c>
      <c r="G43" s="982"/>
      <c r="H43" s="622"/>
      <c r="I43" s="982"/>
      <c r="J43" s="1116"/>
      <c r="K43" s="1207"/>
      <c r="L43" s="622"/>
      <c r="M43" s="982"/>
      <c r="N43" s="622"/>
      <c r="O43" s="982"/>
      <c r="P43" s="622"/>
      <c r="Q43" s="1063"/>
      <c r="R43" s="622"/>
      <c r="S43" s="982"/>
      <c r="T43" s="927"/>
      <c r="V43" s="878"/>
    </row>
    <row r="44" spans="1:44" s="224" customFormat="1" ht="15" customHeight="1" x14ac:dyDescent="0.25">
      <c r="A44" s="247">
        <v>45449</v>
      </c>
      <c r="B44" s="882" t="s">
        <v>81</v>
      </c>
      <c r="C44" s="879" t="s">
        <v>12</v>
      </c>
      <c r="D44" s="879" t="s">
        <v>1493</v>
      </c>
      <c r="E44" s="871" t="s">
        <v>13</v>
      </c>
      <c r="F44" s="780">
        <v>6</v>
      </c>
      <c r="G44" s="946"/>
      <c r="H44" s="95"/>
      <c r="I44" s="1064"/>
      <c r="J44" s="613"/>
      <c r="K44" s="6"/>
      <c r="L44" s="622"/>
      <c r="M44" s="982"/>
      <c r="N44" s="622"/>
      <c r="O44" s="982"/>
      <c r="P44" s="622"/>
      <c r="Q44" s="1525"/>
      <c r="R44" s="1116"/>
      <c r="S44" s="1215"/>
      <c r="T44" s="1028"/>
      <c r="W44" s="958"/>
    </row>
    <row r="45" spans="1:44" s="224" customFormat="1" ht="15" customHeight="1" x14ac:dyDescent="0.25">
      <c r="A45" s="247">
        <v>45450</v>
      </c>
      <c r="B45" s="882" t="s">
        <v>32</v>
      </c>
      <c r="C45" s="879" t="s">
        <v>12</v>
      </c>
      <c r="D45" s="879" t="s">
        <v>1485</v>
      </c>
      <c r="E45" s="875" t="s">
        <v>13</v>
      </c>
      <c r="F45" s="1279">
        <v>22</v>
      </c>
      <c r="G45" s="967"/>
      <c r="H45" s="1008"/>
      <c r="I45" s="1063"/>
      <c r="J45" s="622"/>
      <c r="K45" s="982"/>
      <c r="L45" s="2013"/>
      <c r="M45" s="1207"/>
      <c r="N45" s="880"/>
      <c r="O45" s="1033"/>
      <c r="P45" s="880"/>
      <c r="Q45" s="1525"/>
      <c r="R45" s="613"/>
      <c r="S45" s="162"/>
      <c r="T45" s="1956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s="224" customFormat="1" ht="15" customHeight="1" x14ac:dyDescent="0.25">
      <c r="A46" s="247">
        <v>45450</v>
      </c>
      <c r="B46" s="882" t="s">
        <v>2629</v>
      </c>
      <c r="C46" s="879" t="s">
        <v>12</v>
      </c>
      <c r="D46" s="879" t="s">
        <v>1489</v>
      </c>
      <c r="E46" s="875" t="s">
        <v>5470</v>
      </c>
      <c r="F46" s="780">
        <v>11.88</v>
      </c>
      <c r="G46" s="982"/>
      <c r="H46" s="622"/>
      <c r="I46" s="982"/>
      <c r="J46" s="622"/>
      <c r="K46" s="982"/>
      <c r="L46" s="622"/>
      <c r="M46" s="982"/>
      <c r="N46" s="622"/>
      <c r="O46" s="982"/>
      <c r="P46" s="880"/>
      <c r="Q46" s="1525"/>
      <c r="R46" s="613"/>
      <c r="S46" s="162"/>
      <c r="T46" s="195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</row>
    <row r="47" spans="1:44" s="224" customFormat="1" x14ac:dyDescent="0.25">
      <c r="A47" s="247">
        <v>45450</v>
      </c>
      <c r="B47" s="882" t="s">
        <v>1906</v>
      </c>
      <c r="C47" s="879" t="s">
        <v>12</v>
      </c>
      <c r="D47" s="879" t="s">
        <v>1493</v>
      </c>
      <c r="E47" s="480" t="s">
        <v>13</v>
      </c>
      <c r="F47" s="780">
        <v>16</v>
      </c>
      <c r="G47" s="982"/>
      <c r="H47" s="1008"/>
      <c r="I47" s="1063"/>
      <c r="J47" s="622"/>
      <c r="K47" s="982"/>
      <c r="L47" s="622"/>
      <c r="M47" s="982"/>
      <c r="N47" s="622"/>
      <c r="O47" s="982"/>
      <c r="P47" s="622"/>
      <c r="Q47" s="1063"/>
      <c r="R47" s="622"/>
      <c r="S47" s="982"/>
      <c r="T47" s="861"/>
      <c r="V47" s="878"/>
    </row>
    <row r="48" spans="1:44" s="224" customFormat="1" ht="15" customHeight="1" x14ac:dyDescent="0.25">
      <c r="A48" s="247">
        <v>45451</v>
      </c>
      <c r="B48" s="882" t="s">
        <v>6258</v>
      </c>
      <c r="C48" s="879" t="s">
        <v>12</v>
      </c>
      <c r="D48" s="879"/>
      <c r="E48" s="875" t="s">
        <v>13</v>
      </c>
      <c r="F48" s="780"/>
      <c r="G48" s="982">
        <v>1000</v>
      </c>
      <c r="H48" s="95"/>
      <c r="I48" s="1064"/>
      <c r="J48" s="613">
        <v>1000</v>
      </c>
      <c r="K48" s="982"/>
      <c r="L48" s="622"/>
      <c r="M48" s="982"/>
      <c r="N48" s="622"/>
      <c r="O48" s="982"/>
      <c r="P48" s="622"/>
      <c r="Q48" s="1063"/>
      <c r="R48" s="622"/>
      <c r="S48" s="982"/>
      <c r="T48" s="861"/>
    </row>
    <row r="49" spans="1:44" s="224" customFormat="1" ht="15" customHeight="1" x14ac:dyDescent="0.25">
      <c r="A49" s="247">
        <v>45451</v>
      </c>
      <c r="B49" s="1275" t="s">
        <v>6516</v>
      </c>
      <c r="C49" s="1276" t="s">
        <v>12</v>
      </c>
      <c r="D49" s="1276" t="s">
        <v>1524</v>
      </c>
      <c r="E49" s="1286" t="s">
        <v>13</v>
      </c>
      <c r="F49" s="613">
        <v>1000</v>
      </c>
      <c r="G49" s="967"/>
      <c r="H49" s="1008"/>
      <c r="I49" s="1063"/>
      <c r="J49" s="613"/>
      <c r="K49" s="6"/>
      <c r="L49" s="613"/>
      <c r="M49" s="6"/>
      <c r="N49" s="622"/>
      <c r="O49" s="982"/>
      <c r="P49" s="622"/>
      <c r="Q49" s="1063"/>
      <c r="R49" s="613"/>
      <c r="S49" s="64"/>
      <c r="T49" s="1028" t="s">
        <v>6477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ht="15" customHeight="1" x14ac:dyDescent="0.25">
      <c r="A50" s="247">
        <v>45451</v>
      </c>
      <c r="B50" s="882" t="s">
        <v>14</v>
      </c>
      <c r="C50" s="879" t="s">
        <v>12</v>
      </c>
      <c r="D50" s="879" t="s">
        <v>1486</v>
      </c>
      <c r="E50" s="871" t="s">
        <v>13</v>
      </c>
      <c r="F50" s="780">
        <v>8.7799999999999994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1063"/>
      <c r="R50" s="880"/>
      <c r="S50" s="1033"/>
      <c r="T50" s="927"/>
      <c r="V50" s="878"/>
    </row>
    <row r="51" spans="1:44" s="224" customFormat="1" ht="15" customHeight="1" x14ac:dyDescent="0.25">
      <c r="A51" s="247">
        <v>45451</v>
      </c>
      <c r="B51" s="882" t="s">
        <v>32</v>
      </c>
      <c r="C51" s="879" t="s">
        <v>12</v>
      </c>
      <c r="D51" s="879" t="s">
        <v>1485</v>
      </c>
      <c r="E51" s="875" t="s">
        <v>5470</v>
      </c>
      <c r="F51" s="1279">
        <v>14.9</v>
      </c>
      <c r="G51" s="982"/>
      <c r="H51" s="622"/>
      <c r="I51" s="982"/>
      <c r="J51" s="1116"/>
      <c r="K51" s="1207"/>
      <c r="L51" s="622"/>
      <c r="M51" s="982"/>
      <c r="N51" s="622"/>
      <c r="O51" s="982"/>
      <c r="P51" s="622"/>
      <c r="Q51" s="1063"/>
      <c r="R51" s="622"/>
      <c r="S51" s="982"/>
      <c r="T51" s="927"/>
      <c r="V51" s="878"/>
    </row>
    <row r="52" spans="1:44" s="224" customFormat="1" x14ac:dyDescent="0.25">
      <c r="A52" s="247">
        <v>45451</v>
      </c>
      <c r="B52" s="1275" t="s">
        <v>6515</v>
      </c>
      <c r="C52" s="1276" t="s">
        <v>12</v>
      </c>
      <c r="D52" s="1276" t="s">
        <v>1491</v>
      </c>
      <c r="E52" s="1277" t="s">
        <v>13</v>
      </c>
      <c r="F52" s="1279">
        <v>50</v>
      </c>
      <c r="G52" s="982"/>
      <c r="H52" s="1008"/>
      <c r="I52" s="1063"/>
      <c r="J52" s="2013"/>
      <c r="K52" s="1207"/>
      <c r="L52" s="622"/>
      <c r="M52" s="982"/>
      <c r="N52" s="622"/>
      <c r="O52" s="982"/>
      <c r="P52" s="622"/>
      <c r="Q52" s="1063"/>
      <c r="R52" s="622"/>
      <c r="S52" s="982"/>
      <c r="T52" s="861"/>
      <c r="V52" s="878"/>
    </row>
    <row r="53" spans="1:44" s="224" customFormat="1" ht="15" customHeight="1" x14ac:dyDescent="0.25">
      <c r="A53" s="247">
        <v>45451</v>
      </c>
      <c r="B53" s="349" t="s">
        <v>82</v>
      </c>
      <c r="C53" s="350" t="s">
        <v>12</v>
      </c>
      <c r="D53" s="350" t="s">
        <v>1493</v>
      </c>
      <c r="E53" s="480" t="s">
        <v>13</v>
      </c>
      <c r="F53" s="780">
        <v>30</v>
      </c>
      <c r="G53" s="946"/>
      <c r="H53" s="95"/>
      <c r="I53" s="1064"/>
      <c r="J53" s="853"/>
      <c r="K53" s="982"/>
      <c r="L53" s="622"/>
      <c r="M53" s="982"/>
      <c r="N53" s="622"/>
      <c r="O53" s="982"/>
      <c r="P53" s="622"/>
      <c r="Q53" s="1063"/>
      <c r="R53" s="622"/>
      <c r="S53" s="982"/>
      <c r="T53" s="861"/>
      <c r="V53" s="927"/>
      <c r="W53" s="999"/>
    </row>
    <row r="54" spans="1:44" s="224" customFormat="1" ht="15" customHeight="1" x14ac:dyDescent="0.25">
      <c r="A54" s="247">
        <v>45452</v>
      </c>
      <c r="B54" s="882" t="s">
        <v>14</v>
      </c>
      <c r="C54" s="879" t="s">
        <v>12</v>
      </c>
      <c r="D54" s="879" t="s">
        <v>1486</v>
      </c>
      <c r="E54" s="871" t="s">
        <v>13</v>
      </c>
      <c r="F54" s="780">
        <v>7.31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1063"/>
      <c r="R54" s="880"/>
      <c r="S54" s="1033"/>
      <c r="T54" s="927"/>
      <c r="V54" s="878"/>
    </row>
    <row r="55" spans="1:44" s="224" customFormat="1" ht="15" customHeight="1" x14ac:dyDescent="0.25">
      <c r="A55" s="247">
        <v>45452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1279">
        <v>12</v>
      </c>
      <c r="G55" s="982"/>
      <c r="H55" s="622"/>
      <c r="I55" s="982"/>
      <c r="J55" s="1116"/>
      <c r="K55" s="1207"/>
      <c r="L55" s="622"/>
      <c r="M55" s="982"/>
      <c r="N55" s="622"/>
      <c r="O55" s="982"/>
      <c r="P55" s="622"/>
      <c r="Q55" s="1063"/>
      <c r="R55" s="622"/>
      <c r="S55" s="982"/>
      <c r="T55" s="927"/>
      <c r="V55" s="878"/>
    </row>
    <row r="56" spans="1:44" s="224" customFormat="1" ht="15" customHeight="1" x14ac:dyDescent="0.25">
      <c r="A56" s="247">
        <v>45452</v>
      </c>
      <c r="B56" s="1275" t="s">
        <v>443</v>
      </c>
      <c r="C56" s="1276" t="s">
        <v>12</v>
      </c>
      <c r="D56" s="1276" t="s">
        <v>1493</v>
      </c>
      <c r="E56" s="1286" t="s">
        <v>13</v>
      </c>
      <c r="F56" s="613">
        <v>17.899999999999999</v>
      </c>
      <c r="G56" s="967"/>
      <c r="H56" s="1008"/>
      <c r="I56" s="1063"/>
      <c r="J56" s="622"/>
      <c r="K56" s="982"/>
      <c r="L56" s="613"/>
      <c r="M56" s="6"/>
      <c r="N56" s="622"/>
      <c r="O56" s="982"/>
      <c r="P56" s="622"/>
      <c r="Q56" s="1063"/>
      <c r="R56" s="613"/>
      <c r="S56" s="64"/>
      <c r="T56" s="1209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47">
        <v>45453</v>
      </c>
      <c r="B57" s="882" t="s">
        <v>6329</v>
      </c>
      <c r="C57" s="879" t="s">
        <v>12</v>
      </c>
      <c r="D57" s="879"/>
      <c r="E57" s="875" t="s">
        <v>25</v>
      </c>
      <c r="F57" s="780"/>
      <c r="G57" s="982">
        <v>100</v>
      </c>
      <c r="H57" s="622"/>
      <c r="I57" s="982"/>
      <c r="J57" s="622"/>
      <c r="K57" s="982"/>
      <c r="L57" s="622"/>
      <c r="M57" s="982"/>
      <c r="N57" s="622"/>
      <c r="O57" s="982"/>
      <c r="P57" s="880"/>
      <c r="Q57" s="1525"/>
      <c r="R57" s="613"/>
      <c r="S57" s="162"/>
      <c r="T57" s="1956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</row>
    <row r="58" spans="1:44" s="224" customFormat="1" ht="15" customHeight="1" x14ac:dyDescent="0.25">
      <c r="A58" s="247">
        <v>45453</v>
      </c>
      <c r="B58" s="882" t="s">
        <v>6258</v>
      </c>
      <c r="C58" s="879" t="s">
        <v>12</v>
      </c>
      <c r="D58" s="879"/>
      <c r="E58" s="875" t="s">
        <v>13</v>
      </c>
      <c r="F58" s="780"/>
      <c r="G58" s="982">
        <v>32.5</v>
      </c>
      <c r="H58" s="95"/>
      <c r="I58" s="1064"/>
      <c r="J58" s="613">
        <v>32.5</v>
      </c>
      <c r="K58" s="982"/>
      <c r="L58" s="622"/>
      <c r="M58" s="982"/>
      <c r="N58" s="622"/>
      <c r="O58" s="982"/>
      <c r="P58" s="622"/>
      <c r="Q58" s="1063"/>
      <c r="R58" s="622"/>
      <c r="S58" s="982"/>
      <c r="T58" s="861"/>
    </row>
    <row r="59" spans="1:44" s="224" customFormat="1" x14ac:dyDescent="0.25">
      <c r="A59" s="247">
        <v>45453</v>
      </c>
      <c r="B59" s="1275" t="s">
        <v>6517</v>
      </c>
      <c r="C59" s="879" t="s">
        <v>12</v>
      </c>
      <c r="D59" s="1276" t="s">
        <v>1524</v>
      </c>
      <c r="E59" s="1286" t="s">
        <v>13</v>
      </c>
      <c r="F59" s="780">
        <v>32.5</v>
      </c>
      <c r="G59" s="982"/>
      <c r="H59" s="1008"/>
      <c r="I59" s="1063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1028" t="s">
        <v>6518</v>
      </c>
      <c r="V59" s="878"/>
    </row>
    <row r="60" spans="1:44" s="224" customFormat="1" ht="15" customHeight="1" x14ac:dyDescent="0.25">
      <c r="A60" s="247">
        <v>45453</v>
      </c>
      <c r="B60" s="882" t="s">
        <v>32</v>
      </c>
      <c r="C60" s="879" t="s">
        <v>12</v>
      </c>
      <c r="D60" s="879" t="s">
        <v>1485</v>
      </c>
      <c r="E60" s="875" t="s">
        <v>13</v>
      </c>
      <c r="F60" s="780">
        <v>22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1063"/>
      <c r="R60" s="622"/>
      <c r="S60" s="982"/>
      <c r="T60" s="927"/>
      <c r="U60" s="927"/>
      <c r="V60" s="878"/>
    </row>
    <row r="61" spans="1:44" s="224" customFormat="1" ht="15" customHeight="1" x14ac:dyDescent="0.25">
      <c r="A61" s="247">
        <v>45453</v>
      </c>
      <c r="B61" s="364" t="s">
        <v>2097</v>
      </c>
      <c r="C61" s="350" t="s">
        <v>12</v>
      </c>
      <c r="D61" s="350" t="s">
        <v>2157</v>
      </c>
      <c r="E61" s="875" t="s">
        <v>13</v>
      </c>
      <c r="F61" s="780">
        <v>80</v>
      </c>
      <c r="G61" s="967"/>
      <c r="H61" s="1008"/>
      <c r="I61" s="1063"/>
      <c r="J61" s="1116"/>
      <c r="K61" s="1207"/>
      <c r="L61" s="613"/>
      <c r="M61" s="6"/>
      <c r="N61" s="622"/>
      <c r="O61" s="982"/>
      <c r="P61" s="622"/>
      <c r="Q61" s="1063"/>
      <c r="R61" s="613"/>
      <c r="S61" s="64"/>
      <c r="T61" s="1209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5" customHeight="1" x14ac:dyDescent="0.25">
      <c r="A62" s="247">
        <v>45454</v>
      </c>
      <c r="B62" s="882" t="s">
        <v>6169</v>
      </c>
      <c r="C62" s="879" t="s">
        <v>12</v>
      </c>
      <c r="D62" s="879" t="s">
        <v>1485</v>
      </c>
      <c r="E62" s="875" t="s">
        <v>13</v>
      </c>
      <c r="F62" s="613">
        <v>9.5</v>
      </c>
      <c r="G62" s="967"/>
      <c r="H62" s="1008"/>
      <c r="I62" s="1063"/>
      <c r="J62" s="2013"/>
      <c r="K62" s="1207"/>
      <c r="L62" s="2013"/>
      <c r="M62" s="1207"/>
      <c r="N62" s="880"/>
      <c r="O62" s="1033"/>
      <c r="P62" s="880"/>
      <c r="Q62" s="1525"/>
      <c r="R62" s="613"/>
      <c r="S62" s="162"/>
      <c r="T62" s="1956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ht="15" customHeight="1" x14ac:dyDescent="0.25">
      <c r="A63" s="247">
        <v>45454</v>
      </c>
      <c r="B63" s="882" t="s">
        <v>6251</v>
      </c>
      <c r="C63" s="879" t="s">
        <v>12</v>
      </c>
      <c r="D63" s="879"/>
      <c r="E63" s="875" t="s">
        <v>13</v>
      </c>
      <c r="F63" s="780">
        <v>12.5</v>
      </c>
      <c r="G63" s="982"/>
      <c r="H63" s="95"/>
      <c r="I63" s="1064"/>
      <c r="J63" s="622"/>
      <c r="K63" s="982">
        <v>12.5</v>
      </c>
      <c r="L63" s="622"/>
      <c r="M63" s="982"/>
      <c r="N63" s="622"/>
      <c r="O63" s="982"/>
      <c r="P63" s="622"/>
      <c r="Q63" s="1063"/>
      <c r="R63" s="622"/>
      <c r="S63" s="982"/>
      <c r="T63" s="861"/>
    </row>
    <row r="64" spans="1:44" s="224" customFormat="1" ht="15" customHeight="1" x14ac:dyDescent="0.25">
      <c r="A64" s="247">
        <v>45454</v>
      </c>
      <c r="B64" s="882" t="s">
        <v>6258</v>
      </c>
      <c r="C64" s="879" t="s">
        <v>12</v>
      </c>
      <c r="D64" s="879"/>
      <c r="E64" s="875" t="s">
        <v>13</v>
      </c>
      <c r="F64" s="780"/>
      <c r="G64" s="982">
        <v>70</v>
      </c>
      <c r="H64" s="1008"/>
      <c r="I64" s="1063"/>
      <c r="J64" s="613">
        <v>70</v>
      </c>
      <c r="K64" s="982"/>
      <c r="L64" s="622"/>
      <c r="M64" s="982"/>
      <c r="N64" s="622"/>
      <c r="O64" s="982"/>
      <c r="P64" s="622"/>
      <c r="Q64" s="1063"/>
      <c r="R64" s="622"/>
      <c r="S64" s="982"/>
      <c r="T64" s="861"/>
    </row>
    <row r="65" spans="1:44" s="224" customFormat="1" x14ac:dyDescent="0.25">
      <c r="A65" s="247">
        <v>45454</v>
      </c>
      <c r="B65" s="1275" t="s">
        <v>6541</v>
      </c>
      <c r="C65" s="879" t="s">
        <v>12</v>
      </c>
      <c r="D65" s="1276" t="s">
        <v>1524</v>
      </c>
      <c r="E65" s="1286" t="s">
        <v>13</v>
      </c>
      <c r="F65" s="780">
        <v>70</v>
      </c>
      <c r="G65" s="982"/>
      <c r="H65" s="1008"/>
      <c r="I65" s="1063"/>
      <c r="J65" s="622"/>
      <c r="K65" s="982"/>
      <c r="L65" s="622"/>
      <c r="M65" s="982"/>
      <c r="N65" s="622"/>
      <c r="O65" s="982"/>
      <c r="P65" s="622"/>
      <c r="Q65" s="1063"/>
      <c r="R65" s="622"/>
      <c r="S65" s="982"/>
      <c r="T65" s="1028" t="s">
        <v>6542</v>
      </c>
      <c r="V65" s="878"/>
    </row>
    <row r="66" spans="1:44" s="224" customFormat="1" ht="15" customHeight="1" x14ac:dyDescent="0.25">
      <c r="A66" s="247">
        <v>45454</v>
      </c>
      <c r="B66" s="882" t="s">
        <v>14</v>
      </c>
      <c r="C66" s="879" t="s">
        <v>12</v>
      </c>
      <c r="D66" s="879" t="s">
        <v>1486</v>
      </c>
      <c r="E66" s="871" t="s">
        <v>13</v>
      </c>
      <c r="F66" s="780">
        <v>5.33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1063"/>
      <c r="R66" s="880"/>
      <c r="S66" s="1033"/>
      <c r="T66" s="927"/>
      <c r="V66" s="878"/>
    </row>
    <row r="67" spans="1:44" s="224" customFormat="1" ht="15" customHeight="1" x14ac:dyDescent="0.25">
      <c r="A67" s="247">
        <v>45455</v>
      </c>
      <c r="B67" s="882" t="s">
        <v>32</v>
      </c>
      <c r="C67" s="879" t="s">
        <v>12</v>
      </c>
      <c r="D67" s="879" t="s">
        <v>1485</v>
      </c>
      <c r="E67" s="875" t="s">
        <v>13</v>
      </c>
      <c r="F67" s="780">
        <v>22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927"/>
      <c r="U67" s="927"/>
      <c r="V67" s="878"/>
    </row>
    <row r="68" spans="1:44" s="224" customFormat="1" ht="15" customHeight="1" x14ac:dyDescent="0.25">
      <c r="A68" s="247">
        <v>45456</v>
      </c>
      <c r="B68" s="364" t="s">
        <v>390</v>
      </c>
      <c r="C68" s="350"/>
      <c r="D68" s="350"/>
      <c r="E68" s="875"/>
      <c r="F68" s="780"/>
      <c r="G68" s="982"/>
      <c r="H68" s="622">
        <v>1007.6</v>
      </c>
      <c r="I68" s="982"/>
      <c r="J68" s="1116"/>
      <c r="K68" s="1207"/>
      <c r="L68" s="622"/>
      <c r="M68" s="982"/>
      <c r="N68" s="853"/>
      <c r="O68" s="982"/>
      <c r="P68" s="622"/>
      <c r="Q68" s="1063"/>
      <c r="R68" s="622"/>
      <c r="S68" s="982"/>
      <c r="T68" s="927"/>
      <c r="U68" s="927"/>
      <c r="V68" s="878"/>
    </row>
    <row r="69" spans="1:44" s="224" customFormat="1" ht="15" customHeight="1" x14ac:dyDescent="0.25">
      <c r="A69" s="247">
        <v>45456</v>
      </c>
      <c r="B69" s="882" t="s">
        <v>6528</v>
      </c>
      <c r="C69" s="350"/>
      <c r="D69" s="350"/>
      <c r="E69" s="875"/>
      <c r="F69" s="780"/>
      <c r="G69" s="982"/>
      <c r="H69" s="622"/>
      <c r="I69" s="982"/>
      <c r="J69" s="1116"/>
      <c r="K69" s="1215">
        <v>1007.6</v>
      </c>
      <c r="L69" s="622"/>
      <c r="M69" s="982"/>
      <c r="N69" s="853"/>
      <c r="O69" s="982"/>
      <c r="P69" s="622"/>
      <c r="Q69" s="1063"/>
      <c r="R69" s="622"/>
      <c r="S69" s="982"/>
      <c r="T69" s="927"/>
      <c r="U69" s="927"/>
      <c r="V69" s="878"/>
    </row>
    <row r="70" spans="1:44" s="224" customFormat="1" ht="15" customHeight="1" x14ac:dyDescent="0.25">
      <c r="A70" s="247">
        <v>45456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22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927"/>
      <c r="U70" s="927"/>
      <c r="V70" s="878"/>
    </row>
    <row r="71" spans="1:44" s="224" customFormat="1" ht="15" customHeight="1" x14ac:dyDescent="0.25">
      <c r="A71" s="247">
        <v>45456</v>
      </c>
      <c r="B71" s="1275" t="s">
        <v>6362</v>
      </c>
      <c r="C71" s="1276" t="s">
        <v>12</v>
      </c>
      <c r="D71" s="1276" t="s">
        <v>1489</v>
      </c>
      <c r="E71" s="1286" t="s">
        <v>13</v>
      </c>
      <c r="F71" s="613">
        <v>34.9</v>
      </c>
      <c r="G71" s="967"/>
      <c r="H71" s="1008"/>
      <c r="I71" s="1063"/>
      <c r="J71" s="1116"/>
      <c r="K71" s="1207"/>
      <c r="L71" s="613"/>
      <c r="M71" s="6"/>
      <c r="N71" s="622"/>
      <c r="O71" s="982"/>
      <c r="P71" s="622"/>
      <c r="Q71" s="1063"/>
      <c r="R71" s="613"/>
      <c r="S71" s="64"/>
      <c r="T71" s="1209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</row>
    <row r="72" spans="1:44" s="224" customFormat="1" ht="15" customHeight="1" x14ac:dyDescent="0.25">
      <c r="A72" s="247">
        <v>45457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1279">
        <v>22</v>
      </c>
      <c r="G72" s="967"/>
      <c r="H72" s="1008"/>
      <c r="I72" s="1063"/>
      <c r="J72" s="622"/>
      <c r="K72" s="982"/>
      <c r="L72" s="613"/>
      <c r="M72" s="6"/>
      <c r="N72" s="622"/>
      <c r="O72" s="982"/>
      <c r="P72" s="622"/>
      <c r="Q72" s="1063"/>
      <c r="R72" s="613"/>
      <c r="S72" s="64"/>
      <c r="T72" s="1209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</row>
    <row r="73" spans="1:44" s="224" customFormat="1" ht="15" customHeight="1" x14ac:dyDescent="0.25">
      <c r="A73" s="247">
        <v>45457</v>
      </c>
      <c r="B73" s="364" t="s">
        <v>81</v>
      </c>
      <c r="C73" s="350" t="s">
        <v>12</v>
      </c>
      <c r="D73" s="350" t="s">
        <v>1493</v>
      </c>
      <c r="E73" s="480" t="s">
        <v>13</v>
      </c>
      <c r="F73" s="613">
        <v>8</v>
      </c>
      <c r="G73" s="966"/>
      <c r="H73" s="1031"/>
      <c r="I73" s="1525"/>
      <c r="J73" s="622"/>
      <c r="K73" s="982"/>
      <c r="L73" s="872"/>
      <c r="M73" s="1207"/>
      <c r="N73" s="880"/>
      <c r="O73" s="1033"/>
      <c r="P73" s="880"/>
      <c r="Q73" s="1525"/>
      <c r="R73" s="613"/>
      <c r="S73" s="162"/>
      <c r="T73" s="1209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45457</v>
      </c>
      <c r="B74" s="364" t="s">
        <v>82</v>
      </c>
      <c r="C74" s="350" t="s">
        <v>12</v>
      </c>
      <c r="D74" s="350" t="s">
        <v>1493</v>
      </c>
      <c r="E74" s="875" t="s">
        <v>13</v>
      </c>
      <c r="F74" s="780">
        <v>31</v>
      </c>
      <c r="G74" s="982"/>
      <c r="H74" s="622"/>
      <c r="I74" s="982"/>
      <c r="J74" s="1116"/>
      <c r="K74" s="1207"/>
      <c r="L74" s="622"/>
      <c r="M74" s="982"/>
      <c r="N74" s="853"/>
      <c r="O74" s="982"/>
      <c r="P74" s="622"/>
      <c r="Q74" s="1063"/>
      <c r="R74" s="622"/>
      <c r="S74" s="982"/>
      <c r="T74" s="927"/>
      <c r="U74" s="927"/>
      <c r="V74" s="878"/>
    </row>
    <row r="75" spans="1:44" s="224" customFormat="1" ht="15" customHeight="1" x14ac:dyDescent="0.25">
      <c r="A75" s="247">
        <v>45458</v>
      </c>
      <c r="B75" s="882" t="s">
        <v>14</v>
      </c>
      <c r="C75" s="879" t="s">
        <v>12</v>
      </c>
      <c r="D75" s="879" t="s">
        <v>1486</v>
      </c>
      <c r="E75" s="871" t="s">
        <v>13</v>
      </c>
      <c r="F75" s="780">
        <v>6.19</v>
      </c>
      <c r="G75" s="982"/>
      <c r="H75" s="622"/>
      <c r="I75" s="982"/>
      <c r="J75" s="1116"/>
      <c r="K75" s="1207"/>
      <c r="L75" s="622"/>
      <c r="M75" s="982"/>
      <c r="N75" s="853"/>
      <c r="O75" s="982"/>
      <c r="P75" s="622"/>
      <c r="Q75" s="1063"/>
      <c r="R75" s="622"/>
      <c r="S75" s="982"/>
      <c r="T75" s="927"/>
      <c r="U75" s="927"/>
      <c r="V75" s="878"/>
    </row>
    <row r="76" spans="1:44" s="224" customFormat="1" ht="15" customHeight="1" x14ac:dyDescent="0.25">
      <c r="A76" s="247">
        <v>45458</v>
      </c>
      <c r="B76" s="364" t="s">
        <v>2629</v>
      </c>
      <c r="C76" s="350" t="s">
        <v>19</v>
      </c>
      <c r="D76" s="350" t="s">
        <v>1489</v>
      </c>
      <c r="E76" s="480" t="s">
        <v>13</v>
      </c>
      <c r="F76" s="613">
        <v>118.28</v>
      </c>
      <c r="G76" s="967"/>
      <c r="H76" s="1008"/>
      <c r="I76" s="1063"/>
      <c r="J76" s="622"/>
      <c r="K76" s="982"/>
      <c r="L76" s="1116"/>
      <c r="M76" s="1207"/>
      <c r="N76" s="1968"/>
      <c r="O76" s="1033"/>
      <c r="P76" s="880"/>
      <c r="Q76" s="1525"/>
      <c r="R76" s="613"/>
      <c r="S76" s="162"/>
      <c r="T76" s="1209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</row>
    <row r="77" spans="1:44" s="224" customFormat="1" ht="15" customHeight="1" x14ac:dyDescent="0.25">
      <c r="A77" s="247">
        <v>45458</v>
      </c>
      <c r="B77" s="364" t="s">
        <v>2097</v>
      </c>
      <c r="C77" s="350" t="s">
        <v>12</v>
      </c>
      <c r="D77" s="350" t="s">
        <v>2157</v>
      </c>
      <c r="E77" s="875" t="s">
        <v>15</v>
      </c>
      <c r="F77" s="780">
        <v>50</v>
      </c>
      <c r="G77" s="967"/>
      <c r="H77" s="1008"/>
      <c r="I77" s="1063"/>
      <c r="J77" s="1116"/>
      <c r="K77" s="1207"/>
      <c r="L77" s="613"/>
      <c r="M77" s="6"/>
      <c r="N77" s="622"/>
      <c r="O77" s="982"/>
      <c r="P77" s="622"/>
      <c r="Q77" s="1063"/>
      <c r="R77" s="613"/>
      <c r="S77" s="64"/>
      <c r="T77" s="1209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 s="224" customFormat="1" ht="15" customHeight="1" x14ac:dyDescent="0.25">
      <c r="A78" s="247">
        <v>45458</v>
      </c>
      <c r="B78" s="1275" t="s">
        <v>14</v>
      </c>
      <c r="C78" s="1276" t="s">
        <v>12</v>
      </c>
      <c r="D78" s="1276" t="s">
        <v>1486</v>
      </c>
      <c r="E78" s="1286" t="s">
        <v>13</v>
      </c>
      <c r="F78" s="613">
        <v>12.37</v>
      </c>
      <c r="G78" s="967"/>
      <c r="H78" s="1008"/>
      <c r="I78" s="1063"/>
      <c r="J78" s="622"/>
      <c r="K78" s="982"/>
      <c r="L78" s="613"/>
      <c r="M78" s="6"/>
      <c r="N78" s="622"/>
      <c r="O78" s="982"/>
      <c r="P78" s="622"/>
      <c r="Q78" s="1063"/>
      <c r="R78" s="613"/>
      <c r="S78" s="64"/>
      <c r="T78" s="1209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</row>
    <row r="79" spans="1:44" s="224" customFormat="1" ht="15" customHeight="1" x14ac:dyDescent="0.25">
      <c r="A79" s="247">
        <v>45459</v>
      </c>
      <c r="B79" s="1275" t="s">
        <v>14</v>
      </c>
      <c r="C79" s="1276" t="s">
        <v>12</v>
      </c>
      <c r="D79" s="1276" t="s">
        <v>1486</v>
      </c>
      <c r="E79" s="1286" t="s">
        <v>13</v>
      </c>
      <c r="F79" s="613">
        <v>4.25</v>
      </c>
      <c r="G79" s="967"/>
      <c r="H79" s="1008"/>
      <c r="I79" s="1063"/>
      <c r="J79" s="622"/>
      <c r="K79" s="982"/>
      <c r="L79" s="613"/>
      <c r="M79" s="6"/>
      <c r="N79" s="622"/>
      <c r="O79" s="982"/>
      <c r="P79" s="622"/>
      <c r="Q79" s="1063"/>
      <c r="R79" s="613"/>
      <c r="S79" s="64"/>
      <c r="T79" s="120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</row>
    <row r="80" spans="1:44" s="224" customFormat="1" ht="15" customHeight="1" x14ac:dyDescent="0.25">
      <c r="A80" s="247">
        <v>45459</v>
      </c>
      <c r="B80" s="882" t="s">
        <v>6258</v>
      </c>
      <c r="C80" s="879" t="s">
        <v>12</v>
      </c>
      <c r="D80" s="879"/>
      <c r="E80" s="875" t="s">
        <v>13</v>
      </c>
      <c r="F80" s="780"/>
      <c r="G80" s="982">
        <v>1000</v>
      </c>
      <c r="H80" s="95"/>
      <c r="I80" s="1064"/>
      <c r="J80" s="613">
        <v>1000</v>
      </c>
      <c r="K80" s="982"/>
      <c r="L80" s="622"/>
      <c r="M80" s="982"/>
      <c r="N80" s="622"/>
      <c r="O80" s="982"/>
      <c r="P80" s="622"/>
      <c r="Q80" s="1063"/>
      <c r="R80" s="622"/>
      <c r="S80" s="982"/>
      <c r="T80" s="861"/>
    </row>
    <row r="81" spans="1:44" s="224" customFormat="1" ht="15" customHeight="1" x14ac:dyDescent="0.25">
      <c r="A81" s="247">
        <v>45459</v>
      </c>
      <c r="B81" s="1275" t="s">
        <v>6530</v>
      </c>
      <c r="C81" s="1276" t="s">
        <v>12</v>
      </c>
      <c r="D81" s="1276" t="s">
        <v>1524</v>
      </c>
      <c r="E81" s="1286" t="s">
        <v>13</v>
      </c>
      <c r="F81" s="613">
        <v>1000</v>
      </c>
      <c r="G81" s="967"/>
      <c r="H81" s="1008"/>
      <c r="I81" s="1063"/>
      <c r="J81" s="613"/>
      <c r="K81" s="6"/>
      <c r="L81" s="613"/>
      <c r="M81" s="6"/>
      <c r="N81" s="622"/>
      <c r="O81" s="982"/>
      <c r="P81" s="622"/>
      <c r="Q81" s="1063"/>
      <c r="R81" s="613"/>
      <c r="S81" s="64"/>
      <c r="T81" s="1028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s="224" customFormat="1" ht="15" customHeight="1" x14ac:dyDescent="0.25">
      <c r="A82" s="247">
        <v>45459</v>
      </c>
      <c r="B82" s="364" t="s">
        <v>6531</v>
      </c>
      <c r="C82" s="350" t="s">
        <v>12</v>
      </c>
      <c r="D82" s="350" t="s">
        <v>1491</v>
      </c>
      <c r="E82" s="875" t="s">
        <v>13</v>
      </c>
      <c r="F82" s="780">
        <v>60</v>
      </c>
      <c r="G82" s="982"/>
      <c r="H82" s="622"/>
      <c r="I82" s="982"/>
      <c r="J82" s="622"/>
      <c r="K82" s="982"/>
      <c r="L82" s="622"/>
      <c r="M82" s="982"/>
      <c r="N82" s="853"/>
      <c r="O82" s="982"/>
      <c r="P82" s="622"/>
      <c r="Q82" s="1063"/>
      <c r="R82" s="622"/>
      <c r="S82" s="982"/>
      <c r="T82" s="927"/>
      <c r="U82" s="927"/>
      <c r="V82" s="878"/>
    </row>
    <row r="83" spans="1:44" s="224" customFormat="1" ht="15" customHeight="1" x14ac:dyDescent="0.25">
      <c r="A83" s="247">
        <v>45459</v>
      </c>
      <c r="B83" s="364" t="s">
        <v>421</v>
      </c>
      <c r="C83" s="350" t="s">
        <v>12</v>
      </c>
      <c r="D83" s="350" t="s">
        <v>1493</v>
      </c>
      <c r="E83" s="875" t="s">
        <v>13</v>
      </c>
      <c r="F83" s="780">
        <v>44.9</v>
      </c>
      <c r="G83" s="982"/>
      <c r="H83" s="622"/>
      <c r="I83" s="982"/>
      <c r="J83" s="622"/>
      <c r="K83" s="982"/>
      <c r="L83" s="622"/>
      <c r="M83" s="982"/>
      <c r="N83" s="853"/>
      <c r="O83" s="982"/>
      <c r="P83" s="622"/>
      <c r="Q83" s="1063"/>
      <c r="R83" s="622"/>
      <c r="S83" s="982"/>
      <c r="T83" s="927"/>
      <c r="U83" s="927"/>
      <c r="V83" s="878"/>
    </row>
    <row r="84" spans="1:44" s="224" customFormat="1" ht="14.25" customHeight="1" x14ac:dyDescent="0.25">
      <c r="A84" s="247">
        <v>45460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1279">
        <v>22</v>
      </c>
      <c r="G84" s="982"/>
      <c r="H84" s="1031"/>
      <c r="I84" s="1525"/>
      <c r="J84" s="622"/>
      <c r="K84" s="982"/>
      <c r="L84" s="872"/>
      <c r="M84" s="1207"/>
      <c r="N84" s="880"/>
      <c r="O84" s="1033"/>
      <c r="P84" s="880"/>
      <c r="Q84" s="1525"/>
      <c r="R84" s="613"/>
      <c r="S84" s="162"/>
      <c r="T84" s="1209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s="224" customFormat="1" ht="14.25" customHeight="1" x14ac:dyDescent="0.25">
      <c r="A85" s="247">
        <v>45460</v>
      </c>
      <c r="B85" s="364" t="s">
        <v>6536</v>
      </c>
      <c r="C85" s="350" t="s">
        <v>12</v>
      </c>
      <c r="D85" s="350" t="s">
        <v>1525</v>
      </c>
      <c r="E85" s="480" t="s">
        <v>13</v>
      </c>
      <c r="F85" s="613">
        <v>20</v>
      </c>
      <c r="G85" s="982"/>
      <c r="H85" s="1031"/>
      <c r="I85" s="1525"/>
      <c r="J85" s="622"/>
      <c r="K85" s="982"/>
      <c r="L85" s="872"/>
      <c r="M85" s="1207"/>
      <c r="N85" s="880"/>
      <c r="O85" s="1033"/>
      <c r="P85" s="880"/>
      <c r="Q85" s="1525"/>
      <c r="R85" s="613"/>
      <c r="S85" s="162"/>
      <c r="T85" s="1209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4.25" customHeight="1" x14ac:dyDescent="0.25">
      <c r="A86" s="247">
        <v>45460</v>
      </c>
      <c r="B86" s="882" t="s">
        <v>6329</v>
      </c>
      <c r="C86" s="879" t="s">
        <v>12</v>
      </c>
      <c r="D86" s="879"/>
      <c r="E86" s="875" t="s">
        <v>25</v>
      </c>
      <c r="F86" s="780"/>
      <c r="G86" s="982">
        <v>100</v>
      </c>
      <c r="H86" s="1031"/>
      <c r="I86" s="1525"/>
      <c r="J86" s="622"/>
      <c r="K86" s="982"/>
      <c r="L86" s="872"/>
      <c r="M86" s="1207"/>
      <c r="N86" s="880"/>
      <c r="O86" s="1033"/>
      <c r="P86" s="880"/>
      <c r="Q86" s="1525"/>
      <c r="R86" s="613"/>
      <c r="S86" s="162"/>
      <c r="T86" s="1209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</row>
    <row r="87" spans="1:44" s="224" customFormat="1" ht="15" customHeight="1" x14ac:dyDescent="0.25">
      <c r="A87" s="247">
        <v>45461</v>
      </c>
      <c r="B87" s="364" t="s">
        <v>6425</v>
      </c>
      <c r="C87" s="350" t="s">
        <v>12</v>
      </c>
      <c r="D87" s="350" t="s">
        <v>1504</v>
      </c>
      <c r="E87" s="875" t="s">
        <v>13</v>
      </c>
      <c r="F87" s="780">
        <v>40</v>
      </c>
      <c r="G87" s="982"/>
      <c r="H87" s="622"/>
      <c r="I87" s="982"/>
      <c r="J87" s="613"/>
      <c r="K87" s="6"/>
      <c r="L87" s="622"/>
      <c r="M87" s="982"/>
      <c r="N87" s="622"/>
      <c r="O87" s="982"/>
      <c r="P87" s="622"/>
      <c r="Q87" s="1063"/>
      <c r="R87" s="827"/>
      <c r="S87" s="1115"/>
      <c r="T87" s="878"/>
    </row>
    <row r="88" spans="1:44" s="224" customFormat="1" ht="14.25" customHeight="1" x14ac:dyDescent="0.25">
      <c r="A88" s="247">
        <v>45461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1279">
        <v>22</v>
      </c>
      <c r="G88" s="982"/>
      <c r="H88" s="1031"/>
      <c r="I88" s="1525"/>
      <c r="J88" s="622"/>
      <c r="K88" s="982"/>
      <c r="L88" s="872"/>
      <c r="M88" s="1207"/>
      <c r="N88" s="880"/>
      <c r="O88" s="1033"/>
      <c r="P88" s="880"/>
      <c r="Q88" s="1525"/>
      <c r="R88" s="613"/>
      <c r="S88" s="162"/>
      <c r="T88" s="1209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</row>
    <row r="89" spans="1:44" s="224" customFormat="1" ht="15" customHeight="1" x14ac:dyDescent="0.25">
      <c r="A89" s="247">
        <v>45461</v>
      </c>
      <c r="B89" s="862" t="s">
        <v>3529</v>
      </c>
      <c r="C89" s="879" t="s">
        <v>12</v>
      </c>
      <c r="D89" s="879" t="s">
        <v>1504</v>
      </c>
      <c r="E89" s="871" t="s">
        <v>13</v>
      </c>
      <c r="F89" s="780">
        <v>39.9</v>
      </c>
      <c r="G89" s="946"/>
      <c r="H89" s="95"/>
      <c r="I89" s="1064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1028"/>
      <c r="W89" s="958"/>
    </row>
    <row r="90" spans="1:44" s="224" customFormat="1" ht="15" customHeight="1" x14ac:dyDescent="0.25">
      <c r="A90" s="247">
        <v>45461</v>
      </c>
      <c r="B90" s="882" t="s">
        <v>6258</v>
      </c>
      <c r="C90" s="879" t="s">
        <v>12</v>
      </c>
      <c r="D90" s="879"/>
      <c r="E90" s="875" t="s">
        <v>13</v>
      </c>
      <c r="F90" s="780"/>
      <c r="G90" s="982">
        <v>185.7</v>
      </c>
      <c r="H90" s="1008"/>
      <c r="I90" s="1063"/>
      <c r="J90" s="613">
        <v>185.7</v>
      </c>
      <c r="K90" s="982"/>
      <c r="L90" s="622"/>
      <c r="M90" s="982"/>
      <c r="N90" s="622"/>
      <c r="O90" s="982"/>
      <c r="P90" s="622"/>
      <c r="Q90" s="1063"/>
      <c r="R90" s="622"/>
      <c r="S90" s="982"/>
      <c r="T90" s="861"/>
    </row>
    <row r="91" spans="1:44" s="224" customFormat="1" x14ac:dyDescent="0.25">
      <c r="A91" s="247">
        <v>45461</v>
      </c>
      <c r="B91" s="1275" t="s">
        <v>6554</v>
      </c>
      <c r="C91" s="879" t="s">
        <v>12</v>
      </c>
      <c r="D91" s="1276" t="s">
        <v>1524</v>
      </c>
      <c r="E91" s="1286" t="s">
        <v>13</v>
      </c>
      <c r="F91" s="780">
        <v>185.7</v>
      </c>
      <c r="G91" s="982"/>
      <c r="H91" s="1008"/>
      <c r="I91" s="1063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1028" t="s">
        <v>6542</v>
      </c>
      <c r="V91" s="878"/>
    </row>
    <row r="92" spans="1:44" s="224" customFormat="1" ht="15" customHeight="1" x14ac:dyDescent="0.25">
      <c r="A92" s="247">
        <v>45461</v>
      </c>
      <c r="B92" s="1275" t="s">
        <v>14</v>
      </c>
      <c r="C92" s="1276" t="s">
        <v>12</v>
      </c>
      <c r="D92" s="1276" t="s">
        <v>1486</v>
      </c>
      <c r="E92" s="1286" t="s">
        <v>13</v>
      </c>
      <c r="F92" s="613">
        <v>19.170000000000002</v>
      </c>
      <c r="G92" s="967"/>
      <c r="H92" s="1008"/>
      <c r="I92" s="1063"/>
      <c r="J92" s="622"/>
      <c r="K92" s="982"/>
      <c r="L92" s="1116"/>
      <c r="M92" s="1207"/>
      <c r="N92" s="1968"/>
      <c r="O92" s="1033"/>
      <c r="P92" s="880"/>
      <c r="Q92" s="1525"/>
      <c r="R92" s="613"/>
      <c r="S92" s="162"/>
      <c r="T92" s="1209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</row>
    <row r="93" spans="1:44" s="224" customFormat="1" ht="14.25" customHeight="1" x14ac:dyDescent="0.25">
      <c r="A93" s="247">
        <v>45462</v>
      </c>
      <c r="B93" s="882" t="s">
        <v>32</v>
      </c>
      <c r="C93" s="879" t="s">
        <v>12</v>
      </c>
      <c r="D93" s="879" t="s">
        <v>1485</v>
      </c>
      <c r="E93" s="875" t="s">
        <v>13</v>
      </c>
      <c r="F93" s="1873">
        <v>22</v>
      </c>
      <c r="G93" s="982"/>
      <c r="H93" s="1031"/>
      <c r="I93" s="1525"/>
      <c r="J93" s="622"/>
      <c r="K93" s="982"/>
      <c r="L93" s="872"/>
      <c r="M93" s="1207"/>
      <c r="N93" s="880"/>
      <c r="O93" s="1033"/>
      <c r="P93" s="880"/>
      <c r="Q93" s="1525"/>
      <c r="R93" s="613"/>
      <c r="S93" s="162"/>
      <c r="T93" s="1209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</row>
    <row r="94" spans="1:44" s="224" customFormat="1" ht="15" customHeight="1" x14ac:dyDescent="0.25">
      <c r="A94" s="247">
        <v>45462</v>
      </c>
      <c r="B94" s="364" t="s">
        <v>6558</v>
      </c>
      <c r="C94" s="350" t="s">
        <v>12</v>
      </c>
      <c r="D94" s="350" t="s">
        <v>2157</v>
      </c>
      <c r="E94" s="875" t="s">
        <v>13</v>
      </c>
      <c r="F94" s="780">
        <v>80.58</v>
      </c>
      <c r="G94" s="966"/>
      <c r="H94" s="1031"/>
      <c r="I94" s="1525"/>
      <c r="J94" s="622"/>
      <c r="K94" s="982"/>
      <c r="L94" s="872"/>
      <c r="M94" s="1207"/>
      <c r="N94" s="880"/>
      <c r="O94" s="1033"/>
      <c r="P94" s="880"/>
      <c r="Q94" s="1525"/>
      <c r="R94" s="613"/>
      <c r="S94" s="162"/>
      <c r="T94" s="1209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</row>
    <row r="95" spans="1:44" s="224" customFormat="1" ht="15" customHeight="1" x14ac:dyDescent="0.25">
      <c r="A95" s="247">
        <v>45462</v>
      </c>
      <c r="B95" s="1275" t="s">
        <v>14</v>
      </c>
      <c r="C95" s="1276" t="s">
        <v>12</v>
      </c>
      <c r="D95" s="1276" t="s">
        <v>1486</v>
      </c>
      <c r="E95" s="1286" t="s">
        <v>13</v>
      </c>
      <c r="F95" s="613">
        <v>9.64</v>
      </c>
      <c r="G95" s="966"/>
      <c r="H95" s="1031"/>
      <c r="I95" s="1525"/>
      <c r="J95" s="622"/>
      <c r="K95" s="982"/>
      <c r="L95" s="1110"/>
      <c r="M95" s="1207"/>
      <c r="N95" s="880"/>
      <c r="O95" s="1033"/>
      <c r="P95" s="880"/>
      <c r="Q95" s="1525"/>
      <c r="R95" s="613"/>
      <c r="S95" s="162"/>
      <c r="T95" s="1209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</row>
    <row r="96" spans="1:44" s="224" customFormat="1" ht="15" customHeight="1" x14ac:dyDescent="0.25">
      <c r="A96" s="247">
        <v>45463</v>
      </c>
      <c r="B96" s="882" t="s">
        <v>6532</v>
      </c>
      <c r="C96" s="350" t="s">
        <v>12</v>
      </c>
      <c r="D96" s="350"/>
      <c r="E96" s="480" t="s">
        <v>25</v>
      </c>
      <c r="F96" s="622"/>
      <c r="G96" s="982">
        <v>2236.5</v>
      </c>
      <c r="H96" s="1008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861"/>
    </row>
    <row r="97" spans="1:44" s="224" customFormat="1" ht="15" customHeight="1" x14ac:dyDescent="0.25">
      <c r="A97" s="247">
        <v>45463</v>
      </c>
      <c r="B97" s="364" t="s">
        <v>6434</v>
      </c>
      <c r="C97" s="879" t="s">
        <v>12</v>
      </c>
      <c r="D97" s="879"/>
      <c r="E97" s="983" t="s">
        <v>25</v>
      </c>
      <c r="F97" s="780"/>
      <c r="G97" s="982"/>
      <c r="H97" s="622"/>
      <c r="I97" s="982"/>
      <c r="J97" s="2013"/>
      <c r="K97" s="1207"/>
      <c r="L97" s="622"/>
      <c r="M97" s="982"/>
      <c r="N97" s="622"/>
      <c r="O97" s="982"/>
      <c r="P97" s="622"/>
      <c r="Q97" s="1063"/>
      <c r="R97" s="622"/>
      <c r="S97" s="982">
        <v>447.3</v>
      </c>
      <c r="T97" s="927"/>
      <c r="U97" s="927"/>
      <c r="V97" s="878"/>
    </row>
    <row r="98" spans="1:44" s="224" customFormat="1" ht="15" customHeight="1" x14ac:dyDescent="0.25">
      <c r="A98" s="247">
        <v>45463</v>
      </c>
      <c r="B98" s="364" t="s">
        <v>3354</v>
      </c>
      <c r="C98" s="350" t="s">
        <v>12</v>
      </c>
      <c r="D98" s="350"/>
      <c r="E98" s="145" t="s">
        <v>25</v>
      </c>
      <c r="F98" s="613"/>
      <c r="G98" s="967"/>
      <c r="H98" s="1008"/>
      <c r="I98" s="1063"/>
      <c r="J98" s="622"/>
      <c r="K98" s="982"/>
      <c r="L98" s="1116"/>
      <c r="M98" s="1207"/>
      <c r="N98" s="880"/>
      <c r="O98" s="1033"/>
      <c r="P98" s="880"/>
      <c r="Q98" s="1525"/>
      <c r="R98" s="613"/>
      <c r="S98" s="162">
        <v>178.19</v>
      </c>
      <c r="T98" s="201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</row>
    <row r="99" spans="1:44" s="224" customFormat="1" ht="15" customHeight="1" x14ac:dyDescent="0.25">
      <c r="A99" s="247">
        <v>45463</v>
      </c>
      <c r="B99" s="862" t="s">
        <v>2867</v>
      </c>
      <c r="C99" s="350" t="s">
        <v>12</v>
      </c>
      <c r="D99" s="874" t="s">
        <v>1504</v>
      </c>
      <c r="E99" s="887" t="s">
        <v>13</v>
      </c>
      <c r="F99" s="780">
        <v>30</v>
      </c>
      <c r="G99" s="982"/>
      <c r="H99" s="1009"/>
      <c r="I99" s="1063"/>
      <c r="J99" s="622"/>
      <c r="K99" s="982"/>
      <c r="L99" s="853"/>
      <c r="M99" s="982"/>
      <c r="N99" s="853"/>
      <c r="O99" s="982"/>
      <c r="P99" s="853"/>
      <c r="Q99" s="1063"/>
      <c r="R99" s="622"/>
      <c r="S99" s="982"/>
      <c r="T99" s="1690"/>
      <c r="U99" s="1690"/>
      <c r="V99" s="1690"/>
      <c r="W99" s="1690"/>
      <c r="X99" s="1690"/>
      <c r="Y99" s="1690"/>
      <c r="Z99" s="1690"/>
      <c r="AA99" s="1690"/>
      <c r="AB99" s="1690"/>
    </row>
    <row r="100" spans="1:44" s="224" customFormat="1" ht="14.25" customHeight="1" x14ac:dyDescent="0.25">
      <c r="A100" s="247">
        <v>45463</v>
      </c>
      <c r="B100" s="364" t="s">
        <v>2977</v>
      </c>
      <c r="C100" s="350" t="s">
        <v>12</v>
      </c>
      <c r="D100" s="350" t="s">
        <v>1491</v>
      </c>
      <c r="E100" s="875" t="s">
        <v>13</v>
      </c>
      <c r="F100" s="780">
        <v>400</v>
      </c>
      <c r="G100" s="982"/>
      <c r="H100" s="872"/>
      <c r="I100" s="1063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1029"/>
      <c r="U100" s="89"/>
      <c r="V100" s="930"/>
    </row>
    <row r="101" spans="1:44" s="224" customFormat="1" ht="15" customHeight="1" x14ac:dyDescent="0.25">
      <c r="A101" s="247">
        <v>45463</v>
      </c>
      <c r="B101" s="349" t="s">
        <v>6435</v>
      </c>
      <c r="C101" s="887" t="s">
        <v>12</v>
      </c>
      <c r="D101" s="350" t="s">
        <v>1491</v>
      </c>
      <c r="E101" s="887" t="s">
        <v>13</v>
      </c>
      <c r="F101" s="613">
        <v>31.9</v>
      </c>
      <c r="G101" s="982"/>
      <c r="I101" s="1063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927"/>
      <c r="U101" s="999"/>
      <c r="V101" s="878"/>
    </row>
    <row r="102" spans="1:44" s="224" customFormat="1" ht="15" customHeight="1" x14ac:dyDescent="0.25">
      <c r="A102" s="247">
        <v>45463</v>
      </c>
      <c r="B102" s="349" t="s">
        <v>6435</v>
      </c>
      <c r="C102" s="887" t="s">
        <v>12</v>
      </c>
      <c r="D102" s="350" t="s">
        <v>1489</v>
      </c>
      <c r="E102" s="887" t="s">
        <v>13</v>
      </c>
      <c r="F102" s="613">
        <v>79.5</v>
      </c>
      <c r="G102" s="982"/>
      <c r="H102" s="872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2274" t="s">
        <v>6637</v>
      </c>
      <c r="U102" s="999"/>
      <c r="V102" s="878"/>
    </row>
    <row r="103" spans="1:44" s="224" customFormat="1" ht="15" customHeight="1" x14ac:dyDescent="0.25">
      <c r="A103" s="247">
        <v>45463</v>
      </c>
      <c r="B103" s="349" t="s">
        <v>6435</v>
      </c>
      <c r="C103" s="887" t="s">
        <v>12</v>
      </c>
      <c r="D103" s="1005" t="s">
        <v>1524</v>
      </c>
      <c r="E103" s="887" t="s">
        <v>13</v>
      </c>
      <c r="F103" s="1116">
        <v>770.98</v>
      </c>
      <c r="G103" s="982"/>
      <c r="H103" s="872"/>
      <c r="I103" s="1063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927"/>
      <c r="U103" s="999"/>
      <c r="V103" s="878"/>
    </row>
    <row r="104" spans="1:44" s="224" customFormat="1" ht="15" customHeight="1" x14ac:dyDescent="0.25">
      <c r="A104" s="247">
        <v>45463</v>
      </c>
      <c r="B104" s="349" t="s">
        <v>6435</v>
      </c>
      <c r="C104" s="887" t="s">
        <v>12</v>
      </c>
      <c r="D104" s="350" t="s">
        <v>1506</v>
      </c>
      <c r="E104" s="887" t="s">
        <v>13</v>
      </c>
      <c r="F104" s="613">
        <v>110.98</v>
      </c>
      <c r="G104" s="982"/>
      <c r="I104" s="1063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927"/>
      <c r="U104" s="999"/>
      <c r="V104" s="878"/>
    </row>
    <row r="105" spans="1:44" s="224" customFormat="1" ht="15" customHeight="1" x14ac:dyDescent="0.25">
      <c r="A105" s="247">
        <v>45463</v>
      </c>
      <c r="B105" s="349" t="s">
        <v>6435</v>
      </c>
      <c r="C105" s="887" t="s">
        <v>12</v>
      </c>
      <c r="D105" s="350" t="s">
        <v>1524</v>
      </c>
      <c r="E105" s="887" t="s">
        <v>13</v>
      </c>
      <c r="F105" s="613">
        <v>580</v>
      </c>
      <c r="G105" s="982"/>
      <c r="H105" s="872"/>
      <c r="I105" s="1063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927"/>
      <c r="U105" s="999"/>
      <c r="V105" s="878"/>
    </row>
    <row r="106" spans="1:44" s="224" customFormat="1" ht="15" customHeight="1" x14ac:dyDescent="0.25">
      <c r="A106" s="247">
        <v>45463</v>
      </c>
      <c r="B106" s="349" t="s">
        <v>6435</v>
      </c>
      <c r="C106" s="887" t="s">
        <v>12</v>
      </c>
      <c r="D106" s="350" t="s">
        <v>1524</v>
      </c>
      <c r="E106" s="887" t="s">
        <v>13</v>
      </c>
      <c r="F106" s="613">
        <v>374.74</v>
      </c>
      <c r="G106" s="982"/>
      <c r="H106" s="872"/>
      <c r="I106" s="1063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927"/>
      <c r="U106" s="999"/>
      <c r="V106" s="878"/>
    </row>
    <row r="107" spans="1:44" s="224" customFormat="1" ht="15" customHeight="1" x14ac:dyDescent="0.25">
      <c r="A107" s="247">
        <v>45463</v>
      </c>
      <c r="B107" s="349" t="s">
        <v>6435</v>
      </c>
      <c r="C107" s="887" t="s">
        <v>12</v>
      </c>
      <c r="D107" s="1005" t="s">
        <v>1522</v>
      </c>
      <c r="E107" s="887" t="s">
        <v>13</v>
      </c>
      <c r="F107" s="1116">
        <v>56.67</v>
      </c>
      <c r="G107" s="982"/>
      <c r="H107" s="872"/>
      <c r="I107" s="1063"/>
      <c r="J107" s="622"/>
      <c r="K107" s="982"/>
      <c r="L107" s="622"/>
      <c r="M107" s="982"/>
      <c r="N107" s="622"/>
      <c r="O107" s="982"/>
      <c r="P107" s="622"/>
      <c r="Q107" s="1063"/>
      <c r="R107" s="622"/>
      <c r="S107" s="982"/>
      <c r="T107" s="927"/>
      <c r="U107" s="999"/>
      <c r="V107" s="878"/>
    </row>
    <row r="108" spans="1:44" s="224" customFormat="1" ht="15" customHeight="1" x14ac:dyDescent="0.25">
      <c r="A108" s="247">
        <v>45463</v>
      </c>
      <c r="B108" s="882" t="s">
        <v>6560</v>
      </c>
      <c r="C108" s="879" t="s">
        <v>12</v>
      </c>
      <c r="D108" s="879"/>
      <c r="E108" s="875" t="s">
        <v>13</v>
      </c>
      <c r="F108" s="780">
        <v>800</v>
      </c>
      <c r="G108" s="982"/>
      <c r="H108" s="95"/>
      <c r="I108" s="1064"/>
      <c r="J108" s="622"/>
      <c r="K108" s="982">
        <v>800</v>
      </c>
      <c r="L108" s="622"/>
      <c r="M108" s="982"/>
      <c r="N108" s="622"/>
      <c r="O108" s="982"/>
      <c r="P108" s="622"/>
      <c r="Q108" s="1063"/>
      <c r="R108" s="622"/>
      <c r="S108" s="982"/>
      <c r="T108" s="861"/>
    </row>
    <row r="109" spans="1:44" s="224" customFormat="1" ht="15" customHeight="1" x14ac:dyDescent="0.25">
      <c r="A109" s="247">
        <v>45463</v>
      </c>
      <c r="B109" s="882" t="s">
        <v>6557</v>
      </c>
      <c r="C109" s="879" t="s">
        <v>12</v>
      </c>
      <c r="D109" s="879"/>
      <c r="E109" s="875"/>
      <c r="F109" s="780"/>
      <c r="G109" s="982">
        <v>1725.71</v>
      </c>
      <c r="H109" s="95"/>
      <c r="I109" s="1064"/>
      <c r="J109" s="613">
        <v>1725.71</v>
      </c>
      <c r="K109" s="982"/>
      <c r="L109" s="622"/>
      <c r="M109" s="982"/>
      <c r="N109" s="622"/>
      <c r="O109" s="982"/>
      <c r="P109" s="622"/>
      <c r="Q109" s="1063"/>
      <c r="R109" s="622"/>
      <c r="S109" s="982"/>
      <c r="T109" s="861"/>
    </row>
    <row r="110" spans="1:44" s="224" customFormat="1" ht="14.25" customHeight="1" x14ac:dyDescent="0.25">
      <c r="A110" s="247">
        <v>45463</v>
      </c>
      <c r="B110" s="882" t="s">
        <v>2789</v>
      </c>
      <c r="C110" s="879" t="s">
        <v>12</v>
      </c>
      <c r="D110" s="879" t="s">
        <v>1485</v>
      </c>
      <c r="E110" s="875" t="s">
        <v>13</v>
      </c>
      <c r="F110" s="1873">
        <v>10</v>
      </c>
      <c r="G110" s="982"/>
      <c r="H110" s="1031"/>
      <c r="I110" s="1525"/>
      <c r="J110" s="622"/>
      <c r="K110" s="982"/>
      <c r="L110" s="872"/>
      <c r="M110" s="1207"/>
      <c r="N110" s="880"/>
      <c r="O110" s="1033"/>
      <c r="P110" s="880"/>
      <c r="Q110" s="1525"/>
      <c r="R110" s="613"/>
      <c r="S110" s="162"/>
      <c r="T110" s="1209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</row>
    <row r="111" spans="1:44" s="224" customFormat="1" ht="15" customHeight="1" x14ac:dyDescent="0.25">
      <c r="A111" s="247">
        <v>45463</v>
      </c>
      <c r="B111" s="882" t="s">
        <v>3130</v>
      </c>
      <c r="C111" s="879" t="s">
        <v>12</v>
      </c>
      <c r="D111" s="879" t="s">
        <v>1506</v>
      </c>
      <c r="E111" s="871" t="s">
        <v>13</v>
      </c>
      <c r="F111" s="780">
        <v>26</v>
      </c>
      <c r="G111" s="946"/>
      <c r="H111" s="95"/>
      <c r="I111" s="1064"/>
      <c r="J111" s="613"/>
      <c r="K111" s="6"/>
      <c r="L111" s="622"/>
      <c r="M111" s="982"/>
      <c r="N111" s="622"/>
      <c r="O111" s="982"/>
      <c r="P111" s="622"/>
      <c r="Q111" s="1063"/>
      <c r="R111" s="622"/>
      <c r="S111" s="982"/>
      <c r="T111" s="861"/>
    </row>
    <row r="112" spans="1:44" s="224" customFormat="1" ht="15" customHeight="1" x14ac:dyDescent="0.25">
      <c r="A112" s="247">
        <v>45463</v>
      </c>
      <c r="B112" s="882" t="s">
        <v>220</v>
      </c>
      <c r="C112" s="879" t="s">
        <v>12</v>
      </c>
      <c r="D112" s="879" t="s">
        <v>1522</v>
      </c>
      <c r="E112" s="871" t="s">
        <v>13</v>
      </c>
      <c r="F112" s="780">
        <v>11</v>
      </c>
      <c r="G112" s="946"/>
      <c r="H112" s="95"/>
      <c r="I112" s="1064"/>
      <c r="J112" s="613"/>
      <c r="K112" s="6"/>
      <c r="L112" s="622"/>
      <c r="M112" s="982"/>
      <c r="N112" s="622"/>
      <c r="O112" s="982"/>
      <c r="P112" s="622"/>
      <c r="Q112" s="1063"/>
      <c r="R112" s="622"/>
      <c r="S112" s="982"/>
      <c r="T112" s="861"/>
    </row>
    <row r="113" spans="1:44" s="224" customFormat="1" ht="15" customHeight="1" x14ac:dyDescent="0.25">
      <c r="A113" s="247">
        <v>45463</v>
      </c>
      <c r="B113" s="1275" t="s">
        <v>14</v>
      </c>
      <c r="C113" s="1276" t="s">
        <v>12</v>
      </c>
      <c r="D113" s="1276" t="s">
        <v>1486</v>
      </c>
      <c r="E113" s="1286" t="s">
        <v>13</v>
      </c>
      <c r="F113" s="613">
        <v>12.3</v>
      </c>
      <c r="G113" s="946"/>
      <c r="H113" s="95"/>
      <c r="I113" s="1064"/>
      <c r="J113" s="613"/>
      <c r="K113" s="6"/>
      <c r="L113" s="622"/>
      <c r="M113" s="982"/>
      <c r="N113" s="622"/>
      <c r="O113" s="982"/>
      <c r="P113" s="622"/>
      <c r="Q113" s="1063"/>
      <c r="R113" s="622"/>
      <c r="S113" s="982"/>
      <c r="T113" s="861"/>
    </row>
    <row r="114" spans="1:44" s="224" customFormat="1" ht="14.25" customHeight="1" x14ac:dyDescent="0.25">
      <c r="A114" s="247">
        <v>45464</v>
      </c>
      <c r="B114" s="882" t="s">
        <v>32</v>
      </c>
      <c r="C114" s="879" t="s">
        <v>12</v>
      </c>
      <c r="D114" s="879" t="s">
        <v>1485</v>
      </c>
      <c r="E114" s="875" t="s">
        <v>13</v>
      </c>
      <c r="F114" s="1873">
        <v>22</v>
      </c>
      <c r="G114" s="982"/>
      <c r="H114" s="1031"/>
      <c r="I114" s="1525"/>
      <c r="J114" s="622"/>
      <c r="K114" s="982"/>
      <c r="L114" s="872"/>
      <c r="M114" s="1207"/>
      <c r="N114" s="880"/>
      <c r="O114" s="1033"/>
      <c r="P114" s="880"/>
      <c r="Q114" s="1525"/>
      <c r="R114" s="613"/>
      <c r="S114" s="162"/>
      <c r="T114" s="1209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</row>
    <row r="115" spans="1:44" s="224" customFormat="1" ht="15" customHeight="1" x14ac:dyDescent="0.25">
      <c r="A115" s="247">
        <v>45465</v>
      </c>
      <c r="B115" s="882" t="s">
        <v>6258</v>
      </c>
      <c r="C115" s="879" t="s">
        <v>12</v>
      </c>
      <c r="D115" s="879"/>
      <c r="E115" s="875" t="s">
        <v>13</v>
      </c>
      <c r="F115" s="780"/>
      <c r="G115" s="982">
        <v>1085</v>
      </c>
      <c r="H115" s="95"/>
      <c r="I115" s="1064"/>
      <c r="J115" s="613">
        <v>1085</v>
      </c>
      <c r="K115" s="982"/>
      <c r="L115" s="622"/>
      <c r="M115" s="982"/>
      <c r="N115" s="622"/>
      <c r="O115" s="982"/>
      <c r="P115" s="622"/>
      <c r="Q115" s="1063"/>
      <c r="R115" s="622"/>
      <c r="S115" s="982"/>
      <c r="T115" s="861"/>
    </row>
    <row r="116" spans="1:44" s="224" customFormat="1" ht="15" customHeight="1" x14ac:dyDescent="0.25">
      <c r="A116" s="247">
        <v>45465</v>
      </c>
      <c r="B116" s="1275" t="s">
        <v>6569</v>
      </c>
      <c r="C116" s="1276" t="s">
        <v>12</v>
      </c>
      <c r="D116" s="1276" t="s">
        <v>1524</v>
      </c>
      <c r="E116" s="1286" t="s">
        <v>13</v>
      </c>
      <c r="F116" s="613">
        <v>1000</v>
      </c>
      <c r="G116" s="967"/>
      <c r="H116" s="1008"/>
      <c r="I116" s="1063"/>
      <c r="J116" s="613"/>
      <c r="K116" s="6"/>
      <c r="L116" s="613"/>
      <c r="M116" s="6"/>
      <c r="N116" s="622"/>
      <c r="O116" s="982"/>
      <c r="P116" s="622"/>
      <c r="Q116" s="1063"/>
      <c r="R116" s="613"/>
      <c r="S116" s="64"/>
      <c r="T116" s="1028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</row>
    <row r="117" spans="1:44" s="224" customFormat="1" ht="15" customHeight="1" x14ac:dyDescent="0.25">
      <c r="A117" s="247">
        <v>45465</v>
      </c>
      <c r="B117" s="1275" t="s">
        <v>6570</v>
      </c>
      <c r="C117" s="1276" t="s">
        <v>12</v>
      </c>
      <c r="D117" s="1276" t="s">
        <v>1524</v>
      </c>
      <c r="E117" s="1286" t="s">
        <v>13</v>
      </c>
      <c r="F117" s="613">
        <v>85</v>
      </c>
      <c r="G117" s="967"/>
      <c r="H117" s="1008"/>
      <c r="I117" s="1063"/>
      <c r="J117" s="613"/>
      <c r="K117" s="6"/>
      <c r="L117" s="613"/>
      <c r="M117" s="6"/>
      <c r="N117" s="622"/>
      <c r="O117" s="982"/>
      <c r="P117" s="622"/>
      <c r="Q117" s="1063"/>
      <c r="R117" s="613"/>
      <c r="S117" s="64"/>
      <c r="T117" s="1028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</row>
    <row r="118" spans="1:44" s="224" customFormat="1" ht="15" customHeight="1" x14ac:dyDescent="0.25">
      <c r="A118" s="247">
        <v>45465</v>
      </c>
      <c r="B118" s="1275" t="s">
        <v>14</v>
      </c>
      <c r="C118" s="1276" t="s">
        <v>12</v>
      </c>
      <c r="D118" s="1276" t="s">
        <v>1486</v>
      </c>
      <c r="E118" s="1286" t="s">
        <v>13</v>
      </c>
      <c r="F118" s="780">
        <v>6.94</v>
      </c>
      <c r="G118" s="946"/>
      <c r="H118" s="95"/>
      <c r="I118" s="1064"/>
      <c r="J118" s="613"/>
      <c r="K118" s="6"/>
      <c r="L118" s="622"/>
      <c r="M118" s="982"/>
      <c r="N118" s="622"/>
      <c r="O118" s="982"/>
      <c r="P118" s="622"/>
      <c r="Q118" s="1063"/>
      <c r="R118" s="622"/>
      <c r="S118" s="982"/>
      <c r="T118" s="861"/>
    </row>
    <row r="119" spans="1:44" s="224" customFormat="1" ht="15" customHeight="1" x14ac:dyDescent="0.25">
      <c r="A119" s="247">
        <v>45465</v>
      </c>
      <c r="B119" s="364" t="s">
        <v>82</v>
      </c>
      <c r="C119" s="350" t="s">
        <v>12</v>
      </c>
      <c r="D119" s="350" t="s">
        <v>1493</v>
      </c>
      <c r="E119" s="875" t="s">
        <v>13</v>
      </c>
      <c r="F119" s="780">
        <v>34.24</v>
      </c>
      <c r="G119" s="982"/>
      <c r="H119" s="622"/>
      <c r="I119" s="982"/>
      <c r="J119" s="1116"/>
      <c r="K119" s="1207"/>
      <c r="L119" s="622"/>
      <c r="M119" s="982"/>
      <c r="N119" s="853"/>
      <c r="O119" s="982"/>
      <c r="P119" s="622"/>
      <c r="Q119" s="1063"/>
      <c r="R119" s="622"/>
      <c r="S119" s="982"/>
      <c r="T119" s="927"/>
      <c r="U119" s="927"/>
      <c r="V119" s="878"/>
    </row>
    <row r="120" spans="1:44" s="224" customFormat="1" ht="15" customHeight="1" x14ac:dyDescent="0.25">
      <c r="A120" s="247">
        <v>45465</v>
      </c>
      <c r="B120" s="364" t="s">
        <v>6565</v>
      </c>
      <c r="C120" s="350" t="s">
        <v>12</v>
      </c>
      <c r="D120" s="350" t="s">
        <v>1493</v>
      </c>
      <c r="E120" s="875" t="s">
        <v>13</v>
      </c>
      <c r="F120" s="780">
        <v>10</v>
      </c>
      <c r="G120" s="982"/>
      <c r="H120" s="622"/>
      <c r="I120" s="982"/>
      <c r="J120" s="1116"/>
      <c r="K120" s="1207"/>
      <c r="L120" s="622"/>
      <c r="M120" s="982"/>
      <c r="N120" s="853"/>
      <c r="O120" s="982"/>
      <c r="P120" s="622"/>
      <c r="Q120" s="1063"/>
      <c r="R120" s="622"/>
      <c r="S120" s="982"/>
      <c r="T120" s="927"/>
      <c r="U120" s="927"/>
      <c r="V120" s="878"/>
    </row>
    <row r="121" spans="1:44" s="224" customFormat="1" ht="15" customHeight="1" x14ac:dyDescent="0.25">
      <c r="A121" s="247">
        <v>45466</v>
      </c>
      <c r="B121" s="1275" t="s">
        <v>14</v>
      </c>
      <c r="C121" s="1276" t="s">
        <v>12</v>
      </c>
      <c r="D121" s="1276" t="s">
        <v>1486</v>
      </c>
      <c r="E121" s="1286" t="s">
        <v>13</v>
      </c>
      <c r="F121" s="780">
        <v>8.32</v>
      </c>
      <c r="G121" s="946"/>
      <c r="H121" s="95"/>
      <c r="I121" s="1064"/>
      <c r="J121" s="613"/>
      <c r="K121" s="6"/>
      <c r="L121" s="622"/>
      <c r="M121" s="982"/>
      <c r="N121" s="622"/>
      <c r="O121" s="982"/>
      <c r="P121" s="622"/>
      <c r="Q121" s="1063"/>
      <c r="R121" s="622"/>
      <c r="S121" s="982"/>
      <c r="T121" s="861"/>
    </row>
    <row r="122" spans="1:44" s="224" customFormat="1" ht="15" customHeight="1" x14ac:dyDescent="0.25">
      <c r="A122" s="247">
        <v>45466</v>
      </c>
      <c r="B122" s="882" t="s">
        <v>6566</v>
      </c>
      <c r="C122" s="879" t="s">
        <v>12</v>
      </c>
      <c r="D122" s="879" t="s">
        <v>1489</v>
      </c>
      <c r="E122" s="875" t="s">
        <v>13</v>
      </c>
      <c r="F122" s="780">
        <v>8</v>
      </c>
      <c r="G122" s="982"/>
      <c r="H122" s="622"/>
      <c r="I122" s="982"/>
      <c r="J122" s="1116"/>
      <c r="K122" s="1207"/>
      <c r="L122" s="622"/>
      <c r="M122" s="982"/>
      <c r="N122" s="622"/>
      <c r="O122" s="982"/>
      <c r="P122" s="622"/>
      <c r="Q122" s="1063"/>
      <c r="R122" s="880"/>
      <c r="S122" s="1033"/>
      <c r="T122" s="927"/>
      <c r="V122" s="878"/>
    </row>
    <row r="123" spans="1:44" s="224" customFormat="1" ht="15" customHeight="1" x14ac:dyDescent="0.25">
      <c r="A123" s="247">
        <v>45466</v>
      </c>
      <c r="B123" s="882" t="s">
        <v>443</v>
      </c>
      <c r="C123" s="879" t="s">
        <v>12</v>
      </c>
      <c r="D123" s="879" t="s">
        <v>1493</v>
      </c>
      <c r="E123" s="875" t="s">
        <v>13</v>
      </c>
      <c r="F123" s="780">
        <v>19.899999999999999</v>
      </c>
      <c r="G123" s="982"/>
      <c r="H123" s="622"/>
      <c r="I123" s="982"/>
      <c r="J123" s="1116"/>
      <c r="K123" s="1207"/>
      <c r="L123" s="622"/>
      <c r="M123" s="982"/>
      <c r="N123" s="622"/>
      <c r="O123" s="982"/>
      <c r="P123" s="622"/>
      <c r="Q123" s="1063"/>
      <c r="R123" s="880"/>
      <c r="S123" s="1033"/>
      <c r="T123" s="927"/>
      <c r="V123" s="878"/>
    </row>
    <row r="124" spans="1:44" s="224" customFormat="1" ht="15" customHeight="1" x14ac:dyDescent="0.25">
      <c r="A124" s="247">
        <v>45467</v>
      </c>
      <c r="B124" s="882" t="s">
        <v>6329</v>
      </c>
      <c r="C124" s="879" t="s">
        <v>12</v>
      </c>
      <c r="D124" s="879"/>
      <c r="E124" s="875" t="s">
        <v>25</v>
      </c>
      <c r="F124" s="780"/>
      <c r="G124" s="982">
        <v>100</v>
      </c>
      <c r="H124" s="95"/>
      <c r="I124" s="1064"/>
      <c r="J124" s="613"/>
      <c r="K124" s="6"/>
      <c r="L124" s="622"/>
      <c r="M124" s="982"/>
      <c r="N124" s="622"/>
      <c r="O124" s="982"/>
      <c r="P124" s="622"/>
      <c r="Q124" s="1063"/>
      <c r="R124" s="1110"/>
      <c r="S124" s="1208"/>
      <c r="T124" s="1028"/>
      <c r="W124" s="958"/>
    </row>
    <row r="125" spans="1:44" s="224" customFormat="1" ht="14.25" customHeight="1" x14ac:dyDescent="0.25">
      <c r="A125" s="247">
        <v>45467</v>
      </c>
      <c r="B125" s="882" t="s">
        <v>2789</v>
      </c>
      <c r="C125" s="879" t="s">
        <v>12</v>
      </c>
      <c r="D125" s="879" t="s">
        <v>1485</v>
      </c>
      <c r="E125" s="875" t="s">
        <v>13</v>
      </c>
      <c r="F125" s="1873">
        <v>12</v>
      </c>
      <c r="G125" s="982"/>
      <c r="H125" s="1031"/>
      <c r="I125" s="1525"/>
      <c r="J125" s="622"/>
      <c r="K125" s="982"/>
      <c r="L125" s="872"/>
      <c r="M125" s="1207"/>
      <c r="N125" s="880"/>
      <c r="O125" s="1033"/>
      <c r="P125" s="880"/>
      <c r="Q125" s="1525"/>
      <c r="R125" s="613"/>
      <c r="S125" s="162"/>
      <c r="T125" s="1209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</row>
    <row r="126" spans="1:44" s="224" customFormat="1" ht="15" customHeight="1" x14ac:dyDescent="0.25">
      <c r="A126" s="247">
        <v>45467</v>
      </c>
      <c r="B126" s="882" t="s">
        <v>3958</v>
      </c>
      <c r="C126" s="879" t="s">
        <v>12</v>
      </c>
      <c r="D126" s="879" t="s">
        <v>1489</v>
      </c>
      <c r="E126" s="871" t="s">
        <v>13</v>
      </c>
      <c r="F126" s="780">
        <v>22</v>
      </c>
      <c r="G126" s="982"/>
      <c r="H126" s="95"/>
      <c r="I126" s="1064"/>
      <c r="J126" s="622"/>
      <c r="K126" s="982"/>
      <c r="L126" s="622"/>
      <c r="M126" s="982"/>
      <c r="N126" s="622"/>
      <c r="O126" s="982"/>
      <c r="P126" s="622"/>
      <c r="Q126" s="1063"/>
      <c r="R126" s="622"/>
      <c r="S126" s="982"/>
      <c r="T126" s="1028"/>
      <c r="W126" s="958"/>
    </row>
    <row r="127" spans="1:44" s="224" customFormat="1" ht="15" customHeight="1" x14ac:dyDescent="0.25">
      <c r="A127" s="247">
        <v>45467</v>
      </c>
      <c r="B127" s="1275" t="s">
        <v>14</v>
      </c>
      <c r="C127" s="1276" t="s">
        <v>12</v>
      </c>
      <c r="D127" s="1276" t="s">
        <v>1486</v>
      </c>
      <c r="E127" s="1286" t="s">
        <v>13</v>
      </c>
      <c r="F127" s="780">
        <v>10.07</v>
      </c>
      <c r="G127" s="982"/>
      <c r="H127" s="95"/>
      <c r="I127" s="1064"/>
      <c r="J127" s="613"/>
      <c r="K127" s="6"/>
      <c r="L127" s="622"/>
      <c r="M127" s="982"/>
      <c r="N127" s="622"/>
      <c r="O127" s="982"/>
      <c r="P127" s="622"/>
      <c r="Q127" s="1063"/>
      <c r="R127" s="622"/>
      <c r="S127" s="982"/>
      <c r="T127" s="861"/>
    </row>
    <row r="128" spans="1:44" s="224" customFormat="1" ht="14.25" customHeight="1" x14ac:dyDescent="0.25">
      <c r="A128" s="247">
        <v>45468</v>
      </c>
      <c r="B128" s="882" t="s">
        <v>32</v>
      </c>
      <c r="C128" s="879" t="s">
        <v>12</v>
      </c>
      <c r="D128" s="879" t="s">
        <v>1485</v>
      </c>
      <c r="E128" s="875" t="s">
        <v>13</v>
      </c>
      <c r="F128" s="1873">
        <v>22</v>
      </c>
      <c r="G128" s="982"/>
      <c r="H128" s="1031"/>
      <c r="I128" s="1525"/>
      <c r="J128" s="622"/>
      <c r="K128" s="982"/>
      <c r="L128" s="872"/>
      <c r="M128" s="1207"/>
      <c r="N128" s="880"/>
      <c r="O128" s="1033"/>
      <c r="P128" s="880"/>
      <c r="Q128" s="1525"/>
      <c r="R128" s="613"/>
      <c r="S128" s="162"/>
      <c r="T128" s="1209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</row>
    <row r="129" spans="1:44" s="224" customFormat="1" ht="15" customHeight="1" x14ac:dyDescent="0.25">
      <c r="A129" s="247">
        <v>45468</v>
      </c>
      <c r="B129" s="364" t="s">
        <v>2097</v>
      </c>
      <c r="C129" s="350" t="s">
        <v>12</v>
      </c>
      <c r="D129" s="350" t="s">
        <v>2157</v>
      </c>
      <c r="E129" s="875" t="s">
        <v>13</v>
      </c>
      <c r="F129" s="780">
        <v>100</v>
      </c>
      <c r="G129" s="982"/>
      <c r="H129" s="622"/>
      <c r="I129" s="982"/>
      <c r="J129" s="872"/>
      <c r="K129" s="1207"/>
      <c r="L129" s="622"/>
      <c r="M129" s="982"/>
      <c r="N129" s="622"/>
      <c r="O129" s="982"/>
      <c r="P129" s="622"/>
      <c r="Q129" s="1063"/>
      <c r="R129" s="622"/>
      <c r="S129" s="982"/>
      <c r="T129" s="1028"/>
      <c r="U129" s="959"/>
      <c r="V129" s="878"/>
      <c r="W129" s="958"/>
    </row>
    <row r="130" spans="1:44" s="224" customFormat="1" ht="15" customHeight="1" x14ac:dyDescent="0.25">
      <c r="A130" s="247">
        <v>45468</v>
      </c>
      <c r="B130" s="1275" t="s">
        <v>14</v>
      </c>
      <c r="C130" s="1276" t="s">
        <v>12</v>
      </c>
      <c r="D130" s="1276" t="s">
        <v>1486</v>
      </c>
      <c r="E130" s="1286" t="s">
        <v>13</v>
      </c>
      <c r="F130" s="780">
        <v>7.52</v>
      </c>
      <c r="G130" s="946"/>
      <c r="H130" s="95"/>
      <c r="I130" s="1064"/>
      <c r="J130" s="613"/>
      <c r="K130" s="6"/>
      <c r="L130" s="622"/>
      <c r="M130" s="982"/>
      <c r="N130" s="622"/>
      <c r="O130" s="982"/>
      <c r="P130" s="622"/>
      <c r="Q130" s="1063"/>
      <c r="R130" s="622"/>
      <c r="S130" s="982"/>
      <c r="T130" s="861"/>
    </row>
    <row r="131" spans="1:44" s="224" customFormat="1" ht="14.25" customHeight="1" x14ac:dyDescent="0.25">
      <c r="A131" s="247">
        <v>45469</v>
      </c>
      <c r="B131" s="882" t="s">
        <v>32</v>
      </c>
      <c r="C131" s="879" t="s">
        <v>12</v>
      </c>
      <c r="D131" s="879" t="s">
        <v>1485</v>
      </c>
      <c r="E131" s="875" t="s">
        <v>13</v>
      </c>
      <c r="F131" s="1873">
        <v>22</v>
      </c>
      <c r="G131" s="982"/>
      <c r="H131" s="1031"/>
      <c r="I131" s="1525"/>
      <c r="J131" s="622"/>
      <c r="K131" s="982"/>
      <c r="L131" s="872"/>
      <c r="M131" s="1207"/>
      <c r="N131" s="880"/>
      <c r="O131" s="1033"/>
      <c r="P131" s="880"/>
      <c r="Q131" s="1525"/>
      <c r="R131" s="613"/>
      <c r="S131" s="162"/>
      <c r="T131" s="1209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</row>
    <row r="132" spans="1:44" s="224" customFormat="1" ht="15" customHeight="1" x14ac:dyDescent="0.25">
      <c r="A132" s="247">
        <v>45469</v>
      </c>
      <c r="B132" s="882" t="s">
        <v>6258</v>
      </c>
      <c r="C132" s="879" t="s">
        <v>12</v>
      </c>
      <c r="D132" s="879"/>
      <c r="E132" s="875" t="s">
        <v>13</v>
      </c>
      <c r="F132" s="780"/>
      <c r="G132" s="982">
        <v>34.200000000000003</v>
      </c>
      <c r="H132" s="95"/>
      <c r="I132" s="1064"/>
      <c r="J132" s="613">
        <v>34.200000000000003</v>
      </c>
      <c r="K132" s="982"/>
      <c r="L132" s="622"/>
      <c r="M132" s="982"/>
      <c r="N132" s="622"/>
      <c r="O132" s="982"/>
      <c r="P132" s="622"/>
      <c r="Q132" s="1063"/>
      <c r="R132" s="622"/>
      <c r="S132" s="982"/>
      <c r="T132" s="861"/>
    </row>
    <row r="133" spans="1:44" s="224" customFormat="1" ht="15" customHeight="1" x14ac:dyDescent="0.25">
      <c r="A133" s="247">
        <v>45469</v>
      </c>
      <c r="B133" s="1275" t="s">
        <v>6597</v>
      </c>
      <c r="C133" s="1276" t="s">
        <v>12</v>
      </c>
      <c r="D133" s="1276" t="s">
        <v>1524</v>
      </c>
      <c r="E133" s="1286" t="s">
        <v>13</v>
      </c>
      <c r="F133" s="613">
        <v>34.200000000000003</v>
      </c>
      <c r="G133" s="967"/>
      <c r="H133" s="1008"/>
      <c r="I133" s="1063"/>
      <c r="J133" s="613"/>
      <c r="K133" s="6"/>
      <c r="L133" s="613"/>
      <c r="M133" s="6"/>
      <c r="N133" s="622"/>
      <c r="O133" s="982"/>
      <c r="P133" s="622"/>
      <c r="Q133" s="1063"/>
      <c r="R133" s="613"/>
      <c r="S133" s="64"/>
      <c r="T133" s="1028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</row>
    <row r="134" spans="1:44" s="224" customFormat="1" ht="15" customHeight="1" x14ac:dyDescent="0.25">
      <c r="A134" s="247">
        <v>45469</v>
      </c>
      <c r="B134" s="882" t="s">
        <v>6600</v>
      </c>
      <c r="C134" s="879" t="s">
        <v>12</v>
      </c>
      <c r="D134" s="879" t="s">
        <v>1506</v>
      </c>
      <c r="E134" s="871" t="s">
        <v>13</v>
      </c>
      <c r="F134" s="780">
        <v>29.9</v>
      </c>
      <c r="G134" s="946"/>
      <c r="H134" s="95"/>
      <c r="I134" s="1064"/>
      <c r="J134" s="622"/>
      <c r="K134" s="982"/>
      <c r="L134" s="622"/>
      <c r="M134" s="982"/>
      <c r="N134" s="622"/>
      <c r="O134" s="982"/>
      <c r="P134" s="622"/>
      <c r="Q134" s="1063"/>
      <c r="R134" s="622"/>
      <c r="S134" s="982"/>
      <c r="T134" s="1028"/>
      <c r="W134" s="958"/>
    </row>
    <row r="135" spans="1:44" s="224" customFormat="1" ht="14.25" customHeight="1" x14ac:dyDescent="0.25">
      <c r="A135" s="247">
        <v>45470</v>
      </c>
      <c r="B135" s="882" t="s">
        <v>32</v>
      </c>
      <c r="C135" s="879" t="s">
        <v>12</v>
      </c>
      <c r="D135" s="879" t="s">
        <v>1485</v>
      </c>
      <c r="E135" s="875" t="s">
        <v>13</v>
      </c>
      <c r="F135" s="1873">
        <v>22</v>
      </c>
      <c r="G135" s="982"/>
      <c r="H135" s="1031"/>
      <c r="I135" s="1525"/>
      <c r="J135" s="622"/>
      <c r="K135" s="982"/>
      <c r="L135" s="872"/>
      <c r="M135" s="1207"/>
      <c r="N135" s="880"/>
      <c r="O135" s="1033"/>
      <c r="P135" s="880"/>
      <c r="Q135" s="1525"/>
      <c r="R135" s="613"/>
      <c r="S135" s="162"/>
      <c r="T135" s="1209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</row>
    <row r="136" spans="1:44" s="224" customFormat="1" ht="15" customHeight="1" x14ac:dyDescent="0.25">
      <c r="A136" s="247">
        <v>45470</v>
      </c>
      <c r="B136" s="882" t="s">
        <v>81</v>
      </c>
      <c r="C136" s="879" t="s">
        <v>12</v>
      </c>
      <c r="D136" s="879" t="s">
        <v>1493</v>
      </c>
      <c r="E136" s="871" t="s">
        <v>13</v>
      </c>
      <c r="F136" s="780">
        <v>5.5</v>
      </c>
      <c r="G136" s="982"/>
      <c r="H136" s="622"/>
      <c r="I136" s="982"/>
      <c r="J136" s="872"/>
      <c r="K136" s="1207"/>
      <c r="L136" s="622"/>
      <c r="M136" s="982"/>
      <c r="N136" s="622"/>
      <c r="O136" s="982"/>
      <c r="P136" s="622"/>
      <c r="Q136" s="1063"/>
      <c r="R136" s="622"/>
      <c r="S136" s="982"/>
      <c r="T136" s="1028"/>
      <c r="U136" s="959"/>
      <c r="V136" s="878"/>
      <c r="W136" s="958"/>
    </row>
    <row r="137" spans="1:44" s="224" customFormat="1" ht="15" customHeight="1" x14ac:dyDescent="0.25">
      <c r="A137" s="247">
        <v>45471</v>
      </c>
      <c r="B137" s="364" t="s">
        <v>3758</v>
      </c>
      <c r="C137" s="350"/>
      <c r="D137" s="350"/>
      <c r="E137" s="875" t="s">
        <v>25</v>
      </c>
      <c r="F137" s="780"/>
      <c r="G137" s="982">
        <v>1378.51</v>
      </c>
      <c r="H137" s="1008"/>
      <c r="I137" s="1063"/>
      <c r="J137" s="622"/>
      <c r="K137" s="982"/>
      <c r="L137" s="622"/>
      <c r="M137" s="982"/>
      <c r="N137" s="622"/>
      <c r="O137" s="982"/>
      <c r="P137" s="622"/>
      <c r="Q137" s="1063"/>
      <c r="R137" s="622"/>
      <c r="S137" s="982"/>
      <c r="T137" s="861">
        <v>1364.87</v>
      </c>
      <c r="V137" s="1035"/>
    </row>
    <row r="138" spans="1:44" s="224" customFormat="1" ht="15" customHeight="1" x14ac:dyDescent="0.25">
      <c r="A138" s="247">
        <v>45471</v>
      </c>
      <c r="B138" s="882" t="s">
        <v>6208</v>
      </c>
      <c r="C138" s="879" t="s">
        <v>12</v>
      </c>
      <c r="D138" s="879"/>
      <c r="E138" s="875" t="s">
        <v>13</v>
      </c>
      <c r="F138" s="780">
        <v>1300</v>
      </c>
      <c r="G138" s="982"/>
      <c r="H138" s="1008"/>
      <c r="I138" s="1063"/>
      <c r="J138" s="622"/>
      <c r="K138" s="982">
        <v>1300</v>
      </c>
      <c r="L138" s="622"/>
      <c r="M138" s="982"/>
      <c r="N138" s="622"/>
      <c r="O138" s="982"/>
      <c r="P138" s="622"/>
      <c r="Q138" s="1063"/>
      <c r="R138" s="622"/>
      <c r="S138" s="982"/>
      <c r="T138" s="861"/>
    </row>
    <row r="139" spans="1:44" s="224" customFormat="1" ht="15" customHeight="1" x14ac:dyDescent="0.25">
      <c r="A139" s="247">
        <v>45471</v>
      </c>
      <c r="B139" s="882" t="s">
        <v>6258</v>
      </c>
      <c r="C139" s="879" t="s">
        <v>12</v>
      </c>
      <c r="D139" s="879"/>
      <c r="E139" s="875" t="s">
        <v>13</v>
      </c>
      <c r="F139" s="780"/>
      <c r="G139" s="982">
        <v>500</v>
      </c>
      <c r="H139" s="95"/>
      <c r="I139" s="1064"/>
      <c r="J139" s="613">
        <v>500</v>
      </c>
      <c r="K139" s="982"/>
      <c r="L139" s="622"/>
      <c r="M139" s="982"/>
      <c r="N139" s="622"/>
      <c r="O139" s="982"/>
      <c r="P139" s="622"/>
      <c r="Q139" s="1063"/>
      <c r="R139" s="622"/>
      <c r="S139" s="982"/>
      <c r="T139" s="861"/>
    </row>
    <row r="140" spans="1:44" s="224" customFormat="1" ht="15" customHeight="1" x14ac:dyDescent="0.25">
      <c r="A140" s="247">
        <v>45471</v>
      </c>
      <c r="B140" s="1275" t="s">
        <v>6606</v>
      </c>
      <c r="C140" s="1276" t="s">
        <v>12</v>
      </c>
      <c r="D140" s="1276" t="s">
        <v>1524</v>
      </c>
      <c r="E140" s="1286" t="s">
        <v>13</v>
      </c>
      <c r="F140" s="613">
        <v>500</v>
      </c>
      <c r="G140" s="967"/>
      <c r="H140" s="1008"/>
      <c r="I140" s="1063"/>
      <c r="J140" s="613"/>
      <c r="K140" s="6"/>
      <c r="L140" s="613"/>
      <c r="M140" s="6"/>
      <c r="N140" s="622"/>
      <c r="O140" s="982"/>
      <c r="P140" s="622"/>
      <c r="Q140" s="1063"/>
      <c r="R140" s="613"/>
      <c r="S140" s="64"/>
      <c r="T140" s="1028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</row>
    <row r="141" spans="1:44" s="224" customFormat="1" ht="15" customHeight="1" x14ac:dyDescent="0.25">
      <c r="A141" s="247">
        <v>45471</v>
      </c>
      <c r="B141" s="882" t="s">
        <v>32</v>
      </c>
      <c r="C141" s="879" t="s">
        <v>12</v>
      </c>
      <c r="D141" s="879" t="s">
        <v>1485</v>
      </c>
      <c r="E141" s="875" t="s">
        <v>13</v>
      </c>
      <c r="F141" s="1873">
        <v>22</v>
      </c>
      <c r="G141" s="982"/>
      <c r="H141" s="1008"/>
      <c r="I141" s="1063"/>
      <c r="J141" s="1116"/>
      <c r="K141" s="1207"/>
      <c r="L141" s="622"/>
      <c r="M141" s="982"/>
      <c r="N141" s="622"/>
      <c r="O141" s="982"/>
      <c r="P141" s="622"/>
      <c r="Q141" s="1063"/>
      <c r="R141" s="622"/>
      <c r="S141" s="982"/>
      <c r="T141" s="861"/>
      <c r="V141" s="1035"/>
    </row>
    <row r="142" spans="1:44" s="224" customFormat="1" ht="15" customHeight="1" x14ac:dyDescent="0.25">
      <c r="A142" s="247">
        <v>45472</v>
      </c>
      <c r="B142" s="1275" t="s">
        <v>14</v>
      </c>
      <c r="C142" s="1276" t="s">
        <v>12</v>
      </c>
      <c r="D142" s="1276" t="s">
        <v>1486</v>
      </c>
      <c r="E142" s="1286" t="s">
        <v>13</v>
      </c>
      <c r="F142" s="780">
        <v>7.27</v>
      </c>
      <c r="G142" s="982"/>
      <c r="H142" s="1008"/>
      <c r="I142" s="1063"/>
      <c r="J142" s="1116"/>
      <c r="K142" s="1207"/>
      <c r="L142" s="622"/>
      <c r="M142" s="982"/>
      <c r="N142" s="622"/>
      <c r="O142" s="982"/>
      <c r="P142" s="622"/>
      <c r="Q142" s="1063"/>
      <c r="R142" s="622"/>
      <c r="S142" s="982"/>
      <c r="T142" s="861"/>
      <c r="V142" s="1035"/>
    </row>
    <row r="143" spans="1:44" s="224" customFormat="1" ht="15" customHeight="1" x14ac:dyDescent="0.25">
      <c r="A143" s="247">
        <v>45472</v>
      </c>
      <c r="B143" s="882" t="s">
        <v>6621</v>
      </c>
      <c r="C143" s="879" t="s">
        <v>12</v>
      </c>
      <c r="D143" s="879" t="s">
        <v>1489</v>
      </c>
      <c r="E143" s="871" t="s">
        <v>15</v>
      </c>
      <c r="F143" s="780">
        <v>50</v>
      </c>
      <c r="G143" s="982"/>
      <c r="H143" s="622"/>
      <c r="I143" s="982"/>
      <c r="J143" s="872"/>
      <c r="K143" s="1207"/>
      <c r="L143" s="622"/>
      <c r="M143" s="982"/>
      <c r="N143" s="622"/>
      <c r="O143" s="982"/>
      <c r="P143" s="622"/>
      <c r="Q143" s="1063"/>
      <c r="R143" s="622"/>
      <c r="S143" s="982"/>
      <c r="T143" s="1028"/>
      <c r="U143" s="959"/>
      <c r="V143" s="878"/>
      <c r="W143" s="958"/>
    </row>
    <row r="144" spans="1:44" s="224" customFormat="1" ht="15" customHeight="1" x14ac:dyDescent="0.25">
      <c r="A144" s="247">
        <v>45472</v>
      </c>
      <c r="B144" s="882" t="s">
        <v>6607</v>
      </c>
      <c r="C144" s="879" t="s">
        <v>12</v>
      </c>
      <c r="D144" s="879" t="s">
        <v>1489</v>
      </c>
      <c r="E144" s="871" t="s">
        <v>13</v>
      </c>
      <c r="F144" s="780">
        <v>12.6</v>
      </c>
      <c r="G144" s="982"/>
      <c r="H144" s="622"/>
      <c r="I144" s="982"/>
      <c r="J144" s="872"/>
      <c r="K144" s="1207"/>
      <c r="L144" s="622"/>
      <c r="M144" s="982"/>
      <c r="N144" s="622"/>
      <c r="O144" s="982"/>
      <c r="P144" s="622"/>
      <c r="Q144" s="1063"/>
      <c r="R144" s="622"/>
      <c r="S144" s="982"/>
      <c r="T144" s="1028"/>
      <c r="U144" s="959"/>
      <c r="V144" s="878"/>
      <c r="W144" s="958"/>
    </row>
    <row r="145" spans="1:28" s="224" customFormat="1" ht="15" customHeight="1" x14ac:dyDescent="0.25">
      <c r="A145" s="247">
        <v>45472</v>
      </c>
      <c r="B145" s="349" t="s">
        <v>82</v>
      </c>
      <c r="C145" s="350" t="s">
        <v>12</v>
      </c>
      <c r="D145" s="350" t="s">
        <v>1493</v>
      </c>
      <c r="E145" s="480" t="s">
        <v>13</v>
      </c>
      <c r="F145" s="780">
        <v>25</v>
      </c>
      <c r="G145" s="946"/>
      <c r="H145" s="95"/>
      <c r="I145" s="1064"/>
      <c r="J145" s="622"/>
      <c r="K145" s="982"/>
      <c r="L145" s="622"/>
      <c r="M145" s="982"/>
      <c r="N145" s="622"/>
      <c r="O145" s="982"/>
      <c r="P145" s="622"/>
      <c r="Q145" s="1063"/>
      <c r="R145" s="622"/>
      <c r="S145" s="982"/>
      <c r="T145" s="861"/>
      <c r="V145" s="927"/>
      <c r="W145" s="999"/>
    </row>
    <row r="146" spans="1:28" s="224" customFormat="1" ht="15" customHeight="1" x14ac:dyDescent="0.25">
      <c r="A146" s="247">
        <v>45473</v>
      </c>
      <c r="B146" s="882" t="s">
        <v>32</v>
      </c>
      <c r="C146" s="879" t="s">
        <v>12</v>
      </c>
      <c r="D146" s="879" t="s">
        <v>1485</v>
      </c>
      <c r="E146" s="875" t="s">
        <v>13</v>
      </c>
      <c r="F146" s="1873">
        <v>25</v>
      </c>
      <c r="G146" s="982"/>
      <c r="H146" s="1008"/>
      <c r="I146" s="1063"/>
      <c r="J146" s="1116"/>
      <c r="K146" s="1207"/>
      <c r="L146" s="622"/>
      <c r="M146" s="982"/>
      <c r="N146" s="622"/>
      <c r="O146" s="982"/>
      <c r="P146" s="622"/>
      <c r="Q146" s="1063"/>
      <c r="R146" s="622"/>
      <c r="S146" s="982"/>
      <c r="T146" s="861"/>
      <c r="V146" s="1035"/>
    </row>
    <row r="147" spans="1:28" s="224" customFormat="1" ht="15" customHeight="1" x14ac:dyDescent="0.25">
      <c r="A147" s="247">
        <v>45473</v>
      </c>
      <c r="B147" s="882" t="s">
        <v>443</v>
      </c>
      <c r="C147" s="879" t="s">
        <v>12</v>
      </c>
      <c r="D147" s="879" t="s">
        <v>1493</v>
      </c>
      <c r="E147" s="871" t="s">
        <v>13</v>
      </c>
      <c r="F147" s="780">
        <v>28.87</v>
      </c>
      <c r="G147" s="982"/>
      <c r="H147" s="622"/>
      <c r="I147" s="982"/>
      <c r="J147" s="622"/>
      <c r="K147" s="982"/>
      <c r="L147" s="622"/>
      <c r="M147" s="982"/>
      <c r="N147" s="622"/>
      <c r="O147" s="982"/>
      <c r="P147" s="622"/>
      <c r="Q147" s="1063"/>
      <c r="R147" s="622"/>
      <c r="S147" s="982"/>
      <c r="T147" s="1028"/>
      <c r="U147" s="959"/>
      <c r="V147" s="878"/>
      <c r="W147" s="958"/>
    </row>
    <row r="148" spans="1:28" s="224" customFormat="1" ht="15" customHeight="1" thickBot="1" x14ac:dyDescent="0.3">
      <c r="A148" s="247">
        <v>45473</v>
      </c>
      <c r="B148" s="349" t="s">
        <v>6168</v>
      </c>
      <c r="C148" s="350" t="s">
        <v>12</v>
      </c>
      <c r="D148" s="350"/>
      <c r="E148" s="480" t="s">
        <v>25</v>
      </c>
      <c r="F148" s="780"/>
      <c r="G148" s="946"/>
      <c r="H148" s="95"/>
      <c r="I148" s="2096">
        <v>2.78</v>
      </c>
      <c r="J148" s="622"/>
      <c r="K148" s="2096">
        <v>7.35</v>
      </c>
      <c r="L148" s="622"/>
      <c r="M148" s="982"/>
      <c r="N148" s="622"/>
      <c r="O148" s="982"/>
      <c r="P148" s="622"/>
      <c r="Q148" s="2096">
        <v>26</v>
      </c>
      <c r="R148" s="622"/>
      <c r="S148" s="982"/>
      <c r="T148" s="861"/>
      <c r="V148" s="927"/>
      <c r="W148" s="999"/>
    </row>
    <row r="149" spans="1:28" ht="25.5" customHeight="1" thickBot="1" x14ac:dyDescent="0.3">
      <c r="A149" s="3060"/>
      <c r="B149" s="3061"/>
      <c r="C149" s="3062"/>
      <c r="D149" s="3062"/>
      <c r="E149" s="3062"/>
      <c r="F149" s="1023">
        <f>SUM(F6:F148)</f>
        <v>13637.359999999999</v>
      </c>
      <c r="G149" s="1065">
        <f>SUM(G5:G148)</f>
        <v>14281.345750000046</v>
      </c>
      <c r="H149" s="517">
        <f>SUM(H6:H148)</f>
        <v>1007.6</v>
      </c>
      <c r="I149" s="93">
        <f>SUM(I5:I148)</f>
        <v>1007.595999999999</v>
      </c>
      <c r="J149" s="517">
        <f>SUM(J6:J148)</f>
        <v>6952.91</v>
      </c>
      <c r="K149" s="93">
        <f>SUM(K5:K148)</f>
        <v>8046.4500000000053</v>
      </c>
      <c r="L149" s="1023">
        <f>SUM(L6:L148)</f>
        <v>0</v>
      </c>
      <c r="M149" s="93">
        <f>SUM(M5:M148)</f>
        <v>26844.530000000002</v>
      </c>
      <c r="N149" s="1023">
        <f>SUM(N6:N148)</f>
        <v>0</v>
      </c>
      <c r="O149" s="93">
        <f>SUM(O5:O148)</f>
        <v>0</v>
      </c>
      <c r="P149" s="1023">
        <f>SUM(P6:P148)</f>
        <v>0</v>
      </c>
      <c r="Q149" s="93">
        <f>SUM(Q5:Q148)</f>
        <v>4037.010000000002</v>
      </c>
      <c r="R149" s="1023">
        <f>SUM(R6:R148)</f>
        <v>0</v>
      </c>
      <c r="S149" s="93">
        <f>SUM(S5:S148)</f>
        <v>29811.975984720004</v>
      </c>
      <c r="U149" s="216"/>
    </row>
    <row r="150" spans="1:28" ht="25.5" customHeight="1" thickBot="1" x14ac:dyDescent="0.3">
      <c r="A150" s="3063" t="s">
        <v>49</v>
      </c>
      <c r="B150" s="3064"/>
      <c r="C150" s="3064"/>
      <c r="D150" s="3064"/>
      <c r="E150" s="3064"/>
      <c r="F150" s="2046" t="s">
        <v>280</v>
      </c>
      <c r="G150" s="1066">
        <f>G149-F149</f>
        <v>643.98575000004712</v>
      </c>
      <c r="H150" s="1221"/>
      <c r="I150" s="772">
        <f>I149-H149</f>
        <v>-4.0000000010422809E-3</v>
      </c>
      <c r="J150" s="1221"/>
      <c r="K150" s="772">
        <f>K149-J149</f>
        <v>1093.5400000000054</v>
      </c>
      <c r="L150" s="1222"/>
      <c r="M150" s="993">
        <f>M149-L149</f>
        <v>26844.530000000002</v>
      </c>
      <c r="N150" s="1222"/>
      <c r="O150" s="772">
        <f>O149-N149</f>
        <v>0</v>
      </c>
      <c r="P150" s="1222"/>
      <c r="Q150" s="772">
        <f>Q149-P149</f>
        <v>4037.010000000002</v>
      </c>
      <c r="R150" s="1222"/>
      <c r="S150" s="772">
        <f>S149-R149</f>
        <v>29811.975984720004</v>
      </c>
      <c r="T150" s="484">
        <f>M150+O150+Q150+S150</f>
        <v>60693.515984720012</v>
      </c>
    </row>
    <row r="151" spans="1:28" x14ac:dyDescent="0.25">
      <c r="J151" s="1210"/>
      <c r="K151" s="1038"/>
      <c r="L151" s="2044"/>
      <c r="M151" s="1238">
        <f>M150/T150</f>
        <v>0.44229650506255541</v>
      </c>
      <c r="O151" s="1238">
        <f>O150/T150</f>
        <v>0</v>
      </c>
      <c r="Q151" s="1238">
        <f>Q150/T150</f>
        <v>6.6514683397421656E-2</v>
      </c>
      <c r="R151" s="1239"/>
      <c r="S151" s="1239">
        <f>S150/T150</f>
        <v>0.49118881154002286</v>
      </c>
      <c r="T151" s="867"/>
      <c r="U151" s="867"/>
      <c r="V151" s="79"/>
      <c r="Y151" s="518"/>
      <c r="Z151" s="216"/>
      <c r="AB151" s="877"/>
    </row>
    <row r="152" spans="1:28" x14ac:dyDescent="0.25">
      <c r="B152" s="81" t="s">
        <v>3</v>
      </c>
      <c r="C152" s="193" t="s">
        <v>1484</v>
      </c>
      <c r="D152" s="970" t="s">
        <v>2378</v>
      </c>
      <c r="E152" s="193" t="s">
        <v>3216</v>
      </c>
      <c r="F152" s="1061" t="s">
        <v>3217</v>
      </c>
      <c r="G152" s="216"/>
      <c r="I152" s="216"/>
      <c r="J152" s="1038" t="s">
        <v>6327</v>
      </c>
      <c r="K152" s="216">
        <v>330.98</v>
      </c>
      <c r="L152" s="867"/>
      <c r="M152" s="866"/>
      <c r="O152" s="866"/>
      <c r="Q152" s="866"/>
      <c r="R152" s="1038"/>
      <c r="S152" s="1038"/>
      <c r="T152" s="865"/>
      <c r="U152" s="867"/>
    </row>
    <row r="153" spans="1:28" x14ac:dyDescent="0.25">
      <c r="B153" s="79" t="s">
        <v>32</v>
      </c>
      <c r="C153" s="85" t="s">
        <v>1485</v>
      </c>
      <c r="D153" s="475">
        <f>SUMIF($D$7:$D$148,"A",$F$7:$F$148)</f>
        <v>450.4</v>
      </c>
      <c r="E153" s="1202">
        <f t="shared" ref="E153:E168" si="0">D153/$K$170</f>
        <v>15.013333333333332</v>
      </c>
      <c r="F153" s="1203">
        <f t="shared" ref="F153:F168" si="1">E153/$E$171</f>
        <v>9.4524544061785121E-2</v>
      </c>
      <c r="G153" s="800"/>
      <c r="H153" s="609"/>
      <c r="I153" s="769"/>
      <c r="J153" s="1038" t="s">
        <v>6328</v>
      </c>
      <c r="K153" s="1225">
        <v>0</v>
      </c>
      <c r="L153" s="1210"/>
      <c r="M153" s="754"/>
      <c r="O153" s="886"/>
      <c r="Q153" s="886"/>
      <c r="R153" s="886"/>
      <c r="S153" s="1038">
        <v>24197.98</v>
      </c>
      <c r="T153" s="1038" t="s">
        <v>6378</v>
      </c>
      <c r="U153" s="1210"/>
      <c r="W153" s="1201"/>
      <c r="X153" s="877"/>
    </row>
    <row r="154" spans="1:28" x14ac:dyDescent="0.25">
      <c r="B154" s="79" t="s">
        <v>2187</v>
      </c>
      <c r="C154" s="85" t="s">
        <v>2157</v>
      </c>
      <c r="D154" s="475">
        <f>SUMIF($D$8:$D$148,"GAC",$F$8:$F$148)</f>
        <v>390.58</v>
      </c>
      <c r="E154" s="1202">
        <f t="shared" si="0"/>
        <v>13.019333333333332</v>
      </c>
      <c r="F154" s="1203">
        <f t="shared" si="1"/>
        <v>8.1970240718587994E-2</v>
      </c>
      <c r="G154" s="609"/>
      <c r="J154" s="2125"/>
      <c r="K154" s="1129">
        <f>SUM(K152:K153)</f>
        <v>330.98</v>
      </c>
      <c r="L154" s="1038"/>
      <c r="M154" s="1225"/>
      <c r="O154" s="1210"/>
      <c r="Q154" s="1038"/>
      <c r="R154" s="1210"/>
      <c r="S154" s="1210">
        <f>S150+S153</f>
        <v>54009.95598472</v>
      </c>
      <c r="T154" s="1038" t="s">
        <v>6379</v>
      </c>
      <c r="W154" s="877"/>
      <c r="X154" s="877"/>
    </row>
    <row r="155" spans="1:28" s="85" customFormat="1" x14ac:dyDescent="0.25">
      <c r="A155" s="79"/>
      <c r="B155" s="79" t="s">
        <v>50</v>
      </c>
      <c r="C155" s="85" t="s">
        <v>1493</v>
      </c>
      <c r="D155" s="475">
        <f>SUMIF($D$8:$D$148,"LD",$F$8:$F$148)</f>
        <v>329.83</v>
      </c>
      <c r="E155" s="1202">
        <f t="shared" si="0"/>
        <v>10.994333333333334</v>
      </c>
      <c r="F155" s="1203">
        <f t="shared" si="1"/>
        <v>6.9220760141870757E-2</v>
      </c>
      <c r="J155" s="1210"/>
      <c r="K155" s="1038"/>
      <c r="L155" s="864"/>
      <c r="M155" s="877"/>
      <c r="O155" s="941"/>
      <c r="P155" s="877"/>
      <c r="Q155" s="863"/>
      <c r="S155" s="79"/>
      <c r="T155" s="177"/>
      <c r="W155" s="877"/>
      <c r="X155" s="877"/>
    </row>
    <row r="156" spans="1:28" s="85" customFormat="1" x14ac:dyDescent="0.25">
      <c r="A156" s="79"/>
      <c r="B156" s="79" t="s">
        <v>14</v>
      </c>
      <c r="C156" s="85" t="s">
        <v>1486</v>
      </c>
      <c r="D156" s="475">
        <f>SUMIF($D$8:$D$148,"C",$F$8:$F$148)</f>
        <v>142.03</v>
      </c>
      <c r="E156" s="1202">
        <f t="shared" si="0"/>
        <v>4.7343333333333337</v>
      </c>
      <c r="F156" s="1203">
        <f t="shared" si="1"/>
        <v>2.9807551050389305E-2</v>
      </c>
      <c r="G156" s="79"/>
      <c r="H156" s="79"/>
      <c r="J156" s="1210"/>
      <c r="K156" s="1038"/>
      <c r="L156" s="1038"/>
      <c r="M156" s="877"/>
      <c r="O156" s="1028"/>
      <c r="P156" s="877"/>
      <c r="Q156" s="1038"/>
      <c r="T156" s="177"/>
      <c r="W156" s="877"/>
      <c r="X156" s="877"/>
    </row>
    <row r="157" spans="1:28" s="85" customFormat="1" x14ac:dyDescent="0.25">
      <c r="B157" s="79" t="s">
        <v>51</v>
      </c>
      <c r="C157" s="864" t="s">
        <v>1499</v>
      </c>
      <c r="D157" s="475">
        <f>SUMIF($D$8:$D$148,"CAL",$F$8:$F$148)</f>
        <v>85.84</v>
      </c>
      <c r="E157" s="1202">
        <f t="shared" si="0"/>
        <v>2.8613333333333335</v>
      </c>
      <c r="F157" s="1203">
        <f t="shared" si="1"/>
        <v>1.8015068521899723E-2</v>
      </c>
      <c r="G157" s="79"/>
      <c r="H157" s="79"/>
      <c r="I157" s="79"/>
      <c r="J157" s="1210"/>
      <c r="K157" s="1038"/>
      <c r="L157" s="1038"/>
      <c r="M157" s="877"/>
      <c r="O157" s="1028"/>
      <c r="P157" s="877"/>
      <c r="Q157" s="1038"/>
      <c r="R157" s="1210"/>
      <c r="S157" s="1038"/>
      <c r="T157" s="177"/>
      <c r="W157" s="877"/>
      <c r="X157" s="877"/>
    </row>
    <row r="158" spans="1:28" s="85" customFormat="1" x14ac:dyDescent="0.25">
      <c r="A158" s="79"/>
      <c r="B158" s="79" t="s">
        <v>2189</v>
      </c>
      <c r="C158" s="864" t="s">
        <v>1496</v>
      </c>
      <c r="D158" s="475">
        <f>SUMIF($D$29:$D$148,"AC",$F$29:$F$148)</f>
        <v>90</v>
      </c>
      <c r="E158" s="1202">
        <f t="shared" si="0"/>
        <v>3</v>
      </c>
      <c r="F158" s="1203">
        <f t="shared" si="1"/>
        <v>1.8888119372914434E-2</v>
      </c>
      <c r="G158" s="79"/>
      <c r="J158" s="1210"/>
      <c r="K158" s="1038"/>
      <c r="L158" s="1038"/>
      <c r="M158" s="877"/>
      <c r="O158" s="877"/>
      <c r="Q158" s="177"/>
      <c r="T158" s="177"/>
      <c r="W158" s="877"/>
      <c r="X158" s="877"/>
    </row>
    <row r="159" spans="1:28" s="85" customFormat="1" x14ac:dyDescent="0.25">
      <c r="A159" s="79"/>
      <c r="B159" s="867" t="s">
        <v>53</v>
      </c>
      <c r="C159" s="864" t="s">
        <v>1522</v>
      </c>
      <c r="D159" s="475">
        <f>SUMIF($D$8:$D$148,"DC",$F$8:$F$148)</f>
        <v>67.67</v>
      </c>
      <c r="E159" s="1202">
        <f t="shared" si="0"/>
        <v>2.2556666666666669</v>
      </c>
      <c r="F159" s="1203">
        <f t="shared" si="1"/>
        <v>1.4201767088501334E-2</v>
      </c>
      <c r="J159" s="1210"/>
      <c r="K159" s="1038"/>
      <c r="L159" s="79"/>
      <c r="M159" s="877"/>
      <c r="O159" s="1959"/>
      <c r="Q159" s="177"/>
      <c r="R159" s="868"/>
      <c r="S159" s="769"/>
      <c r="T159" s="79"/>
      <c r="W159" s="877"/>
      <c r="X159" s="877"/>
    </row>
    <row r="160" spans="1:28" s="85" customFormat="1" x14ac:dyDescent="0.25">
      <c r="A160" s="79"/>
      <c r="B160" s="79" t="s">
        <v>3048</v>
      </c>
      <c r="C160" s="864" t="s">
        <v>1523</v>
      </c>
      <c r="D160" s="475">
        <f ca="1">SUMIF($D$7:$D$149,"B",$F$7:$F$148)</f>
        <v>70.97</v>
      </c>
      <c r="E160" s="1202">
        <f t="shared" ca="1" si="0"/>
        <v>2.3656666666666668</v>
      </c>
      <c r="F160" s="1203">
        <f t="shared" ca="1" si="1"/>
        <v>1.4894331465508195E-2</v>
      </c>
      <c r="G160" s="866"/>
      <c r="J160" s="1210"/>
      <c r="K160" s="1038"/>
      <c r="L160" s="1038"/>
      <c r="M160" s="877"/>
      <c r="O160" s="877"/>
      <c r="Q160" s="177"/>
      <c r="R160" s="866"/>
      <c r="S160" s="1210"/>
      <c r="T160" s="877"/>
      <c r="W160" s="877"/>
      <c r="X160" s="877"/>
    </row>
    <row r="161" spans="1:26" s="85" customFormat="1" x14ac:dyDescent="0.25">
      <c r="A161" s="79"/>
      <c r="B161" s="79" t="s">
        <v>1686</v>
      </c>
      <c r="C161" s="864" t="s">
        <v>1506</v>
      </c>
      <c r="D161" s="475">
        <f>SUMIF($D$7:$D$148,"R",$F$7:$F$148)</f>
        <v>216.88000000000002</v>
      </c>
      <c r="E161" s="1202">
        <f t="shared" si="0"/>
        <v>7.2293333333333338</v>
      </c>
      <c r="F161" s="1203">
        <f t="shared" si="1"/>
        <v>4.5516170328863147E-2</v>
      </c>
      <c r="G161" s="868"/>
      <c r="J161" s="1210"/>
      <c r="K161" s="1038"/>
      <c r="M161" s="877"/>
      <c r="O161" s="877"/>
      <c r="Q161" s="177"/>
      <c r="R161" s="1226"/>
      <c r="S161" s="1129"/>
      <c r="T161" s="877"/>
      <c r="W161" s="877"/>
      <c r="X161" s="877"/>
    </row>
    <row r="162" spans="1:26" x14ac:dyDescent="0.25">
      <c r="B162" s="79" t="s">
        <v>418</v>
      </c>
      <c r="C162" s="85" t="s">
        <v>1524</v>
      </c>
      <c r="D162" s="475">
        <f>SUMIF($D$8:$D$148,"COM",$F$8:$F$148)</f>
        <v>6952.9199999999992</v>
      </c>
      <c r="E162" s="1202">
        <f t="shared" si="0"/>
        <v>231.76399999999998</v>
      </c>
      <c r="F162" s="1203">
        <f t="shared" si="1"/>
        <v>1.4591953661147137</v>
      </c>
      <c r="G162" s="85"/>
      <c r="H162" s="85"/>
      <c r="I162" s="85"/>
      <c r="J162" s="1210"/>
      <c r="K162" s="1038"/>
      <c r="L162" s="769"/>
      <c r="M162" s="1225"/>
      <c r="N162" s="769"/>
      <c r="O162" s="877"/>
      <c r="P162" s="769"/>
      <c r="Q162" s="216"/>
      <c r="R162" s="1038"/>
      <c r="S162" s="1226"/>
      <c r="T162" s="877"/>
      <c r="W162" s="877"/>
      <c r="X162" s="877"/>
    </row>
    <row r="163" spans="1:26" x14ac:dyDescent="0.25">
      <c r="B163" s="79" t="s">
        <v>419</v>
      </c>
      <c r="C163" s="85" t="s">
        <v>1491</v>
      </c>
      <c r="D163" s="475">
        <f>SUMIF($D$29:$D$148,"F",$F$29:$F$148)</f>
        <v>1021.9</v>
      </c>
      <c r="E163" s="1202">
        <f t="shared" si="0"/>
        <v>34.063333333333333</v>
      </c>
      <c r="F163" s="1203">
        <f t="shared" si="1"/>
        <v>0.2144641020797918</v>
      </c>
      <c r="I163" s="85"/>
      <c r="J163" s="1210"/>
      <c r="K163" s="1038"/>
      <c r="P163" s="216"/>
      <c r="Q163" s="216"/>
      <c r="S163" s="484"/>
      <c r="T163" s="877"/>
      <c r="W163" s="877"/>
      <c r="X163" s="877"/>
    </row>
    <row r="164" spans="1:26" x14ac:dyDescent="0.25">
      <c r="B164" s="79" t="s">
        <v>911</v>
      </c>
      <c r="C164" s="85" t="s">
        <v>1525</v>
      </c>
      <c r="D164" s="475">
        <f>SUMIF($D$8:$D$148,"FER",$F$8:$F$148)</f>
        <v>20</v>
      </c>
      <c r="E164" s="1202">
        <f t="shared" si="0"/>
        <v>0.66666666666666663</v>
      </c>
      <c r="F164" s="1203">
        <f t="shared" si="1"/>
        <v>4.1973598606476524E-3</v>
      </c>
      <c r="J164" s="1210"/>
      <c r="K164" s="1038"/>
      <c r="Q164" s="216"/>
      <c r="S164" s="484"/>
      <c r="T164" s="1673"/>
      <c r="W164" s="877"/>
      <c r="X164" s="877"/>
    </row>
    <row r="165" spans="1:26" x14ac:dyDescent="0.25">
      <c r="B165" s="79" t="s">
        <v>1526</v>
      </c>
      <c r="C165" s="85" t="s">
        <v>1504</v>
      </c>
      <c r="D165" s="475">
        <f>SUMIF($D$31:$D$148,"I",$F$31:$F$148)</f>
        <v>149.80000000000001</v>
      </c>
      <c r="E165" s="1202">
        <f t="shared" si="0"/>
        <v>4.9933333333333341</v>
      </c>
      <c r="F165" s="1203">
        <f t="shared" si="1"/>
        <v>3.1438225356250918E-2</v>
      </c>
      <c r="J165" s="1210"/>
      <c r="K165" s="1038"/>
      <c r="L165" s="769"/>
      <c r="M165" s="868"/>
      <c r="N165" s="769"/>
      <c r="P165" s="769"/>
      <c r="Q165" s="886"/>
      <c r="R165" s="1210"/>
      <c r="S165" s="1038"/>
      <c r="T165" s="1129"/>
      <c r="V165" s="1129"/>
      <c r="W165" s="877"/>
      <c r="X165" s="877"/>
    </row>
    <row r="166" spans="1:26" x14ac:dyDescent="0.25">
      <c r="B166" s="79" t="s">
        <v>2343</v>
      </c>
      <c r="C166" s="85" t="s">
        <v>2315</v>
      </c>
      <c r="D166" s="475">
        <f>SUMIF($D$31:$D$148,"E",$F$31:$F$148)</f>
        <v>0</v>
      </c>
      <c r="E166" s="1202">
        <f t="shared" si="0"/>
        <v>0</v>
      </c>
      <c r="F166" s="1203">
        <f t="shared" si="1"/>
        <v>0</v>
      </c>
      <c r="J166" s="1210"/>
      <c r="K166" s="1038"/>
      <c r="L166" s="769"/>
      <c r="M166" s="868"/>
      <c r="N166" s="769"/>
      <c r="O166" s="1210"/>
      <c r="P166" s="769"/>
      <c r="Q166" s="1673"/>
      <c r="R166" s="1210"/>
      <c r="S166" s="1038"/>
      <c r="T166" s="1129"/>
      <c r="V166" s="1129"/>
      <c r="W166" s="877"/>
      <c r="X166" s="877"/>
    </row>
    <row r="167" spans="1:26" x14ac:dyDescent="0.25">
      <c r="B167" s="79" t="s">
        <v>3019</v>
      </c>
      <c r="C167" s="85" t="s">
        <v>3017</v>
      </c>
      <c r="D167" s="475">
        <f>SUMIF($D$6:$D$148,"IM",$F$6:$F$148)</f>
        <v>0</v>
      </c>
      <c r="E167" s="1202">
        <f t="shared" si="0"/>
        <v>0</v>
      </c>
      <c r="F167" s="1203">
        <f t="shared" si="1"/>
        <v>0</v>
      </c>
      <c r="J167" s="1210"/>
      <c r="K167" s="1038"/>
      <c r="L167" s="769"/>
      <c r="N167" s="769"/>
      <c r="P167" s="769"/>
      <c r="R167" s="941"/>
      <c r="S167" s="224"/>
      <c r="T167" s="1226"/>
      <c r="U167" s="1129"/>
      <c r="V167" s="1129"/>
      <c r="W167" s="877"/>
      <c r="X167" s="877"/>
    </row>
    <row r="168" spans="1:26" x14ac:dyDescent="0.25">
      <c r="B168" s="79" t="s">
        <v>1527</v>
      </c>
      <c r="C168" s="85" t="s">
        <v>1489</v>
      </c>
      <c r="D168" s="475">
        <f>SUMIF($D$8:$D$148,"OD",$F$8:$F$148)</f>
        <v>436.04</v>
      </c>
      <c r="E168" s="1202">
        <f t="shared" si="0"/>
        <v>14.534666666666668</v>
      </c>
      <c r="F168" s="1203">
        <f t="shared" si="1"/>
        <v>9.1510839681840123E-2</v>
      </c>
      <c r="J168" s="1210"/>
      <c r="K168" s="1038"/>
      <c r="R168" s="1210"/>
      <c r="S168" s="1038"/>
      <c r="T168" s="1226"/>
      <c r="U168" s="1129"/>
      <c r="V168" s="1129"/>
      <c r="W168" s="877"/>
      <c r="X168" s="877"/>
    </row>
    <row r="169" spans="1:26" x14ac:dyDescent="0.25">
      <c r="C169" s="79"/>
      <c r="D169" s="629"/>
      <c r="E169" s="79"/>
      <c r="F169" s="79"/>
      <c r="J169" s="2037"/>
      <c r="K169" s="629"/>
      <c r="L169" s="459" t="s">
        <v>6481</v>
      </c>
      <c r="M169" s="2125" t="s">
        <v>6482</v>
      </c>
      <c r="R169" s="1210"/>
      <c r="S169" s="1038"/>
      <c r="T169" s="1227"/>
      <c r="U169" s="1129"/>
      <c r="V169" s="1129"/>
      <c r="W169" s="877"/>
      <c r="X169" s="877"/>
    </row>
    <row r="170" spans="1:26" x14ac:dyDescent="0.25">
      <c r="C170" s="3168" t="s">
        <v>486</v>
      </c>
      <c r="D170" s="3168"/>
      <c r="E170" s="863">
        <f ca="1">J170/K170</f>
        <v>347.49533333333329</v>
      </c>
      <c r="G170" s="518" t="s">
        <v>487</v>
      </c>
      <c r="J170" s="629">
        <f ca="1">SUM(D153:D168)</f>
        <v>10424.859999999999</v>
      </c>
      <c r="K170" s="1517">
        <v>30</v>
      </c>
      <c r="M170" s="1138">
        <f ca="1">4765.07-J171</f>
        <v>1293.1300000000001</v>
      </c>
      <c r="N170" s="216"/>
      <c r="P170" s="216"/>
      <c r="Q170" s="1517"/>
      <c r="R170" s="1210"/>
      <c r="S170" s="1038"/>
      <c r="T170" s="1226"/>
      <c r="U170" s="1129"/>
      <c r="V170" s="1129"/>
      <c r="W170" s="877"/>
      <c r="X170" s="877"/>
    </row>
    <row r="171" spans="1:26" ht="15.75" customHeight="1" x14ac:dyDescent="0.25">
      <c r="B171" s="3167" t="s">
        <v>6247</v>
      </c>
      <c r="C171" s="3167"/>
      <c r="D171" s="3167"/>
      <c r="E171" s="1125">
        <v>158.83000000000001</v>
      </c>
      <c r="G171" s="518" t="s">
        <v>6257</v>
      </c>
      <c r="J171" s="609">
        <f ca="1">J170-D162</f>
        <v>3471.9399999999996</v>
      </c>
      <c r="K171" s="629"/>
      <c r="L171" s="1517"/>
      <c r="M171" s="868"/>
      <c r="O171" s="868"/>
      <c r="Q171" s="868"/>
      <c r="R171" s="1210"/>
      <c r="S171" s="1038"/>
      <c r="T171" s="1226"/>
      <c r="U171" s="1129"/>
      <c r="V171" s="1129"/>
      <c r="W171" s="877"/>
      <c r="X171" s="877"/>
    </row>
    <row r="172" spans="1:26" x14ac:dyDescent="0.25">
      <c r="A172" s="518"/>
      <c r="C172" s="79"/>
      <c r="D172" s="79"/>
      <c r="E172" s="769"/>
      <c r="F172" s="866"/>
      <c r="G172" s="769"/>
      <c r="H172" s="866"/>
      <c r="I172" s="1210"/>
      <c r="J172" s="867"/>
      <c r="K172" s="866"/>
      <c r="L172" s="89"/>
      <c r="N172" s="1038"/>
      <c r="O172" s="1210"/>
      <c r="P172" s="1038"/>
      <c r="Q172" s="1210"/>
      <c r="R172" s="1210"/>
      <c r="S172" s="1038"/>
      <c r="T172" s="769"/>
      <c r="U172" s="484" t="s">
        <v>280</v>
      </c>
      <c r="V172" s="216"/>
      <c r="W172" s="866"/>
      <c r="X172" s="484"/>
      <c r="Z172" s="877"/>
    </row>
    <row r="173" spans="1:26" s="518" customFormat="1" x14ac:dyDescent="0.25">
      <c r="A173" s="79"/>
      <c r="B173" s="79"/>
      <c r="C173" s="79"/>
      <c r="D173" s="79"/>
      <c r="E173" s="1126">
        <f ca="1">E171-E170</f>
        <v>-188.66533333333328</v>
      </c>
      <c r="F173" s="1205">
        <f ca="1">SUM(F153:F172)</f>
        <v>2.187844445843564</v>
      </c>
      <c r="G173" s="85"/>
      <c r="H173" s="85"/>
      <c r="I173" s="89"/>
      <c r="J173" s="1210"/>
      <c r="K173" s="754"/>
      <c r="L173" s="79"/>
      <c r="M173" s="79"/>
      <c r="N173" s="79"/>
      <c r="O173" s="79"/>
      <c r="P173" s="79"/>
      <c r="Q173" s="79"/>
      <c r="R173" s="1210"/>
      <c r="S173" s="1038"/>
      <c r="T173" s="79"/>
      <c r="U173" s="79"/>
      <c r="V173" s="866"/>
      <c r="W173" s="484"/>
      <c r="X173" s="79"/>
      <c r="Y173" s="877"/>
      <c r="Z173" s="79"/>
    </row>
    <row r="174" spans="1:26" s="518" customFormat="1" x14ac:dyDescent="0.25">
      <c r="A174" s="79"/>
      <c r="B174" s="79"/>
      <c r="D174" s="85"/>
      <c r="E174" s="85"/>
      <c r="F174" s="85"/>
      <c r="J174" s="1038"/>
      <c r="K174" s="1225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1124" t="s">
        <v>6376</v>
      </c>
      <c r="C175" s="2125"/>
      <c r="D175" s="2219">
        <f ca="1">SUMIF($E$7:$E$219,"crédito",$G$7:$G$219)</f>
        <v>6542.07</v>
      </c>
      <c r="E175" s="85"/>
      <c r="F175" s="89"/>
      <c r="G175" s="79"/>
      <c r="H175" s="79"/>
      <c r="I175" s="79"/>
      <c r="J175" s="1038"/>
      <c r="K175" s="1225"/>
      <c r="L175" s="769"/>
      <c r="M175" s="866"/>
      <c r="N175" s="769"/>
      <c r="O175" s="866"/>
      <c r="P175" s="769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518" t="s">
        <v>6496</v>
      </c>
      <c r="C176" s="459"/>
      <c r="D176" s="2218">
        <f ca="1">SUM(D153:D169)-D162+F37</f>
        <v>4571.9399999999996</v>
      </c>
      <c r="E176" s="85"/>
      <c r="F176" s="89"/>
      <c r="G176" s="79"/>
      <c r="H176" s="79"/>
      <c r="I176" s="216"/>
      <c r="J176" s="864"/>
      <c r="K176" s="877"/>
      <c r="L176" s="769"/>
      <c r="M176" s="866"/>
      <c r="N176" s="769"/>
      <c r="O176" s="866"/>
      <c r="P176" s="769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81" t="s">
        <v>6497</v>
      </c>
      <c r="C177" s="81"/>
      <c r="D177" s="1014">
        <f ca="1">D175-D176</f>
        <v>1970.13</v>
      </c>
      <c r="E177" s="79"/>
      <c r="F177" s="79"/>
      <c r="G177" s="79"/>
      <c r="H177" s="79"/>
      <c r="J177" s="1038"/>
      <c r="K177" s="877"/>
      <c r="M177" s="866"/>
      <c r="O177" s="866"/>
      <c r="Q177" s="866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79"/>
      <c r="H178" s="79"/>
      <c r="I178" s="216"/>
      <c r="J178" s="1038"/>
      <c r="K178" s="877"/>
      <c r="L178" s="769"/>
      <c r="M178" s="866"/>
      <c r="N178" s="769"/>
      <c r="O178" s="866"/>
      <c r="P178" s="769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216"/>
      <c r="H179" s="79"/>
      <c r="I179" s="216"/>
      <c r="J179" s="1038"/>
      <c r="K179" s="877"/>
      <c r="L179" s="769"/>
      <c r="M179" s="868"/>
      <c r="N179" s="769"/>
      <c r="O179" s="868"/>
      <c r="P179" s="769"/>
      <c r="Q179" s="868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216"/>
      <c r="H180" s="79"/>
      <c r="I180" s="216"/>
      <c r="J180" s="79"/>
      <c r="K180" s="877"/>
      <c r="L180" s="769"/>
      <c r="M180" s="866"/>
      <c r="N180" s="769"/>
      <c r="O180" s="866"/>
      <c r="P180" s="769"/>
      <c r="Q180" s="866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216"/>
      <c r="H181" s="79"/>
      <c r="I181" s="79"/>
      <c r="J181" s="85"/>
      <c r="K181" s="877"/>
      <c r="L181" s="770"/>
      <c r="M181" s="866"/>
      <c r="N181" s="770"/>
      <c r="O181" s="866"/>
      <c r="P181" s="770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79"/>
      <c r="H182" s="79"/>
      <c r="I182" s="216"/>
      <c r="J182" s="1038"/>
      <c r="K182" s="877"/>
      <c r="L182" s="769"/>
      <c r="M182" s="868"/>
      <c r="N182" s="769"/>
      <c r="O182" s="868"/>
      <c r="P182" s="769"/>
      <c r="Q182" s="868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85"/>
      <c r="K183" s="877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629"/>
      <c r="J184" s="769"/>
      <c r="K184" s="1225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9"/>
      <c r="K185" s="79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9"/>
      <c r="K186" s="79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8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8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79"/>
      <c r="L189" s="769"/>
      <c r="M189" s="866"/>
      <c r="N189" s="769"/>
      <c r="O189" s="866"/>
      <c r="P189" s="769"/>
      <c r="Q189" s="866"/>
      <c r="R189" s="1210"/>
      <c r="S189" s="103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9"/>
      <c r="K190" s="79"/>
      <c r="L190" s="769"/>
      <c r="M190" s="866"/>
      <c r="N190" s="769"/>
      <c r="O190" s="866"/>
      <c r="P190" s="769"/>
      <c r="Q190" s="866"/>
      <c r="R190" s="1210"/>
      <c r="S190" s="103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9"/>
      <c r="K191" s="79"/>
      <c r="L191" s="769"/>
      <c r="M191" s="866"/>
      <c r="N191" s="769"/>
      <c r="O191" s="866"/>
      <c r="P191" s="769"/>
      <c r="Q191" s="866"/>
      <c r="R191" s="1210"/>
      <c r="S191" s="1038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1517"/>
      <c r="K192" s="79"/>
      <c r="L192" s="769"/>
      <c r="M192" s="866"/>
      <c r="N192" s="769"/>
      <c r="O192" s="866"/>
      <c r="P192" s="769"/>
      <c r="Q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9"/>
      <c r="K193" s="868"/>
      <c r="L193" s="769"/>
      <c r="M193" s="866"/>
      <c r="N193" s="769"/>
      <c r="O193" s="866"/>
      <c r="P193" s="769"/>
      <c r="Q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89"/>
      <c r="K194" s="79"/>
      <c r="L194" s="769"/>
      <c r="M194" s="868"/>
      <c r="N194" s="769"/>
      <c r="O194" s="868"/>
      <c r="P194" s="769"/>
      <c r="Q194" s="868"/>
      <c r="R194" s="79"/>
      <c r="S194" s="79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79"/>
      <c r="K195" s="79"/>
      <c r="L195" s="769"/>
      <c r="M195" s="868"/>
      <c r="N195" s="769"/>
      <c r="O195" s="868"/>
      <c r="P195" s="769"/>
      <c r="Q195" s="868"/>
      <c r="R195" s="81"/>
      <c r="S195" s="755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L196" s="769"/>
      <c r="M196" s="868"/>
      <c r="N196" s="769"/>
      <c r="O196" s="868"/>
      <c r="P196" s="769"/>
      <c r="Q196" s="868"/>
      <c r="R196" s="868"/>
      <c r="S196" s="79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J197" s="769"/>
      <c r="K197" s="866"/>
      <c r="L197" s="769"/>
      <c r="M197" s="868"/>
      <c r="N197" s="769"/>
      <c r="O197" s="868"/>
      <c r="P197" s="769"/>
      <c r="Q197" s="868"/>
      <c r="R197" s="754"/>
      <c r="S197" s="886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216"/>
      <c r="J198" s="769"/>
      <c r="K198" s="866"/>
      <c r="L198" s="769"/>
      <c r="M198" s="868"/>
      <c r="N198" s="769"/>
      <c r="O198" s="868"/>
      <c r="P198" s="769"/>
      <c r="Q198" s="868"/>
      <c r="R198" s="864"/>
      <c r="S198" s="864"/>
      <c r="T198" s="484"/>
      <c r="U198" s="79"/>
      <c r="V198" s="877"/>
      <c r="W198" s="79"/>
    </row>
    <row r="199" spans="1:23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K199" s="866"/>
      <c r="L199" s="769"/>
      <c r="M199" s="866"/>
      <c r="N199" s="769"/>
      <c r="O199" s="866"/>
      <c r="P199" s="769"/>
      <c r="Q199" s="866"/>
      <c r="R199" s="864"/>
      <c r="S199" s="1032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6"/>
      <c r="L200" s="769"/>
      <c r="M200" s="866"/>
      <c r="N200" s="769"/>
      <c r="O200" s="866"/>
      <c r="P200" s="769"/>
      <c r="Q200" s="866"/>
      <c r="R200" s="864"/>
      <c r="S200" s="1032"/>
      <c r="T200" s="484"/>
      <c r="U200" s="79"/>
      <c r="V200" s="877"/>
      <c r="W200" s="79"/>
    </row>
    <row r="201" spans="1:23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69"/>
      <c r="K201" s="868"/>
      <c r="L201" s="769"/>
      <c r="M201" s="868"/>
      <c r="N201" s="769"/>
      <c r="O201" s="868"/>
      <c r="P201" s="769"/>
      <c r="Q201" s="868"/>
      <c r="R201" s="85"/>
      <c r="S201" s="795"/>
      <c r="T201" s="484"/>
      <c r="U201" s="79"/>
      <c r="V201" s="877"/>
      <c r="W201" s="79"/>
    </row>
    <row r="202" spans="1:23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69"/>
      <c r="K202" s="866"/>
      <c r="L202" s="769"/>
      <c r="M202" s="866"/>
      <c r="N202" s="769"/>
      <c r="O202" s="866"/>
      <c r="P202" s="769"/>
      <c r="Q202" s="866"/>
      <c r="R202" s="85"/>
      <c r="S202" s="177"/>
      <c r="T202" s="484"/>
      <c r="U202" s="79"/>
      <c r="V202" s="877"/>
      <c r="W202" s="79"/>
    </row>
    <row r="203" spans="1:23" s="518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770"/>
      <c r="K203" s="866"/>
      <c r="L203" s="769"/>
      <c r="M203" s="866"/>
      <c r="N203" s="769"/>
      <c r="O203" s="866"/>
      <c r="P203" s="769"/>
      <c r="Q203" s="866"/>
      <c r="R203" s="85"/>
      <c r="S203" s="177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8"/>
      <c r="L204" s="769"/>
      <c r="M204" s="868"/>
      <c r="N204" s="769"/>
      <c r="O204" s="868"/>
      <c r="P204" s="769"/>
      <c r="Q204" s="868"/>
      <c r="R204" s="85"/>
      <c r="S204" s="177" t="s">
        <v>280</v>
      </c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69"/>
      <c r="M205" s="868"/>
      <c r="N205" s="769"/>
      <c r="O205" s="868"/>
      <c r="P205" s="769"/>
      <c r="Q205" s="868"/>
      <c r="R205" s="85"/>
      <c r="S205" s="177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69"/>
      <c r="M206" s="868"/>
      <c r="N206" s="769"/>
      <c r="O206" s="868"/>
      <c r="P206" s="769"/>
      <c r="Q206" s="868"/>
      <c r="R206" s="85"/>
      <c r="S206" s="86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69"/>
      <c r="M207" s="868"/>
      <c r="N207" s="769"/>
      <c r="O207" s="868"/>
      <c r="P207" s="769"/>
      <c r="Q207" s="868"/>
      <c r="R207" s="769"/>
      <c r="S207" s="21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69"/>
      <c r="M208" s="866"/>
      <c r="N208" s="769"/>
      <c r="O208" s="866"/>
      <c r="P208" s="769"/>
      <c r="Q208" s="866"/>
      <c r="R208" s="79"/>
      <c r="S208" s="216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223"/>
      <c r="M209" s="629"/>
      <c r="N209" s="223"/>
      <c r="O209" s="629"/>
      <c r="P209" s="223"/>
      <c r="Q209" s="629"/>
      <c r="R209" s="769"/>
      <c r="S209" s="868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756"/>
      <c r="M210" s="756"/>
      <c r="N210" s="756"/>
      <c r="O210" s="756"/>
      <c r="P210" s="756"/>
      <c r="Q210" s="756"/>
      <c r="R210" s="769"/>
      <c r="S210" s="868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9"/>
      <c r="M211" s="79"/>
      <c r="N211" s="79"/>
      <c r="O211" s="79"/>
      <c r="P211" s="79"/>
      <c r="Q211" s="79"/>
      <c r="R211" s="769"/>
      <c r="S211" s="868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9"/>
      <c r="M212" s="79"/>
      <c r="N212" s="79"/>
      <c r="O212" s="79"/>
      <c r="P212" s="79"/>
      <c r="Q212" s="79"/>
      <c r="R212" s="769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9"/>
      <c r="M213" s="79"/>
      <c r="N213" s="79"/>
      <c r="O213" s="79"/>
      <c r="P213" s="79"/>
      <c r="Q213" s="79"/>
      <c r="R213" s="79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6"/>
      <c r="L214" s="79"/>
      <c r="M214" s="79"/>
      <c r="N214" s="79"/>
      <c r="O214" s="79"/>
      <c r="P214" s="79"/>
      <c r="Q214" s="79"/>
      <c r="R214" s="79"/>
      <c r="S214" s="79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6"/>
      <c r="L215" s="85"/>
      <c r="M215" s="85"/>
      <c r="N215" s="85"/>
      <c r="O215" s="85"/>
      <c r="P215" s="85"/>
      <c r="Q215" s="85"/>
      <c r="R215" s="1517"/>
      <c r="S215" s="79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8"/>
      <c r="L216" s="79"/>
      <c r="M216" s="79"/>
      <c r="N216" s="79"/>
      <c r="O216" s="79"/>
      <c r="P216" s="79"/>
      <c r="Q216" s="79"/>
      <c r="R216" s="79"/>
      <c r="S216" s="868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9"/>
      <c r="M217" s="79"/>
      <c r="N217" s="79"/>
      <c r="O217" s="79"/>
      <c r="P217" s="79"/>
      <c r="Q217" s="79"/>
      <c r="R217" s="89"/>
      <c r="S217" s="79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79"/>
      <c r="S218" s="79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8"/>
      <c r="L219" s="79"/>
      <c r="M219" s="79"/>
      <c r="N219" s="79"/>
      <c r="O219" s="79"/>
      <c r="P219" s="79"/>
      <c r="Q219" s="79"/>
      <c r="R219" s="769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8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6"/>
      <c r="L221" s="79"/>
      <c r="M221" s="79"/>
      <c r="N221" s="79"/>
      <c r="O221" s="79"/>
      <c r="P221" s="79"/>
      <c r="Q221" s="79"/>
      <c r="R221" s="769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6"/>
      <c r="L222" s="85"/>
      <c r="M222" s="85"/>
      <c r="N222" s="85"/>
      <c r="O222" s="85"/>
      <c r="P222" s="85"/>
      <c r="Q222" s="85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8"/>
      <c r="L223" s="79"/>
      <c r="M223" s="79"/>
      <c r="N223" s="79"/>
      <c r="O223" s="79"/>
      <c r="P223" s="79"/>
      <c r="Q223" s="79"/>
      <c r="R223" s="769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9"/>
      <c r="M224" s="79"/>
      <c r="N224" s="79"/>
      <c r="O224" s="79"/>
      <c r="P224" s="79"/>
      <c r="Q224" s="79"/>
      <c r="R224" s="769"/>
      <c r="S224" s="868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9"/>
      <c r="M225" s="79"/>
      <c r="N225" s="79"/>
      <c r="O225" s="79"/>
      <c r="P225" s="79"/>
      <c r="Q225" s="79"/>
      <c r="R225" s="769"/>
      <c r="S225" s="866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8"/>
      <c r="L226" s="79"/>
      <c r="M226" s="79"/>
      <c r="N226" s="79"/>
      <c r="O226" s="79"/>
      <c r="P226" s="79"/>
      <c r="Q226" s="79"/>
      <c r="R226" s="770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9"/>
      <c r="M227" s="79"/>
      <c r="N227" s="79"/>
      <c r="O227" s="79"/>
      <c r="P227" s="79"/>
      <c r="Q227" s="79"/>
      <c r="R227" s="769"/>
      <c r="S227" s="868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8"/>
      <c r="L228" s="79"/>
      <c r="M228" s="79"/>
      <c r="N228" s="79"/>
      <c r="O228" s="79"/>
      <c r="P228" s="79"/>
      <c r="Q228" s="79"/>
      <c r="R228" s="769"/>
      <c r="S228" s="866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8"/>
      <c r="L229" s="771"/>
      <c r="N229" s="771"/>
      <c r="P229" s="771"/>
      <c r="R229" s="769"/>
      <c r="S229" s="866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9"/>
      <c r="M230" s="79"/>
      <c r="N230" s="79"/>
      <c r="O230" s="79"/>
      <c r="P230" s="79"/>
      <c r="Q230" s="79"/>
      <c r="R230" s="769"/>
      <c r="S230" s="866"/>
      <c r="T230" s="484"/>
      <c r="U230" s="79"/>
      <c r="V230" s="877"/>
      <c r="W230" s="79"/>
    </row>
    <row r="231" spans="1:23" x14ac:dyDescent="0.25">
      <c r="J231" s="223"/>
      <c r="K231" s="629"/>
      <c r="R231" s="769"/>
      <c r="S231" s="866"/>
    </row>
    <row r="232" spans="1:23" x14ac:dyDescent="0.25">
      <c r="J232" s="756"/>
      <c r="K232" s="756"/>
      <c r="R232" s="769"/>
      <c r="S232" s="866"/>
    </row>
    <row r="233" spans="1:23" x14ac:dyDescent="0.25">
      <c r="R233" s="769"/>
      <c r="S233" s="866"/>
    </row>
    <row r="234" spans="1:23" x14ac:dyDescent="0.25">
      <c r="R234" s="769"/>
      <c r="S234" s="866"/>
    </row>
    <row r="235" spans="1:23" x14ac:dyDescent="0.25">
      <c r="R235" s="769"/>
      <c r="S235" s="866"/>
    </row>
    <row r="236" spans="1:23" x14ac:dyDescent="0.25">
      <c r="R236" s="769"/>
      <c r="S236" s="866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85"/>
      <c r="K237" s="85"/>
      <c r="L237" s="79"/>
      <c r="M237" s="216"/>
      <c r="N237" s="79"/>
      <c r="O237" s="216"/>
      <c r="P237" s="79"/>
      <c r="Q237" s="216"/>
      <c r="R237" s="769"/>
      <c r="S237" s="866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216"/>
      <c r="N238" s="79"/>
      <c r="O238" s="216"/>
      <c r="P238" s="79"/>
      <c r="Q238" s="216"/>
      <c r="R238" s="769"/>
      <c r="S238" s="866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216"/>
      <c r="N239" s="79"/>
      <c r="O239" s="216"/>
      <c r="P239" s="79"/>
      <c r="Q239" s="216"/>
      <c r="R239" s="769"/>
      <c r="S239" s="868"/>
      <c r="T239" s="484"/>
      <c r="U239" s="79"/>
      <c r="V239" s="877"/>
      <c r="W239" s="79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216"/>
      <c r="N240" s="79"/>
      <c r="O240" s="216"/>
      <c r="P240" s="79"/>
      <c r="Q240" s="216"/>
      <c r="R240" s="769"/>
      <c r="S240" s="868"/>
      <c r="T240" s="484"/>
      <c r="U240" s="79"/>
      <c r="V240" s="877"/>
      <c r="W240" s="79"/>
    </row>
    <row r="241" spans="1:23" x14ac:dyDescent="0.25">
      <c r="R241" s="769"/>
      <c r="S241" s="868"/>
    </row>
    <row r="242" spans="1:23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216"/>
      <c r="N242" s="79"/>
      <c r="O242" s="216"/>
      <c r="P242" s="79"/>
      <c r="Q242" s="216"/>
      <c r="R242" s="769"/>
      <c r="S242" s="868"/>
      <c r="T242" s="484"/>
      <c r="U242" s="79"/>
      <c r="V242" s="877"/>
      <c r="W242" s="79"/>
    </row>
    <row r="243" spans="1:23" x14ac:dyDescent="0.25">
      <c r="R243" s="769"/>
      <c r="S243" s="868"/>
    </row>
    <row r="244" spans="1:23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85"/>
      <c r="K244" s="85"/>
      <c r="L244" s="79"/>
      <c r="M244" s="629"/>
      <c r="N244" s="79"/>
      <c r="O244" s="629"/>
      <c r="P244" s="79"/>
      <c r="Q244" s="629"/>
      <c r="R244" s="769"/>
      <c r="S244" s="866"/>
      <c r="T244" s="484"/>
      <c r="U244" s="79"/>
      <c r="V244" s="877"/>
      <c r="W244" s="79"/>
    </row>
    <row r="245" spans="1:23" x14ac:dyDescent="0.25">
      <c r="R245" s="769"/>
      <c r="S245" s="866"/>
    </row>
    <row r="246" spans="1:23" x14ac:dyDescent="0.25">
      <c r="R246" s="769"/>
      <c r="S246" s="868"/>
    </row>
    <row r="247" spans="1:23" x14ac:dyDescent="0.25">
      <c r="R247" s="769"/>
      <c r="S247" s="866"/>
    </row>
    <row r="248" spans="1:23" x14ac:dyDescent="0.25">
      <c r="R248" s="769"/>
      <c r="S248" s="866"/>
    </row>
    <row r="249" spans="1:23" x14ac:dyDescent="0.25">
      <c r="R249" s="769"/>
      <c r="S249" s="868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216"/>
      <c r="N250" s="79"/>
      <c r="O250" s="216"/>
      <c r="P250" s="79"/>
      <c r="Q250" s="216"/>
      <c r="R250" s="769"/>
      <c r="S250" s="868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71"/>
      <c r="L251" s="79"/>
      <c r="M251" s="216"/>
      <c r="N251" s="79"/>
      <c r="O251" s="216"/>
      <c r="P251" s="79"/>
      <c r="Q251" s="216"/>
      <c r="R251" s="769"/>
      <c r="S251" s="868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9"/>
      <c r="Q252" s="216"/>
      <c r="R252" s="769"/>
      <c r="S252" s="868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769"/>
      <c r="S253" s="866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216"/>
      <c r="N254" s="79"/>
      <c r="O254" s="216"/>
      <c r="P254" s="79"/>
      <c r="Q254" s="216"/>
      <c r="R254" s="223"/>
      <c r="S254" s="629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9"/>
      <c r="Q255" s="216"/>
      <c r="R255" s="756"/>
      <c r="S255" s="756"/>
      <c r="T255" s="484"/>
      <c r="U255" s="79"/>
      <c r="V255" s="877"/>
      <c r="W255" s="79"/>
    </row>
    <row r="256" spans="1:23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9"/>
      <c r="Q256" s="216"/>
      <c r="R256" s="79"/>
      <c r="S256" s="79"/>
      <c r="T256" s="484"/>
      <c r="U256" s="79"/>
      <c r="V256" s="877"/>
      <c r="W256" s="79"/>
    </row>
    <row r="257" spans="1:44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9"/>
      <c r="Q257" s="216"/>
      <c r="R257" s="79"/>
      <c r="S257" s="79"/>
      <c r="T257" s="484"/>
      <c r="U257" s="79"/>
      <c r="V257" s="877"/>
      <c r="W257" s="79"/>
    </row>
    <row r="258" spans="1:44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9"/>
      <c r="Q258" s="216"/>
      <c r="R258" s="79"/>
      <c r="S258" s="79"/>
      <c r="T258" s="484"/>
      <c r="U258" s="79"/>
      <c r="V258" s="877"/>
      <c r="W258" s="79"/>
    </row>
    <row r="259" spans="1:44" x14ac:dyDescent="0.25">
      <c r="K259" s="216"/>
    </row>
    <row r="260" spans="1:44" x14ac:dyDescent="0.25">
      <c r="K260" s="216"/>
      <c r="R260" s="85"/>
      <c r="S260" s="85"/>
    </row>
    <row r="261" spans="1:44" x14ac:dyDescent="0.25">
      <c r="K261" s="216"/>
    </row>
    <row r="262" spans="1:44" x14ac:dyDescent="0.25">
      <c r="K262" s="216"/>
    </row>
    <row r="264" spans="1:44" x14ac:dyDescent="0.25">
      <c r="K264" s="216"/>
    </row>
    <row r="266" spans="1:44" x14ac:dyDescent="0.25">
      <c r="K266" s="629"/>
    </row>
    <row r="267" spans="1:44" x14ac:dyDescent="0.25">
      <c r="R267" s="85"/>
      <c r="S267" s="85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216"/>
      <c r="L272" s="79"/>
      <c r="M272" s="79"/>
      <c r="N272" s="79"/>
      <c r="O272" s="79"/>
      <c r="P272" s="79"/>
      <c r="Q272" s="79"/>
      <c r="R272" s="79"/>
      <c r="S272" s="7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216"/>
      <c r="L273" s="79"/>
      <c r="M273" s="79"/>
      <c r="N273" s="79"/>
      <c r="O273" s="79"/>
      <c r="P273" s="79"/>
      <c r="Q273" s="79"/>
      <c r="R273" s="79"/>
      <c r="S273" s="79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216"/>
      <c r="L274" s="79"/>
      <c r="M274" s="79"/>
      <c r="N274" s="79"/>
      <c r="O274" s="79"/>
      <c r="P274" s="79"/>
      <c r="Q274" s="79"/>
      <c r="R274" s="771"/>
      <c r="S274" s="518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216"/>
      <c r="L275" s="79"/>
      <c r="M275" s="79"/>
      <c r="N275" s="79"/>
      <c r="O275" s="79"/>
      <c r="P275" s="79"/>
      <c r="Q275" s="79"/>
      <c r="R275" s="79"/>
      <c r="S275" s="79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x14ac:dyDescent="0.25">
      <c r="K276" s="216"/>
    </row>
    <row r="277" spans="1:44" x14ac:dyDescent="0.25">
      <c r="K277" s="216"/>
    </row>
    <row r="278" spans="1:44" x14ac:dyDescent="0.25">
      <c r="K278" s="216"/>
    </row>
    <row r="279" spans="1:44" x14ac:dyDescent="0.25">
      <c r="K279" s="216"/>
    </row>
    <row r="280" spans="1:44" x14ac:dyDescent="0.25">
      <c r="K280" s="216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7" spans="1:44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216"/>
      <c r="U287" s="79"/>
      <c r="V287" s="877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</row>
    <row r="289" spans="1:44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629"/>
      <c r="U289" s="79"/>
      <c r="V289" s="877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  <row r="301" spans="1:44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216"/>
      <c r="U301" s="79"/>
      <c r="V301" s="877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</row>
    <row r="302" spans="1:44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216"/>
      <c r="U302" s="79"/>
      <c r="V302" s="877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</row>
    <row r="303" spans="1:44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216"/>
      <c r="U303" s="79"/>
      <c r="V303" s="877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</row>
  </sheetData>
  <autoFilter ref="A2:I168" xr:uid="{00000000-0009-0000-0000-00008D000000}"/>
  <mergeCells count="18">
    <mergeCell ref="C170:D170"/>
    <mergeCell ref="B171:D171"/>
    <mergeCell ref="L2:M3"/>
    <mergeCell ref="N2:O3"/>
    <mergeCell ref="P2:Q3"/>
    <mergeCell ref="R2:S3"/>
    <mergeCell ref="A149:E149"/>
    <mergeCell ref="A150:E150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</mergeCells>
  <phoneticPr fontId="127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3D2C6-419A-44D0-8A9F-FCFFB1447385}">
  <sheetPr codeName="Planilha20"/>
  <dimension ref="A1:AR298"/>
  <sheetViews>
    <sheetView zoomScale="85" zoomScaleNormal="85" workbookViewId="0">
      <pane ySplit="5" topLeftCell="A125" activePane="bottomLeft" state="frozen"/>
      <selection pane="bottomLeft" activeCell="T93" sqref="T9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6511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85" t="s">
        <v>6262</v>
      </c>
      <c r="I2" s="3086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87"/>
      <c r="I3" s="3088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45474</v>
      </c>
      <c r="B5" s="369" t="s">
        <v>10</v>
      </c>
      <c r="C5" s="370"/>
      <c r="D5" s="370"/>
      <c r="E5" s="777"/>
      <c r="F5" s="179"/>
      <c r="G5" s="933">
        <f>'Junho-24'!G150</f>
        <v>643.98575000004712</v>
      </c>
      <c r="H5" s="163"/>
      <c r="I5" s="1479">
        <f>'Junho-24'!I150</f>
        <v>-4.0000000010422809E-3</v>
      </c>
      <c r="J5" s="179"/>
      <c r="K5" s="933">
        <f>'Junho-24'!K150</f>
        <v>1093.5400000000054</v>
      </c>
      <c r="L5" s="179"/>
      <c r="M5" s="933">
        <f>'Junho-24'!M150</f>
        <v>26844.530000000002</v>
      </c>
      <c r="N5" s="179"/>
      <c r="O5" s="933">
        <f>'Junho-24'!O150</f>
        <v>0</v>
      </c>
      <c r="P5" s="179"/>
      <c r="Q5" s="1479">
        <f>'Junho-24'!Q150</f>
        <v>4037.010000000002</v>
      </c>
      <c r="R5" s="179"/>
      <c r="S5" s="933">
        <f>'Junho-24'!S150</f>
        <v>29811.975984720004</v>
      </c>
    </row>
    <row r="6" spans="1:44" s="224" customFormat="1" x14ac:dyDescent="0.25">
      <c r="A6" s="247">
        <v>45474</v>
      </c>
      <c r="B6" s="348" t="s">
        <v>11</v>
      </c>
      <c r="C6" s="351"/>
      <c r="D6" s="351"/>
      <c r="E6" s="673"/>
      <c r="F6" s="538">
        <v>10</v>
      </c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ht="15" customHeight="1" x14ac:dyDescent="0.25">
      <c r="A7" s="247">
        <v>45474</v>
      </c>
      <c r="B7" s="882" t="s">
        <v>32</v>
      </c>
      <c r="C7" s="879" t="s">
        <v>12</v>
      </c>
      <c r="D7" s="879" t="s">
        <v>1485</v>
      </c>
      <c r="E7" s="875" t="s">
        <v>13</v>
      </c>
      <c r="F7" s="1873">
        <v>22</v>
      </c>
      <c r="G7" s="946"/>
      <c r="H7" s="95"/>
      <c r="I7" s="1064"/>
      <c r="J7" s="622"/>
      <c r="K7" s="982"/>
      <c r="L7" s="622"/>
      <c r="M7" s="982"/>
      <c r="N7" s="622"/>
      <c r="O7" s="982"/>
      <c r="P7" s="622"/>
      <c r="Q7" s="1063"/>
      <c r="R7" s="622"/>
      <c r="S7" s="982"/>
      <c r="T7" s="861"/>
      <c r="V7" s="927"/>
      <c r="W7" s="999"/>
    </row>
    <row r="8" spans="1:44" s="224" customFormat="1" ht="15" customHeight="1" x14ac:dyDescent="0.25">
      <c r="A8" s="247">
        <v>45475</v>
      </c>
      <c r="B8" s="882" t="s">
        <v>32</v>
      </c>
      <c r="C8" s="879" t="s">
        <v>12</v>
      </c>
      <c r="D8" s="879" t="s">
        <v>1485</v>
      </c>
      <c r="E8" s="875" t="s">
        <v>13</v>
      </c>
      <c r="F8" s="1873">
        <v>22</v>
      </c>
      <c r="G8" s="982"/>
      <c r="H8" s="95"/>
      <c r="I8" s="1064"/>
      <c r="J8" s="613"/>
      <c r="K8" s="982"/>
      <c r="L8" s="622"/>
      <c r="M8" s="982"/>
      <c r="N8" s="622"/>
      <c r="O8" s="982"/>
      <c r="P8" s="622"/>
      <c r="Q8" s="1063"/>
      <c r="R8" s="622"/>
      <c r="S8" s="982"/>
      <c r="T8" s="861"/>
    </row>
    <row r="9" spans="1:44" s="224" customFormat="1" ht="15" customHeight="1" x14ac:dyDescent="0.25">
      <c r="A9" s="247">
        <v>45475</v>
      </c>
      <c r="B9" s="882" t="s">
        <v>6329</v>
      </c>
      <c r="C9" s="879" t="s">
        <v>12</v>
      </c>
      <c r="D9" s="879"/>
      <c r="E9" s="875" t="s">
        <v>25</v>
      </c>
      <c r="F9" s="780"/>
      <c r="G9" s="982">
        <v>100</v>
      </c>
      <c r="H9" s="95"/>
      <c r="I9" s="1064"/>
      <c r="J9" s="613"/>
      <c r="K9" s="6"/>
      <c r="L9" s="622"/>
      <c r="M9" s="982"/>
      <c r="N9" s="622"/>
      <c r="O9" s="982"/>
      <c r="P9" s="622"/>
      <c r="Q9" s="1063"/>
      <c r="R9" s="1110"/>
      <c r="S9" s="1208"/>
      <c r="T9" s="1028"/>
      <c r="W9" s="958"/>
    </row>
    <row r="10" spans="1:44" s="224" customFormat="1" ht="15" customHeight="1" x14ac:dyDescent="0.25">
      <c r="A10" s="247">
        <v>45475</v>
      </c>
      <c r="B10" s="364" t="s">
        <v>2097</v>
      </c>
      <c r="C10" s="350" t="s">
        <v>12</v>
      </c>
      <c r="D10" s="350" t="s">
        <v>2157</v>
      </c>
      <c r="E10" s="875" t="s">
        <v>13</v>
      </c>
      <c r="F10" s="780">
        <v>80</v>
      </c>
      <c r="G10" s="967"/>
      <c r="H10" s="1008"/>
      <c r="I10" s="1063"/>
      <c r="J10" s="613"/>
      <c r="K10" s="6"/>
      <c r="L10" s="613"/>
      <c r="M10" s="6"/>
      <c r="N10" s="622"/>
      <c r="O10" s="982"/>
      <c r="P10" s="622"/>
      <c r="Q10" s="1063"/>
      <c r="R10" s="613"/>
      <c r="S10" s="64"/>
      <c r="T10" s="1028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</row>
    <row r="11" spans="1:44" s="224" customFormat="1" ht="15" customHeight="1" x14ac:dyDescent="0.25">
      <c r="A11" s="247">
        <v>45476</v>
      </c>
      <c r="B11" s="882" t="s">
        <v>6258</v>
      </c>
      <c r="C11" s="879" t="s">
        <v>12</v>
      </c>
      <c r="D11" s="879"/>
      <c r="E11" s="875" t="s">
        <v>13</v>
      </c>
      <c r="F11" s="780"/>
      <c r="G11" s="982">
        <v>500</v>
      </c>
      <c r="H11" s="95"/>
      <c r="I11" s="1064"/>
      <c r="J11" s="613">
        <v>500</v>
      </c>
      <c r="K11" s="982"/>
      <c r="L11" s="622"/>
      <c r="M11" s="982"/>
      <c r="N11" s="622"/>
      <c r="O11" s="982"/>
      <c r="P11" s="622"/>
      <c r="Q11" s="1063"/>
      <c r="R11" s="622"/>
      <c r="S11" s="982"/>
      <c r="T11" s="861"/>
    </row>
    <row r="12" spans="1:44" s="224" customFormat="1" ht="15" customHeight="1" x14ac:dyDescent="0.25">
      <c r="A12" s="247">
        <v>45476</v>
      </c>
      <c r="B12" s="1275" t="s">
        <v>6615</v>
      </c>
      <c r="C12" s="1276" t="s">
        <v>12</v>
      </c>
      <c r="D12" s="1276" t="s">
        <v>1524</v>
      </c>
      <c r="E12" s="1286" t="s">
        <v>13</v>
      </c>
      <c r="F12" s="613">
        <v>500</v>
      </c>
      <c r="G12" s="967"/>
      <c r="H12" s="1008"/>
      <c r="I12" s="1063"/>
      <c r="J12" s="613"/>
      <c r="K12" s="6"/>
      <c r="L12" s="613"/>
      <c r="M12" s="6"/>
      <c r="N12" s="622"/>
      <c r="O12" s="982"/>
      <c r="P12" s="622"/>
      <c r="Q12" s="1063"/>
      <c r="R12" s="613"/>
      <c r="S12" s="64"/>
      <c r="T12" s="1028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</row>
    <row r="13" spans="1:44" s="224" customFormat="1" ht="15" customHeight="1" x14ac:dyDescent="0.25">
      <c r="A13" s="247">
        <v>45476</v>
      </c>
      <c r="B13" s="882" t="s">
        <v>32</v>
      </c>
      <c r="C13" s="879" t="s">
        <v>12</v>
      </c>
      <c r="D13" s="879" t="s">
        <v>1485</v>
      </c>
      <c r="E13" s="875" t="s">
        <v>13</v>
      </c>
      <c r="F13" s="1873">
        <v>22</v>
      </c>
      <c r="G13" s="982"/>
      <c r="H13" s="95"/>
      <c r="I13" s="1064"/>
      <c r="J13" s="613"/>
      <c r="K13" s="982"/>
      <c r="L13" s="622"/>
      <c r="M13" s="982"/>
      <c r="N13" s="622"/>
      <c r="O13" s="982"/>
      <c r="P13" s="622"/>
      <c r="Q13" s="1063"/>
      <c r="R13" s="622"/>
      <c r="S13" s="982"/>
      <c r="T13" s="861"/>
    </row>
    <row r="14" spans="1:44" s="224" customFormat="1" ht="15" customHeight="1" x14ac:dyDescent="0.25">
      <c r="A14" s="247">
        <v>45476</v>
      </c>
      <c r="B14" s="882" t="s">
        <v>81</v>
      </c>
      <c r="C14" s="879" t="s">
        <v>12</v>
      </c>
      <c r="D14" s="879" t="s">
        <v>1493</v>
      </c>
      <c r="E14" s="875" t="s">
        <v>13</v>
      </c>
      <c r="F14" s="1873">
        <v>4</v>
      </c>
      <c r="G14" s="982"/>
      <c r="H14" s="95"/>
      <c r="I14" s="1064"/>
      <c r="J14" s="613"/>
      <c r="K14" s="982"/>
      <c r="L14" s="622"/>
      <c r="M14" s="982"/>
      <c r="N14" s="622"/>
      <c r="O14" s="982"/>
      <c r="P14" s="622"/>
      <c r="Q14" s="1063"/>
      <c r="R14" s="622"/>
      <c r="S14" s="982"/>
      <c r="T14" s="861"/>
    </row>
    <row r="15" spans="1:44" s="224" customFormat="1" ht="15" customHeight="1" x14ac:dyDescent="0.25">
      <c r="A15" s="247">
        <v>45477</v>
      </c>
      <c r="B15" s="882" t="s">
        <v>6621</v>
      </c>
      <c r="C15" s="879" t="s">
        <v>12</v>
      </c>
      <c r="D15" s="879" t="s">
        <v>1489</v>
      </c>
      <c r="E15" s="871" t="s">
        <v>13</v>
      </c>
      <c r="F15" s="780">
        <v>50</v>
      </c>
      <c r="G15" s="982"/>
      <c r="H15" s="622"/>
      <c r="I15" s="982"/>
      <c r="J15" s="622"/>
      <c r="K15" s="982"/>
      <c r="L15" s="622"/>
      <c r="M15" s="982"/>
      <c r="N15" s="622"/>
      <c r="O15" s="982"/>
      <c r="P15" s="622"/>
      <c r="Q15" s="1063"/>
      <c r="R15" s="880"/>
      <c r="S15" s="1033"/>
      <c r="T15" s="927"/>
      <c r="V15" s="878"/>
    </row>
    <row r="16" spans="1:44" s="224" customFormat="1" ht="15" customHeight="1" x14ac:dyDescent="0.25">
      <c r="A16" s="247">
        <v>45477</v>
      </c>
      <c r="B16" s="882" t="s">
        <v>6622</v>
      </c>
      <c r="C16" s="879" t="s">
        <v>12</v>
      </c>
      <c r="D16" s="879" t="s">
        <v>1489</v>
      </c>
      <c r="E16" s="871" t="s">
        <v>13</v>
      </c>
      <c r="F16" s="780">
        <v>20</v>
      </c>
      <c r="G16" s="946"/>
      <c r="H16" s="95"/>
      <c r="I16" s="1064"/>
      <c r="J16" s="622"/>
      <c r="K16" s="982"/>
      <c r="L16" s="622"/>
      <c r="M16" s="982"/>
      <c r="N16" s="622"/>
      <c r="O16" s="982"/>
      <c r="P16" s="622"/>
      <c r="Q16" s="1063"/>
      <c r="R16" s="1110"/>
      <c r="S16" s="1208"/>
      <c r="T16" s="1028"/>
      <c r="W16" s="958"/>
    </row>
    <row r="17" spans="1:44" s="224" customFormat="1" ht="15" customHeight="1" x14ac:dyDescent="0.25">
      <c r="A17" s="247">
        <v>45477</v>
      </c>
      <c r="B17" s="882" t="s">
        <v>32</v>
      </c>
      <c r="C17" s="879" t="s">
        <v>12</v>
      </c>
      <c r="D17" s="879" t="s">
        <v>1485</v>
      </c>
      <c r="E17" s="871" t="s">
        <v>13</v>
      </c>
      <c r="F17" s="780">
        <v>22</v>
      </c>
      <c r="G17" s="946"/>
      <c r="H17" s="95"/>
      <c r="I17" s="1064"/>
      <c r="J17" s="622"/>
      <c r="K17" s="982"/>
      <c r="L17" s="622"/>
      <c r="M17" s="982"/>
      <c r="N17" s="622"/>
      <c r="O17" s="982"/>
      <c r="P17" s="622"/>
      <c r="Q17" s="1063"/>
      <c r="R17" s="613"/>
      <c r="S17" s="64"/>
      <c r="T17" s="1028"/>
      <c r="W17" s="958"/>
    </row>
    <row r="18" spans="1:44" s="224" customFormat="1" ht="15" customHeight="1" x14ac:dyDescent="0.25">
      <c r="A18" s="247">
        <v>45477</v>
      </c>
      <c r="B18" s="882" t="s">
        <v>6627</v>
      </c>
      <c r="C18" s="879" t="s">
        <v>12</v>
      </c>
      <c r="D18" s="879" t="s">
        <v>1522</v>
      </c>
      <c r="E18" s="871" t="s">
        <v>13</v>
      </c>
      <c r="F18" s="780">
        <v>20</v>
      </c>
      <c r="G18" s="946"/>
      <c r="H18" s="95"/>
      <c r="I18" s="1064"/>
      <c r="J18" s="622"/>
      <c r="K18" s="982"/>
      <c r="L18" s="622"/>
      <c r="M18" s="982"/>
      <c r="N18" s="622"/>
      <c r="O18" s="982"/>
      <c r="P18" s="622"/>
      <c r="Q18" s="1063"/>
      <c r="R18" s="613"/>
      <c r="S18" s="64"/>
      <c r="T18" s="1028"/>
      <c r="W18" s="958"/>
    </row>
    <row r="19" spans="1:44" s="224" customFormat="1" ht="15" customHeight="1" x14ac:dyDescent="0.25">
      <c r="A19" s="247">
        <v>45477</v>
      </c>
      <c r="B19" s="882" t="s">
        <v>1906</v>
      </c>
      <c r="C19" s="879" t="s">
        <v>12</v>
      </c>
      <c r="D19" s="879" t="s">
        <v>1493</v>
      </c>
      <c r="E19" s="875" t="s">
        <v>13</v>
      </c>
      <c r="F19" s="780">
        <v>9</v>
      </c>
      <c r="G19" s="946"/>
      <c r="H19" s="95"/>
      <c r="I19" s="1064"/>
      <c r="J19" s="622"/>
      <c r="K19" s="982"/>
      <c r="L19" s="622"/>
      <c r="M19" s="982"/>
      <c r="N19" s="622"/>
      <c r="O19" s="982"/>
      <c r="P19" s="622"/>
      <c r="Q19" s="1063"/>
      <c r="R19" s="613"/>
      <c r="S19" s="64"/>
      <c r="T19" s="1028"/>
      <c r="W19" s="958"/>
    </row>
    <row r="20" spans="1:44" s="224" customFormat="1" ht="15.75" customHeight="1" x14ac:dyDescent="0.25">
      <c r="A20" s="247">
        <v>45478</v>
      </c>
      <c r="B20" s="873" t="s">
        <v>6537</v>
      </c>
      <c r="C20" s="879" t="s">
        <v>12</v>
      </c>
      <c r="D20" s="874"/>
      <c r="E20" s="887" t="s">
        <v>25</v>
      </c>
      <c r="F20" s="1524"/>
      <c r="G20" s="1002">
        <v>2377.06</v>
      </c>
      <c r="H20" s="538"/>
      <c r="I20" s="982"/>
      <c r="J20" s="2013"/>
      <c r="K20" s="1207"/>
      <c r="L20" s="622"/>
      <c r="M20" s="982"/>
      <c r="N20" s="622"/>
      <c r="O20" s="982"/>
      <c r="P20" s="622"/>
      <c r="Q20" s="1063"/>
      <c r="R20" s="622"/>
      <c r="S20" s="982"/>
      <c r="T20" s="178"/>
    </row>
    <row r="21" spans="1:44" s="224" customFormat="1" ht="15" customHeight="1" x14ac:dyDescent="0.25">
      <c r="A21" s="247">
        <v>45478</v>
      </c>
      <c r="B21" s="364" t="s">
        <v>1396</v>
      </c>
      <c r="C21" s="879" t="s">
        <v>12</v>
      </c>
      <c r="D21" s="350"/>
      <c r="E21" s="919" t="s">
        <v>25</v>
      </c>
      <c r="F21" s="1116"/>
      <c r="G21" s="966">
        <v>150</v>
      </c>
      <c r="H21" s="1031"/>
      <c r="I21" s="1525"/>
      <c r="J21" s="2013"/>
      <c r="K21" s="1207"/>
      <c r="L21" s="1116"/>
      <c r="M21" s="1207"/>
      <c r="N21" s="880"/>
      <c r="O21" s="1033"/>
      <c r="P21" s="622"/>
      <c r="Q21" s="1063"/>
      <c r="R21" s="1116"/>
      <c r="S21" s="1207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</row>
    <row r="22" spans="1:44" s="224" customFormat="1" ht="15" customHeight="1" x14ac:dyDescent="0.25">
      <c r="A22" s="247">
        <v>45478</v>
      </c>
      <c r="B22" s="862" t="s">
        <v>6416</v>
      </c>
      <c r="C22" s="879" t="s">
        <v>12</v>
      </c>
      <c r="D22" s="879" t="s">
        <v>1504</v>
      </c>
      <c r="E22" s="871" t="s">
        <v>13</v>
      </c>
      <c r="F22" s="780">
        <v>40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808"/>
      <c r="U22" s="1028"/>
      <c r="V22" s="1035"/>
    </row>
    <row r="23" spans="1:44" s="224" customFormat="1" ht="15" customHeight="1" x14ac:dyDescent="0.25">
      <c r="A23" s="247">
        <v>45478</v>
      </c>
      <c r="B23" s="882" t="s">
        <v>6538</v>
      </c>
      <c r="C23" s="879" t="s">
        <v>12</v>
      </c>
      <c r="D23" s="879" t="s">
        <v>1499</v>
      </c>
      <c r="E23" s="871" t="s">
        <v>13</v>
      </c>
      <c r="F23" s="780">
        <v>144.63999999999999</v>
      </c>
      <c r="G23" s="982"/>
      <c r="H23" s="1008"/>
      <c r="I23" s="1063"/>
      <c r="J23" s="880"/>
      <c r="K23" s="1033"/>
      <c r="L23" s="622"/>
      <c r="M23" s="982"/>
      <c r="N23" s="622"/>
      <c r="O23" s="982"/>
      <c r="P23" s="622"/>
      <c r="Q23" s="1063"/>
      <c r="R23" s="622"/>
      <c r="S23" s="982"/>
      <c r="T23" s="1028">
        <v>425</v>
      </c>
      <c r="U23" s="999"/>
      <c r="V23" s="878"/>
    </row>
    <row r="24" spans="1:44" s="224" customFormat="1" ht="15" customHeight="1" x14ac:dyDescent="0.25">
      <c r="A24" s="247">
        <v>45478</v>
      </c>
      <c r="B24" s="364" t="s">
        <v>2977</v>
      </c>
      <c r="C24" s="879" t="s">
        <v>12</v>
      </c>
      <c r="D24" s="350" t="s">
        <v>1491</v>
      </c>
      <c r="E24" s="875" t="s">
        <v>13</v>
      </c>
      <c r="F24" s="780">
        <v>400</v>
      </c>
      <c r="G24" s="982"/>
      <c r="H24" s="1008"/>
      <c r="I24" s="1063"/>
      <c r="J24" s="2013"/>
      <c r="K24" s="1207"/>
      <c r="L24" s="622"/>
      <c r="M24" s="982"/>
      <c r="N24" s="622"/>
      <c r="O24" s="982"/>
      <c r="P24" s="622"/>
      <c r="Q24" s="1063"/>
      <c r="R24" s="622"/>
      <c r="S24" s="982"/>
      <c r="T24" s="1028"/>
      <c r="V24" s="1035"/>
    </row>
    <row r="25" spans="1:44" x14ac:dyDescent="0.25">
      <c r="A25" s="247">
        <v>45478</v>
      </c>
      <c r="B25" s="876" t="s">
        <v>6393</v>
      </c>
      <c r="C25" s="879" t="s">
        <v>12</v>
      </c>
      <c r="D25" s="879" t="s">
        <v>1491</v>
      </c>
      <c r="E25" s="871" t="s">
        <v>13</v>
      </c>
      <c r="F25" s="780">
        <v>80</v>
      </c>
      <c r="G25" s="982"/>
      <c r="H25" s="1009"/>
      <c r="I25" s="1063"/>
      <c r="J25" s="613"/>
      <c r="K25" s="6"/>
      <c r="L25" s="622"/>
      <c r="M25" s="982"/>
      <c r="N25" s="622"/>
      <c r="O25" s="982"/>
      <c r="P25" s="622"/>
      <c r="Q25" s="1063"/>
      <c r="R25" s="622"/>
      <c r="S25" s="982"/>
      <c r="T25" s="1029"/>
    </row>
    <row r="26" spans="1:44" x14ac:dyDescent="0.25">
      <c r="A26" s="247">
        <v>45478</v>
      </c>
      <c r="B26" s="876" t="s">
        <v>3844</v>
      </c>
      <c r="C26" s="879" t="s">
        <v>12</v>
      </c>
      <c r="D26" s="879" t="s">
        <v>1496</v>
      </c>
      <c r="E26" s="871" t="s">
        <v>13</v>
      </c>
      <c r="F26" s="780">
        <v>90</v>
      </c>
      <c r="G26" s="982"/>
      <c r="H26" s="1009"/>
      <c r="I26" s="1063"/>
      <c r="J26" s="613"/>
      <c r="K26" s="6"/>
      <c r="L26" s="622"/>
      <c r="M26" s="982"/>
      <c r="N26" s="622"/>
      <c r="O26" s="982"/>
      <c r="P26" s="622"/>
      <c r="Q26" s="1063"/>
      <c r="R26" s="622"/>
      <c r="S26" s="982"/>
      <c r="T26" s="1029"/>
    </row>
    <row r="27" spans="1:44" s="224" customFormat="1" ht="15" customHeight="1" x14ac:dyDescent="0.25">
      <c r="A27" s="247">
        <v>45478</v>
      </c>
      <c r="B27" s="1289" t="s">
        <v>2096</v>
      </c>
      <c r="C27" s="879" t="s">
        <v>12</v>
      </c>
      <c r="D27" s="1276" t="s">
        <v>1506</v>
      </c>
      <c r="E27" s="875" t="s">
        <v>13</v>
      </c>
      <c r="F27" s="1873">
        <v>50</v>
      </c>
      <c r="G27" s="967"/>
      <c r="H27" s="1008"/>
      <c r="I27" s="1063"/>
      <c r="J27" s="613"/>
      <c r="K27" s="6"/>
      <c r="L27" s="613"/>
      <c r="M27" s="6"/>
      <c r="N27" s="622"/>
      <c r="O27" s="982"/>
      <c r="P27" s="622"/>
      <c r="Q27" s="1063"/>
      <c r="R27" s="613"/>
      <c r="S27" s="64"/>
      <c r="T27" s="1209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s="224" customFormat="1" ht="15" customHeight="1" x14ac:dyDescent="0.25">
      <c r="A28" s="247">
        <v>45478</v>
      </c>
      <c r="B28" s="882" t="s">
        <v>6258</v>
      </c>
      <c r="C28" s="879" t="s">
        <v>12</v>
      </c>
      <c r="D28" s="879"/>
      <c r="E28" s="875" t="s">
        <v>13</v>
      </c>
      <c r="F28" s="780"/>
      <c r="G28" s="982">
        <v>340</v>
      </c>
      <c r="H28" s="95"/>
      <c r="I28" s="1064"/>
      <c r="J28" s="613">
        <v>340</v>
      </c>
      <c r="K28" s="982"/>
      <c r="L28" s="622"/>
      <c r="M28" s="982"/>
      <c r="N28" s="622"/>
      <c r="O28" s="982"/>
      <c r="P28" s="622"/>
      <c r="Q28" s="1063"/>
      <c r="R28" s="622"/>
      <c r="S28" s="982"/>
      <c r="T28" s="861"/>
    </row>
    <row r="29" spans="1:44" s="224" customFormat="1" ht="15" customHeight="1" x14ac:dyDescent="0.25">
      <c r="A29" s="247">
        <v>45478</v>
      </c>
      <c r="B29" s="882" t="s">
        <v>6629</v>
      </c>
      <c r="C29" s="879" t="s">
        <v>12</v>
      </c>
      <c r="D29" s="879" t="s">
        <v>1524</v>
      </c>
      <c r="E29" s="871" t="s">
        <v>13</v>
      </c>
      <c r="F29" s="613">
        <v>340</v>
      </c>
      <c r="G29" s="967"/>
      <c r="H29" s="1008"/>
      <c r="I29" s="1063"/>
      <c r="J29" s="622"/>
      <c r="K29" s="982"/>
      <c r="L29" s="2013"/>
      <c r="M29" s="1207"/>
      <c r="N29" s="880"/>
      <c r="O29" s="1033"/>
      <c r="P29" s="880"/>
      <c r="Q29" s="1525"/>
      <c r="R29" s="613"/>
      <c r="S29" s="162"/>
      <c r="T29" s="1956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s="224" customFormat="1" ht="15" customHeight="1" x14ac:dyDescent="0.25">
      <c r="A30" s="247">
        <v>45478</v>
      </c>
      <c r="B30" s="882" t="s">
        <v>32</v>
      </c>
      <c r="C30" s="879" t="s">
        <v>12</v>
      </c>
      <c r="D30" s="879" t="s">
        <v>1485</v>
      </c>
      <c r="E30" s="871" t="s">
        <v>13</v>
      </c>
      <c r="F30" s="780">
        <v>22</v>
      </c>
      <c r="G30" s="946"/>
      <c r="H30" s="95"/>
      <c r="I30" s="1064"/>
      <c r="J30" s="622"/>
      <c r="K30" s="982"/>
      <c r="L30" s="622"/>
      <c r="M30" s="982"/>
      <c r="N30" s="622"/>
      <c r="O30" s="982"/>
      <c r="P30" s="622"/>
      <c r="Q30" s="1063"/>
      <c r="R30" s="613"/>
      <c r="S30" s="64"/>
      <c r="T30" s="1028"/>
      <c r="W30" s="958"/>
    </row>
    <row r="31" spans="1:44" s="224" customFormat="1" ht="15" customHeight="1" x14ac:dyDescent="0.25">
      <c r="A31" s="247">
        <v>45478</v>
      </c>
      <c r="B31" s="882" t="s">
        <v>81</v>
      </c>
      <c r="C31" s="879" t="s">
        <v>12</v>
      </c>
      <c r="D31" s="879" t="s">
        <v>1493</v>
      </c>
      <c r="E31" s="875" t="s">
        <v>13</v>
      </c>
      <c r="F31" s="1873">
        <v>3.7</v>
      </c>
      <c r="G31" s="982"/>
      <c r="H31" s="95"/>
      <c r="I31" s="1064"/>
      <c r="J31" s="613"/>
      <c r="K31" s="982"/>
      <c r="L31" s="622"/>
      <c r="M31" s="982"/>
      <c r="N31" s="622"/>
      <c r="O31" s="982"/>
      <c r="P31" s="622"/>
      <c r="Q31" s="1063"/>
      <c r="R31" s="622"/>
      <c r="S31" s="982"/>
      <c r="T31" s="861"/>
    </row>
    <row r="32" spans="1:44" s="224" customFormat="1" ht="15" customHeight="1" x14ac:dyDescent="0.25">
      <c r="A32" s="247">
        <v>45478</v>
      </c>
      <c r="B32" s="882" t="s">
        <v>6208</v>
      </c>
      <c r="C32" s="879" t="s">
        <v>12</v>
      </c>
      <c r="D32" s="879"/>
      <c r="E32" s="875" t="s">
        <v>13</v>
      </c>
      <c r="F32" s="780">
        <v>950</v>
      </c>
      <c r="G32" s="982"/>
      <c r="H32" s="1008"/>
      <c r="I32" s="1063"/>
      <c r="J32" s="622"/>
      <c r="K32" s="982">
        <v>950</v>
      </c>
      <c r="L32" s="622"/>
      <c r="M32" s="982"/>
      <c r="N32" s="622"/>
      <c r="O32" s="982"/>
      <c r="P32" s="622"/>
      <c r="Q32" s="1063"/>
      <c r="R32" s="622"/>
      <c r="S32" s="982"/>
      <c r="T32" s="861"/>
    </row>
    <row r="33" spans="1:44" s="224" customFormat="1" ht="15" customHeight="1" x14ac:dyDescent="0.25">
      <c r="A33" s="247">
        <v>45478</v>
      </c>
      <c r="B33" s="882" t="s">
        <v>6214</v>
      </c>
      <c r="C33" s="879" t="s">
        <v>12</v>
      </c>
      <c r="D33" s="879"/>
      <c r="E33" s="875" t="s">
        <v>13</v>
      </c>
      <c r="F33" s="780"/>
      <c r="G33" s="982"/>
      <c r="H33" s="95"/>
      <c r="I33" s="1064"/>
      <c r="J33" s="622"/>
      <c r="K33" s="982">
        <v>850</v>
      </c>
      <c r="L33" s="622"/>
      <c r="M33" s="982"/>
      <c r="N33" s="622"/>
      <c r="O33" s="982"/>
      <c r="P33" s="622"/>
      <c r="Q33" s="1063"/>
      <c r="R33" s="622"/>
      <c r="S33" s="982"/>
      <c r="T33" s="861"/>
    </row>
    <row r="34" spans="1:44" s="224" customFormat="1" ht="15" customHeight="1" x14ac:dyDescent="0.25">
      <c r="A34" s="247">
        <v>45478</v>
      </c>
      <c r="B34" s="882" t="s">
        <v>6631</v>
      </c>
      <c r="C34" s="879" t="s">
        <v>12</v>
      </c>
      <c r="D34" s="879" t="s">
        <v>1489</v>
      </c>
      <c r="E34" s="871" t="s">
        <v>13</v>
      </c>
      <c r="F34" s="613">
        <v>8</v>
      </c>
      <c r="G34" s="967"/>
      <c r="H34" s="1008"/>
      <c r="I34" s="1063"/>
      <c r="J34" s="622"/>
      <c r="K34" s="982"/>
      <c r="L34" s="2013"/>
      <c r="M34" s="1207"/>
      <c r="N34" s="880"/>
      <c r="O34" s="1033"/>
      <c r="P34" s="880"/>
      <c r="Q34" s="1525"/>
      <c r="R34" s="613"/>
      <c r="S34" s="162"/>
      <c r="T34" s="1956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s="224" customFormat="1" ht="15" customHeight="1" x14ac:dyDescent="0.25">
      <c r="A35" s="247">
        <v>45478</v>
      </c>
      <c r="B35" s="364" t="s">
        <v>6632</v>
      </c>
      <c r="C35" s="350" t="s">
        <v>12</v>
      </c>
      <c r="D35" s="350" t="s">
        <v>2157</v>
      </c>
      <c r="E35" s="875" t="s">
        <v>13</v>
      </c>
      <c r="F35" s="780">
        <v>55.82</v>
      </c>
      <c r="G35" s="966"/>
      <c r="H35" s="1031"/>
      <c r="I35" s="1525"/>
      <c r="J35" s="622"/>
      <c r="K35" s="982"/>
      <c r="L35" s="872"/>
      <c r="M35" s="1207"/>
      <c r="N35" s="880"/>
      <c r="O35" s="1033"/>
      <c r="P35" s="880"/>
      <c r="Q35" s="1525"/>
      <c r="R35" s="613"/>
      <c r="S35" s="162"/>
      <c r="T35" s="1209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</row>
    <row r="36" spans="1:44" s="224" customFormat="1" ht="15" customHeight="1" x14ac:dyDescent="0.25">
      <c r="A36" s="247">
        <v>45478</v>
      </c>
      <c r="B36" s="882" t="s">
        <v>1906</v>
      </c>
      <c r="C36" s="879" t="s">
        <v>12</v>
      </c>
      <c r="D36" s="879" t="s">
        <v>1493</v>
      </c>
      <c r="E36" s="875" t="s">
        <v>13</v>
      </c>
      <c r="F36" s="780">
        <v>9</v>
      </c>
      <c r="G36" s="946"/>
      <c r="H36" s="95"/>
      <c r="I36" s="1064"/>
      <c r="J36" s="622"/>
      <c r="K36" s="982"/>
      <c r="L36" s="622"/>
      <c r="M36" s="982"/>
      <c r="N36" s="622"/>
      <c r="O36" s="982"/>
      <c r="P36" s="622"/>
      <c r="Q36" s="1063"/>
      <c r="R36" s="613"/>
      <c r="S36" s="64"/>
      <c r="T36" s="1028"/>
      <c r="W36" s="958"/>
    </row>
    <row r="37" spans="1:44" s="224" customFormat="1" ht="15" customHeight="1" x14ac:dyDescent="0.25">
      <c r="A37" s="247">
        <v>45479</v>
      </c>
      <c r="B37" s="1275" t="s">
        <v>14</v>
      </c>
      <c r="C37" s="1276" t="s">
        <v>12</v>
      </c>
      <c r="D37" s="1276" t="s">
        <v>1486</v>
      </c>
      <c r="E37" s="1286" t="s">
        <v>13</v>
      </c>
      <c r="F37" s="780">
        <v>6.05</v>
      </c>
      <c r="G37" s="982"/>
      <c r="H37" s="622"/>
      <c r="I37" s="982"/>
      <c r="J37" s="622"/>
      <c r="K37" s="982"/>
      <c r="L37" s="622"/>
      <c r="M37" s="982"/>
      <c r="N37" s="622"/>
      <c r="O37" s="982"/>
      <c r="P37" s="880"/>
      <c r="Q37" s="1525"/>
      <c r="R37" s="613"/>
      <c r="S37" s="162"/>
      <c r="T37" s="1956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s="224" customFormat="1" ht="15" customHeight="1" x14ac:dyDescent="0.25">
      <c r="A38" s="247">
        <v>45479</v>
      </c>
      <c r="B38" s="882" t="s">
        <v>6258</v>
      </c>
      <c r="C38" s="879" t="s">
        <v>12</v>
      </c>
      <c r="D38" s="879"/>
      <c r="E38" s="875" t="s">
        <v>13</v>
      </c>
      <c r="F38" s="780"/>
      <c r="G38" s="982">
        <v>200</v>
      </c>
      <c r="H38" s="95"/>
      <c r="I38" s="1064"/>
      <c r="J38" s="613">
        <v>200</v>
      </c>
      <c r="K38" s="982"/>
      <c r="L38" s="622"/>
      <c r="M38" s="982"/>
      <c r="N38" s="622"/>
      <c r="O38" s="982"/>
      <c r="P38" s="622"/>
      <c r="Q38" s="1063"/>
      <c r="R38" s="622"/>
      <c r="S38" s="982"/>
      <c r="T38" s="861"/>
    </row>
    <row r="39" spans="1:44" s="224" customFormat="1" ht="15" customHeight="1" x14ac:dyDescent="0.25">
      <c r="A39" s="247">
        <v>45479</v>
      </c>
      <c r="B39" s="1275" t="s">
        <v>6633</v>
      </c>
      <c r="C39" s="1276" t="s">
        <v>12</v>
      </c>
      <c r="D39" s="1276" t="s">
        <v>1524</v>
      </c>
      <c r="E39" s="1286" t="s">
        <v>13</v>
      </c>
      <c r="F39" s="613">
        <v>200</v>
      </c>
      <c r="G39" s="967"/>
      <c r="H39" s="1008"/>
      <c r="I39" s="1063"/>
      <c r="J39" s="613"/>
      <c r="K39" s="6"/>
      <c r="L39" s="613"/>
      <c r="M39" s="6"/>
      <c r="N39" s="622"/>
      <c r="O39" s="982"/>
      <c r="P39" s="622"/>
      <c r="Q39" s="1063"/>
      <c r="R39" s="613"/>
      <c r="S39" s="64"/>
      <c r="T39" s="1028" t="s">
        <v>6634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</row>
    <row r="40" spans="1:44" s="224" customFormat="1" ht="15" customHeight="1" x14ac:dyDescent="0.25">
      <c r="A40" s="247">
        <v>45479</v>
      </c>
      <c r="B40" s="882" t="s">
        <v>6635</v>
      </c>
      <c r="C40" s="879" t="s">
        <v>12</v>
      </c>
      <c r="D40" s="879" t="s">
        <v>1489</v>
      </c>
      <c r="E40" s="875" t="s">
        <v>13</v>
      </c>
      <c r="F40" s="780">
        <v>6.5</v>
      </c>
      <c r="G40" s="982"/>
      <c r="H40" s="622"/>
      <c r="I40" s="982"/>
      <c r="J40" s="622"/>
      <c r="K40" s="982"/>
      <c r="L40" s="622"/>
      <c r="M40" s="982"/>
      <c r="N40" s="622"/>
      <c r="O40" s="982"/>
      <c r="P40" s="880"/>
      <c r="Q40" s="1525"/>
      <c r="R40" s="613"/>
      <c r="S40" s="162"/>
      <c r="T40" s="1956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</row>
    <row r="41" spans="1:44" s="224" customFormat="1" ht="15" customHeight="1" x14ac:dyDescent="0.25">
      <c r="A41" s="247">
        <v>45479</v>
      </c>
      <c r="B41" s="882" t="s">
        <v>32</v>
      </c>
      <c r="C41" s="879" t="s">
        <v>12</v>
      </c>
      <c r="D41" s="879" t="s">
        <v>1485</v>
      </c>
      <c r="E41" s="875" t="s">
        <v>13</v>
      </c>
      <c r="F41" s="780">
        <v>15.9</v>
      </c>
      <c r="G41" s="982"/>
      <c r="H41" s="622"/>
      <c r="I41" s="982"/>
      <c r="J41" s="622"/>
      <c r="K41" s="982"/>
      <c r="L41" s="622"/>
      <c r="M41" s="982"/>
      <c r="N41" s="622"/>
      <c r="O41" s="982"/>
      <c r="P41" s="880"/>
      <c r="Q41" s="1525"/>
      <c r="R41" s="613"/>
      <c r="S41" s="162"/>
      <c r="T41" s="1956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s="224" customFormat="1" ht="15" customHeight="1" x14ac:dyDescent="0.25">
      <c r="A42" s="247">
        <v>45479</v>
      </c>
      <c r="B42" s="364" t="s">
        <v>82</v>
      </c>
      <c r="C42" s="350" t="s">
        <v>12</v>
      </c>
      <c r="D42" s="350" t="s">
        <v>1493</v>
      </c>
      <c r="E42" s="875" t="s">
        <v>13</v>
      </c>
      <c r="F42" s="780">
        <v>30.99</v>
      </c>
      <c r="G42" s="982"/>
      <c r="H42" s="622"/>
      <c r="I42" s="982"/>
      <c r="J42" s="1116"/>
      <c r="K42" s="1207"/>
      <c r="L42" s="622"/>
      <c r="M42" s="982"/>
      <c r="N42" s="853"/>
      <c r="O42" s="982"/>
      <c r="P42" s="622"/>
      <c r="Q42" s="1063"/>
      <c r="R42" s="622"/>
      <c r="S42" s="982"/>
      <c r="T42" s="927"/>
      <c r="U42" s="927"/>
      <c r="V42" s="878"/>
    </row>
    <row r="43" spans="1:44" s="224" customFormat="1" ht="15" customHeight="1" x14ac:dyDescent="0.25">
      <c r="A43" s="247">
        <v>45480</v>
      </c>
      <c r="B43" s="882" t="s">
        <v>6636</v>
      </c>
      <c r="C43" s="879" t="s">
        <v>12</v>
      </c>
      <c r="D43" s="879" t="s">
        <v>1489</v>
      </c>
      <c r="E43" s="875" t="s">
        <v>13</v>
      </c>
      <c r="F43" s="780">
        <v>5.0999999999999996</v>
      </c>
      <c r="G43" s="982"/>
      <c r="H43" s="95"/>
      <c r="I43" s="1064"/>
      <c r="J43" s="2013"/>
      <c r="K43" s="1207"/>
      <c r="L43" s="622"/>
      <c r="M43" s="982"/>
      <c r="N43" s="622"/>
      <c r="O43" s="982"/>
      <c r="P43" s="622"/>
      <c r="Q43" s="1063"/>
      <c r="R43" s="622"/>
      <c r="S43" s="982"/>
      <c r="T43" s="861"/>
    </row>
    <row r="44" spans="1:44" s="224" customFormat="1" x14ac:dyDescent="0.25">
      <c r="A44" s="247">
        <v>45480</v>
      </c>
      <c r="B44" s="882" t="s">
        <v>14</v>
      </c>
      <c r="C44" s="879" t="s">
        <v>12</v>
      </c>
      <c r="D44" s="879" t="s">
        <v>1486</v>
      </c>
      <c r="E44" s="480" t="s">
        <v>5470</v>
      </c>
      <c r="F44" s="780">
        <v>16.010000000000002</v>
      </c>
      <c r="G44" s="982"/>
      <c r="H44" s="1008"/>
      <c r="I44" s="1063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861"/>
      <c r="V44" s="878"/>
    </row>
    <row r="45" spans="1:44" s="224" customFormat="1" ht="15" customHeight="1" x14ac:dyDescent="0.25">
      <c r="A45" s="247">
        <v>45481</v>
      </c>
      <c r="B45" s="882" t="s">
        <v>6329</v>
      </c>
      <c r="C45" s="879" t="s">
        <v>12</v>
      </c>
      <c r="D45" s="879"/>
      <c r="E45" s="875" t="s">
        <v>25</v>
      </c>
      <c r="F45" s="780"/>
      <c r="G45" s="982">
        <v>100</v>
      </c>
      <c r="H45" s="622"/>
      <c r="I45" s="982"/>
      <c r="J45" s="622"/>
      <c r="K45" s="982"/>
      <c r="L45" s="622"/>
      <c r="M45" s="982"/>
      <c r="N45" s="622"/>
      <c r="O45" s="982"/>
      <c r="P45" s="880"/>
      <c r="Q45" s="1525"/>
      <c r="R45" s="613"/>
      <c r="S45" s="162"/>
      <c r="T45" s="1956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</row>
    <row r="46" spans="1:44" s="224" customFormat="1" x14ac:dyDescent="0.25">
      <c r="A46" s="247">
        <v>45481</v>
      </c>
      <c r="B46" s="1275" t="s">
        <v>6638</v>
      </c>
      <c r="C46" s="1276" t="s">
        <v>12</v>
      </c>
      <c r="D46" s="1276"/>
      <c r="E46" s="1277" t="s">
        <v>25</v>
      </c>
      <c r="F46" s="1279"/>
      <c r="G46" s="982">
        <v>100</v>
      </c>
      <c r="H46" s="1008"/>
      <c r="I46" s="1063"/>
      <c r="J46" s="2013"/>
      <c r="K46" s="1207"/>
      <c r="L46" s="622"/>
      <c r="M46" s="982"/>
      <c r="N46" s="622"/>
      <c r="O46" s="982"/>
      <c r="P46" s="622"/>
      <c r="Q46" s="1063"/>
      <c r="R46" s="622"/>
      <c r="S46" s="982"/>
      <c r="T46" s="861"/>
      <c r="V46" s="878"/>
    </row>
    <row r="47" spans="1:44" s="224" customFormat="1" x14ac:dyDescent="0.25">
      <c r="A47" s="247">
        <v>45481</v>
      </c>
      <c r="B47" s="1275" t="s">
        <v>6592</v>
      </c>
      <c r="C47" s="1276" t="s">
        <v>12</v>
      </c>
      <c r="D47" s="1276" t="s">
        <v>1522</v>
      </c>
      <c r="E47" s="1277" t="s">
        <v>13</v>
      </c>
      <c r="F47" s="1279">
        <v>284.89999999999998</v>
      </c>
      <c r="G47" s="982"/>
      <c r="H47" s="1008"/>
      <c r="I47" s="1063"/>
      <c r="J47" s="2013"/>
      <c r="K47" s="1207"/>
      <c r="L47" s="622"/>
      <c r="M47" s="982"/>
      <c r="N47" s="622"/>
      <c r="O47" s="982"/>
      <c r="P47" s="622"/>
      <c r="Q47" s="1063"/>
      <c r="R47" s="622"/>
      <c r="S47" s="982"/>
      <c r="T47" s="1028" t="s">
        <v>6640</v>
      </c>
      <c r="V47" s="878"/>
    </row>
    <row r="48" spans="1:44" s="224" customFormat="1" x14ac:dyDescent="0.25">
      <c r="A48" s="247">
        <v>45481</v>
      </c>
      <c r="B48" s="1275" t="s">
        <v>3958</v>
      </c>
      <c r="C48" s="1276" t="s">
        <v>12</v>
      </c>
      <c r="D48" s="1276" t="s">
        <v>1489</v>
      </c>
      <c r="E48" s="1277" t="s">
        <v>13</v>
      </c>
      <c r="F48" s="1279">
        <v>23</v>
      </c>
      <c r="G48" s="982"/>
      <c r="H48" s="1008"/>
      <c r="I48" s="1063"/>
      <c r="J48" s="2013"/>
      <c r="K48" s="1207"/>
      <c r="L48" s="622"/>
      <c r="M48" s="982"/>
      <c r="N48" s="622"/>
      <c r="O48" s="982"/>
      <c r="P48" s="622"/>
      <c r="Q48" s="1063"/>
      <c r="R48" s="622"/>
      <c r="S48" s="982"/>
      <c r="T48" s="861"/>
      <c r="V48" s="878"/>
    </row>
    <row r="49" spans="1:44" s="224" customFormat="1" ht="15" customHeight="1" x14ac:dyDescent="0.25">
      <c r="A49" s="247">
        <v>45482</v>
      </c>
      <c r="B49" s="364" t="s">
        <v>2629</v>
      </c>
      <c r="C49" s="350" t="s">
        <v>12</v>
      </c>
      <c r="D49" s="350" t="s">
        <v>1489</v>
      </c>
      <c r="E49" s="480" t="s">
        <v>13</v>
      </c>
      <c r="F49" s="613">
        <v>111.84</v>
      </c>
      <c r="G49" s="967"/>
      <c r="H49" s="1008"/>
      <c r="I49" s="1063"/>
      <c r="J49" s="622"/>
      <c r="K49" s="982"/>
      <c r="L49" s="1116"/>
      <c r="M49" s="1207"/>
      <c r="N49" s="1968"/>
      <c r="O49" s="1033"/>
      <c r="P49" s="880"/>
      <c r="Q49" s="1525"/>
      <c r="R49" s="613"/>
      <c r="S49" s="162"/>
      <c r="T49" s="120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x14ac:dyDescent="0.25">
      <c r="A50" s="247">
        <v>45482</v>
      </c>
      <c r="B50" s="364" t="s">
        <v>6643</v>
      </c>
      <c r="C50" s="350" t="s">
        <v>12</v>
      </c>
      <c r="D50" s="350" t="s">
        <v>2157</v>
      </c>
      <c r="E50" s="875" t="s">
        <v>13</v>
      </c>
      <c r="F50" s="780">
        <v>67.08</v>
      </c>
      <c r="G50" s="982"/>
      <c r="H50" s="1008"/>
      <c r="I50" s="1063"/>
      <c r="J50" s="2013"/>
      <c r="K50" s="1207"/>
      <c r="L50" s="622"/>
      <c r="M50" s="982"/>
      <c r="N50" s="622"/>
      <c r="O50" s="982"/>
      <c r="P50" s="622"/>
      <c r="Q50" s="1063"/>
      <c r="R50" s="622"/>
      <c r="S50" s="982"/>
      <c r="T50" s="861"/>
      <c r="V50" s="878"/>
    </row>
    <row r="51" spans="1:44" s="224" customFormat="1" ht="15" customHeight="1" x14ac:dyDescent="0.25">
      <c r="A51" s="247">
        <v>45483</v>
      </c>
      <c r="B51" s="882" t="s">
        <v>32</v>
      </c>
      <c r="C51" s="879" t="s">
        <v>12</v>
      </c>
      <c r="D51" s="879" t="s">
        <v>1485</v>
      </c>
      <c r="E51" s="875" t="s">
        <v>13</v>
      </c>
      <c r="F51" s="780">
        <v>22</v>
      </c>
      <c r="G51" s="982"/>
      <c r="H51" s="622"/>
      <c r="I51" s="982"/>
      <c r="J51" s="622"/>
      <c r="K51" s="982"/>
      <c r="L51" s="622"/>
      <c r="M51" s="982"/>
      <c r="N51" s="622"/>
      <c r="O51" s="982"/>
      <c r="P51" s="880"/>
      <c r="Q51" s="1525"/>
      <c r="R51" s="613"/>
      <c r="S51" s="162"/>
      <c r="T51" s="1956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s="224" customFormat="1" ht="15" customHeight="1" x14ac:dyDescent="0.25">
      <c r="A52" s="247">
        <v>45483</v>
      </c>
      <c r="B52" s="882" t="s">
        <v>6453</v>
      </c>
      <c r="C52" s="879" t="s">
        <v>12</v>
      </c>
      <c r="D52" s="879"/>
      <c r="E52" s="875"/>
      <c r="F52" s="780"/>
      <c r="G52" s="982">
        <v>1045.54</v>
      </c>
      <c r="H52" s="1008"/>
      <c r="I52" s="1063"/>
      <c r="J52" s="622"/>
      <c r="K52" s="982"/>
      <c r="L52" s="622"/>
      <c r="M52" s="982"/>
      <c r="N52" s="622"/>
      <c r="O52" s="982"/>
      <c r="P52" s="622">
        <v>1045.54</v>
      </c>
      <c r="Q52" s="1063"/>
      <c r="R52" s="622"/>
      <c r="S52" s="982"/>
      <c r="T52" s="861"/>
    </row>
    <row r="53" spans="1:44" s="224" customFormat="1" ht="15" customHeight="1" x14ac:dyDescent="0.25">
      <c r="A53" s="247">
        <v>45483</v>
      </c>
      <c r="B53" s="882" t="s">
        <v>6208</v>
      </c>
      <c r="C53" s="879" t="s">
        <v>12</v>
      </c>
      <c r="D53" s="879"/>
      <c r="E53" s="875" t="s">
        <v>13</v>
      </c>
      <c r="F53" s="780">
        <v>1045.54</v>
      </c>
      <c r="G53" s="982"/>
      <c r="H53" s="1008"/>
      <c r="I53" s="1063"/>
      <c r="J53" s="622"/>
      <c r="K53" s="982">
        <v>1045.54</v>
      </c>
      <c r="L53" s="622"/>
      <c r="M53" s="982"/>
      <c r="N53" s="622"/>
      <c r="O53" s="982"/>
      <c r="P53" s="622"/>
      <c r="Q53" s="1063"/>
      <c r="R53" s="622"/>
      <c r="S53" s="982"/>
      <c r="T53" s="861"/>
    </row>
    <row r="54" spans="1:44" s="224" customFormat="1" ht="15" customHeight="1" x14ac:dyDescent="0.25">
      <c r="A54" s="247">
        <v>45483</v>
      </c>
      <c r="B54" s="882" t="s">
        <v>6258</v>
      </c>
      <c r="C54" s="879" t="s">
        <v>12</v>
      </c>
      <c r="D54" s="879"/>
      <c r="E54" s="875" t="s">
        <v>13</v>
      </c>
      <c r="F54" s="780"/>
      <c r="G54" s="982">
        <v>57</v>
      </c>
      <c r="H54" s="95"/>
      <c r="I54" s="1064"/>
      <c r="J54" s="613">
        <v>57</v>
      </c>
      <c r="K54" s="982"/>
      <c r="L54" s="622"/>
      <c r="M54" s="982"/>
      <c r="N54" s="622"/>
      <c r="O54" s="982"/>
      <c r="P54" s="622"/>
      <c r="Q54" s="1063"/>
      <c r="R54" s="622"/>
      <c r="S54" s="982"/>
      <c r="T54" s="861"/>
    </row>
    <row r="55" spans="1:44" s="224" customFormat="1" x14ac:dyDescent="0.25">
      <c r="A55" s="247">
        <v>45483</v>
      </c>
      <c r="B55" s="1275" t="s">
        <v>6648</v>
      </c>
      <c r="C55" s="879" t="s">
        <v>12</v>
      </c>
      <c r="D55" s="1276" t="s">
        <v>1524</v>
      </c>
      <c r="E55" s="1286" t="s">
        <v>13</v>
      </c>
      <c r="F55" s="780">
        <v>57</v>
      </c>
      <c r="G55" s="982"/>
      <c r="H55" s="1008"/>
      <c r="I55" s="1063"/>
      <c r="J55" s="622"/>
      <c r="K55" s="982"/>
      <c r="L55" s="622"/>
      <c r="M55" s="982"/>
      <c r="N55" s="622"/>
      <c r="O55" s="982"/>
      <c r="P55" s="622"/>
      <c r="Q55" s="1063"/>
      <c r="R55" s="622"/>
      <c r="S55" s="982"/>
      <c r="T55" s="1028"/>
      <c r="V55" s="878"/>
    </row>
    <row r="56" spans="1:44" s="224" customFormat="1" ht="15" customHeight="1" x14ac:dyDescent="0.25">
      <c r="A56" s="247">
        <v>45484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22</v>
      </c>
      <c r="G56" s="982"/>
      <c r="H56" s="622"/>
      <c r="I56" s="982"/>
      <c r="J56" s="622"/>
      <c r="K56" s="982"/>
      <c r="L56" s="622"/>
      <c r="M56" s="982"/>
      <c r="N56" s="622"/>
      <c r="O56" s="982"/>
      <c r="P56" s="880"/>
      <c r="Q56" s="1525"/>
      <c r="R56" s="613"/>
      <c r="S56" s="162"/>
      <c r="T56" s="19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ht="15" customHeight="1" x14ac:dyDescent="0.25">
      <c r="A57" s="247">
        <v>45484</v>
      </c>
      <c r="B57" s="882" t="s">
        <v>81</v>
      </c>
      <c r="C57" s="879" t="s">
        <v>12</v>
      </c>
      <c r="D57" s="879" t="s">
        <v>1493</v>
      </c>
      <c r="E57" s="875" t="s">
        <v>13</v>
      </c>
      <c r="F57" s="1873">
        <v>6</v>
      </c>
      <c r="G57" s="982"/>
      <c r="H57" s="95"/>
      <c r="I57" s="1064"/>
      <c r="J57" s="613"/>
      <c r="K57" s="982"/>
      <c r="L57" s="622"/>
      <c r="M57" s="982"/>
      <c r="N57" s="622"/>
      <c r="O57" s="982"/>
      <c r="P57" s="622"/>
      <c r="Q57" s="1063"/>
      <c r="R57" s="622"/>
      <c r="S57" s="982"/>
      <c r="T57" s="861"/>
    </row>
    <row r="58" spans="1:44" s="224" customFormat="1" ht="15" customHeight="1" x14ac:dyDescent="0.25">
      <c r="A58" s="247">
        <v>45484</v>
      </c>
      <c r="B58" s="882" t="s">
        <v>6258</v>
      </c>
      <c r="C58" s="879" t="s">
        <v>12</v>
      </c>
      <c r="D58" s="879"/>
      <c r="E58" s="875" t="s">
        <v>13</v>
      </c>
      <c r="F58" s="780"/>
      <c r="G58" s="982">
        <v>672.88</v>
      </c>
      <c r="H58" s="1008"/>
      <c r="I58" s="1063"/>
      <c r="J58" s="613">
        <v>672.88</v>
      </c>
      <c r="K58" s="982"/>
      <c r="L58" s="622"/>
      <c r="M58" s="982"/>
      <c r="N58" s="622"/>
      <c r="O58" s="982"/>
      <c r="P58" s="622"/>
      <c r="Q58" s="1063"/>
      <c r="R58" s="622"/>
      <c r="S58" s="982"/>
      <c r="T58" s="861"/>
    </row>
    <row r="59" spans="1:44" s="224" customFormat="1" x14ac:dyDescent="0.25">
      <c r="A59" s="247">
        <v>45484</v>
      </c>
      <c r="B59" s="1275" t="s">
        <v>6649</v>
      </c>
      <c r="C59" s="879" t="s">
        <v>12</v>
      </c>
      <c r="D59" s="1276" t="s">
        <v>1524</v>
      </c>
      <c r="E59" s="1286" t="s">
        <v>13</v>
      </c>
      <c r="F59" s="780">
        <v>672.88</v>
      </c>
      <c r="G59" s="982"/>
      <c r="H59" s="1008"/>
      <c r="I59" s="1063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1028"/>
      <c r="V59" s="878"/>
    </row>
    <row r="60" spans="1:44" s="224" customFormat="1" ht="15" customHeight="1" x14ac:dyDescent="0.25">
      <c r="A60" s="247">
        <v>45484</v>
      </c>
      <c r="B60" s="1275" t="s">
        <v>443</v>
      </c>
      <c r="C60" s="1276" t="s">
        <v>12</v>
      </c>
      <c r="D60" s="1276" t="s">
        <v>1493</v>
      </c>
      <c r="E60" s="1286" t="s">
        <v>13</v>
      </c>
      <c r="F60" s="613">
        <v>7.9</v>
      </c>
      <c r="G60" s="967"/>
      <c r="H60" s="1008"/>
      <c r="I60" s="1063"/>
      <c r="J60" s="622"/>
      <c r="K60" s="982"/>
      <c r="L60" s="613"/>
      <c r="M60" s="6"/>
      <c r="N60" s="622"/>
      <c r="O60" s="982"/>
      <c r="P60" s="622"/>
      <c r="Q60" s="1063"/>
      <c r="R60" s="613"/>
      <c r="S60" s="64"/>
      <c r="T60" s="1209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</row>
    <row r="61" spans="1:44" s="224" customFormat="1" ht="15" customHeight="1" x14ac:dyDescent="0.25">
      <c r="A61" s="247">
        <v>45485</v>
      </c>
      <c r="B61" s="882" t="s">
        <v>32</v>
      </c>
      <c r="C61" s="879" t="s">
        <v>12</v>
      </c>
      <c r="D61" s="879" t="s">
        <v>1485</v>
      </c>
      <c r="E61" s="875" t="s">
        <v>13</v>
      </c>
      <c r="F61" s="780">
        <v>22</v>
      </c>
      <c r="G61" s="982"/>
      <c r="H61" s="622"/>
      <c r="I61" s="982"/>
      <c r="J61" s="622"/>
      <c r="K61" s="982"/>
      <c r="L61" s="622"/>
      <c r="M61" s="982"/>
      <c r="N61" s="622"/>
      <c r="O61" s="982"/>
      <c r="P61" s="880"/>
      <c r="Q61" s="1525"/>
      <c r="R61" s="613"/>
      <c r="S61" s="162"/>
      <c r="T61" s="1956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5" customHeight="1" x14ac:dyDescent="0.25">
      <c r="A62" s="247">
        <v>45485</v>
      </c>
      <c r="B62" s="882" t="s">
        <v>81</v>
      </c>
      <c r="C62" s="879" t="s">
        <v>12</v>
      </c>
      <c r="D62" s="879" t="s">
        <v>1493</v>
      </c>
      <c r="E62" s="875" t="s">
        <v>13</v>
      </c>
      <c r="F62" s="1873">
        <v>6</v>
      </c>
      <c r="G62" s="982"/>
      <c r="H62" s="95"/>
      <c r="I62" s="1064"/>
      <c r="J62" s="613"/>
      <c r="K62" s="982"/>
      <c r="L62" s="622"/>
      <c r="M62" s="982"/>
      <c r="N62" s="622"/>
      <c r="O62" s="982"/>
      <c r="P62" s="622"/>
      <c r="Q62" s="1063"/>
      <c r="R62" s="622"/>
      <c r="S62" s="982"/>
      <c r="T62" s="861"/>
    </row>
    <row r="63" spans="1:44" s="224" customFormat="1" ht="15" customHeight="1" x14ac:dyDescent="0.25">
      <c r="A63" s="247">
        <v>45486</v>
      </c>
      <c r="B63" s="882" t="s">
        <v>2595</v>
      </c>
      <c r="C63" s="879" t="s">
        <v>12</v>
      </c>
      <c r="D63" s="879" t="s">
        <v>1506</v>
      </c>
      <c r="E63" s="871" t="s">
        <v>13</v>
      </c>
      <c r="F63" s="780">
        <v>10</v>
      </c>
      <c r="G63" s="946"/>
      <c r="H63" s="95"/>
      <c r="I63" s="1064"/>
      <c r="J63" s="622"/>
      <c r="K63" s="982"/>
      <c r="L63" s="622"/>
      <c r="M63" s="982"/>
      <c r="N63" s="622"/>
      <c r="O63" s="982"/>
      <c r="P63" s="622"/>
      <c r="Q63" s="1525"/>
      <c r="R63" s="1110"/>
      <c r="S63" s="1208"/>
      <c r="T63" s="1028"/>
      <c r="W63" s="958"/>
    </row>
    <row r="64" spans="1:44" s="224" customFormat="1" ht="15" customHeight="1" x14ac:dyDescent="0.25">
      <c r="A64" s="247">
        <v>45486</v>
      </c>
      <c r="B64" s="364" t="s">
        <v>82</v>
      </c>
      <c r="C64" s="350" t="s">
        <v>12</v>
      </c>
      <c r="D64" s="350" t="s">
        <v>1493</v>
      </c>
      <c r="E64" s="875" t="s">
        <v>13</v>
      </c>
      <c r="F64" s="780">
        <v>54.9</v>
      </c>
      <c r="G64" s="982"/>
      <c r="H64" s="622"/>
      <c r="I64" s="982"/>
      <c r="J64" s="622"/>
      <c r="K64" s="982"/>
      <c r="L64" s="622"/>
      <c r="M64" s="982"/>
      <c r="N64" s="622"/>
      <c r="O64" s="982"/>
      <c r="P64" s="622"/>
      <c r="Q64" s="1063"/>
      <c r="R64" s="622"/>
      <c r="S64" s="982"/>
      <c r="T64" s="927"/>
      <c r="U64" s="927"/>
      <c r="V64" s="878"/>
    </row>
    <row r="65" spans="1:44" s="224" customFormat="1" ht="15" customHeight="1" x14ac:dyDescent="0.25">
      <c r="A65" s="247">
        <v>45487</v>
      </c>
      <c r="B65" s="882" t="s">
        <v>14</v>
      </c>
      <c r="C65" s="879" t="s">
        <v>12</v>
      </c>
      <c r="D65" s="879" t="s">
        <v>1486</v>
      </c>
      <c r="E65" s="480" t="s">
        <v>13</v>
      </c>
      <c r="F65" s="780">
        <v>8.64</v>
      </c>
      <c r="G65" s="982"/>
      <c r="H65" s="622"/>
      <c r="I65" s="982"/>
      <c r="J65" s="622"/>
      <c r="K65" s="982"/>
      <c r="L65" s="622"/>
      <c r="M65" s="982"/>
      <c r="N65" s="622"/>
      <c r="O65" s="982"/>
      <c r="P65" s="622"/>
      <c r="Q65" s="1063"/>
      <c r="R65" s="622"/>
      <c r="S65" s="982"/>
      <c r="T65" s="927"/>
      <c r="U65" s="927"/>
      <c r="V65" s="878"/>
    </row>
    <row r="66" spans="1:44" s="224" customFormat="1" ht="15" customHeight="1" x14ac:dyDescent="0.25">
      <c r="A66" s="247">
        <v>45487</v>
      </c>
      <c r="B66" s="1275" t="s">
        <v>6667</v>
      </c>
      <c r="C66" s="1276" t="s">
        <v>12</v>
      </c>
      <c r="D66" s="1276" t="s">
        <v>1493</v>
      </c>
      <c r="E66" s="1286" t="s">
        <v>13</v>
      </c>
      <c r="F66" s="613">
        <v>54.54</v>
      </c>
      <c r="G66" s="967"/>
      <c r="H66" s="1008"/>
      <c r="I66" s="1063"/>
      <c r="J66" s="1116"/>
      <c r="K66" s="1207"/>
      <c r="L66" s="613"/>
      <c r="M66" s="6"/>
      <c r="N66" s="622"/>
      <c r="O66" s="982"/>
      <c r="P66" s="622"/>
      <c r="Q66" s="1063"/>
      <c r="R66" s="613"/>
      <c r="S66" s="64"/>
      <c r="T66" s="1209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</row>
    <row r="67" spans="1:44" s="224" customFormat="1" ht="15" customHeight="1" x14ac:dyDescent="0.25">
      <c r="A67" s="247">
        <v>45487</v>
      </c>
      <c r="B67" s="1275" t="s">
        <v>6666</v>
      </c>
      <c r="C67" s="1276" t="s">
        <v>12</v>
      </c>
      <c r="D67" s="1276" t="s">
        <v>1493</v>
      </c>
      <c r="E67" s="1286" t="s">
        <v>13</v>
      </c>
      <c r="F67" s="613">
        <v>15.8</v>
      </c>
      <c r="G67" s="967"/>
      <c r="H67" s="1008"/>
      <c r="I67" s="1063"/>
      <c r="J67" s="1116"/>
      <c r="K67" s="1207"/>
      <c r="L67" s="613"/>
      <c r="M67" s="6"/>
      <c r="N67" s="622"/>
      <c r="O67" s="982"/>
      <c r="P67" s="622"/>
      <c r="Q67" s="1063"/>
      <c r="R67" s="613"/>
      <c r="S67" s="64"/>
      <c r="T67" s="1209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</row>
    <row r="68" spans="1:44" s="224" customFormat="1" ht="15" customHeight="1" x14ac:dyDescent="0.25">
      <c r="A68" s="247">
        <v>45487</v>
      </c>
      <c r="B68" s="1275" t="s">
        <v>103</v>
      </c>
      <c r="C68" s="1276" t="s">
        <v>12</v>
      </c>
      <c r="D68" s="1276" t="s">
        <v>1489</v>
      </c>
      <c r="E68" s="1286" t="s">
        <v>13</v>
      </c>
      <c r="F68" s="613">
        <v>18</v>
      </c>
      <c r="G68" s="967"/>
      <c r="H68" s="1008"/>
      <c r="I68" s="1063"/>
      <c r="J68" s="1116"/>
      <c r="K68" s="1207"/>
      <c r="L68" s="613"/>
      <c r="M68" s="6"/>
      <c r="N68" s="622"/>
      <c r="O68" s="982"/>
      <c r="P68" s="622"/>
      <c r="Q68" s="1063"/>
      <c r="R68" s="613"/>
      <c r="S68" s="64"/>
      <c r="T68" s="1209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ht="15" customHeight="1" x14ac:dyDescent="0.25">
      <c r="A69" s="247">
        <v>45488</v>
      </c>
      <c r="B69" s="882" t="s">
        <v>6329</v>
      </c>
      <c r="C69" s="879" t="s">
        <v>12</v>
      </c>
      <c r="D69" s="879"/>
      <c r="E69" s="875" t="s">
        <v>25</v>
      </c>
      <c r="F69" s="780"/>
      <c r="G69" s="982">
        <v>100</v>
      </c>
      <c r="H69" s="622"/>
      <c r="I69" s="982"/>
      <c r="J69" s="622"/>
      <c r="K69" s="982"/>
      <c r="L69" s="622"/>
      <c r="M69" s="982"/>
      <c r="N69" s="622"/>
      <c r="O69" s="982"/>
      <c r="P69" s="880"/>
      <c r="Q69" s="1525"/>
      <c r="R69" s="613"/>
      <c r="S69" s="162"/>
      <c r="T69" s="1956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</row>
    <row r="70" spans="1:44" s="224" customFormat="1" ht="14.25" customHeight="1" x14ac:dyDescent="0.25">
      <c r="A70" s="247">
        <v>45488</v>
      </c>
      <c r="B70" s="882" t="s">
        <v>2789</v>
      </c>
      <c r="C70" s="879" t="s">
        <v>12</v>
      </c>
      <c r="D70" s="879" t="s">
        <v>1485</v>
      </c>
      <c r="E70" s="875" t="s">
        <v>13</v>
      </c>
      <c r="F70" s="1873">
        <v>11.5</v>
      </c>
      <c r="G70" s="982"/>
      <c r="H70" s="1031"/>
      <c r="I70" s="1525"/>
      <c r="J70" s="622"/>
      <c r="K70" s="982"/>
      <c r="L70" s="872"/>
      <c r="M70" s="1207"/>
      <c r="N70" s="880"/>
      <c r="O70" s="1033"/>
      <c r="P70" s="880"/>
      <c r="Q70" s="1525"/>
      <c r="R70" s="613"/>
      <c r="S70" s="162"/>
      <c r="T70" s="1209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</row>
    <row r="71" spans="1:44" s="224" customFormat="1" ht="15" customHeight="1" x14ac:dyDescent="0.25">
      <c r="A71" s="247">
        <v>45489</v>
      </c>
      <c r="B71" s="882" t="s">
        <v>6258</v>
      </c>
      <c r="C71" s="879" t="s">
        <v>12</v>
      </c>
      <c r="D71" s="879"/>
      <c r="E71" s="875" t="s">
        <v>13</v>
      </c>
      <c r="F71" s="780"/>
      <c r="G71" s="982">
        <v>113.7</v>
      </c>
      <c r="H71" s="1008"/>
      <c r="I71" s="1063"/>
      <c r="J71" s="613">
        <v>113.7</v>
      </c>
      <c r="K71" s="982"/>
      <c r="L71" s="622"/>
      <c r="M71" s="982"/>
      <c r="N71" s="622"/>
      <c r="O71" s="982"/>
      <c r="P71" s="622"/>
      <c r="Q71" s="1063"/>
      <c r="R71" s="622"/>
      <c r="S71" s="982"/>
      <c r="T71" s="861"/>
    </row>
    <row r="72" spans="1:44" s="224" customFormat="1" x14ac:dyDescent="0.25">
      <c r="A72" s="247">
        <v>45489</v>
      </c>
      <c r="B72" s="1275" t="s">
        <v>6681</v>
      </c>
      <c r="C72" s="879" t="s">
        <v>12</v>
      </c>
      <c r="D72" s="1276" t="s">
        <v>1524</v>
      </c>
      <c r="E72" s="1286" t="s">
        <v>13</v>
      </c>
      <c r="F72" s="780">
        <v>113.7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1028" t="s">
        <v>6542</v>
      </c>
      <c r="V72" s="878"/>
    </row>
    <row r="73" spans="1:44" s="224" customFormat="1" ht="15" customHeight="1" x14ac:dyDescent="0.25">
      <c r="A73" s="247">
        <v>45489</v>
      </c>
      <c r="B73" s="882" t="s">
        <v>32</v>
      </c>
      <c r="C73" s="879" t="s">
        <v>12</v>
      </c>
      <c r="D73" s="879" t="s">
        <v>1485</v>
      </c>
      <c r="E73" s="875" t="s">
        <v>13</v>
      </c>
      <c r="F73" s="780">
        <v>22</v>
      </c>
      <c r="G73" s="982"/>
      <c r="H73" s="622"/>
      <c r="I73" s="982"/>
      <c r="J73" s="622"/>
      <c r="K73" s="982"/>
      <c r="L73" s="622"/>
      <c r="M73" s="982"/>
      <c r="N73" s="622"/>
      <c r="O73" s="982"/>
      <c r="P73" s="880"/>
      <c r="Q73" s="1525"/>
      <c r="R73" s="613"/>
      <c r="S73" s="162"/>
      <c r="T73" s="1956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45489</v>
      </c>
      <c r="B74" s="882" t="s">
        <v>6258</v>
      </c>
      <c r="C74" s="879" t="s">
        <v>12</v>
      </c>
      <c r="D74" s="879"/>
      <c r="E74" s="875" t="s">
        <v>13</v>
      </c>
      <c r="F74" s="780"/>
      <c r="G74" s="982">
        <v>142.80000000000001</v>
      </c>
      <c r="H74" s="1008"/>
      <c r="I74" s="1063"/>
      <c r="J74" s="613">
        <v>142.80000000000001</v>
      </c>
      <c r="K74" s="982"/>
      <c r="L74" s="622"/>
      <c r="M74" s="982"/>
      <c r="N74" s="622"/>
      <c r="O74" s="982"/>
      <c r="P74" s="622"/>
      <c r="Q74" s="1063"/>
      <c r="R74" s="622"/>
      <c r="S74" s="982"/>
      <c r="T74" s="861"/>
    </row>
    <row r="75" spans="1:44" s="224" customFormat="1" x14ac:dyDescent="0.25">
      <c r="A75" s="247">
        <v>45489</v>
      </c>
      <c r="B75" s="1275" t="s">
        <v>6686</v>
      </c>
      <c r="C75" s="879" t="s">
        <v>12</v>
      </c>
      <c r="D75" s="1276" t="s">
        <v>1524</v>
      </c>
      <c r="E75" s="1286" t="s">
        <v>13</v>
      </c>
      <c r="F75" s="780">
        <v>142.80000000000001</v>
      </c>
      <c r="G75" s="982"/>
      <c r="H75" s="1008"/>
      <c r="I75" s="1063"/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1028" t="s">
        <v>6542</v>
      </c>
      <c r="V75" s="878"/>
    </row>
    <row r="76" spans="1:44" s="224" customFormat="1" ht="15" customHeight="1" x14ac:dyDescent="0.25">
      <c r="A76" s="247">
        <v>45489</v>
      </c>
      <c r="B76" s="364" t="s">
        <v>1331</v>
      </c>
      <c r="C76" s="350" t="s">
        <v>12</v>
      </c>
      <c r="D76" s="350" t="s">
        <v>2157</v>
      </c>
      <c r="E76" s="875" t="s">
        <v>13</v>
      </c>
      <c r="F76" s="780">
        <v>60</v>
      </c>
      <c r="G76" s="966"/>
      <c r="H76" s="1031"/>
      <c r="I76" s="1525"/>
      <c r="J76" s="622"/>
      <c r="K76" s="982"/>
      <c r="L76" s="872"/>
      <c r="M76" s="1207"/>
      <c r="N76" s="880"/>
      <c r="O76" s="1033"/>
      <c r="P76" s="880"/>
      <c r="Q76" s="1525"/>
      <c r="R76" s="613"/>
      <c r="S76" s="162"/>
      <c r="T76" s="1209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</row>
    <row r="77" spans="1:44" s="224" customFormat="1" ht="15" customHeight="1" x14ac:dyDescent="0.25">
      <c r="A77" s="247">
        <v>45489</v>
      </c>
      <c r="B77" s="882" t="s">
        <v>14</v>
      </c>
      <c r="C77" s="879" t="s">
        <v>12</v>
      </c>
      <c r="D77" s="879" t="s">
        <v>1486</v>
      </c>
      <c r="E77" s="480" t="s">
        <v>5470</v>
      </c>
      <c r="F77" s="613">
        <v>5.47</v>
      </c>
      <c r="G77" s="967"/>
      <c r="H77" s="1008"/>
      <c r="I77" s="1063"/>
      <c r="J77" s="1116"/>
      <c r="K77" s="1207"/>
      <c r="L77" s="613"/>
      <c r="M77" s="6"/>
      <c r="N77" s="622"/>
      <c r="O77" s="982"/>
      <c r="P77" s="622"/>
      <c r="Q77" s="1063"/>
      <c r="R77" s="613"/>
      <c r="S77" s="64"/>
      <c r="T77" s="1209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 s="224" customFormat="1" ht="15" customHeight="1" x14ac:dyDescent="0.25">
      <c r="A78" s="247">
        <v>45490</v>
      </c>
      <c r="B78" s="882" t="s">
        <v>32</v>
      </c>
      <c r="C78" s="879" t="s">
        <v>12</v>
      </c>
      <c r="D78" s="879" t="s">
        <v>1485</v>
      </c>
      <c r="E78" s="875" t="s">
        <v>13</v>
      </c>
      <c r="F78" s="780">
        <v>22</v>
      </c>
      <c r="G78" s="982"/>
      <c r="H78" s="622"/>
      <c r="I78" s="982"/>
      <c r="J78" s="1116"/>
      <c r="K78" s="1207"/>
      <c r="L78" s="622"/>
      <c r="M78" s="982"/>
      <c r="N78" s="853"/>
      <c r="O78" s="982"/>
      <c r="P78" s="622"/>
      <c r="Q78" s="1063"/>
      <c r="R78" s="622"/>
      <c r="S78" s="982"/>
      <c r="T78" s="927"/>
      <c r="U78" s="927"/>
      <c r="V78" s="878"/>
    </row>
    <row r="79" spans="1:44" s="224" customFormat="1" ht="15" customHeight="1" x14ac:dyDescent="0.25">
      <c r="A79" s="247">
        <v>45490</v>
      </c>
      <c r="B79" s="882" t="s">
        <v>81</v>
      </c>
      <c r="C79" s="879" t="s">
        <v>12</v>
      </c>
      <c r="D79" s="879" t="s">
        <v>1493</v>
      </c>
      <c r="E79" s="875" t="s">
        <v>13</v>
      </c>
      <c r="F79" s="1873">
        <v>6</v>
      </c>
      <c r="G79" s="967"/>
      <c r="H79" s="1008"/>
      <c r="I79" s="1063"/>
      <c r="J79" s="622"/>
      <c r="K79" s="982"/>
      <c r="L79" s="1116"/>
      <c r="M79" s="1207"/>
      <c r="N79" s="1968"/>
      <c r="O79" s="1033"/>
      <c r="P79" s="880"/>
      <c r="Q79" s="1525"/>
      <c r="R79" s="613"/>
      <c r="S79" s="162"/>
      <c r="T79" s="120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</row>
    <row r="80" spans="1:44" s="224" customFormat="1" ht="15" customHeight="1" x14ac:dyDescent="0.25">
      <c r="A80" s="247">
        <v>45491</v>
      </c>
      <c r="B80" s="882" t="s">
        <v>32</v>
      </c>
      <c r="C80" s="879" t="s">
        <v>12</v>
      </c>
      <c r="D80" s="879" t="s">
        <v>1485</v>
      </c>
      <c r="E80" s="875" t="s">
        <v>13</v>
      </c>
      <c r="F80" s="780">
        <v>22</v>
      </c>
      <c r="G80" s="967"/>
      <c r="H80" s="1008"/>
      <c r="I80" s="1063"/>
      <c r="J80" s="622"/>
      <c r="K80" s="982"/>
      <c r="L80" s="613"/>
      <c r="M80" s="6"/>
      <c r="N80" s="622"/>
      <c r="O80" s="982"/>
      <c r="P80" s="622"/>
      <c r="Q80" s="1063"/>
      <c r="R80" s="613"/>
      <c r="S80" s="162"/>
      <c r="T80" s="1209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 s="224" customFormat="1" ht="14.25" customHeight="1" x14ac:dyDescent="0.25">
      <c r="A81" s="247">
        <v>45492</v>
      </c>
      <c r="B81" s="882" t="s">
        <v>6655</v>
      </c>
      <c r="C81" s="350" t="s">
        <v>12</v>
      </c>
      <c r="D81" s="350"/>
      <c r="E81" s="480" t="s">
        <v>25</v>
      </c>
      <c r="F81" s="622"/>
      <c r="G81" s="982">
        <v>2236.5</v>
      </c>
      <c r="H81" s="1008"/>
      <c r="I81" s="1063"/>
      <c r="J81" s="622"/>
      <c r="K81" s="982"/>
      <c r="L81" s="622"/>
      <c r="M81" s="982"/>
      <c r="N81" s="622"/>
      <c r="O81" s="982"/>
      <c r="P81" s="622"/>
      <c r="Q81" s="1063"/>
      <c r="R81" s="622"/>
      <c r="S81" s="982"/>
      <c r="T81" s="861"/>
    </row>
    <row r="82" spans="1:44" s="224" customFormat="1" ht="15" customHeight="1" x14ac:dyDescent="0.25">
      <c r="A82" s="247">
        <v>45492</v>
      </c>
      <c r="B82" s="364" t="s">
        <v>6612</v>
      </c>
      <c r="C82" s="879" t="s">
        <v>12</v>
      </c>
      <c r="D82" s="879"/>
      <c r="E82" s="983" t="s">
        <v>25</v>
      </c>
      <c r="F82" s="780"/>
      <c r="G82" s="982"/>
      <c r="H82" s="622"/>
      <c r="I82" s="982"/>
      <c r="J82" s="2013"/>
      <c r="K82" s="1207"/>
      <c r="L82" s="622"/>
      <c r="M82" s="982"/>
      <c r="N82" s="622"/>
      <c r="O82" s="982"/>
      <c r="P82" s="622"/>
      <c r="Q82" s="1063"/>
      <c r="R82" s="622"/>
      <c r="S82" s="982">
        <v>447.3</v>
      </c>
      <c r="T82" s="927"/>
      <c r="U82" s="927"/>
      <c r="V82" s="878"/>
    </row>
    <row r="83" spans="1:44" s="224" customFormat="1" ht="15" customHeight="1" x14ac:dyDescent="0.25">
      <c r="A83" s="247">
        <v>45492</v>
      </c>
      <c r="B83" s="364" t="s">
        <v>3354</v>
      </c>
      <c r="C83" s="350" t="s">
        <v>12</v>
      </c>
      <c r="D83" s="350"/>
      <c r="E83" s="145" t="s">
        <v>25</v>
      </c>
      <c r="F83" s="613"/>
      <c r="G83" s="967"/>
      <c r="H83" s="1008"/>
      <c r="I83" s="1063"/>
      <c r="J83" s="622"/>
      <c r="K83" s="982"/>
      <c r="L83" s="1116"/>
      <c r="M83" s="1207"/>
      <c r="N83" s="880"/>
      <c r="O83" s="1033"/>
      <c r="P83" s="880"/>
      <c r="Q83" s="1525"/>
      <c r="R83" s="613"/>
      <c r="S83" s="162">
        <v>152.94999999999999</v>
      </c>
      <c r="T83" s="2018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 s="224" customFormat="1" ht="15" customHeight="1" x14ac:dyDescent="0.25">
      <c r="A84" s="247">
        <v>45492</v>
      </c>
      <c r="B84" s="862" t="s">
        <v>2867</v>
      </c>
      <c r="C84" s="350" t="s">
        <v>12</v>
      </c>
      <c r="D84" s="874" t="s">
        <v>1504</v>
      </c>
      <c r="E84" s="887" t="s">
        <v>13</v>
      </c>
      <c r="F84" s="780">
        <v>30</v>
      </c>
      <c r="G84" s="982"/>
      <c r="H84" s="1009"/>
      <c r="I84" s="1063"/>
      <c r="J84" s="622"/>
      <c r="K84" s="982"/>
      <c r="L84" s="853"/>
      <c r="M84" s="982"/>
      <c r="N84" s="853"/>
      <c r="O84" s="982"/>
      <c r="P84" s="853"/>
      <c r="Q84" s="1063"/>
      <c r="R84" s="622"/>
      <c r="S84" s="982"/>
      <c r="T84" s="1690"/>
      <c r="U84" s="1690"/>
      <c r="V84" s="1690"/>
      <c r="W84" s="1690"/>
      <c r="X84" s="1690"/>
      <c r="Y84" s="1690"/>
      <c r="Z84" s="1690"/>
      <c r="AA84" s="1690"/>
      <c r="AB84" s="1690"/>
    </row>
    <row r="85" spans="1:44" s="224" customFormat="1" ht="14.25" customHeight="1" x14ac:dyDescent="0.25">
      <c r="A85" s="247">
        <v>45492</v>
      </c>
      <c r="B85" s="364" t="s">
        <v>2977</v>
      </c>
      <c r="C85" s="350" t="s">
        <v>12</v>
      </c>
      <c r="D85" s="350" t="s">
        <v>1491</v>
      </c>
      <c r="E85" s="875" t="s">
        <v>13</v>
      </c>
      <c r="F85" s="780">
        <v>400</v>
      </c>
      <c r="G85" s="982"/>
      <c r="H85" s="1008"/>
      <c r="I85" s="1063"/>
      <c r="J85" s="622"/>
      <c r="K85" s="982"/>
      <c r="L85" s="622"/>
      <c r="M85" s="982"/>
      <c r="N85" s="622"/>
      <c r="O85" s="982"/>
      <c r="P85" s="622"/>
      <c r="Q85" s="1063"/>
      <c r="R85" s="622"/>
      <c r="S85" s="982"/>
      <c r="T85" s="1029"/>
      <c r="U85" s="89"/>
      <c r="V85" s="930"/>
    </row>
    <row r="86" spans="1:44" s="224" customFormat="1" ht="15" customHeight="1" x14ac:dyDescent="0.25">
      <c r="A86" s="247">
        <v>45492</v>
      </c>
      <c r="B86" s="349" t="s">
        <v>6540</v>
      </c>
      <c r="C86" s="887" t="s">
        <v>12</v>
      </c>
      <c r="D86" s="350" t="s">
        <v>1489</v>
      </c>
      <c r="E86" s="887" t="s">
        <v>13</v>
      </c>
      <c r="F86" s="613">
        <v>65</v>
      </c>
      <c r="G86" s="982"/>
      <c r="H86" s="872"/>
      <c r="I86" s="1063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1080" t="s">
        <v>6691</v>
      </c>
      <c r="U86" s="999"/>
      <c r="V86" s="878"/>
    </row>
    <row r="87" spans="1:44" s="224" customFormat="1" ht="15" customHeight="1" x14ac:dyDescent="0.25">
      <c r="A87" s="247">
        <v>45492</v>
      </c>
      <c r="B87" s="349" t="s">
        <v>6540</v>
      </c>
      <c r="C87" s="887" t="s">
        <v>12</v>
      </c>
      <c r="D87" s="350" t="s">
        <v>1522</v>
      </c>
      <c r="E87" s="887" t="s">
        <v>13</v>
      </c>
      <c r="F87" s="613">
        <v>56.67</v>
      </c>
      <c r="G87" s="982"/>
      <c r="H87" s="872"/>
      <c r="I87" s="1063"/>
      <c r="J87" s="622"/>
      <c r="K87" s="982"/>
      <c r="L87" s="622"/>
      <c r="M87" s="982"/>
      <c r="N87" s="622"/>
      <c r="O87" s="982"/>
      <c r="P87" s="622"/>
      <c r="Q87" s="1063"/>
      <c r="R87" s="622"/>
      <c r="S87" s="982"/>
      <c r="T87" s="927"/>
      <c r="U87" s="999"/>
      <c r="V87" s="878"/>
    </row>
    <row r="88" spans="1:44" s="224" customFormat="1" ht="15" customHeight="1" x14ac:dyDescent="0.25">
      <c r="A88" s="247">
        <v>45492</v>
      </c>
      <c r="B88" s="349" t="s">
        <v>6540</v>
      </c>
      <c r="C88" s="887" t="s">
        <v>12</v>
      </c>
      <c r="D88" s="350" t="s">
        <v>1491</v>
      </c>
      <c r="E88" s="887" t="s">
        <v>13</v>
      </c>
      <c r="F88" s="613">
        <v>31.9</v>
      </c>
      <c r="G88" s="982"/>
      <c r="H88" s="872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927"/>
      <c r="U88" s="999"/>
      <c r="V88" s="878"/>
    </row>
    <row r="89" spans="1:44" s="224" customFormat="1" ht="15" customHeight="1" x14ac:dyDescent="0.25">
      <c r="A89" s="247">
        <v>45492</v>
      </c>
      <c r="B89" s="349" t="s">
        <v>6540</v>
      </c>
      <c r="C89" s="887" t="s">
        <v>12</v>
      </c>
      <c r="D89" s="350" t="s">
        <v>1524</v>
      </c>
      <c r="E89" s="887" t="s">
        <v>13</v>
      </c>
      <c r="F89" s="613">
        <v>580</v>
      </c>
      <c r="G89" s="982"/>
      <c r="H89" s="872"/>
      <c r="I89" s="1063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927"/>
      <c r="U89" s="999"/>
      <c r="V89" s="878"/>
    </row>
    <row r="90" spans="1:44" s="224" customFormat="1" ht="15" customHeight="1" x14ac:dyDescent="0.25">
      <c r="A90" s="247">
        <v>45492</v>
      </c>
      <c r="B90" s="349" t="s">
        <v>6540</v>
      </c>
      <c r="C90" s="887" t="s">
        <v>12</v>
      </c>
      <c r="D90" s="350" t="s">
        <v>1524</v>
      </c>
      <c r="E90" s="887" t="s">
        <v>13</v>
      </c>
      <c r="F90" s="613">
        <v>374.73750000000001</v>
      </c>
      <c r="G90" s="982"/>
      <c r="H90" s="872"/>
      <c r="I90" s="1063"/>
      <c r="J90" s="622"/>
      <c r="K90" s="982"/>
      <c r="L90" s="622"/>
      <c r="M90" s="982"/>
      <c r="N90" s="622"/>
      <c r="O90" s="982"/>
      <c r="P90" s="622"/>
      <c r="Q90" s="1063"/>
      <c r="R90" s="622"/>
      <c r="S90" s="982"/>
      <c r="T90" s="927"/>
      <c r="U90" s="999"/>
      <c r="V90" s="878"/>
    </row>
    <row r="91" spans="1:44" s="224" customFormat="1" ht="15" customHeight="1" x14ac:dyDescent="0.25">
      <c r="A91" s="247">
        <v>45492</v>
      </c>
      <c r="B91" s="349" t="s">
        <v>6540</v>
      </c>
      <c r="C91" s="887" t="s">
        <v>12</v>
      </c>
      <c r="D91" s="350" t="s">
        <v>1524</v>
      </c>
      <c r="E91" s="887" t="s">
        <v>13</v>
      </c>
      <c r="F91" s="613">
        <v>291.66666666666669</v>
      </c>
      <c r="G91" s="982"/>
      <c r="H91" s="872"/>
      <c r="I91" s="1063"/>
      <c r="J91" s="622"/>
      <c r="K91" s="982"/>
      <c r="L91" s="622"/>
      <c r="M91" s="982"/>
      <c r="N91" s="622"/>
      <c r="O91" s="982"/>
      <c r="P91" s="622"/>
      <c r="Q91" s="1063"/>
      <c r="R91" s="622"/>
      <c r="S91" s="982"/>
      <c r="T91" s="927"/>
      <c r="U91" s="999"/>
      <c r="V91" s="878"/>
    </row>
    <row r="92" spans="1:44" s="224" customFormat="1" ht="15" customHeight="1" x14ac:dyDescent="0.25">
      <c r="A92" s="247">
        <v>45492</v>
      </c>
      <c r="B92" s="349" t="s">
        <v>6540</v>
      </c>
      <c r="C92" s="887" t="s">
        <v>12</v>
      </c>
      <c r="D92" s="350" t="s">
        <v>1524</v>
      </c>
      <c r="E92" s="887" t="s">
        <v>13</v>
      </c>
      <c r="F92" s="1116">
        <v>479.16666666666669</v>
      </c>
      <c r="G92" s="982"/>
      <c r="H92" s="872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927"/>
      <c r="U92" s="999"/>
      <c r="V92" s="878"/>
    </row>
    <row r="93" spans="1:44" s="224" customFormat="1" ht="15" customHeight="1" x14ac:dyDescent="0.25">
      <c r="A93" s="247">
        <v>45492</v>
      </c>
      <c r="B93" s="882" t="s">
        <v>6539</v>
      </c>
      <c r="C93" s="879" t="s">
        <v>12</v>
      </c>
      <c r="D93" s="879" t="s">
        <v>1499</v>
      </c>
      <c r="E93" s="871" t="s">
        <v>13</v>
      </c>
      <c r="F93" s="780">
        <v>0</v>
      </c>
      <c r="G93" s="982"/>
      <c r="H93" s="1008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1028" t="s">
        <v>6512</v>
      </c>
      <c r="V93" s="1123"/>
      <c r="W93" s="999"/>
    </row>
    <row r="94" spans="1:44" s="224" customFormat="1" ht="15" customHeight="1" x14ac:dyDescent="0.25">
      <c r="A94" s="247">
        <v>45492</v>
      </c>
      <c r="B94" s="364" t="s">
        <v>6425</v>
      </c>
      <c r="C94" s="350" t="s">
        <v>12</v>
      </c>
      <c r="D94" s="350" t="s">
        <v>1504</v>
      </c>
      <c r="E94" s="875" t="s">
        <v>13</v>
      </c>
      <c r="F94" s="780">
        <v>40</v>
      </c>
      <c r="G94" s="982"/>
      <c r="H94" s="622"/>
      <c r="I94" s="982"/>
      <c r="J94" s="613"/>
      <c r="K94" s="6"/>
      <c r="L94" s="622"/>
      <c r="M94" s="982"/>
      <c r="N94" s="622"/>
      <c r="O94" s="982"/>
      <c r="P94" s="622"/>
      <c r="Q94" s="1063"/>
      <c r="R94" s="827"/>
      <c r="S94" s="1115"/>
      <c r="T94" s="878"/>
    </row>
    <row r="95" spans="1:44" s="224" customFormat="1" ht="15" customHeight="1" x14ac:dyDescent="0.25">
      <c r="A95" s="247">
        <v>45492</v>
      </c>
      <c r="B95" s="862" t="s">
        <v>6690</v>
      </c>
      <c r="C95" s="879" t="s">
        <v>12</v>
      </c>
      <c r="D95" s="879" t="s">
        <v>1504</v>
      </c>
      <c r="E95" s="871" t="s">
        <v>13</v>
      </c>
      <c r="F95" s="780">
        <v>45</v>
      </c>
      <c r="G95" s="946"/>
      <c r="H95" s="95"/>
      <c r="I95" s="1064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1028"/>
      <c r="W95" s="958"/>
    </row>
    <row r="96" spans="1:44" s="224" customFormat="1" ht="15" customHeight="1" x14ac:dyDescent="0.25">
      <c r="A96" s="247">
        <v>45492</v>
      </c>
      <c r="B96" s="882" t="s">
        <v>32</v>
      </c>
      <c r="C96" s="879" t="s">
        <v>12</v>
      </c>
      <c r="D96" s="879" t="s">
        <v>1485</v>
      </c>
      <c r="E96" s="875" t="s">
        <v>13</v>
      </c>
      <c r="F96" s="780">
        <v>22</v>
      </c>
      <c r="G96" s="967"/>
      <c r="H96" s="1008"/>
      <c r="I96" s="1063"/>
      <c r="J96" s="622"/>
      <c r="K96" s="982"/>
      <c r="L96" s="613"/>
      <c r="M96" s="6"/>
      <c r="N96" s="622"/>
      <c r="O96" s="982"/>
      <c r="P96" s="622"/>
      <c r="Q96" s="1063"/>
      <c r="R96" s="613"/>
      <c r="S96" s="64"/>
      <c r="T96" s="1209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</row>
    <row r="97" spans="1:44" s="224" customFormat="1" ht="15" customHeight="1" x14ac:dyDescent="0.25">
      <c r="A97" s="247">
        <v>45492</v>
      </c>
      <c r="B97" s="882" t="s">
        <v>6698</v>
      </c>
      <c r="C97" s="879" t="s">
        <v>12</v>
      </c>
      <c r="D97" s="879"/>
      <c r="E97" s="875" t="s">
        <v>13</v>
      </c>
      <c r="F97" s="780"/>
      <c r="G97" s="982">
        <v>2435.0100000000002</v>
      </c>
      <c r="H97" s="95"/>
      <c r="I97" s="1064"/>
      <c r="J97" s="622">
        <v>2435.0100000000002</v>
      </c>
      <c r="K97" s="982"/>
      <c r="L97" s="622"/>
      <c r="M97" s="982"/>
      <c r="N97" s="622"/>
      <c r="O97" s="982"/>
      <c r="P97" s="622"/>
      <c r="Q97" s="1063"/>
      <c r="R97" s="622"/>
      <c r="S97" s="982"/>
      <c r="T97" s="861"/>
    </row>
    <row r="98" spans="1:44" s="224" customFormat="1" ht="15" customHeight="1" x14ac:dyDescent="0.25">
      <c r="A98" s="247">
        <v>45492</v>
      </c>
      <c r="B98" s="882" t="s">
        <v>6692</v>
      </c>
      <c r="C98" s="879" t="s">
        <v>12</v>
      </c>
      <c r="D98" s="879" t="s">
        <v>1524</v>
      </c>
      <c r="E98" s="875" t="s">
        <v>13</v>
      </c>
      <c r="F98" s="780">
        <v>646.5</v>
      </c>
      <c r="G98" s="982"/>
      <c r="H98" s="622"/>
      <c r="I98" s="982"/>
      <c r="J98" s="622"/>
      <c r="K98" s="982"/>
      <c r="L98" s="622"/>
      <c r="M98" s="982"/>
      <c r="N98" s="622"/>
      <c r="O98" s="982"/>
      <c r="P98" s="880"/>
      <c r="Q98" s="1525"/>
      <c r="R98" s="613"/>
      <c r="S98" s="162"/>
      <c r="T98" s="2312" t="s">
        <v>6694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</row>
    <row r="99" spans="1:44" s="224" customFormat="1" ht="15" customHeight="1" x14ac:dyDescent="0.25">
      <c r="A99" s="247">
        <v>45492</v>
      </c>
      <c r="B99" s="882" t="s">
        <v>6693</v>
      </c>
      <c r="C99" s="879" t="s">
        <v>12</v>
      </c>
      <c r="D99" s="879" t="s">
        <v>1524</v>
      </c>
      <c r="E99" s="875" t="s">
        <v>13</v>
      </c>
      <c r="F99" s="780">
        <v>64.260000000000005</v>
      </c>
      <c r="G99" s="982"/>
      <c r="H99" s="622"/>
      <c r="I99" s="982"/>
      <c r="J99" s="622"/>
      <c r="K99" s="982"/>
      <c r="L99" s="622"/>
      <c r="M99" s="982"/>
      <c r="N99" s="622"/>
      <c r="O99" s="982"/>
      <c r="P99" s="880"/>
      <c r="Q99" s="1525"/>
      <c r="R99" s="613"/>
      <c r="S99" s="162"/>
      <c r="T99" s="2312" t="s">
        <v>6695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</row>
    <row r="100" spans="1:44" s="224" customFormat="1" ht="15" customHeight="1" x14ac:dyDescent="0.25">
      <c r="A100" s="247">
        <v>45492</v>
      </c>
      <c r="B100" s="882" t="s">
        <v>6696</v>
      </c>
      <c r="C100" s="879" t="s">
        <v>12</v>
      </c>
      <c r="D100" s="879"/>
      <c r="E100" s="875" t="s">
        <v>13</v>
      </c>
      <c r="F100" s="780"/>
      <c r="G100" s="982"/>
      <c r="H100" s="95"/>
      <c r="I100" s="1064"/>
      <c r="J100" s="622"/>
      <c r="K100" s="982">
        <v>750</v>
      </c>
      <c r="L100" s="622"/>
      <c r="M100" s="982"/>
      <c r="N100" s="622"/>
      <c r="O100" s="982"/>
      <c r="P100" s="622"/>
      <c r="Q100" s="1063"/>
      <c r="R100" s="622"/>
      <c r="S100" s="982"/>
      <c r="T100" s="861"/>
    </row>
    <row r="101" spans="1:44" s="224" customFormat="1" ht="15" customHeight="1" x14ac:dyDescent="0.25">
      <c r="A101" s="247">
        <v>45492</v>
      </c>
      <c r="B101" s="882" t="s">
        <v>6697</v>
      </c>
      <c r="C101" s="879" t="s">
        <v>12</v>
      </c>
      <c r="D101" s="879"/>
      <c r="E101" s="875" t="s">
        <v>13</v>
      </c>
      <c r="F101" s="780">
        <v>800</v>
      </c>
      <c r="G101" s="982"/>
      <c r="H101" s="95"/>
      <c r="I101" s="1064"/>
      <c r="J101" s="622"/>
      <c r="K101" s="982">
        <v>800</v>
      </c>
      <c r="L101" s="622"/>
      <c r="M101" s="982"/>
      <c r="N101" s="622"/>
      <c r="O101" s="982"/>
      <c r="P101" s="622"/>
      <c r="Q101" s="1063"/>
      <c r="R101" s="622"/>
      <c r="S101" s="982"/>
      <c r="T101" s="861"/>
    </row>
    <row r="102" spans="1:44" s="224" customFormat="1" ht="15" customHeight="1" x14ac:dyDescent="0.25">
      <c r="A102" s="247">
        <v>45492</v>
      </c>
      <c r="B102" s="364" t="s">
        <v>1331</v>
      </c>
      <c r="C102" s="350" t="s">
        <v>12</v>
      </c>
      <c r="D102" s="350" t="s">
        <v>2157</v>
      </c>
      <c r="E102" s="875" t="s">
        <v>13</v>
      </c>
      <c r="F102" s="780">
        <v>60</v>
      </c>
      <c r="G102" s="982"/>
      <c r="H102" s="95"/>
      <c r="I102" s="1064"/>
      <c r="J102" s="613"/>
      <c r="K102" s="6"/>
      <c r="L102" s="622"/>
      <c r="M102" s="982"/>
      <c r="N102" s="622"/>
      <c r="O102" s="982"/>
      <c r="P102" s="622"/>
      <c r="Q102" s="1063"/>
      <c r="R102" s="622"/>
      <c r="S102" s="982"/>
      <c r="T102" s="861"/>
    </row>
    <row r="103" spans="1:44" s="224" customFormat="1" ht="15" customHeight="1" x14ac:dyDescent="0.25">
      <c r="A103" s="247">
        <v>45492</v>
      </c>
      <c r="B103" s="882" t="s">
        <v>14</v>
      </c>
      <c r="C103" s="879" t="s">
        <v>12</v>
      </c>
      <c r="D103" s="879" t="s">
        <v>1486</v>
      </c>
      <c r="E103" s="480" t="s">
        <v>5470</v>
      </c>
      <c r="F103" s="613">
        <v>18.88</v>
      </c>
      <c r="G103" s="967"/>
      <c r="H103" s="1008"/>
      <c r="I103" s="1063"/>
      <c r="J103" s="1116"/>
      <c r="K103" s="1207"/>
      <c r="L103" s="613"/>
      <c r="M103" s="6"/>
      <c r="N103" s="622"/>
      <c r="O103" s="982"/>
      <c r="P103" s="622"/>
      <c r="Q103" s="1063"/>
      <c r="R103" s="613"/>
      <c r="S103" s="64"/>
      <c r="T103" s="1209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</row>
    <row r="104" spans="1:44" s="224" customFormat="1" ht="15" customHeight="1" x14ac:dyDescent="0.25">
      <c r="A104" s="247">
        <v>45493</v>
      </c>
      <c r="B104" s="882" t="s">
        <v>14</v>
      </c>
      <c r="C104" s="879" t="s">
        <v>12</v>
      </c>
      <c r="D104" s="879" t="s">
        <v>1486</v>
      </c>
      <c r="E104" s="480" t="s">
        <v>13</v>
      </c>
      <c r="F104" s="613">
        <v>7.57</v>
      </c>
      <c r="G104" s="967"/>
      <c r="H104" s="1008"/>
      <c r="I104" s="1063"/>
      <c r="J104" s="1116"/>
      <c r="K104" s="1207"/>
      <c r="L104" s="613"/>
      <c r="M104" s="6"/>
      <c r="N104" s="622"/>
      <c r="O104" s="982"/>
      <c r="P104" s="622"/>
      <c r="Q104" s="1063"/>
      <c r="R104" s="613"/>
      <c r="S104" s="64"/>
      <c r="T104" s="1209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</row>
    <row r="105" spans="1:44" s="224" customFormat="1" ht="15" customHeight="1" x14ac:dyDescent="0.25">
      <c r="A105" s="247">
        <v>45493</v>
      </c>
      <c r="B105" s="364" t="s">
        <v>82</v>
      </c>
      <c r="C105" s="350" t="s">
        <v>12</v>
      </c>
      <c r="D105" s="350" t="s">
        <v>1493</v>
      </c>
      <c r="E105" s="875" t="s">
        <v>13</v>
      </c>
      <c r="F105" s="780">
        <v>31.9</v>
      </c>
      <c r="G105" s="982"/>
      <c r="H105" s="95"/>
      <c r="I105" s="1064"/>
      <c r="J105" s="613"/>
      <c r="K105" s="6"/>
      <c r="L105" s="622"/>
      <c r="M105" s="982"/>
      <c r="N105" s="622"/>
      <c r="O105" s="982"/>
      <c r="P105" s="622"/>
      <c r="Q105" s="1063"/>
      <c r="R105" s="622"/>
      <c r="S105" s="982"/>
      <c r="T105" s="861"/>
    </row>
    <row r="106" spans="1:44" s="224" customFormat="1" ht="15" customHeight="1" x14ac:dyDescent="0.25">
      <c r="A106" s="247">
        <v>45494</v>
      </c>
      <c r="B106" s="882" t="s">
        <v>14</v>
      </c>
      <c r="C106" s="879" t="s">
        <v>12</v>
      </c>
      <c r="D106" s="879" t="s">
        <v>1486</v>
      </c>
      <c r="E106" s="480" t="s">
        <v>13</v>
      </c>
      <c r="F106" s="613">
        <v>15.57</v>
      </c>
      <c r="G106" s="967"/>
      <c r="H106" s="1008"/>
      <c r="I106" s="1063"/>
      <c r="J106" s="1116"/>
      <c r="K106" s="1207"/>
      <c r="L106" s="613"/>
      <c r="M106" s="6"/>
      <c r="N106" s="622"/>
      <c r="O106" s="982"/>
      <c r="P106" s="622"/>
      <c r="Q106" s="1063"/>
      <c r="R106" s="613"/>
      <c r="S106" s="64"/>
      <c r="T106" s="1209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</row>
    <row r="107" spans="1:44" s="224" customFormat="1" ht="15" customHeight="1" x14ac:dyDescent="0.25">
      <c r="A107" s="247">
        <v>45494</v>
      </c>
      <c r="B107" s="882" t="s">
        <v>32</v>
      </c>
      <c r="C107" s="879" t="s">
        <v>12</v>
      </c>
      <c r="D107" s="879" t="s">
        <v>1485</v>
      </c>
      <c r="E107" s="875" t="s">
        <v>13</v>
      </c>
      <c r="F107" s="780">
        <v>20</v>
      </c>
      <c r="G107" s="982"/>
      <c r="H107" s="622"/>
      <c r="I107" s="982"/>
      <c r="J107" s="1116"/>
      <c r="K107" s="1207"/>
      <c r="L107" s="622"/>
      <c r="M107" s="982"/>
      <c r="N107" s="622"/>
      <c r="O107" s="982"/>
      <c r="P107" s="622"/>
      <c r="Q107" s="1063"/>
      <c r="R107" s="880"/>
      <c r="S107" s="1033"/>
      <c r="T107" s="927"/>
      <c r="V107" s="878"/>
    </row>
    <row r="108" spans="1:44" s="224" customFormat="1" ht="15" customHeight="1" x14ac:dyDescent="0.25">
      <c r="A108" s="247">
        <v>45495</v>
      </c>
      <c r="B108" s="882" t="s">
        <v>6329</v>
      </c>
      <c r="C108" s="879" t="s">
        <v>12</v>
      </c>
      <c r="D108" s="879"/>
      <c r="E108" s="875" t="s">
        <v>25</v>
      </c>
      <c r="F108" s="780"/>
      <c r="G108" s="982">
        <v>100</v>
      </c>
      <c r="H108" s="622"/>
      <c r="I108" s="982"/>
      <c r="J108" s="622"/>
      <c r="K108" s="982"/>
      <c r="L108" s="622"/>
      <c r="M108" s="982"/>
      <c r="N108" s="622"/>
      <c r="O108" s="982"/>
      <c r="P108" s="880"/>
      <c r="Q108" s="1525"/>
      <c r="R108" s="613"/>
      <c r="S108" s="162"/>
      <c r="T108" s="1956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</row>
    <row r="109" spans="1:44" s="224" customFormat="1" ht="15" customHeight="1" x14ac:dyDescent="0.25">
      <c r="A109" s="247">
        <v>45495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22</v>
      </c>
      <c r="G109" s="967"/>
      <c r="H109" s="1008"/>
      <c r="I109" s="1063"/>
      <c r="J109" s="622"/>
      <c r="K109" s="982"/>
      <c r="L109" s="613"/>
      <c r="M109" s="6"/>
      <c r="N109" s="622"/>
      <c r="O109" s="982"/>
      <c r="P109" s="622"/>
      <c r="Q109" s="1063"/>
      <c r="R109" s="613"/>
      <c r="S109" s="64"/>
      <c r="T109" s="12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</row>
    <row r="110" spans="1:44" s="224" customFormat="1" ht="15" customHeight="1" x14ac:dyDescent="0.25">
      <c r="A110" s="247">
        <v>45495</v>
      </c>
      <c r="B110" s="882" t="s">
        <v>6258</v>
      </c>
      <c r="C110" s="879" t="s">
        <v>12</v>
      </c>
      <c r="D110" s="879"/>
      <c r="E110" s="875" t="s">
        <v>13</v>
      </c>
      <c r="F110" s="780"/>
      <c r="G110" s="982">
        <v>360</v>
      </c>
      <c r="H110" s="1008"/>
      <c r="I110" s="1063"/>
      <c r="J110" s="613">
        <v>360</v>
      </c>
      <c r="K110" s="982"/>
      <c r="L110" s="622"/>
      <c r="M110" s="982"/>
      <c r="N110" s="622"/>
      <c r="O110" s="982"/>
      <c r="P110" s="622"/>
      <c r="Q110" s="1063"/>
      <c r="R110" s="622"/>
      <c r="S110" s="982"/>
      <c r="T110" s="861"/>
    </row>
    <row r="111" spans="1:44" s="224" customFormat="1" x14ac:dyDescent="0.25">
      <c r="A111" s="247">
        <v>45495</v>
      </c>
      <c r="B111" s="1275" t="s">
        <v>6706</v>
      </c>
      <c r="C111" s="879" t="s">
        <v>12</v>
      </c>
      <c r="D111" s="1276" t="s">
        <v>1524</v>
      </c>
      <c r="E111" s="1286" t="s">
        <v>13</v>
      </c>
      <c r="F111" s="780">
        <v>360</v>
      </c>
      <c r="G111" s="982"/>
      <c r="H111" s="1008"/>
      <c r="I111" s="1063"/>
      <c r="J111" s="622"/>
      <c r="K111" s="982"/>
      <c r="L111" s="622"/>
      <c r="M111" s="982"/>
      <c r="N111" s="622"/>
      <c r="O111" s="982"/>
      <c r="P111" s="622"/>
      <c r="Q111" s="1063"/>
      <c r="R111" s="622"/>
      <c r="S111" s="982"/>
      <c r="T111" s="1028" t="s">
        <v>6542</v>
      </c>
      <c r="V111" s="878"/>
    </row>
    <row r="112" spans="1:44" s="224" customFormat="1" x14ac:dyDescent="0.25">
      <c r="A112" s="247">
        <v>45495</v>
      </c>
      <c r="B112" s="1275" t="s">
        <v>3958</v>
      </c>
      <c r="C112" s="1276" t="s">
        <v>12</v>
      </c>
      <c r="D112" s="1276" t="s">
        <v>1489</v>
      </c>
      <c r="E112" s="1277" t="s">
        <v>13</v>
      </c>
      <c r="F112" s="1279">
        <v>22</v>
      </c>
      <c r="G112" s="982"/>
      <c r="H112" s="1008"/>
      <c r="I112" s="1063"/>
      <c r="J112" s="2013"/>
      <c r="K112" s="1207"/>
      <c r="L112" s="622"/>
      <c r="M112" s="982"/>
      <c r="N112" s="622"/>
      <c r="O112" s="982"/>
      <c r="P112" s="622"/>
      <c r="Q112" s="1063"/>
      <c r="R112" s="622"/>
      <c r="S112" s="982"/>
      <c r="T112" s="861"/>
      <c r="V112" s="878"/>
    </row>
    <row r="113" spans="1:44" s="224" customFormat="1" ht="14.25" customHeight="1" x14ac:dyDescent="0.25">
      <c r="A113" s="247">
        <v>45496</v>
      </c>
      <c r="B113" s="882" t="s">
        <v>2789</v>
      </c>
      <c r="C113" s="879" t="s">
        <v>12</v>
      </c>
      <c r="D113" s="879" t="s">
        <v>1485</v>
      </c>
      <c r="E113" s="875" t="s">
        <v>13</v>
      </c>
      <c r="F113" s="1873">
        <v>11.5</v>
      </c>
      <c r="G113" s="982"/>
      <c r="H113" s="1031"/>
      <c r="I113" s="1525"/>
      <c r="J113" s="622"/>
      <c r="K113" s="982"/>
      <c r="L113" s="872"/>
      <c r="M113" s="1207"/>
      <c r="N113" s="880"/>
      <c r="O113" s="1033"/>
      <c r="P113" s="880"/>
      <c r="Q113" s="1525"/>
      <c r="R113" s="613"/>
      <c r="S113" s="162"/>
      <c r="T113" s="1209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</row>
    <row r="114" spans="1:44" s="224" customFormat="1" ht="15" customHeight="1" x14ac:dyDescent="0.25">
      <c r="A114" s="247">
        <v>45496</v>
      </c>
      <c r="B114" s="882" t="s">
        <v>6258</v>
      </c>
      <c r="C114" s="879" t="s">
        <v>12</v>
      </c>
      <c r="D114" s="879"/>
      <c r="E114" s="875" t="s">
        <v>13</v>
      </c>
      <c r="F114" s="780"/>
      <c r="G114" s="982">
        <v>388.8</v>
      </c>
      <c r="H114" s="1008"/>
      <c r="I114" s="1063"/>
      <c r="J114" s="613">
        <v>388.8</v>
      </c>
      <c r="K114" s="982"/>
      <c r="L114" s="622"/>
      <c r="M114" s="982"/>
      <c r="N114" s="622"/>
      <c r="O114" s="982"/>
      <c r="P114" s="622"/>
      <c r="Q114" s="1063"/>
      <c r="R114" s="622"/>
      <c r="S114" s="982"/>
      <c r="T114" s="861"/>
    </row>
    <row r="115" spans="1:44" s="224" customFormat="1" x14ac:dyDescent="0.25">
      <c r="A115" s="247">
        <v>45496</v>
      </c>
      <c r="B115" s="1275" t="s">
        <v>6709</v>
      </c>
      <c r="C115" s="879" t="s">
        <v>12</v>
      </c>
      <c r="D115" s="1276" t="s">
        <v>1524</v>
      </c>
      <c r="E115" s="1286" t="s">
        <v>13</v>
      </c>
      <c r="F115" s="780">
        <v>388.8</v>
      </c>
      <c r="G115" s="982"/>
      <c r="H115" s="1008"/>
      <c r="I115" s="1063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1028" t="s">
        <v>6714</v>
      </c>
      <c r="V115" s="878"/>
    </row>
    <row r="116" spans="1:44" s="224" customFormat="1" ht="15" customHeight="1" x14ac:dyDescent="0.25">
      <c r="A116" s="247">
        <v>45496</v>
      </c>
      <c r="B116" s="882" t="s">
        <v>14</v>
      </c>
      <c r="C116" s="879" t="s">
        <v>12</v>
      </c>
      <c r="D116" s="879" t="s">
        <v>1486</v>
      </c>
      <c r="E116" s="480" t="s">
        <v>13</v>
      </c>
      <c r="F116" s="613">
        <v>6.98</v>
      </c>
      <c r="G116" s="967"/>
      <c r="H116" s="1008"/>
      <c r="I116" s="1063"/>
      <c r="J116" s="1116"/>
      <c r="K116" s="1207"/>
      <c r="L116" s="613"/>
      <c r="M116" s="6"/>
      <c r="N116" s="622"/>
      <c r="O116" s="982"/>
      <c r="P116" s="622"/>
      <c r="Q116" s="1063"/>
      <c r="R116" s="613"/>
      <c r="S116" s="64"/>
      <c r="T116" s="1209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</row>
    <row r="117" spans="1:44" s="224" customFormat="1" x14ac:dyDescent="0.25">
      <c r="A117" s="247">
        <v>45496</v>
      </c>
      <c r="B117" s="364" t="s">
        <v>6711</v>
      </c>
      <c r="C117" s="350" t="s">
        <v>12</v>
      </c>
      <c r="D117" s="350" t="s">
        <v>2157</v>
      </c>
      <c r="E117" s="875" t="s">
        <v>13</v>
      </c>
      <c r="F117" s="780">
        <v>76.83</v>
      </c>
      <c r="G117" s="982"/>
      <c r="H117" s="1008"/>
      <c r="I117" s="1063"/>
      <c r="J117" s="2013"/>
      <c r="K117" s="1207"/>
      <c r="L117" s="622"/>
      <c r="M117" s="982"/>
      <c r="N117" s="622"/>
      <c r="O117" s="982"/>
      <c r="P117" s="622"/>
      <c r="Q117" s="1063"/>
      <c r="R117" s="622"/>
      <c r="S117" s="982"/>
      <c r="T117" s="861"/>
      <c r="V117" s="878"/>
    </row>
    <row r="118" spans="1:44" s="224" customFormat="1" ht="15" customHeight="1" x14ac:dyDescent="0.25">
      <c r="A118" s="247">
        <v>45497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22</v>
      </c>
      <c r="G118" s="967"/>
      <c r="H118" s="1008"/>
      <c r="I118" s="1063"/>
      <c r="J118" s="622"/>
      <c r="K118" s="982"/>
      <c r="L118" s="613"/>
      <c r="M118" s="6"/>
      <c r="N118" s="622"/>
      <c r="O118" s="982"/>
      <c r="P118" s="622"/>
      <c r="Q118" s="1063"/>
      <c r="R118" s="613"/>
      <c r="S118" s="64"/>
      <c r="T118" s="1209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</row>
    <row r="119" spans="1:44" s="224" customFormat="1" ht="15" customHeight="1" x14ac:dyDescent="0.25">
      <c r="A119" s="247">
        <v>45497</v>
      </c>
      <c r="B119" s="882" t="s">
        <v>81</v>
      </c>
      <c r="C119" s="879" t="s">
        <v>12</v>
      </c>
      <c r="D119" s="879" t="s">
        <v>1493</v>
      </c>
      <c r="E119" s="875" t="s">
        <v>13</v>
      </c>
      <c r="F119" s="1873">
        <v>5.5</v>
      </c>
      <c r="G119" s="982"/>
      <c r="H119" s="1008"/>
      <c r="I119" s="1063"/>
      <c r="J119" s="613"/>
      <c r="K119" s="6"/>
      <c r="L119" s="622"/>
      <c r="M119" s="982"/>
      <c r="N119" s="622"/>
      <c r="O119" s="982"/>
      <c r="P119" s="622"/>
      <c r="Q119" s="1063"/>
      <c r="R119" s="1110"/>
      <c r="S119" s="1208"/>
      <c r="T119" s="1028"/>
      <c r="W119" s="958"/>
    </row>
    <row r="120" spans="1:44" s="224" customFormat="1" ht="15" customHeight="1" x14ac:dyDescent="0.25">
      <c r="A120" s="247">
        <v>45498</v>
      </c>
      <c r="B120" s="882" t="s">
        <v>32</v>
      </c>
      <c r="C120" s="879" t="s">
        <v>12</v>
      </c>
      <c r="D120" s="879" t="s">
        <v>1485</v>
      </c>
      <c r="E120" s="875" t="s">
        <v>13</v>
      </c>
      <c r="F120" s="780">
        <v>22</v>
      </c>
      <c r="G120" s="967"/>
      <c r="H120" s="1008"/>
      <c r="I120" s="1063"/>
      <c r="J120" s="622"/>
      <c r="K120" s="982"/>
      <c r="L120" s="613"/>
      <c r="M120" s="6"/>
      <c r="N120" s="622"/>
      <c r="O120" s="982"/>
      <c r="P120" s="622"/>
      <c r="Q120" s="1063"/>
      <c r="R120" s="613"/>
      <c r="S120" s="64"/>
      <c r="T120" s="1209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</row>
    <row r="121" spans="1:44" s="224" customFormat="1" ht="15" customHeight="1" x14ac:dyDescent="0.25">
      <c r="A121" s="247">
        <v>45498</v>
      </c>
      <c r="B121" s="882" t="s">
        <v>1906</v>
      </c>
      <c r="C121" s="879" t="s">
        <v>12</v>
      </c>
      <c r="D121" s="879" t="s">
        <v>1493</v>
      </c>
      <c r="E121" s="871" t="s">
        <v>13</v>
      </c>
      <c r="F121" s="780">
        <v>9</v>
      </c>
      <c r="G121" s="982"/>
      <c r="H121" s="622"/>
      <c r="I121" s="982"/>
      <c r="J121" s="872"/>
      <c r="K121" s="1207"/>
      <c r="L121" s="622"/>
      <c r="M121" s="982"/>
      <c r="N121" s="622"/>
      <c r="O121" s="982"/>
      <c r="P121" s="622"/>
      <c r="Q121" s="1063"/>
      <c r="R121" s="622"/>
      <c r="S121" s="982"/>
      <c r="T121" s="1028"/>
      <c r="U121" s="959"/>
      <c r="V121" s="878"/>
      <c r="W121" s="958"/>
    </row>
    <row r="122" spans="1:44" s="224" customFormat="1" ht="15" customHeight="1" x14ac:dyDescent="0.25">
      <c r="A122" s="247">
        <v>45498</v>
      </c>
      <c r="B122" s="882" t="s">
        <v>81</v>
      </c>
      <c r="C122" s="879" t="s">
        <v>12</v>
      </c>
      <c r="D122" s="879" t="s">
        <v>1493</v>
      </c>
      <c r="E122" s="871" t="s">
        <v>13</v>
      </c>
      <c r="F122" s="780">
        <v>3</v>
      </c>
      <c r="G122" s="982"/>
      <c r="H122" s="622"/>
      <c r="I122" s="982"/>
      <c r="J122" s="872"/>
      <c r="K122" s="1207"/>
      <c r="L122" s="622"/>
      <c r="M122" s="982"/>
      <c r="N122" s="622"/>
      <c r="O122" s="982"/>
      <c r="P122" s="622"/>
      <c r="Q122" s="1063"/>
      <c r="R122" s="622"/>
      <c r="S122" s="982"/>
      <c r="T122" s="1028"/>
      <c r="U122" s="959"/>
      <c r="V122" s="878"/>
      <c r="W122" s="958"/>
    </row>
    <row r="123" spans="1:44" s="224" customFormat="1" ht="15" customHeight="1" x14ac:dyDescent="0.25">
      <c r="A123" s="247">
        <v>45499</v>
      </c>
      <c r="B123" s="882" t="s">
        <v>32</v>
      </c>
      <c r="C123" s="879" t="s">
        <v>12</v>
      </c>
      <c r="D123" s="879" t="s">
        <v>1485</v>
      </c>
      <c r="E123" s="875" t="s">
        <v>13</v>
      </c>
      <c r="F123" s="780">
        <v>25</v>
      </c>
      <c r="G123" s="967"/>
      <c r="H123" s="1008"/>
      <c r="I123" s="1063"/>
      <c r="J123" s="622"/>
      <c r="K123" s="982"/>
      <c r="L123" s="613"/>
      <c r="M123" s="6"/>
      <c r="N123" s="622"/>
      <c r="O123" s="982"/>
      <c r="P123" s="622"/>
      <c r="Q123" s="1063"/>
      <c r="R123" s="613"/>
      <c r="S123" s="64"/>
      <c r="T123" s="1209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</row>
    <row r="124" spans="1:44" s="224" customFormat="1" ht="15" customHeight="1" x14ac:dyDescent="0.25">
      <c r="A124" s="247">
        <v>45499</v>
      </c>
      <c r="B124" s="364" t="s">
        <v>82</v>
      </c>
      <c r="C124" s="350" t="s">
        <v>12</v>
      </c>
      <c r="D124" s="350" t="s">
        <v>1493</v>
      </c>
      <c r="E124" s="875" t="s">
        <v>13</v>
      </c>
      <c r="F124" s="780">
        <v>31.6</v>
      </c>
      <c r="G124" s="982"/>
      <c r="H124" s="1008"/>
      <c r="I124" s="1063"/>
      <c r="J124" s="1116"/>
      <c r="K124" s="1207"/>
      <c r="L124" s="622"/>
      <c r="M124" s="982"/>
      <c r="N124" s="622"/>
      <c r="O124" s="982"/>
      <c r="P124" s="622"/>
      <c r="Q124" s="1063"/>
      <c r="R124" s="622"/>
      <c r="S124" s="982"/>
      <c r="T124" s="861"/>
      <c r="V124" s="1035"/>
    </row>
    <row r="125" spans="1:44" s="224" customFormat="1" ht="15" customHeight="1" x14ac:dyDescent="0.25">
      <c r="A125" s="247">
        <v>45499</v>
      </c>
      <c r="B125" s="364" t="s">
        <v>3322</v>
      </c>
      <c r="C125" s="350" t="s">
        <v>12</v>
      </c>
      <c r="D125" s="350" t="s">
        <v>1489</v>
      </c>
      <c r="E125" s="875" t="s">
        <v>13</v>
      </c>
      <c r="F125" s="780">
        <v>46.27</v>
      </c>
      <c r="G125" s="982"/>
      <c r="H125" s="1008"/>
      <c r="I125" s="1063"/>
      <c r="J125" s="1116"/>
      <c r="K125" s="1207"/>
      <c r="L125" s="622"/>
      <c r="M125" s="982"/>
      <c r="N125" s="622"/>
      <c r="O125" s="982"/>
      <c r="P125" s="622"/>
      <c r="Q125" s="1063"/>
      <c r="R125" s="622"/>
      <c r="S125" s="982"/>
      <c r="T125" s="861"/>
      <c r="V125" s="1035"/>
    </row>
    <row r="126" spans="1:44" s="224" customFormat="1" x14ac:dyDescent="0.25">
      <c r="A126" s="247">
        <v>45500</v>
      </c>
      <c r="B126" s="364" t="s">
        <v>1331</v>
      </c>
      <c r="C126" s="350" t="s">
        <v>12</v>
      </c>
      <c r="D126" s="350" t="s">
        <v>2157</v>
      </c>
      <c r="E126" s="875" t="s">
        <v>13</v>
      </c>
      <c r="F126" s="780">
        <v>50</v>
      </c>
      <c r="G126" s="982"/>
      <c r="H126" s="1008"/>
      <c r="I126" s="1063"/>
      <c r="J126" s="2013"/>
      <c r="K126" s="1207"/>
      <c r="L126" s="622"/>
      <c r="M126" s="982"/>
      <c r="N126" s="622"/>
      <c r="O126" s="982"/>
      <c r="P126" s="622"/>
      <c r="Q126" s="1063"/>
      <c r="R126" s="622"/>
      <c r="S126" s="982"/>
      <c r="T126" s="861"/>
      <c r="V126" s="878"/>
    </row>
    <row r="127" spans="1:44" s="224" customFormat="1" ht="15" customHeight="1" x14ac:dyDescent="0.25">
      <c r="A127" s="247">
        <v>45500</v>
      </c>
      <c r="B127" s="882" t="s">
        <v>14</v>
      </c>
      <c r="C127" s="879" t="s">
        <v>12</v>
      </c>
      <c r="D127" s="879" t="s">
        <v>1486</v>
      </c>
      <c r="E127" s="480" t="s">
        <v>13</v>
      </c>
      <c r="F127" s="780">
        <v>10.78</v>
      </c>
      <c r="G127" s="982"/>
      <c r="H127" s="622"/>
      <c r="I127" s="982"/>
      <c r="J127" s="872"/>
      <c r="K127" s="1207"/>
      <c r="L127" s="622"/>
      <c r="M127" s="982"/>
      <c r="N127" s="622"/>
      <c r="O127" s="982"/>
      <c r="P127" s="622"/>
      <c r="Q127" s="1063"/>
      <c r="R127" s="622"/>
      <c r="S127" s="982"/>
      <c r="T127" s="1028"/>
      <c r="U127" s="959"/>
      <c r="V127" s="878"/>
      <c r="W127" s="958"/>
    </row>
    <row r="128" spans="1:44" s="224" customFormat="1" ht="15" customHeight="1" x14ac:dyDescent="0.25">
      <c r="A128" s="247">
        <v>45501</v>
      </c>
      <c r="B128" s="882" t="s">
        <v>14</v>
      </c>
      <c r="C128" s="879" t="s">
        <v>12</v>
      </c>
      <c r="D128" s="879" t="s">
        <v>1486</v>
      </c>
      <c r="E128" s="480" t="s">
        <v>13</v>
      </c>
      <c r="F128" s="780">
        <v>7.16</v>
      </c>
      <c r="G128" s="982"/>
      <c r="H128" s="622"/>
      <c r="I128" s="982"/>
      <c r="J128" s="872"/>
      <c r="K128" s="1207"/>
      <c r="L128" s="622"/>
      <c r="M128" s="982"/>
      <c r="N128" s="622"/>
      <c r="O128" s="982"/>
      <c r="P128" s="622"/>
      <c r="Q128" s="1063"/>
      <c r="R128" s="622"/>
      <c r="S128" s="982"/>
      <c r="T128" s="1028"/>
      <c r="U128" s="959"/>
      <c r="V128" s="878"/>
      <c r="W128" s="958"/>
    </row>
    <row r="129" spans="1:44" s="224" customFormat="1" ht="15" customHeight="1" x14ac:dyDescent="0.25">
      <c r="A129" s="247">
        <v>45501</v>
      </c>
      <c r="B129" s="349" t="s">
        <v>6715</v>
      </c>
      <c r="C129" s="350" t="s">
        <v>12</v>
      </c>
      <c r="D129" s="350" t="s">
        <v>1489</v>
      </c>
      <c r="E129" s="480" t="s">
        <v>13</v>
      </c>
      <c r="F129" s="780">
        <v>12</v>
      </c>
      <c r="G129" s="982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861"/>
      <c r="V129" s="927"/>
      <c r="W129" s="999"/>
    </row>
    <row r="130" spans="1:44" s="224" customFormat="1" ht="15" customHeight="1" x14ac:dyDescent="0.25">
      <c r="A130" s="247">
        <v>45501</v>
      </c>
      <c r="B130" s="349" t="s">
        <v>6716</v>
      </c>
      <c r="C130" s="350" t="s">
        <v>12</v>
      </c>
      <c r="D130" s="350" t="s">
        <v>1489</v>
      </c>
      <c r="E130" s="480" t="s">
        <v>13</v>
      </c>
      <c r="F130" s="780">
        <v>3.2</v>
      </c>
      <c r="G130" s="982"/>
      <c r="H130" s="95"/>
      <c r="I130" s="1064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861"/>
      <c r="V130" s="927"/>
      <c r="W130" s="999"/>
    </row>
    <row r="131" spans="1:44" s="224" customFormat="1" ht="15" customHeight="1" x14ac:dyDescent="0.25">
      <c r="A131" s="247">
        <v>45501</v>
      </c>
      <c r="B131" s="882" t="s">
        <v>6717</v>
      </c>
      <c r="C131" s="879" t="s">
        <v>12</v>
      </c>
      <c r="D131" s="879" t="s">
        <v>1489</v>
      </c>
      <c r="E131" s="875" t="s">
        <v>25</v>
      </c>
      <c r="F131" s="780">
        <v>23</v>
      </c>
      <c r="G131" s="982"/>
      <c r="H131" s="622"/>
      <c r="I131" s="982"/>
      <c r="J131" s="622"/>
      <c r="K131" s="982"/>
      <c r="L131" s="622"/>
      <c r="M131" s="982"/>
      <c r="N131" s="622"/>
      <c r="O131" s="982"/>
      <c r="P131" s="880"/>
      <c r="Q131" s="1525"/>
      <c r="R131" s="613"/>
      <c r="S131" s="162"/>
      <c r="T131" s="1956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</row>
    <row r="132" spans="1:44" s="224" customFormat="1" ht="15" customHeight="1" x14ac:dyDescent="0.25">
      <c r="A132" s="247">
        <v>45502</v>
      </c>
      <c r="B132" s="882" t="s">
        <v>6329</v>
      </c>
      <c r="C132" s="879" t="s">
        <v>12</v>
      </c>
      <c r="D132" s="879"/>
      <c r="E132" s="875" t="s">
        <v>25</v>
      </c>
      <c r="F132" s="780"/>
      <c r="G132" s="982">
        <v>100</v>
      </c>
      <c r="H132" s="622"/>
      <c r="I132" s="982"/>
      <c r="J132" s="622"/>
      <c r="K132" s="982"/>
      <c r="L132" s="622"/>
      <c r="M132" s="982"/>
      <c r="N132" s="622"/>
      <c r="O132" s="982"/>
      <c r="P132" s="880"/>
      <c r="Q132" s="1525"/>
      <c r="R132" s="613"/>
      <c r="S132" s="162"/>
      <c r="T132" s="1956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</row>
    <row r="133" spans="1:44" s="224" customFormat="1" ht="15" customHeight="1" x14ac:dyDescent="0.25">
      <c r="A133" s="247">
        <v>45502</v>
      </c>
      <c r="B133" s="882" t="s">
        <v>6258</v>
      </c>
      <c r="C133" s="879" t="s">
        <v>12</v>
      </c>
      <c r="D133" s="879"/>
      <c r="E133" s="875" t="s">
        <v>13</v>
      </c>
      <c r="F133" s="780"/>
      <c r="G133" s="982">
        <v>188.4</v>
      </c>
      <c r="H133" s="1008"/>
      <c r="I133" s="1063"/>
      <c r="J133" s="613">
        <v>188.4</v>
      </c>
      <c r="K133" s="982"/>
      <c r="L133" s="622"/>
      <c r="M133" s="982"/>
      <c r="N133" s="622"/>
      <c r="O133" s="982"/>
      <c r="P133" s="622"/>
      <c r="Q133" s="1063"/>
      <c r="R133" s="622"/>
      <c r="S133" s="982"/>
      <c r="T133" s="861"/>
    </row>
    <row r="134" spans="1:44" s="224" customFormat="1" x14ac:dyDescent="0.25">
      <c r="A134" s="247">
        <v>45502</v>
      </c>
      <c r="B134" s="1275" t="s">
        <v>6721</v>
      </c>
      <c r="C134" s="879" t="s">
        <v>12</v>
      </c>
      <c r="D134" s="1276" t="s">
        <v>1524</v>
      </c>
      <c r="E134" s="1286" t="s">
        <v>13</v>
      </c>
      <c r="F134" s="780">
        <v>188.4</v>
      </c>
      <c r="G134" s="982"/>
      <c r="H134" s="1008"/>
      <c r="I134" s="1063"/>
      <c r="J134" s="622"/>
      <c r="K134" s="982"/>
      <c r="L134" s="622"/>
      <c r="M134" s="982"/>
      <c r="N134" s="622"/>
      <c r="O134" s="982"/>
      <c r="P134" s="622"/>
      <c r="Q134" s="1063"/>
      <c r="R134" s="622"/>
      <c r="S134" s="982"/>
      <c r="T134" s="1028" t="s">
        <v>6542</v>
      </c>
      <c r="V134" s="878"/>
    </row>
    <row r="135" spans="1:44" s="224" customFormat="1" ht="15" customHeight="1" x14ac:dyDescent="0.25">
      <c r="A135" s="247">
        <v>45502</v>
      </c>
      <c r="B135" s="882" t="s">
        <v>32</v>
      </c>
      <c r="C135" s="879" t="s">
        <v>12</v>
      </c>
      <c r="D135" s="879" t="s">
        <v>1485</v>
      </c>
      <c r="E135" s="875" t="s">
        <v>13</v>
      </c>
      <c r="F135" s="780">
        <v>22</v>
      </c>
      <c r="G135" s="982"/>
      <c r="H135" s="622"/>
      <c r="I135" s="982"/>
      <c r="J135" s="622"/>
      <c r="K135" s="982"/>
      <c r="L135" s="622"/>
      <c r="M135" s="982"/>
      <c r="N135" s="622"/>
      <c r="O135" s="982"/>
      <c r="P135" s="622"/>
      <c r="Q135" s="1063"/>
      <c r="R135" s="622"/>
      <c r="S135" s="982"/>
      <c r="T135" s="1028"/>
      <c r="U135" s="959"/>
      <c r="V135" s="878"/>
      <c r="W135" s="958"/>
    </row>
    <row r="136" spans="1:44" s="224" customFormat="1" ht="15" customHeight="1" x14ac:dyDescent="0.25">
      <c r="A136" s="247">
        <v>45503</v>
      </c>
      <c r="B136" s="882" t="s">
        <v>32</v>
      </c>
      <c r="C136" s="879" t="s">
        <v>12</v>
      </c>
      <c r="D136" s="879" t="s">
        <v>1485</v>
      </c>
      <c r="E136" s="875" t="s">
        <v>13</v>
      </c>
      <c r="F136" s="780">
        <v>22</v>
      </c>
      <c r="G136" s="982"/>
      <c r="H136" s="622"/>
      <c r="I136" s="982"/>
      <c r="J136" s="622"/>
      <c r="K136" s="982"/>
      <c r="L136" s="622"/>
      <c r="M136" s="982"/>
      <c r="N136" s="622"/>
      <c r="O136" s="982"/>
      <c r="P136" s="622"/>
      <c r="Q136" s="1063"/>
      <c r="R136" s="622"/>
      <c r="S136" s="982"/>
      <c r="T136" s="1028"/>
      <c r="U136" s="959"/>
      <c r="V136" s="878"/>
      <c r="W136" s="958"/>
    </row>
    <row r="137" spans="1:44" s="224" customFormat="1" ht="15" customHeight="1" x14ac:dyDescent="0.25">
      <c r="A137" s="247">
        <v>45503</v>
      </c>
      <c r="B137" s="882" t="s">
        <v>81</v>
      </c>
      <c r="C137" s="879" t="s">
        <v>12</v>
      </c>
      <c r="D137" s="879" t="s">
        <v>1493</v>
      </c>
      <c r="E137" s="871" t="s">
        <v>13</v>
      </c>
      <c r="F137" s="780">
        <v>5.5</v>
      </c>
      <c r="G137" s="982"/>
      <c r="H137" s="622"/>
      <c r="I137" s="982"/>
      <c r="J137" s="872"/>
      <c r="K137" s="1207"/>
      <c r="L137" s="622"/>
      <c r="M137" s="982"/>
      <c r="N137" s="622"/>
      <c r="O137" s="982"/>
      <c r="P137" s="622"/>
      <c r="Q137" s="1063"/>
      <c r="R137" s="622"/>
      <c r="S137" s="982"/>
      <c r="T137" s="1028"/>
      <c r="U137" s="959"/>
      <c r="V137" s="878"/>
      <c r="W137" s="958"/>
    </row>
    <row r="138" spans="1:44" s="224" customFormat="1" ht="15" customHeight="1" x14ac:dyDescent="0.25">
      <c r="A138" s="247">
        <v>45503</v>
      </c>
      <c r="B138" s="349" t="s">
        <v>6730</v>
      </c>
      <c r="C138" s="350" t="s">
        <v>12</v>
      </c>
      <c r="D138" s="350" t="s">
        <v>6731</v>
      </c>
      <c r="E138" s="480" t="s">
        <v>13</v>
      </c>
      <c r="F138" s="780">
        <v>20</v>
      </c>
      <c r="G138" s="982"/>
      <c r="H138" s="95"/>
      <c r="I138" s="1064"/>
      <c r="J138" s="622"/>
      <c r="K138" s="982"/>
      <c r="L138" s="622"/>
      <c r="M138" s="982"/>
      <c r="N138" s="622"/>
      <c r="O138" s="982"/>
      <c r="P138" s="622"/>
      <c r="Q138" s="1063"/>
      <c r="R138" s="622"/>
      <c r="S138" s="982"/>
      <c r="T138" s="861"/>
      <c r="V138" s="927"/>
      <c r="W138" s="999"/>
    </row>
    <row r="139" spans="1:44" s="224" customFormat="1" ht="15" customHeight="1" x14ac:dyDescent="0.25">
      <c r="A139" s="247">
        <v>45504</v>
      </c>
      <c r="B139" s="882" t="s">
        <v>32</v>
      </c>
      <c r="C139" s="879" t="s">
        <v>12</v>
      </c>
      <c r="D139" s="879" t="s">
        <v>1485</v>
      </c>
      <c r="E139" s="875" t="s">
        <v>13</v>
      </c>
      <c r="F139" s="780">
        <v>22</v>
      </c>
      <c r="G139" s="982"/>
      <c r="H139" s="622"/>
      <c r="I139" s="982"/>
      <c r="J139" s="622"/>
      <c r="K139" s="982"/>
      <c r="L139" s="622"/>
      <c r="M139" s="982"/>
      <c r="N139" s="622"/>
      <c r="O139" s="982"/>
      <c r="P139" s="622"/>
      <c r="Q139" s="1063"/>
      <c r="R139" s="622"/>
      <c r="S139" s="982"/>
      <c r="T139" s="1028"/>
      <c r="U139" s="959"/>
      <c r="V139" s="878"/>
      <c r="W139" s="958"/>
    </row>
    <row r="140" spans="1:44" s="224" customFormat="1" ht="15" customHeight="1" x14ac:dyDescent="0.25">
      <c r="A140" s="247">
        <v>45504</v>
      </c>
      <c r="B140" s="882" t="s">
        <v>81</v>
      </c>
      <c r="C140" s="879" t="s">
        <v>12</v>
      </c>
      <c r="D140" s="879" t="s">
        <v>1493</v>
      </c>
      <c r="E140" s="871" t="s">
        <v>13</v>
      </c>
      <c r="F140" s="780">
        <v>4</v>
      </c>
      <c r="G140" s="982"/>
      <c r="H140" s="622"/>
      <c r="I140" s="982"/>
      <c r="J140" s="872"/>
      <c r="K140" s="1207"/>
      <c r="L140" s="622"/>
      <c r="M140" s="982"/>
      <c r="N140" s="622"/>
      <c r="O140" s="982"/>
      <c r="P140" s="622"/>
      <c r="Q140" s="1063"/>
      <c r="R140" s="622"/>
      <c r="S140" s="982"/>
      <c r="T140" s="1028"/>
      <c r="U140" s="959"/>
      <c r="V140" s="878"/>
      <c r="W140" s="958"/>
    </row>
    <row r="141" spans="1:44" s="224" customFormat="1" ht="15" customHeight="1" x14ac:dyDescent="0.25">
      <c r="A141" s="247">
        <v>45504</v>
      </c>
      <c r="B141" s="882" t="s">
        <v>81</v>
      </c>
      <c r="C141" s="879" t="s">
        <v>12</v>
      </c>
      <c r="D141" s="879" t="s">
        <v>1493</v>
      </c>
      <c r="E141" s="871" t="s">
        <v>13</v>
      </c>
      <c r="F141" s="780">
        <v>7</v>
      </c>
      <c r="G141" s="982"/>
      <c r="H141" s="622"/>
      <c r="I141" s="982"/>
      <c r="J141" s="622"/>
      <c r="K141" s="982"/>
      <c r="L141" s="622"/>
      <c r="M141" s="982"/>
      <c r="N141" s="622"/>
      <c r="O141" s="982"/>
      <c r="P141" s="622"/>
      <c r="Q141" s="1063"/>
      <c r="R141" s="622"/>
      <c r="S141" s="982"/>
      <c r="T141" s="1028"/>
      <c r="U141" s="959"/>
      <c r="V141" s="878"/>
      <c r="W141" s="958"/>
    </row>
    <row r="142" spans="1:44" s="224" customFormat="1" ht="15" customHeight="1" thickBot="1" x14ac:dyDescent="0.3">
      <c r="A142" s="247">
        <v>45504</v>
      </c>
      <c r="B142" s="349" t="s">
        <v>6168</v>
      </c>
      <c r="C142" s="350" t="s">
        <v>12</v>
      </c>
      <c r="D142" s="350"/>
      <c r="E142" s="480" t="s">
        <v>25</v>
      </c>
      <c r="F142" s="780"/>
      <c r="G142" s="946"/>
      <c r="H142" s="95"/>
      <c r="I142" s="2096"/>
      <c r="J142" s="622"/>
      <c r="K142" s="2096">
        <v>4.16</v>
      </c>
      <c r="L142" s="622"/>
      <c r="M142" s="982"/>
      <c r="N142" s="622"/>
      <c r="O142" s="982"/>
      <c r="P142" s="622"/>
      <c r="Q142" s="2096">
        <v>22.68</v>
      </c>
      <c r="R142" s="622"/>
      <c r="S142" s="982"/>
      <c r="T142" s="861"/>
      <c r="V142" s="927"/>
      <c r="W142" s="999"/>
    </row>
    <row r="143" spans="1:44" ht="25.5" customHeight="1" thickBot="1" x14ac:dyDescent="0.3">
      <c r="A143" s="3060"/>
      <c r="B143" s="3061"/>
      <c r="C143" s="3062"/>
      <c r="D143" s="3062"/>
      <c r="E143" s="3062"/>
      <c r="F143" s="1023">
        <f>SUM(F6:F142)</f>
        <v>11700.540833333333</v>
      </c>
      <c r="G143" s="1065">
        <f>SUM(G5:G142)</f>
        <v>12451.675750000046</v>
      </c>
      <c r="H143" s="517">
        <f>SUM(H6:H142)</f>
        <v>0</v>
      </c>
      <c r="I143" s="93">
        <f>SUM(I5:I142)</f>
        <v>-4.0000000010422809E-3</v>
      </c>
      <c r="J143" s="517">
        <f>SUM(J6:J142)</f>
        <v>5398.59</v>
      </c>
      <c r="K143" s="93">
        <f>SUM(K5:K142)</f>
        <v>5493.2400000000052</v>
      </c>
      <c r="L143" s="1023">
        <f>SUM(L6:L142)</f>
        <v>0</v>
      </c>
      <c r="M143" s="93">
        <f>SUM(M5:M142)</f>
        <v>26844.530000000002</v>
      </c>
      <c r="N143" s="1023">
        <f>SUM(N6:N142)</f>
        <v>0</v>
      </c>
      <c r="O143" s="93">
        <f>SUM(O5:O142)</f>
        <v>0</v>
      </c>
      <c r="P143" s="1023">
        <f>SUM(P6:P142)</f>
        <v>1045.54</v>
      </c>
      <c r="Q143" s="93">
        <f>SUM(Q5:Q142)</f>
        <v>4059.6900000000019</v>
      </c>
      <c r="R143" s="1023">
        <f>SUM(R6:R142)</f>
        <v>0</v>
      </c>
      <c r="S143" s="93">
        <f>SUM(S5:S142)</f>
        <v>30412.225984720004</v>
      </c>
      <c r="U143" s="216"/>
    </row>
    <row r="144" spans="1:44" ht="25.5" customHeight="1" thickBot="1" x14ac:dyDescent="0.3">
      <c r="A144" s="3063" t="s">
        <v>49</v>
      </c>
      <c r="B144" s="3064"/>
      <c r="C144" s="3064"/>
      <c r="D144" s="3064"/>
      <c r="E144" s="3064"/>
      <c r="F144" s="2046" t="s">
        <v>280</v>
      </c>
      <c r="G144" s="1066">
        <f>G143-F143</f>
        <v>751.13491666671325</v>
      </c>
      <c r="H144" s="1221"/>
      <c r="I144" s="772">
        <f>I143-H143</f>
        <v>-4.0000000010422809E-3</v>
      </c>
      <c r="J144" s="1221"/>
      <c r="K144" s="772">
        <f>K143-J143</f>
        <v>94.650000000005093</v>
      </c>
      <c r="L144" s="1222"/>
      <c r="M144" s="993">
        <f>M143-L143</f>
        <v>26844.530000000002</v>
      </c>
      <c r="N144" s="1222"/>
      <c r="O144" s="772">
        <f>O143-N143</f>
        <v>0</v>
      </c>
      <c r="P144" s="1222"/>
      <c r="Q144" s="772">
        <f>Q143-P143</f>
        <v>3014.1500000000019</v>
      </c>
      <c r="R144" s="1222"/>
      <c r="S144" s="772">
        <f>S143-R143</f>
        <v>30412.225984720004</v>
      </c>
      <c r="T144" s="484">
        <f>M144+O144+Q144+S144</f>
        <v>60270.905984720011</v>
      </c>
    </row>
    <row r="145" spans="1:28" x14ac:dyDescent="0.25">
      <c r="J145" s="1210"/>
      <c r="K145" s="1038"/>
      <c r="L145" s="2044"/>
      <c r="M145" s="1238">
        <f>M144/T144</f>
        <v>0.44539781775979403</v>
      </c>
      <c r="O145" s="1238">
        <f>O144/T144</f>
        <v>0</v>
      </c>
      <c r="Q145" s="1238">
        <f>Q144/T144</f>
        <v>5.0010033045863864E-2</v>
      </c>
      <c r="R145" s="1239"/>
      <c r="S145" s="1239">
        <f>S144/T144</f>
        <v>0.50459214919434203</v>
      </c>
      <c r="T145" s="867"/>
      <c r="U145" s="867"/>
      <c r="V145" s="79"/>
      <c r="Y145" s="518"/>
      <c r="Z145" s="216"/>
      <c r="AB145" s="877"/>
    </row>
    <row r="146" spans="1:28" x14ac:dyDescent="0.25">
      <c r="B146" s="81" t="s">
        <v>3</v>
      </c>
      <c r="C146" s="193" t="s">
        <v>1484</v>
      </c>
      <c r="D146" s="970" t="s">
        <v>2378</v>
      </c>
      <c r="E146" s="193" t="s">
        <v>3216</v>
      </c>
      <c r="F146" s="1061" t="s">
        <v>3217</v>
      </c>
      <c r="G146" s="216"/>
      <c r="I146" s="216"/>
      <c r="J146" s="1038"/>
      <c r="K146" s="216"/>
      <c r="L146" s="867"/>
      <c r="M146" s="866"/>
      <c r="O146" s="866"/>
      <c r="Q146" s="866"/>
      <c r="R146" s="1038"/>
      <c r="S146" s="1038"/>
      <c r="T146" s="865"/>
      <c r="U146" s="867"/>
    </row>
    <row r="147" spans="1:28" x14ac:dyDescent="0.25">
      <c r="B147" s="79" t="s">
        <v>32</v>
      </c>
      <c r="C147" s="85" t="s">
        <v>1485</v>
      </c>
      <c r="D147" s="475">
        <f>SUMIF($D$7:$D$142,"A",$F$7:$F$142)</f>
        <v>479.9</v>
      </c>
      <c r="E147" s="1202">
        <f t="shared" ref="E147:E163" si="0">D147/$K$165</f>
        <v>15.480645161290322</v>
      </c>
      <c r="F147" s="1203">
        <f t="shared" ref="F147:F163" si="1">E147/$E$166</f>
        <v>9.7466757925393957E-2</v>
      </c>
      <c r="G147" s="800"/>
      <c r="I147" s="769"/>
      <c r="J147" s="1038"/>
      <c r="K147" s="1225"/>
      <c r="L147" s="1210"/>
      <c r="M147" s="754"/>
      <c r="O147" s="886"/>
      <c r="Q147" s="886"/>
      <c r="R147" s="886"/>
      <c r="S147" s="1038">
        <v>24197.98</v>
      </c>
      <c r="T147" s="1038" t="s">
        <v>6378</v>
      </c>
      <c r="U147" s="1210"/>
      <c r="W147" s="1201"/>
      <c r="X147" s="877"/>
    </row>
    <row r="148" spans="1:28" x14ac:dyDescent="0.25">
      <c r="B148" s="79" t="s">
        <v>2187</v>
      </c>
      <c r="C148" s="85" t="s">
        <v>2157</v>
      </c>
      <c r="D148" s="475">
        <f>SUMIF($D$8:$D$142,"GAC",$F$8:$F$142)</f>
        <v>449.72999999999996</v>
      </c>
      <c r="E148" s="1202">
        <f t="shared" si="0"/>
        <v>14.507419354838708</v>
      </c>
      <c r="F148" s="1203">
        <f t="shared" si="1"/>
        <v>9.1339289522374287E-2</v>
      </c>
      <c r="G148" s="609"/>
      <c r="J148" s="2125"/>
      <c r="K148" s="1129"/>
      <c r="L148" s="1038"/>
      <c r="M148" s="1225"/>
      <c r="O148" s="1210"/>
      <c r="Q148" s="1038"/>
      <c r="R148" s="1210"/>
      <c r="S148" s="1210">
        <f>S144+S147</f>
        <v>54610.20598472</v>
      </c>
      <c r="T148" s="1038" t="s">
        <v>6379</v>
      </c>
      <c r="W148" s="877"/>
      <c r="X148" s="877"/>
    </row>
    <row r="149" spans="1:28" s="85" customFormat="1" x14ac:dyDescent="0.25">
      <c r="A149" s="79"/>
      <c r="B149" s="79" t="s">
        <v>50</v>
      </c>
      <c r="C149" s="85" t="s">
        <v>1493</v>
      </c>
      <c r="D149" s="475">
        <f>SUMIF($D$8:$D$142,"LD",$F$8:$F$142)</f>
        <v>305.33000000000004</v>
      </c>
      <c r="E149" s="1202">
        <f t="shared" si="0"/>
        <v>9.8493548387096794</v>
      </c>
      <c r="F149" s="1203">
        <f t="shared" si="1"/>
        <v>6.2011929979913609E-2</v>
      </c>
      <c r="J149" s="1210"/>
      <c r="K149" s="1038"/>
      <c r="L149" s="864"/>
      <c r="M149" s="877"/>
      <c r="O149" s="941"/>
      <c r="P149" s="877"/>
      <c r="Q149" s="863"/>
      <c r="S149" s="79"/>
      <c r="T149" s="177"/>
      <c r="W149" s="877"/>
      <c r="X149" s="877"/>
    </row>
    <row r="150" spans="1:28" s="85" customFormat="1" x14ac:dyDescent="0.25">
      <c r="A150" s="79"/>
      <c r="B150" s="79" t="s">
        <v>14</v>
      </c>
      <c r="C150" s="85" t="s">
        <v>1486</v>
      </c>
      <c r="D150" s="475">
        <f>SUMIF($D$8:$D$142,"C",$F$8:$F$142)</f>
        <v>103.11</v>
      </c>
      <c r="E150" s="1202">
        <f t="shared" si="0"/>
        <v>3.3261290322580646</v>
      </c>
      <c r="F150" s="1203">
        <f t="shared" si="1"/>
        <v>2.0941440737002232E-2</v>
      </c>
      <c r="G150" s="79"/>
      <c r="H150" s="79"/>
      <c r="J150" s="1210"/>
      <c r="K150" s="1038"/>
      <c r="L150" s="1038"/>
      <c r="M150" s="877"/>
      <c r="O150" s="1028"/>
      <c r="P150" s="877"/>
      <c r="Q150" s="1038"/>
      <c r="T150" s="177"/>
      <c r="W150" s="877"/>
      <c r="X150" s="877"/>
    </row>
    <row r="151" spans="1:28" s="85" customFormat="1" x14ac:dyDescent="0.25">
      <c r="B151" s="79" t="s">
        <v>51</v>
      </c>
      <c r="C151" s="864" t="s">
        <v>1499</v>
      </c>
      <c r="D151" s="475">
        <f>SUMIF($D$8:$D$142,"CAL",$F$8:$F$142)</f>
        <v>144.63999999999999</v>
      </c>
      <c r="E151" s="1202">
        <f t="shared" si="0"/>
        <v>4.6658064516129025</v>
      </c>
      <c r="F151" s="1203">
        <f t="shared" si="1"/>
        <v>2.9376103076326276E-2</v>
      </c>
      <c r="G151" s="79"/>
      <c r="H151" s="79"/>
      <c r="I151" s="79"/>
      <c r="J151" s="1210"/>
      <c r="K151" s="1038"/>
      <c r="L151" s="1038"/>
      <c r="M151" s="877"/>
      <c r="O151" s="1028"/>
      <c r="P151" s="877"/>
      <c r="Q151" s="1038"/>
      <c r="R151" s="1210"/>
      <c r="S151" s="1038"/>
      <c r="T151" s="177"/>
      <c r="W151" s="877"/>
      <c r="X151" s="877"/>
    </row>
    <row r="152" spans="1:28" s="85" customFormat="1" x14ac:dyDescent="0.25">
      <c r="A152" s="79"/>
      <c r="B152" s="79" t="s">
        <v>2189</v>
      </c>
      <c r="C152" s="864" t="s">
        <v>1496</v>
      </c>
      <c r="D152" s="475">
        <f>SUMIF($D$20:$D$142,"AC",$F$20:$F$142)</f>
        <v>90</v>
      </c>
      <c r="E152" s="1202">
        <f t="shared" si="0"/>
        <v>2.903225806451613</v>
      </c>
      <c r="F152" s="1203">
        <f t="shared" si="1"/>
        <v>1.8278825199594614E-2</v>
      </c>
      <c r="G152" s="79"/>
      <c r="J152" s="1210"/>
      <c r="K152" s="1038"/>
      <c r="L152" s="1038"/>
      <c r="M152" s="877"/>
      <c r="O152" s="877"/>
      <c r="Q152" s="177"/>
      <c r="T152" s="177"/>
      <c r="W152" s="877"/>
      <c r="X152" s="877"/>
    </row>
    <row r="153" spans="1:28" s="85" customFormat="1" x14ac:dyDescent="0.25">
      <c r="A153" s="79"/>
      <c r="B153" s="867" t="s">
        <v>53</v>
      </c>
      <c r="C153" s="864" t="s">
        <v>1522</v>
      </c>
      <c r="D153" s="475">
        <f>SUMIF($D$8:$D$142,"DC",$F$8:$F$142)</f>
        <v>361.57</v>
      </c>
      <c r="E153" s="1202">
        <f t="shared" si="0"/>
        <v>11.663548387096775</v>
      </c>
      <c r="F153" s="1203">
        <f t="shared" si="1"/>
        <v>7.3434164749082501E-2</v>
      </c>
      <c r="J153" s="1210"/>
      <c r="K153" s="1038"/>
      <c r="L153" s="79"/>
      <c r="M153" s="877"/>
      <c r="O153" s="1959"/>
      <c r="Q153" s="177"/>
      <c r="R153" s="868"/>
      <c r="S153" s="769"/>
      <c r="T153" s="79"/>
      <c r="W153" s="877"/>
      <c r="X153" s="877"/>
    </row>
    <row r="154" spans="1:28" s="85" customFormat="1" x14ac:dyDescent="0.25">
      <c r="A154" s="79"/>
      <c r="B154" s="79" t="s">
        <v>3048</v>
      </c>
      <c r="C154" s="864" t="s">
        <v>1523</v>
      </c>
      <c r="D154" s="475">
        <f ca="1">SUMIF($D$7:$D$143,"B",$F$7:$F$142)</f>
        <v>0</v>
      </c>
      <c r="E154" s="1202">
        <f t="shared" ca="1" si="0"/>
        <v>0</v>
      </c>
      <c r="F154" s="1203">
        <f t="shared" ca="1" si="1"/>
        <v>0</v>
      </c>
      <c r="G154" s="866"/>
      <c r="J154" s="1210"/>
      <c r="K154" s="1038"/>
      <c r="L154" s="1038"/>
      <c r="M154" s="877"/>
      <c r="O154" s="877"/>
      <c r="Q154" s="177"/>
      <c r="R154" s="866"/>
      <c r="S154" s="1210"/>
      <c r="T154" s="877"/>
      <c r="W154" s="877"/>
      <c r="X154" s="877"/>
    </row>
    <row r="155" spans="1:28" s="85" customFormat="1" x14ac:dyDescent="0.25">
      <c r="A155" s="79"/>
      <c r="B155" s="79" t="s">
        <v>1686</v>
      </c>
      <c r="C155" s="864" t="s">
        <v>1506</v>
      </c>
      <c r="D155" s="475">
        <f>SUMIF($D$7:$D$142,"R",$F$7:$F$142)</f>
        <v>60</v>
      </c>
      <c r="E155" s="1202">
        <f t="shared" si="0"/>
        <v>1.935483870967742</v>
      </c>
      <c r="F155" s="1203">
        <f t="shared" si="1"/>
        <v>1.2185883466396411E-2</v>
      </c>
      <c r="G155" s="868"/>
      <c r="J155" s="1210"/>
      <c r="K155" s="1038"/>
      <c r="M155" s="877"/>
      <c r="O155" s="877"/>
      <c r="Q155" s="177"/>
      <c r="R155" s="1226"/>
      <c r="S155" s="1129"/>
      <c r="T155" s="877"/>
      <c r="W155" s="877"/>
      <c r="X155" s="877"/>
    </row>
    <row r="156" spans="1:28" x14ac:dyDescent="0.25">
      <c r="B156" s="79" t="s">
        <v>418</v>
      </c>
      <c r="C156" s="85" t="s">
        <v>1524</v>
      </c>
      <c r="D156" s="475">
        <f>SUMIF($D$8:$D$142,"COM",$F$8:$F$142)</f>
        <v>5399.9108333333334</v>
      </c>
      <c r="E156" s="1202">
        <f t="shared" si="0"/>
        <v>174.19067204301075</v>
      </c>
      <c r="F156" s="1203">
        <f t="shared" si="1"/>
        <v>1.0967114023988587</v>
      </c>
      <c r="G156" s="85"/>
      <c r="H156" s="85"/>
      <c r="I156" s="85"/>
      <c r="J156" s="1210"/>
      <c r="K156" s="1038"/>
      <c r="L156" s="769"/>
      <c r="M156" s="1225"/>
      <c r="N156" s="769"/>
      <c r="O156" s="877"/>
      <c r="P156" s="769"/>
      <c r="Q156" s="216"/>
      <c r="R156" s="1038"/>
      <c r="S156" s="1226"/>
      <c r="T156" s="877"/>
      <c r="W156" s="877"/>
      <c r="X156" s="877"/>
    </row>
    <row r="157" spans="1:28" x14ac:dyDescent="0.25">
      <c r="B157" s="79" t="s">
        <v>6732</v>
      </c>
      <c r="C157" s="85" t="s">
        <v>1491</v>
      </c>
      <c r="D157" s="475">
        <f>SUMIF($D$20:$D$142,"F",$F$20:$F$142)</f>
        <v>911.9</v>
      </c>
      <c r="E157" s="1202">
        <f t="shared" si="0"/>
        <v>29.416129032258063</v>
      </c>
      <c r="F157" s="1203">
        <f t="shared" si="1"/>
        <v>0.18520511888344809</v>
      </c>
      <c r="I157" s="85"/>
      <c r="J157" s="1210"/>
      <c r="K157" s="1038"/>
      <c r="P157" s="216"/>
      <c r="Q157" s="216"/>
      <c r="S157" s="484"/>
      <c r="T157" s="877"/>
      <c r="W157" s="877"/>
      <c r="X157" s="877"/>
    </row>
    <row r="158" spans="1:28" x14ac:dyDescent="0.25">
      <c r="B158" s="79" t="s">
        <v>6733</v>
      </c>
      <c r="C158" s="85" t="s">
        <v>6731</v>
      </c>
      <c r="D158" s="475">
        <f>SUMIF($D$20:$D$142,"F2",$F$20:$F$142)</f>
        <v>20</v>
      </c>
      <c r="E158" s="1202">
        <f t="shared" ref="E158" si="2">D158/$K$165</f>
        <v>0.64516129032258063</v>
      </c>
      <c r="F158" s="1203">
        <f t="shared" ref="F158" si="3">E158/$E$166</f>
        <v>4.0619611554654697E-3</v>
      </c>
      <c r="I158" s="85"/>
      <c r="J158" s="1210"/>
      <c r="K158" s="1038"/>
      <c r="P158" s="216"/>
      <c r="Q158" s="216"/>
      <c r="S158" s="484"/>
      <c r="T158" s="877"/>
      <c r="W158" s="877"/>
      <c r="X158" s="877"/>
    </row>
    <row r="159" spans="1:28" x14ac:dyDescent="0.25">
      <c r="B159" s="79" t="s">
        <v>911</v>
      </c>
      <c r="C159" s="85" t="s">
        <v>1525</v>
      </c>
      <c r="D159" s="475">
        <f>SUMIF($D$8:$D$142,"FER",$F$8:$F$142)</f>
        <v>0</v>
      </c>
      <c r="E159" s="1202">
        <f>D159/$K$165</f>
        <v>0</v>
      </c>
      <c r="F159" s="1203">
        <f>E159/$E$166</f>
        <v>0</v>
      </c>
      <c r="J159" s="1210"/>
      <c r="K159" s="1038"/>
      <c r="Q159" s="216"/>
      <c r="S159" s="484"/>
      <c r="T159" s="1673"/>
      <c r="W159" s="877"/>
      <c r="X159" s="877"/>
    </row>
    <row r="160" spans="1:28" x14ac:dyDescent="0.25">
      <c r="B160" s="79" t="s">
        <v>1526</v>
      </c>
      <c r="C160" s="85" t="s">
        <v>1504</v>
      </c>
      <c r="D160" s="475">
        <f>SUMIF($D$22:$D$142,"I",$F$22:$F$142)</f>
        <v>155</v>
      </c>
      <c r="E160" s="1202">
        <f>D160/$K$165</f>
        <v>5</v>
      </c>
      <c r="F160" s="1203">
        <f>E160/$E$166</f>
        <v>3.1480198954857395E-2</v>
      </c>
      <c r="J160" s="1210"/>
      <c r="K160" s="1038"/>
      <c r="L160" s="769"/>
      <c r="M160" s="868"/>
      <c r="N160" s="769"/>
      <c r="P160" s="769"/>
      <c r="Q160" s="886"/>
      <c r="R160" s="1210"/>
      <c r="S160" s="1038"/>
      <c r="T160" s="1129"/>
      <c r="V160" s="1129"/>
      <c r="W160" s="877"/>
      <c r="X160" s="877"/>
    </row>
    <row r="161" spans="1:26" x14ac:dyDescent="0.25">
      <c r="B161" s="79" t="s">
        <v>2343</v>
      </c>
      <c r="C161" s="85" t="s">
        <v>2315</v>
      </c>
      <c r="D161" s="475">
        <f>SUMIF($D$22:$D$142,"E",$F$22:$F$142)</f>
        <v>0</v>
      </c>
      <c r="E161" s="1202">
        <f>D161/$K$165</f>
        <v>0</v>
      </c>
      <c r="F161" s="1203">
        <f t="shared" si="1"/>
        <v>0</v>
      </c>
      <c r="J161" s="1210"/>
      <c r="K161" s="1038"/>
      <c r="L161" s="769"/>
      <c r="M161" s="868"/>
      <c r="N161" s="769"/>
      <c r="O161" s="1210"/>
      <c r="P161" s="769"/>
      <c r="Q161" s="1673"/>
      <c r="R161" s="1210"/>
      <c r="S161" s="1038"/>
      <c r="T161" s="1129"/>
      <c r="V161" s="1129"/>
      <c r="W161" s="877"/>
      <c r="X161" s="877"/>
    </row>
    <row r="162" spans="1:26" x14ac:dyDescent="0.25">
      <c r="B162" s="79" t="s">
        <v>3019</v>
      </c>
      <c r="C162" s="85" t="s">
        <v>3017</v>
      </c>
      <c r="D162" s="475">
        <f>SUMIF($D$6:$D$142,"IM",$F$6:$F$142)</f>
        <v>0</v>
      </c>
      <c r="E162" s="1202">
        <f t="shared" si="0"/>
        <v>0</v>
      </c>
      <c r="F162" s="1203">
        <f t="shared" si="1"/>
        <v>0</v>
      </c>
      <c r="J162" s="1210"/>
      <c r="K162" s="1038"/>
      <c r="L162" s="769"/>
      <c r="N162" s="769"/>
      <c r="P162" s="769"/>
      <c r="R162" s="941"/>
      <c r="S162" s="224"/>
      <c r="T162" s="1226"/>
      <c r="U162" s="1129"/>
      <c r="V162" s="1129"/>
      <c r="W162" s="877"/>
      <c r="X162" s="877"/>
    </row>
    <row r="163" spans="1:26" x14ac:dyDescent="0.25">
      <c r="B163" s="79" t="s">
        <v>1527</v>
      </c>
      <c r="C163" s="85" t="s">
        <v>1489</v>
      </c>
      <c r="D163" s="475">
        <f>SUMIF($D$8:$D$142,"OD",$F$8:$F$142)</f>
        <v>413.90999999999997</v>
      </c>
      <c r="E163" s="1202">
        <f t="shared" si="0"/>
        <v>13.351935483870967</v>
      </c>
      <c r="F163" s="1203">
        <f t="shared" si="1"/>
        <v>8.4064317092935631E-2</v>
      </c>
      <c r="J163" s="1210"/>
      <c r="K163" s="1038"/>
      <c r="R163" s="1210"/>
      <c r="S163" s="1038"/>
      <c r="T163" s="1226"/>
      <c r="U163" s="1129"/>
      <c r="V163" s="1129"/>
      <c r="W163" s="877"/>
      <c r="X163" s="877"/>
    </row>
    <row r="164" spans="1:26" x14ac:dyDescent="0.25">
      <c r="C164" s="79"/>
      <c r="D164" s="629"/>
      <c r="E164" s="79"/>
      <c r="F164" s="79"/>
      <c r="J164" s="2037"/>
      <c r="K164" s="629"/>
      <c r="L164" s="459" t="s">
        <v>6481</v>
      </c>
      <c r="M164" s="2125" t="s">
        <v>6482</v>
      </c>
      <c r="R164" s="1210"/>
      <c r="S164" s="1038"/>
      <c r="T164" s="1227"/>
      <c r="U164" s="1129"/>
      <c r="V164" s="1129"/>
      <c r="W164" s="877"/>
      <c r="X164" s="877"/>
    </row>
    <row r="165" spans="1:26" x14ac:dyDescent="0.25">
      <c r="C165" s="3168" t="s">
        <v>486</v>
      </c>
      <c r="D165" s="3168"/>
      <c r="E165" s="863">
        <f ca="1">J165/K165</f>
        <v>286.93551075268817</v>
      </c>
      <c r="G165" s="518" t="s">
        <v>487</v>
      </c>
      <c r="J165" s="629">
        <f ca="1">SUM(D147:D163)</f>
        <v>8895.0008333333335</v>
      </c>
      <c r="K165" s="1517">
        <v>31</v>
      </c>
      <c r="M165" s="1138">
        <f ca="1">4765.07-J166</f>
        <v>1269.9799999999996</v>
      </c>
      <c r="N165" s="216"/>
      <c r="P165" s="216"/>
      <c r="Q165" s="1517"/>
      <c r="R165" s="1210"/>
      <c r="S165" s="1038"/>
      <c r="T165" s="1226"/>
      <c r="U165" s="1129"/>
      <c r="V165" s="1129"/>
      <c r="W165" s="877"/>
      <c r="X165" s="877"/>
    </row>
    <row r="166" spans="1:26" ht="15.75" customHeight="1" x14ac:dyDescent="0.25">
      <c r="B166" s="3167" t="s">
        <v>6247</v>
      </c>
      <c r="C166" s="3167"/>
      <c r="D166" s="3167"/>
      <c r="E166" s="1125">
        <v>158.83000000000001</v>
      </c>
      <c r="G166" s="518" t="s">
        <v>6257</v>
      </c>
      <c r="J166" s="609">
        <f ca="1">J165-D156</f>
        <v>3495.09</v>
      </c>
      <c r="K166" s="629"/>
      <c r="L166" s="1517"/>
      <c r="M166" s="868"/>
      <c r="O166" s="868"/>
      <c r="Q166" s="868"/>
      <c r="R166" s="1210"/>
      <c r="S166" s="1038"/>
      <c r="T166" s="1226"/>
      <c r="U166" s="1129"/>
      <c r="V166" s="1129"/>
      <c r="W166" s="877"/>
      <c r="X166" s="877"/>
    </row>
    <row r="167" spans="1:26" x14ac:dyDescent="0.25">
      <c r="A167" s="518"/>
      <c r="C167" s="79"/>
      <c r="D167" s="79"/>
      <c r="E167" s="769"/>
      <c r="F167" s="866"/>
      <c r="G167" s="769"/>
      <c r="H167" s="866"/>
      <c r="I167" s="1210"/>
      <c r="J167" s="867"/>
      <c r="K167" s="866"/>
      <c r="L167" s="89"/>
      <c r="N167" s="1038"/>
      <c r="O167" s="1210"/>
      <c r="P167" s="1038"/>
      <c r="Q167" s="1210"/>
      <c r="R167" s="1210"/>
      <c r="S167" s="1038"/>
      <c r="T167" s="769"/>
      <c r="U167" s="484" t="s">
        <v>280</v>
      </c>
      <c r="V167" s="216"/>
      <c r="W167" s="866"/>
      <c r="X167" s="484"/>
      <c r="Z167" s="877"/>
    </row>
    <row r="168" spans="1:26" s="518" customFormat="1" x14ac:dyDescent="0.25">
      <c r="A168" s="79"/>
      <c r="B168" s="79"/>
      <c r="C168" s="79"/>
      <c r="D168" s="79"/>
      <c r="E168" s="1126">
        <f ca="1">E166-E165</f>
        <v>-128.10551075268816</v>
      </c>
      <c r="F168" s="1205">
        <f ca="1">SUM(F147:F167)</f>
        <v>1.8065573931416492</v>
      </c>
      <c r="G168" s="85"/>
      <c r="H168" s="85"/>
      <c r="I168" s="89"/>
      <c r="J168" s="1210"/>
      <c r="K168" s="754"/>
      <c r="L168" s="79"/>
      <c r="M168" s="79"/>
      <c r="N168" s="79"/>
      <c r="O168" s="79"/>
      <c r="P168" s="79"/>
      <c r="Q168" s="79"/>
      <c r="R168" s="1210"/>
      <c r="S168" s="1038"/>
      <c r="T168" s="79"/>
      <c r="U168" s="79"/>
      <c r="V168" s="866"/>
      <c r="W168" s="484"/>
      <c r="X168" s="79"/>
      <c r="Y168" s="877"/>
      <c r="Z168" s="79"/>
    </row>
    <row r="169" spans="1:26" s="518" customFormat="1" x14ac:dyDescent="0.25">
      <c r="A169" s="79"/>
      <c r="B169" s="79"/>
      <c r="C169" s="85"/>
      <c r="D169" s="85"/>
      <c r="E169" s="85"/>
      <c r="J169" s="1038"/>
      <c r="K169" s="1225"/>
      <c r="S169" s="1038"/>
      <c r="T169" s="484"/>
      <c r="U169" s="79"/>
      <c r="V169" s="877"/>
      <c r="W169" s="79"/>
    </row>
    <row r="170" spans="1:26" s="518" customFormat="1" x14ac:dyDescent="0.25">
      <c r="A170" s="79"/>
      <c r="B170" s="1124" t="s">
        <v>6376</v>
      </c>
      <c r="C170" s="2125"/>
      <c r="D170" s="2219">
        <f>SUMIF($E$7:$E$141,"crédito",$G$7:$G$141)</f>
        <v>5363.5599999999995</v>
      </c>
      <c r="E170" s="85"/>
      <c r="F170" s="89"/>
      <c r="G170" s="79"/>
      <c r="H170" s="79"/>
      <c r="I170" s="79"/>
      <c r="J170" s="1038"/>
      <c r="K170" s="1225"/>
      <c r="L170" s="769"/>
      <c r="M170" s="866"/>
      <c r="N170" s="769"/>
      <c r="O170" s="866"/>
      <c r="P170" s="769"/>
      <c r="Q170" s="866"/>
      <c r="R170" s="1210"/>
      <c r="S170" s="1038"/>
      <c r="T170" s="484"/>
      <c r="U170" s="79"/>
      <c r="V170" s="877"/>
      <c r="W170" s="79"/>
    </row>
    <row r="171" spans="1:26" s="518" customFormat="1" x14ac:dyDescent="0.25">
      <c r="A171" s="79"/>
      <c r="B171" s="518" t="s">
        <v>6496</v>
      </c>
      <c r="C171" s="459"/>
      <c r="D171" s="2218">
        <f ca="1">SUM(D147:D164)-D156</f>
        <v>3495.09</v>
      </c>
      <c r="E171" s="85"/>
      <c r="F171" s="89"/>
      <c r="G171" s="79"/>
      <c r="H171" s="79"/>
      <c r="I171" s="216"/>
      <c r="J171" s="864"/>
      <c r="K171" s="877"/>
      <c r="L171" s="769"/>
      <c r="M171" s="866"/>
      <c r="N171" s="769"/>
      <c r="O171" s="866"/>
      <c r="P171" s="769"/>
      <c r="Q171" s="866"/>
      <c r="R171" s="1210"/>
      <c r="S171" s="1038"/>
      <c r="T171" s="484"/>
      <c r="U171" s="79"/>
      <c r="V171" s="877"/>
      <c r="W171" s="79"/>
    </row>
    <row r="172" spans="1:26" s="518" customFormat="1" x14ac:dyDescent="0.25">
      <c r="A172" s="79"/>
      <c r="B172" s="81" t="s">
        <v>6497</v>
      </c>
      <c r="C172" s="81"/>
      <c r="D172" s="1014">
        <f ca="1">D170-D171</f>
        <v>1868.4699999999993</v>
      </c>
      <c r="E172" s="79"/>
      <c r="F172" s="79"/>
      <c r="G172" s="79"/>
      <c r="H172" s="79"/>
      <c r="J172" s="1038"/>
      <c r="K172" s="877"/>
      <c r="M172" s="866"/>
      <c r="O172" s="866"/>
      <c r="Q172" s="866"/>
      <c r="R172" s="1210"/>
      <c r="S172" s="1038"/>
      <c r="T172" s="484"/>
      <c r="U172" s="79"/>
      <c r="V172" s="877"/>
      <c r="W172" s="79"/>
    </row>
    <row r="173" spans="1:26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216"/>
      <c r="J173" s="1038"/>
      <c r="K173" s="877"/>
      <c r="L173" s="769"/>
      <c r="M173" s="866"/>
      <c r="N173" s="769"/>
      <c r="O173" s="866"/>
      <c r="P173" s="769"/>
      <c r="Q173" s="866"/>
      <c r="R173" s="1210"/>
      <c r="S173" s="1038"/>
      <c r="T173" s="484"/>
      <c r="U173" s="79"/>
      <c r="V173" s="877"/>
      <c r="W173" s="79"/>
    </row>
    <row r="174" spans="1:26" s="518" customFormat="1" x14ac:dyDescent="0.25">
      <c r="A174" s="79"/>
      <c r="B174" s="79"/>
      <c r="C174" s="79"/>
      <c r="D174" s="79"/>
      <c r="E174" s="79"/>
      <c r="F174" s="79"/>
      <c r="G174" s="216"/>
      <c r="H174" s="79"/>
      <c r="I174" s="216"/>
      <c r="J174" s="1038"/>
      <c r="K174" s="877"/>
      <c r="L174" s="769"/>
      <c r="M174" s="868"/>
      <c r="N174" s="769"/>
      <c r="O174" s="868"/>
      <c r="P174" s="769"/>
      <c r="Q174" s="868"/>
      <c r="R174" s="1210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79"/>
      <c r="C175" s="79"/>
      <c r="D175" s="79"/>
      <c r="E175" s="79"/>
      <c r="F175" s="79"/>
      <c r="G175" s="216"/>
      <c r="H175" s="79"/>
      <c r="I175" s="216"/>
      <c r="J175" s="79"/>
      <c r="K175" s="877"/>
      <c r="L175" s="769"/>
      <c r="M175" s="866"/>
      <c r="N175" s="769"/>
      <c r="O175" s="866"/>
      <c r="P175" s="769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79"/>
      <c r="C176" s="79"/>
      <c r="D176" s="79"/>
      <c r="E176" s="79"/>
      <c r="F176" s="79"/>
      <c r="G176" s="216"/>
      <c r="H176" s="79"/>
      <c r="I176" s="79"/>
      <c r="J176" s="85"/>
      <c r="K176" s="877"/>
      <c r="L176" s="770"/>
      <c r="M176" s="866"/>
      <c r="N176" s="770"/>
      <c r="O176" s="866"/>
      <c r="P176" s="770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1038"/>
      <c r="K177" s="877"/>
      <c r="L177" s="769"/>
      <c r="M177" s="868"/>
      <c r="N177" s="769"/>
      <c r="O177" s="868"/>
      <c r="P177" s="769"/>
      <c r="Q177" s="868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85"/>
      <c r="D178" s="85"/>
      <c r="E178" s="85"/>
      <c r="F178" s="89"/>
      <c r="G178" s="79"/>
      <c r="H178" s="79"/>
      <c r="I178" s="79"/>
      <c r="J178" s="85"/>
      <c r="K178" s="877"/>
      <c r="L178" s="769"/>
      <c r="M178" s="866"/>
      <c r="N178" s="769"/>
      <c r="O178" s="866"/>
      <c r="P178" s="769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629"/>
      <c r="J179" s="769"/>
      <c r="K179" s="1225"/>
      <c r="L179" s="769"/>
      <c r="M179" s="866"/>
      <c r="N179" s="769"/>
      <c r="O179" s="866"/>
      <c r="P179" s="769"/>
      <c r="Q179" s="866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85"/>
      <c r="D180" s="85"/>
      <c r="E180" s="85"/>
      <c r="F180" s="89"/>
      <c r="G180" s="79"/>
      <c r="H180" s="79"/>
      <c r="I180" s="79"/>
      <c r="J180" s="79"/>
      <c r="K180" s="79"/>
      <c r="L180" s="769"/>
      <c r="M180" s="866"/>
      <c r="N180" s="769"/>
      <c r="O180" s="866"/>
      <c r="P180" s="769"/>
      <c r="Q180" s="866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85"/>
      <c r="D181" s="85"/>
      <c r="E181" s="85"/>
      <c r="F181" s="89"/>
      <c r="G181" s="79"/>
      <c r="H181" s="79"/>
      <c r="I181" s="79"/>
      <c r="J181" s="79"/>
      <c r="K181" s="79"/>
      <c r="L181" s="769"/>
      <c r="M181" s="866"/>
      <c r="N181" s="769"/>
      <c r="O181" s="866"/>
      <c r="P181" s="769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769"/>
      <c r="K182" s="868"/>
      <c r="L182" s="769"/>
      <c r="M182" s="866"/>
      <c r="N182" s="769"/>
      <c r="O182" s="866"/>
      <c r="P182" s="769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85"/>
      <c r="D183" s="85"/>
      <c r="E183" s="85"/>
      <c r="F183" s="89"/>
      <c r="G183" s="79"/>
      <c r="H183" s="79"/>
      <c r="I183" s="79"/>
      <c r="J183" s="769"/>
      <c r="K183" s="868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69"/>
      <c r="K184" s="79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216"/>
      <c r="J185" s="79"/>
      <c r="K185" s="79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79"/>
      <c r="D186" s="79"/>
      <c r="E186" s="79"/>
      <c r="F186" s="79"/>
      <c r="G186" s="79"/>
      <c r="H186" s="79"/>
      <c r="I186" s="216"/>
      <c r="J186" s="79"/>
      <c r="K186" s="79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79"/>
      <c r="D187" s="79"/>
      <c r="E187" s="79"/>
      <c r="F187" s="79"/>
      <c r="G187" s="79"/>
      <c r="H187" s="79"/>
      <c r="I187" s="216"/>
      <c r="J187" s="1517"/>
      <c r="K187" s="79"/>
      <c r="L187" s="769"/>
      <c r="M187" s="866"/>
      <c r="N187" s="769"/>
      <c r="O187" s="866"/>
      <c r="P187" s="769"/>
      <c r="Q187" s="866"/>
      <c r="T187" s="484"/>
      <c r="U187" s="79"/>
      <c r="V187" s="877"/>
      <c r="W187" s="79"/>
    </row>
    <row r="188" spans="1:23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79"/>
      <c r="K188" s="868"/>
      <c r="L188" s="769"/>
      <c r="M188" s="866"/>
      <c r="N188" s="769"/>
      <c r="O188" s="866"/>
      <c r="P188" s="769"/>
      <c r="Q188" s="866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89"/>
      <c r="K189" s="79"/>
      <c r="L189" s="769"/>
      <c r="M189" s="868"/>
      <c r="N189" s="769"/>
      <c r="O189" s="868"/>
      <c r="P189" s="769"/>
      <c r="Q189" s="868"/>
      <c r="R189" s="79"/>
      <c r="S189" s="79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9"/>
      <c r="K190" s="79"/>
      <c r="L190" s="769"/>
      <c r="M190" s="868"/>
      <c r="N190" s="769"/>
      <c r="O190" s="868"/>
      <c r="P190" s="769"/>
      <c r="Q190" s="868"/>
      <c r="R190" s="81"/>
      <c r="S190" s="755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L191" s="769"/>
      <c r="M191" s="868"/>
      <c r="N191" s="769"/>
      <c r="O191" s="868"/>
      <c r="P191" s="769"/>
      <c r="Q191" s="868"/>
      <c r="R191" s="868"/>
      <c r="S191" s="79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69"/>
      <c r="K192" s="866"/>
      <c r="L192" s="769"/>
      <c r="M192" s="868"/>
      <c r="N192" s="769"/>
      <c r="O192" s="868"/>
      <c r="P192" s="769"/>
      <c r="Q192" s="868"/>
      <c r="R192" s="754"/>
      <c r="S192" s="88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769"/>
      <c r="K193" s="866"/>
      <c r="L193" s="769"/>
      <c r="M193" s="868"/>
      <c r="N193" s="769"/>
      <c r="O193" s="868"/>
      <c r="P193" s="769"/>
      <c r="Q193" s="868"/>
      <c r="R193" s="864"/>
      <c r="S193" s="864"/>
      <c r="T193" s="484"/>
      <c r="U193" s="79"/>
      <c r="V193" s="877"/>
      <c r="W193" s="79"/>
    </row>
    <row r="194" spans="1:23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K194" s="866"/>
      <c r="L194" s="769"/>
      <c r="M194" s="866"/>
      <c r="N194" s="769"/>
      <c r="O194" s="866"/>
      <c r="P194" s="769"/>
      <c r="Q194" s="866"/>
      <c r="R194" s="864"/>
      <c r="S194" s="1032"/>
      <c r="T194" s="484"/>
      <c r="U194" s="79"/>
      <c r="V194" s="877"/>
      <c r="W194" s="79"/>
    </row>
    <row r="195" spans="1:23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866"/>
      <c r="L195" s="769"/>
      <c r="M195" s="866"/>
      <c r="N195" s="769"/>
      <c r="O195" s="866"/>
      <c r="P195" s="769"/>
      <c r="Q195" s="866"/>
      <c r="R195" s="864"/>
      <c r="S195" s="1032"/>
      <c r="T195" s="484"/>
      <c r="U195" s="79"/>
      <c r="V195" s="877"/>
      <c r="W195" s="79"/>
    </row>
    <row r="196" spans="1:23" s="518" customFormat="1" x14ac:dyDescent="0.25">
      <c r="A196" s="79"/>
      <c r="B196" s="79"/>
      <c r="C196" s="85"/>
      <c r="D196" s="85"/>
      <c r="E196" s="85"/>
      <c r="F196" s="89"/>
      <c r="G196" s="79"/>
      <c r="H196" s="79"/>
      <c r="I196" s="79"/>
      <c r="J196" s="769"/>
      <c r="K196" s="868"/>
      <c r="L196" s="769"/>
      <c r="M196" s="868"/>
      <c r="N196" s="769"/>
      <c r="O196" s="868"/>
      <c r="P196" s="769"/>
      <c r="Q196" s="868"/>
      <c r="R196" s="85"/>
      <c r="S196" s="795"/>
      <c r="T196" s="484"/>
      <c r="U196" s="79"/>
      <c r="V196" s="877"/>
      <c r="W196" s="79"/>
    </row>
    <row r="197" spans="1:23" s="518" customFormat="1" x14ac:dyDescent="0.25">
      <c r="A197" s="79"/>
      <c r="B197" s="79"/>
      <c r="C197" s="85"/>
      <c r="D197" s="85"/>
      <c r="E197" s="85"/>
      <c r="F197" s="89"/>
      <c r="G197" s="79"/>
      <c r="H197" s="79"/>
      <c r="I197" s="79"/>
      <c r="J197" s="769"/>
      <c r="K197" s="866"/>
      <c r="L197" s="769"/>
      <c r="M197" s="866"/>
      <c r="N197" s="769"/>
      <c r="O197" s="866"/>
      <c r="P197" s="769"/>
      <c r="Q197" s="866"/>
      <c r="R197" s="85"/>
      <c r="S197" s="177"/>
      <c r="T197" s="484"/>
      <c r="U197" s="79"/>
      <c r="V197" s="877"/>
      <c r="W197" s="79"/>
    </row>
    <row r="198" spans="1:23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70"/>
      <c r="K198" s="866"/>
      <c r="L198" s="769"/>
      <c r="M198" s="866"/>
      <c r="N198" s="769"/>
      <c r="O198" s="866"/>
      <c r="P198" s="769"/>
      <c r="Q198" s="866"/>
      <c r="R198" s="85"/>
      <c r="S198" s="177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79"/>
      <c r="J199" s="769"/>
      <c r="K199" s="868"/>
      <c r="L199" s="769"/>
      <c r="M199" s="868"/>
      <c r="N199" s="769"/>
      <c r="O199" s="868"/>
      <c r="P199" s="769"/>
      <c r="Q199" s="868"/>
      <c r="R199" s="85"/>
      <c r="S199" s="177" t="s">
        <v>280</v>
      </c>
      <c r="T199" s="484"/>
      <c r="U199" s="79"/>
      <c r="V199" s="877"/>
      <c r="W199" s="79"/>
    </row>
    <row r="200" spans="1:23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79"/>
      <c r="J200" s="769"/>
      <c r="K200" s="866"/>
      <c r="L200" s="769"/>
      <c r="M200" s="868"/>
      <c r="N200" s="769"/>
      <c r="O200" s="868"/>
      <c r="P200" s="769"/>
      <c r="Q200" s="868"/>
      <c r="R200" s="85"/>
      <c r="S200" s="177"/>
      <c r="T200" s="484"/>
      <c r="U200" s="79"/>
      <c r="V200" s="877"/>
      <c r="W200" s="79"/>
    </row>
    <row r="201" spans="1:23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79"/>
      <c r="J201" s="769"/>
      <c r="K201" s="866"/>
      <c r="L201" s="769"/>
      <c r="M201" s="868"/>
      <c r="N201" s="769"/>
      <c r="O201" s="868"/>
      <c r="P201" s="769"/>
      <c r="Q201" s="868"/>
      <c r="R201" s="85"/>
      <c r="S201" s="866"/>
      <c r="T201" s="484"/>
      <c r="U201" s="79"/>
      <c r="V201" s="877"/>
      <c r="W201" s="79"/>
    </row>
    <row r="202" spans="1:23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79"/>
      <c r="J202" s="769"/>
      <c r="K202" s="866"/>
      <c r="L202" s="769"/>
      <c r="M202" s="868"/>
      <c r="N202" s="769"/>
      <c r="O202" s="868"/>
      <c r="P202" s="769"/>
      <c r="Q202" s="868"/>
      <c r="R202" s="769"/>
      <c r="S202" s="216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6"/>
      <c r="L203" s="769"/>
      <c r="M203" s="866"/>
      <c r="N203" s="769"/>
      <c r="O203" s="866"/>
      <c r="P203" s="769"/>
      <c r="Q203" s="866"/>
      <c r="R203" s="79"/>
      <c r="S203" s="216"/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L204" s="223"/>
      <c r="M204" s="629"/>
      <c r="N204" s="223"/>
      <c r="O204" s="629"/>
      <c r="P204" s="223"/>
      <c r="Q204" s="629"/>
      <c r="R204" s="769"/>
      <c r="S204" s="868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56"/>
      <c r="M205" s="756"/>
      <c r="N205" s="756"/>
      <c r="O205" s="756"/>
      <c r="P205" s="756"/>
      <c r="Q205" s="756"/>
      <c r="R205" s="769"/>
      <c r="S205" s="868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9"/>
      <c r="M206" s="79"/>
      <c r="N206" s="79"/>
      <c r="O206" s="79"/>
      <c r="P206" s="79"/>
      <c r="Q206" s="79"/>
      <c r="R206" s="769"/>
      <c r="S206" s="868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9"/>
      <c r="M207" s="79"/>
      <c r="N207" s="79"/>
      <c r="O207" s="79"/>
      <c r="P207" s="79"/>
      <c r="Q207" s="79"/>
      <c r="R207" s="769"/>
      <c r="S207" s="79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9"/>
      <c r="M208" s="79"/>
      <c r="N208" s="79"/>
      <c r="O208" s="79"/>
      <c r="P208" s="79"/>
      <c r="Q208" s="79"/>
      <c r="R208" s="79"/>
      <c r="S208" s="79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79"/>
      <c r="M209" s="79"/>
      <c r="N209" s="79"/>
      <c r="O209" s="79"/>
      <c r="P209" s="79"/>
      <c r="Q209" s="79"/>
      <c r="R209" s="79"/>
      <c r="S209" s="79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85"/>
      <c r="M210" s="85"/>
      <c r="N210" s="85"/>
      <c r="O210" s="85"/>
      <c r="P210" s="85"/>
      <c r="Q210" s="85"/>
      <c r="R210" s="1517"/>
      <c r="S210" s="79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8"/>
      <c r="L211" s="79"/>
      <c r="M211" s="79"/>
      <c r="N211" s="79"/>
      <c r="O211" s="79"/>
      <c r="P211" s="79"/>
      <c r="Q211" s="79"/>
      <c r="R211" s="79"/>
      <c r="S211" s="868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8"/>
      <c r="L212" s="79"/>
      <c r="M212" s="79"/>
      <c r="N212" s="79"/>
      <c r="O212" s="79"/>
      <c r="P212" s="79"/>
      <c r="Q212" s="79"/>
      <c r="R212" s="89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8"/>
      <c r="L213" s="79"/>
      <c r="M213" s="79"/>
      <c r="N213" s="79"/>
      <c r="O213" s="79"/>
      <c r="P213" s="79"/>
      <c r="Q213" s="79"/>
      <c r="R213" s="79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8"/>
      <c r="L214" s="79"/>
      <c r="M214" s="79"/>
      <c r="N214" s="79"/>
      <c r="O214" s="79"/>
      <c r="P214" s="79"/>
      <c r="Q214" s="79"/>
      <c r="R214" s="769"/>
      <c r="S214" s="866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8"/>
      <c r="L215" s="79"/>
      <c r="M215" s="79"/>
      <c r="N215" s="79"/>
      <c r="O215" s="79"/>
      <c r="P215" s="79"/>
      <c r="Q215" s="79"/>
      <c r="R215" s="769"/>
      <c r="S215" s="866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6"/>
      <c r="L216" s="79"/>
      <c r="M216" s="79"/>
      <c r="N216" s="79"/>
      <c r="O216" s="79"/>
      <c r="P216" s="79"/>
      <c r="Q216" s="79"/>
      <c r="R216" s="769"/>
      <c r="S216" s="866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6"/>
      <c r="L217" s="85"/>
      <c r="M217" s="85"/>
      <c r="N217" s="85"/>
      <c r="O217" s="85"/>
      <c r="P217" s="85"/>
      <c r="Q217" s="85"/>
      <c r="S217" s="866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769"/>
      <c r="S218" s="866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6"/>
      <c r="L219" s="79"/>
      <c r="M219" s="79"/>
      <c r="N219" s="79"/>
      <c r="O219" s="79"/>
      <c r="P219" s="79"/>
      <c r="Q219" s="79"/>
      <c r="R219" s="769"/>
      <c r="S219" s="868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8"/>
      <c r="L221" s="79"/>
      <c r="M221" s="79"/>
      <c r="N221" s="79"/>
      <c r="O221" s="79"/>
      <c r="P221" s="79"/>
      <c r="Q221" s="79"/>
      <c r="R221" s="770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8"/>
      <c r="L222" s="79"/>
      <c r="M222" s="79"/>
      <c r="N222" s="79"/>
      <c r="O222" s="79"/>
      <c r="P222" s="79"/>
      <c r="Q222" s="79"/>
      <c r="R222" s="769"/>
      <c r="S222" s="868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8"/>
      <c r="L223" s="79"/>
      <c r="M223" s="79"/>
      <c r="N223" s="79"/>
      <c r="O223" s="79"/>
      <c r="P223" s="79"/>
      <c r="Q223" s="79"/>
      <c r="R223" s="769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71"/>
      <c r="N224" s="771"/>
      <c r="P224" s="771"/>
      <c r="R224" s="769"/>
      <c r="S224" s="866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9"/>
      <c r="M225" s="79"/>
      <c r="N225" s="79"/>
      <c r="O225" s="79"/>
      <c r="P225" s="79"/>
      <c r="Q225" s="79"/>
      <c r="R225" s="769"/>
      <c r="S225" s="866"/>
      <c r="T225" s="484"/>
      <c r="U225" s="79"/>
      <c r="V225" s="877"/>
      <c r="W225" s="79"/>
    </row>
    <row r="226" spans="1:23" x14ac:dyDescent="0.25">
      <c r="J226" s="223"/>
      <c r="K226" s="629"/>
      <c r="R226" s="769"/>
      <c r="S226" s="866"/>
    </row>
    <row r="227" spans="1:23" x14ac:dyDescent="0.25">
      <c r="J227" s="756"/>
      <c r="K227" s="756"/>
      <c r="R227" s="769"/>
      <c r="S227" s="866"/>
    </row>
    <row r="228" spans="1:23" x14ac:dyDescent="0.25">
      <c r="R228" s="769"/>
      <c r="S228" s="866"/>
    </row>
    <row r="229" spans="1:23" x14ac:dyDescent="0.25">
      <c r="R229" s="769"/>
      <c r="S229" s="866"/>
    </row>
    <row r="230" spans="1:23" x14ac:dyDescent="0.25">
      <c r="R230" s="769"/>
      <c r="S230" s="866"/>
    </row>
    <row r="231" spans="1:23" x14ac:dyDescent="0.25">
      <c r="R231" s="769"/>
      <c r="S231" s="866"/>
    </row>
    <row r="232" spans="1:23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85"/>
      <c r="K232" s="85"/>
      <c r="L232" s="79"/>
      <c r="M232" s="216"/>
      <c r="N232" s="79"/>
      <c r="O232" s="216"/>
      <c r="P232" s="79"/>
      <c r="Q232" s="216"/>
      <c r="R232" s="769"/>
      <c r="S232" s="866"/>
      <c r="T232" s="484"/>
      <c r="U232" s="79"/>
      <c r="V232" s="877"/>
      <c r="W232" s="79"/>
    </row>
    <row r="233" spans="1:23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9"/>
      <c r="K233" s="79"/>
      <c r="L233" s="79"/>
      <c r="M233" s="216"/>
      <c r="N233" s="79"/>
      <c r="O233" s="216"/>
      <c r="P233" s="79"/>
      <c r="Q233" s="216"/>
      <c r="R233" s="769"/>
      <c r="S233" s="866"/>
      <c r="T233" s="484"/>
      <c r="U233" s="79"/>
      <c r="V233" s="877"/>
      <c r="W233" s="79"/>
    </row>
    <row r="234" spans="1:23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216"/>
      <c r="N234" s="79"/>
      <c r="O234" s="216"/>
      <c r="P234" s="79"/>
      <c r="Q234" s="216"/>
      <c r="R234" s="769"/>
      <c r="S234" s="868"/>
      <c r="T234" s="484"/>
      <c r="U234" s="79"/>
      <c r="V234" s="877"/>
      <c r="W234" s="79"/>
    </row>
    <row r="235" spans="1:23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216"/>
      <c r="N235" s="79"/>
      <c r="O235" s="216"/>
      <c r="P235" s="79"/>
      <c r="Q235" s="216"/>
      <c r="R235" s="769"/>
      <c r="S235" s="868"/>
      <c r="T235" s="484"/>
      <c r="U235" s="79"/>
      <c r="V235" s="877"/>
      <c r="W235" s="79"/>
    </row>
    <row r="236" spans="1:23" x14ac:dyDescent="0.25">
      <c r="R236" s="769"/>
      <c r="S236" s="868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216"/>
      <c r="N237" s="79"/>
      <c r="O237" s="216"/>
      <c r="P237" s="79"/>
      <c r="Q237" s="216"/>
      <c r="R237" s="769"/>
      <c r="S237" s="868"/>
      <c r="T237" s="484"/>
      <c r="U237" s="79"/>
      <c r="V237" s="877"/>
      <c r="W237" s="79"/>
    </row>
    <row r="238" spans="1:23" x14ac:dyDescent="0.25">
      <c r="R238" s="769"/>
      <c r="S238" s="868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85"/>
      <c r="K239" s="85"/>
      <c r="L239" s="79"/>
      <c r="M239" s="629"/>
      <c r="N239" s="79"/>
      <c r="O239" s="629"/>
      <c r="P239" s="79"/>
      <c r="Q239" s="629"/>
      <c r="R239" s="769"/>
      <c r="S239" s="866"/>
      <c r="T239" s="484"/>
      <c r="U239" s="79"/>
      <c r="V239" s="877"/>
      <c r="W239" s="79"/>
    </row>
    <row r="240" spans="1:23" x14ac:dyDescent="0.25">
      <c r="R240" s="769"/>
      <c r="S240" s="866"/>
    </row>
    <row r="241" spans="1:23" x14ac:dyDescent="0.25">
      <c r="R241" s="769"/>
      <c r="S241" s="868"/>
    </row>
    <row r="242" spans="1:23" x14ac:dyDescent="0.25">
      <c r="R242" s="769"/>
      <c r="S242" s="866"/>
    </row>
    <row r="243" spans="1:23" x14ac:dyDescent="0.25">
      <c r="R243" s="769"/>
      <c r="S243" s="866"/>
    </row>
    <row r="244" spans="1:23" x14ac:dyDescent="0.25">
      <c r="R244" s="769"/>
      <c r="S244" s="868"/>
    </row>
    <row r="245" spans="1:23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216"/>
      <c r="N245" s="79"/>
      <c r="O245" s="216"/>
      <c r="P245" s="79"/>
      <c r="Q245" s="216"/>
      <c r="R245" s="769"/>
      <c r="S245" s="868"/>
      <c r="T245" s="484"/>
      <c r="U245" s="79"/>
      <c r="V245" s="877"/>
      <c r="W245" s="79"/>
    </row>
    <row r="246" spans="1:23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71"/>
      <c r="L246" s="79"/>
      <c r="M246" s="216"/>
      <c r="N246" s="79"/>
      <c r="O246" s="216"/>
      <c r="P246" s="79"/>
      <c r="Q246" s="216"/>
      <c r="R246" s="769"/>
      <c r="S246" s="868"/>
      <c r="T246" s="484"/>
      <c r="U246" s="79"/>
      <c r="V246" s="877"/>
      <c r="W246" s="79"/>
    </row>
    <row r="247" spans="1:23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216"/>
      <c r="N247" s="79"/>
      <c r="O247" s="216"/>
      <c r="P247" s="79"/>
      <c r="Q247" s="216"/>
      <c r="R247" s="769"/>
      <c r="S247" s="868"/>
      <c r="T247" s="484"/>
      <c r="U247" s="79"/>
      <c r="V247" s="877"/>
      <c r="W247" s="79"/>
    </row>
    <row r="248" spans="1:23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216"/>
      <c r="N248" s="79"/>
      <c r="O248" s="216"/>
      <c r="P248" s="79"/>
      <c r="Q248" s="216"/>
      <c r="R248" s="769"/>
      <c r="S248" s="866"/>
      <c r="T248" s="484"/>
      <c r="U248" s="79"/>
      <c r="V248" s="877"/>
      <c r="W248" s="79"/>
    </row>
    <row r="249" spans="1:23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216"/>
      <c r="N249" s="79"/>
      <c r="O249" s="216"/>
      <c r="P249" s="79"/>
      <c r="Q249" s="216"/>
      <c r="R249" s="223"/>
      <c r="S249" s="629"/>
      <c r="T249" s="484"/>
      <c r="U249" s="79"/>
      <c r="V249" s="877"/>
      <c r="W249" s="79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216"/>
      <c r="N250" s="79"/>
      <c r="O250" s="216"/>
      <c r="P250" s="79"/>
      <c r="Q250" s="216"/>
      <c r="R250" s="756"/>
      <c r="S250" s="756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9"/>
      <c r="Q251" s="216"/>
      <c r="R251" s="79"/>
      <c r="S251" s="79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9"/>
      <c r="Q252" s="216"/>
      <c r="R252" s="79"/>
      <c r="S252" s="79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79"/>
      <c r="S253" s="79"/>
      <c r="T253" s="484"/>
      <c r="U253" s="79"/>
      <c r="V253" s="877"/>
      <c r="W253" s="79"/>
    </row>
    <row r="254" spans="1:23" x14ac:dyDescent="0.25">
      <c r="K254" s="216"/>
    </row>
    <row r="255" spans="1:23" x14ac:dyDescent="0.25">
      <c r="K255" s="216"/>
      <c r="R255" s="85"/>
      <c r="S255" s="85"/>
    </row>
    <row r="256" spans="1:23" x14ac:dyDescent="0.25">
      <c r="K256" s="216"/>
    </row>
    <row r="257" spans="1:44" x14ac:dyDescent="0.25">
      <c r="K257" s="216"/>
    </row>
    <row r="259" spans="1:44" x14ac:dyDescent="0.25">
      <c r="K259" s="216"/>
    </row>
    <row r="261" spans="1:44" x14ac:dyDescent="0.25">
      <c r="K261" s="629"/>
    </row>
    <row r="262" spans="1:44" x14ac:dyDescent="0.25">
      <c r="R262" s="85"/>
      <c r="S262" s="85"/>
    </row>
    <row r="266" spans="1:44" s="484" customFormat="1" x14ac:dyDescent="0.25">
      <c r="A266" s="79"/>
      <c r="B266" s="79"/>
      <c r="C266" s="85"/>
      <c r="D266" s="85"/>
      <c r="E266" s="85"/>
      <c r="F266" s="8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U266" s="79"/>
      <c r="V266" s="877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</row>
    <row r="267" spans="1:44" s="484" customFormat="1" x14ac:dyDescent="0.25">
      <c r="A267" s="79"/>
      <c r="B267" s="79"/>
      <c r="C267" s="85"/>
      <c r="D267" s="85"/>
      <c r="E267" s="85"/>
      <c r="F267" s="89"/>
      <c r="G267" s="79"/>
      <c r="H267" s="79"/>
      <c r="I267" s="79"/>
      <c r="J267" s="79"/>
      <c r="K267" s="216"/>
      <c r="L267" s="79"/>
      <c r="M267" s="79"/>
      <c r="N267" s="79"/>
      <c r="O267" s="79"/>
      <c r="P267" s="79"/>
      <c r="Q267" s="79"/>
      <c r="R267" s="79"/>
      <c r="S267" s="79"/>
      <c r="U267" s="79"/>
      <c r="V267" s="877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484" customFormat="1" x14ac:dyDescent="0.25">
      <c r="A268" s="79"/>
      <c r="B268" s="79"/>
      <c r="C268" s="85"/>
      <c r="D268" s="85"/>
      <c r="E268" s="85"/>
      <c r="F268" s="89"/>
      <c r="G268" s="79"/>
      <c r="H268" s="79"/>
      <c r="I268" s="79"/>
      <c r="J268" s="79"/>
      <c r="K268" s="216"/>
      <c r="L268" s="79"/>
      <c r="M268" s="79"/>
      <c r="N268" s="79"/>
      <c r="O268" s="79"/>
      <c r="P268" s="79"/>
      <c r="Q268" s="79"/>
      <c r="R268" s="79"/>
      <c r="S268" s="79"/>
      <c r="U268" s="79"/>
      <c r="V268" s="877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484" customFormat="1" x14ac:dyDescent="0.25">
      <c r="A269" s="79"/>
      <c r="B269" s="79"/>
      <c r="C269" s="85"/>
      <c r="D269" s="85"/>
      <c r="E269" s="85"/>
      <c r="F269" s="89"/>
      <c r="G269" s="79"/>
      <c r="H269" s="79"/>
      <c r="I269" s="79"/>
      <c r="J269" s="79"/>
      <c r="K269" s="216"/>
      <c r="L269" s="79"/>
      <c r="M269" s="79"/>
      <c r="N269" s="79"/>
      <c r="O269" s="79"/>
      <c r="P269" s="79"/>
      <c r="Q269" s="79"/>
      <c r="R269" s="771"/>
      <c r="S269" s="518"/>
      <c r="U269" s="79"/>
      <c r="V269" s="877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216"/>
      <c r="L270" s="79"/>
      <c r="M270" s="79"/>
      <c r="N270" s="79"/>
      <c r="O270" s="79"/>
      <c r="P270" s="79"/>
      <c r="Q270" s="79"/>
      <c r="R270" s="79"/>
      <c r="S270" s="79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x14ac:dyDescent="0.25">
      <c r="K271" s="216"/>
    </row>
    <row r="272" spans="1:44" x14ac:dyDescent="0.25">
      <c r="K272" s="216"/>
    </row>
    <row r="273" spans="1:44" x14ac:dyDescent="0.25">
      <c r="K273" s="216"/>
    </row>
    <row r="274" spans="1:44" x14ac:dyDescent="0.25">
      <c r="K274" s="216"/>
    </row>
    <row r="275" spans="1:44" x14ac:dyDescent="0.25">
      <c r="K275" s="216"/>
    </row>
    <row r="277" spans="1:44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216"/>
      <c r="U277" s="79"/>
      <c r="V277" s="877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</row>
    <row r="278" spans="1:44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216"/>
      <c r="U278" s="79"/>
      <c r="V278" s="877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</row>
    <row r="279" spans="1:44" s="484" customFormat="1" x14ac:dyDescent="0.25">
      <c r="A279" s="79"/>
      <c r="B279" s="79"/>
      <c r="C279" s="85"/>
      <c r="D279" s="85"/>
      <c r="E279" s="85"/>
      <c r="F279" s="8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216"/>
      <c r="U279" s="79"/>
      <c r="V279" s="877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</row>
    <row r="280" spans="1:44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216"/>
      <c r="U280" s="79"/>
      <c r="V280" s="877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629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90" spans="1:44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216"/>
      <c r="U290" s="79"/>
      <c r="V290" s="877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</row>
    <row r="291" spans="1:44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216"/>
      <c r="U291" s="79"/>
      <c r="V291" s="877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</row>
    <row r="292" spans="1:44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216"/>
      <c r="U292" s="79"/>
      <c r="V292" s="877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</row>
    <row r="293" spans="1:44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216"/>
      <c r="U293" s="79"/>
      <c r="V293" s="877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</row>
    <row r="294" spans="1:44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216"/>
      <c r="U294" s="79"/>
      <c r="V294" s="877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</sheetData>
  <autoFilter ref="A2:I163" xr:uid="{00000000-0009-0000-0000-00008D000000}"/>
  <mergeCells count="18">
    <mergeCell ref="R2:S3"/>
    <mergeCell ref="A143:E143"/>
    <mergeCell ref="A144:E144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65:D165"/>
    <mergeCell ref="B166:D166"/>
    <mergeCell ref="L2:M3"/>
    <mergeCell ref="N2:O3"/>
    <mergeCell ref="P2:Q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FAD5E-51C4-4223-9692-50363C436E70}">
  <sheetPr codeName="Planilha21"/>
  <dimension ref="A1:AR304"/>
  <sheetViews>
    <sheetView zoomScale="85" zoomScaleNormal="85" workbookViewId="0">
      <pane ySplit="5" topLeftCell="A114" activePane="bottomLeft" state="frozen"/>
      <selection pane="bottomLeft" activeCell="F140" sqref="F14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23" ht="27" customHeight="1" thickBot="1" x14ac:dyDescent="0.3">
      <c r="A1" s="3053" t="s">
        <v>0</v>
      </c>
      <c r="B1" s="3054"/>
      <c r="C1" s="3055"/>
      <c r="D1" s="3055"/>
      <c r="E1" s="3056"/>
      <c r="F1" s="3057" t="s">
        <v>6723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23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23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23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23" x14ac:dyDescent="0.25">
      <c r="A5" s="281">
        <v>45505</v>
      </c>
      <c r="B5" s="369" t="s">
        <v>10</v>
      </c>
      <c r="C5" s="370"/>
      <c r="D5" s="370"/>
      <c r="E5" s="777"/>
      <c r="F5" s="179"/>
      <c r="G5" s="933">
        <f>'Julho-24'!G144</f>
        <v>751.13491666671325</v>
      </c>
      <c r="H5" s="163"/>
      <c r="I5" s="1479">
        <f>'Junho-24'!I150</f>
        <v>-4.0000000010422809E-3</v>
      </c>
      <c r="J5" s="179"/>
      <c r="K5" s="933">
        <f>'Julho-24'!K144</f>
        <v>94.650000000005093</v>
      </c>
      <c r="L5" s="179"/>
      <c r="M5" s="933">
        <f>'Julho-24'!M144</f>
        <v>26844.530000000002</v>
      </c>
      <c r="N5" s="179"/>
      <c r="O5" s="933">
        <f>'Junho-24'!O150</f>
        <v>0</v>
      </c>
      <c r="P5" s="179"/>
      <c r="Q5" s="1479">
        <f>'Julho-24'!Q144</f>
        <v>3014.1500000000019</v>
      </c>
      <c r="R5" s="179"/>
      <c r="S5" s="933">
        <f>'Julho-24'!S144</f>
        <v>30412.225984720004</v>
      </c>
    </row>
    <row r="6" spans="1:23" s="224" customFormat="1" x14ac:dyDescent="0.25">
      <c r="A6" s="247">
        <v>45505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23" s="224" customFormat="1" x14ac:dyDescent="0.25">
      <c r="A7" s="247">
        <v>45505</v>
      </c>
      <c r="B7" s="364" t="s">
        <v>1331</v>
      </c>
      <c r="C7" s="350" t="s">
        <v>12</v>
      </c>
      <c r="D7" s="350" t="s">
        <v>2157</v>
      </c>
      <c r="E7" s="875" t="s">
        <v>13</v>
      </c>
      <c r="F7" s="780">
        <v>80</v>
      </c>
      <c r="G7" s="982"/>
      <c r="H7" s="1008"/>
      <c r="I7" s="1063"/>
      <c r="J7" s="2013"/>
      <c r="K7" s="1207"/>
      <c r="L7" s="622"/>
      <c r="M7" s="982"/>
      <c r="N7" s="622"/>
      <c r="O7" s="982"/>
      <c r="P7" s="622"/>
      <c r="Q7" s="1063"/>
      <c r="R7" s="622"/>
      <c r="S7" s="982"/>
      <c r="T7" s="861"/>
      <c r="V7" s="878"/>
    </row>
    <row r="8" spans="1:23" s="224" customFormat="1" ht="15" customHeight="1" x14ac:dyDescent="0.25">
      <c r="A8" s="247">
        <v>45505</v>
      </c>
      <c r="B8" s="882" t="s">
        <v>6453</v>
      </c>
      <c r="C8" s="879" t="s">
        <v>12</v>
      </c>
      <c r="D8" s="879"/>
      <c r="E8" s="875"/>
      <c r="F8" s="780"/>
      <c r="G8" s="982">
        <v>514.15</v>
      </c>
      <c r="H8" s="1008"/>
      <c r="I8" s="1063"/>
      <c r="J8" s="622"/>
      <c r="K8" s="982"/>
      <c r="L8" s="622"/>
      <c r="M8" s="982"/>
      <c r="N8" s="622"/>
      <c r="O8" s="982"/>
      <c r="P8" s="622">
        <v>514.15</v>
      </c>
      <c r="Q8" s="1063"/>
      <c r="R8" s="622"/>
      <c r="S8" s="982"/>
      <c r="T8" s="861"/>
    </row>
    <row r="9" spans="1:23" s="224" customFormat="1" ht="15" customHeight="1" x14ac:dyDescent="0.25">
      <c r="A9" s="247">
        <v>45505</v>
      </c>
      <c r="B9" s="882" t="s">
        <v>6208</v>
      </c>
      <c r="C9" s="879" t="s">
        <v>12</v>
      </c>
      <c r="D9" s="879"/>
      <c r="E9" s="875" t="s">
        <v>13</v>
      </c>
      <c r="F9" s="780">
        <v>514.15</v>
      </c>
      <c r="G9" s="982"/>
      <c r="H9" s="1008"/>
      <c r="I9" s="1063"/>
      <c r="J9" s="622"/>
      <c r="K9" s="982">
        <v>514.15</v>
      </c>
      <c r="L9" s="622"/>
      <c r="M9" s="982"/>
      <c r="N9" s="622"/>
      <c r="O9" s="982"/>
      <c r="P9" s="622"/>
      <c r="Q9" s="1063"/>
      <c r="R9" s="622"/>
      <c r="S9" s="982"/>
      <c r="T9" s="861"/>
    </row>
    <row r="10" spans="1:23" s="224" customFormat="1" ht="15" customHeight="1" x14ac:dyDescent="0.25">
      <c r="A10" s="247">
        <v>45505</v>
      </c>
      <c r="B10" s="882" t="s">
        <v>6258</v>
      </c>
      <c r="C10" s="879" t="s">
        <v>12</v>
      </c>
      <c r="D10" s="879"/>
      <c r="E10" s="875" t="s">
        <v>13</v>
      </c>
      <c r="F10" s="780"/>
      <c r="G10" s="982">
        <v>132.5</v>
      </c>
      <c r="H10" s="1008"/>
      <c r="I10" s="1063"/>
      <c r="J10" s="613">
        <v>132.5</v>
      </c>
      <c r="K10" s="982"/>
      <c r="L10" s="622"/>
      <c r="M10" s="982"/>
      <c r="N10" s="622"/>
      <c r="O10" s="982"/>
      <c r="P10" s="622"/>
      <c r="Q10" s="1063"/>
      <c r="R10" s="622"/>
      <c r="S10" s="982"/>
      <c r="T10" s="861"/>
    </row>
    <row r="11" spans="1:23" s="224" customFormat="1" x14ac:dyDescent="0.25">
      <c r="A11" s="247">
        <v>45505</v>
      </c>
      <c r="B11" s="1275" t="s">
        <v>6736</v>
      </c>
      <c r="C11" s="879" t="s">
        <v>12</v>
      </c>
      <c r="D11" s="1276" t="s">
        <v>1524</v>
      </c>
      <c r="E11" s="1286" t="s">
        <v>13</v>
      </c>
      <c r="F11" s="780">
        <v>132.5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1028"/>
      <c r="V11" s="878"/>
    </row>
    <row r="12" spans="1:23" s="224" customFormat="1" ht="15" customHeight="1" x14ac:dyDescent="0.25">
      <c r="A12" s="247">
        <v>45505</v>
      </c>
      <c r="B12" s="882" t="s">
        <v>32</v>
      </c>
      <c r="C12" s="879" t="s">
        <v>12</v>
      </c>
      <c r="D12" s="879" t="s">
        <v>1485</v>
      </c>
      <c r="E12" s="875" t="s">
        <v>13</v>
      </c>
      <c r="F12" s="780">
        <v>22</v>
      </c>
      <c r="G12" s="982"/>
      <c r="H12" s="622"/>
      <c r="I12" s="982"/>
      <c r="J12" s="622"/>
      <c r="K12" s="982"/>
      <c r="L12" s="622"/>
      <c r="M12" s="982"/>
      <c r="N12" s="622"/>
      <c r="O12" s="982"/>
      <c r="P12" s="622"/>
      <c r="Q12" s="1063"/>
      <c r="R12" s="622"/>
      <c r="S12" s="982"/>
      <c r="T12" s="1028"/>
      <c r="U12" s="959"/>
      <c r="V12" s="878"/>
      <c r="W12" s="958"/>
    </row>
    <row r="13" spans="1:23" s="224" customFormat="1" ht="15" customHeight="1" x14ac:dyDescent="0.25">
      <c r="A13" s="247">
        <v>45505</v>
      </c>
      <c r="B13" s="882" t="s">
        <v>81</v>
      </c>
      <c r="C13" s="879" t="s">
        <v>12</v>
      </c>
      <c r="D13" s="879" t="s">
        <v>1493</v>
      </c>
      <c r="E13" s="871" t="s">
        <v>13</v>
      </c>
      <c r="F13" s="780">
        <v>7</v>
      </c>
      <c r="G13" s="982"/>
      <c r="H13" s="622"/>
      <c r="I13" s="982"/>
      <c r="J13" s="872"/>
      <c r="K13" s="1207"/>
      <c r="L13" s="622"/>
      <c r="M13" s="982"/>
      <c r="N13" s="622"/>
      <c r="O13" s="982"/>
      <c r="P13" s="622"/>
      <c r="Q13" s="1063"/>
      <c r="R13" s="622"/>
      <c r="S13" s="982"/>
      <c r="T13" s="1028"/>
      <c r="U13" s="959"/>
      <c r="V13" s="878"/>
      <c r="W13" s="958"/>
    </row>
    <row r="14" spans="1:23" s="224" customFormat="1" ht="15" customHeight="1" x14ac:dyDescent="0.25">
      <c r="A14" s="247">
        <v>45505</v>
      </c>
      <c r="B14" s="349" t="s">
        <v>6739</v>
      </c>
      <c r="C14" s="350" t="s">
        <v>12</v>
      </c>
      <c r="D14" s="350" t="s">
        <v>6731</v>
      </c>
      <c r="E14" s="480" t="s">
        <v>13</v>
      </c>
      <c r="F14" s="780">
        <v>14.04</v>
      </c>
      <c r="G14" s="946"/>
      <c r="H14" s="95"/>
      <c r="I14" s="1064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861"/>
      <c r="V14" s="927"/>
      <c r="W14" s="999"/>
    </row>
    <row r="15" spans="1:23" s="224" customFormat="1" ht="15" customHeight="1" x14ac:dyDescent="0.25">
      <c r="A15" s="247">
        <v>45505</v>
      </c>
      <c r="B15" s="882" t="s">
        <v>6740</v>
      </c>
      <c r="C15" s="879" t="s">
        <v>12</v>
      </c>
      <c r="D15" s="879" t="s">
        <v>1489</v>
      </c>
      <c r="E15" s="875" t="s">
        <v>13</v>
      </c>
      <c r="F15" s="780">
        <v>3.2</v>
      </c>
      <c r="G15" s="982"/>
      <c r="H15" s="95"/>
      <c r="I15" s="1064"/>
      <c r="J15" s="613"/>
      <c r="K15" s="982"/>
      <c r="L15" s="622"/>
      <c r="M15" s="982"/>
      <c r="N15" s="622"/>
      <c r="O15" s="982"/>
      <c r="P15" s="622"/>
      <c r="Q15" s="1063"/>
      <c r="R15" s="622"/>
      <c r="S15" s="982"/>
      <c r="T15" s="861"/>
    </row>
    <row r="16" spans="1:23" s="224" customFormat="1" ht="15" customHeight="1" x14ac:dyDescent="0.25">
      <c r="A16" s="247">
        <v>45505</v>
      </c>
      <c r="B16" s="882" t="s">
        <v>134</v>
      </c>
      <c r="C16" s="879" t="s">
        <v>12</v>
      </c>
      <c r="D16" s="879" t="s">
        <v>1493</v>
      </c>
      <c r="E16" s="875" t="s">
        <v>13</v>
      </c>
      <c r="F16" s="780">
        <v>12.9</v>
      </c>
      <c r="G16" s="982"/>
      <c r="H16" s="95"/>
      <c r="I16" s="1064"/>
      <c r="J16" s="613"/>
      <c r="K16" s="982"/>
      <c r="L16" s="622"/>
      <c r="M16" s="982"/>
      <c r="N16" s="622"/>
      <c r="O16" s="982"/>
      <c r="P16" s="622"/>
      <c r="Q16" s="1063"/>
      <c r="R16" s="622"/>
      <c r="S16" s="982"/>
      <c r="T16" s="861"/>
    </row>
    <row r="17" spans="1:44" s="224" customFormat="1" ht="15" customHeight="1" x14ac:dyDescent="0.25">
      <c r="A17" s="247">
        <v>45506</v>
      </c>
      <c r="B17" s="882" t="s">
        <v>32</v>
      </c>
      <c r="C17" s="879" t="s">
        <v>12</v>
      </c>
      <c r="D17" s="879" t="s">
        <v>1485</v>
      </c>
      <c r="E17" s="875" t="s">
        <v>13</v>
      </c>
      <c r="F17" s="780">
        <v>22</v>
      </c>
      <c r="G17" s="982"/>
      <c r="H17" s="622"/>
      <c r="I17" s="982"/>
      <c r="J17" s="622"/>
      <c r="K17" s="982"/>
      <c r="L17" s="622"/>
      <c r="M17" s="982"/>
      <c r="N17" s="622"/>
      <c r="O17" s="982"/>
      <c r="P17" s="622"/>
      <c r="Q17" s="1063"/>
      <c r="R17" s="622"/>
      <c r="S17" s="982"/>
      <c r="T17" s="1028"/>
      <c r="U17" s="959"/>
      <c r="V17" s="878"/>
      <c r="W17" s="958"/>
    </row>
    <row r="18" spans="1:44" s="224" customFormat="1" ht="15" customHeight="1" x14ac:dyDescent="0.25">
      <c r="A18" s="247">
        <v>45506</v>
      </c>
      <c r="B18" s="1275" t="s">
        <v>14</v>
      </c>
      <c r="C18" s="1276" t="s">
        <v>12</v>
      </c>
      <c r="D18" s="1276" t="s">
        <v>1486</v>
      </c>
      <c r="E18" s="1286" t="s">
        <v>13</v>
      </c>
      <c r="F18" s="780">
        <v>18.95</v>
      </c>
      <c r="G18" s="982"/>
      <c r="H18" s="622"/>
      <c r="I18" s="982"/>
      <c r="J18" s="622"/>
      <c r="K18" s="982"/>
      <c r="L18" s="622"/>
      <c r="M18" s="982"/>
      <c r="N18" s="622"/>
      <c r="O18" s="982"/>
      <c r="P18" s="880"/>
      <c r="Q18" s="1525"/>
      <c r="R18" s="613"/>
      <c r="S18" s="162"/>
      <c r="T18" s="1956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44" s="224" customFormat="1" ht="15" customHeight="1" x14ac:dyDescent="0.25">
      <c r="A19" s="247">
        <v>45507</v>
      </c>
      <c r="B19" s="1275" t="s">
        <v>14</v>
      </c>
      <c r="C19" s="1276" t="s">
        <v>12</v>
      </c>
      <c r="D19" s="1276" t="s">
        <v>1486</v>
      </c>
      <c r="E19" s="1286" t="s">
        <v>13</v>
      </c>
      <c r="F19" s="613">
        <v>7.81</v>
      </c>
      <c r="G19" s="967"/>
      <c r="H19" s="1008"/>
      <c r="I19" s="1063"/>
      <c r="J19" s="613"/>
      <c r="K19" s="6"/>
      <c r="L19" s="613"/>
      <c r="M19" s="6"/>
      <c r="N19" s="622"/>
      <c r="O19" s="982"/>
      <c r="P19" s="622"/>
      <c r="Q19" s="1063"/>
      <c r="R19" s="613"/>
      <c r="S19" s="64"/>
      <c r="T19" s="1028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s="224" customFormat="1" ht="15" customHeight="1" x14ac:dyDescent="0.25">
      <c r="A20" s="247">
        <v>45507</v>
      </c>
      <c r="B20" s="882" t="s">
        <v>2629</v>
      </c>
      <c r="C20" s="879" t="s">
        <v>12</v>
      </c>
      <c r="D20" s="879" t="s">
        <v>1489</v>
      </c>
      <c r="E20" s="871" t="s">
        <v>13</v>
      </c>
      <c r="F20" s="780">
        <v>19.95</v>
      </c>
      <c r="G20" s="982"/>
      <c r="H20" s="622"/>
      <c r="I20" s="982"/>
      <c r="J20" s="622"/>
      <c r="K20" s="982"/>
      <c r="L20" s="622"/>
      <c r="M20" s="982"/>
      <c r="N20" s="622"/>
      <c r="O20" s="982"/>
      <c r="P20" s="622"/>
      <c r="Q20" s="1063"/>
      <c r="R20" s="880"/>
      <c r="S20" s="1033"/>
      <c r="T20" s="927"/>
      <c r="V20" s="878"/>
    </row>
    <row r="21" spans="1:44" s="224" customFormat="1" ht="15" customHeight="1" x14ac:dyDescent="0.25">
      <c r="A21" s="247">
        <v>45507</v>
      </c>
      <c r="B21" s="882" t="s">
        <v>6778</v>
      </c>
      <c r="C21" s="879" t="s">
        <v>12</v>
      </c>
      <c r="D21" s="879" t="s">
        <v>1493</v>
      </c>
      <c r="E21" s="871" t="s">
        <v>13</v>
      </c>
      <c r="F21" s="780">
        <v>41.8</v>
      </c>
      <c r="G21" s="982"/>
      <c r="H21" s="622"/>
      <c r="I21" s="982"/>
      <c r="J21" s="622"/>
      <c r="K21" s="982"/>
      <c r="L21" s="622"/>
      <c r="M21" s="982"/>
      <c r="N21" s="622"/>
      <c r="O21" s="982"/>
      <c r="P21" s="622"/>
      <c r="Q21" s="1063"/>
      <c r="R21" s="880"/>
      <c r="S21" s="1033"/>
      <c r="T21" s="927"/>
      <c r="V21" s="878"/>
    </row>
    <row r="22" spans="1:44" s="224" customFormat="1" ht="15" customHeight="1" x14ac:dyDescent="0.25">
      <c r="A22" s="247">
        <v>45508</v>
      </c>
      <c r="B22" s="1275" t="s">
        <v>14</v>
      </c>
      <c r="C22" s="1276" t="s">
        <v>12</v>
      </c>
      <c r="D22" s="1276" t="s">
        <v>1486</v>
      </c>
      <c r="E22" s="1286" t="s">
        <v>13</v>
      </c>
      <c r="F22" s="613">
        <v>13.33</v>
      </c>
      <c r="G22" s="967"/>
      <c r="H22" s="1008"/>
      <c r="I22" s="1063"/>
      <c r="J22" s="613"/>
      <c r="K22" s="6"/>
      <c r="L22" s="613"/>
      <c r="M22" s="6"/>
      <c r="N22" s="622"/>
      <c r="O22" s="982"/>
      <c r="P22" s="622"/>
      <c r="Q22" s="1063"/>
      <c r="R22" s="613"/>
      <c r="S22" s="64"/>
      <c r="T22" s="1028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</row>
    <row r="23" spans="1:44" s="224" customFormat="1" ht="15" customHeight="1" x14ac:dyDescent="0.25">
      <c r="A23" s="247">
        <v>45508</v>
      </c>
      <c r="B23" s="1275" t="s">
        <v>1331</v>
      </c>
      <c r="C23" s="1276" t="s">
        <v>19</v>
      </c>
      <c r="D23" s="1276" t="s">
        <v>2157</v>
      </c>
      <c r="E23" s="1286" t="s">
        <v>13</v>
      </c>
      <c r="F23" s="613">
        <v>90</v>
      </c>
      <c r="G23" s="967"/>
      <c r="H23" s="1008"/>
      <c r="I23" s="1063"/>
      <c r="J23" s="613"/>
      <c r="K23" s="6"/>
      <c r="L23" s="613"/>
      <c r="M23" s="6"/>
      <c r="N23" s="622"/>
      <c r="O23" s="982"/>
      <c r="P23" s="622"/>
      <c r="Q23" s="1063"/>
      <c r="R23" s="613"/>
      <c r="S23" s="64"/>
      <c r="T23" s="1028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</row>
    <row r="24" spans="1:44" s="224" customFormat="1" ht="15" customHeight="1" x14ac:dyDescent="0.25">
      <c r="A24" s="247">
        <v>45508</v>
      </c>
      <c r="B24" s="882" t="s">
        <v>134</v>
      </c>
      <c r="C24" s="879" t="s">
        <v>12</v>
      </c>
      <c r="D24" s="879" t="s">
        <v>1493</v>
      </c>
      <c r="E24" s="871" t="s">
        <v>13</v>
      </c>
      <c r="F24" s="780">
        <v>23.7</v>
      </c>
      <c r="G24" s="982"/>
      <c r="H24" s="95"/>
      <c r="I24" s="1064"/>
      <c r="J24" s="622"/>
      <c r="K24" s="982"/>
      <c r="L24" s="622"/>
      <c r="M24" s="982"/>
      <c r="N24" s="622"/>
      <c r="O24" s="982"/>
      <c r="P24" s="622"/>
      <c r="Q24" s="1063"/>
      <c r="R24" s="1110"/>
      <c r="S24" s="1208"/>
      <c r="T24" s="1028"/>
      <c r="W24" s="958"/>
    </row>
    <row r="25" spans="1:44" s="224" customFormat="1" ht="15" customHeight="1" x14ac:dyDescent="0.25">
      <c r="A25" s="247">
        <v>45509</v>
      </c>
      <c r="B25" s="882" t="s">
        <v>6329</v>
      </c>
      <c r="C25" s="879" t="s">
        <v>12</v>
      </c>
      <c r="D25" s="879"/>
      <c r="E25" s="875" t="s">
        <v>25</v>
      </c>
      <c r="F25" s="780"/>
      <c r="G25" s="982">
        <v>100</v>
      </c>
      <c r="H25" s="622"/>
      <c r="I25" s="982"/>
      <c r="J25" s="622"/>
      <c r="K25" s="982"/>
      <c r="L25" s="622"/>
      <c r="M25" s="982"/>
      <c r="N25" s="622"/>
      <c r="O25" s="982"/>
      <c r="P25" s="880"/>
      <c r="Q25" s="1525"/>
      <c r="R25" s="613"/>
      <c r="S25" s="162"/>
      <c r="T25" s="1956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s="224" customFormat="1" ht="15" customHeight="1" x14ac:dyDescent="0.25">
      <c r="A26" s="247">
        <v>45509</v>
      </c>
      <c r="B26" s="882" t="s">
        <v>32</v>
      </c>
      <c r="C26" s="879" t="s">
        <v>12</v>
      </c>
      <c r="D26" s="879" t="s">
        <v>1485</v>
      </c>
      <c r="E26" s="875" t="s">
        <v>13</v>
      </c>
      <c r="F26" s="780">
        <v>22</v>
      </c>
      <c r="G26" s="982"/>
      <c r="H26" s="622"/>
      <c r="I26" s="982"/>
      <c r="J26" s="622"/>
      <c r="K26" s="982"/>
      <c r="L26" s="622"/>
      <c r="M26" s="982"/>
      <c r="N26" s="622"/>
      <c r="O26" s="982"/>
      <c r="P26" s="622"/>
      <c r="Q26" s="1063"/>
      <c r="R26" s="622"/>
      <c r="S26" s="982"/>
      <c r="T26" s="1028"/>
      <c r="U26" s="959"/>
      <c r="V26" s="878"/>
      <c r="W26" s="958"/>
    </row>
    <row r="27" spans="1:44" s="224" customFormat="1" ht="15" customHeight="1" x14ac:dyDescent="0.25">
      <c r="A27" s="247">
        <v>45509</v>
      </c>
      <c r="B27" s="1275" t="s">
        <v>6754</v>
      </c>
      <c r="C27" s="1276" t="s">
        <v>12</v>
      </c>
      <c r="D27" s="1276"/>
      <c r="E27" s="1286" t="s">
        <v>13</v>
      </c>
      <c r="F27" s="613">
        <v>145.84</v>
      </c>
      <c r="G27" s="967"/>
      <c r="H27" s="1008"/>
      <c r="I27" s="1063"/>
      <c r="J27" s="613"/>
      <c r="K27" s="6"/>
      <c r="L27" s="613"/>
      <c r="M27" s="6"/>
      <c r="N27" s="622"/>
      <c r="O27" s="982"/>
      <c r="P27" s="622"/>
      <c r="Q27" s="1063"/>
      <c r="R27" s="613"/>
      <c r="S27" s="64"/>
      <c r="T27" s="1024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</row>
    <row r="28" spans="1:44" s="224" customFormat="1" ht="15" customHeight="1" x14ac:dyDescent="0.25">
      <c r="A28" s="247">
        <v>45509</v>
      </c>
      <c r="B28" s="1275" t="s">
        <v>6755</v>
      </c>
      <c r="C28" s="1276" t="s">
        <v>12</v>
      </c>
      <c r="D28" s="1276"/>
      <c r="E28" s="1286"/>
      <c r="F28" s="613"/>
      <c r="G28" s="967">
        <v>145.84</v>
      </c>
      <c r="H28" s="1008"/>
      <c r="I28" s="1063"/>
      <c r="J28" s="613"/>
      <c r="K28" s="6"/>
      <c r="L28" s="613"/>
      <c r="M28" s="6"/>
      <c r="N28" s="622"/>
      <c r="O28" s="982"/>
      <c r="P28" s="622"/>
      <c r="Q28" s="1063"/>
      <c r="R28" s="613"/>
      <c r="S28" s="64"/>
      <c r="T28" s="1024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s="224" customFormat="1" ht="15" customHeight="1" x14ac:dyDescent="0.25">
      <c r="A29" s="247">
        <v>45509</v>
      </c>
      <c r="B29" s="1275" t="s">
        <v>3958</v>
      </c>
      <c r="C29" s="1276" t="s">
        <v>12</v>
      </c>
      <c r="D29" s="1276" t="s">
        <v>1489</v>
      </c>
      <c r="E29" s="1277" t="s">
        <v>13</v>
      </c>
      <c r="F29" s="780">
        <v>21</v>
      </c>
      <c r="G29" s="982"/>
      <c r="H29" s="622"/>
      <c r="I29" s="982"/>
      <c r="J29" s="622"/>
      <c r="K29" s="982"/>
      <c r="L29" s="622"/>
      <c r="M29" s="982"/>
      <c r="N29" s="622"/>
      <c r="O29" s="982"/>
      <c r="P29" s="880"/>
      <c r="Q29" s="1525"/>
      <c r="R29" s="613"/>
      <c r="S29" s="162"/>
      <c r="T29" s="1956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</row>
    <row r="30" spans="1:44" s="224" customFormat="1" ht="15.75" customHeight="1" x14ac:dyDescent="0.25">
      <c r="A30" s="247">
        <v>45510</v>
      </c>
      <c r="B30" s="873" t="s">
        <v>6724</v>
      </c>
      <c r="C30" s="879" t="s">
        <v>12</v>
      </c>
      <c r="D30" s="874"/>
      <c r="E30" s="887" t="s">
        <v>25</v>
      </c>
      <c r="F30" s="1524"/>
      <c r="G30" s="1002">
        <v>2377.06</v>
      </c>
      <c r="H30" s="538"/>
      <c r="I30" s="982"/>
      <c r="J30" s="2013"/>
      <c r="K30" s="1207"/>
      <c r="L30" s="622"/>
      <c r="M30" s="982"/>
      <c r="N30" s="622"/>
      <c r="O30" s="982"/>
      <c r="P30" s="622"/>
      <c r="Q30" s="1063"/>
      <c r="R30" s="622"/>
      <c r="S30" s="982"/>
      <c r="T30" s="178"/>
    </row>
    <row r="31" spans="1:44" s="224" customFormat="1" ht="15" customHeight="1" x14ac:dyDescent="0.25">
      <c r="A31" s="247">
        <v>45510</v>
      </c>
      <c r="B31" s="364" t="s">
        <v>1396</v>
      </c>
      <c r="C31" s="879" t="s">
        <v>12</v>
      </c>
      <c r="D31" s="350"/>
      <c r="E31" s="919" t="s">
        <v>25</v>
      </c>
      <c r="F31" s="1116"/>
      <c r="G31" s="966">
        <v>150</v>
      </c>
      <c r="H31" s="1031"/>
      <c r="I31" s="1525"/>
      <c r="J31" s="2013"/>
      <c r="K31" s="1207"/>
      <c r="L31" s="1116"/>
      <c r="M31" s="1207"/>
      <c r="N31" s="880"/>
      <c r="O31" s="1033"/>
      <c r="P31" s="622"/>
      <c r="Q31" s="1063"/>
      <c r="R31" s="1116"/>
      <c r="S31" s="1207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</row>
    <row r="32" spans="1:44" s="224" customFormat="1" ht="15" customHeight="1" x14ac:dyDescent="0.25">
      <c r="A32" s="247">
        <v>45510</v>
      </c>
      <c r="B32" s="364" t="s">
        <v>2977</v>
      </c>
      <c r="C32" s="879" t="s">
        <v>12</v>
      </c>
      <c r="D32" s="350" t="s">
        <v>1491</v>
      </c>
      <c r="E32" s="875" t="s">
        <v>13</v>
      </c>
      <c r="F32" s="780">
        <v>400</v>
      </c>
      <c r="G32" s="982"/>
      <c r="H32" s="1008"/>
      <c r="I32" s="1063"/>
      <c r="J32" s="2013"/>
      <c r="K32" s="1207"/>
      <c r="L32" s="622"/>
      <c r="M32" s="982"/>
      <c r="N32" s="622"/>
      <c r="O32" s="982"/>
      <c r="P32" s="622"/>
      <c r="Q32" s="1063"/>
      <c r="R32" s="622"/>
      <c r="S32" s="982"/>
      <c r="T32" s="1028"/>
      <c r="V32" s="1035"/>
    </row>
    <row r="33" spans="1:44" x14ac:dyDescent="0.25">
      <c r="A33" s="247">
        <v>45510</v>
      </c>
      <c r="B33" s="876" t="s">
        <v>6393</v>
      </c>
      <c r="C33" s="879" t="s">
        <v>12</v>
      </c>
      <c r="D33" s="879" t="s">
        <v>1491</v>
      </c>
      <c r="E33" s="871" t="s">
        <v>13</v>
      </c>
      <c r="F33" s="780">
        <v>80</v>
      </c>
      <c r="G33" s="982"/>
      <c r="H33" s="1009"/>
      <c r="I33" s="1063"/>
      <c r="J33" s="613"/>
      <c r="K33" s="6"/>
      <c r="L33" s="622"/>
      <c r="M33" s="982"/>
      <c r="N33" s="622"/>
      <c r="O33" s="982"/>
      <c r="P33" s="622"/>
      <c r="Q33" s="1063"/>
      <c r="R33" s="622"/>
      <c r="S33" s="982"/>
      <c r="T33" s="1029"/>
    </row>
    <row r="34" spans="1:44" s="224" customFormat="1" ht="15" customHeight="1" x14ac:dyDescent="0.25">
      <c r="A34" s="247">
        <v>45510</v>
      </c>
      <c r="B34" s="862" t="s">
        <v>6416</v>
      </c>
      <c r="C34" s="879" t="s">
        <v>12</v>
      </c>
      <c r="D34" s="879" t="s">
        <v>1504</v>
      </c>
      <c r="E34" s="871" t="s">
        <v>13</v>
      </c>
      <c r="F34" s="780">
        <v>40</v>
      </c>
      <c r="G34" s="982"/>
      <c r="H34" s="1008"/>
      <c r="I34" s="1063"/>
      <c r="J34" s="622"/>
      <c r="K34" s="982"/>
      <c r="L34" s="622"/>
      <c r="M34" s="982"/>
      <c r="N34" s="622"/>
      <c r="O34" s="982"/>
      <c r="P34" s="622"/>
      <c r="Q34" s="1063"/>
      <c r="R34" s="622"/>
      <c r="S34" s="982"/>
      <c r="T34" s="1808">
        <v>60</v>
      </c>
      <c r="U34" s="1028"/>
      <c r="V34" s="1035"/>
    </row>
    <row r="35" spans="1:44" s="224" customFormat="1" ht="15" customHeight="1" x14ac:dyDescent="0.25">
      <c r="A35" s="247">
        <v>45510</v>
      </c>
      <c r="B35" s="882" t="s">
        <v>6725</v>
      </c>
      <c r="C35" s="879" t="s">
        <v>12</v>
      </c>
      <c r="D35" s="879" t="s">
        <v>1499</v>
      </c>
      <c r="E35" s="871" t="s">
        <v>13</v>
      </c>
      <c r="F35" s="780">
        <v>90</v>
      </c>
      <c r="G35" s="982"/>
      <c r="H35" s="1008"/>
      <c r="I35" s="1063"/>
      <c r="J35" s="880"/>
      <c r="K35" s="1033"/>
      <c r="L35" s="622"/>
      <c r="M35" s="982"/>
      <c r="N35" s="622"/>
      <c r="O35" s="982"/>
      <c r="P35" s="622"/>
      <c r="Q35" s="1063"/>
      <c r="R35" s="622"/>
      <c r="S35" s="982"/>
      <c r="T35" s="1028">
        <v>251.22</v>
      </c>
      <c r="U35" s="999"/>
      <c r="V35" s="878"/>
    </row>
    <row r="36" spans="1:44" x14ac:dyDescent="0.25">
      <c r="A36" s="247">
        <v>45510</v>
      </c>
      <c r="B36" s="876" t="s">
        <v>6762</v>
      </c>
      <c r="C36" s="879" t="s">
        <v>12</v>
      </c>
      <c r="D36" s="879" t="s">
        <v>1496</v>
      </c>
      <c r="E36" s="871" t="s">
        <v>13</v>
      </c>
      <c r="F36" s="780">
        <v>100</v>
      </c>
      <c r="G36" s="982"/>
      <c r="H36" s="1009"/>
      <c r="I36" s="1063"/>
      <c r="J36" s="613"/>
      <c r="K36" s="6"/>
      <c r="L36" s="622"/>
      <c r="M36" s="982"/>
      <c r="N36" s="622"/>
      <c r="O36" s="982"/>
      <c r="P36" s="622"/>
      <c r="Q36" s="1063"/>
      <c r="R36" s="622"/>
      <c r="S36" s="982"/>
      <c r="T36" s="1029"/>
    </row>
    <row r="37" spans="1:44" s="224" customFormat="1" ht="15" customHeight="1" x14ac:dyDescent="0.25">
      <c r="A37" s="247">
        <v>45510</v>
      </c>
      <c r="B37" s="1289" t="s">
        <v>2096</v>
      </c>
      <c r="C37" s="879" t="s">
        <v>12</v>
      </c>
      <c r="D37" s="1276" t="s">
        <v>1506</v>
      </c>
      <c r="E37" s="875" t="s">
        <v>13</v>
      </c>
      <c r="F37" s="1873">
        <v>50</v>
      </c>
      <c r="G37" s="967"/>
      <c r="H37" s="1008"/>
      <c r="I37" s="1063"/>
      <c r="J37" s="613"/>
      <c r="K37" s="6"/>
      <c r="L37" s="613"/>
      <c r="M37" s="6"/>
      <c r="N37" s="622"/>
      <c r="O37" s="982"/>
      <c r="P37" s="622"/>
      <c r="Q37" s="1063"/>
      <c r="R37" s="613"/>
      <c r="S37" s="64"/>
      <c r="T37" s="1209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</row>
    <row r="38" spans="1:44" s="224" customFormat="1" ht="15" customHeight="1" x14ac:dyDescent="0.25">
      <c r="A38" s="247">
        <v>45510</v>
      </c>
      <c r="B38" s="882" t="s">
        <v>32</v>
      </c>
      <c r="C38" s="879" t="s">
        <v>12</v>
      </c>
      <c r="D38" s="879" t="s">
        <v>1485</v>
      </c>
      <c r="E38" s="875" t="s">
        <v>13</v>
      </c>
      <c r="F38" s="780">
        <v>22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1028"/>
      <c r="U38" s="959"/>
      <c r="V38" s="878"/>
      <c r="W38" s="958"/>
    </row>
    <row r="39" spans="1:44" s="224" customFormat="1" ht="15" customHeight="1" x14ac:dyDescent="0.25">
      <c r="A39" s="247">
        <v>45510</v>
      </c>
      <c r="B39" s="882" t="s">
        <v>81</v>
      </c>
      <c r="C39" s="879" t="s">
        <v>12</v>
      </c>
      <c r="D39" s="879" t="s">
        <v>1493</v>
      </c>
      <c r="E39" s="871" t="s">
        <v>13</v>
      </c>
      <c r="F39" s="780">
        <v>7</v>
      </c>
      <c r="G39" s="982"/>
      <c r="H39" s="622"/>
      <c r="I39" s="982"/>
      <c r="J39" s="872"/>
      <c r="K39" s="1207"/>
      <c r="L39" s="622"/>
      <c r="M39" s="982"/>
      <c r="N39" s="622"/>
      <c r="O39" s="982"/>
      <c r="P39" s="622"/>
      <c r="Q39" s="1063"/>
      <c r="R39" s="622"/>
      <c r="S39" s="982"/>
      <c r="T39" s="1028"/>
      <c r="U39" s="959"/>
      <c r="V39" s="878"/>
      <c r="W39" s="958"/>
    </row>
    <row r="40" spans="1:44" s="224" customFormat="1" ht="15" customHeight="1" x14ac:dyDescent="0.25">
      <c r="A40" s="247">
        <v>45510</v>
      </c>
      <c r="B40" s="882" t="s">
        <v>6208</v>
      </c>
      <c r="C40" s="879" t="s">
        <v>12</v>
      </c>
      <c r="D40" s="879"/>
      <c r="E40" s="875" t="s">
        <v>13</v>
      </c>
      <c r="F40" s="780">
        <v>850</v>
      </c>
      <c r="G40" s="982"/>
      <c r="H40" s="1008"/>
      <c r="I40" s="1063"/>
      <c r="J40" s="622"/>
      <c r="K40" s="982">
        <v>850</v>
      </c>
      <c r="L40" s="622"/>
      <c r="M40" s="982"/>
      <c r="N40" s="622"/>
      <c r="O40" s="982"/>
      <c r="P40" s="622"/>
      <c r="Q40" s="1063"/>
      <c r="R40" s="622"/>
      <c r="S40" s="982"/>
      <c r="T40" s="861"/>
    </row>
    <row r="41" spans="1:44" s="224" customFormat="1" ht="15" customHeight="1" x14ac:dyDescent="0.25">
      <c r="A41" s="247">
        <v>45510</v>
      </c>
      <c r="B41" s="882" t="s">
        <v>6214</v>
      </c>
      <c r="C41" s="879" t="s">
        <v>12</v>
      </c>
      <c r="D41" s="879"/>
      <c r="E41" s="875" t="s">
        <v>13</v>
      </c>
      <c r="F41" s="780"/>
      <c r="G41" s="982"/>
      <c r="H41" s="95"/>
      <c r="I41" s="1064"/>
      <c r="J41" s="622"/>
      <c r="K41" s="982">
        <v>750</v>
      </c>
      <c r="L41" s="622"/>
      <c r="M41" s="982"/>
      <c r="N41" s="622"/>
      <c r="O41" s="982"/>
      <c r="P41" s="622"/>
      <c r="Q41" s="1063"/>
      <c r="R41" s="622"/>
      <c r="S41" s="982"/>
      <c r="T41" s="861"/>
    </row>
    <row r="42" spans="1:44" s="224" customFormat="1" x14ac:dyDescent="0.25">
      <c r="A42" s="247">
        <v>45510</v>
      </c>
      <c r="B42" s="1275" t="s">
        <v>6746</v>
      </c>
      <c r="C42" s="879" t="s">
        <v>12</v>
      </c>
      <c r="D42" s="1276" t="s">
        <v>1506</v>
      </c>
      <c r="E42" s="1277" t="s">
        <v>13</v>
      </c>
      <c r="F42" s="1279">
        <v>120</v>
      </c>
      <c r="G42" s="982"/>
      <c r="H42" s="1008"/>
      <c r="I42" s="1063"/>
      <c r="J42" s="2013"/>
      <c r="K42" s="1207"/>
      <c r="L42" s="622"/>
      <c r="M42" s="982"/>
      <c r="N42" s="622"/>
      <c r="O42" s="982"/>
      <c r="P42" s="622"/>
      <c r="Q42" s="1063"/>
      <c r="R42" s="622"/>
      <c r="S42" s="982"/>
      <c r="T42" s="1028" t="s">
        <v>6640</v>
      </c>
      <c r="V42" s="878"/>
    </row>
    <row r="43" spans="1:44" s="224" customFormat="1" ht="15" customHeight="1" x14ac:dyDescent="0.25">
      <c r="A43" s="247">
        <v>45510</v>
      </c>
      <c r="B43" s="882" t="s">
        <v>14</v>
      </c>
      <c r="C43" s="879" t="s">
        <v>12</v>
      </c>
      <c r="D43" s="879" t="s">
        <v>1486</v>
      </c>
      <c r="E43" s="875" t="s">
        <v>13</v>
      </c>
      <c r="F43" s="780">
        <v>13.9</v>
      </c>
      <c r="G43" s="982"/>
      <c r="H43" s="95"/>
      <c r="I43" s="1064"/>
      <c r="J43" s="613"/>
      <c r="K43" s="982"/>
      <c r="L43" s="622"/>
      <c r="M43" s="982"/>
      <c r="N43" s="622"/>
      <c r="O43" s="982"/>
      <c r="P43" s="622"/>
      <c r="Q43" s="1063"/>
      <c r="R43" s="622"/>
      <c r="S43" s="982"/>
      <c r="T43" s="861"/>
    </row>
    <row r="44" spans="1:44" s="224" customFormat="1" ht="14.25" customHeight="1" x14ac:dyDescent="0.25">
      <c r="A44" s="247">
        <v>45511</v>
      </c>
      <c r="B44" s="882" t="s">
        <v>2789</v>
      </c>
      <c r="C44" s="879" t="s">
        <v>12</v>
      </c>
      <c r="D44" s="879" t="s">
        <v>1485</v>
      </c>
      <c r="E44" s="875" t="s">
        <v>13</v>
      </c>
      <c r="F44" s="1873">
        <v>11.5</v>
      </c>
      <c r="G44" s="982"/>
      <c r="H44" s="1031"/>
      <c r="I44" s="1525"/>
      <c r="J44" s="622"/>
      <c r="K44" s="982"/>
      <c r="L44" s="872"/>
      <c r="M44" s="1207"/>
      <c r="N44" s="880"/>
      <c r="O44" s="1033"/>
      <c r="P44" s="880"/>
      <c r="Q44" s="1525"/>
      <c r="R44" s="613"/>
      <c r="S44" s="162"/>
      <c r="T44" s="1209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</row>
    <row r="45" spans="1:44" s="224" customFormat="1" ht="15" customHeight="1" x14ac:dyDescent="0.25">
      <c r="A45" s="247">
        <v>45511</v>
      </c>
      <c r="B45" s="882" t="s">
        <v>6258</v>
      </c>
      <c r="C45" s="879" t="s">
        <v>12</v>
      </c>
      <c r="D45" s="879"/>
      <c r="E45" s="875" t="s">
        <v>13</v>
      </c>
      <c r="F45" s="780"/>
      <c r="G45" s="982">
        <v>300</v>
      </c>
      <c r="H45" s="1008"/>
      <c r="I45" s="1063"/>
      <c r="J45" s="613">
        <v>300</v>
      </c>
      <c r="K45" s="982"/>
      <c r="L45" s="622"/>
      <c r="M45" s="982"/>
      <c r="N45" s="622"/>
      <c r="O45" s="982"/>
      <c r="P45" s="622"/>
      <c r="Q45" s="1063"/>
      <c r="R45" s="622"/>
      <c r="S45" s="982"/>
      <c r="T45" s="861"/>
    </row>
    <row r="46" spans="1:44" s="224" customFormat="1" x14ac:dyDescent="0.25">
      <c r="A46" s="247">
        <v>45511</v>
      </c>
      <c r="B46" s="1275" t="s">
        <v>6767</v>
      </c>
      <c r="C46" s="879" t="s">
        <v>12</v>
      </c>
      <c r="D46" s="1276" t="s">
        <v>1524</v>
      </c>
      <c r="E46" s="1286" t="s">
        <v>13</v>
      </c>
      <c r="F46" s="780">
        <v>300</v>
      </c>
      <c r="G46" s="982"/>
      <c r="H46" s="1008"/>
      <c r="I46" s="1063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1028"/>
      <c r="V46" s="878"/>
    </row>
    <row r="47" spans="1:44" s="224" customFormat="1" ht="15" customHeight="1" x14ac:dyDescent="0.25">
      <c r="A47" s="247">
        <v>45511</v>
      </c>
      <c r="B47" s="882" t="s">
        <v>14</v>
      </c>
      <c r="C47" s="879" t="s">
        <v>12</v>
      </c>
      <c r="D47" s="879" t="s">
        <v>1486</v>
      </c>
      <c r="E47" s="480" t="s">
        <v>5470</v>
      </c>
      <c r="F47" s="613">
        <v>18.100000000000001</v>
      </c>
      <c r="G47" s="967"/>
      <c r="H47" s="1008"/>
      <c r="I47" s="1063"/>
      <c r="J47" s="622"/>
      <c r="K47" s="982"/>
      <c r="L47" s="2013"/>
      <c r="M47" s="1207"/>
      <c r="N47" s="880"/>
      <c r="O47" s="1033"/>
      <c r="P47" s="880"/>
      <c r="Q47" s="1525"/>
      <c r="R47" s="613"/>
      <c r="S47" s="162"/>
      <c r="T47" s="1956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</row>
    <row r="48" spans="1:44" s="224" customFormat="1" ht="15" customHeight="1" x14ac:dyDescent="0.25">
      <c r="A48" s="247">
        <v>45512</v>
      </c>
      <c r="B48" s="882" t="s">
        <v>32</v>
      </c>
      <c r="C48" s="879" t="s">
        <v>12</v>
      </c>
      <c r="D48" s="879" t="s">
        <v>1485</v>
      </c>
      <c r="E48" s="875" t="s">
        <v>13</v>
      </c>
      <c r="F48" s="780">
        <v>22</v>
      </c>
      <c r="G48" s="982"/>
      <c r="H48" s="622"/>
      <c r="I48" s="982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1028"/>
      <c r="U48" s="959"/>
      <c r="V48" s="878"/>
      <c r="W48" s="958"/>
    </row>
    <row r="49" spans="1:44" s="224" customFormat="1" ht="15" customHeight="1" x14ac:dyDescent="0.25">
      <c r="A49" s="247">
        <v>45512</v>
      </c>
      <c r="B49" s="882" t="s">
        <v>6780</v>
      </c>
      <c r="C49" s="879"/>
      <c r="D49" s="879"/>
      <c r="E49" s="875"/>
      <c r="F49" s="780"/>
      <c r="G49" s="982"/>
      <c r="H49" s="622"/>
      <c r="I49" s="982"/>
      <c r="J49" s="622"/>
      <c r="K49" s="982"/>
      <c r="L49" s="622"/>
      <c r="M49" s="982"/>
      <c r="N49" s="622"/>
      <c r="O49" s="982"/>
      <c r="P49" s="880"/>
      <c r="Q49" s="1525"/>
      <c r="R49" s="613"/>
      <c r="S49" s="162">
        <v>1347.62</v>
      </c>
      <c r="T49" s="1956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</row>
    <row r="50" spans="1:44" s="224" customFormat="1" ht="15" customHeight="1" x14ac:dyDescent="0.25">
      <c r="A50" s="247">
        <v>45512</v>
      </c>
      <c r="B50" s="882" t="s">
        <v>81</v>
      </c>
      <c r="C50" s="879" t="s">
        <v>12</v>
      </c>
      <c r="D50" s="879" t="s">
        <v>1493</v>
      </c>
      <c r="E50" s="871" t="s">
        <v>13</v>
      </c>
      <c r="F50" s="780">
        <v>6</v>
      </c>
      <c r="G50" s="982"/>
      <c r="H50" s="622"/>
      <c r="I50" s="982"/>
      <c r="J50" s="872"/>
      <c r="K50" s="1207"/>
      <c r="L50" s="622"/>
      <c r="M50" s="982"/>
      <c r="N50" s="622"/>
      <c r="O50" s="982"/>
      <c r="P50" s="622"/>
      <c r="Q50" s="1063"/>
      <c r="R50" s="622"/>
      <c r="S50" s="982"/>
      <c r="T50" s="1028"/>
      <c r="U50" s="959"/>
      <c r="V50" s="878"/>
      <c r="W50" s="958"/>
    </row>
    <row r="51" spans="1:44" s="224" customFormat="1" ht="15" customHeight="1" x14ac:dyDescent="0.25">
      <c r="A51" s="247">
        <v>45512</v>
      </c>
      <c r="B51" s="882" t="s">
        <v>6771</v>
      </c>
      <c r="C51" s="879" t="s">
        <v>12</v>
      </c>
      <c r="D51" s="879" t="s">
        <v>1489</v>
      </c>
      <c r="E51" s="875" t="s">
        <v>13</v>
      </c>
      <c r="F51" s="780">
        <v>10</v>
      </c>
      <c r="G51" s="982"/>
      <c r="H51" s="622"/>
      <c r="I51" s="982"/>
      <c r="J51" s="622"/>
      <c r="K51" s="982"/>
      <c r="L51" s="622"/>
      <c r="M51" s="982"/>
      <c r="N51" s="622"/>
      <c r="O51" s="982"/>
      <c r="P51" s="880"/>
      <c r="Q51" s="1525"/>
      <c r="R51" s="613"/>
      <c r="S51" s="162"/>
      <c r="T51" s="1956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s="224" customFormat="1" ht="15" customHeight="1" x14ac:dyDescent="0.25">
      <c r="A52" s="247">
        <v>45512</v>
      </c>
      <c r="B52" s="882" t="s">
        <v>81</v>
      </c>
      <c r="C52" s="879" t="s">
        <v>12</v>
      </c>
      <c r="D52" s="879" t="s">
        <v>1493</v>
      </c>
      <c r="E52" s="871" t="s">
        <v>13</v>
      </c>
      <c r="F52" s="780">
        <v>7.58</v>
      </c>
      <c r="G52" s="982"/>
      <c r="H52" s="622"/>
      <c r="I52" s="982"/>
      <c r="J52" s="622"/>
      <c r="K52" s="982"/>
      <c r="L52" s="622"/>
      <c r="M52" s="982"/>
      <c r="N52" s="622"/>
      <c r="O52" s="982"/>
      <c r="P52" s="880"/>
      <c r="Q52" s="1525"/>
      <c r="R52" s="613"/>
      <c r="S52" s="162"/>
      <c r="T52" s="1956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</row>
    <row r="53" spans="1:44" s="224" customFormat="1" ht="15" customHeight="1" x14ac:dyDescent="0.25">
      <c r="A53" s="247">
        <v>45513</v>
      </c>
      <c r="B53" s="882" t="s">
        <v>32</v>
      </c>
      <c r="C53" s="879" t="s">
        <v>12</v>
      </c>
      <c r="D53" s="879" t="s">
        <v>1485</v>
      </c>
      <c r="E53" s="875" t="s">
        <v>13</v>
      </c>
      <c r="F53" s="780">
        <v>22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1028"/>
      <c r="U53" s="959"/>
      <c r="V53" s="878"/>
      <c r="W53" s="958"/>
    </row>
    <row r="54" spans="1:44" s="224" customFormat="1" ht="15" customHeight="1" x14ac:dyDescent="0.25">
      <c r="A54" s="247">
        <v>45513</v>
      </c>
      <c r="B54" s="882" t="s">
        <v>461</v>
      </c>
      <c r="C54" s="879" t="s">
        <v>12</v>
      </c>
      <c r="D54" s="879" t="s">
        <v>1506</v>
      </c>
      <c r="E54" s="875" t="s">
        <v>13</v>
      </c>
      <c r="F54" s="780">
        <v>15</v>
      </c>
      <c r="G54" s="982"/>
      <c r="H54" s="622"/>
      <c r="I54" s="982"/>
      <c r="J54" s="622"/>
      <c r="K54" s="982"/>
      <c r="L54" s="622"/>
      <c r="M54" s="982"/>
      <c r="N54" s="622"/>
      <c r="O54" s="982"/>
      <c r="P54" s="622"/>
      <c r="Q54" s="1063"/>
      <c r="R54" s="622"/>
      <c r="S54" s="982"/>
      <c r="T54" s="1028"/>
      <c r="U54" s="959"/>
      <c r="V54" s="878"/>
      <c r="W54" s="958"/>
    </row>
    <row r="55" spans="1:44" s="224" customFormat="1" ht="15" customHeight="1" x14ac:dyDescent="0.25">
      <c r="A55" s="247">
        <v>45513</v>
      </c>
      <c r="B55" s="882" t="s">
        <v>2601</v>
      </c>
      <c r="C55" s="879" t="s">
        <v>12</v>
      </c>
      <c r="D55" s="879" t="s">
        <v>1493</v>
      </c>
      <c r="E55" s="875" t="s">
        <v>13</v>
      </c>
      <c r="F55" s="780">
        <v>58.8</v>
      </c>
      <c r="G55" s="982"/>
      <c r="H55" s="95"/>
      <c r="I55" s="1064"/>
      <c r="J55" s="2013"/>
      <c r="K55" s="1207"/>
      <c r="L55" s="622"/>
      <c r="M55" s="982"/>
      <c r="N55" s="622"/>
      <c r="O55" s="982"/>
      <c r="P55" s="622"/>
      <c r="Q55" s="1063"/>
      <c r="R55" s="622"/>
      <c r="S55" s="982"/>
      <c r="T55" s="861"/>
    </row>
    <row r="56" spans="1:44" s="224" customFormat="1" ht="15" customHeight="1" x14ac:dyDescent="0.25">
      <c r="A56" s="247">
        <v>45514</v>
      </c>
      <c r="B56" s="882" t="s">
        <v>14</v>
      </c>
      <c r="C56" s="879" t="s">
        <v>12</v>
      </c>
      <c r="D56" s="879" t="s">
        <v>1486</v>
      </c>
      <c r="E56" s="480" t="s">
        <v>13</v>
      </c>
      <c r="F56" s="613">
        <v>6.94</v>
      </c>
      <c r="G56" s="967"/>
      <c r="H56" s="1008"/>
      <c r="I56" s="1063"/>
      <c r="J56" s="622"/>
      <c r="K56" s="982"/>
      <c r="L56" s="2013"/>
      <c r="M56" s="1207"/>
      <c r="N56" s="880"/>
      <c r="O56" s="1033"/>
      <c r="P56" s="880"/>
      <c r="Q56" s="1525"/>
      <c r="R56" s="613"/>
      <c r="S56" s="162"/>
      <c r="T56" s="19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</row>
    <row r="57" spans="1:44" s="224" customFormat="1" x14ac:dyDescent="0.25">
      <c r="A57" s="247">
        <v>45514</v>
      </c>
      <c r="B57" s="882" t="s">
        <v>2629</v>
      </c>
      <c r="C57" s="879" t="s">
        <v>12</v>
      </c>
      <c r="D57" s="879" t="s">
        <v>1489</v>
      </c>
      <c r="E57" s="480" t="s">
        <v>5470</v>
      </c>
      <c r="F57" s="780">
        <v>133</v>
      </c>
      <c r="G57" s="982"/>
      <c r="H57" s="1008"/>
      <c r="I57" s="1063"/>
      <c r="J57" s="622"/>
      <c r="K57" s="982"/>
      <c r="L57" s="622"/>
      <c r="M57" s="982"/>
      <c r="N57" s="622"/>
      <c r="O57" s="982"/>
      <c r="P57" s="622"/>
      <c r="Q57" s="1063"/>
      <c r="R57" s="622"/>
      <c r="S57" s="982"/>
      <c r="T57" s="861"/>
      <c r="V57" s="878"/>
    </row>
    <row r="58" spans="1:44" s="224" customFormat="1" x14ac:dyDescent="0.25">
      <c r="A58" s="247">
        <v>45514</v>
      </c>
      <c r="B58" s="882" t="s">
        <v>2629</v>
      </c>
      <c r="C58" s="879" t="s">
        <v>12</v>
      </c>
      <c r="D58" s="879" t="s">
        <v>1489</v>
      </c>
      <c r="E58" s="480" t="s">
        <v>13</v>
      </c>
      <c r="F58" s="780">
        <v>37.28</v>
      </c>
      <c r="G58" s="982"/>
      <c r="H58" s="1008"/>
      <c r="I58" s="1063"/>
      <c r="J58" s="622"/>
      <c r="K58" s="982"/>
      <c r="L58" s="622"/>
      <c r="M58" s="982"/>
      <c r="N58" s="622"/>
      <c r="O58" s="982"/>
      <c r="P58" s="622"/>
      <c r="Q58" s="1063"/>
      <c r="R58" s="622"/>
      <c r="S58" s="982"/>
      <c r="T58" s="861"/>
      <c r="V58" s="878"/>
    </row>
    <row r="59" spans="1:44" s="224" customFormat="1" x14ac:dyDescent="0.25">
      <c r="A59" s="247">
        <v>45515</v>
      </c>
      <c r="B59" s="882" t="s">
        <v>14</v>
      </c>
      <c r="C59" s="879" t="s">
        <v>12</v>
      </c>
      <c r="D59" s="879" t="s">
        <v>1486</v>
      </c>
      <c r="E59" s="480" t="s">
        <v>13</v>
      </c>
      <c r="F59" s="1279">
        <v>8.4600000000000009</v>
      </c>
      <c r="G59" s="982"/>
      <c r="H59" s="1008"/>
      <c r="I59" s="1063"/>
      <c r="J59" s="2013"/>
      <c r="K59" s="1207"/>
      <c r="L59" s="622"/>
      <c r="M59" s="982"/>
      <c r="N59" s="622"/>
      <c r="O59" s="982"/>
      <c r="P59" s="622"/>
      <c r="Q59" s="1063"/>
      <c r="R59" s="622"/>
      <c r="S59" s="982"/>
      <c r="T59" s="861"/>
      <c r="V59" s="878"/>
    </row>
    <row r="60" spans="1:44" s="224" customFormat="1" x14ac:dyDescent="0.25">
      <c r="A60" s="247">
        <v>45515</v>
      </c>
      <c r="B60" s="882" t="s">
        <v>6773</v>
      </c>
      <c r="C60" s="879" t="s">
        <v>12</v>
      </c>
      <c r="D60" s="879" t="s">
        <v>1491</v>
      </c>
      <c r="E60" s="480" t="s">
        <v>13</v>
      </c>
      <c r="F60" s="1279">
        <v>27.9</v>
      </c>
      <c r="G60" s="982"/>
      <c r="H60" s="1008"/>
      <c r="I60" s="1063"/>
      <c r="J60" s="2013"/>
      <c r="K60" s="1207"/>
      <c r="L60" s="622"/>
      <c r="M60" s="982"/>
      <c r="N60" s="622"/>
      <c r="O60" s="982"/>
      <c r="P60" s="622"/>
      <c r="Q60" s="1063"/>
      <c r="R60" s="622"/>
      <c r="S60" s="982"/>
      <c r="T60" s="861"/>
      <c r="V60" s="878"/>
    </row>
    <row r="61" spans="1:44" s="224" customFormat="1" ht="15" customHeight="1" x14ac:dyDescent="0.25">
      <c r="A61" s="247">
        <v>45516</v>
      </c>
      <c r="B61" s="882" t="s">
        <v>6329</v>
      </c>
      <c r="C61" s="879" t="s">
        <v>12</v>
      </c>
      <c r="D61" s="879"/>
      <c r="E61" s="875" t="s">
        <v>25</v>
      </c>
      <c r="F61" s="613"/>
      <c r="G61" s="967">
        <v>100</v>
      </c>
      <c r="H61" s="1008"/>
      <c r="I61" s="1063"/>
      <c r="J61" s="1116"/>
      <c r="K61" s="1207"/>
      <c r="L61" s="613"/>
      <c r="M61" s="6"/>
      <c r="N61" s="622"/>
      <c r="O61" s="982"/>
      <c r="P61" s="622"/>
      <c r="Q61" s="1063"/>
      <c r="R61" s="613"/>
      <c r="S61" s="64"/>
      <c r="T61" s="1209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4.25" customHeight="1" x14ac:dyDescent="0.25">
      <c r="A62" s="247">
        <v>45516</v>
      </c>
      <c r="B62" s="882" t="s">
        <v>2789</v>
      </c>
      <c r="C62" s="879" t="s">
        <v>12</v>
      </c>
      <c r="D62" s="879" t="s">
        <v>1485</v>
      </c>
      <c r="E62" s="875" t="s">
        <v>13</v>
      </c>
      <c r="F62" s="1873">
        <v>11.5</v>
      </c>
      <c r="G62" s="982"/>
      <c r="H62" s="1031"/>
      <c r="I62" s="1525"/>
      <c r="J62" s="622"/>
      <c r="K62" s="982"/>
      <c r="L62" s="872"/>
      <c r="M62" s="1207"/>
      <c r="N62" s="880"/>
      <c r="O62" s="1033"/>
      <c r="P62" s="880"/>
      <c r="Q62" s="1525"/>
      <c r="R62" s="613"/>
      <c r="S62" s="162"/>
      <c r="T62" s="1209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</row>
    <row r="63" spans="1:44" s="224" customFormat="1" ht="15" customHeight="1" x14ac:dyDescent="0.25">
      <c r="A63" s="247">
        <v>45516</v>
      </c>
      <c r="B63" s="882" t="s">
        <v>6258</v>
      </c>
      <c r="C63" s="879" t="s">
        <v>12</v>
      </c>
      <c r="D63" s="879"/>
      <c r="E63" s="875" t="s">
        <v>13</v>
      </c>
      <c r="F63" s="780"/>
      <c r="G63" s="982">
        <v>36.9</v>
      </c>
      <c r="H63" s="1008"/>
      <c r="I63" s="1063"/>
      <c r="J63" s="613">
        <v>36.9</v>
      </c>
      <c r="K63" s="982"/>
      <c r="L63" s="622"/>
      <c r="M63" s="982"/>
      <c r="N63" s="622"/>
      <c r="O63" s="982"/>
      <c r="P63" s="622"/>
      <c r="Q63" s="1063"/>
      <c r="R63" s="622"/>
      <c r="S63" s="982"/>
      <c r="T63" s="861"/>
    </row>
    <row r="64" spans="1:44" s="224" customFormat="1" ht="15" customHeight="1" x14ac:dyDescent="0.25">
      <c r="A64" s="247">
        <v>45516</v>
      </c>
      <c r="B64" s="882" t="s">
        <v>6775</v>
      </c>
      <c r="C64" s="879" t="s">
        <v>12</v>
      </c>
      <c r="D64" s="879" t="s">
        <v>1524</v>
      </c>
      <c r="E64" s="875" t="s">
        <v>13</v>
      </c>
      <c r="F64" s="613">
        <v>36.9</v>
      </c>
      <c r="G64" s="967"/>
      <c r="H64" s="1008"/>
      <c r="I64" s="1063"/>
      <c r="J64" s="1116"/>
      <c r="K64" s="1207"/>
      <c r="L64" s="613"/>
      <c r="M64" s="6"/>
      <c r="N64" s="622"/>
      <c r="O64" s="982"/>
      <c r="P64" s="622"/>
      <c r="Q64" s="1063"/>
      <c r="R64" s="613"/>
      <c r="S64" s="64"/>
      <c r="T64" s="1209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 s="224" customFormat="1" ht="15" customHeight="1" x14ac:dyDescent="0.25">
      <c r="A65" s="247">
        <v>45516</v>
      </c>
      <c r="B65" s="882" t="s">
        <v>6777</v>
      </c>
      <c r="C65" s="879" t="s">
        <v>12</v>
      </c>
      <c r="D65" s="879" t="s">
        <v>1506</v>
      </c>
      <c r="E65" s="875" t="s">
        <v>13</v>
      </c>
      <c r="F65" s="613">
        <v>15</v>
      </c>
      <c r="G65" s="967"/>
      <c r="H65" s="1008"/>
      <c r="I65" s="1063"/>
      <c r="J65" s="1116"/>
      <c r="K65" s="1207"/>
      <c r="L65" s="613"/>
      <c r="M65" s="6"/>
      <c r="N65" s="622"/>
      <c r="O65" s="982"/>
      <c r="P65" s="622"/>
      <c r="Q65" s="1063"/>
      <c r="R65" s="613"/>
      <c r="S65" s="64"/>
      <c r="T65" s="1209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 s="224" customFormat="1" ht="15" customHeight="1" x14ac:dyDescent="0.25">
      <c r="A66" s="247">
        <v>45517</v>
      </c>
      <c r="B66" s="882" t="s">
        <v>32</v>
      </c>
      <c r="C66" s="879" t="s">
        <v>12</v>
      </c>
      <c r="D66" s="879" t="s">
        <v>1485</v>
      </c>
      <c r="E66" s="875" t="s">
        <v>13</v>
      </c>
      <c r="F66" s="780">
        <v>22</v>
      </c>
      <c r="G66" s="982"/>
      <c r="H66" s="622"/>
      <c r="I66" s="982"/>
      <c r="J66" s="622"/>
      <c r="K66" s="982"/>
      <c r="L66" s="622"/>
      <c r="M66" s="982"/>
      <c r="N66" s="622"/>
      <c r="O66" s="982"/>
      <c r="P66" s="622"/>
      <c r="Q66" s="1063"/>
      <c r="R66" s="622"/>
      <c r="S66" s="982"/>
      <c r="T66" s="1028"/>
      <c r="U66" s="959"/>
      <c r="V66" s="878"/>
      <c r="W66" s="958"/>
    </row>
    <row r="67" spans="1:44" s="224" customFormat="1" ht="15" customHeight="1" x14ac:dyDescent="0.25">
      <c r="A67" s="247">
        <v>45517</v>
      </c>
      <c r="B67" s="882" t="s">
        <v>6258</v>
      </c>
      <c r="C67" s="879" t="s">
        <v>12</v>
      </c>
      <c r="D67" s="879"/>
      <c r="E67" s="875" t="s">
        <v>13</v>
      </c>
      <c r="F67" s="780"/>
      <c r="G67" s="982">
        <v>693</v>
      </c>
      <c r="H67" s="1008"/>
      <c r="I67" s="1063"/>
      <c r="J67" s="613">
        <v>693</v>
      </c>
      <c r="K67" s="982"/>
      <c r="L67" s="622"/>
      <c r="M67" s="982"/>
      <c r="N67" s="622"/>
      <c r="O67" s="982"/>
      <c r="P67" s="622"/>
      <c r="Q67" s="1063"/>
      <c r="R67" s="622"/>
      <c r="S67" s="982"/>
      <c r="T67" s="861"/>
    </row>
    <row r="68" spans="1:44" s="224" customFormat="1" ht="15" customHeight="1" x14ac:dyDescent="0.25">
      <c r="A68" s="247">
        <v>45517</v>
      </c>
      <c r="B68" s="882" t="s">
        <v>6768</v>
      </c>
      <c r="C68" s="879" t="s">
        <v>12</v>
      </c>
      <c r="D68" s="879" t="s">
        <v>1524</v>
      </c>
      <c r="E68" s="875" t="s">
        <v>13</v>
      </c>
      <c r="F68" s="780">
        <v>693</v>
      </c>
      <c r="G68" s="982"/>
      <c r="H68" s="622"/>
      <c r="I68" s="982"/>
      <c r="J68" s="622"/>
      <c r="K68" s="982"/>
      <c r="L68" s="622"/>
      <c r="M68" s="982"/>
      <c r="N68" s="622"/>
      <c r="O68" s="982"/>
      <c r="P68" s="880"/>
      <c r="Q68" s="1525"/>
      <c r="R68" s="613"/>
      <c r="S68" s="162"/>
      <c r="T68" s="2312" t="s">
        <v>6769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</row>
    <row r="69" spans="1:44" s="224" customFormat="1" x14ac:dyDescent="0.25">
      <c r="A69" s="247">
        <v>45517</v>
      </c>
      <c r="B69" s="882" t="s">
        <v>14</v>
      </c>
      <c r="C69" s="879" t="s">
        <v>12</v>
      </c>
      <c r="D69" s="879" t="s">
        <v>1486</v>
      </c>
      <c r="E69" s="480" t="s">
        <v>13</v>
      </c>
      <c r="F69" s="1873">
        <v>5.04</v>
      </c>
      <c r="G69" s="982"/>
      <c r="H69" s="1008"/>
      <c r="I69" s="1063"/>
      <c r="J69" s="2013"/>
      <c r="K69" s="1207"/>
      <c r="L69" s="622"/>
      <c r="M69" s="982"/>
      <c r="N69" s="622"/>
      <c r="O69" s="982"/>
      <c r="P69" s="622"/>
      <c r="Q69" s="1063"/>
      <c r="R69" s="622"/>
      <c r="S69" s="982"/>
      <c r="T69" s="861"/>
      <c r="V69" s="878"/>
    </row>
    <row r="70" spans="1:44" s="224" customFormat="1" ht="15" customHeight="1" x14ac:dyDescent="0.25">
      <c r="A70" s="247">
        <v>45518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22</v>
      </c>
      <c r="G70" s="982"/>
      <c r="H70" s="622"/>
      <c r="I70" s="982"/>
      <c r="J70" s="622"/>
      <c r="K70" s="982"/>
      <c r="L70" s="622"/>
      <c r="M70" s="982"/>
      <c r="N70" s="622"/>
      <c r="O70" s="982"/>
      <c r="P70" s="622"/>
      <c r="Q70" s="1063"/>
      <c r="R70" s="622"/>
      <c r="S70" s="982"/>
      <c r="T70" s="1028"/>
      <c r="U70" s="959"/>
      <c r="V70" s="878"/>
      <c r="W70" s="958"/>
    </row>
    <row r="71" spans="1:44" s="224" customFormat="1" ht="15" customHeight="1" x14ac:dyDescent="0.25">
      <c r="A71" s="247">
        <v>45518</v>
      </c>
      <c r="B71" s="882" t="s">
        <v>81</v>
      </c>
      <c r="C71" s="879" t="s">
        <v>12</v>
      </c>
      <c r="D71" s="879" t="s">
        <v>1493</v>
      </c>
      <c r="E71" s="871" t="s">
        <v>13</v>
      </c>
      <c r="F71" s="780">
        <v>6</v>
      </c>
      <c r="G71" s="982"/>
      <c r="H71" s="622"/>
      <c r="I71" s="982"/>
      <c r="J71" s="622"/>
      <c r="K71" s="982"/>
      <c r="L71" s="622"/>
      <c r="M71" s="982"/>
      <c r="N71" s="622"/>
      <c r="O71" s="982"/>
      <c r="P71" s="880"/>
      <c r="Q71" s="1525"/>
      <c r="R71" s="613"/>
      <c r="S71" s="162"/>
      <c r="T71" s="1956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</row>
    <row r="72" spans="1:44" s="224" customFormat="1" ht="15" customHeight="1" x14ac:dyDescent="0.25">
      <c r="A72" s="247">
        <v>45518</v>
      </c>
      <c r="B72" s="364" t="s">
        <v>6563</v>
      </c>
      <c r="C72" s="879" t="s">
        <v>12</v>
      </c>
      <c r="D72" s="350" t="s">
        <v>1489</v>
      </c>
      <c r="E72" s="875" t="s">
        <v>13</v>
      </c>
      <c r="F72" s="780">
        <v>65</v>
      </c>
      <c r="G72" s="982"/>
      <c r="H72" s="622"/>
      <c r="I72" s="982"/>
      <c r="J72" s="1116"/>
      <c r="K72" s="1207"/>
      <c r="L72" s="622"/>
      <c r="M72" s="982"/>
      <c r="N72" s="853"/>
      <c r="O72" s="982"/>
      <c r="P72" s="622"/>
      <c r="Q72" s="1063"/>
      <c r="R72" s="622"/>
      <c r="S72" s="982"/>
      <c r="T72" s="1028" t="s">
        <v>6640</v>
      </c>
      <c r="U72" s="927"/>
      <c r="V72" s="878"/>
    </row>
    <row r="73" spans="1:44" s="224" customFormat="1" ht="15" customHeight="1" x14ac:dyDescent="0.25">
      <c r="A73" s="247">
        <v>45518</v>
      </c>
      <c r="B73" s="1275" t="s">
        <v>6788</v>
      </c>
      <c r="C73" s="1276" t="s">
        <v>12</v>
      </c>
      <c r="D73" s="1276"/>
      <c r="E73" s="1286" t="s">
        <v>13</v>
      </c>
      <c r="F73" s="613">
        <v>210.98</v>
      </c>
      <c r="G73" s="967"/>
      <c r="H73" s="1008"/>
      <c r="I73" s="1063"/>
      <c r="J73" s="613"/>
      <c r="K73" s="6"/>
      <c r="L73" s="613"/>
      <c r="M73" s="6"/>
      <c r="N73" s="622"/>
      <c r="O73" s="982"/>
      <c r="P73" s="622"/>
      <c r="Q73" s="1063"/>
      <c r="R73" s="613"/>
      <c r="S73" s="64"/>
      <c r="T73" s="1024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</row>
    <row r="74" spans="1:44" s="224" customFormat="1" ht="15" customHeight="1" x14ac:dyDescent="0.25">
      <c r="A74" s="247">
        <v>45518</v>
      </c>
      <c r="B74" s="1275" t="s">
        <v>6755</v>
      </c>
      <c r="C74" s="1276" t="s">
        <v>12</v>
      </c>
      <c r="D74" s="1276"/>
      <c r="E74" s="1286"/>
      <c r="F74" s="613"/>
      <c r="G74" s="967">
        <v>210.98</v>
      </c>
      <c r="H74" s="1008"/>
      <c r="I74" s="1063"/>
      <c r="J74" s="613"/>
      <c r="K74" s="6"/>
      <c r="L74" s="613"/>
      <c r="M74" s="6"/>
      <c r="N74" s="622"/>
      <c r="O74" s="982"/>
      <c r="P74" s="622"/>
      <c r="Q74" s="1063"/>
      <c r="R74" s="613"/>
      <c r="S74" s="64"/>
      <c r="T74" s="102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</row>
    <row r="75" spans="1:44" s="224" customFormat="1" ht="15" customHeight="1" x14ac:dyDescent="0.25">
      <c r="A75" s="247">
        <v>45519</v>
      </c>
      <c r="B75" s="882" t="s">
        <v>6793</v>
      </c>
      <c r="C75" s="879" t="s">
        <v>12</v>
      </c>
      <c r="D75" s="879"/>
      <c r="E75" s="875" t="s">
        <v>13</v>
      </c>
      <c r="F75" s="780">
        <v>50</v>
      </c>
      <c r="G75" s="982"/>
      <c r="H75" s="1008"/>
      <c r="I75" s="1063">
        <v>50</v>
      </c>
      <c r="J75" s="622"/>
      <c r="K75" s="982"/>
      <c r="L75" s="622"/>
      <c r="M75" s="982"/>
      <c r="N75" s="622"/>
      <c r="O75" s="982"/>
      <c r="P75" s="622"/>
      <c r="Q75" s="1063"/>
      <c r="R75" s="622"/>
      <c r="S75" s="982"/>
      <c r="T75" s="1028"/>
      <c r="U75" s="959"/>
      <c r="V75" s="878"/>
      <c r="W75" s="958"/>
    </row>
    <row r="76" spans="1:44" s="224" customFormat="1" ht="15" customHeight="1" x14ac:dyDescent="0.25">
      <c r="A76" s="247">
        <v>45519</v>
      </c>
      <c r="B76" s="882" t="s">
        <v>32</v>
      </c>
      <c r="C76" s="879" t="s">
        <v>12</v>
      </c>
      <c r="D76" s="879" t="s">
        <v>1485</v>
      </c>
      <c r="E76" s="875" t="s">
        <v>13</v>
      </c>
      <c r="F76" s="780">
        <v>22</v>
      </c>
      <c r="G76" s="982"/>
      <c r="H76" s="622"/>
      <c r="I76" s="982"/>
      <c r="J76" s="622"/>
      <c r="K76" s="982"/>
      <c r="L76" s="622"/>
      <c r="M76" s="982"/>
      <c r="N76" s="622"/>
      <c r="O76" s="982"/>
      <c r="P76" s="622"/>
      <c r="Q76" s="1063"/>
      <c r="R76" s="622"/>
      <c r="S76" s="982"/>
      <c r="T76" s="1028"/>
      <c r="U76" s="959"/>
      <c r="V76" s="878"/>
      <c r="W76" s="958"/>
    </row>
    <row r="77" spans="1:44" s="224" customFormat="1" ht="15" customHeight="1" x14ac:dyDescent="0.25">
      <c r="A77" s="247">
        <v>45519</v>
      </c>
      <c r="B77" s="364" t="s">
        <v>6795</v>
      </c>
      <c r="C77" s="350" t="s">
        <v>12</v>
      </c>
      <c r="D77" s="350" t="s">
        <v>1493</v>
      </c>
      <c r="E77" s="480" t="s">
        <v>13</v>
      </c>
      <c r="F77" s="613">
        <v>25</v>
      </c>
      <c r="G77" s="967"/>
      <c r="H77" s="1008"/>
      <c r="I77" s="1063"/>
      <c r="J77" s="622"/>
      <c r="K77" s="982"/>
      <c r="L77" s="1116"/>
      <c r="M77" s="1207"/>
      <c r="N77" s="1968"/>
      <c r="O77" s="1033"/>
      <c r="P77" s="880"/>
      <c r="Q77" s="1525"/>
      <c r="R77" s="613"/>
      <c r="S77" s="162"/>
      <c r="T77" s="1209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</row>
    <row r="78" spans="1:44" s="224" customFormat="1" ht="15" customHeight="1" x14ac:dyDescent="0.25">
      <c r="A78" s="247">
        <v>45520</v>
      </c>
      <c r="B78" s="882" t="s">
        <v>32</v>
      </c>
      <c r="C78" s="879" t="s">
        <v>12</v>
      </c>
      <c r="D78" s="879" t="s">
        <v>1485</v>
      </c>
      <c r="E78" s="875" t="s">
        <v>13</v>
      </c>
      <c r="F78" s="780">
        <v>22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1028"/>
      <c r="U78" s="959"/>
      <c r="V78" s="878"/>
      <c r="W78" s="958"/>
    </row>
    <row r="79" spans="1:44" s="224" customFormat="1" ht="15" customHeight="1" x14ac:dyDescent="0.25">
      <c r="A79" s="247">
        <v>45520</v>
      </c>
      <c r="B79" s="882" t="s">
        <v>81</v>
      </c>
      <c r="C79" s="879" t="s">
        <v>12</v>
      </c>
      <c r="D79" s="879" t="s">
        <v>1493</v>
      </c>
      <c r="E79" s="871" t="s">
        <v>13</v>
      </c>
      <c r="F79" s="780">
        <v>5</v>
      </c>
      <c r="G79" s="982"/>
      <c r="H79" s="622"/>
      <c r="I79" s="982"/>
      <c r="J79" s="622"/>
      <c r="K79" s="982"/>
      <c r="L79" s="622"/>
      <c r="M79" s="982"/>
      <c r="N79" s="622"/>
      <c r="O79" s="982"/>
      <c r="P79" s="880"/>
      <c r="Q79" s="1525"/>
      <c r="R79" s="613"/>
      <c r="S79" s="162"/>
      <c r="T79" s="1956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</row>
    <row r="80" spans="1:44" s="224" customFormat="1" ht="15" customHeight="1" x14ac:dyDescent="0.25">
      <c r="A80" s="247">
        <v>45520</v>
      </c>
      <c r="B80" s="882" t="s">
        <v>14</v>
      </c>
      <c r="C80" s="879" t="s">
        <v>12</v>
      </c>
      <c r="D80" s="879" t="s">
        <v>1486</v>
      </c>
      <c r="E80" s="480" t="s">
        <v>13</v>
      </c>
      <c r="F80" s="613">
        <v>6.12</v>
      </c>
      <c r="G80" s="967"/>
      <c r="H80" s="1008"/>
      <c r="I80" s="1063"/>
      <c r="J80" s="622"/>
      <c r="K80" s="982"/>
      <c r="L80" s="613"/>
      <c r="M80" s="6"/>
      <c r="N80" s="622"/>
      <c r="O80" s="982"/>
      <c r="P80" s="622"/>
      <c r="Q80" s="1063"/>
      <c r="R80" s="613"/>
      <c r="S80" s="64"/>
      <c r="T80" s="1209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 s="224" customFormat="1" ht="15" customHeight="1" x14ac:dyDescent="0.25">
      <c r="A81" s="247">
        <v>45521</v>
      </c>
      <c r="B81" s="882" t="s">
        <v>14</v>
      </c>
      <c r="C81" s="879" t="s">
        <v>12</v>
      </c>
      <c r="D81" s="879" t="s">
        <v>1486</v>
      </c>
      <c r="E81" s="480" t="s">
        <v>13</v>
      </c>
      <c r="F81" s="613">
        <v>7.56</v>
      </c>
      <c r="G81" s="967"/>
      <c r="H81" s="1008"/>
      <c r="I81" s="1063"/>
      <c r="J81" s="622"/>
      <c r="K81" s="982"/>
      <c r="L81" s="613"/>
      <c r="M81" s="6"/>
      <c r="N81" s="622"/>
      <c r="O81" s="982"/>
      <c r="P81" s="622"/>
      <c r="Q81" s="1063"/>
      <c r="R81" s="613"/>
      <c r="S81" s="64"/>
      <c r="T81" s="1209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s="224" customFormat="1" ht="15" customHeight="1" x14ac:dyDescent="0.25">
      <c r="A82" s="247">
        <v>45521</v>
      </c>
      <c r="B82" s="364" t="s">
        <v>6795</v>
      </c>
      <c r="C82" s="350" t="s">
        <v>12</v>
      </c>
      <c r="D82" s="350" t="s">
        <v>1493</v>
      </c>
      <c r="E82" s="480" t="s">
        <v>13</v>
      </c>
      <c r="F82" s="613">
        <v>37.799999999999997</v>
      </c>
      <c r="G82" s="967"/>
      <c r="H82" s="1008"/>
      <c r="I82" s="1063"/>
      <c r="J82" s="622"/>
      <c r="K82" s="982"/>
      <c r="L82" s="1116"/>
      <c r="M82" s="1207"/>
      <c r="N82" s="1968"/>
      <c r="O82" s="1033"/>
      <c r="P82" s="880"/>
      <c r="Q82" s="1525"/>
      <c r="R82" s="613"/>
      <c r="S82" s="162"/>
      <c r="T82" s="1209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</row>
    <row r="83" spans="1:44" s="224" customFormat="1" ht="15" customHeight="1" x14ac:dyDescent="0.25">
      <c r="A83" s="247">
        <v>45522</v>
      </c>
      <c r="B83" s="882" t="s">
        <v>14</v>
      </c>
      <c r="C83" s="879" t="s">
        <v>12</v>
      </c>
      <c r="D83" s="879" t="s">
        <v>1486</v>
      </c>
      <c r="E83" s="480" t="s">
        <v>13</v>
      </c>
      <c r="F83" s="780">
        <v>18.170000000000002</v>
      </c>
      <c r="G83" s="982"/>
      <c r="H83" s="622"/>
      <c r="I83" s="982"/>
      <c r="J83" s="622"/>
      <c r="K83" s="982"/>
      <c r="L83" s="622"/>
      <c r="M83" s="982"/>
      <c r="N83" s="853"/>
      <c r="O83" s="982"/>
      <c r="P83" s="622"/>
      <c r="Q83" s="1063"/>
      <c r="R83" s="622"/>
      <c r="S83" s="982"/>
      <c r="T83" s="927"/>
      <c r="U83" s="927"/>
      <c r="V83" s="878"/>
    </row>
    <row r="84" spans="1:44" s="224" customFormat="1" ht="15" customHeight="1" x14ac:dyDescent="0.25">
      <c r="A84" s="247">
        <v>45522</v>
      </c>
      <c r="B84" s="882" t="s">
        <v>32</v>
      </c>
      <c r="C84" s="879" t="s">
        <v>12</v>
      </c>
      <c r="D84" s="879" t="s">
        <v>1485</v>
      </c>
      <c r="E84" s="875" t="s">
        <v>13</v>
      </c>
      <c r="F84" s="780">
        <v>25</v>
      </c>
      <c r="G84" s="982"/>
      <c r="H84" s="622"/>
      <c r="I84" s="982"/>
      <c r="J84" s="622"/>
      <c r="K84" s="982"/>
      <c r="L84" s="622"/>
      <c r="M84" s="982"/>
      <c r="N84" s="622"/>
      <c r="O84" s="982"/>
      <c r="P84" s="622"/>
      <c r="Q84" s="1063"/>
      <c r="R84" s="622"/>
      <c r="S84" s="982"/>
      <c r="T84" s="1028"/>
      <c r="U84" s="959"/>
      <c r="V84" s="878"/>
      <c r="W84" s="958"/>
    </row>
    <row r="85" spans="1:44" s="224" customFormat="1" ht="15" customHeight="1" x14ac:dyDescent="0.25">
      <c r="A85" s="247">
        <v>45522</v>
      </c>
      <c r="B85" s="364" t="s">
        <v>80</v>
      </c>
      <c r="C85" s="350" t="s">
        <v>12</v>
      </c>
      <c r="D85" s="350" t="s">
        <v>1523</v>
      </c>
      <c r="E85" s="480" t="s">
        <v>13</v>
      </c>
      <c r="F85" s="613">
        <v>15</v>
      </c>
      <c r="G85" s="966"/>
      <c r="H85" s="1031"/>
      <c r="I85" s="1525"/>
      <c r="J85" s="622"/>
      <c r="K85" s="982"/>
      <c r="L85" s="872"/>
      <c r="M85" s="1207"/>
      <c r="N85" s="880"/>
      <c r="O85" s="1033"/>
      <c r="P85" s="880"/>
      <c r="Q85" s="1525"/>
      <c r="R85" s="613"/>
      <c r="S85" s="162"/>
      <c r="T85" s="1209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5" customHeight="1" x14ac:dyDescent="0.25">
      <c r="A86" s="247">
        <v>45523</v>
      </c>
      <c r="B86" s="882" t="s">
        <v>6329</v>
      </c>
      <c r="C86" s="879" t="s">
        <v>12</v>
      </c>
      <c r="D86" s="879"/>
      <c r="E86" s="875" t="s">
        <v>25</v>
      </c>
      <c r="F86" s="780"/>
      <c r="G86" s="982">
        <v>100</v>
      </c>
      <c r="H86" s="622"/>
      <c r="I86" s="982"/>
      <c r="J86" s="622"/>
      <c r="K86" s="982"/>
      <c r="L86" s="622"/>
      <c r="M86" s="982"/>
      <c r="N86" s="853"/>
      <c r="O86" s="982"/>
      <c r="P86" s="622"/>
      <c r="Q86" s="1063"/>
      <c r="R86" s="622"/>
      <c r="S86" s="982"/>
      <c r="T86" s="927"/>
      <c r="U86" s="927"/>
      <c r="V86" s="878"/>
    </row>
    <row r="87" spans="1:44" s="224" customFormat="1" ht="15" customHeight="1" x14ac:dyDescent="0.25">
      <c r="A87" s="247">
        <v>45523</v>
      </c>
      <c r="B87" s="882" t="s">
        <v>6258</v>
      </c>
      <c r="C87" s="879" t="s">
        <v>12</v>
      </c>
      <c r="D87" s="879"/>
      <c r="E87" s="875" t="s">
        <v>13</v>
      </c>
      <c r="F87" s="780"/>
      <c r="G87" s="982">
        <v>19.25</v>
      </c>
      <c r="H87" s="1008"/>
      <c r="I87" s="1063"/>
      <c r="J87" s="613">
        <v>19.25</v>
      </c>
      <c r="K87" s="982"/>
      <c r="L87" s="622"/>
      <c r="M87" s="982"/>
      <c r="N87" s="622"/>
      <c r="O87" s="982"/>
      <c r="P87" s="622"/>
      <c r="Q87" s="1063"/>
      <c r="R87" s="622"/>
      <c r="S87" s="982"/>
      <c r="T87" s="861"/>
    </row>
    <row r="88" spans="1:44" s="224" customFormat="1" ht="15" customHeight="1" x14ac:dyDescent="0.25">
      <c r="A88" s="247">
        <v>45523</v>
      </c>
      <c r="B88" s="882" t="s">
        <v>32</v>
      </c>
      <c r="C88" s="879" t="s">
        <v>12</v>
      </c>
      <c r="D88" s="879" t="s">
        <v>1485</v>
      </c>
      <c r="E88" s="875" t="s">
        <v>13</v>
      </c>
      <c r="F88" s="780">
        <v>22</v>
      </c>
      <c r="G88" s="982"/>
      <c r="H88" s="622"/>
      <c r="I88" s="982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1028"/>
      <c r="U88" s="959"/>
      <c r="V88" s="878"/>
      <c r="W88" s="958"/>
    </row>
    <row r="89" spans="1:44" s="224" customFormat="1" ht="15" customHeight="1" x14ac:dyDescent="0.25">
      <c r="A89" s="247">
        <v>45523</v>
      </c>
      <c r="B89" s="1275" t="s">
        <v>3958</v>
      </c>
      <c r="C89" s="1276" t="s">
        <v>12</v>
      </c>
      <c r="D89" s="1276" t="s">
        <v>1489</v>
      </c>
      <c r="E89" s="1277" t="s">
        <v>13</v>
      </c>
      <c r="F89" s="780">
        <v>22</v>
      </c>
      <c r="G89" s="982"/>
      <c r="H89" s="622"/>
      <c r="I89" s="982"/>
      <c r="J89" s="622"/>
      <c r="K89" s="982"/>
      <c r="L89" s="622"/>
      <c r="M89" s="982"/>
      <c r="N89" s="622"/>
      <c r="O89" s="982"/>
      <c r="P89" s="622"/>
      <c r="Q89" s="1063"/>
      <c r="R89" s="622"/>
      <c r="S89" s="982"/>
      <c r="T89" s="1028"/>
      <c r="U89" s="959"/>
      <c r="V89" s="878"/>
      <c r="W89" s="958"/>
    </row>
    <row r="90" spans="1:44" s="224" customFormat="1" ht="15" customHeight="1" x14ac:dyDescent="0.25">
      <c r="A90" s="247">
        <v>45524</v>
      </c>
      <c r="B90" s="882" t="s">
        <v>6727</v>
      </c>
      <c r="C90" s="350" t="s">
        <v>12</v>
      </c>
      <c r="D90" s="350"/>
      <c r="E90" s="480" t="s">
        <v>25</v>
      </c>
      <c r="F90" s="622"/>
      <c r="G90" s="982">
        <v>2400</v>
      </c>
      <c r="H90" s="1008"/>
      <c r="I90" s="1063"/>
      <c r="J90" s="622"/>
      <c r="K90" s="982"/>
      <c r="L90" s="622"/>
      <c r="M90" s="982"/>
      <c r="N90" s="622"/>
      <c r="O90" s="982"/>
      <c r="P90" s="622"/>
      <c r="Q90" s="1063"/>
      <c r="R90" s="622"/>
      <c r="S90" s="982"/>
      <c r="T90" s="861"/>
    </row>
    <row r="91" spans="1:44" s="224" customFormat="1" ht="15" customHeight="1" x14ac:dyDescent="0.25">
      <c r="A91" s="247">
        <v>45524</v>
      </c>
      <c r="B91" s="364" t="s">
        <v>6726</v>
      </c>
      <c r="C91" s="879" t="s">
        <v>12</v>
      </c>
      <c r="D91" s="879"/>
      <c r="E91" s="983" t="s">
        <v>25</v>
      </c>
      <c r="F91" s="780"/>
      <c r="G91" s="982"/>
      <c r="H91" s="622"/>
      <c r="I91" s="982"/>
      <c r="J91" s="2013"/>
      <c r="K91" s="1207"/>
      <c r="L91" s="622"/>
      <c r="M91" s="982"/>
      <c r="N91" s="622"/>
      <c r="O91" s="982"/>
      <c r="P91" s="622"/>
      <c r="Q91" s="1063"/>
      <c r="R91" s="622"/>
      <c r="S91" s="982">
        <v>447.3</v>
      </c>
      <c r="T91" s="927"/>
      <c r="U91" s="927"/>
      <c r="V91" s="878"/>
    </row>
    <row r="92" spans="1:44" s="224" customFormat="1" ht="15" customHeight="1" x14ac:dyDescent="0.25">
      <c r="A92" s="247">
        <v>45524</v>
      </c>
      <c r="B92" s="364" t="s">
        <v>3354</v>
      </c>
      <c r="C92" s="350" t="s">
        <v>12</v>
      </c>
      <c r="D92" s="350"/>
      <c r="E92" s="145" t="s">
        <v>25</v>
      </c>
      <c r="F92" s="613"/>
      <c r="G92" s="967"/>
      <c r="H92" s="1008"/>
      <c r="I92" s="1063"/>
      <c r="J92" s="622"/>
      <c r="K92" s="982"/>
      <c r="L92" s="1116"/>
      <c r="M92" s="1207"/>
      <c r="N92" s="880"/>
      <c r="O92" s="1033"/>
      <c r="P92" s="880"/>
      <c r="Q92" s="1525"/>
      <c r="R92" s="613"/>
      <c r="S92" s="162">
        <v>179.45</v>
      </c>
      <c r="T92" s="2018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</row>
    <row r="93" spans="1:44" s="224" customFormat="1" ht="15" customHeight="1" x14ac:dyDescent="0.25">
      <c r="A93" s="247">
        <v>45524</v>
      </c>
      <c r="B93" s="862" t="s">
        <v>2867</v>
      </c>
      <c r="C93" s="350" t="s">
        <v>12</v>
      </c>
      <c r="D93" s="874" t="s">
        <v>1504</v>
      </c>
      <c r="E93" s="887" t="s">
        <v>13</v>
      </c>
      <c r="F93" s="780">
        <v>30</v>
      </c>
      <c r="G93" s="982"/>
      <c r="H93" s="1009"/>
      <c r="I93" s="1063"/>
      <c r="J93" s="622"/>
      <c r="K93" s="982"/>
      <c r="L93" s="853"/>
      <c r="M93" s="982"/>
      <c r="N93" s="853"/>
      <c r="O93" s="982"/>
      <c r="P93" s="853"/>
      <c r="Q93" s="1063"/>
      <c r="R93" s="622"/>
      <c r="S93" s="982"/>
      <c r="T93" s="1690"/>
      <c r="U93" s="1690"/>
      <c r="V93" s="1690"/>
      <c r="W93" s="1690"/>
      <c r="X93" s="1690"/>
      <c r="Y93" s="1690"/>
      <c r="Z93" s="1690"/>
      <c r="AA93" s="1690"/>
      <c r="AB93" s="1690"/>
    </row>
    <row r="94" spans="1:44" s="224" customFormat="1" ht="14.25" customHeight="1" x14ac:dyDescent="0.25">
      <c r="A94" s="247">
        <v>45524</v>
      </c>
      <c r="B94" s="364" t="s">
        <v>2977</v>
      </c>
      <c r="C94" s="350" t="s">
        <v>12</v>
      </c>
      <c r="D94" s="350" t="s">
        <v>1491</v>
      </c>
      <c r="E94" s="875" t="s">
        <v>13</v>
      </c>
      <c r="F94" s="780">
        <v>400</v>
      </c>
      <c r="G94" s="982"/>
      <c r="H94" s="1008"/>
      <c r="I94" s="1063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1029"/>
      <c r="U94" s="89"/>
      <c r="V94" s="930"/>
    </row>
    <row r="95" spans="1:44" s="224" customFormat="1" ht="15" customHeight="1" x14ac:dyDescent="0.25">
      <c r="A95" s="247">
        <v>45524</v>
      </c>
      <c r="B95" s="349" t="s">
        <v>6728</v>
      </c>
      <c r="C95" s="887" t="s">
        <v>12</v>
      </c>
      <c r="D95" s="350" t="s">
        <v>1491</v>
      </c>
      <c r="E95" s="887" t="s">
        <v>13</v>
      </c>
      <c r="F95" s="613">
        <v>31.9</v>
      </c>
      <c r="G95" s="982"/>
      <c r="H95" s="872"/>
      <c r="I95" s="1063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927"/>
      <c r="U95" s="999"/>
      <c r="V95" s="878"/>
    </row>
    <row r="96" spans="1:44" s="224" customFormat="1" ht="15" customHeight="1" x14ac:dyDescent="0.25">
      <c r="A96" s="247">
        <v>45524</v>
      </c>
      <c r="B96" s="349" t="s">
        <v>6728</v>
      </c>
      <c r="C96" s="887" t="s">
        <v>12</v>
      </c>
      <c r="D96" s="350" t="s">
        <v>1522</v>
      </c>
      <c r="E96" s="887" t="s">
        <v>13</v>
      </c>
      <c r="F96" s="613">
        <v>56.67</v>
      </c>
      <c r="G96" s="982"/>
      <c r="H96" s="872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927"/>
      <c r="U96" s="999"/>
      <c r="V96" s="878"/>
    </row>
    <row r="97" spans="1:44" s="224" customFormat="1" ht="15" customHeight="1" x14ac:dyDescent="0.25">
      <c r="A97" s="247">
        <v>45524</v>
      </c>
      <c r="B97" s="349" t="s">
        <v>6728</v>
      </c>
      <c r="C97" s="887" t="s">
        <v>12</v>
      </c>
      <c r="D97" s="350" t="s">
        <v>1524</v>
      </c>
      <c r="E97" s="887" t="s">
        <v>13</v>
      </c>
      <c r="F97" s="613">
        <v>291.66666666666669</v>
      </c>
      <c r="G97" s="982"/>
      <c r="H97" s="872"/>
      <c r="I97" s="1063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927"/>
      <c r="U97" s="999"/>
      <c r="V97" s="878"/>
    </row>
    <row r="98" spans="1:44" s="224" customFormat="1" ht="15" customHeight="1" x14ac:dyDescent="0.25">
      <c r="A98" s="247">
        <v>45524</v>
      </c>
      <c r="B98" s="349" t="s">
        <v>6728</v>
      </c>
      <c r="C98" s="887" t="s">
        <v>12</v>
      </c>
      <c r="D98" s="350" t="s">
        <v>1524</v>
      </c>
      <c r="E98" s="887" t="s">
        <v>13</v>
      </c>
      <c r="F98" s="613">
        <v>479.16666666666669</v>
      </c>
      <c r="G98" s="982"/>
      <c r="H98" s="872"/>
      <c r="I98" s="1063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927"/>
      <c r="U98" s="999"/>
      <c r="V98" s="878"/>
    </row>
    <row r="99" spans="1:44" s="224" customFormat="1" ht="15" customHeight="1" x14ac:dyDescent="0.25">
      <c r="A99" s="247">
        <v>45524</v>
      </c>
      <c r="B99" s="349" t="s">
        <v>6728</v>
      </c>
      <c r="C99" s="887" t="s">
        <v>12</v>
      </c>
      <c r="D99" s="350" t="s">
        <v>1489</v>
      </c>
      <c r="E99" s="887" t="s">
        <v>13</v>
      </c>
      <c r="F99" s="613">
        <v>69.900000000000006</v>
      </c>
      <c r="G99" s="982"/>
      <c r="H99" s="872"/>
      <c r="I99" s="1063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927"/>
      <c r="U99" s="999"/>
      <c r="V99" s="878"/>
    </row>
    <row r="100" spans="1:44" s="224" customFormat="1" ht="15" customHeight="1" x14ac:dyDescent="0.25">
      <c r="A100" s="247">
        <v>45524</v>
      </c>
      <c r="B100" s="349" t="s">
        <v>6728</v>
      </c>
      <c r="C100" s="887" t="s">
        <v>12</v>
      </c>
      <c r="D100" s="350" t="s">
        <v>1504</v>
      </c>
      <c r="E100" s="887" t="s">
        <v>13</v>
      </c>
      <c r="F100" s="613">
        <v>29.806666666666668</v>
      </c>
      <c r="G100" s="982"/>
      <c r="H100" s="872"/>
      <c r="I100" s="1063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927"/>
      <c r="U100" s="999"/>
      <c r="V100" s="878"/>
    </row>
    <row r="101" spans="1:44" s="224" customFormat="1" ht="15" customHeight="1" x14ac:dyDescent="0.25">
      <c r="A101" s="247">
        <v>45524</v>
      </c>
      <c r="B101" s="349" t="s">
        <v>6728</v>
      </c>
      <c r="C101" s="887" t="s">
        <v>12</v>
      </c>
      <c r="D101" s="1005" t="s">
        <v>1524</v>
      </c>
      <c r="E101" s="887" t="s">
        <v>13</v>
      </c>
      <c r="F101" s="1116">
        <v>396.9</v>
      </c>
      <c r="G101" s="982"/>
      <c r="H101" s="872"/>
      <c r="I101" s="1063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927"/>
      <c r="U101" s="999"/>
      <c r="V101" s="878"/>
    </row>
    <row r="102" spans="1:44" s="224" customFormat="1" ht="15" customHeight="1" x14ac:dyDescent="0.25">
      <c r="A102" s="247">
        <v>45524</v>
      </c>
      <c r="B102" s="349" t="s">
        <v>6728</v>
      </c>
      <c r="C102" s="887" t="s">
        <v>12</v>
      </c>
      <c r="D102" s="350" t="s">
        <v>1524</v>
      </c>
      <c r="E102" s="887" t="s">
        <v>13</v>
      </c>
      <c r="F102" s="613">
        <v>582</v>
      </c>
      <c r="G102" s="982"/>
      <c r="H102" s="872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927"/>
      <c r="U102" s="999"/>
      <c r="V102" s="878"/>
    </row>
    <row r="103" spans="1:44" s="224" customFormat="1" ht="15" customHeight="1" x14ac:dyDescent="0.25">
      <c r="A103" s="247">
        <v>45524</v>
      </c>
      <c r="B103" s="349" t="s">
        <v>6728</v>
      </c>
      <c r="C103" s="887" t="s">
        <v>12</v>
      </c>
      <c r="D103" s="1005" t="s">
        <v>1496</v>
      </c>
      <c r="E103" s="887" t="s">
        <v>13</v>
      </c>
      <c r="F103" s="1116">
        <v>65.48</v>
      </c>
      <c r="G103" s="982"/>
      <c r="H103" s="872"/>
      <c r="I103" s="1063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927"/>
      <c r="U103" s="999"/>
      <c r="V103" s="878"/>
    </row>
    <row r="104" spans="1:44" s="224" customFormat="1" ht="15" customHeight="1" x14ac:dyDescent="0.25">
      <c r="A104" s="247">
        <v>45524</v>
      </c>
      <c r="B104" s="349" t="s">
        <v>6728</v>
      </c>
      <c r="C104" s="887" t="s">
        <v>12</v>
      </c>
      <c r="D104" s="1005" t="s">
        <v>1524</v>
      </c>
      <c r="E104" s="887" t="s">
        <v>13</v>
      </c>
      <c r="F104" s="1116">
        <v>19.25</v>
      </c>
      <c r="G104" s="982"/>
      <c r="H104" s="872"/>
      <c r="I104" s="1063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927"/>
      <c r="U104" s="999"/>
      <c r="V104" s="878"/>
    </row>
    <row r="105" spans="1:44" s="224" customFormat="1" ht="15" customHeight="1" x14ac:dyDescent="0.25">
      <c r="A105" s="247">
        <v>45524</v>
      </c>
      <c r="B105" s="349" t="s">
        <v>6728</v>
      </c>
      <c r="C105" s="887" t="s">
        <v>12</v>
      </c>
      <c r="D105" s="1005" t="s">
        <v>1506</v>
      </c>
      <c r="E105" s="887" t="s">
        <v>13</v>
      </c>
      <c r="F105" s="1116">
        <v>86.666666666666671</v>
      </c>
      <c r="G105" s="982"/>
      <c r="H105" s="872"/>
      <c r="I105" s="1063"/>
      <c r="J105" s="622"/>
      <c r="K105" s="982"/>
      <c r="L105" s="622"/>
      <c r="M105" s="982"/>
      <c r="N105" s="622"/>
      <c r="O105" s="982"/>
      <c r="P105" s="622"/>
      <c r="Q105" s="1063"/>
      <c r="R105" s="622"/>
      <c r="S105" s="982"/>
      <c r="T105" s="927"/>
      <c r="U105" s="999"/>
      <c r="V105" s="878"/>
    </row>
    <row r="106" spans="1:44" s="224" customFormat="1" ht="15" customHeight="1" x14ac:dyDescent="0.25">
      <c r="A106" s="247">
        <v>45524</v>
      </c>
      <c r="B106" s="882" t="s">
        <v>6729</v>
      </c>
      <c r="C106" s="879" t="s">
        <v>12</v>
      </c>
      <c r="D106" s="879" t="s">
        <v>1499</v>
      </c>
      <c r="E106" s="871" t="s">
        <v>13</v>
      </c>
      <c r="F106" s="780">
        <v>41.16</v>
      </c>
      <c r="G106" s="982"/>
      <c r="H106" s="1008"/>
      <c r="I106" s="1063"/>
      <c r="J106" s="622"/>
      <c r="K106" s="982"/>
      <c r="L106" s="622"/>
      <c r="M106" s="982"/>
      <c r="N106" s="622"/>
      <c r="O106" s="982"/>
      <c r="P106" s="622"/>
      <c r="Q106" s="1063"/>
      <c r="R106" s="622"/>
      <c r="S106" s="982"/>
      <c r="T106" s="861"/>
      <c r="V106" s="1123"/>
      <c r="W106" s="999"/>
    </row>
    <row r="107" spans="1:44" s="224" customFormat="1" ht="15" customHeight="1" x14ac:dyDescent="0.25">
      <c r="A107" s="247">
        <v>45524</v>
      </c>
      <c r="B107" s="882" t="s">
        <v>6806</v>
      </c>
      <c r="C107" s="879" t="s">
        <v>12</v>
      </c>
      <c r="D107" s="879" t="s">
        <v>1489</v>
      </c>
      <c r="E107" s="875" t="s">
        <v>13</v>
      </c>
      <c r="F107" s="780">
        <v>75</v>
      </c>
      <c r="G107" s="982"/>
      <c r="H107" s="622"/>
      <c r="I107" s="982"/>
      <c r="J107" s="622"/>
      <c r="K107" s="982"/>
      <c r="L107" s="622"/>
      <c r="M107" s="982"/>
      <c r="N107" s="622"/>
      <c r="O107" s="982"/>
      <c r="P107" s="880"/>
      <c r="Q107" s="1525"/>
      <c r="R107" s="613"/>
      <c r="S107" s="162"/>
      <c r="T107" s="1956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</row>
    <row r="108" spans="1:44" s="224" customFormat="1" ht="15" customHeight="1" x14ac:dyDescent="0.25">
      <c r="A108" s="247">
        <v>45524</v>
      </c>
      <c r="B108" s="882" t="s">
        <v>6697</v>
      </c>
      <c r="C108" s="879" t="s">
        <v>12</v>
      </c>
      <c r="D108" s="879"/>
      <c r="E108" s="875" t="s">
        <v>13</v>
      </c>
      <c r="F108" s="780">
        <v>1122.58</v>
      </c>
      <c r="G108" s="982"/>
      <c r="H108" s="95"/>
      <c r="I108" s="1064"/>
      <c r="J108" s="622"/>
      <c r="K108" s="982">
        <v>1122.58</v>
      </c>
      <c r="L108" s="622"/>
      <c r="M108" s="982"/>
      <c r="N108" s="622"/>
      <c r="O108" s="982"/>
      <c r="P108" s="622"/>
      <c r="Q108" s="1063"/>
      <c r="R108" s="622"/>
      <c r="S108" s="982"/>
      <c r="T108" s="861"/>
    </row>
    <row r="109" spans="1:44" s="224" customFormat="1" ht="15" customHeight="1" x14ac:dyDescent="0.25">
      <c r="A109" s="247">
        <v>45524</v>
      </c>
      <c r="B109" s="882" t="s">
        <v>6814</v>
      </c>
      <c r="C109" s="879" t="s">
        <v>12</v>
      </c>
      <c r="D109" s="879"/>
      <c r="E109" s="875" t="s">
        <v>13</v>
      </c>
      <c r="F109" s="780"/>
      <c r="G109" s="982">
        <v>1749.73</v>
      </c>
      <c r="H109" s="95"/>
      <c r="I109" s="1064"/>
      <c r="J109" s="622">
        <v>1749.73</v>
      </c>
      <c r="K109" s="982"/>
      <c r="L109" s="622"/>
      <c r="M109" s="982"/>
      <c r="N109" s="622"/>
      <c r="O109" s="982"/>
      <c r="P109" s="622"/>
      <c r="Q109" s="1063"/>
      <c r="R109" s="622"/>
      <c r="S109" s="982"/>
      <c r="T109" s="861"/>
    </row>
    <row r="110" spans="1:44" s="224" customFormat="1" ht="15" customHeight="1" x14ac:dyDescent="0.25">
      <c r="A110" s="247">
        <v>45524</v>
      </c>
      <c r="B110" s="882" t="s">
        <v>2789</v>
      </c>
      <c r="C110" s="879" t="s">
        <v>12</v>
      </c>
      <c r="D110" s="879" t="s">
        <v>1485</v>
      </c>
      <c r="E110" s="875" t="s">
        <v>13</v>
      </c>
      <c r="F110" s="780">
        <v>12</v>
      </c>
      <c r="G110" s="982"/>
      <c r="H110" s="622"/>
      <c r="I110" s="982"/>
      <c r="J110" s="622"/>
      <c r="K110" s="982"/>
      <c r="L110" s="622"/>
      <c r="M110" s="982"/>
      <c r="N110" s="622"/>
      <c r="O110" s="982"/>
      <c r="P110" s="622"/>
      <c r="Q110" s="1063"/>
      <c r="R110" s="622"/>
      <c r="S110" s="982"/>
      <c r="T110" s="1028"/>
      <c r="U110" s="959"/>
      <c r="V110" s="878"/>
      <c r="W110" s="958"/>
    </row>
    <row r="111" spans="1:44" s="224" customFormat="1" ht="15" customHeight="1" x14ac:dyDescent="0.25">
      <c r="A111" s="247">
        <v>45524</v>
      </c>
      <c r="B111" s="882" t="s">
        <v>81</v>
      </c>
      <c r="C111" s="879" t="s">
        <v>12</v>
      </c>
      <c r="D111" s="879" t="s">
        <v>1493</v>
      </c>
      <c r="E111" s="871" t="s">
        <v>13</v>
      </c>
      <c r="F111" s="780">
        <v>5</v>
      </c>
      <c r="G111" s="982"/>
      <c r="H111" s="622"/>
      <c r="I111" s="982"/>
      <c r="J111" s="622"/>
      <c r="K111" s="982"/>
      <c r="L111" s="622"/>
      <c r="M111" s="982"/>
      <c r="N111" s="622"/>
      <c r="O111" s="982"/>
      <c r="P111" s="880"/>
      <c r="Q111" s="1525"/>
      <c r="R111" s="613"/>
      <c r="S111" s="162"/>
      <c r="T111" s="1956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</row>
    <row r="112" spans="1:44" s="224" customFormat="1" ht="15" customHeight="1" x14ac:dyDescent="0.25">
      <c r="A112" s="247">
        <v>45524</v>
      </c>
      <c r="B112" s="882" t="s">
        <v>14</v>
      </c>
      <c r="C112" s="879" t="s">
        <v>12</v>
      </c>
      <c r="D112" s="879" t="s">
        <v>1486</v>
      </c>
      <c r="E112" s="480" t="s">
        <v>13</v>
      </c>
      <c r="F112" s="780">
        <v>6.2</v>
      </c>
      <c r="G112" s="982"/>
      <c r="H112" s="622"/>
      <c r="I112" s="982"/>
      <c r="J112" s="622"/>
      <c r="K112" s="982"/>
      <c r="L112" s="622"/>
      <c r="M112" s="982"/>
      <c r="N112" s="622"/>
      <c r="O112" s="982"/>
      <c r="P112" s="880"/>
      <c r="Q112" s="1525"/>
      <c r="R112" s="613"/>
      <c r="S112" s="162"/>
      <c r="T112" s="1956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</row>
    <row r="113" spans="1:44" s="224" customFormat="1" ht="15" customHeight="1" x14ac:dyDescent="0.25">
      <c r="A113" s="247">
        <v>45525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22</v>
      </c>
      <c r="G113" s="982"/>
      <c r="H113" s="622"/>
      <c r="I113" s="982"/>
      <c r="J113" s="622"/>
      <c r="K113" s="982"/>
      <c r="L113" s="622"/>
      <c r="M113" s="982"/>
      <c r="N113" s="622"/>
      <c r="O113" s="982"/>
      <c r="P113" s="622"/>
      <c r="Q113" s="1063"/>
      <c r="R113" s="622"/>
      <c r="S113" s="982"/>
      <c r="T113" s="1028"/>
      <c r="U113" s="959"/>
      <c r="V113" s="878"/>
      <c r="W113" s="958"/>
    </row>
    <row r="114" spans="1:44" s="224" customFormat="1" ht="15" customHeight="1" x14ac:dyDescent="0.25">
      <c r="A114" s="247">
        <v>45526</v>
      </c>
      <c r="B114" s="882" t="s">
        <v>6793</v>
      </c>
      <c r="C114" s="879" t="s">
        <v>12</v>
      </c>
      <c r="D114" s="879"/>
      <c r="E114" s="875" t="s">
        <v>13</v>
      </c>
      <c r="F114" s="780">
        <v>100</v>
      </c>
      <c r="G114" s="982"/>
      <c r="H114" s="1008"/>
      <c r="I114" s="1063">
        <v>100</v>
      </c>
      <c r="J114" s="622"/>
      <c r="K114" s="982"/>
      <c r="L114" s="622"/>
      <c r="M114" s="982"/>
      <c r="N114" s="622"/>
      <c r="O114" s="982"/>
      <c r="P114" s="622"/>
      <c r="Q114" s="1063"/>
      <c r="R114" s="622"/>
      <c r="S114" s="982"/>
      <c r="T114" s="1028"/>
      <c r="U114" s="959"/>
      <c r="V114" s="878"/>
      <c r="W114" s="958"/>
    </row>
    <row r="115" spans="1:44" s="224" customFormat="1" ht="15" customHeight="1" x14ac:dyDescent="0.25">
      <c r="A115" s="247">
        <v>45526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22</v>
      </c>
      <c r="G115" s="982"/>
      <c r="H115" s="622"/>
      <c r="I115" s="982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1028"/>
      <c r="U115" s="959"/>
      <c r="V115" s="878"/>
      <c r="W115" s="958"/>
    </row>
    <row r="116" spans="1:44" s="224" customFormat="1" ht="15" customHeight="1" x14ac:dyDescent="0.25">
      <c r="A116" s="247">
        <v>45526</v>
      </c>
      <c r="B116" s="882" t="s">
        <v>81</v>
      </c>
      <c r="C116" s="879" t="s">
        <v>12</v>
      </c>
      <c r="D116" s="879" t="s">
        <v>1493</v>
      </c>
      <c r="E116" s="871" t="s">
        <v>13</v>
      </c>
      <c r="F116" s="780">
        <v>5</v>
      </c>
      <c r="G116" s="982"/>
      <c r="H116" s="622"/>
      <c r="I116" s="982"/>
      <c r="J116" s="622"/>
      <c r="K116" s="982"/>
      <c r="L116" s="622"/>
      <c r="M116" s="982"/>
      <c r="N116" s="622"/>
      <c r="O116" s="982"/>
      <c r="P116" s="880"/>
      <c r="Q116" s="1525"/>
      <c r="R116" s="613"/>
      <c r="S116" s="162"/>
      <c r="T116" s="195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</row>
    <row r="117" spans="1:44" s="224" customFormat="1" ht="15" customHeight="1" x14ac:dyDescent="0.25">
      <c r="A117" s="247">
        <v>45526</v>
      </c>
      <c r="B117" s="882" t="s">
        <v>134</v>
      </c>
      <c r="C117" s="879" t="s">
        <v>12</v>
      </c>
      <c r="D117" s="879" t="s">
        <v>1493</v>
      </c>
      <c r="E117" s="871" t="s">
        <v>13</v>
      </c>
      <c r="F117" s="780">
        <v>11.5</v>
      </c>
      <c r="G117" s="982"/>
      <c r="H117" s="95"/>
      <c r="I117" s="1064"/>
      <c r="J117" s="613"/>
      <c r="K117" s="6"/>
      <c r="L117" s="622"/>
      <c r="M117" s="982"/>
      <c r="N117" s="622"/>
      <c r="O117" s="982"/>
      <c r="P117" s="622"/>
      <c r="Q117" s="1063"/>
      <c r="R117" s="622"/>
      <c r="S117" s="982"/>
      <c r="T117" s="861"/>
    </row>
    <row r="118" spans="1:44" s="224" customFormat="1" ht="15" customHeight="1" x14ac:dyDescent="0.25">
      <c r="A118" s="247">
        <v>45527</v>
      </c>
      <c r="B118" s="882" t="s">
        <v>32</v>
      </c>
      <c r="C118" s="879" t="s">
        <v>12</v>
      </c>
      <c r="D118" s="879" t="s">
        <v>1485</v>
      </c>
      <c r="E118" s="875" t="s">
        <v>13</v>
      </c>
      <c r="F118" s="780">
        <v>22</v>
      </c>
      <c r="G118" s="982"/>
      <c r="H118" s="622"/>
      <c r="I118" s="982"/>
      <c r="J118" s="622"/>
      <c r="K118" s="982"/>
      <c r="L118" s="622"/>
      <c r="M118" s="982"/>
      <c r="N118" s="622"/>
      <c r="O118" s="982"/>
      <c r="P118" s="622"/>
      <c r="Q118" s="1063"/>
      <c r="R118" s="622"/>
      <c r="S118" s="982"/>
      <c r="T118" s="1028"/>
      <c r="U118" s="959"/>
      <c r="V118" s="878"/>
      <c r="W118" s="958"/>
    </row>
    <row r="119" spans="1:44" s="224" customFormat="1" ht="15" customHeight="1" x14ac:dyDescent="0.25">
      <c r="A119" s="247">
        <v>45527</v>
      </c>
      <c r="B119" s="882" t="s">
        <v>17</v>
      </c>
      <c r="C119" s="879" t="s">
        <v>12</v>
      </c>
      <c r="D119" s="879" t="s">
        <v>1493</v>
      </c>
      <c r="E119" s="871" t="s">
        <v>13</v>
      </c>
      <c r="F119" s="780">
        <v>3.5</v>
      </c>
      <c r="G119" s="982"/>
      <c r="H119" s="95"/>
      <c r="I119" s="1064"/>
      <c r="J119" s="613"/>
      <c r="K119" s="6"/>
      <c r="L119" s="622"/>
      <c r="M119" s="982"/>
      <c r="N119" s="622"/>
      <c r="O119" s="982"/>
      <c r="P119" s="622"/>
      <c r="Q119" s="1063"/>
      <c r="R119" s="622"/>
      <c r="S119" s="982"/>
      <c r="T119" s="861"/>
    </row>
    <row r="120" spans="1:44" s="224" customFormat="1" ht="15" customHeight="1" x14ac:dyDescent="0.25">
      <c r="A120" s="247">
        <v>45527</v>
      </c>
      <c r="B120" s="882" t="s">
        <v>6815</v>
      </c>
      <c r="C120" s="879" t="s">
        <v>12</v>
      </c>
      <c r="D120" s="879" t="s">
        <v>1489</v>
      </c>
      <c r="E120" s="875" t="s">
        <v>13</v>
      </c>
      <c r="F120" s="780">
        <v>56</v>
      </c>
      <c r="G120" s="982"/>
      <c r="H120" s="622"/>
      <c r="I120" s="982"/>
      <c r="J120" s="1116"/>
      <c r="K120" s="1207"/>
      <c r="L120" s="622"/>
      <c r="M120" s="982"/>
      <c r="N120" s="622"/>
      <c r="O120" s="982"/>
      <c r="P120" s="622"/>
      <c r="Q120" s="1063"/>
      <c r="R120" s="880"/>
      <c r="S120" s="1033"/>
      <c r="T120" s="927"/>
      <c r="V120" s="878"/>
    </row>
    <row r="121" spans="1:44" s="224" customFormat="1" ht="15" customHeight="1" x14ac:dyDescent="0.25">
      <c r="A121" s="247">
        <v>45527</v>
      </c>
      <c r="B121" s="882" t="s">
        <v>3130</v>
      </c>
      <c r="C121" s="879" t="s">
        <v>12</v>
      </c>
      <c r="D121" s="879" t="s">
        <v>1506</v>
      </c>
      <c r="E121" s="875" t="s">
        <v>13</v>
      </c>
      <c r="F121" s="780">
        <v>26</v>
      </c>
      <c r="G121" s="982"/>
      <c r="H121" s="622"/>
      <c r="I121" s="982"/>
      <c r="J121" s="1116"/>
      <c r="K121" s="1207"/>
      <c r="L121" s="622"/>
      <c r="M121" s="982"/>
      <c r="N121" s="622"/>
      <c r="O121" s="982"/>
      <c r="P121" s="622"/>
      <c r="Q121" s="1063"/>
      <c r="R121" s="880"/>
      <c r="S121" s="1033"/>
      <c r="T121" s="927"/>
      <c r="V121" s="878"/>
    </row>
    <row r="122" spans="1:44" s="224" customFormat="1" ht="15" customHeight="1" x14ac:dyDescent="0.25">
      <c r="A122" s="247">
        <v>45527</v>
      </c>
      <c r="B122" s="882" t="s">
        <v>14</v>
      </c>
      <c r="C122" s="879" t="s">
        <v>12</v>
      </c>
      <c r="D122" s="879" t="s">
        <v>1486</v>
      </c>
      <c r="E122" s="480" t="s">
        <v>13</v>
      </c>
      <c r="F122" s="780">
        <v>6.08</v>
      </c>
      <c r="G122" s="982"/>
      <c r="H122" s="622"/>
      <c r="I122" s="982"/>
      <c r="J122" s="622"/>
      <c r="K122" s="982"/>
      <c r="L122" s="622"/>
      <c r="M122" s="982"/>
      <c r="N122" s="622"/>
      <c r="O122" s="982"/>
      <c r="P122" s="880"/>
      <c r="Q122" s="1525"/>
      <c r="R122" s="613"/>
      <c r="S122" s="162"/>
      <c r="T122" s="1956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</row>
    <row r="123" spans="1:44" s="224" customFormat="1" ht="15" customHeight="1" x14ac:dyDescent="0.25">
      <c r="A123" s="247">
        <v>45527</v>
      </c>
      <c r="B123" s="1275" t="s">
        <v>6818</v>
      </c>
      <c r="C123" s="1276" t="s">
        <v>12</v>
      </c>
      <c r="D123" s="1276"/>
      <c r="E123" s="1286" t="s">
        <v>13</v>
      </c>
      <c r="F123" s="613">
        <v>119.2</v>
      </c>
      <c r="G123" s="967"/>
      <c r="H123" s="1008"/>
      <c r="I123" s="1063"/>
      <c r="J123" s="613"/>
      <c r="K123" s="6"/>
      <c r="L123" s="613"/>
      <c r="M123" s="6"/>
      <c r="N123" s="622"/>
      <c r="O123" s="982"/>
      <c r="P123" s="622"/>
      <c r="Q123" s="1063"/>
      <c r="R123" s="613"/>
      <c r="S123" s="64"/>
      <c r="T123" s="1024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</row>
    <row r="124" spans="1:44" s="224" customFormat="1" ht="15" customHeight="1" x14ac:dyDescent="0.25">
      <c r="A124" s="247">
        <v>45527</v>
      </c>
      <c r="B124" s="1275" t="s">
        <v>6755</v>
      </c>
      <c r="C124" s="1276" t="s">
        <v>12</v>
      </c>
      <c r="D124" s="1276"/>
      <c r="E124" s="1286"/>
      <c r="F124" s="613"/>
      <c r="G124" s="967">
        <v>119.2</v>
      </c>
      <c r="H124" s="1008"/>
      <c r="I124" s="1063"/>
      <c r="J124" s="613"/>
      <c r="K124" s="6"/>
      <c r="L124" s="613"/>
      <c r="M124" s="6"/>
      <c r="N124" s="622"/>
      <c r="O124" s="982"/>
      <c r="P124" s="622"/>
      <c r="Q124" s="1063"/>
      <c r="R124" s="613"/>
      <c r="S124" s="64"/>
      <c r="T124" s="10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</row>
    <row r="125" spans="1:44" s="224" customFormat="1" ht="15" customHeight="1" x14ac:dyDescent="0.25">
      <c r="A125" s="247">
        <v>45528</v>
      </c>
      <c r="B125" s="882" t="s">
        <v>14</v>
      </c>
      <c r="C125" s="879" t="s">
        <v>12</v>
      </c>
      <c r="D125" s="879" t="s">
        <v>1486</v>
      </c>
      <c r="E125" s="480" t="s">
        <v>13</v>
      </c>
      <c r="F125" s="780">
        <v>11.64</v>
      </c>
      <c r="G125" s="982"/>
      <c r="H125" s="622"/>
      <c r="I125" s="982"/>
      <c r="J125" s="622"/>
      <c r="K125" s="982"/>
      <c r="L125" s="622"/>
      <c r="M125" s="982"/>
      <c r="N125" s="622"/>
      <c r="O125" s="982"/>
      <c r="P125" s="880"/>
      <c r="Q125" s="1525"/>
      <c r="R125" s="613"/>
      <c r="S125" s="162"/>
      <c r="T125" s="1956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</row>
    <row r="126" spans="1:44" s="224" customFormat="1" ht="15" customHeight="1" x14ac:dyDescent="0.25">
      <c r="A126" s="247">
        <v>45528</v>
      </c>
      <c r="B126" s="882" t="s">
        <v>6817</v>
      </c>
      <c r="C126" s="879" t="s">
        <v>12</v>
      </c>
      <c r="D126" s="879" t="s">
        <v>1491</v>
      </c>
      <c r="E126" s="871" t="s">
        <v>13</v>
      </c>
      <c r="F126" s="780">
        <v>40</v>
      </c>
      <c r="G126" s="982"/>
      <c r="H126" s="95"/>
      <c r="I126" s="1064"/>
      <c r="J126" s="613"/>
      <c r="K126" s="6"/>
      <c r="L126" s="622"/>
      <c r="M126" s="982"/>
      <c r="N126" s="622"/>
      <c r="O126" s="982"/>
      <c r="P126" s="622"/>
      <c r="Q126" s="1063"/>
      <c r="R126" s="1116"/>
      <c r="S126" s="1215"/>
      <c r="T126" s="1028"/>
      <c r="W126" s="958"/>
    </row>
    <row r="127" spans="1:44" s="224" customFormat="1" ht="15" customHeight="1" x14ac:dyDescent="0.25">
      <c r="A127" s="247">
        <v>45528</v>
      </c>
      <c r="B127" s="882" t="s">
        <v>134</v>
      </c>
      <c r="C127" s="879" t="s">
        <v>12</v>
      </c>
      <c r="D127" s="879" t="s">
        <v>1493</v>
      </c>
      <c r="E127" s="871" t="s">
        <v>13</v>
      </c>
      <c r="F127" s="780">
        <v>37.799999999999997</v>
      </c>
      <c r="G127" s="982"/>
      <c r="H127" s="95"/>
      <c r="I127" s="1064"/>
      <c r="J127" s="613"/>
      <c r="K127" s="6"/>
      <c r="L127" s="622"/>
      <c r="M127" s="982"/>
      <c r="N127" s="622"/>
      <c r="O127" s="982"/>
      <c r="P127" s="880"/>
      <c r="Q127" s="1525"/>
      <c r="R127" s="1110"/>
      <c r="S127" s="1208"/>
      <c r="T127" s="1028"/>
      <c r="W127" s="958"/>
    </row>
    <row r="128" spans="1:44" s="224" customFormat="1" ht="15" customHeight="1" x14ac:dyDescent="0.25">
      <c r="A128" s="247">
        <v>45529</v>
      </c>
      <c r="B128" s="882" t="s">
        <v>14</v>
      </c>
      <c r="C128" s="879" t="s">
        <v>12</v>
      </c>
      <c r="D128" s="879" t="s">
        <v>1486</v>
      </c>
      <c r="E128" s="480" t="s">
        <v>13</v>
      </c>
      <c r="F128" s="780">
        <v>4.93</v>
      </c>
      <c r="G128" s="982"/>
      <c r="H128" s="622"/>
      <c r="I128" s="982"/>
      <c r="J128" s="622"/>
      <c r="K128" s="982"/>
      <c r="L128" s="622"/>
      <c r="M128" s="982"/>
      <c r="N128" s="622"/>
      <c r="O128" s="982"/>
      <c r="P128" s="880"/>
      <c r="Q128" s="1525"/>
      <c r="R128" s="613"/>
      <c r="S128" s="162"/>
      <c r="T128" s="1956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</row>
    <row r="129" spans="1:44" s="224" customFormat="1" ht="15" customHeight="1" x14ac:dyDescent="0.25">
      <c r="A129" s="247">
        <v>45529</v>
      </c>
      <c r="B129" s="882" t="s">
        <v>6816</v>
      </c>
      <c r="C129" s="879" t="s">
        <v>12</v>
      </c>
      <c r="D129" s="879" t="s">
        <v>1489</v>
      </c>
      <c r="E129" s="871" t="s">
        <v>13</v>
      </c>
      <c r="F129" s="780">
        <v>5.0999999999999996</v>
      </c>
      <c r="G129" s="982"/>
      <c r="H129" s="95"/>
      <c r="I129" s="1064"/>
      <c r="J129" s="622"/>
      <c r="K129" s="982"/>
      <c r="L129" s="622"/>
      <c r="M129" s="982"/>
      <c r="N129" s="622"/>
      <c r="O129" s="982"/>
      <c r="P129" s="622"/>
      <c r="Q129" s="1063"/>
      <c r="R129" s="622"/>
      <c r="S129" s="982"/>
      <c r="T129" s="1028"/>
      <c r="W129" s="958"/>
    </row>
    <row r="130" spans="1:44" s="224" customFormat="1" ht="15" customHeight="1" x14ac:dyDescent="0.25">
      <c r="A130" s="247">
        <v>45529</v>
      </c>
      <c r="B130" s="882" t="s">
        <v>443</v>
      </c>
      <c r="C130" s="879" t="s">
        <v>12</v>
      </c>
      <c r="D130" s="879" t="s">
        <v>1493</v>
      </c>
      <c r="E130" s="871" t="s">
        <v>13</v>
      </c>
      <c r="F130" s="780">
        <v>24.21</v>
      </c>
      <c r="G130" s="982"/>
      <c r="H130" s="95"/>
      <c r="I130" s="1064"/>
      <c r="J130" s="622"/>
      <c r="K130" s="982"/>
      <c r="L130" s="622"/>
      <c r="M130" s="982"/>
      <c r="N130" s="622"/>
      <c r="O130" s="982"/>
      <c r="P130" s="622"/>
      <c r="Q130" s="1063"/>
      <c r="R130" s="622"/>
      <c r="S130" s="982"/>
      <c r="T130" s="1028"/>
      <c r="W130" s="958"/>
    </row>
    <row r="131" spans="1:44" s="224" customFormat="1" ht="15" customHeight="1" x14ac:dyDescent="0.25">
      <c r="A131" s="247">
        <v>45530</v>
      </c>
      <c r="B131" s="882" t="s">
        <v>32</v>
      </c>
      <c r="C131" s="879" t="s">
        <v>12</v>
      </c>
      <c r="D131" s="879" t="s">
        <v>1485</v>
      </c>
      <c r="E131" s="875" t="s">
        <v>13</v>
      </c>
      <c r="F131" s="780">
        <v>22</v>
      </c>
      <c r="G131" s="982"/>
      <c r="H131" s="622"/>
      <c r="I131" s="982"/>
      <c r="J131" s="622"/>
      <c r="K131" s="982"/>
      <c r="L131" s="622"/>
      <c r="M131" s="982"/>
      <c r="N131" s="622"/>
      <c r="O131" s="982"/>
      <c r="P131" s="622"/>
      <c r="Q131" s="1063"/>
      <c r="R131" s="622"/>
      <c r="S131" s="982"/>
      <c r="T131" s="1028"/>
      <c r="U131" s="959"/>
      <c r="V131" s="878"/>
      <c r="W131" s="958"/>
    </row>
    <row r="132" spans="1:44" s="224" customFormat="1" ht="15" customHeight="1" x14ac:dyDescent="0.25">
      <c r="A132" s="247">
        <v>45530</v>
      </c>
      <c r="B132" s="882" t="s">
        <v>6819</v>
      </c>
      <c r="C132" s="879" t="s">
        <v>12</v>
      </c>
      <c r="D132" s="879" t="s">
        <v>6731</v>
      </c>
      <c r="E132" s="875" t="s">
        <v>13</v>
      </c>
      <c r="F132" s="780">
        <v>7.93</v>
      </c>
      <c r="G132" s="982"/>
      <c r="H132" s="622"/>
      <c r="I132" s="982"/>
      <c r="J132" s="622"/>
      <c r="K132" s="982"/>
      <c r="L132" s="622"/>
      <c r="M132" s="982"/>
      <c r="N132" s="622"/>
      <c r="O132" s="982"/>
      <c r="P132" s="622"/>
      <c r="Q132" s="1063"/>
      <c r="R132" s="622"/>
      <c r="S132" s="982"/>
      <c r="T132" s="1028"/>
      <c r="U132" s="959"/>
      <c r="V132" s="878"/>
      <c r="W132" s="958"/>
    </row>
    <row r="133" spans="1:44" s="224" customFormat="1" ht="15" customHeight="1" x14ac:dyDescent="0.25">
      <c r="A133" s="247">
        <v>45530</v>
      </c>
      <c r="B133" s="882" t="s">
        <v>6329</v>
      </c>
      <c r="C133" s="879" t="s">
        <v>12</v>
      </c>
      <c r="D133" s="879"/>
      <c r="E133" s="875" t="s">
        <v>25</v>
      </c>
      <c r="F133" s="780"/>
      <c r="G133" s="982">
        <v>100</v>
      </c>
      <c r="H133" s="622"/>
      <c r="I133" s="982"/>
      <c r="J133" s="872"/>
      <c r="K133" s="1207"/>
      <c r="L133" s="622"/>
      <c r="M133" s="982"/>
      <c r="N133" s="622"/>
      <c r="O133" s="982"/>
      <c r="P133" s="622"/>
      <c r="Q133" s="1063"/>
      <c r="R133" s="622"/>
      <c r="S133" s="982"/>
      <c r="T133" s="1028"/>
      <c r="U133" s="959"/>
      <c r="V133" s="878"/>
      <c r="W133" s="958"/>
    </row>
    <row r="134" spans="1:44" s="224" customFormat="1" ht="14.25" customHeight="1" x14ac:dyDescent="0.25">
      <c r="A134" s="247">
        <v>45531</v>
      </c>
      <c r="B134" s="882" t="s">
        <v>2789</v>
      </c>
      <c r="C134" s="879" t="s">
        <v>12</v>
      </c>
      <c r="D134" s="879" t="s">
        <v>1485</v>
      </c>
      <c r="E134" s="875" t="s">
        <v>13</v>
      </c>
      <c r="F134" s="1873">
        <v>12.5</v>
      </c>
      <c r="G134" s="982"/>
      <c r="H134" s="1031"/>
      <c r="I134" s="1525"/>
      <c r="J134" s="622"/>
      <c r="K134" s="982"/>
      <c r="L134" s="872"/>
      <c r="M134" s="1207"/>
      <c r="N134" s="880"/>
      <c r="O134" s="1033"/>
      <c r="P134" s="880"/>
      <c r="Q134" s="1525"/>
      <c r="R134" s="613"/>
      <c r="S134" s="162"/>
      <c r="T134" s="1209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</row>
    <row r="135" spans="1:44" s="224" customFormat="1" ht="15" customHeight="1" x14ac:dyDescent="0.25">
      <c r="A135" s="247">
        <v>45531</v>
      </c>
      <c r="B135" s="882" t="s">
        <v>14</v>
      </c>
      <c r="C135" s="879" t="s">
        <v>12</v>
      </c>
      <c r="D135" s="879" t="s">
        <v>1486</v>
      </c>
      <c r="E135" s="480" t="s">
        <v>13</v>
      </c>
      <c r="F135" s="780">
        <v>5.36</v>
      </c>
      <c r="G135" s="982"/>
      <c r="H135" s="622"/>
      <c r="I135" s="982"/>
      <c r="J135" s="622"/>
      <c r="K135" s="982"/>
      <c r="L135" s="622"/>
      <c r="M135" s="982"/>
      <c r="N135" s="622"/>
      <c r="O135" s="982"/>
      <c r="P135" s="880"/>
      <c r="Q135" s="1525"/>
      <c r="R135" s="613"/>
      <c r="S135" s="162"/>
      <c r="T135" s="1956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</row>
    <row r="136" spans="1:44" s="224" customFormat="1" ht="15" customHeight="1" x14ac:dyDescent="0.25">
      <c r="A136" s="247">
        <v>45532</v>
      </c>
      <c r="B136" s="882" t="s">
        <v>32</v>
      </c>
      <c r="C136" s="879" t="s">
        <v>12</v>
      </c>
      <c r="D136" s="879" t="s">
        <v>1485</v>
      </c>
      <c r="E136" s="875" t="s">
        <v>13</v>
      </c>
      <c r="F136" s="780">
        <v>22</v>
      </c>
      <c r="G136" s="982"/>
      <c r="H136" s="622"/>
      <c r="I136" s="982"/>
      <c r="J136" s="622"/>
      <c r="K136" s="982"/>
      <c r="L136" s="622"/>
      <c r="M136" s="982"/>
      <c r="N136" s="622"/>
      <c r="O136" s="982"/>
      <c r="P136" s="622"/>
      <c r="Q136" s="1063"/>
      <c r="R136" s="622"/>
      <c r="S136" s="982"/>
      <c r="T136" s="1028"/>
      <c r="U136" s="959"/>
      <c r="V136" s="878"/>
      <c r="W136" s="958"/>
    </row>
    <row r="137" spans="1:44" s="224" customFormat="1" ht="15" customHeight="1" x14ac:dyDescent="0.25">
      <c r="A137" s="247">
        <v>45532</v>
      </c>
      <c r="B137" s="882" t="s">
        <v>81</v>
      </c>
      <c r="C137" s="879" t="s">
        <v>12</v>
      </c>
      <c r="D137" s="879" t="s">
        <v>1493</v>
      </c>
      <c r="E137" s="871" t="s">
        <v>13</v>
      </c>
      <c r="F137" s="780">
        <v>5</v>
      </c>
      <c r="G137" s="982"/>
      <c r="H137" s="622"/>
      <c r="I137" s="982"/>
      <c r="J137" s="622"/>
      <c r="K137" s="982"/>
      <c r="L137" s="622"/>
      <c r="M137" s="982"/>
      <c r="N137" s="622"/>
      <c r="O137" s="982"/>
      <c r="P137" s="880"/>
      <c r="Q137" s="1525"/>
      <c r="R137" s="613"/>
      <c r="S137" s="162"/>
      <c r="T137" s="1956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</row>
    <row r="138" spans="1:44" s="224" customFormat="1" ht="15" customHeight="1" x14ac:dyDescent="0.25">
      <c r="A138" s="247">
        <v>45532</v>
      </c>
      <c r="B138" s="1275" t="s">
        <v>3958</v>
      </c>
      <c r="C138" s="1276" t="s">
        <v>12</v>
      </c>
      <c r="D138" s="1276" t="s">
        <v>1489</v>
      </c>
      <c r="E138" s="1277" t="s">
        <v>13</v>
      </c>
      <c r="F138" s="780">
        <v>20</v>
      </c>
      <c r="G138" s="982"/>
      <c r="H138" s="1008"/>
      <c r="I138" s="1063"/>
      <c r="J138" s="1116"/>
      <c r="K138" s="1207"/>
      <c r="L138" s="622"/>
      <c r="M138" s="982"/>
      <c r="N138" s="622"/>
      <c r="O138" s="982"/>
      <c r="P138" s="622"/>
      <c r="Q138" s="1063"/>
      <c r="R138" s="622"/>
      <c r="S138" s="982"/>
      <c r="T138" s="861"/>
      <c r="V138" s="1035"/>
    </row>
    <row r="139" spans="1:44" s="224" customFormat="1" ht="15" customHeight="1" x14ac:dyDescent="0.25">
      <c r="A139" s="247">
        <v>45533</v>
      </c>
      <c r="B139" s="882" t="s">
        <v>32</v>
      </c>
      <c r="C139" s="879" t="s">
        <v>12</v>
      </c>
      <c r="D139" s="879" t="s">
        <v>1485</v>
      </c>
      <c r="E139" s="875" t="s">
        <v>13</v>
      </c>
      <c r="F139" s="780">
        <v>22</v>
      </c>
      <c r="G139" s="982"/>
      <c r="H139" s="622"/>
      <c r="I139" s="982"/>
      <c r="J139" s="622"/>
      <c r="K139" s="982"/>
      <c r="L139" s="622"/>
      <c r="M139" s="982"/>
      <c r="N139" s="622"/>
      <c r="O139" s="982"/>
      <c r="P139" s="880"/>
      <c r="Q139" s="1525"/>
      <c r="R139" s="613"/>
      <c r="S139" s="162"/>
      <c r="T139" s="1956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</row>
    <row r="140" spans="1:44" s="224" customFormat="1" ht="15" customHeight="1" x14ac:dyDescent="0.25">
      <c r="A140" s="247">
        <v>45534</v>
      </c>
      <c r="B140" s="882" t="s">
        <v>32</v>
      </c>
      <c r="C140" s="879" t="s">
        <v>12</v>
      </c>
      <c r="D140" s="879" t="s">
        <v>1485</v>
      </c>
      <c r="E140" s="875" t="s">
        <v>13</v>
      </c>
      <c r="F140" s="780">
        <v>22</v>
      </c>
      <c r="G140" s="982"/>
      <c r="H140" s="1008"/>
      <c r="I140" s="1063"/>
      <c r="J140" s="1116"/>
      <c r="K140" s="1207"/>
      <c r="L140" s="622"/>
      <c r="M140" s="982"/>
      <c r="N140" s="622"/>
      <c r="O140" s="982"/>
      <c r="P140" s="622"/>
      <c r="Q140" s="1063"/>
      <c r="R140" s="622"/>
      <c r="S140" s="982"/>
      <c r="T140" s="861"/>
      <c r="V140" s="1035"/>
    </row>
    <row r="141" spans="1:44" s="224" customFormat="1" ht="15" customHeight="1" x14ac:dyDescent="0.25">
      <c r="A141" s="247">
        <v>45534</v>
      </c>
      <c r="B141" s="882" t="s">
        <v>81</v>
      </c>
      <c r="C141" s="879" t="s">
        <v>12</v>
      </c>
      <c r="D141" s="879" t="s">
        <v>1493</v>
      </c>
      <c r="E141" s="871" t="s">
        <v>13</v>
      </c>
      <c r="F141" s="780">
        <v>5</v>
      </c>
      <c r="G141" s="982"/>
      <c r="H141" s="622"/>
      <c r="I141" s="982"/>
      <c r="J141" s="622"/>
      <c r="K141" s="982"/>
      <c r="L141" s="622"/>
      <c r="M141" s="982"/>
      <c r="N141" s="622"/>
      <c r="O141" s="982"/>
      <c r="P141" s="880"/>
      <c r="Q141" s="1525"/>
      <c r="R141" s="613"/>
      <c r="S141" s="162"/>
      <c r="T141" s="1956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</row>
    <row r="142" spans="1:44" s="224" customFormat="1" ht="15" customHeight="1" x14ac:dyDescent="0.25">
      <c r="A142" s="247">
        <v>45534</v>
      </c>
      <c r="B142" s="1275" t="s">
        <v>1331</v>
      </c>
      <c r="C142" s="879" t="s">
        <v>12</v>
      </c>
      <c r="D142" s="1276" t="s">
        <v>2157</v>
      </c>
      <c r="E142" s="1286" t="s">
        <v>15</v>
      </c>
      <c r="F142" s="780">
        <v>20</v>
      </c>
      <c r="G142" s="982"/>
      <c r="H142" s="622"/>
      <c r="I142" s="982"/>
      <c r="J142" s="872"/>
      <c r="K142" s="1207"/>
      <c r="L142" s="622"/>
      <c r="M142" s="982"/>
      <c r="N142" s="622"/>
      <c r="O142" s="982"/>
      <c r="P142" s="622"/>
      <c r="Q142" s="1063"/>
      <c r="R142" s="622"/>
      <c r="S142" s="982"/>
      <c r="T142" s="1028"/>
      <c r="U142" s="959"/>
      <c r="V142" s="878"/>
      <c r="W142" s="958"/>
    </row>
    <row r="143" spans="1:44" s="224" customFormat="1" ht="15" customHeight="1" x14ac:dyDescent="0.25">
      <c r="A143" s="247">
        <v>45534</v>
      </c>
      <c r="B143" s="349" t="s">
        <v>2629</v>
      </c>
      <c r="C143" s="350" t="s">
        <v>12</v>
      </c>
      <c r="D143" s="350" t="s">
        <v>1489</v>
      </c>
      <c r="E143" s="480" t="s">
        <v>13</v>
      </c>
      <c r="F143" s="780">
        <v>32.44</v>
      </c>
      <c r="G143" s="982"/>
      <c r="H143" s="95"/>
      <c r="I143" s="1064"/>
      <c r="J143" s="622"/>
      <c r="K143" s="982"/>
      <c r="L143" s="622"/>
      <c r="M143" s="982"/>
      <c r="N143" s="622"/>
      <c r="O143" s="982"/>
      <c r="P143" s="622"/>
      <c r="Q143" s="1063"/>
      <c r="R143" s="622"/>
      <c r="S143" s="982"/>
      <c r="T143" s="861"/>
      <c r="V143" s="927"/>
      <c r="W143" s="999"/>
    </row>
    <row r="144" spans="1:44" s="224" customFormat="1" ht="15" customHeight="1" x14ac:dyDescent="0.25">
      <c r="A144" s="247">
        <v>45535</v>
      </c>
      <c r="B144" s="882" t="s">
        <v>14</v>
      </c>
      <c r="C144" s="879" t="s">
        <v>12</v>
      </c>
      <c r="D144" s="879" t="s">
        <v>1486</v>
      </c>
      <c r="E144" s="480" t="s">
        <v>13</v>
      </c>
      <c r="F144" s="780">
        <v>7.88</v>
      </c>
      <c r="G144" s="982"/>
      <c r="H144" s="622"/>
      <c r="I144" s="982"/>
      <c r="J144" s="622"/>
      <c r="K144" s="982"/>
      <c r="L144" s="622"/>
      <c r="M144" s="982"/>
      <c r="N144" s="622"/>
      <c r="O144" s="982"/>
      <c r="P144" s="622"/>
      <c r="Q144" s="1063"/>
      <c r="R144" s="622"/>
      <c r="S144" s="982"/>
      <c r="T144" s="1028"/>
      <c r="U144" s="959"/>
      <c r="V144" s="878"/>
      <c r="W144" s="958"/>
    </row>
    <row r="145" spans="1:28" s="224" customFormat="1" ht="15" customHeight="1" x14ac:dyDescent="0.25">
      <c r="A145" s="247">
        <v>45535</v>
      </c>
      <c r="B145" s="882" t="s">
        <v>445</v>
      </c>
      <c r="C145" s="879" t="s">
        <v>12</v>
      </c>
      <c r="D145" s="879" t="s">
        <v>1493</v>
      </c>
      <c r="E145" s="480" t="s">
        <v>13</v>
      </c>
      <c r="F145" s="780">
        <v>7.1</v>
      </c>
      <c r="G145" s="982"/>
      <c r="H145" s="622"/>
      <c r="I145" s="982"/>
      <c r="J145" s="622"/>
      <c r="K145" s="982"/>
      <c r="L145" s="622"/>
      <c r="M145" s="982"/>
      <c r="N145" s="622"/>
      <c r="O145" s="982"/>
      <c r="P145" s="622"/>
      <c r="Q145" s="1063"/>
      <c r="R145" s="622"/>
      <c r="S145" s="982"/>
      <c r="T145" s="1028"/>
      <c r="U145" s="959"/>
      <c r="V145" s="878"/>
      <c r="W145" s="958"/>
    </row>
    <row r="146" spans="1:28" s="224" customFormat="1" ht="15" customHeight="1" x14ac:dyDescent="0.25">
      <c r="A146" s="247">
        <v>45535</v>
      </c>
      <c r="B146" s="364" t="s">
        <v>80</v>
      </c>
      <c r="C146" s="350" t="s">
        <v>12</v>
      </c>
      <c r="D146" s="350" t="s">
        <v>1523</v>
      </c>
      <c r="E146" s="875" t="s">
        <v>13</v>
      </c>
      <c r="F146" s="780">
        <v>42</v>
      </c>
      <c r="G146" s="982"/>
      <c r="H146" s="1008"/>
      <c r="I146" s="1063"/>
      <c r="J146" s="622"/>
      <c r="K146" s="982"/>
      <c r="L146" s="622"/>
      <c r="M146" s="982"/>
      <c r="N146" s="622"/>
      <c r="O146" s="982"/>
      <c r="P146" s="622"/>
      <c r="Q146" s="1063"/>
      <c r="R146" s="622"/>
      <c r="S146" s="982"/>
      <c r="T146" s="861"/>
      <c r="V146" s="1035"/>
    </row>
    <row r="147" spans="1:28" s="224" customFormat="1" ht="15" customHeight="1" thickBot="1" x14ac:dyDescent="0.3">
      <c r="A147" s="247">
        <v>45535</v>
      </c>
      <c r="B147" s="349" t="s">
        <v>6168</v>
      </c>
      <c r="C147" s="350" t="s">
        <v>12</v>
      </c>
      <c r="D147" s="350"/>
      <c r="E147" s="480" t="s">
        <v>25</v>
      </c>
      <c r="F147" s="780"/>
      <c r="G147" s="946"/>
      <c r="H147" s="95"/>
      <c r="I147" s="2096"/>
      <c r="J147" s="622"/>
      <c r="K147" s="2096"/>
      <c r="L147" s="622"/>
      <c r="M147" s="982"/>
      <c r="N147" s="622"/>
      <c r="O147" s="982"/>
      <c r="P147" s="622"/>
      <c r="Q147" s="2096"/>
      <c r="R147" s="622"/>
      <c r="S147" s="982"/>
      <c r="T147" s="861"/>
      <c r="V147" s="927"/>
      <c r="W147" s="999"/>
    </row>
    <row r="148" spans="1:28" ht="25.5" customHeight="1" thickBot="1" x14ac:dyDescent="0.3">
      <c r="A148" s="3060"/>
      <c r="B148" s="3061"/>
      <c r="C148" s="3062"/>
      <c r="D148" s="3062"/>
      <c r="E148" s="3062"/>
      <c r="F148" s="1023">
        <f>SUM(F6:F147)</f>
        <v>9606.2166666666672</v>
      </c>
      <c r="G148" s="1065">
        <f>SUM(G5:G147)</f>
        <v>9999.7449166667138</v>
      </c>
      <c r="H148" s="517">
        <f>SUM(H6:H147)</f>
        <v>0</v>
      </c>
      <c r="I148" s="93">
        <f>SUM(I5:I147)</f>
        <v>149.99599999999896</v>
      </c>
      <c r="J148" s="517">
        <f>SUM(J6:J147)</f>
        <v>2931.38</v>
      </c>
      <c r="K148" s="93">
        <f>SUM(K5:K147)</f>
        <v>3331.3800000000051</v>
      </c>
      <c r="L148" s="1023">
        <f>SUM(L6:L147)</f>
        <v>0</v>
      </c>
      <c r="M148" s="93">
        <f>SUM(M5:M147)</f>
        <v>26844.530000000002</v>
      </c>
      <c r="N148" s="1023">
        <f>SUM(N6:N147)</f>
        <v>0</v>
      </c>
      <c r="O148" s="93">
        <f>SUM(O5:O147)</f>
        <v>0</v>
      </c>
      <c r="P148" s="1023">
        <f>SUM(P6:P147)</f>
        <v>514.15</v>
      </c>
      <c r="Q148" s="93">
        <f>SUM(Q5:Q147)</f>
        <v>3014.1500000000019</v>
      </c>
      <c r="R148" s="1023">
        <f>SUM(R6:R147)</f>
        <v>0</v>
      </c>
      <c r="S148" s="93">
        <f>SUM(S5:S147)</f>
        <v>32386.595984720003</v>
      </c>
      <c r="U148" s="216"/>
    </row>
    <row r="149" spans="1:28" ht="25.5" customHeight="1" thickBot="1" x14ac:dyDescent="0.3">
      <c r="A149" s="3063" t="s">
        <v>49</v>
      </c>
      <c r="B149" s="3064"/>
      <c r="C149" s="3064"/>
      <c r="D149" s="3064"/>
      <c r="E149" s="3064"/>
      <c r="F149" s="2046" t="s">
        <v>280</v>
      </c>
      <c r="G149" s="1066">
        <f>G148-F148</f>
        <v>393.52825000004668</v>
      </c>
      <c r="H149" s="1221"/>
      <c r="I149" s="772">
        <f>I148-H148</f>
        <v>149.99599999999896</v>
      </c>
      <c r="J149" s="1221"/>
      <c r="K149" s="772">
        <f>K148-J148</f>
        <v>400.000000000005</v>
      </c>
      <c r="L149" s="1222"/>
      <c r="M149" s="993">
        <f>M148-L148</f>
        <v>26844.530000000002</v>
      </c>
      <c r="N149" s="1222"/>
      <c r="O149" s="772">
        <f>O148-N148</f>
        <v>0</v>
      </c>
      <c r="P149" s="1222"/>
      <c r="Q149" s="772">
        <f>Q148-P148</f>
        <v>2500.0000000000018</v>
      </c>
      <c r="R149" s="1222"/>
      <c r="S149" s="772">
        <f>S148-R148</f>
        <v>32386.595984720003</v>
      </c>
      <c r="T149" s="484">
        <f>M149+O149+Q149+S149</f>
        <v>61731.125984720013</v>
      </c>
    </row>
    <row r="150" spans="1:28" x14ac:dyDescent="0.25">
      <c r="J150" s="1210"/>
      <c r="K150" s="1038"/>
      <c r="L150" s="2044"/>
      <c r="M150" s="1238">
        <f>M149/T149</f>
        <v>0.43486214728441352</v>
      </c>
      <c r="O150" s="1238">
        <f>O149/T149</f>
        <v>0</v>
      </c>
      <c r="Q150" s="1238">
        <f>Q149/T149</f>
        <v>4.0498208320690829E-2</v>
      </c>
      <c r="R150" s="1239"/>
      <c r="S150" s="1239">
        <f>S149/T149</f>
        <v>0.52463964439489552</v>
      </c>
      <c r="T150" s="867"/>
      <c r="U150" s="867"/>
      <c r="V150" s="79"/>
      <c r="Y150" s="518"/>
      <c r="Z150" s="216"/>
      <c r="AB150" s="877"/>
    </row>
    <row r="151" spans="1:28" x14ac:dyDescent="0.25">
      <c r="B151" s="81" t="s">
        <v>3</v>
      </c>
      <c r="C151" s="193" t="s">
        <v>1484</v>
      </c>
      <c r="D151" s="970" t="s">
        <v>2378</v>
      </c>
      <c r="E151" s="193" t="s">
        <v>3216</v>
      </c>
      <c r="F151" s="1061" t="s">
        <v>3217</v>
      </c>
      <c r="I151" s="216"/>
      <c r="J151" s="1038"/>
      <c r="K151" s="216"/>
      <c r="L151" s="867"/>
      <c r="M151" s="866"/>
      <c r="O151" s="866"/>
      <c r="Q151" s="866"/>
      <c r="R151" s="1038"/>
      <c r="S151" s="1038"/>
      <c r="T151" s="865"/>
      <c r="U151" s="867"/>
    </row>
    <row r="152" spans="1:28" x14ac:dyDescent="0.25">
      <c r="B152" s="79" t="s">
        <v>32</v>
      </c>
      <c r="C152" s="85" t="s">
        <v>1485</v>
      </c>
      <c r="D152" s="475">
        <f>SUMIF($D$7:$D$147,"A",$F$7:$F$147)</f>
        <v>468.5</v>
      </c>
      <c r="E152" s="1202">
        <f t="shared" ref="E152:E168" si="0">D152/$K$171</f>
        <v>15.112903225806452</v>
      </c>
      <c r="F152" s="1203">
        <f t="shared" ref="F152:F168" si="1">E152/$E$172</f>
        <v>9.0268862483239579E-2</v>
      </c>
      <c r="I152" s="769"/>
      <c r="J152" s="1038"/>
      <c r="K152" s="1225"/>
      <c r="L152" s="1210"/>
      <c r="M152" s="754"/>
      <c r="O152" s="886"/>
      <c r="Q152" s="886"/>
      <c r="R152" s="886"/>
      <c r="S152" s="1038">
        <v>24197.98</v>
      </c>
      <c r="T152" s="1038" t="s">
        <v>6378</v>
      </c>
      <c r="U152" s="1210"/>
      <c r="W152" s="1201"/>
      <c r="X152" s="877"/>
    </row>
    <row r="153" spans="1:28" x14ac:dyDescent="0.25">
      <c r="B153" s="79" t="s">
        <v>2187</v>
      </c>
      <c r="C153" s="85" t="s">
        <v>2157</v>
      </c>
      <c r="D153" s="475">
        <f>SUMIF($D$7:$D$147,"GAC",$F$7:$F$147)</f>
        <v>190</v>
      </c>
      <c r="E153" s="1202">
        <f t="shared" si="0"/>
        <v>6.129032258064516</v>
      </c>
      <c r="F153" s="1203">
        <f t="shared" si="1"/>
        <v>3.6608503461719358E-2</v>
      </c>
      <c r="J153" s="2125"/>
      <c r="K153" s="1129"/>
      <c r="L153" s="1038"/>
      <c r="M153" s="1225"/>
      <c r="O153" s="1210"/>
      <c r="Q153" s="1038"/>
      <c r="R153" s="1210"/>
      <c r="S153" s="1210">
        <f>S149+S152</f>
        <v>56584.575984720002</v>
      </c>
      <c r="T153" s="1038" t="s">
        <v>6379</v>
      </c>
      <c r="W153" s="877"/>
      <c r="X153" s="877"/>
    </row>
    <row r="154" spans="1:28" s="85" customFormat="1" x14ac:dyDescent="0.25">
      <c r="A154" s="79"/>
      <c r="B154" s="79" t="s">
        <v>50</v>
      </c>
      <c r="C154" s="85" t="s">
        <v>1493</v>
      </c>
      <c r="D154" s="475">
        <f>SUMIF($D$7:$D$147,"LD",$F$7:$F$147)</f>
        <v>342.69</v>
      </c>
      <c r="E154" s="1202">
        <f t="shared" si="0"/>
        <v>11.054516129032258</v>
      </c>
      <c r="F154" s="1203">
        <f t="shared" si="1"/>
        <v>6.6028252901561085E-2</v>
      </c>
      <c r="G154" s="79"/>
      <c r="J154" s="1210"/>
      <c r="K154" s="1038"/>
      <c r="L154" s="864"/>
      <c r="M154" s="877"/>
      <c r="O154" s="941"/>
      <c r="P154" s="877"/>
      <c r="Q154" s="863"/>
      <c r="S154" s="79"/>
      <c r="T154" s="177"/>
      <c r="W154" s="877"/>
      <c r="X154" s="877"/>
    </row>
    <row r="155" spans="1:28" s="85" customFormat="1" x14ac:dyDescent="0.25">
      <c r="A155" s="79"/>
      <c r="B155" s="79" t="s">
        <v>14</v>
      </c>
      <c r="C155" s="85" t="s">
        <v>1486</v>
      </c>
      <c r="D155" s="475">
        <f>SUMIF($D$16:$D$147,"C",$F$16:$F$147)</f>
        <v>166.47000000000003</v>
      </c>
      <c r="E155" s="1202">
        <f t="shared" si="0"/>
        <v>5.370000000000001</v>
      </c>
      <c r="F155" s="1203">
        <f t="shared" si="1"/>
        <v>3.2074829322486433E-2</v>
      </c>
      <c r="G155" s="79"/>
      <c r="H155" s="79"/>
      <c r="J155" s="1210"/>
      <c r="K155" s="1038"/>
      <c r="L155" s="1038"/>
      <c r="M155" s="877"/>
      <c r="O155" s="1028"/>
      <c r="P155" s="877"/>
      <c r="Q155" s="1038"/>
      <c r="T155" s="177"/>
      <c r="W155" s="877"/>
      <c r="X155" s="877"/>
    </row>
    <row r="156" spans="1:28" s="85" customFormat="1" x14ac:dyDescent="0.25">
      <c r="B156" s="79" t="s">
        <v>51</v>
      </c>
      <c r="C156" s="864" t="s">
        <v>1499</v>
      </c>
      <c r="D156" s="475">
        <f>SUMIF($D$16:$D$147,"CAL",$F$16:$F$147)</f>
        <v>131.16</v>
      </c>
      <c r="E156" s="1202">
        <f t="shared" si="0"/>
        <v>4.2309677419354834</v>
      </c>
      <c r="F156" s="1203">
        <f t="shared" si="1"/>
        <v>2.5271427968626897E-2</v>
      </c>
      <c r="G156" s="79"/>
      <c r="H156" s="79"/>
      <c r="I156" s="79"/>
      <c r="J156" s="1210"/>
      <c r="K156" s="1038"/>
      <c r="L156" s="1038"/>
      <c r="M156" s="877"/>
      <c r="O156" s="1028"/>
      <c r="P156" s="877"/>
      <c r="Q156" s="1038"/>
      <c r="R156" s="1210"/>
      <c r="S156" s="1038"/>
      <c r="T156" s="177"/>
      <c r="W156" s="877"/>
      <c r="X156" s="877"/>
    </row>
    <row r="157" spans="1:28" s="85" customFormat="1" x14ac:dyDescent="0.25">
      <c r="A157" s="79"/>
      <c r="B157" s="79" t="s">
        <v>2189</v>
      </c>
      <c r="C157" s="864" t="s">
        <v>1496</v>
      </c>
      <c r="D157" s="475">
        <f>SUMIF($D$30:$D$147,"AC",$F$30:$F$147)</f>
        <v>165.48000000000002</v>
      </c>
      <c r="E157" s="1202">
        <f t="shared" si="0"/>
        <v>5.338064516129033</v>
      </c>
      <c r="F157" s="1203">
        <f t="shared" si="1"/>
        <v>3.1884079751817472E-2</v>
      </c>
      <c r="G157" s="79"/>
      <c r="J157" s="1210"/>
      <c r="K157" s="1038"/>
      <c r="L157" s="1038"/>
      <c r="M157" s="877"/>
      <c r="O157" s="877"/>
      <c r="Q157" s="177"/>
      <c r="T157" s="177"/>
      <c r="W157" s="877"/>
      <c r="X157" s="877"/>
    </row>
    <row r="158" spans="1:28" s="85" customFormat="1" x14ac:dyDescent="0.25">
      <c r="A158" s="79"/>
      <c r="B158" s="867" t="s">
        <v>53</v>
      </c>
      <c r="C158" s="864" t="s">
        <v>1522</v>
      </c>
      <c r="D158" s="475">
        <f>SUMIF($D$16:$D$147,"DC",$F$16:$F$147)</f>
        <v>56.67</v>
      </c>
      <c r="E158" s="1202">
        <f t="shared" si="0"/>
        <v>1.8280645161290323</v>
      </c>
      <c r="F158" s="1203">
        <f t="shared" si="1"/>
        <v>1.0918967848292821E-2</v>
      </c>
      <c r="J158" s="1210"/>
      <c r="K158" s="1038"/>
      <c r="L158" s="79"/>
      <c r="M158" s="877"/>
      <c r="O158" s="1959"/>
      <c r="Q158" s="177"/>
      <c r="R158" s="868"/>
      <c r="S158" s="769"/>
      <c r="T158" s="79"/>
      <c r="W158" s="877"/>
      <c r="X158" s="877"/>
    </row>
    <row r="159" spans="1:28" s="85" customFormat="1" x14ac:dyDescent="0.25">
      <c r="A159" s="79"/>
      <c r="B159" s="79" t="s">
        <v>3048</v>
      </c>
      <c r="C159" s="864" t="s">
        <v>1523</v>
      </c>
      <c r="D159" s="475">
        <f ca="1">SUMIF($D$14:$D$148,"B",$F$14:$F$147)</f>
        <v>57</v>
      </c>
      <c r="E159" s="1202">
        <f t="shared" ca="1" si="0"/>
        <v>1.8387096774193548</v>
      </c>
      <c r="F159" s="1203">
        <f t="shared" ca="1" si="1"/>
        <v>1.0982551038515807E-2</v>
      </c>
      <c r="G159" s="866"/>
      <c r="J159" s="1210"/>
      <c r="K159" s="1038"/>
      <c r="L159" s="1038"/>
      <c r="M159" s="877"/>
      <c r="O159" s="877"/>
      <c r="Q159" s="177"/>
      <c r="R159" s="866"/>
      <c r="S159" s="1210"/>
      <c r="T159" s="877"/>
      <c r="W159" s="877"/>
      <c r="X159" s="877"/>
    </row>
    <row r="160" spans="1:28" s="85" customFormat="1" x14ac:dyDescent="0.25">
      <c r="A160" s="79"/>
      <c r="B160" s="79" t="s">
        <v>1686</v>
      </c>
      <c r="C160" s="864" t="s">
        <v>1506</v>
      </c>
      <c r="D160" s="475">
        <f>SUMIF($D$14:$D$147,"R",$F$14:$F$147)</f>
        <v>312.66666666666669</v>
      </c>
      <c r="E160" s="1202">
        <f t="shared" si="0"/>
        <v>10.086021505376344</v>
      </c>
      <c r="F160" s="1203">
        <f t="shared" si="1"/>
        <v>6.0243467100162727E-2</v>
      </c>
      <c r="G160" s="868"/>
      <c r="J160" s="1210"/>
      <c r="K160" s="1038"/>
      <c r="M160" s="877"/>
      <c r="O160" s="877"/>
      <c r="Q160" s="177"/>
      <c r="R160" s="1226"/>
      <c r="S160" s="1129"/>
      <c r="T160" s="877"/>
      <c r="W160" s="877"/>
      <c r="X160" s="877"/>
    </row>
    <row r="161" spans="1:26" x14ac:dyDescent="0.25">
      <c r="B161" s="79" t="s">
        <v>418</v>
      </c>
      <c r="C161" s="85" t="s">
        <v>1524</v>
      </c>
      <c r="D161" s="475">
        <f>SUMIF($D$7:$D$147,"COM",$F$7:$F$147)</f>
        <v>2931.3833333333337</v>
      </c>
      <c r="E161" s="1202">
        <f t="shared" si="0"/>
        <v>94.560752688172059</v>
      </c>
      <c r="F161" s="1203">
        <f t="shared" si="1"/>
        <v>0.56480819424189355</v>
      </c>
      <c r="G161" s="85"/>
      <c r="H161" s="85"/>
      <c r="I161" s="85"/>
      <c r="J161" s="1210"/>
      <c r="K161" s="1038"/>
      <c r="L161" s="769"/>
      <c r="M161" s="1225"/>
      <c r="N161" s="769"/>
      <c r="O161" s="877"/>
      <c r="P161" s="769"/>
      <c r="Q161" s="216"/>
      <c r="R161" s="1038"/>
      <c r="S161" s="1226"/>
      <c r="T161" s="877"/>
      <c r="W161" s="877"/>
      <c r="X161" s="877"/>
    </row>
    <row r="162" spans="1:26" x14ac:dyDescent="0.25">
      <c r="B162" s="79" t="s">
        <v>6732</v>
      </c>
      <c r="C162" s="85" t="s">
        <v>1491</v>
      </c>
      <c r="D162" s="475">
        <f>SUMIF($D$16:$D$147,"F",$F$16:$F$147)</f>
        <v>979.8</v>
      </c>
      <c r="E162" s="1202">
        <f t="shared" si="0"/>
        <v>31.606451612903225</v>
      </c>
      <c r="F162" s="1203">
        <f t="shared" ref="F162" si="2">E162/$E$172</f>
        <v>0.18878427206206644</v>
      </c>
      <c r="I162" s="85"/>
      <c r="J162" s="1210"/>
      <c r="K162" s="1038"/>
      <c r="P162" s="216"/>
      <c r="Q162" s="216"/>
      <c r="S162" s="484"/>
      <c r="T162" s="877"/>
      <c r="W162" s="877"/>
      <c r="X162" s="877"/>
    </row>
    <row r="163" spans="1:26" x14ac:dyDescent="0.25">
      <c r="B163" s="79" t="s">
        <v>6733</v>
      </c>
      <c r="C163" s="85" t="s">
        <v>6731</v>
      </c>
      <c r="D163" s="475">
        <f>SUMIF($D$7:$D$147,"F2",$F$7:$F$147)</f>
        <v>21.97</v>
      </c>
      <c r="E163" s="1202">
        <f t="shared" si="0"/>
        <v>0.70870967741935476</v>
      </c>
      <c r="F163" s="1203">
        <f t="shared" si="1"/>
        <v>4.2330990581788113E-3</v>
      </c>
      <c r="I163" s="85"/>
      <c r="J163" s="1210"/>
      <c r="K163" s="1038"/>
      <c r="P163" s="216"/>
      <c r="Q163" s="216"/>
      <c r="S163" s="484"/>
      <c r="T163" s="877"/>
      <c r="W163" s="877"/>
      <c r="X163" s="877"/>
    </row>
    <row r="164" spans="1:26" x14ac:dyDescent="0.25">
      <c r="B164" s="79" t="s">
        <v>911</v>
      </c>
      <c r="C164" s="85" t="s">
        <v>1525</v>
      </c>
      <c r="D164" s="475">
        <f>SUMIF($D$16:$D$147,"FER",$F$16:$F$147)</f>
        <v>0</v>
      </c>
      <c r="E164" s="1202">
        <f t="shared" si="0"/>
        <v>0</v>
      </c>
      <c r="F164" s="1203">
        <f t="shared" si="1"/>
        <v>0</v>
      </c>
      <c r="J164" s="1210"/>
      <c r="K164" s="1038"/>
      <c r="Q164" s="216"/>
      <c r="S164" s="484"/>
      <c r="T164" s="1673"/>
      <c r="W164" s="877"/>
      <c r="X164" s="877"/>
    </row>
    <row r="165" spans="1:26" x14ac:dyDescent="0.25">
      <c r="B165" s="79" t="s">
        <v>1526</v>
      </c>
      <c r="C165" s="85" t="s">
        <v>1504</v>
      </c>
      <c r="D165" s="475">
        <f>SUMIF($D$34:$D$147,"I",$F$34:$F$147)</f>
        <v>99.806666666666672</v>
      </c>
      <c r="E165" s="1202">
        <f t="shared" si="0"/>
        <v>3.2195698924731184</v>
      </c>
      <c r="F165" s="1203">
        <f t="shared" si="1"/>
        <v>1.9230382642996511E-2</v>
      </c>
      <c r="J165" s="1210"/>
      <c r="K165" s="1038"/>
      <c r="L165" s="769"/>
      <c r="M165" s="868"/>
      <c r="N165" s="769"/>
      <c r="P165" s="769"/>
      <c r="Q165" s="886"/>
      <c r="R165" s="1210"/>
      <c r="S165" s="1038"/>
      <c r="T165" s="1129"/>
      <c r="V165" s="1129"/>
      <c r="W165" s="877"/>
      <c r="X165" s="877"/>
    </row>
    <row r="166" spans="1:26" x14ac:dyDescent="0.25">
      <c r="B166" s="79" t="s">
        <v>2343</v>
      </c>
      <c r="C166" s="85" t="s">
        <v>2315</v>
      </c>
      <c r="D166" s="475">
        <f>SUMIF($D$34:$D$147,"E",$F$34:$F$147)</f>
        <v>0</v>
      </c>
      <c r="E166" s="1202">
        <f t="shared" si="0"/>
        <v>0</v>
      </c>
      <c r="F166" s="1203">
        <f t="shared" si="1"/>
        <v>0</v>
      </c>
      <c r="J166" s="1210"/>
      <c r="K166" s="1038"/>
      <c r="L166" s="769"/>
      <c r="M166" s="868"/>
      <c r="N166" s="769"/>
      <c r="O166" s="1210"/>
      <c r="P166" s="769"/>
      <c r="Q166" s="1673"/>
      <c r="R166" s="1210"/>
      <c r="S166" s="1038"/>
      <c r="T166" s="1129"/>
      <c r="V166" s="1129"/>
      <c r="W166" s="877"/>
      <c r="X166" s="877"/>
    </row>
    <row r="167" spans="1:26" x14ac:dyDescent="0.25">
      <c r="B167" s="79" t="s">
        <v>3019</v>
      </c>
      <c r="C167" s="85" t="s">
        <v>3017</v>
      </c>
      <c r="D167" s="475">
        <f>SUMIF($D$6:$D$147,"IM",$F$6:$F$147)</f>
        <v>0</v>
      </c>
      <c r="E167" s="1202">
        <f t="shared" si="0"/>
        <v>0</v>
      </c>
      <c r="F167" s="1203">
        <f t="shared" si="1"/>
        <v>0</v>
      </c>
      <c r="J167" s="1210"/>
      <c r="K167" s="1038"/>
      <c r="L167" s="769"/>
      <c r="N167" s="769"/>
      <c r="P167" s="769"/>
      <c r="R167" s="941"/>
      <c r="S167" s="224"/>
      <c r="T167" s="1226"/>
      <c r="U167" s="1129"/>
      <c r="V167" s="1129"/>
      <c r="W167" s="877"/>
      <c r="X167" s="877"/>
    </row>
    <row r="168" spans="1:26" ht="15.75" thickBot="1" x14ac:dyDescent="0.3">
      <c r="B168" s="301" t="s">
        <v>1527</v>
      </c>
      <c r="C168" s="2400" t="s">
        <v>1489</v>
      </c>
      <c r="D168" s="2401">
        <f>SUMIF($D$7:$D$147,"OD",$F$7:$F$147)</f>
        <v>569.87000000000012</v>
      </c>
      <c r="E168" s="2402">
        <f t="shared" si="0"/>
        <v>18.382903225806455</v>
      </c>
      <c r="F168" s="2403">
        <f t="shared" si="1"/>
        <v>0.10980046246173691</v>
      </c>
      <c r="J168" s="1210"/>
      <c r="K168" s="1038"/>
      <c r="R168" s="1210"/>
      <c r="S168" s="1038"/>
      <c r="T168" s="1226"/>
      <c r="U168" s="1129"/>
      <c r="V168" s="1129"/>
      <c r="W168" s="877"/>
      <c r="X168" s="877"/>
    </row>
    <row r="169" spans="1:26" x14ac:dyDescent="0.25">
      <c r="B169" s="1124" t="s">
        <v>6790</v>
      </c>
      <c r="C169" s="1124"/>
      <c r="D169" s="1125">
        <f>SUMIF($B$7:$B$147,"Crédito Gasolina",$G$7:$G$147)</f>
        <v>476.02</v>
      </c>
      <c r="E169" s="1124"/>
      <c r="F169" s="1124"/>
      <c r="J169" s="2037"/>
      <c r="K169" s="629"/>
      <c r="L169" s="459" t="s">
        <v>6481</v>
      </c>
      <c r="M169" s="2125" t="s">
        <v>6482</v>
      </c>
      <c r="R169" s="1210"/>
      <c r="S169" s="1038"/>
      <c r="T169" s="1227"/>
      <c r="U169" s="1129"/>
      <c r="V169" s="1129"/>
      <c r="W169" s="877"/>
      <c r="X169" s="877"/>
    </row>
    <row r="170" spans="1:26" x14ac:dyDescent="0.25">
      <c r="B170" s="1124"/>
      <c r="C170" s="1124"/>
      <c r="D170" s="2399"/>
      <c r="E170" s="1124"/>
      <c r="F170" s="1124"/>
      <c r="J170" s="2037"/>
      <c r="K170" s="629"/>
      <c r="L170" s="459"/>
      <c r="M170" s="2125"/>
      <c r="R170" s="1210"/>
      <c r="S170" s="1038"/>
      <c r="T170" s="1227"/>
      <c r="U170" s="1129"/>
      <c r="V170" s="1129"/>
      <c r="W170" s="877"/>
      <c r="X170" s="877"/>
    </row>
    <row r="171" spans="1:26" x14ac:dyDescent="0.25">
      <c r="C171" s="3168" t="s">
        <v>486</v>
      </c>
      <c r="D171" s="3168"/>
      <c r="E171" s="863">
        <f ca="1">J171/K171</f>
        <v>209.46666666666667</v>
      </c>
      <c r="G171" s="518" t="s">
        <v>487</v>
      </c>
      <c r="J171" s="629">
        <f ca="1">SUM(D152:D168)</f>
        <v>6493.4666666666672</v>
      </c>
      <c r="K171" s="1517">
        <v>31</v>
      </c>
      <c r="M171" s="1138">
        <f ca="1">5022.63-J172</f>
        <v>1460.5466666666666</v>
      </c>
      <c r="N171" s="216"/>
      <c r="P171" s="216"/>
      <c r="Q171" s="1517"/>
      <c r="R171" s="1210"/>
      <c r="S171" s="1038"/>
      <c r="T171" s="1226"/>
      <c r="U171" s="1129"/>
      <c r="V171" s="1129"/>
      <c r="W171" s="877"/>
      <c r="X171" s="877"/>
    </row>
    <row r="172" spans="1:26" ht="15.75" customHeight="1" x14ac:dyDescent="0.25">
      <c r="B172" s="3167" t="s">
        <v>6752</v>
      </c>
      <c r="C172" s="3167"/>
      <c r="D172" s="3167"/>
      <c r="E172" s="1125">
        <f>5022.63/30</f>
        <v>167.42099999999999</v>
      </c>
      <c r="G172" s="518" t="s">
        <v>6257</v>
      </c>
      <c r="J172" s="609">
        <f ca="1">J171-D161</f>
        <v>3562.0833333333335</v>
      </c>
      <c r="K172" s="629"/>
      <c r="L172" s="1517"/>
      <c r="M172" s="868"/>
      <c r="O172" s="868"/>
      <c r="Q172" s="868"/>
      <c r="R172" s="1210"/>
      <c r="S172" s="1038"/>
      <c r="T172" s="1226"/>
      <c r="U172" s="1129"/>
      <c r="V172" s="1129"/>
      <c r="W172" s="877"/>
      <c r="X172" s="877"/>
    </row>
    <row r="173" spans="1:26" x14ac:dyDescent="0.25">
      <c r="A173" s="518"/>
      <c r="C173" s="79"/>
      <c r="D173" s="79"/>
      <c r="E173" s="769"/>
      <c r="F173" s="866"/>
      <c r="G173" s="769"/>
      <c r="H173" s="866"/>
      <c r="I173" s="1210"/>
      <c r="J173" s="867"/>
      <c r="K173" s="866"/>
      <c r="L173" s="89"/>
      <c r="N173" s="1038"/>
      <c r="O173" s="1210"/>
      <c r="P173" s="1038"/>
      <c r="Q173" s="1210"/>
      <c r="R173" s="1210"/>
      <c r="S173" s="1038"/>
      <c r="T173" s="769"/>
      <c r="U173" s="484" t="s">
        <v>280</v>
      </c>
      <c r="V173" s="216"/>
      <c r="W173" s="866"/>
      <c r="X173" s="484"/>
      <c r="Z173" s="877"/>
    </row>
    <row r="174" spans="1:26" s="518" customFormat="1" x14ac:dyDescent="0.25">
      <c r="A174" s="79"/>
      <c r="B174" s="79"/>
      <c r="C174" s="79"/>
      <c r="D174" s="79"/>
      <c r="E174" s="1126">
        <f ca="1">E172-E171</f>
        <v>-42.045666666666676</v>
      </c>
      <c r="F174" s="1205">
        <f ca="1">SUM(F152:F173)</f>
        <v>1.251137352343294</v>
      </c>
      <c r="G174" s="85"/>
      <c r="H174" s="85"/>
      <c r="I174" s="89"/>
      <c r="J174" s="1210"/>
      <c r="K174" s="754"/>
      <c r="L174" s="79"/>
      <c r="M174" s="79"/>
      <c r="N174" s="79"/>
      <c r="O174" s="79"/>
      <c r="P174" s="79"/>
      <c r="Q174" s="79"/>
      <c r="R174" s="1210"/>
      <c r="S174" s="1038"/>
      <c r="T174" s="79"/>
      <c r="U174" s="79"/>
      <c r="V174" s="866"/>
      <c r="W174" s="484"/>
      <c r="X174" s="79"/>
      <c r="Y174" s="877"/>
      <c r="Z174" s="79"/>
    </row>
    <row r="175" spans="1:26" s="518" customFormat="1" x14ac:dyDescent="0.25">
      <c r="A175" s="79"/>
      <c r="B175" s="79"/>
      <c r="C175" s="79"/>
      <c r="D175" s="79"/>
      <c r="E175" s="85"/>
      <c r="J175" s="1038"/>
      <c r="K175" s="1225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1124" t="s">
        <v>6376</v>
      </c>
      <c r="C176" s="2125"/>
      <c r="D176" s="2219">
        <f>SUMIF($E$7:$E$147,"crédito",$G$7:$G$147)</f>
        <v>5327.0599999999995</v>
      </c>
      <c r="E176" s="85"/>
      <c r="F176" s="89"/>
      <c r="G176" s="79"/>
      <c r="H176" s="79"/>
      <c r="I176" s="79"/>
      <c r="J176" s="1038"/>
      <c r="K176" s="1225"/>
      <c r="L176" s="769"/>
      <c r="M176" s="866"/>
      <c r="N176" s="769"/>
      <c r="O176" s="866"/>
      <c r="P176" s="769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518" t="s">
        <v>6496</v>
      </c>
      <c r="C177" s="459"/>
      <c r="D177" s="2218">
        <f ca="1">SUM(D152:D168)-D161</f>
        <v>3562.0833333333335</v>
      </c>
      <c r="E177" s="85"/>
      <c r="F177" s="89"/>
      <c r="G177" s="79"/>
      <c r="H177" s="79"/>
      <c r="I177" s="216"/>
      <c r="J177" s="864"/>
      <c r="K177" s="877"/>
      <c r="L177" s="769"/>
      <c r="M177" s="866"/>
      <c r="N177" s="769"/>
      <c r="O177" s="866"/>
      <c r="P177" s="769"/>
      <c r="Q177" s="866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81" t="s">
        <v>6497</v>
      </c>
      <c r="C178" s="81"/>
      <c r="D178" s="1014">
        <f ca="1">D176-D177</f>
        <v>1764.976666666666</v>
      </c>
      <c r="E178" s="79"/>
      <c r="F178" s="79"/>
      <c r="G178" s="79"/>
      <c r="H178" s="79"/>
      <c r="J178" s="1038"/>
      <c r="K178" s="877"/>
      <c r="M178" s="866"/>
      <c r="O178" s="866"/>
      <c r="Q178" s="866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79"/>
      <c r="H179" s="79"/>
      <c r="I179" s="216"/>
      <c r="J179" s="1038"/>
      <c r="K179" s="877"/>
      <c r="L179" s="769"/>
      <c r="M179" s="866"/>
      <c r="N179" s="769"/>
      <c r="O179" s="866"/>
      <c r="P179" s="769"/>
      <c r="Q179" s="866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216"/>
      <c r="H180" s="79"/>
      <c r="I180" s="216"/>
      <c r="J180" s="1038"/>
      <c r="K180" s="877"/>
      <c r="L180" s="769"/>
      <c r="M180" s="868"/>
      <c r="N180" s="769"/>
      <c r="O180" s="868"/>
      <c r="P180" s="769"/>
      <c r="Q180" s="868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216"/>
      <c r="H181" s="79"/>
      <c r="I181" s="216"/>
      <c r="J181" s="79"/>
      <c r="K181" s="877"/>
      <c r="L181" s="769"/>
      <c r="M181" s="866"/>
      <c r="N181" s="769"/>
      <c r="O181" s="866"/>
      <c r="P181" s="769"/>
      <c r="Q181" s="866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79"/>
      <c r="D182" s="79"/>
      <c r="E182" s="79"/>
      <c r="F182" s="79"/>
      <c r="G182" s="216"/>
      <c r="H182" s="79"/>
      <c r="I182" s="79"/>
      <c r="J182" s="85"/>
      <c r="K182" s="877"/>
      <c r="L182" s="770"/>
      <c r="M182" s="866"/>
      <c r="N182" s="770"/>
      <c r="O182" s="866"/>
      <c r="P182" s="770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216"/>
      <c r="J183" s="1038"/>
      <c r="K183" s="877"/>
      <c r="L183" s="769"/>
      <c r="M183" s="868"/>
      <c r="N183" s="769"/>
      <c r="O183" s="868"/>
      <c r="P183" s="769"/>
      <c r="Q183" s="868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85"/>
      <c r="K184" s="877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79"/>
      <c r="D185" s="79"/>
      <c r="E185" s="79"/>
      <c r="F185" s="79"/>
      <c r="G185" s="79"/>
      <c r="H185" s="79"/>
      <c r="I185" s="629"/>
      <c r="J185" s="769"/>
      <c r="K185" s="1225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9"/>
      <c r="K186" s="79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9"/>
      <c r="K187" s="79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868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69"/>
      <c r="K189" s="868"/>
      <c r="L189" s="769"/>
      <c r="M189" s="866"/>
      <c r="N189" s="769"/>
      <c r="O189" s="866"/>
      <c r="P189" s="769"/>
      <c r="Q189" s="866"/>
      <c r="R189" s="1210"/>
      <c r="S189" s="103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69"/>
      <c r="K190" s="79"/>
      <c r="L190" s="769"/>
      <c r="M190" s="866"/>
      <c r="N190" s="769"/>
      <c r="O190" s="866"/>
      <c r="P190" s="769"/>
      <c r="Q190" s="866"/>
      <c r="R190" s="1210"/>
      <c r="S190" s="103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79"/>
      <c r="K191" s="79"/>
      <c r="L191" s="769"/>
      <c r="M191" s="866"/>
      <c r="N191" s="769"/>
      <c r="O191" s="866"/>
      <c r="P191" s="769"/>
      <c r="Q191" s="866"/>
      <c r="R191" s="1210"/>
      <c r="S191" s="1038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9"/>
      <c r="K192" s="79"/>
      <c r="L192" s="769"/>
      <c r="M192" s="866"/>
      <c r="N192" s="769"/>
      <c r="O192" s="866"/>
      <c r="P192" s="769"/>
      <c r="Q192" s="866"/>
      <c r="R192" s="1210"/>
      <c r="S192" s="1038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1517"/>
      <c r="K193" s="79"/>
      <c r="L193" s="769"/>
      <c r="M193" s="866"/>
      <c r="N193" s="769"/>
      <c r="O193" s="866"/>
      <c r="P193" s="769"/>
      <c r="Q193" s="866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79"/>
      <c r="K194" s="868"/>
      <c r="L194" s="769"/>
      <c r="M194" s="866"/>
      <c r="N194" s="769"/>
      <c r="O194" s="866"/>
      <c r="P194" s="769"/>
      <c r="Q194" s="866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89"/>
      <c r="K195" s="79"/>
      <c r="L195" s="769"/>
      <c r="M195" s="868"/>
      <c r="N195" s="769"/>
      <c r="O195" s="868"/>
      <c r="P195" s="769"/>
      <c r="Q195" s="868"/>
      <c r="R195" s="79"/>
      <c r="S195" s="79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79"/>
      <c r="K196" s="79"/>
      <c r="L196" s="769"/>
      <c r="M196" s="868"/>
      <c r="N196" s="769"/>
      <c r="O196" s="868"/>
      <c r="P196" s="769"/>
      <c r="Q196" s="868"/>
      <c r="R196" s="81"/>
      <c r="S196" s="755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L197" s="769"/>
      <c r="M197" s="868"/>
      <c r="N197" s="769"/>
      <c r="O197" s="868"/>
      <c r="P197" s="769"/>
      <c r="Q197" s="868"/>
      <c r="R197" s="868"/>
      <c r="S197" s="79"/>
      <c r="T197" s="484"/>
      <c r="U197" s="79"/>
      <c r="V197" s="877"/>
      <c r="W197" s="79"/>
    </row>
    <row r="198" spans="1:23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216"/>
      <c r="J198" s="769"/>
      <c r="K198" s="866"/>
      <c r="L198" s="769"/>
      <c r="M198" s="868"/>
      <c r="N198" s="769"/>
      <c r="O198" s="868"/>
      <c r="P198" s="769"/>
      <c r="Q198" s="868"/>
      <c r="R198" s="754"/>
      <c r="S198" s="886"/>
      <c r="T198" s="484"/>
      <c r="U198" s="79"/>
      <c r="V198" s="877"/>
      <c r="W198" s="79"/>
    </row>
    <row r="199" spans="1:23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216"/>
      <c r="J199" s="769"/>
      <c r="K199" s="866"/>
      <c r="L199" s="769"/>
      <c r="M199" s="868"/>
      <c r="N199" s="769"/>
      <c r="O199" s="868"/>
      <c r="P199" s="769"/>
      <c r="Q199" s="868"/>
      <c r="R199" s="864"/>
      <c r="S199" s="864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K200" s="866"/>
      <c r="L200" s="769"/>
      <c r="M200" s="866"/>
      <c r="N200" s="769"/>
      <c r="O200" s="866"/>
      <c r="P200" s="769"/>
      <c r="Q200" s="866"/>
      <c r="R200" s="864"/>
      <c r="S200" s="1032"/>
      <c r="T200" s="484"/>
      <c r="U200" s="79"/>
      <c r="V200" s="877"/>
      <c r="W200" s="79"/>
    </row>
    <row r="201" spans="1:23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69"/>
      <c r="K201" s="866"/>
      <c r="L201" s="769"/>
      <c r="M201" s="866"/>
      <c r="N201" s="769"/>
      <c r="O201" s="866"/>
      <c r="P201" s="769"/>
      <c r="Q201" s="866"/>
      <c r="R201" s="864"/>
      <c r="S201" s="1032"/>
      <c r="T201" s="484"/>
      <c r="U201" s="79"/>
      <c r="V201" s="877"/>
      <c r="W201" s="79"/>
    </row>
    <row r="202" spans="1:23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69"/>
      <c r="K202" s="868"/>
      <c r="L202" s="769"/>
      <c r="M202" s="868"/>
      <c r="N202" s="769"/>
      <c r="O202" s="868"/>
      <c r="P202" s="769"/>
      <c r="Q202" s="868"/>
      <c r="R202" s="85"/>
      <c r="S202" s="795"/>
      <c r="T202" s="484"/>
      <c r="U202" s="79"/>
      <c r="V202" s="877"/>
      <c r="W202" s="79"/>
    </row>
    <row r="203" spans="1:23" s="518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769"/>
      <c r="K203" s="866"/>
      <c r="L203" s="769"/>
      <c r="M203" s="866"/>
      <c r="N203" s="769"/>
      <c r="O203" s="866"/>
      <c r="P203" s="769"/>
      <c r="Q203" s="866"/>
      <c r="R203" s="85"/>
      <c r="S203" s="177"/>
      <c r="T203" s="484"/>
      <c r="U203" s="79"/>
      <c r="V203" s="877"/>
      <c r="W203" s="79"/>
    </row>
    <row r="204" spans="1:23" s="518" customFormat="1" x14ac:dyDescent="0.25">
      <c r="A204" s="79"/>
      <c r="B204" s="79"/>
      <c r="C204" s="85"/>
      <c r="D204" s="85"/>
      <c r="E204" s="85"/>
      <c r="F204" s="89"/>
      <c r="G204" s="79"/>
      <c r="H204" s="79"/>
      <c r="I204" s="79"/>
      <c r="J204" s="770"/>
      <c r="K204" s="866"/>
      <c r="L204" s="769"/>
      <c r="M204" s="866"/>
      <c r="N204" s="769"/>
      <c r="O204" s="866"/>
      <c r="P204" s="769"/>
      <c r="Q204" s="866"/>
      <c r="R204" s="85"/>
      <c r="S204" s="177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8"/>
      <c r="L205" s="769"/>
      <c r="M205" s="868"/>
      <c r="N205" s="769"/>
      <c r="O205" s="868"/>
      <c r="P205" s="769"/>
      <c r="Q205" s="868"/>
      <c r="R205" s="85"/>
      <c r="S205" s="177" t="s">
        <v>280</v>
      </c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69"/>
      <c r="M206" s="868"/>
      <c r="N206" s="769"/>
      <c r="O206" s="868"/>
      <c r="P206" s="769"/>
      <c r="Q206" s="868"/>
      <c r="R206" s="85"/>
      <c r="S206" s="177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69"/>
      <c r="M207" s="868"/>
      <c r="N207" s="769"/>
      <c r="O207" s="868"/>
      <c r="P207" s="769"/>
      <c r="Q207" s="868"/>
      <c r="R207" s="85"/>
      <c r="S207" s="86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769"/>
      <c r="M208" s="868"/>
      <c r="N208" s="769"/>
      <c r="O208" s="868"/>
      <c r="P208" s="769"/>
      <c r="Q208" s="868"/>
      <c r="R208" s="769"/>
      <c r="S208" s="216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769"/>
      <c r="M209" s="866"/>
      <c r="N209" s="769"/>
      <c r="O209" s="866"/>
      <c r="P209" s="769"/>
      <c r="Q209" s="866"/>
      <c r="R209" s="79"/>
      <c r="S209" s="216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223"/>
      <c r="M210" s="629"/>
      <c r="N210" s="223"/>
      <c r="O210" s="629"/>
      <c r="P210" s="223"/>
      <c r="Q210" s="629"/>
      <c r="R210" s="769"/>
      <c r="S210" s="868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56"/>
      <c r="M211" s="756"/>
      <c r="N211" s="756"/>
      <c r="O211" s="756"/>
      <c r="P211" s="756"/>
      <c r="Q211" s="756"/>
      <c r="R211" s="769"/>
      <c r="S211" s="868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9"/>
      <c r="M212" s="79"/>
      <c r="N212" s="79"/>
      <c r="O212" s="79"/>
      <c r="P212" s="79"/>
      <c r="Q212" s="79"/>
      <c r="R212" s="769"/>
      <c r="S212" s="868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9"/>
      <c r="M213" s="79"/>
      <c r="N213" s="79"/>
      <c r="O213" s="79"/>
      <c r="P213" s="79"/>
      <c r="Q213" s="79"/>
      <c r="R213" s="769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6"/>
      <c r="L214" s="79"/>
      <c r="M214" s="79"/>
      <c r="N214" s="79"/>
      <c r="O214" s="79"/>
      <c r="P214" s="79"/>
      <c r="Q214" s="79"/>
      <c r="R214" s="79"/>
      <c r="S214" s="79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6"/>
      <c r="L215" s="79"/>
      <c r="M215" s="79"/>
      <c r="N215" s="79"/>
      <c r="O215" s="79"/>
      <c r="P215" s="79"/>
      <c r="Q215" s="79"/>
      <c r="R215" s="79"/>
      <c r="S215" s="79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6"/>
      <c r="L216" s="85"/>
      <c r="M216" s="85"/>
      <c r="N216" s="85"/>
      <c r="O216" s="85"/>
      <c r="P216" s="85"/>
      <c r="Q216" s="85"/>
      <c r="R216" s="1517"/>
      <c r="S216" s="79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9"/>
      <c r="M217" s="79"/>
      <c r="N217" s="79"/>
      <c r="O217" s="79"/>
      <c r="P217" s="79"/>
      <c r="Q217" s="79"/>
      <c r="R217" s="79"/>
      <c r="S217" s="868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89"/>
      <c r="S218" s="79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8"/>
      <c r="L219" s="79"/>
      <c r="M219" s="79"/>
      <c r="N219" s="79"/>
      <c r="O219" s="79"/>
      <c r="P219" s="79"/>
      <c r="Q219" s="79"/>
      <c r="R219" s="79"/>
      <c r="S219" s="79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8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8"/>
      <c r="L221" s="79"/>
      <c r="M221" s="79"/>
      <c r="N221" s="79"/>
      <c r="O221" s="79"/>
      <c r="P221" s="79"/>
      <c r="Q221" s="79"/>
      <c r="R221" s="769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6"/>
      <c r="L222" s="79"/>
      <c r="M222" s="79"/>
      <c r="N222" s="79"/>
      <c r="O222" s="79"/>
      <c r="P222" s="79"/>
      <c r="Q222" s="79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85"/>
      <c r="M223" s="85"/>
      <c r="N223" s="85"/>
      <c r="O223" s="85"/>
      <c r="P223" s="85"/>
      <c r="Q223" s="85"/>
      <c r="S223" s="866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9"/>
      <c r="M224" s="79"/>
      <c r="N224" s="79"/>
      <c r="O224" s="79"/>
      <c r="P224" s="79"/>
      <c r="Q224" s="79"/>
      <c r="R224" s="769"/>
      <c r="S224" s="866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9"/>
      <c r="M225" s="79"/>
      <c r="N225" s="79"/>
      <c r="O225" s="79"/>
      <c r="P225" s="79"/>
      <c r="Q225" s="79"/>
      <c r="R225" s="769"/>
      <c r="S225" s="868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9"/>
      <c r="M226" s="79"/>
      <c r="N226" s="79"/>
      <c r="O226" s="79"/>
      <c r="P226" s="79"/>
      <c r="Q226" s="79"/>
      <c r="R226" s="769"/>
      <c r="S226" s="866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9"/>
      <c r="M227" s="79"/>
      <c r="N227" s="79"/>
      <c r="O227" s="79"/>
      <c r="P227" s="79"/>
      <c r="Q227" s="79"/>
      <c r="R227" s="770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8"/>
      <c r="L228" s="79"/>
      <c r="M228" s="79"/>
      <c r="N228" s="79"/>
      <c r="O228" s="79"/>
      <c r="P228" s="79"/>
      <c r="Q228" s="79"/>
      <c r="R228" s="769"/>
      <c r="S228" s="868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8"/>
      <c r="L229" s="79"/>
      <c r="M229" s="79"/>
      <c r="N229" s="79"/>
      <c r="O229" s="79"/>
      <c r="P229" s="79"/>
      <c r="Q229" s="79"/>
      <c r="R229" s="769"/>
      <c r="S229" s="866"/>
      <c r="T229" s="484"/>
      <c r="U229" s="79"/>
      <c r="V229" s="877"/>
      <c r="W229" s="79"/>
    </row>
    <row r="230" spans="1:23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8"/>
      <c r="L230" s="771"/>
      <c r="N230" s="771"/>
      <c r="P230" s="771"/>
      <c r="R230" s="769"/>
      <c r="S230" s="866"/>
      <c r="T230" s="484"/>
      <c r="U230" s="79"/>
      <c r="V230" s="877"/>
      <c r="W230" s="79"/>
    </row>
    <row r="231" spans="1:23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9"/>
      <c r="Q231" s="79"/>
      <c r="R231" s="769"/>
      <c r="S231" s="866"/>
      <c r="T231" s="484"/>
      <c r="U231" s="79"/>
      <c r="V231" s="877"/>
      <c r="W231" s="79"/>
    </row>
    <row r="232" spans="1:23" x14ac:dyDescent="0.25">
      <c r="J232" s="223"/>
      <c r="K232" s="629"/>
      <c r="R232" s="769"/>
      <c r="S232" s="866"/>
    </row>
    <row r="233" spans="1:23" x14ac:dyDescent="0.25">
      <c r="J233" s="756"/>
      <c r="K233" s="756"/>
      <c r="R233" s="769"/>
      <c r="S233" s="866"/>
    </row>
    <row r="234" spans="1:23" x14ac:dyDescent="0.25">
      <c r="R234" s="769"/>
      <c r="S234" s="866"/>
    </row>
    <row r="235" spans="1:23" x14ac:dyDescent="0.25">
      <c r="R235" s="769"/>
      <c r="S235" s="866"/>
    </row>
    <row r="236" spans="1:23" x14ac:dyDescent="0.25">
      <c r="R236" s="769"/>
      <c r="S236" s="866"/>
    </row>
    <row r="237" spans="1:23" x14ac:dyDescent="0.25">
      <c r="R237" s="769"/>
      <c r="S237" s="866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85"/>
      <c r="K238" s="85"/>
      <c r="L238" s="79"/>
      <c r="M238" s="216"/>
      <c r="N238" s="79"/>
      <c r="O238" s="216"/>
      <c r="P238" s="79"/>
      <c r="Q238" s="216"/>
      <c r="R238" s="769"/>
      <c r="S238" s="866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216"/>
      <c r="N239" s="79"/>
      <c r="O239" s="216"/>
      <c r="P239" s="79"/>
      <c r="Q239" s="216"/>
      <c r="R239" s="769"/>
      <c r="S239" s="866"/>
      <c r="T239" s="484"/>
      <c r="U239" s="79"/>
      <c r="V239" s="877"/>
      <c r="W239" s="79"/>
    </row>
    <row r="240" spans="1:23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216"/>
      <c r="N240" s="79"/>
      <c r="O240" s="216"/>
      <c r="P240" s="79"/>
      <c r="Q240" s="216"/>
      <c r="R240" s="769"/>
      <c r="S240" s="868"/>
      <c r="T240" s="484"/>
      <c r="U240" s="79"/>
      <c r="V240" s="877"/>
      <c r="W240" s="79"/>
    </row>
    <row r="241" spans="1:23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216"/>
      <c r="N241" s="79"/>
      <c r="O241" s="216"/>
      <c r="P241" s="79"/>
      <c r="Q241" s="216"/>
      <c r="R241" s="769"/>
      <c r="S241" s="868"/>
      <c r="T241" s="484"/>
      <c r="U241" s="79"/>
      <c r="V241" s="877"/>
      <c r="W241" s="79"/>
    </row>
    <row r="242" spans="1:23" x14ac:dyDescent="0.25">
      <c r="R242" s="769"/>
      <c r="S242" s="868"/>
    </row>
    <row r="243" spans="1:23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216"/>
      <c r="N243" s="79"/>
      <c r="O243" s="216"/>
      <c r="P243" s="79"/>
      <c r="Q243" s="216"/>
      <c r="R243" s="769"/>
      <c r="S243" s="868"/>
      <c r="T243" s="484"/>
      <c r="U243" s="79"/>
      <c r="V243" s="877"/>
      <c r="W243" s="79"/>
    </row>
    <row r="244" spans="1:23" x14ac:dyDescent="0.25">
      <c r="R244" s="769"/>
      <c r="S244" s="868"/>
    </row>
    <row r="245" spans="1:23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85"/>
      <c r="K245" s="85"/>
      <c r="L245" s="79"/>
      <c r="M245" s="629"/>
      <c r="N245" s="79"/>
      <c r="O245" s="629"/>
      <c r="P245" s="79"/>
      <c r="Q245" s="629"/>
      <c r="R245" s="769"/>
      <c r="S245" s="866"/>
      <c r="T245" s="484"/>
      <c r="U245" s="79"/>
      <c r="V245" s="877"/>
      <c r="W245" s="79"/>
    </row>
    <row r="246" spans="1:23" x14ac:dyDescent="0.25">
      <c r="R246" s="769"/>
      <c r="S246" s="866"/>
    </row>
    <row r="247" spans="1:23" x14ac:dyDescent="0.25">
      <c r="R247" s="769"/>
      <c r="S247" s="868"/>
    </row>
    <row r="248" spans="1:23" x14ac:dyDescent="0.25">
      <c r="R248" s="769"/>
      <c r="S248" s="866"/>
    </row>
    <row r="249" spans="1:23" x14ac:dyDescent="0.25">
      <c r="R249" s="769"/>
      <c r="S249" s="866"/>
    </row>
    <row r="250" spans="1:23" x14ac:dyDescent="0.25">
      <c r="R250" s="769"/>
      <c r="S250" s="868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9"/>
      <c r="Q251" s="216"/>
      <c r="R251" s="769"/>
      <c r="S251" s="868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71"/>
      <c r="L252" s="79"/>
      <c r="M252" s="216"/>
      <c r="N252" s="79"/>
      <c r="O252" s="216"/>
      <c r="P252" s="79"/>
      <c r="Q252" s="216"/>
      <c r="R252" s="769"/>
      <c r="S252" s="868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769"/>
      <c r="S253" s="868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216"/>
      <c r="N254" s="79"/>
      <c r="O254" s="216"/>
      <c r="P254" s="79"/>
      <c r="Q254" s="216"/>
      <c r="R254" s="769"/>
      <c r="S254" s="866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9"/>
      <c r="Q255" s="216"/>
      <c r="R255" s="223"/>
      <c r="S255" s="629"/>
      <c r="T255" s="484"/>
      <c r="U255" s="79"/>
      <c r="V255" s="877"/>
      <c r="W255" s="79"/>
    </row>
    <row r="256" spans="1:23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9"/>
      <c r="Q256" s="216"/>
      <c r="R256" s="756"/>
      <c r="S256" s="756"/>
      <c r="T256" s="484"/>
      <c r="U256" s="79"/>
      <c r="V256" s="877"/>
      <c r="W256" s="79"/>
    </row>
    <row r="257" spans="1:44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9"/>
      <c r="Q257" s="216"/>
      <c r="R257" s="79"/>
      <c r="S257" s="79"/>
      <c r="T257" s="484"/>
      <c r="U257" s="79"/>
      <c r="V257" s="877"/>
      <c r="W257" s="79"/>
    </row>
    <row r="258" spans="1:44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9"/>
      <c r="Q258" s="216"/>
      <c r="R258" s="79"/>
      <c r="S258" s="79"/>
      <c r="T258" s="484"/>
      <c r="U258" s="79"/>
      <c r="V258" s="877"/>
      <c r="W258" s="79"/>
    </row>
    <row r="259" spans="1:44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216"/>
      <c r="N259" s="79"/>
      <c r="O259" s="216"/>
      <c r="P259" s="79"/>
      <c r="Q259" s="216"/>
      <c r="R259" s="79"/>
      <c r="S259" s="79"/>
      <c r="T259" s="484"/>
      <c r="U259" s="79"/>
      <c r="V259" s="877"/>
      <c r="W259" s="79"/>
    </row>
    <row r="260" spans="1:44" x14ac:dyDescent="0.25">
      <c r="K260" s="216"/>
    </row>
    <row r="261" spans="1:44" x14ac:dyDescent="0.25">
      <c r="K261" s="216"/>
      <c r="R261" s="85"/>
      <c r="S261" s="85"/>
    </row>
    <row r="262" spans="1:44" x14ac:dyDescent="0.25">
      <c r="K262" s="216"/>
    </row>
    <row r="263" spans="1:44" x14ac:dyDescent="0.25">
      <c r="K263" s="216"/>
    </row>
    <row r="265" spans="1:44" x14ac:dyDescent="0.25">
      <c r="K265" s="216"/>
    </row>
    <row r="267" spans="1:44" x14ac:dyDescent="0.25">
      <c r="K267" s="629"/>
    </row>
    <row r="268" spans="1:44" x14ac:dyDescent="0.25">
      <c r="R268" s="85"/>
      <c r="S268" s="85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216"/>
      <c r="L273" s="79"/>
      <c r="M273" s="79"/>
      <c r="N273" s="79"/>
      <c r="O273" s="79"/>
      <c r="P273" s="79"/>
      <c r="Q273" s="79"/>
      <c r="R273" s="79"/>
      <c r="S273" s="79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216"/>
      <c r="L274" s="79"/>
      <c r="M274" s="79"/>
      <c r="N274" s="79"/>
      <c r="O274" s="79"/>
      <c r="P274" s="79"/>
      <c r="Q274" s="79"/>
      <c r="R274" s="79"/>
      <c r="S274" s="79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484" customFormat="1" x14ac:dyDescent="0.25">
      <c r="A275" s="79"/>
      <c r="B275" s="79"/>
      <c r="C275" s="85"/>
      <c r="D275" s="85"/>
      <c r="E275" s="85"/>
      <c r="F275" s="89"/>
      <c r="G275" s="79"/>
      <c r="H275" s="79"/>
      <c r="I275" s="79"/>
      <c r="J275" s="79"/>
      <c r="K275" s="216"/>
      <c r="L275" s="79"/>
      <c r="M275" s="79"/>
      <c r="N275" s="79"/>
      <c r="O275" s="79"/>
      <c r="P275" s="79"/>
      <c r="Q275" s="79"/>
      <c r="R275" s="771"/>
      <c r="S275" s="518"/>
      <c r="U275" s="79"/>
      <c r="V275" s="877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s="484" customFormat="1" x14ac:dyDescent="0.25">
      <c r="A276" s="79"/>
      <c r="B276" s="79"/>
      <c r="C276" s="85"/>
      <c r="D276" s="85"/>
      <c r="E276" s="85"/>
      <c r="F276" s="89"/>
      <c r="G276" s="79"/>
      <c r="H276" s="79"/>
      <c r="I276" s="79"/>
      <c r="J276" s="79"/>
      <c r="K276" s="216"/>
      <c r="L276" s="79"/>
      <c r="M276" s="79"/>
      <c r="N276" s="79"/>
      <c r="O276" s="79"/>
      <c r="P276" s="79"/>
      <c r="Q276" s="79"/>
      <c r="R276" s="79"/>
      <c r="S276" s="79"/>
      <c r="U276" s="79"/>
      <c r="V276" s="877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</row>
    <row r="277" spans="1:44" x14ac:dyDescent="0.25">
      <c r="K277" s="216"/>
    </row>
    <row r="278" spans="1:44" x14ac:dyDescent="0.25">
      <c r="K278" s="216"/>
    </row>
    <row r="279" spans="1:44" x14ac:dyDescent="0.25">
      <c r="K279" s="216"/>
    </row>
    <row r="280" spans="1:44" x14ac:dyDescent="0.25">
      <c r="K280" s="216"/>
    </row>
    <row r="281" spans="1:44" x14ac:dyDescent="0.25">
      <c r="K281" s="216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5" spans="1:44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216"/>
      <c r="U285" s="79"/>
      <c r="V285" s="877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216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  <row r="288" spans="1:44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216"/>
      <c r="U288" s="79"/>
      <c r="V288" s="877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</row>
    <row r="290" spans="1:44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629"/>
      <c r="U290" s="79"/>
      <c r="V290" s="877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  <row r="301" spans="1:44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216"/>
      <c r="U301" s="79"/>
      <c r="V301" s="877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</row>
    <row r="302" spans="1:44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216"/>
      <c r="U302" s="79"/>
      <c r="V302" s="877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</row>
    <row r="303" spans="1:44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216"/>
      <c r="U303" s="79"/>
      <c r="V303" s="877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</row>
    <row r="304" spans="1:44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216"/>
      <c r="U304" s="79"/>
      <c r="V304" s="877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</row>
  </sheetData>
  <autoFilter ref="A2:I169" xr:uid="{00000000-0009-0000-0000-00008D000000}"/>
  <mergeCells count="18">
    <mergeCell ref="R2:S3"/>
    <mergeCell ref="A148:E148"/>
    <mergeCell ref="A149:E149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71:D171"/>
    <mergeCell ref="B172:D172"/>
    <mergeCell ref="L2:M3"/>
    <mergeCell ref="N2:O3"/>
    <mergeCell ref="P2:Q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AD04-03D9-4A00-ACD6-D280EA90B38C}">
  <sheetPr codeName="Planilha22"/>
  <dimension ref="A1:AR302"/>
  <sheetViews>
    <sheetView zoomScale="85" zoomScaleNormal="85" workbookViewId="0">
      <pane ySplit="5" topLeftCell="A133" activePane="bottomLeft" state="frozen"/>
      <selection pane="bottomLeft" activeCell="B22" sqref="B22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9" width="13.42578125" style="79" customWidth="1"/>
    <col min="20" max="20" width="14.85546875" style="484" customWidth="1"/>
    <col min="21" max="21" width="11.7109375" style="79" bestFit="1" customWidth="1"/>
    <col min="22" max="22" width="12" style="877" customWidth="1"/>
    <col min="23" max="23" width="19.140625" style="79" bestFit="1" customWidth="1"/>
    <col min="24" max="16384" width="9.140625" style="79"/>
  </cols>
  <sheetData>
    <row r="1" spans="1:44" ht="27" customHeight="1" thickBot="1" x14ac:dyDescent="0.3">
      <c r="A1" s="3053" t="s">
        <v>0</v>
      </c>
      <c r="B1" s="3054"/>
      <c r="C1" s="3055"/>
      <c r="D1" s="3055"/>
      <c r="E1" s="3056"/>
      <c r="F1" s="3057" t="s">
        <v>6741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8"/>
      <c r="R1" s="3058"/>
      <c r="S1" s="3059"/>
    </row>
    <row r="2" spans="1:44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3173</v>
      </c>
      <c r="M2" s="3086"/>
      <c r="N2" s="3085" t="s">
        <v>6330</v>
      </c>
      <c r="O2" s="3086"/>
      <c r="P2" s="3085" t="s">
        <v>6263</v>
      </c>
      <c r="Q2" s="3086"/>
      <c r="R2" s="3085" t="s">
        <v>3306</v>
      </c>
      <c r="S2" s="3086"/>
    </row>
    <row r="3" spans="1:44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R3" s="3087"/>
      <c r="S3" s="3088"/>
      <c r="W3" s="948"/>
    </row>
    <row r="4" spans="1:44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R4" s="147" t="s">
        <v>8</v>
      </c>
      <c r="S4" s="148" t="s">
        <v>9</v>
      </c>
      <c r="W4" s="948"/>
    </row>
    <row r="5" spans="1:44" x14ac:dyDescent="0.25">
      <c r="A5" s="281">
        <v>45536</v>
      </c>
      <c r="B5" s="369" t="s">
        <v>10</v>
      </c>
      <c r="C5" s="370"/>
      <c r="D5" s="370"/>
      <c r="E5" s="777"/>
      <c r="F5" s="179"/>
      <c r="G5" s="933">
        <f>'Agosto-24'!G149</f>
        <v>393.52825000004668</v>
      </c>
      <c r="H5" s="163"/>
      <c r="I5" s="1479">
        <f>'Agosto-24'!I149</f>
        <v>149.99599999999896</v>
      </c>
      <c r="J5" s="179"/>
      <c r="K5" s="933">
        <f>'Agosto-24'!K149</f>
        <v>400.000000000005</v>
      </c>
      <c r="L5" s="179"/>
      <c r="M5" s="933">
        <f>'Agosto-24'!M149</f>
        <v>26844.530000000002</v>
      </c>
      <c r="N5" s="179"/>
      <c r="O5" s="933">
        <f>'Agosto-24'!O149</f>
        <v>0</v>
      </c>
      <c r="P5" s="179"/>
      <c r="Q5" s="1479">
        <f>'Agosto-24'!Q149</f>
        <v>2500.0000000000018</v>
      </c>
      <c r="R5" s="179"/>
      <c r="S5" s="933">
        <f>'Agosto-24'!S149</f>
        <v>32386.595984720003</v>
      </c>
    </row>
    <row r="6" spans="1:44" s="224" customFormat="1" x14ac:dyDescent="0.25">
      <c r="A6" s="247">
        <v>45536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002"/>
      <c r="P6" s="538"/>
      <c r="Q6" s="1537"/>
      <c r="R6" s="538"/>
      <c r="S6" s="1002"/>
      <c r="T6" s="1037"/>
      <c r="U6" s="89"/>
      <c r="V6" s="878"/>
    </row>
    <row r="7" spans="1:44" s="224" customFormat="1" x14ac:dyDescent="0.25">
      <c r="A7" s="247">
        <v>45536</v>
      </c>
      <c r="B7" s="882" t="s">
        <v>14</v>
      </c>
      <c r="C7" s="879" t="s">
        <v>12</v>
      </c>
      <c r="D7" s="879" t="s">
        <v>1486</v>
      </c>
      <c r="E7" s="480" t="s">
        <v>13</v>
      </c>
      <c r="F7" s="780">
        <v>8.2799999999999994</v>
      </c>
      <c r="G7" s="982"/>
      <c r="H7" s="1008"/>
      <c r="I7" s="1063"/>
      <c r="J7" s="2013"/>
      <c r="K7" s="1207"/>
      <c r="L7" s="622"/>
      <c r="M7" s="982"/>
      <c r="N7" s="622"/>
      <c r="O7" s="982"/>
      <c r="P7" s="622"/>
      <c r="Q7" s="1063"/>
      <c r="R7" s="622"/>
      <c r="S7" s="982"/>
      <c r="T7" s="861"/>
      <c r="V7" s="878"/>
    </row>
    <row r="8" spans="1:44" s="224" customFormat="1" ht="15" customHeight="1" x14ac:dyDescent="0.25">
      <c r="A8" s="247">
        <v>45536</v>
      </c>
      <c r="B8" s="1275" t="s">
        <v>6818</v>
      </c>
      <c r="C8" s="1276" t="s">
        <v>12</v>
      </c>
      <c r="D8" s="1276"/>
      <c r="E8" s="1286" t="s">
        <v>13</v>
      </c>
      <c r="F8" s="613">
        <v>119.2</v>
      </c>
      <c r="G8" s="967"/>
      <c r="H8" s="1008"/>
      <c r="I8" s="1063"/>
      <c r="J8" s="613"/>
      <c r="K8" s="6"/>
      <c r="L8" s="613"/>
      <c r="M8" s="6"/>
      <c r="N8" s="622"/>
      <c r="O8" s="982"/>
      <c r="P8" s="622"/>
      <c r="Q8" s="1063"/>
      <c r="R8" s="613"/>
      <c r="S8" s="64"/>
      <c r="T8" s="1024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</row>
    <row r="9" spans="1:44" s="224" customFormat="1" ht="15" customHeight="1" x14ac:dyDescent="0.25">
      <c r="A9" s="247">
        <v>45536</v>
      </c>
      <c r="B9" s="1275" t="s">
        <v>6755</v>
      </c>
      <c r="C9" s="1276" t="s">
        <v>12</v>
      </c>
      <c r="D9" s="1276"/>
      <c r="E9" s="1286"/>
      <c r="F9" s="613"/>
      <c r="G9" s="967">
        <v>119.2</v>
      </c>
      <c r="H9" s="1008"/>
      <c r="I9" s="1063"/>
      <c r="J9" s="613"/>
      <c r="K9" s="6"/>
      <c r="L9" s="613"/>
      <c r="M9" s="6"/>
      <c r="N9" s="622"/>
      <c r="O9" s="982"/>
      <c r="P9" s="622"/>
      <c r="Q9" s="1063"/>
      <c r="R9" s="613"/>
      <c r="S9" s="64"/>
      <c r="T9" s="1024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</row>
    <row r="10" spans="1:44" s="224" customFormat="1" ht="15" customHeight="1" x14ac:dyDescent="0.25">
      <c r="A10" s="247">
        <v>45536</v>
      </c>
      <c r="B10" s="882" t="s">
        <v>445</v>
      </c>
      <c r="C10" s="879" t="s">
        <v>12</v>
      </c>
      <c r="D10" s="879" t="s">
        <v>1493</v>
      </c>
      <c r="E10" s="875" t="s">
        <v>13</v>
      </c>
      <c r="F10" s="780">
        <v>20</v>
      </c>
      <c r="G10" s="982"/>
      <c r="H10" s="1008"/>
      <c r="I10" s="1063"/>
      <c r="J10" s="622"/>
      <c r="K10" s="982"/>
      <c r="L10" s="622"/>
      <c r="M10" s="982"/>
      <c r="N10" s="622"/>
      <c r="O10" s="982"/>
      <c r="P10" s="622"/>
      <c r="Q10" s="1063"/>
      <c r="R10" s="622"/>
      <c r="S10" s="982"/>
      <c r="T10" s="861"/>
    </row>
    <row r="11" spans="1:44" s="224" customFormat="1" ht="15" customHeight="1" x14ac:dyDescent="0.25">
      <c r="A11" s="247">
        <v>45536</v>
      </c>
      <c r="B11" s="882" t="s">
        <v>23</v>
      </c>
      <c r="C11" s="879" t="s">
        <v>12</v>
      </c>
      <c r="D11" s="879" t="s">
        <v>1489</v>
      </c>
      <c r="E11" s="875" t="s">
        <v>13</v>
      </c>
      <c r="F11" s="780">
        <v>15</v>
      </c>
      <c r="G11" s="982"/>
      <c r="H11" s="1008"/>
      <c r="I11" s="1063"/>
      <c r="J11" s="622"/>
      <c r="K11" s="982"/>
      <c r="L11" s="622"/>
      <c r="M11" s="982"/>
      <c r="N11" s="622"/>
      <c r="O11" s="982"/>
      <c r="P11" s="622"/>
      <c r="Q11" s="1063"/>
      <c r="R11" s="622"/>
      <c r="S11" s="982"/>
      <c r="T11" s="861"/>
    </row>
    <row r="12" spans="1:44" s="224" customFormat="1" ht="15" customHeight="1" x14ac:dyDescent="0.25">
      <c r="A12" s="247">
        <v>45536</v>
      </c>
      <c r="B12" s="882" t="s">
        <v>6850</v>
      </c>
      <c r="C12" s="879" t="s">
        <v>12</v>
      </c>
      <c r="D12" s="879" t="s">
        <v>1506</v>
      </c>
      <c r="E12" s="875" t="s">
        <v>13</v>
      </c>
      <c r="F12" s="780">
        <v>40</v>
      </c>
      <c r="G12" s="982"/>
      <c r="H12" s="1008"/>
      <c r="I12" s="1063"/>
      <c r="J12" s="622"/>
      <c r="K12" s="982"/>
      <c r="L12" s="622"/>
      <c r="M12" s="982"/>
      <c r="N12" s="622"/>
      <c r="O12" s="982"/>
      <c r="P12" s="622"/>
      <c r="Q12" s="1063"/>
      <c r="R12" s="622"/>
      <c r="S12" s="982"/>
      <c r="T12" s="861"/>
    </row>
    <row r="13" spans="1:44" s="224" customFormat="1" ht="15" customHeight="1" x14ac:dyDescent="0.25">
      <c r="A13" s="247">
        <v>45536</v>
      </c>
      <c r="B13" s="882" t="s">
        <v>82</v>
      </c>
      <c r="C13" s="879" t="s">
        <v>12</v>
      </c>
      <c r="D13" s="879" t="s">
        <v>1493</v>
      </c>
      <c r="E13" s="875" t="s">
        <v>13</v>
      </c>
      <c r="F13" s="780">
        <v>40</v>
      </c>
      <c r="G13" s="982"/>
      <c r="H13" s="1008"/>
      <c r="I13" s="1063"/>
      <c r="J13" s="622"/>
      <c r="K13" s="982"/>
      <c r="L13" s="622"/>
      <c r="M13" s="982"/>
      <c r="N13" s="622"/>
      <c r="O13" s="982"/>
      <c r="P13" s="622"/>
      <c r="Q13" s="1063"/>
      <c r="R13" s="622"/>
      <c r="S13" s="982"/>
      <c r="T13" s="861"/>
    </row>
    <row r="14" spans="1:44" s="224" customFormat="1" ht="15" customHeight="1" x14ac:dyDescent="0.25">
      <c r="A14" s="247">
        <v>45537</v>
      </c>
      <c r="B14" s="882" t="s">
        <v>32</v>
      </c>
      <c r="C14" s="879" t="s">
        <v>12</v>
      </c>
      <c r="D14" s="879" t="s">
        <v>1485</v>
      </c>
      <c r="E14" s="875" t="s">
        <v>13</v>
      </c>
      <c r="F14" s="780">
        <v>22</v>
      </c>
      <c r="G14" s="982"/>
      <c r="H14" s="1008"/>
      <c r="I14" s="1063"/>
      <c r="J14" s="622"/>
      <c r="K14" s="982"/>
      <c r="L14" s="622"/>
      <c r="M14" s="982"/>
      <c r="N14" s="622"/>
      <c r="O14" s="982"/>
      <c r="P14" s="622"/>
      <c r="Q14" s="1063"/>
      <c r="R14" s="622"/>
      <c r="S14" s="982"/>
      <c r="T14" s="861"/>
    </row>
    <row r="15" spans="1:44" s="224" customFormat="1" ht="15" customHeight="1" x14ac:dyDescent="0.25">
      <c r="A15" s="247">
        <v>45538</v>
      </c>
      <c r="B15" s="882" t="s">
        <v>6329</v>
      </c>
      <c r="C15" s="879" t="s">
        <v>12</v>
      </c>
      <c r="D15" s="879"/>
      <c r="E15" s="875" t="s">
        <v>25</v>
      </c>
      <c r="F15" s="780"/>
      <c r="G15" s="982">
        <v>100</v>
      </c>
      <c r="H15" s="622"/>
      <c r="I15" s="982"/>
      <c r="J15" s="622"/>
      <c r="K15" s="982"/>
      <c r="L15" s="622"/>
      <c r="M15" s="982"/>
      <c r="N15" s="622"/>
      <c r="O15" s="982"/>
      <c r="P15" s="880"/>
      <c r="Q15" s="1525"/>
      <c r="R15" s="613"/>
      <c r="S15" s="162"/>
      <c r="T15" s="1956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</row>
    <row r="16" spans="1:44" s="224" customFormat="1" ht="15" customHeight="1" x14ac:dyDescent="0.25">
      <c r="A16" s="247">
        <v>45538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22</v>
      </c>
      <c r="G16" s="982"/>
      <c r="H16" s="1008"/>
      <c r="I16" s="1063"/>
      <c r="J16" s="622"/>
      <c r="K16" s="982"/>
      <c r="L16" s="622"/>
      <c r="M16" s="982"/>
      <c r="N16" s="622"/>
      <c r="O16" s="982"/>
      <c r="P16" s="622"/>
      <c r="Q16" s="1063"/>
      <c r="R16" s="622"/>
      <c r="S16" s="982"/>
      <c r="T16" s="861"/>
    </row>
    <row r="17" spans="1:44" s="224" customFormat="1" ht="15" customHeight="1" x14ac:dyDescent="0.25">
      <c r="A17" s="247">
        <v>45538</v>
      </c>
      <c r="B17" s="882" t="s">
        <v>6851</v>
      </c>
      <c r="C17" s="879" t="s">
        <v>12</v>
      </c>
      <c r="D17" s="879" t="s">
        <v>1522</v>
      </c>
      <c r="E17" s="875" t="s">
        <v>13</v>
      </c>
      <c r="F17" s="780">
        <v>50</v>
      </c>
      <c r="G17" s="982"/>
      <c r="H17" s="1008"/>
      <c r="I17" s="1063"/>
      <c r="J17" s="613"/>
      <c r="K17" s="982"/>
      <c r="L17" s="622"/>
      <c r="M17" s="982"/>
      <c r="N17" s="622"/>
      <c r="O17" s="982"/>
      <c r="P17" s="622"/>
      <c r="Q17" s="1063"/>
      <c r="R17" s="622"/>
      <c r="S17" s="982"/>
      <c r="T17" s="861"/>
    </row>
    <row r="18" spans="1:44" s="224" customFormat="1" ht="15" customHeight="1" x14ac:dyDescent="0.25">
      <c r="A18" s="247">
        <v>45539</v>
      </c>
      <c r="B18" s="882" t="s">
        <v>32</v>
      </c>
      <c r="C18" s="879" t="s">
        <v>12</v>
      </c>
      <c r="D18" s="879" t="s">
        <v>1485</v>
      </c>
      <c r="E18" s="875" t="s">
        <v>13</v>
      </c>
      <c r="F18" s="780">
        <v>22</v>
      </c>
      <c r="G18" s="982"/>
      <c r="H18" s="622"/>
      <c r="I18" s="982"/>
      <c r="J18" s="622"/>
      <c r="K18" s="982"/>
      <c r="L18" s="622"/>
      <c r="M18" s="982"/>
      <c r="N18" s="622"/>
      <c r="O18" s="982"/>
      <c r="P18" s="622"/>
      <c r="Q18" s="1063"/>
      <c r="R18" s="622"/>
      <c r="S18" s="982"/>
      <c r="T18" s="1028"/>
      <c r="U18" s="959"/>
      <c r="V18" s="878"/>
      <c r="W18" s="958"/>
    </row>
    <row r="19" spans="1:44" s="224" customFormat="1" ht="15" customHeight="1" x14ac:dyDescent="0.25">
      <c r="A19" s="247">
        <v>45539</v>
      </c>
      <c r="B19" s="882" t="s">
        <v>81</v>
      </c>
      <c r="C19" s="879" t="s">
        <v>12</v>
      </c>
      <c r="D19" s="879" t="s">
        <v>1493</v>
      </c>
      <c r="E19" s="871" t="s">
        <v>13</v>
      </c>
      <c r="F19" s="780">
        <v>3</v>
      </c>
      <c r="G19" s="982"/>
      <c r="H19" s="622"/>
      <c r="I19" s="982"/>
      <c r="J19" s="622"/>
      <c r="K19" s="982"/>
      <c r="L19" s="622"/>
      <c r="M19" s="982"/>
      <c r="N19" s="622"/>
      <c r="O19" s="982"/>
      <c r="P19" s="880"/>
      <c r="Q19" s="1525"/>
      <c r="R19" s="613"/>
      <c r="S19" s="162"/>
      <c r="T19" s="1956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</row>
    <row r="20" spans="1:44" s="224" customFormat="1" ht="15" customHeight="1" x14ac:dyDescent="0.25">
      <c r="A20" s="247">
        <v>45539</v>
      </c>
      <c r="B20" s="882" t="s">
        <v>6852</v>
      </c>
      <c r="C20" s="879" t="s">
        <v>12</v>
      </c>
      <c r="D20" s="879"/>
      <c r="E20" s="875"/>
      <c r="F20" s="780"/>
      <c r="G20" s="982">
        <v>400</v>
      </c>
      <c r="H20" s="1008"/>
      <c r="I20" s="1063"/>
      <c r="J20" s="613"/>
      <c r="K20" s="982"/>
      <c r="L20" s="622"/>
      <c r="M20" s="982"/>
      <c r="N20" s="622"/>
      <c r="O20" s="982"/>
      <c r="P20" s="622">
        <v>400</v>
      </c>
      <c r="Q20" s="1063"/>
      <c r="R20" s="622"/>
      <c r="S20" s="982"/>
      <c r="T20" s="861"/>
    </row>
    <row r="21" spans="1:44" s="224" customFormat="1" ht="15" customHeight="1" x14ac:dyDescent="0.25">
      <c r="A21" s="247">
        <v>45539</v>
      </c>
      <c r="B21" s="882" t="s">
        <v>6853</v>
      </c>
      <c r="C21" s="879" t="s">
        <v>12</v>
      </c>
      <c r="D21" s="879"/>
      <c r="E21" s="875"/>
      <c r="F21" s="780"/>
      <c r="G21" s="982">
        <v>150</v>
      </c>
      <c r="H21" s="1008">
        <v>150</v>
      </c>
      <c r="I21" s="1063"/>
      <c r="J21" s="613"/>
      <c r="K21" s="982"/>
      <c r="L21" s="622"/>
      <c r="M21" s="982"/>
      <c r="N21" s="622"/>
      <c r="O21" s="982"/>
      <c r="P21" s="622"/>
      <c r="Q21" s="1063"/>
      <c r="R21" s="622"/>
      <c r="S21" s="982"/>
      <c r="T21" s="861"/>
    </row>
    <row r="22" spans="1:44" s="224" customFormat="1" x14ac:dyDescent="0.25">
      <c r="A22" s="247">
        <v>45539</v>
      </c>
      <c r="B22" s="1275" t="s">
        <v>6854</v>
      </c>
      <c r="C22" s="879" t="s">
        <v>12</v>
      </c>
      <c r="D22" s="1276" t="s">
        <v>1491</v>
      </c>
      <c r="E22" s="1286" t="s">
        <v>13</v>
      </c>
      <c r="F22" s="780">
        <v>600</v>
      </c>
      <c r="G22" s="982"/>
      <c r="H22" s="1008"/>
      <c r="I22" s="1063"/>
      <c r="J22" s="622"/>
      <c r="K22" s="982"/>
      <c r="L22" s="622"/>
      <c r="M22" s="982"/>
      <c r="N22" s="622"/>
      <c r="O22" s="982"/>
      <c r="P22" s="622"/>
      <c r="Q22" s="1063"/>
      <c r="R22" s="622"/>
      <c r="S22" s="982"/>
      <c r="T22" s="1028"/>
      <c r="V22" s="878"/>
    </row>
    <row r="23" spans="1:44" s="224" customFormat="1" ht="15" customHeight="1" x14ac:dyDescent="0.25">
      <c r="A23" s="247">
        <v>45540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22</v>
      </c>
      <c r="G23" s="982"/>
      <c r="H23" s="622"/>
      <c r="I23" s="982"/>
      <c r="J23" s="622"/>
      <c r="K23" s="982"/>
      <c r="L23" s="622"/>
      <c r="M23" s="982"/>
      <c r="N23" s="622"/>
      <c r="O23" s="982"/>
      <c r="P23" s="622"/>
      <c r="Q23" s="1063"/>
      <c r="R23" s="622"/>
      <c r="S23" s="982"/>
      <c r="T23" s="1028"/>
      <c r="U23" s="959"/>
      <c r="V23" s="878"/>
      <c r="W23" s="958"/>
    </row>
    <row r="24" spans="1:44" s="224" customFormat="1" ht="15" customHeight="1" x14ac:dyDescent="0.25">
      <c r="A24" s="247">
        <v>45540</v>
      </c>
      <c r="B24" s="882" t="s">
        <v>81</v>
      </c>
      <c r="C24" s="879" t="s">
        <v>12</v>
      </c>
      <c r="D24" s="879" t="s">
        <v>1493</v>
      </c>
      <c r="E24" s="871" t="s">
        <v>13</v>
      </c>
      <c r="F24" s="780">
        <v>3</v>
      </c>
      <c r="G24" s="982"/>
      <c r="H24" s="622"/>
      <c r="I24" s="982"/>
      <c r="J24" s="622"/>
      <c r="K24" s="982"/>
      <c r="L24" s="622"/>
      <c r="M24" s="982"/>
      <c r="N24" s="622"/>
      <c r="O24" s="982"/>
      <c r="P24" s="880"/>
      <c r="Q24" s="1525"/>
      <c r="R24" s="613"/>
      <c r="S24" s="162"/>
      <c r="T24" s="1956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</row>
    <row r="25" spans="1:44" s="224" customFormat="1" ht="15" customHeight="1" x14ac:dyDescent="0.25">
      <c r="A25" s="247">
        <v>45540</v>
      </c>
      <c r="B25" s="1275" t="s">
        <v>6857</v>
      </c>
      <c r="C25" s="1276" t="s">
        <v>12</v>
      </c>
      <c r="D25" s="1276"/>
      <c r="E25" s="1286" t="s">
        <v>13</v>
      </c>
      <c r="F25" s="613">
        <v>118.8</v>
      </c>
      <c r="G25" s="967"/>
      <c r="H25" s="1008"/>
      <c r="I25" s="1063"/>
      <c r="J25" s="613"/>
      <c r="K25" s="6"/>
      <c r="L25" s="613"/>
      <c r="M25" s="6"/>
      <c r="N25" s="622"/>
      <c r="O25" s="982"/>
      <c r="P25" s="622"/>
      <c r="Q25" s="1063"/>
      <c r="R25" s="613"/>
      <c r="S25" s="64"/>
      <c r="T25" s="1024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</row>
    <row r="26" spans="1:44" s="224" customFormat="1" ht="15" customHeight="1" x14ac:dyDescent="0.25">
      <c r="A26" s="247">
        <v>45540</v>
      </c>
      <c r="B26" s="1275" t="s">
        <v>6755</v>
      </c>
      <c r="C26" s="1276" t="s">
        <v>12</v>
      </c>
      <c r="D26" s="1276"/>
      <c r="E26" s="1286"/>
      <c r="F26" s="613"/>
      <c r="G26" s="967">
        <v>118.8</v>
      </c>
      <c r="H26" s="1008"/>
      <c r="I26" s="1063"/>
      <c r="J26" s="613"/>
      <c r="K26" s="6"/>
      <c r="L26" s="613"/>
      <c r="M26" s="6"/>
      <c r="N26" s="622"/>
      <c r="O26" s="982"/>
      <c r="P26" s="622"/>
      <c r="Q26" s="1063"/>
      <c r="R26" s="613"/>
      <c r="S26" s="64"/>
      <c r="T26" s="1024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</row>
    <row r="27" spans="1:44" s="224" customFormat="1" ht="15.75" customHeight="1" x14ac:dyDescent="0.25">
      <c r="A27" s="247">
        <v>45541</v>
      </c>
      <c r="B27" s="873" t="s">
        <v>6821</v>
      </c>
      <c r="C27" s="879" t="s">
        <v>12</v>
      </c>
      <c r="D27" s="874"/>
      <c r="E27" s="887" t="s">
        <v>25</v>
      </c>
      <c r="F27" s="1524"/>
      <c r="G27" s="1002">
        <v>2471.12</v>
      </c>
      <c r="H27" s="538"/>
      <c r="I27" s="982"/>
      <c r="J27" s="2013"/>
      <c r="K27" s="1207"/>
      <c r="L27" s="622"/>
      <c r="M27" s="982"/>
      <c r="N27" s="622"/>
      <c r="O27" s="982"/>
      <c r="P27" s="622"/>
      <c r="Q27" s="1063"/>
      <c r="R27" s="622"/>
      <c r="S27" s="982"/>
      <c r="T27" s="178"/>
    </row>
    <row r="28" spans="1:44" s="224" customFormat="1" ht="15" customHeight="1" x14ac:dyDescent="0.25">
      <c r="A28" s="247">
        <v>45541</v>
      </c>
      <c r="B28" s="364" t="s">
        <v>1396</v>
      </c>
      <c r="C28" s="879" t="s">
        <v>12</v>
      </c>
      <c r="D28" s="350"/>
      <c r="E28" s="919" t="s">
        <v>25</v>
      </c>
      <c r="F28" s="1116"/>
      <c r="G28" s="966">
        <v>150</v>
      </c>
      <c r="H28" s="1031"/>
      <c r="I28" s="1525"/>
      <c r="J28" s="2013"/>
      <c r="K28" s="1207"/>
      <c r="L28" s="1116"/>
      <c r="M28" s="1207"/>
      <c r="N28" s="880"/>
      <c r="O28" s="1033"/>
      <c r="P28" s="622"/>
      <c r="Q28" s="1063"/>
      <c r="R28" s="1116"/>
      <c r="S28" s="1207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</row>
    <row r="29" spans="1:44" s="224" customFormat="1" ht="15" customHeight="1" x14ac:dyDescent="0.25">
      <c r="A29" s="247">
        <v>45541</v>
      </c>
      <c r="B29" s="364" t="s">
        <v>2977</v>
      </c>
      <c r="C29" s="879" t="s">
        <v>12</v>
      </c>
      <c r="D29" s="350" t="s">
        <v>1491</v>
      </c>
      <c r="E29" s="875" t="s">
        <v>13</v>
      </c>
      <c r="F29" s="780">
        <v>400</v>
      </c>
      <c r="G29" s="982"/>
      <c r="H29" s="1008"/>
      <c r="I29" s="1063"/>
      <c r="J29" s="2013"/>
      <c r="K29" s="1207"/>
      <c r="L29" s="622"/>
      <c r="M29" s="982"/>
      <c r="N29" s="622"/>
      <c r="O29" s="982"/>
      <c r="P29" s="622"/>
      <c r="Q29" s="1063"/>
      <c r="R29" s="622"/>
      <c r="S29" s="982"/>
      <c r="T29" s="1028"/>
      <c r="V29" s="1035"/>
    </row>
    <row r="30" spans="1:44" x14ac:dyDescent="0.25">
      <c r="A30" s="247">
        <v>45541</v>
      </c>
      <c r="B30" s="876" t="s">
        <v>6393</v>
      </c>
      <c r="C30" s="879" t="s">
        <v>12</v>
      </c>
      <c r="D30" s="879" t="s">
        <v>1491</v>
      </c>
      <c r="E30" s="871" t="s">
        <v>13</v>
      </c>
      <c r="F30" s="780">
        <v>80</v>
      </c>
      <c r="G30" s="982"/>
      <c r="H30" s="1009"/>
      <c r="I30" s="1063"/>
      <c r="J30" s="613"/>
      <c r="K30" s="6"/>
      <c r="L30" s="622"/>
      <c r="M30" s="982"/>
      <c r="N30" s="622"/>
      <c r="O30" s="982"/>
      <c r="P30" s="622"/>
      <c r="Q30" s="1063"/>
      <c r="R30" s="622"/>
      <c r="S30" s="982"/>
      <c r="T30" s="1029" t="s">
        <v>361</v>
      </c>
      <c r="U30" s="459" t="s">
        <v>6855</v>
      </c>
    </row>
    <row r="31" spans="1:44" s="224" customFormat="1" ht="15" customHeight="1" x14ac:dyDescent="0.25">
      <c r="A31" s="247">
        <v>45541</v>
      </c>
      <c r="B31" s="862" t="s">
        <v>6416</v>
      </c>
      <c r="C31" s="879" t="s">
        <v>12</v>
      </c>
      <c r="D31" s="879" t="s">
        <v>1504</v>
      </c>
      <c r="E31" s="871" t="s">
        <v>13</v>
      </c>
      <c r="F31" s="780">
        <v>40</v>
      </c>
      <c r="G31" s="982"/>
      <c r="H31" s="1008"/>
      <c r="I31" s="1063"/>
      <c r="J31" s="622"/>
      <c r="K31" s="982"/>
      <c r="L31" s="622"/>
      <c r="M31" s="982"/>
      <c r="N31" s="622"/>
      <c r="O31" s="982"/>
      <c r="P31" s="622"/>
      <c r="Q31" s="1063"/>
      <c r="R31" s="622"/>
      <c r="S31" s="982"/>
      <c r="T31" s="1808">
        <v>100</v>
      </c>
      <c r="U31" s="1028">
        <v>60</v>
      </c>
      <c r="V31" s="1035"/>
    </row>
    <row r="32" spans="1:44" s="224" customFormat="1" ht="15" customHeight="1" x14ac:dyDescent="0.25">
      <c r="A32" s="247">
        <v>45541</v>
      </c>
      <c r="B32" s="882" t="s">
        <v>6822</v>
      </c>
      <c r="C32" s="879" t="s">
        <v>12</v>
      </c>
      <c r="D32" s="879" t="s">
        <v>1499</v>
      </c>
      <c r="E32" s="871" t="s">
        <v>13</v>
      </c>
      <c r="F32" s="780">
        <v>69.430000000000007</v>
      </c>
      <c r="G32" s="982"/>
      <c r="H32" s="1008"/>
      <c r="I32" s="1063"/>
      <c r="J32" s="880"/>
      <c r="K32" s="1033"/>
      <c r="L32" s="622"/>
      <c r="M32" s="982"/>
      <c r="N32" s="622"/>
      <c r="O32" s="982"/>
      <c r="P32" s="622"/>
      <c r="Q32" s="1063"/>
      <c r="R32" s="622"/>
      <c r="S32" s="982"/>
      <c r="T32" s="1028">
        <v>229.43</v>
      </c>
      <c r="U32" s="999">
        <v>160</v>
      </c>
      <c r="V32" s="878"/>
    </row>
    <row r="33" spans="1:44" x14ac:dyDescent="0.25">
      <c r="A33" s="247">
        <v>45541</v>
      </c>
      <c r="B33" s="876" t="s">
        <v>6762</v>
      </c>
      <c r="C33" s="879" t="s">
        <v>12</v>
      </c>
      <c r="D33" s="879" t="s">
        <v>1496</v>
      </c>
      <c r="E33" s="871" t="s">
        <v>13</v>
      </c>
      <c r="F33" s="780">
        <v>100</v>
      </c>
      <c r="G33" s="982"/>
      <c r="H33" s="1009"/>
      <c r="I33" s="1063"/>
      <c r="J33" s="613"/>
      <c r="K33" s="6"/>
      <c r="L33" s="622"/>
      <c r="M33" s="982"/>
      <c r="N33" s="622"/>
      <c r="O33" s="982"/>
      <c r="P33" s="622"/>
      <c r="Q33" s="1063"/>
      <c r="R33" s="622"/>
      <c r="S33" s="982"/>
      <c r="T33" s="1029"/>
    </row>
    <row r="34" spans="1:44" s="224" customFormat="1" ht="15" customHeight="1" x14ac:dyDescent="0.25">
      <c r="A34" s="247">
        <v>45541</v>
      </c>
      <c r="B34" s="1289" t="s">
        <v>3138</v>
      </c>
      <c r="C34" s="879" t="s">
        <v>12</v>
      </c>
      <c r="D34" s="1276" t="s">
        <v>1506</v>
      </c>
      <c r="E34" s="875" t="s">
        <v>13</v>
      </c>
      <c r="F34" s="1873">
        <v>50</v>
      </c>
      <c r="G34" s="967"/>
      <c r="H34" s="1008"/>
      <c r="I34" s="1063"/>
      <c r="J34" s="613"/>
      <c r="K34" s="6"/>
      <c r="L34" s="613"/>
      <c r="M34" s="6"/>
      <c r="N34" s="622"/>
      <c r="O34" s="982"/>
      <c r="P34" s="622"/>
      <c r="Q34" s="1063"/>
      <c r="R34" s="613"/>
      <c r="S34" s="64"/>
      <c r="T34" s="1209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</row>
    <row r="35" spans="1:44" s="224" customFormat="1" ht="15" customHeight="1" x14ac:dyDescent="0.25">
      <c r="A35" s="247">
        <v>45541</v>
      </c>
      <c r="B35" s="882" t="s">
        <v>6208</v>
      </c>
      <c r="C35" s="879" t="s">
        <v>12</v>
      </c>
      <c r="D35" s="879"/>
      <c r="E35" s="875" t="s">
        <v>13</v>
      </c>
      <c r="F35" s="780">
        <v>920</v>
      </c>
      <c r="G35" s="982"/>
      <c r="H35" s="1008"/>
      <c r="I35" s="1063"/>
      <c r="J35" s="622"/>
      <c r="K35" s="982">
        <v>920</v>
      </c>
      <c r="L35" s="622"/>
      <c r="M35" s="982"/>
      <c r="N35" s="622"/>
      <c r="O35" s="982"/>
      <c r="P35" s="622"/>
      <c r="Q35" s="1063"/>
      <c r="R35" s="622"/>
      <c r="S35" s="982"/>
      <c r="T35" s="861"/>
    </row>
    <row r="36" spans="1:44" s="224" customFormat="1" ht="15" customHeight="1" x14ac:dyDescent="0.25">
      <c r="A36" s="247">
        <v>45541</v>
      </c>
      <c r="B36" s="882" t="s">
        <v>6214</v>
      </c>
      <c r="C36" s="879" t="s">
        <v>12</v>
      </c>
      <c r="D36" s="879"/>
      <c r="E36" s="875" t="s">
        <v>13</v>
      </c>
      <c r="F36" s="780"/>
      <c r="G36" s="982"/>
      <c r="H36" s="95"/>
      <c r="I36" s="1064"/>
      <c r="J36" s="622"/>
      <c r="K36" s="982">
        <v>700</v>
      </c>
      <c r="L36" s="622"/>
      <c r="M36" s="982"/>
      <c r="N36" s="622"/>
      <c r="O36" s="982"/>
      <c r="P36" s="622"/>
      <c r="Q36" s="1063"/>
      <c r="R36" s="622"/>
      <c r="S36" s="982"/>
      <c r="T36" s="861"/>
    </row>
    <row r="37" spans="1:44" s="224" customFormat="1" ht="15" customHeight="1" x14ac:dyDescent="0.25">
      <c r="A37" s="247">
        <v>45541</v>
      </c>
      <c r="B37" s="882" t="s">
        <v>6258</v>
      </c>
      <c r="C37" s="879" t="s">
        <v>12</v>
      </c>
      <c r="D37" s="879"/>
      <c r="E37" s="875" t="s">
        <v>13</v>
      </c>
      <c r="F37" s="780"/>
      <c r="G37" s="982">
        <v>700</v>
      </c>
      <c r="H37" s="1008"/>
      <c r="I37" s="1063"/>
      <c r="J37" s="613">
        <v>700</v>
      </c>
      <c r="K37" s="982"/>
      <c r="L37" s="622"/>
      <c r="M37" s="982"/>
      <c r="N37" s="622"/>
      <c r="O37" s="982"/>
      <c r="P37" s="622"/>
      <c r="Q37" s="1063"/>
      <c r="R37" s="622"/>
      <c r="S37" s="982"/>
      <c r="T37" s="861"/>
    </row>
    <row r="38" spans="1:44" s="224" customFormat="1" ht="15" customHeight="1" x14ac:dyDescent="0.25">
      <c r="A38" s="247">
        <v>45541</v>
      </c>
      <c r="B38" s="882" t="s">
        <v>6820</v>
      </c>
      <c r="C38" s="879" t="s">
        <v>12</v>
      </c>
      <c r="D38" s="879" t="s">
        <v>1524</v>
      </c>
      <c r="E38" s="875" t="s">
        <v>13</v>
      </c>
      <c r="F38" s="780">
        <v>700</v>
      </c>
      <c r="G38" s="982"/>
      <c r="H38" s="622"/>
      <c r="I38" s="982"/>
      <c r="J38" s="622"/>
      <c r="K38" s="982"/>
      <c r="L38" s="622"/>
      <c r="M38" s="982"/>
      <c r="N38" s="622"/>
      <c r="O38" s="982"/>
      <c r="P38" s="622"/>
      <c r="Q38" s="1063"/>
      <c r="R38" s="622"/>
      <c r="S38" s="982"/>
      <c r="T38" s="1028"/>
      <c r="U38" s="959"/>
      <c r="V38" s="878"/>
      <c r="W38" s="958"/>
    </row>
    <row r="39" spans="1:44" s="224" customFormat="1" ht="15" customHeight="1" x14ac:dyDescent="0.25">
      <c r="A39" s="247">
        <v>45541</v>
      </c>
      <c r="B39" s="882" t="s">
        <v>6856</v>
      </c>
      <c r="C39" s="879" t="s">
        <v>12</v>
      </c>
      <c r="D39" s="879" t="s">
        <v>1489</v>
      </c>
      <c r="E39" s="871" t="s">
        <v>13</v>
      </c>
      <c r="F39" s="780">
        <v>60</v>
      </c>
      <c r="G39" s="982"/>
      <c r="H39" s="622"/>
      <c r="I39" s="982"/>
      <c r="J39" s="872"/>
      <c r="K39" s="1207"/>
      <c r="L39" s="622"/>
      <c r="M39" s="982"/>
      <c r="N39" s="622"/>
      <c r="O39" s="982"/>
      <c r="P39" s="622"/>
      <c r="Q39" s="1063"/>
      <c r="R39" s="622"/>
      <c r="S39" s="982"/>
      <c r="T39" s="1028"/>
      <c r="U39" s="959"/>
      <c r="V39" s="878"/>
      <c r="W39" s="958"/>
    </row>
    <row r="40" spans="1:44" s="224" customFormat="1" ht="15" customHeight="1" x14ac:dyDescent="0.25">
      <c r="A40" s="247">
        <v>45541</v>
      </c>
      <c r="B40" s="882" t="s">
        <v>32</v>
      </c>
      <c r="C40" s="879" t="s">
        <v>12</v>
      </c>
      <c r="D40" s="879" t="s">
        <v>1485</v>
      </c>
      <c r="E40" s="875" t="s">
        <v>13</v>
      </c>
      <c r="F40" s="780">
        <v>22</v>
      </c>
      <c r="G40" s="982"/>
      <c r="H40" s="622"/>
      <c r="I40" s="982"/>
      <c r="J40" s="622"/>
      <c r="K40" s="982"/>
      <c r="L40" s="622"/>
      <c r="M40" s="982"/>
      <c r="N40" s="622"/>
      <c r="O40" s="982"/>
      <c r="P40" s="622"/>
      <c r="Q40" s="1063"/>
      <c r="R40" s="622"/>
      <c r="S40" s="982"/>
      <c r="T40" s="1028"/>
      <c r="U40" s="959"/>
      <c r="V40" s="878"/>
      <c r="W40" s="958"/>
    </row>
    <row r="41" spans="1:44" s="224" customFormat="1" ht="15" customHeight="1" x14ac:dyDescent="0.25">
      <c r="A41" s="247">
        <v>45541</v>
      </c>
      <c r="B41" s="882" t="s">
        <v>81</v>
      </c>
      <c r="C41" s="879" t="s">
        <v>12</v>
      </c>
      <c r="D41" s="879" t="s">
        <v>1493</v>
      </c>
      <c r="E41" s="871" t="s">
        <v>13</v>
      </c>
      <c r="F41" s="780">
        <v>5.5</v>
      </c>
      <c r="G41" s="982"/>
      <c r="H41" s="622"/>
      <c r="I41" s="982"/>
      <c r="J41" s="622"/>
      <c r="K41" s="982"/>
      <c r="L41" s="622"/>
      <c r="M41" s="982"/>
      <c r="N41" s="622"/>
      <c r="O41" s="982"/>
      <c r="P41" s="880"/>
      <c r="Q41" s="1525"/>
      <c r="R41" s="613"/>
      <c r="S41" s="162"/>
      <c r="T41" s="1956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</row>
    <row r="42" spans="1:44" s="224" customFormat="1" ht="15" customHeight="1" x14ac:dyDescent="0.25">
      <c r="A42" s="247">
        <v>45541</v>
      </c>
      <c r="B42" s="882" t="s">
        <v>6859</v>
      </c>
      <c r="C42" s="879" t="s">
        <v>12</v>
      </c>
      <c r="D42" s="879" t="s">
        <v>1493</v>
      </c>
      <c r="E42" s="871" t="s">
        <v>13</v>
      </c>
      <c r="F42" s="780">
        <v>10</v>
      </c>
      <c r="G42" s="982"/>
      <c r="H42" s="622"/>
      <c r="I42" s="982"/>
      <c r="J42" s="872"/>
      <c r="K42" s="1207"/>
      <c r="L42" s="622"/>
      <c r="M42" s="982"/>
      <c r="N42" s="622"/>
      <c r="O42" s="982"/>
      <c r="P42" s="622"/>
      <c r="Q42" s="1063"/>
      <c r="R42" s="622"/>
      <c r="S42" s="982"/>
      <c r="T42" s="1028"/>
      <c r="U42" s="959"/>
      <c r="V42" s="878"/>
      <c r="W42" s="958"/>
    </row>
    <row r="43" spans="1:44" s="224" customFormat="1" ht="15" customHeight="1" x14ac:dyDescent="0.25">
      <c r="A43" s="247">
        <v>45541</v>
      </c>
      <c r="B43" s="882" t="s">
        <v>82</v>
      </c>
      <c r="C43" s="879" t="s">
        <v>12</v>
      </c>
      <c r="D43" s="879" t="s">
        <v>1493</v>
      </c>
      <c r="E43" s="871" t="s">
        <v>13</v>
      </c>
      <c r="F43" s="780">
        <v>21.5</v>
      </c>
      <c r="G43" s="982"/>
      <c r="H43" s="622"/>
      <c r="I43" s="982"/>
      <c r="J43" s="872"/>
      <c r="K43" s="1207"/>
      <c r="L43" s="622"/>
      <c r="M43" s="982"/>
      <c r="N43" s="622"/>
      <c r="O43" s="982"/>
      <c r="P43" s="622"/>
      <c r="Q43" s="1063"/>
      <c r="R43" s="622"/>
      <c r="S43" s="982"/>
      <c r="T43" s="1028"/>
      <c r="U43" s="959"/>
      <c r="V43" s="878"/>
      <c r="W43" s="958"/>
    </row>
    <row r="44" spans="1:44" s="224" customFormat="1" ht="15" customHeight="1" x14ac:dyDescent="0.25">
      <c r="A44" s="247">
        <v>45542</v>
      </c>
      <c r="B44" s="882" t="s">
        <v>6860</v>
      </c>
      <c r="C44" s="879" t="s">
        <v>12</v>
      </c>
      <c r="D44" s="879" t="s">
        <v>1525</v>
      </c>
      <c r="E44" s="875" t="s">
        <v>13</v>
      </c>
      <c r="F44" s="780">
        <v>47.98</v>
      </c>
      <c r="G44" s="982"/>
      <c r="H44" s="1008"/>
      <c r="I44" s="1063"/>
      <c r="J44" s="622"/>
      <c r="K44" s="982"/>
      <c r="L44" s="622"/>
      <c r="M44" s="982"/>
      <c r="N44" s="622"/>
      <c r="O44" s="982"/>
      <c r="P44" s="622"/>
      <c r="Q44" s="1063"/>
      <c r="R44" s="622"/>
      <c r="S44" s="982"/>
      <c r="T44" s="861"/>
    </row>
    <row r="45" spans="1:44" s="224" customFormat="1" x14ac:dyDescent="0.25">
      <c r="A45" s="247">
        <v>45542</v>
      </c>
      <c r="B45" s="882" t="s">
        <v>2629</v>
      </c>
      <c r="C45" s="879" t="s">
        <v>12</v>
      </c>
      <c r="D45" s="879" t="s">
        <v>1489</v>
      </c>
      <c r="E45" s="480" t="s">
        <v>5470</v>
      </c>
      <c r="F45" s="780">
        <v>149.85</v>
      </c>
      <c r="G45" s="982"/>
      <c r="H45" s="1008"/>
      <c r="I45" s="1063"/>
      <c r="J45" s="622"/>
      <c r="K45" s="982"/>
      <c r="L45" s="622"/>
      <c r="M45" s="982"/>
      <c r="N45" s="622"/>
      <c r="O45" s="982"/>
      <c r="P45" s="622"/>
      <c r="Q45" s="1063"/>
      <c r="R45" s="622"/>
      <c r="S45" s="982"/>
      <c r="T45" s="861"/>
      <c r="V45" s="878"/>
    </row>
    <row r="46" spans="1:44" s="224" customFormat="1" ht="15" customHeight="1" x14ac:dyDescent="0.25">
      <c r="A46" s="247">
        <v>45542</v>
      </c>
      <c r="B46" s="882" t="s">
        <v>6861</v>
      </c>
      <c r="C46" s="879" t="s">
        <v>12</v>
      </c>
      <c r="D46" s="879" t="s">
        <v>1493</v>
      </c>
      <c r="E46" s="875" t="s">
        <v>13</v>
      </c>
      <c r="F46" s="780">
        <v>39</v>
      </c>
      <c r="G46" s="982"/>
      <c r="H46" s="1008"/>
      <c r="I46" s="1063"/>
      <c r="J46" s="622"/>
      <c r="K46" s="982"/>
      <c r="L46" s="622"/>
      <c r="M46" s="982"/>
      <c r="N46" s="622"/>
      <c r="O46" s="982"/>
      <c r="P46" s="622"/>
      <c r="Q46" s="1063"/>
      <c r="R46" s="622"/>
      <c r="S46" s="982"/>
      <c r="T46" s="861"/>
    </row>
    <row r="47" spans="1:44" s="224" customFormat="1" x14ac:dyDescent="0.25">
      <c r="A47" s="247">
        <v>45543</v>
      </c>
      <c r="B47" s="882" t="s">
        <v>14</v>
      </c>
      <c r="C47" s="879" t="s">
        <v>12</v>
      </c>
      <c r="D47" s="879" t="s">
        <v>1486</v>
      </c>
      <c r="E47" s="480" t="s">
        <v>13</v>
      </c>
      <c r="F47" s="780">
        <v>7.7</v>
      </c>
      <c r="G47" s="982"/>
      <c r="H47" s="1008"/>
      <c r="I47" s="1063"/>
      <c r="J47" s="2013"/>
      <c r="K47" s="1207"/>
      <c r="L47" s="622"/>
      <c r="M47" s="982"/>
      <c r="N47" s="622"/>
      <c r="O47" s="982"/>
      <c r="P47" s="622"/>
      <c r="Q47" s="1063"/>
      <c r="R47" s="622"/>
      <c r="S47" s="982"/>
      <c r="T47" s="861"/>
      <c r="V47" s="878"/>
    </row>
    <row r="48" spans="1:44" s="224" customFormat="1" ht="15" customHeight="1" x14ac:dyDescent="0.25">
      <c r="A48" s="247">
        <v>45543</v>
      </c>
      <c r="B48" s="882" t="s">
        <v>6862</v>
      </c>
      <c r="C48" s="879" t="s">
        <v>12</v>
      </c>
      <c r="D48" s="879" t="s">
        <v>1491</v>
      </c>
      <c r="E48" s="875" t="s">
        <v>13</v>
      </c>
      <c r="F48" s="780">
        <v>8</v>
      </c>
      <c r="G48" s="982"/>
      <c r="H48" s="95"/>
      <c r="I48" s="1064"/>
      <c r="J48" s="622"/>
      <c r="K48" s="982"/>
      <c r="L48" s="622"/>
      <c r="M48" s="982"/>
      <c r="N48" s="622"/>
      <c r="O48" s="982"/>
      <c r="P48" s="622"/>
      <c r="Q48" s="1063"/>
      <c r="R48" s="622"/>
      <c r="S48" s="982"/>
      <c r="T48" s="861"/>
    </row>
    <row r="49" spans="1:44" s="224" customFormat="1" ht="15" customHeight="1" x14ac:dyDescent="0.25">
      <c r="A49" s="247">
        <v>45543</v>
      </c>
      <c r="B49" s="882" t="s">
        <v>6863</v>
      </c>
      <c r="C49" s="879" t="s">
        <v>12</v>
      </c>
      <c r="D49" s="879" t="s">
        <v>1491</v>
      </c>
      <c r="E49" s="875" t="s">
        <v>13</v>
      </c>
      <c r="F49" s="780">
        <v>12</v>
      </c>
      <c r="G49" s="982"/>
      <c r="H49" s="95"/>
      <c r="I49" s="1064"/>
      <c r="J49" s="622"/>
      <c r="K49" s="982"/>
      <c r="L49" s="622"/>
      <c r="M49" s="982"/>
      <c r="N49" s="622"/>
      <c r="O49" s="982"/>
      <c r="P49" s="622"/>
      <c r="Q49" s="1063"/>
      <c r="R49" s="622"/>
      <c r="S49" s="982"/>
      <c r="T49" s="861"/>
    </row>
    <row r="50" spans="1:44" s="224" customFormat="1" ht="15" customHeight="1" x14ac:dyDescent="0.25">
      <c r="A50" s="247">
        <v>45543</v>
      </c>
      <c r="B50" s="882" t="s">
        <v>32</v>
      </c>
      <c r="C50" s="879" t="s">
        <v>12</v>
      </c>
      <c r="D50" s="879" t="s">
        <v>1485</v>
      </c>
      <c r="E50" s="875" t="s">
        <v>13</v>
      </c>
      <c r="F50" s="780">
        <v>25</v>
      </c>
      <c r="G50" s="982"/>
      <c r="H50" s="622"/>
      <c r="I50" s="982"/>
      <c r="J50" s="622"/>
      <c r="K50" s="982"/>
      <c r="L50" s="622"/>
      <c r="M50" s="982"/>
      <c r="N50" s="622"/>
      <c r="O50" s="982"/>
      <c r="P50" s="622"/>
      <c r="Q50" s="1063"/>
      <c r="R50" s="622"/>
      <c r="S50" s="982"/>
      <c r="T50" s="1028"/>
      <c r="U50" s="959"/>
      <c r="V50" s="878"/>
      <c r="W50" s="958"/>
    </row>
    <row r="51" spans="1:44" s="224" customFormat="1" ht="14.25" customHeight="1" x14ac:dyDescent="0.25">
      <c r="A51" s="247">
        <v>45544</v>
      </c>
      <c r="B51" s="882" t="s">
        <v>2789</v>
      </c>
      <c r="C51" s="879" t="s">
        <v>12</v>
      </c>
      <c r="D51" s="879" t="s">
        <v>1485</v>
      </c>
      <c r="E51" s="875" t="s">
        <v>13</v>
      </c>
      <c r="F51" s="1873">
        <v>12.5</v>
      </c>
      <c r="G51" s="982"/>
      <c r="H51" s="1031"/>
      <c r="I51" s="1525"/>
      <c r="J51" s="622"/>
      <c r="K51" s="982"/>
      <c r="L51" s="872"/>
      <c r="M51" s="1207"/>
      <c r="N51" s="880"/>
      <c r="O51" s="1033"/>
      <c r="P51" s="880"/>
      <c r="Q51" s="1525"/>
      <c r="R51" s="613"/>
      <c r="S51" s="162"/>
      <c r="T51" s="1209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</row>
    <row r="52" spans="1:44" s="224" customFormat="1" ht="15" customHeight="1" x14ac:dyDescent="0.25">
      <c r="A52" s="247">
        <v>45544</v>
      </c>
      <c r="B52" s="882" t="s">
        <v>6258</v>
      </c>
      <c r="C52" s="879" t="s">
        <v>12</v>
      </c>
      <c r="D52" s="879"/>
      <c r="E52" s="875" t="s">
        <v>13</v>
      </c>
      <c r="F52" s="780"/>
      <c r="G52" s="982">
        <v>90</v>
      </c>
      <c r="H52" s="1008"/>
      <c r="I52" s="1063"/>
      <c r="J52" s="613">
        <v>90</v>
      </c>
      <c r="K52" s="982"/>
      <c r="L52" s="622"/>
      <c r="M52" s="982"/>
      <c r="N52" s="622"/>
      <c r="O52" s="982"/>
      <c r="P52" s="622"/>
      <c r="Q52" s="1063"/>
      <c r="R52" s="622"/>
      <c r="S52" s="982"/>
      <c r="T52" s="861"/>
    </row>
    <row r="53" spans="1:44" s="224" customFormat="1" ht="15" customHeight="1" x14ac:dyDescent="0.25">
      <c r="A53" s="247">
        <v>45544</v>
      </c>
      <c r="B53" s="882" t="s">
        <v>6867</v>
      </c>
      <c r="C53" s="879" t="s">
        <v>12</v>
      </c>
      <c r="D53" s="879" t="s">
        <v>1524</v>
      </c>
      <c r="E53" s="875" t="s">
        <v>13</v>
      </c>
      <c r="F53" s="780">
        <v>90</v>
      </c>
      <c r="G53" s="982"/>
      <c r="H53" s="622"/>
      <c r="I53" s="982"/>
      <c r="J53" s="622"/>
      <c r="K53" s="982"/>
      <c r="L53" s="622"/>
      <c r="M53" s="982"/>
      <c r="N53" s="622"/>
      <c r="O53" s="982"/>
      <c r="P53" s="622"/>
      <c r="Q53" s="1063"/>
      <c r="R53" s="622"/>
      <c r="S53" s="982"/>
      <c r="T53" s="1028"/>
      <c r="U53" s="959"/>
      <c r="V53" s="878"/>
      <c r="W53" s="958"/>
    </row>
    <row r="54" spans="1:44" s="224" customFormat="1" ht="15" customHeight="1" x14ac:dyDescent="0.25">
      <c r="A54" s="247">
        <v>45544</v>
      </c>
      <c r="B54" s="1275" t="s">
        <v>3958</v>
      </c>
      <c r="C54" s="1276" t="s">
        <v>12</v>
      </c>
      <c r="D54" s="1276" t="s">
        <v>1489</v>
      </c>
      <c r="E54" s="1277" t="s">
        <v>13</v>
      </c>
      <c r="F54" s="780">
        <v>22</v>
      </c>
      <c r="G54" s="982"/>
      <c r="H54" s="1008"/>
      <c r="I54" s="1063"/>
      <c r="J54" s="1116"/>
      <c r="K54" s="1207"/>
      <c r="L54" s="622"/>
      <c r="M54" s="982"/>
      <c r="N54" s="622"/>
      <c r="O54" s="982"/>
      <c r="P54" s="622"/>
      <c r="Q54" s="1063"/>
      <c r="R54" s="622"/>
      <c r="S54" s="982"/>
      <c r="T54" s="861"/>
      <c r="V54" s="1035"/>
    </row>
    <row r="55" spans="1:44" s="224" customFormat="1" ht="15" customHeight="1" x14ac:dyDescent="0.25">
      <c r="A55" s="247">
        <v>45545</v>
      </c>
      <c r="B55" s="882" t="s">
        <v>6329</v>
      </c>
      <c r="C55" s="879" t="s">
        <v>12</v>
      </c>
      <c r="D55" s="879"/>
      <c r="E55" s="875" t="s">
        <v>25</v>
      </c>
      <c r="F55" s="780"/>
      <c r="G55" s="982">
        <v>100</v>
      </c>
      <c r="H55" s="622"/>
      <c r="I55" s="982"/>
      <c r="J55" s="622"/>
      <c r="K55" s="982"/>
      <c r="L55" s="622"/>
      <c r="M55" s="982"/>
      <c r="N55" s="853"/>
      <c r="O55" s="982"/>
      <c r="P55" s="622"/>
      <c r="Q55" s="1063"/>
      <c r="R55" s="622"/>
      <c r="S55" s="982"/>
      <c r="T55" s="927"/>
      <c r="U55" s="927"/>
      <c r="V55" s="878"/>
    </row>
    <row r="56" spans="1:44" s="224" customFormat="1" ht="15" customHeight="1" x14ac:dyDescent="0.25">
      <c r="A56" s="247">
        <v>45545</v>
      </c>
      <c r="B56" s="882" t="s">
        <v>32</v>
      </c>
      <c r="C56" s="879" t="s">
        <v>12</v>
      </c>
      <c r="D56" s="879" t="s">
        <v>1485</v>
      </c>
      <c r="E56" s="875" t="s">
        <v>13</v>
      </c>
      <c r="F56" s="780">
        <v>22</v>
      </c>
      <c r="G56" s="982"/>
      <c r="H56" s="622"/>
      <c r="I56" s="982"/>
      <c r="J56" s="622"/>
      <c r="K56" s="982"/>
      <c r="L56" s="622"/>
      <c r="M56" s="982"/>
      <c r="N56" s="622"/>
      <c r="O56" s="982"/>
      <c r="P56" s="622"/>
      <c r="Q56" s="1063"/>
      <c r="R56" s="622"/>
      <c r="S56" s="982"/>
      <c r="T56" s="1028"/>
      <c r="U56" s="959"/>
      <c r="V56" s="878"/>
      <c r="W56" s="958"/>
    </row>
    <row r="57" spans="1:44" s="224" customFormat="1" ht="15" customHeight="1" x14ac:dyDescent="0.25">
      <c r="A57" s="247">
        <v>45545</v>
      </c>
      <c r="B57" s="882" t="s">
        <v>17</v>
      </c>
      <c r="C57" s="879" t="s">
        <v>12</v>
      </c>
      <c r="D57" s="879" t="s">
        <v>1493</v>
      </c>
      <c r="E57" s="875" t="s">
        <v>13</v>
      </c>
      <c r="F57" s="780">
        <v>10.5</v>
      </c>
      <c r="G57" s="982"/>
      <c r="H57" s="95"/>
      <c r="I57" s="1064"/>
      <c r="J57" s="613"/>
      <c r="K57" s="982"/>
      <c r="L57" s="622"/>
      <c r="M57" s="982"/>
      <c r="N57" s="622"/>
      <c r="O57" s="982"/>
      <c r="P57" s="622"/>
      <c r="Q57" s="1063"/>
      <c r="R57" s="622"/>
      <c r="S57" s="982"/>
      <c r="T57" s="861"/>
    </row>
    <row r="58" spans="1:44" s="224" customFormat="1" ht="15" customHeight="1" x14ac:dyDescent="0.25">
      <c r="A58" s="247">
        <v>45546</v>
      </c>
      <c r="B58" s="882" t="s">
        <v>6258</v>
      </c>
      <c r="C58" s="879" t="s">
        <v>12</v>
      </c>
      <c r="D58" s="879"/>
      <c r="E58" s="875" t="s">
        <v>13</v>
      </c>
      <c r="F58" s="780"/>
      <c r="G58" s="982">
        <v>81.7</v>
      </c>
      <c r="H58" s="1008"/>
      <c r="I58" s="1063"/>
      <c r="J58" s="613">
        <v>81.7</v>
      </c>
      <c r="K58" s="982"/>
      <c r="L58" s="622"/>
      <c r="M58" s="982"/>
      <c r="N58" s="622"/>
      <c r="O58" s="982"/>
      <c r="P58" s="622"/>
      <c r="Q58" s="1063"/>
      <c r="R58" s="622"/>
      <c r="S58" s="982"/>
      <c r="T58" s="861"/>
    </row>
    <row r="59" spans="1:44" s="224" customFormat="1" ht="15" customHeight="1" x14ac:dyDescent="0.25">
      <c r="A59" s="247">
        <v>45546</v>
      </c>
      <c r="B59" s="882" t="s">
        <v>6876</v>
      </c>
      <c r="C59" s="879" t="s">
        <v>12</v>
      </c>
      <c r="D59" s="879" t="s">
        <v>1524</v>
      </c>
      <c r="E59" s="875" t="s">
        <v>13</v>
      </c>
      <c r="F59" s="780">
        <v>81.7</v>
      </c>
      <c r="G59" s="982"/>
      <c r="H59" s="622"/>
      <c r="I59" s="982"/>
      <c r="J59" s="622"/>
      <c r="K59" s="982"/>
      <c r="L59" s="622"/>
      <c r="M59" s="982"/>
      <c r="N59" s="622"/>
      <c r="O59" s="982"/>
      <c r="P59" s="622"/>
      <c r="Q59" s="1063"/>
      <c r="R59" s="622"/>
      <c r="S59" s="982"/>
      <c r="T59" s="1028"/>
      <c r="U59" s="959"/>
      <c r="V59" s="878"/>
      <c r="W59" s="958"/>
    </row>
    <row r="60" spans="1:44" s="224" customFormat="1" ht="15" customHeight="1" x14ac:dyDescent="0.25">
      <c r="A60" s="247">
        <v>45546</v>
      </c>
      <c r="B60" s="882" t="s">
        <v>32</v>
      </c>
      <c r="C60" s="879" t="s">
        <v>12</v>
      </c>
      <c r="D60" s="879" t="s">
        <v>1485</v>
      </c>
      <c r="E60" s="875" t="s">
        <v>13</v>
      </c>
      <c r="F60" s="780">
        <v>22</v>
      </c>
      <c r="G60" s="982"/>
      <c r="H60" s="622"/>
      <c r="I60" s="982"/>
      <c r="J60" s="622"/>
      <c r="K60" s="982"/>
      <c r="L60" s="622"/>
      <c r="M60" s="982"/>
      <c r="N60" s="622"/>
      <c r="O60" s="982"/>
      <c r="P60" s="622"/>
      <c r="Q60" s="1063"/>
      <c r="R60" s="622"/>
      <c r="S60" s="982"/>
      <c r="T60" s="1028"/>
      <c r="U60" s="959"/>
      <c r="V60" s="878"/>
      <c r="W60" s="958"/>
    </row>
    <row r="61" spans="1:44" s="224" customFormat="1" ht="15" customHeight="1" x14ac:dyDescent="0.25">
      <c r="A61" s="247">
        <v>45546</v>
      </c>
      <c r="B61" s="882" t="s">
        <v>81</v>
      </c>
      <c r="C61" s="879" t="s">
        <v>12</v>
      </c>
      <c r="D61" s="879" t="s">
        <v>1493</v>
      </c>
      <c r="E61" s="871" t="s">
        <v>13</v>
      </c>
      <c r="F61" s="780">
        <v>4</v>
      </c>
      <c r="G61" s="982"/>
      <c r="H61" s="622"/>
      <c r="I61" s="982"/>
      <c r="J61" s="622"/>
      <c r="K61" s="982"/>
      <c r="L61" s="622"/>
      <c r="M61" s="982"/>
      <c r="N61" s="622"/>
      <c r="O61" s="982"/>
      <c r="P61" s="880"/>
      <c r="Q61" s="1525"/>
      <c r="R61" s="613"/>
      <c r="S61" s="162"/>
      <c r="T61" s="1956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</row>
    <row r="62" spans="1:44" s="224" customFormat="1" ht="15" customHeight="1" x14ac:dyDescent="0.25">
      <c r="A62" s="247">
        <v>45546</v>
      </c>
      <c r="B62" s="882" t="s">
        <v>134</v>
      </c>
      <c r="C62" s="879" t="s">
        <v>12</v>
      </c>
      <c r="D62" s="879" t="s">
        <v>1493</v>
      </c>
      <c r="E62" s="875" t="s">
        <v>13</v>
      </c>
      <c r="F62" s="780">
        <v>15</v>
      </c>
      <c r="G62" s="982"/>
      <c r="H62" s="95"/>
      <c r="I62" s="1064"/>
      <c r="J62" s="613"/>
      <c r="K62" s="982"/>
      <c r="L62" s="622"/>
      <c r="M62" s="982"/>
      <c r="N62" s="622"/>
      <c r="O62" s="982"/>
      <c r="P62" s="622"/>
      <c r="Q62" s="1063"/>
      <c r="R62" s="622"/>
      <c r="S62" s="982"/>
      <c r="T62" s="861"/>
    </row>
    <row r="63" spans="1:44" s="224" customFormat="1" ht="15" customHeight="1" x14ac:dyDescent="0.25">
      <c r="A63" s="247">
        <v>45547</v>
      </c>
      <c r="B63" s="1275" t="s">
        <v>6857</v>
      </c>
      <c r="C63" s="1276" t="s">
        <v>12</v>
      </c>
      <c r="D63" s="1276"/>
      <c r="E63" s="1286" t="s">
        <v>13</v>
      </c>
      <c r="F63" s="613">
        <v>118.8</v>
      </c>
      <c r="G63" s="967"/>
      <c r="H63" s="1008"/>
      <c r="I63" s="1063"/>
      <c r="J63" s="613"/>
      <c r="K63" s="6"/>
      <c r="L63" s="613"/>
      <c r="M63" s="6"/>
      <c r="N63" s="622"/>
      <c r="O63" s="982"/>
      <c r="P63" s="622"/>
      <c r="Q63" s="1063"/>
      <c r="R63" s="613"/>
      <c r="S63" s="64"/>
      <c r="T63" s="1024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</row>
    <row r="64" spans="1:44" s="224" customFormat="1" ht="15" customHeight="1" x14ac:dyDescent="0.25">
      <c r="A64" s="247">
        <v>45547</v>
      </c>
      <c r="B64" s="1275" t="s">
        <v>6755</v>
      </c>
      <c r="C64" s="1276" t="s">
        <v>12</v>
      </c>
      <c r="D64" s="1276"/>
      <c r="E64" s="1286"/>
      <c r="F64" s="613"/>
      <c r="G64" s="967">
        <v>118.8</v>
      </c>
      <c r="H64" s="1008"/>
      <c r="I64" s="1063"/>
      <c r="J64" s="613"/>
      <c r="K64" s="6"/>
      <c r="L64" s="613"/>
      <c r="M64" s="6"/>
      <c r="N64" s="622"/>
      <c r="O64" s="982"/>
      <c r="P64" s="622"/>
      <c r="Q64" s="1063"/>
      <c r="R64" s="613"/>
      <c r="S64" s="64"/>
      <c r="T64" s="102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</row>
    <row r="65" spans="1:44" s="224" customFormat="1" ht="14.25" customHeight="1" x14ac:dyDescent="0.25">
      <c r="A65" s="247">
        <v>45547</v>
      </c>
      <c r="B65" s="882" t="s">
        <v>2789</v>
      </c>
      <c r="C65" s="879" t="s">
        <v>12</v>
      </c>
      <c r="D65" s="879" t="s">
        <v>1485</v>
      </c>
      <c r="E65" s="875" t="s">
        <v>13</v>
      </c>
      <c r="F65" s="1873">
        <v>13</v>
      </c>
      <c r="G65" s="982"/>
      <c r="H65" s="1031"/>
      <c r="I65" s="1525"/>
      <c r="J65" s="622"/>
      <c r="K65" s="982"/>
      <c r="L65" s="872"/>
      <c r="M65" s="1207"/>
      <c r="N65" s="880"/>
      <c r="O65" s="1033"/>
      <c r="P65" s="880"/>
      <c r="Q65" s="1525"/>
      <c r="R65" s="613"/>
      <c r="S65" s="162"/>
      <c r="T65" s="1209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</row>
    <row r="66" spans="1:44" s="224" customFormat="1" ht="15" customHeight="1" x14ac:dyDescent="0.25">
      <c r="A66" s="247">
        <v>45547</v>
      </c>
      <c r="B66" s="882" t="s">
        <v>6258</v>
      </c>
      <c r="C66" s="879" t="s">
        <v>12</v>
      </c>
      <c r="D66" s="879"/>
      <c r="E66" s="875" t="s">
        <v>13</v>
      </c>
      <c r="F66" s="780"/>
      <c r="G66" s="982">
        <v>400</v>
      </c>
      <c r="H66" s="1008"/>
      <c r="I66" s="1063"/>
      <c r="J66" s="613">
        <v>400</v>
      </c>
      <c r="K66" s="982"/>
      <c r="L66" s="622"/>
      <c r="M66" s="982"/>
      <c r="N66" s="622"/>
      <c r="O66" s="982"/>
      <c r="P66" s="622"/>
      <c r="Q66" s="1063"/>
      <c r="R66" s="622"/>
      <c r="S66" s="982"/>
      <c r="T66" s="861"/>
    </row>
    <row r="67" spans="1:44" s="224" customFormat="1" ht="15" customHeight="1" x14ac:dyDescent="0.25">
      <c r="A67" s="247">
        <v>45547</v>
      </c>
      <c r="B67" s="882" t="s">
        <v>6877</v>
      </c>
      <c r="C67" s="879" t="s">
        <v>12</v>
      </c>
      <c r="D67" s="879" t="s">
        <v>1524</v>
      </c>
      <c r="E67" s="875" t="s">
        <v>13</v>
      </c>
      <c r="F67" s="780">
        <v>400</v>
      </c>
      <c r="G67" s="982"/>
      <c r="H67" s="622"/>
      <c r="I67" s="982"/>
      <c r="J67" s="622"/>
      <c r="K67" s="982"/>
      <c r="L67" s="622"/>
      <c r="M67" s="982"/>
      <c r="N67" s="622"/>
      <c r="O67" s="982"/>
      <c r="P67" s="622"/>
      <c r="Q67" s="1063"/>
      <c r="R67" s="622"/>
      <c r="S67" s="982"/>
      <c r="T67" s="1028"/>
      <c r="U67" s="959"/>
      <c r="V67" s="878"/>
      <c r="W67" s="958"/>
    </row>
    <row r="68" spans="1:44" s="224" customFormat="1" ht="15" customHeight="1" x14ac:dyDescent="0.25">
      <c r="A68" s="247">
        <v>45548</v>
      </c>
      <c r="B68" s="882" t="s">
        <v>2629</v>
      </c>
      <c r="C68" s="879" t="s">
        <v>12</v>
      </c>
      <c r="D68" s="879" t="s">
        <v>1489</v>
      </c>
      <c r="E68" s="875" t="s">
        <v>13</v>
      </c>
      <c r="F68" s="780">
        <v>38.020000000000003</v>
      </c>
      <c r="G68" s="982"/>
      <c r="H68" s="1008"/>
      <c r="I68" s="1063"/>
      <c r="J68" s="613"/>
      <c r="K68" s="982"/>
      <c r="L68" s="622"/>
      <c r="M68" s="982"/>
      <c r="N68" s="622"/>
      <c r="O68" s="982"/>
      <c r="P68" s="622"/>
      <c r="Q68" s="1063"/>
      <c r="R68" s="622"/>
      <c r="S68" s="982"/>
      <c r="T68" s="861"/>
    </row>
    <row r="69" spans="1:44" s="224" customFormat="1" x14ac:dyDescent="0.25">
      <c r="A69" s="247">
        <v>45549</v>
      </c>
      <c r="B69" s="882" t="s">
        <v>14</v>
      </c>
      <c r="C69" s="879" t="s">
        <v>12</v>
      </c>
      <c r="D69" s="879" t="s">
        <v>1486</v>
      </c>
      <c r="E69" s="480" t="s">
        <v>13</v>
      </c>
      <c r="F69" s="780">
        <v>6.26</v>
      </c>
      <c r="G69" s="982"/>
      <c r="H69" s="1008"/>
      <c r="I69" s="1063"/>
      <c r="J69" s="622"/>
      <c r="K69" s="982"/>
      <c r="L69" s="622"/>
      <c r="M69" s="982"/>
      <c r="N69" s="622"/>
      <c r="O69" s="982"/>
      <c r="P69" s="622"/>
      <c r="Q69" s="1063"/>
      <c r="R69" s="622"/>
      <c r="S69" s="982"/>
      <c r="T69" s="1028"/>
      <c r="V69" s="878"/>
    </row>
    <row r="70" spans="1:44" s="224" customFormat="1" ht="15" customHeight="1" x14ac:dyDescent="0.25">
      <c r="A70" s="247">
        <v>45549</v>
      </c>
      <c r="B70" s="882" t="s">
        <v>6878</v>
      </c>
      <c r="C70" s="879" t="s">
        <v>12</v>
      </c>
      <c r="D70" s="879" t="s">
        <v>1489</v>
      </c>
      <c r="E70" s="480" t="s">
        <v>13</v>
      </c>
      <c r="F70" s="613">
        <v>23.19</v>
      </c>
      <c r="G70" s="967"/>
      <c r="H70" s="1008"/>
      <c r="I70" s="1063"/>
      <c r="J70" s="622"/>
      <c r="K70" s="982"/>
      <c r="L70" s="2013"/>
      <c r="M70" s="1207"/>
      <c r="N70" s="880"/>
      <c r="O70" s="1033"/>
      <c r="P70" s="880"/>
      <c r="Q70" s="1525"/>
      <c r="R70" s="613"/>
      <c r="S70" s="162"/>
      <c r="T70" s="1956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</row>
    <row r="71" spans="1:44" s="224" customFormat="1" ht="15" customHeight="1" x14ac:dyDescent="0.25">
      <c r="A71" s="247">
        <v>45549</v>
      </c>
      <c r="B71" s="882" t="s">
        <v>1906</v>
      </c>
      <c r="C71" s="879" t="s">
        <v>12</v>
      </c>
      <c r="D71" s="879" t="s">
        <v>1493</v>
      </c>
      <c r="E71" s="480" t="s">
        <v>13</v>
      </c>
      <c r="F71" s="613">
        <v>35</v>
      </c>
      <c r="G71" s="967"/>
      <c r="H71" s="1008"/>
      <c r="I71" s="1063"/>
      <c r="J71" s="622"/>
      <c r="K71" s="982"/>
      <c r="L71" s="2013"/>
      <c r="M71" s="1207"/>
      <c r="N71" s="880"/>
      <c r="O71" s="1033"/>
      <c r="P71" s="880"/>
      <c r="Q71" s="1525"/>
      <c r="R71" s="613"/>
      <c r="S71" s="162"/>
      <c r="T71" s="1956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</row>
    <row r="72" spans="1:44" s="224" customFormat="1" x14ac:dyDescent="0.25">
      <c r="A72" s="247">
        <v>45550</v>
      </c>
      <c r="B72" s="882" t="s">
        <v>14</v>
      </c>
      <c r="C72" s="879" t="s">
        <v>12</v>
      </c>
      <c r="D72" s="879" t="s">
        <v>1486</v>
      </c>
      <c r="E72" s="480" t="s">
        <v>13</v>
      </c>
      <c r="F72" s="780">
        <v>8.0399999999999991</v>
      </c>
      <c r="G72" s="982"/>
      <c r="H72" s="1008"/>
      <c r="I72" s="1063"/>
      <c r="J72" s="622"/>
      <c r="K72" s="982"/>
      <c r="L72" s="622"/>
      <c r="M72" s="982"/>
      <c r="N72" s="622"/>
      <c r="O72" s="982"/>
      <c r="P72" s="622"/>
      <c r="Q72" s="1063"/>
      <c r="R72" s="622"/>
      <c r="S72" s="982"/>
      <c r="T72" s="1028"/>
      <c r="V72" s="878"/>
    </row>
    <row r="73" spans="1:44" s="224" customFormat="1" ht="15" customHeight="1" x14ac:dyDescent="0.25">
      <c r="A73" s="247">
        <v>45550</v>
      </c>
      <c r="B73" s="882" t="s">
        <v>2141</v>
      </c>
      <c r="C73" s="879" t="s">
        <v>12</v>
      </c>
      <c r="D73" s="879" t="s">
        <v>1485</v>
      </c>
      <c r="E73" s="875" t="s">
        <v>13</v>
      </c>
      <c r="F73" s="780">
        <v>34</v>
      </c>
      <c r="G73" s="982"/>
      <c r="H73" s="622"/>
      <c r="I73" s="982"/>
      <c r="J73" s="622"/>
      <c r="K73" s="982"/>
      <c r="L73" s="622"/>
      <c r="M73" s="982"/>
      <c r="N73" s="622"/>
      <c r="O73" s="982"/>
      <c r="P73" s="622"/>
      <c r="Q73" s="1063"/>
      <c r="R73" s="622"/>
      <c r="S73" s="982"/>
      <c r="T73" s="1028"/>
      <c r="U73" s="959"/>
      <c r="V73" s="878"/>
      <c r="W73" s="958"/>
    </row>
    <row r="74" spans="1:44" s="224" customFormat="1" ht="14.25" customHeight="1" x14ac:dyDescent="0.25">
      <c r="A74" s="247">
        <v>45551</v>
      </c>
      <c r="B74" s="882" t="s">
        <v>2789</v>
      </c>
      <c r="C74" s="879" t="s">
        <v>12</v>
      </c>
      <c r="D74" s="879" t="s">
        <v>1485</v>
      </c>
      <c r="E74" s="875" t="s">
        <v>13</v>
      </c>
      <c r="F74" s="1873">
        <v>12.5</v>
      </c>
      <c r="G74" s="982"/>
      <c r="H74" s="1031"/>
      <c r="I74" s="1525"/>
      <c r="J74" s="622"/>
      <c r="K74" s="982"/>
      <c r="L74" s="872"/>
      <c r="M74" s="1207"/>
      <c r="N74" s="880"/>
      <c r="O74" s="1033"/>
      <c r="P74" s="880"/>
      <c r="Q74" s="1525"/>
      <c r="R74" s="613"/>
      <c r="S74" s="162"/>
      <c r="T74" s="1209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</row>
    <row r="75" spans="1:44" s="224" customFormat="1" ht="14.25" customHeight="1" x14ac:dyDescent="0.25">
      <c r="A75" s="247">
        <v>45551</v>
      </c>
      <c r="B75" s="882" t="s">
        <v>6886</v>
      </c>
      <c r="C75" s="879" t="s">
        <v>12</v>
      </c>
      <c r="D75" s="879"/>
      <c r="E75" s="875" t="s">
        <v>13</v>
      </c>
      <c r="F75" s="1873"/>
      <c r="G75" s="982"/>
      <c r="H75" s="1031"/>
      <c r="I75" s="1525"/>
      <c r="J75" s="622"/>
      <c r="K75" s="982">
        <v>38.799999999999997</v>
      </c>
      <c r="L75" s="872"/>
      <c r="M75" s="1207"/>
      <c r="N75" s="880"/>
      <c r="O75" s="1033"/>
      <c r="P75" s="880"/>
      <c r="Q75" s="1525"/>
      <c r="R75" s="613"/>
      <c r="S75" s="162"/>
      <c r="T75" s="1209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</row>
    <row r="76" spans="1:44" s="224" customFormat="1" ht="15" customHeight="1" x14ac:dyDescent="0.25">
      <c r="A76" s="247">
        <v>45552</v>
      </c>
      <c r="B76" s="882" t="s">
        <v>6329</v>
      </c>
      <c r="C76" s="879" t="s">
        <v>12</v>
      </c>
      <c r="D76" s="879"/>
      <c r="E76" s="875" t="s">
        <v>25</v>
      </c>
      <c r="F76" s="780"/>
      <c r="G76" s="982">
        <v>100</v>
      </c>
      <c r="H76" s="622"/>
      <c r="I76" s="982"/>
      <c r="J76" s="622"/>
      <c r="K76" s="982"/>
      <c r="L76" s="622"/>
      <c r="M76" s="982"/>
      <c r="N76" s="853"/>
      <c r="O76" s="982"/>
      <c r="P76" s="622"/>
      <c r="Q76" s="1063"/>
      <c r="R76" s="622"/>
      <c r="S76" s="982"/>
      <c r="T76" s="927"/>
      <c r="U76" s="927"/>
      <c r="V76" s="878"/>
    </row>
    <row r="77" spans="1:44" s="224" customFormat="1" ht="15" customHeight="1" x14ac:dyDescent="0.25">
      <c r="A77" s="247">
        <v>45552</v>
      </c>
      <c r="B77" s="882" t="s">
        <v>6258</v>
      </c>
      <c r="C77" s="879" t="s">
        <v>12</v>
      </c>
      <c r="D77" s="879"/>
      <c r="E77" s="875" t="s">
        <v>13</v>
      </c>
      <c r="F77" s="780"/>
      <c r="G77" s="982">
        <v>400</v>
      </c>
      <c r="H77" s="1008"/>
      <c r="I77" s="1063"/>
      <c r="J77" s="613">
        <v>400</v>
      </c>
      <c r="K77" s="982"/>
      <c r="L77" s="622"/>
      <c r="M77" s="982"/>
      <c r="N77" s="622"/>
      <c r="O77" s="982"/>
      <c r="P77" s="622"/>
      <c r="Q77" s="1063"/>
      <c r="R77" s="622"/>
      <c r="S77" s="982"/>
      <c r="T77" s="861"/>
    </row>
    <row r="78" spans="1:44" s="224" customFormat="1" ht="15" customHeight="1" x14ac:dyDescent="0.25">
      <c r="A78" s="247">
        <v>45552</v>
      </c>
      <c r="B78" s="882" t="s">
        <v>6890</v>
      </c>
      <c r="C78" s="879" t="s">
        <v>12</v>
      </c>
      <c r="D78" s="879" t="s">
        <v>1524</v>
      </c>
      <c r="E78" s="875" t="s">
        <v>13</v>
      </c>
      <c r="F78" s="780">
        <v>400</v>
      </c>
      <c r="G78" s="982"/>
      <c r="H78" s="622"/>
      <c r="I78" s="982"/>
      <c r="J78" s="622"/>
      <c r="K78" s="982"/>
      <c r="L78" s="622"/>
      <c r="M78" s="982"/>
      <c r="N78" s="622"/>
      <c r="O78" s="982"/>
      <c r="P78" s="622"/>
      <c r="Q78" s="1063"/>
      <c r="R78" s="622"/>
      <c r="S78" s="982"/>
      <c r="T78" s="1028"/>
      <c r="U78" s="959"/>
      <c r="V78" s="878"/>
      <c r="W78" s="958"/>
    </row>
    <row r="79" spans="1:44" s="224" customFormat="1" ht="15" customHeight="1" x14ac:dyDescent="0.25">
      <c r="A79" s="247">
        <v>45552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22</v>
      </c>
      <c r="G79" s="982"/>
      <c r="H79" s="622"/>
      <c r="I79" s="982"/>
      <c r="J79" s="622"/>
      <c r="K79" s="982"/>
      <c r="L79" s="622"/>
      <c r="M79" s="982"/>
      <c r="N79" s="622"/>
      <c r="O79" s="982"/>
      <c r="P79" s="622"/>
      <c r="Q79" s="1063"/>
      <c r="R79" s="622"/>
      <c r="S79" s="982"/>
      <c r="T79" s="1028"/>
      <c r="U79" s="959"/>
      <c r="V79" s="878"/>
      <c r="W79" s="958"/>
    </row>
    <row r="80" spans="1:44" s="224" customFormat="1" ht="15" customHeight="1" x14ac:dyDescent="0.25">
      <c r="A80" s="247">
        <v>45552</v>
      </c>
      <c r="B80" s="882" t="s">
        <v>81</v>
      </c>
      <c r="C80" s="879" t="s">
        <v>12</v>
      </c>
      <c r="D80" s="879" t="s">
        <v>1493</v>
      </c>
      <c r="E80" s="871" t="s">
        <v>13</v>
      </c>
      <c r="F80" s="780">
        <v>8.5</v>
      </c>
      <c r="G80" s="982"/>
      <c r="H80" s="622"/>
      <c r="I80" s="982"/>
      <c r="J80" s="622"/>
      <c r="K80" s="982"/>
      <c r="L80" s="622"/>
      <c r="M80" s="982"/>
      <c r="N80" s="622"/>
      <c r="O80" s="982"/>
      <c r="P80" s="880"/>
      <c r="Q80" s="1525"/>
      <c r="R80" s="613"/>
      <c r="S80" s="162"/>
      <c r="T80" s="1956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</row>
    <row r="81" spans="1:44" s="224" customFormat="1" ht="15" customHeight="1" x14ac:dyDescent="0.25">
      <c r="A81" s="247">
        <v>45552</v>
      </c>
      <c r="B81" s="882" t="s">
        <v>6891</v>
      </c>
      <c r="C81" s="879" t="s">
        <v>12</v>
      </c>
      <c r="D81" s="879" t="s">
        <v>1491</v>
      </c>
      <c r="E81" s="871" t="s">
        <v>13</v>
      </c>
      <c r="F81" s="780">
        <v>60</v>
      </c>
      <c r="G81" s="982"/>
      <c r="H81" s="622"/>
      <c r="I81" s="982"/>
      <c r="J81" s="872"/>
      <c r="K81" s="1207"/>
      <c r="L81" s="622"/>
      <c r="M81" s="982"/>
      <c r="N81" s="622"/>
      <c r="O81" s="982"/>
      <c r="P81" s="622"/>
      <c r="Q81" s="1063"/>
      <c r="R81" s="622"/>
      <c r="S81" s="982"/>
      <c r="T81" s="1028"/>
      <c r="U81" s="959"/>
      <c r="V81" s="878"/>
      <c r="W81" s="958"/>
    </row>
    <row r="82" spans="1:44" s="224" customFormat="1" ht="15" customHeight="1" x14ac:dyDescent="0.25">
      <c r="A82" s="247">
        <v>45553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22</v>
      </c>
      <c r="G82" s="982"/>
      <c r="H82" s="622"/>
      <c r="I82" s="982"/>
      <c r="J82" s="622"/>
      <c r="K82" s="982"/>
      <c r="L82" s="622"/>
      <c r="M82" s="982"/>
      <c r="N82" s="622"/>
      <c r="O82" s="982"/>
      <c r="P82" s="622"/>
      <c r="Q82" s="1063"/>
      <c r="R82" s="622"/>
      <c r="S82" s="982"/>
      <c r="T82" s="1028"/>
      <c r="U82" s="959"/>
      <c r="V82" s="878"/>
      <c r="W82" s="958"/>
    </row>
    <row r="83" spans="1:44" s="224" customFormat="1" ht="15" customHeight="1" x14ac:dyDescent="0.25">
      <c r="A83" s="247">
        <v>45553</v>
      </c>
      <c r="B83" s="882" t="s">
        <v>2270</v>
      </c>
      <c r="C83" s="879" t="s">
        <v>12</v>
      </c>
      <c r="D83" s="879" t="s">
        <v>1493</v>
      </c>
      <c r="E83" s="875" t="s">
        <v>13</v>
      </c>
      <c r="F83" s="780">
        <v>25</v>
      </c>
      <c r="G83" s="982"/>
      <c r="H83" s="622"/>
      <c r="I83" s="982"/>
      <c r="J83" s="622"/>
      <c r="K83" s="982"/>
      <c r="L83" s="622"/>
      <c r="M83" s="982"/>
      <c r="N83" s="622"/>
      <c r="O83" s="982"/>
      <c r="P83" s="880"/>
      <c r="Q83" s="1525"/>
      <c r="R83" s="613"/>
      <c r="S83" s="162"/>
      <c r="T83" s="1956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</row>
    <row r="84" spans="1:44" s="224" customFormat="1" ht="15" customHeight="1" x14ac:dyDescent="0.25">
      <c r="A84" s="247">
        <v>45553</v>
      </c>
      <c r="B84" s="1275" t="s">
        <v>6857</v>
      </c>
      <c r="C84" s="1276" t="s">
        <v>12</v>
      </c>
      <c r="D84" s="1276"/>
      <c r="E84" s="1286" t="s">
        <v>13</v>
      </c>
      <c r="F84" s="613">
        <v>118.8</v>
      </c>
      <c r="G84" s="967"/>
      <c r="H84" s="1008"/>
      <c r="I84" s="1063"/>
      <c r="J84" s="613"/>
      <c r="K84" s="6"/>
      <c r="L84" s="613"/>
      <c r="M84" s="6"/>
      <c r="N84" s="622"/>
      <c r="O84" s="982"/>
      <c r="P84" s="622"/>
      <c r="Q84" s="1063"/>
      <c r="R84" s="613"/>
      <c r="S84" s="64"/>
      <c r="T84" s="102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s="224" customFormat="1" ht="15" customHeight="1" x14ac:dyDescent="0.25">
      <c r="A85" s="247">
        <v>45553</v>
      </c>
      <c r="B85" s="1275" t="s">
        <v>6755</v>
      </c>
      <c r="C85" s="1276" t="s">
        <v>12</v>
      </c>
      <c r="D85" s="1276"/>
      <c r="E85" s="1286"/>
      <c r="F85" s="613"/>
      <c r="G85" s="967">
        <v>118.8</v>
      </c>
      <c r="H85" s="1008"/>
      <c r="I85" s="1063"/>
      <c r="J85" s="613"/>
      <c r="K85" s="6"/>
      <c r="L85" s="613"/>
      <c r="M85" s="6"/>
      <c r="N85" s="622"/>
      <c r="O85" s="982"/>
      <c r="P85" s="622"/>
      <c r="Q85" s="1063"/>
      <c r="R85" s="613"/>
      <c r="S85" s="64"/>
      <c r="T85" s="1024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</row>
    <row r="86" spans="1:44" s="224" customFormat="1" ht="15" customHeight="1" x14ac:dyDescent="0.25">
      <c r="A86" s="247">
        <v>45554</v>
      </c>
      <c r="B86" s="882" t="s">
        <v>32</v>
      </c>
      <c r="C86" s="879" t="s">
        <v>12</v>
      </c>
      <c r="D86" s="879" t="s">
        <v>1485</v>
      </c>
      <c r="E86" s="875" t="s">
        <v>13</v>
      </c>
      <c r="F86" s="780">
        <v>22</v>
      </c>
      <c r="G86" s="982"/>
      <c r="H86" s="622"/>
      <c r="I86" s="982"/>
      <c r="J86" s="622"/>
      <c r="K86" s="982"/>
      <c r="L86" s="622"/>
      <c r="M86" s="982"/>
      <c r="N86" s="622"/>
      <c r="O86" s="982"/>
      <c r="P86" s="622"/>
      <c r="Q86" s="1063"/>
      <c r="R86" s="622"/>
      <c r="S86" s="982"/>
      <c r="T86" s="1028"/>
      <c r="U86" s="959"/>
      <c r="V86" s="878"/>
      <c r="W86" s="958"/>
    </row>
    <row r="87" spans="1:44" s="224" customFormat="1" ht="15" customHeight="1" x14ac:dyDescent="0.25">
      <c r="A87" s="247">
        <v>45554</v>
      </c>
      <c r="B87" s="882" t="s">
        <v>81</v>
      </c>
      <c r="C87" s="879" t="s">
        <v>12</v>
      </c>
      <c r="D87" s="879" t="s">
        <v>1493</v>
      </c>
      <c r="E87" s="871" t="s">
        <v>13</v>
      </c>
      <c r="F87" s="780">
        <v>7</v>
      </c>
      <c r="G87" s="982"/>
      <c r="H87" s="622"/>
      <c r="I87" s="982"/>
      <c r="J87" s="622"/>
      <c r="K87" s="982"/>
      <c r="L87" s="622"/>
      <c r="M87" s="982"/>
      <c r="N87" s="622"/>
      <c r="O87" s="982"/>
      <c r="P87" s="880"/>
      <c r="Q87" s="1525"/>
      <c r="R87" s="613"/>
      <c r="S87" s="162"/>
      <c r="T87" s="1956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</row>
    <row r="88" spans="1:44" s="224" customFormat="1" ht="15" customHeight="1" x14ac:dyDescent="0.25">
      <c r="A88" s="247">
        <v>45555</v>
      </c>
      <c r="B88" s="882" t="s">
        <v>6823</v>
      </c>
      <c r="C88" s="350" t="s">
        <v>12</v>
      </c>
      <c r="D88" s="350"/>
      <c r="E88" s="480" t="s">
        <v>25</v>
      </c>
      <c r="F88" s="622"/>
      <c r="G88" s="982">
        <v>2400</v>
      </c>
      <c r="H88" s="1008"/>
      <c r="I88" s="1063"/>
      <c r="J88" s="622"/>
      <c r="K88" s="982"/>
      <c r="L88" s="622"/>
      <c r="M88" s="982"/>
      <c r="N88" s="622"/>
      <c r="O88" s="982"/>
      <c r="P88" s="622"/>
      <c r="Q88" s="1063"/>
      <c r="R88" s="622"/>
      <c r="S88" s="982"/>
      <c r="T88" s="861"/>
    </row>
    <row r="89" spans="1:44" s="224" customFormat="1" ht="15" customHeight="1" x14ac:dyDescent="0.25">
      <c r="A89" s="247">
        <v>45555</v>
      </c>
      <c r="B89" s="364" t="s">
        <v>6824</v>
      </c>
      <c r="C89" s="879" t="s">
        <v>12</v>
      </c>
      <c r="D89" s="879"/>
      <c r="E89" s="983" t="s">
        <v>25</v>
      </c>
      <c r="F89" s="780"/>
      <c r="G89" s="982"/>
      <c r="H89" s="622"/>
      <c r="I89" s="982"/>
      <c r="J89" s="2013"/>
      <c r="K89" s="1207"/>
      <c r="L89" s="622"/>
      <c r="M89" s="982"/>
      <c r="N89" s="622"/>
      <c r="O89" s="982"/>
      <c r="P89" s="622"/>
      <c r="Q89" s="1063"/>
      <c r="R89" s="622"/>
      <c r="S89" s="982">
        <v>480</v>
      </c>
      <c r="T89" s="927"/>
      <c r="U89" s="927"/>
      <c r="V89" s="878"/>
    </row>
    <row r="90" spans="1:44" s="224" customFormat="1" ht="15" customHeight="1" x14ac:dyDescent="0.25">
      <c r="A90" s="247">
        <v>45555</v>
      </c>
      <c r="B90" s="364" t="s">
        <v>3354</v>
      </c>
      <c r="C90" s="350" t="s">
        <v>12</v>
      </c>
      <c r="D90" s="350"/>
      <c r="E90" s="145" t="s">
        <v>25</v>
      </c>
      <c r="F90" s="613"/>
      <c r="G90" s="967"/>
      <c r="H90" s="1008"/>
      <c r="I90" s="1063"/>
      <c r="J90" s="622"/>
      <c r="K90" s="982"/>
      <c r="L90" s="1116"/>
      <c r="M90" s="1207"/>
      <c r="N90" s="880"/>
      <c r="O90" s="1033"/>
      <c r="P90" s="880"/>
      <c r="Q90" s="1525"/>
      <c r="R90" s="613"/>
      <c r="S90" s="162">
        <v>179.65</v>
      </c>
      <c r="T90" s="2018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</row>
    <row r="91" spans="1:44" s="224" customFormat="1" ht="15" customHeight="1" x14ac:dyDescent="0.25">
      <c r="A91" s="247">
        <v>45555</v>
      </c>
      <c r="B91" s="862" t="s">
        <v>2867</v>
      </c>
      <c r="C91" s="350" t="s">
        <v>12</v>
      </c>
      <c r="D91" s="874" t="s">
        <v>1504</v>
      </c>
      <c r="E91" s="887" t="s">
        <v>13</v>
      </c>
      <c r="F91" s="780">
        <v>30</v>
      </c>
      <c r="G91" s="982"/>
      <c r="H91" s="1009"/>
      <c r="I91" s="1063"/>
      <c r="J91" s="622"/>
      <c r="K91" s="982"/>
      <c r="L91" s="853"/>
      <c r="M91" s="982"/>
      <c r="N91" s="853"/>
      <c r="O91" s="982"/>
      <c r="P91" s="853"/>
      <c r="Q91" s="1063"/>
      <c r="R91" s="622"/>
      <c r="S91" s="982"/>
      <c r="T91" s="1690"/>
      <c r="U91" s="1690"/>
      <c r="V91" s="1690"/>
      <c r="W91" s="1690"/>
      <c r="X91" s="1690"/>
      <c r="Y91" s="1690"/>
      <c r="Z91" s="1690"/>
      <c r="AA91" s="1690"/>
      <c r="AB91" s="1690"/>
    </row>
    <row r="92" spans="1:44" s="224" customFormat="1" ht="14.25" customHeight="1" x14ac:dyDescent="0.25">
      <c r="A92" s="247">
        <v>45555</v>
      </c>
      <c r="B92" s="364" t="s">
        <v>2977</v>
      </c>
      <c r="C92" s="350" t="s">
        <v>12</v>
      </c>
      <c r="D92" s="350" t="s">
        <v>1491</v>
      </c>
      <c r="E92" s="875" t="s">
        <v>13</v>
      </c>
      <c r="F92" s="1047">
        <v>400</v>
      </c>
      <c r="G92" s="982"/>
      <c r="H92" s="1008"/>
      <c r="I92" s="1063"/>
      <c r="J92" s="622"/>
      <c r="K92" s="982"/>
      <c r="L92" s="622"/>
      <c r="M92" s="982"/>
      <c r="N92" s="622"/>
      <c r="O92" s="982"/>
      <c r="P92" s="622"/>
      <c r="Q92" s="1063"/>
      <c r="R92" s="622"/>
      <c r="S92" s="982"/>
      <c r="T92" s="1029"/>
      <c r="U92" s="89"/>
      <c r="V92" s="930"/>
    </row>
    <row r="93" spans="1:44" s="224" customFormat="1" ht="15" customHeight="1" x14ac:dyDescent="0.25">
      <c r="A93" s="247">
        <v>45555</v>
      </c>
      <c r="B93" s="349" t="s">
        <v>6825</v>
      </c>
      <c r="C93" s="887" t="s">
        <v>12</v>
      </c>
      <c r="D93" s="350" t="s">
        <v>1491</v>
      </c>
      <c r="E93" s="887" t="s">
        <v>13</v>
      </c>
      <c r="F93" s="613">
        <v>31.9</v>
      </c>
      <c r="G93" s="982"/>
      <c r="H93" s="872"/>
      <c r="I93" s="1063"/>
      <c r="J93" s="622"/>
      <c r="K93" s="982"/>
      <c r="L93" s="622"/>
      <c r="M93" s="982"/>
      <c r="N93" s="622"/>
      <c r="O93" s="982"/>
      <c r="P93" s="622"/>
      <c r="Q93" s="1063"/>
      <c r="R93" s="622"/>
      <c r="S93" s="982"/>
      <c r="T93" s="927"/>
      <c r="U93" s="999"/>
      <c r="V93" s="878"/>
    </row>
    <row r="94" spans="1:44" s="224" customFormat="1" ht="15" customHeight="1" x14ac:dyDescent="0.25">
      <c r="A94" s="247">
        <v>45555</v>
      </c>
      <c r="B94" s="349" t="s">
        <v>6825</v>
      </c>
      <c r="C94" s="887" t="s">
        <v>12</v>
      </c>
      <c r="D94" s="350" t="s">
        <v>1504</v>
      </c>
      <c r="E94" s="887" t="s">
        <v>13</v>
      </c>
      <c r="F94" s="613">
        <v>40.79</v>
      </c>
      <c r="G94" s="982"/>
      <c r="H94" s="872"/>
      <c r="I94" s="1063"/>
      <c r="J94" s="622"/>
      <c r="K94" s="982"/>
      <c r="L94" s="622"/>
      <c r="M94" s="982"/>
      <c r="N94" s="622"/>
      <c r="O94" s="982"/>
      <c r="P94" s="622"/>
      <c r="Q94" s="1063"/>
      <c r="R94" s="622"/>
      <c r="S94" s="982"/>
      <c r="T94" s="927"/>
      <c r="U94" s="999"/>
      <c r="V94" s="878"/>
    </row>
    <row r="95" spans="1:44" s="224" customFormat="1" ht="15" customHeight="1" x14ac:dyDescent="0.25">
      <c r="A95" s="247">
        <v>45555</v>
      </c>
      <c r="B95" s="349" t="s">
        <v>6825</v>
      </c>
      <c r="C95" s="887" t="s">
        <v>12</v>
      </c>
      <c r="D95" s="350" t="s">
        <v>1504</v>
      </c>
      <c r="E95" s="887" t="s">
        <v>13</v>
      </c>
      <c r="F95" s="613">
        <v>45</v>
      </c>
      <c r="G95" s="982"/>
      <c r="H95" s="872"/>
      <c r="I95" s="1063"/>
      <c r="J95" s="622"/>
      <c r="K95" s="982"/>
      <c r="L95" s="622"/>
      <c r="M95" s="982"/>
      <c r="N95" s="622"/>
      <c r="O95" s="982"/>
      <c r="P95" s="622"/>
      <c r="Q95" s="1063"/>
      <c r="R95" s="622"/>
      <c r="S95" s="982"/>
      <c r="T95" s="927"/>
      <c r="U95" s="999"/>
      <c r="V95" s="878"/>
    </row>
    <row r="96" spans="1:44" s="224" customFormat="1" ht="15" customHeight="1" x14ac:dyDescent="0.25">
      <c r="A96" s="247">
        <v>45555</v>
      </c>
      <c r="B96" s="349" t="s">
        <v>6825</v>
      </c>
      <c r="C96" s="887" t="s">
        <v>12</v>
      </c>
      <c r="D96" s="350" t="s">
        <v>1504</v>
      </c>
      <c r="E96" s="887" t="s">
        <v>13</v>
      </c>
      <c r="F96" s="613">
        <v>29.806666666666668</v>
      </c>
      <c r="G96" s="982"/>
      <c r="H96" s="872"/>
      <c r="I96" s="1063"/>
      <c r="J96" s="622"/>
      <c r="K96" s="982"/>
      <c r="L96" s="622"/>
      <c r="M96" s="982"/>
      <c r="N96" s="622"/>
      <c r="O96" s="982"/>
      <c r="P96" s="622"/>
      <c r="Q96" s="1063"/>
      <c r="R96" s="622"/>
      <c r="S96" s="982"/>
      <c r="T96" s="927"/>
      <c r="U96" s="999"/>
      <c r="V96" s="878"/>
    </row>
    <row r="97" spans="1:44" s="224" customFormat="1" ht="15" customHeight="1" x14ac:dyDescent="0.25">
      <c r="A97" s="247">
        <v>45555</v>
      </c>
      <c r="B97" s="349" t="s">
        <v>6825</v>
      </c>
      <c r="C97" s="887" t="s">
        <v>12</v>
      </c>
      <c r="D97" s="350" t="s">
        <v>1489</v>
      </c>
      <c r="E97" s="887" t="s">
        <v>13</v>
      </c>
      <c r="F97" s="613">
        <v>65</v>
      </c>
      <c r="G97" s="982"/>
      <c r="H97" s="872"/>
      <c r="I97" s="1063"/>
      <c r="J97" s="622"/>
      <c r="K97" s="982"/>
      <c r="L97" s="622"/>
      <c r="M97" s="982"/>
      <c r="N97" s="622"/>
      <c r="O97" s="982"/>
      <c r="P97" s="622"/>
      <c r="Q97" s="1063"/>
      <c r="R97" s="622"/>
      <c r="S97" s="982"/>
      <c r="T97" s="927"/>
      <c r="U97" s="999"/>
      <c r="V97" s="878"/>
    </row>
    <row r="98" spans="1:44" s="224" customFormat="1" ht="15" customHeight="1" x14ac:dyDescent="0.25">
      <c r="A98" s="247">
        <v>45555</v>
      </c>
      <c r="B98" s="349" t="s">
        <v>6825</v>
      </c>
      <c r="C98" s="887" t="s">
        <v>12</v>
      </c>
      <c r="D98" s="350" t="s">
        <v>1524</v>
      </c>
      <c r="E98" s="887" t="s">
        <v>13</v>
      </c>
      <c r="F98" s="613">
        <v>291.66666666666669</v>
      </c>
      <c r="G98" s="982"/>
      <c r="H98" s="872"/>
      <c r="I98" s="1063"/>
      <c r="J98" s="622"/>
      <c r="K98" s="982"/>
      <c r="L98" s="622"/>
      <c r="M98" s="982"/>
      <c r="N98" s="622"/>
      <c r="O98" s="982"/>
      <c r="P98" s="622"/>
      <c r="Q98" s="1063"/>
      <c r="R98" s="622"/>
      <c r="S98" s="982"/>
      <c r="T98" s="927"/>
      <c r="U98" s="999"/>
      <c r="V98" s="878"/>
    </row>
    <row r="99" spans="1:44" s="224" customFormat="1" ht="15" customHeight="1" x14ac:dyDescent="0.25">
      <c r="A99" s="247">
        <v>45555</v>
      </c>
      <c r="B99" s="349" t="s">
        <v>6825</v>
      </c>
      <c r="C99" s="887" t="s">
        <v>12</v>
      </c>
      <c r="D99" s="350" t="s">
        <v>1524</v>
      </c>
      <c r="E99" s="887" t="s">
        <v>13</v>
      </c>
      <c r="F99" s="613">
        <v>479.16666666666669</v>
      </c>
      <c r="G99" s="982"/>
      <c r="H99" s="872"/>
      <c r="I99" s="1063"/>
      <c r="J99" s="622"/>
      <c r="K99" s="982"/>
      <c r="L99" s="622"/>
      <c r="M99" s="982"/>
      <c r="N99" s="622"/>
      <c r="O99" s="982"/>
      <c r="P99" s="622"/>
      <c r="Q99" s="1063"/>
      <c r="R99" s="622"/>
      <c r="S99" s="982"/>
      <c r="T99" s="927"/>
      <c r="U99" s="999"/>
      <c r="V99" s="878"/>
    </row>
    <row r="100" spans="1:44" s="224" customFormat="1" ht="15" customHeight="1" x14ac:dyDescent="0.25">
      <c r="A100" s="247">
        <v>45555</v>
      </c>
      <c r="B100" s="349" t="s">
        <v>6825</v>
      </c>
      <c r="C100" s="887" t="s">
        <v>12</v>
      </c>
      <c r="D100" s="350" t="s">
        <v>1506</v>
      </c>
      <c r="E100" s="887" t="s">
        <v>13</v>
      </c>
      <c r="F100" s="613">
        <v>86.666666666666671</v>
      </c>
      <c r="G100" s="982"/>
      <c r="H100" s="872"/>
      <c r="I100" s="1063"/>
      <c r="J100" s="622"/>
      <c r="K100" s="982"/>
      <c r="L100" s="622"/>
      <c r="M100" s="982"/>
      <c r="N100" s="622"/>
      <c r="O100" s="982"/>
      <c r="P100" s="622"/>
      <c r="Q100" s="1063"/>
      <c r="R100" s="622"/>
      <c r="S100" s="982"/>
      <c r="T100" s="927"/>
      <c r="U100" s="999"/>
      <c r="V100" s="878"/>
    </row>
    <row r="101" spans="1:44" s="224" customFormat="1" ht="15" customHeight="1" x14ac:dyDescent="0.25">
      <c r="A101" s="247">
        <v>45555</v>
      </c>
      <c r="B101" s="349" t="s">
        <v>6825</v>
      </c>
      <c r="C101" s="887" t="s">
        <v>12</v>
      </c>
      <c r="D101" s="350" t="s">
        <v>6731</v>
      </c>
      <c r="E101" s="887" t="s">
        <v>13</v>
      </c>
      <c r="F101" s="613">
        <v>118.33</v>
      </c>
      <c r="G101" s="982"/>
      <c r="H101" s="872"/>
      <c r="I101" s="1063"/>
      <c r="J101" s="622"/>
      <c r="K101" s="982"/>
      <c r="L101" s="622"/>
      <c r="M101" s="982"/>
      <c r="N101" s="622"/>
      <c r="O101" s="982"/>
      <c r="P101" s="622"/>
      <c r="Q101" s="1063"/>
      <c r="R101" s="622"/>
      <c r="S101" s="982"/>
      <c r="T101" s="927"/>
      <c r="U101" s="999"/>
      <c r="V101" s="878"/>
    </row>
    <row r="102" spans="1:44" s="224" customFormat="1" ht="15" customHeight="1" x14ac:dyDescent="0.25">
      <c r="A102" s="247">
        <v>45555</v>
      </c>
      <c r="B102" s="349" t="s">
        <v>6825</v>
      </c>
      <c r="C102" s="887" t="s">
        <v>12</v>
      </c>
      <c r="D102" s="350" t="s">
        <v>1522</v>
      </c>
      <c r="E102" s="887" t="s">
        <v>13</v>
      </c>
      <c r="F102" s="613">
        <v>65</v>
      </c>
      <c r="G102" s="982"/>
      <c r="H102" s="872"/>
      <c r="I102" s="1063"/>
      <c r="J102" s="622"/>
      <c r="K102" s="982"/>
      <c r="L102" s="622"/>
      <c r="M102" s="982"/>
      <c r="N102" s="622"/>
      <c r="O102" s="982"/>
      <c r="P102" s="622"/>
      <c r="Q102" s="1063"/>
      <c r="R102" s="622"/>
      <c r="S102" s="982"/>
      <c r="T102" s="927"/>
      <c r="U102" s="999"/>
      <c r="V102" s="878"/>
    </row>
    <row r="103" spans="1:44" s="224" customFormat="1" ht="15" customHeight="1" x14ac:dyDescent="0.25">
      <c r="A103" s="247">
        <v>45555</v>
      </c>
      <c r="B103" s="349" t="s">
        <v>6825</v>
      </c>
      <c r="C103" s="887" t="s">
        <v>12</v>
      </c>
      <c r="D103" s="1005" t="s">
        <v>1524</v>
      </c>
      <c r="E103" s="887" t="s">
        <v>13</v>
      </c>
      <c r="F103" s="1116">
        <v>38.200000000000003</v>
      </c>
      <c r="G103" s="982"/>
      <c r="H103" s="872"/>
      <c r="I103" s="1063"/>
      <c r="J103" s="622"/>
      <c r="K103" s="982"/>
      <c r="L103" s="622"/>
      <c r="M103" s="982"/>
      <c r="N103" s="622"/>
      <c r="O103" s="982"/>
      <c r="P103" s="622"/>
      <c r="Q103" s="1063"/>
      <c r="R103" s="622"/>
      <c r="S103" s="982"/>
      <c r="T103" s="927"/>
      <c r="U103" s="999"/>
      <c r="V103" s="878"/>
    </row>
    <row r="104" spans="1:44" s="224" customFormat="1" ht="15" customHeight="1" x14ac:dyDescent="0.25">
      <c r="A104" s="247">
        <v>45555</v>
      </c>
      <c r="B104" s="882" t="s">
        <v>6826</v>
      </c>
      <c r="C104" s="879" t="s">
        <v>12</v>
      </c>
      <c r="D104" s="879" t="s">
        <v>1499</v>
      </c>
      <c r="E104" s="871" t="s">
        <v>13</v>
      </c>
      <c r="F104" s="780">
        <v>0</v>
      </c>
      <c r="G104" s="982"/>
      <c r="H104" s="1008"/>
      <c r="I104" s="1063"/>
      <c r="J104" s="622"/>
      <c r="K104" s="982"/>
      <c r="L104" s="622"/>
      <c r="M104" s="982"/>
      <c r="N104" s="622"/>
      <c r="O104" s="982"/>
      <c r="P104" s="622"/>
      <c r="Q104" s="1063"/>
      <c r="R104" s="622"/>
      <c r="S104" s="982"/>
      <c r="T104" s="1028" t="s">
        <v>6512</v>
      </c>
      <c r="V104" s="1123"/>
      <c r="W104" s="999"/>
    </row>
    <row r="105" spans="1:44" s="224" customFormat="1" ht="15" customHeight="1" x14ac:dyDescent="0.25">
      <c r="A105" s="247">
        <v>45555</v>
      </c>
      <c r="B105" s="882" t="s">
        <v>6888</v>
      </c>
      <c r="C105" s="879" t="s">
        <v>12</v>
      </c>
      <c r="D105" s="879" t="s">
        <v>1489</v>
      </c>
      <c r="E105" s="875" t="s">
        <v>13</v>
      </c>
      <c r="F105" s="780">
        <v>75</v>
      </c>
      <c r="G105" s="982"/>
      <c r="H105" s="622"/>
      <c r="I105" s="982"/>
      <c r="J105" s="622"/>
      <c r="K105" s="982"/>
      <c r="L105" s="622"/>
      <c r="M105" s="982"/>
      <c r="N105" s="622"/>
      <c r="O105" s="982"/>
      <c r="P105" s="880"/>
      <c r="Q105" s="1525"/>
      <c r="R105" s="613"/>
      <c r="S105" s="162"/>
      <c r="T105" s="1956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</row>
    <row r="106" spans="1:44" s="224" customFormat="1" ht="15" customHeight="1" x14ac:dyDescent="0.25">
      <c r="A106" s="247">
        <v>45555</v>
      </c>
      <c r="B106" s="882" t="s">
        <v>6697</v>
      </c>
      <c r="C106" s="879" t="s">
        <v>12</v>
      </c>
      <c r="D106" s="879"/>
      <c r="E106" s="875" t="s">
        <v>13</v>
      </c>
      <c r="F106" s="780">
        <v>567.32000000000005</v>
      </c>
      <c r="G106" s="982"/>
      <c r="H106" s="95"/>
      <c r="I106" s="1064"/>
      <c r="J106" s="622"/>
      <c r="K106" s="982">
        <v>567.32000000000005</v>
      </c>
      <c r="L106" s="622"/>
      <c r="M106" s="982"/>
      <c r="N106" s="622"/>
      <c r="O106" s="982"/>
      <c r="P106" s="622"/>
      <c r="Q106" s="1063"/>
      <c r="R106" s="622"/>
      <c r="S106" s="982"/>
      <c r="T106" s="861"/>
    </row>
    <row r="107" spans="1:44" s="224" customFormat="1" ht="15" customHeight="1" x14ac:dyDescent="0.25">
      <c r="A107" s="247">
        <v>45555</v>
      </c>
      <c r="B107" s="882" t="s">
        <v>6814</v>
      </c>
      <c r="C107" s="879" t="s">
        <v>12</v>
      </c>
      <c r="D107" s="879"/>
      <c r="E107" s="875" t="s">
        <v>13</v>
      </c>
      <c r="F107" s="780"/>
      <c r="G107" s="982">
        <v>809.03</v>
      </c>
      <c r="H107" s="95"/>
      <c r="I107" s="1064"/>
      <c r="J107" s="622">
        <v>809.03</v>
      </c>
      <c r="K107" s="982"/>
      <c r="L107" s="622"/>
      <c r="M107" s="982"/>
      <c r="N107" s="622"/>
      <c r="O107" s="982"/>
      <c r="P107" s="622"/>
      <c r="Q107" s="1063"/>
      <c r="R107" s="622"/>
      <c r="S107" s="982"/>
      <c r="T107" s="861"/>
    </row>
    <row r="108" spans="1:44" s="224" customFormat="1" ht="15" customHeight="1" x14ac:dyDescent="0.25">
      <c r="A108" s="247">
        <v>45555</v>
      </c>
      <c r="B108" s="882" t="s">
        <v>6914</v>
      </c>
      <c r="C108" s="879" t="s">
        <v>12</v>
      </c>
      <c r="D108" s="879"/>
      <c r="E108" s="875" t="s">
        <v>13</v>
      </c>
      <c r="F108" s="780">
        <v>270</v>
      </c>
      <c r="G108" s="982"/>
      <c r="H108" s="622"/>
      <c r="I108" s="982"/>
      <c r="J108" s="622"/>
      <c r="K108" s="982"/>
      <c r="L108" s="622"/>
      <c r="M108" s="982"/>
      <c r="N108" s="622"/>
      <c r="O108" s="982"/>
      <c r="P108" s="880"/>
      <c r="Q108" s="1525">
        <v>270</v>
      </c>
      <c r="R108" s="613"/>
      <c r="S108" s="162"/>
      <c r="T108" s="1956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</row>
    <row r="109" spans="1:44" s="224" customFormat="1" ht="15" customHeight="1" x14ac:dyDescent="0.25">
      <c r="A109" s="247">
        <v>45555</v>
      </c>
      <c r="B109" s="882" t="s">
        <v>32</v>
      </c>
      <c r="C109" s="879" t="s">
        <v>12</v>
      </c>
      <c r="D109" s="879" t="s">
        <v>1485</v>
      </c>
      <c r="E109" s="875" t="s">
        <v>13</v>
      </c>
      <c r="F109" s="780">
        <v>22</v>
      </c>
      <c r="G109" s="982"/>
      <c r="H109" s="622"/>
      <c r="I109" s="982"/>
      <c r="J109" s="622"/>
      <c r="K109" s="982"/>
      <c r="L109" s="622"/>
      <c r="M109" s="982"/>
      <c r="N109" s="622"/>
      <c r="O109" s="982"/>
      <c r="P109" s="622"/>
      <c r="Q109" s="1063"/>
      <c r="R109" s="622"/>
      <c r="S109" s="982"/>
      <c r="T109" s="1028"/>
      <c r="U109" s="959"/>
      <c r="V109" s="878"/>
      <c r="W109" s="958"/>
    </row>
    <row r="110" spans="1:44" s="224" customFormat="1" ht="15" customHeight="1" x14ac:dyDescent="0.25">
      <c r="A110" s="247">
        <v>45555</v>
      </c>
      <c r="B110" s="882" t="s">
        <v>445</v>
      </c>
      <c r="C110" s="879" t="s">
        <v>12</v>
      </c>
      <c r="D110" s="879" t="s">
        <v>1493</v>
      </c>
      <c r="E110" s="871" t="s">
        <v>13</v>
      </c>
      <c r="F110" s="780">
        <v>7</v>
      </c>
      <c r="G110" s="982"/>
      <c r="H110" s="95"/>
      <c r="I110" s="1064"/>
      <c r="J110" s="613"/>
      <c r="K110" s="6"/>
      <c r="L110" s="622"/>
      <c r="M110" s="982"/>
      <c r="N110" s="622"/>
      <c r="O110" s="982"/>
      <c r="P110" s="622"/>
      <c r="Q110" s="1063"/>
      <c r="R110" s="622"/>
      <c r="S110" s="982"/>
      <c r="T110" s="861"/>
    </row>
    <row r="111" spans="1:44" s="224" customFormat="1" ht="15" customHeight="1" x14ac:dyDescent="0.25">
      <c r="A111" s="247">
        <v>45555</v>
      </c>
      <c r="B111" s="882" t="s">
        <v>82</v>
      </c>
      <c r="C111" s="879" t="s">
        <v>12</v>
      </c>
      <c r="D111" s="879" t="s">
        <v>1493</v>
      </c>
      <c r="E111" s="871" t="s">
        <v>13</v>
      </c>
      <c r="F111" s="780">
        <v>49.9</v>
      </c>
      <c r="G111" s="982"/>
      <c r="H111" s="95"/>
      <c r="I111" s="1064"/>
      <c r="J111" s="613"/>
      <c r="K111" s="6"/>
      <c r="L111" s="622"/>
      <c r="M111" s="982"/>
      <c r="N111" s="622"/>
      <c r="O111" s="982"/>
      <c r="P111" s="622"/>
      <c r="Q111" s="1063"/>
      <c r="R111" s="622"/>
      <c r="S111" s="982"/>
      <c r="T111" s="861"/>
    </row>
    <row r="112" spans="1:44" s="224" customFormat="1" x14ac:dyDescent="0.25">
      <c r="A112" s="247">
        <v>45556</v>
      </c>
      <c r="B112" s="882" t="s">
        <v>14</v>
      </c>
      <c r="C112" s="879" t="s">
        <v>12</v>
      </c>
      <c r="D112" s="879" t="s">
        <v>1486</v>
      </c>
      <c r="E112" s="480" t="s">
        <v>13</v>
      </c>
      <c r="F112" s="780">
        <v>8.35</v>
      </c>
      <c r="G112" s="982"/>
      <c r="H112" s="1008"/>
      <c r="I112" s="1063"/>
      <c r="J112" s="622"/>
      <c r="K112" s="982"/>
      <c r="L112" s="622"/>
      <c r="M112" s="982"/>
      <c r="N112" s="622"/>
      <c r="O112" s="982"/>
      <c r="P112" s="622"/>
      <c r="Q112" s="1063"/>
      <c r="R112" s="622"/>
      <c r="S112" s="982"/>
      <c r="T112" s="1028"/>
      <c r="V112" s="878"/>
    </row>
    <row r="113" spans="1:44" s="224" customFormat="1" ht="15" customHeight="1" x14ac:dyDescent="0.25">
      <c r="A113" s="247">
        <v>45556</v>
      </c>
      <c r="B113" s="882" t="s">
        <v>3455</v>
      </c>
      <c r="C113" s="879" t="s">
        <v>12</v>
      </c>
      <c r="D113" s="879" t="s">
        <v>1523</v>
      </c>
      <c r="E113" s="871" t="s">
        <v>13</v>
      </c>
      <c r="F113" s="780">
        <v>40</v>
      </c>
      <c r="G113" s="982"/>
      <c r="H113" s="95"/>
      <c r="I113" s="1064"/>
      <c r="J113" s="613"/>
      <c r="K113" s="6"/>
      <c r="L113" s="622"/>
      <c r="M113" s="982"/>
      <c r="N113" s="622"/>
      <c r="O113" s="982"/>
      <c r="P113" s="622"/>
      <c r="Q113" s="1063"/>
      <c r="R113" s="622"/>
      <c r="S113" s="982"/>
      <c r="T113" s="861"/>
    </row>
    <row r="114" spans="1:44" s="224" customFormat="1" ht="15" customHeight="1" x14ac:dyDescent="0.25">
      <c r="A114" s="247">
        <v>45557</v>
      </c>
      <c r="B114" s="882" t="s">
        <v>6915</v>
      </c>
      <c r="C114" s="879" t="s">
        <v>12</v>
      </c>
      <c r="D114" s="879" t="s">
        <v>1523</v>
      </c>
      <c r="E114" s="871" t="s">
        <v>13</v>
      </c>
      <c r="F114" s="780">
        <v>59.77</v>
      </c>
      <c r="G114" s="982"/>
      <c r="H114" s="95"/>
      <c r="I114" s="1064"/>
      <c r="J114" s="613"/>
      <c r="K114" s="6"/>
      <c r="L114" s="622"/>
      <c r="M114" s="982"/>
      <c r="N114" s="622"/>
      <c r="O114" s="982"/>
      <c r="P114" s="622"/>
      <c r="Q114" s="1063"/>
      <c r="R114" s="622"/>
      <c r="S114" s="982"/>
      <c r="T114" s="861"/>
    </row>
    <row r="115" spans="1:44" s="224" customFormat="1" ht="15" customHeight="1" x14ac:dyDescent="0.25">
      <c r="A115" s="247">
        <v>45558</v>
      </c>
      <c r="B115" s="882" t="s">
        <v>32</v>
      </c>
      <c r="C115" s="879" t="s">
        <v>12</v>
      </c>
      <c r="D115" s="879" t="s">
        <v>1485</v>
      </c>
      <c r="E115" s="875" t="s">
        <v>13</v>
      </c>
      <c r="F115" s="780">
        <v>22</v>
      </c>
      <c r="G115" s="982"/>
      <c r="H115" s="622"/>
      <c r="I115" s="982"/>
      <c r="J115" s="622"/>
      <c r="K115" s="982"/>
      <c r="L115" s="622"/>
      <c r="M115" s="982"/>
      <c r="N115" s="622"/>
      <c r="O115" s="982"/>
      <c r="P115" s="622"/>
      <c r="Q115" s="1063"/>
      <c r="R115" s="622"/>
      <c r="S115" s="982"/>
      <c r="T115" s="1028"/>
      <c r="U115" s="959"/>
      <c r="V115" s="878"/>
      <c r="W115" s="958"/>
    </row>
    <row r="116" spans="1:44" s="224" customFormat="1" ht="15" customHeight="1" x14ac:dyDescent="0.25">
      <c r="A116" s="247">
        <v>45558</v>
      </c>
      <c r="B116" s="1275" t="s">
        <v>3958</v>
      </c>
      <c r="C116" s="1276" t="s">
        <v>12</v>
      </c>
      <c r="D116" s="1276" t="s">
        <v>1489</v>
      </c>
      <c r="E116" s="1277" t="s">
        <v>13</v>
      </c>
      <c r="F116" s="780">
        <v>22</v>
      </c>
      <c r="G116" s="982"/>
      <c r="H116" s="1008"/>
      <c r="I116" s="1063"/>
      <c r="J116" s="1116"/>
      <c r="K116" s="1207"/>
      <c r="L116" s="622"/>
      <c r="M116" s="982"/>
      <c r="N116" s="622"/>
      <c r="O116" s="982"/>
      <c r="P116" s="622"/>
      <c r="Q116" s="1063"/>
      <c r="R116" s="622"/>
      <c r="S116" s="982"/>
      <c r="T116" s="861"/>
      <c r="V116" s="1035"/>
    </row>
    <row r="117" spans="1:44" s="224" customFormat="1" ht="15" customHeight="1" x14ac:dyDescent="0.25">
      <c r="A117" s="247">
        <v>45559</v>
      </c>
      <c r="B117" s="882" t="s">
        <v>6329</v>
      </c>
      <c r="C117" s="879" t="s">
        <v>12</v>
      </c>
      <c r="D117" s="879"/>
      <c r="E117" s="875" t="s">
        <v>25</v>
      </c>
      <c r="F117" s="780"/>
      <c r="G117" s="982">
        <v>100</v>
      </c>
      <c r="H117" s="622"/>
      <c r="I117" s="982"/>
      <c r="J117" s="622"/>
      <c r="K117" s="982"/>
      <c r="L117" s="622"/>
      <c r="M117" s="982"/>
      <c r="N117" s="853"/>
      <c r="O117" s="982"/>
      <c r="P117" s="622"/>
      <c r="Q117" s="1063"/>
      <c r="R117" s="622"/>
      <c r="S117" s="982"/>
      <c r="T117" s="927"/>
      <c r="U117" s="927"/>
      <c r="V117" s="878"/>
    </row>
    <row r="118" spans="1:44" s="224" customFormat="1" ht="14.25" customHeight="1" x14ac:dyDescent="0.25">
      <c r="A118" s="247">
        <v>45559</v>
      </c>
      <c r="B118" s="882" t="s">
        <v>2789</v>
      </c>
      <c r="C118" s="879" t="s">
        <v>12</v>
      </c>
      <c r="D118" s="879" t="s">
        <v>1485</v>
      </c>
      <c r="E118" s="875" t="s">
        <v>13</v>
      </c>
      <c r="F118" s="1873">
        <v>14.5</v>
      </c>
      <c r="G118" s="982"/>
      <c r="H118" s="1031"/>
      <c r="I118" s="1525"/>
      <c r="J118" s="622"/>
      <c r="K118" s="982"/>
      <c r="L118" s="872"/>
      <c r="M118" s="1207"/>
      <c r="N118" s="880"/>
      <c r="O118" s="1033"/>
      <c r="P118" s="880"/>
      <c r="Q118" s="1525"/>
      <c r="R118" s="613"/>
      <c r="S118" s="162"/>
      <c r="T118" s="1209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</row>
    <row r="119" spans="1:44" s="224" customFormat="1" ht="15" customHeight="1" x14ac:dyDescent="0.25">
      <c r="A119" s="247">
        <v>45559</v>
      </c>
      <c r="B119" s="882" t="s">
        <v>14</v>
      </c>
      <c r="C119" s="879" t="s">
        <v>12</v>
      </c>
      <c r="D119" s="879" t="s">
        <v>1486</v>
      </c>
      <c r="E119" s="480" t="s">
        <v>13</v>
      </c>
      <c r="F119" s="780">
        <v>5.68</v>
      </c>
      <c r="G119" s="982"/>
      <c r="H119" s="95"/>
      <c r="I119" s="1064"/>
      <c r="J119" s="613"/>
      <c r="K119" s="6"/>
      <c r="L119" s="622"/>
      <c r="M119" s="982"/>
      <c r="N119" s="622"/>
      <c r="O119" s="982"/>
      <c r="P119" s="622"/>
      <c r="Q119" s="1063"/>
      <c r="R119" s="1110"/>
      <c r="S119" s="1208"/>
      <c r="T119" s="1028"/>
      <c r="W119" s="958"/>
    </row>
    <row r="120" spans="1:44" s="224" customFormat="1" ht="15" customHeight="1" x14ac:dyDescent="0.25">
      <c r="A120" s="247">
        <v>45560</v>
      </c>
      <c r="B120" s="882" t="s">
        <v>32</v>
      </c>
      <c r="C120" s="879" t="s">
        <v>12</v>
      </c>
      <c r="D120" s="879" t="s">
        <v>1485</v>
      </c>
      <c r="E120" s="875" t="s">
        <v>13</v>
      </c>
      <c r="F120" s="780">
        <v>22</v>
      </c>
      <c r="G120" s="982"/>
      <c r="H120" s="622"/>
      <c r="I120" s="982"/>
      <c r="J120" s="622"/>
      <c r="K120" s="982"/>
      <c r="L120" s="622"/>
      <c r="M120" s="982"/>
      <c r="N120" s="622"/>
      <c r="O120" s="982"/>
      <c r="P120" s="622"/>
      <c r="Q120" s="1063"/>
      <c r="R120" s="622"/>
      <c r="S120" s="982"/>
      <c r="T120" s="1028"/>
      <c r="U120" s="959"/>
      <c r="V120" s="878"/>
      <c r="W120" s="958"/>
    </row>
    <row r="121" spans="1:44" s="224" customFormat="1" ht="15" customHeight="1" x14ac:dyDescent="0.25">
      <c r="A121" s="247">
        <v>45560</v>
      </c>
      <c r="B121" s="882" t="s">
        <v>81</v>
      </c>
      <c r="C121" s="879" t="s">
        <v>12</v>
      </c>
      <c r="D121" s="879" t="s">
        <v>1493</v>
      </c>
      <c r="E121" s="871" t="s">
        <v>13</v>
      </c>
      <c r="F121" s="780">
        <v>8.5</v>
      </c>
      <c r="G121" s="982"/>
      <c r="H121" s="622"/>
      <c r="I121" s="982"/>
      <c r="J121" s="622"/>
      <c r="K121" s="982"/>
      <c r="L121" s="622"/>
      <c r="M121" s="982"/>
      <c r="N121" s="622"/>
      <c r="O121" s="982"/>
      <c r="P121" s="880"/>
      <c r="Q121" s="1525"/>
      <c r="R121" s="613"/>
      <c r="S121" s="162"/>
      <c r="T121" s="1956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</row>
    <row r="122" spans="1:44" s="224" customFormat="1" ht="15" customHeight="1" x14ac:dyDescent="0.25">
      <c r="A122" s="247">
        <v>45561</v>
      </c>
      <c r="B122" s="882" t="s">
        <v>32</v>
      </c>
      <c r="C122" s="879" t="s">
        <v>12</v>
      </c>
      <c r="D122" s="879" t="s">
        <v>1485</v>
      </c>
      <c r="E122" s="875" t="s">
        <v>13</v>
      </c>
      <c r="F122" s="780">
        <v>22</v>
      </c>
      <c r="G122" s="982"/>
      <c r="H122" s="622"/>
      <c r="I122" s="982"/>
      <c r="J122" s="622"/>
      <c r="K122" s="982"/>
      <c r="L122" s="622"/>
      <c r="M122" s="982"/>
      <c r="N122" s="622"/>
      <c r="O122" s="982"/>
      <c r="P122" s="622"/>
      <c r="Q122" s="1063"/>
      <c r="R122" s="622"/>
      <c r="S122" s="982"/>
      <c r="T122" s="1028"/>
      <c r="U122" s="959"/>
      <c r="V122" s="878"/>
      <c r="W122" s="958"/>
    </row>
    <row r="123" spans="1:44" s="224" customFormat="1" x14ac:dyDescent="0.25">
      <c r="A123" s="247">
        <v>45561</v>
      </c>
      <c r="B123" s="364" t="s">
        <v>1331</v>
      </c>
      <c r="C123" s="350" t="s">
        <v>12</v>
      </c>
      <c r="D123" s="350" t="s">
        <v>2157</v>
      </c>
      <c r="E123" s="875" t="s">
        <v>13</v>
      </c>
      <c r="F123" s="780">
        <v>48.02</v>
      </c>
      <c r="G123" s="982"/>
      <c r="H123" s="1008"/>
      <c r="I123" s="1063"/>
      <c r="J123" s="2013"/>
      <c r="K123" s="1207"/>
      <c r="L123" s="622"/>
      <c r="M123" s="982"/>
      <c r="N123" s="622"/>
      <c r="O123" s="982"/>
      <c r="P123" s="622"/>
      <c r="Q123" s="1063"/>
      <c r="R123" s="622"/>
      <c r="S123" s="982"/>
      <c r="T123" s="861"/>
      <c r="V123" s="878"/>
    </row>
    <row r="124" spans="1:44" s="224" customFormat="1" ht="15" customHeight="1" x14ac:dyDescent="0.25">
      <c r="A124" s="247">
        <v>45561</v>
      </c>
      <c r="B124" s="882" t="s">
        <v>6920</v>
      </c>
      <c r="C124" s="879" t="s">
        <v>12</v>
      </c>
      <c r="D124" s="879" t="s">
        <v>1493</v>
      </c>
      <c r="E124" s="871" t="s">
        <v>3759</v>
      </c>
      <c r="F124" s="780">
        <v>5.88</v>
      </c>
      <c r="G124" s="982"/>
      <c r="H124" s="95"/>
      <c r="I124" s="1064"/>
      <c r="J124" s="622"/>
      <c r="K124" s="982"/>
      <c r="L124" s="622"/>
      <c r="M124" s="982"/>
      <c r="N124" s="622"/>
      <c r="O124" s="982"/>
      <c r="P124" s="622"/>
      <c r="Q124" s="1063"/>
      <c r="R124" s="622"/>
      <c r="S124" s="982"/>
      <c r="T124" s="1028"/>
      <c r="W124" s="958"/>
    </row>
    <row r="125" spans="1:44" s="224" customFormat="1" ht="15" customHeight="1" x14ac:dyDescent="0.25">
      <c r="A125" s="247">
        <v>45562</v>
      </c>
      <c r="B125" s="882" t="s">
        <v>2789</v>
      </c>
      <c r="C125" s="879" t="s">
        <v>12</v>
      </c>
      <c r="D125" s="879" t="s">
        <v>1485</v>
      </c>
      <c r="E125" s="875" t="s">
        <v>13</v>
      </c>
      <c r="F125" s="780">
        <v>14.5</v>
      </c>
      <c r="G125" s="982"/>
      <c r="H125" s="622"/>
      <c r="I125" s="982"/>
      <c r="J125" s="872"/>
      <c r="K125" s="1207"/>
      <c r="L125" s="622"/>
      <c r="M125" s="982"/>
      <c r="N125" s="622"/>
      <c r="O125" s="982"/>
      <c r="P125" s="622"/>
      <c r="Q125" s="1063"/>
      <c r="R125" s="622"/>
      <c r="S125" s="982"/>
      <c r="T125" s="1028"/>
      <c r="U125" s="959"/>
      <c r="V125" s="878"/>
      <c r="W125" s="958"/>
    </row>
    <row r="126" spans="1:44" s="224" customFormat="1" ht="15" customHeight="1" x14ac:dyDescent="0.25">
      <c r="A126" s="247">
        <v>45562</v>
      </c>
      <c r="B126" s="882" t="s">
        <v>14</v>
      </c>
      <c r="C126" s="879" t="s">
        <v>12</v>
      </c>
      <c r="D126" s="879" t="s">
        <v>1486</v>
      </c>
      <c r="E126" s="480" t="s">
        <v>13</v>
      </c>
      <c r="F126" s="780">
        <v>4.87</v>
      </c>
      <c r="G126" s="982"/>
      <c r="H126" s="622"/>
      <c r="I126" s="982"/>
      <c r="J126" s="622"/>
      <c r="K126" s="982"/>
      <c r="L126" s="622"/>
      <c r="M126" s="982"/>
      <c r="N126" s="622"/>
      <c r="O126" s="982"/>
      <c r="P126" s="880"/>
      <c r="Q126" s="1525"/>
      <c r="R126" s="613"/>
      <c r="S126" s="162"/>
      <c r="T126" s="195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</row>
    <row r="127" spans="1:44" s="224" customFormat="1" ht="15" customHeight="1" x14ac:dyDescent="0.25">
      <c r="A127" s="247">
        <v>45562</v>
      </c>
      <c r="B127" s="882" t="s">
        <v>6921</v>
      </c>
      <c r="C127" s="879" t="s">
        <v>12</v>
      </c>
      <c r="D127" s="879" t="s">
        <v>1493</v>
      </c>
      <c r="E127" s="480" t="s">
        <v>13</v>
      </c>
      <c r="F127" s="780">
        <v>20</v>
      </c>
      <c r="G127" s="982"/>
      <c r="H127" s="622"/>
      <c r="I127" s="982"/>
      <c r="J127" s="622"/>
      <c r="K127" s="982"/>
      <c r="L127" s="622"/>
      <c r="M127" s="982"/>
      <c r="N127" s="622"/>
      <c r="O127" s="982"/>
      <c r="P127" s="880"/>
      <c r="Q127" s="1525"/>
      <c r="R127" s="613"/>
      <c r="S127" s="162"/>
      <c r="T127" s="1956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</row>
    <row r="128" spans="1:44" s="224" customFormat="1" ht="15" customHeight="1" x14ac:dyDescent="0.25">
      <c r="A128" s="247">
        <v>45563</v>
      </c>
      <c r="B128" s="882" t="s">
        <v>6924</v>
      </c>
      <c r="C128" s="879" t="s">
        <v>12</v>
      </c>
      <c r="D128" s="879"/>
      <c r="E128" s="875"/>
      <c r="F128" s="780"/>
      <c r="G128" s="982"/>
      <c r="H128" s="1008"/>
      <c r="I128" s="1063"/>
      <c r="J128" s="613"/>
      <c r="K128" s="982">
        <v>500</v>
      </c>
      <c r="L128" s="622"/>
      <c r="M128" s="982"/>
      <c r="N128" s="622"/>
      <c r="O128" s="982"/>
      <c r="P128" s="622">
        <v>500</v>
      </c>
      <c r="Q128" s="1063"/>
      <c r="R128" s="622"/>
      <c r="S128" s="982"/>
      <c r="T128" s="861"/>
    </row>
    <row r="129" spans="1:44" s="224" customFormat="1" ht="15" customHeight="1" x14ac:dyDescent="0.25">
      <c r="A129" s="247">
        <v>45563</v>
      </c>
      <c r="B129" s="882" t="s">
        <v>14</v>
      </c>
      <c r="C129" s="879" t="s">
        <v>12</v>
      </c>
      <c r="D129" s="879" t="s">
        <v>1486</v>
      </c>
      <c r="E129" s="480" t="s">
        <v>13</v>
      </c>
      <c r="F129" s="780">
        <v>6.26</v>
      </c>
      <c r="G129" s="982"/>
      <c r="H129" s="622"/>
      <c r="I129" s="982"/>
      <c r="J129" s="622"/>
      <c r="K129" s="982"/>
      <c r="L129" s="622"/>
      <c r="M129" s="982"/>
      <c r="N129" s="622"/>
      <c r="O129" s="982"/>
      <c r="P129" s="880"/>
      <c r="Q129" s="1525"/>
      <c r="R129" s="613"/>
      <c r="S129" s="162"/>
      <c r="T129" s="1956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</row>
    <row r="130" spans="1:44" s="224" customFormat="1" ht="15" customHeight="1" x14ac:dyDescent="0.25">
      <c r="A130" s="247">
        <v>45563</v>
      </c>
      <c r="B130" s="882" t="s">
        <v>6925</v>
      </c>
      <c r="C130" s="879" t="s">
        <v>12</v>
      </c>
      <c r="D130" s="879"/>
      <c r="E130" s="875" t="s">
        <v>13</v>
      </c>
      <c r="F130" s="780"/>
      <c r="G130" s="982">
        <v>244.27</v>
      </c>
      <c r="H130" s="95"/>
      <c r="I130" s="1064"/>
      <c r="J130" s="622">
        <v>244.27</v>
      </c>
      <c r="K130" s="982"/>
      <c r="L130" s="622"/>
      <c r="M130" s="982"/>
      <c r="N130" s="622"/>
      <c r="O130" s="982"/>
      <c r="P130" s="622"/>
      <c r="Q130" s="1063"/>
      <c r="R130" s="622"/>
      <c r="S130" s="982"/>
      <c r="T130" s="861"/>
    </row>
    <row r="131" spans="1:44" s="224" customFormat="1" ht="15" customHeight="1" x14ac:dyDescent="0.25">
      <c r="A131" s="247">
        <v>45563</v>
      </c>
      <c r="B131" s="364" t="s">
        <v>6922</v>
      </c>
      <c r="C131" s="350" t="s">
        <v>12</v>
      </c>
      <c r="D131" s="350" t="s">
        <v>1524</v>
      </c>
      <c r="E131" s="875" t="s">
        <v>13</v>
      </c>
      <c r="F131" s="780">
        <v>24.5</v>
      </c>
      <c r="G131" s="982"/>
      <c r="H131" s="1008"/>
      <c r="I131" s="1063"/>
      <c r="J131" s="1116"/>
      <c r="K131" s="1207"/>
      <c r="L131" s="622"/>
      <c r="M131" s="982"/>
      <c r="N131" s="622"/>
      <c r="O131" s="982"/>
      <c r="P131" s="622"/>
      <c r="Q131" s="1063"/>
      <c r="R131" s="622"/>
      <c r="S131" s="982"/>
      <c r="T131" s="861"/>
      <c r="V131" s="1035"/>
    </row>
    <row r="132" spans="1:44" s="224" customFormat="1" ht="15" customHeight="1" x14ac:dyDescent="0.25">
      <c r="A132" s="247">
        <v>45563</v>
      </c>
      <c r="B132" s="364" t="s">
        <v>6923</v>
      </c>
      <c r="C132" s="350" t="s">
        <v>12</v>
      </c>
      <c r="D132" s="350" t="s">
        <v>1524</v>
      </c>
      <c r="E132" s="875" t="s">
        <v>13</v>
      </c>
      <c r="F132" s="780">
        <v>11.8</v>
      </c>
      <c r="G132" s="982"/>
      <c r="H132" s="1008"/>
      <c r="I132" s="1063"/>
      <c r="J132" s="1116"/>
      <c r="K132" s="1207"/>
      <c r="L132" s="622"/>
      <c r="M132" s="982"/>
      <c r="N132" s="622"/>
      <c r="O132" s="982"/>
      <c r="P132" s="622"/>
      <c r="Q132" s="1063"/>
      <c r="R132" s="622"/>
      <c r="S132" s="982"/>
      <c r="T132" s="861"/>
      <c r="V132" s="1035"/>
    </row>
    <row r="133" spans="1:44" s="224" customFormat="1" ht="15" customHeight="1" x14ac:dyDescent="0.25">
      <c r="A133" s="247">
        <v>45563</v>
      </c>
      <c r="B133" s="364" t="s">
        <v>6926</v>
      </c>
      <c r="C133" s="350" t="s">
        <v>12</v>
      </c>
      <c r="D133" s="350" t="s">
        <v>1524</v>
      </c>
      <c r="E133" s="875" t="s">
        <v>13</v>
      </c>
      <c r="F133" s="780">
        <v>100</v>
      </c>
      <c r="G133" s="982"/>
      <c r="H133" s="1008"/>
      <c r="I133" s="1063"/>
      <c r="J133" s="1116"/>
      <c r="K133" s="1207"/>
      <c r="L133" s="622"/>
      <c r="M133" s="982"/>
      <c r="N133" s="622"/>
      <c r="O133" s="982"/>
      <c r="P133" s="622"/>
      <c r="Q133" s="1063"/>
      <c r="R133" s="622"/>
      <c r="S133" s="982"/>
      <c r="T133" s="861"/>
      <c r="V133" s="1035"/>
    </row>
    <row r="134" spans="1:44" s="224" customFormat="1" ht="15" customHeight="1" x14ac:dyDescent="0.25">
      <c r="A134" s="247">
        <v>45563</v>
      </c>
      <c r="B134" s="882" t="s">
        <v>32</v>
      </c>
      <c r="C134" s="879" t="s">
        <v>12</v>
      </c>
      <c r="D134" s="879" t="s">
        <v>1485</v>
      </c>
      <c r="E134" s="875" t="s">
        <v>13</v>
      </c>
      <c r="F134" s="780">
        <v>26</v>
      </c>
      <c r="G134" s="982"/>
      <c r="H134" s="622"/>
      <c r="I134" s="982"/>
      <c r="J134" s="622"/>
      <c r="K134" s="982"/>
      <c r="L134" s="622"/>
      <c r="M134" s="982"/>
      <c r="N134" s="622"/>
      <c r="O134" s="982"/>
      <c r="P134" s="622"/>
      <c r="Q134" s="1063"/>
      <c r="R134" s="622"/>
      <c r="S134" s="982"/>
      <c r="T134" s="1028"/>
      <c r="U134" s="959"/>
      <c r="V134" s="878"/>
      <c r="W134" s="958"/>
    </row>
    <row r="135" spans="1:44" s="224" customFormat="1" ht="15" customHeight="1" x14ac:dyDescent="0.25">
      <c r="A135" s="247">
        <v>45563</v>
      </c>
      <c r="B135" s="364" t="s">
        <v>82</v>
      </c>
      <c r="C135" s="350" t="s">
        <v>12</v>
      </c>
      <c r="D135" s="350" t="s">
        <v>1493</v>
      </c>
      <c r="E135" s="875" t="s">
        <v>13</v>
      </c>
      <c r="F135" s="780">
        <v>25</v>
      </c>
      <c r="G135" s="982"/>
      <c r="H135" s="1008"/>
      <c r="I135" s="1063"/>
      <c r="J135" s="1116"/>
      <c r="K135" s="1207"/>
      <c r="L135" s="622"/>
      <c r="M135" s="982"/>
      <c r="N135" s="622"/>
      <c r="O135" s="982"/>
      <c r="P135" s="622"/>
      <c r="Q135" s="1063"/>
      <c r="R135" s="622"/>
      <c r="S135" s="982"/>
      <c r="T135" s="861"/>
      <c r="V135" s="1035"/>
    </row>
    <row r="136" spans="1:44" s="224" customFormat="1" ht="15" customHeight="1" x14ac:dyDescent="0.25">
      <c r="A136" s="247">
        <v>45564</v>
      </c>
      <c r="B136" s="882" t="s">
        <v>14</v>
      </c>
      <c r="C136" s="879" t="s">
        <v>12</v>
      </c>
      <c r="D136" s="879" t="s">
        <v>1486</v>
      </c>
      <c r="E136" s="480" t="s">
        <v>13</v>
      </c>
      <c r="F136" s="780">
        <v>10.31</v>
      </c>
      <c r="G136" s="982"/>
      <c r="H136" s="622"/>
      <c r="I136" s="982"/>
      <c r="J136" s="622"/>
      <c r="K136" s="982"/>
      <c r="L136" s="622"/>
      <c r="M136" s="982"/>
      <c r="N136" s="622"/>
      <c r="O136" s="982"/>
      <c r="P136" s="880"/>
      <c r="Q136" s="1525"/>
      <c r="R136" s="613"/>
      <c r="S136" s="162"/>
      <c r="T136" s="195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</row>
    <row r="137" spans="1:44" s="224" customFormat="1" ht="15" customHeight="1" x14ac:dyDescent="0.25">
      <c r="A137" s="247">
        <v>45564</v>
      </c>
      <c r="B137" s="882" t="s">
        <v>32</v>
      </c>
      <c r="C137" s="879" t="s">
        <v>12</v>
      </c>
      <c r="D137" s="879" t="s">
        <v>1485</v>
      </c>
      <c r="E137" s="875" t="s">
        <v>13</v>
      </c>
      <c r="F137" s="780">
        <v>26</v>
      </c>
      <c r="G137" s="982"/>
      <c r="H137" s="622"/>
      <c r="I137" s="982"/>
      <c r="J137" s="622"/>
      <c r="K137" s="982"/>
      <c r="L137" s="622"/>
      <c r="M137" s="982"/>
      <c r="N137" s="622"/>
      <c r="O137" s="982"/>
      <c r="P137" s="622"/>
      <c r="Q137" s="1063"/>
      <c r="R137" s="622"/>
      <c r="S137" s="982"/>
      <c r="T137" s="1028"/>
      <c r="U137" s="959"/>
      <c r="V137" s="878"/>
      <c r="W137" s="958"/>
    </row>
    <row r="138" spans="1:44" s="224" customFormat="1" ht="15" customHeight="1" x14ac:dyDescent="0.25">
      <c r="A138" s="247">
        <v>45564</v>
      </c>
      <c r="B138" s="882" t="s">
        <v>1906</v>
      </c>
      <c r="C138" s="879" t="s">
        <v>12</v>
      </c>
      <c r="D138" s="879" t="s">
        <v>1493</v>
      </c>
      <c r="E138" s="871" t="s">
        <v>13</v>
      </c>
      <c r="F138" s="780">
        <v>30</v>
      </c>
      <c r="G138" s="982"/>
      <c r="H138" s="622"/>
      <c r="I138" s="982"/>
      <c r="J138" s="872"/>
      <c r="K138" s="1207"/>
      <c r="L138" s="622"/>
      <c r="M138" s="982"/>
      <c r="N138" s="622"/>
      <c r="O138" s="982"/>
      <c r="P138" s="622"/>
      <c r="Q138" s="1063"/>
      <c r="R138" s="622"/>
      <c r="S138" s="982"/>
      <c r="T138" s="1028"/>
      <c r="U138" s="959"/>
      <c r="V138" s="878"/>
      <c r="W138" s="958"/>
    </row>
    <row r="139" spans="1:44" s="224" customFormat="1" ht="15" customHeight="1" x14ac:dyDescent="0.25">
      <c r="A139" s="247">
        <v>45565</v>
      </c>
      <c r="B139" s="882" t="s">
        <v>6329</v>
      </c>
      <c r="C139" s="879" t="s">
        <v>12</v>
      </c>
      <c r="D139" s="879"/>
      <c r="E139" s="875" t="s">
        <v>25</v>
      </c>
      <c r="F139" s="780"/>
      <c r="G139" s="982">
        <v>100</v>
      </c>
      <c r="H139" s="622"/>
      <c r="I139" s="982"/>
      <c r="J139" s="622"/>
      <c r="K139" s="982"/>
      <c r="L139" s="622"/>
      <c r="M139" s="982"/>
      <c r="N139" s="853"/>
      <c r="O139" s="982"/>
      <c r="P139" s="622"/>
      <c r="Q139" s="1063"/>
      <c r="R139" s="622"/>
      <c r="S139" s="982"/>
      <c r="T139" s="927"/>
      <c r="U139" s="927"/>
      <c r="V139" s="878"/>
    </row>
    <row r="140" spans="1:44" s="224" customFormat="1" ht="15" customHeight="1" x14ac:dyDescent="0.25">
      <c r="A140" s="247">
        <v>45565</v>
      </c>
      <c r="B140" s="882" t="s">
        <v>32</v>
      </c>
      <c r="C140" s="879" t="s">
        <v>12</v>
      </c>
      <c r="D140" s="879" t="s">
        <v>1485</v>
      </c>
      <c r="E140" s="875" t="s">
        <v>13</v>
      </c>
      <c r="F140" s="780">
        <v>22</v>
      </c>
      <c r="G140" s="982"/>
      <c r="H140" s="622"/>
      <c r="I140" s="982"/>
      <c r="J140" s="622"/>
      <c r="K140" s="982"/>
      <c r="L140" s="622"/>
      <c r="M140" s="982"/>
      <c r="N140" s="622"/>
      <c r="O140" s="982"/>
      <c r="P140" s="622"/>
      <c r="Q140" s="1063"/>
      <c r="R140" s="622"/>
      <c r="S140" s="982"/>
      <c r="T140" s="1028"/>
      <c r="U140" s="959"/>
      <c r="V140" s="878"/>
      <c r="W140" s="958"/>
    </row>
    <row r="141" spans="1:44" s="224" customFormat="1" ht="15" customHeight="1" x14ac:dyDescent="0.25">
      <c r="A141" s="247">
        <v>45565</v>
      </c>
      <c r="B141" s="364" t="s">
        <v>6927</v>
      </c>
      <c r="C141" s="350" t="s">
        <v>12</v>
      </c>
      <c r="D141" s="350" t="s">
        <v>1524</v>
      </c>
      <c r="E141" s="875" t="s">
        <v>13</v>
      </c>
      <c r="F141" s="780">
        <v>107.97</v>
      </c>
      <c r="G141" s="982"/>
      <c r="H141" s="1008"/>
      <c r="I141" s="1063"/>
      <c r="J141" s="1116"/>
      <c r="K141" s="1207"/>
      <c r="L141" s="622"/>
      <c r="M141" s="982"/>
      <c r="N141" s="622"/>
      <c r="O141" s="982"/>
      <c r="P141" s="622"/>
      <c r="Q141" s="1063"/>
      <c r="R141" s="622"/>
      <c r="S141" s="982"/>
      <c r="T141" s="861"/>
      <c r="V141" s="1035"/>
    </row>
    <row r="142" spans="1:44" s="224" customFormat="1" ht="15" customHeight="1" x14ac:dyDescent="0.25">
      <c r="A142" s="247">
        <v>45565</v>
      </c>
      <c r="B142" s="882" t="s">
        <v>6529</v>
      </c>
      <c r="C142" s="879" t="s">
        <v>12</v>
      </c>
      <c r="D142" s="879"/>
      <c r="E142" s="871"/>
      <c r="F142" s="780">
        <v>94.3</v>
      </c>
      <c r="G142" s="982"/>
      <c r="H142" s="622"/>
      <c r="I142" s="982"/>
      <c r="J142" s="622"/>
      <c r="K142" s="982">
        <v>94.3</v>
      </c>
      <c r="L142" s="622"/>
      <c r="M142" s="982"/>
      <c r="N142" s="622"/>
      <c r="O142" s="982"/>
      <c r="P142" s="622"/>
      <c r="Q142" s="1063"/>
      <c r="R142" s="622"/>
      <c r="S142" s="982"/>
      <c r="T142" s="1028"/>
      <c r="U142" s="959"/>
      <c r="V142" s="878"/>
      <c r="W142" s="958"/>
    </row>
    <row r="143" spans="1:44" s="224" customFormat="1" ht="15" customHeight="1" x14ac:dyDescent="0.25">
      <c r="A143" s="247">
        <v>45565</v>
      </c>
      <c r="B143" s="882" t="s">
        <v>14</v>
      </c>
      <c r="C143" s="879" t="s">
        <v>12</v>
      </c>
      <c r="D143" s="879" t="s">
        <v>1486</v>
      </c>
      <c r="E143" s="480" t="s">
        <v>13</v>
      </c>
      <c r="F143" s="780">
        <v>12.53</v>
      </c>
      <c r="G143" s="982"/>
      <c r="H143" s="1008"/>
      <c r="I143" s="1063"/>
      <c r="J143" s="622"/>
      <c r="K143" s="982"/>
      <c r="L143" s="622"/>
      <c r="M143" s="982"/>
      <c r="N143" s="622"/>
      <c r="O143" s="982"/>
      <c r="P143" s="622"/>
      <c r="Q143" s="1063"/>
      <c r="R143" s="622"/>
      <c r="S143" s="982"/>
      <c r="T143" s="861"/>
      <c r="V143" s="1035"/>
    </row>
    <row r="144" spans="1:44" s="224" customFormat="1" ht="15" customHeight="1" thickBot="1" x14ac:dyDescent="0.3">
      <c r="A144" s="247">
        <v>45565</v>
      </c>
      <c r="B144" s="349" t="s">
        <v>6168</v>
      </c>
      <c r="C144" s="350" t="s">
        <v>12</v>
      </c>
      <c r="D144" s="350"/>
      <c r="E144" s="480" t="s">
        <v>25</v>
      </c>
      <c r="F144" s="780"/>
      <c r="G144" s="946"/>
      <c r="H144" s="95"/>
      <c r="I144" s="2096"/>
      <c r="J144" s="622"/>
      <c r="K144" s="1063"/>
      <c r="L144" s="622"/>
      <c r="M144" s="982"/>
      <c r="N144" s="622"/>
      <c r="O144" s="982"/>
      <c r="P144" s="622"/>
      <c r="Q144" s="2096">
        <v>34.299999999999997</v>
      </c>
      <c r="R144" s="622"/>
      <c r="S144" s="982"/>
      <c r="T144" s="861"/>
      <c r="V144" s="927"/>
      <c r="W144" s="999"/>
    </row>
    <row r="145" spans="1:28" ht="25.5" customHeight="1" thickBot="1" x14ac:dyDescent="0.3">
      <c r="A145" s="3060"/>
      <c r="B145" s="3061"/>
      <c r="C145" s="3062"/>
      <c r="D145" s="3062"/>
      <c r="E145" s="3062"/>
      <c r="F145" s="1023">
        <f>SUM(F6:F144)</f>
        <v>9054.5366666666669</v>
      </c>
      <c r="G145" s="1065">
        <f>SUM(G5:G144)</f>
        <v>9665.2482500000478</v>
      </c>
      <c r="H145" s="517">
        <f>SUM(H6:H144)</f>
        <v>150</v>
      </c>
      <c r="I145" s="93">
        <f>SUM(I5:I144)</f>
        <v>149.99599999999896</v>
      </c>
      <c r="J145" s="517">
        <f>SUM(J6:J144)</f>
        <v>2725</v>
      </c>
      <c r="K145" s="93">
        <f>SUM(K5:K144)</f>
        <v>3220.4200000000055</v>
      </c>
      <c r="L145" s="1023">
        <f>SUM(L6:L144)</f>
        <v>0</v>
      </c>
      <c r="M145" s="93">
        <f>SUM(M5:M144)</f>
        <v>26844.530000000002</v>
      </c>
      <c r="N145" s="1023">
        <f>SUM(N6:N144)</f>
        <v>0</v>
      </c>
      <c r="O145" s="93">
        <f>SUM(O5:O144)</f>
        <v>0</v>
      </c>
      <c r="P145" s="1023">
        <f>SUM(P6:P144)</f>
        <v>900</v>
      </c>
      <c r="Q145" s="93">
        <f>SUM(Q5:Q144)</f>
        <v>2804.300000000002</v>
      </c>
      <c r="R145" s="1023">
        <f>SUM(R6:R144)</f>
        <v>0</v>
      </c>
      <c r="S145" s="93">
        <f>SUM(S5:S144)</f>
        <v>33046.245984720001</v>
      </c>
      <c r="U145" s="216"/>
    </row>
    <row r="146" spans="1:28" ht="25.5" customHeight="1" thickBot="1" x14ac:dyDescent="0.3">
      <c r="A146" s="3063" t="s">
        <v>49</v>
      </c>
      <c r="B146" s="3064"/>
      <c r="C146" s="3064"/>
      <c r="D146" s="3064"/>
      <c r="E146" s="3064"/>
      <c r="F146" s="2046" t="s">
        <v>280</v>
      </c>
      <c r="G146" s="1066">
        <f>G145-F145</f>
        <v>610.71158333338099</v>
      </c>
      <c r="H146" s="1221"/>
      <c r="I146" s="772">
        <f>I145-H145</f>
        <v>-4.0000000010422809E-3</v>
      </c>
      <c r="J146" s="1221"/>
      <c r="K146" s="772">
        <f>K145-J145</f>
        <v>495.42000000000553</v>
      </c>
      <c r="L146" s="1222"/>
      <c r="M146" s="993">
        <f>M145-L145</f>
        <v>26844.530000000002</v>
      </c>
      <c r="N146" s="1222"/>
      <c r="O146" s="772">
        <f>O145-N145</f>
        <v>0</v>
      </c>
      <c r="P146" s="1222"/>
      <c r="Q146" s="772">
        <f>Q145-P145</f>
        <v>1904.300000000002</v>
      </c>
      <c r="R146" s="1222"/>
      <c r="S146" s="772">
        <f>S145-R145</f>
        <v>33046.245984720001</v>
      </c>
      <c r="T146" s="484">
        <f>M146+O146+Q146+S146</f>
        <v>61795.07598472001</v>
      </c>
    </row>
    <row r="147" spans="1:28" x14ac:dyDescent="0.25">
      <c r="J147" s="1210"/>
      <c r="K147" s="1038"/>
      <c r="L147" s="2044"/>
      <c r="M147" s="1238">
        <f>M146/T146</f>
        <v>0.43441212058122264</v>
      </c>
      <c r="O147" s="1238">
        <f>O146/T146</f>
        <v>0</v>
      </c>
      <c r="Q147" s="1238">
        <f>Q146/T146</f>
        <v>3.0816371201985025E-2</v>
      </c>
      <c r="R147" s="1239"/>
      <c r="S147" s="1239">
        <f>S146/T146</f>
        <v>0.53477150821679231</v>
      </c>
      <c r="T147" s="867"/>
      <c r="U147" s="867"/>
      <c r="V147" s="79"/>
      <c r="Y147" s="518"/>
      <c r="Z147" s="216"/>
      <c r="AB147" s="877"/>
    </row>
    <row r="148" spans="1:28" x14ac:dyDescent="0.25">
      <c r="B148" s="81" t="s">
        <v>3</v>
      </c>
      <c r="C148" s="193" t="s">
        <v>1484</v>
      </c>
      <c r="D148" s="970" t="s">
        <v>2378</v>
      </c>
      <c r="E148" s="193" t="s">
        <v>3216</v>
      </c>
      <c r="F148" s="1061" t="s">
        <v>3217</v>
      </c>
      <c r="G148" s="216"/>
      <c r="I148" s="216"/>
      <c r="K148" s="216"/>
      <c r="L148" s="1038"/>
      <c r="M148" s="866"/>
      <c r="O148" s="866"/>
      <c r="Q148" s="866"/>
      <c r="R148" s="1038"/>
      <c r="S148" s="1038"/>
      <c r="T148" s="865"/>
      <c r="U148" s="867"/>
    </row>
    <row r="149" spans="1:28" x14ac:dyDescent="0.25">
      <c r="B149" s="79" t="s">
        <v>32</v>
      </c>
      <c r="C149" s="85" t="s">
        <v>1485</v>
      </c>
      <c r="D149" s="475">
        <f>SUMIF($D$7:$D$144,"A",$F$7:$F$144)</f>
        <v>508</v>
      </c>
      <c r="E149" s="1202">
        <f t="shared" ref="E149:E165" si="0">D149/$K$169</f>
        <v>16.933333333333334</v>
      </c>
      <c r="F149" s="1203">
        <f t="shared" ref="F149:F165" si="1">E149/$E$170</f>
        <v>0.10114223026581692</v>
      </c>
      <c r="G149" s="800"/>
      <c r="I149" s="769"/>
      <c r="J149" s="1038"/>
      <c r="L149" s="1210"/>
      <c r="M149" s="754"/>
      <c r="O149" s="886"/>
      <c r="Q149" s="886"/>
      <c r="R149" s="886"/>
      <c r="S149" s="1038">
        <v>24197.98</v>
      </c>
      <c r="T149" s="1038" t="s">
        <v>6378</v>
      </c>
      <c r="U149" s="1210"/>
      <c r="W149" s="1201"/>
      <c r="X149" s="877"/>
    </row>
    <row r="150" spans="1:28" x14ac:dyDescent="0.25">
      <c r="B150" s="79" t="s">
        <v>2187</v>
      </c>
      <c r="C150" s="85" t="s">
        <v>2157</v>
      </c>
      <c r="D150" s="475">
        <f>SUMIF($D$7:$D$144,"GAC",$F$7:$F$144)</f>
        <v>48.02</v>
      </c>
      <c r="E150" s="1202">
        <f t="shared" si="0"/>
        <v>1.6006666666666667</v>
      </c>
      <c r="F150" s="1203">
        <f t="shared" si="1"/>
        <v>9.5607281444183637E-3</v>
      </c>
      <c r="G150" s="609"/>
      <c r="J150" s="2125"/>
      <c r="K150" s="1129"/>
      <c r="L150" s="1038"/>
      <c r="M150" s="1225"/>
      <c r="O150" s="1210"/>
      <c r="Q150" s="1038"/>
      <c r="R150" s="1210"/>
      <c r="S150" s="1210">
        <f>S146+S149</f>
        <v>57244.225984720004</v>
      </c>
      <c r="T150" s="1038" t="s">
        <v>6379</v>
      </c>
      <c r="W150" s="877"/>
      <c r="X150" s="877"/>
    </row>
    <row r="151" spans="1:28" s="85" customFormat="1" x14ac:dyDescent="0.25">
      <c r="A151" s="79"/>
      <c r="B151" s="79" t="s">
        <v>50</v>
      </c>
      <c r="C151" s="85" t="s">
        <v>1493</v>
      </c>
      <c r="D151" s="475">
        <f>SUMIF($D$7:$D$144,"LD",$F$7:$F$144)</f>
        <v>393.28</v>
      </c>
      <c r="E151" s="1202">
        <f t="shared" si="0"/>
        <v>13.109333333333332</v>
      </c>
      <c r="F151" s="1203">
        <f t="shared" si="1"/>
        <v>7.830160692704817E-2</v>
      </c>
      <c r="J151" s="1210"/>
      <c r="K151" s="1038"/>
      <c r="L151" s="864"/>
      <c r="M151" s="877"/>
      <c r="O151" s="941"/>
      <c r="P151" s="877"/>
      <c r="Q151" s="863"/>
      <c r="S151" s="79"/>
      <c r="T151" s="177"/>
      <c r="W151" s="877"/>
      <c r="X151" s="877"/>
    </row>
    <row r="152" spans="1:28" s="85" customFormat="1" x14ac:dyDescent="0.25">
      <c r="A152" s="79"/>
      <c r="B152" s="79" t="s">
        <v>14</v>
      </c>
      <c r="C152" s="85" t="s">
        <v>1486</v>
      </c>
      <c r="D152" s="475">
        <f>SUMIF($D$7:$D$144,"C",$F$7:$F$144)</f>
        <v>78.28</v>
      </c>
      <c r="E152" s="1202">
        <f t="shared" si="0"/>
        <v>2.6093333333333333</v>
      </c>
      <c r="F152" s="1203">
        <f t="shared" si="1"/>
        <v>1.5585460207102653E-2</v>
      </c>
      <c r="G152" s="79"/>
      <c r="H152" s="79"/>
      <c r="J152" s="1210"/>
      <c r="K152" s="1038"/>
      <c r="L152" s="1038"/>
      <c r="M152" s="877"/>
      <c r="O152" s="1028"/>
      <c r="P152" s="877"/>
      <c r="Q152" s="1038"/>
      <c r="T152" s="177"/>
      <c r="W152" s="877"/>
      <c r="X152" s="877"/>
    </row>
    <row r="153" spans="1:28" s="85" customFormat="1" x14ac:dyDescent="0.25">
      <c r="B153" s="79" t="s">
        <v>51</v>
      </c>
      <c r="C153" s="864" t="s">
        <v>1499</v>
      </c>
      <c r="D153" s="475">
        <f>SUMIF($D$27:$D$144,"CAL",$F$27:$F$144)</f>
        <v>69.430000000000007</v>
      </c>
      <c r="E153" s="1202">
        <f t="shared" si="0"/>
        <v>2.3143333333333334</v>
      </c>
      <c r="F153" s="1203">
        <f t="shared" si="1"/>
        <v>1.3823435132589899E-2</v>
      </c>
      <c r="G153" s="79"/>
      <c r="H153" s="79"/>
      <c r="I153" s="79"/>
      <c r="J153" s="1210"/>
      <c r="K153" s="1038"/>
      <c r="L153" s="1038"/>
      <c r="M153" s="877"/>
      <c r="O153" s="1028"/>
      <c r="P153" s="877"/>
      <c r="Q153" s="1038"/>
      <c r="R153" s="1210"/>
      <c r="S153" s="1038"/>
      <c r="T153" s="177"/>
      <c r="W153" s="877"/>
      <c r="X153" s="877"/>
    </row>
    <row r="154" spans="1:28" s="85" customFormat="1" x14ac:dyDescent="0.25">
      <c r="A154" s="79"/>
      <c r="B154" s="79" t="s">
        <v>2189</v>
      </c>
      <c r="C154" s="864" t="s">
        <v>1496</v>
      </c>
      <c r="D154" s="475">
        <f>SUMIF($D$27:$D$144,"AC",$F$27:$F$144)</f>
        <v>100</v>
      </c>
      <c r="E154" s="1202">
        <f t="shared" si="0"/>
        <v>3.3333333333333335</v>
      </c>
      <c r="F154" s="1203">
        <f t="shared" si="1"/>
        <v>1.9909887847601757E-2</v>
      </c>
      <c r="G154" s="79"/>
      <c r="J154" s="1210"/>
      <c r="K154" s="1038"/>
      <c r="L154" s="1038"/>
      <c r="M154" s="877"/>
      <c r="O154" s="877"/>
      <c r="Q154" s="177"/>
      <c r="T154" s="177"/>
      <c r="W154" s="877"/>
      <c r="X154" s="877"/>
    </row>
    <row r="155" spans="1:28" s="85" customFormat="1" x14ac:dyDescent="0.25">
      <c r="A155" s="79"/>
      <c r="B155" s="867" t="s">
        <v>53</v>
      </c>
      <c r="C155" s="864" t="s">
        <v>1522</v>
      </c>
      <c r="D155" s="475">
        <f>SUMIF($D$7:$D$144,"DC",$F$7:$F$144)</f>
        <v>115</v>
      </c>
      <c r="E155" s="1202">
        <f t="shared" si="0"/>
        <v>3.8333333333333335</v>
      </c>
      <c r="F155" s="1203">
        <f t="shared" si="1"/>
        <v>2.289637102474202E-2</v>
      </c>
      <c r="J155" s="1210"/>
      <c r="K155" s="1038"/>
      <c r="L155" s="79"/>
      <c r="M155" s="877"/>
      <c r="O155" s="1959"/>
      <c r="Q155" s="177"/>
      <c r="R155" s="868"/>
      <c r="S155" s="769"/>
      <c r="T155" s="79"/>
      <c r="W155" s="877"/>
      <c r="X155" s="877"/>
    </row>
    <row r="156" spans="1:28" s="85" customFormat="1" x14ac:dyDescent="0.25">
      <c r="A156" s="79"/>
      <c r="B156" s="79" t="s">
        <v>3048</v>
      </c>
      <c r="C156" s="864" t="s">
        <v>1523</v>
      </c>
      <c r="D156" s="475">
        <f ca="1">SUMIF($D$27:$D$145,"B",$F$27:$F$144)</f>
        <v>99.77000000000001</v>
      </c>
      <c r="E156" s="1202">
        <f t="shared" ca="1" si="0"/>
        <v>3.3256666666666672</v>
      </c>
      <c r="F156" s="1203">
        <f t="shared" ca="1" si="1"/>
        <v>1.9864095105552274E-2</v>
      </c>
      <c r="G156" s="866"/>
      <c r="J156" s="1210"/>
      <c r="K156" s="1038"/>
      <c r="L156" s="1038"/>
      <c r="M156" s="877"/>
      <c r="O156" s="877"/>
      <c r="Q156" s="177"/>
      <c r="R156" s="866"/>
      <c r="S156" s="1210"/>
      <c r="T156" s="877"/>
      <c r="W156" s="877"/>
      <c r="X156" s="877"/>
    </row>
    <row r="157" spans="1:28" s="85" customFormat="1" x14ac:dyDescent="0.25">
      <c r="A157" s="79"/>
      <c r="B157" s="79" t="s">
        <v>1686</v>
      </c>
      <c r="C157" s="864" t="s">
        <v>1506</v>
      </c>
      <c r="D157" s="475">
        <f>SUMIF($D$7:$D$144,"R",$F$7:$F$144)</f>
        <v>176.66666666666669</v>
      </c>
      <c r="E157" s="1202">
        <f t="shared" si="0"/>
        <v>5.8888888888888893</v>
      </c>
      <c r="F157" s="1203">
        <f t="shared" si="1"/>
        <v>3.5174135197429769E-2</v>
      </c>
      <c r="G157" s="868"/>
      <c r="J157" s="1210"/>
      <c r="K157" s="1038"/>
      <c r="M157" s="877"/>
      <c r="O157" s="877"/>
      <c r="Q157" s="177"/>
      <c r="R157" s="1226"/>
      <c r="S157" s="1129"/>
      <c r="T157" s="877"/>
      <c r="W157" s="877"/>
      <c r="X157" s="877"/>
    </row>
    <row r="158" spans="1:28" x14ac:dyDescent="0.25">
      <c r="B158" s="79" t="s">
        <v>418</v>
      </c>
      <c r="C158" s="85" t="s">
        <v>1524</v>
      </c>
      <c r="D158" s="475">
        <f>SUMIF($D$7:$D$144,"COM",$F$7:$F$144)</f>
        <v>2725.0033333333331</v>
      </c>
      <c r="E158" s="1202">
        <f t="shared" si="0"/>
        <v>90.833444444444439</v>
      </c>
      <c r="F158" s="1203">
        <f t="shared" si="1"/>
        <v>0.54254510751007601</v>
      </c>
      <c r="G158" s="85"/>
      <c r="H158" s="85"/>
      <c r="I158" s="85"/>
      <c r="J158" s="1210"/>
      <c r="K158" s="1038"/>
      <c r="L158" s="769"/>
      <c r="M158" s="1225"/>
      <c r="N158" s="769"/>
      <c r="O158" s="877"/>
      <c r="P158" s="769"/>
      <c r="Q158" s="216"/>
      <c r="R158" s="1038"/>
      <c r="S158" s="1226"/>
      <c r="T158" s="877"/>
      <c r="W158" s="877"/>
      <c r="X158" s="877"/>
    </row>
    <row r="159" spans="1:28" x14ac:dyDescent="0.25">
      <c r="B159" s="79" t="s">
        <v>6732</v>
      </c>
      <c r="C159" s="85" t="s">
        <v>1491</v>
      </c>
      <c r="D159" s="475">
        <f>SUMIF($D$7:$D$144,"F",$F$7:$F$144)</f>
        <v>1591.9</v>
      </c>
      <c r="E159" s="1202">
        <f t="shared" si="0"/>
        <v>53.06333333333334</v>
      </c>
      <c r="F159" s="1203">
        <f t="shared" si="1"/>
        <v>0.31694550464597238</v>
      </c>
      <c r="I159" s="85"/>
      <c r="J159" s="1210"/>
      <c r="K159" s="1038"/>
      <c r="P159" s="216"/>
      <c r="Q159" s="216"/>
      <c r="S159" s="484"/>
      <c r="T159" s="877"/>
      <c r="W159" s="877"/>
      <c r="X159" s="877"/>
    </row>
    <row r="160" spans="1:28" x14ac:dyDescent="0.25">
      <c r="B160" s="79" t="s">
        <v>6733</v>
      </c>
      <c r="C160" s="85" t="s">
        <v>6731</v>
      </c>
      <c r="D160" s="475">
        <f>SUMIF($D$7:$D$144,"F2",$F$7:$F$144)</f>
        <v>118.33</v>
      </c>
      <c r="E160" s="1202">
        <f t="shared" si="0"/>
        <v>3.9443333333333332</v>
      </c>
      <c r="F160" s="1203">
        <f t="shared" si="1"/>
        <v>2.3559370290067157E-2</v>
      </c>
      <c r="I160" s="85"/>
      <c r="J160" s="1210"/>
      <c r="K160" s="1038"/>
      <c r="P160" s="216"/>
      <c r="Q160" s="216"/>
      <c r="S160" s="484"/>
      <c r="T160" s="877"/>
      <c r="W160" s="877"/>
      <c r="X160" s="877"/>
    </row>
    <row r="161" spans="1:26" x14ac:dyDescent="0.25">
      <c r="B161" s="79" t="s">
        <v>911</v>
      </c>
      <c r="C161" s="85" t="s">
        <v>1525</v>
      </c>
      <c r="D161" s="475">
        <f>SUMIF($D$27:$D$144,"FER",$F$27:$F$144)</f>
        <v>47.98</v>
      </c>
      <c r="E161" s="1202">
        <f t="shared" si="0"/>
        <v>1.5993333333333333</v>
      </c>
      <c r="F161" s="1203">
        <f t="shared" si="1"/>
        <v>9.5527641892793214E-3</v>
      </c>
      <c r="J161" s="1210"/>
      <c r="K161" s="1038"/>
      <c r="Q161" s="216"/>
      <c r="S161" s="484"/>
      <c r="T161" s="1673"/>
      <c r="W161" s="877"/>
      <c r="X161" s="877"/>
    </row>
    <row r="162" spans="1:26" x14ac:dyDescent="0.25">
      <c r="B162" s="79" t="s">
        <v>1526</v>
      </c>
      <c r="C162" s="85" t="s">
        <v>1504</v>
      </c>
      <c r="D162" s="475">
        <f>SUMIF($D$31:$D$144,"I",$F$31:$F$144)</f>
        <v>185.59666666666666</v>
      </c>
      <c r="E162" s="1202">
        <f t="shared" si="0"/>
        <v>6.1865555555555556</v>
      </c>
      <c r="F162" s="1203">
        <f t="shared" si="1"/>
        <v>3.6952088182220608E-2</v>
      </c>
      <c r="J162" s="1210"/>
      <c r="K162" s="1038"/>
      <c r="L162" s="769"/>
      <c r="M162" s="868"/>
      <c r="N162" s="769"/>
      <c r="P162" s="769"/>
      <c r="Q162" s="886"/>
      <c r="R162" s="1210"/>
      <c r="S162" s="1038"/>
      <c r="T162" s="1129"/>
      <c r="V162" s="1129"/>
      <c r="W162" s="877"/>
      <c r="X162" s="877"/>
    </row>
    <row r="163" spans="1:26" x14ac:dyDescent="0.25">
      <c r="B163" s="79" t="s">
        <v>2343</v>
      </c>
      <c r="C163" s="85" t="s">
        <v>2315</v>
      </c>
      <c r="D163" s="475">
        <f>SUMIF($D$31:$D$144,"E",$F$31:$F$144)</f>
        <v>0</v>
      </c>
      <c r="E163" s="1202">
        <f t="shared" si="0"/>
        <v>0</v>
      </c>
      <c r="F163" s="1203">
        <f t="shared" si="1"/>
        <v>0</v>
      </c>
      <c r="J163" s="1210"/>
      <c r="K163" s="1038"/>
      <c r="L163" s="769"/>
      <c r="M163" s="868"/>
      <c r="N163" s="769"/>
      <c r="O163" s="1210"/>
      <c r="P163" s="769"/>
      <c r="Q163" s="1673"/>
      <c r="R163" s="1210"/>
      <c r="S163" s="1038"/>
      <c r="T163" s="1129"/>
      <c r="V163" s="1129"/>
      <c r="W163" s="877"/>
      <c r="X163" s="877"/>
    </row>
    <row r="164" spans="1:26" x14ac:dyDescent="0.25">
      <c r="B164" s="79" t="s">
        <v>3019</v>
      </c>
      <c r="C164" s="85" t="s">
        <v>3017</v>
      </c>
      <c r="D164" s="475">
        <f>SUMIF($D$6:$D$144,"IM",$F$6:$F$144)</f>
        <v>0</v>
      </c>
      <c r="E164" s="1202">
        <f t="shared" si="0"/>
        <v>0</v>
      </c>
      <c r="F164" s="1203">
        <f t="shared" si="1"/>
        <v>0</v>
      </c>
      <c r="J164" s="1210"/>
      <c r="K164" s="1038"/>
      <c r="L164" s="769"/>
      <c r="N164" s="769"/>
      <c r="P164" s="769"/>
      <c r="R164" s="941"/>
      <c r="S164" s="224"/>
      <c r="T164" s="1226"/>
      <c r="U164" s="1129"/>
      <c r="V164" s="1129"/>
      <c r="W164" s="877"/>
      <c r="X164" s="877"/>
    </row>
    <row r="165" spans="1:26" ht="15.75" thickBot="1" x14ac:dyDescent="0.3">
      <c r="B165" s="301" t="s">
        <v>1527</v>
      </c>
      <c r="C165" s="2400" t="s">
        <v>1489</v>
      </c>
      <c r="D165" s="2401">
        <f>SUMIF($D$7:$D$144,"OD",$F$7:$F$144)</f>
        <v>470.06</v>
      </c>
      <c r="E165" s="2402">
        <f t="shared" si="0"/>
        <v>15.668666666666667</v>
      </c>
      <c r="F165" s="2403">
        <f t="shared" si="1"/>
        <v>9.3588418816436814E-2</v>
      </c>
      <c r="J165" s="1210"/>
      <c r="K165" s="1038"/>
      <c r="R165" s="1210"/>
      <c r="S165" s="1038"/>
      <c r="T165" s="1226"/>
      <c r="U165" s="1129"/>
      <c r="V165" s="1129"/>
      <c r="W165" s="877"/>
      <c r="X165" s="877"/>
    </row>
    <row r="166" spans="1:26" x14ac:dyDescent="0.25">
      <c r="B166" s="1124" t="s">
        <v>6790</v>
      </c>
      <c r="C166" s="1124"/>
      <c r="D166" s="1125">
        <f>SUMIF($B$7:$B$144,"Crédito Gasolina",$G$7:$G$144)</f>
        <v>475.6</v>
      </c>
      <c r="E166" s="1138">
        <f>D166/K169</f>
        <v>15.853333333333333</v>
      </c>
      <c r="F166" s="1124"/>
      <c r="J166" s="2037"/>
      <c r="K166" s="629"/>
      <c r="R166" s="1210"/>
      <c r="S166" s="1038"/>
      <c r="T166" s="1227"/>
      <c r="U166" s="1129"/>
      <c r="V166" s="1129"/>
      <c r="W166" s="877"/>
      <c r="X166" s="877"/>
    </row>
    <row r="167" spans="1:26" x14ac:dyDescent="0.25">
      <c r="B167" s="1124" t="s">
        <v>6918</v>
      </c>
      <c r="C167" s="1124"/>
      <c r="D167" s="1125">
        <f>SUMIF($B$7:$B$144,"Trabalho Art frutt",$G$7:$G$144)</f>
        <v>500</v>
      </c>
      <c r="E167" s="1138">
        <f>D167/K169</f>
        <v>16.666666666666668</v>
      </c>
      <c r="F167" s="1124"/>
      <c r="J167" s="2037"/>
      <c r="K167" s="629"/>
      <c r="L167" s="459" t="s">
        <v>6481</v>
      </c>
      <c r="M167" s="2125" t="s">
        <v>6482</v>
      </c>
      <c r="R167" s="1210"/>
      <c r="S167" s="1038"/>
      <c r="T167" s="1227"/>
      <c r="U167" s="1129"/>
      <c r="V167" s="1129"/>
      <c r="W167" s="877"/>
      <c r="X167" s="877"/>
    </row>
    <row r="168" spans="1:26" x14ac:dyDescent="0.25">
      <c r="B168" s="1124"/>
      <c r="C168" s="1124"/>
      <c r="D168" s="2399"/>
      <c r="E168" s="1124"/>
      <c r="F168" s="1124"/>
      <c r="J168" s="2037"/>
      <c r="K168" s="629"/>
      <c r="L168" s="459"/>
      <c r="M168" s="2125"/>
      <c r="R168" s="1210"/>
      <c r="S168" s="1038"/>
      <c r="T168" s="1227"/>
      <c r="U168" s="1129"/>
      <c r="V168" s="1129"/>
      <c r="W168" s="877"/>
      <c r="X168" s="877"/>
    </row>
    <row r="169" spans="1:26" x14ac:dyDescent="0.25">
      <c r="C169" s="3168" t="s">
        <v>486</v>
      </c>
      <c r="D169" s="3168"/>
      <c r="E169" s="863">
        <f ca="1">J169/K169</f>
        <v>224.24388888888888</v>
      </c>
      <c r="G169" s="518" t="s">
        <v>487</v>
      </c>
      <c r="J169" s="629">
        <f ca="1">SUM(D149:D165)</f>
        <v>6727.3166666666666</v>
      </c>
      <c r="K169" s="1517">
        <v>30</v>
      </c>
      <c r="M169" s="1138">
        <f ca="1">5022.63+D167-J170</f>
        <v>1520.3166666666666</v>
      </c>
      <c r="N169" s="216"/>
      <c r="P169" s="216"/>
      <c r="Q169" s="1517"/>
      <c r="R169" s="1210"/>
      <c r="S169" s="1038"/>
      <c r="T169" s="1226"/>
      <c r="U169" s="1129"/>
      <c r="V169" s="1129"/>
      <c r="W169" s="877"/>
      <c r="X169" s="877"/>
    </row>
    <row r="170" spans="1:26" ht="15.75" customHeight="1" x14ac:dyDescent="0.25">
      <c r="B170" s="3167" t="s">
        <v>6752</v>
      </c>
      <c r="C170" s="3167"/>
      <c r="D170" s="3167"/>
      <c r="E170" s="1125">
        <f>5022.63/30</f>
        <v>167.42099999999999</v>
      </c>
      <c r="G170" s="518" t="s">
        <v>6257</v>
      </c>
      <c r="J170" s="609">
        <f ca="1">J169-D158</f>
        <v>4002.3133333333335</v>
      </c>
      <c r="K170" s="629"/>
      <c r="L170" s="1517"/>
      <c r="M170" s="868"/>
      <c r="O170" s="868"/>
      <c r="Q170" s="868"/>
      <c r="R170" s="1210"/>
      <c r="S170" s="1038"/>
      <c r="T170" s="1226"/>
      <c r="U170" s="1129"/>
      <c r="V170" s="1129"/>
      <c r="W170" s="877"/>
      <c r="X170" s="877"/>
    </row>
    <row r="171" spans="1:26" x14ac:dyDescent="0.25">
      <c r="A171" s="518"/>
      <c r="C171" s="79"/>
      <c r="D171" s="79"/>
      <c r="E171" s="769"/>
      <c r="F171" s="866"/>
      <c r="G171" s="769"/>
      <c r="H171" s="866"/>
      <c r="I171" s="1210"/>
      <c r="J171" s="867"/>
      <c r="K171" s="866"/>
      <c r="L171" s="89"/>
      <c r="N171" s="1038"/>
      <c r="O171" s="1210"/>
      <c r="P171" s="1038"/>
      <c r="Q171" s="1210"/>
      <c r="R171" s="1210"/>
      <c r="S171" s="1038"/>
      <c r="T171" s="769"/>
      <c r="U171" s="484" t="s">
        <v>280</v>
      </c>
      <c r="V171" s="216"/>
      <c r="W171" s="866"/>
      <c r="X171" s="484"/>
      <c r="Z171" s="877"/>
    </row>
    <row r="172" spans="1:26" s="518" customFormat="1" x14ac:dyDescent="0.25">
      <c r="A172" s="79"/>
      <c r="B172" s="79"/>
      <c r="C172" s="79"/>
      <c r="D172" s="79"/>
      <c r="E172" s="1126">
        <f ca="1">E170-E169</f>
        <v>-56.822888888888883</v>
      </c>
      <c r="F172" s="1205">
        <f ca="1">SUM(F149:F171)</f>
        <v>1.3394012034863541</v>
      </c>
      <c r="G172" s="85"/>
      <c r="H172" s="85"/>
      <c r="I172" s="89"/>
      <c r="J172" s="1210"/>
      <c r="K172" s="754"/>
      <c r="L172" s="79"/>
      <c r="M172" s="79"/>
      <c r="N172" s="79"/>
      <c r="O172" s="79"/>
      <c r="P172" s="79"/>
      <c r="Q172" s="79"/>
      <c r="R172" s="1210"/>
      <c r="S172" s="1038"/>
      <c r="T172" s="79"/>
      <c r="U172" s="79"/>
      <c r="V172" s="866"/>
      <c r="W172" s="484"/>
      <c r="X172" s="79"/>
      <c r="Y172" s="877"/>
      <c r="Z172" s="79"/>
    </row>
    <row r="173" spans="1:26" s="518" customFormat="1" x14ac:dyDescent="0.25">
      <c r="A173" s="79"/>
      <c r="B173" s="79"/>
      <c r="C173" s="79"/>
      <c r="D173" s="79"/>
      <c r="E173" s="85"/>
      <c r="J173" s="1038"/>
      <c r="K173" s="1225"/>
      <c r="S173" s="1038"/>
      <c r="T173" s="484"/>
      <c r="U173" s="79"/>
      <c r="V173" s="877"/>
      <c r="W173" s="79"/>
    </row>
    <row r="174" spans="1:26" s="518" customFormat="1" x14ac:dyDescent="0.25">
      <c r="A174" s="79"/>
      <c r="B174" s="1124" t="s">
        <v>6376</v>
      </c>
      <c r="C174" s="2125"/>
      <c r="D174" s="2219">
        <f>SUMIF($E$7:$E$144,"crédito",$G$7:$G$144)</f>
        <v>5521.12</v>
      </c>
      <c r="E174" s="85"/>
      <c r="F174" s="89"/>
      <c r="G174" s="79"/>
      <c r="H174" s="79"/>
      <c r="I174" s="79"/>
      <c r="J174" s="1038"/>
      <c r="K174" s="1225"/>
      <c r="L174" s="769"/>
      <c r="M174" s="866"/>
      <c r="N174" s="769"/>
      <c r="O174" s="866"/>
      <c r="P174" s="769"/>
      <c r="Q174" s="866"/>
      <c r="R174" s="1210"/>
      <c r="S174" s="1038"/>
      <c r="T174" s="484"/>
      <c r="U174" s="79"/>
      <c r="V174" s="877"/>
      <c r="W174" s="79"/>
    </row>
    <row r="175" spans="1:26" s="518" customFormat="1" x14ac:dyDescent="0.25">
      <c r="A175" s="79"/>
      <c r="B175" s="518" t="s">
        <v>6496</v>
      </c>
      <c r="C175" s="459"/>
      <c r="D175" s="2218">
        <f ca="1">SUM(D149:D165)-D158</f>
        <v>4002.3133333333335</v>
      </c>
      <c r="E175" s="85"/>
      <c r="F175" s="89"/>
      <c r="G175" s="79"/>
      <c r="H175" s="79"/>
      <c r="I175" s="216"/>
      <c r="J175" s="864"/>
      <c r="K175" s="877"/>
      <c r="L175" s="769"/>
      <c r="M175" s="866"/>
      <c r="N175" s="769"/>
      <c r="O175" s="866"/>
      <c r="P175" s="769"/>
      <c r="Q175" s="866"/>
      <c r="R175" s="1210"/>
      <c r="S175" s="1038"/>
      <c r="T175" s="484"/>
      <c r="U175" s="79"/>
      <c r="V175" s="877"/>
      <c r="W175" s="79"/>
    </row>
    <row r="176" spans="1:26" s="518" customFormat="1" x14ac:dyDescent="0.25">
      <c r="A176" s="79"/>
      <c r="B176" s="81" t="s">
        <v>6497</v>
      </c>
      <c r="C176" s="81"/>
      <c r="D176" s="1014">
        <f ca="1">D174-D175</f>
        <v>1518.8066666666664</v>
      </c>
      <c r="E176" s="79"/>
      <c r="F176" s="79"/>
      <c r="G176" s="79"/>
      <c r="H176" s="79"/>
      <c r="J176" s="1038"/>
      <c r="K176" s="877"/>
      <c r="M176" s="866"/>
      <c r="O176" s="866"/>
      <c r="Q176" s="866"/>
      <c r="R176" s="1210"/>
      <c r="S176" s="1038"/>
      <c r="T176" s="484"/>
      <c r="U176" s="79"/>
      <c r="V176" s="877"/>
      <c r="W176" s="79"/>
    </row>
    <row r="177" spans="1:23" s="518" customFormat="1" x14ac:dyDescent="0.25">
      <c r="A177" s="79"/>
      <c r="B177" s="79"/>
      <c r="C177" s="79"/>
      <c r="D177" s="79"/>
      <c r="E177" s="79"/>
      <c r="F177" s="79"/>
      <c r="G177" s="79"/>
      <c r="H177" s="79"/>
      <c r="I177" s="216"/>
      <c r="J177" s="1038"/>
      <c r="K177" s="877"/>
      <c r="L177" s="769"/>
      <c r="M177" s="866"/>
      <c r="N177" s="769"/>
      <c r="O177" s="866"/>
      <c r="P177" s="769"/>
      <c r="Q177" s="866"/>
      <c r="R177" s="1210"/>
      <c r="S177" s="1038"/>
      <c r="T177" s="484"/>
      <c r="U177" s="79"/>
      <c r="V177" s="877"/>
      <c r="W177" s="79"/>
    </row>
    <row r="178" spans="1:23" s="518" customFormat="1" x14ac:dyDescent="0.25">
      <c r="A178" s="79"/>
      <c r="B178" s="79"/>
      <c r="C178" s="79"/>
      <c r="D178" s="79"/>
      <c r="E178" s="79"/>
      <c r="F178" s="79"/>
      <c r="G178" s="216"/>
      <c r="H178" s="79"/>
      <c r="I178" s="216"/>
      <c r="J178" s="1038"/>
      <c r="K178" s="877"/>
      <c r="L178" s="769"/>
      <c r="M178" s="868"/>
      <c r="N178" s="769"/>
      <c r="O178" s="868"/>
      <c r="P178" s="769"/>
      <c r="Q178" s="868"/>
      <c r="R178" s="1210"/>
      <c r="S178" s="1038"/>
      <c r="T178" s="484"/>
      <c r="U178" s="79"/>
      <c r="V178" s="877"/>
      <c r="W178" s="79"/>
    </row>
    <row r="179" spans="1:23" s="518" customFormat="1" x14ac:dyDescent="0.25">
      <c r="A179" s="79"/>
      <c r="B179" s="79"/>
      <c r="C179" s="79"/>
      <c r="D179" s="79"/>
      <c r="E179" s="79"/>
      <c r="F179" s="79"/>
      <c r="G179" s="216"/>
      <c r="H179" s="79"/>
      <c r="I179" s="216"/>
      <c r="J179" s="79"/>
      <c r="K179" s="877"/>
      <c r="L179" s="769"/>
      <c r="M179" s="866"/>
      <c r="N179" s="769"/>
      <c r="O179" s="866"/>
      <c r="P179" s="769"/>
      <c r="Q179" s="866"/>
      <c r="R179" s="1210"/>
      <c r="S179" s="1038"/>
      <c r="T179" s="484"/>
      <c r="U179" s="79"/>
      <c r="V179" s="877"/>
      <c r="W179" s="79"/>
    </row>
    <row r="180" spans="1:23" s="518" customFormat="1" x14ac:dyDescent="0.25">
      <c r="A180" s="79"/>
      <c r="B180" s="79"/>
      <c r="C180" s="79"/>
      <c r="D180" s="79"/>
      <c r="E180" s="79"/>
      <c r="F180" s="79"/>
      <c r="G180" s="216"/>
      <c r="H180" s="79"/>
      <c r="I180" s="79"/>
      <c r="J180" s="85"/>
      <c r="K180" s="877"/>
      <c r="L180" s="770"/>
      <c r="M180" s="866"/>
      <c r="N180" s="770"/>
      <c r="O180" s="866"/>
      <c r="P180" s="770"/>
      <c r="Q180" s="866"/>
      <c r="R180" s="1210"/>
      <c r="S180" s="1038"/>
      <c r="T180" s="484"/>
      <c r="U180" s="79"/>
      <c r="V180" s="877"/>
      <c r="W180" s="79"/>
    </row>
    <row r="181" spans="1:23" s="518" customFormat="1" x14ac:dyDescent="0.25">
      <c r="A181" s="79"/>
      <c r="B181" s="79"/>
      <c r="C181" s="79"/>
      <c r="D181" s="79"/>
      <c r="E181" s="79"/>
      <c r="F181" s="79"/>
      <c r="G181" s="79"/>
      <c r="H181" s="79"/>
      <c r="I181" s="216"/>
      <c r="J181" s="1038"/>
      <c r="K181" s="877"/>
      <c r="L181" s="769"/>
      <c r="M181" s="868"/>
      <c r="N181" s="769"/>
      <c r="O181" s="868"/>
      <c r="P181" s="769"/>
      <c r="Q181" s="868"/>
      <c r="R181" s="1210"/>
      <c r="S181" s="1038"/>
      <c r="T181" s="484"/>
      <c r="U181" s="79"/>
      <c r="V181" s="877"/>
      <c r="W181" s="79"/>
    </row>
    <row r="182" spans="1:23" s="518" customFormat="1" x14ac:dyDescent="0.25">
      <c r="A182" s="79"/>
      <c r="B182" s="79"/>
      <c r="C182" s="85"/>
      <c r="D182" s="85"/>
      <c r="E182" s="85"/>
      <c r="F182" s="89"/>
      <c r="G182" s="79"/>
      <c r="H182" s="79"/>
      <c r="I182" s="79"/>
      <c r="J182" s="85"/>
      <c r="K182" s="877"/>
      <c r="L182" s="769"/>
      <c r="M182" s="866"/>
      <c r="N182" s="769"/>
      <c r="O182" s="866"/>
      <c r="P182" s="769"/>
      <c r="Q182" s="866"/>
      <c r="R182" s="1210"/>
      <c r="S182" s="1038"/>
      <c r="T182" s="484"/>
      <c r="U182" s="79"/>
      <c r="V182" s="877"/>
      <c r="W182" s="79"/>
    </row>
    <row r="183" spans="1:23" s="518" customFormat="1" x14ac:dyDescent="0.25">
      <c r="A183" s="79"/>
      <c r="B183" s="79"/>
      <c r="C183" s="79"/>
      <c r="D183" s="79"/>
      <c r="E183" s="79"/>
      <c r="F183" s="79"/>
      <c r="G183" s="79"/>
      <c r="H183" s="79"/>
      <c r="I183" s="629"/>
      <c r="J183" s="769"/>
      <c r="K183" s="1225"/>
      <c r="L183" s="769"/>
      <c r="M183" s="866"/>
      <c r="N183" s="769"/>
      <c r="O183" s="866"/>
      <c r="P183" s="769"/>
      <c r="Q183" s="866"/>
      <c r="R183" s="1210"/>
      <c r="S183" s="1038"/>
      <c r="T183" s="484"/>
      <c r="U183" s="79"/>
      <c r="V183" s="877"/>
      <c r="W183" s="79"/>
    </row>
    <row r="184" spans="1:23" s="518" customFormat="1" x14ac:dyDescent="0.25">
      <c r="A184" s="79"/>
      <c r="B184" s="79"/>
      <c r="C184" s="85"/>
      <c r="D184" s="85"/>
      <c r="E184" s="85"/>
      <c r="F184" s="89"/>
      <c r="G184" s="79"/>
      <c r="H184" s="79"/>
      <c r="I184" s="79"/>
      <c r="J184" s="79"/>
      <c r="K184" s="79"/>
      <c r="L184" s="769"/>
      <c r="M184" s="866"/>
      <c r="N184" s="769"/>
      <c r="O184" s="866"/>
      <c r="P184" s="769"/>
      <c r="Q184" s="866"/>
      <c r="R184" s="1210"/>
      <c r="S184" s="1038"/>
      <c r="T184" s="484"/>
      <c r="U184" s="79"/>
      <c r="V184" s="877"/>
      <c r="W184" s="79"/>
    </row>
    <row r="185" spans="1:23" s="518" customFormat="1" x14ac:dyDescent="0.25">
      <c r="A185" s="79"/>
      <c r="B185" s="79"/>
      <c r="C185" s="85"/>
      <c r="D185" s="85"/>
      <c r="E185" s="85"/>
      <c r="F185" s="89"/>
      <c r="G185" s="79"/>
      <c r="H185" s="79"/>
      <c r="I185" s="79"/>
      <c r="J185" s="79"/>
      <c r="K185" s="79"/>
      <c r="L185" s="769"/>
      <c r="M185" s="866"/>
      <c r="N185" s="769"/>
      <c r="O185" s="866"/>
      <c r="P185" s="769"/>
      <c r="Q185" s="866"/>
      <c r="R185" s="1210"/>
      <c r="S185" s="1038"/>
      <c r="T185" s="484"/>
      <c r="U185" s="79"/>
      <c r="V185" s="877"/>
      <c r="W185" s="79"/>
    </row>
    <row r="186" spans="1:23" s="518" customFormat="1" x14ac:dyDescent="0.25">
      <c r="A186" s="79"/>
      <c r="B186" s="79"/>
      <c r="C186" s="85"/>
      <c r="D186" s="85"/>
      <c r="E186" s="85"/>
      <c r="F186" s="89"/>
      <c r="G186" s="79"/>
      <c r="H186" s="79"/>
      <c r="I186" s="79"/>
      <c r="J186" s="769"/>
      <c r="K186" s="868"/>
      <c r="L186" s="769"/>
      <c r="M186" s="866"/>
      <c r="N186" s="769"/>
      <c r="O186" s="866"/>
      <c r="P186" s="769"/>
      <c r="Q186" s="866"/>
      <c r="R186" s="1210"/>
      <c r="S186" s="1038"/>
      <c r="T186" s="484"/>
      <c r="U186" s="79"/>
      <c r="V186" s="877"/>
      <c r="W186" s="79"/>
    </row>
    <row r="187" spans="1:23" s="518" customFormat="1" x14ac:dyDescent="0.25">
      <c r="A187" s="79"/>
      <c r="B187" s="79"/>
      <c r="C187" s="85"/>
      <c r="D187" s="85"/>
      <c r="E187" s="85"/>
      <c r="F187" s="89"/>
      <c r="G187" s="79"/>
      <c r="H187" s="79"/>
      <c r="I187" s="79"/>
      <c r="J187" s="769"/>
      <c r="K187" s="868"/>
      <c r="L187" s="769"/>
      <c r="M187" s="866"/>
      <c r="N187" s="769"/>
      <c r="O187" s="866"/>
      <c r="P187" s="769"/>
      <c r="Q187" s="866"/>
      <c r="R187" s="1210"/>
      <c r="S187" s="1038"/>
      <c r="T187" s="484"/>
      <c r="U187" s="79"/>
      <c r="V187" s="877"/>
      <c r="W187" s="79"/>
    </row>
    <row r="188" spans="1:23" s="518" customFormat="1" x14ac:dyDescent="0.25">
      <c r="A188" s="79"/>
      <c r="B188" s="79"/>
      <c r="C188" s="85"/>
      <c r="D188" s="85"/>
      <c r="E188" s="85"/>
      <c r="F188" s="89"/>
      <c r="G188" s="79"/>
      <c r="H188" s="79"/>
      <c r="I188" s="79"/>
      <c r="J188" s="769"/>
      <c r="K188" s="79"/>
      <c r="L188" s="769"/>
      <c r="M188" s="866"/>
      <c r="N188" s="769"/>
      <c r="O188" s="866"/>
      <c r="P188" s="769"/>
      <c r="Q188" s="866"/>
      <c r="R188" s="1210"/>
      <c r="S188" s="1038"/>
      <c r="T188" s="484"/>
      <c r="U188" s="79"/>
      <c r="V188" s="877"/>
      <c r="W188" s="79"/>
    </row>
    <row r="189" spans="1:23" s="518" customFormat="1" x14ac:dyDescent="0.25">
      <c r="A189" s="79"/>
      <c r="B189" s="79"/>
      <c r="C189" s="79"/>
      <c r="D189" s="79"/>
      <c r="E189" s="79"/>
      <c r="F189" s="79"/>
      <c r="G189" s="79"/>
      <c r="H189" s="79"/>
      <c r="I189" s="216"/>
      <c r="J189" s="79"/>
      <c r="K189" s="79"/>
      <c r="L189" s="769"/>
      <c r="M189" s="866"/>
      <c r="N189" s="769"/>
      <c r="O189" s="866"/>
      <c r="P189" s="769"/>
      <c r="Q189" s="866"/>
      <c r="R189" s="1210"/>
      <c r="S189" s="1038"/>
      <c r="T189" s="484"/>
      <c r="U189" s="79"/>
      <c r="V189" s="877"/>
      <c r="W189" s="79"/>
    </row>
    <row r="190" spans="1:23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216"/>
      <c r="J190" s="79"/>
      <c r="K190" s="79"/>
      <c r="L190" s="769"/>
      <c r="M190" s="866"/>
      <c r="N190" s="769"/>
      <c r="O190" s="866"/>
      <c r="P190" s="769"/>
      <c r="Q190" s="866"/>
      <c r="R190" s="1210"/>
      <c r="S190" s="1038"/>
      <c r="T190" s="484"/>
      <c r="U190" s="79"/>
      <c r="V190" s="877"/>
      <c r="W190" s="79"/>
    </row>
    <row r="191" spans="1:23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1517"/>
      <c r="K191" s="79"/>
      <c r="L191" s="769"/>
      <c r="M191" s="866"/>
      <c r="N191" s="769"/>
      <c r="O191" s="866"/>
      <c r="P191" s="769"/>
      <c r="Q191" s="866"/>
      <c r="T191" s="484"/>
      <c r="U191" s="79"/>
      <c r="V191" s="877"/>
      <c r="W191" s="79"/>
    </row>
    <row r="192" spans="1:23" s="518" customFormat="1" x14ac:dyDescent="0.25">
      <c r="A192" s="79"/>
      <c r="B192" s="79"/>
      <c r="C192" s="79"/>
      <c r="D192" s="79"/>
      <c r="E192" s="79"/>
      <c r="F192" s="79"/>
      <c r="G192" s="79"/>
      <c r="H192" s="79"/>
      <c r="I192" s="216"/>
      <c r="J192" s="79"/>
      <c r="K192" s="868"/>
      <c r="L192" s="769"/>
      <c r="M192" s="866"/>
      <c r="N192" s="769"/>
      <c r="O192" s="866"/>
      <c r="P192" s="769"/>
      <c r="Q192" s="866"/>
      <c r="T192" s="484"/>
      <c r="U192" s="79"/>
      <c r="V192" s="877"/>
      <c r="W192" s="79"/>
    </row>
    <row r="193" spans="1:23" s="518" customFormat="1" x14ac:dyDescent="0.25">
      <c r="A193" s="79"/>
      <c r="B193" s="79"/>
      <c r="C193" s="79"/>
      <c r="D193" s="79"/>
      <c r="E193" s="79"/>
      <c r="F193" s="79"/>
      <c r="G193" s="79"/>
      <c r="H193" s="79"/>
      <c r="I193" s="216"/>
      <c r="J193" s="89"/>
      <c r="K193" s="79"/>
      <c r="L193" s="769"/>
      <c r="M193" s="868"/>
      <c r="N193" s="769"/>
      <c r="O193" s="868"/>
      <c r="P193" s="769"/>
      <c r="Q193" s="868"/>
      <c r="R193" s="79"/>
      <c r="S193" s="79"/>
      <c r="T193" s="484"/>
      <c r="U193" s="79"/>
      <c r="V193" s="877"/>
      <c r="W193" s="79"/>
    </row>
    <row r="194" spans="1:23" s="518" customFormat="1" x14ac:dyDescent="0.25">
      <c r="A194" s="79"/>
      <c r="B194" s="79"/>
      <c r="C194" s="79"/>
      <c r="D194" s="79"/>
      <c r="E194" s="79"/>
      <c r="F194" s="79"/>
      <c r="G194" s="79"/>
      <c r="H194" s="79"/>
      <c r="I194" s="216"/>
      <c r="J194" s="79"/>
      <c r="K194" s="79"/>
      <c r="L194" s="769"/>
      <c r="M194" s="868"/>
      <c r="N194" s="769"/>
      <c r="O194" s="868"/>
      <c r="P194" s="769"/>
      <c r="Q194" s="868"/>
      <c r="R194" s="81"/>
      <c r="S194" s="755"/>
      <c r="T194" s="484"/>
      <c r="U194" s="79"/>
      <c r="V194" s="877"/>
      <c r="W194" s="79"/>
    </row>
    <row r="195" spans="1:23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L195" s="769"/>
      <c r="M195" s="868"/>
      <c r="N195" s="769"/>
      <c r="O195" s="868"/>
      <c r="P195" s="769"/>
      <c r="Q195" s="868"/>
      <c r="R195" s="868"/>
      <c r="S195" s="79"/>
      <c r="T195" s="484"/>
      <c r="U195" s="79"/>
      <c r="V195" s="877"/>
      <c r="W195" s="79"/>
    </row>
    <row r="196" spans="1:23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769"/>
      <c r="K196" s="866"/>
      <c r="L196" s="769"/>
      <c r="M196" s="868"/>
      <c r="N196" s="769"/>
      <c r="O196" s="868"/>
      <c r="P196" s="769"/>
      <c r="Q196" s="868"/>
      <c r="R196" s="754"/>
      <c r="S196" s="886"/>
      <c r="T196" s="484"/>
      <c r="U196" s="79"/>
      <c r="V196" s="877"/>
      <c r="W196" s="79"/>
    </row>
    <row r="197" spans="1:23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J197" s="769"/>
      <c r="K197" s="866"/>
      <c r="L197" s="769"/>
      <c r="M197" s="868"/>
      <c r="N197" s="769"/>
      <c r="O197" s="868"/>
      <c r="P197" s="769"/>
      <c r="Q197" s="868"/>
      <c r="R197" s="864"/>
      <c r="S197" s="864"/>
      <c r="T197" s="484"/>
      <c r="U197" s="79"/>
      <c r="V197" s="877"/>
      <c r="W197" s="79"/>
    </row>
    <row r="198" spans="1:23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K198" s="866"/>
      <c r="L198" s="769"/>
      <c r="M198" s="866"/>
      <c r="N198" s="769"/>
      <c r="O198" s="866"/>
      <c r="P198" s="769"/>
      <c r="Q198" s="866"/>
      <c r="R198" s="864"/>
      <c r="S198" s="1032"/>
      <c r="T198" s="484"/>
      <c r="U198" s="79"/>
      <c r="V198" s="877"/>
      <c r="W198" s="79"/>
    </row>
    <row r="199" spans="1:23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69"/>
      <c r="K199" s="866"/>
      <c r="L199" s="769"/>
      <c r="M199" s="866"/>
      <c r="N199" s="769"/>
      <c r="O199" s="866"/>
      <c r="P199" s="769"/>
      <c r="Q199" s="866"/>
      <c r="R199" s="864"/>
      <c r="S199" s="1032"/>
      <c r="T199" s="484"/>
      <c r="U199" s="79"/>
      <c r="V199" s="877"/>
      <c r="W199" s="79"/>
    </row>
    <row r="200" spans="1:23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8"/>
      <c r="L200" s="769"/>
      <c r="M200" s="868"/>
      <c r="N200" s="769"/>
      <c r="O200" s="868"/>
      <c r="P200" s="769"/>
      <c r="Q200" s="868"/>
      <c r="R200" s="85"/>
      <c r="S200" s="795"/>
      <c r="T200" s="484"/>
      <c r="U200" s="79"/>
      <c r="V200" s="877"/>
      <c r="W200" s="79"/>
    </row>
    <row r="201" spans="1:23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69"/>
      <c r="K201" s="866"/>
      <c r="L201" s="769"/>
      <c r="M201" s="866"/>
      <c r="N201" s="769"/>
      <c r="O201" s="866"/>
      <c r="P201" s="769"/>
      <c r="Q201" s="866"/>
      <c r="R201" s="85"/>
      <c r="S201" s="177"/>
      <c r="T201" s="484"/>
      <c r="U201" s="79"/>
      <c r="V201" s="877"/>
      <c r="W201" s="79"/>
    </row>
    <row r="202" spans="1:23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70"/>
      <c r="K202" s="866"/>
      <c r="L202" s="769"/>
      <c r="M202" s="866"/>
      <c r="N202" s="769"/>
      <c r="O202" s="866"/>
      <c r="P202" s="769"/>
      <c r="Q202" s="866"/>
      <c r="R202" s="85"/>
      <c r="S202" s="177"/>
      <c r="T202" s="484"/>
      <c r="U202" s="79"/>
      <c r="V202" s="877"/>
      <c r="W202" s="79"/>
    </row>
    <row r="203" spans="1:23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79"/>
      <c r="J203" s="769"/>
      <c r="K203" s="868"/>
      <c r="L203" s="769"/>
      <c r="M203" s="868"/>
      <c r="N203" s="769"/>
      <c r="O203" s="868"/>
      <c r="P203" s="769"/>
      <c r="Q203" s="868"/>
      <c r="R203" s="85"/>
      <c r="S203" s="177" t="s">
        <v>280</v>
      </c>
      <c r="T203" s="484"/>
      <c r="U203" s="79"/>
      <c r="V203" s="877"/>
      <c r="W203" s="79"/>
    </row>
    <row r="204" spans="1:23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79"/>
      <c r="J204" s="769"/>
      <c r="K204" s="866"/>
      <c r="L204" s="769"/>
      <c r="M204" s="868"/>
      <c r="N204" s="769"/>
      <c r="O204" s="868"/>
      <c r="P204" s="769"/>
      <c r="Q204" s="868"/>
      <c r="R204" s="85"/>
      <c r="S204" s="177"/>
      <c r="T204" s="484"/>
      <c r="U204" s="79"/>
      <c r="V204" s="877"/>
      <c r="W204" s="79"/>
    </row>
    <row r="205" spans="1:23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79"/>
      <c r="J205" s="769"/>
      <c r="K205" s="866"/>
      <c r="L205" s="769"/>
      <c r="M205" s="868"/>
      <c r="N205" s="769"/>
      <c r="O205" s="868"/>
      <c r="P205" s="769"/>
      <c r="Q205" s="868"/>
      <c r="R205" s="85"/>
      <c r="S205" s="866"/>
      <c r="T205" s="484"/>
      <c r="U205" s="79"/>
      <c r="V205" s="877"/>
      <c r="W205" s="79"/>
    </row>
    <row r="206" spans="1:23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79"/>
      <c r="J206" s="769"/>
      <c r="K206" s="866"/>
      <c r="L206" s="769"/>
      <c r="M206" s="868"/>
      <c r="N206" s="769"/>
      <c r="O206" s="868"/>
      <c r="P206" s="769"/>
      <c r="Q206" s="868"/>
      <c r="R206" s="769"/>
      <c r="S206" s="216"/>
      <c r="T206" s="484"/>
      <c r="U206" s="79"/>
      <c r="V206" s="877"/>
      <c r="W206" s="79"/>
    </row>
    <row r="207" spans="1:23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79"/>
      <c r="J207" s="769"/>
      <c r="K207" s="866"/>
      <c r="L207" s="769"/>
      <c r="M207" s="866"/>
      <c r="N207" s="769"/>
      <c r="O207" s="866"/>
      <c r="P207" s="769"/>
      <c r="Q207" s="866"/>
      <c r="R207" s="79"/>
      <c r="S207" s="216"/>
      <c r="T207" s="484"/>
      <c r="U207" s="79"/>
      <c r="V207" s="877"/>
      <c r="W207" s="79"/>
    </row>
    <row r="208" spans="1:23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79"/>
      <c r="J208" s="769"/>
      <c r="K208" s="866"/>
      <c r="L208" s="223"/>
      <c r="M208" s="629"/>
      <c r="N208" s="223"/>
      <c r="O208" s="629"/>
      <c r="P208" s="223"/>
      <c r="Q208" s="629"/>
      <c r="R208" s="769"/>
      <c r="S208" s="868"/>
      <c r="T208" s="484"/>
      <c r="U208" s="79"/>
      <c r="V208" s="877"/>
      <c r="W208" s="79"/>
    </row>
    <row r="209" spans="1:23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79"/>
      <c r="J209" s="769"/>
      <c r="K209" s="866"/>
      <c r="L209" s="756"/>
      <c r="M209" s="756"/>
      <c r="N209" s="756"/>
      <c r="O209" s="756"/>
      <c r="P209" s="756"/>
      <c r="Q209" s="756"/>
      <c r="R209" s="769"/>
      <c r="S209" s="868"/>
      <c r="T209" s="484"/>
      <c r="U209" s="79"/>
      <c r="V209" s="877"/>
      <c r="W209" s="79"/>
    </row>
    <row r="210" spans="1:23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6"/>
      <c r="L210" s="79"/>
      <c r="M210" s="79"/>
      <c r="N210" s="79"/>
      <c r="O210" s="79"/>
      <c r="P210" s="79"/>
      <c r="Q210" s="79"/>
      <c r="R210" s="769"/>
      <c r="S210" s="868"/>
      <c r="T210" s="484"/>
      <c r="U210" s="79"/>
      <c r="V210" s="877"/>
      <c r="W210" s="79"/>
    </row>
    <row r="211" spans="1:23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9"/>
      <c r="M211" s="79"/>
      <c r="N211" s="79"/>
      <c r="O211" s="79"/>
      <c r="P211" s="79"/>
      <c r="Q211" s="79"/>
      <c r="R211" s="769"/>
      <c r="S211" s="79"/>
      <c r="T211" s="484"/>
      <c r="U211" s="79"/>
      <c r="V211" s="877"/>
      <c r="W211" s="79"/>
    </row>
    <row r="212" spans="1:23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9"/>
      <c r="M212" s="79"/>
      <c r="N212" s="79"/>
      <c r="O212" s="79"/>
      <c r="P212" s="79"/>
      <c r="Q212" s="79"/>
      <c r="R212" s="79"/>
      <c r="S212" s="79"/>
      <c r="T212" s="484"/>
      <c r="U212" s="79"/>
      <c r="V212" s="877"/>
      <c r="W212" s="79"/>
    </row>
    <row r="213" spans="1:23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9"/>
      <c r="M213" s="79"/>
      <c r="N213" s="79"/>
      <c r="O213" s="79"/>
      <c r="P213" s="79"/>
      <c r="Q213" s="79"/>
      <c r="R213" s="79"/>
      <c r="S213" s="79"/>
      <c r="T213" s="484"/>
      <c r="U213" s="79"/>
      <c r="V213" s="877"/>
      <c r="W213" s="79"/>
    </row>
    <row r="214" spans="1:23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6"/>
      <c r="L214" s="85"/>
      <c r="M214" s="85"/>
      <c r="N214" s="85"/>
      <c r="O214" s="85"/>
      <c r="P214" s="85"/>
      <c r="Q214" s="85"/>
      <c r="R214" s="1517"/>
      <c r="S214" s="79"/>
      <c r="T214" s="484"/>
      <c r="U214" s="79"/>
      <c r="V214" s="877"/>
      <c r="W214" s="79"/>
    </row>
    <row r="215" spans="1:23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8"/>
      <c r="L215" s="79"/>
      <c r="M215" s="79"/>
      <c r="N215" s="79"/>
      <c r="O215" s="79"/>
      <c r="P215" s="79"/>
      <c r="Q215" s="79"/>
      <c r="R215" s="79"/>
      <c r="S215" s="868"/>
      <c r="T215" s="484"/>
      <c r="U215" s="79"/>
      <c r="V215" s="877"/>
      <c r="W215" s="79"/>
    </row>
    <row r="216" spans="1:23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8"/>
      <c r="L216" s="79"/>
      <c r="M216" s="79"/>
      <c r="N216" s="79"/>
      <c r="O216" s="79"/>
      <c r="P216" s="79"/>
      <c r="Q216" s="79"/>
      <c r="R216" s="89"/>
      <c r="S216" s="79"/>
      <c r="T216" s="484"/>
      <c r="U216" s="79"/>
      <c r="V216" s="877"/>
      <c r="W216" s="79"/>
    </row>
    <row r="217" spans="1:23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9"/>
      <c r="M217" s="79"/>
      <c r="N217" s="79"/>
      <c r="O217" s="79"/>
      <c r="P217" s="79"/>
      <c r="Q217" s="79"/>
      <c r="R217" s="79"/>
      <c r="S217" s="79"/>
      <c r="T217" s="484"/>
      <c r="U217" s="79"/>
      <c r="V217" s="877"/>
      <c r="W217" s="79"/>
    </row>
    <row r="218" spans="1:23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8"/>
      <c r="L218" s="79"/>
      <c r="M218" s="79"/>
      <c r="N218" s="79"/>
      <c r="O218" s="79"/>
      <c r="P218" s="79"/>
      <c r="Q218" s="79"/>
      <c r="R218" s="769"/>
      <c r="S218" s="866"/>
      <c r="T218" s="484"/>
      <c r="U218" s="79"/>
      <c r="V218" s="877"/>
      <c r="W218" s="79"/>
    </row>
    <row r="219" spans="1:23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8"/>
      <c r="L219" s="79"/>
      <c r="M219" s="79"/>
      <c r="N219" s="79"/>
      <c r="O219" s="79"/>
      <c r="P219" s="79"/>
      <c r="Q219" s="79"/>
      <c r="R219" s="769"/>
      <c r="S219" s="866"/>
      <c r="T219" s="484"/>
      <c r="U219" s="79"/>
      <c r="V219" s="877"/>
      <c r="W219" s="79"/>
    </row>
    <row r="220" spans="1:23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79"/>
      <c r="M220" s="79"/>
      <c r="N220" s="79"/>
      <c r="O220" s="79"/>
      <c r="P220" s="79"/>
      <c r="Q220" s="79"/>
      <c r="R220" s="769"/>
      <c r="S220" s="866"/>
      <c r="T220" s="484"/>
      <c r="U220" s="79"/>
      <c r="V220" s="877"/>
      <c r="W220" s="79"/>
    </row>
    <row r="221" spans="1:23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6"/>
      <c r="L221" s="85"/>
      <c r="M221" s="85"/>
      <c r="N221" s="85"/>
      <c r="O221" s="85"/>
      <c r="P221" s="85"/>
      <c r="Q221" s="85"/>
      <c r="S221" s="866"/>
      <c r="T221" s="484"/>
      <c r="U221" s="79"/>
      <c r="V221" s="877"/>
      <c r="W221" s="79"/>
    </row>
    <row r="222" spans="1:23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8"/>
      <c r="L222" s="79"/>
      <c r="M222" s="79"/>
      <c r="N222" s="79"/>
      <c r="O222" s="79"/>
      <c r="P222" s="79"/>
      <c r="Q222" s="79"/>
      <c r="R222" s="769"/>
      <c r="S222" s="866"/>
      <c r="T222" s="484"/>
      <c r="U222" s="79"/>
      <c r="V222" s="877"/>
      <c r="W222" s="79"/>
    </row>
    <row r="223" spans="1:23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79"/>
      <c r="M223" s="79"/>
      <c r="N223" s="79"/>
      <c r="O223" s="79"/>
      <c r="P223" s="79"/>
      <c r="Q223" s="79"/>
      <c r="R223" s="769"/>
      <c r="S223" s="868"/>
      <c r="T223" s="484"/>
      <c r="U223" s="79"/>
      <c r="V223" s="877"/>
      <c r="W223" s="79"/>
    </row>
    <row r="224" spans="1:23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9"/>
      <c r="M224" s="79"/>
      <c r="N224" s="79"/>
      <c r="O224" s="79"/>
      <c r="P224" s="79"/>
      <c r="Q224" s="79"/>
      <c r="R224" s="769"/>
      <c r="S224" s="866"/>
      <c r="T224" s="484"/>
      <c r="U224" s="79"/>
      <c r="V224" s="877"/>
      <c r="W224" s="79"/>
    </row>
    <row r="225" spans="1:23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8"/>
      <c r="L225" s="79"/>
      <c r="M225" s="79"/>
      <c r="N225" s="79"/>
      <c r="O225" s="79"/>
      <c r="P225" s="79"/>
      <c r="Q225" s="79"/>
      <c r="R225" s="770"/>
      <c r="S225" s="866"/>
      <c r="T225" s="484"/>
      <c r="U225" s="79"/>
      <c r="V225" s="877"/>
      <c r="W225" s="79"/>
    </row>
    <row r="226" spans="1:23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8"/>
      <c r="L226" s="79"/>
      <c r="M226" s="79"/>
      <c r="N226" s="79"/>
      <c r="O226" s="79"/>
      <c r="P226" s="79"/>
      <c r="Q226" s="79"/>
      <c r="R226" s="769"/>
      <c r="S226" s="868"/>
      <c r="T226" s="484"/>
      <c r="U226" s="79"/>
      <c r="V226" s="877"/>
      <c r="W226" s="79"/>
    </row>
    <row r="227" spans="1:23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9"/>
      <c r="M227" s="79"/>
      <c r="N227" s="79"/>
      <c r="O227" s="79"/>
      <c r="P227" s="79"/>
      <c r="Q227" s="79"/>
      <c r="R227" s="769"/>
      <c r="S227" s="866"/>
      <c r="T227" s="484"/>
      <c r="U227" s="79"/>
      <c r="V227" s="877"/>
      <c r="W227" s="79"/>
    </row>
    <row r="228" spans="1:23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8"/>
      <c r="L228" s="771"/>
      <c r="N228" s="771"/>
      <c r="P228" s="771"/>
      <c r="R228" s="769"/>
      <c r="S228" s="866"/>
      <c r="T228" s="484"/>
      <c r="U228" s="79"/>
      <c r="V228" s="877"/>
      <c r="W228" s="79"/>
    </row>
    <row r="229" spans="1:23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9"/>
      <c r="M229" s="79"/>
      <c r="N229" s="79"/>
      <c r="O229" s="79"/>
      <c r="P229" s="79"/>
      <c r="Q229" s="79"/>
      <c r="R229" s="769"/>
      <c r="S229" s="866"/>
      <c r="T229" s="484"/>
      <c r="U229" s="79"/>
      <c r="V229" s="877"/>
      <c r="W229" s="79"/>
    </row>
    <row r="230" spans="1:23" x14ac:dyDescent="0.25">
      <c r="J230" s="223"/>
      <c r="K230" s="629"/>
      <c r="R230" s="769"/>
      <c r="S230" s="866"/>
    </row>
    <row r="231" spans="1:23" x14ac:dyDescent="0.25">
      <c r="J231" s="756"/>
      <c r="K231" s="756"/>
      <c r="R231" s="769"/>
      <c r="S231" s="866"/>
    </row>
    <row r="232" spans="1:23" x14ac:dyDescent="0.25">
      <c r="R232" s="769"/>
      <c r="S232" s="866"/>
    </row>
    <row r="233" spans="1:23" x14ac:dyDescent="0.25">
      <c r="R233" s="769"/>
      <c r="S233" s="866"/>
    </row>
    <row r="234" spans="1:23" x14ac:dyDescent="0.25">
      <c r="R234" s="769"/>
      <c r="S234" s="866"/>
    </row>
    <row r="235" spans="1:23" x14ac:dyDescent="0.25">
      <c r="R235" s="769"/>
      <c r="S235" s="866"/>
    </row>
    <row r="236" spans="1:23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85"/>
      <c r="K236" s="85"/>
      <c r="L236" s="79"/>
      <c r="M236" s="216"/>
      <c r="N236" s="79"/>
      <c r="O236" s="216"/>
      <c r="P236" s="79"/>
      <c r="Q236" s="216"/>
      <c r="R236" s="769"/>
      <c r="S236" s="866"/>
      <c r="T236" s="484"/>
      <c r="U236" s="79"/>
      <c r="V236" s="877"/>
      <c r="W236" s="79"/>
    </row>
    <row r="237" spans="1:23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216"/>
      <c r="N237" s="79"/>
      <c r="O237" s="216"/>
      <c r="P237" s="79"/>
      <c r="Q237" s="216"/>
      <c r="R237" s="769"/>
      <c r="S237" s="866"/>
      <c r="T237" s="484"/>
      <c r="U237" s="79"/>
      <c r="V237" s="877"/>
      <c r="W237" s="79"/>
    </row>
    <row r="238" spans="1:23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216"/>
      <c r="N238" s="79"/>
      <c r="O238" s="216"/>
      <c r="P238" s="79"/>
      <c r="Q238" s="216"/>
      <c r="R238" s="769"/>
      <c r="S238" s="868"/>
      <c r="T238" s="484"/>
      <c r="U238" s="79"/>
      <c r="V238" s="877"/>
      <c r="W238" s="79"/>
    </row>
    <row r="239" spans="1:23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216"/>
      <c r="N239" s="79"/>
      <c r="O239" s="216"/>
      <c r="P239" s="79"/>
      <c r="Q239" s="216"/>
      <c r="R239" s="769"/>
      <c r="S239" s="868"/>
      <c r="T239" s="484"/>
      <c r="U239" s="79"/>
      <c r="V239" s="877"/>
      <c r="W239" s="79"/>
    </row>
    <row r="240" spans="1:23" x14ac:dyDescent="0.25">
      <c r="R240" s="769"/>
      <c r="S240" s="868"/>
    </row>
    <row r="241" spans="1:23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216"/>
      <c r="N241" s="79"/>
      <c r="O241" s="216"/>
      <c r="P241" s="79"/>
      <c r="Q241" s="216"/>
      <c r="R241" s="769"/>
      <c r="S241" s="868"/>
      <c r="T241" s="484"/>
      <c r="U241" s="79"/>
      <c r="V241" s="877"/>
      <c r="W241" s="79"/>
    </row>
    <row r="242" spans="1:23" x14ac:dyDescent="0.25">
      <c r="R242" s="769"/>
      <c r="S242" s="868"/>
    </row>
    <row r="243" spans="1:23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85"/>
      <c r="K243" s="85"/>
      <c r="L243" s="79"/>
      <c r="M243" s="629"/>
      <c r="N243" s="79"/>
      <c r="O243" s="629"/>
      <c r="P243" s="79"/>
      <c r="Q243" s="629"/>
      <c r="R243" s="769"/>
      <c r="S243" s="866"/>
      <c r="T243" s="484"/>
      <c r="U243" s="79"/>
      <c r="V243" s="877"/>
      <c r="W243" s="79"/>
    </row>
    <row r="244" spans="1:23" x14ac:dyDescent="0.25">
      <c r="R244" s="769"/>
      <c r="S244" s="866"/>
    </row>
    <row r="245" spans="1:23" x14ac:dyDescent="0.25">
      <c r="R245" s="769"/>
      <c r="S245" s="868"/>
    </row>
    <row r="246" spans="1:23" x14ac:dyDescent="0.25">
      <c r="R246" s="769"/>
      <c r="S246" s="866"/>
    </row>
    <row r="247" spans="1:23" x14ac:dyDescent="0.25">
      <c r="R247" s="769"/>
      <c r="S247" s="866"/>
    </row>
    <row r="248" spans="1:23" x14ac:dyDescent="0.25">
      <c r="R248" s="769"/>
      <c r="S248" s="868"/>
    </row>
    <row r="249" spans="1:23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216"/>
      <c r="N249" s="79"/>
      <c r="O249" s="216"/>
      <c r="P249" s="79"/>
      <c r="Q249" s="216"/>
      <c r="R249" s="769"/>
      <c r="S249" s="868"/>
      <c r="T249" s="484"/>
      <c r="U249" s="79"/>
      <c r="V249" s="877"/>
      <c r="W249" s="79"/>
    </row>
    <row r="250" spans="1:23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71"/>
      <c r="L250" s="79"/>
      <c r="M250" s="216"/>
      <c r="N250" s="79"/>
      <c r="O250" s="216"/>
      <c r="P250" s="79"/>
      <c r="Q250" s="216"/>
      <c r="R250" s="769"/>
      <c r="S250" s="868"/>
      <c r="T250" s="484"/>
      <c r="U250" s="79"/>
      <c r="V250" s="877"/>
      <c r="W250" s="79"/>
    </row>
    <row r="251" spans="1:23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9"/>
      <c r="Q251" s="216"/>
      <c r="R251" s="769"/>
      <c r="S251" s="868"/>
      <c r="T251" s="484"/>
      <c r="U251" s="79"/>
      <c r="V251" s="877"/>
      <c r="W251" s="79"/>
    </row>
    <row r="252" spans="1:23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9"/>
      <c r="Q252" s="216"/>
      <c r="R252" s="769"/>
      <c r="S252" s="866"/>
      <c r="T252" s="484"/>
      <c r="U252" s="79"/>
      <c r="V252" s="877"/>
      <c r="W252" s="79"/>
    </row>
    <row r="253" spans="1:23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9"/>
      <c r="Q253" s="216"/>
      <c r="R253" s="223"/>
      <c r="S253" s="629"/>
      <c r="T253" s="484"/>
      <c r="U253" s="79"/>
      <c r="V253" s="877"/>
      <c r="W253" s="79"/>
    </row>
    <row r="254" spans="1:23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216"/>
      <c r="N254" s="79"/>
      <c r="O254" s="216"/>
      <c r="P254" s="79"/>
      <c r="Q254" s="216"/>
      <c r="R254" s="756"/>
      <c r="S254" s="756"/>
      <c r="T254" s="484"/>
      <c r="U254" s="79"/>
      <c r="V254" s="877"/>
      <c r="W254" s="79"/>
    </row>
    <row r="255" spans="1:23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9"/>
      <c r="Q255" s="216"/>
      <c r="R255" s="79"/>
      <c r="S255" s="79"/>
      <c r="T255" s="484"/>
      <c r="U255" s="79"/>
      <c r="V255" s="877"/>
      <c r="W255" s="79"/>
    </row>
    <row r="256" spans="1:23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9"/>
      <c r="Q256" s="216"/>
      <c r="R256" s="79"/>
      <c r="S256" s="79"/>
      <c r="T256" s="484"/>
      <c r="U256" s="79"/>
      <c r="V256" s="877"/>
      <c r="W256" s="79"/>
    </row>
    <row r="257" spans="1:44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9"/>
      <c r="Q257" s="216"/>
      <c r="R257" s="79"/>
      <c r="S257" s="79"/>
      <c r="T257" s="484"/>
      <c r="U257" s="79"/>
      <c r="V257" s="877"/>
      <c r="W257" s="79"/>
    </row>
    <row r="258" spans="1:44" x14ac:dyDescent="0.25">
      <c r="K258" s="216"/>
    </row>
    <row r="259" spans="1:44" x14ac:dyDescent="0.25">
      <c r="K259" s="216"/>
      <c r="R259" s="85"/>
      <c r="S259" s="85"/>
    </row>
    <row r="260" spans="1:44" x14ac:dyDescent="0.25">
      <c r="K260" s="216"/>
    </row>
    <row r="261" spans="1:44" x14ac:dyDescent="0.25">
      <c r="K261" s="216"/>
    </row>
    <row r="263" spans="1:44" x14ac:dyDescent="0.25">
      <c r="K263" s="216"/>
    </row>
    <row r="265" spans="1:44" x14ac:dyDescent="0.25">
      <c r="K265" s="629"/>
    </row>
    <row r="266" spans="1:44" x14ac:dyDescent="0.25">
      <c r="R266" s="85"/>
      <c r="S266" s="85"/>
    </row>
    <row r="270" spans="1:44" s="484" customFormat="1" x14ac:dyDescent="0.25">
      <c r="A270" s="79"/>
      <c r="B270" s="79"/>
      <c r="C270" s="85"/>
      <c r="D270" s="85"/>
      <c r="E270" s="85"/>
      <c r="F270" s="8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U270" s="79"/>
      <c r="V270" s="877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484" customFormat="1" x14ac:dyDescent="0.25">
      <c r="A271" s="79"/>
      <c r="B271" s="79"/>
      <c r="C271" s="85"/>
      <c r="D271" s="85"/>
      <c r="E271" s="85"/>
      <c r="F271" s="89"/>
      <c r="G271" s="79"/>
      <c r="H271" s="79"/>
      <c r="I271" s="79"/>
      <c r="J271" s="79"/>
      <c r="K271" s="216"/>
      <c r="L271" s="79"/>
      <c r="M271" s="79"/>
      <c r="N271" s="79"/>
      <c r="O271" s="79"/>
      <c r="P271" s="79"/>
      <c r="Q271" s="79"/>
      <c r="R271" s="79"/>
      <c r="S271" s="79"/>
      <c r="U271" s="79"/>
      <c r="V271" s="877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484" customFormat="1" x14ac:dyDescent="0.25">
      <c r="A272" s="79"/>
      <c r="B272" s="79"/>
      <c r="C272" s="85"/>
      <c r="D272" s="85"/>
      <c r="E272" s="85"/>
      <c r="F272" s="89"/>
      <c r="G272" s="79"/>
      <c r="H272" s="79"/>
      <c r="I272" s="79"/>
      <c r="J272" s="79"/>
      <c r="K272" s="216"/>
      <c r="L272" s="79"/>
      <c r="M272" s="79"/>
      <c r="N272" s="79"/>
      <c r="O272" s="79"/>
      <c r="P272" s="79"/>
      <c r="Q272" s="79"/>
      <c r="R272" s="79"/>
      <c r="S272" s="79"/>
      <c r="U272" s="79"/>
      <c r="V272" s="877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484" customFormat="1" x14ac:dyDescent="0.25">
      <c r="A273" s="79"/>
      <c r="B273" s="79"/>
      <c r="C273" s="85"/>
      <c r="D273" s="85"/>
      <c r="E273" s="85"/>
      <c r="F273" s="89"/>
      <c r="G273" s="79"/>
      <c r="H273" s="79"/>
      <c r="I273" s="79"/>
      <c r="J273" s="79"/>
      <c r="K273" s="216"/>
      <c r="L273" s="79"/>
      <c r="M273" s="79"/>
      <c r="N273" s="79"/>
      <c r="O273" s="79"/>
      <c r="P273" s="79"/>
      <c r="Q273" s="79"/>
      <c r="R273" s="771"/>
      <c r="S273" s="518"/>
      <c r="U273" s="79"/>
      <c r="V273" s="877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484" customFormat="1" x14ac:dyDescent="0.25">
      <c r="A274" s="79"/>
      <c r="B274" s="79"/>
      <c r="C274" s="85"/>
      <c r="D274" s="85"/>
      <c r="E274" s="85"/>
      <c r="F274" s="89"/>
      <c r="G274" s="79"/>
      <c r="H274" s="79"/>
      <c r="I274" s="79"/>
      <c r="J274" s="79"/>
      <c r="K274" s="216"/>
      <c r="L274" s="79"/>
      <c r="M274" s="79"/>
      <c r="N274" s="79"/>
      <c r="O274" s="79"/>
      <c r="P274" s="79"/>
      <c r="Q274" s="79"/>
      <c r="R274" s="79"/>
      <c r="S274" s="79"/>
      <c r="U274" s="79"/>
      <c r="V274" s="877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x14ac:dyDescent="0.25">
      <c r="K275" s="216"/>
    </row>
    <row r="276" spans="1:44" x14ac:dyDescent="0.25">
      <c r="K276" s="216"/>
    </row>
    <row r="277" spans="1:44" x14ac:dyDescent="0.25">
      <c r="K277" s="216"/>
    </row>
    <row r="278" spans="1:44" x14ac:dyDescent="0.25">
      <c r="K278" s="216"/>
    </row>
    <row r="279" spans="1:44" x14ac:dyDescent="0.25">
      <c r="K279" s="216"/>
    </row>
    <row r="281" spans="1:44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216"/>
      <c r="U281" s="79"/>
      <c r="V281" s="877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484" customFormat="1" x14ac:dyDescent="0.25">
      <c r="A282" s="79"/>
      <c r="B282" s="79"/>
      <c r="C282" s="85"/>
      <c r="D282" s="85"/>
      <c r="E282" s="85"/>
      <c r="F282" s="8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216"/>
      <c r="U282" s="79"/>
      <c r="V282" s="877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484" customFormat="1" x14ac:dyDescent="0.25">
      <c r="A283" s="79"/>
      <c r="B283" s="79"/>
      <c r="C283" s="85"/>
      <c r="D283" s="85"/>
      <c r="E283" s="85"/>
      <c r="F283" s="8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216"/>
      <c r="U283" s="79"/>
      <c r="V283" s="877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216"/>
      <c r="U284" s="79"/>
      <c r="V284" s="877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6" spans="1:44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216"/>
      <c r="U286" s="79"/>
      <c r="V286" s="877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  <row r="288" spans="1:44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629"/>
      <c r="U288" s="79"/>
      <c r="V288" s="877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</row>
    <row r="294" spans="1:44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216"/>
      <c r="U294" s="79"/>
      <c r="V294" s="877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</row>
    <row r="295" spans="1:44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216"/>
      <c r="U295" s="79"/>
      <c r="V295" s="877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216"/>
      <c r="U296" s="79"/>
      <c r="V296" s="877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216"/>
      <c r="U297" s="79"/>
      <c r="V297" s="877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216"/>
      <c r="U298" s="79"/>
      <c r="V298" s="877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216"/>
      <c r="U299" s="79"/>
      <c r="V299" s="877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216"/>
      <c r="U300" s="79"/>
      <c r="V300" s="877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  <row r="301" spans="1:44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216"/>
      <c r="U301" s="79"/>
      <c r="V301" s="877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</row>
    <row r="302" spans="1:44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216"/>
      <c r="U302" s="79"/>
      <c r="V302" s="877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</row>
  </sheetData>
  <autoFilter ref="A2:I167" xr:uid="{00000000-0009-0000-0000-00008D000000}"/>
  <mergeCells count="18">
    <mergeCell ref="R2:S3"/>
    <mergeCell ref="A145:E145"/>
    <mergeCell ref="A146:E146"/>
    <mergeCell ref="A1:E1"/>
    <mergeCell ref="F1:S1"/>
    <mergeCell ref="A2:A4"/>
    <mergeCell ref="B2:B4"/>
    <mergeCell ref="C2:C4"/>
    <mergeCell ref="D2:D4"/>
    <mergeCell ref="E2:E4"/>
    <mergeCell ref="F2:G3"/>
    <mergeCell ref="H2:I3"/>
    <mergeCell ref="J2:K3"/>
    <mergeCell ref="C169:D169"/>
    <mergeCell ref="B170:D170"/>
    <mergeCell ref="L2:M3"/>
    <mergeCell ref="N2:O3"/>
    <mergeCell ref="P2:Q3"/>
  </mergeCells>
  <phoneticPr fontId="130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F76D1-C5CB-4948-BAF2-52B57E31FC64}">
  <sheetPr codeName="Planilha23"/>
  <dimension ref="A1:AP322"/>
  <sheetViews>
    <sheetView zoomScale="85" zoomScaleNormal="85" workbookViewId="0">
      <pane ySplit="5" topLeftCell="A141" activePane="bottomLeft" state="frozen"/>
      <selection pane="bottomLeft" activeCell="A7" sqref="A7:XFD8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6879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6330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45566</v>
      </c>
      <c r="B5" s="369" t="s">
        <v>10</v>
      </c>
      <c r="C5" s="370"/>
      <c r="D5" s="370"/>
      <c r="E5" s="777"/>
      <c r="F5" s="179"/>
      <c r="G5" s="933">
        <f>'Setembro-24'!G146</f>
        <v>610.71158333338099</v>
      </c>
      <c r="H5" s="163"/>
      <c r="I5" s="1479">
        <f>'Setembro-24'!I146</f>
        <v>-4.0000000010422809E-3</v>
      </c>
      <c r="J5" s="179"/>
      <c r="K5" s="933">
        <f>'Setembro-24'!K146</f>
        <v>495.42000000000553</v>
      </c>
      <c r="L5" s="179"/>
      <c r="M5" s="933">
        <f>'Setembro-24'!O146</f>
        <v>0</v>
      </c>
      <c r="N5" s="179"/>
      <c r="O5" s="1479">
        <f>'Setembro-24'!Q146</f>
        <v>1904.300000000002</v>
      </c>
      <c r="P5" s="179"/>
      <c r="Q5" s="933">
        <f>'Setembro-24'!S146</f>
        <v>33046.245984720001</v>
      </c>
    </row>
    <row r="6" spans="1:42" s="224" customFormat="1" x14ac:dyDescent="0.25">
      <c r="A6" s="247">
        <v>45566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x14ac:dyDescent="0.25">
      <c r="A7" s="247">
        <v>45566</v>
      </c>
      <c r="B7" s="364" t="s">
        <v>6929</v>
      </c>
      <c r="C7" s="350" t="s">
        <v>12</v>
      </c>
      <c r="D7" s="350"/>
      <c r="E7" s="875"/>
      <c r="F7" s="780"/>
      <c r="G7" s="982">
        <v>284.47000000000003</v>
      </c>
      <c r="H7" s="1008"/>
      <c r="I7" s="1063"/>
      <c r="J7" s="2013"/>
      <c r="K7" s="1207"/>
      <c r="L7" s="622"/>
      <c r="M7" s="982"/>
      <c r="N7" s="622"/>
      <c r="O7" s="1063"/>
      <c r="P7" s="622">
        <v>284.47000000000003</v>
      </c>
      <c r="Q7" s="982"/>
      <c r="R7" s="861"/>
      <c r="T7" s="878"/>
    </row>
    <row r="8" spans="1:42" s="224" customFormat="1" x14ac:dyDescent="0.25">
      <c r="A8" s="247">
        <v>45566</v>
      </c>
      <c r="B8" s="364" t="s">
        <v>6995</v>
      </c>
      <c r="C8" s="350" t="s">
        <v>12</v>
      </c>
      <c r="D8" s="350"/>
      <c r="E8" s="875"/>
      <c r="F8" s="780"/>
      <c r="G8" s="982"/>
      <c r="H8" s="1008"/>
      <c r="I8" s="1063"/>
      <c r="J8" s="2013"/>
      <c r="K8" s="1207"/>
      <c r="L8" s="622"/>
      <c r="M8" s="982"/>
      <c r="N8" s="622"/>
      <c r="O8" s="1063"/>
      <c r="P8" s="622">
        <v>5477.73</v>
      </c>
      <c r="Q8" s="982"/>
      <c r="R8" s="861"/>
      <c r="T8" s="878"/>
    </row>
    <row r="9" spans="1:42" s="224" customFormat="1" x14ac:dyDescent="0.25">
      <c r="A9" s="247">
        <v>45566</v>
      </c>
      <c r="B9" s="364" t="s">
        <v>6916</v>
      </c>
      <c r="C9" s="350" t="s">
        <v>12</v>
      </c>
      <c r="D9" s="350"/>
      <c r="E9" s="875"/>
      <c r="F9" s="780"/>
      <c r="G9" s="982"/>
      <c r="H9" s="1008"/>
      <c r="I9" s="1063"/>
      <c r="J9" s="2013"/>
      <c r="K9" s="1207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47">
        <v>45566</v>
      </c>
      <c r="B10" s="882" t="s">
        <v>6930</v>
      </c>
      <c r="C10" s="879" t="s">
        <v>12</v>
      </c>
      <c r="D10" s="879"/>
      <c r="E10" s="875"/>
      <c r="F10" s="780"/>
      <c r="G10" s="982"/>
      <c r="H10" s="95"/>
      <c r="I10" s="1064"/>
      <c r="J10" s="622"/>
      <c r="K10" s="982">
        <v>1815</v>
      </c>
      <c r="L10" s="622"/>
      <c r="M10" s="982"/>
      <c r="N10" s="622"/>
      <c r="O10" s="1063"/>
      <c r="P10" s="622"/>
      <c r="Q10" s="982"/>
      <c r="R10" s="861"/>
    </row>
    <row r="11" spans="1:42" s="224" customFormat="1" ht="15" customHeight="1" x14ac:dyDescent="0.25">
      <c r="A11" s="247">
        <v>45566</v>
      </c>
      <c r="B11" s="882" t="s">
        <v>6931</v>
      </c>
      <c r="C11" s="879" t="s">
        <v>12</v>
      </c>
      <c r="D11" s="879"/>
      <c r="E11" s="875"/>
      <c r="F11" s="780"/>
      <c r="G11" s="982">
        <v>625</v>
      </c>
      <c r="H11" s="95"/>
      <c r="I11" s="1064"/>
      <c r="J11" s="622">
        <v>625</v>
      </c>
      <c r="K11" s="982"/>
      <c r="L11" s="622"/>
      <c r="M11" s="982"/>
      <c r="N11" s="622"/>
      <c r="O11" s="1063"/>
      <c r="P11" s="622"/>
      <c r="Q11" s="982"/>
      <c r="R11" s="861"/>
    </row>
    <row r="12" spans="1:42" s="224" customFormat="1" ht="15" customHeight="1" x14ac:dyDescent="0.25">
      <c r="A12" s="247">
        <v>45566</v>
      </c>
      <c r="B12" s="364" t="s">
        <v>6932</v>
      </c>
      <c r="C12" s="350" t="s">
        <v>12</v>
      </c>
      <c r="D12" s="350" t="s">
        <v>1524</v>
      </c>
      <c r="E12" s="875" t="s">
        <v>13</v>
      </c>
      <c r="F12" s="780">
        <v>125</v>
      </c>
      <c r="G12" s="982"/>
      <c r="H12" s="1008"/>
      <c r="I12" s="1063"/>
      <c r="J12" s="1116"/>
      <c r="K12" s="1207"/>
      <c r="L12" s="622"/>
      <c r="M12" s="982"/>
      <c r="N12" s="622"/>
      <c r="O12" s="1063"/>
      <c r="P12" s="622"/>
      <c r="Q12" s="982"/>
      <c r="R12" s="861">
        <v>450</v>
      </c>
      <c r="T12" s="1035"/>
    </row>
    <row r="13" spans="1:42" s="224" customFormat="1" ht="15" customHeight="1" x14ac:dyDescent="0.25">
      <c r="A13" s="247">
        <v>45566</v>
      </c>
      <c r="B13" s="364" t="s">
        <v>6928</v>
      </c>
      <c r="C13" s="350" t="s">
        <v>12</v>
      </c>
      <c r="D13" s="350" t="s">
        <v>1524</v>
      </c>
      <c r="E13" s="875" t="s">
        <v>13</v>
      </c>
      <c r="F13" s="780">
        <v>500</v>
      </c>
      <c r="G13" s="982"/>
      <c r="H13" s="1008"/>
      <c r="I13" s="1063"/>
      <c r="J13" s="1116"/>
      <c r="K13" s="1207"/>
      <c r="L13" s="622"/>
      <c r="M13" s="982"/>
      <c r="N13" s="622"/>
      <c r="O13" s="1063"/>
      <c r="P13" s="622"/>
      <c r="Q13" s="982"/>
      <c r="R13" s="861">
        <v>450</v>
      </c>
      <c r="T13" s="1035"/>
    </row>
    <row r="14" spans="1:42" s="224" customFormat="1" x14ac:dyDescent="0.25">
      <c r="A14" s="247">
        <v>45566</v>
      </c>
      <c r="B14" s="364" t="s">
        <v>2789</v>
      </c>
      <c r="C14" s="350" t="s">
        <v>12</v>
      </c>
      <c r="D14" s="350" t="s">
        <v>1485</v>
      </c>
      <c r="E14" s="875" t="s">
        <v>13</v>
      </c>
      <c r="F14" s="780">
        <v>18</v>
      </c>
      <c r="G14" s="982"/>
      <c r="H14" s="1008"/>
      <c r="I14" s="1063"/>
      <c r="J14" s="2013"/>
      <c r="K14" s="1207"/>
      <c r="L14" s="622"/>
      <c r="M14" s="982"/>
      <c r="N14" s="622"/>
      <c r="O14" s="1063"/>
      <c r="P14" s="622"/>
      <c r="Q14" s="982"/>
      <c r="R14" s="861"/>
      <c r="T14" s="878"/>
    </row>
    <row r="15" spans="1:42" s="224" customFormat="1" ht="15" customHeight="1" x14ac:dyDescent="0.25">
      <c r="A15" s="247">
        <v>45566</v>
      </c>
      <c r="B15" s="1275" t="s">
        <v>6942</v>
      </c>
      <c r="C15" s="1276" t="s">
        <v>12</v>
      </c>
      <c r="D15" s="1276"/>
      <c r="E15" s="1286" t="s">
        <v>13</v>
      </c>
      <c r="F15" s="613">
        <v>178.2</v>
      </c>
      <c r="G15" s="967"/>
      <c r="H15" s="1008"/>
      <c r="I15" s="1063"/>
      <c r="J15" s="613"/>
      <c r="K15" s="6"/>
      <c r="L15" s="622"/>
      <c r="M15" s="982"/>
      <c r="N15" s="622"/>
      <c r="O15" s="1063"/>
      <c r="P15" s="613"/>
      <c r="Q15" s="64"/>
      <c r="R15" s="1024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45566</v>
      </c>
      <c r="B16" s="1275" t="s">
        <v>6755</v>
      </c>
      <c r="C16" s="1276" t="s">
        <v>12</v>
      </c>
      <c r="D16" s="1276"/>
      <c r="E16" s="1286"/>
      <c r="F16" s="613"/>
      <c r="G16" s="967">
        <v>178.2</v>
      </c>
      <c r="H16" s="1008"/>
      <c r="I16" s="1063"/>
      <c r="J16" s="613"/>
      <c r="K16" s="6"/>
      <c r="L16" s="622"/>
      <c r="M16" s="982"/>
      <c r="N16" s="622"/>
      <c r="O16" s="1063"/>
      <c r="P16" s="613"/>
      <c r="Q16" s="64"/>
      <c r="R16" s="1024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ht="15" customHeight="1" x14ac:dyDescent="0.25">
      <c r="A17" s="247">
        <v>45567</v>
      </c>
      <c r="B17" s="882" t="s">
        <v>6933</v>
      </c>
      <c r="C17" s="879"/>
      <c r="D17" s="879"/>
      <c r="E17" s="875"/>
      <c r="F17" s="780"/>
      <c r="G17" s="982"/>
      <c r="H17" s="1008"/>
      <c r="I17" s="1063"/>
      <c r="J17" s="622">
        <v>540</v>
      </c>
      <c r="K17" s="982"/>
      <c r="L17" s="622"/>
      <c r="M17" s="982"/>
      <c r="N17" s="622"/>
      <c r="O17" s="1063">
        <v>540</v>
      </c>
      <c r="P17" s="622"/>
      <c r="Q17" s="982"/>
      <c r="R17" s="861"/>
    </row>
    <row r="18" spans="1:42" s="224" customFormat="1" x14ac:dyDescent="0.25">
      <c r="A18" s="247">
        <v>45567</v>
      </c>
      <c r="B18" s="364" t="s">
        <v>6934</v>
      </c>
      <c r="C18" s="350" t="s">
        <v>12</v>
      </c>
      <c r="D18" s="350" t="s">
        <v>6731</v>
      </c>
      <c r="E18" s="875" t="s">
        <v>13</v>
      </c>
      <c r="F18" s="780">
        <v>94.5</v>
      </c>
      <c r="G18" s="982"/>
      <c r="H18" s="1008"/>
      <c r="I18" s="1063"/>
      <c r="J18" s="2013"/>
      <c r="K18" s="1207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ht="15" customHeight="1" x14ac:dyDescent="0.25">
      <c r="A19" s="247">
        <v>45567</v>
      </c>
      <c r="B19" s="882" t="s">
        <v>14</v>
      </c>
      <c r="C19" s="879" t="s">
        <v>12</v>
      </c>
      <c r="D19" s="879" t="s">
        <v>1486</v>
      </c>
      <c r="E19" s="480" t="s">
        <v>13</v>
      </c>
      <c r="F19" s="780">
        <v>20.88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45568</v>
      </c>
      <c r="B20" s="882" t="s">
        <v>6937</v>
      </c>
      <c r="C20" s="879" t="s">
        <v>12</v>
      </c>
      <c r="D20" s="879" t="s">
        <v>1489</v>
      </c>
      <c r="E20" s="875" t="s">
        <v>13</v>
      </c>
      <c r="F20" s="780">
        <v>13</v>
      </c>
      <c r="G20" s="982"/>
      <c r="H20" s="1008"/>
      <c r="I20" s="1063"/>
      <c r="J20" s="622"/>
      <c r="K20" s="982"/>
      <c r="L20" s="622"/>
      <c r="M20" s="982"/>
      <c r="N20" s="622"/>
      <c r="O20" s="1063"/>
      <c r="P20" s="622"/>
      <c r="Q20" s="982"/>
      <c r="R20" s="861"/>
    </row>
    <row r="21" spans="1:42" s="224" customFormat="1" x14ac:dyDescent="0.25">
      <c r="A21" s="247">
        <v>45568</v>
      </c>
      <c r="B21" s="364" t="s">
        <v>2789</v>
      </c>
      <c r="C21" s="350" t="s">
        <v>12</v>
      </c>
      <c r="D21" s="350" t="s">
        <v>1485</v>
      </c>
      <c r="E21" s="875" t="s">
        <v>13</v>
      </c>
      <c r="F21" s="780">
        <v>12.5</v>
      </c>
      <c r="G21" s="982"/>
      <c r="H21" s="1008"/>
      <c r="I21" s="1063"/>
      <c r="J21" s="2013"/>
      <c r="K21" s="1207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x14ac:dyDescent="0.25">
      <c r="A22" s="247">
        <v>45568</v>
      </c>
      <c r="B22" s="364" t="s">
        <v>6938</v>
      </c>
      <c r="C22" s="350" t="s">
        <v>12</v>
      </c>
      <c r="D22" s="350" t="s">
        <v>1489</v>
      </c>
      <c r="E22" s="875" t="s">
        <v>13</v>
      </c>
      <c r="F22" s="780">
        <v>5.8</v>
      </c>
      <c r="G22" s="982"/>
      <c r="H22" s="1008"/>
      <c r="I22" s="1063"/>
      <c r="J22" s="2013"/>
      <c r="K22" s="1207"/>
      <c r="L22" s="622"/>
      <c r="M22" s="982"/>
      <c r="N22" s="622"/>
      <c r="O22" s="1063"/>
      <c r="P22" s="622"/>
      <c r="Q22" s="982"/>
      <c r="R22" s="861"/>
      <c r="T22" s="878"/>
    </row>
    <row r="23" spans="1:42" s="224" customFormat="1" x14ac:dyDescent="0.25">
      <c r="A23" s="247">
        <v>45568</v>
      </c>
      <c r="B23" s="364" t="s">
        <v>6939</v>
      </c>
      <c r="C23" s="350" t="s">
        <v>12</v>
      </c>
      <c r="D23" s="350" t="s">
        <v>6731</v>
      </c>
      <c r="E23" s="875" t="s">
        <v>13</v>
      </c>
      <c r="F23" s="780">
        <v>36</v>
      </c>
      <c r="G23" s="982"/>
      <c r="H23" s="1008"/>
      <c r="I23" s="1063"/>
      <c r="J23" s="2013"/>
      <c r="K23" s="1207"/>
      <c r="L23" s="622"/>
      <c r="M23" s="982"/>
      <c r="N23" s="622"/>
      <c r="O23" s="1063"/>
      <c r="P23" s="622"/>
      <c r="Q23" s="982"/>
      <c r="R23" s="861"/>
      <c r="T23" s="878"/>
    </row>
    <row r="24" spans="1:42" s="224" customFormat="1" ht="15" customHeight="1" x14ac:dyDescent="0.25">
      <c r="A24" s="247">
        <v>45569</v>
      </c>
      <c r="B24" s="882" t="s">
        <v>6940</v>
      </c>
      <c r="C24" s="879" t="s">
        <v>12</v>
      </c>
      <c r="D24" s="879" t="s">
        <v>6731</v>
      </c>
      <c r="E24" s="875" t="s">
        <v>13</v>
      </c>
      <c r="F24" s="780">
        <v>25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861"/>
    </row>
    <row r="25" spans="1:42" s="224" customFormat="1" ht="15" customHeight="1" x14ac:dyDescent="0.25">
      <c r="A25" s="247">
        <v>45569</v>
      </c>
      <c r="B25" s="882" t="s">
        <v>6214</v>
      </c>
      <c r="C25" s="879" t="s">
        <v>12</v>
      </c>
      <c r="D25" s="879"/>
      <c r="E25" s="875" t="s">
        <v>13</v>
      </c>
      <c r="F25" s="780"/>
      <c r="G25" s="982"/>
      <c r="H25" s="95"/>
      <c r="I25" s="1064"/>
      <c r="J25" s="622"/>
      <c r="K25" s="982">
        <v>700</v>
      </c>
      <c r="L25" s="622"/>
      <c r="M25" s="982"/>
      <c r="N25" s="622"/>
      <c r="O25" s="1063"/>
      <c r="P25" s="622"/>
      <c r="Q25" s="982"/>
      <c r="R25" s="861"/>
    </row>
    <row r="26" spans="1:42" s="224" customFormat="1" ht="15" customHeight="1" x14ac:dyDescent="0.25">
      <c r="A26" s="247">
        <v>45569</v>
      </c>
      <c r="B26" s="882" t="s">
        <v>6208</v>
      </c>
      <c r="C26" s="879" t="s">
        <v>12</v>
      </c>
      <c r="D26" s="879"/>
      <c r="E26" s="875" t="s">
        <v>13</v>
      </c>
      <c r="F26" s="780">
        <v>700</v>
      </c>
      <c r="G26" s="982"/>
      <c r="H26" s="1008"/>
      <c r="I26" s="1063"/>
      <c r="J26" s="622"/>
      <c r="K26" s="982">
        <v>700</v>
      </c>
      <c r="L26" s="622"/>
      <c r="M26" s="982"/>
      <c r="N26" s="622"/>
      <c r="O26" s="1063"/>
      <c r="P26" s="622"/>
      <c r="Q26" s="982"/>
      <c r="R26" s="861"/>
    </row>
    <row r="27" spans="1:42" s="224" customFormat="1" ht="15" customHeight="1" x14ac:dyDescent="0.25">
      <c r="A27" s="247">
        <v>45570</v>
      </c>
      <c r="B27" s="882" t="s">
        <v>6941</v>
      </c>
      <c r="C27" s="879" t="s">
        <v>12</v>
      </c>
      <c r="D27" s="879" t="s">
        <v>6731</v>
      </c>
      <c r="E27" s="875" t="s">
        <v>13</v>
      </c>
      <c r="F27" s="780">
        <v>5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861"/>
    </row>
    <row r="28" spans="1:42" s="224" customFormat="1" ht="15" customHeight="1" x14ac:dyDescent="0.25">
      <c r="A28" s="247">
        <v>45570</v>
      </c>
      <c r="B28" s="882" t="s">
        <v>2629</v>
      </c>
      <c r="C28" s="879" t="s">
        <v>12</v>
      </c>
      <c r="D28" s="879" t="s">
        <v>1489</v>
      </c>
      <c r="E28" s="875" t="s">
        <v>13</v>
      </c>
      <c r="F28" s="780">
        <v>56.54</v>
      </c>
      <c r="G28" s="982"/>
      <c r="H28" s="1008"/>
      <c r="I28" s="1063"/>
      <c r="J28" s="613"/>
      <c r="K28" s="982"/>
      <c r="L28" s="622"/>
      <c r="M28" s="982"/>
      <c r="N28" s="622"/>
      <c r="O28" s="1063"/>
      <c r="P28" s="622"/>
      <c r="Q28" s="982"/>
      <c r="R28" s="861"/>
    </row>
    <row r="29" spans="1:42" s="224" customFormat="1" ht="15" customHeight="1" x14ac:dyDescent="0.25">
      <c r="A29" s="247">
        <v>45570</v>
      </c>
      <c r="B29" s="882" t="s">
        <v>32</v>
      </c>
      <c r="C29" s="879" t="s">
        <v>12</v>
      </c>
      <c r="D29" s="879" t="s">
        <v>1485</v>
      </c>
      <c r="E29" s="480" t="s">
        <v>13</v>
      </c>
      <c r="F29" s="780">
        <v>15.9</v>
      </c>
      <c r="G29" s="982"/>
      <c r="H29" s="622"/>
      <c r="I29" s="982"/>
      <c r="J29" s="622"/>
      <c r="K29" s="982"/>
      <c r="L29" s="622"/>
      <c r="M29" s="982"/>
      <c r="N29" s="880"/>
      <c r="O29" s="1525"/>
      <c r="P29" s="613"/>
      <c r="Q29" s="162"/>
      <c r="R29" s="1956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45570</v>
      </c>
      <c r="B30" s="882" t="s">
        <v>7039</v>
      </c>
      <c r="C30" s="879" t="s">
        <v>12</v>
      </c>
      <c r="D30" s="879" t="s">
        <v>1493</v>
      </c>
      <c r="E30" s="480" t="s">
        <v>13</v>
      </c>
      <c r="F30" s="780">
        <v>14.9</v>
      </c>
      <c r="G30" s="982"/>
      <c r="H30" s="622"/>
      <c r="I30" s="982"/>
      <c r="J30" s="622"/>
      <c r="K30" s="982"/>
      <c r="L30" s="622"/>
      <c r="M30" s="982"/>
      <c r="N30" s="880"/>
      <c r="O30" s="1525"/>
      <c r="P30" s="613"/>
      <c r="Q30" s="162"/>
      <c r="R30" s="1956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x14ac:dyDescent="0.25">
      <c r="A31" s="247">
        <v>45571</v>
      </c>
      <c r="B31" s="1275"/>
      <c r="C31" s="879"/>
      <c r="D31" s="1276"/>
      <c r="E31" s="1286"/>
      <c r="F31" s="780"/>
      <c r="G31" s="982"/>
      <c r="H31" s="1008"/>
      <c r="I31" s="1063"/>
      <c r="J31" s="622"/>
      <c r="K31" s="982"/>
      <c r="L31" s="622"/>
      <c r="M31" s="982"/>
      <c r="N31" s="622"/>
      <c r="O31" s="1063"/>
      <c r="P31" s="622"/>
      <c r="Q31" s="982"/>
      <c r="R31" s="1028"/>
      <c r="T31" s="878"/>
    </row>
    <row r="32" spans="1:42" s="224" customFormat="1" ht="15.75" customHeight="1" x14ac:dyDescent="0.25">
      <c r="A32" s="247">
        <v>45572</v>
      </c>
      <c r="B32" s="873" t="s">
        <v>6880</v>
      </c>
      <c r="C32" s="879" t="s">
        <v>12</v>
      </c>
      <c r="D32" s="874"/>
      <c r="E32" s="887" t="s">
        <v>25</v>
      </c>
      <c r="F32" s="1524"/>
      <c r="G32" s="1002">
        <v>2471.12</v>
      </c>
      <c r="H32" s="538"/>
      <c r="I32" s="982"/>
      <c r="J32" s="2013"/>
      <c r="K32" s="1207"/>
      <c r="L32" s="622"/>
      <c r="M32" s="982"/>
      <c r="N32" s="622"/>
      <c r="O32" s="1063"/>
      <c r="P32" s="622"/>
      <c r="Q32" s="982"/>
      <c r="R32" s="178"/>
    </row>
    <row r="33" spans="1:42" s="224" customFormat="1" ht="15" customHeight="1" x14ac:dyDescent="0.25">
      <c r="A33" s="247">
        <v>45572</v>
      </c>
      <c r="B33" s="364" t="s">
        <v>1396</v>
      </c>
      <c r="C33" s="879" t="s">
        <v>12</v>
      </c>
      <c r="D33" s="350"/>
      <c r="E33" s="919" t="s">
        <v>25</v>
      </c>
      <c r="F33" s="1116"/>
      <c r="G33" s="966">
        <v>150</v>
      </c>
      <c r="H33" s="1031"/>
      <c r="I33" s="1525"/>
      <c r="J33" s="2013"/>
      <c r="K33" s="1207"/>
      <c r="L33" s="880"/>
      <c r="M33" s="1033"/>
      <c r="N33" s="622"/>
      <c r="O33" s="1063"/>
      <c r="P33" s="1116"/>
      <c r="Q33" s="1207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45572</v>
      </c>
      <c r="B34" s="364" t="s">
        <v>2977</v>
      </c>
      <c r="C34" s="879" t="s">
        <v>12</v>
      </c>
      <c r="D34" s="350" t="s">
        <v>1491</v>
      </c>
      <c r="E34" s="875" t="s">
        <v>13</v>
      </c>
      <c r="F34" s="780">
        <v>400</v>
      </c>
      <c r="G34" s="982"/>
      <c r="H34" s="1008"/>
      <c r="I34" s="1063"/>
      <c r="J34" s="2013"/>
      <c r="K34" s="1207"/>
      <c r="L34" s="622"/>
      <c r="M34" s="982"/>
      <c r="N34" s="622"/>
      <c r="O34" s="1063"/>
      <c r="P34" s="622"/>
      <c r="Q34" s="982"/>
      <c r="R34" s="1028"/>
      <c r="T34" s="1035"/>
    </row>
    <row r="35" spans="1:42" x14ac:dyDescent="0.25">
      <c r="A35" s="247">
        <v>45572</v>
      </c>
      <c r="B35" s="876" t="s">
        <v>6393</v>
      </c>
      <c r="C35" s="879" t="s">
        <v>12</v>
      </c>
      <c r="D35" s="879" t="s">
        <v>1491</v>
      </c>
      <c r="E35" s="871" t="s">
        <v>13</v>
      </c>
      <c r="F35" s="780">
        <v>80</v>
      </c>
      <c r="G35" s="982"/>
      <c r="H35" s="1009"/>
      <c r="I35" s="1063"/>
      <c r="J35" s="613"/>
      <c r="K35" s="6"/>
      <c r="L35" s="622"/>
      <c r="M35" s="982"/>
      <c r="N35" s="622"/>
      <c r="O35" s="1063"/>
      <c r="P35" s="622"/>
      <c r="Q35" s="982"/>
      <c r="R35" s="1029" t="s">
        <v>361</v>
      </c>
      <c r="S35" s="518" t="s">
        <v>6855</v>
      </c>
    </row>
    <row r="36" spans="1:42" s="224" customFormat="1" ht="15" customHeight="1" x14ac:dyDescent="0.25">
      <c r="A36" s="247">
        <v>45572</v>
      </c>
      <c r="B36" s="862" t="s">
        <v>6416</v>
      </c>
      <c r="C36" s="879" t="s">
        <v>12</v>
      </c>
      <c r="D36" s="879" t="s">
        <v>1504</v>
      </c>
      <c r="E36" s="871" t="s">
        <v>13</v>
      </c>
      <c r="F36" s="780">
        <v>40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1808">
        <v>100</v>
      </c>
      <c r="S36" s="1028">
        <v>60</v>
      </c>
      <c r="T36" s="1035"/>
    </row>
    <row r="37" spans="1:42" s="224" customFormat="1" ht="15" customHeight="1" x14ac:dyDescent="0.25">
      <c r="A37" s="247">
        <v>45572</v>
      </c>
      <c r="B37" s="882" t="s">
        <v>6881</v>
      </c>
      <c r="C37" s="879" t="s">
        <v>12</v>
      </c>
      <c r="D37" s="879" t="s">
        <v>1499</v>
      </c>
      <c r="E37" s="871" t="s">
        <v>13</v>
      </c>
      <c r="F37" s="780">
        <v>73.7</v>
      </c>
      <c r="G37" s="982"/>
      <c r="H37" s="1008"/>
      <c r="I37" s="1063"/>
      <c r="J37" s="880"/>
      <c r="K37" s="1033"/>
      <c r="L37" s="622"/>
      <c r="M37" s="982"/>
      <c r="N37" s="622"/>
      <c r="O37" s="1063"/>
      <c r="P37" s="622"/>
      <c r="Q37" s="982"/>
      <c r="R37" s="1028">
        <v>233.7</v>
      </c>
      <c r="S37" s="999">
        <v>160</v>
      </c>
      <c r="T37" s="878"/>
    </row>
    <row r="38" spans="1:42" x14ac:dyDescent="0.25">
      <c r="A38" s="247">
        <v>45572</v>
      </c>
      <c r="B38" s="876" t="s">
        <v>6762</v>
      </c>
      <c r="C38" s="879" t="s">
        <v>12</v>
      </c>
      <c r="D38" s="879" t="s">
        <v>1496</v>
      </c>
      <c r="E38" s="871" t="s">
        <v>13</v>
      </c>
      <c r="F38" s="780">
        <v>100</v>
      </c>
      <c r="G38" s="982"/>
      <c r="H38" s="1009"/>
      <c r="I38" s="1063"/>
      <c r="J38" s="613"/>
      <c r="K38" s="6"/>
      <c r="L38" s="622"/>
      <c r="M38" s="982"/>
      <c r="N38" s="622"/>
      <c r="O38" s="1063"/>
      <c r="P38" s="622"/>
      <c r="Q38" s="982"/>
      <c r="R38" s="1029"/>
      <c r="S38" s="484">
        <v>35</v>
      </c>
      <c r="T38" s="986" t="s">
        <v>6947</v>
      </c>
    </row>
    <row r="39" spans="1:42" s="224" customFormat="1" ht="15" customHeight="1" x14ac:dyDescent="0.25">
      <c r="A39" s="247">
        <v>45572</v>
      </c>
      <c r="B39" s="1289" t="s">
        <v>2096</v>
      </c>
      <c r="C39" s="879" t="s">
        <v>12</v>
      </c>
      <c r="D39" s="1276" t="s">
        <v>1506</v>
      </c>
      <c r="E39" s="875" t="s">
        <v>13</v>
      </c>
      <c r="F39" s="1873">
        <v>50</v>
      </c>
      <c r="G39" s="967"/>
      <c r="H39" s="1008"/>
      <c r="I39" s="1063"/>
      <c r="J39" s="613"/>
      <c r="K39" s="6"/>
      <c r="L39" s="622"/>
      <c r="M39" s="982"/>
      <c r="N39" s="622"/>
      <c r="O39" s="1063"/>
      <c r="P39" s="613"/>
      <c r="Q39" s="64"/>
      <c r="R39" s="120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customHeight="1" x14ac:dyDescent="0.25">
      <c r="A40" s="247">
        <v>45572</v>
      </c>
      <c r="B40" s="882" t="s">
        <v>2595</v>
      </c>
      <c r="C40" s="879" t="s">
        <v>12</v>
      </c>
      <c r="D40" s="879" t="s">
        <v>1506</v>
      </c>
      <c r="E40" s="871" t="s">
        <v>13</v>
      </c>
      <c r="F40" s="780">
        <v>10</v>
      </c>
      <c r="G40" s="982"/>
      <c r="H40" s="622"/>
      <c r="I40" s="982"/>
      <c r="J40" s="872"/>
      <c r="K40" s="1207"/>
      <c r="L40" s="622"/>
      <c r="M40" s="982"/>
      <c r="N40" s="622"/>
      <c r="O40" s="1063"/>
      <c r="P40" s="622"/>
      <c r="Q40" s="982"/>
      <c r="R40" s="1028"/>
      <c r="S40" s="959"/>
      <c r="T40" s="878"/>
      <c r="U40" s="958"/>
    </row>
    <row r="41" spans="1:42" s="224" customFormat="1" ht="15" customHeight="1" x14ac:dyDescent="0.25">
      <c r="A41" s="247">
        <v>45572</v>
      </c>
      <c r="B41" s="882" t="s">
        <v>6258</v>
      </c>
      <c r="C41" s="879" t="s">
        <v>12</v>
      </c>
      <c r="D41" s="879"/>
      <c r="E41" s="875" t="s">
        <v>13</v>
      </c>
      <c r="F41" s="780"/>
      <c r="G41" s="982">
        <v>1000</v>
      </c>
      <c r="H41" s="1008"/>
      <c r="I41" s="1063"/>
      <c r="J41" s="613">
        <v>1000</v>
      </c>
      <c r="K41" s="982"/>
      <c r="L41" s="622"/>
      <c r="M41" s="982"/>
      <c r="N41" s="622"/>
      <c r="O41" s="1063"/>
      <c r="P41" s="622"/>
      <c r="Q41" s="982"/>
      <c r="R41" s="861"/>
    </row>
    <row r="42" spans="1:42" s="224" customFormat="1" ht="15" customHeight="1" x14ac:dyDescent="0.25">
      <c r="A42" s="247">
        <v>45572</v>
      </c>
      <c r="B42" s="882" t="s">
        <v>6946</v>
      </c>
      <c r="C42" s="879" t="s">
        <v>12</v>
      </c>
      <c r="D42" s="879" t="s">
        <v>1524</v>
      </c>
      <c r="E42" s="875" t="s">
        <v>13</v>
      </c>
      <c r="F42" s="780">
        <v>1000</v>
      </c>
      <c r="G42" s="982"/>
      <c r="H42" s="622"/>
      <c r="I42" s="982"/>
      <c r="J42" s="622"/>
      <c r="K42" s="982"/>
      <c r="L42" s="622"/>
      <c r="M42" s="982"/>
      <c r="N42" s="622"/>
      <c r="O42" s="1063"/>
      <c r="P42" s="622"/>
      <c r="Q42" s="982"/>
      <c r="R42" s="1028"/>
      <c r="S42" s="959"/>
      <c r="T42" s="878"/>
      <c r="U42" s="958"/>
    </row>
    <row r="43" spans="1:42" s="224" customFormat="1" x14ac:dyDescent="0.25">
      <c r="A43" s="247">
        <v>45572</v>
      </c>
      <c r="B43" s="364" t="s">
        <v>2789</v>
      </c>
      <c r="C43" s="350" t="s">
        <v>12</v>
      </c>
      <c r="D43" s="350" t="s">
        <v>1485</v>
      </c>
      <c r="E43" s="875" t="s">
        <v>13</v>
      </c>
      <c r="F43" s="780">
        <v>11.5</v>
      </c>
      <c r="G43" s="982"/>
      <c r="H43" s="1008"/>
      <c r="I43" s="1063"/>
      <c r="J43" s="2013"/>
      <c r="K43" s="1207"/>
      <c r="L43" s="622"/>
      <c r="M43" s="982"/>
      <c r="N43" s="622"/>
      <c r="O43" s="1063"/>
      <c r="P43" s="622"/>
      <c r="Q43" s="982"/>
      <c r="R43" s="861"/>
      <c r="T43" s="878"/>
    </row>
    <row r="44" spans="1:42" s="224" customFormat="1" ht="15" customHeight="1" x14ac:dyDescent="0.25">
      <c r="A44" s="247">
        <v>45572</v>
      </c>
      <c r="B44" s="882" t="s">
        <v>6914</v>
      </c>
      <c r="C44" s="879" t="s">
        <v>12</v>
      </c>
      <c r="D44" s="879"/>
      <c r="E44" s="875" t="s">
        <v>13</v>
      </c>
      <c r="F44" s="780">
        <v>553</v>
      </c>
      <c r="G44" s="982"/>
      <c r="H44" s="622"/>
      <c r="I44" s="982"/>
      <c r="J44" s="622"/>
      <c r="K44" s="982"/>
      <c r="L44" s="622"/>
      <c r="M44" s="982"/>
      <c r="N44" s="880"/>
      <c r="O44" s="1525">
        <v>553</v>
      </c>
      <c r="P44" s="613"/>
      <c r="Q44" s="162"/>
      <c r="R44" s="1956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224" customFormat="1" ht="15" customHeight="1" x14ac:dyDescent="0.25">
      <c r="A45" s="247">
        <v>45572</v>
      </c>
      <c r="B45" s="1275" t="s">
        <v>3958</v>
      </c>
      <c r="C45" s="1276" t="s">
        <v>12</v>
      </c>
      <c r="D45" s="1276" t="s">
        <v>1489</v>
      </c>
      <c r="E45" s="1277" t="s">
        <v>13</v>
      </c>
      <c r="F45" s="780">
        <v>20</v>
      </c>
      <c r="G45" s="982"/>
      <c r="H45" s="1008"/>
      <c r="I45" s="1063"/>
      <c r="J45" s="1116"/>
      <c r="K45" s="1207"/>
      <c r="L45" s="622"/>
      <c r="M45" s="982"/>
      <c r="N45" s="622"/>
      <c r="O45" s="1063"/>
      <c r="P45" s="622"/>
      <c r="Q45" s="982"/>
      <c r="R45" s="861"/>
      <c r="T45" s="1035"/>
    </row>
    <row r="46" spans="1:42" s="224" customFormat="1" ht="15" customHeight="1" x14ac:dyDescent="0.25">
      <c r="A46" s="247">
        <v>45572</v>
      </c>
      <c r="B46" s="882" t="s">
        <v>14</v>
      </c>
      <c r="C46" s="879" t="s">
        <v>12</v>
      </c>
      <c r="D46" s="879" t="s">
        <v>1486</v>
      </c>
      <c r="E46" s="480" t="s">
        <v>5470</v>
      </c>
      <c r="F46" s="613">
        <v>7.16</v>
      </c>
      <c r="G46" s="967"/>
      <c r="H46" s="1008"/>
      <c r="I46" s="1063"/>
      <c r="J46" s="622"/>
      <c r="K46" s="982"/>
      <c r="L46" s="880"/>
      <c r="M46" s="1033"/>
      <c r="N46" s="880"/>
      <c r="O46" s="1525"/>
      <c r="P46" s="613"/>
      <c r="Q46" s="162"/>
      <c r="R46" s="195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 spans="1:42" s="224" customFormat="1" ht="15" customHeight="1" x14ac:dyDescent="0.25">
      <c r="A47" s="247">
        <v>45573</v>
      </c>
      <c r="B47" s="882" t="s">
        <v>6329</v>
      </c>
      <c r="C47" s="879" t="s">
        <v>12</v>
      </c>
      <c r="D47" s="879"/>
      <c r="E47" s="875" t="s">
        <v>25</v>
      </c>
      <c r="F47" s="780"/>
      <c r="G47" s="982">
        <v>100</v>
      </c>
      <c r="H47" s="622"/>
      <c r="I47" s="982"/>
      <c r="J47" s="622"/>
      <c r="K47" s="982"/>
      <c r="L47" s="853"/>
      <c r="M47" s="982"/>
      <c r="N47" s="622"/>
      <c r="O47" s="1063"/>
      <c r="P47" s="622"/>
      <c r="Q47" s="982"/>
      <c r="R47" s="927"/>
      <c r="S47" s="927"/>
      <c r="T47" s="878"/>
    </row>
    <row r="48" spans="1:42" s="224" customFormat="1" ht="15" customHeight="1" x14ac:dyDescent="0.25">
      <c r="A48" s="247">
        <v>45573</v>
      </c>
      <c r="B48" s="882" t="s">
        <v>32</v>
      </c>
      <c r="C48" s="879" t="s">
        <v>12</v>
      </c>
      <c r="D48" s="879" t="s">
        <v>1485</v>
      </c>
      <c r="E48" s="480" t="s">
        <v>13</v>
      </c>
      <c r="F48" s="780">
        <v>22</v>
      </c>
      <c r="G48" s="982"/>
      <c r="H48" s="622"/>
      <c r="I48" s="982"/>
      <c r="J48" s="622"/>
      <c r="K48" s="982"/>
      <c r="L48" s="622"/>
      <c r="M48" s="982"/>
      <c r="N48" s="880"/>
      <c r="O48" s="1525"/>
      <c r="P48" s="613"/>
      <c r="Q48" s="162"/>
      <c r="R48" s="1956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45573</v>
      </c>
      <c r="B49" s="882" t="s">
        <v>14</v>
      </c>
      <c r="C49" s="879" t="s">
        <v>12</v>
      </c>
      <c r="D49" s="879" t="s">
        <v>1486</v>
      </c>
      <c r="E49" s="480" t="s">
        <v>13</v>
      </c>
      <c r="F49" s="780">
        <v>9.51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861"/>
    </row>
    <row r="50" spans="1:42" s="224" customFormat="1" ht="15" customHeight="1" x14ac:dyDescent="0.25">
      <c r="A50" s="247">
        <v>45573</v>
      </c>
      <c r="B50" s="882" t="s">
        <v>6258</v>
      </c>
      <c r="C50" s="879" t="s">
        <v>12</v>
      </c>
      <c r="D50" s="879"/>
      <c r="E50" s="875" t="s">
        <v>13</v>
      </c>
      <c r="F50" s="780"/>
      <c r="G50" s="982">
        <v>19</v>
      </c>
      <c r="H50" s="1008"/>
      <c r="I50" s="1063"/>
      <c r="J50" s="613">
        <v>19</v>
      </c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45573</v>
      </c>
      <c r="B51" s="882" t="s">
        <v>6949</v>
      </c>
      <c r="C51" s="879" t="s">
        <v>12</v>
      </c>
      <c r="D51" s="879" t="s">
        <v>1524</v>
      </c>
      <c r="E51" s="875" t="s">
        <v>13</v>
      </c>
      <c r="F51" s="780">
        <v>19</v>
      </c>
      <c r="G51" s="982"/>
      <c r="H51" s="622"/>
      <c r="I51" s="982"/>
      <c r="J51" s="622"/>
      <c r="K51" s="982"/>
      <c r="L51" s="622"/>
      <c r="M51" s="982"/>
      <c r="N51" s="622"/>
      <c r="O51" s="1063"/>
      <c r="P51" s="622"/>
      <c r="Q51" s="982"/>
      <c r="R51" s="1028"/>
      <c r="S51" s="959"/>
      <c r="T51" s="878"/>
      <c r="U51" s="958"/>
    </row>
    <row r="52" spans="1:42" s="224" customFormat="1" ht="15" customHeight="1" x14ac:dyDescent="0.25">
      <c r="A52" s="247">
        <v>45574</v>
      </c>
      <c r="B52" s="882" t="s">
        <v>32</v>
      </c>
      <c r="C52" s="879" t="s">
        <v>12</v>
      </c>
      <c r="D52" s="879" t="s">
        <v>1485</v>
      </c>
      <c r="E52" s="480" t="s">
        <v>13</v>
      </c>
      <c r="F52" s="780">
        <v>22</v>
      </c>
      <c r="G52" s="982"/>
      <c r="H52" s="622"/>
      <c r="I52" s="982"/>
      <c r="J52" s="622"/>
      <c r="K52" s="982"/>
      <c r="L52" s="622"/>
      <c r="M52" s="982"/>
      <c r="N52" s="880"/>
      <c r="O52" s="1525"/>
      <c r="P52" s="613"/>
      <c r="Q52" s="162"/>
      <c r="R52" s="1956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customHeight="1" x14ac:dyDescent="0.25">
      <c r="A53" s="247">
        <v>45574</v>
      </c>
      <c r="B53" s="882" t="s">
        <v>6950</v>
      </c>
      <c r="C53" s="879" t="s">
        <v>12</v>
      </c>
      <c r="D53" s="879"/>
      <c r="E53" s="875" t="s">
        <v>25</v>
      </c>
      <c r="F53" s="780"/>
      <c r="G53" s="982">
        <v>150</v>
      </c>
      <c r="H53" s="95"/>
      <c r="I53" s="1064"/>
      <c r="J53" s="622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45574</v>
      </c>
      <c r="B54" s="882" t="s">
        <v>6951</v>
      </c>
      <c r="C54" s="879" t="s">
        <v>12</v>
      </c>
      <c r="D54" s="879"/>
      <c r="E54" s="875" t="s">
        <v>13</v>
      </c>
      <c r="F54" s="780">
        <v>300</v>
      </c>
      <c r="G54" s="982"/>
      <c r="H54" s="622"/>
      <c r="I54" s="982">
        <v>300</v>
      </c>
      <c r="J54" s="622"/>
      <c r="K54" s="982"/>
      <c r="L54" s="622"/>
      <c r="M54" s="982"/>
      <c r="N54" s="880"/>
      <c r="O54" s="1525"/>
      <c r="P54" s="613"/>
      <c r="Q54" s="162"/>
      <c r="R54" s="195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customHeight="1" x14ac:dyDescent="0.25">
      <c r="A55" s="247">
        <v>45575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22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1028"/>
      <c r="S55" s="959"/>
      <c r="T55" s="878"/>
      <c r="U55" s="958"/>
    </row>
    <row r="56" spans="1:42" s="224" customFormat="1" ht="15" customHeight="1" x14ac:dyDescent="0.25">
      <c r="A56" s="247">
        <v>45575</v>
      </c>
      <c r="B56" s="882" t="s">
        <v>81</v>
      </c>
      <c r="C56" s="879" t="s">
        <v>12</v>
      </c>
      <c r="D56" s="879" t="s">
        <v>1493</v>
      </c>
      <c r="E56" s="871" t="s">
        <v>13</v>
      </c>
      <c r="F56" s="780">
        <v>4.5</v>
      </c>
      <c r="G56" s="982"/>
      <c r="H56" s="622"/>
      <c r="I56" s="982"/>
      <c r="J56" s="622"/>
      <c r="K56" s="982"/>
      <c r="L56" s="622"/>
      <c r="M56" s="982"/>
      <c r="N56" s="880"/>
      <c r="O56" s="1525"/>
      <c r="P56" s="613"/>
      <c r="Q56" s="162"/>
      <c r="R56" s="19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customHeight="1" x14ac:dyDescent="0.25">
      <c r="A57" s="247">
        <v>45575</v>
      </c>
      <c r="B57" s="1275" t="s">
        <v>6857</v>
      </c>
      <c r="C57" s="1276" t="s">
        <v>12</v>
      </c>
      <c r="D57" s="1276"/>
      <c r="E57" s="1286" t="s">
        <v>13</v>
      </c>
      <c r="F57" s="613">
        <v>118.8</v>
      </c>
      <c r="G57" s="967"/>
      <c r="H57" s="1008"/>
      <c r="I57" s="1063"/>
      <c r="J57" s="613"/>
      <c r="K57" s="6"/>
      <c r="L57" s="622"/>
      <c r="M57" s="982"/>
      <c r="N57" s="622"/>
      <c r="O57" s="1063"/>
      <c r="P57" s="613"/>
      <c r="Q57" s="64"/>
      <c r="R57" s="1024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pans="1:42" s="224" customFormat="1" ht="15" customHeight="1" x14ac:dyDescent="0.25">
      <c r="A58" s="247">
        <v>45575</v>
      </c>
      <c r="B58" s="1275" t="s">
        <v>6755</v>
      </c>
      <c r="C58" s="1276" t="s">
        <v>12</v>
      </c>
      <c r="D58" s="1276"/>
      <c r="E58" s="1286"/>
      <c r="F58" s="613"/>
      <c r="G58" s="967">
        <v>118.8</v>
      </c>
      <c r="H58" s="1008"/>
      <c r="I58" s="1063"/>
      <c r="J58" s="613"/>
      <c r="K58" s="6"/>
      <c r="L58" s="622"/>
      <c r="M58" s="982"/>
      <c r="N58" s="622"/>
      <c r="O58" s="1063"/>
      <c r="P58" s="613"/>
      <c r="Q58" s="64"/>
      <c r="R58" s="1024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45575</v>
      </c>
      <c r="B59" s="882" t="s">
        <v>14</v>
      </c>
      <c r="C59" s="879" t="s">
        <v>12</v>
      </c>
      <c r="D59" s="879" t="s">
        <v>1486</v>
      </c>
      <c r="E59" s="480" t="s">
        <v>5470</v>
      </c>
      <c r="F59" s="613">
        <v>27.67</v>
      </c>
      <c r="G59" s="967"/>
      <c r="H59" s="1008"/>
      <c r="I59" s="1063"/>
      <c r="J59" s="622"/>
      <c r="K59" s="982"/>
      <c r="L59" s="880"/>
      <c r="M59" s="1033"/>
      <c r="N59" s="880"/>
      <c r="O59" s="1525"/>
      <c r="P59" s="613"/>
      <c r="Q59" s="162"/>
      <c r="R59" s="1956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x14ac:dyDescent="0.25">
      <c r="A60" s="247">
        <v>45576</v>
      </c>
      <c r="B60" s="882" t="s">
        <v>32</v>
      </c>
      <c r="C60" s="879" t="s">
        <v>12</v>
      </c>
      <c r="D60" s="879" t="s">
        <v>1485</v>
      </c>
      <c r="E60" s="480" t="s">
        <v>13</v>
      </c>
      <c r="F60" s="780">
        <v>22</v>
      </c>
      <c r="G60" s="982"/>
      <c r="H60" s="1008"/>
      <c r="I60" s="1063"/>
      <c r="J60" s="2013"/>
      <c r="K60" s="1207"/>
      <c r="L60" s="622"/>
      <c r="M60" s="982"/>
      <c r="N60" s="622"/>
      <c r="O60" s="1063"/>
      <c r="P60" s="622"/>
      <c r="Q60" s="982"/>
      <c r="R60" s="1028"/>
      <c r="T60" s="878"/>
    </row>
    <row r="61" spans="1:42" s="224" customFormat="1" ht="15" customHeight="1" x14ac:dyDescent="0.25">
      <c r="A61" s="247">
        <v>45576</v>
      </c>
      <c r="B61" s="882" t="s">
        <v>6953</v>
      </c>
      <c r="C61" s="879" t="s">
        <v>12</v>
      </c>
      <c r="D61" s="879" t="s">
        <v>1493</v>
      </c>
      <c r="E61" s="875" t="s">
        <v>13</v>
      </c>
      <c r="F61" s="780">
        <v>89.9</v>
      </c>
      <c r="G61" s="982"/>
      <c r="H61" s="95"/>
      <c r="I61" s="1064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5" customHeight="1" x14ac:dyDescent="0.25">
      <c r="A62" s="247">
        <v>45577</v>
      </c>
      <c r="B62" s="882" t="s">
        <v>14</v>
      </c>
      <c r="C62" s="879" t="s">
        <v>12</v>
      </c>
      <c r="D62" s="879" t="s">
        <v>1486</v>
      </c>
      <c r="E62" s="480" t="s">
        <v>15</v>
      </c>
      <c r="F62" s="613">
        <v>7</v>
      </c>
      <c r="G62" s="967"/>
      <c r="H62" s="1008"/>
      <c r="I62" s="1063"/>
      <c r="J62" s="622"/>
      <c r="K62" s="982"/>
      <c r="L62" s="880"/>
      <c r="M62" s="1033"/>
      <c r="N62" s="880"/>
      <c r="O62" s="1525"/>
      <c r="P62" s="613"/>
      <c r="Q62" s="162"/>
      <c r="R62" s="1956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4.25" customHeight="1" x14ac:dyDescent="0.25">
      <c r="A63" s="247">
        <v>45577</v>
      </c>
      <c r="B63" s="882" t="s">
        <v>6954</v>
      </c>
      <c r="C63" s="879" t="s">
        <v>12</v>
      </c>
      <c r="D63" s="879" t="s">
        <v>6731</v>
      </c>
      <c r="E63" s="875" t="s">
        <v>13</v>
      </c>
      <c r="F63" s="1873">
        <v>23.5</v>
      </c>
      <c r="G63" s="982"/>
      <c r="H63" s="1031"/>
      <c r="I63" s="1525"/>
      <c r="J63" s="622"/>
      <c r="K63" s="982"/>
      <c r="L63" s="880"/>
      <c r="M63" s="1033"/>
      <c r="N63" s="880"/>
      <c r="O63" s="1525"/>
      <c r="P63" s="613"/>
      <c r="Q63" s="162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45578</v>
      </c>
      <c r="B64" s="882" t="s">
        <v>2629</v>
      </c>
      <c r="C64" s="879" t="s">
        <v>12</v>
      </c>
      <c r="D64" s="879" t="s">
        <v>1489</v>
      </c>
      <c r="E64" s="480" t="s">
        <v>5470</v>
      </c>
      <c r="F64" s="613">
        <v>28.16</v>
      </c>
      <c r="G64" s="967"/>
      <c r="H64" s="1008"/>
      <c r="I64" s="1063"/>
      <c r="J64" s="622"/>
      <c r="K64" s="982"/>
      <c r="L64" s="880"/>
      <c r="M64" s="1033"/>
      <c r="N64" s="880"/>
      <c r="O64" s="1525"/>
      <c r="P64" s="613"/>
      <c r="Q64" s="162"/>
      <c r="R64" s="1956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x14ac:dyDescent="0.25">
      <c r="A65" s="247">
        <v>45579</v>
      </c>
      <c r="B65" s="1275" t="s">
        <v>6955</v>
      </c>
      <c r="C65" s="879" t="s">
        <v>12</v>
      </c>
      <c r="D65" s="1276" t="s">
        <v>6731</v>
      </c>
      <c r="E65" s="1286" t="s">
        <v>13</v>
      </c>
      <c r="F65" s="780">
        <v>20.89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1028"/>
      <c r="T65" s="878"/>
    </row>
    <row r="66" spans="1:42" s="224" customFormat="1" x14ac:dyDescent="0.25">
      <c r="A66" s="247">
        <v>45579</v>
      </c>
      <c r="B66" s="882" t="s">
        <v>32</v>
      </c>
      <c r="C66" s="879" t="s">
        <v>12</v>
      </c>
      <c r="D66" s="879" t="s">
        <v>1485</v>
      </c>
      <c r="E66" s="480" t="s">
        <v>13</v>
      </c>
      <c r="F66" s="780">
        <v>22</v>
      </c>
      <c r="G66" s="982"/>
      <c r="H66" s="1008"/>
      <c r="I66" s="1063"/>
      <c r="J66" s="2013"/>
      <c r="K66" s="1207"/>
      <c r="L66" s="622"/>
      <c r="M66" s="982"/>
      <c r="N66" s="622"/>
      <c r="O66" s="1063"/>
      <c r="P66" s="622"/>
      <c r="Q66" s="982"/>
      <c r="R66" s="1028"/>
      <c r="T66" s="878"/>
    </row>
    <row r="67" spans="1:42" s="224" customFormat="1" ht="15" customHeight="1" x14ac:dyDescent="0.25">
      <c r="A67" s="247">
        <v>45579</v>
      </c>
      <c r="B67" s="882" t="s">
        <v>14</v>
      </c>
      <c r="C67" s="879" t="s">
        <v>12</v>
      </c>
      <c r="D67" s="879" t="s">
        <v>1486</v>
      </c>
      <c r="E67" s="480" t="s">
        <v>13</v>
      </c>
      <c r="F67" s="780">
        <v>7.09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45580</v>
      </c>
      <c r="B68" s="882" t="s">
        <v>6329</v>
      </c>
      <c r="C68" s="879" t="s">
        <v>12</v>
      </c>
      <c r="D68" s="879"/>
      <c r="E68" s="875" t="s">
        <v>25</v>
      </c>
      <c r="F68" s="780"/>
      <c r="G68" s="982">
        <v>100</v>
      </c>
      <c r="H68" s="622"/>
      <c r="I68" s="982"/>
      <c r="J68" s="622"/>
      <c r="K68" s="982"/>
      <c r="L68" s="853"/>
      <c r="M68" s="982"/>
      <c r="N68" s="622"/>
      <c r="O68" s="1063"/>
      <c r="P68" s="622"/>
      <c r="Q68" s="982"/>
      <c r="R68" s="927"/>
      <c r="S68" s="927"/>
      <c r="T68" s="878"/>
    </row>
    <row r="69" spans="1:42" s="224" customFormat="1" ht="15" customHeight="1" x14ac:dyDescent="0.25">
      <c r="A69" s="247">
        <v>45580</v>
      </c>
      <c r="B69" s="882" t="s">
        <v>6958</v>
      </c>
      <c r="C69" s="879" t="s">
        <v>12</v>
      </c>
      <c r="D69" s="879" t="s">
        <v>6731</v>
      </c>
      <c r="E69" s="480" t="s">
        <v>13</v>
      </c>
      <c r="F69" s="613">
        <v>12.99</v>
      </c>
      <c r="G69" s="967"/>
      <c r="H69" s="1008"/>
      <c r="I69" s="1063"/>
      <c r="J69" s="622"/>
      <c r="K69" s="982"/>
      <c r="L69" s="880"/>
      <c r="M69" s="1033"/>
      <c r="N69" s="880"/>
      <c r="O69" s="1525"/>
      <c r="P69" s="613"/>
      <c r="Q69" s="162"/>
      <c r="R69" s="1956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ht="15" customHeight="1" x14ac:dyDescent="0.25">
      <c r="A70" s="247">
        <v>45580</v>
      </c>
      <c r="B70" s="882" t="s">
        <v>6959</v>
      </c>
      <c r="C70" s="879" t="s">
        <v>12</v>
      </c>
      <c r="D70" s="879"/>
      <c r="E70" s="875" t="s">
        <v>25</v>
      </c>
      <c r="F70" s="780"/>
      <c r="G70" s="982">
        <v>300</v>
      </c>
      <c r="H70" s="622"/>
      <c r="I70" s="982"/>
      <c r="J70" s="622"/>
      <c r="K70" s="982"/>
      <c r="L70" s="622"/>
      <c r="M70" s="982"/>
      <c r="N70" s="622"/>
      <c r="O70" s="1063"/>
      <c r="P70" s="622"/>
      <c r="Q70" s="982"/>
      <c r="R70" s="1028"/>
      <c r="S70" s="959"/>
      <c r="T70" s="878"/>
      <c r="U70" s="958"/>
    </row>
    <row r="71" spans="1:42" s="224" customFormat="1" ht="15" customHeight="1" x14ac:dyDescent="0.25">
      <c r="A71" s="247">
        <v>45580</v>
      </c>
      <c r="B71" s="882" t="s">
        <v>6951</v>
      </c>
      <c r="C71" s="879" t="s">
        <v>12</v>
      </c>
      <c r="D71" s="879"/>
      <c r="E71" s="875" t="s">
        <v>13</v>
      </c>
      <c r="F71" s="780">
        <v>200</v>
      </c>
      <c r="G71" s="982"/>
      <c r="H71" s="622"/>
      <c r="I71" s="982"/>
      <c r="J71" s="622"/>
      <c r="K71" s="982"/>
      <c r="L71" s="622"/>
      <c r="M71" s="982"/>
      <c r="N71" s="880"/>
      <c r="O71" s="1525">
        <v>200</v>
      </c>
      <c r="P71" s="613"/>
      <c r="Q71" s="162"/>
      <c r="R71" s="1956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pans="1:42" s="224" customFormat="1" x14ac:dyDescent="0.25">
      <c r="A72" s="247">
        <v>45580</v>
      </c>
      <c r="B72" s="882" t="s">
        <v>32</v>
      </c>
      <c r="C72" s="879" t="s">
        <v>12</v>
      </c>
      <c r="D72" s="879" t="s">
        <v>1485</v>
      </c>
      <c r="E72" s="480" t="s">
        <v>13</v>
      </c>
      <c r="F72" s="780">
        <v>22</v>
      </c>
      <c r="G72" s="982"/>
      <c r="H72" s="1008"/>
      <c r="I72" s="1063"/>
      <c r="J72" s="2013"/>
      <c r="K72" s="1207"/>
      <c r="L72" s="622"/>
      <c r="M72" s="982"/>
      <c r="N72" s="622"/>
      <c r="O72" s="1063"/>
      <c r="P72" s="622"/>
      <c r="Q72" s="982"/>
      <c r="R72" s="1028"/>
      <c r="T72" s="878"/>
    </row>
    <row r="73" spans="1:42" s="224" customFormat="1" ht="15" customHeight="1" x14ac:dyDescent="0.25">
      <c r="A73" s="247">
        <v>45580</v>
      </c>
      <c r="B73" s="882" t="s">
        <v>6960</v>
      </c>
      <c r="C73" s="879" t="s">
        <v>12</v>
      </c>
      <c r="D73" s="879" t="s">
        <v>6731</v>
      </c>
      <c r="E73" s="871" t="s">
        <v>15</v>
      </c>
      <c r="F73" s="780">
        <v>16</v>
      </c>
      <c r="G73" s="982"/>
      <c r="H73" s="622"/>
      <c r="I73" s="982"/>
      <c r="J73" s="872"/>
      <c r="K73" s="1207"/>
      <c r="L73" s="622"/>
      <c r="M73" s="982"/>
      <c r="N73" s="622"/>
      <c r="O73" s="1063"/>
      <c r="P73" s="622"/>
      <c r="Q73" s="982"/>
      <c r="R73" s="1028"/>
      <c r="S73" s="959"/>
      <c r="T73" s="878"/>
      <c r="U73" s="958"/>
    </row>
    <row r="74" spans="1:42" s="224" customFormat="1" ht="15" customHeight="1" x14ac:dyDescent="0.25">
      <c r="A74" s="247">
        <v>45580</v>
      </c>
      <c r="B74" s="882" t="s">
        <v>6961</v>
      </c>
      <c r="C74" s="879" t="s">
        <v>12</v>
      </c>
      <c r="D74" s="879" t="s">
        <v>1506</v>
      </c>
      <c r="E74" s="871" t="s">
        <v>15</v>
      </c>
      <c r="F74" s="780">
        <v>21</v>
      </c>
      <c r="G74" s="982"/>
      <c r="H74" s="622"/>
      <c r="I74" s="982"/>
      <c r="J74" s="872"/>
      <c r="K74" s="1207"/>
      <c r="L74" s="622"/>
      <c r="M74" s="982"/>
      <c r="N74" s="622"/>
      <c r="O74" s="1063"/>
      <c r="P74" s="622"/>
      <c r="Q74" s="982"/>
      <c r="R74" s="1028"/>
      <c r="S74" s="959"/>
      <c r="T74" s="878"/>
      <c r="U74" s="958"/>
    </row>
    <row r="75" spans="1:42" s="224" customFormat="1" ht="15" customHeight="1" x14ac:dyDescent="0.25">
      <c r="A75" s="247">
        <v>45581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22</v>
      </c>
      <c r="G75" s="982"/>
      <c r="H75" s="622"/>
      <c r="I75" s="982"/>
      <c r="J75" s="622"/>
      <c r="K75" s="982"/>
      <c r="L75" s="622"/>
      <c r="M75" s="982"/>
      <c r="N75" s="622"/>
      <c r="O75" s="1063"/>
      <c r="P75" s="622"/>
      <c r="Q75" s="982"/>
      <c r="R75" s="1028"/>
      <c r="S75" s="959"/>
      <c r="T75" s="878"/>
      <c r="U75" s="958"/>
    </row>
    <row r="76" spans="1:42" s="224" customFormat="1" ht="15" customHeight="1" x14ac:dyDescent="0.25">
      <c r="A76" s="247">
        <v>45581</v>
      </c>
      <c r="B76" s="882" t="s">
        <v>81</v>
      </c>
      <c r="C76" s="879" t="s">
        <v>12</v>
      </c>
      <c r="D76" s="879" t="s">
        <v>1493</v>
      </c>
      <c r="E76" s="871" t="s">
        <v>13</v>
      </c>
      <c r="F76" s="780">
        <v>8.9</v>
      </c>
      <c r="G76" s="982"/>
      <c r="H76" s="622"/>
      <c r="I76" s="982"/>
      <c r="J76" s="622"/>
      <c r="K76" s="982"/>
      <c r="L76" s="622"/>
      <c r="M76" s="982"/>
      <c r="N76" s="880"/>
      <c r="O76" s="1525"/>
      <c r="P76" s="613"/>
      <c r="Q76" s="162"/>
      <c r="R76" s="195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ht="15" customHeight="1" x14ac:dyDescent="0.25">
      <c r="A77" s="247">
        <v>45581</v>
      </c>
      <c r="B77" s="882" t="s">
        <v>6965</v>
      </c>
      <c r="C77" s="879" t="s">
        <v>12</v>
      </c>
      <c r="D77" s="879" t="s">
        <v>1493</v>
      </c>
      <c r="E77" s="875" t="s">
        <v>13</v>
      </c>
      <c r="F77" s="780">
        <v>30</v>
      </c>
      <c r="G77" s="982"/>
      <c r="H77" s="622"/>
      <c r="I77" s="982"/>
      <c r="J77" s="872"/>
      <c r="K77" s="1207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45582</v>
      </c>
      <c r="B78" s="882" t="s">
        <v>32</v>
      </c>
      <c r="C78" s="879" t="s">
        <v>12</v>
      </c>
      <c r="D78" s="879" t="s">
        <v>1485</v>
      </c>
      <c r="E78" s="875" t="s">
        <v>13</v>
      </c>
      <c r="F78" s="780">
        <v>22</v>
      </c>
      <c r="G78" s="982"/>
      <c r="H78" s="622"/>
      <c r="I78" s="982"/>
      <c r="J78" s="622"/>
      <c r="K78" s="982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45582</v>
      </c>
      <c r="B79" s="882" t="s">
        <v>14</v>
      </c>
      <c r="C79" s="879" t="s">
        <v>12</v>
      </c>
      <c r="D79" s="879" t="s">
        <v>1486</v>
      </c>
      <c r="E79" s="480" t="s">
        <v>13</v>
      </c>
      <c r="F79" s="780">
        <v>13.6</v>
      </c>
      <c r="G79" s="982"/>
      <c r="H79" s="622"/>
      <c r="I79" s="982"/>
      <c r="J79" s="872"/>
      <c r="K79" s="1207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5" customHeight="1" x14ac:dyDescent="0.25">
      <c r="A80" s="247">
        <v>45582</v>
      </c>
      <c r="B80" s="882" t="s">
        <v>6967</v>
      </c>
      <c r="C80" s="879" t="s">
        <v>12</v>
      </c>
      <c r="D80" s="879" t="s">
        <v>1506</v>
      </c>
      <c r="E80" s="875" t="s">
        <v>13</v>
      </c>
      <c r="F80" s="780">
        <v>25</v>
      </c>
      <c r="G80" s="982"/>
      <c r="H80" s="622"/>
      <c r="I80" s="982"/>
      <c r="J80" s="622"/>
      <c r="K80" s="982"/>
      <c r="L80" s="622"/>
      <c r="M80" s="982"/>
      <c r="N80" s="880"/>
      <c r="O80" s="1525"/>
      <c r="P80" s="613"/>
      <c r="Q80" s="162"/>
      <c r="R80" s="1956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45583</v>
      </c>
      <c r="B81" s="882" t="s">
        <v>6882</v>
      </c>
      <c r="C81" s="350" t="s">
        <v>12</v>
      </c>
      <c r="D81" s="350"/>
      <c r="E81" s="480" t="s">
        <v>25</v>
      </c>
      <c r="F81" s="622"/>
      <c r="G81" s="982">
        <v>2400</v>
      </c>
      <c r="H81" s="1008"/>
      <c r="I81" s="1063"/>
      <c r="J81" s="622"/>
      <c r="K81" s="982"/>
      <c r="L81" s="622"/>
      <c r="M81" s="982"/>
      <c r="N81" s="622"/>
      <c r="O81" s="1063"/>
      <c r="P81" s="622"/>
      <c r="Q81" s="982"/>
      <c r="R81" s="861"/>
    </row>
    <row r="82" spans="1:42" s="224" customFormat="1" ht="15" customHeight="1" x14ac:dyDescent="0.25">
      <c r="A82" s="247">
        <v>45583</v>
      </c>
      <c r="B82" s="364" t="s">
        <v>6883</v>
      </c>
      <c r="C82" s="879" t="s">
        <v>12</v>
      </c>
      <c r="D82" s="879"/>
      <c r="E82" s="983" t="s">
        <v>25</v>
      </c>
      <c r="F82" s="780"/>
      <c r="G82" s="982"/>
      <c r="H82" s="622"/>
      <c r="I82" s="982"/>
      <c r="J82" s="2013"/>
      <c r="K82" s="1207"/>
      <c r="L82" s="622"/>
      <c r="M82" s="982"/>
      <c r="N82" s="622"/>
      <c r="O82" s="1063"/>
      <c r="P82" s="622"/>
      <c r="Q82" s="982">
        <v>480</v>
      </c>
      <c r="R82" s="927"/>
      <c r="S82" s="927"/>
      <c r="T82" s="878"/>
    </row>
    <row r="83" spans="1:42" s="224" customFormat="1" ht="15" customHeight="1" x14ac:dyDescent="0.25">
      <c r="A83" s="247">
        <v>45583</v>
      </c>
      <c r="B83" s="364" t="s">
        <v>3354</v>
      </c>
      <c r="C83" s="350" t="s">
        <v>12</v>
      </c>
      <c r="D83" s="350"/>
      <c r="E83" s="145" t="s">
        <v>25</v>
      </c>
      <c r="F83" s="613"/>
      <c r="G83" s="967"/>
      <c r="H83" s="1008"/>
      <c r="I83" s="1063"/>
      <c r="J83" s="622"/>
      <c r="K83" s="982"/>
      <c r="L83" s="880"/>
      <c r="M83" s="1033"/>
      <c r="N83" s="880"/>
      <c r="O83" s="1525"/>
      <c r="P83" s="613"/>
      <c r="Q83" s="162">
        <v>161.75</v>
      </c>
      <c r="R83" s="2018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customHeight="1" x14ac:dyDescent="0.25">
      <c r="A84" s="247">
        <v>45583</v>
      </c>
      <c r="B84" s="862" t="s">
        <v>2867</v>
      </c>
      <c r="C84" s="350" t="s">
        <v>12</v>
      </c>
      <c r="D84" s="874" t="s">
        <v>1504</v>
      </c>
      <c r="E84" s="887" t="s">
        <v>13</v>
      </c>
      <c r="F84" s="780">
        <v>30</v>
      </c>
      <c r="G84" s="982"/>
      <c r="H84" s="1009"/>
      <c r="I84" s="1063"/>
      <c r="J84" s="622"/>
      <c r="K84" s="982"/>
      <c r="L84" s="853"/>
      <c r="M84" s="982"/>
      <c r="N84" s="853"/>
      <c r="O84" s="1063"/>
      <c r="P84" s="622"/>
      <c r="Q84" s="982"/>
      <c r="R84" s="1690"/>
      <c r="S84" s="1690"/>
      <c r="T84" s="1690"/>
      <c r="U84" s="1690"/>
      <c r="V84" s="1690"/>
      <c r="W84" s="1690"/>
      <c r="X84" s="1690"/>
      <c r="Y84" s="1690"/>
      <c r="Z84" s="1690"/>
    </row>
    <row r="85" spans="1:42" s="224" customFormat="1" ht="14.25" customHeight="1" x14ac:dyDescent="0.25">
      <c r="A85" s="247">
        <v>45583</v>
      </c>
      <c r="B85" s="364" t="s">
        <v>2977</v>
      </c>
      <c r="C85" s="350" t="s">
        <v>12</v>
      </c>
      <c r="D85" s="350" t="s">
        <v>1491</v>
      </c>
      <c r="E85" s="875" t="s">
        <v>13</v>
      </c>
      <c r="F85" s="1047">
        <v>400</v>
      </c>
      <c r="G85" s="982"/>
      <c r="H85" s="1008"/>
      <c r="I85" s="1063"/>
      <c r="J85" s="622"/>
      <c r="K85" s="982"/>
      <c r="L85" s="622"/>
      <c r="M85" s="982"/>
      <c r="N85" s="622"/>
      <c r="O85" s="1063"/>
      <c r="P85" s="622"/>
      <c r="Q85" s="982"/>
      <c r="R85" s="1029"/>
      <c r="S85" s="89"/>
      <c r="T85" s="930"/>
    </row>
    <row r="86" spans="1:42" s="224" customFormat="1" ht="15" customHeight="1" x14ac:dyDescent="0.25">
      <c r="A86" s="247">
        <v>45583</v>
      </c>
      <c r="B86" s="349" t="s">
        <v>6884</v>
      </c>
      <c r="C86" s="887" t="s">
        <v>12</v>
      </c>
      <c r="D86" s="350" t="s">
        <v>1491</v>
      </c>
      <c r="E86" s="887" t="s">
        <v>13</v>
      </c>
      <c r="F86" s="613">
        <v>31.9</v>
      </c>
      <c r="G86" s="982"/>
      <c r="H86" s="872"/>
      <c r="I86" s="1063"/>
      <c r="J86" s="622"/>
      <c r="K86" s="982"/>
      <c r="L86" s="622"/>
      <c r="M86" s="982"/>
      <c r="N86" s="622"/>
      <c r="O86" s="1063"/>
      <c r="P86" s="622"/>
      <c r="Q86" s="982"/>
      <c r="R86" s="927"/>
      <c r="S86" s="999"/>
      <c r="T86" s="878"/>
    </row>
    <row r="87" spans="1:42" s="224" customFormat="1" ht="15" customHeight="1" x14ac:dyDescent="0.25">
      <c r="A87" s="247">
        <v>45583</v>
      </c>
      <c r="B87" s="349" t="s">
        <v>6884</v>
      </c>
      <c r="C87" s="887" t="s">
        <v>12</v>
      </c>
      <c r="D87" s="350" t="s">
        <v>1504</v>
      </c>
      <c r="E87" s="887" t="s">
        <v>13</v>
      </c>
      <c r="F87" s="613">
        <v>40.79</v>
      </c>
      <c r="G87" s="982"/>
      <c r="H87" s="872"/>
      <c r="I87" s="1063"/>
      <c r="J87" s="622"/>
      <c r="K87" s="982"/>
      <c r="L87" s="622"/>
      <c r="M87" s="982"/>
      <c r="N87" s="622"/>
      <c r="O87" s="1063"/>
      <c r="P87" s="622"/>
      <c r="Q87" s="982"/>
      <c r="R87" s="927"/>
      <c r="S87" s="999"/>
      <c r="T87" s="878"/>
    </row>
    <row r="88" spans="1:42" s="224" customFormat="1" ht="15" customHeight="1" x14ac:dyDescent="0.25">
      <c r="A88" s="247">
        <v>45583</v>
      </c>
      <c r="B88" s="349" t="s">
        <v>6884</v>
      </c>
      <c r="C88" s="887" t="s">
        <v>12</v>
      </c>
      <c r="D88" s="350" t="s">
        <v>1504</v>
      </c>
      <c r="E88" s="887" t="s">
        <v>13</v>
      </c>
      <c r="F88" s="613">
        <v>45</v>
      </c>
      <c r="G88" s="982"/>
      <c r="H88" s="872"/>
      <c r="I88" s="1063"/>
      <c r="J88" s="622"/>
      <c r="K88" s="982"/>
      <c r="L88" s="622"/>
      <c r="M88" s="982"/>
      <c r="N88" s="622"/>
      <c r="O88" s="1063"/>
      <c r="P88" s="622"/>
      <c r="Q88" s="982"/>
      <c r="R88" s="927"/>
      <c r="S88" s="999"/>
      <c r="T88" s="878"/>
    </row>
    <row r="89" spans="1:42" s="224" customFormat="1" ht="15" customHeight="1" x14ac:dyDescent="0.25">
      <c r="A89" s="247">
        <v>45583</v>
      </c>
      <c r="B89" s="349" t="s">
        <v>6884</v>
      </c>
      <c r="C89" s="887" t="s">
        <v>12</v>
      </c>
      <c r="D89" s="350" t="s">
        <v>1504</v>
      </c>
      <c r="E89" s="887" t="s">
        <v>13</v>
      </c>
      <c r="F89" s="613">
        <v>29.806666666666668</v>
      </c>
      <c r="G89" s="982"/>
      <c r="H89" s="872"/>
      <c r="I89" s="1063"/>
      <c r="J89" s="622"/>
      <c r="K89" s="982"/>
      <c r="L89" s="622"/>
      <c r="M89" s="982"/>
      <c r="N89" s="622"/>
      <c r="O89" s="1063"/>
      <c r="P89" s="622"/>
      <c r="Q89" s="982"/>
      <c r="R89" s="927"/>
      <c r="S89" s="999"/>
      <c r="T89" s="878"/>
    </row>
    <row r="90" spans="1:42" s="224" customFormat="1" ht="15" customHeight="1" x14ac:dyDescent="0.25">
      <c r="A90" s="247">
        <v>45583</v>
      </c>
      <c r="B90" s="349" t="s">
        <v>6884</v>
      </c>
      <c r="C90" s="887" t="s">
        <v>12</v>
      </c>
      <c r="D90" s="350" t="s">
        <v>1489</v>
      </c>
      <c r="E90" s="887" t="s">
        <v>13</v>
      </c>
      <c r="F90" s="613">
        <v>65</v>
      </c>
      <c r="G90" s="982"/>
      <c r="H90" s="872"/>
      <c r="I90" s="1063"/>
      <c r="J90" s="622"/>
      <c r="K90" s="982"/>
      <c r="L90" s="622"/>
      <c r="M90" s="982"/>
      <c r="N90" s="622"/>
      <c r="O90" s="1063"/>
      <c r="P90" s="622"/>
      <c r="Q90" s="982"/>
      <c r="R90" s="927"/>
      <c r="S90" s="999"/>
      <c r="T90" s="878"/>
    </row>
    <row r="91" spans="1:42" s="224" customFormat="1" ht="15" customHeight="1" x14ac:dyDescent="0.25">
      <c r="A91" s="247">
        <v>45583</v>
      </c>
      <c r="B91" s="349" t="s">
        <v>6884</v>
      </c>
      <c r="C91" s="887" t="s">
        <v>12</v>
      </c>
      <c r="D91" s="350" t="s">
        <v>1524</v>
      </c>
      <c r="E91" s="887" t="s">
        <v>13</v>
      </c>
      <c r="F91" s="613">
        <v>479.16666666666669</v>
      </c>
      <c r="G91" s="982"/>
      <c r="H91" s="872"/>
      <c r="I91" s="1063"/>
      <c r="J91" s="622"/>
      <c r="K91" s="982"/>
      <c r="L91" s="622"/>
      <c r="M91" s="982"/>
      <c r="N91" s="622"/>
      <c r="O91" s="1063"/>
      <c r="P91" s="622"/>
      <c r="Q91" s="982"/>
      <c r="R91" s="927"/>
      <c r="S91" s="999"/>
      <c r="T91" s="878"/>
    </row>
    <row r="92" spans="1:42" s="224" customFormat="1" ht="15" customHeight="1" x14ac:dyDescent="0.25">
      <c r="A92" s="247">
        <v>45583</v>
      </c>
      <c r="B92" s="349" t="s">
        <v>6884</v>
      </c>
      <c r="C92" s="887" t="s">
        <v>12</v>
      </c>
      <c r="D92" s="350" t="s">
        <v>1506</v>
      </c>
      <c r="E92" s="887" t="s">
        <v>13</v>
      </c>
      <c r="F92" s="613">
        <v>86.666666666666671</v>
      </c>
      <c r="G92" s="982"/>
      <c r="H92" s="872"/>
      <c r="I92" s="1063"/>
      <c r="J92" s="622"/>
      <c r="K92" s="982"/>
      <c r="L92" s="622"/>
      <c r="M92" s="982"/>
      <c r="N92" s="622"/>
      <c r="O92" s="1063"/>
      <c r="P92" s="622"/>
      <c r="Q92" s="982"/>
      <c r="R92" s="927"/>
      <c r="S92" s="999"/>
      <c r="T92" s="878"/>
    </row>
    <row r="93" spans="1:42" s="224" customFormat="1" ht="15" customHeight="1" x14ac:dyDescent="0.25">
      <c r="A93" s="247">
        <v>45583</v>
      </c>
      <c r="B93" s="349" t="s">
        <v>6884</v>
      </c>
      <c r="C93" s="887" t="s">
        <v>12</v>
      </c>
      <c r="D93" s="350" t="s">
        <v>6731</v>
      </c>
      <c r="E93" s="887" t="s">
        <v>13</v>
      </c>
      <c r="F93" s="613">
        <v>118.33</v>
      </c>
      <c r="G93" s="982"/>
      <c r="H93" s="872"/>
      <c r="I93" s="1063"/>
      <c r="J93" s="622"/>
      <c r="K93" s="982"/>
      <c r="L93" s="622"/>
      <c r="M93" s="982"/>
      <c r="N93" s="622"/>
      <c r="O93" s="1063"/>
      <c r="P93" s="622"/>
      <c r="Q93" s="982"/>
      <c r="R93" s="927"/>
      <c r="S93" s="999"/>
      <c r="T93" s="878"/>
    </row>
    <row r="94" spans="1:42" s="224" customFormat="1" ht="15" customHeight="1" x14ac:dyDescent="0.25">
      <c r="A94" s="247">
        <v>45583</v>
      </c>
      <c r="B94" s="349" t="s">
        <v>6884</v>
      </c>
      <c r="C94" s="887" t="s">
        <v>12</v>
      </c>
      <c r="D94" s="350" t="s">
        <v>1524</v>
      </c>
      <c r="E94" s="887" t="s">
        <v>13</v>
      </c>
      <c r="F94" s="613">
        <v>204.75</v>
      </c>
      <c r="G94" s="982"/>
      <c r="H94" s="872"/>
      <c r="I94" s="1063"/>
      <c r="J94" s="622"/>
      <c r="K94" s="982"/>
      <c r="L94" s="622"/>
      <c r="M94" s="982"/>
      <c r="N94" s="622"/>
      <c r="O94" s="1063"/>
      <c r="P94" s="622"/>
      <c r="Q94" s="982"/>
      <c r="R94" s="927"/>
      <c r="S94" s="999"/>
      <c r="T94" s="878"/>
    </row>
    <row r="95" spans="1:42" s="224" customFormat="1" ht="15" customHeight="1" x14ac:dyDescent="0.25">
      <c r="A95" s="247">
        <v>45583</v>
      </c>
      <c r="B95" s="349" t="s">
        <v>6884</v>
      </c>
      <c r="C95" s="887" t="s">
        <v>12</v>
      </c>
      <c r="D95" s="350" t="s">
        <v>1524</v>
      </c>
      <c r="E95" s="887" t="s">
        <v>13</v>
      </c>
      <c r="F95" s="613">
        <v>214</v>
      </c>
      <c r="G95" s="982"/>
      <c r="H95" s="872"/>
      <c r="I95" s="1063"/>
      <c r="J95" s="622"/>
      <c r="K95" s="982"/>
      <c r="L95" s="622"/>
      <c r="M95" s="982"/>
      <c r="N95" s="622"/>
      <c r="O95" s="1063"/>
      <c r="P95" s="622"/>
      <c r="Q95" s="982"/>
      <c r="R95" s="927"/>
      <c r="S95" s="999"/>
      <c r="T95" s="878"/>
    </row>
    <row r="96" spans="1:42" s="224" customFormat="1" ht="15" customHeight="1" x14ac:dyDescent="0.25">
      <c r="A96" s="247">
        <v>45583</v>
      </c>
      <c r="B96" s="349" t="s">
        <v>6884</v>
      </c>
      <c r="C96" s="887" t="s">
        <v>12</v>
      </c>
      <c r="D96" s="350" t="s">
        <v>1524</v>
      </c>
      <c r="E96" s="887" t="s">
        <v>13</v>
      </c>
      <c r="F96" s="613">
        <v>139</v>
      </c>
      <c r="G96" s="982"/>
      <c r="H96" s="872"/>
      <c r="I96" s="1063"/>
      <c r="J96" s="622"/>
      <c r="K96" s="982"/>
      <c r="L96" s="622"/>
      <c r="M96" s="982"/>
      <c r="N96" s="622"/>
      <c r="O96" s="1063"/>
      <c r="P96" s="622"/>
      <c r="Q96" s="982"/>
      <c r="R96" s="927"/>
      <c r="S96" s="999"/>
      <c r="T96" s="878"/>
    </row>
    <row r="97" spans="1:42" s="224" customFormat="1" ht="15" customHeight="1" x14ac:dyDescent="0.25">
      <c r="A97" s="247">
        <v>45583</v>
      </c>
      <c r="B97" s="349" t="s">
        <v>6884</v>
      </c>
      <c r="C97" s="887" t="s">
        <v>12</v>
      </c>
      <c r="D97" s="350" t="s">
        <v>1524</v>
      </c>
      <c r="E97" s="887" t="s">
        <v>13</v>
      </c>
      <c r="F97" s="613">
        <v>270.11</v>
      </c>
      <c r="G97" s="982"/>
      <c r="H97" s="872"/>
      <c r="I97" s="1063"/>
      <c r="J97" s="622"/>
      <c r="K97" s="982"/>
      <c r="L97" s="622"/>
      <c r="M97" s="982"/>
      <c r="N97" s="622"/>
      <c r="O97" s="1063"/>
      <c r="P97" s="622"/>
      <c r="Q97" s="982"/>
      <c r="R97" s="927"/>
      <c r="S97" s="999"/>
      <c r="T97" s="878"/>
    </row>
    <row r="98" spans="1:42" s="224" customFormat="1" ht="15" customHeight="1" x14ac:dyDescent="0.25">
      <c r="A98" s="247">
        <v>45583</v>
      </c>
      <c r="B98" s="349" t="s">
        <v>6884</v>
      </c>
      <c r="C98" s="887" t="s">
        <v>12</v>
      </c>
      <c r="D98" s="1005" t="s">
        <v>1524</v>
      </c>
      <c r="E98" s="887" t="s">
        <v>13</v>
      </c>
      <c r="F98" s="1116">
        <v>80.739999999999995</v>
      </c>
      <c r="G98" s="982"/>
      <c r="H98" s="872"/>
      <c r="I98" s="1063"/>
      <c r="J98" s="622"/>
      <c r="K98" s="982"/>
      <c r="L98" s="622"/>
      <c r="M98" s="982"/>
      <c r="N98" s="622"/>
      <c r="O98" s="1063"/>
      <c r="P98" s="622"/>
      <c r="Q98" s="982"/>
      <c r="R98" s="927"/>
      <c r="S98" s="999"/>
      <c r="T98" s="878"/>
    </row>
    <row r="99" spans="1:42" s="224" customFormat="1" ht="15" customHeight="1" x14ac:dyDescent="0.25">
      <c r="A99" s="247">
        <v>45583</v>
      </c>
      <c r="B99" s="349" t="s">
        <v>6884</v>
      </c>
      <c r="C99" s="887" t="s">
        <v>12</v>
      </c>
      <c r="D99" s="350" t="s">
        <v>1524</v>
      </c>
      <c r="E99" s="887" t="s">
        <v>13</v>
      </c>
      <c r="F99" s="613">
        <v>51</v>
      </c>
      <c r="G99" s="982"/>
      <c r="H99" s="872"/>
      <c r="I99" s="1063"/>
      <c r="J99" s="622"/>
      <c r="K99" s="982"/>
      <c r="L99" s="622"/>
      <c r="M99" s="982"/>
      <c r="N99" s="622"/>
      <c r="O99" s="1063"/>
      <c r="P99" s="622"/>
      <c r="Q99" s="982"/>
      <c r="R99" s="927"/>
      <c r="S99" s="999"/>
      <c r="T99" s="878"/>
    </row>
    <row r="100" spans="1:42" s="224" customFormat="1" ht="15" customHeight="1" x14ac:dyDescent="0.25">
      <c r="A100" s="247">
        <v>45583</v>
      </c>
      <c r="B100" s="349" t="s">
        <v>6884</v>
      </c>
      <c r="C100" s="887" t="s">
        <v>12</v>
      </c>
      <c r="D100" s="350" t="s">
        <v>1524</v>
      </c>
      <c r="E100" s="887" t="s">
        <v>13</v>
      </c>
      <c r="F100" s="613">
        <v>71.56</v>
      </c>
      <c r="G100" s="982"/>
      <c r="H100" s="872"/>
      <c r="I100" s="1063"/>
      <c r="J100" s="622"/>
      <c r="K100" s="982"/>
      <c r="L100" s="622"/>
      <c r="M100" s="982"/>
      <c r="N100" s="622"/>
      <c r="O100" s="1063"/>
      <c r="P100" s="622"/>
      <c r="Q100" s="982"/>
      <c r="R100" s="927"/>
      <c r="S100" s="999"/>
      <c r="T100" s="878"/>
    </row>
    <row r="101" spans="1:42" s="224" customFormat="1" ht="15" customHeight="1" x14ac:dyDescent="0.25">
      <c r="A101" s="247">
        <v>45583</v>
      </c>
      <c r="B101" s="349" t="s">
        <v>6884</v>
      </c>
      <c r="C101" s="887" t="s">
        <v>12</v>
      </c>
      <c r="D101" s="350" t="s">
        <v>1524</v>
      </c>
      <c r="E101" s="887" t="s">
        <v>13</v>
      </c>
      <c r="F101" s="613">
        <v>98.5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927"/>
      <c r="S101" s="999"/>
      <c r="T101" s="878"/>
    </row>
    <row r="102" spans="1:42" s="224" customFormat="1" ht="15" customHeight="1" x14ac:dyDescent="0.25">
      <c r="A102" s="247">
        <v>45583</v>
      </c>
      <c r="B102" s="349" t="s">
        <v>6884</v>
      </c>
      <c r="C102" s="887" t="s">
        <v>12</v>
      </c>
      <c r="D102" s="350" t="s">
        <v>1524</v>
      </c>
      <c r="E102" s="887" t="s">
        <v>13</v>
      </c>
      <c r="F102" s="613">
        <v>49.25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42" s="224" customFormat="1" ht="15" customHeight="1" x14ac:dyDescent="0.25">
      <c r="A103" s="247">
        <v>45583</v>
      </c>
      <c r="B103" s="349" t="s">
        <v>6884</v>
      </c>
      <c r="C103" s="887" t="s">
        <v>12</v>
      </c>
      <c r="D103" s="350" t="s">
        <v>1524</v>
      </c>
      <c r="E103" s="887" t="s">
        <v>13</v>
      </c>
      <c r="F103" s="613">
        <v>52.050000000000004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42" s="224" customFormat="1" ht="15" customHeight="1" x14ac:dyDescent="0.25">
      <c r="A104" s="247">
        <v>45583</v>
      </c>
      <c r="B104" s="349" t="s">
        <v>6884</v>
      </c>
      <c r="C104" s="887" t="s">
        <v>12</v>
      </c>
      <c r="D104" s="350" t="s">
        <v>1524</v>
      </c>
      <c r="E104" s="887" t="s">
        <v>13</v>
      </c>
      <c r="F104" s="613">
        <v>16.440000000000001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45583</v>
      </c>
      <c r="B105" s="349" t="s">
        <v>6884</v>
      </c>
      <c r="C105" s="887" t="s">
        <v>12</v>
      </c>
      <c r="D105" s="1005" t="s">
        <v>1506</v>
      </c>
      <c r="E105" s="887" t="s">
        <v>13</v>
      </c>
      <c r="F105" s="1116">
        <v>179.1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45583</v>
      </c>
      <c r="B106" s="882" t="s">
        <v>6885</v>
      </c>
      <c r="C106" s="879" t="s">
        <v>12</v>
      </c>
      <c r="D106" s="879" t="s">
        <v>1499</v>
      </c>
      <c r="E106" s="871" t="s">
        <v>13</v>
      </c>
      <c r="F106" s="780">
        <v>37.14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861"/>
      <c r="T106" s="1123"/>
      <c r="U106" s="999"/>
    </row>
    <row r="107" spans="1:42" s="224" customFormat="1" ht="15" customHeight="1" x14ac:dyDescent="0.25">
      <c r="A107" s="247">
        <v>45583</v>
      </c>
      <c r="B107" s="882" t="s">
        <v>6889</v>
      </c>
      <c r="C107" s="879" t="s">
        <v>12</v>
      </c>
      <c r="D107" s="879" t="s">
        <v>1489</v>
      </c>
      <c r="E107" s="875" t="s">
        <v>13</v>
      </c>
      <c r="F107" s="780">
        <v>75</v>
      </c>
      <c r="G107" s="982"/>
      <c r="H107" s="622"/>
      <c r="I107" s="982"/>
      <c r="J107" s="622"/>
      <c r="K107" s="982"/>
      <c r="L107" s="622"/>
      <c r="M107" s="982"/>
      <c r="N107" s="880"/>
      <c r="O107" s="1525"/>
      <c r="P107" s="613"/>
      <c r="Q107" s="162"/>
      <c r="R107" s="1826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</row>
    <row r="108" spans="1:42" s="224" customFormat="1" ht="15" customHeight="1" x14ac:dyDescent="0.25">
      <c r="A108" s="247">
        <v>45583</v>
      </c>
      <c r="B108" s="882" t="s">
        <v>3954</v>
      </c>
      <c r="C108" s="879" t="s">
        <v>12</v>
      </c>
      <c r="D108" s="879" t="s">
        <v>1489</v>
      </c>
      <c r="E108" s="875" t="s">
        <v>13</v>
      </c>
      <c r="F108" s="780">
        <v>53</v>
      </c>
      <c r="G108" s="982"/>
      <c r="H108" s="622"/>
      <c r="I108" s="982"/>
      <c r="J108" s="622"/>
      <c r="K108" s="982"/>
      <c r="L108" s="622"/>
      <c r="M108" s="982"/>
      <c r="N108" s="880"/>
      <c r="O108" s="1525"/>
      <c r="P108" s="613"/>
      <c r="Q108" s="162"/>
      <c r="R108" s="2474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</row>
    <row r="109" spans="1:42" s="224" customFormat="1" ht="15" customHeight="1" x14ac:dyDescent="0.25">
      <c r="A109" s="247">
        <v>45583</v>
      </c>
      <c r="B109" s="882" t="s">
        <v>6944</v>
      </c>
      <c r="C109" s="879" t="s">
        <v>12</v>
      </c>
      <c r="D109" s="879" t="s">
        <v>1489</v>
      </c>
      <c r="E109" s="875" t="s">
        <v>13</v>
      </c>
      <c r="F109" s="780">
        <v>27</v>
      </c>
      <c r="G109" s="982"/>
      <c r="H109" s="622"/>
      <c r="I109" s="982"/>
      <c r="J109" s="622"/>
      <c r="K109" s="982"/>
      <c r="L109" s="622"/>
      <c r="M109" s="982"/>
      <c r="N109" s="880"/>
      <c r="O109" s="1525"/>
      <c r="P109" s="613"/>
      <c r="Q109" s="162"/>
      <c r="R109" s="2474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</row>
    <row r="110" spans="1:42" s="224" customFormat="1" ht="15" customHeight="1" x14ac:dyDescent="0.25">
      <c r="A110" s="247">
        <v>45583</v>
      </c>
      <c r="B110" s="882" t="s">
        <v>6697</v>
      </c>
      <c r="C110" s="879" t="s">
        <v>12</v>
      </c>
      <c r="D110" s="879"/>
      <c r="E110" s="875" t="s">
        <v>13</v>
      </c>
      <c r="F110" s="780">
        <v>700</v>
      </c>
      <c r="G110" s="982"/>
      <c r="H110" s="95"/>
      <c r="I110" s="1064"/>
      <c r="J110" s="622"/>
      <c r="K110" s="982">
        <v>700</v>
      </c>
      <c r="L110" s="622"/>
      <c r="M110" s="982"/>
      <c r="N110" s="622"/>
      <c r="O110" s="1063"/>
      <c r="P110" s="622"/>
      <c r="Q110" s="982"/>
      <c r="R110" s="861"/>
    </row>
    <row r="111" spans="1:42" s="224" customFormat="1" ht="15" customHeight="1" x14ac:dyDescent="0.25">
      <c r="A111" s="247">
        <v>45583</v>
      </c>
      <c r="B111" s="882" t="s">
        <v>6814</v>
      </c>
      <c r="C111" s="879" t="s">
        <v>12</v>
      </c>
      <c r="D111" s="879"/>
      <c r="E111" s="875" t="s">
        <v>13</v>
      </c>
      <c r="F111" s="780"/>
      <c r="G111" s="982">
        <v>1726</v>
      </c>
      <c r="H111" s="95"/>
      <c r="I111" s="1064"/>
      <c r="J111" s="622">
        <v>1726</v>
      </c>
      <c r="K111" s="982"/>
      <c r="L111" s="622"/>
      <c r="M111" s="982"/>
      <c r="N111" s="622"/>
      <c r="O111" s="1063"/>
      <c r="P111" s="622"/>
      <c r="Q111" s="982"/>
      <c r="R111" s="861"/>
    </row>
    <row r="112" spans="1:42" s="224" customFormat="1" ht="15" customHeight="1" x14ac:dyDescent="0.25">
      <c r="A112" s="247">
        <v>45583</v>
      </c>
      <c r="B112" s="882" t="s">
        <v>6951</v>
      </c>
      <c r="C112" s="879" t="s">
        <v>12</v>
      </c>
      <c r="D112" s="879"/>
      <c r="E112" s="875" t="s">
        <v>13</v>
      </c>
      <c r="F112" s="780">
        <v>100</v>
      </c>
      <c r="G112" s="982"/>
      <c r="H112" s="622"/>
      <c r="I112" s="982">
        <v>100</v>
      </c>
      <c r="J112" s="622"/>
      <c r="K112" s="982"/>
      <c r="L112" s="622"/>
      <c r="M112" s="982"/>
      <c r="N112" s="880"/>
      <c r="O112" s="1525"/>
      <c r="P112" s="613"/>
      <c r="Q112" s="162"/>
      <c r="R112" s="1956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</row>
    <row r="113" spans="1:42" s="224" customFormat="1" ht="15" customHeight="1" x14ac:dyDescent="0.25">
      <c r="A113" s="247">
        <v>45583</v>
      </c>
      <c r="B113" s="882" t="s">
        <v>32</v>
      </c>
      <c r="C113" s="879" t="s">
        <v>12</v>
      </c>
      <c r="D113" s="879" t="s">
        <v>1485</v>
      </c>
      <c r="E113" s="875" t="s">
        <v>13</v>
      </c>
      <c r="F113" s="780">
        <v>22</v>
      </c>
      <c r="G113" s="982"/>
      <c r="H113" s="622"/>
      <c r="I113" s="982"/>
      <c r="J113" s="622"/>
      <c r="K113" s="982"/>
      <c r="L113" s="622"/>
      <c r="M113" s="982"/>
      <c r="N113" s="622"/>
      <c r="O113" s="1063"/>
      <c r="P113" s="622"/>
      <c r="Q113" s="982"/>
      <c r="R113" s="1028"/>
      <c r="S113" s="959"/>
      <c r="T113" s="878"/>
      <c r="U113" s="958"/>
    </row>
    <row r="114" spans="1:42" s="224" customFormat="1" ht="15" customHeight="1" x14ac:dyDescent="0.25">
      <c r="A114" s="247">
        <v>45583</v>
      </c>
      <c r="B114" s="882" t="s">
        <v>81</v>
      </c>
      <c r="C114" s="879" t="s">
        <v>12</v>
      </c>
      <c r="D114" s="879" t="s">
        <v>1493</v>
      </c>
      <c r="E114" s="871" t="s">
        <v>13</v>
      </c>
      <c r="F114" s="780">
        <v>6</v>
      </c>
      <c r="G114" s="982"/>
      <c r="H114" s="622"/>
      <c r="I114" s="982"/>
      <c r="J114" s="622"/>
      <c r="K114" s="982"/>
      <c r="L114" s="622"/>
      <c r="M114" s="982"/>
      <c r="N114" s="880"/>
      <c r="O114" s="1525"/>
      <c r="P114" s="613"/>
      <c r="Q114" s="162"/>
      <c r="R114" s="1956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</row>
    <row r="115" spans="1:42" s="224" customFormat="1" ht="15" customHeight="1" x14ac:dyDescent="0.25">
      <c r="A115" s="247">
        <v>45583</v>
      </c>
      <c r="B115" s="1275" t="s">
        <v>6987</v>
      </c>
      <c r="C115" s="1276" t="s">
        <v>12</v>
      </c>
      <c r="D115" s="1276"/>
      <c r="E115" s="1286" t="s">
        <v>13</v>
      </c>
      <c r="F115" s="613">
        <v>89.1</v>
      </c>
      <c r="G115" s="967"/>
      <c r="H115" s="1008"/>
      <c r="I115" s="1063"/>
      <c r="J115" s="613"/>
      <c r="K115" s="6"/>
      <c r="L115" s="622"/>
      <c r="M115" s="982"/>
      <c r="N115" s="622"/>
      <c r="O115" s="1063"/>
      <c r="P115" s="613"/>
      <c r="Q115" s="64"/>
      <c r="R115" s="1024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</row>
    <row r="116" spans="1:42" s="224" customFormat="1" ht="15" customHeight="1" x14ac:dyDescent="0.25">
      <c r="A116" s="247">
        <v>45583</v>
      </c>
      <c r="B116" s="1275" t="s">
        <v>6755</v>
      </c>
      <c r="C116" s="1276" t="s">
        <v>12</v>
      </c>
      <c r="D116" s="1276"/>
      <c r="E116" s="1286"/>
      <c r="F116" s="613"/>
      <c r="G116" s="967">
        <v>89.1</v>
      </c>
      <c r="H116" s="1008"/>
      <c r="I116" s="1063"/>
      <c r="J116" s="613"/>
      <c r="K116" s="6"/>
      <c r="L116" s="622"/>
      <c r="M116" s="982"/>
      <c r="N116" s="622"/>
      <c r="O116" s="1063"/>
      <c r="P116" s="613"/>
      <c r="Q116" s="64"/>
      <c r="R116" s="1024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</row>
    <row r="117" spans="1:42" s="224" customFormat="1" ht="15" customHeight="1" x14ac:dyDescent="0.25">
      <c r="A117" s="247">
        <v>45583</v>
      </c>
      <c r="B117" s="882" t="s">
        <v>6985</v>
      </c>
      <c r="C117" s="879" t="s">
        <v>12</v>
      </c>
      <c r="D117" s="879" t="s">
        <v>1493</v>
      </c>
      <c r="E117" s="871" t="s">
        <v>13</v>
      </c>
      <c r="F117" s="780">
        <v>17</v>
      </c>
      <c r="G117" s="982"/>
      <c r="H117" s="95"/>
      <c r="I117" s="1064"/>
      <c r="J117" s="613"/>
      <c r="K117" s="6"/>
      <c r="L117" s="622"/>
      <c r="M117" s="982"/>
      <c r="N117" s="622"/>
      <c r="O117" s="1063"/>
      <c r="P117" s="622"/>
      <c r="Q117" s="982"/>
      <c r="R117" s="861"/>
    </row>
    <row r="118" spans="1:42" s="224" customFormat="1" ht="15" customHeight="1" x14ac:dyDescent="0.25">
      <c r="A118" s="247">
        <v>45584</v>
      </c>
      <c r="B118" s="882" t="s">
        <v>14</v>
      </c>
      <c r="C118" s="879" t="s">
        <v>12</v>
      </c>
      <c r="D118" s="879" t="s">
        <v>1486</v>
      </c>
      <c r="E118" s="480" t="s">
        <v>13</v>
      </c>
      <c r="F118" s="780">
        <v>7.02</v>
      </c>
      <c r="G118" s="982"/>
      <c r="H118" s="622"/>
      <c r="I118" s="982"/>
      <c r="J118" s="872"/>
      <c r="K118" s="1207"/>
      <c r="L118" s="622"/>
      <c r="M118" s="982"/>
      <c r="N118" s="622"/>
      <c r="O118" s="1063"/>
      <c r="P118" s="622"/>
      <c r="Q118" s="982"/>
      <c r="R118" s="1028"/>
      <c r="S118" s="959"/>
      <c r="T118" s="878"/>
      <c r="U118" s="958"/>
    </row>
    <row r="119" spans="1:42" s="224" customFormat="1" ht="15" customHeight="1" x14ac:dyDescent="0.25">
      <c r="A119" s="247">
        <v>45584</v>
      </c>
      <c r="B119" s="882" t="s">
        <v>2629</v>
      </c>
      <c r="C119" s="879" t="s">
        <v>12</v>
      </c>
      <c r="D119" s="879" t="s">
        <v>1489</v>
      </c>
      <c r="E119" s="480" t="s">
        <v>5470</v>
      </c>
      <c r="F119" s="780">
        <v>52.34</v>
      </c>
      <c r="G119" s="982"/>
      <c r="H119" s="622"/>
      <c r="I119" s="982"/>
      <c r="J119" s="872"/>
      <c r="K119" s="1207"/>
      <c r="L119" s="622"/>
      <c r="M119" s="982"/>
      <c r="N119" s="622"/>
      <c r="O119" s="1063"/>
      <c r="P119" s="622"/>
      <c r="Q119" s="982"/>
      <c r="R119" s="1028"/>
      <c r="S119" s="959"/>
      <c r="T119" s="878"/>
      <c r="U119" s="958"/>
    </row>
    <row r="120" spans="1:42" s="224" customFormat="1" ht="15" customHeight="1" x14ac:dyDescent="0.25">
      <c r="A120" s="247">
        <v>45584</v>
      </c>
      <c r="B120" s="882" t="s">
        <v>2629</v>
      </c>
      <c r="C120" s="879" t="s">
        <v>12</v>
      </c>
      <c r="D120" s="879" t="s">
        <v>1489</v>
      </c>
      <c r="E120" s="480" t="s">
        <v>15</v>
      </c>
      <c r="F120" s="780">
        <v>50</v>
      </c>
      <c r="G120" s="982"/>
      <c r="H120" s="622"/>
      <c r="I120" s="982"/>
      <c r="J120" s="872"/>
      <c r="K120" s="1207"/>
      <c r="L120" s="622"/>
      <c r="M120" s="982"/>
      <c r="N120" s="622"/>
      <c r="O120" s="1063"/>
      <c r="P120" s="622"/>
      <c r="Q120" s="982"/>
      <c r="R120" s="1028"/>
      <c r="S120" s="959"/>
      <c r="T120" s="878"/>
      <c r="U120" s="958"/>
    </row>
    <row r="121" spans="1:42" s="224" customFormat="1" ht="15" customHeight="1" x14ac:dyDescent="0.25">
      <c r="A121" s="247">
        <v>45584</v>
      </c>
      <c r="B121" s="882" t="s">
        <v>7020</v>
      </c>
      <c r="C121" s="879" t="s">
        <v>12</v>
      </c>
      <c r="D121" s="879" t="s">
        <v>1489</v>
      </c>
      <c r="E121" s="871" t="s">
        <v>13</v>
      </c>
      <c r="F121" s="780">
        <v>10</v>
      </c>
      <c r="G121" s="982"/>
      <c r="H121" s="95"/>
      <c r="I121" s="1064"/>
      <c r="J121" s="613"/>
      <c r="K121" s="6"/>
      <c r="L121" s="622"/>
      <c r="M121" s="982"/>
      <c r="N121" s="622"/>
      <c r="O121" s="1063"/>
      <c r="P121" s="622"/>
      <c r="Q121" s="982"/>
      <c r="R121" s="861"/>
    </row>
    <row r="122" spans="1:42" s="224" customFormat="1" ht="15" customHeight="1" x14ac:dyDescent="0.25">
      <c r="A122" s="247">
        <v>45584</v>
      </c>
      <c r="B122" s="882" t="s">
        <v>6986</v>
      </c>
      <c r="C122" s="879" t="s">
        <v>12</v>
      </c>
      <c r="D122" s="879" t="s">
        <v>1489</v>
      </c>
      <c r="E122" s="871" t="s">
        <v>13</v>
      </c>
      <c r="F122" s="780">
        <v>7</v>
      </c>
      <c r="G122" s="982"/>
      <c r="H122" s="95"/>
      <c r="I122" s="1064"/>
      <c r="J122" s="613"/>
      <c r="K122" s="6"/>
      <c r="L122" s="622"/>
      <c r="M122" s="982"/>
      <c r="N122" s="622"/>
      <c r="O122" s="1063"/>
      <c r="P122" s="622"/>
      <c r="Q122" s="982"/>
      <c r="R122" s="861"/>
    </row>
    <row r="123" spans="1:42" s="224" customFormat="1" ht="15" customHeight="1" x14ac:dyDescent="0.25">
      <c r="A123" s="247">
        <v>45584</v>
      </c>
      <c r="B123" s="882" t="s">
        <v>6861</v>
      </c>
      <c r="C123" s="879" t="s">
        <v>12</v>
      </c>
      <c r="D123" s="879" t="s">
        <v>1493</v>
      </c>
      <c r="E123" s="871" t="s">
        <v>13</v>
      </c>
      <c r="F123" s="780">
        <v>35</v>
      </c>
      <c r="G123" s="982"/>
      <c r="H123" s="95"/>
      <c r="I123" s="1064"/>
      <c r="J123" s="613"/>
      <c r="K123" s="6"/>
      <c r="L123" s="622"/>
      <c r="M123" s="982"/>
      <c r="N123" s="622"/>
      <c r="O123" s="1063"/>
      <c r="P123" s="622"/>
      <c r="Q123" s="982"/>
      <c r="R123" s="861"/>
    </row>
    <row r="124" spans="1:42" s="224" customFormat="1" ht="15" customHeight="1" x14ac:dyDescent="0.25">
      <c r="A124" s="247">
        <v>45585</v>
      </c>
      <c r="B124" s="882" t="s">
        <v>14</v>
      </c>
      <c r="C124" s="879" t="s">
        <v>12</v>
      </c>
      <c r="D124" s="879" t="s">
        <v>1486</v>
      </c>
      <c r="E124" s="480" t="s">
        <v>13</v>
      </c>
      <c r="F124" s="780">
        <v>8.92</v>
      </c>
      <c r="G124" s="982"/>
      <c r="H124" s="622"/>
      <c r="I124" s="982"/>
      <c r="J124" s="872"/>
      <c r="K124" s="1207"/>
      <c r="L124" s="622"/>
      <c r="M124" s="982"/>
      <c r="N124" s="622"/>
      <c r="O124" s="1063"/>
      <c r="P124" s="622"/>
      <c r="Q124" s="982"/>
      <c r="R124" s="1028"/>
      <c r="S124" s="959"/>
      <c r="T124" s="878"/>
      <c r="U124" s="958"/>
    </row>
    <row r="125" spans="1:42" s="224" customFormat="1" ht="15" customHeight="1" x14ac:dyDescent="0.25">
      <c r="A125" s="247">
        <v>45586</v>
      </c>
      <c r="B125" s="882" t="s">
        <v>32</v>
      </c>
      <c r="C125" s="879" t="s">
        <v>12</v>
      </c>
      <c r="D125" s="879" t="s">
        <v>1485</v>
      </c>
      <c r="E125" s="875" t="s">
        <v>13</v>
      </c>
      <c r="F125" s="780">
        <v>22</v>
      </c>
      <c r="G125" s="982"/>
      <c r="H125" s="622"/>
      <c r="I125" s="982"/>
      <c r="J125" s="622"/>
      <c r="K125" s="982"/>
      <c r="L125" s="622"/>
      <c r="M125" s="982"/>
      <c r="N125" s="622"/>
      <c r="O125" s="1063"/>
      <c r="P125" s="622"/>
      <c r="Q125" s="982"/>
      <c r="R125" s="1028"/>
      <c r="S125" s="959"/>
      <c r="T125" s="878"/>
      <c r="U125" s="958"/>
    </row>
    <row r="126" spans="1:42" s="224" customFormat="1" ht="15" customHeight="1" x14ac:dyDescent="0.25">
      <c r="A126" s="247">
        <v>45586</v>
      </c>
      <c r="B126" s="882" t="s">
        <v>6996</v>
      </c>
      <c r="C126" s="879" t="s">
        <v>12</v>
      </c>
      <c r="D126" s="879" t="s">
        <v>1525</v>
      </c>
      <c r="E126" s="871" t="s">
        <v>15</v>
      </c>
      <c r="F126" s="780">
        <v>20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42" s="224" customFormat="1" ht="15" customHeight="1" x14ac:dyDescent="0.25">
      <c r="A127" s="247">
        <v>45587</v>
      </c>
      <c r="B127" s="882" t="s">
        <v>32</v>
      </c>
      <c r="C127" s="879" t="s">
        <v>12</v>
      </c>
      <c r="D127" s="879" t="s">
        <v>1485</v>
      </c>
      <c r="E127" s="875" t="s">
        <v>13</v>
      </c>
      <c r="F127" s="780">
        <v>22</v>
      </c>
      <c r="G127" s="982"/>
      <c r="H127" s="622"/>
      <c r="I127" s="982"/>
      <c r="J127" s="622"/>
      <c r="K127" s="982"/>
      <c r="L127" s="622"/>
      <c r="M127" s="982"/>
      <c r="N127" s="622"/>
      <c r="O127" s="1063"/>
      <c r="P127" s="622"/>
      <c r="Q127" s="982"/>
      <c r="R127" s="1028"/>
      <c r="S127" s="959"/>
      <c r="T127" s="878"/>
      <c r="U127" s="958"/>
    </row>
    <row r="128" spans="1:42" s="224" customFormat="1" ht="15" customHeight="1" x14ac:dyDescent="0.25">
      <c r="A128" s="247">
        <v>45587</v>
      </c>
      <c r="B128" s="882" t="s">
        <v>6329</v>
      </c>
      <c r="C128" s="879" t="s">
        <v>12</v>
      </c>
      <c r="D128" s="879"/>
      <c r="E128" s="875" t="s">
        <v>25</v>
      </c>
      <c r="F128" s="780"/>
      <c r="G128" s="982">
        <v>100</v>
      </c>
      <c r="H128" s="622"/>
      <c r="I128" s="982"/>
      <c r="J128" s="622"/>
      <c r="K128" s="982"/>
      <c r="L128" s="853"/>
      <c r="M128" s="982"/>
      <c r="N128" s="622"/>
      <c r="O128" s="1063"/>
      <c r="P128" s="622"/>
      <c r="Q128" s="982"/>
      <c r="R128" s="927"/>
      <c r="S128" s="927"/>
      <c r="T128" s="878"/>
    </row>
    <row r="129" spans="1:42" s="224" customFormat="1" ht="15" customHeight="1" x14ac:dyDescent="0.25">
      <c r="A129" s="247">
        <v>45587</v>
      </c>
      <c r="B129" s="882" t="s">
        <v>6997</v>
      </c>
      <c r="C129" s="879" t="s">
        <v>12</v>
      </c>
      <c r="D129" s="879"/>
      <c r="E129" s="875"/>
      <c r="F129" s="780"/>
      <c r="G129" s="982"/>
      <c r="H129" s="95"/>
      <c r="I129" s="1064"/>
      <c r="J129" s="613"/>
      <c r="K129" s="64">
        <v>3021.51</v>
      </c>
      <c r="L129" s="622"/>
      <c r="M129" s="982"/>
      <c r="N129" s="622"/>
      <c r="O129" s="1063"/>
      <c r="P129" s="1116"/>
      <c r="Q129" s="1215"/>
      <c r="R129" s="1028">
        <v>4998</v>
      </c>
      <c r="U129" s="958"/>
    </row>
    <row r="130" spans="1:42" s="224" customFormat="1" ht="15" customHeight="1" x14ac:dyDescent="0.25">
      <c r="A130" s="247">
        <v>45587</v>
      </c>
      <c r="B130" s="882" t="s">
        <v>6998</v>
      </c>
      <c r="C130" s="879" t="s">
        <v>12</v>
      </c>
      <c r="D130" s="879"/>
      <c r="E130" s="875"/>
      <c r="F130" s="780"/>
      <c r="G130" s="982"/>
      <c r="H130" s="95"/>
      <c r="I130" s="1064"/>
      <c r="J130" s="613"/>
      <c r="K130" s="64">
        <v>1976.85</v>
      </c>
      <c r="L130" s="622"/>
      <c r="M130" s="982"/>
      <c r="N130" s="622"/>
      <c r="O130" s="1525"/>
      <c r="P130" s="1116"/>
      <c r="Q130" s="1215"/>
      <c r="R130" s="1028"/>
      <c r="U130" s="958"/>
    </row>
    <row r="131" spans="1:42" s="224" customFormat="1" ht="15" customHeight="1" x14ac:dyDescent="0.25">
      <c r="A131" s="247">
        <v>45587</v>
      </c>
      <c r="B131" s="882" t="s">
        <v>7000</v>
      </c>
      <c r="C131" s="879" t="s">
        <v>12</v>
      </c>
      <c r="D131" s="879"/>
      <c r="E131" s="871"/>
      <c r="F131" s="780"/>
      <c r="G131" s="982"/>
      <c r="H131" s="95"/>
      <c r="I131" s="1064"/>
      <c r="J131" s="613">
        <v>1000</v>
      </c>
      <c r="K131" s="6"/>
      <c r="L131" s="622"/>
      <c r="M131" s="982"/>
      <c r="N131" s="622"/>
      <c r="O131" s="1063"/>
      <c r="P131" s="1110"/>
      <c r="Q131" s="1208"/>
      <c r="R131" s="1028"/>
      <c r="U131" s="958"/>
    </row>
    <row r="132" spans="1:42" s="224" customFormat="1" ht="15" customHeight="1" x14ac:dyDescent="0.25">
      <c r="A132" s="247">
        <v>45587</v>
      </c>
      <c r="B132" s="882" t="s">
        <v>14</v>
      </c>
      <c r="C132" s="879" t="s">
        <v>12</v>
      </c>
      <c r="D132" s="879" t="s">
        <v>1486</v>
      </c>
      <c r="E132" s="480" t="s">
        <v>5470</v>
      </c>
      <c r="F132" s="780">
        <v>5.15</v>
      </c>
      <c r="G132" s="982"/>
      <c r="H132" s="622"/>
      <c r="I132" s="982"/>
      <c r="J132" s="872"/>
      <c r="K132" s="1207"/>
      <c r="L132" s="622"/>
      <c r="M132" s="982"/>
      <c r="N132" s="622"/>
      <c r="O132" s="1063"/>
      <c r="P132" s="622"/>
      <c r="Q132" s="982"/>
      <c r="R132" s="1028"/>
      <c r="S132" s="959"/>
      <c r="T132" s="878"/>
      <c r="U132" s="958"/>
    </row>
    <row r="133" spans="1:42" s="224" customFormat="1" ht="15" customHeight="1" x14ac:dyDescent="0.25">
      <c r="A133" s="247">
        <v>45588</v>
      </c>
      <c r="B133" s="882" t="s">
        <v>7010</v>
      </c>
      <c r="C133" s="879" t="s">
        <v>12</v>
      </c>
      <c r="D133" s="879"/>
      <c r="E133" s="875" t="s">
        <v>13</v>
      </c>
      <c r="F133" s="780"/>
      <c r="G133" s="982">
        <v>625</v>
      </c>
      <c r="H133" s="95"/>
      <c r="I133" s="1064"/>
      <c r="J133" s="622">
        <v>625</v>
      </c>
      <c r="K133" s="982"/>
      <c r="L133" s="622"/>
      <c r="M133" s="982"/>
      <c r="N133" s="622"/>
      <c r="O133" s="1063"/>
      <c r="P133" s="622"/>
      <c r="Q133" s="982"/>
      <c r="R133" s="861"/>
    </row>
    <row r="134" spans="1:42" s="224" customFormat="1" ht="15" customHeight="1" x14ac:dyDescent="0.25">
      <c r="A134" s="247">
        <v>45588</v>
      </c>
      <c r="B134" s="2527" t="s">
        <v>7011</v>
      </c>
      <c r="C134" s="879" t="s">
        <v>12</v>
      </c>
      <c r="D134" s="879" t="s">
        <v>1524</v>
      </c>
      <c r="E134" s="871" t="s">
        <v>13</v>
      </c>
      <c r="F134" s="780">
        <v>625</v>
      </c>
      <c r="G134" s="982"/>
      <c r="H134" s="95"/>
      <c r="I134" s="1064"/>
      <c r="J134" s="622"/>
      <c r="K134" s="982"/>
      <c r="L134" s="622"/>
      <c r="M134" s="982"/>
      <c r="N134" s="622"/>
      <c r="O134" s="1063"/>
      <c r="P134" s="622"/>
      <c r="Q134" s="982"/>
      <c r="R134" s="1028" t="s">
        <v>7012</v>
      </c>
      <c r="U134" s="958"/>
    </row>
    <row r="135" spans="1:42" s="224" customFormat="1" ht="15" customHeight="1" x14ac:dyDescent="0.25">
      <c r="A135" s="247">
        <v>45588</v>
      </c>
      <c r="B135" s="882" t="s">
        <v>7014</v>
      </c>
      <c r="C135" s="879" t="s">
        <v>12</v>
      </c>
      <c r="D135" s="879"/>
      <c r="E135" s="875" t="s">
        <v>13</v>
      </c>
      <c r="F135" s="780"/>
      <c r="G135" s="982">
        <v>1788</v>
      </c>
      <c r="H135" s="95"/>
      <c r="I135" s="1064"/>
      <c r="J135" s="622">
        <v>1788</v>
      </c>
      <c r="K135" s="982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45588</v>
      </c>
      <c r="B136" s="882" t="s">
        <v>7013</v>
      </c>
      <c r="C136" s="879" t="s">
        <v>12</v>
      </c>
      <c r="D136" s="879" t="s">
        <v>1524</v>
      </c>
      <c r="E136" s="875" t="s">
        <v>13</v>
      </c>
      <c r="F136" s="780">
        <v>1788</v>
      </c>
      <c r="G136" s="982"/>
      <c r="H136" s="622"/>
      <c r="I136" s="982"/>
      <c r="J136" s="622"/>
      <c r="K136" s="982"/>
      <c r="L136" s="622"/>
      <c r="M136" s="982"/>
      <c r="N136" s="622"/>
      <c r="O136" s="1063"/>
      <c r="P136" s="622"/>
      <c r="Q136" s="982"/>
      <c r="R136" s="1028"/>
      <c r="S136" s="959"/>
      <c r="T136" s="878"/>
      <c r="U136" s="958"/>
    </row>
    <row r="137" spans="1:42" s="224" customFormat="1" ht="15" customHeight="1" x14ac:dyDescent="0.25">
      <c r="A137" s="247">
        <v>45588</v>
      </c>
      <c r="B137" s="882" t="s">
        <v>32</v>
      </c>
      <c r="C137" s="879" t="s">
        <v>12</v>
      </c>
      <c r="D137" s="879" t="s">
        <v>1485</v>
      </c>
      <c r="E137" s="875" t="s">
        <v>13</v>
      </c>
      <c r="F137" s="780">
        <v>22</v>
      </c>
      <c r="G137" s="982"/>
      <c r="H137" s="95"/>
      <c r="I137" s="1064"/>
      <c r="J137" s="622"/>
      <c r="K137" s="982"/>
      <c r="L137" s="622"/>
      <c r="M137" s="982"/>
      <c r="N137" s="622"/>
      <c r="O137" s="1063"/>
      <c r="P137" s="622"/>
      <c r="Q137" s="982"/>
      <c r="R137" s="1028"/>
      <c r="U137" s="958"/>
    </row>
    <row r="138" spans="1:42" s="224" customFormat="1" ht="15" customHeight="1" x14ac:dyDescent="0.25">
      <c r="A138" s="247">
        <v>45588</v>
      </c>
      <c r="B138" s="882" t="s">
        <v>14</v>
      </c>
      <c r="C138" s="879" t="s">
        <v>12</v>
      </c>
      <c r="D138" s="879" t="s">
        <v>1486</v>
      </c>
      <c r="E138" s="875" t="s">
        <v>13</v>
      </c>
      <c r="F138" s="780">
        <v>3</v>
      </c>
      <c r="G138" s="982"/>
      <c r="H138" s="622"/>
      <c r="I138" s="982"/>
      <c r="J138" s="622"/>
      <c r="K138" s="982"/>
      <c r="L138" s="622"/>
      <c r="M138" s="982"/>
      <c r="N138" s="880"/>
      <c r="O138" s="1525"/>
      <c r="P138" s="613"/>
      <c r="Q138" s="162"/>
      <c r="R138" s="1956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</row>
    <row r="139" spans="1:42" s="224" customFormat="1" ht="15" customHeight="1" x14ac:dyDescent="0.25">
      <c r="A139" s="247">
        <v>45589</v>
      </c>
      <c r="B139" s="882" t="s">
        <v>32</v>
      </c>
      <c r="C139" s="879" t="s">
        <v>12</v>
      </c>
      <c r="D139" s="879" t="s">
        <v>1485</v>
      </c>
      <c r="E139" s="875" t="s">
        <v>13</v>
      </c>
      <c r="F139" s="780">
        <v>22</v>
      </c>
      <c r="G139" s="982"/>
      <c r="H139" s="95"/>
      <c r="I139" s="1064"/>
      <c r="J139" s="622"/>
      <c r="K139" s="982"/>
      <c r="L139" s="622"/>
      <c r="M139" s="982"/>
      <c r="N139" s="622"/>
      <c r="O139" s="1063"/>
      <c r="P139" s="622"/>
      <c r="Q139" s="982"/>
      <c r="R139" s="1028"/>
      <c r="U139" s="958"/>
    </row>
    <row r="140" spans="1:42" s="224" customFormat="1" ht="15" customHeight="1" x14ac:dyDescent="0.25">
      <c r="A140" s="247">
        <v>45589</v>
      </c>
      <c r="B140" s="1227" t="s">
        <v>23</v>
      </c>
      <c r="C140" s="879" t="s">
        <v>12</v>
      </c>
      <c r="D140" s="879" t="s">
        <v>1489</v>
      </c>
      <c r="E140" s="879" t="s">
        <v>13</v>
      </c>
      <c r="F140" s="780">
        <v>16</v>
      </c>
      <c r="G140" s="982"/>
      <c r="H140" s="622"/>
      <c r="I140" s="982"/>
      <c r="J140" s="622"/>
      <c r="K140" s="982"/>
      <c r="L140" s="622"/>
      <c r="M140" s="982"/>
      <c r="N140" s="880"/>
      <c r="O140" s="1525"/>
      <c r="P140" s="613"/>
      <c r="Q140" s="162"/>
      <c r="R140" s="1956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</row>
    <row r="141" spans="1:42" s="224" customFormat="1" ht="15" customHeight="1" x14ac:dyDescent="0.25">
      <c r="A141" s="247">
        <v>45589</v>
      </c>
      <c r="B141" s="1275" t="s">
        <v>6987</v>
      </c>
      <c r="C141" s="1276" t="s">
        <v>12</v>
      </c>
      <c r="D141" s="1276"/>
      <c r="E141" s="1286" t="s">
        <v>13</v>
      </c>
      <c r="F141" s="613">
        <v>89.1</v>
      </c>
      <c r="G141" s="967"/>
      <c r="H141" s="1008"/>
      <c r="I141" s="1063"/>
      <c r="J141" s="613"/>
      <c r="K141" s="6"/>
      <c r="L141" s="622"/>
      <c r="M141" s="982"/>
      <c r="N141" s="622"/>
      <c r="O141" s="1063"/>
      <c r="P141" s="613"/>
      <c r="Q141" s="64"/>
      <c r="R141" s="1024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</row>
    <row r="142" spans="1:42" s="224" customFormat="1" ht="15" customHeight="1" x14ac:dyDescent="0.25">
      <c r="A142" s="247">
        <v>45589</v>
      </c>
      <c r="B142" s="1275" t="s">
        <v>6755</v>
      </c>
      <c r="C142" s="1276" t="s">
        <v>12</v>
      </c>
      <c r="D142" s="1276"/>
      <c r="E142" s="1286"/>
      <c r="F142" s="613"/>
      <c r="G142" s="967">
        <v>89.1</v>
      </c>
      <c r="H142" s="1008"/>
      <c r="I142" s="1063"/>
      <c r="J142" s="613"/>
      <c r="K142" s="6"/>
      <c r="L142" s="622"/>
      <c r="M142" s="982"/>
      <c r="N142" s="622"/>
      <c r="O142" s="1063"/>
      <c r="P142" s="613"/>
      <c r="Q142" s="64"/>
      <c r="R142" s="1024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</row>
    <row r="143" spans="1:42" s="224" customFormat="1" ht="15" customHeight="1" x14ac:dyDescent="0.25">
      <c r="A143" s="247">
        <v>45590</v>
      </c>
      <c r="B143" s="882" t="s">
        <v>32</v>
      </c>
      <c r="C143" s="879" t="s">
        <v>12</v>
      </c>
      <c r="D143" s="879" t="s">
        <v>1485</v>
      </c>
      <c r="E143" s="875" t="s">
        <v>13</v>
      </c>
      <c r="F143" s="780">
        <v>22</v>
      </c>
      <c r="G143" s="982"/>
      <c r="H143" s="622"/>
      <c r="I143" s="982"/>
      <c r="J143" s="622"/>
      <c r="K143" s="982"/>
      <c r="L143" s="622"/>
      <c r="M143" s="982"/>
      <c r="N143" s="622"/>
      <c r="O143" s="1063"/>
      <c r="P143" s="622"/>
      <c r="Q143" s="982"/>
      <c r="R143" s="1028"/>
      <c r="S143" s="959"/>
      <c r="T143" s="878"/>
      <c r="U143" s="958"/>
    </row>
    <row r="144" spans="1:42" s="224" customFormat="1" ht="15" customHeight="1" x14ac:dyDescent="0.25">
      <c r="A144" s="247">
        <v>45590</v>
      </c>
      <c r="B144" s="882" t="s">
        <v>14</v>
      </c>
      <c r="C144" s="879" t="s">
        <v>12</v>
      </c>
      <c r="D144" s="879" t="s">
        <v>1486</v>
      </c>
      <c r="E144" s="480" t="s">
        <v>5470</v>
      </c>
      <c r="F144" s="780">
        <v>13.93</v>
      </c>
      <c r="G144" s="982"/>
      <c r="H144" s="622"/>
      <c r="I144" s="982"/>
      <c r="J144" s="872"/>
      <c r="K144" s="1207"/>
      <c r="L144" s="622"/>
      <c r="M144" s="982"/>
      <c r="N144" s="622"/>
      <c r="O144" s="1063"/>
      <c r="P144" s="622"/>
      <c r="Q144" s="982"/>
      <c r="R144" s="1028"/>
      <c r="S144" s="959"/>
      <c r="T144" s="878"/>
      <c r="U144" s="958"/>
    </row>
    <row r="145" spans="1:42" s="224" customFormat="1" ht="15" customHeight="1" x14ac:dyDescent="0.25">
      <c r="A145" s="247">
        <v>45591</v>
      </c>
      <c r="B145" s="882" t="s">
        <v>14</v>
      </c>
      <c r="C145" s="879" t="s">
        <v>12</v>
      </c>
      <c r="D145" s="879" t="s">
        <v>1486</v>
      </c>
      <c r="E145" s="480" t="s">
        <v>5470</v>
      </c>
      <c r="F145" s="780">
        <v>7.85</v>
      </c>
      <c r="G145" s="982"/>
      <c r="H145" s="622"/>
      <c r="I145" s="982"/>
      <c r="J145" s="872"/>
      <c r="K145" s="1207"/>
      <c r="L145" s="622"/>
      <c r="M145" s="982"/>
      <c r="N145" s="622"/>
      <c r="O145" s="1063"/>
      <c r="P145" s="622"/>
      <c r="Q145" s="982"/>
      <c r="R145" s="1028"/>
      <c r="S145" s="959"/>
      <c r="T145" s="878"/>
      <c r="U145" s="958"/>
    </row>
    <row r="146" spans="1:42" s="224" customFormat="1" ht="15" customHeight="1" x14ac:dyDescent="0.25">
      <c r="A146" s="247">
        <v>45591</v>
      </c>
      <c r="B146" s="882" t="s">
        <v>7016</v>
      </c>
      <c r="C146" s="879" t="s">
        <v>12</v>
      </c>
      <c r="D146" s="879" t="s">
        <v>1493</v>
      </c>
      <c r="E146" s="875" t="s">
        <v>13</v>
      </c>
      <c r="F146" s="780">
        <v>5.99</v>
      </c>
      <c r="G146" s="982"/>
      <c r="H146" s="622"/>
      <c r="I146" s="982"/>
      <c r="J146" s="622"/>
      <c r="K146" s="982"/>
      <c r="L146" s="622"/>
      <c r="M146" s="982"/>
      <c r="N146" s="880"/>
      <c r="O146" s="1525"/>
      <c r="P146" s="613"/>
      <c r="Q146" s="162"/>
      <c r="R146" s="195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</row>
    <row r="147" spans="1:42" s="224" customFormat="1" ht="15" customHeight="1" x14ac:dyDescent="0.25">
      <c r="A147" s="247">
        <v>45591</v>
      </c>
      <c r="B147" s="364" t="s">
        <v>7017</v>
      </c>
      <c r="C147" s="350" t="s">
        <v>12</v>
      </c>
      <c r="D147" s="350" t="s">
        <v>1525</v>
      </c>
      <c r="E147" s="875" t="s">
        <v>13</v>
      </c>
      <c r="F147" s="780">
        <v>21.96</v>
      </c>
      <c r="G147" s="982"/>
      <c r="H147" s="1008"/>
      <c r="I147" s="1063"/>
      <c r="J147" s="1116"/>
      <c r="K147" s="1207"/>
      <c r="L147" s="622"/>
      <c r="M147" s="982"/>
      <c r="N147" s="622"/>
      <c r="O147" s="1063"/>
      <c r="P147" s="622"/>
      <c r="Q147" s="982"/>
      <c r="R147" s="861"/>
      <c r="T147" s="1035"/>
    </row>
    <row r="148" spans="1:42" s="224" customFormat="1" ht="15" customHeight="1" x14ac:dyDescent="0.25">
      <c r="A148" s="247">
        <v>45591</v>
      </c>
      <c r="B148" s="882" t="s">
        <v>82</v>
      </c>
      <c r="C148" s="879" t="s">
        <v>12</v>
      </c>
      <c r="D148" s="879" t="s">
        <v>1493</v>
      </c>
      <c r="E148" s="875" t="s">
        <v>13</v>
      </c>
      <c r="F148" s="780">
        <v>54.9</v>
      </c>
      <c r="G148" s="982"/>
      <c r="H148" s="622"/>
      <c r="I148" s="982"/>
      <c r="J148" s="622"/>
      <c r="K148" s="982"/>
      <c r="L148" s="622"/>
      <c r="M148" s="982"/>
      <c r="N148" s="880"/>
      <c r="O148" s="1525"/>
      <c r="P148" s="613"/>
      <c r="Q148" s="162"/>
      <c r="R148" s="1956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</row>
    <row r="149" spans="1:42" s="224" customFormat="1" ht="15" customHeight="1" x14ac:dyDescent="0.25">
      <c r="A149" s="247">
        <v>45592</v>
      </c>
      <c r="B149" s="882" t="s">
        <v>14</v>
      </c>
      <c r="C149" s="879" t="s">
        <v>12</v>
      </c>
      <c r="D149" s="879" t="s">
        <v>1486</v>
      </c>
      <c r="E149" s="480" t="s">
        <v>13</v>
      </c>
      <c r="F149" s="780">
        <v>6.91</v>
      </c>
      <c r="G149" s="982"/>
      <c r="H149" s="622"/>
      <c r="I149" s="982"/>
      <c r="J149" s="872"/>
      <c r="K149" s="1207"/>
      <c r="L149" s="622"/>
      <c r="M149" s="982"/>
      <c r="N149" s="622"/>
      <c r="O149" s="1063"/>
      <c r="P149" s="622"/>
      <c r="Q149" s="982"/>
      <c r="R149" s="1028"/>
      <c r="S149" s="959"/>
      <c r="T149" s="878"/>
      <c r="U149" s="958"/>
    </row>
    <row r="150" spans="1:42" s="224" customFormat="1" ht="15" customHeight="1" x14ac:dyDescent="0.25">
      <c r="A150" s="247">
        <v>45593</v>
      </c>
      <c r="B150" s="882" t="s">
        <v>32</v>
      </c>
      <c r="C150" s="879" t="s">
        <v>12</v>
      </c>
      <c r="D150" s="879" t="s">
        <v>1485</v>
      </c>
      <c r="E150" s="875" t="s">
        <v>13</v>
      </c>
      <c r="F150" s="780">
        <v>22</v>
      </c>
      <c r="G150" s="982"/>
      <c r="H150" s="95"/>
      <c r="I150" s="1064"/>
      <c r="J150" s="622"/>
      <c r="K150" s="982"/>
      <c r="L150" s="622"/>
      <c r="M150" s="982"/>
      <c r="N150" s="622"/>
      <c r="O150" s="1063"/>
      <c r="P150" s="622"/>
      <c r="Q150" s="982"/>
      <c r="R150" s="861"/>
      <c r="T150" s="927"/>
      <c r="U150" s="999"/>
    </row>
    <row r="151" spans="1:42" s="224" customFormat="1" ht="15" customHeight="1" x14ac:dyDescent="0.25">
      <c r="A151" s="247">
        <v>45593</v>
      </c>
      <c r="B151" s="882" t="s">
        <v>6912</v>
      </c>
      <c r="C151" s="879" t="s">
        <v>19</v>
      </c>
      <c r="D151" s="879" t="s">
        <v>6731</v>
      </c>
      <c r="E151" s="871" t="s">
        <v>13</v>
      </c>
      <c r="F151" s="780">
        <v>118.33</v>
      </c>
      <c r="G151" s="982"/>
      <c r="H151" s="622"/>
      <c r="I151" s="982"/>
      <c r="J151" s="622"/>
      <c r="K151" s="982"/>
      <c r="L151" s="622"/>
      <c r="M151" s="982"/>
      <c r="N151" s="622"/>
      <c r="O151" s="1063"/>
      <c r="P151" s="622"/>
      <c r="Q151" s="982"/>
      <c r="R151" s="1028" t="s">
        <v>6640</v>
      </c>
      <c r="S151" s="959"/>
      <c r="T151" s="878"/>
      <c r="U151" s="958"/>
    </row>
    <row r="152" spans="1:42" s="224" customFormat="1" ht="15" customHeight="1" x14ac:dyDescent="0.25">
      <c r="A152" s="247">
        <v>45593</v>
      </c>
      <c r="B152" s="349" t="s">
        <v>7019</v>
      </c>
      <c r="C152" s="350" t="s">
        <v>12</v>
      </c>
      <c r="D152" s="350" t="s">
        <v>1489</v>
      </c>
      <c r="E152" s="480" t="s">
        <v>13</v>
      </c>
      <c r="F152" s="780">
        <v>40</v>
      </c>
      <c r="G152" s="982"/>
      <c r="H152" s="95"/>
      <c r="I152" s="1064"/>
      <c r="J152" s="622"/>
      <c r="K152" s="982"/>
      <c r="L152" s="622"/>
      <c r="M152" s="982"/>
      <c r="N152" s="622"/>
      <c r="O152" s="1063"/>
      <c r="P152" s="622"/>
      <c r="Q152" s="982"/>
      <c r="R152" s="1028"/>
      <c r="T152" s="927"/>
      <c r="U152" s="999"/>
    </row>
    <row r="153" spans="1:42" s="224" customFormat="1" ht="15" customHeight="1" x14ac:dyDescent="0.25">
      <c r="A153" s="247">
        <v>45593</v>
      </c>
      <c r="B153" s="882" t="s">
        <v>7026</v>
      </c>
      <c r="C153" s="879" t="s">
        <v>12</v>
      </c>
      <c r="D153" s="879" t="s">
        <v>1493</v>
      </c>
      <c r="E153" s="871" t="s">
        <v>13</v>
      </c>
      <c r="F153" s="780">
        <v>17</v>
      </c>
      <c r="G153" s="982"/>
      <c r="H153" s="622"/>
      <c r="I153" s="982"/>
      <c r="J153" s="622"/>
      <c r="K153" s="982"/>
      <c r="L153" s="622"/>
      <c r="M153" s="982"/>
      <c r="N153" s="622"/>
      <c r="O153" s="1063"/>
      <c r="P153" s="622"/>
      <c r="Q153" s="982"/>
      <c r="R153" s="1028"/>
      <c r="S153" s="959"/>
      <c r="T153" s="878"/>
      <c r="U153" s="958"/>
    </row>
    <row r="154" spans="1:42" s="224" customFormat="1" ht="15" customHeight="1" x14ac:dyDescent="0.25">
      <c r="A154" s="247">
        <v>45594</v>
      </c>
      <c r="B154" s="882" t="s">
        <v>6329</v>
      </c>
      <c r="C154" s="879" t="s">
        <v>12</v>
      </c>
      <c r="D154" s="879"/>
      <c r="E154" s="875" t="s">
        <v>25</v>
      </c>
      <c r="F154" s="780"/>
      <c r="G154" s="982">
        <v>100</v>
      </c>
      <c r="H154" s="622"/>
      <c r="I154" s="982"/>
      <c r="J154" s="622"/>
      <c r="K154" s="982"/>
      <c r="L154" s="853"/>
      <c r="M154" s="982"/>
      <c r="N154" s="622"/>
      <c r="O154" s="1063"/>
      <c r="P154" s="622"/>
      <c r="Q154" s="982"/>
      <c r="R154" s="927"/>
      <c r="S154" s="927"/>
      <c r="T154" s="878"/>
    </row>
    <row r="155" spans="1:42" s="224" customFormat="1" ht="15" customHeight="1" x14ac:dyDescent="0.25">
      <c r="A155" s="247">
        <v>45594</v>
      </c>
      <c r="B155" s="349" t="s">
        <v>7027</v>
      </c>
      <c r="C155" s="350" t="s">
        <v>12</v>
      </c>
      <c r="D155" s="350" t="s">
        <v>6731</v>
      </c>
      <c r="E155" s="480" t="s">
        <v>13</v>
      </c>
      <c r="F155" s="780">
        <v>65</v>
      </c>
      <c r="G155" s="982"/>
      <c r="H155" s="95"/>
      <c r="I155" s="1064"/>
      <c r="J155" s="622"/>
      <c r="K155" s="982"/>
      <c r="L155" s="622"/>
      <c r="M155" s="982"/>
      <c r="N155" s="622"/>
      <c r="O155" s="1063"/>
      <c r="P155" s="622"/>
      <c r="Q155" s="982"/>
      <c r="R155" s="861"/>
      <c r="T155" s="927"/>
      <c r="U155" s="999"/>
    </row>
    <row r="156" spans="1:42" s="224" customFormat="1" ht="15" customHeight="1" x14ac:dyDescent="0.25">
      <c r="A156" s="247">
        <v>45594</v>
      </c>
      <c r="B156" s="882" t="s">
        <v>32</v>
      </c>
      <c r="C156" s="879" t="s">
        <v>12</v>
      </c>
      <c r="D156" s="879" t="s">
        <v>1485</v>
      </c>
      <c r="E156" s="875" t="s">
        <v>13</v>
      </c>
      <c r="F156" s="780">
        <v>22</v>
      </c>
      <c r="G156" s="982"/>
      <c r="H156" s="95"/>
      <c r="I156" s="1064"/>
      <c r="J156" s="622"/>
      <c r="K156" s="982"/>
      <c r="L156" s="622"/>
      <c r="M156" s="982"/>
      <c r="N156" s="622"/>
      <c r="O156" s="1063"/>
      <c r="P156" s="622"/>
      <c r="Q156" s="982"/>
      <c r="R156" s="861"/>
      <c r="T156" s="927"/>
      <c r="U156" s="999"/>
    </row>
    <row r="157" spans="1:42" s="224" customFormat="1" ht="15" customHeight="1" x14ac:dyDescent="0.25">
      <c r="A157" s="247">
        <v>45594</v>
      </c>
      <c r="B157" s="882" t="s">
        <v>7029</v>
      </c>
      <c r="C157" s="879" t="s">
        <v>12</v>
      </c>
      <c r="D157" s="879"/>
      <c r="E157" s="875" t="s">
        <v>13</v>
      </c>
      <c r="F157" s="780"/>
      <c r="G157" s="982">
        <v>100</v>
      </c>
      <c r="H157" s="622">
        <v>100</v>
      </c>
      <c r="I157" s="982"/>
      <c r="J157" s="622"/>
      <c r="K157" s="982"/>
      <c r="L157" s="622"/>
      <c r="M157" s="982"/>
      <c r="N157" s="880"/>
      <c r="O157" s="1525"/>
      <c r="P157" s="613"/>
      <c r="Q157" s="162"/>
      <c r="R157" s="1956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</row>
    <row r="158" spans="1:42" s="224" customFormat="1" ht="15" customHeight="1" x14ac:dyDescent="0.25">
      <c r="A158" s="247">
        <v>45594</v>
      </c>
      <c r="B158" s="882" t="s">
        <v>14</v>
      </c>
      <c r="C158" s="879" t="s">
        <v>12</v>
      </c>
      <c r="D158" s="879" t="s">
        <v>1486</v>
      </c>
      <c r="E158" s="871" t="s">
        <v>13</v>
      </c>
      <c r="F158" s="780">
        <v>24.8</v>
      </c>
      <c r="G158" s="982"/>
      <c r="H158" s="622"/>
      <c r="I158" s="982"/>
      <c r="J158" s="622"/>
      <c r="K158" s="982"/>
      <c r="L158" s="622"/>
      <c r="M158" s="982"/>
      <c r="N158" s="622"/>
      <c r="O158" s="1063"/>
      <c r="P158" s="622"/>
      <c r="Q158" s="982"/>
      <c r="R158" s="1028"/>
      <c r="S158" s="959"/>
      <c r="T158" s="878"/>
      <c r="U158" s="958"/>
    </row>
    <row r="159" spans="1:42" s="224" customFormat="1" ht="15" customHeight="1" x14ac:dyDescent="0.25">
      <c r="A159" s="247">
        <v>45595</v>
      </c>
      <c r="B159" s="349" t="s">
        <v>7030</v>
      </c>
      <c r="C159" s="350" t="s">
        <v>19</v>
      </c>
      <c r="D159" s="350" t="s">
        <v>1489</v>
      </c>
      <c r="E159" s="480" t="s">
        <v>13</v>
      </c>
      <c r="F159" s="780">
        <v>143</v>
      </c>
      <c r="G159" s="982"/>
      <c r="H159" s="95"/>
      <c r="I159" s="1064"/>
      <c r="J159" s="622"/>
      <c r="K159" s="982"/>
      <c r="L159" s="622"/>
      <c r="M159" s="982"/>
      <c r="N159" s="622"/>
      <c r="O159" s="1063"/>
      <c r="P159" s="622"/>
      <c r="Q159" s="982"/>
      <c r="R159" s="861"/>
      <c r="T159" s="927"/>
      <c r="U159" s="999"/>
    </row>
    <row r="160" spans="1:42" s="224" customFormat="1" ht="15" customHeight="1" x14ac:dyDescent="0.25">
      <c r="A160" s="247">
        <v>45595</v>
      </c>
      <c r="B160" s="349" t="s">
        <v>7034</v>
      </c>
      <c r="C160" s="350" t="s">
        <v>12</v>
      </c>
      <c r="D160" s="350" t="s">
        <v>1489</v>
      </c>
      <c r="E160" s="480" t="s">
        <v>13</v>
      </c>
      <c r="F160" s="780">
        <v>11.49</v>
      </c>
      <c r="G160" s="982"/>
      <c r="H160" s="95"/>
      <c r="I160" s="1064"/>
      <c r="J160" s="622"/>
      <c r="K160" s="982"/>
      <c r="L160" s="622"/>
      <c r="M160" s="982"/>
      <c r="N160" s="622"/>
      <c r="O160" s="1063"/>
      <c r="P160" s="622"/>
      <c r="Q160" s="982"/>
      <c r="R160" s="861"/>
      <c r="T160" s="927"/>
      <c r="U160" s="999"/>
    </row>
    <row r="161" spans="1:42" s="224" customFormat="1" ht="15" customHeight="1" x14ac:dyDescent="0.25">
      <c r="A161" s="247">
        <v>45596</v>
      </c>
      <c r="B161" s="882" t="s">
        <v>32</v>
      </c>
      <c r="C161" s="879" t="s">
        <v>12</v>
      </c>
      <c r="D161" s="879" t="s">
        <v>1485</v>
      </c>
      <c r="E161" s="875" t="s">
        <v>13</v>
      </c>
      <c r="F161" s="780">
        <v>22</v>
      </c>
      <c r="G161" s="982"/>
      <c r="H161" s="622"/>
      <c r="I161" s="982"/>
      <c r="J161" s="622"/>
      <c r="K161" s="982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42" s="224" customFormat="1" ht="15" customHeight="1" x14ac:dyDescent="0.25">
      <c r="A162" s="247">
        <v>45596</v>
      </c>
      <c r="B162" s="882" t="s">
        <v>81</v>
      </c>
      <c r="C162" s="879" t="s">
        <v>12</v>
      </c>
      <c r="D162" s="879" t="s">
        <v>1493</v>
      </c>
      <c r="E162" s="871" t="s">
        <v>13</v>
      </c>
      <c r="F162" s="780">
        <v>3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1956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45596</v>
      </c>
      <c r="B163" s="882" t="s">
        <v>14</v>
      </c>
      <c r="C163" s="879" t="s">
        <v>12</v>
      </c>
      <c r="D163" s="879" t="s">
        <v>1486</v>
      </c>
      <c r="E163" s="871" t="s">
        <v>13</v>
      </c>
      <c r="F163" s="780">
        <v>7.95</v>
      </c>
      <c r="G163" s="982"/>
      <c r="H163" s="622"/>
      <c r="I163" s="982"/>
      <c r="J163" s="622"/>
      <c r="K163" s="982"/>
      <c r="L163" s="622"/>
      <c r="M163" s="982"/>
      <c r="N163" s="622"/>
      <c r="O163" s="1063"/>
      <c r="P163" s="622"/>
      <c r="Q163" s="982"/>
      <c r="R163" s="1028"/>
      <c r="S163" s="959"/>
      <c r="T163" s="878"/>
      <c r="U163" s="958"/>
    </row>
    <row r="164" spans="1:42" s="224" customFormat="1" ht="15" customHeight="1" thickBot="1" x14ac:dyDescent="0.3">
      <c r="A164" s="247">
        <v>45596</v>
      </c>
      <c r="B164" s="349" t="s">
        <v>6168</v>
      </c>
      <c r="C164" s="350" t="s">
        <v>12</v>
      </c>
      <c r="D164" s="350"/>
      <c r="E164" s="480" t="s">
        <v>25</v>
      </c>
      <c r="F164" s="780"/>
      <c r="G164" s="946"/>
      <c r="H164" s="95"/>
      <c r="I164" s="2096">
        <v>1.21</v>
      </c>
      <c r="J164" s="622"/>
      <c r="K164" s="1063"/>
      <c r="L164" s="622"/>
      <c r="M164" s="982"/>
      <c r="N164" s="622"/>
      <c r="O164" s="2096">
        <v>20.63</v>
      </c>
      <c r="P164" s="622"/>
      <c r="Q164" s="982"/>
      <c r="R164" s="861"/>
      <c r="T164" s="927"/>
      <c r="U164" s="999"/>
    </row>
    <row r="165" spans="1:42" ht="25.5" customHeight="1" thickBot="1" x14ac:dyDescent="0.3">
      <c r="A165" s="3060"/>
      <c r="B165" s="3061"/>
      <c r="C165" s="3062"/>
      <c r="D165" s="3062"/>
      <c r="E165" s="3062"/>
      <c r="F165" s="1023">
        <f>SUM(F6:F164)</f>
        <v>12640.13</v>
      </c>
      <c r="G165" s="1065">
        <f>SUM(G5:G164)</f>
        <v>13124.501583333382</v>
      </c>
      <c r="H165" s="517">
        <f>SUM(H6:H164)</f>
        <v>100</v>
      </c>
      <c r="I165" s="93">
        <f>SUM(I5:I164)</f>
        <v>401.20599999999894</v>
      </c>
      <c r="J165" s="517">
        <f>SUM(J6:J164)</f>
        <v>7323</v>
      </c>
      <c r="K165" s="93">
        <f>SUM(K5:K164)</f>
        <v>9408.7800000000061</v>
      </c>
      <c r="L165" s="1023">
        <f>SUM(L6:L164)</f>
        <v>0</v>
      </c>
      <c r="M165" s="93">
        <f>SUM(M5:M164)</f>
        <v>0</v>
      </c>
      <c r="N165" s="1023">
        <f>SUM(N6:N164)</f>
        <v>0</v>
      </c>
      <c r="O165" s="93">
        <f>SUM(O5:O164)</f>
        <v>3217.9300000000021</v>
      </c>
      <c r="P165" s="1023">
        <f>SUM(P6:P164)</f>
        <v>5762.2</v>
      </c>
      <c r="Q165" s="93">
        <f>SUM(Q5:Q164)</f>
        <v>33687.995984720001</v>
      </c>
      <c r="S165" s="216"/>
    </row>
    <row r="166" spans="1:42" ht="25.5" customHeight="1" thickBot="1" x14ac:dyDescent="0.3">
      <c r="A166" s="3063" t="s">
        <v>49</v>
      </c>
      <c r="B166" s="3064"/>
      <c r="C166" s="3064"/>
      <c r="D166" s="3064"/>
      <c r="E166" s="3064"/>
      <c r="F166" s="2046" t="s">
        <v>280</v>
      </c>
      <c r="G166" s="1066">
        <f>G165-F165</f>
        <v>484.37158333338266</v>
      </c>
      <c r="H166" s="1221"/>
      <c r="I166" s="772">
        <f>I165-H165</f>
        <v>301.20599999999894</v>
      </c>
      <c r="J166" s="1221"/>
      <c r="K166" s="772">
        <f>K165-J165</f>
        <v>2085.7800000000061</v>
      </c>
      <c r="L166" s="1222"/>
      <c r="M166" s="772">
        <f>M165-L165</f>
        <v>0</v>
      </c>
      <c r="N166" s="1222"/>
      <c r="O166" s="772">
        <f>O165-N165</f>
        <v>3217.9300000000021</v>
      </c>
      <c r="P166" s="1222"/>
      <c r="Q166" s="772">
        <f>Q165-P165</f>
        <v>27925.79598472</v>
      </c>
      <c r="R166" s="484">
        <f>M166+O166+Q166</f>
        <v>31143.725984720004</v>
      </c>
    </row>
    <row r="167" spans="1:42" x14ac:dyDescent="0.25">
      <c r="J167" s="1210"/>
      <c r="K167" s="1038"/>
      <c r="M167" s="1238">
        <f>M166/R166</f>
        <v>0</v>
      </c>
      <c r="O167" s="1238">
        <f>O166/R166</f>
        <v>0.1033251448968826</v>
      </c>
      <c r="P167" s="1239"/>
      <c r="Q167" s="1239">
        <f>Q166/R166</f>
        <v>0.8966748551031174</v>
      </c>
      <c r="R167" s="867"/>
      <c r="S167" s="867"/>
      <c r="T167" s="79"/>
      <c r="W167" s="518"/>
      <c r="X167" s="216"/>
      <c r="Z167" s="877"/>
    </row>
    <row r="168" spans="1:42" x14ac:dyDescent="0.25">
      <c r="B168" s="81" t="s">
        <v>3</v>
      </c>
      <c r="C168" s="193" t="s">
        <v>1484</v>
      </c>
      <c r="D168" s="970" t="s">
        <v>2378</v>
      </c>
      <c r="E168" s="193" t="s">
        <v>3216</v>
      </c>
      <c r="F168" s="1061" t="s">
        <v>3217</v>
      </c>
      <c r="G168" s="216"/>
      <c r="I168" s="216"/>
      <c r="J168" s="1038"/>
      <c r="K168" s="216"/>
      <c r="M168" s="866"/>
      <c r="O168" s="866"/>
      <c r="P168" s="1038"/>
      <c r="Q168" s="1038"/>
      <c r="R168" s="865"/>
      <c r="S168" s="867"/>
    </row>
    <row r="169" spans="1:42" x14ac:dyDescent="0.25">
      <c r="B169" s="79" t="s">
        <v>32</v>
      </c>
      <c r="C169" s="85" t="s">
        <v>1485</v>
      </c>
      <c r="D169" s="475">
        <f t="shared" ref="D169:D185" si="0">SUMIF($D$9:$D$164,C169,$F$9:$F$164)</f>
        <v>431.9</v>
      </c>
      <c r="E169" s="1202">
        <f t="shared" ref="E169:E185" si="1">D169/$K$189</f>
        <v>13.932258064516128</v>
      </c>
      <c r="F169" s="1203">
        <f>E169/$E$190</f>
        <v>8.3216908658508365E-2</v>
      </c>
      <c r="G169" s="800"/>
      <c r="I169" s="769"/>
      <c r="J169" s="1038"/>
      <c r="K169" s="1225"/>
      <c r="M169" s="886"/>
      <c r="O169" s="886"/>
      <c r="P169" s="886"/>
      <c r="Q169" s="1038">
        <v>24197.98</v>
      </c>
      <c r="R169" s="1038" t="s">
        <v>6378</v>
      </c>
      <c r="S169" s="1210"/>
      <c r="U169" s="1201"/>
      <c r="V169" s="877"/>
    </row>
    <row r="170" spans="1:42" x14ac:dyDescent="0.25">
      <c r="B170" s="79" t="s">
        <v>2187</v>
      </c>
      <c r="C170" s="85" t="s">
        <v>2157</v>
      </c>
      <c r="D170" s="475">
        <f t="shared" si="0"/>
        <v>0</v>
      </c>
      <c r="E170" s="1202">
        <f t="shared" si="1"/>
        <v>0</v>
      </c>
      <c r="F170" s="1203">
        <f t="shared" ref="F170:F185" si="2">E170/$E$190</f>
        <v>0</v>
      </c>
      <c r="G170" s="609"/>
      <c r="J170" s="2125"/>
      <c r="K170" s="1129"/>
      <c r="M170" s="1210"/>
      <c r="O170" s="1038"/>
      <c r="P170" s="1210"/>
      <c r="Q170" s="1210">
        <f>Q166+Q169</f>
        <v>52123.77598472</v>
      </c>
      <c r="R170" s="1038" t="s">
        <v>6379</v>
      </c>
      <c r="U170" s="877"/>
      <c r="V170" s="877"/>
    </row>
    <row r="171" spans="1:42" s="85" customFormat="1" x14ac:dyDescent="0.25">
      <c r="A171" s="79"/>
      <c r="B171" s="79" t="s">
        <v>50</v>
      </c>
      <c r="C171" s="85" t="s">
        <v>1493</v>
      </c>
      <c r="D171" s="475">
        <f t="shared" si="0"/>
        <v>287.09000000000003</v>
      </c>
      <c r="E171" s="1202">
        <f t="shared" si="1"/>
        <v>9.2609677419354846</v>
      </c>
      <c r="F171" s="1203">
        <f t="shared" si="2"/>
        <v>5.5315448730657954E-2</v>
      </c>
      <c r="J171" s="1210"/>
      <c r="K171" s="1038"/>
      <c r="M171" s="941"/>
      <c r="N171" s="877"/>
      <c r="O171" s="863"/>
      <c r="Q171" s="79"/>
      <c r="R171" s="177"/>
      <c r="U171" s="877"/>
      <c r="V171" s="877"/>
    </row>
    <row r="172" spans="1:42" s="85" customFormat="1" x14ac:dyDescent="0.25">
      <c r="A172" s="79"/>
      <c r="B172" s="79" t="s">
        <v>14</v>
      </c>
      <c r="C172" s="85" t="s">
        <v>1486</v>
      </c>
      <c r="D172" s="475">
        <f t="shared" si="0"/>
        <v>178.44</v>
      </c>
      <c r="E172" s="1202">
        <f t="shared" si="1"/>
        <v>5.7561290322580643</v>
      </c>
      <c r="F172" s="1203">
        <f t="shared" si="2"/>
        <v>3.4381165040574743E-2</v>
      </c>
      <c r="G172" s="79"/>
      <c r="H172" s="79"/>
      <c r="J172" s="1210"/>
      <c r="K172" s="1038"/>
      <c r="M172" s="1028"/>
      <c r="N172" s="877"/>
      <c r="O172" s="1038"/>
      <c r="R172" s="177"/>
      <c r="U172" s="877"/>
      <c r="V172" s="877"/>
    </row>
    <row r="173" spans="1:42" s="85" customFormat="1" x14ac:dyDescent="0.25">
      <c r="B173" s="79" t="s">
        <v>51</v>
      </c>
      <c r="C173" s="864" t="s">
        <v>1499</v>
      </c>
      <c r="D173" s="475">
        <f t="shared" si="0"/>
        <v>110.84</v>
      </c>
      <c r="E173" s="1202">
        <f t="shared" si="1"/>
        <v>3.5754838709677421</v>
      </c>
      <c r="F173" s="1203">
        <f t="shared" si="2"/>
        <v>2.1356244861563019E-2</v>
      </c>
      <c r="G173" s="79"/>
      <c r="H173" s="79"/>
      <c r="I173" s="79"/>
      <c r="J173" s="1210"/>
      <c r="K173" s="1038"/>
      <c r="M173" s="1028"/>
      <c r="N173" s="877"/>
      <c r="O173" s="1038"/>
      <c r="P173" s="1210"/>
      <c r="Q173" s="1038"/>
      <c r="R173" s="177"/>
      <c r="U173" s="877"/>
      <c r="V173" s="877"/>
    </row>
    <row r="174" spans="1:42" s="85" customFormat="1" x14ac:dyDescent="0.25">
      <c r="A174" s="79"/>
      <c r="B174" s="79" t="s">
        <v>2189</v>
      </c>
      <c r="C174" s="864" t="s">
        <v>1496</v>
      </c>
      <c r="D174" s="475">
        <f t="shared" si="0"/>
        <v>100</v>
      </c>
      <c r="E174" s="1202">
        <f t="shared" si="1"/>
        <v>3.225806451612903</v>
      </c>
      <c r="F174" s="1203">
        <f t="shared" si="2"/>
        <v>1.9267633400904923E-2</v>
      </c>
      <c r="G174" s="79"/>
      <c r="J174" s="1210"/>
      <c r="K174" s="1038"/>
      <c r="M174" s="877"/>
      <c r="O174" s="177"/>
      <c r="R174" s="177"/>
      <c r="U174" s="877"/>
      <c r="V174" s="877"/>
    </row>
    <row r="175" spans="1:42" s="85" customFormat="1" x14ac:dyDescent="0.25">
      <c r="A175" s="79"/>
      <c r="B175" s="867" t="s">
        <v>53</v>
      </c>
      <c r="C175" s="864" t="s">
        <v>1522</v>
      </c>
      <c r="D175" s="475">
        <f t="shared" si="0"/>
        <v>0</v>
      </c>
      <c r="E175" s="1202">
        <f t="shared" si="1"/>
        <v>0</v>
      </c>
      <c r="F175" s="1203">
        <f t="shared" si="2"/>
        <v>0</v>
      </c>
      <c r="J175" s="1210"/>
      <c r="K175" s="1038"/>
      <c r="M175" s="1959"/>
      <c r="O175" s="177"/>
      <c r="P175" s="868"/>
      <c r="Q175" s="769"/>
      <c r="R175" s="79"/>
      <c r="U175" s="877"/>
      <c r="V175" s="877"/>
    </row>
    <row r="176" spans="1:42" s="85" customFormat="1" x14ac:dyDescent="0.25">
      <c r="A176" s="79"/>
      <c r="B176" s="79" t="s">
        <v>3048</v>
      </c>
      <c r="C176" s="864" t="s">
        <v>1523</v>
      </c>
      <c r="D176" s="475">
        <f t="shared" si="0"/>
        <v>0</v>
      </c>
      <c r="E176" s="1202">
        <f t="shared" si="1"/>
        <v>0</v>
      </c>
      <c r="F176" s="1203">
        <f t="shared" si="2"/>
        <v>0</v>
      </c>
      <c r="G176" s="866"/>
      <c r="J176" s="1210"/>
      <c r="K176" s="1038"/>
      <c r="M176" s="877"/>
      <c r="O176" s="177"/>
      <c r="P176" s="866"/>
      <c r="Q176" s="1210"/>
      <c r="R176" s="877"/>
      <c r="U176" s="877"/>
      <c r="V176" s="877"/>
    </row>
    <row r="177" spans="1:24" s="85" customFormat="1" x14ac:dyDescent="0.25">
      <c r="A177" s="79"/>
      <c r="B177" s="79" t="s">
        <v>1686</v>
      </c>
      <c r="C177" s="864" t="s">
        <v>1506</v>
      </c>
      <c r="D177" s="475">
        <f t="shared" si="0"/>
        <v>371.76666666666665</v>
      </c>
      <c r="E177" s="1202">
        <f t="shared" si="1"/>
        <v>11.99247311827957</v>
      </c>
      <c r="F177" s="1203">
        <f t="shared" si="2"/>
        <v>7.1630638440097538E-2</v>
      </c>
      <c r="G177" s="868"/>
      <c r="J177" s="1210"/>
      <c r="K177" s="1038"/>
      <c r="M177" s="877"/>
      <c r="O177" s="177"/>
      <c r="P177" s="1226"/>
      <c r="Q177" s="1129"/>
      <c r="R177" s="877"/>
      <c r="U177" s="877"/>
      <c r="V177" s="877"/>
    </row>
    <row r="178" spans="1:24" x14ac:dyDescent="0.25">
      <c r="B178" s="79" t="s">
        <v>418</v>
      </c>
      <c r="C178" s="85" t="s">
        <v>1524</v>
      </c>
      <c r="D178" s="475">
        <f t="shared" si="0"/>
        <v>5783.5666666666666</v>
      </c>
      <c r="E178" s="1202">
        <f t="shared" si="1"/>
        <v>186.56666666666666</v>
      </c>
      <c r="F178" s="1203">
        <f t="shared" si="2"/>
        <v>1.1143564228302703</v>
      </c>
      <c r="G178" s="85"/>
      <c r="H178" s="85"/>
      <c r="I178" s="85"/>
      <c r="J178" s="1210"/>
      <c r="K178" s="1038"/>
      <c r="L178" s="769"/>
      <c r="M178" s="877"/>
      <c r="N178" s="769"/>
      <c r="O178" s="177"/>
      <c r="P178" s="1038"/>
      <c r="Q178" s="1226"/>
      <c r="R178" s="877"/>
      <c r="U178" s="877"/>
      <c r="V178" s="877"/>
    </row>
    <row r="179" spans="1:24" x14ac:dyDescent="0.25">
      <c r="B179" s="79" t="s">
        <v>6732</v>
      </c>
      <c r="C179" s="85" t="s">
        <v>1491</v>
      </c>
      <c r="D179" s="475">
        <f t="shared" si="0"/>
        <v>911.9</v>
      </c>
      <c r="E179" s="1202">
        <f t="shared" si="1"/>
        <v>29.416129032258063</v>
      </c>
      <c r="F179" s="1203">
        <f t="shared" si="2"/>
        <v>0.17570154898285201</v>
      </c>
      <c r="I179" s="85"/>
      <c r="J179" s="1210"/>
      <c r="K179" s="1038"/>
      <c r="N179" s="216"/>
      <c r="O179" s="177"/>
      <c r="Q179" s="484"/>
      <c r="R179" s="877"/>
      <c r="U179" s="877"/>
      <c r="V179" s="877"/>
    </row>
    <row r="180" spans="1:24" x14ac:dyDescent="0.25">
      <c r="B180" s="79" t="s">
        <v>6733</v>
      </c>
      <c r="C180" s="85" t="s">
        <v>6731</v>
      </c>
      <c r="D180" s="475">
        <f t="shared" si="0"/>
        <v>535.54</v>
      </c>
      <c r="E180" s="1202">
        <f t="shared" si="1"/>
        <v>17.27548387096774</v>
      </c>
      <c r="F180" s="1203">
        <f t="shared" si="2"/>
        <v>0.10318588391520622</v>
      </c>
      <c r="I180" s="85"/>
      <c r="J180" s="1210"/>
      <c r="K180" s="1038"/>
      <c r="N180" s="216"/>
      <c r="O180" s="177"/>
      <c r="Q180" s="484"/>
      <c r="R180" s="877"/>
      <c r="U180" s="877"/>
      <c r="V180" s="877"/>
    </row>
    <row r="181" spans="1:24" x14ac:dyDescent="0.25">
      <c r="B181" s="79" t="s">
        <v>911</v>
      </c>
      <c r="C181" s="85" t="s">
        <v>1525</v>
      </c>
      <c r="D181" s="475">
        <f t="shared" si="0"/>
        <v>41.96</v>
      </c>
      <c r="E181" s="1202">
        <f t="shared" si="1"/>
        <v>1.3535483870967742</v>
      </c>
      <c r="F181" s="1203">
        <f t="shared" si="2"/>
        <v>8.0846989750197069E-3</v>
      </c>
      <c r="J181" s="1210"/>
      <c r="K181" s="1038"/>
      <c r="O181" s="216"/>
      <c r="Q181" s="484"/>
      <c r="R181" s="1673"/>
      <c r="U181" s="877"/>
      <c r="V181" s="877"/>
    </row>
    <row r="182" spans="1:24" x14ac:dyDescent="0.25">
      <c r="B182" s="79" t="s">
        <v>1526</v>
      </c>
      <c r="C182" s="85" t="s">
        <v>1504</v>
      </c>
      <c r="D182" s="475">
        <f t="shared" si="0"/>
        <v>185.59666666666666</v>
      </c>
      <c r="E182" s="1202">
        <f t="shared" si="1"/>
        <v>5.9869892473118282</v>
      </c>
      <c r="F182" s="1203">
        <f t="shared" si="2"/>
        <v>3.5760085337632842E-2</v>
      </c>
      <c r="J182" s="1210"/>
      <c r="K182" s="1038"/>
      <c r="L182" s="769"/>
      <c r="N182" s="769"/>
      <c r="O182" s="886"/>
      <c r="P182" s="1210"/>
      <c r="Q182" s="1038"/>
      <c r="R182" s="1129"/>
      <c r="T182" s="1129"/>
      <c r="U182" s="877"/>
      <c r="V182" s="877"/>
    </row>
    <row r="183" spans="1:24" x14ac:dyDescent="0.25">
      <c r="B183" s="79" t="s">
        <v>2343</v>
      </c>
      <c r="C183" s="85" t="s">
        <v>2315</v>
      </c>
      <c r="D183" s="475">
        <f t="shared" si="0"/>
        <v>0</v>
      </c>
      <c r="E183" s="1202">
        <f t="shared" si="1"/>
        <v>0</v>
      </c>
      <c r="F183" s="1203">
        <f t="shared" si="2"/>
        <v>0</v>
      </c>
      <c r="J183" s="1210"/>
      <c r="K183" s="1038"/>
      <c r="L183" s="769"/>
      <c r="M183" s="1210"/>
      <c r="N183" s="769"/>
      <c r="O183" s="1673"/>
      <c r="P183" s="1210"/>
      <c r="Q183" s="1038"/>
      <c r="R183" s="1129"/>
      <c r="T183" s="1129"/>
      <c r="U183" s="877"/>
      <c r="V183" s="877"/>
    </row>
    <row r="184" spans="1:24" x14ac:dyDescent="0.25">
      <c r="B184" s="79" t="s">
        <v>3019</v>
      </c>
      <c r="C184" s="85" t="s">
        <v>3017</v>
      </c>
      <c r="D184" s="475">
        <f t="shared" si="0"/>
        <v>0</v>
      </c>
      <c r="E184" s="1202">
        <f t="shared" si="1"/>
        <v>0</v>
      </c>
      <c r="F184" s="1203">
        <f t="shared" si="2"/>
        <v>0</v>
      </c>
      <c r="J184" s="1210"/>
      <c r="K184" s="1038"/>
      <c r="L184" s="769"/>
      <c r="N184" s="769"/>
      <c r="P184" s="941"/>
      <c r="Q184" s="224"/>
      <c r="R184" s="1226"/>
      <c r="S184" s="1129"/>
      <c r="T184" s="1129"/>
      <c r="U184" s="877"/>
      <c r="V184" s="877"/>
    </row>
    <row r="185" spans="1:24" ht="15.75" thickBot="1" x14ac:dyDescent="0.3">
      <c r="B185" s="301" t="s">
        <v>1527</v>
      </c>
      <c r="C185" s="2400" t="s">
        <v>1489</v>
      </c>
      <c r="D185" s="2401">
        <f t="shared" si="0"/>
        <v>673.33</v>
      </c>
      <c r="E185" s="2402">
        <f t="shared" si="1"/>
        <v>21.720322580645163</v>
      </c>
      <c r="F185" s="2403">
        <f t="shared" si="2"/>
        <v>0.12973475597831313</v>
      </c>
      <c r="J185" s="1210"/>
      <c r="K185" s="1038"/>
      <c r="P185" s="1210"/>
      <c r="Q185" s="1038"/>
      <c r="R185" s="1226"/>
      <c r="S185" s="1129"/>
      <c r="T185" s="1129"/>
      <c r="U185" s="877"/>
      <c r="V185" s="877"/>
    </row>
    <row r="186" spans="1:24" x14ac:dyDescent="0.25">
      <c r="B186" s="1124" t="s">
        <v>6790</v>
      </c>
      <c r="C186" s="1124"/>
      <c r="D186" s="1125">
        <f>SUMIF($B$7:$B$164,"Crédito Gasolina",$G$7:$G$164)</f>
        <v>475.20000000000005</v>
      </c>
      <c r="E186" s="1138">
        <f>D186/K189</f>
        <v>15.329032258064517</v>
      </c>
      <c r="F186" s="1124"/>
      <c r="J186" s="2037"/>
      <c r="K186" s="629"/>
      <c r="P186" s="1210"/>
      <c r="Q186" s="1038"/>
      <c r="R186" s="1227"/>
      <c r="S186" s="1129"/>
      <c r="T186" s="1129"/>
      <c r="U186" s="877"/>
      <c r="V186" s="877"/>
    </row>
    <row r="187" spans="1:24" x14ac:dyDescent="0.25">
      <c r="B187" s="1124" t="s">
        <v>6918</v>
      </c>
      <c r="C187" s="1124"/>
      <c r="D187" s="1125">
        <f>SUMIF($B$9:$B$164,"Trabalho Art frutt",$G$9:$G$164)</f>
        <v>400</v>
      </c>
      <c r="E187" s="1138">
        <f>D187/K189</f>
        <v>12.903225806451612</v>
      </c>
      <c r="F187" s="1124"/>
      <c r="J187" s="2037"/>
      <c r="K187" s="629"/>
      <c r="L187" s="459" t="s">
        <v>6481</v>
      </c>
      <c r="M187" s="2125" t="s">
        <v>6482</v>
      </c>
      <c r="P187" s="1210"/>
      <c r="Q187" s="1038"/>
      <c r="R187" s="1227"/>
      <c r="S187" s="1129"/>
      <c r="T187" s="1129"/>
      <c r="U187" s="877"/>
      <c r="V187" s="877"/>
    </row>
    <row r="188" spans="1:24" x14ac:dyDescent="0.25">
      <c r="B188" s="1124"/>
      <c r="C188" s="1124"/>
      <c r="D188" s="1125"/>
      <c r="E188" s="1138"/>
      <c r="F188" s="1124"/>
      <c r="J188" s="2037"/>
      <c r="K188" s="629"/>
      <c r="L188" s="459"/>
      <c r="M188" s="2125"/>
      <c r="P188" s="1210"/>
      <c r="Q188" s="1038"/>
      <c r="R188" s="1227"/>
      <c r="S188" s="1129"/>
      <c r="T188" s="1129"/>
      <c r="U188" s="877"/>
      <c r="V188" s="877"/>
    </row>
    <row r="189" spans="1:24" x14ac:dyDescent="0.25">
      <c r="C189" s="3168" t="s">
        <v>486</v>
      </c>
      <c r="D189" s="3168"/>
      <c r="E189" s="863">
        <f>J189/K189</f>
        <v>310.06225806451607</v>
      </c>
      <c r="G189" s="518" t="s">
        <v>487</v>
      </c>
      <c r="J189" s="629">
        <f>SUM(D169:D185)</f>
        <v>9611.9299999999985</v>
      </c>
      <c r="K189" s="1517">
        <v>31</v>
      </c>
      <c r="M189" s="1138">
        <f>5022.63+D187-J190</f>
        <v>1594.2666666666682</v>
      </c>
      <c r="N189" s="216"/>
      <c r="O189" s="1517"/>
      <c r="P189" s="1210"/>
      <c r="Q189" s="1038"/>
      <c r="R189" s="1226"/>
      <c r="S189" s="1129"/>
      <c r="T189" s="1129"/>
      <c r="U189" s="877"/>
      <c r="V189" s="877"/>
    </row>
    <row r="190" spans="1:24" ht="15.75" customHeight="1" x14ac:dyDescent="0.25">
      <c r="B190" s="3167" t="s">
        <v>6752</v>
      </c>
      <c r="C190" s="3167"/>
      <c r="D190" s="3167"/>
      <c r="E190" s="1125">
        <f>5022.63/30</f>
        <v>167.42099999999999</v>
      </c>
      <c r="G190" s="518" t="s">
        <v>6257</v>
      </c>
      <c r="J190" s="609">
        <f>J189-D178</f>
        <v>3828.3633333333319</v>
      </c>
      <c r="K190" s="629"/>
      <c r="O190" s="868"/>
      <c r="P190" s="1210"/>
      <c r="Q190" s="1038"/>
      <c r="R190" s="1226"/>
      <c r="S190" s="1129"/>
      <c r="T190" s="1129"/>
      <c r="U190" s="877"/>
      <c r="V190" s="877"/>
    </row>
    <row r="191" spans="1:24" x14ac:dyDescent="0.25">
      <c r="A191" s="518"/>
      <c r="C191" s="79"/>
      <c r="D191" s="79"/>
      <c r="E191" s="769"/>
      <c r="F191" s="866"/>
      <c r="G191" s="769"/>
      <c r="H191" s="866"/>
      <c r="I191" s="1210"/>
      <c r="J191" s="867"/>
      <c r="K191" s="866"/>
      <c r="L191" s="1038"/>
      <c r="M191" s="1210"/>
      <c r="N191" s="1038"/>
      <c r="O191" s="1210"/>
      <c r="P191" s="1210"/>
      <c r="Q191" s="1038"/>
      <c r="R191" s="769"/>
      <c r="S191" s="484" t="s">
        <v>280</v>
      </c>
      <c r="T191" s="216"/>
      <c r="U191" s="866"/>
      <c r="V191" s="484"/>
      <c r="X191" s="877"/>
    </row>
    <row r="192" spans="1:24" s="518" customFormat="1" x14ac:dyDescent="0.25">
      <c r="A192" s="79"/>
      <c r="B192" s="79"/>
      <c r="C192" s="79"/>
      <c r="D192" s="79"/>
      <c r="E192" s="1126">
        <f>E190-E189</f>
        <v>-142.64125806451608</v>
      </c>
      <c r="F192" s="1205">
        <f>SUM(F169:F191)</f>
        <v>1.8519914351516005</v>
      </c>
      <c r="G192" s="85"/>
      <c r="H192" s="85"/>
      <c r="I192" s="89"/>
      <c r="J192" s="1210"/>
      <c r="K192" s="754"/>
      <c r="L192" s="79"/>
      <c r="M192" s="79"/>
      <c r="N192" s="79"/>
      <c r="O192" s="79"/>
      <c r="P192" s="1210"/>
      <c r="Q192" s="1038"/>
      <c r="R192" s="79"/>
      <c r="S192" s="79"/>
      <c r="T192" s="866"/>
      <c r="U192" s="484"/>
      <c r="V192" s="79"/>
      <c r="W192" s="877"/>
      <c r="X192" s="79"/>
    </row>
    <row r="193" spans="1:21" s="518" customFormat="1" x14ac:dyDescent="0.25">
      <c r="A193" s="79"/>
      <c r="B193" s="79"/>
      <c r="C193" s="79"/>
      <c r="D193" s="79"/>
      <c r="E193" s="85"/>
      <c r="J193" s="1038"/>
      <c r="K193" s="1225"/>
      <c r="Q193" s="1038"/>
      <c r="R193" s="484"/>
      <c r="S193" s="79"/>
      <c r="T193" s="877"/>
      <c r="U193" s="79"/>
    </row>
    <row r="194" spans="1:21" s="518" customFormat="1" x14ac:dyDescent="0.25">
      <c r="A194" s="79"/>
      <c r="B194" s="1124" t="s">
        <v>6376</v>
      </c>
      <c r="C194" s="2125"/>
      <c r="D194" s="2219">
        <f>SUMIF($E$7:$E$164,"crédito",$G$7:$G$164)</f>
        <v>5871.12</v>
      </c>
      <c r="E194" s="85"/>
      <c r="F194" s="89"/>
      <c r="G194" s="79"/>
      <c r="H194" s="79"/>
      <c r="I194" s="79"/>
      <c r="J194" s="1038"/>
      <c r="K194" s="1225"/>
      <c r="L194" s="769"/>
      <c r="M194" s="866"/>
      <c r="N194" s="769"/>
      <c r="O194" s="866"/>
      <c r="P194" s="1210"/>
      <c r="Q194" s="1038"/>
      <c r="R194" s="484"/>
      <c r="S194" s="79"/>
      <c r="T194" s="877"/>
      <c r="U194" s="79"/>
    </row>
    <row r="195" spans="1:21" s="518" customFormat="1" x14ac:dyDescent="0.25">
      <c r="A195" s="79"/>
      <c r="B195" s="518" t="s">
        <v>6496</v>
      </c>
      <c r="C195" s="459"/>
      <c r="D195" s="2218">
        <f>SUM(D169:D185)-D178</f>
        <v>3828.3633333333319</v>
      </c>
      <c r="E195" s="85"/>
      <c r="F195" s="89"/>
      <c r="G195" s="79"/>
      <c r="H195" s="79"/>
      <c r="I195" s="216"/>
      <c r="J195" s="864"/>
      <c r="K195" s="877"/>
      <c r="L195" s="769"/>
      <c r="M195" s="866"/>
      <c r="N195" s="769"/>
      <c r="O195" s="866"/>
      <c r="P195" s="1210"/>
      <c r="Q195" s="1038"/>
      <c r="R195" s="484"/>
      <c r="S195" s="79"/>
      <c r="T195" s="877"/>
      <c r="U195" s="79"/>
    </row>
    <row r="196" spans="1:21" s="518" customFormat="1" x14ac:dyDescent="0.25">
      <c r="A196" s="79"/>
      <c r="B196" s="81" t="s">
        <v>6497</v>
      </c>
      <c r="C196" s="81"/>
      <c r="D196" s="1014">
        <f>D194-D195</f>
        <v>2042.756666666668</v>
      </c>
      <c r="E196" s="79"/>
      <c r="F196" s="79"/>
      <c r="G196" s="79"/>
      <c r="H196" s="79"/>
      <c r="J196" s="1038"/>
      <c r="K196" s="877"/>
      <c r="M196" s="866"/>
      <c r="O196" s="866"/>
      <c r="P196" s="1210"/>
      <c r="Q196" s="103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J197" s="1038"/>
      <c r="K197" s="877"/>
      <c r="L197" s="769"/>
      <c r="M197" s="866"/>
      <c r="N197" s="769"/>
      <c r="O197" s="866"/>
      <c r="P197" s="1210"/>
      <c r="Q197" s="103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216"/>
      <c r="H198" s="79"/>
      <c r="I198" s="216"/>
      <c r="J198" s="1038"/>
      <c r="K198" s="877"/>
      <c r="L198" s="769"/>
      <c r="M198" s="868"/>
      <c r="N198" s="769"/>
      <c r="O198" s="868"/>
      <c r="P198" s="1210"/>
      <c r="Q198" s="103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216"/>
      <c r="H199" s="79"/>
      <c r="I199" s="216"/>
      <c r="J199" s="79"/>
      <c r="K199" s="877"/>
      <c r="L199" s="769"/>
      <c r="M199" s="866"/>
      <c r="N199" s="769"/>
      <c r="O199" s="866"/>
      <c r="P199" s="1210"/>
      <c r="Q199" s="103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216"/>
      <c r="H200" s="79"/>
      <c r="I200" s="79"/>
      <c r="J200" s="85"/>
      <c r="K200" s="877"/>
      <c r="L200" s="770"/>
      <c r="M200" s="866"/>
      <c r="N200" s="770"/>
      <c r="O200" s="866"/>
      <c r="P200" s="1210"/>
      <c r="Q200" s="1038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216"/>
      <c r="J201" s="1038"/>
      <c r="K201" s="877"/>
      <c r="L201" s="769"/>
      <c r="M201" s="868"/>
      <c r="N201" s="769"/>
      <c r="O201" s="868"/>
      <c r="P201" s="1210"/>
      <c r="Q201" s="1038"/>
      <c r="R201" s="484"/>
      <c r="S201" s="79"/>
      <c r="T201" s="877"/>
      <c r="U201" s="79"/>
    </row>
    <row r="202" spans="1:21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85"/>
      <c r="K202" s="877"/>
      <c r="L202" s="769"/>
      <c r="M202" s="866"/>
      <c r="N202" s="769"/>
      <c r="O202" s="866"/>
      <c r="P202" s="1210"/>
      <c r="Q202" s="103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629"/>
      <c r="J203" s="769"/>
      <c r="K203" s="1225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85"/>
      <c r="D204" s="85"/>
      <c r="E204" s="85"/>
      <c r="F204" s="89"/>
      <c r="G204" s="79"/>
      <c r="H204" s="79"/>
      <c r="I204" s="79"/>
      <c r="J204" s="79"/>
      <c r="K204" s="79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J205" s="79"/>
      <c r="K205" s="79"/>
      <c r="L205" s="769"/>
      <c r="M205" s="866"/>
      <c r="N205" s="769"/>
      <c r="O205" s="866"/>
      <c r="P205" s="1210"/>
      <c r="Q205" s="1038"/>
      <c r="R205" s="484"/>
      <c r="S205" s="79"/>
      <c r="T205" s="877"/>
      <c r="U205" s="79"/>
    </row>
    <row r="206" spans="1:21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769"/>
      <c r="K206" s="868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1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69"/>
      <c r="K207" s="868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1" s="518" customFormat="1" x14ac:dyDescent="0.25">
      <c r="A208" s="79"/>
      <c r="B208" s="79"/>
      <c r="C208" s="85"/>
      <c r="D208" s="85"/>
      <c r="E208" s="85"/>
      <c r="F208" s="89"/>
      <c r="G208" s="79"/>
      <c r="H208" s="79"/>
      <c r="I208" s="79"/>
      <c r="J208" s="769"/>
      <c r="K208" s="79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216"/>
      <c r="J209" s="7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216"/>
      <c r="J210" s="79"/>
      <c r="K210" s="79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216"/>
      <c r="J211" s="1517"/>
      <c r="K211" s="79"/>
      <c r="L211" s="769"/>
      <c r="M211" s="866"/>
      <c r="N211" s="769"/>
      <c r="O211" s="866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216"/>
      <c r="J212" s="79"/>
      <c r="K212" s="868"/>
      <c r="L212" s="769"/>
      <c r="M212" s="866"/>
      <c r="N212" s="769"/>
      <c r="O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89"/>
      <c r="K213" s="79"/>
      <c r="L213" s="769"/>
      <c r="M213" s="868"/>
      <c r="N213" s="769"/>
      <c r="O213" s="868"/>
      <c r="P213" s="79"/>
      <c r="Q213" s="79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J214" s="79"/>
      <c r="K214" s="79"/>
      <c r="L214" s="769"/>
      <c r="M214" s="868"/>
      <c r="N214" s="769"/>
      <c r="O214" s="868"/>
      <c r="P214" s="81"/>
      <c r="Q214" s="755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L215" s="769"/>
      <c r="M215" s="868"/>
      <c r="N215" s="769"/>
      <c r="O215" s="868"/>
      <c r="P215" s="868"/>
      <c r="Q215" s="79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769"/>
      <c r="K216" s="866"/>
      <c r="L216" s="769"/>
      <c r="M216" s="868"/>
      <c r="N216" s="769"/>
      <c r="O216" s="868"/>
      <c r="P216" s="754"/>
      <c r="Q216" s="88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216"/>
      <c r="J217" s="769"/>
      <c r="K217" s="866"/>
      <c r="L217" s="769"/>
      <c r="M217" s="868"/>
      <c r="N217" s="769"/>
      <c r="O217" s="868"/>
      <c r="P217" s="864"/>
      <c r="Q217" s="864"/>
      <c r="R217" s="484"/>
      <c r="S217" s="79"/>
      <c r="T217" s="877"/>
      <c r="U217" s="79"/>
    </row>
    <row r="218" spans="1:21" s="518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K218" s="866"/>
      <c r="L218" s="769"/>
      <c r="M218" s="866"/>
      <c r="N218" s="769"/>
      <c r="O218" s="866"/>
      <c r="P218" s="864"/>
      <c r="Q218" s="1032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69"/>
      <c r="K219" s="866"/>
      <c r="L219" s="769"/>
      <c r="M219" s="866"/>
      <c r="N219" s="769"/>
      <c r="O219" s="866"/>
      <c r="P219" s="864"/>
      <c r="Q219" s="1032"/>
      <c r="R219" s="484"/>
      <c r="S219" s="79"/>
      <c r="T219" s="877"/>
      <c r="U219" s="79"/>
    </row>
    <row r="220" spans="1:21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69"/>
      <c r="K220" s="868"/>
      <c r="L220" s="769"/>
      <c r="M220" s="868"/>
      <c r="N220" s="769"/>
      <c r="O220" s="868"/>
      <c r="P220" s="85"/>
      <c r="Q220" s="795"/>
      <c r="R220" s="484"/>
      <c r="S220" s="79"/>
      <c r="T220" s="877"/>
      <c r="U220" s="79"/>
    </row>
    <row r="221" spans="1:21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69"/>
      <c r="K221" s="866"/>
      <c r="L221" s="769"/>
      <c r="M221" s="866"/>
      <c r="N221" s="769"/>
      <c r="O221" s="866"/>
      <c r="P221" s="85"/>
      <c r="Q221" s="177"/>
      <c r="R221" s="484"/>
      <c r="S221" s="79"/>
      <c r="T221" s="877"/>
      <c r="U221" s="79"/>
    </row>
    <row r="222" spans="1:21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770"/>
      <c r="K222" s="866"/>
      <c r="L222" s="769"/>
      <c r="M222" s="866"/>
      <c r="N222" s="769"/>
      <c r="O222" s="866"/>
      <c r="P222" s="85"/>
      <c r="Q222" s="177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8"/>
      <c r="L223" s="769"/>
      <c r="M223" s="868"/>
      <c r="N223" s="769"/>
      <c r="O223" s="868"/>
      <c r="P223" s="85"/>
      <c r="Q223" s="177" t="s">
        <v>280</v>
      </c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69"/>
      <c r="M224" s="868"/>
      <c r="N224" s="769"/>
      <c r="O224" s="868"/>
      <c r="P224" s="85"/>
      <c r="Q224" s="177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69"/>
      <c r="M225" s="868"/>
      <c r="N225" s="769"/>
      <c r="O225" s="868"/>
      <c r="P225" s="85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69"/>
      <c r="M226" s="868"/>
      <c r="N226" s="769"/>
      <c r="O226" s="868"/>
      <c r="P226" s="769"/>
      <c r="Q226" s="21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769"/>
      <c r="M227" s="866"/>
      <c r="N227" s="769"/>
      <c r="O227" s="866"/>
      <c r="P227" s="79"/>
      <c r="Q227" s="21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223"/>
      <c r="M228" s="629"/>
      <c r="N228" s="223"/>
      <c r="O228" s="629"/>
      <c r="P228" s="769"/>
      <c r="Q228" s="86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56"/>
      <c r="M229" s="756"/>
      <c r="N229" s="756"/>
      <c r="O229" s="756"/>
      <c r="P229" s="769"/>
      <c r="Q229" s="86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9"/>
      <c r="M230" s="79"/>
      <c r="N230" s="79"/>
      <c r="O230" s="79"/>
      <c r="P230" s="769"/>
      <c r="Q230" s="86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6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79"/>
      <c r="M232" s="79"/>
      <c r="N232" s="79"/>
      <c r="O232" s="79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79"/>
      <c r="M233" s="79"/>
      <c r="N233" s="79"/>
      <c r="O233" s="79"/>
      <c r="P233" s="79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85"/>
      <c r="M234" s="85"/>
      <c r="N234" s="85"/>
      <c r="O234" s="85"/>
      <c r="P234" s="1517"/>
      <c r="Q234" s="79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8"/>
      <c r="L235" s="79"/>
      <c r="M235" s="79"/>
      <c r="N235" s="79"/>
      <c r="O235" s="79"/>
      <c r="P235" s="79"/>
      <c r="Q235" s="868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8"/>
      <c r="L236" s="79"/>
      <c r="M236" s="79"/>
      <c r="N236" s="79"/>
      <c r="O236" s="79"/>
      <c r="P236" s="8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8"/>
      <c r="L237" s="79"/>
      <c r="M237" s="79"/>
      <c r="N237" s="79"/>
      <c r="O237" s="79"/>
      <c r="P237" s="7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8"/>
      <c r="L238" s="79"/>
      <c r="M238" s="79"/>
      <c r="N238" s="79"/>
      <c r="O238" s="79"/>
      <c r="P238" s="769"/>
      <c r="Q238" s="86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8"/>
      <c r="L239" s="79"/>
      <c r="M239" s="79"/>
      <c r="N239" s="79"/>
      <c r="O239" s="79"/>
      <c r="P239" s="769"/>
      <c r="Q239" s="86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6"/>
      <c r="L240" s="79"/>
      <c r="M240" s="79"/>
      <c r="N240" s="79"/>
      <c r="O240" s="79"/>
      <c r="P240" s="769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85"/>
      <c r="M241" s="85"/>
      <c r="N241" s="85"/>
      <c r="O241" s="85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9"/>
      <c r="M242" s="79"/>
      <c r="N242" s="79"/>
      <c r="O242" s="79"/>
      <c r="P242" s="769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69"/>
      <c r="Q243" s="868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69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8"/>
      <c r="L245" s="79"/>
      <c r="M245" s="79"/>
      <c r="N245" s="79"/>
      <c r="O245" s="79"/>
      <c r="P245" s="770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69"/>
      <c r="Q246" s="868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769"/>
      <c r="Q247" s="86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8"/>
      <c r="L248" s="771"/>
      <c r="N248" s="771"/>
      <c r="P248" s="769"/>
      <c r="Q248" s="86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69"/>
      <c r="Q249" s="866"/>
      <c r="R249" s="484"/>
      <c r="S249" s="79"/>
      <c r="T249" s="877"/>
      <c r="U249" s="79"/>
    </row>
    <row r="250" spans="1:21" x14ac:dyDescent="0.25">
      <c r="J250" s="223"/>
      <c r="K250" s="629"/>
      <c r="P250" s="769"/>
      <c r="Q250" s="866"/>
    </row>
    <row r="251" spans="1:21" x14ac:dyDescent="0.25">
      <c r="J251" s="756"/>
      <c r="K251" s="756"/>
      <c r="P251" s="769"/>
      <c r="Q251" s="866"/>
    </row>
    <row r="252" spans="1:21" x14ac:dyDescent="0.25">
      <c r="P252" s="769"/>
      <c r="Q252" s="866"/>
    </row>
    <row r="253" spans="1:21" x14ac:dyDescent="0.25">
      <c r="P253" s="769"/>
      <c r="Q253" s="866"/>
    </row>
    <row r="254" spans="1:21" x14ac:dyDescent="0.25">
      <c r="P254" s="769"/>
      <c r="Q254" s="866"/>
    </row>
    <row r="255" spans="1:21" x14ac:dyDescent="0.25">
      <c r="P255" s="769"/>
      <c r="Q255" s="866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85"/>
      <c r="K256" s="85"/>
      <c r="L256" s="79"/>
      <c r="M256" s="216"/>
      <c r="N256" s="79"/>
      <c r="O256" s="216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69"/>
      <c r="Q258" s="868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216"/>
      <c r="N259" s="79"/>
      <c r="O259" s="216"/>
      <c r="P259" s="769"/>
      <c r="Q259" s="868"/>
      <c r="R259" s="484"/>
      <c r="S259" s="79"/>
      <c r="T259" s="877"/>
      <c r="U259" s="79"/>
    </row>
    <row r="260" spans="1:21" x14ac:dyDescent="0.25">
      <c r="P260" s="769"/>
      <c r="Q260" s="868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216"/>
      <c r="N261" s="79"/>
      <c r="O261" s="216"/>
      <c r="P261" s="769"/>
      <c r="Q261" s="868"/>
      <c r="R261" s="484"/>
      <c r="S261" s="79"/>
      <c r="T261" s="877"/>
      <c r="U261" s="79"/>
    </row>
    <row r="262" spans="1:21" x14ac:dyDescent="0.25">
      <c r="P262" s="769"/>
      <c r="Q262" s="868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85"/>
      <c r="K263" s="85"/>
      <c r="L263" s="79"/>
      <c r="M263" s="629"/>
      <c r="N263" s="79"/>
      <c r="O263" s="629"/>
      <c r="P263" s="769"/>
      <c r="Q263" s="866"/>
      <c r="R263" s="484"/>
      <c r="S263" s="79"/>
      <c r="T263" s="877"/>
      <c r="U263" s="79"/>
    </row>
    <row r="264" spans="1:21" x14ac:dyDescent="0.25">
      <c r="P264" s="769"/>
      <c r="Q264" s="866"/>
    </row>
    <row r="265" spans="1:21" x14ac:dyDescent="0.25">
      <c r="P265" s="769"/>
      <c r="Q265" s="868"/>
    </row>
    <row r="266" spans="1:21" x14ac:dyDescent="0.25">
      <c r="P266" s="769"/>
      <c r="Q266" s="866"/>
    </row>
    <row r="267" spans="1:21" x14ac:dyDescent="0.25">
      <c r="P267" s="769"/>
      <c r="Q267" s="866"/>
    </row>
    <row r="268" spans="1:21" x14ac:dyDescent="0.25">
      <c r="P268" s="769"/>
      <c r="Q268" s="868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216"/>
      <c r="N269" s="79"/>
      <c r="O269" s="216"/>
      <c r="P269" s="769"/>
      <c r="Q269" s="868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71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216"/>
      <c r="N271" s="79"/>
      <c r="O271" s="216"/>
      <c r="P271" s="769"/>
      <c r="Q271" s="868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216"/>
      <c r="N272" s="79"/>
      <c r="O272" s="216"/>
      <c r="P272" s="769"/>
      <c r="Q272" s="866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223"/>
      <c r="Q273" s="629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756"/>
      <c r="Q274" s="75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9"/>
      <c r="Q275" s="79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9"/>
      <c r="Q276" s="79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9"/>
      <c r="Q277" s="79"/>
      <c r="R277" s="484"/>
      <c r="S277" s="79"/>
      <c r="T277" s="877"/>
      <c r="U277" s="79"/>
    </row>
    <row r="278" spans="1:21" x14ac:dyDescent="0.25">
      <c r="K278" s="216"/>
    </row>
    <row r="279" spans="1:21" x14ac:dyDescent="0.25">
      <c r="K279" s="216"/>
      <c r="P279" s="85"/>
      <c r="Q279" s="85"/>
    </row>
    <row r="280" spans="1:21" x14ac:dyDescent="0.25">
      <c r="K280" s="216"/>
    </row>
    <row r="281" spans="1:21" x14ac:dyDescent="0.25">
      <c r="K281" s="216"/>
    </row>
    <row r="283" spans="1:21" x14ac:dyDescent="0.25">
      <c r="K283" s="216"/>
    </row>
    <row r="285" spans="1:21" x14ac:dyDescent="0.25">
      <c r="K285" s="629"/>
    </row>
    <row r="286" spans="1:21" x14ac:dyDescent="0.25">
      <c r="P286" s="85"/>
      <c r="Q286" s="85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216"/>
      <c r="L291" s="79"/>
      <c r="M291" s="79"/>
      <c r="N291" s="79"/>
      <c r="O291" s="79"/>
      <c r="P291" s="79"/>
      <c r="Q291" s="79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  <row r="292" spans="1:42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216"/>
      <c r="L292" s="79"/>
      <c r="M292" s="79"/>
      <c r="N292" s="79"/>
      <c r="O292" s="79"/>
      <c r="P292" s="79"/>
      <c r="Q292" s="79"/>
      <c r="S292" s="79"/>
      <c r="T292" s="877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</row>
    <row r="293" spans="1:42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216"/>
      <c r="L293" s="79"/>
      <c r="M293" s="79"/>
      <c r="N293" s="79"/>
      <c r="O293" s="79"/>
      <c r="P293" s="771"/>
      <c r="Q293" s="518"/>
      <c r="S293" s="79"/>
      <c r="T293" s="877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</row>
    <row r="294" spans="1:42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216"/>
      <c r="L294" s="79"/>
      <c r="M294" s="79"/>
      <c r="N294" s="79"/>
      <c r="O294" s="79"/>
      <c r="P294" s="79"/>
      <c r="Q294" s="79"/>
      <c r="S294" s="79"/>
      <c r="T294" s="877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</row>
    <row r="295" spans="1:42" x14ac:dyDescent="0.25">
      <c r="K295" s="216"/>
    </row>
    <row r="296" spans="1:42" x14ac:dyDescent="0.25">
      <c r="K296" s="216"/>
    </row>
    <row r="297" spans="1:42" x14ac:dyDescent="0.25">
      <c r="K297" s="216"/>
    </row>
    <row r="298" spans="1:42" x14ac:dyDescent="0.25">
      <c r="K298" s="216"/>
    </row>
    <row r="299" spans="1:42" x14ac:dyDescent="0.25">
      <c r="K299" s="216"/>
    </row>
    <row r="301" spans="1:42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216"/>
      <c r="S301" s="79"/>
      <c r="T301" s="877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216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216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216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216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629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7" spans="1:42" s="484" customFormat="1" x14ac:dyDescent="0.25">
      <c r="A317" s="79"/>
      <c r="B317" s="79"/>
      <c r="C317" s="85"/>
      <c r="D317" s="85"/>
      <c r="E317" s="85"/>
      <c r="F317" s="8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216"/>
      <c r="S317" s="79"/>
      <c r="T317" s="877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</sheetData>
  <autoFilter ref="A2:I187" xr:uid="{00000000-0009-0000-0000-00008D000000}"/>
  <dataConsolidate>
    <dataRefs count="1">
      <dataRef ref="B147:F150" sheet="Outubro-24"/>
    </dataRefs>
  </dataConsolidate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C189:D189"/>
    <mergeCell ref="B190:D190"/>
    <mergeCell ref="L2:M3"/>
    <mergeCell ref="N2:O3"/>
    <mergeCell ref="P2:Q3"/>
    <mergeCell ref="A165:E165"/>
    <mergeCell ref="A166:E166"/>
  </mergeCells>
  <phoneticPr fontId="136" type="noConversion"/>
  <conditionalFormatting sqref="D169:D185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{F9E3342F-3871-4D68-9106-65BCD01F3450}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9E3342F-3871-4D68-9106-65BCD01F345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D169:D185</xm:sqref>
        </x14:conditionalFormatting>
      </x14:conditionalFormattings>
    </ext>
  </extLst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5656-180B-4ABF-8BA4-2EE8A99C3489}">
  <sheetPr codeName="Planilha31"/>
  <dimension ref="A1:AR340"/>
  <sheetViews>
    <sheetView zoomScale="85" zoomScaleNormal="85" workbookViewId="0">
      <pane ySplit="5" topLeftCell="A162" activePane="bottomLeft" state="frozen"/>
      <selection pane="bottomLeft" activeCell="F180" sqref="F18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6943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6330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45597</v>
      </c>
      <c r="B5" s="369" t="s">
        <v>10</v>
      </c>
      <c r="C5" s="370"/>
      <c r="D5" s="370"/>
      <c r="E5" s="777"/>
      <c r="F5" s="179"/>
      <c r="G5" s="933">
        <f>'Outubro-24'!G166</f>
        <v>484.37158333338266</v>
      </c>
      <c r="H5" s="163"/>
      <c r="I5" s="1479">
        <f>'Outubro-24'!I166</f>
        <v>301.20599999999894</v>
      </c>
      <c r="J5" s="179"/>
      <c r="K5" s="933">
        <f>'Outubro-24'!K166</f>
        <v>2085.7800000000061</v>
      </c>
      <c r="L5" s="179"/>
      <c r="M5" s="933">
        <f>'Setembro-24'!O146</f>
        <v>0</v>
      </c>
      <c r="N5" s="179"/>
      <c r="O5" s="1479">
        <f>'Outubro-24'!O166</f>
        <v>3217.9300000000021</v>
      </c>
      <c r="P5" s="179"/>
      <c r="Q5" s="933">
        <f>'Outubro-24'!Q166</f>
        <v>27925.79598472</v>
      </c>
    </row>
    <row r="6" spans="1:42" s="224" customFormat="1" x14ac:dyDescent="0.25">
      <c r="A6" s="247">
        <v>45597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45597</v>
      </c>
      <c r="B7" s="1275" t="s">
        <v>6857</v>
      </c>
      <c r="C7" s="1276" t="s">
        <v>12</v>
      </c>
      <c r="D7" s="1276"/>
      <c r="E7" s="1286" t="s">
        <v>13</v>
      </c>
      <c r="F7" s="613">
        <v>118.8</v>
      </c>
      <c r="G7" s="967"/>
      <c r="H7" s="1008"/>
      <c r="I7" s="1063"/>
      <c r="J7" s="613"/>
      <c r="K7" s="6"/>
      <c r="L7" s="622"/>
      <c r="M7" s="982"/>
      <c r="N7" s="622"/>
      <c r="O7" s="1063"/>
      <c r="P7" s="613"/>
      <c r="Q7" s="64"/>
      <c r="R7" s="10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45597</v>
      </c>
      <c r="B8" s="1275" t="s">
        <v>6755</v>
      </c>
      <c r="C8" s="1276" t="s">
        <v>12</v>
      </c>
      <c r="D8" s="1276"/>
      <c r="E8" s="1286"/>
      <c r="F8" s="613"/>
      <c r="G8" s="967">
        <v>118.8</v>
      </c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45597</v>
      </c>
      <c r="B9" s="882" t="s">
        <v>32</v>
      </c>
      <c r="C9" s="879" t="s">
        <v>12</v>
      </c>
      <c r="D9" s="879" t="s">
        <v>1485</v>
      </c>
      <c r="E9" s="875" t="s">
        <v>13</v>
      </c>
      <c r="F9" s="780">
        <v>22</v>
      </c>
      <c r="G9" s="982"/>
      <c r="H9" s="622"/>
      <c r="I9" s="982"/>
      <c r="J9" s="622"/>
      <c r="K9" s="982"/>
      <c r="L9" s="622"/>
      <c r="M9" s="982"/>
      <c r="N9" s="622"/>
      <c r="O9" s="1063"/>
      <c r="P9" s="622"/>
      <c r="Q9" s="982"/>
      <c r="R9" s="1028"/>
      <c r="S9" s="959"/>
      <c r="T9" s="878"/>
      <c r="U9" s="958"/>
    </row>
    <row r="10" spans="1:42" s="224" customFormat="1" x14ac:dyDescent="0.25">
      <c r="A10" s="247">
        <v>45597</v>
      </c>
      <c r="B10" s="364" t="s">
        <v>7035</v>
      </c>
      <c r="C10" s="350" t="s">
        <v>12</v>
      </c>
      <c r="D10" s="350" t="s">
        <v>1489</v>
      </c>
      <c r="E10" s="875" t="s">
        <v>13</v>
      </c>
      <c r="F10" s="780">
        <v>39</v>
      </c>
      <c r="G10" s="982"/>
      <c r="H10" s="1008"/>
      <c r="I10" s="1063"/>
      <c r="J10" s="2013"/>
      <c r="K10" s="1207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x14ac:dyDescent="0.25">
      <c r="A11" s="247">
        <v>45598</v>
      </c>
      <c r="B11" s="364" t="s">
        <v>2629</v>
      </c>
      <c r="C11" s="350" t="s">
        <v>12</v>
      </c>
      <c r="D11" s="350" t="s">
        <v>1489</v>
      </c>
      <c r="E11" s="875" t="s">
        <v>13</v>
      </c>
      <c r="F11" s="780">
        <v>47.58</v>
      </c>
      <c r="G11" s="982"/>
      <c r="H11" s="1008"/>
      <c r="I11" s="1063"/>
      <c r="J11" s="2013"/>
      <c r="K11" s="1207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47">
        <v>45598</v>
      </c>
      <c r="B12" s="882" t="s">
        <v>7036</v>
      </c>
      <c r="C12" s="879" t="s">
        <v>12</v>
      </c>
      <c r="D12" s="879" t="s">
        <v>1485</v>
      </c>
      <c r="E12" s="875" t="s">
        <v>13</v>
      </c>
      <c r="F12" s="780">
        <v>41.8</v>
      </c>
      <c r="G12" s="982"/>
      <c r="H12" s="95"/>
      <c r="I12" s="1064"/>
      <c r="J12" s="622"/>
      <c r="K12" s="982"/>
      <c r="L12" s="622"/>
      <c r="M12" s="982"/>
      <c r="N12" s="622"/>
      <c r="O12" s="1063"/>
      <c r="P12" s="622"/>
      <c r="Q12" s="982"/>
      <c r="R12" s="861"/>
    </row>
    <row r="13" spans="1:42" s="224" customFormat="1" x14ac:dyDescent="0.25">
      <c r="A13" s="247">
        <v>45598</v>
      </c>
      <c r="B13" s="364" t="s">
        <v>82</v>
      </c>
      <c r="C13" s="350" t="s">
        <v>12</v>
      </c>
      <c r="D13" s="350" t="s">
        <v>1493</v>
      </c>
      <c r="E13" s="875" t="s">
        <v>13</v>
      </c>
      <c r="F13" s="780">
        <v>50</v>
      </c>
      <c r="G13" s="982"/>
      <c r="H13" s="1008"/>
      <c r="I13" s="1063"/>
      <c r="J13" s="2013"/>
      <c r="K13" s="1207"/>
      <c r="L13" s="622"/>
      <c r="M13" s="982"/>
      <c r="N13" s="622"/>
      <c r="O13" s="1063"/>
      <c r="P13" s="622"/>
      <c r="Q13" s="982"/>
      <c r="R13" s="861"/>
      <c r="T13" s="878"/>
    </row>
    <row r="14" spans="1:42" s="224" customFormat="1" ht="15" customHeight="1" x14ac:dyDescent="0.25">
      <c r="A14" s="247">
        <v>45599</v>
      </c>
      <c r="B14" s="882" t="s">
        <v>14</v>
      </c>
      <c r="C14" s="879" t="s">
        <v>12</v>
      </c>
      <c r="D14" s="879" t="s">
        <v>1486</v>
      </c>
      <c r="E14" s="871" t="s">
        <v>13</v>
      </c>
      <c r="F14" s="780">
        <v>8.31</v>
      </c>
      <c r="G14" s="982"/>
      <c r="H14" s="622"/>
      <c r="I14" s="982"/>
      <c r="J14" s="622"/>
      <c r="K14" s="982"/>
      <c r="L14" s="622"/>
      <c r="M14" s="982"/>
      <c r="N14" s="622"/>
      <c r="O14" s="1063"/>
      <c r="P14" s="622"/>
      <c r="Q14" s="982"/>
      <c r="R14" s="1028"/>
      <c r="S14" s="959"/>
      <c r="T14" s="878"/>
      <c r="U14" s="958"/>
    </row>
    <row r="15" spans="1:42" s="224" customFormat="1" ht="15" customHeight="1" x14ac:dyDescent="0.25">
      <c r="A15" s="247">
        <v>45599</v>
      </c>
      <c r="B15" s="882" t="s">
        <v>14</v>
      </c>
      <c r="C15" s="879" t="s">
        <v>12</v>
      </c>
      <c r="D15" s="879" t="s">
        <v>1486</v>
      </c>
      <c r="E15" s="871" t="s">
        <v>13</v>
      </c>
      <c r="F15" s="780">
        <v>15.59</v>
      </c>
      <c r="G15" s="982"/>
      <c r="H15" s="95"/>
      <c r="I15" s="1064"/>
      <c r="J15" s="622"/>
      <c r="K15" s="982"/>
      <c r="L15" s="622"/>
      <c r="M15" s="982"/>
      <c r="N15" s="622"/>
      <c r="O15" s="1063"/>
      <c r="P15" s="622"/>
      <c r="Q15" s="982"/>
      <c r="R15" s="861"/>
    </row>
    <row r="16" spans="1:42" s="224" customFormat="1" ht="15" customHeight="1" x14ac:dyDescent="0.25">
      <c r="A16" s="247">
        <v>45600</v>
      </c>
      <c r="B16" s="882" t="s">
        <v>32</v>
      </c>
      <c r="C16" s="879" t="s">
        <v>12</v>
      </c>
      <c r="D16" s="879" t="s">
        <v>1485</v>
      </c>
      <c r="E16" s="875" t="s">
        <v>13</v>
      </c>
      <c r="F16" s="780">
        <v>22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982"/>
      <c r="R16" s="1028"/>
      <c r="S16" s="959"/>
      <c r="T16" s="878"/>
      <c r="U16" s="958"/>
    </row>
    <row r="17" spans="1:42" s="224" customFormat="1" ht="15" customHeight="1" x14ac:dyDescent="0.25">
      <c r="A17" s="247">
        <v>45600</v>
      </c>
      <c r="B17" s="364" t="s">
        <v>7037</v>
      </c>
      <c r="C17" s="350" t="s">
        <v>12</v>
      </c>
      <c r="D17" s="350" t="s">
        <v>6731</v>
      </c>
      <c r="E17" s="875" t="s">
        <v>13</v>
      </c>
      <c r="F17" s="780">
        <v>40</v>
      </c>
      <c r="G17" s="982"/>
      <c r="H17" s="1008"/>
      <c r="I17" s="1063"/>
      <c r="J17" s="1116"/>
      <c r="K17" s="1207"/>
      <c r="L17" s="622"/>
      <c r="M17" s="982"/>
      <c r="N17" s="622"/>
      <c r="O17" s="1063"/>
      <c r="P17" s="622"/>
      <c r="Q17" s="982"/>
      <c r="R17" s="861"/>
      <c r="T17" s="1035"/>
    </row>
    <row r="18" spans="1:42" s="224" customFormat="1" ht="15" customHeight="1" x14ac:dyDescent="0.25">
      <c r="A18" s="247">
        <v>45600</v>
      </c>
      <c r="B18" s="364" t="s">
        <v>7038</v>
      </c>
      <c r="C18" s="350" t="s">
        <v>12</v>
      </c>
      <c r="D18" s="350" t="s">
        <v>1489</v>
      </c>
      <c r="E18" s="875" t="s">
        <v>13</v>
      </c>
      <c r="F18" s="780">
        <v>5.0999999999999996</v>
      </c>
      <c r="G18" s="982"/>
      <c r="H18" s="1008"/>
      <c r="I18" s="1063"/>
      <c r="J18" s="1116"/>
      <c r="K18" s="1207"/>
      <c r="L18" s="622"/>
      <c r="M18" s="982"/>
      <c r="N18" s="622"/>
      <c r="O18" s="1063"/>
      <c r="P18" s="622"/>
      <c r="Q18" s="982"/>
      <c r="R18" s="861"/>
      <c r="T18" s="1035"/>
    </row>
    <row r="19" spans="1:42" s="224" customFormat="1" ht="15" customHeight="1" x14ac:dyDescent="0.25">
      <c r="A19" s="247">
        <v>45601</v>
      </c>
      <c r="B19" s="882" t="s">
        <v>6329</v>
      </c>
      <c r="C19" s="879" t="s">
        <v>12</v>
      </c>
      <c r="D19" s="879"/>
      <c r="E19" s="875" t="s">
        <v>25</v>
      </c>
      <c r="F19" s="780"/>
      <c r="G19" s="982">
        <v>100</v>
      </c>
      <c r="H19" s="622"/>
      <c r="I19" s="982"/>
      <c r="J19" s="622"/>
      <c r="K19" s="982"/>
      <c r="L19" s="853"/>
      <c r="M19" s="982"/>
      <c r="N19" s="622"/>
      <c r="O19" s="1063"/>
      <c r="P19" s="622"/>
      <c r="Q19" s="982"/>
      <c r="R19" s="927"/>
      <c r="S19" s="927"/>
      <c r="T19" s="878"/>
    </row>
    <row r="20" spans="1:42" s="224" customFormat="1" ht="15" customHeight="1" x14ac:dyDescent="0.25">
      <c r="A20" s="247">
        <v>45601</v>
      </c>
      <c r="B20" s="882" t="s">
        <v>32</v>
      </c>
      <c r="C20" s="879" t="s">
        <v>12</v>
      </c>
      <c r="D20" s="879" t="s">
        <v>1485</v>
      </c>
      <c r="E20" s="875" t="s">
        <v>13</v>
      </c>
      <c r="F20" s="780">
        <v>22</v>
      </c>
      <c r="G20" s="982"/>
      <c r="H20" s="622"/>
      <c r="I20" s="982"/>
      <c r="J20" s="622"/>
      <c r="K20" s="982"/>
      <c r="L20" s="622"/>
      <c r="M20" s="982"/>
      <c r="N20" s="622"/>
      <c r="O20" s="1063"/>
      <c r="P20" s="622"/>
      <c r="Q20" s="982"/>
      <c r="R20" s="1028"/>
      <c r="S20" s="959"/>
      <c r="T20" s="878"/>
      <c r="U20" s="958"/>
    </row>
    <row r="21" spans="1:42" s="224" customFormat="1" ht="15" customHeight="1" x14ac:dyDescent="0.25">
      <c r="A21" s="247">
        <v>45601</v>
      </c>
      <c r="B21" s="364" t="s">
        <v>7040</v>
      </c>
      <c r="C21" s="350" t="s">
        <v>12</v>
      </c>
      <c r="D21" s="350" t="s">
        <v>1522</v>
      </c>
      <c r="E21" s="875" t="s">
        <v>13</v>
      </c>
      <c r="F21" s="780">
        <v>20</v>
      </c>
      <c r="G21" s="982"/>
      <c r="H21" s="1008"/>
      <c r="I21" s="1063"/>
      <c r="J21" s="1116"/>
      <c r="K21" s="1207"/>
      <c r="L21" s="622"/>
      <c r="M21" s="982"/>
      <c r="N21" s="622"/>
      <c r="O21" s="1063"/>
      <c r="P21" s="622"/>
      <c r="Q21" s="982"/>
      <c r="R21" s="861"/>
      <c r="T21" s="1035"/>
    </row>
    <row r="22" spans="1:42" s="224" customFormat="1" ht="15" customHeight="1" x14ac:dyDescent="0.25">
      <c r="A22" s="247">
        <v>45602</v>
      </c>
      <c r="B22" s="882" t="s">
        <v>253</v>
      </c>
      <c r="C22" s="879" t="s">
        <v>12</v>
      </c>
      <c r="D22" s="879"/>
      <c r="E22" s="875" t="s">
        <v>25</v>
      </c>
      <c r="F22" s="780"/>
      <c r="G22" s="982">
        <v>150</v>
      </c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861"/>
    </row>
    <row r="23" spans="1:42" s="224" customFormat="1" ht="15" customHeight="1" x14ac:dyDescent="0.25">
      <c r="A23" s="247">
        <v>45602</v>
      </c>
      <c r="B23" s="882" t="s">
        <v>32</v>
      </c>
      <c r="C23" s="879" t="s">
        <v>12</v>
      </c>
      <c r="D23" s="879" t="s">
        <v>1485</v>
      </c>
      <c r="E23" s="875" t="s">
        <v>13</v>
      </c>
      <c r="F23" s="780">
        <v>22</v>
      </c>
      <c r="G23" s="982"/>
      <c r="H23" s="622"/>
      <c r="I23" s="982"/>
      <c r="J23" s="622"/>
      <c r="K23" s="982"/>
      <c r="L23" s="622"/>
      <c r="M23" s="982"/>
      <c r="N23" s="622"/>
      <c r="O23" s="1063"/>
      <c r="P23" s="622"/>
      <c r="Q23" s="982"/>
      <c r="R23" s="1028"/>
      <c r="S23" s="959"/>
      <c r="T23" s="878"/>
      <c r="U23" s="958"/>
    </row>
    <row r="24" spans="1:42" s="224" customFormat="1" ht="15.75" customHeight="1" x14ac:dyDescent="0.25">
      <c r="A24" s="247">
        <v>45603</v>
      </c>
      <c r="B24" s="873" t="s">
        <v>6979</v>
      </c>
      <c r="C24" s="879" t="s">
        <v>12</v>
      </c>
      <c r="D24" s="874"/>
      <c r="E24" s="887" t="s">
        <v>25</v>
      </c>
      <c r="F24" s="1524"/>
      <c r="G24" s="1002">
        <v>2523.2600000000002</v>
      </c>
      <c r="H24" s="538"/>
      <c r="I24" s="982"/>
      <c r="J24" s="2013"/>
      <c r="K24" s="1207"/>
      <c r="L24" s="622"/>
      <c r="M24" s="982"/>
      <c r="N24" s="622"/>
      <c r="O24" s="1063"/>
      <c r="P24" s="622"/>
      <c r="Q24" s="982"/>
      <c r="R24" s="178"/>
    </row>
    <row r="25" spans="1:42" s="224" customFormat="1" ht="15" customHeight="1" x14ac:dyDescent="0.25">
      <c r="A25" s="247">
        <v>45603</v>
      </c>
      <c r="B25" s="364" t="s">
        <v>1396</v>
      </c>
      <c r="C25" s="879" t="s">
        <v>12</v>
      </c>
      <c r="D25" s="350"/>
      <c r="E25" s="919" t="s">
        <v>25</v>
      </c>
      <c r="F25" s="1116"/>
      <c r="G25" s="966">
        <v>150</v>
      </c>
      <c r="H25" s="1031"/>
      <c r="I25" s="1525"/>
      <c r="J25" s="2013"/>
      <c r="K25" s="1207"/>
      <c r="L25" s="880"/>
      <c r="M25" s="1033"/>
      <c r="N25" s="622"/>
      <c r="O25" s="1063"/>
      <c r="P25" s="1116"/>
      <c r="Q25" s="1207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45603</v>
      </c>
      <c r="B26" s="364" t="s">
        <v>2977</v>
      </c>
      <c r="C26" s="879" t="s">
        <v>12</v>
      </c>
      <c r="D26" s="350" t="s">
        <v>1491</v>
      </c>
      <c r="E26" s="875" t="s">
        <v>13</v>
      </c>
      <c r="F26" s="780">
        <v>400</v>
      </c>
      <c r="G26" s="982"/>
      <c r="H26" s="1008"/>
      <c r="I26" s="1063"/>
      <c r="J26" s="2013"/>
      <c r="K26" s="1207"/>
      <c r="L26" s="622"/>
      <c r="M26" s="982"/>
      <c r="N26" s="622"/>
      <c r="O26" s="1063"/>
      <c r="P26" s="622"/>
      <c r="Q26" s="982"/>
      <c r="R26" s="1028"/>
      <c r="T26" s="1035"/>
    </row>
    <row r="27" spans="1:42" x14ac:dyDescent="0.25">
      <c r="A27" s="247">
        <v>45603</v>
      </c>
      <c r="B27" s="876" t="s">
        <v>6393</v>
      </c>
      <c r="C27" s="879" t="s">
        <v>12</v>
      </c>
      <c r="D27" s="879" t="s">
        <v>1491</v>
      </c>
      <c r="E27" s="871" t="s">
        <v>13</v>
      </c>
      <c r="F27" s="780">
        <v>80</v>
      </c>
      <c r="G27" s="982"/>
      <c r="H27" s="1009"/>
      <c r="I27" s="1063"/>
      <c r="J27" s="613"/>
      <c r="K27" s="6"/>
      <c r="L27" s="622"/>
      <c r="M27" s="982"/>
      <c r="N27" s="622"/>
      <c r="O27" s="1063"/>
      <c r="P27" s="622"/>
      <c r="Q27" s="982"/>
      <c r="R27" s="1029"/>
    </row>
    <row r="28" spans="1:42" s="224" customFormat="1" ht="15" customHeight="1" x14ac:dyDescent="0.25">
      <c r="A28" s="247">
        <v>45603</v>
      </c>
      <c r="B28" s="862" t="s">
        <v>6416</v>
      </c>
      <c r="C28" s="879" t="s">
        <v>12</v>
      </c>
      <c r="D28" s="879" t="s">
        <v>1504</v>
      </c>
      <c r="E28" s="871" t="s">
        <v>13</v>
      </c>
      <c r="F28" s="780">
        <v>40</v>
      </c>
      <c r="G28" s="982"/>
      <c r="H28" s="1008"/>
      <c r="I28" s="1063"/>
      <c r="J28" s="622"/>
      <c r="K28" s="982"/>
      <c r="L28" s="622"/>
      <c r="M28" s="982"/>
      <c r="N28" s="622"/>
      <c r="O28" s="1063"/>
      <c r="P28" s="622"/>
      <c r="Q28" s="982"/>
      <c r="R28" s="1808">
        <v>60</v>
      </c>
      <c r="S28" s="1028"/>
      <c r="T28" s="1035"/>
    </row>
    <row r="29" spans="1:42" s="224" customFormat="1" ht="15" customHeight="1" x14ac:dyDescent="0.25">
      <c r="A29" s="247">
        <v>45603</v>
      </c>
      <c r="B29" s="882" t="s">
        <v>6980</v>
      </c>
      <c r="C29" s="879" t="s">
        <v>12</v>
      </c>
      <c r="D29" s="879" t="s">
        <v>1499</v>
      </c>
      <c r="E29" s="871" t="s">
        <v>13</v>
      </c>
      <c r="F29" s="780">
        <v>95</v>
      </c>
      <c r="G29" s="982"/>
      <c r="H29" s="1008"/>
      <c r="I29" s="1063"/>
      <c r="J29" s="880"/>
      <c r="K29" s="1033"/>
      <c r="L29" s="622"/>
      <c r="M29" s="982"/>
      <c r="N29" s="622"/>
      <c r="O29" s="1063"/>
      <c r="P29" s="622"/>
      <c r="Q29" s="982"/>
      <c r="R29" s="1028">
        <v>210</v>
      </c>
      <c r="S29" s="999"/>
      <c r="T29" s="878"/>
    </row>
    <row r="30" spans="1:42" x14ac:dyDescent="0.25">
      <c r="A30" s="247">
        <v>45603</v>
      </c>
      <c r="B30" s="876" t="s">
        <v>6762</v>
      </c>
      <c r="C30" s="879"/>
      <c r="D30" s="879" t="s">
        <v>1496</v>
      </c>
      <c r="E30" s="871" t="s">
        <v>13</v>
      </c>
      <c r="F30" s="780">
        <v>100</v>
      </c>
      <c r="G30" s="982"/>
      <c r="H30" s="1009"/>
      <c r="I30" s="1063"/>
      <c r="J30" s="613"/>
      <c r="K30" s="6"/>
      <c r="L30" s="622"/>
      <c r="M30" s="982"/>
      <c r="N30" s="622"/>
      <c r="O30" s="1063"/>
      <c r="P30" s="622"/>
      <c r="Q30" s="982"/>
      <c r="R30" s="1029"/>
    </row>
    <row r="31" spans="1:42" s="224" customFormat="1" ht="15" customHeight="1" x14ac:dyDescent="0.25">
      <c r="A31" s="247">
        <v>45603</v>
      </c>
      <c r="B31" s="1289" t="s">
        <v>2096</v>
      </c>
      <c r="C31" s="879" t="s">
        <v>12</v>
      </c>
      <c r="D31" s="1276" t="s">
        <v>1506</v>
      </c>
      <c r="E31" s="875" t="s">
        <v>13</v>
      </c>
      <c r="F31" s="1873">
        <v>50</v>
      </c>
      <c r="G31" s="967"/>
      <c r="H31" s="1008"/>
      <c r="I31" s="1063"/>
      <c r="J31" s="613"/>
      <c r="K31" s="6"/>
      <c r="L31" s="622"/>
      <c r="M31" s="982"/>
      <c r="N31" s="622"/>
      <c r="O31" s="1063"/>
      <c r="P31" s="613"/>
      <c r="Q31" s="64"/>
      <c r="R31" s="1209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528">
        <v>45603</v>
      </c>
      <c r="B32" s="882" t="s">
        <v>6130</v>
      </c>
      <c r="C32" s="879" t="s">
        <v>12</v>
      </c>
      <c r="D32" s="879" t="s">
        <v>1491</v>
      </c>
      <c r="E32" s="875" t="s">
        <v>13</v>
      </c>
      <c r="F32" s="780">
        <v>31.9</v>
      </c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1028" t="s">
        <v>6640</v>
      </c>
    </row>
    <row r="33" spans="1:42" s="224" customFormat="1" ht="15" customHeight="1" x14ac:dyDescent="0.25">
      <c r="A33" s="2528">
        <v>45603</v>
      </c>
      <c r="B33" s="882" t="s">
        <v>6804</v>
      </c>
      <c r="C33" s="879" t="s">
        <v>12</v>
      </c>
      <c r="D33" s="879" t="s">
        <v>1504</v>
      </c>
      <c r="E33" s="875" t="s">
        <v>13</v>
      </c>
      <c r="F33" s="780">
        <v>40.79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1028" t="s">
        <v>6640</v>
      </c>
    </row>
    <row r="34" spans="1:42" s="224" customFormat="1" ht="15" customHeight="1" x14ac:dyDescent="0.25">
      <c r="A34" s="2528">
        <v>45603</v>
      </c>
      <c r="B34" s="882" t="s">
        <v>6805</v>
      </c>
      <c r="C34" s="879" t="s">
        <v>12</v>
      </c>
      <c r="D34" s="879" t="s">
        <v>1504</v>
      </c>
      <c r="E34" s="875" t="s">
        <v>13</v>
      </c>
      <c r="F34" s="780">
        <v>45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028" t="s">
        <v>6640</v>
      </c>
    </row>
    <row r="35" spans="1:42" s="224" customFormat="1" ht="15" customHeight="1" x14ac:dyDescent="0.25">
      <c r="A35" s="2528">
        <v>45603</v>
      </c>
      <c r="B35" s="882" t="s">
        <v>6910</v>
      </c>
      <c r="C35" s="879" t="s">
        <v>12</v>
      </c>
      <c r="D35" s="879" t="s">
        <v>1504</v>
      </c>
      <c r="E35" s="875" t="s">
        <v>13</v>
      </c>
      <c r="F35" s="780">
        <v>29.806666666666668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1028" t="s">
        <v>6640</v>
      </c>
    </row>
    <row r="36" spans="1:42" s="224" customFormat="1" ht="15" customHeight="1" x14ac:dyDescent="0.25">
      <c r="A36" s="2528">
        <v>45603</v>
      </c>
      <c r="B36" s="882" t="s">
        <v>6966</v>
      </c>
      <c r="C36" s="879" t="s">
        <v>12</v>
      </c>
      <c r="D36" s="879" t="s">
        <v>1525</v>
      </c>
      <c r="E36" s="875" t="s">
        <v>13</v>
      </c>
      <c r="F36" s="780">
        <v>157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1028" t="s">
        <v>6640</v>
      </c>
    </row>
    <row r="37" spans="1:42" s="224" customFormat="1" ht="15" customHeight="1" x14ac:dyDescent="0.25">
      <c r="A37" s="2528">
        <v>45603</v>
      </c>
      <c r="B37" s="882" t="s">
        <v>7002</v>
      </c>
      <c r="C37" s="879" t="s">
        <v>12</v>
      </c>
      <c r="D37" s="879" t="s">
        <v>1491</v>
      </c>
      <c r="E37" s="875" t="s">
        <v>13</v>
      </c>
      <c r="F37" s="780">
        <v>92.04</v>
      </c>
      <c r="G37" s="982"/>
      <c r="H37" s="1008"/>
      <c r="I37" s="1063"/>
      <c r="J37" s="622"/>
      <c r="K37" s="982"/>
      <c r="L37" s="622"/>
      <c r="M37" s="982"/>
      <c r="N37" s="622"/>
      <c r="O37" s="1063"/>
      <c r="P37" s="622"/>
      <c r="Q37" s="982"/>
      <c r="R37" s="1028" t="s">
        <v>6640</v>
      </c>
    </row>
    <row r="38" spans="1:42" s="224" customFormat="1" ht="15" customHeight="1" x14ac:dyDescent="0.25">
      <c r="A38" s="2528">
        <v>45603</v>
      </c>
      <c r="B38" s="882" t="s">
        <v>7021</v>
      </c>
      <c r="C38" s="879" t="s">
        <v>12</v>
      </c>
      <c r="D38" s="879" t="s">
        <v>1506</v>
      </c>
      <c r="E38" s="875" t="s">
        <v>13</v>
      </c>
      <c r="F38" s="780">
        <v>89</v>
      </c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982"/>
      <c r="R38" s="1028" t="s">
        <v>6640</v>
      </c>
    </row>
    <row r="39" spans="1:42" s="224" customFormat="1" ht="15" customHeight="1" x14ac:dyDescent="0.25">
      <c r="A39" s="2528">
        <v>45603</v>
      </c>
      <c r="B39" s="882" t="s">
        <v>7022</v>
      </c>
      <c r="C39" s="879" t="s">
        <v>12</v>
      </c>
      <c r="D39" s="879" t="s">
        <v>6731</v>
      </c>
      <c r="E39" s="875" t="s">
        <v>13</v>
      </c>
      <c r="F39" s="780">
        <v>33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1028" t="s">
        <v>6640</v>
      </c>
    </row>
    <row r="40" spans="1:42" s="224" customFormat="1" ht="15" customHeight="1" x14ac:dyDescent="0.25">
      <c r="A40" s="2528">
        <v>45603</v>
      </c>
      <c r="B40" s="882" t="s">
        <v>7023</v>
      </c>
      <c r="C40" s="879" t="s">
        <v>12</v>
      </c>
      <c r="D40" s="879" t="s">
        <v>1525</v>
      </c>
      <c r="E40" s="875" t="s">
        <v>13</v>
      </c>
      <c r="F40" s="780">
        <v>31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1028" t="s">
        <v>6640</v>
      </c>
    </row>
    <row r="41" spans="1:42" s="224" customFormat="1" ht="15" customHeight="1" x14ac:dyDescent="0.25">
      <c r="A41" s="2528">
        <v>45603</v>
      </c>
      <c r="B41" s="882" t="s">
        <v>7024</v>
      </c>
      <c r="C41" s="879" t="s">
        <v>12</v>
      </c>
      <c r="D41" s="879" t="s">
        <v>1525</v>
      </c>
      <c r="E41" s="875" t="s">
        <v>13</v>
      </c>
      <c r="F41" s="780">
        <v>42</v>
      </c>
      <c r="G41" s="982"/>
      <c r="H41" s="95"/>
      <c r="I41" s="1064"/>
      <c r="J41" s="622"/>
      <c r="K41" s="982"/>
      <c r="L41" s="622"/>
      <c r="M41" s="982"/>
      <c r="N41" s="622"/>
      <c r="O41" s="1063"/>
      <c r="P41" s="622"/>
      <c r="Q41" s="982"/>
      <c r="R41" s="1028" t="s">
        <v>6640</v>
      </c>
    </row>
    <row r="42" spans="1:42" s="224" customFormat="1" ht="15" customHeight="1" x14ac:dyDescent="0.25">
      <c r="A42" s="247">
        <v>45603</v>
      </c>
      <c r="B42" s="882" t="s">
        <v>6214</v>
      </c>
      <c r="C42" s="879" t="s">
        <v>12</v>
      </c>
      <c r="D42" s="879"/>
      <c r="E42" s="875" t="s">
        <v>13</v>
      </c>
      <c r="F42" s="780"/>
      <c r="G42" s="982"/>
      <c r="H42" s="95"/>
      <c r="I42" s="1064"/>
      <c r="J42" s="622"/>
      <c r="K42" s="982">
        <v>700</v>
      </c>
      <c r="L42" s="622"/>
      <c r="M42" s="982"/>
      <c r="N42" s="622"/>
      <c r="O42" s="1063"/>
      <c r="P42" s="622"/>
      <c r="Q42" s="982"/>
      <c r="R42" s="861"/>
    </row>
    <row r="43" spans="1:42" s="224" customFormat="1" x14ac:dyDescent="0.25">
      <c r="A43" s="247">
        <v>45603</v>
      </c>
      <c r="B43" s="882" t="s">
        <v>32</v>
      </c>
      <c r="C43" s="879" t="s">
        <v>12</v>
      </c>
      <c r="D43" s="879" t="s">
        <v>1485</v>
      </c>
      <c r="E43" s="875" t="s">
        <v>13</v>
      </c>
      <c r="F43" s="780">
        <v>22</v>
      </c>
      <c r="G43" s="982"/>
      <c r="H43" s="1008"/>
      <c r="I43" s="1063"/>
      <c r="J43" s="2013"/>
      <c r="K43" s="1207"/>
      <c r="L43" s="622"/>
      <c r="M43" s="982"/>
      <c r="N43" s="622"/>
      <c r="O43" s="1063"/>
      <c r="P43" s="622"/>
      <c r="Q43" s="982"/>
      <c r="R43" s="1028"/>
      <c r="T43" s="878"/>
    </row>
    <row r="44" spans="1:42" s="224" customFormat="1" x14ac:dyDescent="0.25">
      <c r="A44" s="247">
        <v>45603</v>
      </c>
      <c r="B44" s="882" t="s">
        <v>81</v>
      </c>
      <c r="C44" s="879" t="s">
        <v>12</v>
      </c>
      <c r="D44" s="879" t="s">
        <v>1493</v>
      </c>
      <c r="E44" s="871" t="s">
        <v>13</v>
      </c>
      <c r="F44" s="1279">
        <v>3</v>
      </c>
      <c r="G44" s="982"/>
      <c r="H44" s="1008"/>
      <c r="I44" s="1063"/>
      <c r="J44" s="2013"/>
      <c r="K44" s="1207"/>
      <c r="L44" s="622"/>
      <c r="M44" s="982"/>
      <c r="N44" s="622"/>
      <c r="O44" s="1063"/>
      <c r="P44" s="622"/>
      <c r="Q44" s="982"/>
      <c r="R44" s="1028"/>
      <c r="T44" s="878"/>
    </row>
    <row r="45" spans="1:42" s="224" customFormat="1" x14ac:dyDescent="0.25">
      <c r="A45" s="247">
        <v>45603</v>
      </c>
      <c r="B45" s="1275" t="s">
        <v>3130</v>
      </c>
      <c r="C45" s="879" t="s">
        <v>12</v>
      </c>
      <c r="D45" s="1276" t="s">
        <v>1506</v>
      </c>
      <c r="E45" s="1277" t="s">
        <v>13</v>
      </c>
      <c r="F45" s="1279">
        <v>26</v>
      </c>
      <c r="G45" s="982"/>
      <c r="H45" s="1008"/>
      <c r="I45" s="1063"/>
      <c r="J45" s="2013"/>
      <c r="K45" s="1207"/>
      <c r="L45" s="622"/>
      <c r="M45" s="982"/>
      <c r="N45" s="622"/>
      <c r="O45" s="1063"/>
      <c r="P45" s="622"/>
      <c r="Q45" s="982"/>
      <c r="R45" s="1028"/>
      <c r="T45" s="878"/>
    </row>
    <row r="46" spans="1:42" s="224" customFormat="1" x14ac:dyDescent="0.25">
      <c r="A46" s="247">
        <v>45603</v>
      </c>
      <c r="B46" s="1275" t="s">
        <v>461</v>
      </c>
      <c r="C46" s="879" t="s">
        <v>12</v>
      </c>
      <c r="D46" s="1276" t="s">
        <v>1506</v>
      </c>
      <c r="E46" s="1277" t="s">
        <v>13</v>
      </c>
      <c r="F46" s="1279">
        <v>18</v>
      </c>
      <c r="G46" s="982"/>
      <c r="H46" s="1008"/>
      <c r="I46" s="1063"/>
      <c r="J46" s="2013"/>
      <c r="K46" s="1207"/>
      <c r="L46" s="622"/>
      <c r="M46" s="982"/>
      <c r="N46" s="622"/>
      <c r="O46" s="1063"/>
      <c r="P46" s="622"/>
      <c r="Q46" s="982"/>
      <c r="R46" s="1028"/>
      <c r="T46" s="878"/>
    </row>
    <row r="47" spans="1:42" s="224" customFormat="1" ht="15" customHeight="1" x14ac:dyDescent="0.25">
      <c r="A47" s="247">
        <v>45572</v>
      </c>
      <c r="B47" s="882" t="s">
        <v>6914</v>
      </c>
      <c r="C47" s="879" t="s">
        <v>12</v>
      </c>
      <c r="D47" s="879"/>
      <c r="E47" s="875" t="s">
        <v>13</v>
      </c>
      <c r="F47" s="780">
        <v>476.07</v>
      </c>
      <c r="G47" s="982"/>
      <c r="H47" s="622"/>
      <c r="I47" s="982"/>
      <c r="J47" s="622"/>
      <c r="K47" s="982"/>
      <c r="L47" s="622"/>
      <c r="M47" s="982"/>
      <c r="N47" s="880"/>
      <c r="O47" s="1525">
        <v>476.07</v>
      </c>
      <c r="P47" s="613"/>
      <c r="Q47" s="162"/>
      <c r="R47" s="1956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x14ac:dyDescent="0.25">
      <c r="A48" s="247">
        <v>45572</v>
      </c>
      <c r="B48" s="882" t="s">
        <v>14</v>
      </c>
      <c r="C48" s="879" t="s">
        <v>12</v>
      </c>
      <c r="D48" s="879" t="s">
        <v>1486</v>
      </c>
      <c r="E48" s="480" t="s">
        <v>5470</v>
      </c>
      <c r="F48" s="1279">
        <v>11.88</v>
      </c>
      <c r="G48" s="982"/>
      <c r="H48" s="1008"/>
      <c r="I48" s="1063"/>
      <c r="J48" s="2013"/>
      <c r="K48" s="1207"/>
      <c r="L48" s="622"/>
      <c r="M48" s="982"/>
      <c r="N48" s="622"/>
      <c r="O48" s="1063"/>
      <c r="P48" s="622"/>
      <c r="Q48" s="982"/>
      <c r="R48" s="1028"/>
      <c r="T48" s="878"/>
    </row>
    <row r="49" spans="1:42" s="224" customFormat="1" ht="15" customHeight="1" x14ac:dyDescent="0.25">
      <c r="A49" s="247">
        <v>45572</v>
      </c>
      <c r="B49" s="1275" t="s">
        <v>6857</v>
      </c>
      <c r="C49" s="1276" t="s">
        <v>12</v>
      </c>
      <c r="D49" s="1276"/>
      <c r="E49" s="1286" t="s">
        <v>13</v>
      </c>
      <c r="F49" s="613">
        <v>118.8</v>
      </c>
      <c r="G49" s="967"/>
      <c r="H49" s="1008"/>
      <c r="I49" s="1063"/>
      <c r="J49" s="613"/>
      <c r="K49" s="6"/>
      <c r="L49" s="622"/>
      <c r="M49" s="982"/>
      <c r="N49" s="622"/>
      <c r="O49" s="1063"/>
      <c r="P49" s="613"/>
      <c r="Q49" s="64"/>
      <c r="R49" s="1024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45572</v>
      </c>
      <c r="B50" s="1275" t="s">
        <v>6755</v>
      </c>
      <c r="C50" s="1276" t="s">
        <v>12</v>
      </c>
      <c r="D50" s="1276"/>
      <c r="E50" s="1286"/>
      <c r="F50" s="613"/>
      <c r="G50" s="967">
        <v>118.8</v>
      </c>
      <c r="H50" s="1008"/>
      <c r="I50" s="1063"/>
      <c r="J50" s="613"/>
      <c r="K50" s="6"/>
      <c r="L50" s="622"/>
      <c r="M50" s="982"/>
      <c r="N50" s="622"/>
      <c r="O50" s="1063"/>
      <c r="P50" s="613"/>
      <c r="Q50" s="64"/>
      <c r="R50" s="1024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47">
        <v>45604</v>
      </c>
      <c r="B51" s="882" t="s">
        <v>7052</v>
      </c>
      <c r="C51" s="879" t="s">
        <v>12</v>
      </c>
      <c r="D51" s="879"/>
      <c r="E51" s="875" t="s">
        <v>13</v>
      </c>
      <c r="F51" s="780"/>
      <c r="G51" s="982">
        <v>96.56</v>
      </c>
      <c r="H51" s="95"/>
      <c r="I51" s="1064"/>
      <c r="J51" s="622">
        <v>96.56</v>
      </c>
      <c r="K51" s="982"/>
      <c r="L51" s="622"/>
      <c r="M51" s="982"/>
      <c r="N51" s="622"/>
      <c r="O51" s="1063"/>
      <c r="P51" s="622"/>
      <c r="Q51" s="982"/>
      <c r="R51" s="861"/>
    </row>
    <row r="52" spans="1:42" s="224" customFormat="1" x14ac:dyDescent="0.25">
      <c r="A52" s="247">
        <v>45604</v>
      </c>
      <c r="B52" s="1275" t="s">
        <v>6875</v>
      </c>
      <c r="C52" s="879" t="s">
        <v>12</v>
      </c>
      <c r="D52" s="1276" t="s">
        <v>1524</v>
      </c>
      <c r="E52" s="1277" t="s">
        <v>13</v>
      </c>
      <c r="F52" s="1279">
        <v>37.31</v>
      </c>
      <c r="G52" s="982"/>
      <c r="H52" s="1008"/>
      <c r="I52" s="1063"/>
      <c r="J52" s="2013"/>
      <c r="K52" s="1207"/>
      <c r="L52" s="622"/>
      <c r="M52" s="982"/>
      <c r="N52" s="622"/>
      <c r="O52" s="1063"/>
      <c r="P52" s="622"/>
      <c r="Q52" s="982"/>
      <c r="R52" s="1028"/>
      <c r="T52" s="878"/>
    </row>
    <row r="53" spans="1:42" s="224" customFormat="1" x14ac:dyDescent="0.25">
      <c r="A53" s="247">
        <v>45604</v>
      </c>
      <c r="B53" s="1275" t="s">
        <v>7050</v>
      </c>
      <c r="C53" s="879" t="s">
        <v>12</v>
      </c>
      <c r="D53" s="1276" t="s">
        <v>1524</v>
      </c>
      <c r="E53" s="1277" t="s">
        <v>13</v>
      </c>
      <c r="F53" s="1279">
        <v>59.25</v>
      </c>
      <c r="G53" s="982"/>
      <c r="H53" s="1008"/>
      <c r="I53" s="1063"/>
      <c r="J53" s="2013"/>
      <c r="K53" s="1207"/>
      <c r="L53" s="622"/>
      <c r="M53" s="982"/>
      <c r="N53" s="622"/>
      <c r="O53" s="1063"/>
      <c r="P53" s="622"/>
      <c r="Q53" s="982"/>
      <c r="R53" s="1028"/>
      <c r="T53" s="878"/>
    </row>
    <row r="54" spans="1:42" s="224" customFormat="1" x14ac:dyDescent="0.25">
      <c r="A54" s="247">
        <v>45604</v>
      </c>
      <c r="B54" s="1275" t="s">
        <v>7051</v>
      </c>
      <c r="C54" s="879" t="s">
        <v>12</v>
      </c>
      <c r="D54" s="1276" t="s">
        <v>1491</v>
      </c>
      <c r="E54" s="1277" t="s">
        <v>13</v>
      </c>
      <c r="F54" s="1279">
        <v>38.630000000000003</v>
      </c>
      <c r="G54" s="982"/>
      <c r="H54" s="1008"/>
      <c r="I54" s="1063"/>
      <c r="J54" s="2013"/>
      <c r="K54" s="1207"/>
      <c r="L54" s="622"/>
      <c r="M54" s="982"/>
      <c r="N54" s="622"/>
      <c r="O54" s="1063"/>
      <c r="P54" s="622"/>
      <c r="Q54" s="982"/>
      <c r="R54" s="1028"/>
      <c r="T54" s="878"/>
    </row>
    <row r="55" spans="1:42" s="224" customFormat="1" x14ac:dyDescent="0.25">
      <c r="A55" s="247">
        <v>45604</v>
      </c>
      <c r="B55" s="882" t="s">
        <v>32</v>
      </c>
      <c r="C55" s="879" t="s">
        <v>12</v>
      </c>
      <c r="D55" s="879" t="s">
        <v>1485</v>
      </c>
      <c r="E55" s="875" t="s">
        <v>13</v>
      </c>
      <c r="F55" s="780">
        <v>22</v>
      </c>
      <c r="G55" s="982"/>
      <c r="H55" s="1008"/>
      <c r="I55" s="1063"/>
      <c r="J55" s="2013"/>
      <c r="K55" s="1207"/>
      <c r="L55" s="622"/>
      <c r="M55" s="982"/>
      <c r="N55" s="622"/>
      <c r="O55" s="1063"/>
      <c r="P55" s="622"/>
      <c r="Q55" s="982"/>
      <c r="R55" s="1028"/>
      <c r="T55" s="878"/>
    </row>
    <row r="56" spans="1:42" s="224" customFormat="1" ht="15" customHeight="1" x14ac:dyDescent="0.25">
      <c r="A56" s="247">
        <v>45604</v>
      </c>
      <c r="B56" s="882" t="s">
        <v>7053</v>
      </c>
      <c r="C56" s="879" t="s">
        <v>12</v>
      </c>
      <c r="D56" s="879"/>
      <c r="E56" s="875" t="s">
        <v>13</v>
      </c>
      <c r="F56" s="780"/>
      <c r="G56" s="982">
        <v>50</v>
      </c>
      <c r="H56" s="95"/>
      <c r="I56" s="1064"/>
      <c r="J56" s="622">
        <v>50</v>
      </c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x14ac:dyDescent="0.25">
      <c r="A57" s="247">
        <v>45604</v>
      </c>
      <c r="B57" s="1275" t="s">
        <v>7054</v>
      </c>
      <c r="C57" s="879" t="s">
        <v>12</v>
      </c>
      <c r="D57" s="1276" t="s">
        <v>1524</v>
      </c>
      <c r="E57" s="1277" t="s">
        <v>13</v>
      </c>
      <c r="F57" s="1279">
        <v>50</v>
      </c>
      <c r="G57" s="982"/>
      <c r="H57" s="1008"/>
      <c r="I57" s="1063"/>
      <c r="J57" s="2013"/>
      <c r="K57" s="1207"/>
      <c r="L57" s="622"/>
      <c r="M57" s="982"/>
      <c r="N57" s="622"/>
      <c r="O57" s="1063"/>
      <c r="P57" s="622"/>
      <c r="Q57" s="982"/>
      <c r="R57" s="1028"/>
      <c r="T57" s="878"/>
    </row>
    <row r="58" spans="1:42" s="224" customFormat="1" x14ac:dyDescent="0.25">
      <c r="A58" s="247">
        <v>45604</v>
      </c>
      <c r="B58" s="1275" t="s">
        <v>134</v>
      </c>
      <c r="C58" s="879" t="s">
        <v>12</v>
      </c>
      <c r="D58" s="1276" t="s">
        <v>1493</v>
      </c>
      <c r="E58" s="1277" t="s">
        <v>13</v>
      </c>
      <c r="F58" s="1279">
        <v>17</v>
      </c>
      <c r="G58" s="982"/>
      <c r="H58" s="1008"/>
      <c r="I58" s="1063"/>
      <c r="J58" s="2013"/>
      <c r="K58" s="1207"/>
      <c r="L58" s="622"/>
      <c r="M58" s="982"/>
      <c r="N58" s="622"/>
      <c r="O58" s="1063"/>
      <c r="P58" s="622"/>
      <c r="Q58" s="982"/>
      <c r="R58" s="1028"/>
      <c r="T58" s="878"/>
    </row>
    <row r="59" spans="1:42" s="224" customFormat="1" x14ac:dyDescent="0.25">
      <c r="A59" s="247">
        <v>45605</v>
      </c>
      <c r="B59" s="1275" t="s">
        <v>7055</v>
      </c>
      <c r="C59" s="879" t="s">
        <v>12</v>
      </c>
      <c r="D59" s="1276" t="s">
        <v>1489</v>
      </c>
      <c r="E59" s="1277" t="s">
        <v>13</v>
      </c>
      <c r="F59" s="1279">
        <v>8.4</v>
      </c>
      <c r="G59" s="982"/>
      <c r="H59" s="1008"/>
      <c r="I59" s="1063"/>
      <c r="J59" s="2013"/>
      <c r="K59" s="1207"/>
      <c r="L59" s="622"/>
      <c r="M59" s="982"/>
      <c r="N59" s="622"/>
      <c r="O59" s="1063"/>
      <c r="P59" s="622"/>
      <c r="Q59" s="982"/>
      <c r="R59" s="1028"/>
      <c r="T59" s="878"/>
    </row>
    <row r="60" spans="1:42" s="224" customFormat="1" x14ac:dyDescent="0.25">
      <c r="A60" s="247">
        <v>45605</v>
      </c>
      <c r="B60" s="1275" t="s">
        <v>7055</v>
      </c>
      <c r="C60" s="879" t="s">
        <v>12</v>
      </c>
      <c r="D60" s="1276" t="s">
        <v>1489</v>
      </c>
      <c r="E60" s="1277" t="s">
        <v>13</v>
      </c>
      <c r="F60" s="1279">
        <v>5.0999999999999996</v>
      </c>
      <c r="G60" s="982"/>
      <c r="H60" s="1008"/>
      <c r="I60" s="1063"/>
      <c r="J60" s="2013"/>
      <c r="K60" s="1207"/>
      <c r="L60" s="622"/>
      <c r="M60" s="982"/>
      <c r="N60" s="622"/>
      <c r="O60" s="1063"/>
      <c r="P60" s="622"/>
      <c r="Q60" s="982"/>
      <c r="R60" s="1028"/>
      <c r="T60" s="878"/>
    </row>
    <row r="61" spans="1:42" s="224" customFormat="1" x14ac:dyDescent="0.25">
      <c r="A61" s="247">
        <v>45605</v>
      </c>
      <c r="B61" s="1275" t="s">
        <v>7056</v>
      </c>
      <c r="C61" s="879" t="s">
        <v>12</v>
      </c>
      <c r="D61" s="1276" t="s">
        <v>1489</v>
      </c>
      <c r="E61" s="1277" t="s">
        <v>13</v>
      </c>
      <c r="F61" s="1279">
        <v>80</v>
      </c>
      <c r="G61" s="982"/>
      <c r="H61" s="1008"/>
      <c r="I61" s="1063"/>
      <c r="J61" s="2013"/>
      <c r="K61" s="1207"/>
      <c r="L61" s="622"/>
      <c r="M61" s="982"/>
      <c r="N61" s="622"/>
      <c r="O61" s="1063"/>
      <c r="P61" s="622"/>
      <c r="Q61" s="982"/>
      <c r="R61" s="1028"/>
      <c r="T61" s="878"/>
    </row>
    <row r="62" spans="1:42" s="224" customFormat="1" x14ac:dyDescent="0.25">
      <c r="A62" s="247">
        <v>45605</v>
      </c>
      <c r="B62" s="1275" t="s">
        <v>7064</v>
      </c>
      <c r="C62" s="879" t="s">
        <v>12</v>
      </c>
      <c r="D62" s="1276" t="s">
        <v>1489</v>
      </c>
      <c r="E62" s="1277" t="s">
        <v>13</v>
      </c>
      <c r="F62" s="1279">
        <v>50</v>
      </c>
      <c r="G62" s="982"/>
      <c r="H62" s="1008"/>
      <c r="I62" s="1063"/>
      <c r="J62" s="2013"/>
      <c r="K62" s="1207"/>
      <c r="L62" s="622"/>
      <c r="M62" s="982"/>
      <c r="N62" s="622"/>
      <c r="O62" s="1063"/>
      <c r="P62" s="622"/>
      <c r="Q62" s="982"/>
      <c r="R62" s="1028"/>
      <c r="T62" s="878"/>
    </row>
    <row r="63" spans="1:42" s="224" customFormat="1" x14ac:dyDescent="0.25">
      <c r="A63" s="247">
        <v>45605</v>
      </c>
      <c r="B63" s="1275" t="s">
        <v>7057</v>
      </c>
      <c r="C63" s="879" t="s">
        <v>12</v>
      </c>
      <c r="D63" s="1276" t="s">
        <v>1489</v>
      </c>
      <c r="E63" s="1277" t="s">
        <v>13</v>
      </c>
      <c r="F63" s="1279">
        <v>50</v>
      </c>
      <c r="G63" s="982"/>
      <c r="H63" s="1008"/>
      <c r="I63" s="1063"/>
      <c r="J63" s="2013"/>
      <c r="K63" s="1207"/>
      <c r="L63" s="622"/>
      <c r="M63" s="982"/>
      <c r="N63" s="622"/>
      <c r="O63" s="1063"/>
      <c r="P63" s="622"/>
      <c r="Q63" s="982"/>
      <c r="R63" s="1028"/>
      <c r="T63" s="878"/>
    </row>
    <row r="64" spans="1:42" s="224" customFormat="1" x14ac:dyDescent="0.25">
      <c r="A64" s="247">
        <v>45605</v>
      </c>
      <c r="B64" s="1275" t="s">
        <v>7058</v>
      </c>
      <c r="C64" s="879" t="s">
        <v>12</v>
      </c>
      <c r="D64" s="2529" t="s">
        <v>6731</v>
      </c>
      <c r="E64" s="1277" t="s">
        <v>13</v>
      </c>
      <c r="F64" s="1279">
        <v>5.5</v>
      </c>
      <c r="G64" s="982"/>
      <c r="H64" s="1008"/>
      <c r="I64" s="1063"/>
      <c r="J64" s="2013"/>
      <c r="K64" s="1207"/>
      <c r="L64" s="622"/>
      <c r="M64" s="982"/>
      <c r="N64" s="622"/>
      <c r="O64" s="1063"/>
      <c r="P64" s="622"/>
      <c r="Q64" s="982"/>
      <c r="R64" s="1028"/>
      <c r="T64" s="878"/>
    </row>
    <row r="65" spans="1:42" s="224" customFormat="1" ht="15" customHeight="1" x14ac:dyDescent="0.25">
      <c r="A65" s="247">
        <v>45605</v>
      </c>
      <c r="B65" s="882" t="s">
        <v>2629</v>
      </c>
      <c r="C65" s="879" t="s">
        <v>12</v>
      </c>
      <c r="D65" s="879" t="s">
        <v>1489</v>
      </c>
      <c r="E65" s="875" t="s">
        <v>5470</v>
      </c>
      <c r="F65" s="780">
        <v>42.52</v>
      </c>
      <c r="G65" s="982"/>
      <c r="H65" s="95"/>
      <c r="I65" s="1064"/>
      <c r="J65" s="613"/>
      <c r="K65" s="982"/>
      <c r="L65" s="622"/>
      <c r="M65" s="982"/>
      <c r="N65" s="622"/>
      <c r="O65" s="1063"/>
      <c r="P65" s="622"/>
      <c r="Q65" s="982"/>
      <c r="R65" s="861"/>
    </row>
    <row r="66" spans="1:42" s="224" customFormat="1" x14ac:dyDescent="0.25">
      <c r="A66" s="247">
        <v>45605</v>
      </c>
      <c r="B66" s="1275" t="s">
        <v>7059</v>
      </c>
      <c r="C66" s="879" t="s">
        <v>12</v>
      </c>
      <c r="D66" s="2529" t="s">
        <v>1493</v>
      </c>
      <c r="E66" s="1277" t="s">
        <v>13</v>
      </c>
      <c r="F66" s="1279">
        <v>34.799999999999997</v>
      </c>
      <c r="G66" s="982"/>
      <c r="H66" s="1008"/>
      <c r="I66" s="1063"/>
      <c r="J66" s="2013"/>
      <c r="K66" s="1207"/>
      <c r="L66" s="622"/>
      <c r="M66" s="982"/>
      <c r="N66" s="622"/>
      <c r="O66" s="1063"/>
      <c r="P66" s="622"/>
      <c r="Q66" s="982"/>
      <c r="R66" s="1028"/>
      <c r="T66" s="878"/>
    </row>
    <row r="67" spans="1:42" s="224" customFormat="1" ht="15" customHeight="1" x14ac:dyDescent="0.25">
      <c r="A67" s="247">
        <v>45606</v>
      </c>
      <c r="B67" s="882" t="s">
        <v>14</v>
      </c>
      <c r="C67" s="879" t="s">
        <v>12</v>
      </c>
      <c r="D67" s="879" t="s">
        <v>1486</v>
      </c>
      <c r="E67" s="875" t="s">
        <v>13</v>
      </c>
      <c r="F67" s="780">
        <v>8.56</v>
      </c>
      <c r="G67" s="982"/>
      <c r="H67" s="95"/>
      <c r="I67" s="1064"/>
      <c r="J67" s="613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45606</v>
      </c>
      <c r="B68" s="882" t="s">
        <v>7060</v>
      </c>
      <c r="C68" s="879" t="s">
        <v>12</v>
      </c>
      <c r="D68" s="879" t="s">
        <v>1489</v>
      </c>
      <c r="E68" s="875" t="s">
        <v>13</v>
      </c>
      <c r="F68" s="780">
        <v>13</v>
      </c>
      <c r="G68" s="982"/>
      <c r="H68" s="95"/>
      <c r="I68" s="1064"/>
      <c r="J68" s="613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5" customHeight="1" x14ac:dyDescent="0.25">
      <c r="A69" s="247">
        <v>45606</v>
      </c>
      <c r="B69" s="882" t="s">
        <v>14</v>
      </c>
      <c r="C69" s="879" t="s">
        <v>12</v>
      </c>
      <c r="D69" s="879" t="s">
        <v>1486</v>
      </c>
      <c r="E69" s="875" t="s">
        <v>5470</v>
      </c>
      <c r="F69" s="780">
        <v>15.82</v>
      </c>
      <c r="G69" s="982"/>
      <c r="H69" s="95"/>
      <c r="I69" s="1064"/>
      <c r="J69" s="613"/>
      <c r="K69" s="982"/>
      <c r="L69" s="622"/>
      <c r="M69" s="982"/>
      <c r="N69" s="622"/>
      <c r="O69" s="1063"/>
      <c r="P69" s="622"/>
      <c r="Q69" s="982"/>
      <c r="R69" s="861"/>
    </row>
    <row r="70" spans="1:42" s="224" customFormat="1" x14ac:dyDescent="0.25">
      <c r="A70" s="247">
        <v>45607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22</v>
      </c>
      <c r="G70" s="982"/>
      <c r="H70" s="1008"/>
      <c r="I70" s="1063"/>
      <c r="J70" s="2013"/>
      <c r="K70" s="1207"/>
      <c r="L70" s="622"/>
      <c r="M70" s="982"/>
      <c r="N70" s="622"/>
      <c r="O70" s="1063"/>
      <c r="P70" s="622"/>
      <c r="Q70" s="982"/>
      <c r="R70" s="1028"/>
      <c r="T70" s="878"/>
    </row>
    <row r="71" spans="1:42" s="224" customFormat="1" x14ac:dyDescent="0.25">
      <c r="A71" s="247">
        <v>45607</v>
      </c>
      <c r="B71" s="882" t="s">
        <v>7061</v>
      </c>
      <c r="C71" s="879" t="s">
        <v>12</v>
      </c>
      <c r="D71" s="879" t="s">
        <v>1489</v>
      </c>
      <c r="E71" s="875" t="s">
        <v>13</v>
      </c>
      <c r="F71" s="780">
        <v>25</v>
      </c>
      <c r="G71" s="982"/>
      <c r="H71" s="1008"/>
      <c r="I71" s="1063"/>
      <c r="J71" s="2013"/>
      <c r="K71" s="1207"/>
      <c r="L71" s="622"/>
      <c r="M71" s="982"/>
      <c r="N71" s="622"/>
      <c r="O71" s="1063"/>
      <c r="P71" s="622"/>
      <c r="Q71" s="982"/>
      <c r="R71" s="1028"/>
      <c r="T71" s="878"/>
    </row>
    <row r="72" spans="1:42" s="224" customFormat="1" ht="14.25" customHeight="1" x14ac:dyDescent="0.25">
      <c r="A72" s="247">
        <v>45607</v>
      </c>
      <c r="B72" s="882" t="s">
        <v>7062</v>
      </c>
      <c r="C72" s="879" t="s">
        <v>12</v>
      </c>
      <c r="D72" s="879" t="s">
        <v>6731</v>
      </c>
      <c r="E72" s="875" t="s">
        <v>13</v>
      </c>
      <c r="F72" s="1873">
        <v>20</v>
      </c>
      <c r="G72" s="982"/>
      <c r="H72" s="1031"/>
      <c r="I72" s="1525"/>
      <c r="J72" s="622"/>
      <c r="K72" s="982"/>
      <c r="L72" s="880"/>
      <c r="M72" s="1033"/>
      <c r="N72" s="880"/>
      <c r="O72" s="1525"/>
      <c r="P72" s="613"/>
      <c r="Q72" s="162"/>
      <c r="R72" s="120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45607</v>
      </c>
      <c r="B73" s="882" t="s">
        <v>7063</v>
      </c>
      <c r="C73" s="879" t="s">
        <v>12</v>
      </c>
      <c r="D73" s="879"/>
      <c r="E73" s="875" t="s">
        <v>13</v>
      </c>
      <c r="F73" s="780"/>
      <c r="G73" s="982">
        <v>85.98</v>
      </c>
      <c r="H73" s="95"/>
      <c r="I73" s="1064"/>
      <c r="J73" s="622">
        <v>85.98</v>
      </c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x14ac:dyDescent="0.25">
      <c r="A74" s="247">
        <v>45607</v>
      </c>
      <c r="B74" s="1275" t="s">
        <v>7088</v>
      </c>
      <c r="C74" s="879" t="s">
        <v>12</v>
      </c>
      <c r="D74" s="1276" t="s">
        <v>1524</v>
      </c>
      <c r="E74" s="1277" t="s">
        <v>13</v>
      </c>
      <c r="F74" s="1279">
        <v>85.98</v>
      </c>
      <c r="G74" s="982"/>
      <c r="H74" s="1008"/>
      <c r="I74" s="1063"/>
      <c r="J74" s="2013"/>
      <c r="K74" s="1207"/>
      <c r="L74" s="622"/>
      <c r="M74" s="982"/>
      <c r="N74" s="622"/>
      <c r="O74" s="1063"/>
      <c r="P74" s="622"/>
      <c r="Q74" s="982"/>
      <c r="R74" s="1028"/>
      <c r="T74" s="878"/>
    </row>
    <row r="75" spans="1:42" s="224" customFormat="1" x14ac:dyDescent="0.25">
      <c r="A75" s="247">
        <v>45608</v>
      </c>
      <c r="B75" s="882" t="s">
        <v>32</v>
      </c>
      <c r="C75" s="879" t="s">
        <v>12</v>
      </c>
      <c r="D75" s="879" t="s">
        <v>1485</v>
      </c>
      <c r="E75" s="875" t="s">
        <v>13</v>
      </c>
      <c r="F75" s="780">
        <v>22</v>
      </c>
      <c r="G75" s="982"/>
      <c r="H75" s="1008"/>
      <c r="I75" s="1063"/>
      <c r="J75" s="2013"/>
      <c r="K75" s="1207"/>
      <c r="L75" s="622"/>
      <c r="M75" s="982"/>
      <c r="N75" s="622"/>
      <c r="O75" s="1063"/>
      <c r="P75" s="622"/>
      <c r="Q75" s="982"/>
      <c r="R75" s="1028"/>
      <c r="T75" s="878"/>
    </row>
    <row r="76" spans="1:42" s="224" customFormat="1" x14ac:dyDescent="0.25">
      <c r="A76" s="247">
        <v>45608</v>
      </c>
      <c r="B76" s="882" t="s">
        <v>81</v>
      </c>
      <c r="C76" s="879" t="s">
        <v>12</v>
      </c>
      <c r="D76" s="879" t="s">
        <v>1493</v>
      </c>
      <c r="E76" s="871" t="s">
        <v>13</v>
      </c>
      <c r="F76" s="1279">
        <v>6</v>
      </c>
      <c r="G76" s="982"/>
      <c r="H76" s="1008"/>
      <c r="I76" s="1063"/>
      <c r="J76" s="2013"/>
      <c r="K76" s="1207"/>
      <c r="L76" s="622"/>
      <c r="M76" s="982"/>
      <c r="N76" s="622"/>
      <c r="O76" s="1063"/>
      <c r="P76" s="622"/>
      <c r="Q76" s="982"/>
      <c r="R76" s="1028"/>
      <c r="T76" s="878"/>
    </row>
    <row r="77" spans="1:42" s="224" customFormat="1" x14ac:dyDescent="0.25">
      <c r="A77" s="247">
        <v>45608</v>
      </c>
      <c r="B77" s="882" t="s">
        <v>7067</v>
      </c>
      <c r="C77" s="879" t="s">
        <v>12</v>
      </c>
      <c r="D77" s="879" t="s">
        <v>6731</v>
      </c>
      <c r="E77" s="871" t="s">
        <v>13</v>
      </c>
      <c r="F77" s="1279">
        <v>14.89</v>
      </c>
      <c r="G77" s="982"/>
      <c r="H77" s="1008"/>
      <c r="I77" s="1063"/>
      <c r="J77" s="2013"/>
      <c r="K77" s="1207"/>
      <c r="L77" s="622"/>
      <c r="M77" s="982"/>
      <c r="N77" s="622"/>
      <c r="O77" s="1063"/>
      <c r="P77" s="622"/>
      <c r="Q77" s="982"/>
      <c r="R77" s="1028"/>
      <c r="T77" s="878"/>
    </row>
    <row r="78" spans="1:42" s="224" customFormat="1" ht="15" customHeight="1" x14ac:dyDescent="0.25">
      <c r="A78" s="247">
        <v>45608</v>
      </c>
      <c r="B78" s="882" t="s">
        <v>6329</v>
      </c>
      <c r="C78" s="879" t="s">
        <v>12</v>
      </c>
      <c r="D78" s="879"/>
      <c r="E78" s="875" t="s">
        <v>25</v>
      </c>
      <c r="F78" s="780"/>
      <c r="G78" s="982">
        <v>100</v>
      </c>
      <c r="H78" s="1008"/>
      <c r="I78" s="1063"/>
      <c r="J78" s="613"/>
      <c r="K78" s="982"/>
      <c r="L78" s="622"/>
      <c r="M78" s="982"/>
      <c r="N78" s="622"/>
      <c r="O78" s="1063"/>
      <c r="P78" s="622"/>
      <c r="Q78" s="982"/>
      <c r="R78" s="861"/>
    </row>
    <row r="79" spans="1:42" s="224" customFormat="1" x14ac:dyDescent="0.25">
      <c r="A79" s="247">
        <v>45609</v>
      </c>
      <c r="B79" s="882" t="s">
        <v>32</v>
      </c>
      <c r="C79" s="879" t="s">
        <v>12</v>
      </c>
      <c r="D79" s="879" t="s">
        <v>1485</v>
      </c>
      <c r="E79" s="875" t="s">
        <v>13</v>
      </c>
      <c r="F79" s="780">
        <v>22</v>
      </c>
      <c r="G79" s="982"/>
      <c r="H79" s="1008"/>
      <c r="I79" s="1063"/>
      <c r="J79" s="2013"/>
      <c r="K79" s="1207"/>
      <c r="L79" s="622"/>
      <c r="M79" s="982"/>
      <c r="N79" s="622"/>
      <c r="O79" s="1063"/>
      <c r="P79" s="622"/>
      <c r="Q79" s="982"/>
      <c r="R79" s="1028"/>
      <c r="T79" s="878"/>
    </row>
    <row r="80" spans="1:42" s="224" customFormat="1" ht="15" customHeight="1" x14ac:dyDescent="0.25">
      <c r="A80" s="247">
        <v>45610</v>
      </c>
      <c r="B80" s="1275" t="s">
        <v>6857</v>
      </c>
      <c r="C80" s="1276" t="s">
        <v>12</v>
      </c>
      <c r="D80" s="1276"/>
      <c r="E80" s="1286" t="s">
        <v>13</v>
      </c>
      <c r="F80" s="613">
        <v>118.8</v>
      </c>
      <c r="G80" s="967"/>
      <c r="H80" s="1008"/>
      <c r="I80" s="1063"/>
      <c r="J80" s="613"/>
      <c r="K80" s="6"/>
      <c r="L80" s="622"/>
      <c r="M80" s="982"/>
      <c r="N80" s="622"/>
      <c r="O80" s="1063"/>
      <c r="P80" s="613"/>
      <c r="Q80" s="64"/>
      <c r="R80" s="1024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45610</v>
      </c>
      <c r="B81" s="1275" t="s">
        <v>6755</v>
      </c>
      <c r="C81" s="1276" t="s">
        <v>12</v>
      </c>
      <c r="D81" s="1276"/>
      <c r="E81" s="1286"/>
      <c r="F81" s="613"/>
      <c r="G81" s="967">
        <v>118.8</v>
      </c>
      <c r="H81" s="1008"/>
      <c r="I81" s="1063"/>
      <c r="J81" s="613"/>
      <c r="K81" s="6"/>
      <c r="L81" s="622"/>
      <c r="M81" s="982"/>
      <c r="N81" s="622"/>
      <c r="O81" s="1063"/>
      <c r="P81" s="613"/>
      <c r="Q81" s="64"/>
      <c r="R81" s="1024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x14ac:dyDescent="0.25">
      <c r="A82" s="247">
        <v>45610</v>
      </c>
      <c r="B82" s="882" t="s">
        <v>32</v>
      </c>
      <c r="C82" s="879" t="s">
        <v>12</v>
      </c>
      <c r="D82" s="879" t="s">
        <v>1485</v>
      </c>
      <c r="E82" s="875" t="s">
        <v>13</v>
      </c>
      <c r="F82" s="780">
        <v>22</v>
      </c>
      <c r="G82" s="982"/>
      <c r="H82" s="1008"/>
      <c r="I82" s="1063"/>
      <c r="J82" s="2013"/>
      <c r="K82" s="1207"/>
      <c r="L82" s="622"/>
      <c r="M82" s="982"/>
      <c r="N82" s="622"/>
      <c r="O82" s="1063"/>
      <c r="P82" s="622"/>
      <c r="Q82" s="982"/>
      <c r="R82" s="1028"/>
      <c r="T82" s="878"/>
    </row>
    <row r="83" spans="1:42" s="224" customFormat="1" x14ac:dyDescent="0.25">
      <c r="A83" s="247">
        <v>45610</v>
      </c>
      <c r="B83" s="882" t="s">
        <v>81</v>
      </c>
      <c r="C83" s="879" t="s">
        <v>12</v>
      </c>
      <c r="D83" s="879" t="s">
        <v>1493</v>
      </c>
      <c r="E83" s="871" t="s">
        <v>13</v>
      </c>
      <c r="F83" s="1279">
        <v>6</v>
      </c>
      <c r="G83" s="982"/>
      <c r="H83" s="1008"/>
      <c r="I83" s="1063"/>
      <c r="J83" s="2013"/>
      <c r="K83" s="1207"/>
      <c r="L83" s="622"/>
      <c r="M83" s="982"/>
      <c r="N83" s="622"/>
      <c r="O83" s="1063"/>
      <c r="P83" s="622"/>
      <c r="Q83" s="982"/>
      <c r="R83" s="1028"/>
      <c r="T83" s="878"/>
    </row>
    <row r="84" spans="1:42" s="224" customFormat="1" x14ac:dyDescent="0.25">
      <c r="A84" s="247">
        <v>45610</v>
      </c>
      <c r="B84" s="1275" t="s">
        <v>2629</v>
      </c>
      <c r="C84" s="879" t="s">
        <v>12</v>
      </c>
      <c r="D84" s="1276" t="s">
        <v>1489</v>
      </c>
      <c r="E84" s="1286" t="s">
        <v>13</v>
      </c>
      <c r="F84" s="780">
        <v>42.61</v>
      </c>
      <c r="G84" s="982"/>
      <c r="H84" s="1008"/>
      <c r="I84" s="1063"/>
      <c r="J84" s="622"/>
      <c r="K84" s="982"/>
      <c r="L84" s="622"/>
      <c r="M84" s="982"/>
      <c r="N84" s="622"/>
      <c r="O84" s="1063"/>
      <c r="P84" s="622"/>
      <c r="Q84" s="982"/>
      <c r="R84" s="1028"/>
      <c r="T84" s="878"/>
    </row>
    <row r="85" spans="1:42" s="224" customFormat="1" x14ac:dyDescent="0.25">
      <c r="A85" s="247">
        <v>45610</v>
      </c>
      <c r="B85" s="1275" t="s">
        <v>2629</v>
      </c>
      <c r="C85" s="879" t="s">
        <v>12</v>
      </c>
      <c r="D85" s="1276" t="s">
        <v>1489</v>
      </c>
      <c r="E85" s="1286" t="s">
        <v>5470</v>
      </c>
      <c r="F85" s="780">
        <v>93.1</v>
      </c>
      <c r="G85" s="982"/>
      <c r="H85" s="1008"/>
      <c r="I85" s="1063"/>
      <c r="J85" s="622"/>
      <c r="K85" s="982"/>
      <c r="L85" s="622"/>
      <c r="M85" s="982"/>
      <c r="N85" s="622"/>
      <c r="O85" s="1063"/>
      <c r="P85" s="622"/>
      <c r="Q85" s="982"/>
      <c r="R85" s="1028"/>
      <c r="T85" s="878"/>
    </row>
    <row r="86" spans="1:42" s="224" customFormat="1" ht="15" customHeight="1" x14ac:dyDescent="0.25">
      <c r="A86" s="247">
        <v>45610</v>
      </c>
      <c r="B86" s="882" t="s">
        <v>14</v>
      </c>
      <c r="C86" s="879" t="s">
        <v>12</v>
      </c>
      <c r="D86" s="879" t="s">
        <v>1486</v>
      </c>
      <c r="E86" s="875" t="s">
        <v>13</v>
      </c>
      <c r="F86" s="780">
        <v>7.56</v>
      </c>
      <c r="G86" s="982"/>
      <c r="H86" s="95"/>
      <c r="I86" s="1064"/>
      <c r="J86" s="613"/>
      <c r="K86" s="982"/>
      <c r="L86" s="622"/>
      <c r="M86" s="982"/>
      <c r="N86" s="622"/>
      <c r="O86" s="1063"/>
      <c r="P86" s="622"/>
      <c r="Q86" s="982"/>
      <c r="R86" s="861"/>
    </row>
    <row r="87" spans="1:42" s="224" customFormat="1" ht="15" customHeight="1" x14ac:dyDescent="0.25">
      <c r="A87" s="247">
        <v>45611</v>
      </c>
      <c r="B87" s="882" t="s">
        <v>14</v>
      </c>
      <c r="C87" s="879" t="s">
        <v>12</v>
      </c>
      <c r="D87" s="879" t="s">
        <v>1486</v>
      </c>
      <c r="E87" s="875" t="s">
        <v>13</v>
      </c>
      <c r="F87" s="780">
        <v>7.41</v>
      </c>
      <c r="G87" s="967"/>
      <c r="H87" s="1008"/>
      <c r="I87" s="1063"/>
      <c r="J87" s="622"/>
      <c r="K87" s="982"/>
      <c r="L87" s="880"/>
      <c r="M87" s="1033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45611</v>
      </c>
      <c r="B88" s="882" t="s">
        <v>7069</v>
      </c>
      <c r="C88" s="879" t="s">
        <v>12</v>
      </c>
      <c r="D88" s="879" t="s">
        <v>1489</v>
      </c>
      <c r="E88" s="875" t="s">
        <v>13</v>
      </c>
      <c r="F88" s="780">
        <v>16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622"/>
      <c r="Q88" s="982"/>
      <c r="R88" s="1028"/>
      <c r="S88" s="959"/>
      <c r="T88" s="878"/>
      <c r="U88" s="958"/>
    </row>
    <row r="89" spans="1:42" s="224" customFormat="1" ht="15" customHeight="1" x14ac:dyDescent="0.25">
      <c r="A89" s="247">
        <v>45612</v>
      </c>
      <c r="B89" s="882" t="s">
        <v>7070</v>
      </c>
      <c r="C89" s="879" t="s">
        <v>12</v>
      </c>
      <c r="D89" s="879" t="s">
        <v>6731</v>
      </c>
      <c r="E89" s="875" t="s">
        <v>13</v>
      </c>
      <c r="F89" s="780">
        <v>14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customHeight="1" x14ac:dyDescent="0.25">
      <c r="A90" s="247">
        <v>45612</v>
      </c>
      <c r="B90" s="882" t="s">
        <v>14</v>
      </c>
      <c r="C90" s="879" t="s">
        <v>12</v>
      </c>
      <c r="D90" s="879" t="s">
        <v>1486</v>
      </c>
      <c r="E90" s="875" t="s">
        <v>13</v>
      </c>
      <c r="F90" s="780">
        <v>8.17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622"/>
      <c r="Q90" s="982"/>
      <c r="R90" s="1028"/>
      <c r="S90" s="959"/>
      <c r="T90" s="878"/>
      <c r="U90" s="958"/>
    </row>
    <row r="91" spans="1:42" s="224" customFormat="1" ht="15" customHeight="1" x14ac:dyDescent="0.25">
      <c r="A91" s="247">
        <v>45612</v>
      </c>
      <c r="B91" s="882" t="s">
        <v>1372</v>
      </c>
      <c r="C91" s="879" t="s">
        <v>12</v>
      </c>
      <c r="D91" s="879" t="s">
        <v>1493</v>
      </c>
      <c r="E91" s="871" t="s">
        <v>13</v>
      </c>
      <c r="F91" s="780">
        <v>5</v>
      </c>
      <c r="G91" s="982"/>
      <c r="H91" s="622"/>
      <c r="I91" s="982"/>
      <c r="J91" s="872"/>
      <c r="K91" s="1207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45613</v>
      </c>
      <c r="B92" s="882" t="s">
        <v>14</v>
      </c>
      <c r="C92" s="879" t="s">
        <v>12</v>
      </c>
      <c r="D92" s="879" t="s">
        <v>1486</v>
      </c>
      <c r="E92" s="875" t="s">
        <v>13</v>
      </c>
      <c r="F92" s="780">
        <v>16.45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622"/>
      <c r="Q92" s="982"/>
      <c r="R92" s="1028"/>
      <c r="S92" s="959"/>
      <c r="T92" s="878"/>
      <c r="U92" s="958"/>
    </row>
    <row r="93" spans="1:42" s="224" customFormat="1" ht="15" customHeight="1" x14ac:dyDescent="0.25">
      <c r="A93" s="247">
        <v>45613</v>
      </c>
      <c r="B93" s="882" t="s">
        <v>7071</v>
      </c>
      <c r="C93" s="879" t="s">
        <v>12</v>
      </c>
      <c r="D93" s="879" t="s">
        <v>6731</v>
      </c>
      <c r="E93" s="875" t="s">
        <v>13</v>
      </c>
      <c r="F93" s="780">
        <v>8</v>
      </c>
      <c r="G93" s="982"/>
      <c r="H93" s="622"/>
      <c r="I93" s="982"/>
      <c r="J93" s="622"/>
      <c r="K93" s="982"/>
      <c r="L93" s="622"/>
      <c r="M93" s="982"/>
      <c r="N93" s="880"/>
      <c r="O93" s="1525"/>
      <c r="P93" s="613"/>
      <c r="Q93" s="162"/>
      <c r="R93" s="1956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45613</v>
      </c>
      <c r="B94" s="882" t="s">
        <v>7072</v>
      </c>
      <c r="C94" s="879" t="s">
        <v>12</v>
      </c>
      <c r="D94" s="879" t="s">
        <v>1489</v>
      </c>
      <c r="E94" s="871" t="s">
        <v>13</v>
      </c>
      <c r="F94" s="780">
        <v>10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45613</v>
      </c>
      <c r="B95" s="882" t="s">
        <v>3373</v>
      </c>
      <c r="C95" s="879" t="s">
        <v>12</v>
      </c>
      <c r="D95" s="879" t="s">
        <v>1491</v>
      </c>
      <c r="E95" s="871" t="s">
        <v>13</v>
      </c>
      <c r="F95" s="780">
        <v>12</v>
      </c>
      <c r="G95" s="982"/>
      <c r="H95" s="622"/>
      <c r="I95" s="982"/>
      <c r="J95" s="872"/>
      <c r="K95" s="1207"/>
      <c r="L95" s="622"/>
      <c r="M95" s="982"/>
      <c r="N95" s="622"/>
      <c r="O95" s="1063"/>
      <c r="P95" s="622"/>
      <c r="Q95" s="982"/>
      <c r="R95" s="1028"/>
      <c r="S95" s="959"/>
      <c r="T95" s="878"/>
      <c r="U95" s="958"/>
    </row>
    <row r="96" spans="1:42" s="224" customFormat="1" ht="15" customHeight="1" x14ac:dyDescent="0.25">
      <c r="A96" s="247">
        <v>45613</v>
      </c>
      <c r="B96" s="882" t="s">
        <v>7073</v>
      </c>
      <c r="C96" s="879" t="s">
        <v>12</v>
      </c>
      <c r="D96" s="879" t="s">
        <v>1491</v>
      </c>
      <c r="E96" s="871" t="s">
        <v>13</v>
      </c>
      <c r="F96" s="780">
        <v>20</v>
      </c>
      <c r="G96" s="982"/>
      <c r="H96" s="622"/>
      <c r="I96" s="982"/>
      <c r="J96" s="872"/>
      <c r="K96" s="1207"/>
      <c r="L96" s="622"/>
      <c r="M96" s="982"/>
      <c r="N96" s="622"/>
      <c r="O96" s="1063"/>
      <c r="P96" s="622"/>
      <c r="Q96" s="982"/>
      <c r="R96" s="1028"/>
      <c r="S96" s="959"/>
      <c r="T96" s="878"/>
      <c r="U96" s="958"/>
    </row>
    <row r="97" spans="1:42" s="224" customFormat="1" ht="15" customHeight="1" x14ac:dyDescent="0.25">
      <c r="A97" s="247">
        <v>45613</v>
      </c>
      <c r="B97" s="882" t="s">
        <v>14</v>
      </c>
      <c r="C97" s="879" t="s">
        <v>12</v>
      </c>
      <c r="D97" s="879" t="s">
        <v>1486</v>
      </c>
      <c r="E97" s="875" t="s">
        <v>13</v>
      </c>
      <c r="F97" s="780">
        <v>21.54</v>
      </c>
      <c r="G97" s="982"/>
      <c r="H97" s="622"/>
      <c r="I97" s="982"/>
      <c r="J97" s="872"/>
      <c r="K97" s="1207"/>
      <c r="L97" s="622"/>
      <c r="M97" s="982"/>
      <c r="N97" s="622"/>
      <c r="O97" s="1063"/>
      <c r="P97" s="622"/>
      <c r="Q97" s="982"/>
      <c r="R97" s="1028"/>
      <c r="S97" s="959"/>
      <c r="T97" s="878"/>
      <c r="U97" s="958"/>
    </row>
    <row r="98" spans="1:42" s="224" customFormat="1" ht="15" customHeight="1" x14ac:dyDescent="0.25">
      <c r="A98" s="247">
        <v>45614</v>
      </c>
      <c r="B98" s="882" t="s">
        <v>2789</v>
      </c>
      <c r="C98" s="879" t="s">
        <v>12</v>
      </c>
      <c r="D98" s="879" t="s">
        <v>1485</v>
      </c>
      <c r="E98" s="875" t="s">
        <v>13</v>
      </c>
      <c r="F98" s="780">
        <v>14.5</v>
      </c>
      <c r="G98" s="982"/>
      <c r="H98" s="622"/>
      <c r="I98" s="982"/>
      <c r="J98" s="622"/>
      <c r="K98" s="982"/>
      <c r="L98" s="622"/>
      <c r="M98" s="982"/>
      <c r="N98" s="880"/>
      <c r="O98" s="1525"/>
      <c r="P98" s="613"/>
      <c r="Q98" s="162"/>
      <c r="R98" s="254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45614</v>
      </c>
      <c r="B99" s="882" t="s">
        <v>7084</v>
      </c>
      <c r="C99" s="879" t="s">
        <v>12</v>
      </c>
      <c r="D99" s="879" t="s">
        <v>1489</v>
      </c>
      <c r="E99" s="875" t="s">
        <v>13</v>
      </c>
      <c r="F99" s="780">
        <v>13.98</v>
      </c>
      <c r="G99" s="982"/>
      <c r="H99" s="622"/>
      <c r="I99" s="982"/>
      <c r="J99" s="622"/>
      <c r="K99" s="982"/>
      <c r="L99" s="622"/>
      <c r="M99" s="982"/>
      <c r="N99" s="880"/>
      <c r="O99" s="1525"/>
      <c r="P99" s="613"/>
      <c r="Q99" s="162"/>
      <c r="R99" s="254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45614</v>
      </c>
      <c r="B100" s="1275" t="s">
        <v>3958</v>
      </c>
      <c r="C100" s="1276" t="s">
        <v>12</v>
      </c>
      <c r="D100" s="1276" t="s">
        <v>1489</v>
      </c>
      <c r="E100" s="1277" t="s">
        <v>13</v>
      </c>
      <c r="F100" s="780">
        <v>20</v>
      </c>
      <c r="G100" s="982"/>
      <c r="H100" s="1008"/>
      <c r="I100" s="1063"/>
      <c r="J100" s="1116"/>
      <c r="K100" s="1207"/>
      <c r="L100" s="622"/>
      <c r="M100" s="982"/>
      <c r="N100" s="622"/>
      <c r="O100" s="982"/>
      <c r="P100" s="622"/>
      <c r="Q100" s="982"/>
      <c r="R100" s="1210"/>
      <c r="S100" s="1038"/>
      <c r="T100" s="861"/>
      <c r="V100" s="1035"/>
    </row>
    <row r="101" spans="1:42" s="224" customFormat="1" ht="15" customHeight="1" x14ac:dyDescent="0.25">
      <c r="A101" s="247">
        <v>45614</v>
      </c>
      <c r="B101" s="882" t="s">
        <v>14</v>
      </c>
      <c r="C101" s="879" t="s">
        <v>12</v>
      </c>
      <c r="D101" s="879" t="s">
        <v>1486</v>
      </c>
      <c r="E101" s="875" t="s">
        <v>13</v>
      </c>
      <c r="F101" s="780">
        <v>8.8000000000000007</v>
      </c>
      <c r="G101" s="982"/>
      <c r="H101" s="622"/>
      <c r="I101" s="982"/>
      <c r="J101" s="622"/>
      <c r="K101" s="982"/>
      <c r="L101" s="622"/>
      <c r="M101" s="982"/>
      <c r="N101" s="880"/>
      <c r="O101" s="1525"/>
      <c r="P101" s="613"/>
      <c r="Q101" s="162"/>
      <c r="R101" s="2545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 s="224" customFormat="1" ht="15" customHeight="1" x14ac:dyDescent="0.25">
      <c r="A102" s="247">
        <v>45615</v>
      </c>
      <c r="B102" s="882" t="s">
        <v>6981</v>
      </c>
      <c r="C102" s="350" t="s">
        <v>12</v>
      </c>
      <c r="D102" s="350"/>
      <c r="E102" s="480" t="s">
        <v>25</v>
      </c>
      <c r="F102" s="622"/>
      <c r="G102" s="982">
        <v>2400</v>
      </c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41"/>
    </row>
    <row r="103" spans="1:42" s="224" customFormat="1" ht="15" customHeight="1" x14ac:dyDescent="0.25">
      <c r="A103" s="247">
        <v>45615</v>
      </c>
      <c r="B103" s="364" t="s">
        <v>6982</v>
      </c>
      <c r="C103" s="879" t="s">
        <v>12</v>
      </c>
      <c r="D103" s="879"/>
      <c r="E103" s="983" t="s">
        <v>25</v>
      </c>
      <c r="F103" s="780"/>
      <c r="G103" s="982"/>
      <c r="H103" s="622"/>
      <c r="I103" s="982"/>
      <c r="J103" s="2013"/>
      <c r="K103" s="1207"/>
      <c r="L103" s="622"/>
      <c r="M103" s="982"/>
      <c r="N103" s="622"/>
      <c r="O103" s="1063"/>
      <c r="P103" s="622"/>
      <c r="Q103" s="982">
        <v>480</v>
      </c>
      <c r="R103" s="959"/>
      <c r="S103" s="959"/>
      <c r="T103" s="878"/>
    </row>
    <row r="104" spans="1:42" s="224" customFormat="1" ht="15" customHeight="1" x14ac:dyDescent="0.25">
      <c r="A104" s="247">
        <v>45615</v>
      </c>
      <c r="B104" s="364" t="s">
        <v>3354</v>
      </c>
      <c r="C104" s="350" t="s">
        <v>12</v>
      </c>
      <c r="D104" s="350"/>
      <c r="E104" s="145" t="s">
        <v>25</v>
      </c>
      <c r="F104" s="613"/>
      <c r="G104" s="967"/>
      <c r="H104" s="1008"/>
      <c r="I104" s="1063"/>
      <c r="J104" s="622"/>
      <c r="K104" s="982"/>
      <c r="L104" s="880"/>
      <c r="M104" s="1033"/>
      <c r="N104" s="880"/>
      <c r="O104" s="1525"/>
      <c r="P104" s="613"/>
      <c r="Q104" s="162">
        <v>179.56</v>
      </c>
      <c r="R104" s="2546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</row>
    <row r="105" spans="1:42" s="224" customFormat="1" ht="15" customHeight="1" x14ac:dyDescent="0.25">
      <c r="A105" s="247">
        <v>45615</v>
      </c>
      <c r="B105" s="862" t="s">
        <v>2867</v>
      </c>
      <c r="C105" s="350" t="s">
        <v>12</v>
      </c>
      <c r="D105" s="874" t="s">
        <v>1504</v>
      </c>
      <c r="E105" s="887" t="s">
        <v>13</v>
      </c>
      <c r="F105" s="780">
        <v>30</v>
      </c>
      <c r="G105" s="982"/>
      <c r="H105" s="1009"/>
      <c r="I105" s="1063"/>
      <c r="J105" s="622"/>
      <c r="K105" s="982"/>
      <c r="L105" s="853"/>
      <c r="M105" s="982"/>
      <c r="N105" s="853"/>
      <c r="O105" s="1063"/>
      <c r="P105" s="622"/>
      <c r="Q105" s="982"/>
      <c r="R105" s="1690"/>
      <c r="S105" s="1690"/>
      <c r="T105" s="1690"/>
      <c r="U105" s="1690"/>
      <c r="V105" s="1690"/>
      <c r="W105" s="1690"/>
      <c r="X105" s="1690"/>
      <c r="Y105" s="1690"/>
      <c r="Z105" s="1690"/>
    </row>
    <row r="106" spans="1:42" s="224" customFormat="1" ht="14.25" customHeight="1" x14ac:dyDescent="0.25">
      <c r="A106" s="247">
        <v>45615</v>
      </c>
      <c r="B106" s="364" t="s">
        <v>2977</v>
      </c>
      <c r="C106" s="350" t="s">
        <v>12</v>
      </c>
      <c r="D106" s="350" t="s">
        <v>1491</v>
      </c>
      <c r="E106" s="875" t="s">
        <v>13</v>
      </c>
      <c r="F106" s="1047">
        <v>400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29"/>
      <c r="S106" s="89"/>
      <c r="T106" s="930"/>
    </row>
    <row r="107" spans="1:42" s="224" customFormat="1" ht="15" customHeight="1" x14ac:dyDescent="0.25">
      <c r="A107" s="247">
        <v>45615</v>
      </c>
      <c r="B107" s="349" t="s">
        <v>6983</v>
      </c>
      <c r="C107" s="887" t="s">
        <v>12</v>
      </c>
      <c r="D107" s="350" t="s">
        <v>1524</v>
      </c>
      <c r="E107" s="887" t="s">
        <v>13</v>
      </c>
      <c r="F107" s="613">
        <v>479.16666666666669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45615</v>
      </c>
      <c r="B108" s="349" t="s">
        <v>6983</v>
      </c>
      <c r="C108" s="887" t="s">
        <v>12</v>
      </c>
      <c r="D108" s="350" t="s">
        <v>1525</v>
      </c>
      <c r="E108" s="887" t="s">
        <v>13</v>
      </c>
      <c r="F108" s="613">
        <v>227.44499999999999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45615</v>
      </c>
      <c r="B109" s="349" t="s">
        <v>6983</v>
      </c>
      <c r="C109" s="887" t="s">
        <v>12</v>
      </c>
      <c r="D109" s="350" t="s">
        <v>1525</v>
      </c>
      <c r="E109" s="887" t="s">
        <v>13</v>
      </c>
      <c r="F109" s="613">
        <v>299.75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45615</v>
      </c>
      <c r="B110" s="349" t="s">
        <v>6983</v>
      </c>
      <c r="C110" s="887" t="s">
        <v>12</v>
      </c>
      <c r="D110" s="350" t="s">
        <v>1524</v>
      </c>
      <c r="E110" s="887" t="s">
        <v>13</v>
      </c>
      <c r="F110" s="613">
        <v>443.14749999999998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45615</v>
      </c>
      <c r="B111" s="349" t="s">
        <v>6983</v>
      </c>
      <c r="C111" s="887" t="s">
        <v>12</v>
      </c>
      <c r="D111" s="350" t="s">
        <v>1524</v>
      </c>
      <c r="E111" s="887" t="s">
        <v>13</v>
      </c>
      <c r="F111" s="613">
        <v>658.125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45615</v>
      </c>
      <c r="B112" s="349" t="s">
        <v>6983</v>
      </c>
      <c r="C112" s="887" t="s">
        <v>12</v>
      </c>
      <c r="D112" s="350" t="s">
        <v>1489</v>
      </c>
      <c r="E112" s="887" t="s">
        <v>13</v>
      </c>
      <c r="F112" s="613">
        <v>150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42" s="224" customFormat="1" ht="15" customHeight="1" x14ac:dyDescent="0.25">
      <c r="A113" s="247">
        <v>45615</v>
      </c>
      <c r="B113" s="349" t="s">
        <v>6983</v>
      </c>
      <c r="C113" s="887" t="s">
        <v>12</v>
      </c>
      <c r="D113" s="1005" t="s">
        <v>1524</v>
      </c>
      <c r="E113" s="887" t="s">
        <v>13</v>
      </c>
      <c r="F113" s="1116">
        <v>167.625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42" s="224" customFormat="1" ht="15" customHeight="1" x14ac:dyDescent="0.25">
      <c r="A114" s="247">
        <v>45615</v>
      </c>
      <c r="B114" s="882" t="s">
        <v>6984</v>
      </c>
      <c r="C114" s="879" t="s">
        <v>12</v>
      </c>
      <c r="D114" s="879" t="s">
        <v>1499</v>
      </c>
      <c r="E114" s="871" t="s">
        <v>13</v>
      </c>
      <c r="F114" s="780">
        <v>0</v>
      </c>
      <c r="G114" s="982"/>
      <c r="H114" s="1008"/>
      <c r="I114" s="1063"/>
      <c r="J114" s="622"/>
      <c r="K114" s="982"/>
      <c r="L114" s="622"/>
      <c r="M114" s="982"/>
      <c r="N114" s="622"/>
      <c r="O114" s="1063"/>
      <c r="P114" s="622"/>
      <c r="Q114" s="982"/>
      <c r="R114" s="861" t="s">
        <v>7155</v>
      </c>
      <c r="T114" s="1123"/>
      <c r="U114" s="999"/>
    </row>
    <row r="115" spans="1:42" s="224" customFormat="1" ht="15" customHeight="1" x14ac:dyDescent="0.25">
      <c r="A115" s="247">
        <v>45615</v>
      </c>
      <c r="B115" s="882" t="s">
        <v>7025</v>
      </c>
      <c r="C115" s="879" t="s">
        <v>12</v>
      </c>
      <c r="D115" s="879" t="s">
        <v>1489</v>
      </c>
      <c r="E115" s="875" t="s">
        <v>13</v>
      </c>
      <c r="F115" s="780">
        <v>75</v>
      </c>
      <c r="G115" s="982"/>
      <c r="H115" s="622"/>
      <c r="I115" s="982"/>
      <c r="J115" s="622"/>
      <c r="K115" s="982"/>
      <c r="L115" s="622"/>
      <c r="M115" s="982"/>
      <c r="N115" s="880"/>
      <c r="O115" s="1525"/>
      <c r="P115" s="613"/>
      <c r="Q115" s="162"/>
      <c r="R115" s="1956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</row>
    <row r="116" spans="1:42" s="224" customFormat="1" ht="15" customHeight="1" x14ac:dyDescent="0.25">
      <c r="A116" s="247">
        <v>45615</v>
      </c>
      <c r="B116" s="882" t="s">
        <v>7090</v>
      </c>
      <c r="C116" s="879" t="s">
        <v>12</v>
      </c>
      <c r="D116" s="879" t="s">
        <v>1506</v>
      </c>
      <c r="E116" s="875" t="s">
        <v>13</v>
      </c>
      <c r="F116" s="780">
        <v>18</v>
      </c>
      <c r="G116" s="982"/>
      <c r="H116" s="622"/>
      <c r="I116" s="982"/>
      <c r="J116" s="622"/>
      <c r="K116" s="982"/>
      <c r="L116" s="622"/>
      <c r="M116" s="982"/>
      <c r="N116" s="880"/>
      <c r="O116" s="1525"/>
      <c r="P116" s="613"/>
      <c r="Q116" s="162"/>
      <c r="R116" s="195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</row>
    <row r="117" spans="1:42" s="224" customFormat="1" x14ac:dyDescent="0.25">
      <c r="A117" s="247">
        <v>45615</v>
      </c>
      <c r="B117" s="882" t="s">
        <v>32</v>
      </c>
      <c r="C117" s="879" t="s">
        <v>12</v>
      </c>
      <c r="D117" s="879" t="s">
        <v>1485</v>
      </c>
      <c r="E117" s="875" t="s">
        <v>13</v>
      </c>
      <c r="F117" s="780">
        <v>22</v>
      </c>
      <c r="G117" s="982"/>
      <c r="H117" s="1008"/>
      <c r="I117" s="1063"/>
      <c r="J117" s="2013"/>
      <c r="K117" s="1207"/>
      <c r="L117" s="622"/>
      <c r="M117" s="982"/>
      <c r="N117" s="622"/>
      <c r="O117" s="1063"/>
      <c r="P117" s="622"/>
      <c r="Q117" s="982"/>
      <c r="R117" s="1028"/>
      <c r="T117" s="878"/>
    </row>
    <row r="118" spans="1:42" s="224" customFormat="1" ht="15" customHeight="1" x14ac:dyDescent="0.25">
      <c r="A118" s="247">
        <v>45615</v>
      </c>
      <c r="B118" s="882" t="s">
        <v>7089</v>
      </c>
      <c r="C118" s="879" t="s">
        <v>12</v>
      </c>
      <c r="D118" s="879" t="s">
        <v>6731</v>
      </c>
      <c r="E118" s="871" t="s">
        <v>13</v>
      </c>
      <c r="F118" s="780">
        <v>37</v>
      </c>
      <c r="G118" s="982"/>
      <c r="H118" s="95"/>
      <c r="I118" s="1064"/>
      <c r="J118" s="613"/>
      <c r="K118" s="6"/>
      <c r="L118" s="622"/>
      <c r="M118" s="982"/>
      <c r="N118" s="622"/>
      <c r="O118" s="1063"/>
      <c r="P118" s="622"/>
      <c r="Q118" s="982"/>
      <c r="R118" s="861"/>
    </row>
    <row r="119" spans="1:42" s="224" customFormat="1" ht="15" customHeight="1" x14ac:dyDescent="0.25">
      <c r="A119" s="247">
        <v>45615</v>
      </c>
      <c r="B119" s="882" t="s">
        <v>7060</v>
      </c>
      <c r="C119" s="879" t="s">
        <v>12</v>
      </c>
      <c r="D119" s="879" t="s">
        <v>1489</v>
      </c>
      <c r="E119" s="875" t="s">
        <v>13</v>
      </c>
      <c r="F119" s="780">
        <v>13</v>
      </c>
      <c r="G119" s="982"/>
      <c r="H119" s="95"/>
      <c r="I119" s="1064"/>
      <c r="J119" s="613"/>
      <c r="K119" s="982"/>
      <c r="L119" s="622"/>
      <c r="M119" s="982"/>
      <c r="N119" s="622"/>
      <c r="O119" s="1063"/>
      <c r="P119" s="622"/>
      <c r="Q119" s="982"/>
      <c r="R119" s="861"/>
    </row>
    <row r="120" spans="1:42" s="224" customFormat="1" ht="15" customHeight="1" x14ac:dyDescent="0.25">
      <c r="A120" s="247">
        <v>45615</v>
      </c>
      <c r="B120" s="882" t="s">
        <v>14</v>
      </c>
      <c r="C120" s="879" t="s">
        <v>12</v>
      </c>
      <c r="D120" s="879" t="s">
        <v>1486</v>
      </c>
      <c r="E120" s="875" t="s">
        <v>13</v>
      </c>
      <c r="F120" s="780">
        <v>15.01</v>
      </c>
      <c r="G120" s="982"/>
      <c r="H120" s="622"/>
      <c r="I120" s="982"/>
      <c r="J120" s="622"/>
      <c r="K120" s="982"/>
      <c r="L120" s="622"/>
      <c r="M120" s="982"/>
      <c r="N120" s="880"/>
      <c r="O120" s="1525"/>
      <c r="P120" s="613"/>
      <c r="Q120" s="162"/>
      <c r="R120" s="2545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</row>
    <row r="121" spans="1:42" s="224" customFormat="1" ht="15" customHeight="1" x14ac:dyDescent="0.25">
      <c r="A121" s="247">
        <v>45615</v>
      </c>
      <c r="B121" s="882" t="s">
        <v>7092</v>
      </c>
      <c r="C121" s="879" t="s">
        <v>12</v>
      </c>
      <c r="D121" s="879"/>
      <c r="E121" s="875"/>
      <c r="F121" s="780"/>
      <c r="G121" s="982">
        <v>302.76</v>
      </c>
      <c r="H121" s="622">
        <v>302.76</v>
      </c>
      <c r="I121" s="982"/>
      <c r="J121" s="622"/>
      <c r="K121" s="982"/>
      <c r="L121" s="622"/>
      <c r="M121" s="982"/>
      <c r="N121" s="880"/>
      <c r="O121" s="1525"/>
      <c r="P121" s="613"/>
      <c r="Q121" s="162"/>
      <c r="R121" s="2545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</row>
    <row r="122" spans="1:42" s="224" customFormat="1" ht="15" customHeight="1" x14ac:dyDescent="0.25">
      <c r="A122" s="247">
        <v>45615</v>
      </c>
      <c r="B122" s="882" t="s">
        <v>7092</v>
      </c>
      <c r="C122" s="879" t="s">
        <v>12</v>
      </c>
      <c r="D122" s="879"/>
      <c r="E122" s="875"/>
      <c r="F122" s="780"/>
      <c r="G122" s="982">
        <v>2200</v>
      </c>
      <c r="H122" s="622"/>
      <c r="I122" s="982"/>
      <c r="J122" s="622"/>
      <c r="K122" s="982"/>
      <c r="L122" s="622"/>
      <c r="M122" s="982"/>
      <c r="N122" s="880">
        <v>2200</v>
      </c>
      <c r="O122" s="1525"/>
      <c r="P122" s="613"/>
      <c r="Q122" s="162"/>
      <c r="R122" s="2545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45615</v>
      </c>
      <c r="B123" s="882" t="s">
        <v>8072</v>
      </c>
      <c r="C123" s="879" t="s">
        <v>12</v>
      </c>
      <c r="D123" s="879" t="s">
        <v>1525</v>
      </c>
      <c r="E123" s="875"/>
      <c r="F123" s="780">
        <v>2500</v>
      </c>
      <c r="G123" s="982"/>
      <c r="H123" s="622"/>
      <c r="I123" s="982"/>
      <c r="J123" s="622"/>
      <c r="K123" s="982"/>
      <c r="L123" s="622"/>
      <c r="M123" s="982"/>
      <c r="N123" s="880"/>
      <c r="O123" s="1525"/>
      <c r="P123" s="613"/>
      <c r="Q123" s="162"/>
      <c r="R123" s="2545" t="s">
        <v>7093</v>
      </c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</row>
    <row r="124" spans="1:42" s="224" customFormat="1" ht="15" customHeight="1" x14ac:dyDescent="0.25">
      <c r="A124" s="247">
        <v>45616</v>
      </c>
      <c r="B124" s="882" t="s">
        <v>7091</v>
      </c>
      <c r="C124" s="879" t="s">
        <v>12</v>
      </c>
      <c r="D124" s="879" t="s">
        <v>1493</v>
      </c>
      <c r="E124" s="871" t="s">
        <v>13</v>
      </c>
      <c r="F124" s="780">
        <v>8.5</v>
      </c>
      <c r="G124" s="982"/>
      <c r="H124" s="95"/>
      <c r="I124" s="1064"/>
      <c r="J124" s="613"/>
      <c r="K124" s="6"/>
      <c r="L124" s="622"/>
      <c r="M124" s="982"/>
      <c r="N124" s="622"/>
      <c r="O124" s="1063"/>
      <c r="P124" s="622"/>
      <c r="Q124" s="982"/>
      <c r="R124" s="861"/>
    </row>
    <row r="125" spans="1:42" s="224" customFormat="1" ht="15" customHeight="1" x14ac:dyDescent="0.25">
      <c r="A125" s="247">
        <v>45616</v>
      </c>
      <c r="B125" s="882" t="s">
        <v>134</v>
      </c>
      <c r="C125" s="879" t="s">
        <v>12</v>
      </c>
      <c r="D125" s="879" t="s">
        <v>1493</v>
      </c>
      <c r="E125" s="871" t="s">
        <v>13</v>
      </c>
      <c r="F125" s="780">
        <v>12.87</v>
      </c>
      <c r="G125" s="982"/>
      <c r="H125" s="95"/>
      <c r="I125" s="1064"/>
      <c r="J125" s="613"/>
      <c r="K125" s="6"/>
      <c r="L125" s="622"/>
      <c r="M125" s="982"/>
      <c r="N125" s="622"/>
      <c r="O125" s="1063"/>
      <c r="P125" s="622"/>
      <c r="Q125" s="982"/>
      <c r="R125" s="861"/>
    </row>
    <row r="126" spans="1:42" s="224" customFormat="1" ht="15" customHeight="1" x14ac:dyDescent="0.25">
      <c r="A126" s="247">
        <v>45616</v>
      </c>
      <c r="B126" s="882" t="s">
        <v>1906</v>
      </c>
      <c r="C126" s="879" t="s">
        <v>12</v>
      </c>
      <c r="D126" s="879" t="s">
        <v>1493</v>
      </c>
      <c r="E126" s="871" t="s">
        <v>13</v>
      </c>
      <c r="F126" s="780">
        <v>25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42" s="224" customFormat="1" ht="15" customHeight="1" x14ac:dyDescent="0.25">
      <c r="A127" s="247">
        <v>45616</v>
      </c>
      <c r="B127" s="882" t="s">
        <v>6329</v>
      </c>
      <c r="C127" s="879" t="s">
        <v>12</v>
      </c>
      <c r="D127" s="879"/>
      <c r="E127" s="875" t="s">
        <v>25</v>
      </c>
      <c r="F127" s="780"/>
      <c r="G127" s="982">
        <v>100</v>
      </c>
      <c r="H127" s="1008"/>
      <c r="I127" s="1063"/>
      <c r="J127" s="613"/>
      <c r="K127" s="982"/>
      <c r="L127" s="622"/>
      <c r="M127" s="982"/>
      <c r="N127" s="622"/>
      <c r="O127" s="1063"/>
      <c r="P127" s="622"/>
      <c r="Q127" s="982"/>
      <c r="R127" s="861"/>
    </row>
    <row r="128" spans="1:42" s="224" customFormat="1" ht="15" customHeight="1" x14ac:dyDescent="0.25">
      <c r="A128" s="247">
        <v>45616</v>
      </c>
      <c r="B128" s="882" t="s">
        <v>7103</v>
      </c>
      <c r="C128" s="879" t="s">
        <v>12</v>
      </c>
      <c r="D128" s="879"/>
      <c r="E128" s="875" t="s">
        <v>13</v>
      </c>
      <c r="F128" s="780">
        <v>400</v>
      </c>
      <c r="G128" s="982"/>
      <c r="H128" s="95"/>
      <c r="I128" s="1064"/>
      <c r="J128" s="622"/>
      <c r="K128" s="982"/>
      <c r="L128" s="622"/>
      <c r="M128" s="982"/>
      <c r="N128" s="622"/>
      <c r="O128" s="1063">
        <v>400</v>
      </c>
      <c r="P128" s="622"/>
      <c r="Q128" s="982"/>
      <c r="R128" s="861"/>
    </row>
    <row r="129" spans="1:42" s="224" customFormat="1" ht="15" customHeight="1" x14ac:dyDescent="0.25">
      <c r="A129" s="247">
        <v>45616</v>
      </c>
      <c r="B129" s="882" t="s">
        <v>6814</v>
      </c>
      <c r="C129" s="879" t="s">
        <v>12</v>
      </c>
      <c r="D129" s="879"/>
      <c r="E129" s="875" t="s">
        <v>13</v>
      </c>
      <c r="F129" s="780"/>
      <c r="G129" s="982">
        <v>2931.24</v>
      </c>
      <c r="H129" s="95"/>
      <c r="I129" s="1064"/>
      <c r="J129" s="622">
        <v>2931.24</v>
      </c>
      <c r="K129" s="982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45617</v>
      </c>
      <c r="B130" s="882" t="s">
        <v>7086</v>
      </c>
      <c r="C130" s="879" t="s">
        <v>12</v>
      </c>
      <c r="D130" s="879" t="s">
        <v>1524</v>
      </c>
      <c r="E130" s="871" t="s">
        <v>13</v>
      </c>
      <c r="F130" s="780">
        <v>230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45617</v>
      </c>
      <c r="B131" s="882" t="s">
        <v>6404</v>
      </c>
      <c r="C131" s="879" t="s">
        <v>12</v>
      </c>
      <c r="D131" s="879" t="s">
        <v>1524</v>
      </c>
      <c r="E131" s="871" t="s">
        <v>13</v>
      </c>
      <c r="F131" s="780">
        <v>203</v>
      </c>
      <c r="G131" s="982"/>
      <c r="H131" s="95"/>
      <c r="I131" s="1064"/>
      <c r="J131" s="613"/>
      <c r="K131" s="6"/>
      <c r="L131" s="622"/>
      <c r="M131" s="982"/>
      <c r="N131" s="622"/>
      <c r="O131" s="1063"/>
      <c r="P131" s="622"/>
      <c r="Q131" s="982"/>
      <c r="R131" s="861"/>
    </row>
    <row r="132" spans="1:42" s="224" customFormat="1" ht="15" customHeight="1" x14ac:dyDescent="0.25">
      <c r="A132" s="247">
        <v>45617</v>
      </c>
      <c r="B132" s="882" t="s">
        <v>7080</v>
      </c>
      <c r="C132" s="879" t="s">
        <v>12</v>
      </c>
      <c r="D132" s="879" t="s">
        <v>1524</v>
      </c>
      <c r="E132" s="871" t="s">
        <v>13</v>
      </c>
      <c r="F132" s="780">
        <v>750</v>
      </c>
      <c r="G132" s="982"/>
      <c r="H132" s="622"/>
      <c r="I132" s="982"/>
      <c r="J132" s="1116"/>
      <c r="K132" s="1207"/>
      <c r="L132" s="622"/>
      <c r="M132" s="982"/>
      <c r="N132" s="622"/>
      <c r="O132" s="1063"/>
      <c r="P132" s="880"/>
      <c r="Q132" s="1033"/>
      <c r="R132" s="927"/>
      <c r="T132" s="878"/>
    </row>
    <row r="133" spans="1:42" s="224" customFormat="1" x14ac:dyDescent="0.25">
      <c r="A133" s="247">
        <v>45617</v>
      </c>
      <c r="B133" s="882" t="s">
        <v>32</v>
      </c>
      <c r="C133" s="879" t="s">
        <v>12</v>
      </c>
      <c r="D133" s="879" t="s">
        <v>1485</v>
      </c>
      <c r="E133" s="875" t="s">
        <v>13</v>
      </c>
      <c r="F133" s="780">
        <v>22</v>
      </c>
      <c r="G133" s="982"/>
      <c r="H133" s="1008"/>
      <c r="I133" s="1063"/>
      <c r="J133" s="2013"/>
      <c r="K133" s="1207"/>
      <c r="L133" s="622"/>
      <c r="M133" s="982"/>
      <c r="N133" s="622"/>
      <c r="O133" s="1063"/>
      <c r="P133" s="622"/>
      <c r="Q133" s="982"/>
      <c r="R133" s="1028"/>
      <c r="T133" s="878"/>
    </row>
    <row r="134" spans="1:42" s="224" customFormat="1" ht="15" customHeight="1" x14ac:dyDescent="0.25">
      <c r="A134" s="247">
        <v>45617</v>
      </c>
      <c r="B134" s="882" t="s">
        <v>7097</v>
      </c>
      <c r="C134" s="879" t="s">
        <v>12</v>
      </c>
      <c r="D134" s="879" t="s">
        <v>6731</v>
      </c>
      <c r="E134" s="871" t="s">
        <v>13</v>
      </c>
      <c r="F134" s="780">
        <v>15</v>
      </c>
      <c r="G134" s="982"/>
      <c r="H134" s="95"/>
      <c r="I134" s="1064"/>
      <c r="J134" s="613"/>
      <c r="K134" s="6"/>
      <c r="L134" s="622"/>
      <c r="M134" s="982"/>
      <c r="N134" s="622"/>
      <c r="O134" s="1063"/>
      <c r="P134" s="622"/>
      <c r="Q134" s="982"/>
      <c r="R134" s="861"/>
    </row>
    <row r="135" spans="1:42" s="224" customFormat="1" ht="15" customHeight="1" x14ac:dyDescent="0.25">
      <c r="A135" s="247">
        <v>45617</v>
      </c>
      <c r="B135" s="882" t="s">
        <v>7098</v>
      </c>
      <c r="C135" s="879" t="s">
        <v>12</v>
      </c>
      <c r="D135" s="879" t="s">
        <v>1525</v>
      </c>
      <c r="E135" s="871" t="s">
        <v>13</v>
      </c>
      <c r="F135" s="780">
        <v>20</v>
      </c>
      <c r="G135" s="982"/>
      <c r="H135" s="95"/>
      <c r="I135" s="1064"/>
      <c r="J135" s="613"/>
      <c r="K135" s="6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45617</v>
      </c>
      <c r="B136" s="882" t="s">
        <v>7099</v>
      </c>
      <c r="C136" s="879" t="s">
        <v>12</v>
      </c>
      <c r="D136" s="879" t="s">
        <v>1525</v>
      </c>
      <c r="E136" s="871" t="s">
        <v>13</v>
      </c>
      <c r="F136" s="780">
        <v>30</v>
      </c>
      <c r="G136" s="982"/>
      <c r="H136" s="95"/>
      <c r="I136" s="1064"/>
      <c r="J136" s="613"/>
      <c r="K136" s="6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45617</v>
      </c>
      <c r="B137" s="882" t="s">
        <v>7100</v>
      </c>
      <c r="C137" s="879" t="s">
        <v>12</v>
      </c>
      <c r="D137" s="879" t="s">
        <v>1489</v>
      </c>
      <c r="E137" s="875" t="s">
        <v>13</v>
      </c>
      <c r="F137" s="780">
        <v>63.8</v>
      </c>
      <c r="G137" s="982"/>
      <c r="H137" s="622"/>
      <c r="I137" s="982"/>
      <c r="J137" s="1116"/>
      <c r="K137" s="1207"/>
      <c r="L137" s="622"/>
      <c r="M137" s="982"/>
      <c r="N137" s="622"/>
      <c r="O137" s="1063"/>
      <c r="P137" s="880"/>
      <c r="Q137" s="1033"/>
      <c r="R137" s="927"/>
      <c r="T137" s="878"/>
    </row>
    <row r="138" spans="1:42" s="224" customFormat="1" ht="15" customHeight="1" x14ac:dyDescent="0.25">
      <c r="A138" s="247">
        <v>45617</v>
      </c>
      <c r="B138" s="882" t="s">
        <v>14</v>
      </c>
      <c r="C138" s="879" t="s">
        <v>12</v>
      </c>
      <c r="D138" s="879" t="s">
        <v>1486</v>
      </c>
      <c r="E138" s="875" t="s">
        <v>13</v>
      </c>
      <c r="F138" s="780">
        <v>6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42" s="224" customFormat="1" x14ac:dyDescent="0.25">
      <c r="A139" s="247">
        <v>45618</v>
      </c>
      <c r="B139" s="882" t="s">
        <v>32</v>
      </c>
      <c r="C139" s="879" t="s">
        <v>12</v>
      </c>
      <c r="D139" s="879" t="s">
        <v>1485</v>
      </c>
      <c r="E139" s="875" t="s">
        <v>13</v>
      </c>
      <c r="F139" s="780">
        <v>22</v>
      </c>
      <c r="G139" s="982"/>
      <c r="H139" s="1008"/>
      <c r="I139" s="1063"/>
      <c r="J139" s="2013"/>
      <c r="K139" s="1207"/>
      <c r="L139" s="622"/>
      <c r="M139" s="982"/>
      <c r="N139" s="622"/>
      <c r="O139" s="1063"/>
      <c r="P139" s="622"/>
      <c r="Q139" s="982"/>
      <c r="R139" s="1028"/>
      <c r="T139" s="878"/>
    </row>
    <row r="140" spans="1:42" s="224" customFormat="1" x14ac:dyDescent="0.25">
      <c r="A140" s="247">
        <v>45618</v>
      </c>
      <c r="B140" s="882" t="s">
        <v>81</v>
      </c>
      <c r="C140" s="879" t="s">
        <v>12</v>
      </c>
      <c r="D140" s="879" t="s">
        <v>1493</v>
      </c>
      <c r="E140" s="871" t="s">
        <v>13</v>
      </c>
      <c r="F140" s="1279">
        <v>5</v>
      </c>
      <c r="G140" s="982"/>
      <c r="H140" s="1008"/>
      <c r="I140" s="1063"/>
      <c r="J140" s="2013"/>
      <c r="K140" s="1207"/>
      <c r="L140" s="622"/>
      <c r="M140" s="982"/>
      <c r="N140" s="622"/>
      <c r="O140" s="1063"/>
      <c r="P140" s="622"/>
      <c r="Q140" s="982"/>
      <c r="R140" s="1028"/>
      <c r="T140" s="878"/>
    </row>
    <row r="141" spans="1:42" s="224" customFormat="1" ht="15" customHeight="1" x14ac:dyDescent="0.25">
      <c r="A141" s="247">
        <v>45618</v>
      </c>
      <c r="B141" s="882" t="s">
        <v>7102</v>
      </c>
      <c r="C141" s="879" t="s">
        <v>12</v>
      </c>
      <c r="D141" s="879"/>
      <c r="E141" s="875" t="s">
        <v>13</v>
      </c>
      <c r="F141" s="780"/>
      <c r="G141" s="982">
        <v>10.98</v>
      </c>
      <c r="H141" s="95"/>
      <c r="I141" s="1064"/>
      <c r="J141" s="622">
        <v>10.98</v>
      </c>
      <c r="K141" s="982"/>
      <c r="L141" s="622"/>
      <c r="M141" s="982"/>
      <c r="N141" s="622"/>
      <c r="O141" s="1063"/>
      <c r="P141" s="622"/>
      <c r="Q141" s="982"/>
      <c r="R141" s="861"/>
    </row>
    <row r="142" spans="1:42" s="224" customFormat="1" ht="15" customHeight="1" x14ac:dyDescent="0.25">
      <c r="A142" s="247">
        <v>45618</v>
      </c>
      <c r="B142" s="882" t="s">
        <v>7101</v>
      </c>
      <c r="C142" s="879" t="s">
        <v>12</v>
      </c>
      <c r="D142" s="879" t="s">
        <v>1524</v>
      </c>
      <c r="E142" s="875" t="s">
        <v>13</v>
      </c>
      <c r="F142" s="780">
        <v>10.98</v>
      </c>
      <c r="G142" s="982"/>
      <c r="H142" s="622"/>
      <c r="I142" s="982"/>
      <c r="J142" s="1116"/>
      <c r="K142" s="1207"/>
      <c r="L142" s="622"/>
      <c r="M142" s="982"/>
      <c r="N142" s="622"/>
      <c r="O142" s="1063"/>
      <c r="P142" s="880"/>
      <c r="Q142" s="1033"/>
      <c r="R142" s="927"/>
      <c r="T142" s="878"/>
    </row>
    <row r="143" spans="1:42" s="224" customFormat="1" ht="15" customHeight="1" x14ac:dyDescent="0.25">
      <c r="A143" s="247">
        <v>45618</v>
      </c>
      <c r="B143" s="1275" t="s">
        <v>6857</v>
      </c>
      <c r="C143" s="1276" t="s">
        <v>12</v>
      </c>
      <c r="D143" s="1276"/>
      <c r="E143" s="1286" t="s">
        <v>13</v>
      </c>
      <c r="F143" s="613">
        <v>118.8</v>
      </c>
      <c r="G143" s="967"/>
      <c r="H143" s="1008"/>
      <c r="I143" s="1063"/>
      <c r="J143" s="613"/>
      <c r="K143" s="6"/>
      <c r="L143" s="622"/>
      <c r="M143" s="982"/>
      <c r="N143" s="622"/>
      <c r="O143" s="1063"/>
      <c r="P143" s="613"/>
      <c r="Q143" s="64"/>
      <c r="R143" s="1024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</row>
    <row r="144" spans="1:42" s="224" customFormat="1" ht="15" customHeight="1" x14ac:dyDescent="0.25">
      <c r="A144" s="247">
        <v>45618</v>
      </c>
      <c r="B144" s="1275" t="s">
        <v>6755</v>
      </c>
      <c r="C144" s="1276" t="s">
        <v>12</v>
      </c>
      <c r="D144" s="1276"/>
      <c r="E144" s="1286"/>
      <c r="F144" s="613"/>
      <c r="G144" s="967">
        <v>118.8</v>
      </c>
      <c r="H144" s="1008"/>
      <c r="I144" s="1063"/>
      <c r="J144" s="613"/>
      <c r="K144" s="6"/>
      <c r="L144" s="622"/>
      <c r="M144" s="982"/>
      <c r="N144" s="622"/>
      <c r="O144" s="1063"/>
      <c r="P144" s="613"/>
      <c r="Q144" s="64"/>
      <c r="R144" s="102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</row>
    <row r="145" spans="1:21" s="224" customFormat="1" ht="15" customHeight="1" x14ac:dyDescent="0.25">
      <c r="A145" s="247">
        <v>45618</v>
      </c>
      <c r="B145" s="882" t="s">
        <v>7048</v>
      </c>
      <c r="C145" s="879" t="s">
        <v>12</v>
      </c>
      <c r="D145" s="879"/>
      <c r="E145" s="875"/>
      <c r="F145" s="780"/>
      <c r="G145" s="982"/>
      <c r="H145" s="95"/>
      <c r="I145" s="1064"/>
      <c r="J145" s="613"/>
      <c r="K145" s="64">
        <v>3021.51</v>
      </c>
      <c r="L145" s="622"/>
      <c r="M145" s="982"/>
      <c r="N145" s="622"/>
      <c r="O145" s="1063"/>
      <c r="P145" s="1116"/>
      <c r="Q145" s="1215"/>
      <c r="R145" s="1028">
        <v>4998</v>
      </c>
      <c r="U145" s="958"/>
    </row>
    <row r="146" spans="1:21" s="224" customFormat="1" ht="15" customHeight="1" x14ac:dyDescent="0.25">
      <c r="A146" s="247">
        <v>45618</v>
      </c>
      <c r="B146" s="882" t="s">
        <v>7049</v>
      </c>
      <c r="C146" s="879" t="s">
        <v>12</v>
      </c>
      <c r="D146" s="879"/>
      <c r="E146" s="875"/>
      <c r="F146" s="780"/>
      <c r="G146" s="982"/>
      <c r="H146" s="95"/>
      <c r="I146" s="1064"/>
      <c r="J146" s="613"/>
      <c r="K146" s="64">
        <v>1976.85</v>
      </c>
      <c r="L146" s="622"/>
      <c r="M146" s="982"/>
      <c r="N146" s="622"/>
      <c r="O146" s="1525"/>
      <c r="P146" s="1116"/>
      <c r="Q146" s="1215"/>
      <c r="R146" s="1028"/>
      <c r="U146" s="958"/>
    </row>
    <row r="147" spans="1:21" s="224" customFormat="1" ht="15" customHeight="1" x14ac:dyDescent="0.25">
      <c r="A147" s="247">
        <v>45619</v>
      </c>
      <c r="B147" s="882" t="s">
        <v>14</v>
      </c>
      <c r="C147" s="879" t="s">
        <v>12</v>
      </c>
      <c r="D147" s="879" t="s">
        <v>1486</v>
      </c>
      <c r="E147" s="875" t="s">
        <v>13</v>
      </c>
      <c r="F147" s="780">
        <v>13.93</v>
      </c>
      <c r="G147" s="982"/>
      <c r="H147" s="622"/>
      <c r="I147" s="982"/>
      <c r="J147" s="1116"/>
      <c r="K147" s="1207"/>
      <c r="L147" s="622"/>
      <c r="M147" s="982"/>
      <c r="N147" s="622"/>
      <c r="O147" s="1063"/>
      <c r="P147" s="880"/>
      <c r="Q147" s="1033"/>
      <c r="R147" s="927"/>
      <c r="T147" s="878"/>
    </row>
    <row r="148" spans="1:21" s="224" customFormat="1" ht="15" customHeight="1" x14ac:dyDescent="0.25">
      <c r="A148" s="247">
        <v>45619</v>
      </c>
      <c r="B148" s="882" t="s">
        <v>7089</v>
      </c>
      <c r="C148" s="879" t="s">
        <v>12</v>
      </c>
      <c r="D148" s="879" t="s">
        <v>6731</v>
      </c>
      <c r="E148" s="871" t="s">
        <v>13</v>
      </c>
      <c r="F148" s="780">
        <v>36.99</v>
      </c>
      <c r="G148" s="982"/>
      <c r="H148" s="95"/>
      <c r="I148" s="1064"/>
      <c r="J148" s="613"/>
      <c r="K148" s="6"/>
      <c r="L148" s="622"/>
      <c r="M148" s="982"/>
      <c r="N148" s="622"/>
      <c r="O148" s="1063"/>
      <c r="P148" s="1110"/>
      <c r="Q148" s="1208"/>
      <c r="R148" s="1028"/>
      <c r="U148" s="958"/>
    </row>
    <row r="149" spans="1:21" s="224" customFormat="1" ht="15" customHeight="1" x14ac:dyDescent="0.25">
      <c r="A149" s="247">
        <v>45619</v>
      </c>
      <c r="B149" s="882" t="s">
        <v>7069</v>
      </c>
      <c r="C149" s="879" t="s">
        <v>12</v>
      </c>
      <c r="D149" s="879" t="s">
        <v>1489</v>
      </c>
      <c r="E149" s="871" t="s">
        <v>13</v>
      </c>
      <c r="F149" s="780">
        <v>16</v>
      </c>
      <c r="G149" s="982"/>
      <c r="H149" s="95"/>
      <c r="I149" s="1064"/>
      <c r="J149" s="622"/>
      <c r="K149" s="982"/>
      <c r="L149" s="622"/>
      <c r="M149" s="982"/>
      <c r="N149" s="622"/>
      <c r="O149" s="1063"/>
      <c r="P149" s="622"/>
      <c r="Q149" s="982"/>
      <c r="R149" s="1028"/>
      <c r="U149" s="958"/>
    </row>
    <row r="150" spans="1:21" s="224" customFormat="1" ht="15" customHeight="1" x14ac:dyDescent="0.25">
      <c r="A150" s="247">
        <v>45619</v>
      </c>
      <c r="B150" s="882" t="s">
        <v>7104</v>
      </c>
      <c r="C150" s="879" t="s">
        <v>12</v>
      </c>
      <c r="D150" s="879" t="s">
        <v>1493</v>
      </c>
      <c r="E150" s="871" t="s">
        <v>13</v>
      </c>
      <c r="F150" s="780">
        <v>21</v>
      </c>
      <c r="G150" s="982"/>
      <c r="H150" s="95"/>
      <c r="I150" s="1064"/>
      <c r="J150" s="622"/>
      <c r="K150" s="982"/>
      <c r="L150" s="622"/>
      <c r="M150" s="982"/>
      <c r="N150" s="622"/>
      <c r="O150" s="1063"/>
      <c r="P150" s="622"/>
      <c r="Q150" s="982"/>
      <c r="R150" s="1028"/>
      <c r="U150" s="958"/>
    </row>
    <row r="151" spans="1:21" s="224" customFormat="1" x14ac:dyDescent="0.25">
      <c r="A151" s="247">
        <v>45619</v>
      </c>
      <c r="B151" s="1275" t="s">
        <v>82</v>
      </c>
      <c r="C151" s="879" t="s">
        <v>12</v>
      </c>
      <c r="D151" s="2529" t="s">
        <v>1493</v>
      </c>
      <c r="E151" s="1277" t="s">
        <v>15</v>
      </c>
      <c r="F151" s="1279">
        <v>25</v>
      </c>
      <c r="G151" s="982"/>
      <c r="H151" s="1008"/>
      <c r="I151" s="1063"/>
      <c r="J151" s="2013"/>
      <c r="K151" s="1207"/>
      <c r="L151" s="622"/>
      <c r="M151" s="982"/>
      <c r="N151" s="622"/>
      <c r="O151" s="1063"/>
      <c r="P151" s="622"/>
      <c r="Q151" s="982"/>
      <c r="R151" s="1028"/>
      <c r="T151" s="878"/>
    </row>
    <row r="152" spans="1:21" s="224" customFormat="1" ht="15" customHeight="1" x14ac:dyDescent="0.25">
      <c r="A152" s="247">
        <v>45620</v>
      </c>
      <c r="B152" s="882" t="s">
        <v>14</v>
      </c>
      <c r="C152" s="879" t="s">
        <v>12</v>
      </c>
      <c r="D152" s="879" t="s">
        <v>1486</v>
      </c>
      <c r="E152" s="875" t="s">
        <v>13</v>
      </c>
      <c r="F152" s="780">
        <v>16.12</v>
      </c>
      <c r="G152" s="982"/>
      <c r="H152" s="622"/>
      <c r="I152" s="982"/>
      <c r="J152" s="1116"/>
      <c r="K152" s="1207"/>
      <c r="L152" s="622"/>
      <c r="M152" s="982"/>
      <c r="N152" s="622"/>
      <c r="O152" s="1063"/>
      <c r="P152" s="880"/>
      <c r="Q152" s="1033"/>
      <c r="R152" s="927"/>
      <c r="T152" s="878"/>
    </row>
    <row r="153" spans="1:21" s="224" customFormat="1" ht="15" customHeight="1" x14ac:dyDescent="0.25">
      <c r="A153" s="247">
        <v>45620</v>
      </c>
      <c r="B153" s="882" t="s">
        <v>7107</v>
      </c>
      <c r="C153" s="879" t="s">
        <v>12</v>
      </c>
      <c r="D153" s="879" t="s">
        <v>1489</v>
      </c>
      <c r="E153" s="871" t="s">
        <v>13</v>
      </c>
      <c r="F153" s="780">
        <v>3.2</v>
      </c>
      <c r="G153" s="982"/>
      <c r="H153" s="95"/>
      <c r="I153" s="1064"/>
      <c r="J153" s="622"/>
      <c r="K153" s="982"/>
      <c r="L153" s="622"/>
      <c r="M153" s="982"/>
      <c r="N153" s="622"/>
      <c r="O153" s="1063"/>
      <c r="P153" s="622"/>
      <c r="Q153" s="982"/>
      <c r="R153" s="1028"/>
      <c r="U153" s="958"/>
    </row>
    <row r="154" spans="1:21" s="224" customFormat="1" ht="15" customHeight="1" x14ac:dyDescent="0.25">
      <c r="A154" s="247">
        <v>45620</v>
      </c>
      <c r="B154" s="882" t="s">
        <v>7105</v>
      </c>
      <c r="C154" s="879" t="s">
        <v>12</v>
      </c>
      <c r="D154" s="879" t="s">
        <v>1523</v>
      </c>
      <c r="E154" s="871" t="s">
        <v>13</v>
      </c>
      <c r="F154" s="780">
        <v>89.57</v>
      </c>
      <c r="G154" s="982"/>
      <c r="H154" s="95"/>
      <c r="I154" s="1064"/>
      <c r="J154" s="622"/>
      <c r="K154" s="982"/>
      <c r="L154" s="622"/>
      <c r="M154" s="982"/>
      <c r="N154" s="622"/>
      <c r="O154" s="1063"/>
      <c r="P154" s="622"/>
      <c r="Q154" s="982"/>
      <c r="R154" s="1028"/>
      <c r="U154" s="958"/>
    </row>
    <row r="155" spans="1:21" s="224" customFormat="1" ht="15" customHeight="1" x14ac:dyDescent="0.25">
      <c r="A155" s="247">
        <v>45620</v>
      </c>
      <c r="B155" s="882" t="s">
        <v>7106</v>
      </c>
      <c r="C155" s="879" t="s">
        <v>12</v>
      </c>
      <c r="D155" s="879" t="s">
        <v>1523</v>
      </c>
      <c r="E155" s="871" t="s">
        <v>13</v>
      </c>
      <c r="F155" s="780">
        <v>53.3</v>
      </c>
      <c r="G155" s="982"/>
      <c r="H155" s="95"/>
      <c r="I155" s="1064"/>
      <c r="J155" s="622"/>
      <c r="K155" s="982"/>
      <c r="L155" s="622"/>
      <c r="M155" s="982"/>
      <c r="N155" s="622"/>
      <c r="O155" s="1063"/>
      <c r="P155" s="622"/>
      <c r="Q155" s="982"/>
      <c r="R155" s="1028"/>
      <c r="U155" s="958"/>
    </row>
    <row r="156" spans="1:21" s="224" customFormat="1" ht="15" customHeight="1" x14ac:dyDescent="0.25">
      <c r="A156" s="247">
        <v>45620</v>
      </c>
      <c r="B156" s="882" t="s">
        <v>7106</v>
      </c>
      <c r="C156" s="879" t="s">
        <v>12</v>
      </c>
      <c r="D156" s="879" t="s">
        <v>1523</v>
      </c>
      <c r="E156" s="871" t="s">
        <v>13</v>
      </c>
      <c r="F156" s="780">
        <v>15.5</v>
      </c>
      <c r="G156" s="982"/>
      <c r="H156" s="95"/>
      <c r="I156" s="1064"/>
      <c r="J156" s="622"/>
      <c r="K156" s="982"/>
      <c r="L156" s="622"/>
      <c r="M156" s="982"/>
      <c r="N156" s="622"/>
      <c r="O156" s="1063"/>
      <c r="P156" s="622"/>
      <c r="Q156" s="982"/>
      <c r="R156" s="1028"/>
      <c r="U156" s="958"/>
    </row>
    <row r="157" spans="1:21" s="224" customFormat="1" x14ac:dyDescent="0.25">
      <c r="A157" s="247">
        <v>45621</v>
      </c>
      <c r="B157" s="882" t="s">
        <v>32</v>
      </c>
      <c r="C157" s="879" t="s">
        <v>12</v>
      </c>
      <c r="D157" s="879" t="s">
        <v>1485</v>
      </c>
      <c r="E157" s="875" t="s">
        <v>13</v>
      </c>
      <c r="F157" s="780">
        <v>22</v>
      </c>
      <c r="G157" s="982"/>
      <c r="H157" s="1008"/>
      <c r="I157" s="1063"/>
      <c r="J157" s="2013"/>
      <c r="K157" s="1207"/>
      <c r="L157" s="622"/>
      <c r="M157" s="982"/>
      <c r="N157" s="622"/>
      <c r="O157" s="1063"/>
      <c r="P157" s="622"/>
      <c r="Q157" s="982"/>
      <c r="R157" s="1028"/>
      <c r="T157" s="878"/>
    </row>
    <row r="158" spans="1:21" s="224" customFormat="1" x14ac:dyDescent="0.25">
      <c r="A158" s="247">
        <v>45621</v>
      </c>
      <c r="B158" s="882" t="s">
        <v>2629</v>
      </c>
      <c r="C158" s="879" t="s">
        <v>12</v>
      </c>
      <c r="D158" s="879" t="s">
        <v>1489</v>
      </c>
      <c r="E158" s="875" t="s">
        <v>13</v>
      </c>
      <c r="F158" s="780">
        <v>19.760000000000002</v>
      </c>
      <c r="G158" s="982"/>
      <c r="H158" s="1008"/>
      <c r="I158" s="1063"/>
      <c r="J158" s="2013"/>
      <c r="K158" s="1207"/>
      <c r="L158" s="622"/>
      <c r="M158" s="982"/>
      <c r="N158" s="622"/>
      <c r="O158" s="1063"/>
      <c r="P158" s="622"/>
      <c r="Q158" s="982"/>
      <c r="R158" s="1028"/>
      <c r="T158" s="878"/>
    </row>
    <row r="159" spans="1:21" s="224" customFormat="1" ht="15" customHeight="1" x14ac:dyDescent="0.25">
      <c r="A159" s="247">
        <v>45621</v>
      </c>
      <c r="B159" s="882" t="s">
        <v>7108</v>
      </c>
      <c r="C159" s="879" t="s">
        <v>12</v>
      </c>
      <c r="D159" s="879" t="s">
        <v>1489</v>
      </c>
      <c r="E159" s="875" t="s">
        <v>13</v>
      </c>
      <c r="F159" s="780">
        <v>13</v>
      </c>
      <c r="G159" s="982"/>
      <c r="H159" s="622"/>
      <c r="I159" s="982"/>
      <c r="J159" s="872"/>
      <c r="K159" s="1207"/>
      <c r="L159" s="622"/>
      <c r="M159" s="982"/>
      <c r="N159" s="622"/>
      <c r="O159" s="1063"/>
      <c r="P159" s="622"/>
      <c r="Q159" s="982"/>
      <c r="R159" s="1028"/>
      <c r="S159" s="959"/>
      <c r="T159" s="878"/>
      <c r="U159" s="958"/>
    </row>
    <row r="160" spans="1:21" s="224" customFormat="1" ht="15" customHeight="1" x14ac:dyDescent="0.25">
      <c r="A160" s="247">
        <v>45621</v>
      </c>
      <c r="B160" s="882" t="s">
        <v>14</v>
      </c>
      <c r="C160" s="879" t="s">
        <v>12</v>
      </c>
      <c r="D160" s="879" t="s">
        <v>1486</v>
      </c>
      <c r="E160" s="875" t="s">
        <v>13</v>
      </c>
      <c r="F160" s="780">
        <v>5.29</v>
      </c>
      <c r="G160" s="982"/>
      <c r="H160" s="622"/>
      <c r="I160" s="982"/>
      <c r="J160" s="1116"/>
      <c r="K160" s="1207"/>
      <c r="L160" s="622"/>
      <c r="M160" s="982"/>
      <c r="N160" s="622"/>
      <c r="O160" s="1063"/>
      <c r="P160" s="880"/>
      <c r="Q160" s="1033"/>
      <c r="R160" s="927"/>
      <c r="T160" s="878"/>
    </row>
    <row r="161" spans="1:44" s="224" customFormat="1" ht="15" customHeight="1" x14ac:dyDescent="0.25">
      <c r="A161" s="247">
        <v>45622</v>
      </c>
      <c r="B161" s="882" t="s">
        <v>6329</v>
      </c>
      <c r="C161" s="879" t="s">
        <v>12</v>
      </c>
      <c r="D161" s="879"/>
      <c r="E161" s="875" t="s">
        <v>25</v>
      </c>
      <c r="F161" s="780"/>
      <c r="G161" s="982">
        <v>100</v>
      </c>
      <c r="H161" s="1008"/>
      <c r="I161" s="1063"/>
      <c r="J161" s="613"/>
      <c r="K161" s="982"/>
      <c r="L161" s="622"/>
      <c r="M161" s="982"/>
      <c r="N161" s="622"/>
      <c r="O161" s="1063"/>
      <c r="P161" s="622"/>
      <c r="Q161" s="982"/>
      <c r="R161" s="861"/>
    </row>
    <row r="162" spans="1:44" s="224" customFormat="1" x14ac:dyDescent="0.25">
      <c r="A162" s="247">
        <v>45622</v>
      </c>
      <c r="B162" s="882" t="s">
        <v>32</v>
      </c>
      <c r="C162" s="879" t="s">
        <v>12</v>
      </c>
      <c r="D162" s="879" t="s">
        <v>1485</v>
      </c>
      <c r="E162" s="875" t="s">
        <v>13</v>
      </c>
      <c r="F162" s="780">
        <v>22</v>
      </c>
      <c r="G162" s="982"/>
      <c r="H162" s="1008"/>
      <c r="I162" s="1063"/>
      <c r="J162" s="2013"/>
      <c r="K162" s="1207"/>
      <c r="L162" s="622"/>
      <c r="M162" s="982"/>
      <c r="N162" s="622"/>
      <c r="O162" s="1063"/>
      <c r="P162" s="622"/>
      <c r="Q162" s="982"/>
      <c r="R162" s="1028"/>
      <c r="T162" s="878"/>
    </row>
    <row r="163" spans="1:44" s="224" customFormat="1" ht="15" customHeight="1" x14ac:dyDescent="0.25">
      <c r="A163" s="247">
        <v>45622</v>
      </c>
      <c r="B163" s="882" t="s">
        <v>7109</v>
      </c>
      <c r="C163" s="879" t="s">
        <v>12</v>
      </c>
      <c r="D163" s="879" t="s">
        <v>1506</v>
      </c>
      <c r="E163" s="875" t="s">
        <v>13</v>
      </c>
      <c r="F163" s="780">
        <v>6</v>
      </c>
      <c r="G163" s="982"/>
      <c r="H163" s="622"/>
      <c r="I163" s="982"/>
      <c r="J163" s="622"/>
      <c r="K163" s="982"/>
      <c r="L163" s="622"/>
      <c r="M163" s="982"/>
      <c r="N163" s="880"/>
      <c r="O163" s="1525"/>
      <c r="P163" s="613"/>
      <c r="Q163" s="162"/>
      <c r="R163" s="1956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</row>
    <row r="164" spans="1:44" s="224" customFormat="1" ht="15" customHeight="1" x14ac:dyDescent="0.25">
      <c r="A164" s="247">
        <v>45622</v>
      </c>
      <c r="B164" s="882" t="s">
        <v>14</v>
      </c>
      <c r="C164" s="879" t="s">
        <v>12</v>
      </c>
      <c r="D164" s="879" t="s">
        <v>1486</v>
      </c>
      <c r="E164" s="875" t="s">
        <v>13</v>
      </c>
      <c r="F164" s="780">
        <v>17.28</v>
      </c>
      <c r="G164" s="982"/>
      <c r="H164" s="622"/>
      <c r="I164" s="982"/>
      <c r="J164" s="622"/>
      <c r="K164" s="982"/>
      <c r="L164" s="622"/>
      <c r="M164" s="982"/>
      <c r="N164" s="880"/>
      <c r="O164" s="1525"/>
      <c r="P164" s="613"/>
      <c r="Q164" s="162"/>
      <c r="R164" s="1956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</row>
    <row r="165" spans="1:44" s="224" customFormat="1" ht="15" customHeight="1" x14ac:dyDescent="0.25">
      <c r="A165" s="247">
        <v>45623</v>
      </c>
      <c r="B165" s="882" t="s">
        <v>2789</v>
      </c>
      <c r="C165" s="879" t="s">
        <v>12</v>
      </c>
      <c r="D165" s="879" t="s">
        <v>1485</v>
      </c>
      <c r="E165" s="875" t="s">
        <v>13</v>
      </c>
      <c r="F165" s="780">
        <v>12.5</v>
      </c>
      <c r="G165" s="982"/>
      <c r="H165" s="95"/>
      <c r="I165" s="1064"/>
      <c r="J165" s="622"/>
      <c r="K165" s="982"/>
      <c r="L165" s="622"/>
      <c r="M165" s="982"/>
      <c r="N165" s="622"/>
      <c r="O165" s="1063"/>
      <c r="P165" s="622"/>
      <c r="Q165" s="982"/>
      <c r="R165" s="1028"/>
      <c r="U165" s="958"/>
    </row>
    <row r="166" spans="1:44" s="224" customFormat="1" ht="15" customHeight="1" x14ac:dyDescent="0.25">
      <c r="A166" s="247">
        <v>45623</v>
      </c>
      <c r="B166" s="364" t="s">
        <v>6566</v>
      </c>
      <c r="C166" s="350" t="s">
        <v>12</v>
      </c>
      <c r="D166" s="350" t="s">
        <v>1489</v>
      </c>
      <c r="E166" s="875" t="s">
        <v>13</v>
      </c>
      <c r="F166" s="780">
        <v>14.99</v>
      </c>
      <c r="G166" s="982"/>
      <c r="H166" s="1008"/>
      <c r="I166" s="1063"/>
      <c r="J166" s="1116"/>
      <c r="K166" s="1207"/>
      <c r="L166" s="622"/>
      <c r="M166" s="982"/>
      <c r="N166" s="622"/>
      <c r="O166" s="1063"/>
      <c r="P166" s="622"/>
      <c r="Q166" s="982"/>
      <c r="R166" s="861"/>
      <c r="T166" s="1035"/>
    </row>
    <row r="167" spans="1:44" s="224" customFormat="1" ht="15" customHeight="1" x14ac:dyDescent="0.25">
      <c r="A167" s="247">
        <v>45623</v>
      </c>
      <c r="B167" s="364" t="s">
        <v>3958</v>
      </c>
      <c r="C167" s="350" t="s">
        <v>12</v>
      </c>
      <c r="D167" s="350" t="s">
        <v>1489</v>
      </c>
      <c r="E167" s="875" t="s">
        <v>13</v>
      </c>
      <c r="F167" s="780">
        <v>24.8</v>
      </c>
      <c r="G167" s="982"/>
      <c r="H167" s="1008"/>
      <c r="I167" s="1063"/>
      <c r="J167" s="1116"/>
      <c r="K167" s="1207"/>
      <c r="L167" s="622"/>
      <c r="M167" s="982"/>
      <c r="N167" s="622"/>
      <c r="O167" s="1063"/>
      <c r="P167" s="622"/>
      <c r="Q167" s="982"/>
      <c r="R167" s="861"/>
      <c r="T167" s="1035"/>
    </row>
    <row r="168" spans="1:44" s="224" customFormat="1" ht="15" customHeight="1" x14ac:dyDescent="0.25">
      <c r="A168" s="247">
        <v>45623</v>
      </c>
      <c r="B168" s="364" t="s">
        <v>7110</v>
      </c>
      <c r="C168" s="350" t="s">
        <v>12</v>
      </c>
      <c r="D168" s="350" t="s">
        <v>6731</v>
      </c>
      <c r="E168" s="875" t="s">
        <v>13</v>
      </c>
      <c r="F168" s="780">
        <v>6.5</v>
      </c>
      <c r="G168" s="982"/>
      <c r="H168" s="1008"/>
      <c r="I168" s="1063"/>
      <c r="J168" s="1116"/>
      <c r="K168" s="1207"/>
      <c r="L168" s="622"/>
      <c r="M168" s="982"/>
      <c r="N168" s="622"/>
      <c r="O168" s="1063"/>
      <c r="P168" s="622"/>
      <c r="Q168" s="982"/>
      <c r="R168" s="861"/>
      <c r="T168" s="1035"/>
    </row>
    <row r="169" spans="1:44" s="224" customFormat="1" ht="15" customHeight="1" x14ac:dyDescent="0.25">
      <c r="A169" s="247">
        <v>45624</v>
      </c>
      <c r="B169" s="882" t="s">
        <v>7111</v>
      </c>
      <c r="C169" s="879" t="s">
        <v>12</v>
      </c>
      <c r="D169" s="879" t="s">
        <v>1493</v>
      </c>
      <c r="E169" s="871" t="s">
        <v>13</v>
      </c>
      <c r="F169" s="780">
        <v>45</v>
      </c>
      <c r="G169" s="982"/>
      <c r="H169" s="622"/>
      <c r="I169" s="982"/>
      <c r="J169" s="872"/>
      <c r="K169" s="1207"/>
      <c r="L169" s="622"/>
      <c r="M169" s="982"/>
      <c r="N169" s="622"/>
      <c r="O169" s="1063"/>
      <c r="P169" s="622"/>
      <c r="Q169" s="982"/>
      <c r="R169" s="1028"/>
      <c r="S169" s="959"/>
      <c r="T169" s="878"/>
      <c r="U169" s="958"/>
    </row>
    <row r="170" spans="1:44" s="224" customFormat="1" x14ac:dyDescent="0.25">
      <c r="A170" s="247">
        <v>45624</v>
      </c>
      <c r="B170" s="882" t="s">
        <v>32</v>
      </c>
      <c r="C170" s="879" t="s">
        <v>12</v>
      </c>
      <c r="D170" s="879" t="s">
        <v>1485</v>
      </c>
      <c r="E170" s="875" t="s">
        <v>13</v>
      </c>
      <c r="F170" s="780">
        <v>22</v>
      </c>
      <c r="G170" s="982"/>
      <c r="H170" s="1008"/>
      <c r="I170" s="1063"/>
      <c r="J170" s="2013"/>
      <c r="K170" s="1207"/>
      <c r="L170" s="622"/>
      <c r="M170" s="982"/>
      <c r="N170" s="622"/>
      <c r="O170" s="1063"/>
      <c r="P170" s="622"/>
      <c r="Q170" s="982"/>
      <c r="R170" s="1028"/>
      <c r="T170" s="878"/>
    </row>
    <row r="171" spans="1:44" s="224" customFormat="1" ht="15" customHeight="1" x14ac:dyDescent="0.25">
      <c r="A171" s="247">
        <v>45624</v>
      </c>
      <c r="B171" s="882" t="s">
        <v>7113</v>
      </c>
      <c r="C171" s="879" t="s">
        <v>12</v>
      </c>
      <c r="D171" s="879" t="s">
        <v>1525</v>
      </c>
      <c r="E171" s="871" t="s">
        <v>13</v>
      </c>
      <c r="F171" s="780">
        <v>19.78</v>
      </c>
      <c r="G171" s="982"/>
      <c r="H171" s="622"/>
      <c r="I171" s="982"/>
      <c r="J171" s="872"/>
      <c r="K171" s="1207"/>
      <c r="L171" s="622"/>
      <c r="M171" s="982"/>
      <c r="N171" s="622"/>
      <c r="O171" s="1063"/>
      <c r="P171" s="622"/>
      <c r="Q171" s="982"/>
      <c r="R171" s="1028"/>
      <c r="S171" s="959"/>
      <c r="T171" s="878"/>
      <c r="U171" s="958"/>
    </row>
    <row r="172" spans="1:44" s="224" customFormat="1" ht="15" customHeight="1" x14ac:dyDescent="0.25">
      <c r="A172" s="247">
        <v>45624</v>
      </c>
      <c r="B172" s="882" t="s">
        <v>14</v>
      </c>
      <c r="C172" s="879" t="s">
        <v>12</v>
      </c>
      <c r="D172" s="879" t="s">
        <v>1486</v>
      </c>
      <c r="E172" s="875" t="s">
        <v>13</v>
      </c>
      <c r="F172" s="780">
        <v>9.57</v>
      </c>
      <c r="G172" s="982"/>
      <c r="H172" s="622"/>
      <c r="I172" s="982"/>
      <c r="J172" s="622"/>
      <c r="K172" s="982"/>
      <c r="L172" s="622"/>
      <c r="M172" s="982"/>
      <c r="N172" s="880"/>
      <c r="O172" s="1525"/>
      <c r="P172" s="613"/>
      <c r="Q172" s="162"/>
      <c r="R172" s="1956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</row>
    <row r="173" spans="1:44" s="224" customFormat="1" ht="15" customHeight="1" x14ac:dyDescent="0.25">
      <c r="A173" s="247">
        <v>45625</v>
      </c>
      <c r="B173" s="349" t="s">
        <v>6978</v>
      </c>
      <c r="C173" s="350" t="s">
        <v>12</v>
      </c>
      <c r="D173" s="350"/>
      <c r="E173" s="480" t="s">
        <v>25</v>
      </c>
      <c r="F173" s="780"/>
      <c r="G173" s="982">
        <v>3000</v>
      </c>
      <c r="H173" s="95"/>
      <c r="I173" s="1064"/>
      <c r="J173" s="622"/>
      <c r="K173" s="982"/>
      <c r="L173" s="622"/>
      <c r="M173" s="982"/>
      <c r="N173" s="622"/>
      <c r="O173" s="1063"/>
      <c r="P173" s="622"/>
      <c r="Q173" s="982"/>
      <c r="R173" s="861">
        <v>3000</v>
      </c>
      <c r="T173" s="927"/>
      <c r="U173" s="999"/>
    </row>
    <row r="174" spans="1:44" s="224" customFormat="1" ht="15" customHeight="1" x14ac:dyDescent="0.25">
      <c r="A174" s="247">
        <v>45625</v>
      </c>
      <c r="B174" s="882" t="s">
        <v>6914</v>
      </c>
      <c r="C174" s="879" t="s">
        <v>12</v>
      </c>
      <c r="D174" s="879"/>
      <c r="E174" s="875" t="s">
        <v>13</v>
      </c>
      <c r="F174" s="780">
        <v>1500</v>
      </c>
      <c r="G174" s="982"/>
      <c r="H174" s="622"/>
      <c r="I174" s="982">
        <v>1500</v>
      </c>
      <c r="J174" s="622"/>
      <c r="K174" s="982"/>
      <c r="L174" s="622"/>
      <c r="M174" s="982"/>
      <c r="N174" s="880"/>
      <c r="O174" s="1525"/>
      <c r="P174" s="613"/>
      <c r="Q174" s="162"/>
      <c r="R174" s="1956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</row>
    <row r="175" spans="1:44" s="224" customFormat="1" ht="15" customHeight="1" x14ac:dyDescent="0.25">
      <c r="A175" s="247">
        <v>45625</v>
      </c>
      <c r="B175" s="882" t="s">
        <v>6914</v>
      </c>
      <c r="C175" s="879" t="s">
        <v>12</v>
      </c>
      <c r="D175" s="879"/>
      <c r="E175" s="875" t="s">
        <v>13</v>
      </c>
      <c r="F175" s="780">
        <v>1087.8599999999999</v>
      </c>
      <c r="G175" s="982"/>
      <c r="H175" s="622"/>
      <c r="I175" s="982"/>
      <c r="J175" s="622"/>
      <c r="K175" s="982"/>
      <c r="L175" s="622"/>
      <c r="M175" s="982"/>
      <c r="N175" s="880"/>
      <c r="O175" s="1525">
        <v>1087.8599999999999</v>
      </c>
      <c r="P175" s="613"/>
      <c r="Q175" s="162"/>
      <c r="R175" s="254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</row>
    <row r="176" spans="1:44" s="224" customFormat="1" ht="15" customHeight="1" x14ac:dyDescent="0.25">
      <c r="A176" s="247">
        <v>45625</v>
      </c>
      <c r="B176" s="1275" t="s">
        <v>1331</v>
      </c>
      <c r="C176" s="1276" t="s">
        <v>19</v>
      </c>
      <c r="D176" s="1276" t="s">
        <v>2157</v>
      </c>
      <c r="E176" s="1286" t="s">
        <v>15</v>
      </c>
      <c r="F176" s="613">
        <v>20</v>
      </c>
      <c r="G176" s="967"/>
      <c r="H176" s="1008"/>
      <c r="I176" s="1063"/>
      <c r="J176" s="613"/>
      <c r="K176" s="6"/>
      <c r="L176" s="613"/>
      <c r="M176" s="6"/>
      <c r="N176" s="622"/>
      <c r="O176" s="982"/>
      <c r="P176" s="622"/>
      <c r="Q176" s="982"/>
      <c r="R176" s="941"/>
      <c r="S176" s="18"/>
      <c r="T176" s="1028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</row>
    <row r="177" spans="1:42" s="224" customFormat="1" ht="15" customHeight="1" x14ac:dyDescent="0.25">
      <c r="A177" s="247">
        <v>45625</v>
      </c>
      <c r="B177" s="882" t="s">
        <v>32</v>
      </c>
      <c r="C177" s="879" t="s">
        <v>12</v>
      </c>
      <c r="D177" s="879" t="s">
        <v>1485</v>
      </c>
      <c r="E177" s="875" t="s">
        <v>13</v>
      </c>
      <c r="F177" s="780">
        <v>22</v>
      </c>
      <c r="G177" s="982"/>
      <c r="H177" s="622"/>
      <c r="I177" s="982"/>
      <c r="J177" s="872"/>
      <c r="K177" s="1207"/>
      <c r="L177" s="622"/>
      <c r="M177" s="982"/>
      <c r="N177" s="622"/>
      <c r="O177" s="1063"/>
      <c r="P177" s="622"/>
      <c r="Q177" s="982"/>
      <c r="R177" s="1117"/>
      <c r="S177" s="959"/>
      <c r="T177" s="878"/>
      <c r="U177" s="958"/>
    </row>
    <row r="178" spans="1:42" s="224" customFormat="1" ht="15" customHeight="1" x14ac:dyDescent="0.25">
      <c r="A178" s="247">
        <v>45625</v>
      </c>
      <c r="B178" s="349" t="s">
        <v>3958</v>
      </c>
      <c r="C178" s="350" t="s">
        <v>12</v>
      </c>
      <c r="D178" s="350" t="s">
        <v>1489</v>
      </c>
      <c r="E178" s="480" t="s">
        <v>13</v>
      </c>
      <c r="F178" s="780">
        <v>23</v>
      </c>
      <c r="G178" s="982"/>
      <c r="H178" s="95"/>
      <c r="I178" s="1064"/>
      <c r="J178" s="622"/>
      <c r="K178" s="982"/>
      <c r="L178" s="622"/>
      <c r="M178" s="982"/>
      <c r="N178" s="622"/>
      <c r="O178" s="1063"/>
      <c r="P178" s="622"/>
      <c r="Q178" s="982"/>
      <c r="R178" s="861"/>
      <c r="T178" s="927"/>
      <c r="U178" s="999"/>
    </row>
    <row r="179" spans="1:42" s="224" customFormat="1" ht="15" customHeight="1" x14ac:dyDescent="0.25">
      <c r="A179" s="247">
        <v>45626</v>
      </c>
      <c r="B179" s="882" t="s">
        <v>14</v>
      </c>
      <c r="C179" s="879" t="s">
        <v>12</v>
      </c>
      <c r="D179" s="879" t="s">
        <v>1486</v>
      </c>
      <c r="E179" s="875" t="s">
        <v>13</v>
      </c>
      <c r="F179" s="780">
        <v>9.07</v>
      </c>
      <c r="G179" s="982"/>
      <c r="H179" s="622"/>
      <c r="I179" s="982"/>
      <c r="J179" s="622"/>
      <c r="K179" s="982"/>
      <c r="L179" s="622"/>
      <c r="M179" s="982"/>
      <c r="N179" s="880"/>
      <c r="O179" s="1525"/>
      <c r="P179" s="613"/>
      <c r="Q179" s="162"/>
      <c r="R179" s="1956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</row>
    <row r="180" spans="1:42" s="224" customFormat="1" ht="15" customHeight="1" x14ac:dyDescent="0.25">
      <c r="A180" s="247">
        <v>45626</v>
      </c>
      <c r="B180" s="882" t="s">
        <v>2629</v>
      </c>
      <c r="C180" s="879" t="s">
        <v>12</v>
      </c>
      <c r="D180" s="879" t="s">
        <v>1489</v>
      </c>
      <c r="E180" s="871" t="s">
        <v>13</v>
      </c>
      <c r="F180" s="780">
        <v>54.84</v>
      </c>
      <c r="G180" s="982"/>
      <c r="H180" s="622"/>
      <c r="I180" s="982"/>
      <c r="J180" s="622"/>
      <c r="K180" s="982"/>
      <c r="L180" s="622"/>
      <c r="M180" s="982"/>
      <c r="N180" s="622"/>
      <c r="O180" s="1063"/>
      <c r="P180" s="622"/>
      <c r="Q180" s="982"/>
      <c r="R180" s="1028"/>
      <c r="S180" s="959"/>
      <c r="T180" s="878"/>
      <c r="U180" s="958"/>
    </row>
    <row r="181" spans="1:42" s="224" customFormat="1" ht="15" customHeight="1" x14ac:dyDescent="0.25">
      <c r="A181" s="247">
        <v>45626</v>
      </c>
      <c r="B181" s="882" t="s">
        <v>82</v>
      </c>
      <c r="C181" s="879" t="s">
        <v>12</v>
      </c>
      <c r="D181" s="879" t="s">
        <v>1493</v>
      </c>
      <c r="E181" s="871" t="s">
        <v>13</v>
      </c>
      <c r="F181" s="780">
        <v>30</v>
      </c>
      <c r="G181" s="982"/>
      <c r="H181" s="622"/>
      <c r="I181" s="982"/>
      <c r="J181" s="622"/>
      <c r="K181" s="982"/>
      <c r="L181" s="622"/>
      <c r="M181" s="982"/>
      <c r="N181" s="622"/>
      <c r="O181" s="1063"/>
      <c r="P181" s="622"/>
      <c r="Q181" s="982"/>
      <c r="R181" s="1028"/>
      <c r="S181" s="959"/>
      <c r="T181" s="878"/>
      <c r="U181" s="958"/>
    </row>
    <row r="182" spans="1:42" s="224" customFormat="1" ht="15" customHeight="1" thickBot="1" x14ac:dyDescent="0.3">
      <c r="A182" s="2547">
        <v>45626</v>
      </c>
      <c r="B182" s="2548" t="s">
        <v>6168</v>
      </c>
      <c r="C182" s="2549" t="s">
        <v>12</v>
      </c>
      <c r="D182" s="2549"/>
      <c r="E182" s="2550" t="s">
        <v>25</v>
      </c>
      <c r="F182" s="2551"/>
      <c r="G182" s="1522"/>
      <c r="H182" s="1012"/>
      <c r="I182" s="2552">
        <v>1.55</v>
      </c>
      <c r="J182" s="1036"/>
      <c r="K182" s="2552"/>
      <c r="L182" s="1036"/>
      <c r="M182" s="1535"/>
      <c r="N182" s="1036"/>
      <c r="O182" s="2552">
        <v>18.71</v>
      </c>
      <c r="P182" s="1036"/>
      <c r="Q182" s="1535"/>
      <c r="R182" s="2585">
        <f>I182+K182+O182</f>
        <v>20.260000000000002</v>
      </c>
      <c r="T182" s="927"/>
      <c r="U182" s="999"/>
    </row>
    <row r="183" spans="1:42" ht="25.5" customHeight="1" thickBot="1" x14ac:dyDescent="0.3">
      <c r="A183" s="3060"/>
      <c r="B183" s="3061"/>
      <c r="C183" s="3062"/>
      <c r="D183" s="3062"/>
      <c r="E183" s="3062"/>
      <c r="F183" s="1023">
        <f>SUM(F6:F182)</f>
        <v>14524.215833333335</v>
      </c>
      <c r="G183" s="1065">
        <f>SUM(G5:G182)</f>
        <v>15260.351583333382</v>
      </c>
      <c r="H183" s="517">
        <f>SUM(H6:H182)</f>
        <v>302.76</v>
      </c>
      <c r="I183" s="93">
        <f>SUM(I5:I182)</f>
        <v>1802.7559999999989</v>
      </c>
      <c r="J183" s="517">
        <f>SUM(J6:J182)</f>
        <v>3174.7599999999998</v>
      </c>
      <c r="K183" s="93">
        <f>SUM(K5:K182)</f>
        <v>7784.1400000000067</v>
      </c>
      <c r="L183" s="1023">
        <f>SUM(L6:L182)</f>
        <v>0</v>
      </c>
      <c r="M183" s="93">
        <f>SUM(M5:M182)</f>
        <v>0</v>
      </c>
      <c r="N183" s="1023">
        <f>SUM(N6:N182)</f>
        <v>2200</v>
      </c>
      <c r="O183" s="93">
        <f>SUM(O5:O182)</f>
        <v>5200.5700000000024</v>
      </c>
      <c r="P183" s="1023">
        <f>SUM(P6:P182)</f>
        <v>0</v>
      </c>
      <c r="Q183" s="93">
        <f>SUM(Q5:Q182)</f>
        <v>28585.355984720001</v>
      </c>
      <c r="S183" s="216"/>
    </row>
    <row r="184" spans="1:42" ht="25.5" customHeight="1" thickBot="1" x14ac:dyDescent="0.3">
      <c r="A184" s="3063" t="s">
        <v>49</v>
      </c>
      <c r="B184" s="3064"/>
      <c r="C184" s="3064"/>
      <c r="D184" s="3064"/>
      <c r="E184" s="3064"/>
      <c r="F184" s="2046" t="s">
        <v>280</v>
      </c>
      <c r="G184" s="1066">
        <f>G183-F183</f>
        <v>736.13575000004676</v>
      </c>
      <c r="H184" s="1221"/>
      <c r="I184" s="772">
        <f>I183-H183</f>
        <v>1499.995999999999</v>
      </c>
      <c r="J184" s="1221"/>
      <c r="K184" s="772">
        <f>K183-J183</f>
        <v>4609.3800000000065</v>
      </c>
      <c r="L184" s="1222"/>
      <c r="M184" s="772">
        <f>M183-L183</f>
        <v>0</v>
      </c>
      <c r="N184" s="1222"/>
      <c r="O184" s="772">
        <f>O183-N183</f>
        <v>3000.5700000000024</v>
      </c>
      <c r="P184" s="1222"/>
      <c r="Q184" s="772">
        <f>Q183-P183</f>
        <v>28585.355984720001</v>
      </c>
      <c r="R184" s="484">
        <f>M184+O184+Q184</f>
        <v>31585.925984720005</v>
      </c>
    </row>
    <row r="185" spans="1:42" x14ac:dyDescent="0.25">
      <c r="J185" s="1210"/>
      <c r="K185" s="1038"/>
      <c r="M185" s="1238">
        <f>M184/R184</f>
        <v>0</v>
      </c>
      <c r="O185" s="1238">
        <f>O184/R184</f>
        <v>9.499705664641768E-2</v>
      </c>
      <c r="P185" s="1239"/>
      <c r="Q185" s="1239">
        <f>Q184/R184</f>
        <v>0.90500294335358233</v>
      </c>
      <c r="R185" s="867"/>
      <c r="S185" s="867"/>
      <c r="T185" s="79"/>
      <c r="W185" s="518"/>
      <c r="X185" s="216"/>
      <c r="Z185" s="877"/>
    </row>
    <row r="186" spans="1:42" x14ac:dyDescent="0.25">
      <c r="B186" s="81" t="s">
        <v>3</v>
      </c>
      <c r="C186" s="193" t="s">
        <v>1484</v>
      </c>
      <c r="D186" s="970" t="s">
        <v>2378</v>
      </c>
      <c r="E186" s="193" t="s">
        <v>3216</v>
      </c>
      <c r="F186" s="1061" t="s">
        <v>3217</v>
      </c>
      <c r="G186" s="216"/>
      <c r="I186" s="216"/>
      <c r="J186" s="1038"/>
      <c r="K186" s="216"/>
      <c r="M186" s="866"/>
      <c r="O186" s="866"/>
      <c r="P186" s="1038"/>
      <c r="Q186" s="1038"/>
      <c r="R186" s="865"/>
      <c r="S186" s="867"/>
    </row>
    <row r="187" spans="1:42" x14ac:dyDescent="0.25">
      <c r="B187" s="79" t="s">
        <v>32</v>
      </c>
      <c r="C187" s="85" t="s">
        <v>1485</v>
      </c>
      <c r="D187" s="475">
        <f>SUMIF($D$7:$D$182,C187,$F$7:$F$182)</f>
        <v>442.8</v>
      </c>
      <c r="E187" s="1202">
        <f t="shared" ref="E187:E203" si="0">D187/$K$207</f>
        <v>14.76</v>
      </c>
      <c r="F187" s="1203">
        <f t="shared" ref="F187:F203" si="1">E187/$E$208</f>
        <v>8.8160983389180575E-2</v>
      </c>
      <c r="G187" s="800"/>
      <c r="I187" s="769"/>
      <c r="J187" s="1038"/>
      <c r="K187" s="1225"/>
      <c r="M187" s="886"/>
      <c r="O187" s="886"/>
      <c r="P187" s="886"/>
      <c r="Q187" s="1038">
        <v>24197.98</v>
      </c>
      <c r="R187" s="1038" t="s">
        <v>6378</v>
      </c>
      <c r="S187" s="1210"/>
      <c r="U187" s="1201"/>
      <c r="V187" s="877"/>
    </row>
    <row r="188" spans="1:42" x14ac:dyDescent="0.25">
      <c r="B188" s="79" t="s">
        <v>2187</v>
      </c>
      <c r="C188" s="85" t="s">
        <v>2157</v>
      </c>
      <c r="D188" s="475">
        <f t="shared" ref="D188:D202" si="2">SUMIF($D$13:$D$182,C188,$F$13:$F$182)</f>
        <v>20</v>
      </c>
      <c r="E188" s="1202">
        <f>D188/$K$207</f>
        <v>0.66666666666666663</v>
      </c>
      <c r="F188" s="1203">
        <f t="shared" si="1"/>
        <v>3.9819775695203513E-3</v>
      </c>
      <c r="G188" s="609"/>
      <c r="J188" s="2125"/>
      <c r="K188" s="1129"/>
      <c r="M188" s="1210"/>
      <c r="O188" s="1038"/>
      <c r="P188" s="1210"/>
      <c r="Q188" s="1210">
        <f>Q184+Q187</f>
        <v>52783.335984720004</v>
      </c>
      <c r="R188" s="1038" t="s">
        <v>6379</v>
      </c>
      <c r="U188" s="877"/>
      <c r="V188" s="877"/>
    </row>
    <row r="189" spans="1:42" s="85" customFormat="1" x14ac:dyDescent="0.25">
      <c r="A189" s="79"/>
      <c r="B189" s="79" t="s">
        <v>50</v>
      </c>
      <c r="C189" s="85" t="s">
        <v>1493</v>
      </c>
      <c r="D189" s="475">
        <f t="shared" si="2"/>
        <v>294.17</v>
      </c>
      <c r="E189" s="1202">
        <f t="shared" si="0"/>
        <v>9.8056666666666672</v>
      </c>
      <c r="F189" s="1203">
        <f t="shared" si="1"/>
        <v>5.8568917081290084E-2</v>
      </c>
      <c r="J189" s="1210"/>
      <c r="K189" s="1038"/>
      <c r="M189" s="941"/>
      <c r="N189" s="877"/>
      <c r="O189" s="863"/>
      <c r="Q189" s="79"/>
      <c r="R189" s="177"/>
      <c r="U189" s="877"/>
      <c r="V189" s="877"/>
    </row>
    <row r="190" spans="1:42" s="85" customFormat="1" x14ac:dyDescent="0.25">
      <c r="A190" s="79"/>
      <c r="B190" s="79" t="s">
        <v>14</v>
      </c>
      <c r="C190" s="85" t="s">
        <v>1486</v>
      </c>
      <c r="D190" s="475">
        <f t="shared" si="2"/>
        <v>222.35999999999999</v>
      </c>
      <c r="E190" s="1202">
        <f t="shared" si="0"/>
        <v>7.4119999999999999</v>
      </c>
      <c r="F190" s="1203">
        <f t="shared" si="1"/>
        <v>4.4271626617927259E-2</v>
      </c>
      <c r="G190" s="79"/>
      <c r="H190" s="79"/>
      <c r="J190" s="1210"/>
      <c r="K190" s="1038"/>
      <c r="M190" s="1028"/>
      <c r="N190" s="877"/>
      <c r="O190" s="1038"/>
      <c r="R190" s="177"/>
      <c r="U190" s="877"/>
      <c r="V190" s="877"/>
    </row>
    <row r="191" spans="1:42" s="85" customFormat="1" x14ac:dyDescent="0.25">
      <c r="B191" s="79" t="s">
        <v>51</v>
      </c>
      <c r="C191" s="864" t="s">
        <v>1499</v>
      </c>
      <c r="D191" s="475">
        <f t="shared" si="2"/>
        <v>95</v>
      </c>
      <c r="E191" s="1202">
        <f t="shared" si="0"/>
        <v>3.1666666666666665</v>
      </c>
      <c r="F191" s="1203">
        <f t="shared" si="1"/>
        <v>1.8914393455221667E-2</v>
      </c>
      <c r="G191" s="79"/>
      <c r="H191" s="79"/>
      <c r="I191" s="79"/>
      <c r="J191" s="1210"/>
      <c r="K191" s="1038"/>
      <c r="M191" s="1028"/>
      <c r="N191" s="877"/>
      <c r="O191" s="1038"/>
      <c r="P191" s="1210"/>
      <c r="Q191" s="1038"/>
      <c r="R191" s="177"/>
      <c r="U191" s="877"/>
      <c r="V191" s="877"/>
    </row>
    <row r="192" spans="1:42" s="85" customFormat="1" x14ac:dyDescent="0.25">
      <c r="A192" s="79"/>
      <c r="B192" s="79" t="s">
        <v>2189</v>
      </c>
      <c r="C192" s="864" t="s">
        <v>1496</v>
      </c>
      <c r="D192" s="475">
        <f t="shared" si="2"/>
        <v>100</v>
      </c>
      <c r="E192" s="1202">
        <f t="shared" si="0"/>
        <v>3.3333333333333335</v>
      </c>
      <c r="F192" s="1203">
        <f t="shared" si="1"/>
        <v>1.9909887847601757E-2</v>
      </c>
      <c r="G192" s="79"/>
      <c r="J192" s="1210"/>
      <c r="K192" s="1038"/>
      <c r="M192" s="877"/>
      <c r="O192" s="177"/>
      <c r="R192" s="177"/>
      <c r="U192" s="877"/>
      <c r="V192" s="877"/>
    </row>
    <row r="193" spans="1:22" s="85" customFormat="1" x14ac:dyDescent="0.25">
      <c r="A193" s="79"/>
      <c r="B193" s="867" t="s">
        <v>53</v>
      </c>
      <c r="C193" s="864" t="s">
        <v>1522</v>
      </c>
      <c r="D193" s="475">
        <f t="shared" si="2"/>
        <v>20</v>
      </c>
      <c r="E193" s="1202">
        <f t="shared" si="0"/>
        <v>0.66666666666666663</v>
      </c>
      <c r="F193" s="1203">
        <f t="shared" si="1"/>
        <v>3.9819775695203513E-3</v>
      </c>
      <c r="J193" s="1210"/>
      <c r="K193" s="1038"/>
      <c r="M193" s="1959"/>
      <c r="O193" s="177"/>
      <c r="P193" s="868"/>
      <c r="Q193" s="769"/>
      <c r="R193" s="79"/>
      <c r="U193" s="877"/>
      <c r="V193" s="877"/>
    </row>
    <row r="194" spans="1:22" s="85" customFormat="1" x14ac:dyDescent="0.25">
      <c r="A194" s="79"/>
      <c r="B194" s="79" t="s">
        <v>3048</v>
      </c>
      <c r="C194" s="864" t="s">
        <v>1523</v>
      </c>
      <c r="D194" s="475">
        <f t="shared" si="2"/>
        <v>158.37</v>
      </c>
      <c r="E194" s="1202">
        <f t="shared" si="0"/>
        <v>5.2789999999999999</v>
      </c>
      <c r="F194" s="1203">
        <f t="shared" si="1"/>
        <v>3.1531289384246902E-2</v>
      </c>
      <c r="G194" s="866"/>
      <c r="J194" s="1210"/>
      <c r="K194" s="1038"/>
      <c r="M194" s="877"/>
      <c r="O194" s="177"/>
      <c r="P194" s="866"/>
      <c r="Q194" s="1210"/>
      <c r="R194" s="877"/>
      <c r="U194" s="877"/>
      <c r="V194" s="877"/>
    </row>
    <row r="195" spans="1:22" s="85" customFormat="1" x14ac:dyDescent="0.25">
      <c r="A195" s="79"/>
      <c r="B195" s="79" t="s">
        <v>1686</v>
      </c>
      <c r="C195" s="864" t="s">
        <v>1506</v>
      </c>
      <c r="D195" s="475">
        <f t="shared" si="2"/>
        <v>207</v>
      </c>
      <c r="E195" s="1202">
        <f t="shared" si="0"/>
        <v>6.9</v>
      </c>
      <c r="F195" s="1203">
        <f t="shared" si="1"/>
        <v>4.1213467844535633E-2</v>
      </c>
      <c r="G195" s="868"/>
      <c r="J195" s="1210"/>
      <c r="K195" s="1038"/>
      <c r="M195" s="877"/>
      <c r="O195" s="177"/>
      <c r="P195" s="1226"/>
      <c r="Q195" s="1129"/>
      <c r="R195" s="877"/>
      <c r="U195" s="877"/>
      <c r="V195" s="877"/>
    </row>
    <row r="196" spans="1:22" x14ac:dyDescent="0.25">
      <c r="B196" s="79" t="s">
        <v>418</v>
      </c>
      <c r="C196" s="85" t="s">
        <v>1524</v>
      </c>
      <c r="D196" s="475">
        <f t="shared" si="2"/>
        <v>3174.584166666667</v>
      </c>
      <c r="E196" s="1202">
        <f>D196/$K$207</f>
        <v>105.81947222222223</v>
      </c>
      <c r="F196" s="1203">
        <f t="shared" si="1"/>
        <v>0.63205614721105619</v>
      </c>
      <c r="G196" s="85"/>
      <c r="H196" s="85"/>
      <c r="I196" s="85"/>
      <c r="J196" s="1210"/>
      <c r="K196" s="1038"/>
      <c r="L196" s="769"/>
      <c r="M196" s="877"/>
      <c r="N196" s="769"/>
      <c r="O196" s="216"/>
      <c r="P196" s="1038"/>
      <c r="Q196" s="1226"/>
      <c r="R196" s="877"/>
      <c r="U196" s="877"/>
      <c r="V196" s="877"/>
    </row>
    <row r="197" spans="1:22" x14ac:dyDescent="0.25">
      <c r="B197" s="79" t="s">
        <v>6732</v>
      </c>
      <c r="C197" s="85" t="s">
        <v>1491</v>
      </c>
      <c r="D197" s="475">
        <f t="shared" si="2"/>
        <v>1074.57</v>
      </c>
      <c r="E197" s="1202">
        <f t="shared" si="0"/>
        <v>35.818999999999996</v>
      </c>
      <c r="F197" s="1203">
        <f t="shared" si="1"/>
        <v>0.21394568184397417</v>
      </c>
      <c r="I197" s="85"/>
      <c r="J197" s="1210"/>
      <c r="K197" s="1038"/>
      <c r="N197" s="216"/>
      <c r="O197" s="216"/>
      <c r="Q197" s="484"/>
      <c r="R197" s="877"/>
      <c r="U197" s="877"/>
      <c r="V197" s="877"/>
    </row>
    <row r="198" spans="1:22" x14ac:dyDescent="0.25">
      <c r="B198" s="79" t="s">
        <v>6733</v>
      </c>
      <c r="C198" s="85" t="s">
        <v>6731</v>
      </c>
      <c r="D198" s="475">
        <f t="shared" si="2"/>
        <v>230.88</v>
      </c>
      <c r="E198" s="1202">
        <f t="shared" si="0"/>
        <v>7.6959999999999997</v>
      </c>
      <c r="F198" s="1203">
        <f t="shared" si="1"/>
        <v>4.596794906254293E-2</v>
      </c>
      <c r="I198" s="85"/>
      <c r="J198" s="1210"/>
      <c r="K198" s="1038"/>
      <c r="N198" s="216"/>
      <c r="O198" s="216"/>
      <c r="Q198" s="484"/>
      <c r="R198" s="877"/>
      <c r="U198" s="877"/>
      <c r="V198" s="877"/>
    </row>
    <row r="199" spans="1:22" x14ac:dyDescent="0.25">
      <c r="B199" s="79" t="s">
        <v>911</v>
      </c>
      <c r="C199" s="85" t="s">
        <v>1525</v>
      </c>
      <c r="D199" s="475">
        <f t="shared" si="2"/>
        <v>3326.9749999999999</v>
      </c>
      <c r="E199" s="1202">
        <f t="shared" si="0"/>
        <v>110.89916666666666</v>
      </c>
      <c r="F199" s="1203">
        <f t="shared" si="1"/>
        <v>0.66239699121774842</v>
      </c>
      <c r="J199" s="1210"/>
      <c r="K199" s="1038"/>
      <c r="O199" s="216"/>
      <c r="Q199" s="484"/>
      <c r="R199" s="1673"/>
      <c r="U199" s="877"/>
      <c r="V199" s="877"/>
    </row>
    <row r="200" spans="1:22" x14ac:dyDescent="0.25">
      <c r="B200" s="79" t="s">
        <v>1526</v>
      </c>
      <c r="C200" s="85" t="s">
        <v>1504</v>
      </c>
      <c r="D200" s="475">
        <f t="shared" si="2"/>
        <v>185.59666666666666</v>
      </c>
      <c r="E200" s="1202">
        <f t="shared" si="0"/>
        <v>6.1865555555555556</v>
      </c>
      <c r="F200" s="1203">
        <f t="shared" si="1"/>
        <v>3.6952088182220608E-2</v>
      </c>
      <c r="J200" s="1210"/>
      <c r="K200" s="1038"/>
      <c r="L200" s="769"/>
      <c r="N200" s="769"/>
      <c r="O200" s="886"/>
      <c r="P200" s="1210"/>
      <c r="Q200" s="1038"/>
      <c r="R200" s="1129"/>
      <c r="T200" s="1129"/>
      <c r="U200" s="877"/>
      <c r="V200" s="877"/>
    </row>
    <row r="201" spans="1:22" x14ac:dyDescent="0.25">
      <c r="B201" s="79" t="s">
        <v>2343</v>
      </c>
      <c r="C201" s="85" t="s">
        <v>2315</v>
      </c>
      <c r="D201" s="796">
        <f t="shared" si="2"/>
        <v>0</v>
      </c>
      <c r="E201" s="1202">
        <f t="shared" si="0"/>
        <v>0</v>
      </c>
      <c r="F201" s="1203">
        <f t="shared" si="1"/>
        <v>0</v>
      </c>
      <c r="J201" s="1210"/>
      <c r="K201" s="1038"/>
      <c r="L201" s="769"/>
      <c r="M201" s="1210"/>
      <c r="N201" s="769"/>
      <c r="O201" s="1673"/>
      <c r="P201" s="1210"/>
      <c r="Q201" s="1038"/>
      <c r="R201" s="1129"/>
      <c r="T201" s="1129"/>
      <c r="U201" s="877"/>
      <c r="V201" s="877"/>
    </row>
    <row r="202" spans="1:22" x14ac:dyDescent="0.25">
      <c r="B202" s="79" t="s">
        <v>3019</v>
      </c>
      <c r="C202" s="85" t="s">
        <v>3017</v>
      </c>
      <c r="D202" s="796">
        <f t="shared" si="2"/>
        <v>0</v>
      </c>
      <c r="E202" s="1202">
        <f t="shared" si="0"/>
        <v>0</v>
      </c>
      <c r="F202" s="1203">
        <f t="shared" si="1"/>
        <v>0</v>
      </c>
      <c r="J202" s="1210"/>
      <c r="K202" s="1038"/>
      <c r="L202" s="769"/>
      <c r="N202" s="769"/>
      <c r="P202" s="941"/>
      <c r="Q202" s="224"/>
      <c r="R202" s="1226"/>
      <c r="S202" s="1129"/>
      <c r="T202" s="1129"/>
      <c r="U202" s="877"/>
      <c r="V202" s="877"/>
    </row>
    <row r="203" spans="1:22" ht="15.75" thickBot="1" x14ac:dyDescent="0.3">
      <c r="B203" s="301" t="s">
        <v>1527</v>
      </c>
      <c r="C203" s="2400" t="s">
        <v>1489</v>
      </c>
      <c r="D203" s="2401">
        <f>SUMIF($D$7:$D$182,C203,$F$7:$F$182)</f>
        <v>1032.78</v>
      </c>
      <c r="E203" s="2402">
        <f t="shared" si="0"/>
        <v>34.426000000000002</v>
      </c>
      <c r="F203" s="2403">
        <f t="shared" si="1"/>
        <v>0.20562533971246141</v>
      </c>
      <c r="J203" s="1210"/>
      <c r="K203" s="1038"/>
      <c r="P203" s="1210"/>
      <c r="Q203" s="1038"/>
      <c r="R203" s="1226"/>
      <c r="S203" s="1129"/>
      <c r="T203" s="1129"/>
      <c r="U203" s="877"/>
      <c r="V203" s="877"/>
    </row>
    <row r="204" spans="1:22" x14ac:dyDescent="0.25">
      <c r="B204" s="1124" t="s">
        <v>6790</v>
      </c>
      <c r="C204" s="1124"/>
      <c r="D204" s="1125">
        <f>SUMIF($B$7:$B$182,"Crédito Gasolina",$G$7:$G$182)</f>
        <v>475.2</v>
      </c>
      <c r="E204" s="1138">
        <f>D204/K207</f>
        <v>15.84</v>
      </c>
      <c r="F204" s="1124"/>
      <c r="J204" s="2037"/>
      <c r="K204" s="629"/>
      <c r="P204" s="1210"/>
      <c r="Q204" s="1038"/>
      <c r="R204" s="1227"/>
      <c r="S204" s="1129"/>
      <c r="T204" s="1129"/>
      <c r="U204" s="877"/>
      <c r="V204" s="877"/>
    </row>
    <row r="205" spans="1:22" x14ac:dyDescent="0.25">
      <c r="B205" s="1124" t="s">
        <v>6918</v>
      </c>
      <c r="C205" s="1124"/>
      <c r="D205" s="1125">
        <f>SUMIF($B$13:$B$182,"Trabalho Art frutt",$G$13:$G$182)</f>
        <v>400</v>
      </c>
      <c r="E205" s="1138">
        <f>D205/K207</f>
        <v>13.333333333333334</v>
      </c>
      <c r="F205" s="1124"/>
      <c r="J205" s="2037"/>
      <c r="K205" s="629"/>
      <c r="L205" s="459" t="s">
        <v>6481</v>
      </c>
      <c r="M205" s="2125" t="s">
        <v>6482</v>
      </c>
      <c r="P205" s="1210"/>
      <c r="Q205" s="1038"/>
      <c r="R205" s="1227"/>
      <c r="S205" s="1129"/>
      <c r="T205" s="1129"/>
      <c r="U205" s="877"/>
      <c r="V205" s="877"/>
    </row>
    <row r="206" spans="1:22" x14ac:dyDescent="0.25">
      <c r="B206" s="1124"/>
      <c r="C206" s="1124"/>
      <c r="D206" s="1125"/>
      <c r="E206" s="1138"/>
      <c r="F206" s="1124"/>
      <c r="J206" s="2037"/>
      <c r="K206" s="629"/>
      <c r="L206" s="459"/>
      <c r="M206" s="2125"/>
      <c r="P206" s="1210"/>
      <c r="Q206" s="1038"/>
      <c r="R206" s="1227"/>
      <c r="S206" s="1129"/>
      <c r="T206" s="1129"/>
      <c r="U206" s="877"/>
      <c r="V206" s="877"/>
    </row>
    <row r="207" spans="1:22" x14ac:dyDescent="0.25">
      <c r="C207" s="3168" t="s">
        <v>486</v>
      </c>
      <c r="D207" s="3168"/>
      <c r="E207" s="863">
        <f>J207/K207</f>
        <v>352.8361944444444</v>
      </c>
      <c r="G207" s="518" t="s">
        <v>487</v>
      </c>
      <c r="J207" s="629">
        <f>SUM(D187:D203)</f>
        <v>10585.085833333333</v>
      </c>
      <c r="K207" s="1517">
        <v>30</v>
      </c>
      <c r="L207" s="484">
        <f>5022.63+D205-J208</f>
        <v>-1987.8716666666651</v>
      </c>
      <c r="N207" s="216"/>
      <c r="O207" s="1517"/>
      <c r="P207" s="1210"/>
      <c r="Q207" s="1038"/>
      <c r="R207" s="1226"/>
      <c r="S207" s="1129"/>
      <c r="T207" s="1129"/>
      <c r="U207" s="877"/>
      <c r="V207" s="877"/>
    </row>
    <row r="208" spans="1:22" ht="15.75" customHeight="1" x14ac:dyDescent="0.25">
      <c r="B208" s="3167" t="s">
        <v>6752</v>
      </c>
      <c r="C208" s="3167"/>
      <c r="D208" s="3167"/>
      <c r="E208" s="1125">
        <f>5022.63/30</f>
        <v>167.42099999999999</v>
      </c>
      <c r="G208" s="518" t="s">
        <v>6257</v>
      </c>
      <c r="J208" s="609">
        <f>J207-D196</f>
        <v>7410.5016666666652</v>
      </c>
      <c r="K208" s="629"/>
      <c r="M208" s="868"/>
      <c r="O208" s="868"/>
      <c r="P208" s="1210"/>
      <c r="Q208" s="1038"/>
      <c r="R208" s="1226"/>
      <c r="S208" s="1129"/>
      <c r="T208" s="1129"/>
      <c r="U208" s="877"/>
      <c r="V208" s="877"/>
    </row>
    <row r="209" spans="1:24" x14ac:dyDescent="0.25">
      <c r="A209" s="518"/>
      <c r="C209" s="79"/>
      <c r="D209" s="79"/>
      <c r="E209" s="769"/>
      <c r="F209" s="866"/>
      <c r="G209" s="769"/>
      <c r="H209" s="866"/>
      <c r="I209" s="1210"/>
      <c r="J209" s="867"/>
      <c r="K209" s="866"/>
      <c r="L209" s="1038"/>
      <c r="M209" s="1210"/>
      <c r="N209" s="1038"/>
      <c r="O209" s="1210"/>
      <c r="P209" s="1210"/>
      <c r="Q209" s="1038"/>
      <c r="R209" s="769"/>
      <c r="S209" s="484" t="s">
        <v>280</v>
      </c>
      <c r="T209" s="216"/>
      <c r="U209" s="866"/>
      <c r="V209" s="484"/>
      <c r="X209" s="877"/>
    </row>
    <row r="210" spans="1:24" s="518" customFormat="1" x14ac:dyDescent="0.25">
      <c r="A210" s="79"/>
      <c r="B210" s="79"/>
      <c r="C210" s="79"/>
      <c r="D210" s="79"/>
      <c r="E210" s="1126">
        <f>E208-E207</f>
        <v>-185.41519444444441</v>
      </c>
      <c r="F210" s="1205">
        <f>SUM(F187:F209)</f>
        <v>2.1074787179890477</v>
      </c>
      <c r="G210" s="85"/>
      <c r="H210" s="85"/>
      <c r="I210" s="89"/>
      <c r="J210" s="1210"/>
      <c r="K210" s="754"/>
      <c r="L210" s="79"/>
      <c r="M210" s="79"/>
      <c r="N210" s="79"/>
      <c r="O210" s="79"/>
      <c r="P210" s="1210"/>
      <c r="Q210" s="1038"/>
      <c r="R210" s="79"/>
      <c r="S210" s="79"/>
      <c r="T210" s="866"/>
      <c r="U210" s="484"/>
      <c r="V210" s="79"/>
      <c r="W210" s="877"/>
      <c r="X210" s="79"/>
    </row>
    <row r="211" spans="1:24" s="518" customFormat="1" x14ac:dyDescent="0.25">
      <c r="A211" s="79"/>
      <c r="B211" s="79"/>
      <c r="C211" s="79"/>
      <c r="D211" s="79"/>
      <c r="E211" s="85"/>
      <c r="J211" s="1038"/>
      <c r="K211" s="1225"/>
      <c r="Q211" s="1038"/>
      <c r="R211" s="484"/>
      <c r="S211" s="79"/>
      <c r="T211" s="877"/>
      <c r="U211" s="79"/>
    </row>
    <row r="212" spans="1:24" s="518" customFormat="1" x14ac:dyDescent="0.25">
      <c r="A212" s="79"/>
      <c r="B212" s="1124" t="s">
        <v>6376</v>
      </c>
      <c r="C212" s="2125"/>
      <c r="D212" s="2219">
        <f>SUMIF($E$7:$E$182,"crédito",$G$7:$G$182)</f>
        <v>8623.26</v>
      </c>
      <c r="E212" s="85"/>
      <c r="F212" s="89"/>
      <c r="G212" s="79"/>
      <c r="H212" s="79"/>
      <c r="I212" s="79"/>
      <c r="J212" s="1038"/>
      <c r="K212" s="1225"/>
      <c r="L212" s="769"/>
      <c r="M212" s="866"/>
      <c r="N212" s="769"/>
      <c r="O212" s="866"/>
      <c r="P212" s="1210"/>
      <c r="Q212" s="1038"/>
      <c r="R212" s="484"/>
      <c r="S212" s="79"/>
      <c r="T212" s="877"/>
      <c r="U212" s="79"/>
    </row>
    <row r="213" spans="1:24" s="518" customFormat="1" x14ac:dyDescent="0.25">
      <c r="A213" s="79"/>
      <c r="B213" s="518" t="s">
        <v>6496</v>
      </c>
      <c r="C213" s="459"/>
      <c r="D213" s="2218">
        <f>SUM(D187:D203)-D196</f>
        <v>7410.5016666666652</v>
      </c>
      <c r="E213" s="85"/>
      <c r="F213" s="89"/>
      <c r="G213" s="79"/>
      <c r="H213" s="79"/>
      <c r="I213" s="216"/>
      <c r="J213" s="864"/>
      <c r="K213" s="877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4" s="518" customFormat="1" x14ac:dyDescent="0.25">
      <c r="A214" s="79"/>
      <c r="B214" s="81" t="s">
        <v>6497</v>
      </c>
      <c r="C214" s="81"/>
      <c r="D214" s="1014">
        <f>D212-D213</f>
        <v>1212.758333333335</v>
      </c>
      <c r="E214" s="79"/>
      <c r="F214" s="79"/>
      <c r="G214" s="79"/>
      <c r="H214" s="79"/>
      <c r="J214" s="1038"/>
      <c r="K214" s="877"/>
      <c r="M214" s="866"/>
      <c r="O214" s="866"/>
      <c r="P214" s="1210"/>
      <c r="Q214" s="1038"/>
      <c r="R214" s="484"/>
      <c r="S214" s="79"/>
      <c r="T214" s="877"/>
      <c r="U214" s="79"/>
    </row>
    <row r="215" spans="1:24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1038"/>
      <c r="K215" s="877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79"/>
      <c r="C216" s="79"/>
      <c r="D216" s="79"/>
      <c r="E216" s="79"/>
      <c r="F216" s="79"/>
      <c r="G216" s="216"/>
      <c r="H216" s="79"/>
      <c r="I216" s="216"/>
      <c r="J216" s="1038"/>
      <c r="K216" s="877"/>
      <c r="L216" s="769"/>
      <c r="M216" s="868"/>
      <c r="N216" s="769"/>
      <c r="O216" s="868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79"/>
      <c r="C217" s="79"/>
      <c r="D217" s="79"/>
      <c r="E217" s="79"/>
      <c r="F217" s="79"/>
      <c r="G217" s="216"/>
      <c r="H217" s="79"/>
      <c r="I217" s="216"/>
      <c r="J217" s="79"/>
      <c r="K217" s="877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79"/>
      <c r="C218" s="79"/>
      <c r="D218" s="79"/>
      <c r="E218" s="79"/>
      <c r="F218" s="79"/>
      <c r="G218" s="216"/>
      <c r="H218" s="79"/>
      <c r="I218" s="79"/>
      <c r="J218" s="85"/>
      <c r="K218" s="877"/>
      <c r="L218" s="770"/>
      <c r="M218" s="866"/>
      <c r="N218" s="770"/>
      <c r="O218" s="866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216"/>
      <c r="J219" s="1038"/>
      <c r="K219" s="877"/>
      <c r="L219" s="769"/>
      <c r="M219" s="868"/>
      <c r="N219" s="769"/>
      <c r="O219" s="868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85"/>
      <c r="K220" s="877"/>
      <c r="L220" s="769"/>
      <c r="M220" s="866"/>
      <c r="N220" s="769"/>
      <c r="O220" s="866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629"/>
      <c r="J221" s="769"/>
      <c r="K221" s="1225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79"/>
      <c r="K222" s="79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9"/>
      <c r="K223" s="79"/>
      <c r="L223" s="769"/>
      <c r="M223" s="866"/>
      <c r="N223" s="769"/>
      <c r="O223" s="866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69"/>
      <c r="K224" s="868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868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69"/>
      <c r="K226" s="79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216"/>
      <c r="J227" s="79"/>
      <c r="K227" s="79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79"/>
      <c r="K228" s="79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1517"/>
      <c r="K229" s="79"/>
      <c r="L229" s="769"/>
      <c r="M229" s="866"/>
      <c r="N229" s="769"/>
      <c r="O229" s="866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79"/>
      <c r="K230" s="868"/>
      <c r="L230" s="769"/>
      <c r="M230" s="866"/>
      <c r="N230" s="769"/>
      <c r="O230" s="86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89"/>
      <c r="K231" s="79"/>
      <c r="L231" s="769"/>
      <c r="M231" s="868"/>
      <c r="N231" s="769"/>
      <c r="O231" s="868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J232" s="79"/>
      <c r="K232" s="79"/>
      <c r="L232" s="769"/>
      <c r="M232" s="868"/>
      <c r="N232" s="769"/>
      <c r="O232" s="868"/>
      <c r="P232" s="81"/>
      <c r="Q232" s="755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L233" s="769"/>
      <c r="M233" s="868"/>
      <c r="N233" s="769"/>
      <c r="O233" s="868"/>
      <c r="P233" s="868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769"/>
      <c r="K234" s="866"/>
      <c r="L234" s="769"/>
      <c r="M234" s="868"/>
      <c r="N234" s="769"/>
      <c r="O234" s="868"/>
      <c r="P234" s="754"/>
      <c r="Q234" s="886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J235" s="769"/>
      <c r="K235" s="866"/>
      <c r="L235" s="769"/>
      <c r="M235" s="868"/>
      <c r="N235" s="769"/>
      <c r="O235" s="868"/>
      <c r="P235" s="864"/>
      <c r="Q235" s="864"/>
      <c r="R235" s="484"/>
      <c r="S235" s="79"/>
      <c r="T235" s="877"/>
      <c r="U235" s="79"/>
    </row>
    <row r="236" spans="1:21" s="518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K236" s="866"/>
      <c r="L236" s="769"/>
      <c r="M236" s="866"/>
      <c r="N236" s="769"/>
      <c r="O236" s="866"/>
      <c r="P236" s="864"/>
      <c r="Q236" s="1032"/>
      <c r="R236" s="484"/>
      <c r="S236" s="79"/>
      <c r="T236" s="877"/>
      <c r="U236" s="79"/>
    </row>
    <row r="237" spans="1:21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69"/>
      <c r="K237" s="866"/>
      <c r="L237" s="769"/>
      <c r="M237" s="866"/>
      <c r="N237" s="769"/>
      <c r="O237" s="866"/>
      <c r="P237" s="864"/>
      <c r="Q237" s="1032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69"/>
      <c r="K238" s="868"/>
      <c r="L238" s="769"/>
      <c r="M238" s="868"/>
      <c r="N238" s="769"/>
      <c r="O238" s="868"/>
      <c r="P238" s="85"/>
      <c r="Q238" s="795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6"/>
      <c r="L239" s="769"/>
      <c r="M239" s="866"/>
      <c r="N239" s="769"/>
      <c r="O239" s="866"/>
      <c r="P239" s="85"/>
      <c r="Q239" s="177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70"/>
      <c r="K240" s="866"/>
      <c r="L240" s="769"/>
      <c r="M240" s="866"/>
      <c r="N240" s="769"/>
      <c r="O240" s="866"/>
      <c r="P240" s="85"/>
      <c r="Q240" s="177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69"/>
      <c r="M241" s="868"/>
      <c r="N241" s="769"/>
      <c r="O241" s="868"/>
      <c r="P241" s="85"/>
      <c r="Q241" s="177" t="s">
        <v>280</v>
      </c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69"/>
      <c r="M242" s="868"/>
      <c r="N242" s="769"/>
      <c r="O242" s="868"/>
      <c r="P242" s="85"/>
      <c r="Q242" s="177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69"/>
      <c r="M243" s="868"/>
      <c r="N243" s="769"/>
      <c r="O243" s="868"/>
      <c r="P243" s="85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69"/>
      <c r="M244" s="868"/>
      <c r="N244" s="769"/>
      <c r="O244" s="868"/>
      <c r="P244" s="769"/>
      <c r="Q244" s="21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69"/>
      <c r="M245" s="866"/>
      <c r="N245" s="769"/>
      <c r="O245" s="866"/>
      <c r="P245" s="79"/>
      <c r="Q245" s="21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223"/>
      <c r="M246" s="629"/>
      <c r="N246" s="223"/>
      <c r="O246" s="629"/>
      <c r="P246" s="769"/>
      <c r="Q246" s="868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56"/>
      <c r="M247" s="756"/>
      <c r="N247" s="756"/>
      <c r="O247" s="756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868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69"/>
      <c r="Q249" s="79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9"/>
      <c r="Q250" s="79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9"/>
      <c r="M251" s="79"/>
      <c r="N251" s="79"/>
      <c r="O251" s="79"/>
      <c r="P251" s="79"/>
      <c r="Q251" s="79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85"/>
      <c r="M252" s="85"/>
      <c r="N252" s="85"/>
      <c r="O252" s="85"/>
      <c r="P252" s="1517"/>
      <c r="Q252" s="79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8"/>
      <c r="L253" s="79"/>
      <c r="M253" s="79"/>
      <c r="N253" s="79"/>
      <c r="O253" s="79"/>
      <c r="P253" s="79"/>
      <c r="Q253" s="868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8"/>
      <c r="L254" s="79"/>
      <c r="M254" s="79"/>
      <c r="N254" s="79"/>
      <c r="O254" s="79"/>
      <c r="P254" s="89"/>
      <c r="Q254" s="79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9"/>
      <c r="M255" s="79"/>
      <c r="N255" s="79"/>
      <c r="O255" s="79"/>
      <c r="P255" s="79"/>
      <c r="Q255" s="79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6"/>
      <c r="L258" s="79"/>
      <c r="M258" s="79"/>
      <c r="N258" s="79"/>
      <c r="O258" s="79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6"/>
      <c r="L259" s="85"/>
      <c r="M259" s="85"/>
      <c r="N259" s="85"/>
      <c r="O259" s="85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8"/>
      <c r="L260" s="79"/>
      <c r="M260" s="79"/>
      <c r="N260" s="79"/>
      <c r="O260" s="79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79"/>
      <c r="M261" s="79"/>
      <c r="N261" s="79"/>
      <c r="O261" s="79"/>
      <c r="P261" s="769"/>
      <c r="Q261" s="868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9"/>
      <c r="M262" s="79"/>
      <c r="N262" s="79"/>
      <c r="O262" s="79"/>
      <c r="P262" s="769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8"/>
      <c r="L263" s="79"/>
      <c r="M263" s="79"/>
      <c r="N263" s="79"/>
      <c r="O263" s="79"/>
      <c r="P263" s="770"/>
      <c r="Q263" s="866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8"/>
      <c r="L264" s="79"/>
      <c r="M264" s="79"/>
      <c r="N264" s="79"/>
      <c r="O264" s="79"/>
      <c r="P264" s="769"/>
      <c r="Q264" s="868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8"/>
      <c r="L265" s="79"/>
      <c r="M265" s="79"/>
      <c r="N265" s="79"/>
      <c r="O265" s="79"/>
      <c r="P265" s="769"/>
      <c r="Q265" s="866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8"/>
      <c r="L266" s="771"/>
      <c r="N266" s="771"/>
      <c r="P266" s="769"/>
      <c r="Q266" s="866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6"/>
      <c r="L267" s="79"/>
      <c r="M267" s="79"/>
      <c r="N267" s="79"/>
      <c r="O267" s="79"/>
      <c r="P267" s="769"/>
      <c r="Q267" s="866"/>
      <c r="R267" s="484"/>
      <c r="S267" s="79"/>
      <c r="T267" s="877"/>
      <c r="U267" s="79"/>
    </row>
    <row r="268" spans="1:21" x14ac:dyDescent="0.25">
      <c r="J268" s="223"/>
      <c r="K268" s="629"/>
      <c r="P268" s="769"/>
      <c r="Q268" s="866"/>
    </row>
    <row r="269" spans="1:21" x14ac:dyDescent="0.25">
      <c r="J269" s="756"/>
      <c r="K269" s="756"/>
      <c r="P269" s="769"/>
      <c r="Q269" s="866"/>
    </row>
    <row r="270" spans="1:21" x14ac:dyDescent="0.25">
      <c r="P270" s="769"/>
      <c r="Q270" s="866"/>
    </row>
    <row r="271" spans="1:21" x14ac:dyDescent="0.25">
      <c r="P271" s="769"/>
      <c r="Q271" s="866"/>
    </row>
    <row r="272" spans="1:21" x14ac:dyDescent="0.25">
      <c r="P272" s="769"/>
      <c r="Q272" s="866"/>
    </row>
    <row r="273" spans="1:21" x14ac:dyDescent="0.25">
      <c r="P273" s="769"/>
      <c r="Q273" s="866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85"/>
      <c r="K274" s="85"/>
      <c r="L274" s="79"/>
      <c r="M274" s="216"/>
      <c r="N274" s="79"/>
      <c r="O274" s="216"/>
      <c r="P274" s="769"/>
      <c r="Q274" s="86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69"/>
      <c r="Q275" s="866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8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69"/>
      <c r="Q277" s="868"/>
      <c r="R277" s="484"/>
      <c r="S277" s="79"/>
      <c r="T277" s="877"/>
      <c r="U277" s="79"/>
    </row>
    <row r="278" spans="1:21" x14ac:dyDescent="0.25">
      <c r="P278" s="769"/>
      <c r="Q278" s="868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69"/>
      <c r="Q279" s="868"/>
      <c r="R279" s="484"/>
      <c r="S279" s="79"/>
      <c r="T279" s="877"/>
      <c r="U279" s="79"/>
    </row>
    <row r="280" spans="1:21" x14ac:dyDescent="0.25">
      <c r="P280" s="769"/>
      <c r="Q280" s="868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85"/>
      <c r="K281" s="85"/>
      <c r="L281" s="79"/>
      <c r="M281" s="629"/>
      <c r="N281" s="79"/>
      <c r="O281" s="629"/>
      <c r="P281" s="769"/>
      <c r="Q281" s="866"/>
      <c r="R281" s="484"/>
      <c r="S281" s="79"/>
      <c r="T281" s="877"/>
      <c r="U281" s="79"/>
    </row>
    <row r="282" spans="1:21" x14ac:dyDescent="0.25">
      <c r="P282" s="769"/>
      <c r="Q282" s="866"/>
    </row>
    <row r="283" spans="1:21" x14ac:dyDescent="0.25">
      <c r="P283" s="769"/>
      <c r="Q283" s="868"/>
    </row>
    <row r="284" spans="1:21" x14ac:dyDescent="0.25">
      <c r="P284" s="769"/>
      <c r="Q284" s="866"/>
    </row>
    <row r="285" spans="1:21" x14ac:dyDescent="0.25">
      <c r="P285" s="769"/>
      <c r="Q285" s="866"/>
    </row>
    <row r="286" spans="1:21" x14ac:dyDescent="0.25">
      <c r="P286" s="769"/>
      <c r="Q286" s="868"/>
    </row>
    <row r="287" spans="1:21" s="518" customFormat="1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216"/>
      <c r="N287" s="79"/>
      <c r="O287" s="216"/>
      <c r="P287" s="769"/>
      <c r="Q287" s="868"/>
      <c r="R287" s="484"/>
      <c r="S287" s="79"/>
      <c r="T287" s="877"/>
      <c r="U287" s="79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71"/>
      <c r="L288" s="79"/>
      <c r="M288" s="216"/>
      <c r="N288" s="79"/>
      <c r="O288" s="216"/>
      <c r="P288" s="769"/>
      <c r="Q288" s="868"/>
      <c r="R288" s="484"/>
      <c r="S288" s="79"/>
      <c r="T288" s="877"/>
      <c r="U288" s="79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69"/>
      <c r="Q289" s="868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769"/>
      <c r="Q290" s="866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223"/>
      <c r="Q291" s="629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756"/>
      <c r="Q292" s="756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9"/>
      <c r="Q293" s="79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9"/>
      <c r="Q294" s="79"/>
      <c r="R294" s="484"/>
      <c r="S294" s="79"/>
      <c r="T294" s="877"/>
      <c r="U294" s="79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216"/>
      <c r="N295" s="79"/>
      <c r="O295" s="216"/>
      <c r="P295" s="79"/>
      <c r="Q295" s="79"/>
      <c r="R295" s="484"/>
      <c r="S295" s="79"/>
      <c r="T295" s="877"/>
      <c r="U295" s="79"/>
    </row>
    <row r="296" spans="1:21" x14ac:dyDescent="0.25">
      <c r="K296" s="216"/>
    </row>
    <row r="297" spans="1:21" x14ac:dyDescent="0.25">
      <c r="K297" s="216"/>
      <c r="P297" s="85"/>
      <c r="Q297" s="85"/>
    </row>
    <row r="298" spans="1:21" x14ac:dyDescent="0.25">
      <c r="K298" s="216"/>
    </row>
    <row r="299" spans="1:21" x14ac:dyDescent="0.25">
      <c r="K299" s="216"/>
    </row>
    <row r="301" spans="1:21" x14ac:dyDescent="0.25">
      <c r="K301" s="216"/>
    </row>
    <row r="303" spans="1:21" x14ac:dyDescent="0.25">
      <c r="K303" s="629"/>
    </row>
    <row r="304" spans="1:21" x14ac:dyDescent="0.25">
      <c r="P304" s="85"/>
      <c r="Q304" s="85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216"/>
      <c r="L309" s="79"/>
      <c r="M309" s="79"/>
      <c r="N309" s="79"/>
      <c r="O309" s="79"/>
      <c r="P309" s="79"/>
      <c r="Q309" s="79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216"/>
      <c r="L310" s="79"/>
      <c r="M310" s="79"/>
      <c r="N310" s="79"/>
      <c r="O310" s="79"/>
      <c r="P310" s="79"/>
      <c r="Q310" s="79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216"/>
      <c r="L311" s="79"/>
      <c r="M311" s="79"/>
      <c r="N311" s="79"/>
      <c r="O311" s="79"/>
      <c r="P311" s="771"/>
      <c r="Q311" s="518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216"/>
      <c r="L312" s="79"/>
      <c r="M312" s="79"/>
      <c r="N312" s="79"/>
      <c r="O312" s="79"/>
      <c r="P312" s="79"/>
      <c r="Q312" s="79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x14ac:dyDescent="0.25">
      <c r="K313" s="216"/>
    </row>
    <row r="314" spans="1:42" x14ac:dyDescent="0.25">
      <c r="K314" s="216"/>
    </row>
    <row r="315" spans="1:42" x14ac:dyDescent="0.25">
      <c r="K315" s="216"/>
    </row>
    <row r="316" spans="1:42" x14ac:dyDescent="0.25">
      <c r="K316" s="216"/>
    </row>
    <row r="317" spans="1:42" x14ac:dyDescent="0.25">
      <c r="K317" s="216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629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32" spans="1:42" s="484" customFormat="1" x14ac:dyDescent="0.25">
      <c r="A332" s="79"/>
      <c r="B332" s="79"/>
      <c r="C332" s="85"/>
      <c r="D332" s="85"/>
      <c r="E332" s="85"/>
      <c r="F332" s="8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216"/>
      <c r="S332" s="79"/>
      <c r="T332" s="877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216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</sheetData>
  <autoFilter ref="A2:I205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C207:D207"/>
    <mergeCell ref="B208:D208"/>
    <mergeCell ref="L2:M3"/>
    <mergeCell ref="N2:O3"/>
    <mergeCell ref="P2:Q3"/>
    <mergeCell ref="A183:E183"/>
    <mergeCell ref="A184:E184"/>
  </mergeCells>
  <phoneticPr fontId="140" type="noConversion"/>
  <conditionalFormatting sqref="D187:D203">
    <cfRule type="dataBar" priority="2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{680C4783-B999-4C70-8071-2B9D0E6B88A6}</x14:id>
        </ext>
      </extLst>
    </cfRule>
  </conditionalFormatting>
  <conditionalFormatting sqref="E210">
    <cfRule type="cellIs" dxfId="28" priority="1" operator="greaterThan">
      <formula>$E$208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80C4783-B999-4C70-8071-2B9D0E6B88A6}">
            <x14:dataBar minLength="0" maxLength="100" border="1" negativeBarBorderColorSameAsPositive="0">
              <x14:cfvo type="autoMin"/>
              <x14:cfvo type="autoMax"/>
              <x14:borderColor theme="0" tint="-0.34998626667073579"/>
              <x14:negativeFillColor rgb="FFFF0000"/>
              <x14:negativeBorderColor rgb="FFFF0000"/>
              <x14:axisColor rgb="FF000000"/>
            </x14:dataBar>
          </x14:cfRule>
          <xm:sqref>D187:D203</xm:sqref>
        </x14:conditionalFormatting>
      </x14:conditionalFormattings>
    </ext>
  </extLst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B00F0-7139-4079-B30D-890C4ACDFCAC}">
  <sheetPr codeName="Planilha37"/>
  <dimension ref="A1:AP341"/>
  <sheetViews>
    <sheetView zoomScale="85" zoomScaleNormal="85" workbookViewId="0">
      <pane ySplit="5" topLeftCell="A30" activePane="bottomLeft" state="frozen"/>
      <selection activeCell="N1" sqref="N1"/>
      <selection pane="bottomLeft" activeCell="B23" sqref="B23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7028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45627</v>
      </c>
      <c r="B5" s="369" t="s">
        <v>10</v>
      </c>
      <c r="C5" s="370"/>
      <c r="D5" s="370"/>
      <c r="E5" s="777"/>
      <c r="F5" s="179"/>
      <c r="G5" s="933">
        <f>'Novembro-24'!G184</f>
        <v>736.13575000004676</v>
      </c>
      <c r="H5" s="163"/>
      <c r="I5" s="1479">
        <f>'Novembro-24'!I184</f>
        <v>1499.995999999999</v>
      </c>
      <c r="J5" s="179"/>
      <c r="K5" s="933">
        <f>'Novembro-24'!K184</f>
        <v>4609.3800000000065</v>
      </c>
      <c r="L5" s="179"/>
      <c r="M5" s="933">
        <f>'Novembro-24'!M184</f>
        <v>0</v>
      </c>
      <c r="N5" s="179"/>
      <c r="O5" s="1479">
        <f>'Novembro-24'!O184</f>
        <v>3000.5700000000024</v>
      </c>
      <c r="P5" s="179"/>
      <c r="Q5" s="933">
        <f>'Novembro-24'!Q184</f>
        <v>28585.355984720001</v>
      </c>
    </row>
    <row r="6" spans="1:42" s="224" customFormat="1" x14ac:dyDescent="0.25">
      <c r="A6" s="247">
        <v>45627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45627</v>
      </c>
      <c r="B7" s="882" t="s">
        <v>14</v>
      </c>
      <c r="C7" s="879" t="s">
        <v>12</v>
      </c>
      <c r="D7" s="879" t="s">
        <v>1486</v>
      </c>
      <c r="E7" s="875" t="s">
        <v>13</v>
      </c>
      <c r="F7" s="780">
        <v>8.06</v>
      </c>
      <c r="G7" s="982"/>
      <c r="H7" s="622"/>
      <c r="I7" s="982"/>
      <c r="J7" s="622"/>
      <c r="K7" s="982"/>
      <c r="L7" s="622"/>
      <c r="M7" s="982"/>
      <c r="N7" s="880"/>
      <c r="O7" s="1525"/>
      <c r="P7" s="613"/>
      <c r="Q7" s="162"/>
      <c r="R7" s="1956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45627</v>
      </c>
      <c r="B8" s="1289" t="s">
        <v>147</v>
      </c>
      <c r="C8" s="879" t="s">
        <v>12</v>
      </c>
      <c r="D8" s="1276" t="s">
        <v>1506</v>
      </c>
      <c r="E8" s="875" t="s">
        <v>13</v>
      </c>
      <c r="F8" s="1873">
        <v>25</v>
      </c>
      <c r="G8" s="967"/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209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x14ac:dyDescent="0.25">
      <c r="A9" s="247">
        <v>45627</v>
      </c>
      <c r="B9" s="364" t="s">
        <v>7122</v>
      </c>
      <c r="C9" s="350" t="s">
        <v>12</v>
      </c>
      <c r="D9" s="350" t="s">
        <v>1489</v>
      </c>
      <c r="E9" s="875" t="s">
        <v>13</v>
      </c>
      <c r="F9" s="780">
        <v>13</v>
      </c>
      <c r="G9" s="982"/>
      <c r="H9" s="1008"/>
      <c r="I9" s="1063"/>
      <c r="J9" s="2013"/>
      <c r="K9" s="1207"/>
      <c r="L9" s="622"/>
      <c r="M9" s="982"/>
      <c r="N9" s="622"/>
      <c r="O9" s="1063"/>
      <c r="P9" s="622"/>
      <c r="Q9" s="982"/>
      <c r="R9" s="861"/>
      <c r="T9" s="878"/>
    </row>
    <row r="10" spans="1:42" s="224" customFormat="1" x14ac:dyDescent="0.25">
      <c r="A10" s="247">
        <v>45627</v>
      </c>
      <c r="B10" s="364" t="s">
        <v>7123</v>
      </c>
      <c r="C10" s="350" t="s">
        <v>12</v>
      </c>
      <c r="D10" s="350" t="s">
        <v>1493</v>
      </c>
      <c r="E10" s="875" t="s">
        <v>13</v>
      </c>
      <c r="F10" s="780">
        <v>9.5</v>
      </c>
      <c r="G10" s="982"/>
      <c r="H10" s="1008"/>
      <c r="I10" s="1063"/>
      <c r="J10" s="2013"/>
      <c r="K10" s="1207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ht="15" customHeight="1" x14ac:dyDescent="0.25">
      <c r="A11" s="247">
        <v>45627</v>
      </c>
      <c r="B11" s="882" t="s">
        <v>14</v>
      </c>
      <c r="C11" s="879" t="s">
        <v>12</v>
      </c>
      <c r="D11" s="879" t="s">
        <v>1486</v>
      </c>
      <c r="E11" s="875" t="s">
        <v>13</v>
      </c>
      <c r="F11" s="780">
        <v>6.98</v>
      </c>
      <c r="G11" s="982"/>
      <c r="H11" s="622"/>
      <c r="I11" s="982"/>
      <c r="J11" s="622"/>
      <c r="K11" s="982"/>
      <c r="L11" s="622"/>
      <c r="M11" s="982"/>
      <c r="N11" s="880"/>
      <c r="O11" s="1525"/>
      <c r="P11" s="613"/>
      <c r="Q11" s="162"/>
      <c r="R11" s="1956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45627</v>
      </c>
      <c r="B12" s="1275" t="s">
        <v>6942</v>
      </c>
      <c r="C12" s="1276" t="s">
        <v>12</v>
      </c>
      <c r="D12" s="1276"/>
      <c r="E12" s="1286" t="s">
        <v>13</v>
      </c>
      <c r="F12" s="613">
        <v>178.2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64"/>
      <c r="R12" s="1024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45627</v>
      </c>
      <c r="B13" s="1275" t="s">
        <v>6755</v>
      </c>
      <c r="C13" s="1276" t="s">
        <v>12</v>
      </c>
      <c r="D13" s="1276"/>
      <c r="E13" s="1286"/>
      <c r="F13" s="613"/>
      <c r="G13" s="967">
        <v>178.2</v>
      </c>
      <c r="H13" s="1008"/>
      <c r="I13" s="1063"/>
      <c r="J13" s="613"/>
      <c r="K13" s="6"/>
      <c r="L13" s="622"/>
      <c r="M13" s="982"/>
      <c r="N13" s="622"/>
      <c r="O13" s="1063"/>
      <c r="P13" s="613"/>
      <c r="Q13" s="64"/>
      <c r="R13" s="1024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45628</v>
      </c>
      <c r="B14" s="882" t="s">
        <v>7125</v>
      </c>
      <c r="C14" s="879" t="s">
        <v>12</v>
      </c>
      <c r="D14" s="879" t="s">
        <v>1489</v>
      </c>
      <c r="E14" s="875" t="s">
        <v>13</v>
      </c>
      <c r="F14" s="780">
        <v>33</v>
      </c>
      <c r="G14" s="982"/>
      <c r="H14" s="95"/>
      <c r="I14" s="1064"/>
      <c r="J14" s="622"/>
      <c r="K14" s="982"/>
      <c r="L14" s="622"/>
      <c r="M14" s="982"/>
      <c r="N14" s="622"/>
      <c r="O14" s="1063"/>
      <c r="P14" s="622"/>
      <c r="Q14" s="982"/>
      <c r="R14" s="861">
        <v>66</v>
      </c>
    </row>
    <row r="15" spans="1:42" s="224" customFormat="1" ht="15" customHeight="1" x14ac:dyDescent="0.25">
      <c r="A15" s="247">
        <v>45628</v>
      </c>
      <c r="B15" s="882" t="s">
        <v>2789</v>
      </c>
      <c r="C15" s="879" t="s">
        <v>12</v>
      </c>
      <c r="D15" s="879" t="s">
        <v>1485</v>
      </c>
      <c r="E15" s="875" t="s">
        <v>13</v>
      </c>
      <c r="F15" s="780">
        <v>17.190000000000001</v>
      </c>
      <c r="G15" s="982"/>
      <c r="H15" s="95"/>
      <c r="I15" s="1064"/>
      <c r="J15" s="622"/>
      <c r="K15" s="982"/>
      <c r="L15" s="622"/>
      <c r="M15" s="982"/>
      <c r="N15" s="622"/>
      <c r="O15" s="1063"/>
      <c r="P15" s="622"/>
      <c r="Q15" s="982"/>
      <c r="R15" s="1028"/>
      <c r="U15" s="958"/>
    </row>
    <row r="16" spans="1:42" s="224" customFormat="1" ht="15" customHeight="1" x14ac:dyDescent="0.25">
      <c r="A16" s="247">
        <v>45628</v>
      </c>
      <c r="B16" s="882" t="s">
        <v>14</v>
      </c>
      <c r="C16" s="879" t="s">
        <v>12</v>
      </c>
      <c r="D16" s="879" t="s">
        <v>1486</v>
      </c>
      <c r="E16" s="875" t="s">
        <v>13</v>
      </c>
      <c r="F16" s="780">
        <v>6.94</v>
      </c>
      <c r="G16" s="982"/>
      <c r="H16" s="95"/>
      <c r="I16" s="1064"/>
      <c r="J16" s="622"/>
      <c r="K16" s="982"/>
      <c r="L16" s="622"/>
      <c r="M16" s="982"/>
      <c r="N16" s="622"/>
      <c r="O16" s="1063"/>
      <c r="P16" s="622"/>
      <c r="Q16" s="982"/>
      <c r="R16" s="861"/>
    </row>
    <row r="17" spans="1:21" s="224" customFormat="1" ht="15" customHeight="1" x14ac:dyDescent="0.25">
      <c r="A17" s="247">
        <v>45629</v>
      </c>
      <c r="B17" s="364" t="s">
        <v>7116</v>
      </c>
      <c r="C17" s="350" t="s">
        <v>12</v>
      </c>
      <c r="D17" s="350"/>
      <c r="E17" s="875" t="s">
        <v>25</v>
      </c>
      <c r="F17" s="780"/>
      <c r="G17" s="982">
        <v>7206.25</v>
      </c>
      <c r="H17" s="1008"/>
      <c r="I17" s="1063"/>
      <c r="J17" s="1116"/>
      <c r="K17" s="1207"/>
      <c r="L17" s="622"/>
      <c r="M17" s="982"/>
      <c r="N17" s="622"/>
      <c r="O17" s="1063"/>
      <c r="P17" s="622"/>
      <c r="Q17" s="982"/>
      <c r="R17" s="861">
        <v>7206.25</v>
      </c>
      <c r="T17" s="1035"/>
    </row>
    <row r="18" spans="1:21" s="224" customFormat="1" ht="15" customHeight="1" x14ac:dyDescent="0.25">
      <c r="A18" s="247">
        <v>45629</v>
      </c>
      <c r="B18" s="882" t="s">
        <v>7140</v>
      </c>
      <c r="C18" s="879" t="s">
        <v>12</v>
      </c>
      <c r="D18" s="879"/>
      <c r="E18" s="875" t="s">
        <v>13</v>
      </c>
      <c r="F18" s="780">
        <v>5000</v>
      </c>
      <c r="G18" s="982"/>
      <c r="H18" s="95"/>
      <c r="I18" s="1064"/>
      <c r="J18" s="622"/>
      <c r="K18" s="982"/>
      <c r="L18" s="622"/>
      <c r="M18" s="982"/>
      <c r="N18" s="622"/>
      <c r="O18" s="1063">
        <v>5000</v>
      </c>
      <c r="P18" s="622"/>
      <c r="Q18" s="982"/>
      <c r="R18" s="861"/>
    </row>
    <row r="19" spans="1:21" s="224" customFormat="1" ht="15" customHeight="1" x14ac:dyDescent="0.25">
      <c r="A19" s="247">
        <v>45629</v>
      </c>
      <c r="B19" s="882" t="s">
        <v>6130</v>
      </c>
      <c r="C19" s="350" t="s">
        <v>12</v>
      </c>
      <c r="D19" s="879" t="s">
        <v>1491</v>
      </c>
      <c r="E19" s="875" t="s">
        <v>13</v>
      </c>
      <c r="F19" s="780">
        <v>31.9</v>
      </c>
      <c r="G19" s="982"/>
      <c r="H19" s="95"/>
      <c r="I19" s="1064"/>
      <c r="J19" s="622"/>
      <c r="K19" s="982"/>
      <c r="L19" s="622"/>
      <c r="M19" s="982"/>
      <c r="N19" s="622"/>
      <c r="O19" s="1063"/>
      <c r="P19" s="622"/>
      <c r="Q19" s="982"/>
      <c r="R19" s="1028" t="s">
        <v>7137</v>
      </c>
    </row>
    <row r="20" spans="1:21" s="224" customFormat="1" ht="15" customHeight="1" x14ac:dyDescent="0.25">
      <c r="A20" s="247">
        <v>45629</v>
      </c>
      <c r="B20" s="882" t="s">
        <v>6804</v>
      </c>
      <c r="C20" s="350" t="s">
        <v>12</v>
      </c>
      <c r="D20" s="879" t="s">
        <v>1504</v>
      </c>
      <c r="E20" s="875" t="s">
        <v>13</v>
      </c>
      <c r="F20" s="780">
        <v>40</v>
      </c>
      <c r="G20" s="982"/>
      <c r="H20" s="95"/>
      <c r="I20" s="1064"/>
      <c r="J20" s="622"/>
      <c r="K20" s="982"/>
      <c r="L20" s="622"/>
      <c r="M20" s="982"/>
      <c r="N20" s="622"/>
      <c r="O20" s="1063"/>
      <c r="P20" s="622"/>
      <c r="Q20" s="982"/>
      <c r="R20" s="1028" t="s">
        <v>7137</v>
      </c>
    </row>
    <row r="21" spans="1:21" s="224" customFormat="1" ht="15" customHeight="1" x14ac:dyDescent="0.25">
      <c r="A21" s="247">
        <v>45629</v>
      </c>
      <c r="B21" s="882" t="s">
        <v>6805</v>
      </c>
      <c r="C21" s="350" t="s">
        <v>12</v>
      </c>
      <c r="D21" s="879" t="s">
        <v>1504</v>
      </c>
      <c r="E21" s="875" t="s">
        <v>13</v>
      </c>
      <c r="F21" s="780">
        <v>45</v>
      </c>
      <c r="G21" s="982"/>
      <c r="H21" s="95"/>
      <c r="I21" s="1064"/>
      <c r="J21" s="622"/>
      <c r="K21" s="982"/>
      <c r="L21" s="622"/>
      <c r="M21" s="982"/>
      <c r="N21" s="622"/>
      <c r="O21" s="1063"/>
      <c r="P21" s="622"/>
      <c r="Q21" s="982"/>
      <c r="R21" s="1028" t="s">
        <v>7137</v>
      </c>
    </row>
    <row r="22" spans="1:21" s="224" customFormat="1" ht="15" customHeight="1" x14ac:dyDescent="0.25">
      <c r="A22" s="247">
        <v>45629</v>
      </c>
      <c r="B22" s="882" t="s">
        <v>6974</v>
      </c>
      <c r="C22" s="350" t="s">
        <v>12</v>
      </c>
      <c r="D22" s="879" t="s">
        <v>1504</v>
      </c>
      <c r="E22" s="875" t="s">
        <v>13</v>
      </c>
      <c r="F22" s="780">
        <v>29.806666666666668</v>
      </c>
      <c r="G22" s="982"/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1028" t="s">
        <v>7137</v>
      </c>
    </row>
    <row r="23" spans="1:21" s="224" customFormat="1" ht="15" customHeight="1" x14ac:dyDescent="0.25">
      <c r="A23" s="247">
        <v>45629</v>
      </c>
      <c r="B23" s="882" t="s">
        <v>7031</v>
      </c>
      <c r="C23" s="350" t="s">
        <v>12</v>
      </c>
      <c r="D23" s="879" t="s">
        <v>1491</v>
      </c>
      <c r="E23" s="875" t="s">
        <v>13</v>
      </c>
      <c r="F23" s="780">
        <v>92.04</v>
      </c>
      <c r="G23" s="982"/>
      <c r="H23" s="95"/>
      <c r="I23" s="1064"/>
      <c r="J23" s="622"/>
      <c r="K23" s="982"/>
      <c r="L23" s="622"/>
      <c r="M23" s="982"/>
      <c r="N23" s="622"/>
      <c r="O23" s="1063"/>
      <c r="P23" s="622"/>
      <c r="Q23" s="982"/>
      <c r="R23" s="1028" t="s">
        <v>7137</v>
      </c>
    </row>
    <row r="24" spans="1:21" s="224" customFormat="1" ht="15" customHeight="1" x14ac:dyDescent="0.25">
      <c r="A24" s="247">
        <v>45629</v>
      </c>
      <c r="B24" s="882" t="s">
        <v>7032</v>
      </c>
      <c r="C24" s="350" t="s">
        <v>12</v>
      </c>
      <c r="D24" s="879" t="s">
        <v>1489</v>
      </c>
      <c r="E24" s="875" t="s">
        <v>13</v>
      </c>
      <c r="F24" s="780">
        <v>150</v>
      </c>
      <c r="G24" s="982"/>
      <c r="H24" s="95"/>
      <c r="I24" s="1064"/>
      <c r="J24" s="622"/>
      <c r="K24" s="982"/>
      <c r="L24" s="622"/>
      <c r="M24" s="982"/>
      <c r="N24" s="622"/>
      <c r="O24" s="1063"/>
      <c r="P24" s="622"/>
      <c r="Q24" s="982"/>
      <c r="R24" s="1028" t="s">
        <v>7137</v>
      </c>
    </row>
    <row r="25" spans="1:21" s="224" customFormat="1" ht="15" customHeight="1" x14ac:dyDescent="0.25">
      <c r="A25" s="247">
        <v>45629</v>
      </c>
      <c r="B25" s="882" t="s">
        <v>7085</v>
      </c>
      <c r="C25" s="350" t="s">
        <v>12</v>
      </c>
      <c r="D25" s="879" t="s">
        <v>1506</v>
      </c>
      <c r="E25" s="875" t="s">
        <v>13</v>
      </c>
      <c r="F25" s="780">
        <v>119.99</v>
      </c>
      <c r="G25" s="982"/>
      <c r="H25" s="95"/>
      <c r="I25" s="1064"/>
      <c r="J25" s="622"/>
      <c r="K25" s="982"/>
      <c r="L25" s="622"/>
      <c r="M25" s="982"/>
      <c r="N25" s="622"/>
      <c r="O25" s="1063"/>
      <c r="P25" s="622"/>
      <c r="Q25" s="982"/>
      <c r="R25" s="1028" t="s">
        <v>7137</v>
      </c>
    </row>
    <row r="26" spans="1:21" s="224" customFormat="1" ht="15" customHeight="1" x14ac:dyDescent="0.25">
      <c r="A26" s="247">
        <v>45629</v>
      </c>
      <c r="B26" s="882" t="s">
        <v>7112</v>
      </c>
      <c r="C26" s="350" t="s">
        <v>12</v>
      </c>
      <c r="D26" s="879" t="s">
        <v>6731</v>
      </c>
      <c r="E26" s="875" t="s">
        <v>13</v>
      </c>
      <c r="F26" s="780">
        <v>65</v>
      </c>
      <c r="G26" s="982"/>
      <c r="H26" s="95"/>
      <c r="I26" s="1064"/>
      <c r="J26" s="622"/>
      <c r="K26" s="982"/>
      <c r="L26" s="622"/>
      <c r="M26" s="982"/>
      <c r="N26" s="622"/>
      <c r="O26" s="1063"/>
      <c r="P26" s="622"/>
      <c r="Q26" s="982"/>
      <c r="R26" s="1028" t="s">
        <v>7137</v>
      </c>
    </row>
    <row r="27" spans="1:21" s="224" customFormat="1" ht="15" customHeight="1" x14ac:dyDescent="0.25">
      <c r="A27" s="247">
        <v>45629</v>
      </c>
      <c r="B27" s="882" t="s">
        <v>7126</v>
      </c>
      <c r="C27" s="350" t="s">
        <v>12</v>
      </c>
      <c r="D27" s="879" t="s">
        <v>6731</v>
      </c>
      <c r="E27" s="875" t="s">
        <v>13</v>
      </c>
      <c r="F27" s="780">
        <v>42.75</v>
      </c>
      <c r="G27" s="982"/>
      <c r="H27" s="95"/>
      <c r="I27" s="1064"/>
      <c r="J27" s="622"/>
      <c r="K27" s="982"/>
      <c r="L27" s="622"/>
      <c r="M27" s="982"/>
      <c r="N27" s="622"/>
      <c r="O27" s="1063"/>
      <c r="P27" s="622"/>
      <c r="Q27" s="982"/>
      <c r="R27" s="1028" t="s">
        <v>7137</v>
      </c>
    </row>
    <row r="28" spans="1:21" s="224" customFormat="1" ht="15" customHeight="1" x14ac:dyDescent="0.25">
      <c r="A28" s="247">
        <v>45629</v>
      </c>
      <c r="B28" s="882" t="s">
        <v>7127</v>
      </c>
      <c r="C28" s="350" t="s">
        <v>12</v>
      </c>
      <c r="D28" s="879" t="s">
        <v>1525</v>
      </c>
      <c r="E28" s="875" t="s">
        <v>13</v>
      </c>
      <c r="F28" s="780">
        <v>170.07</v>
      </c>
      <c r="G28" s="982"/>
      <c r="H28" s="95"/>
      <c r="I28" s="1064"/>
      <c r="J28" s="622"/>
      <c r="K28" s="982"/>
      <c r="L28" s="622"/>
      <c r="M28" s="982"/>
      <c r="N28" s="622"/>
      <c r="O28" s="1063"/>
      <c r="P28" s="622"/>
      <c r="Q28" s="982"/>
      <c r="R28" s="1028" t="s">
        <v>7137</v>
      </c>
    </row>
    <row r="29" spans="1:21" s="224" customFormat="1" ht="15" customHeight="1" x14ac:dyDescent="0.25">
      <c r="A29" s="247">
        <v>45629</v>
      </c>
      <c r="B29" s="882" t="s">
        <v>7128</v>
      </c>
      <c r="C29" s="350" t="s">
        <v>12</v>
      </c>
      <c r="D29" s="879" t="s">
        <v>1491</v>
      </c>
      <c r="E29" s="875" t="s">
        <v>13</v>
      </c>
      <c r="F29" s="780">
        <v>35.869999999999997</v>
      </c>
      <c r="G29" s="982"/>
      <c r="H29" s="95"/>
      <c r="I29" s="1064"/>
      <c r="J29" s="622"/>
      <c r="K29" s="982"/>
      <c r="L29" s="622"/>
      <c r="M29" s="982"/>
      <c r="N29" s="622"/>
      <c r="O29" s="1063"/>
      <c r="P29" s="622"/>
      <c r="Q29" s="982"/>
      <c r="R29" s="1028" t="s">
        <v>7137</v>
      </c>
    </row>
    <row r="30" spans="1:21" s="224" customFormat="1" ht="15" customHeight="1" x14ac:dyDescent="0.25">
      <c r="A30" s="247">
        <v>45629</v>
      </c>
      <c r="B30" s="882" t="s">
        <v>7129</v>
      </c>
      <c r="C30" s="350" t="s">
        <v>12</v>
      </c>
      <c r="D30" s="879" t="s">
        <v>1496</v>
      </c>
      <c r="E30" s="875" t="s">
        <v>13</v>
      </c>
      <c r="F30" s="780">
        <v>59.96</v>
      </c>
      <c r="G30" s="982"/>
      <c r="H30" s="95"/>
      <c r="I30" s="1064"/>
      <c r="J30" s="622"/>
      <c r="K30" s="982"/>
      <c r="L30" s="622"/>
      <c r="M30" s="982"/>
      <c r="N30" s="622"/>
      <c r="O30" s="1063"/>
      <c r="P30" s="622"/>
      <c r="Q30" s="982"/>
      <c r="R30" s="1028" t="s">
        <v>7137</v>
      </c>
    </row>
    <row r="31" spans="1:21" s="224" customFormat="1" ht="15" customHeight="1" x14ac:dyDescent="0.25">
      <c r="A31" s="247">
        <v>45629</v>
      </c>
      <c r="B31" s="882" t="s">
        <v>6329</v>
      </c>
      <c r="C31" s="879" t="s">
        <v>12</v>
      </c>
      <c r="D31" s="879"/>
      <c r="E31" s="875" t="s">
        <v>25</v>
      </c>
      <c r="F31" s="780"/>
      <c r="G31" s="982">
        <v>100</v>
      </c>
      <c r="H31" s="1008"/>
      <c r="I31" s="1063"/>
      <c r="J31" s="613"/>
      <c r="K31" s="982"/>
      <c r="L31" s="622"/>
      <c r="M31" s="982"/>
      <c r="N31" s="622"/>
      <c r="O31" s="1063"/>
      <c r="P31" s="622"/>
      <c r="Q31" s="982"/>
      <c r="R31" s="861"/>
    </row>
    <row r="32" spans="1:21" s="224" customFormat="1" ht="15" customHeight="1" x14ac:dyDescent="0.25">
      <c r="A32" s="247">
        <v>45629</v>
      </c>
      <c r="B32" s="882" t="s">
        <v>2789</v>
      </c>
      <c r="C32" s="879" t="s">
        <v>12</v>
      </c>
      <c r="D32" s="879" t="s">
        <v>1485</v>
      </c>
      <c r="E32" s="875" t="s">
        <v>13</v>
      </c>
      <c r="F32" s="780">
        <v>10.5</v>
      </c>
      <c r="G32" s="982"/>
      <c r="H32" s="95"/>
      <c r="I32" s="1064"/>
      <c r="J32" s="622"/>
      <c r="K32" s="982"/>
      <c r="L32" s="622"/>
      <c r="M32" s="982"/>
      <c r="N32" s="622"/>
      <c r="O32" s="1063"/>
      <c r="P32" s="622"/>
      <c r="Q32" s="982"/>
      <c r="R32" s="1028"/>
      <c r="U32" s="958"/>
    </row>
    <row r="33" spans="1:42" s="224" customFormat="1" ht="15" customHeight="1" x14ac:dyDescent="0.25">
      <c r="A33" s="247">
        <v>45629</v>
      </c>
      <c r="B33" s="882" t="s">
        <v>7141</v>
      </c>
      <c r="C33" s="879" t="s">
        <v>12</v>
      </c>
      <c r="D33" s="879"/>
      <c r="E33" s="875"/>
      <c r="F33" s="780">
        <v>1000</v>
      </c>
      <c r="G33" s="982"/>
      <c r="H33" s="95"/>
      <c r="I33" s="1064"/>
      <c r="J33" s="622"/>
      <c r="K33" s="982">
        <v>1000</v>
      </c>
      <c r="L33" s="622"/>
      <c r="M33" s="982"/>
      <c r="N33" s="622"/>
      <c r="O33" s="1063"/>
      <c r="P33" s="622"/>
      <c r="Q33" s="982"/>
      <c r="R33" s="1028"/>
    </row>
    <row r="34" spans="1:42" s="224" customFormat="1" ht="15" customHeight="1" x14ac:dyDescent="0.25">
      <c r="A34" s="247">
        <v>45629</v>
      </c>
      <c r="B34" s="882" t="s">
        <v>14</v>
      </c>
      <c r="C34" s="879" t="s">
        <v>12</v>
      </c>
      <c r="D34" s="879" t="s">
        <v>1486</v>
      </c>
      <c r="E34" s="875" t="s">
        <v>13</v>
      </c>
      <c r="F34" s="780">
        <v>19.7</v>
      </c>
      <c r="G34" s="982"/>
      <c r="H34" s="95"/>
      <c r="I34" s="1064"/>
      <c r="J34" s="622"/>
      <c r="K34" s="982"/>
      <c r="L34" s="622"/>
      <c r="M34" s="982"/>
      <c r="N34" s="622"/>
      <c r="O34" s="1063"/>
      <c r="P34" s="622"/>
      <c r="Q34" s="982"/>
      <c r="R34" s="1028"/>
    </row>
    <row r="35" spans="1:42" s="224" customFormat="1" x14ac:dyDescent="0.25">
      <c r="A35" s="247">
        <v>45630</v>
      </c>
      <c r="B35" s="882" t="s">
        <v>32</v>
      </c>
      <c r="C35" s="879" t="s">
        <v>12</v>
      </c>
      <c r="D35" s="879" t="s">
        <v>1485</v>
      </c>
      <c r="E35" s="875" t="s">
        <v>13</v>
      </c>
      <c r="F35" s="780">
        <v>25</v>
      </c>
      <c r="G35" s="982"/>
      <c r="H35" s="1008"/>
      <c r="I35" s="1063"/>
      <c r="J35" s="2013"/>
      <c r="K35" s="1207"/>
      <c r="L35" s="622"/>
      <c r="M35" s="982"/>
      <c r="N35" s="622"/>
      <c r="O35" s="1063"/>
      <c r="P35" s="622"/>
      <c r="Q35" s="982"/>
      <c r="R35" s="1028"/>
      <c r="T35" s="878"/>
    </row>
    <row r="36" spans="1:42" s="224" customFormat="1" ht="15" customHeight="1" x14ac:dyDescent="0.25">
      <c r="A36" s="247">
        <v>45631</v>
      </c>
      <c r="B36" s="364" t="s">
        <v>7143</v>
      </c>
      <c r="C36" s="350" t="s">
        <v>12</v>
      </c>
      <c r="D36" s="350" t="s">
        <v>6731</v>
      </c>
      <c r="E36" s="875" t="s">
        <v>13</v>
      </c>
      <c r="F36" s="780">
        <v>65</v>
      </c>
      <c r="G36" s="982"/>
      <c r="H36" s="1008"/>
      <c r="I36" s="1063"/>
      <c r="J36" s="1116"/>
      <c r="K36" s="1207"/>
      <c r="L36" s="622"/>
      <c r="M36" s="982"/>
      <c r="N36" s="622"/>
      <c r="O36" s="1063"/>
      <c r="P36" s="622"/>
      <c r="Q36" s="982"/>
      <c r="R36" s="861"/>
      <c r="T36" s="1035"/>
    </row>
    <row r="37" spans="1:42" s="224" customFormat="1" ht="15" customHeight="1" x14ac:dyDescent="0.25">
      <c r="A37" s="247">
        <v>45631</v>
      </c>
      <c r="B37" s="364" t="s">
        <v>7144</v>
      </c>
      <c r="C37" s="350" t="s">
        <v>12</v>
      </c>
      <c r="D37" s="350" t="s">
        <v>6731</v>
      </c>
      <c r="E37" s="875" t="s">
        <v>13</v>
      </c>
      <c r="F37" s="780">
        <v>35</v>
      </c>
      <c r="G37" s="982"/>
      <c r="H37" s="1008"/>
      <c r="I37" s="1063"/>
      <c r="J37" s="1116"/>
      <c r="K37" s="1207"/>
      <c r="L37" s="622"/>
      <c r="M37" s="982"/>
      <c r="N37" s="622"/>
      <c r="O37" s="1063"/>
      <c r="P37" s="622"/>
      <c r="Q37" s="982"/>
      <c r="R37" s="861"/>
      <c r="T37" s="1035"/>
    </row>
    <row r="38" spans="1:42" s="224" customFormat="1" ht="15" customHeight="1" x14ac:dyDescent="0.25">
      <c r="A38" s="247">
        <v>45631</v>
      </c>
      <c r="B38" s="882" t="s">
        <v>32</v>
      </c>
      <c r="C38" s="879" t="s">
        <v>12</v>
      </c>
      <c r="D38" s="879" t="s">
        <v>1485</v>
      </c>
      <c r="E38" s="875" t="s">
        <v>13</v>
      </c>
      <c r="F38" s="780">
        <v>25</v>
      </c>
      <c r="G38" s="982"/>
      <c r="H38" s="1008"/>
      <c r="I38" s="1063"/>
      <c r="J38" s="1116"/>
      <c r="K38" s="1207"/>
      <c r="L38" s="622"/>
      <c r="M38" s="982"/>
      <c r="N38" s="622"/>
      <c r="O38" s="1063"/>
      <c r="P38" s="622"/>
      <c r="Q38" s="982"/>
      <c r="R38" s="861"/>
      <c r="T38" s="1035"/>
    </row>
    <row r="39" spans="1:42" s="224" customFormat="1" ht="15.75" customHeight="1" x14ac:dyDescent="0.25">
      <c r="A39" s="247">
        <v>45632</v>
      </c>
      <c r="B39" s="873" t="s">
        <v>7117</v>
      </c>
      <c r="C39" s="879" t="s">
        <v>12</v>
      </c>
      <c r="D39" s="874"/>
      <c r="E39" s="887" t="s">
        <v>25</v>
      </c>
      <c r="F39" s="780"/>
      <c r="G39" s="1002">
        <v>2523.2600000000002</v>
      </c>
      <c r="H39" s="538"/>
      <c r="I39" s="982"/>
      <c r="J39" s="2013"/>
      <c r="K39" s="1207"/>
      <c r="L39" s="622"/>
      <c r="M39" s="982"/>
      <c r="N39" s="622"/>
      <c r="O39" s="1063"/>
      <c r="P39" s="622"/>
      <c r="Q39" s="982"/>
      <c r="R39" s="927"/>
    </row>
    <row r="40" spans="1:42" s="224" customFormat="1" ht="15" customHeight="1" x14ac:dyDescent="0.25">
      <c r="A40" s="247">
        <v>45632</v>
      </c>
      <c r="B40" s="364" t="s">
        <v>1396</v>
      </c>
      <c r="C40" s="879" t="s">
        <v>12</v>
      </c>
      <c r="D40" s="350"/>
      <c r="E40" s="919" t="s">
        <v>25</v>
      </c>
      <c r="F40" s="1116"/>
      <c r="G40" s="966">
        <v>150</v>
      </c>
      <c r="H40" s="1031"/>
      <c r="I40" s="1525"/>
      <c r="J40" s="2013"/>
      <c r="K40" s="1207"/>
      <c r="L40" s="880"/>
      <c r="M40" s="1033"/>
      <c r="N40" s="622"/>
      <c r="O40" s="1063"/>
      <c r="P40" s="1116"/>
      <c r="Q40" s="1207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45632</v>
      </c>
      <c r="B41" s="364" t="s">
        <v>2977</v>
      </c>
      <c r="C41" s="879" t="s">
        <v>12</v>
      </c>
      <c r="D41" s="350" t="s">
        <v>1491</v>
      </c>
      <c r="E41" s="875" t="s">
        <v>13</v>
      </c>
      <c r="F41" s="780">
        <v>500</v>
      </c>
      <c r="G41" s="982"/>
      <c r="H41" s="1008"/>
      <c r="I41" s="1063"/>
      <c r="J41" s="2013"/>
      <c r="K41" s="1207"/>
      <c r="L41" s="622"/>
      <c r="M41" s="982"/>
      <c r="N41" s="622"/>
      <c r="O41" s="1063"/>
      <c r="P41" s="622"/>
      <c r="Q41" s="982"/>
      <c r="R41" s="1028"/>
      <c r="T41" s="1035"/>
    </row>
    <row r="42" spans="1:42" s="224" customFormat="1" ht="15" customHeight="1" x14ac:dyDescent="0.25">
      <c r="A42" s="247">
        <v>45632</v>
      </c>
      <c r="B42" s="862" t="s">
        <v>6416</v>
      </c>
      <c r="C42" s="879" t="s">
        <v>12</v>
      </c>
      <c r="D42" s="879" t="s">
        <v>1504</v>
      </c>
      <c r="E42" s="871" t="s">
        <v>13</v>
      </c>
      <c r="F42" s="1116">
        <v>40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808">
        <v>60</v>
      </c>
      <c r="S42" s="1028"/>
      <c r="T42" s="1035"/>
    </row>
    <row r="43" spans="1:42" s="224" customFormat="1" ht="15" customHeight="1" x14ac:dyDescent="0.25">
      <c r="A43" s="247">
        <v>45632</v>
      </c>
      <c r="B43" s="882" t="s">
        <v>7118</v>
      </c>
      <c r="C43" s="879" t="s">
        <v>12</v>
      </c>
      <c r="D43" s="879" t="s">
        <v>1499</v>
      </c>
      <c r="E43" s="871" t="s">
        <v>13</v>
      </c>
      <c r="F43" s="780">
        <v>147.44999999999999</v>
      </c>
      <c r="G43" s="1002"/>
      <c r="H43" s="538"/>
      <c r="I43" s="982"/>
      <c r="J43" s="2013"/>
      <c r="K43" s="1207"/>
      <c r="L43" s="622"/>
      <c r="M43" s="982"/>
      <c r="N43" s="622"/>
      <c r="O43" s="1063"/>
      <c r="P43" s="622"/>
      <c r="Q43" s="982"/>
      <c r="R43" s="178">
        <v>447.45</v>
      </c>
      <c r="S43" s="999"/>
      <c r="T43" s="878"/>
    </row>
    <row r="44" spans="1:42" x14ac:dyDescent="0.25">
      <c r="A44" s="247">
        <v>45632</v>
      </c>
      <c r="B44" s="876" t="s">
        <v>6762</v>
      </c>
      <c r="C44" s="879" t="s">
        <v>12</v>
      </c>
      <c r="D44" s="879" t="s">
        <v>1496</v>
      </c>
      <c r="E44" s="871" t="s">
        <v>13</v>
      </c>
      <c r="F44" s="780">
        <v>100</v>
      </c>
      <c r="G44" s="982"/>
      <c r="H44" s="1009"/>
      <c r="I44" s="1063"/>
      <c r="J44" s="613"/>
      <c r="K44" s="6"/>
      <c r="L44" s="622"/>
      <c r="M44" s="982"/>
      <c r="N44" s="622"/>
      <c r="O44" s="1063"/>
      <c r="P44" s="622"/>
      <c r="Q44" s="982"/>
      <c r="R44" s="1029"/>
    </row>
    <row r="45" spans="1:42" s="224" customFormat="1" ht="15" customHeight="1" x14ac:dyDescent="0.25">
      <c r="A45" s="247">
        <v>45632</v>
      </c>
      <c r="B45" s="882" t="s">
        <v>6214</v>
      </c>
      <c r="C45" s="879" t="s">
        <v>12</v>
      </c>
      <c r="D45" s="879"/>
      <c r="E45" s="875" t="s">
        <v>13</v>
      </c>
      <c r="F45" s="780"/>
      <c r="G45" s="982"/>
      <c r="H45" s="95"/>
      <c r="I45" s="1064"/>
      <c r="J45" s="622"/>
      <c r="K45" s="982">
        <v>600</v>
      </c>
      <c r="L45" s="622"/>
      <c r="M45" s="982"/>
      <c r="N45" s="622"/>
      <c r="O45" s="1063"/>
      <c r="P45" s="622"/>
      <c r="Q45" s="982"/>
      <c r="R45" s="861"/>
    </row>
    <row r="46" spans="1:42" s="224" customFormat="1" ht="15" customHeight="1" x14ac:dyDescent="0.25">
      <c r="A46" s="247">
        <v>45632</v>
      </c>
      <c r="B46" s="882" t="s">
        <v>7158</v>
      </c>
      <c r="C46" s="879" t="s">
        <v>12</v>
      </c>
      <c r="D46" s="879"/>
      <c r="E46" s="875" t="s">
        <v>13</v>
      </c>
      <c r="F46" s="780"/>
      <c r="G46" s="982">
        <v>391</v>
      </c>
      <c r="H46" s="95"/>
      <c r="I46" s="1064"/>
      <c r="J46" s="622">
        <v>391</v>
      </c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ht="15" customHeight="1" x14ac:dyDescent="0.25">
      <c r="A47" s="247">
        <v>45632</v>
      </c>
      <c r="B47" s="882" t="s">
        <v>7156</v>
      </c>
      <c r="C47" s="879" t="s">
        <v>12</v>
      </c>
      <c r="D47" s="879" t="s">
        <v>1524</v>
      </c>
      <c r="E47" s="875" t="s">
        <v>13</v>
      </c>
      <c r="F47" s="780">
        <v>161</v>
      </c>
      <c r="G47" s="982"/>
      <c r="H47" s="95"/>
      <c r="I47" s="1064"/>
      <c r="J47" s="622"/>
      <c r="K47" s="982"/>
      <c r="L47" s="622"/>
      <c r="M47" s="982"/>
      <c r="N47" s="622"/>
      <c r="O47" s="1063"/>
      <c r="P47" s="622"/>
      <c r="Q47" s="982"/>
      <c r="R47" s="861"/>
    </row>
    <row r="48" spans="1:42" s="224" customFormat="1" ht="15" customHeight="1" x14ac:dyDescent="0.25">
      <c r="A48" s="247">
        <v>45632</v>
      </c>
      <c r="B48" s="882" t="s">
        <v>7157</v>
      </c>
      <c r="C48" s="879" t="s">
        <v>12</v>
      </c>
      <c r="D48" s="879" t="s">
        <v>1524</v>
      </c>
      <c r="E48" s="875" t="s">
        <v>13</v>
      </c>
      <c r="F48" s="780">
        <v>230</v>
      </c>
      <c r="G48" s="982"/>
      <c r="H48" s="1008"/>
      <c r="I48" s="1063"/>
      <c r="J48" s="622"/>
      <c r="K48" s="982"/>
      <c r="L48" s="622"/>
      <c r="M48" s="982"/>
      <c r="N48" s="622"/>
      <c r="O48" s="1063"/>
      <c r="P48" s="622"/>
      <c r="Q48" s="982"/>
      <c r="R48" s="861"/>
    </row>
    <row r="49" spans="1:20" s="224" customFormat="1" ht="15" customHeight="1" x14ac:dyDescent="0.25">
      <c r="A49" s="247">
        <v>45632</v>
      </c>
      <c r="B49" s="882" t="s">
        <v>7159</v>
      </c>
      <c r="C49" s="879" t="s">
        <v>12</v>
      </c>
      <c r="D49" s="879" t="s">
        <v>1489</v>
      </c>
      <c r="E49" s="875" t="s">
        <v>13</v>
      </c>
      <c r="F49" s="780">
        <v>64</v>
      </c>
      <c r="G49" s="982"/>
      <c r="H49" s="95"/>
      <c r="I49" s="1064"/>
      <c r="J49" s="622"/>
      <c r="K49" s="982"/>
      <c r="L49" s="622"/>
      <c r="M49" s="982"/>
      <c r="N49" s="622"/>
      <c r="O49" s="1063"/>
      <c r="P49" s="622"/>
      <c r="Q49" s="982"/>
      <c r="R49" s="861"/>
    </row>
    <row r="50" spans="1:20" s="224" customFormat="1" ht="15" customHeight="1" x14ac:dyDescent="0.25">
      <c r="A50" s="247">
        <v>45632</v>
      </c>
      <c r="B50" s="882" t="s">
        <v>7160</v>
      </c>
      <c r="C50" s="879" t="s">
        <v>12</v>
      </c>
      <c r="D50" s="879" t="s">
        <v>1491</v>
      </c>
      <c r="E50" s="875" t="s">
        <v>13</v>
      </c>
      <c r="F50" s="780">
        <v>300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</row>
    <row r="51" spans="1:20" s="224" customFormat="1" x14ac:dyDescent="0.25">
      <c r="A51" s="247">
        <v>45632</v>
      </c>
      <c r="B51" s="882" t="s">
        <v>32</v>
      </c>
      <c r="C51" s="879" t="s">
        <v>12</v>
      </c>
      <c r="D51" s="879" t="s">
        <v>1485</v>
      </c>
      <c r="E51" s="875" t="s">
        <v>13</v>
      </c>
      <c r="F51" s="780">
        <v>22</v>
      </c>
      <c r="G51" s="982"/>
      <c r="H51" s="1008"/>
      <c r="I51" s="1063"/>
      <c r="J51" s="2013"/>
      <c r="K51" s="1207"/>
      <c r="L51" s="622"/>
      <c r="M51" s="982"/>
      <c r="N51" s="622"/>
      <c r="O51" s="1063"/>
      <c r="P51" s="622"/>
      <c r="Q51" s="982"/>
      <c r="R51" s="1028"/>
      <c r="T51" s="878"/>
    </row>
    <row r="52" spans="1:20" s="224" customFormat="1" x14ac:dyDescent="0.25">
      <c r="A52" s="247">
        <v>45632</v>
      </c>
      <c r="B52" s="882" t="s">
        <v>81</v>
      </c>
      <c r="C52" s="879" t="s">
        <v>12</v>
      </c>
      <c r="D52" s="879" t="s">
        <v>1493</v>
      </c>
      <c r="E52" s="871" t="s">
        <v>13</v>
      </c>
      <c r="F52" s="1279">
        <v>4.2</v>
      </c>
      <c r="G52" s="982"/>
      <c r="H52" s="1008"/>
      <c r="I52" s="1063"/>
      <c r="J52" s="2013"/>
      <c r="K52" s="1207"/>
      <c r="L52" s="622"/>
      <c r="M52" s="982"/>
      <c r="N52" s="622"/>
      <c r="O52" s="1063"/>
      <c r="P52" s="622"/>
      <c r="Q52" s="982"/>
      <c r="R52" s="1028"/>
      <c r="T52" s="878"/>
    </row>
    <row r="53" spans="1:20" s="224" customFormat="1" ht="15" customHeight="1" x14ac:dyDescent="0.25">
      <c r="A53" s="247">
        <v>45632</v>
      </c>
      <c r="B53" s="882" t="s">
        <v>7162</v>
      </c>
      <c r="C53" s="879" t="s">
        <v>12</v>
      </c>
      <c r="D53" s="879"/>
      <c r="E53" s="875"/>
      <c r="F53" s="780">
        <v>482</v>
      </c>
      <c r="G53" s="982"/>
      <c r="H53" s="95"/>
      <c r="I53" s="1064"/>
      <c r="J53" s="622"/>
      <c r="K53" s="982">
        <v>482</v>
      </c>
      <c r="L53" s="622"/>
      <c r="M53" s="982"/>
      <c r="N53" s="622"/>
      <c r="O53" s="1063"/>
      <c r="P53" s="622"/>
      <c r="Q53" s="982"/>
      <c r="R53" s="1028"/>
    </row>
    <row r="54" spans="1:20" s="224" customFormat="1" ht="15" customHeight="1" x14ac:dyDescent="0.25">
      <c r="A54" s="247">
        <v>45632</v>
      </c>
      <c r="B54" s="882" t="s">
        <v>7164</v>
      </c>
      <c r="C54" s="879" t="s">
        <v>12</v>
      </c>
      <c r="D54" s="879"/>
      <c r="E54" s="875"/>
      <c r="F54" s="780">
        <v>600</v>
      </c>
      <c r="G54" s="982"/>
      <c r="H54" s="95"/>
      <c r="I54" s="1064"/>
      <c r="J54" s="622"/>
      <c r="K54" s="982"/>
      <c r="L54" s="622"/>
      <c r="M54" s="982">
        <v>600</v>
      </c>
      <c r="N54" s="622"/>
      <c r="O54" s="1063"/>
      <c r="P54" s="622"/>
      <c r="Q54" s="982"/>
      <c r="R54" s="1028"/>
    </row>
    <row r="55" spans="1:20" s="224" customFormat="1" ht="15" customHeight="1" x14ac:dyDescent="0.25">
      <c r="A55" s="247">
        <v>45632</v>
      </c>
      <c r="B55" s="882" t="s">
        <v>14</v>
      </c>
      <c r="C55" s="879" t="s">
        <v>12</v>
      </c>
      <c r="D55" s="879" t="s">
        <v>1486</v>
      </c>
      <c r="E55" s="875" t="s">
        <v>13</v>
      </c>
      <c r="F55" s="780">
        <v>7.9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</row>
    <row r="56" spans="1:20" s="224" customFormat="1" ht="15" customHeight="1" x14ac:dyDescent="0.25">
      <c r="A56" s="247">
        <v>45633</v>
      </c>
      <c r="B56" s="882" t="s">
        <v>7165</v>
      </c>
      <c r="C56" s="879" t="s">
        <v>12</v>
      </c>
      <c r="D56" s="879" t="s">
        <v>1489</v>
      </c>
      <c r="E56" s="875" t="s">
        <v>13</v>
      </c>
      <c r="F56" s="780">
        <v>20.170000000000002</v>
      </c>
      <c r="G56" s="982"/>
      <c r="H56" s="95"/>
      <c r="I56" s="1064"/>
      <c r="J56" s="622"/>
      <c r="K56" s="982"/>
      <c r="L56" s="622"/>
      <c r="M56" s="982"/>
      <c r="N56" s="622"/>
      <c r="O56" s="1063"/>
      <c r="P56" s="622"/>
      <c r="Q56" s="982"/>
      <c r="R56" s="861"/>
    </row>
    <row r="57" spans="1:20" s="224" customFormat="1" ht="15" customHeight="1" x14ac:dyDescent="0.25">
      <c r="A57" s="247">
        <v>45633</v>
      </c>
      <c r="B57" s="882" t="s">
        <v>14</v>
      </c>
      <c r="C57" s="879" t="s">
        <v>12</v>
      </c>
      <c r="D57" s="879" t="s">
        <v>1486</v>
      </c>
      <c r="E57" s="875" t="s">
        <v>13</v>
      </c>
      <c r="F57" s="780">
        <v>7.48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861"/>
    </row>
    <row r="58" spans="1:20" s="224" customFormat="1" ht="15" customHeight="1" x14ac:dyDescent="0.25">
      <c r="A58" s="247">
        <v>45633</v>
      </c>
      <c r="B58" s="882" t="s">
        <v>80</v>
      </c>
      <c r="C58" s="879" t="s">
        <v>12</v>
      </c>
      <c r="D58" s="879" t="s">
        <v>1523</v>
      </c>
      <c r="E58" s="875" t="s">
        <v>13</v>
      </c>
      <c r="F58" s="780">
        <v>25.8</v>
      </c>
      <c r="G58" s="982"/>
      <c r="H58" s="95"/>
      <c r="I58" s="1064"/>
      <c r="J58" s="622"/>
      <c r="K58" s="982"/>
      <c r="L58" s="622"/>
      <c r="M58" s="982"/>
      <c r="N58" s="622"/>
      <c r="O58" s="1063"/>
      <c r="P58" s="622"/>
      <c r="Q58" s="982"/>
      <c r="R58" s="861"/>
    </row>
    <row r="59" spans="1:20" s="224" customFormat="1" ht="15" customHeight="1" x14ac:dyDescent="0.25">
      <c r="A59" s="247">
        <v>45633</v>
      </c>
      <c r="B59" s="882" t="s">
        <v>2629</v>
      </c>
      <c r="C59" s="879" t="s">
        <v>12</v>
      </c>
      <c r="D59" s="879" t="s">
        <v>1489</v>
      </c>
      <c r="E59" s="875" t="s">
        <v>5470</v>
      </c>
      <c r="F59" s="780">
        <v>107.59</v>
      </c>
      <c r="G59" s="982"/>
      <c r="H59" s="95"/>
      <c r="I59" s="1064"/>
      <c r="J59" s="622"/>
      <c r="K59" s="982"/>
      <c r="L59" s="622"/>
      <c r="M59" s="982"/>
      <c r="N59" s="622"/>
      <c r="O59" s="1063"/>
      <c r="P59" s="622"/>
      <c r="Q59" s="982"/>
      <c r="R59" s="861"/>
    </row>
    <row r="60" spans="1:20" s="224" customFormat="1" ht="15" customHeight="1" x14ac:dyDescent="0.25">
      <c r="A60" s="247">
        <v>45633</v>
      </c>
      <c r="B60" s="882" t="s">
        <v>7166</v>
      </c>
      <c r="C60" s="879" t="s">
        <v>12</v>
      </c>
      <c r="D60" s="879" t="s">
        <v>1523</v>
      </c>
      <c r="E60" s="875" t="s">
        <v>13</v>
      </c>
      <c r="F60" s="780">
        <v>47</v>
      </c>
      <c r="G60" s="982"/>
      <c r="H60" s="95"/>
      <c r="I60" s="1064"/>
      <c r="J60" s="622"/>
      <c r="K60" s="982"/>
      <c r="L60" s="622"/>
      <c r="M60" s="982"/>
      <c r="N60" s="622"/>
      <c r="O60" s="1063"/>
      <c r="P60" s="622"/>
      <c r="Q60" s="982"/>
      <c r="R60" s="861"/>
    </row>
    <row r="61" spans="1:20" s="224" customFormat="1" ht="15" customHeight="1" x14ac:dyDescent="0.25">
      <c r="A61" s="247">
        <v>45634</v>
      </c>
      <c r="B61" s="882" t="s">
        <v>14</v>
      </c>
      <c r="C61" s="879" t="s">
        <v>12</v>
      </c>
      <c r="D61" s="879" t="s">
        <v>1486</v>
      </c>
      <c r="E61" s="875" t="s">
        <v>13</v>
      </c>
      <c r="F61" s="780">
        <v>10.33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861"/>
    </row>
    <row r="62" spans="1:20" s="224" customFormat="1" ht="15" customHeight="1" x14ac:dyDescent="0.25">
      <c r="A62" s="247">
        <v>45634</v>
      </c>
      <c r="B62" s="882" t="s">
        <v>147</v>
      </c>
      <c r="C62" s="879" t="s">
        <v>12</v>
      </c>
      <c r="D62" s="879" t="s">
        <v>1506</v>
      </c>
      <c r="E62" s="875" t="s">
        <v>13</v>
      </c>
      <c r="F62" s="780">
        <v>20</v>
      </c>
      <c r="G62" s="982"/>
      <c r="H62" s="95"/>
      <c r="I62" s="1064"/>
      <c r="J62" s="622"/>
      <c r="K62" s="982"/>
      <c r="L62" s="622"/>
      <c r="M62" s="982"/>
      <c r="N62" s="622"/>
      <c r="O62" s="1063"/>
      <c r="P62" s="622"/>
      <c r="Q62" s="982"/>
      <c r="R62" s="861"/>
    </row>
    <row r="63" spans="1:20" s="224" customFormat="1" ht="15" customHeight="1" x14ac:dyDescent="0.25">
      <c r="A63" s="247">
        <v>45634</v>
      </c>
      <c r="B63" s="882" t="s">
        <v>2375</v>
      </c>
      <c r="C63" s="879" t="s">
        <v>12</v>
      </c>
      <c r="D63" s="879" t="s">
        <v>1506</v>
      </c>
      <c r="E63" s="875" t="s">
        <v>13</v>
      </c>
      <c r="F63" s="780">
        <v>10</v>
      </c>
      <c r="G63" s="982"/>
      <c r="H63" s="95"/>
      <c r="I63" s="1064"/>
      <c r="J63" s="622"/>
      <c r="K63" s="982"/>
      <c r="L63" s="622"/>
      <c r="M63" s="982"/>
      <c r="N63" s="622"/>
      <c r="O63" s="1063"/>
      <c r="P63" s="622"/>
      <c r="Q63" s="982"/>
      <c r="R63" s="861"/>
    </row>
    <row r="64" spans="1:20" s="224" customFormat="1" x14ac:dyDescent="0.25">
      <c r="A64" s="247">
        <v>45634</v>
      </c>
      <c r="B64" s="1275" t="s">
        <v>7122</v>
      </c>
      <c r="C64" s="879" t="s">
        <v>12</v>
      </c>
      <c r="D64" s="1276" t="s">
        <v>1489</v>
      </c>
      <c r="E64" s="1277" t="s">
        <v>13</v>
      </c>
      <c r="F64" s="1279">
        <v>13</v>
      </c>
      <c r="G64" s="982"/>
      <c r="H64" s="1008"/>
      <c r="I64" s="1063"/>
      <c r="J64" s="2013"/>
      <c r="K64" s="1207"/>
      <c r="L64" s="622"/>
      <c r="M64" s="982"/>
      <c r="N64" s="622"/>
      <c r="O64" s="1063"/>
      <c r="P64" s="622"/>
      <c r="Q64" s="982"/>
      <c r="R64" s="1028"/>
      <c r="T64" s="878"/>
    </row>
    <row r="65" spans="1:42" s="224" customFormat="1" x14ac:dyDescent="0.25">
      <c r="A65" s="247">
        <v>45634</v>
      </c>
      <c r="B65" s="882" t="s">
        <v>32</v>
      </c>
      <c r="C65" s="879" t="s">
        <v>12</v>
      </c>
      <c r="D65" s="879" t="s">
        <v>1485</v>
      </c>
      <c r="E65" s="875" t="s">
        <v>13</v>
      </c>
      <c r="F65" s="780">
        <v>40</v>
      </c>
      <c r="G65" s="982"/>
      <c r="H65" s="1008"/>
      <c r="I65" s="1063"/>
      <c r="J65" s="2013"/>
      <c r="K65" s="1207"/>
      <c r="L65" s="622"/>
      <c r="M65" s="982"/>
      <c r="N65" s="622"/>
      <c r="O65" s="1063"/>
      <c r="P65" s="622"/>
      <c r="Q65" s="982"/>
      <c r="R65" s="1028"/>
      <c r="T65" s="878"/>
    </row>
    <row r="66" spans="1:42" s="224" customFormat="1" x14ac:dyDescent="0.25">
      <c r="A66" s="247">
        <v>45634</v>
      </c>
      <c r="B66" s="882" t="s">
        <v>7167</v>
      </c>
      <c r="C66" s="879" t="s">
        <v>12</v>
      </c>
      <c r="D66" s="879" t="s">
        <v>1493</v>
      </c>
      <c r="E66" s="875" t="s">
        <v>13</v>
      </c>
      <c r="F66" s="780">
        <v>31</v>
      </c>
      <c r="G66" s="982"/>
      <c r="H66" s="1008"/>
      <c r="I66" s="1063"/>
      <c r="J66" s="2013"/>
      <c r="K66" s="1207"/>
      <c r="L66" s="622"/>
      <c r="M66" s="982"/>
      <c r="N66" s="622"/>
      <c r="O66" s="1063"/>
      <c r="P66" s="622"/>
      <c r="Q66" s="982"/>
      <c r="R66" s="1028"/>
      <c r="T66" s="878"/>
    </row>
    <row r="67" spans="1:42" s="224" customFormat="1" ht="15" customHeight="1" x14ac:dyDescent="0.25">
      <c r="A67" s="247">
        <v>45635</v>
      </c>
      <c r="B67" s="882" t="s">
        <v>7158</v>
      </c>
      <c r="C67" s="879" t="s">
        <v>12</v>
      </c>
      <c r="D67" s="879"/>
      <c r="E67" s="875" t="s">
        <v>13</v>
      </c>
      <c r="F67" s="780"/>
      <c r="G67" s="982">
        <v>45.4</v>
      </c>
      <c r="H67" s="95"/>
      <c r="I67" s="1064"/>
      <c r="J67" s="622">
        <v>45.4</v>
      </c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45635</v>
      </c>
      <c r="B68" s="882" t="s">
        <v>7169</v>
      </c>
      <c r="C68" s="879" t="s">
        <v>12</v>
      </c>
      <c r="D68" s="879" t="s">
        <v>1524</v>
      </c>
      <c r="E68" s="875" t="s">
        <v>13</v>
      </c>
      <c r="F68" s="780">
        <v>45.4</v>
      </c>
      <c r="G68" s="982"/>
      <c r="H68" s="95"/>
      <c r="I68" s="1064"/>
      <c r="J68" s="613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4.25" customHeight="1" x14ac:dyDescent="0.25">
      <c r="A69" s="247">
        <v>45635</v>
      </c>
      <c r="B69" s="882" t="s">
        <v>2789</v>
      </c>
      <c r="C69" s="879" t="s">
        <v>12</v>
      </c>
      <c r="D69" s="879" t="s">
        <v>1485</v>
      </c>
      <c r="E69" s="875" t="s">
        <v>13</v>
      </c>
      <c r="F69" s="1873">
        <v>10</v>
      </c>
      <c r="G69" s="982"/>
      <c r="H69" s="1031"/>
      <c r="I69" s="1525"/>
      <c r="J69" s="622"/>
      <c r="K69" s="982"/>
      <c r="L69" s="880"/>
      <c r="M69" s="1033"/>
      <c r="N69" s="880"/>
      <c r="O69" s="1525"/>
      <c r="P69" s="613"/>
      <c r="Q69" s="162"/>
      <c r="R69" s="120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x14ac:dyDescent="0.25">
      <c r="A70" s="247">
        <v>45636</v>
      </c>
      <c r="B70" s="882" t="s">
        <v>32</v>
      </c>
      <c r="C70" s="879" t="s">
        <v>12</v>
      </c>
      <c r="D70" s="879" t="s">
        <v>1485</v>
      </c>
      <c r="E70" s="875" t="s">
        <v>13</v>
      </c>
      <c r="F70" s="780">
        <v>22</v>
      </c>
      <c r="G70" s="982"/>
      <c r="H70" s="1008"/>
      <c r="I70" s="1063"/>
      <c r="J70" s="2013"/>
      <c r="K70" s="1207"/>
      <c r="L70" s="622"/>
      <c r="M70" s="982"/>
      <c r="N70" s="622"/>
      <c r="O70" s="1063"/>
      <c r="P70" s="622"/>
      <c r="Q70" s="982"/>
      <c r="R70" s="1028"/>
      <c r="T70" s="878"/>
    </row>
    <row r="71" spans="1:42" s="224" customFormat="1" ht="15" customHeight="1" x14ac:dyDescent="0.25">
      <c r="A71" s="247">
        <v>45637</v>
      </c>
      <c r="B71" s="882" t="s">
        <v>6329</v>
      </c>
      <c r="C71" s="879" t="s">
        <v>12</v>
      </c>
      <c r="D71" s="879"/>
      <c r="E71" s="875" t="s">
        <v>25</v>
      </c>
      <c r="F71" s="780"/>
      <c r="G71" s="982">
        <v>100</v>
      </c>
      <c r="H71" s="1008"/>
      <c r="I71" s="1063"/>
      <c r="J71" s="613"/>
      <c r="K71" s="982"/>
      <c r="L71" s="622"/>
      <c r="M71" s="982"/>
      <c r="N71" s="622"/>
      <c r="O71" s="1063"/>
      <c r="P71" s="622"/>
      <c r="Q71" s="982"/>
      <c r="R71" s="861"/>
    </row>
    <row r="72" spans="1:42" s="224" customFormat="1" x14ac:dyDescent="0.25">
      <c r="A72" s="247">
        <v>45637</v>
      </c>
      <c r="B72" s="882" t="s">
        <v>32</v>
      </c>
      <c r="C72" s="879" t="s">
        <v>12</v>
      </c>
      <c r="D72" s="879" t="s">
        <v>1485</v>
      </c>
      <c r="E72" s="875" t="s">
        <v>13</v>
      </c>
      <c r="F72" s="780">
        <v>22</v>
      </c>
      <c r="G72" s="982"/>
      <c r="H72" s="1008"/>
      <c r="I72" s="1063"/>
      <c r="J72" s="2013"/>
      <c r="K72" s="1207"/>
      <c r="L72" s="622"/>
      <c r="M72" s="982"/>
      <c r="N72" s="622"/>
      <c r="O72" s="1063"/>
      <c r="P72" s="622"/>
      <c r="Q72" s="982"/>
      <c r="R72" s="1028"/>
      <c r="T72" s="878"/>
    </row>
    <row r="73" spans="1:42" s="224" customFormat="1" ht="15" customHeight="1" x14ac:dyDescent="0.25">
      <c r="A73" s="247">
        <v>45637</v>
      </c>
      <c r="B73" s="882" t="s">
        <v>7158</v>
      </c>
      <c r="C73" s="879" t="s">
        <v>12</v>
      </c>
      <c r="D73" s="879"/>
      <c r="E73" s="875" t="s">
        <v>13</v>
      </c>
      <c r="F73" s="780"/>
      <c r="G73" s="982">
        <v>29.25</v>
      </c>
      <c r="H73" s="95"/>
      <c r="I73" s="1064"/>
      <c r="J73" s="622">
        <v>29.25</v>
      </c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45637</v>
      </c>
      <c r="B74" s="882" t="s">
        <v>7172</v>
      </c>
      <c r="C74" s="879" t="s">
        <v>12</v>
      </c>
      <c r="D74" s="879" t="s">
        <v>1524</v>
      </c>
      <c r="E74" s="875" t="s">
        <v>13</v>
      </c>
      <c r="F74" s="780">
        <v>29.25</v>
      </c>
      <c r="G74" s="982"/>
      <c r="H74" s="95"/>
      <c r="I74" s="1064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45637</v>
      </c>
      <c r="B75" s="882" t="s">
        <v>14</v>
      </c>
      <c r="C75" s="879" t="s">
        <v>12</v>
      </c>
      <c r="D75" s="879" t="s">
        <v>1486</v>
      </c>
      <c r="E75" s="875" t="s">
        <v>13</v>
      </c>
      <c r="F75" s="780">
        <v>7.6</v>
      </c>
      <c r="G75" s="982"/>
      <c r="H75" s="95"/>
      <c r="I75" s="1064"/>
      <c r="J75" s="613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45638</v>
      </c>
      <c r="B76" s="882" t="s">
        <v>7158</v>
      </c>
      <c r="C76" s="879" t="s">
        <v>12</v>
      </c>
      <c r="D76" s="879"/>
      <c r="E76" s="875" t="s">
        <v>13</v>
      </c>
      <c r="F76" s="780"/>
      <c r="G76" s="982">
        <v>50</v>
      </c>
      <c r="H76" s="95"/>
      <c r="I76" s="1064"/>
      <c r="J76" s="622">
        <v>50</v>
      </c>
      <c r="K76" s="982"/>
      <c r="L76" s="622"/>
      <c r="M76" s="982"/>
      <c r="N76" s="622"/>
      <c r="O76" s="1063"/>
      <c r="P76" s="622"/>
      <c r="Q76" s="982"/>
      <c r="R76" s="861"/>
    </row>
    <row r="77" spans="1:42" s="224" customFormat="1" ht="15" customHeight="1" x14ac:dyDescent="0.25">
      <c r="A77" s="247">
        <v>45638</v>
      </c>
      <c r="B77" s="882" t="s">
        <v>7173</v>
      </c>
      <c r="C77" s="879" t="s">
        <v>12</v>
      </c>
      <c r="D77" s="879" t="s">
        <v>1524</v>
      </c>
      <c r="E77" s="875" t="s">
        <v>13</v>
      </c>
      <c r="F77" s="780">
        <v>50</v>
      </c>
      <c r="G77" s="982"/>
      <c r="H77" s="95"/>
      <c r="I77" s="1064"/>
      <c r="J77" s="613"/>
      <c r="K77" s="982"/>
      <c r="L77" s="622"/>
      <c r="M77" s="982"/>
      <c r="N77" s="622"/>
      <c r="O77" s="1063"/>
      <c r="P77" s="622"/>
      <c r="Q77" s="982"/>
      <c r="R77" s="861"/>
    </row>
    <row r="78" spans="1:42" s="224" customFormat="1" ht="14.25" customHeight="1" x14ac:dyDescent="0.25">
      <c r="A78" s="247">
        <v>45638</v>
      </c>
      <c r="B78" s="882" t="s">
        <v>7178</v>
      </c>
      <c r="C78" s="879" t="s">
        <v>12</v>
      </c>
      <c r="D78" s="879" t="s">
        <v>1489</v>
      </c>
      <c r="E78" s="875" t="s">
        <v>13</v>
      </c>
      <c r="F78" s="1873">
        <v>50</v>
      </c>
      <c r="G78" s="982"/>
      <c r="H78" s="1031"/>
      <c r="I78" s="1525"/>
      <c r="J78" s="622"/>
      <c r="K78" s="982"/>
      <c r="L78" s="880"/>
      <c r="M78" s="1033"/>
      <c r="N78" s="880"/>
      <c r="O78" s="1525"/>
      <c r="P78" s="613"/>
      <c r="Q78" s="162"/>
      <c r="R78" s="1209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45638</v>
      </c>
      <c r="B79" s="882" t="s">
        <v>7158</v>
      </c>
      <c r="C79" s="879" t="s">
        <v>12</v>
      </c>
      <c r="D79" s="879"/>
      <c r="E79" s="875" t="s">
        <v>13</v>
      </c>
      <c r="F79" s="780"/>
      <c r="G79" s="982">
        <v>220</v>
      </c>
      <c r="H79" s="1008"/>
      <c r="I79" s="1063"/>
      <c r="J79" s="622">
        <v>220</v>
      </c>
      <c r="K79" s="982"/>
      <c r="L79" s="622"/>
      <c r="M79" s="982"/>
      <c r="N79" s="622"/>
      <c r="O79" s="1063"/>
      <c r="P79" s="622"/>
      <c r="Q79" s="982"/>
      <c r="R79" s="861"/>
    </row>
    <row r="80" spans="1:42" s="224" customFormat="1" ht="15" customHeight="1" x14ac:dyDescent="0.25">
      <c r="A80" s="247">
        <v>45638</v>
      </c>
      <c r="B80" s="882" t="s">
        <v>7180</v>
      </c>
      <c r="C80" s="879" t="s">
        <v>12</v>
      </c>
      <c r="D80" s="879" t="s">
        <v>1524</v>
      </c>
      <c r="E80" s="875" t="s">
        <v>13</v>
      </c>
      <c r="F80" s="780">
        <v>220</v>
      </c>
      <c r="G80" s="982"/>
      <c r="H80" s="1008"/>
      <c r="I80" s="1063"/>
      <c r="J80" s="613"/>
      <c r="K80" s="982"/>
      <c r="L80" s="622"/>
      <c r="M80" s="982"/>
      <c r="N80" s="622"/>
      <c r="O80" s="1063"/>
      <c r="P80" s="622"/>
      <c r="Q80" s="982"/>
      <c r="R80" s="861"/>
    </row>
    <row r="81" spans="1:42" s="224" customFormat="1" x14ac:dyDescent="0.25">
      <c r="A81" s="247">
        <v>45638</v>
      </c>
      <c r="B81" s="882" t="s">
        <v>32</v>
      </c>
      <c r="C81" s="879" t="s">
        <v>12</v>
      </c>
      <c r="D81" s="879" t="s">
        <v>1485</v>
      </c>
      <c r="E81" s="875" t="s">
        <v>13</v>
      </c>
      <c r="F81" s="780">
        <v>22</v>
      </c>
      <c r="G81" s="982"/>
      <c r="H81" s="1008"/>
      <c r="I81" s="1063"/>
      <c r="J81" s="2013"/>
      <c r="K81" s="1207"/>
      <c r="L81" s="622"/>
      <c r="M81" s="982"/>
      <c r="N81" s="622"/>
      <c r="O81" s="1063"/>
      <c r="P81" s="622"/>
      <c r="Q81" s="982"/>
      <c r="R81" s="1028"/>
      <c r="T81" s="878"/>
    </row>
    <row r="82" spans="1:42" s="224" customFormat="1" ht="15" customHeight="1" x14ac:dyDescent="0.25">
      <c r="A82" s="247">
        <v>45638</v>
      </c>
      <c r="B82" s="882" t="s">
        <v>81</v>
      </c>
      <c r="C82" s="879" t="s">
        <v>12</v>
      </c>
      <c r="D82" s="879" t="s">
        <v>1493</v>
      </c>
      <c r="E82" s="875" t="s">
        <v>13</v>
      </c>
      <c r="F82" s="780">
        <v>3.6</v>
      </c>
      <c r="G82" s="982"/>
      <c r="H82" s="1008"/>
      <c r="I82" s="1063"/>
      <c r="J82" s="613"/>
      <c r="K82" s="982"/>
      <c r="L82" s="622"/>
      <c r="M82" s="982"/>
      <c r="N82" s="622"/>
      <c r="O82" s="1063"/>
      <c r="P82" s="622"/>
      <c r="Q82" s="982"/>
      <c r="R82" s="861"/>
    </row>
    <row r="83" spans="1:42" s="224" customFormat="1" x14ac:dyDescent="0.25">
      <c r="A83" s="247">
        <v>45638</v>
      </c>
      <c r="B83" s="1275" t="s">
        <v>7182</v>
      </c>
      <c r="C83" s="879" t="s">
        <v>12</v>
      </c>
      <c r="D83" s="1276" t="s">
        <v>1491</v>
      </c>
      <c r="E83" s="1286" t="s">
        <v>13</v>
      </c>
      <c r="F83" s="780">
        <v>17.28</v>
      </c>
      <c r="G83" s="982"/>
      <c r="H83" s="1008"/>
      <c r="I83" s="1063"/>
      <c r="J83" s="622"/>
      <c r="K83" s="982"/>
      <c r="L83" s="622"/>
      <c r="M83" s="982"/>
      <c r="N83" s="622"/>
      <c r="O83" s="1063"/>
      <c r="P83" s="622"/>
      <c r="Q83" s="982"/>
      <c r="R83" s="1028"/>
      <c r="T83" s="878"/>
    </row>
    <row r="84" spans="1:42" s="224" customFormat="1" x14ac:dyDescent="0.25">
      <c r="A84" s="247">
        <v>45638</v>
      </c>
      <c r="B84" s="882" t="s">
        <v>14</v>
      </c>
      <c r="C84" s="879" t="s">
        <v>12</v>
      </c>
      <c r="D84" s="879" t="s">
        <v>1486</v>
      </c>
      <c r="E84" s="875" t="s">
        <v>13</v>
      </c>
      <c r="F84" s="780">
        <v>10.17</v>
      </c>
      <c r="G84" s="982"/>
      <c r="H84" s="1008"/>
      <c r="I84" s="1063"/>
      <c r="J84" s="622"/>
      <c r="K84" s="982"/>
      <c r="L84" s="622"/>
      <c r="M84" s="982"/>
      <c r="N84" s="622"/>
      <c r="O84" s="1063"/>
      <c r="P84" s="622"/>
      <c r="Q84" s="982"/>
      <c r="R84" s="1028"/>
      <c r="T84" s="878"/>
    </row>
    <row r="85" spans="1:42" s="224" customFormat="1" x14ac:dyDescent="0.25">
      <c r="A85" s="247">
        <v>45639</v>
      </c>
      <c r="B85" s="882" t="s">
        <v>32</v>
      </c>
      <c r="C85" s="879" t="s">
        <v>12</v>
      </c>
      <c r="D85" s="879" t="s">
        <v>1485</v>
      </c>
      <c r="E85" s="875" t="s">
        <v>13</v>
      </c>
      <c r="F85" s="780">
        <v>22</v>
      </c>
      <c r="G85" s="982"/>
      <c r="H85" s="1008"/>
      <c r="I85" s="1063"/>
      <c r="J85" s="2013"/>
      <c r="K85" s="1207"/>
      <c r="L85" s="622"/>
      <c r="M85" s="982"/>
      <c r="N85" s="622"/>
      <c r="O85" s="1063"/>
      <c r="P85" s="622"/>
      <c r="Q85" s="982"/>
      <c r="R85" s="1028"/>
      <c r="T85" s="878"/>
    </row>
    <row r="86" spans="1:42" s="224" customFormat="1" ht="15" customHeight="1" x14ac:dyDescent="0.25">
      <c r="A86" s="247">
        <v>45639</v>
      </c>
      <c r="B86" s="882" t="s">
        <v>81</v>
      </c>
      <c r="C86" s="879" t="s">
        <v>12</v>
      </c>
      <c r="D86" s="879" t="s">
        <v>1493</v>
      </c>
      <c r="E86" s="875" t="s">
        <v>13</v>
      </c>
      <c r="F86" s="780">
        <v>6</v>
      </c>
      <c r="G86" s="982"/>
      <c r="H86" s="1008"/>
      <c r="I86" s="1063"/>
      <c r="J86" s="613"/>
      <c r="K86" s="982"/>
      <c r="L86" s="622"/>
      <c r="M86" s="982"/>
      <c r="N86" s="622"/>
      <c r="O86" s="1063"/>
      <c r="P86" s="622"/>
      <c r="Q86" s="982"/>
      <c r="R86" s="861"/>
    </row>
    <row r="87" spans="1:42" s="224" customFormat="1" ht="15" customHeight="1" x14ac:dyDescent="0.25">
      <c r="A87" s="247">
        <v>45639</v>
      </c>
      <c r="B87" s="1275" t="s">
        <v>6942</v>
      </c>
      <c r="C87" s="1276" t="s">
        <v>12</v>
      </c>
      <c r="D87" s="1276"/>
      <c r="E87" s="1286" t="s">
        <v>13</v>
      </c>
      <c r="F87" s="613">
        <v>178.2</v>
      </c>
      <c r="G87" s="967"/>
      <c r="H87" s="1008"/>
      <c r="I87" s="1063"/>
      <c r="J87" s="613"/>
      <c r="K87" s="6"/>
      <c r="L87" s="622"/>
      <c r="M87" s="982"/>
      <c r="N87" s="622"/>
      <c r="O87" s="1063"/>
      <c r="P87" s="613"/>
      <c r="Q87" s="64"/>
      <c r="R87" s="1024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45639</v>
      </c>
      <c r="B88" s="1275" t="s">
        <v>6755</v>
      </c>
      <c r="C88" s="1276" t="s">
        <v>12</v>
      </c>
      <c r="D88" s="1276"/>
      <c r="E88" s="1286"/>
      <c r="F88" s="613"/>
      <c r="G88" s="967">
        <v>178.2</v>
      </c>
      <c r="H88" s="1008"/>
      <c r="I88" s="1063"/>
      <c r="J88" s="613"/>
      <c r="K88" s="6"/>
      <c r="L88" s="622"/>
      <c r="M88" s="982"/>
      <c r="N88" s="622"/>
      <c r="O88" s="1063"/>
      <c r="P88" s="613"/>
      <c r="Q88" s="64"/>
      <c r="R88" s="1024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x14ac:dyDescent="0.25">
      <c r="A89" s="247">
        <v>45639</v>
      </c>
      <c r="B89" s="882" t="s">
        <v>14</v>
      </c>
      <c r="C89" s="879" t="s">
        <v>12</v>
      </c>
      <c r="D89" s="879" t="s">
        <v>1486</v>
      </c>
      <c r="E89" s="875" t="s">
        <v>13</v>
      </c>
      <c r="F89" s="780">
        <v>6</v>
      </c>
      <c r="G89" s="982"/>
      <c r="H89" s="1008"/>
      <c r="I89" s="1063"/>
      <c r="J89" s="622"/>
      <c r="K89" s="982"/>
      <c r="L89" s="622"/>
      <c r="M89" s="982"/>
      <c r="N89" s="622"/>
      <c r="O89" s="1063"/>
      <c r="P89" s="622"/>
      <c r="Q89" s="982"/>
      <c r="R89" s="1028"/>
      <c r="T89" s="878"/>
    </row>
    <row r="90" spans="1:42" s="224" customFormat="1" ht="15" customHeight="1" x14ac:dyDescent="0.25">
      <c r="A90" s="247">
        <v>45640</v>
      </c>
      <c r="B90" s="882" t="s">
        <v>14</v>
      </c>
      <c r="C90" s="879" t="s">
        <v>12</v>
      </c>
      <c r="D90" s="879" t="s">
        <v>1486</v>
      </c>
      <c r="E90" s="875" t="s">
        <v>13</v>
      </c>
      <c r="F90" s="613">
        <v>8.1</v>
      </c>
      <c r="G90" s="967"/>
      <c r="H90" s="1008"/>
      <c r="I90" s="1063"/>
      <c r="J90" s="622"/>
      <c r="K90" s="982"/>
      <c r="L90" s="880"/>
      <c r="M90" s="1033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45640</v>
      </c>
      <c r="B91" s="882" t="s">
        <v>147</v>
      </c>
      <c r="C91" s="879" t="s">
        <v>12</v>
      </c>
      <c r="D91" s="879" t="s">
        <v>1506</v>
      </c>
      <c r="E91" s="875" t="s">
        <v>13</v>
      </c>
      <c r="F91" s="780">
        <v>25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45640</v>
      </c>
      <c r="B92" s="882" t="s">
        <v>1906</v>
      </c>
      <c r="C92" s="879" t="s">
        <v>12</v>
      </c>
      <c r="D92" s="879" t="s">
        <v>1493</v>
      </c>
      <c r="E92" s="875" t="s">
        <v>13</v>
      </c>
      <c r="F92" s="780">
        <v>37</v>
      </c>
      <c r="G92" s="982"/>
      <c r="H92" s="622"/>
      <c r="I92" s="982"/>
      <c r="J92" s="622"/>
      <c r="K92" s="982"/>
      <c r="L92" s="622"/>
      <c r="M92" s="982"/>
      <c r="N92" s="622"/>
      <c r="O92" s="1063"/>
      <c r="P92" s="622"/>
      <c r="Q92" s="982"/>
      <c r="R92" s="1028"/>
      <c r="S92" s="959"/>
      <c r="T92" s="878"/>
      <c r="U92" s="958"/>
    </row>
    <row r="93" spans="1:42" s="224" customFormat="1" ht="15" customHeight="1" x14ac:dyDescent="0.25">
      <c r="A93" s="247">
        <v>45641</v>
      </c>
      <c r="B93" s="882" t="s">
        <v>14</v>
      </c>
      <c r="C93" s="879" t="s">
        <v>12</v>
      </c>
      <c r="D93" s="879" t="s">
        <v>1486</v>
      </c>
      <c r="E93" s="871" t="s">
        <v>13</v>
      </c>
      <c r="F93" s="780">
        <v>15</v>
      </c>
      <c r="G93" s="982"/>
      <c r="H93" s="622"/>
      <c r="I93" s="982"/>
      <c r="J93" s="872"/>
      <c r="K93" s="1207"/>
      <c r="L93" s="622"/>
      <c r="M93" s="982"/>
      <c r="N93" s="622"/>
      <c r="O93" s="1063"/>
      <c r="P93" s="622"/>
      <c r="Q93" s="982"/>
      <c r="R93" s="1028"/>
      <c r="S93" s="959"/>
      <c r="T93" s="878"/>
      <c r="U93" s="958"/>
    </row>
    <row r="94" spans="1:42" s="224" customFormat="1" ht="15" customHeight="1" x14ac:dyDescent="0.25">
      <c r="A94" s="247">
        <v>45641</v>
      </c>
      <c r="B94" s="882" t="s">
        <v>14</v>
      </c>
      <c r="C94" s="879" t="s">
        <v>12</v>
      </c>
      <c r="D94" s="879" t="s">
        <v>1486</v>
      </c>
      <c r="E94" s="871" t="s">
        <v>13</v>
      </c>
      <c r="F94" s="780">
        <v>13.07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x14ac:dyDescent="0.25">
      <c r="A95" s="247">
        <v>45642</v>
      </c>
      <c r="B95" s="882" t="s">
        <v>32</v>
      </c>
      <c r="C95" s="879" t="s">
        <v>12</v>
      </c>
      <c r="D95" s="879" t="s">
        <v>1485</v>
      </c>
      <c r="E95" s="875" t="s">
        <v>13</v>
      </c>
      <c r="F95" s="780">
        <v>22</v>
      </c>
      <c r="G95" s="982"/>
      <c r="H95" s="1008"/>
      <c r="I95" s="1063"/>
      <c r="J95" s="2013"/>
      <c r="K95" s="1207"/>
      <c r="L95" s="622"/>
      <c r="M95" s="982"/>
      <c r="N95" s="622"/>
      <c r="O95" s="1063"/>
      <c r="P95" s="622"/>
      <c r="Q95" s="982"/>
      <c r="R95" s="1028"/>
      <c r="T95" s="878"/>
    </row>
    <row r="96" spans="1:42" s="224" customFormat="1" ht="15" customHeight="1" x14ac:dyDescent="0.25">
      <c r="A96" s="247">
        <v>45642</v>
      </c>
      <c r="B96" s="882" t="s">
        <v>14</v>
      </c>
      <c r="C96" s="879" t="s">
        <v>12</v>
      </c>
      <c r="D96" s="879" t="s">
        <v>1486</v>
      </c>
      <c r="E96" s="871" t="s">
        <v>13</v>
      </c>
      <c r="F96" s="780">
        <v>5.2</v>
      </c>
      <c r="G96" s="982"/>
      <c r="H96" s="622"/>
      <c r="I96" s="982"/>
      <c r="J96" s="872"/>
      <c r="K96" s="1207"/>
      <c r="L96" s="622"/>
      <c r="M96" s="982"/>
      <c r="N96" s="622"/>
      <c r="O96" s="1063"/>
      <c r="P96" s="622"/>
      <c r="Q96" s="982"/>
      <c r="R96" s="1028"/>
      <c r="S96" s="959"/>
      <c r="T96" s="878"/>
      <c r="U96" s="958"/>
    </row>
    <row r="97" spans="1:42" s="224" customFormat="1" ht="15" customHeight="1" x14ac:dyDescent="0.25">
      <c r="A97" s="247">
        <v>45642</v>
      </c>
      <c r="B97" s="1275" t="s">
        <v>3958</v>
      </c>
      <c r="C97" s="1276" t="s">
        <v>12</v>
      </c>
      <c r="D97" s="1276" t="s">
        <v>1489</v>
      </c>
      <c r="E97" s="1277" t="s">
        <v>13</v>
      </c>
      <c r="F97" s="780">
        <v>22</v>
      </c>
      <c r="G97" s="982"/>
      <c r="H97" s="1008"/>
      <c r="I97" s="1063"/>
      <c r="J97" s="1116"/>
      <c r="K97" s="1207"/>
      <c r="L97" s="622"/>
      <c r="M97" s="982"/>
      <c r="N97" s="622"/>
      <c r="O97" s="982"/>
      <c r="P97" s="622"/>
      <c r="Q97" s="982"/>
      <c r="R97" s="1210"/>
      <c r="S97" s="1038"/>
      <c r="T97" s="861"/>
      <c r="V97" s="1035"/>
    </row>
    <row r="98" spans="1:42" s="224" customFormat="1" ht="15" customHeight="1" x14ac:dyDescent="0.25">
      <c r="A98" s="247">
        <v>45643</v>
      </c>
      <c r="B98" s="1275" t="s">
        <v>4009</v>
      </c>
      <c r="C98" s="1276" t="s">
        <v>12</v>
      </c>
      <c r="D98" s="1276"/>
      <c r="E98" s="1286" t="s">
        <v>25</v>
      </c>
      <c r="F98" s="613"/>
      <c r="G98" s="967">
        <v>1000</v>
      </c>
      <c r="H98" s="1008"/>
      <c r="I98" s="1063"/>
      <c r="J98" s="613"/>
      <c r="K98" s="6"/>
      <c r="L98" s="622"/>
      <c r="M98" s="982"/>
      <c r="N98" s="622"/>
      <c r="O98" s="1063"/>
      <c r="P98" s="613"/>
      <c r="Q98" s="64"/>
      <c r="R98" s="1209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x14ac:dyDescent="0.25">
      <c r="A99" s="247">
        <v>45643</v>
      </c>
      <c r="B99" s="882" t="s">
        <v>32</v>
      </c>
      <c r="C99" s="879" t="s">
        <v>12</v>
      </c>
      <c r="D99" s="879" t="s">
        <v>1485</v>
      </c>
      <c r="E99" s="875" t="s">
        <v>13</v>
      </c>
      <c r="F99" s="780">
        <v>22</v>
      </c>
      <c r="G99" s="982"/>
      <c r="H99" s="1008"/>
      <c r="I99" s="1063"/>
      <c r="J99" s="2013"/>
      <c r="K99" s="1207"/>
      <c r="L99" s="622"/>
      <c r="M99" s="982"/>
      <c r="N99" s="622"/>
      <c r="O99" s="1063"/>
      <c r="P99" s="622"/>
      <c r="Q99" s="982"/>
      <c r="R99" s="1028"/>
      <c r="T99" s="878"/>
    </row>
    <row r="100" spans="1:42" s="224" customFormat="1" ht="15" customHeight="1" x14ac:dyDescent="0.25">
      <c r="A100" s="247">
        <v>45643</v>
      </c>
      <c r="B100" s="364" t="s">
        <v>7144</v>
      </c>
      <c r="C100" s="350" t="s">
        <v>12</v>
      </c>
      <c r="D100" s="350" t="s">
        <v>6731</v>
      </c>
      <c r="E100" s="875" t="s">
        <v>13</v>
      </c>
      <c r="F100" s="780">
        <v>37</v>
      </c>
      <c r="G100" s="982"/>
      <c r="H100" s="1008"/>
      <c r="I100" s="1063"/>
      <c r="J100" s="1116"/>
      <c r="K100" s="1207"/>
      <c r="L100" s="622"/>
      <c r="M100" s="982"/>
      <c r="N100" s="622"/>
      <c r="O100" s="1063"/>
      <c r="P100" s="622"/>
      <c r="Q100" s="982"/>
      <c r="R100" s="861"/>
      <c r="T100" s="1035"/>
    </row>
    <row r="101" spans="1:42" s="224" customFormat="1" ht="15" customHeight="1" x14ac:dyDescent="0.25">
      <c r="A101" s="247">
        <v>45643</v>
      </c>
      <c r="B101" s="882" t="s">
        <v>7183</v>
      </c>
      <c r="C101" s="879" t="s">
        <v>12</v>
      </c>
      <c r="D101" s="879" t="s">
        <v>1522</v>
      </c>
      <c r="E101" s="871" t="s">
        <v>13</v>
      </c>
      <c r="F101" s="780">
        <v>80</v>
      </c>
      <c r="G101" s="982"/>
      <c r="H101" s="622"/>
      <c r="I101" s="982"/>
      <c r="J101" s="872"/>
      <c r="K101" s="1207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customHeight="1" x14ac:dyDescent="0.25">
      <c r="A102" s="247">
        <v>45643</v>
      </c>
      <c r="B102" s="882" t="s">
        <v>7158</v>
      </c>
      <c r="C102" s="879" t="s">
        <v>12</v>
      </c>
      <c r="D102" s="879"/>
      <c r="E102" s="875" t="s">
        <v>13</v>
      </c>
      <c r="F102" s="780"/>
      <c r="G102" s="982">
        <v>205</v>
      </c>
      <c r="H102" s="1008"/>
      <c r="I102" s="1063"/>
      <c r="J102" s="622">
        <v>205</v>
      </c>
      <c r="K102" s="982"/>
      <c r="L102" s="622"/>
      <c r="M102" s="982"/>
      <c r="N102" s="622"/>
      <c r="O102" s="1063"/>
      <c r="P102" s="622"/>
      <c r="Q102" s="982"/>
      <c r="R102" s="861"/>
    </row>
    <row r="103" spans="1:42" s="224" customFormat="1" ht="15" customHeight="1" x14ac:dyDescent="0.25">
      <c r="A103" s="247">
        <v>45643</v>
      </c>
      <c r="B103" s="882" t="s">
        <v>7184</v>
      </c>
      <c r="C103" s="879" t="s">
        <v>12</v>
      </c>
      <c r="D103" s="879" t="s">
        <v>1524</v>
      </c>
      <c r="E103" s="875" t="s">
        <v>13</v>
      </c>
      <c r="F103" s="780">
        <v>205</v>
      </c>
      <c r="G103" s="982"/>
      <c r="H103" s="1008"/>
      <c r="I103" s="1063"/>
      <c r="J103" s="613"/>
      <c r="K103" s="982"/>
      <c r="L103" s="622"/>
      <c r="M103" s="982"/>
      <c r="N103" s="622"/>
      <c r="O103" s="1063"/>
      <c r="P103" s="622"/>
      <c r="Q103" s="982"/>
      <c r="R103" s="861"/>
    </row>
    <row r="104" spans="1:42" s="224" customFormat="1" x14ac:dyDescent="0.25">
      <c r="A104" s="247">
        <v>45643</v>
      </c>
      <c r="B104" s="1275" t="s">
        <v>7122</v>
      </c>
      <c r="C104" s="879" t="s">
        <v>12</v>
      </c>
      <c r="D104" s="1276" t="s">
        <v>1489</v>
      </c>
      <c r="E104" s="1277" t="s">
        <v>13</v>
      </c>
      <c r="F104" s="1279">
        <v>13</v>
      </c>
      <c r="G104" s="982"/>
      <c r="H104" s="1008"/>
      <c r="I104" s="1063"/>
      <c r="J104" s="2013"/>
      <c r="K104" s="1207"/>
      <c r="L104" s="622"/>
      <c r="M104" s="982"/>
      <c r="N104" s="622"/>
      <c r="O104" s="1063"/>
      <c r="P104" s="622"/>
      <c r="Q104" s="982"/>
      <c r="R104" s="1028"/>
      <c r="T104" s="878"/>
    </row>
    <row r="105" spans="1:42" s="224" customFormat="1" ht="15" customHeight="1" x14ac:dyDescent="0.25">
      <c r="A105" s="247">
        <v>45643</v>
      </c>
      <c r="B105" s="882" t="s">
        <v>14</v>
      </c>
      <c r="C105" s="879" t="s">
        <v>12</v>
      </c>
      <c r="D105" s="879" t="s">
        <v>1486</v>
      </c>
      <c r="E105" s="871" t="s">
        <v>13</v>
      </c>
      <c r="F105" s="780">
        <v>13.74</v>
      </c>
      <c r="G105" s="982"/>
      <c r="H105" s="622"/>
      <c r="I105" s="982"/>
      <c r="J105" s="872"/>
      <c r="K105" s="1207"/>
      <c r="L105" s="622"/>
      <c r="M105" s="982"/>
      <c r="N105" s="622"/>
      <c r="O105" s="1063"/>
      <c r="P105" s="622"/>
      <c r="Q105" s="982"/>
      <c r="R105" s="1028"/>
      <c r="S105" s="959"/>
      <c r="T105" s="878"/>
      <c r="U105" s="958"/>
    </row>
    <row r="106" spans="1:42" s="224" customFormat="1" ht="15" customHeight="1" x14ac:dyDescent="0.25">
      <c r="A106" s="247">
        <v>45643</v>
      </c>
      <c r="B106" s="882" t="s">
        <v>6329</v>
      </c>
      <c r="C106" s="879" t="s">
        <v>12</v>
      </c>
      <c r="D106" s="879"/>
      <c r="E106" s="875" t="s">
        <v>25</v>
      </c>
      <c r="F106" s="780"/>
      <c r="G106" s="982">
        <v>100</v>
      </c>
      <c r="H106" s="1008"/>
      <c r="I106" s="1063"/>
      <c r="J106" s="613"/>
      <c r="K106" s="982"/>
      <c r="L106" s="622"/>
      <c r="M106" s="982"/>
      <c r="N106" s="622"/>
      <c r="O106" s="1063"/>
      <c r="P106" s="622"/>
      <c r="Q106" s="982"/>
      <c r="R106" s="861"/>
    </row>
    <row r="107" spans="1:42" s="224" customFormat="1" ht="15" customHeight="1" x14ac:dyDescent="0.25">
      <c r="A107" s="247">
        <v>45644</v>
      </c>
      <c r="B107" s="882" t="s">
        <v>7188</v>
      </c>
      <c r="C107" s="879" t="s">
        <v>12</v>
      </c>
      <c r="D107" s="879"/>
      <c r="E107" s="875" t="s">
        <v>13</v>
      </c>
      <c r="F107" s="780"/>
      <c r="G107" s="982">
        <v>207</v>
      </c>
      <c r="H107" s="1008"/>
      <c r="I107" s="1063"/>
      <c r="J107" s="622">
        <v>207</v>
      </c>
      <c r="K107" s="982"/>
      <c r="L107" s="622"/>
      <c r="M107" s="982"/>
      <c r="N107" s="622"/>
      <c r="O107" s="1063"/>
      <c r="P107" s="622"/>
      <c r="Q107" s="982"/>
      <c r="R107" s="861"/>
    </row>
    <row r="108" spans="1:42" s="224" customFormat="1" ht="15" customHeight="1" x14ac:dyDescent="0.25">
      <c r="A108" s="247">
        <v>45644</v>
      </c>
      <c r="B108" s="882" t="s">
        <v>7189</v>
      </c>
      <c r="C108" s="879" t="s">
        <v>12</v>
      </c>
      <c r="D108" s="879" t="s">
        <v>1524</v>
      </c>
      <c r="E108" s="875" t="s">
        <v>13</v>
      </c>
      <c r="F108" s="780">
        <v>207</v>
      </c>
      <c r="G108" s="982"/>
      <c r="H108" s="1008"/>
      <c r="I108" s="1063"/>
      <c r="J108" s="613"/>
      <c r="K108" s="982"/>
      <c r="L108" s="622"/>
      <c r="M108" s="982"/>
      <c r="N108" s="622"/>
      <c r="O108" s="1063"/>
      <c r="P108" s="622"/>
      <c r="Q108" s="982"/>
      <c r="R108" s="861"/>
    </row>
    <row r="109" spans="1:42" s="224" customFormat="1" ht="15" customHeight="1" x14ac:dyDescent="0.25">
      <c r="A109" s="247">
        <v>45644</v>
      </c>
      <c r="B109" s="882" t="s">
        <v>7190</v>
      </c>
      <c r="C109" s="879" t="s">
        <v>12</v>
      </c>
      <c r="D109" s="879" t="s">
        <v>1525</v>
      </c>
      <c r="E109" s="875" t="s">
        <v>13</v>
      </c>
      <c r="F109" s="780">
        <v>111</v>
      </c>
      <c r="G109" s="982"/>
      <c r="H109" s="622"/>
      <c r="I109" s="982"/>
      <c r="J109" s="622"/>
      <c r="K109" s="982"/>
      <c r="L109" s="622"/>
      <c r="M109" s="982"/>
      <c r="N109" s="880"/>
      <c r="O109" s="1525"/>
      <c r="P109" s="613"/>
      <c r="Q109" s="162"/>
      <c r="R109" s="1956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</row>
    <row r="110" spans="1:42" s="224" customFormat="1" ht="15" customHeight="1" x14ac:dyDescent="0.25">
      <c r="A110" s="247">
        <v>45644</v>
      </c>
      <c r="B110" s="882" t="s">
        <v>7191</v>
      </c>
      <c r="C110" s="879" t="s">
        <v>12</v>
      </c>
      <c r="D110" s="879" t="s">
        <v>1522</v>
      </c>
      <c r="E110" s="875" t="s">
        <v>13</v>
      </c>
      <c r="F110" s="780">
        <v>44</v>
      </c>
      <c r="G110" s="982"/>
      <c r="H110" s="622"/>
      <c r="I110" s="982"/>
      <c r="J110" s="622"/>
      <c r="K110" s="982"/>
      <c r="L110" s="853"/>
      <c r="M110" s="982"/>
      <c r="N110" s="622"/>
      <c r="O110" s="1063"/>
      <c r="P110" s="622"/>
      <c r="Q110" s="982"/>
      <c r="R110" s="927"/>
      <c r="S110" s="927"/>
      <c r="T110" s="878"/>
    </row>
    <row r="111" spans="1:42" s="224" customFormat="1" x14ac:dyDescent="0.25">
      <c r="A111" s="247">
        <v>45644</v>
      </c>
      <c r="B111" s="882" t="s">
        <v>32</v>
      </c>
      <c r="C111" s="879" t="s">
        <v>12</v>
      </c>
      <c r="D111" s="879" t="s">
        <v>1485</v>
      </c>
      <c r="E111" s="875" t="s">
        <v>13</v>
      </c>
      <c r="F111" s="780">
        <v>22</v>
      </c>
      <c r="G111" s="982"/>
      <c r="H111" s="1008"/>
      <c r="I111" s="1063"/>
      <c r="J111" s="2013"/>
      <c r="K111" s="1207"/>
      <c r="L111" s="622"/>
      <c r="M111" s="982"/>
      <c r="N111" s="622"/>
      <c r="O111" s="1063"/>
      <c r="P111" s="622"/>
      <c r="Q111" s="982"/>
      <c r="R111" s="1028"/>
      <c r="T111" s="878"/>
    </row>
    <row r="112" spans="1:42" s="224" customFormat="1" ht="15" customHeight="1" x14ac:dyDescent="0.25">
      <c r="A112" s="247">
        <v>45644</v>
      </c>
      <c r="B112" s="882" t="s">
        <v>7193</v>
      </c>
      <c r="C112" s="879" t="s">
        <v>12</v>
      </c>
      <c r="D112" s="879" t="s">
        <v>1525</v>
      </c>
      <c r="E112" s="875" t="s">
        <v>13</v>
      </c>
      <c r="F112" s="780">
        <v>125</v>
      </c>
      <c r="G112" s="982"/>
      <c r="H112" s="622"/>
      <c r="I112" s="982"/>
      <c r="J112" s="622"/>
      <c r="K112" s="982"/>
      <c r="L112" s="853"/>
      <c r="M112" s="982"/>
      <c r="N112" s="622"/>
      <c r="O112" s="1063"/>
      <c r="P112" s="622"/>
      <c r="Q112" s="982"/>
      <c r="R112" s="2569" t="s">
        <v>7204</v>
      </c>
      <c r="S112" s="927"/>
      <c r="T112" s="878"/>
    </row>
    <row r="113" spans="1:42" s="224" customFormat="1" ht="15" customHeight="1" x14ac:dyDescent="0.25">
      <c r="A113" s="247">
        <v>45644</v>
      </c>
      <c r="B113" s="1275" t="s">
        <v>6857</v>
      </c>
      <c r="C113" s="1276" t="s">
        <v>12</v>
      </c>
      <c r="D113" s="1276"/>
      <c r="E113" s="1286" t="s">
        <v>13</v>
      </c>
      <c r="F113" s="613">
        <v>118.8</v>
      </c>
      <c r="G113" s="967"/>
      <c r="H113" s="1008"/>
      <c r="I113" s="1063"/>
      <c r="J113" s="613"/>
      <c r="K113" s="6"/>
      <c r="L113" s="622"/>
      <c r="M113" s="982"/>
      <c r="N113" s="622"/>
      <c r="O113" s="1063"/>
      <c r="P113" s="613"/>
      <c r="Q113" s="64"/>
      <c r="R113" s="1024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</row>
    <row r="114" spans="1:42" s="224" customFormat="1" ht="15" customHeight="1" x14ac:dyDescent="0.25">
      <c r="A114" s="247">
        <v>45644</v>
      </c>
      <c r="B114" s="1275" t="s">
        <v>6755</v>
      </c>
      <c r="C114" s="1276" t="s">
        <v>12</v>
      </c>
      <c r="D114" s="1276"/>
      <c r="E114" s="1286"/>
      <c r="F114" s="613"/>
      <c r="G114" s="967">
        <v>118.8</v>
      </c>
      <c r="H114" s="1008"/>
      <c r="I114" s="1063"/>
      <c r="J114" s="613"/>
      <c r="K114" s="6"/>
      <c r="L114" s="622"/>
      <c r="M114" s="982"/>
      <c r="N114" s="622"/>
      <c r="O114" s="1063"/>
      <c r="P114" s="613"/>
      <c r="Q114" s="64"/>
      <c r="R114" s="102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</row>
    <row r="115" spans="1:42" s="224" customFormat="1" ht="15" customHeight="1" x14ac:dyDescent="0.25">
      <c r="A115" s="247">
        <v>45645</v>
      </c>
      <c r="B115" s="882" t="s">
        <v>7195</v>
      </c>
      <c r="C115" s="879" t="s">
        <v>12</v>
      </c>
      <c r="D115" s="879" t="s">
        <v>1489</v>
      </c>
      <c r="E115" s="875" t="s">
        <v>13</v>
      </c>
      <c r="F115" s="780">
        <v>171</v>
      </c>
      <c r="G115" s="982"/>
      <c r="H115" s="622"/>
      <c r="I115" s="982"/>
      <c r="J115" s="622"/>
      <c r="K115" s="982"/>
      <c r="L115" s="622"/>
      <c r="M115" s="982"/>
      <c r="N115" s="880"/>
      <c r="O115" s="1525"/>
      <c r="P115" s="613"/>
      <c r="Q115" s="162"/>
      <c r="R115" s="1956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</row>
    <row r="116" spans="1:42" s="224" customFormat="1" x14ac:dyDescent="0.25">
      <c r="A116" s="247">
        <v>45645</v>
      </c>
      <c r="B116" s="882" t="s">
        <v>32</v>
      </c>
      <c r="C116" s="879" t="s">
        <v>12</v>
      </c>
      <c r="D116" s="879" t="s">
        <v>1485</v>
      </c>
      <c r="E116" s="875" t="s">
        <v>13</v>
      </c>
      <c r="F116" s="780">
        <v>22</v>
      </c>
      <c r="G116" s="982"/>
      <c r="H116" s="1008"/>
      <c r="I116" s="1063"/>
      <c r="J116" s="2013"/>
      <c r="K116" s="1207"/>
      <c r="L116" s="622"/>
      <c r="M116" s="982"/>
      <c r="N116" s="622"/>
      <c r="O116" s="1063"/>
      <c r="P116" s="622"/>
      <c r="Q116" s="982"/>
      <c r="R116" s="1028"/>
      <c r="T116" s="878"/>
    </row>
    <row r="117" spans="1:42" s="224" customFormat="1" ht="15" customHeight="1" x14ac:dyDescent="0.25">
      <c r="A117" s="247">
        <v>45645</v>
      </c>
      <c r="B117" s="882" t="s">
        <v>7198</v>
      </c>
      <c r="C117" s="879" t="s">
        <v>12</v>
      </c>
      <c r="D117" s="879"/>
      <c r="E117" s="875" t="s">
        <v>13</v>
      </c>
      <c r="F117" s="780"/>
      <c r="G117" s="982">
        <v>400</v>
      </c>
      <c r="H117" s="1008"/>
      <c r="I117" s="1063"/>
      <c r="J117" s="622"/>
      <c r="K117" s="982"/>
      <c r="L117" s="622">
        <v>400</v>
      </c>
      <c r="M117" s="982"/>
      <c r="N117" s="622"/>
      <c r="O117" s="1063"/>
      <c r="P117" s="622"/>
      <c r="Q117" s="982"/>
      <c r="R117" s="861"/>
    </row>
    <row r="118" spans="1:42" s="224" customFormat="1" ht="15" customHeight="1" x14ac:dyDescent="0.25">
      <c r="A118" s="247">
        <v>45645</v>
      </c>
      <c r="B118" s="882" t="s">
        <v>1906</v>
      </c>
      <c r="C118" s="879" t="s">
        <v>12</v>
      </c>
      <c r="D118" s="879" t="s">
        <v>1493</v>
      </c>
      <c r="E118" s="875" t="s">
        <v>13</v>
      </c>
      <c r="F118" s="780">
        <v>18</v>
      </c>
      <c r="G118" s="982"/>
      <c r="H118" s="622"/>
      <c r="I118" s="982"/>
      <c r="J118" s="622"/>
      <c r="K118" s="982"/>
      <c r="L118" s="853"/>
      <c r="M118" s="982"/>
      <c r="N118" s="622"/>
      <c r="O118" s="1063"/>
      <c r="P118" s="622"/>
      <c r="Q118" s="982"/>
      <c r="R118" s="927"/>
      <c r="S118" s="927"/>
      <c r="T118" s="878"/>
    </row>
    <row r="119" spans="1:42" s="224" customFormat="1" ht="15" customHeight="1" x14ac:dyDescent="0.25">
      <c r="A119" s="247">
        <v>45646</v>
      </c>
      <c r="B119" s="882" t="s">
        <v>7114</v>
      </c>
      <c r="C119" s="350" t="s">
        <v>12</v>
      </c>
      <c r="D119" s="350"/>
      <c r="E119" s="480" t="s">
        <v>25</v>
      </c>
      <c r="F119" s="622"/>
      <c r="G119" s="982">
        <v>0</v>
      </c>
      <c r="H119" s="1008"/>
      <c r="I119" s="1063"/>
      <c r="J119" s="622"/>
      <c r="K119" s="982"/>
      <c r="L119" s="622"/>
      <c r="M119" s="982"/>
      <c r="N119" s="622"/>
      <c r="O119" s="1063"/>
      <c r="P119" s="622"/>
      <c r="Q119" s="982"/>
      <c r="R119" s="861"/>
    </row>
    <row r="120" spans="1:42" s="224" customFormat="1" ht="15" customHeight="1" x14ac:dyDescent="0.25">
      <c r="A120" s="247">
        <v>45646</v>
      </c>
      <c r="B120" s="882" t="s">
        <v>7115</v>
      </c>
      <c r="C120" s="350" t="s">
        <v>12</v>
      </c>
      <c r="D120" s="350"/>
      <c r="E120" s="480" t="s">
        <v>25</v>
      </c>
      <c r="F120" s="622"/>
      <c r="G120" s="982">
        <v>1924.78</v>
      </c>
      <c r="H120" s="1008"/>
      <c r="I120" s="1063"/>
      <c r="J120" s="622"/>
      <c r="K120" s="982"/>
      <c r="L120" s="622"/>
      <c r="M120" s="982"/>
      <c r="N120" s="622"/>
      <c r="O120" s="1063"/>
      <c r="P120" s="622"/>
      <c r="Q120" s="982"/>
      <c r="R120" s="861"/>
    </row>
    <row r="121" spans="1:42" s="224" customFormat="1" ht="15" customHeight="1" x14ac:dyDescent="0.25">
      <c r="A121" s="247">
        <v>45646</v>
      </c>
      <c r="B121" s="364" t="s">
        <v>7119</v>
      </c>
      <c r="C121" s="879" t="s">
        <v>12</v>
      </c>
      <c r="D121" s="879"/>
      <c r="E121" s="983" t="s">
        <v>25</v>
      </c>
      <c r="F121" s="780"/>
      <c r="G121" s="982"/>
      <c r="H121" s="622"/>
      <c r="I121" s="982"/>
      <c r="J121" s="2013"/>
      <c r="K121" s="1207"/>
      <c r="L121" s="622"/>
      <c r="M121" s="982"/>
      <c r="N121" s="622"/>
      <c r="O121" s="1063"/>
      <c r="P121" s="622"/>
      <c r="Q121" s="982">
        <v>720</v>
      </c>
      <c r="R121" s="927"/>
      <c r="S121" s="927"/>
      <c r="T121" s="878"/>
    </row>
    <row r="122" spans="1:42" s="224" customFormat="1" ht="15" customHeight="1" x14ac:dyDescent="0.25">
      <c r="A122" s="247">
        <v>45646</v>
      </c>
      <c r="B122" s="364" t="s">
        <v>3354</v>
      </c>
      <c r="C122" s="350" t="s">
        <v>12</v>
      </c>
      <c r="D122" s="350"/>
      <c r="E122" s="145" t="s">
        <v>25</v>
      </c>
      <c r="F122" s="613"/>
      <c r="G122" s="967"/>
      <c r="H122" s="1008"/>
      <c r="I122" s="1063"/>
      <c r="J122" s="622"/>
      <c r="K122" s="982"/>
      <c r="L122" s="880"/>
      <c r="M122" s="1033"/>
      <c r="N122" s="880"/>
      <c r="O122" s="1525"/>
      <c r="P122" s="613"/>
      <c r="Q122" s="162">
        <v>164.47</v>
      </c>
      <c r="R122" s="2018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45646</v>
      </c>
      <c r="B123" s="862" t="s">
        <v>2867</v>
      </c>
      <c r="C123" s="350" t="s">
        <v>12</v>
      </c>
      <c r="D123" s="874" t="s">
        <v>1504</v>
      </c>
      <c r="E123" s="887" t="s">
        <v>13</v>
      </c>
      <c r="F123" s="780">
        <v>80</v>
      </c>
      <c r="G123" s="982"/>
      <c r="H123" s="1009"/>
      <c r="I123" s="1063"/>
      <c r="J123" s="622"/>
      <c r="K123" s="982"/>
      <c r="L123" s="853"/>
      <c r="M123" s="982"/>
      <c r="N123" s="853"/>
      <c r="O123" s="1063"/>
      <c r="P123" s="622"/>
      <c r="Q123" s="982"/>
      <c r="R123" s="1690" t="s">
        <v>7215</v>
      </c>
      <c r="S123" s="1690"/>
      <c r="T123" s="1690"/>
      <c r="U123" s="1690"/>
      <c r="V123" s="1690"/>
      <c r="W123" s="1690"/>
      <c r="X123" s="1690"/>
      <c r="Y123" s="1690"/>
      <c r="Z123" s="1690"/>
    </row>
    <row r="124" spans="1:42" s="224" customFormat="1" ht="14.25" customHeight="1" x14ac:dyDescent="0.25">
      <c r="A124" s="247">
        <v>45646</v>
      </c>
      <c r="B124" s="364" t="s">
        <v>2977</v>
      </c>
      <c r="C124" s="350" t="s">
        <v>12</v>
      </c>
      <c r="D124" s="350" t="s">
        <v>1491</v>
      </c>
      <c r="E124" s="875" t="s">
        <v>13</v>
      </c>
      <c r="F124" s="1047">
        <v>400</v>
      </c>
      <c r="G124" s="982"/>
      <c r="H124" s="1008"/>
      <c r="I124" s="1063"/>
      <c r="J124" s="622"/>
      <c r="K124" s="982"/>
      <c r="L124" s="622"/>
      <c r="M124" s="982"/>
      <c r="N124" s="622"/>
      <c r="O124" s="1063"/>
      <c r="P124" s="622"/>
      <c r="Q124" s="982"/>
      <c r="R124" s="1029"/>
      <c r="S124" s="89"/>
      <c r="T124" s="930"/>
    </row>
    <row r="125" spans="1:42" s="224" customFormat="1" ht="15" customHeight="1" x14ac:dyDescent="0.25">
      <c r="A125" s="247">
        <v>45646</v>
      </c>
      <c r="B125" s="349" t="s">
        <v>7120</v>
      </c>
      <c r="C125" s="887" t="s">
        <v>12</v>
      </c>
      <c r="D125" s="350" t="s">
        <v>1491</v>
      </c>
      <c r="E125" s="887" t="s">
        <v>13</v>
      </c>
      <c r="F125" s="613">
        <v>31.9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927"/>
      <c r="S125" s="999"/>
      <c r="T125" s="878"/>
    </row>
    <row r="126" spans="1:42" s="224" customFormat="1" ht="15" customHeight="1" x14ac:dyDescent="0.25">
      <c r="A126" s="247">
        <v>45646</v>
      </c>
      <c r="B126" s="349" t="s">
        <v>7120</v>
      </c>
      <c r="C126" s="887" t="s">
        <v>12</v>
      </c>
      <c r="D126" s="350" t="s">
        <v>1524</v>
      </c>
      <c r="E126" s="887" t="s">
        <v>13</v>
      </c>
      <c r="F126" s="613">
        <v>479.16666666666669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927"/>
      <c r="S126" s="999"/>
      <c r="T126" s="878"/>
    </row>
    <row r="127" spans="1:42" s="224" customFormat="1" ht="15" customHeight="1" x14ac:dyDescent="0.25">
      <c r="A127" s="247">
        <v>45646</v>
      </c>
      <c r="B127" s="349" t="s">
        <v>7120</v>
      </c>
      <c r="C127" s="887" t="s">
        <v>12</v>
      </c>
      <c r="D127" s="350" t="s">
        <v>1525</v>
      </c>
      <c r="E127" s="887" t="s">
        <v>13</v>
      </c>
      <c r="F127" s="613">
        <v>299.75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927"/>
      <c r="S127" s="999"/>
      <c r="T127" s="878"/>
    </row>
    <row r="128" spans="1:42" s="224" customFormat="1" ht="15" customHeight="1" x14ac:dyDescent="0.25">
      <c r="A128" s="247">
        <v>45646</v>
      </c>
      <c r="B128" s="349" t="s">
        <v>7120</v>
      </c>
      <c r="C128" s="887" t="s">
        <v>12</v>
      </c>
      <c r="D128" s="350" t="s">
        <v>1524</v>
      </c>
      <c r="E128" s="887" t="s">
        <v>13</v>
      </c>
      <c r="F128" s="613">
        <v>443.14749999999998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927"/>
      <c r="S128" s="999"/>
      <c r="T128" s="878"/>
    </row>
    <row r="129" spans="1:21" s="224" customFormat="1" ht="15" customHeight="1" x14ac:dyDescent="0.25">
      <c r="A129" s="247">
        <v>45646</v>
      </c>
      <c r="B129" s="349" t="s">
        <v>7120</v>
      </c>
      <c r="C129" s="887" t="s">
        <v>12</v>
      </c>
      <c r="D129" s="350" t="s">
        <v>1525</v>
      </c>
      <c r="E129" s="887" t="s">
        <v>13</v>
      </c>
      <c r="F129" s="613">
        <v>95.46</v>
      </c>
      <c r="G129" s="982"/>
      <c r="H129" s="872"/>
      <c r="I129" s="1063"/>
      <c r="J129" s="622"/>
      <c r="K129" s="982"/>
      <c r="L129" s="622"/>
      <c r="M129" s="982"/>
      <c r="N129" s="622"/>
      <c r="O129" s="1063"/>
      <c r="P129" s="622"/>
      <c r="Q129" s="982"/>
      <c r="R129" s="927"/>
      <c r="S129" s="999"/>
      <c r="T129" s="878"/>
    </row>
    <row r="130" spans="1:21" s="224" customFormat="1" ht="15" customHeight="1" x14ac:dyDescent="0.25">
      <c r="A130" s="247">
        <v>45646</v>
      </c>
      <c r="B130" s="882" t="s">
        <v>7121</v>
      </c>
      <c r="C130" s="879" t="s">
        <v>12</v>
      </c>
      <c r="D130" s="879" t="s">
        <v>1499</v>
      </c>
      <c r="E130" s="871" t="s">
        <v>13</v>
      </c>
      <c r="F130" s="780">
        <v>33</v>
      </c>
      <c r="G130" s="982"/>
      <c r="H130" s="1008"/>
      <c r="I130" s="1063"/>
      <c r="J130" s="622"/>
      <c r="K130" s="982"/>
      <c r="L130" s="622"/>
      <c r="M130" s="982"/>
      <c r="N130" s="622"/>
      <c r="O130" s="1063"/>
      <c r="P130" s="622"/>
      <c r="Q130" s="982"/>
      <c r="R130" s="861"/>
      <c r="T130" s="1123"/>
      <c r="U130" s="999"/>
    </row>
    <row r="131" spans="1:21" s="224" customFormat="1" ht="15" customHeight="1" x14ac:dyDescent="0.25">
      <c r="A131" s="247">
        <v>45646</v>
      </c>
      <c r="B131" s="882" t="s">
        <v>6814</v>
      </c>
      <c r="C131" s="879" t="s">
        <v>12</v>
      </c>
      <c r="D131" s="879"/>
      <c r="E131" s="875" t="s">
        <v>13</v>
      </c>
      <c r="F131" s="780"/>
      <c r="G131" s="982">
        <v>922</v>
      </c>
      <c r="H131" s="1008"/>
      <c r="I131" s="1063"/>
      <c r="J131" s="622">
        <v>922</v>
      </c>
      <c r="K131" s="982"/>
      <c r="L131" s="622"/>
      <c r="M131" s="982"/>
      <c r="N131" s="622"/>
      <c r="O131" s="1063"/>
      <c r="P131" s="622"/>
      <c r="Q131" s="982"/>
      <c r="R131" s="861"/>
    </row>
    <row r="132" spans="1:21" s="224" customFormat="1" ht="15" customHeight="1" x14ac:dyDescent="0.25">
      <c r="A132" s="247">
        <v>45646</v>
      </c>
      <c r="B132" s="882" t="s">
        <v>7199</v>
      </c>
      <c r="C132" s="879" t="s">
        <v>12</v>
      </c>
      <c r="D132" s="879"/>
      <c r="E132" s="871" t="s">
        <v>25</v>
      </c>
      <c r="F132" s="780"/>
      <c r="G132" s="982">
        <v>300</v>
      </c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21" s="224" customFormat="1" ht="15" customHeight="1" x14ac:dyDescent="0.25">
      <c r="A133" s="247">
        <v>45646</v>
      </c>
      <c r="B133" s="882" t="s">
        <v>7200</v>
      </c>
      <c r="C133" s="879" t="s">
        <v>12</v>
      </c>
      <c r="D133" s="879"/>
      <c r="E133" s="875" t="s">
        <v>13</v>
      </c>
      <c r="F133" s="780">
        <v>1000</v>
      </c>
      <c r="G133" s="982"/>
      <c r="H133" s="95"/>
      <c r="I133" s="1064"/>
      <c r="J133" s="622"/>
      <c r="K133" s="982"/>
      <c r="L133" s="622"/>
      <c r="M133" s="982"/>
      <c r="N133" s="622"/>
      <c r="O133" s="1063">
        <v>1000</v>
      </c>
      <c r="P133" s="622"/>
      <c r="Q133" s="982"/>
      <c r="R133" s="861"/>
    </row>
    <row r="134" spans="1:21" s="224" customFormat="1" ht="15" customHeight="1" x14ac:dyDescent="0.25">
      <c r="A134" s="247">
        <v>45646</v>
      </c>
      <c r="B134" s="882" t="s">
        <v>7164</v>
      </c>
      <c r="C134" s="879" t="s">
        <v>12</v>
      </c>
      <c r="D134" s="879"/>
      <c r="E134" s="875"/>
      <c r="F134" s="780">
        <v>400</v>
      </c>
      <c r="G134" s="982"/>
      <c r="H134" s="95"/>
      <c r="I134" s="1064"/>
      <c r="J134" s="622"/>
      <c r="K134" s="982"/>
      <c r="L134" s="622"/>
      <c r="M134" s="982">
        <v>400</v>
      </c>
      <c r="N134" s="622"/>
      <c r="O134" s="1063"/>
      <c r="P134" s="622"/>
      <c r="Q134" s="982"/>
      <c r="R134" s="1028"/>
    </row>
    <row r="135" spans="1:21" s="224" customFormat="1" ht="15" customHeight="1" x14ac:dyDescent="0.25">
      <c r="A135" s="247">
        <v>45646</v>
      </c>
      <c r="B135" s="882" t="s">
        <v>7311</v>
      </c>
      <c r="C135" s="879" t="s">
        <v>12</v>
      </c>
      <c r="D135" s="879"/>
      <c r="E135" s="875"/>
      <c r="F135" s="780"/>
      <c r="G135" s="982"/>
      <c r="H135" s="95"/>
      <c r="I135" s="1064"/>
      <c r="J135" s="613"/>
      <c r="K135" s="64">
        <v>3021.51</v>
      </c>
      <c r="L135" s="622"/>
      <c r="M135" s="982"/>
      <c r="N135" s="622"/>
      <c r="O135" s="1063"/>
      <c r="P135" s="1116"/>
      <c r="Q135" s="1215"/>
      <c r="R135" s="1028">
        <v>4998</v>
      </c>
      <c r="U135" s="958"/>
    </row>
    <row r="136" spans="1:21" s="224" customFormat="1" ht="15" customHeight="1" x14ac:dyDescent="0.25">
      <c r="A136" s="247">
        <v>45646</v>
      </c>
      <c r="B136" s="882" t="s">
        <v>7312</v>
      </c>
      <c r="C136" s="879" t="s">
        <v>12</v>
      </c>
      <c r="D136" s="879"/>
      <c r="E136" s="875"/>
      <c r="F136" s="780"/>
      <c r="G136" s="982"/>
      <c r="H136" s="95"/>
      <c r="I136" s="1064"/>
      <c r="J136" s="613"/>
      <c r="K136" s="64">
        <v>1976.85</v>
      </c>
      <c r="L136" s="622"/>
      <c r="M136" s="982"/>
      <c r="N136" s="622"/>
      <c r="O136" s="1525"/>
      <c r="P136" s="1116"/>
      <c r="Q136" s="1215"/>
      <c r="R136" s="1028"/>
      <c r="U136" s="958"/>
    </row>
    <row r="137" spans="1:21" s="224" customFormat="1" ht="15" customHeight="1" x14ac:dyDescent="0.25">
      <c r="A137" s="247">
        <v>45647</v>
      </c>
      <c r="B137" s="882" t="s">
        <v>14</v>
      </c>
      <c r="C137" s="879" t="s">
        <v>12</v>
      </c>
      <c r="D137" s="879" t="s">
        <v>1486</v>
      </c>
      <c r="E137" s="871" t="s">
        <v>13</v>
      </c>
      <c r="F137" s="780">
        <v>7.02</v>
      </c>
      <c r="G137" s="982"/>
      <c r="H137" s="95"/>
      <c r="I137" s="1064"/>
      <c r="J137" s="613"/>
      <c r="K137" s="6"/>
      <c r="L137" s="622"/>
      <c r="M137" s="982"/>
      <c r="N137" s="622"/>
      <c r="O137" s="1063"/>
      <c r="P137" s="622"/>
      <c r="Q137" s="982"/>
      <c r="R137" s="861"/>
    </row>
    <row r="138" spans="1:21" s="224" customFormat="1" ht="15" customHeight="1" x14ac:dyDescent="0.25">
      <c r="A138" s="247">
        <v>45647</v>
      </c>
      <c r="B138" s="882" t="s">
        <v>2629</v>
      </c>
      <c r="C138" s="879" t="s">
        <v>92</v>
      </c>
      <c r="D138" s="879" t="s">
        <v>1489</v>
      </c>
      <c r="E138" s="871" t="s">
        <v>13</v>
      </c>
      <c r="F138" s="780">
        <v>98.19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21" s="224" customFormat="1" ht="15" customHeight="1" x14ac:dyDescent="0.25">
      <c r="A139" s="247">
        <v>45647</v>
      </c>
      <c r="B139" s="882" t="s">
        <v>7201</v>
      </c>
      <c r="C139" s="879" t="s">
        <v>12</v>
      </c>
      <c r="D139" s="879"/>
      <c r="E139" s="875" t="s">
        <v>13</v>
      </c>
      <c r="F139" s="780"/>
      <c r="G139" s="982">
        <v>950</v>
      </c>
      <c r="H139" s="1008"/>
      <c r="I139" s="1063"/>
      <c r="J139" s="622">
        <v>950</v>
      </c>
      <c r="K139" s="982"/>
      <c r="L139" s="622"/>
      <c r="M139" s="982"/>
      <c r="N139" s="622"/>
      <c r="O139" s="1063"/>
      <c r="P139" s="622"/>
      <c r="Q139" s="982"/>
      <c r="R139" s="861"/>
    </row>
    <row r="140" spans="1:21" s="224" customFormat="1" ht="15" customHeight="1" x14ac:dyDescent="0.25">
      <c r="A140" s="247">
        <v>45647</v>
      </c>
      <c r="B140" s="882" t="s">
        <v>7202</v>
      </c>
      <c r="C140" s="879" t="s">
        <v>12</v>
      </c>
      <c r="D140" s="879" t="s">
        <v>1524</v>
      </c>
      <c r="E140" s="875" t="s">
        <v>13</v>
      </c>
      <c r="F140" s="780">
        <v>950</v>
      </c>
      <c r="G140" s="982"/>
      <c r="H140" s="1008"/>
      <c r="I140" s="1063"/>
      <c r="J140" s="613"/>
      <c r="K140" s="982"/>
      <c r="L140" s="622"/>
      <c r="M140" s="982"/>
      <c r="N140" s="622"/>
      <c r="O140" s="1063"/>
      <c r="P140" s="622"/>
      <c r="Q140" s="982"/>
      <c r="R140" s="861"/>
    </row>
    <row r="141" spans="1:21" s="224" customFormat="1" ht="15" customHeight="1" x14ac:dyDescent="0.25">
      <c r="A141" s="247">
        <v>45647</v>
      </c>
      <c r="B141" s="882" t="s">
        <v>7203</v>
      </c>
      <c r="C141" s="879" t="s">
        <v>12</v>
      </c>
      <c r="D141" s="879"/>
      <c r="E141" s="875" t="s">
        <v>13</v>
      </c>
      <c r="F141" s="780"/>
      <c r="G141" s="982">
        <v>70</v>
      </c>
      <c r="H141" s="1008"/>
      <c r="I141" s="1063"/>
      <c r="J141" s="622">
        <v>70</v>
      </c>
      <c r="K141" s="982"/>
      <c r="L141" s="622"/>
      <c r="M141" s="982"/>
      <c r="N141" s="622"/>
      <c r="O141" s="1063"/>
      <c r="P141" s="622"/>
      <c r="Q141" s="982"/>
      <c r="R141" s="861"/>
    </row>
    <row r="142" spans="1:21" s="224" customFormat="1" ht="15" customHeight="1" x14ac:dyDescent="0.25">
      <c r="A142" s="247">
        <v>45647</v>
      </c>
      <c r="B142" s="882" t="s">
        <v>7226</v>
      </c>
      <c r="C142" s="879" t="s">
        <v>12</v>
      </c>
      <c r="D142" s="879" t="s">
        <v>1524</v>
      </c>
      <c r="E142" s="875" t="s">
        <v>13</v>
      </c>
      <c r="F142" s="780">
        <v>70</v>
      </c>
      <c r="G142" s="982"/>
      <c r="H142" s="1008"/>
      <c r="I142" s="1063"/>
      <c r="J142" s="613"/>
      <c r="K142" s="982"/>
      <c r="L142" s="622"/>
      <c r="M142" s="982"/>
      <c r="N142" s="622"/>
      <c r="O142" s="1063"/>
      <c r="P142" s="622"/>
      <c r="Q142" s="982"/>
      <c r="R142" s="861"/>
    </row>
    <row r="143" spans="1:21" s="224" customFormat="1" ht="15" customHeight="1" x14ac:dyDescent="0.25">
      <c r="A143" s="247">
        <v>45647</v>
      </c>
      <c r="B143" s="882" t="s">
        <v>151</v>
      </c>
      <c r="C143" s="879" t="s">
        <v>92</v>
      </c>
      <c r="D143" s="879" t="s">
        <v>1485</v>
      </c>
      <c r="E143" s="875" t="s">
        <v>13</v>
      </c>
      <c r="F143" s="780">
        <v>40</v>
      </c>
      <c r="G143" s="982"/>
      <c r="H143" s="622"/>
      <c r="I143" s="982"/>
      <c r="J143" s="1116"/>
      <c r="K143" s="1207"/>
      <c r="L143" s="622"/>
      <c r="M143" s="982"/>
      <c r="N143" s="622"/>
      <c r="O143" s="1063"/>
      <c r="P143" s="880"/>
      <c r="Q143" s="1033"/>
      <c r="R143" s="927"/>
      <c r="T143" s="878"/>
    </row>
    <row r="144" spans="1:21" s="224" customFormat="1" ht="15" customHeight="1" x14ac:dyDescent="0.25">
      <c r="A144" s="247">
        <v>45647</v>
      </c>
      <c r="B144" s="882" t="s">
        <v>1906</v>
      </c>
      <c r="C144" s="879" t="s">
        <v>12</v>
      </c>
      <c r="D144" s="879" t="s">
        <v>1493</v>
      </c>
      <c r="E144" s="875" t="s">
        <v>13</v>
      </c>
      <c r="F144" s="780">
        <v>40</v>
      </c>
      <c r="G144" s="982"/>
      <c r="H144" s="622"/>
      <c r="I144" s="982"/>
      <c r="J144" s="622"/>
      <c r="K144" s="982"/>
      <c r="L144" s="853"/>
      <c r="M144" s="982"/>
      <c r="N144" s="622"/>
      <c r="O144" s="1063"/>
      <c r="P144" s="622"/>
      <c r="Q144" s="982"/>
      <c r="R144" s="927"/>
      <c r="S144" s="927"/>
      <c r="T144" s="878"/>
    </row>
    <row r="145" spans="1:42" s="224" customFormat="1" ht="15" customHeight="1" x14ac:dyDescent="0.25">
      <c r="A145" s="247">
        <v>45648</v>
      </c>
      <c r="B145" s="882" t="s">
        <v>14</v>
      </c>
      <c r="C145" s="879" t="s">
        <v>12</v>
      </c>
      <c r="D145" s="879" t="s">
        <v>1486</v>
      </c>
      <c r="E145" s="871" t="s">
        <v>13</v>
      </c>
      <c r="F145" s="780">
        <v>8.92</v>
      </c>
      <c r="G145" s="982"/>
      <c r="H145" s="622"/>
      <c r="I145" s="982"/>
      <c r="J145" s="1116"/>
      <c r="K145" s="1207"/>
      <c r="L145" s="622"/>
      <c r="M145" s="982"/>
      <c r="N145" s="622"/>
      <c r="O145" s="1063"/>
      <c r="P145" s="880"/>
      <c r="Q145" s="1033"/>
      <c r="R145" s="927"/>
      <c r="T145" s="878"/>
    </row>
    <row r="146" spans="1:42" s="224" customFormat="1" ht="15" customHeight="1" x14ac:dyDescent="0.25">
      <c r="A146" s="247">
        <v>45648</v>
      </c>
      <c r="B146" s="882" t="s">
        <v>147</v>
      </c>
      <c r="C146" s="879" t="s">
        <v>12</v>
      </c>
      <c r="D146" s="879" t="s">
        <v>1506</v>
      </c>
      <c r="E146" s="871" t="s">
        <v>13</v>
      </c>
      <c r="F146" s="780">
        <v>20</v>
      </c>
      <c r="G146" s="982"/>
      <c r="H146" s="622"/>
      <c r="I146" s="982"/>
      <c r="J146" s="1116"/>
      <c r="K146" s="1207"/>
      <c r="L146" s="622"/>
      <c r="M146" s="982"/>
      <c r="N146" s="622"/>
      <c r="O146" s="1063"/>
      <c r="P146" s="880"/>
      <c r="Q146" s="1033"/>
      <c r="R146" s="927"/>
      <c r="T146" s="878"/>
    </row>
    <row r="147" spans="1:42" s="224" customFormat="1" ht="15" customHeight="1" x14ac:dyDescent="0.25">
      <c r="A147" s="247">
        <v>45648</v>
      </c>
      <c r="B147" s="882" t="s">
        <v>7205</v>
      </c>
      <c r="C147" s="879" t="s">
        <v>12</v>
      </c>
      <c r="D147" s="879" t="s">
        <v>1525</v>
      </c>
      <c r="E147" s="871" t="s">
        <v>13</v>
      </c>
      <c r="F147" s="780">
        <v>47.47</v>
      </c>
      <c r="G147" s="982"/>
      <c r="H147" s="622"/>
      <c r="I147" s="982"/>
      <c r="J147" s="1116"/>
      <c r="K147" s="1207"/>
      <c r="L147" s="622"/>
      <c r="M147" s="982"/>
      <c r="N147" s="622"/>
      <c r="O147" s="1063"/>
      <c r="P147" s="880"/>
      <c r="Q147" s="1033"/>
      <c r="R147" s="927"/>
      <c r="T147" s="878"/>
    </row>
    <row r="148" spans="1:42" s="224" customFormat="1" ht="15" customHeight="1" x14ac:dyDescent="0.25">
      <c r="A148" s="247">
        <v>45648</v>
      </c>
      <c r="B148" s="882" t="s">
        <v>7206</v>
      </c>
      <c r="C148" s="879" t="s">
        <v>12</v>
      </c>
      <c r="D148" s="879" t="s">
        <v>1489</v>
      </c>
      <c r="E148" s="871" t="s">
        <v>13</v>
      </c>
      <c r="F148" s="780">
        <v>145</v>
      </c>
      <c r="G148" s="982"/>
      <c r="H148" s="622"/>
      <c r="I148" s="982"/>
      <c r="J148" s="1116"/>
      <c r="K148" s="1207"/>
      <c r="L148" s="622"/>
      <c r="M148" s="982"/>
      <c r="N148" s="622"/>
      <c r="O148" s="1063"/>
      <c r="P148" s="880"/>
      <c r="Q148" s="1033"/>
      <c r="R148" s="927"/>
      <c r="T148" s="878"/>
    </row>
    <row r="149" spans="1:42" s="224" customFormat="1" ht="15" customHeight="1" x14ac:dyDescent="0.25">
      <c r="A149" s="247">
        <v>45649</v>
      </c>
      <c r="B149" s="882" t="s">
        <v>14</v>
      </c>
      <c r="C149" s="879" t="s">
        <v>12</v>
      </c>
      <c r="D149" s="879" t="s">
        <v>1486</v>
      </c>
      <c r="E149" s="871" t="s">
        <v>13</v>
      </c>
      <c r="F149" s="780">
        <v>12.79</v>
      </c>
      <c r="G149" s="982"/>
      <c r="H149" s="622"/>
      <c r="I149" s="982"/>
      <c r="J149" s="1116"/>
      <c r="K149" s="1207"/>
      <c r="L149" s="622"/>
      <c r="M149" s="982"/>
      <c r="N149" s="622"/>
      <c r="O149" s="1063"/>
      <c r="P149" s="880"/>
      <c r="Q149" s="1033"/>
      <c r="R149" s="927"/>
      <c r="T149" s="878"/>
    </row>
    <row r="150" spans="1:42" s="224" customFormat="1" ht="15" customHeight="1" x14ac:dyDescent="0.25">
      <c r="A150" s="247">
        <v>45649</v>
      </c>
      <c r="B150" s="882" t="s">
        <v>7207</v>
      </c>
      <c r="C150" s="879" t="s">
        <v>12</v>
      </c>
      <c r="D150" s="879" t="s">
        <v>1525</v>
      </c>
      <c r="E150" s="871" t="s">
        <v>13</v>
      </c>
      <c r="F150" s="780">
        <v>44.98</v>
      </c>
      <c r="G150" s="982"/>
      <c r="H150" s="95"/>
      <c r="I150" s="1064"/>
      <c r="J150" s="613"/>
      <c r="K150" s="6"/>
      <c r="L150" s="622"/>
      <c r="M150" s="982"/>
      <c r="N150" s="622"/>
      <c r="O150" s="1063"/>
      <c r="P150" s="1116"/>
      <c r="Q150" s="1215"/>
      <c r="R150" s="1028"/>
      <c r="U150" s="958"/>
    </row>
    <row r="151" spans="1:42" s="224" customFormat="1" ht="15" customHeight="1" x14ac:dyDescent="0.25">
      <c r="A151" s="247">
        <v>45649</v>
      </c>
      <c r="B151" s="882" t="s">
        <v>7208</v>
      </c>
      <c r="C151" s="879" t="s">
        <v>12</v>
      </c>
      <c r="D151" s="879" t="s">
        <v>1493</v>
      </c>
      <c r="E151" s="871" t="s">
        <v>13</v>
      </c>
      <c r="F151" s="780">
        <v>60</v>
      </c>
      <c r="G151" s="982"/>
      <c r="H151" s="95"/>
      <c r="I151" s="1064"/>
      <c r="J151" s="613"/>
      <c r="K151" s="6"/>
      <c r="L151" s="622"/>
      <c r="M151" s="982"/>
      <c r="N151" s="622"/>
      <c r="O151" s="1525"/>
      <c r="P151" s="1116"/>
      <c r="Q151" s="1215"/>
      <c r="R151" s="1028"/>
      <c r="U151" s="958"/>
    </row>
    <row r="152" spans="1:42" s="224" customFormat="1" ht="15" customHeight="1" x14ac:dyDescent="0.25">
      <c r="A152" s="247">
        <v>45649</v>
      </c>
      <c r="B152" s="882" t="s">
        <v>7209</v>
      </c>
      <c r="C152" s="879" t="s">
        <v>12</v>
      </c>
      <c r="D152" s="879" t="s">
        <v>1489</v>
      </c>
      <c r="E152" s="871" t="s">
        <v>13</v>
      </c>
      <c r="F152" s="780">
        <v>19</v>
      </c>
      <c r="G152" s="982"/>
      <c r="H152" s="95"/>
      <c r="I152" s="1064"/>
      <c r="J152" s="613"/>
      <c r="K152" s="6"/>
      <c r="L152" s="622"/>
      <c r="M152" s="982"/>
      <c r="N152" s="622"/>
      <c r="O152" s="1063"/>
      <c r="P152" s="1116"/>
      <c r="Q152" s="1215"/>
      <c r="R152" s="1028"/>
      <c r="U152" s="958"/>
    </row>
    <row r="153" spans="1:42" s="224" customFormat="1" ht="15" customHeight="1" x14ac:dyDescent="0.25">
      <c r="A153" s="247">
        <v>45650</v>
      </c>
      <c r="B153" s="882" t="s">
        <v>14</v>
      </c>
      <c r="C153" s="879" t="s">
        <v>12</v>
      </c>
      <c r="D153" s="879" t="s">
        <v>1486</v>
      </c>
      <c r="E153" s="871" t="s">
        <v>13</v>
      </c>
      <c r="F153" s="780">
        <v>7.41</v>
      </c>
      <c r="G153" s="982"/>
      <c r="H153" s="622"/>
      <c r="I153" s="982"/>
      <c r="J153" s="1116"/>
      <c r="K153" s="1207"/>
      <c r="L153" s="622"/>
      <c r="M153" s="982"/>
      <c r="N153" s="622"/>
      <c r="O153" s="1525"/>
      <c r="P153" s="880"/>
      <c r="Q153" s="1033"/>
      <c r="R153" s="927"/>
      <c r="T153" s="878"/>
    </row>
    <row r="154" spans="1:42" s="224" customFormat="1" ht="15" customHeight="1" x14ac:dyDescent="0.25">
      <c r="A154" s="247">
        <v>45650</v>
      </c>
      <c r="B154" s="882" t="s">
        <v>7210</v>
      </c>
      <c r="C154" s="879" t="s">
        <v>12</v>
      </c>
      <c r="D154" s="879" t="s">
        <v>1523</v>
      </c>
      <c r="E154" s="871" t="s">
        <v>13</v>
      </c>
      <c r="F154" s="780">
        <v>33</v>
      </c>
      <c r="G154" s="982"/>
      <c r="H154" s="95"/>
      <c r="I154" s="1064"/>
      <c r="J154" s="622"/>
      <c r="K154" s="982"/>
      <c r="L154" s="622"/>
      <c r="M154" s="982"/>
      <c r="N154" s="622"/>
      <c r="O154" s="1063"/>
      <c r="P154" s="622"/>
      <c r="Q154" s="982"/>
      <c r="R154" s="1028"/>
      <c r="U154" s="958"/>
    </row>
    <row r="155" spans="1:42" s="224" customFormat="1" ht="15" customHeight="1" x14ac:dyDescent="0.25">
      <c r="A155" s="247">
        <v>45651</v>
      </c>
      <c r="B155" s="882" t="s">
        <v>14</v>
      </c>
      <c r="C155" s="879" t="s">
        <v>12</v>
      </c>
      <c r="D155" s="879" t="s">
        <v>1486</v>
      </c>
      <c r="E155" s="871" t="s">
        <v>13</v>
      </c>
      <c r="F155" s="780">
        <v>5</v>
      </c>
      <c r="G155" s="982"/>
      <c r="H155" s="622"/>
      <c r="I155" s="982"/>
      <c r="J155" s="1116"/>
      <c r="K155" s="1207"/>
      <c r="L155" s="622"/>
      <c r="M155" s="982"/>
      <c r="N155" s="622"/>
      <c r="O155" s="1063"/>
      <c r="P155" s="880"/>
      <c r="Q155" s="1033"/>
      <c r="R155" s="927"/>
      <c r="T155" s="878"/>
    </row>
    <row r="156" spans="1:42" s="224" customFormat="1" ht="15" customHeight="1" x14ac:dyDescent="0.25">
      <c r="A156" s="247">
        <v>45651</v>
      </c>
      <c r="B156" s="882" t="s">
        <v>6329</v>
      </c>
      <c r="C156" s="879" t="s">
        <v>12</v>
      </c>
      <c r="D156" s="879"/>
      <c r="E156" s="875" t="s">
        <v>25</v>
      </c>
      <c r="F156" s="780"/>
      <c r="G156" s="982">
        <v>100</v>
      </c>
      <c r="H156" s="1008"/>
      <c r="I156" s="1063"/>
      <c r="J156" s="613"/>
      <c r="K156" s="982"/>
      <c r="L156" s="622"/>
      <c r="M156" s="982"/>
      <c r="N156" s="622"/>
      <c r="O156" s="1063"/>
      <c r="P156" s="622"/>
      <c r="Q156" s="982"/>
      <c r="R156" s="861"/>
    </row>
    <row r="157" spans="1:42" s="224" customFormat="1" ht="15" customHeight="1" x14ac:dyDescent="0.25">
      <c r="A157" s="247">
        <v>45651</v>
      </c>
      <c r="B157" s="882" t="s">
        <v>14</v>
      </c>
      <c r="C157" s="879" t="s">
        <v>12</v>
      </c>
      <c r="D157" s="879" t="s">
        <v>1486</v>
      </c>
      <c r="E157" s="871" t="s">
        <v>13</v>
      </c>
      <c r="F157" s="780">
        <v>8.6300000000000008</v>
      </c>
      <c r="G157" s="982"/>
      <c r="H157" s="622"/>
      <c r="I157" s="982"/>
      <c r="J157" s="872"/>
      <c r="K157" s="1207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42" s="224" customFormat="1" ht="15" customHeight="1" x14ac:dyDescent="0.25">
      <c r="A158" s="247">
        <v>45652</v>
      </c>
      <c r="B158" s="882" t="s">
        <v>14</v>
      </c>
      <c r="C158" s="879" t="s">
        <v>12</v>
      </c>
      <c r="D158" s="879" t="s">
        <v>1486</v>
      </c>
      <c r="E158" s="871" t="s">
        <v>13</v>
      </c>
      <c r="F158" s="780">
        <v>5.61</v>
      </c>
      <c r="G158" s="982"/>
      <c r="H158" s="622"/>
      <c r="I158" s="982"/>
      <c r="J158" s="622"/>
      <c r="K158" s="982"/>
      <c r="L158" s="622"/>
      <c r="M158" s="982"/>
      <c r="N158" s="880"/>
      <c r="O158" s="1525"/>
      <c r="P158" s="613"/>
      <c r="Q158" s="162"/>
      <c r="R158" s="1956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customHeight="1" x14ac:dyDescent="0.25">
      <c r="A159" s="247">
        <v>45652</v>
      </c>
      <c r="B159" s="882" t="s">
        <v>151</v>
      </c>
      <c r="C159" s="879" t="s">
        <v>92</v>
      </c>
      <c r="D159" s="879" t="s">
        <v>1485</v>
      </c>
      <c r="E159" s="875" t="s">
        <v>13</v>
      </c>
      <c r="F159" s="780">
        <v>19.899999999999999</v>
      </c>
      <c r="G159" s="982"/>
      <c r="H159" s="1008"/>
      <c r="I159" s="1063"/>
      <c r="J159" s="1116"/>
      <c r="K159" s="1207"/>
      <c r="L159" s="622"/>
      <c r="M159" s="982"/>
      <c r="N159" s="622"/>
      <c r="O159" s="1063"/>
      <c r="P159" s="622"/>
      <c r="Q159" s="982"/>
      <c r="R159" s="861"/>
      <c r="T159" s="1035"/>
    </row>
    <row r="160" spans="1:42" s="224" customFormat="1" ht="15" customHeight="1" x14ac:dyDescent="0.25">
      <c r="A160" s="247">
        <v>45652</v>
      </c>
      <c r="B160" s="882" t="s">
        <v>7216</v>
      </c>
      <c r="C160" s="879" t="s">
        <v>92</v>
      </c>
      <c r="D160" s="879" t="s">
        <v>1522</v>
      </c>
      <c r="E160" s="875" t="s">
        <v>13</v>
      </c>
      <c r="F160" s="780">
        <v>160.22</v>
      </c>
      <c r="G160" s="982"/>
      <c r="H160" s="1008"/>
      <c r="I160" s="1063"/>
      <c r="J160" s="1116"/>
      <c r="K160" s="1207"/>
      <c r="L160" s="622"/>
      <c r="M160" s="982"/>
      <c r="N160" s="622"/>
      <c r="O160" s="1063"/>
      <c r="P160" s="622"/>
      <c r="Q160" s="982"/>
      <c r="R160" s="861"/>
      <c r="T160" s="1035"/>
    </row>
    <row r="161" spans="1:42" s="224" customFormat="1" ht="15" customHeight="1" x14ac:dyDescent="0.25">
      <c r="A161" s="247">
        <v>45653</v>
      </c>
      <c r="B161" s="882" t="s">
        <v>14</v>
      </c>
      <c r="C161" s="879" t="s">
        <v>12</v>
      </c>
      <c r="D161" s="879" t="s">
        <v>1486</v>
      </c>
      <c r="E161" s="871" t="s">
        <v>13</v>
      </c>
      <c r="F161" s="780">
        <v>3.42</v>
      </c>
      <c r="G161" s="982"/>
      <c r="H161" s="622"/>
      <c r="I161" s="982"/>
      <c r="J161" s="622"/>
      <c r="K161" s="982"/>
      <c r="L161" s="622"/>
      <c r="M161" s="982"/>
      <c r="N161" s="880"/>
      <c r="O161" s="1525"/>
      <c r="P161" s="613"/>
      <c r="Q161" s="162"/>
      <c r="R161" s="1956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</row>
    <row r="162" spans="1:42" s="224" customFormat="1" ht="15" customHeight="1" x14ac:dyDescent="0.25">
      <c r="A162" s="247">
        <v>45653</v>
      </c>
      <c r="B162" s="882" t="s">
        <v>7122</v>
      </c>
      <c r="C162" s="879" t="s">
        <v>12</v>
      </c>
      <c r="D162" s="879" t="s">
        <v>1489</v>
      </c>
      <c r="E162" s="875" t="s">
        <v>13</v>
      </c>
      <c r="F162" s="780">
        <v>13</v>
      </c>
      <c r="G162" s="982"/>
      <c r="H162" s="1008"/>
      <c r="I162" s="1063"/>
      <c r="J162" s="1116"/>
      <c r="K162" s="1207"/>
      <c r="L162" s="622"/>
      <c r="M162" s="982"/>
      <c r="N162" s="622"/>
      <c r="O162" s="1063"/>
      <c r="P162" s="622"/>
      <c r="Q162" s="982"/>
      <c r="R162" s="861"/>
      <c r="T162" s="1035"/>
    </row>
    <row r="163" spans="1:42" s="224" customFormat="1" ht="15" customHeight="1" x14ac:dyDescent="0.25">
      <c r="A163" s="247">
        <v>45653</v>
      </c>
      <c r="B163" s="882" t="s">
        <v>14</v>
      </c>
      <c r="C163" s="879" t="s">
        <v>12</v>
      </c>
      <c r="D163" s="879" t="s">
        <v>1486</v>
      </c>
      <c r="E163" s="871" t="s">
        <v>13</v>
      </c>
      <c r="F163" s="780">
        <v>6.98</v>
      </c>
      <c r="G163" s="982"/>
      <c r="H163" s="622"/>
      <c r="I163" s="982"/>
      <c r="J163" s="622"/>
      <c r="K163" s="982"/>
      <c r="L163" s="622"/>
      <c r="M163" s="982"/>
      <c r="N163" s="880"/>
      <c r="O163" s="1525"/>
      <c r="P163" s="613"/>
      <c r="Q163" s="162"/>
      <c r="R163" s="1956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</row>
    <row r="164" spans="1:42" s="224" customFormat="1" ht="15" customHeight="1" x14ac:dyDescent="0.25">
      <c r="A164" s="247">
        <v>45653</v>
      </c>
      <c r="B164" s="882" t="s">
        <v>7016</v>
      </c>
      <c r="C164" s="879" t="s">
        <v>12</v>
      </c>
      <c r="D164" s="879" t="s">
        <v>1493</v>
      </c>
      <c r="E164" s="871" t="s">
        <v>13</v>
      </c>
      <c r="F164" s="780">
        <v>6.19</v>
      </c>
      <c r="G164" s="982"/>
      <c r="H164" s="622"/>
      <c r="I164" s="982"/>
      <c r="J164" s="622"/>
      <c r="K164" s="982"/>
      <c r="L164" s="622"/>
      <c r="M164" s="982"/>
      <c r="N164" s="880"/>
      <c r="O164" s="1525"/>
      <c r="P164" s="613"/>
      <c r="Q164" s="162"/>
      <c r="R164" s="1956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</row>
    <row r="165" spans="1:42" s="224" customFormat="1" ht="15" customHeight="1" x14ac:dyDescent="0.25">
      <c r="A165" s="247">
        <v>45654</v>
      </c>
      <c r="B165" s="882" t="s">
        <v>7217</v>
      </c>
      <c r="C165" s="879" t="s">
        <v>12</v>
      </c>
      <c r="D165" s="879" t="s">
        <v>1489</v>
      </c>
      <c r="E165" s="871" t="s">
        <v>13</v>
      </c>
      <c r="F165" s="780">
        <v>28.6</v>
      </c>
      <c r="G165" s="982"/>
      <c r="H165" s="622"/>
      <c r="I165" s="982"/>
      <c r="J165" s="622"/>
      <c r="K165" s="982"/>
      <c r="L165" s="622"/>
      <c r="M165" s="982"/>
      <c r="N165" s="880"/>
      <c r="O165" s="1525"/>
      <c r="P165" s="613"/>
      <c r="Q165" s="162"/>
      <c r="R165" s="1956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</row>
    <row r="166" spans="1:42" s="224" customFormat="1" ht="15" customHeight="1" x14ac:dyDescent="0.25">
      <c r="A166" s="247">
        <v>45654</v>
      </c>
      <c r="B166" s="882" t="s">
        <v>14</v>
      </c>
      <c r="C166" s="879" t="s">
        <v>12</v>
      </c>
      <c r="D166" s="879" t="s">
        <v>1486</v>
      </c>
      <c r="E166" s="871" t="s">
        <v>13</v>
      </c>
      <c r="F166" s="780">
        <v>4.3899999999999997</v>
      </c>
      <c r="G166" s="982"/>
      <c r="H166" s="622"/>
      <c r="I166" s="982"/>
      <c r="J166" s="622"/>
      <c r="K166" s="982"/>
      <c r="L166" s="622"/>
      <c r="M166" s="982"/>
      <c r="N166" s="880"/>
      <c r="O166" s="1525"/>
      <c r="P166" s="613"/>
      <c r="Q166" s="162"/>
      <c r="R166" s="195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</row>
    <row r="167" spans="1:42" s="224" customFormat="1" ht="15" customHeight="1" x14ac:dyDescent="0.25">
      <c r="A167" s="247">
        <v>45654</v>
      </c>
      <c r="B167" s="882" t="s">
        <v>2629</v>
      </c>
      <c r="C167" s="879" t="s">
        <v>12</v>
      </c>
      <c r="D167" s="879" t="s">
        <v>1489</v>
      </c>
      <c r="E167" s="871" t="s">
        <v>5470</v>
      </c>
      <c r="F167" s="780">
        <v>40</v>
      </c>
      <c r="G167" s="982"/>
      <c r="H167" s="622"/>
      <c r="I167" s="982"/>
      <c r="J167" s="622"/>
      <c r="K167" s="982"/>
      <c r="L167" s="622"/>
      <c r="M167" s="982"/>
      <c r="N167" s="880"/>
      <c r="O167" s="1525"/>
      <c r="P167" s="613"/>
      <c r="Q167" s="162"/>
      <c r="R167" s="1956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</row>
    <row r="168" spans="1:42" s="224" customFormat="1" ht="15" customHeight="1" x14ac:dyDescent="0.25">
      <c r="A168" s="247">
        <v>45654</v>
      </c>
      <c r="B168" s="882" t="s">
        <v>2629</v>
      </c>
      <c r="C168" s="879" t="s">
        <v>12</v>
      </c>
      <c r="D168" s="879" t="s">
        <v>1489</v>
      </c>
      <c r="E168" s="871" t="s">
        <v>13</v>
      </c>
      <c r="F168" s="780">
        <v>123.67</v>
      </c>
      <c r="G168" s="982"/>
      <c r="H168" s="622"/>
      <c r="I168" s="982"/>
      <c r="J168" s="622"/>
      <c r="K168" s="982"/>
      <c r="L168" s="622"/>
      <c r="M168" s="982"/>
      <c r="N168" s="880"/>
      <c r="O168" s="1525"/>
      <c r="P168" s="613"/>
      <c r="Q168" s="162"/>
      <c r="R168" s="1956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</row>
    <row r="169" spans="1:42" s="224" customFormat="1" ht="15" customHeight="1" x14ac:dyDescent="0.25">
      <c r="A169" s="247">
        <v>45654</v>
      </c>
      <c r="B169" s="882" t="s">
        <v>82</v>
      </c>
      <c r="C169" s="879" t="s">
        <v>12</v>
      </c>
      <c r="D169" s="879" t="s">
        <v>1493</v>
      </c>
      <c r="E169" s="871" t="s">
        <v>15</v>
      </c>
      <c r="F169" s="780">
        <v>50</v>
      </c>
      <c r="G169" s="982"/>
      <c r="H169" s="622"/>
      <c r="I169" s="982"/>
      <c r="J169" s="622"/>
      <c r="K169" s="982"/>
      <c r="L169" s="622"/>
      <c r="M169" s="982"/>
      <c r="N169" s="880"/>
      <c r="O169" s="1525"/>
      <c r="P169" s="613"/>
      <c r="Q169" s="162"/>
      <c r="R169" s="1956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</row>
    <row r="170" spans="1:42" s="224" customFormat="1" ht="15" customHeight="1" x14ac:dyDescent="0.25">
      <c r="A170" s="247">
        <v>45655</v>
      </c>
      <c r="B170" s="882" t="s">
        <v>147</v>
      </c>
      <c r="C170" s="879" t="s">
        <v>12</v>
      </c>
      <c r="D170" s="879" t="s">
        <v>1506</v>
      </c>
      <c r="E170" s="871" t="s">
        <v>13</v>
      </c>
      <c r="F170" s="780">
        <v>20</v>
      </c>
      <c r="G170" s="982"/>
      <c r="H170" s="95"/>
      <c r="I170" s="1064"/>
      <c r="J170" s="622"/>
      <c r="K170" s="982"/>
      <c r="L170" s="622"/>
      <c r="M170" s="982"/>
      <c r="N170" s="622"/>
      <c r="O170" s="1063"/>
      <c r="P170" s="622"/>
      <c r="Q170" s="982"/>
      <c r="R170" s="861"/>
      <c r="T170" s="927"/>
      <c r="U170" s="999"/>
    </row>
    <row r="171" spans="1:42" s="224" customFormat="1" ht="15" customHeight="1" x14ac:dyDescent="0.25">
      <c r="A171" s="247">
        <v>45655</v>
      </c>
      <c r="B171" s="349" t="s">
        <v>7218</v>
      </c>
      <c r="C171" s="350" t="s">
        <v>12</v>
      </c>
      <c r="D171" s="350" t="s">
        <v>1506</v>
      </c>
      <c r="E171" s="480" t="s">
        <v>13</v>
      </c>
      <c r="F171" s="780">
        <v>30</v>
      </c>
      <c r="G171" s="982"/>
      <c r="H171" s="95"/>
      <c r="I171" s="1064"/>
      <c r="J171" s="622"/>
      <c r="K171" s="982"/>
      <c r="L171" s="622"/>
      <c r="M171" s="982"/>
      <c r="N171" s="622"/>
      <c r="O171" s="1063"/>
      <c r="P171" s="622"/>
      <c r="Q171" s="982"/>
      <c r="R171" s="861"/>
      <c r="T171" s="927"/>
      <c r="U171" s="999"/>
    </row>
    <row r="172" spans="1:42" s="224" customFormat="1" ht="15" customHeight="1" x14ac:dyDescent="0.25">
      <c r="A172" s="247">
        <v>45655</v>
      </c>
      <c r="B172" s="882" t="s">
        <v>151</v>
      </c>
      <c r="C172" s="879" t="s">
        <v>92</v>
      </c>
      <c r="D172" s="879" t="s">
        <v>1485</v>
      </c>
      <c r="E172" s="875" t="s">
        <v>13</v>
      </c>
      <c r="F172" s="780">
        <v>26</v>
      </c>
      <c r="G172" s="982"/>
      <c r="H172" s="1008"/>
      <c r="I172" s="1063"/>
      <c r="J172" s="1116"/>
      <c r="K172" s="1207"/>
      <c r="L172" s="622"/>
      <c r="M172" s="982"/>
      <c r="N172" s="622"/>
      <c r="O172" s="1063"/>
      <c r="P172" s="622"/>
      <c r="Q172" s="982"/>
      <c r="R172" s="861"/>
      <c r="T172" s="1035"/>
    </row>
    <row r="173" spans="1:42" s="224" customFormat="1" ht="15" customHeight="1" x14ac:dyDescent="0.25">
      <c r="A173" s="247">
        <v>45655</v>
      </c>
      <c r="B173" s="882" t="s">
        <v>14</v>
      </c>
      <c r="C173" s="879" t="s">
        <v>12</v>
      </c>
      <c r="D173" s="879" t="s">
        <v>1486</v>
      </c>
      <c r="E173" s="871" t="s">
        <v>13</v>
      </c>
      <c r="F173" s="780">
        <v>6.94</v>
      </c>
      <c r="G173" s="982"/>
      <c r="H173" s="95"/>
      <c r="I173" s="1064"/>
      <c r="J173" s="622"/>
      <c r="K173" s="982"/>
      <c r="L173" s="622"/>
      <c r="M173" s="982"/>
      <c r="N173" s="622"/>
      <c r="O173" s="1063"/>
      <c r="P173" s="622"/>
      <c r="Q173" s="982"/>
      <c r="R173" s="861"/>
      <c r="T173" s="927"/>
      <c r="U173" s="999"/>
    </row>
    <row r="174" spans="1:42" s="224" customFormat="1" ht="15" customHeight="1" x14ac:dyDescent="0.25">
      <c r="A174" s="247">
        <v>45656</v>
      </c>
      <c r="B174" s="882" t="s">
        <v>81</v>
      </c>
      <c r="C174" s="879" t="s">
        <v>12</v>
      </c>
      <c r="D174" s="879" t="s">
        <v>1493</v>
      </c>
      <c r="E174" s="871" t="s">
        <v>13</v>
      </c>
      <c r="F174" s="780">
        <v>4.5</v>
      </c>
      <c r="G174" s="982"/>
      <c r="H174" s="622"/>
      <c r="I174" s="982"/>
      <c r="J174" s="622"/>
      <c r="K174" s="982"/>
      <c r="L174" s="622"/>
      <c r="M174" s="982"/>
      <c r="N174" s="622"/>
      <c r="O174" s="1063"/>
      <c r="P174" s="622"/>
      <c r="Q174" s="982"/>
      <c r="R174" s="1028"/>
      <c r="S174" s="959"/>
      <c r="T174" s="878"/>
      <c r="U174" s="958"/>
    </row>
    <row r="175" spans="1:42" s="224" customFormat="1" ht="15" customHeight="1" x14ac:dyDescent="0.25">
      <c r="A175" s="247">
        <v>45656</v>
      </c>
      <c r="B175" s="882" t="s">
        <v>6329</v>
      </c>
      <c r="C175" s="879" t="s">
        <v>12</v>
      </c>
      <c r="D175" s="879"/>
      <c r="E175" s="875" t="s">
        <v>25</v>
      </c>
      <c r="F175" s="780"/>
      <c r="G175" s="982">
        <v>100</v>
      </c>
      <c r="H175" s="1008"/>
      <c r="I175" s="1063"/>
      <c r="J175" s="613"/>
      <c r="K175" s="982"/>
      <c r="L175" s="622"/>
      <c r="M175" s="982"/>
      <c r="N175" s="622"/>
      <c r="O175" s="1063"/>
      <c r="P175" s="622"/>
      <c r="Q175" s="982"/>
      <c r="R175" s="861"/>
    </row>
    <row r="176" spans="1:42" s="224" customFormat="1" x14ac:dyDescent="0.25">
      <c r="A176" s="247">
        <v>45656</v>
      </c>
      <c r="B176" s="882" t="s">
        <v>3958</v>
      </c>
      <c r="C176" s="879" t="s">
        <v>12</v>
      </c>
      <c r="D176" s="879" t="s">
        <v>1489</v>
      </c>
      <c r="E176" s="871" t="s">
        <v>13</v>
      </c>
      <c r="F176" s="780">
        <v>23</v>
      </c>
      <c r="G176" s="982"/>
      <c r="H176" s="622"/>
      <c r="I176" s="982"/>
      <c r="J176" s="622"/>
      <c r="K176" s="982"/>
      <c r="L176" s="622"/>
      <c r="M176" s="982"/>
      <c r="N176" s="622"/>
      <c r="O176" s="1063"/>
      <c r="P176" s="622"/>
      <c r="Q176" s="982"/>
      <c r="R176" s="1028"/>
      <c r="S176" s="959"/>
      <c r="T176" s="878"/>
      <c r="U176" s="958"/>
    </row>
    <row r="177" spans="1:26" s="224" customFormat="1" x14ac:dyDescent="0.25">
      <c r="A177" s="247">
        <v>45656</v>
      </c>
      <c r="B177" s="882" t="s">
        <v>7144</v>
      </c>
      <c r="C177" s="879" t="s">
        <v>12</v>
      </c>
      <c r="D177" s="879" t="s">
        <v>6731</v>
      </c>
      <c r="E177" s="871" t="s">
        <v>13</v>
      </c>
      <c r="F177" s="780">
        <v>37</v>
      </c>
      <c r="G177" s="982"/>
      <c r="H177" s="622"/>
      <c r="I177" s="982"/>
      <c r="J177" s="622"/>
      <c r="K177" s="982"/>
      <c r="L177" s="622"/>
      <c r="M177" s="982"/>
      <c r="N177" s="622"/>
      <c r="O177" s="1063"/>
      <c r="P177" s="622"/>
      <c r="Q177" s="982"/>
      <c r="R177" s="1028"/>
      <c r="S177" s="959"/>
      <c r="T177" s="878"/>
      <c r="U177" s="958"/>
    </row>
    <row r="178" spans="1:26" s="224" customFormat="1" x14ac:dyDescent="0.25">
      <c r="A178" s="247">
        <v>45656</v>
      </c>
      <c r="B178" s="882" t="s">
        <v>7227</v>
      </c>
      <c r="C178" s="879" t="s">
        <v>12</v>
      </c>
      <c r="D178" s="879" t="s">
        <v>6731</v>
      </c>
      <c r="E178" s="871" t="s">
        <v>13</v>
      </c>
      <c r="F178" s="780">
        <v>15</v>
      </c>
      <c r="G178" s="982"/>
      <c r="H178" s="622"/>
      <c r="I178" s="982"/>
      <c r="J178" s="622"/>
      <c r="K178" s="982"/>
      <c r="L178" s="622"/>
      <c r="M178" s="982"/>
      <c r="N178" s="622"/>
      <c r="O178" s="1063"/>
      <c r="P178" s="622"/>
      <c r="Q178" s="982"/>
      <c r="R178" s="1028"/>
      <c r="S178" s="959"/>
      <c r="T178" s="878"/>
      <c r="U178" s="958"/>
    </row>
    <row r="179" spans="1:26" s="224" customFormat="1" ht="15" customHeight="1" x14ac:dyDescent="0.25">
      <c r="A179" s="247">
        <v>45656</v>
      </c>
      <c r="B179" s="882" t="s">
        <v>14</v>
      </c>
      <c r="C179" s="879" t="s">
        <v>12</v>
      </c>
      <c r="D179" s="879" t="s">
        <v>1486</v>
      </c>
      <c r="E179" s="871" t="s">
        <v>13</v>
      </c>
      <c r="F179" s="780">
        <v>7.41</v>
      </c>
      <c r="G179" s="982"/>
      <c r="H179" s="622"/>
      <c r="I179" s="982"/>
      <c r="J179" s="622"/>
      <c r="K179" s="982"/>
      <c r="L179" s="622"/>
      <c r="M179" s="982"/>
      <c r="N179" s="622"/>
      <c r="O179" s="1063"/>
      <c r="P179" s="622"/>
      <c r="Q179" s="982"/>
      <c r="R179" s="1028"/>
      <c r="S179" s="959"/>
      <c r="T179" s="878"/>
      <c r="U179" s="958"/>
    </row>
    <row r="180" spans="1:26" s="224" customFormat="1" ht="15" customHeight="1" x14ac:dyDescent="0.25">
      <c r="A180" s="247">
        <v>45657</v>
      </c>
      <c r="B180" s="882" t="s">
        <v>14</v>
      </c>
      <c r="C180" s="879" t="s">
        <v>12</v>
      </c>
      <c r="D180" s="879" t="s">
        <v>1486</v>
      </c>
      <c r="E180" s="871" t="s">
        <v>13</v>
      </c>
      <c r="F180" s="780">
        <v>7.63</v>
      </c>
      <c r="G180" s="982"/>
      <c r="H180" s="622"/>
      <c r="I180" s="982"/>
      <c r="J180" s="622"/>
      <c r="K180" s="982"/>
      <c r="L180" s="622"/>
      <c r="M180" s="982"/>
      <c r="N180" s="622"/>
      <c r="O180" s="1063"/>
      <c r="P180" s="622"/>
      <c r="Q180" s="982"/>
      <c r="R180" s="1028"/>
      <c r="S180" s="959"/>
      <c r="T180" s="878"/>
      <c r="U180" s="958"/>
    </row>
    <row r="181" spans="1:26" s="224" customFormat="1" ht="15" customHeight="1" x14ac:dyDescent="0.25">
      <c r="A181" s="247">
        <v>45657</v>
      </c>
      <c r="B181" s="882" t="s">
        <v>7228</v>
      </c>
      <c r="C181" s="879" t="s">
        <v>12</v>
      </c>
      <c r="D181" s="879" t="s">
        <v>1523</v>
      </c>
      <c r="E181" s="871" t="s">
        <v>13</v>
      </c>
      <c r="F181" s="780">
        <v>24</v>
      </c>
      <c r="G181" s="982"/>
      <c r="H181" s="622"/>
      <c r="I181" s="982"/>
      <c r="J181" s="622"/>
      <c r="K181" s="982"/>
      <c r="L181" s="622"/>
      <c r="M181" s="982"/>
      <c r="N181" s="622"/>
      <c r="O181" s="1063"/>
      <c r="P181" s="622"/>
      <c r="Q181" s="982"/>
      <c r="R181" s="1028"/>
      <c r="S181" s="959"/>
      <c r="T181" s="878"/>
      <c r="U181" s="958"/>
    </row>
    <row r="182" spans="1:26" s="224" customFormat="1" ht="15" customHeight="1" x14ac:dyDescent="0.25">
      <c r="A182" s="247">
        <v>45657</v>
      </c>
      <c r="B182" s="882" t="s">
        <v>7229</v>
      </c>
      <c r="C182" s="879" t="s">
        <v>12</v>
      </c>
      <c r="D182" s="879" t="s">
        <v>1523</v>
      </c>
      <c r="E182" s="871" t="s">
        <v>13</v>
      </c>
      <c r="F182" s="780">
        <v>280</v>
      </c>
      <c r="G182" s="982"/>
      <c r="H182" s="1008"/>
      <c r="I182" s="1063"/>
      <c r="J182" s="622"/>
      <c r="K182" s="982"/>
      <c r="L182" s="622"/>
      <c r="M182" s="982"/>
      <c r="N182" s="622"/>
      <c r="O182" s="1063"/>
      <c r="P182" s="622"/>
      <c r="Q182" s="982"/>
      <c r="R182" s="1028" t="s">
        <v>7355</v>
      </c>
      <c r="T182" s="1035"/>
    </row>
    <row r="183" spans="1:26" s="224" customFormat="1" ht="15" customHeight="1" thickBot="1" x14ac:dyDescent="0.3">
      <c r="A183" s="247">
        <v>45657</v>
      </c>
      <c r="B183" s="349" t="s">
        <v>6168</v>
      </c>
      <c r="C183" s="350" t="s">
        <v>12</v>
      </c>
      <c r="D183" s="350"/>
      <c r="E183" s="480" t="s">
        <v>25</v>
      </c>
      <c r="F183" s="780"/>
      <c r="G183" s="946"/>
      <c r="H183" s="95"/>
      <c r="I183" s="2096">
        <v>10.26</v>
      </c>
      <c r="J183" s="622"/>
      <c r="K183" s="2096"/>
      <c r="L183" s="622"/>
      <c r="M183" s="2556">
        <v>0.41</v>
      </c>
      <c r="N183" s="622"/>
      <c r="O183" s="2096">
        <v>40</v>
      </c>
      <c r="P183" s="622"/>
      <c r="Q183" s="982"/>
      <c r="R183" s="2585">
        <f>I183+M183+O183</f>
        <v>50.67</v>
      </c>
      <c r="T183" s="927"/>
      <c r="U183" s="999"/>
    </row>
    <row r="184" spans="1:26" ht="25.5" customHeight="1" thickBot="1" x14ac:dyDescent="0.3">
      <c r="A184" s="3060"/>
      <c r="B184" s="3061"/>
      <c r="C184" s="3062"/>
      <c r="D184" s="3062"/>
      <c r="E184" s="3062"/>
      <c r="F184" s="1023">
        <f>SUM(F6:F183)</f>
        <v>18253.080833333326</v>
      </c>
      <c r="G184" s="1065">
        <f>SUM(G5:G183)</f>
        <v>18305.275750000044</v>
      </c>
      <c r="H184" s="517">
        <f>SUM(H6:H183)</f>
        <v>0</v>
      </c>
      <c r="I184" s="93">
        <f>SUM(I5:I183)</f>
        <v>1510.2559999999989</v>
      </c>
      <c r="J184" s="517">
        <f>SUM(J6:J183)</f>
        <v>3089.65</v>
      </c>
      <c r="K184" s="93">
        <f>SUM(K5:K183)</f>
        <v>11689.740000000007</v>
      </c>
      <c r="L184" s="1023">
        <f>SUM(L6:L183)</f>
        <v>400</v>
      </c>
      <c r="M184" s="93">
        <f>SUM(M5:M183)</f>
        <v>1000.41</v>
      </c>
      <c r="N184" s="1023">
        <f>SUM(N6:N183)</f>
        <v>0</v>
      </c>
      <c r="O184" s="93">
        <f>SUM(O5:O183)</f>
        <v>9040.5700000000033</v>
      </c>
      <c r="P184" s="1023">
        <f>SUM(P6:P183)</f>
        <v>0</v>
      </c>
      <c r="Q184" s="93">
        <f>SUM(Q5:Q183)</f>
        <v>29469.825984720002</v>
      </c>
      <c r="S184" s="216"/>
    </row>
    <row r="185" spans="1:26" ht="25.5" customHeight="1" thickBot="1" x14ac:dyDescent="0.3">
      <c r="A185" s="3063" t="s">
        <v>49</v>
      </c>
      <c r="B185" s="3064"/>
      <c r="C185" s="3064"/>
      <c r="D185" s="3064"/>
      <c r="E185" s="3064"/>
      <c r="F185" s="2046" t="s">
        <v>280</v>
      </c>
      <c r="G185" s="1066">
        <f>G184-F184</f>
        <v>52.1949166667182</v>
      </c>
      <c r="H185" s="1221"/>
      <c r="I185" s="772">
        <f>I184-H184</f>
        <v>1510.2559999999989</v>
      </c>
      <c r="J185" s="1221"/>
      <c r="K185" s="772">
        <f>K184-J184</f>
        <v>8600.0900000000074</v>
      </c>
      <c r="L185" s="1222"/>
      <c r="M185" s="772">
        <f>M184-L184</f>
        <v>600.41</v>
      </c>
      <c r="N185" s="1222"/>
      <c r="O185" s="772">
        <f>O184-N184</f>
        <v>9040.5700000000033</v>
      </c>
      <c r="P185" s="1222"/>
      <c r="Q185" s="772">
        <f>Q184-P184</f>
        <v>29469.825984720002</v>
      </c>
      <c r="R185" s="484">
        <f>M185+O185+Q185</f>
        <v>39110.805984720006</v>
      </c>
    </row>
    <row r="186" spans="1:26" x14ac:dyDescent="0.25">
      <c r="J186" s="1210"/>
      <c r="K186" s="1038"/>
      <c r="M186" s="1238">
        <f>M185/R185</f>
        <v>1.5351511810689122E-2</v>
      </c>
      <c r="O186" s="1238">
        <f>O185/R185</f>
        <v>0.23115274084435938</v>
      </c>
      <c r="P186" s="1239"/>
      <c r="Q186" s="1239">
        <f>Q185/R185</f>
        <v>0.75349574734495151</v>
      </c>
      <c r="R186" s="867"/>
      <c r="S186" s="867"/>
      <c r="T186" s="79"/>
      <c r="W186" s="518"/>
      <c r="X186" s="216"/>
      <c r="Z186" s="877"/>
    </row>
    <row r="187" spans="1:26" x14ac:dyDescent="0.25">
      <c r="B187" s="81" t="s">
        <v>3</v>
      </c>
      <c r="C187" s="193" t="s">
        <v>1484</v>
      </c>
      <c r="D187" s="970" t="s">
        <v>2378</v>
      </c>
      <c r="E187" s="193" t="s">
        <v>3216</v>
      </c>
      <c r="F187" s="1061" t="s">
        <v>3217</v>
      </c>
      <c r="G187" s="216"/>
      <c r="I187" s="216"/>
      <c r="J187" s="1038"/>
      <c r="K187" s="216"/>
      <c r="M187" s="866"/>
      <c r="O187" s="866"/>
      <c r="P187" s="1038"/>
      <c r="Q187" s="1038"/>
      <c r="R187" s="865"/>
      <c r="S187" s="867"/>
    </row>
    <row r="188" spans="1:26" x14ac:dyDescent="0.25">
      <c r="B188" s="79" t="s">
        <v>32</v>
      </c>
      <c r="C188" s="85" t="s">
        <v>1485</v>
      </c>
      <c r="D188" s="475">
        <f>SUMIF($D$10:$D$183,C188,$F$10:$F$183)</f>
        <v>411.59</v>
      </c>
      <c r="E188" s="1202">
        <f t="shared" ref="E188:E204" si="0">D188/$K$208</f>
        <v>13.277096774193547</v>
      </c>
      <c r="F188" s="1203">
        <f t="shared" ref="F188:F204" si="1">E188/$E$209</f>
        <v>7.9303652314784576E-2</v>
      </c>
      <c r="G188" s="800"/>
      <c r="I188" s="769"/>
      <c r="J188" s="1038"/>
      <c r="K188" s="1225"/>
      <c r="M188" s="886"/>
      <c r="O188" s="886"/>
      <c r="P188" s="886"/>
      <c r="Q188" s="1038">
        <v>24197.98</v>
      </c>
      <c r="R188" s="1038" t="s">
        <v>6378</v>
      </c>
      <c r="S188" s="1210"/>
      <c r="U188" s="1201"/>
      <c r="V188" s="877"/>
    </row>
    <row r="189" spans="1:26" x14ac:dyDescent="0.25">
      <c r="B189" s="79" t="s">
        <v>2187</v>
      </c>
      <c r="C189" s="85" t="s">
        <v>2157</v>
      </c>
      <c r="D189" s="475">
        <f>SUMIF($D$10:$D$183,C189,$F$10:$F$183)</f>
        <v>0</v>
      </c>
      <c r="E189" s="1202">
        <f>D189/$K$208</f>
        <v>0</v>
      </c>
      <c r="F189" s="1203">
        <f t="shared" si="1"/>
        <v>0</v>
      </c>
      <c r="G189" s="609"/>
      <c r="J189" s="2125"/>
      <c r="K189" s="1129"/>
      <c r="M189" s="1210"/>
      <c r="O189" s="1038"/>
      <c r="P189" s="1210"/>
      <c r="Q189" s="1210">
        <f>Q185+Q188</f>
        <v>53667.805984720006</v>
      </c>
      <c r="R189" s="1038" t="s">
        <v>6379</v>
      </c>
      <c r="U189" s="877"/>
      <c r="V189" s="877"/>
    </row>
    <row r="190" spans="1:26" s="85" customFormat="1" x14ac:dyDescent="0.25">
      <c r="A190" s="79"/>
      <c r="B190" s="79" t="s">
        <v>50</v>
      </c>
      <c r="C190" s="85" t="s">
        <v>1493</v>
      </c>
      <c r="D190" s="475">
        <f>SUMIF($D$7:$D$183,C190,$F$7:$F$183)</f>
        <v>269.99</v>
      </c>
      <c r="E190" s="1202">
        <f t="shared" si="0"/>
        <v>8.7093548387096771</v>
      </c>
      <c r="F190" s="1203">
        <f t="shared" si="1"/>
        <v>5.2020683419103202E-2</v>
      </c>
      <c r="J190" s="1210"/>
      <c r="K190" s="1038"/>
      <c r="M190" s="941"/>
      <c r="N190" s="877"/>
      <c r="O190" s="863"/>
      <c r="Q190" s="79"/>
      <c r="R190" s="177"/>
      <c r="U190" s="877"/>
      <c r="V190" s="877"/>
    </row>
    <row r="191" spans="1:26" s="85" customFormat="1" x14ac:dyDescent="0.25">
      <c r="A191" s="79"/>
      <c r="B191" s="79" t="s">
        <v>14</v>
      </c>
      <c r="C191" s="85" t="s">
        <v>1486</v>
      </c>
      <c r="D191" s="475">
        <f>SUMIF($D$7:$D$183,C191,$F$7:$F$183)</f>
        <v>238.41999999999993</v>
      </c>
      <c r="E191" s="1202">
        <f t="shared" si="0"/>
        <v>7.6909677419354816</v>
      </c>
      <c r="F191" s="1203">
        <f t="shared" si="1"/>
        <v>4.5937891554437504E-2</v>
      </c>
      <c r="G191" s="79"/>
      <c r="H191" s="79"/>
      <c r="J191" s="1210"/>
      <c r="K191" s="1038"/>
      <c r="M191" s="1028"/>
      <c r="N191" s="877"/>
      <c r="O191" s="1038"/>
      <c r="R191" s="177"/>
      <c r="U191" s="877"/>
      <c r="V191" s="877"/>
    </row>
    <row r="192" spans="1:26" s="85" customFormat="1" x14ac:dyDescent="0.25">
      <c r="B192" s="79" t="s">
        <v>51</v>
      </c>
      <c r="C192" s="864" t="s">
        <v>1499</v>
      </c>
      <c r="D192" s="475">
        <f>SUMIF($D$10:$D$183,C192,$F$10:$F$183)</f>
        <v>180.45</v>
      </c>
      <c r="E192" s="1202">
        <f t="shared" si="0"/>
        <v>5.8209677419354833</v>
      </c>
      <c r="F192" s="1203">
        <f t="shared" si="1"/>
        <v>3.4768444471932933E-2</v>
      </c>
      <c r="G192" s="79"/>
      <c r="H192" s="79"/>
      <c r="I192" s="79"/>
      <c r="J192" s="1210"/>
      <c r="K192" s="1038"/>
      <c r="M192" s="1028"/>
      <c r="N192" s="877"/>
      <c r="O192" s="1038"/>
      <c r="P192" s="1210"/>
      <c r="Q192" s="1038"/>
      <c r="R192" s="177"/>
      <c r="U192" s="877"/>
      <c r="V192" s="877"/>
    </row>
    <row r="193" spans="1:22" s="85" customFormat="1" x14ac:dyDescent="0.25">
      <c r="A193" s="79"/>
      <c r="B193" s="79" t="s">
        <v>2189</v>
      </c>
      <c r="C193" s="864" t="s">
        <v>1496</v>
      </c>
      <c r="D193" s="475">
        <f>SUMIF($D$10:$D$183,C193,$F$10:$F$183)</f>
        <v>159.96</v>
      </c>
      <c r="E193" s="1202">
        <f t="shared" si="0"/>
        <v>5.16</v>
      </c>
      <c r="F193" s="1203">
        <f t="shared" si="1"/>
        <v>3.0820506388087518E-2</v>
      </c>
      <c r="G193" s="79"/>
      <c r="J193" s="1210"/>
      <c r="K193" s="1038"/>
      <c r="M193" s="877"/>
      <c r="O193" s="177"/>
      <c r="R193" s="177"/>
      <c r="U193" s="877"/>
      <c r="V193" s="877"/>
    </row>
    <row r="194" spans="1:22" s="85" customFormat="1" x14ac:dyDescent="0.25">
      <c r="A194" s="79"/>
      <c r="B194" s="867" t="s">
        <v>53</v>
      </c>
      <c r="C194" s="864" t="s">
        <v>1522</v>
      </c>
      <c r="D194" s="475">
        <f>SUMIF($D$10:$D$183,C194,$F$10:$F$183)</f>
        <v>284.22000000000003</v>
      </c>
      <c r="E194" s="1202">
        <f t="shared" si="0"/>
        <v>9.1683870967741949</v>
      </c>
      <c r="F194" s="1203">
        <f t="shared" si="1"/>
        <v>5.4762467652051984E-2</v>
      </c>
      <c r="J194" s="1210"/>
      <c r="K194" s="1038"/>
      <c r="M194" s="1959"/>
      <c r="O194" s="177"/>
      <c r="P194" s="868"/>
      <c r="Q194" s="769"/>
      <c r="R194" s="79"/>
      <c r="U194" s="877"/>
      <c r="V194" s="877"/>
    </row>
    <row r="195" spans="1:22" s="85" customFormat="1" x14ac:dyDescent="0.25">
      <c r="A195" s="79"/>
      <c r="B195" s="79" t="s">
        <v>3048</v>
      </c>
      <c r="C195" s="864" t="s">
        <v>1523</v>
      </c>
      <c r="D195" s="475">
        <f>SUMIF($D$10:$D$183,C195,$F$10:$F$183)</f>
        <v>409.8</v>
      </c>
      <c r="E195" s="1202">
        <f t="shared" si="0"/>
        <v>13.219354838709679</v>
      </c>
      <c r="F195" s="1203">
        <f t="shared" si="1"/>
        <v>7.8958761676908393E-2</v>
      </c>
      <c r="G195" s="866"/>
      <c r="J195" s="1210"/>
      <c r="K195" s="1038"/>
      <c r="M195" s="877"/>
      <c r="O195" s="177"/>
      <c r="P195" s="866"/>
      <c r="Q195" s="1210"/>
      <c r="R195" s="877"/>
      <c r="U195" s="877"/>
      <c r="V195" s="877"/>
    </row>
    <row r="196" spans="1:22" s="85" customFormat="1" x14ac:dyDescent="0.25">
      <c r="A196" s="79"/>
      <c r="B196" s="79" t="s">
        <v>1686</v>
      </c>
      <c r="C196" s="864" t="s">
        <v>1506</v>
      </c>
      <c r="D196" s="475">
        <f>SUMIF($D$7:$D$183,C196,$F$7:$F$183)</f>
        <v>269.99</v>
      </c>
      <c r="E196" s="1202">
        <f t="shared" si="0"/>
        <v>8.7093548387096771</v>
      </c>
      <c r="F196" s="1203">
        <f t="shared" si="1"/>
        <v>5.2020683419103202E-2</v>
      </c>
      <c r="G196" s="868"/>
      <c r="J196" s="1210"/>
      <c r="K196" s="1038"/>
      <c r="M196" s="877"/>
      <c r="O196" s="177"/>
      <c r="P196" s="1226"/>
      <c r="Q196" s="1129"/>
      <c r="R196" s="877"/>
      <c r="U196" s="877"/>
      <c r="V196" s="877"/>
    </row>
    <row r="197" spans="1:22" x14ac:dyDescent="0.25">
      <c r="B197" s="79" t="s">
        <v>418</v>
      </c>
      <c r="C197" s="85" t="s">
        <v>1524</v>
      </c>
      <c r="D197" s="475">
        <f t="shared" ref="D197:D203" si="2">SUMIF($D$10:$D$183,C197,$F$10:$F$183)</f>
        <v>3089.9641666666666</v>
      </c>
      <c r="E197" s="1202">
        <f t="shared" si="0"/>
        <v>99.676263440860211</v>
      </c>
      <c r="F197" s="1203">
        <f t="shared" si="1"/>
        <v>0.59536296785266019</v>
      </c>
      <c r="G197" s="85"/>
      <c r="H197" s="85"/>
      <c r="I197" s="85"/>
      <c r="J197" s="1210"/>
      <c r="K197" s="1038"/>
      <c r="L197" s="769"/>
      <c r="M197" s="877"/>
      <c r="N197" s="769"/>
      <c r="O197" s="216"/>
      <c r="P197" s="1038"/>
      <c r="Q197" s="1226"/>
      <c r="R197" s="877"/>
      <c r="U197" s="877"/>
      <c r="V197" s="877"/>
    </row>
    <row r="198" spans="1:22" x14ac:dyDescent="0.25">
      <c r="B198" s="79" t="s">
        <v>6732</v>
      </c>
      <c r="C198" s="85" t="s">
        <v>1491</v>
      </c>
      <c r="D198" s="475">
        <f t="shared" si="2"/>
        <v>1408.99</v>
      </c>
      <c r="E198" s="1202">
        <f t="shared" si="0"/>
        <v>45.451290322580647</v>
      </c>
      <c r="F198" s="1203">
        <f t="shared" si="1"/>
        <v>0.27147902785541028</v>
      </c>
      <c r="I198" s="85"/>
      <c r="J198" s="1210"/>
      <c r="K198" s="1038"/>
      <c r="N198" s="216"/>
      <c r="O198" s="216"/>
      <c r="Q198" s="484"/>
      <c r="R198" s="877"/>
      <c r="U198" s="877"/>
      <c r="V198" s="877"/>
    </row>
    <row r="199" spans="1:22" x14ac:dyDescent="0.25">
      <c r="B199" s="79" t="s">
        <v>6733</v>
      </c>
      <c r="C199" s="85" t="s">
        <v>6731</v>
      </c>
      <c r="D199" s="475">
        <f t="shared" si="2"/>
        <v>296.75</v>
      </c>
      <c r="E199" s="1202">
        <f t="shared" si="0"/>
        <v>9.57258064516129</v>
      </c>
      <c r="F199" s="1203">
        <f t="shared" si="1"/>
        <v>5.7176702117185361E-2</v>
      </c>
      <c r="I199" s="85"/>
      <c r="J199" s="1210"/>
      <c r="K199" s="1038"/>
      <c r="N199" s="216"/>
      <c r="O199" s="216"/>
      <c r="Q199" s="484"/>
      <c r="R199" s="877"/>
      <c r="U199" s="877"/>
      <c r="V199" s="877"/>
    </row>
    <row r="200" spans="1:22" x14ac:dyDescent="0.25">
      <c r="B200" s="79" t="s">
        <v>911</v>
      </c>
      <c r="C200" s="85" t="s">
        <v>1525</v>
      </c>
      <c r="D200" s="475">
        <f t="shared" si="2"/>
        <v>893.73</v>
      </c>
      <c r="E200" s="1202">
        <f t="shared" si="0"/>
        <v>28.830000000000002</v>
      </c>
      <c r="F200" s="1203">
        <f t="shared" si="1"/>
        <v>0.17220061999390759</v>
      </c>
      <c r="J200" s="1210"/>
      <c r="K200" s="1038"/>
      <c r="O200" s="216"/>
      <c r="Q200" s="484"/>
      <c r="R200" s="1673"/>
      <c r="U200" s="877"/>
      <c r="V200" s="877"/>
    </row>
    <row r="201" spans="1:22" x14ac:dyDescent="0.25">
      <c r="B201" s="79" t="s">
        <v>1526</v>
      </c>
      <c r="C201" s="85" t="s">
        <v>1504</v>
      </c>
      <c r="D201" s="475">
        <f t="shared" si="2"/>
        <v>234.80666666666667</v>
      </c>
      <c r="E201" s="1202">
        <f t="shared" si="0"/>
        <v>7.5744086021505375</v>
      </c>
      <c r="F201" s="1203">
        <f t="shared" si="1"/>
        <v>4.5241687734218154E-2</v>
      </c>
      <c r="J201" s="1210"/>
      <c r="K201" s="1038"/>
      <c r="L201" s="769"/>
      <c r="N201" s="769"/>
      <c r="O201" s="886"/>
      <c r="P201" s="1210"/>
      <c r="Q201" s="1038"/>
      <c r="R201" s="1129"/>
      <c r="T201" s="1129"/>
      <c r="U201" s="877"/>
      <c r="V201" s="877"/>
    </row>
    <row r="202" spans="1:22" x14ac:dyDescent="0.25">
      <c r="B202" s="79" t="s">
        <v>2343</v>
      </c>
      <c r="C202" s="85" t="s">
        <v>2315</v>
      </c>
      <c r="D202" s="475">
        <f t="shared" si="2"/>
        <v>0</v>
      </c>
      <c r="E202" s="1202">
        <f t="shared" si="0"/>
        <v>0</v>
      </c>
      <c r="F202" s="1203">
        <f t="shared" si="1"/>
        <v>0</v>
      </c>
      <c r="J202" s="1210"/>
      <c r="K202" s="1038"/>
      <c r="L202" s="769"/>
      <c r="M202" s="1210"/>
      <c r="N202" s="769"/>
      <c r="O202" s="1673"/>
      <c r="P202" s="1210"/>
      <c r="Q202" s="1038"/>
      <c r="R202" s="1129"/>
      <c r="T202" s="1129"/>
      <c r="U202" s="877"/>
      <c r="V202" s="877"/>
    </row>
    <row r="203" spans="1:22" x14ac:dyDescent="0.25">
      <c r="B203" s="79" t="s">
        <v>3019</v>
      </c>
      <c r="C203" s="85" t="s">
        <v>3017</v>
      </c>
      <c r="D203" s="796">
        <f t="shared" si="2"/>
        <v>0</v>
      </c>
      <c r="E203" s="1202">
        <f t="shared" si="0"/>
        <v>0</v>
      </c>
      <c r="F203" s="1203">
        <f t="shared" si="1"/>
        <v>0</v>
      </c>
      <c r="J203" s="1210"/>
      <c r="K203" s="1038"/>
      <c r="L203" s="769"/>
      <c r="N203" s="769"/>
      <c r="P203" s="941"/>
      <c r="Q203" s="224"/>
      <c r="R203" s="1226"/>
      <c r="S203" s="1129"/>
      <c r="T203" s="1129"/>
      <c r="U203" s="877"/>
      <c r="V203" s="877"/>
    </row>
    <row r="204" spans="1:22" ht="15.75" thickBot="1" x14ac:dyDescent="0.3">
      <c r="B204" s="301" t="s">
        <v>1527</v>
      </c>
      <c r="C204" s="2400" t="s">
        <v>1489</v>
      </c>
      <c r="D204" s="2401">
        <f>SUMIF($D$7:$D$183,C204,$F$7:$F$183)</f>
        <v>1147.22</v>
      </c>
      <c r="E204" s="2402">
        <f t="shared" si="0"/>
        <v>37.007096774193549</v>
      </c>
      <c r="F204" s="2403">
        <f t="shared" si="1"/>
        <v>0.22104214390186147</v>
      </c>
      <c r="J204" s="1210"/>
      <c r="K204" s="1038"/>
      <c r="P204" s="1210"/>
      <c r="Q204" s="1038"/>
      <c r="R204" s="1226"/>
      <c r="S204" s="1129"/>
      <c r="T204" s="1129"/>
      <c r="U204" s="877"/>
      <c r="V204" s="877"/>
    </row>
    <row r="205" spans="1:22" x14ac:dyDescent="0.25">
      <c r="B205" s="1124" t="s">
        <v>6790</v>
      </c>
      <c r="C205" s="1124"/>
      <c r="D205" s="1125">
        <f>SUMIF($B$9:$B$183,"Crédito Gasolina",$G$9:$G$183)</f>
        <v>475.2</v>
      </c>
      <c r="E205" s="1138">
        <f>D205/K208</f>
        <v>15.329032258064515</v>
      </c>
      <c r="F205" s="1124"/>
      <c r="J205" s="2037"/>
      <c r="K205" s="629"/>
      <c r="P205" s="1210"/>
      <c r="Q205" s="1038"/>
      <c r="R205" s="1227"/>
      <c r="S205" s="1129"/>
      <c r="T205" s="1129"/>
      <c r="U205" s="877"/>
      <c r="V205" s="877"/>
    </row>
    <row r="206" spans="1:22" x14ac:dyDescent="0.25">
      <c r="B206" s="1124" t="s">
        <v>6918</v>
      </c>
      <c r="C206" s="1124"/>
      <c r="D206" s="1125">
        <f>SUMIF($B$10:$B$183,"Trabalho Art frutt",$G$10:$G$183)</f>
        <v>500</v>
      </c>
      <c r="E206" s="1138">
        <f>D206/K208</f>
        <v>16.129032258064516</v>
      </c>
      <c r="F206" s="1124"/>
      <c r="J206" s="2037"/>
      <c r="K206" s="629"/>
      <c r="L206" s="459" t="s">
        <v>6481</v>
      </c>
      <c r="M206" s="2125" t="s">
        <v>6482</v>
      </c>
      <c r="P206" s="1210"/>
      <c r="Q206" s="1038"/>
      <c r="R206" s="1227"/>
      <c r="S206" s="1129"/>
      <c r="T206" s="1129"/>
      <c r="U206" s="877"/>
      <c r="V206" s="877"/>
    </row>
    <row r="207" spans="1:22" x14ac:dyDescent="0.25">
      <c r="B207" s="1124"/>
      <c r="C207" s="1124"/>
      <c r="D207" s="1125"/>
      <c r="E207" s="1138"/>
      <c r="F207" s="1124"/>
      <c r="J207" s="2037"/>
      <c r="K207" s="629"/>
      <c r="L207" s="459"/>
      <c r="M207" s="2125"/>
      <c r="P207" s="1210"/>
      <c r="Q207" s="1038"/>
      <c r="R207" s="1227"/>
      <c r="S207" s="1129"/>
      <c r="T207" s="1129"/>
      <c r="U207" s="877"/>
      <c r="V207" s="877"/>
    </row>
    <row r="208" spans="1:22" x14ac:dyDescent="0.25">
      <c r="C208" s="3168" t="s">
        <v>486</v>
      </c>
      <c r="D208" s="3168"/>
      <c r="E208" s="863">
        <f>J208/K208</f>
        <v>299.86712365591399</v>
      </c>
      <c r="G208" s="518" t="s">
        <v>487</v>
      </c>
      <c r="J208" s="629">
        <f>SUM(D188:D204)</f>
        <v>9295.8808333333327</v>
      </c>
      <c r="K208" s="1517">
        <v>31</v>
      </c>
      <c r="L208" s="484">
        <f>5022.63+D206-J209</f>
        <v>-683.28666666666595</v>
      </c>
      <c r="N208" s="216"/>
      <c r="O208" s="1517"/>
      <c r="P208" s="1210"/>
      <c r="Q208" s="1038"/>
      <c r="R208" s="1226"/>
      <c r="S208" s="1129"/>
      <c r="T208" s="1129"/>
      <c r="U208" s="877"/>
      <c r="V208" s="877"/>
    </row>
    <row r="209" spans="1:24" ht="15.75" customHeight="1" x14ac:dyDescent="0.25">
      <c r="B209" s="3167" t="s">
        <v>6752</v>
      </c>
      <c r="C209" s="3167"/>
      <c r="D209" s="3167"/>
      <c r="E209" s="1125">
        <f>5022.63/30</f>
        <v>167.42099999999999</v>
      </c>
      <c r="G209" s="518" t="s">
        <v>6257</v>
      </c>
      <c r="J209" s="609">
        <f>J208-D197</f>
        <v>6205.9166666666661</v>
      </c>
      <c r="K209" s="629"/>
      <c r="M209" s="868"/>
      <c r="O209" s="868"/>
      <c r="P209" s="1210"/>
      <c r="Q209" s="1038"/>
      <c r="R209" s="1226"/>
      <c r="S209" s="1129"/>
      <c r="T209" s="1129"/>
      <c r="U209" s="877"/>
      <c r="V209" s="877"/>
    </row>
    <row r="210" spans="1:24" x14ac:dyDescent="0.25">
      <c r="A210" s="518"/>
      <c r="C210" s="79"/>
      <c r="D210" s="79"/>
      <c r="E210" s="769"/>
      <c r="F210" s="866"/>
      <c r="G210" s="769"/>
      <c r="H210" s="866"/>
      <c r="I210" s="1210"/>
      <c r="J210" s="867"/>
      <c r="K210" s="866"/>
      <c r="L210" s="1038"/>
      <c r="M210" s="1210"/>
      <c r="N210" s="1038"/>
      <c r="O210" s="1210"/>
      <c r="P210" s="1210"/>
      <c r="Q210" s="1038"/>
      <c r="R210" s="769"/>
      <c r="S210" s="484" t="s">
        <v>280</v>
      </c>
      <c r="T210" s="216"/>
      <c r="U210" s="866"/>
      <c r="V210" s="484"/>
      <c r="X210" s="877"/>
    </row>
    <row r="211" spans="1:24" s="518" customFormat="1" x14ac:dyDescent="0.25">
      <c r="A211" s="79"/>
      <c r="B211" s="79"/>
      <c r="C211" s="79"/>
      <c r="D211" s="79"/>
      <c r="E211" s="1126">
        <f>E209-E208</f>
        <v>-132.44612365591399</v>
      </c>
      <c r="F211" s="1205">
        <f>SUM(F188:F210)</f>
        <v>1.7910962403516524</v>
      </c>
      <c r="G211" s="85"/>
      <c r="H211" s="85"/>
      <c r="I211" s="89"/>
      <c r="J211" s="1210"/>
      <c r="K211" s="754"/>
      <c r="L211" s="79"/>
      <c r="M211" s="79"/>
      <c r="N211" s="79"/>
      <c r="O211" s="79"/>
      <c r="P211" s="1210"/>
      <c r="Q211" s="1038"/>
      <c r="R211" s="79"/>
      <c r="S211" s="79"/>
      <c r="T211" s="866"/>
      <c r="U211" s="484"/>
      <c r="V211" s="79"/>
      <c r="W211" s="877"/>
      <c r="X211" s="79"/>
    </row>
    <row r="212" spans="1:24" s="518" customFormat="1" x14ac:dyDescent="0.25">
      <c r="A212" s="79"/>
      <c r="B212" s="79"/>
      <c r="C212" s="79"/>
      <c r="D212" s="79"/>
      <c r="E212" s="85"/>
      <c r="J212" s="1038"/>
      <c r="K212" s="1225"/>
      <c r="Q212" s="1038"/>
      <c r="R212" s="484"/>
      <c r="S212" s="79"/>
      <c r="T212" s="877"/>
      <c r="U212" s="79"/>
    </row>
    <row r="213" spans="1:24" s="518" customFormat="1" x14ac:dyDescent="0.25">
      <c r="A213" s="79"/>
      <c r="B213" s="1124" t="s">
        <v>6376</v>
      </c>
      <c r="C213" s="2125"/>
      <c r="D213" s="2219">
        <f>SUMIF($E$7:$E$183,"crédito",$G$7:$G$183)</f>
        <v>13604.29</v>
      </c>
      <c r="E213" s="85"/>
      <c r="F213" s="89"/>
      <c r="G213" s="79"/>
      <c r="H213" s="79"/>
      <c r="I213" s="79"/>
      <c r="J213" s="1038"/>
      <c r="K213" s="1225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4" s="518" customFormat="1" x14ac:dyDescent="0.25">
      <c r="A214" s="79"/>
      <c r="B214" s="518" t="s">
        <v>6496</v>
      </c>
      <c r="C214" s="459"/>
      <c r="D214" s="2218">
        <f>SUM(D188:D204)-D197</f>
        <v>6205.9166666666661</v>
      </c>
      <c r="E214" s="85"/>
      <c r="F214" s="89"/>
      <c r="G214" s="79"/>
      <c r="H214" s="79"/>
      <c r="I214" s="216"/>
      <c r="J214" s="864"/>
      <c r="K214" s="877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4" s="518" customFormat="1" x14ac:dyDescent="0.25">
      <c r="A215" s="79"/>
      <c r="B215" s="81" t="s">
        <v>6497</v>
      </c>
      <c r="C215" s="81"/>
      <c r="D215" s="1014">
        <f>D213-D214</f>
        <v>7398.3733333333348</v>
      </c>
      <c r="E215" s="79"/>
      <c r="F215" s="79"/>
      <c r="G215" s="79"/>
      <c r="H215" s="79"/>
      <c r="J215" s="1038"/>
      <c r="K215" s="877"/>
      <c r="M215" s="866"/>
      <c r="O215" s="866"/>
      <c r="P215" s="1210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1038"/>
      <c r="K216" s="877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79"/>
      <c r="C217" s="79"/>
      <c r="D217" s="79"/>
      <c r="E217" s="79"/>
      <c r="F217" s="79"/>
      <c r="G217" s="216"/>
      <c r="H217" s="79"/>
      <c r="I217" s="216"/>
      <c r="J217" s="1038"/>
      <c r="K217" s="877"/>
      <c r="L217" s="769"/>
      <c r="M217" s="868"/>
      <c r="N217" s="769"/>
      <c r="O217" s="868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79"/>
      <c r="C218" s="79"/>
      <c r="D218" s="79"/>
      <c r="E218" s="79"/>
      <c r="F218" s="79"/>
      <c r="G218" s="216"/>
      <c r="H218" s="79"/>
      <c r="I218" s="216"/>
      <c r="J218" s="79"/>
      <c r="K218" s="877"/>
      <c r="L218" s="769"/>
      <c r="M218" s="866"/>
      <c r="N218" s="769"/>
      <c r="O218" s="866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79"/>
      <c r="D219" s="79"/>
      <c r="E219" s="79"/>
      <c r="F219" s="79"/>
      <c r="G219" s="216"/>
      <c r="H219" s="79"/>
      <c r="I219" s="79"/>
      <c r="J219" s="85"/>
      <c r="K219" s="877"/>
      <c r="L219" s="770"/>
      <c r="M219" s="866"/>
      <c r="N219" s="770"/>
      <c r="O219" s="866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216"/>
      <c r="J220" s="1038"/>
      <c r="K220" s="877"/>
      <c r="L220" s="769"/>
      <c r="M220" s="868"/>
      <c r="N220" s="769"/>
      <c r="O220" s="868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85"/>
      <c r="K221" s="877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629"/>
      <c r="J222" s="769"/>
      <c r="K222" s="1225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9"/>
      <c r="K223" s="79"/>
      <c r="L223" s="769"/>
      <c r="M223" s="866"/>
      <c r="N223" s="769"/>
      <c r="O223" s="866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9"/>
      <c r="K224" s="79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868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69"/>
      <c r="K226" s="868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69"/>
      <c r="K227" s="79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79"/>
      <c r="K228" s="79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79"/>
      <c r="K229" s="79"/>
      <c r="L229" s="769"/>
      <c r="M229" s="866"/>
      <c r="N229" s="769"/>
      <c r="O229" s="866"/>
      <c r="P229" s="1210"/>
      <c r="Q229" s="103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1517"/>
      <c r="K230" s="79"/>
      <c r="L230" s="769"/>
      <c r="M230" s="866"/>
      <c r="N230" s="769"/>
      <c r="O230" s="86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79"/>
      <c r="K231" s="868"/>
      <c r="L231" s="769"/>
      <c r="M231" s="866"/>
      <c r="N231" s="769"/>
      <c r="O231" s="86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J232" s="89"/>
      <c r="K232" s="79"/>
      <c r="L232" s="769"/>
      <c r="M232" s="868"/>
      <c r="N232" s="769"/>
      <c r="O232" s="868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J233" s="79"/>
      <c r="K233" s="79"/>
      <c r="L233" s="769"/>
      <c r="M233" s="868"/>
      <c r="N233" s="769"/>
      <c r="O233" s="868"/>
      <c r="P233" s="81"/>
      <c r="Q233" s="755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L234" s="769"/>
      <c r="M234" s="868"/>
      <c r="N234" s="769"/>
      <c r="O234" s="868"/>
      <c r="P234" s="868"/>
      <c r="Q234" s="79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J235" s="769"/>
      <c r="K235" s="866"/>
      <c r="L235" s="769"/>
      <c r="M235" s="868"/>
      <c r="N235" s="769"/>
      <c r="O235" s="868"/>
      <c r="P235" s="754"/>
      <c r="Q235" s="886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216"/>
      <c r="J236" s="769"/>
      <c r="K236" s="866"/>
      <c r="L236" s="769"/>
      <c r="M236" s="868"/>
      <c r="N236" s="769"/>
      <c r="O236" s="868"/>
      <c r="P236" s="864"/>
      <c r="Q236" s="864"/>
      <c r="R236" s="484"/>
      <c r="S236" s="79"/>
      <c r="T236" s="877"/>
      <c r="U236" s="79"/>
    </row>
    <row r="237" spans="1:21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K237" s="866"/>
      <c r="L237" s="769"/>
      <c r="M237" s="866"/>
      <c r="N237" s="769"/>
      <c r="O237" s="866"/>
      <c r="P237" s="864"/>
      <c r="Q237" s="1032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69"/>
      <c r="K238" s="866"/>
      <c r="L238" s="769"/>
      <c r="M238" s="866"/>
      <c r="N238" s="769"/>
      <c r="O238" s="866"/>
      <c r="P238" s="864"/>
      <c r="Q238" s="1032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8"/>
      <c r="L239" s="769"/>
      <c r="M239" s="868"/>
      <c r="N239" s="769"/>
      <c r="O239" s="868"/>
      <c r="P239" s="85"/>
      <c r="Q239" s="795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69"/>
      <c r="K240" s="866"/>
      <c r="L240" s="769"/>
      <c r="M240" s="866"/>
      <c r="N240" s="769"/>
      <c r="O240" s="866"/>
      <c r="P240" s="85"/>
      <c r="Q240" s="177"/>
      <c r="R240" s="484"/>
      <c r="S240" s="79"/>
      <c r="T240" s="877"/>
      <c r="U240" s="79"/>
    </row>
    <row r="241" spans="1:21" s="518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70"/>
      <c r="K241" s="866"/>
      <c r="L241" s="769"/>
      <c r="M241" s="866"/>
      <c r="N241" s="769"/>
      <c r="O241" s="866"/>
      <c r="P241" s="85"/>
      <c r="Q241" s="177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69"/>
      <c r="M242" s="868"/>
      <c r="N242" s="769"/>
      <c r="O242" s="868"/>
      <c r="P242" s="85"/>
      <c r="Q242" s="177" t="s">
        <v>280</v>
      </c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69"/>
      <c r="M243" s="868"/>
      <c r="N243" s="769"/>
      <c r="O243" s="868"/>
      <c r="P243" s="85"/>
      <c r="Q243" s="177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69"/>
      <c r="M244" s="868"/>
      <c r="N244" s="769"/>
      <c r="O244" s="868"/>
      <c r="P244" s="85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69"/>
      <c r="M245" s="868"/>
      <c r="N245" s="769"/>
      <c r="O245" s="868"/>
      <c r="P245" s="769"/>
      <c r="Q245" s="21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769"/>
      <c r="M246" s="866"/>
      <c r="N246" s="769"/>
      <c r="O246" s="866"/>
      <c r="P246" s="79"/>
      <c r="Q246" s="21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223"/>
      <c r="M247" s="629"/>
      <c r="N247" s="223"/>
      <c r="O247" s="629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56"/>
      <c r="M248" s="756"/>
      <c r="N248" s="756"/>
      <c r="O248" s="756"/>
      <c r="P248" s="769"/>
      <c r="Q248" s="868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69"/>
      <c r="Q249" s="868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69"/>
      <c r="Q250" s="79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9"/>
      <c r="M251" s="79"/>
      <c r="N251" s="79"/>
      <c r="O251" s="79"/>
      <c r="P251" s="79"/>
      <c r="Q251" s="79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79"/>
      <c r="M252" s="79"/>
      <c r="N252" s="79"/>
      <c r="O252" s="79"/>
      <c r="P252" s="79"/>
      <c r="Q252" s="79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85"/>
      <c r="M253" s="85"/>
      <c r="N253" s="85"/>
      <c r="O253" s="85"/>
      <c r="P253" s="1517"/>
      <c r="Q253" s="79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8"/>
      <c r="L254" s="79"/>
      <c r="M254" s="79"/>
      <c r="N254" s="79"/>
      <c r="O254" s="79"/>
      <c r="P254" s="79"/>
      <c r="Q254" s="868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9"/>
      <c r="M255" s="79"/>
      <c r="N255" s="79"/>
      <c r="O255" s="79"/>
      <c r="P255" s="89"/>
      <c r="Q255" s="79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79"/>
      <c r="Q256" s="79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6"/>
      <c r="L259" s="79"/>
      <c r="M259" s="79"/>
      <c r="N259" s="79"/>
      <c r="O259" s="79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85"/>
      <c r="M260" s="85"/>
      <c r="N260" s="85"/>
      <c r="O260" s="85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8"/>
      <c r="L261" s="79"/>
      <c r="M261" s="79"/>
      <c r="N261" s="79"/>
      <c r="O261" s="79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9"/>
      <c r="M262" s="79"/>
      <c r="N262" s="79"/>
      <c r="O262" s="79"/>
      <c r="P262" s="769"/>
      <c r="Q262" s="868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79"/>
      <c r="M263" s="79"/>
      <c r="N263" s="79"/>
      <c r="O263" s="79"/>
      <c r="P263" s="769"/>
      <c r="Q263" s="866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8"/>
      <c r="L264" s="79"/>
      <c r="M264" s="79"/>
      <c r="N264" s="79"/>
      <c r="O264" s="79"/>
      <c r="P264" s="770"/>
      <c r="Q264" s="866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8"/>
      <c r="L265" s="79"/>
      <c r="M265" s="79"/>
      <c r="N265" s="79"/>
      <c r="O265" s="79"/>
      <c r="P265" s="769"/>
      <c r="Q265" s="868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8"/>
      <c r="L266" s="79"/>
      <c r="M266" s="79"/>
      <c r="N266" s="79"/>
      <c r="O266" s="79"/>
      <c r="P266" s="769"/>
      <c r="Q266" s="866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8"/>
      <c r="L267" s="771"/>
      <c r="N267" s="771"/>
      <c r="P267" s="769"/>
      <c r="Q267" s="866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6"/>
      <c r="L268" s="79"/>
      <c r="M268" s="79"/>
      <c r="N268" s="79"/>
      <c r="O268" s="79"/>
      <c r="P268" s="769"/>
      <c r="Q268" s="866"/>
      <c r="R268" s="484"/>
      <c r="S268" s="79"/>
      <c r="T268" s="877"/>
      <c r="U268" s="79"/>
    </row>
    <row r="269" spans="1:21" x14ac:dyDescent="0.25">
      <c r="J269" s="223"/>
      <c r="K269" s="629"/>
      <c r="P269" s="769"/>
      <c r="Q269" s="866"/>
    </row>
    <row r="270" spans="1:21" x14ac:dyDescent="0.25">
      <c r="J270" s="756"/>
      <c r="K270" s="756"/>
      <c r="P270" s="769"/>
      <c r="Q270" s="866"/>
    </row>
    <row r="271" spans="1:21" x14ac:dyDescent="0.25">
      <c r="P271" s="769"/>
      <c r="Q271" s="866"/>
    </row>
    <row r="272" spans="1:21" x14ac:dyDescent="0.25">
      <c r="P272" s="769"/>
      <c r="Q272" s="866"/>
    </row>
    <row r="273" spans="1:21" x14ac:dyDescent="0.25">
      <c r="P273" s="769"/>
      <c r="Q273" s="866"/>
    </row>
    <row r="274" spans="1:21" x14ac:dyDescent="0.25">
      <c r="P274" s="769"/>
      <c r="Q274" s="866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85"/>
      <c r="K275" s="85"/>
      <c r="L275" s="79"/>
      <c r="M275" s="216"/>
      <c r="N275" s="79"/>
      <c r="O275" s="216"/>
      <c r="P275" s="769"/>
      <c r="Q275" s="866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6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69"/>
      <c r="Q277" s="868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69"/>
      <c r="Q278" s="868"/>
      <c r="R278" s="484"/>
      <c r="S278" s="79"/>
      <c r="T278" s="877"/>
      <c r="U278" s="79"/>
    </row>
    <row r="279" spans="1:21" x14ac:dyDescent="0.25">
      <c r="P279" s="769"/>
      <c r="Q279" s="868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69"/>
      <c r="Q280" s="868"/>
      <c r="R280" s="484"/>
      <c r="S280" s="79"/>
      <c r="T280" s="877"/>
      <c r="U280" s="79"/>
    </row>
    <row r="281" spans="1:21" x14ac:dyDescent="0.25">
      <c r="P281" s="769"/>
      <c r="Q281" s="868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85"/>
      <c r="K282" s="85"/>
      <c r="L282" s="79"/>
      <c r="M282" s="629"/>
      <c r="N282" s="79"/>
      <c r="O282" s="629"/>
      <c r="P282" s="769"/>
      <c r="Q282" s="866"/>
      <c r="R282" s="484"/>
      <c r="S282" s="79"/>
      <c r="T282" s="877"/>
      <c r="U282" s="79"/>
    </row>
    <row r="283" spans="1:21" x14ac:dyDescent="0.25">
      <c r="P283" s="769"/>
      <c r="Q283" s="866"/>
    </row>
    <row r="284" spans="1:21" x14ac:dyDescent="0.25">
      <c r="P284" s="769"/>
      <c r="Q284" s="868"/>
    </row>
    <row r="285" spans="1:21" x14ac:dyDescent="0.25">
      <c r="P285" s="769"/>
      <c r="Q285" s="866"/>
    </row>
    <row r="286" spans="1:21" x14ac:dyDescent="0.25">
      <c r="P286" s="769"/>
      <c r="Q286" s="866"/>
    </row>
    <row r="287" spans="1:21" x14ac:dyDescent="0.25">
      <c r="P287" s="769"/>
      <c r="Q287" s="868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216"/>
      <c r="N288" s="79"/>
      <c r="O288" s="216"/>
      <c r="P288" s="769"/>
      <c r="Q288" s="868"/>
      <c r="R288" s="484"/>
      <c r="S288" s="79"/>
      <c r="T288" s="877"/>
      <c r="U288" s="79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71"/>
      <c r="L289" s="79"/>
      <c r="M289" s="216"/>
      <c r="N289" s="79"/>
      <c r="O289" s="216"/>
      <c r="P289" s="769"/>
      <c r="Q289" s="868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769"/>
      <c r="Q290" s="868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6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223"/>
      <c r="Q292" s="629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56"/>
      <c r="Q293" s="756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9"/>
      <c r="Q294" s="79"/>
      <c r="R294" s="484"/>
      <c r="S294" s="79"/>
      <c r="T294" s="877"/>
      <c r="U294" s="79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216"/>
      <c r="N295" s="79"/>
      <c r="O295" s="216"/>
      <c r="P295" s="79"/>
      <c r="Q295" s="79"/>
      <c r="R295" s="484"/>
      <c r="S295" s="79"/>
      <c r="T295" s="877"/>
      <c r="U295" s="79"/>
    </row>
    <row r="296" spans="1:21" s="518" customFormat="1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216"/>
      <c r="N296" s="79"/>
      <c r="O296" s="216"/>
      <c r="P296" s="79"/>
      <c r="Q296" s="79"/>
      <c r="R296" s="484"/>
      <c r="S296" s="79"/>
      <c r="T296" s="877"/>
      <c r="U296" s="79"/>
    </row>
    <row r="297" spans="1:21" x14ac:dyDescent="0.25">
      <c r="K297" s="216"/>
    </row>
    <row r="298" spans="1:21" x14ac:dyDescent="0.25">
      <c r="K298" s="216"/>
      <c r="P298" s="85"/>
      <c r="Q298" s="85"/>
    </row>
    <row r="299" spans="1:21" x14ac:dyDescent="0.25">
      <c r="K299" s="216"/>
    </row>
    <row r="300" spans="1:21" x14ac:dyDescent="0.25">
      <c r="K300" s="216"/>
    </row>
    <row r="302" spans="1:21" x14ac:dyDescent="0.25">
      <c r="K302" s="216"/>
    </row>
    <row r="304" spans="1:21" x14ac:dyDescent="0.25">
      <c r="K304" s="629"/>
    </row>
    <row r="305" spans="1:42" x14ac:dyDescent="0.25">
      <c r="P305" s="85"/>
      <c r="Q305" s="85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216"/>
      <c r="L310" s="79"/>
      <c r="M310" s="79"/>
      <c r="N310" s="79"/>
      <c r="O310" s="79"/>
      <c r="P310" s="79"/>
      <c r="Q310" s="79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216"/>
      <c r="L311" s="79"/>
      <c r="M311" s="79"/>
      <c r="N311" s="79"/>
      <c r="O311" s="79"/>
      <c r="P311" s="79"/>
      <c r="Q311" s="79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216"/>
      <c r="L312" s="79"/>
      <c r="M312" s="79"/>
      <c r="N312" s="79"/>
      <c r="O312" s="79"/>
      <c r="P312" s="771"/>
      <c r="Q312" s="518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216"/>
      <c r="L313" s="79"/>
      <c r="M313" s="79"/>
      <c r="N313" s="79"/>
      <c r="O313" s="79"/>
      <c r="P313" s="79"/>
      <c r="Q313" s="79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x14ac:dyDescent="0.25">
      <c r="K314" s="216"/>
    </row>
    <row r="315" spans="1:42" x14ac:dyDescent="0.25">
      <c r="K315" s="216"/>
    </row>
    <row r="316" spans="1:42" x14ac:dyDescent="0.25">
      <c r="K316" s="216"/>
    </row>
    <row r="317" spans="1:42" x14ac:dyDescent="0.25">
      <c r="K317" s="216"/>
    </row>
    <row r="318" spans="1:42" x14ac:dyDescent="0.25">
      <c r="K318" s="216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629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216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  <row r="341" spans="1:42" s="484" customFormat="1" x14ac:dyDescent="0.25">
      <c r="A341" s="79"/>
      <c r="B341" s="79"/>
      <c r="C341" s="85"/>
      <c r="D341" s="85"/>
      <c r="E341" s="85"/>
      <c r="F341" s="8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216"/>
      <c r="S341" s="79"/>
      <c r="T341" s="877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</row>
  </sheetData>
  <autoFilter ref="A2:I206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209:D209"/>
    <mergeCell ref="L2:M3"/>
    <mergeCell ref="N2:O3"/>
    <mergeCell ref="P2:Q3"/>
    <mergeCell ref="A184:E184"/>
    <mergeCell ref="A185:E185"/>
    <mergeCell ref="C208:D208"/>
  </mergeCells>
  <phoneticPr fontId="141" type="noConversion"/>
  <conditionalFormatting sqref="D188:D204">
    <cfRule type="dataBar" priority="1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{1EB5DF57-A0B8-45CF-A9A1-A8FFF378B716}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EB5DF57-A0B8-45CF-A9A1-A8FFF378B71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D188:D204</xm:sqref>
        </x14:conditionalFormatting>
      </x14:conditionalFormattings>
    </ext>
  </extLst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3D86C-C92B-4611-ABC3-2FF35A93414D}">
  <dimension ref="A1:AP333"/>
  <sheetViews>
    <sheetView zoomScale="85" zoomScaleNormal="85" workbookViewId="0">
      <pane ySplit="5" topLeftCell="A30" activePane="bottomLeft" state="frozen"/>
      <selection pane="bottomLeft" activeCell="B61" sqref="B61:F6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7124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45658</v>
      </c>
      <c r="B5" s="369" t="s">
        <v>10</v>
      </c>
      <c r="C5" s="370"/>
      <c r="D5" s="370"/>
      <c r="E5" s="777"/>
      <c r="F5" s="179"/>
      <c r="G5" s="933">
        <f>'Dezembro-24'!G185</f>
        <v>52.1949166667182</v>
      </c>
      <c r="H5" s="163"/>
      <c r="I5" s="1479">
        <f>'Dezembro-24'!I185</f>
        <v>1510.2559999999989</v>
      </c>
      <c r="J5" s="179"/>
      <c r="K5" s="933">
        <f>'Dezembro-24'!K185</f>
        <v>8600.0900000000074</v>
      </c>
      <c r="L5" s="179"/>
      <c r="M5" s="933">
        <f>'Dezembro-24'!M185</f>
        <v>600.41</v>
      </c>
      <c r="N5" s="179"/>
      <c r="O5" s="1479">
        <f>'Dezembro-24'!O185</f>
        <v>9040.5700000000033</v>
      </c>
      <c r="P5" s="179"/>
      <c r="Q5" s="933">
        <f>'Dezembro-24'!Q185</f>
        <v>29469.825984720002</v>
      </c>
    </row>
    <row r="6" spans="1:42" s="224" customFormat="1" x14ac:dyDescent="0.25">
      <c r="A6" s="247">
        <v>45658</v>
      </c>
      <c r="B6" s="348" t="s">
        <v>11</v>
      </c>
      <c r="C6" s="351"/>
      <c r="D6" s="351"/>
      <c r="E6" s="673"/>
      <c r="F6" s="538">
        <v>15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45658</v>
      </c>
      <c r="B7" s="882" t="s">
        <v>7225</v>
      </c>
      <c r="C7" s="879" t="s">
        <v>12</v>
      </c>
      <c r="D7" s="879"/>
      <c r="E7" s="875" t="s">
        <v>13</v>
      </c>
      <c r="F7" s="780"/>
      <c r="G7" s="982">
        <v>1510.26</v>
      </c>
      <c r="H7" s="1008">
        <v>1510.26</v>
      </c>
      <c r="I7" s="1063"/>
      <c r="J7" s="622"/>
      <c r="K7" s="982"/>
      <c r="L7" s="622"/>
      <c r="M7" s="982"/>
      <c r="N7" s="622"/>
      <c r="O7" s="1063"/>
      <c r="P7" s="622"/>
      <c r="Q7" s="982"/>
      <c r="R7" s="861"/>
    </row>
    <row r="8" spans="1:42" s="224" customFormat="1" ht="15" customHeight="1" x14ac:dyDescent="0.25">
      <c r="A8" s="247">
        <v>45658</v>
      </c>
      <c r="B8" s="882" t="s">
        <v>7192</v>
      </c>
      <c r="C8" s="879" t="s">
        <v>12</v>
      </c>
      <c r="D8" s="879" t="s">
        <v>1522</v>
      </c>
      <c r="E8" s="871" t="s">
        <v>13</v>
      </c>
      <c r="F8" s="780">
        <v>1447.16</v>
      </c>
      <c r="G8" s="982"/>
      <c r="H8" s="622"/>
      <c r="I8" s="982"/>
      <c r="J8" s="872"/>
      <c r="K8" s="1207"/>
      <c r="L8" s="622"/>
      <c r="M8" s="982"/>
      <c r="N8" s="622"/>
      <c r="O8" s="1063"/>
      <c r="P8" s="622"/>
      <c r="Q8" s="982"/>
      <c r="R8" s="1028">
        <f>37298*4%</f>
        <v>1491.92</v>
      </c>
      <c r="S8" s="959"/>
      <c r="T8" s="878"/>
      <c r="U8" s="958"/>
    </row>
    <row r="9" spans="1:42" s="224" customFormat="1" ht="15" customHeight="1" x14ac:dyDescent="0.25">
      <c r="A9" s="247">
        <v>45658</v>
      </c>
      <c r="B9" s="882" t="s">
        <v>14</v>
      </c>
      <c r="C9" s="879" t="s">
        <v>12</v>
      </c>
      <c r="D9" s="879" t="s">
        <v>1486</v>
      </c>
      <c r="E9" s="871" t="s">
        <v>13</v>
      </c>
      <c r="F9" s="780">
        <v>12.45</v>
      </c>
      <c r="G9" s="982"/>
      <c r="H9" s="622"/>
      <c r="I9" s="982"/>
      <c r="J9" s="622"/>
      <c r="K9" s="982"/>
      <c r="L9" s="622"/>
      <c r="M9" s="982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45658</v>
      </c>
      <c r="B10" s="882" t="s">
        <v>14</v>
      </c>
      <c r="C10" s="879" t="s">
        <v>12</v>
      </c>
      <c r="D10" s="879" t="s">
        <v>1486</v>
      </c>
      <c r="E10" s="871" t="s">
        <v>13</v>
      </c>
      <c r="F10" s="780">
        <v>5.79</v>
      </c>
      <c r="G10" s="982"/>
      <c r="H10" s="622"/>
      <c r="I10" s="982"/>
      <c r="J10" s="622"/>
      <c r="K10" s="982"/>
      <c r="L10" s="622"/>
      <c r="M10" s="982"/>
      <c r="N10" s="880"/>
      <c r="O10" s="1525"/>
      <c r="P10" s="613"/>
      <c r="Q10" s="162"/>
      <c r="R10" s="1956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45658</v>
      </c>
      <c r="B11" s="1289" t="s">
        <v>7230</v>
      </c>
      <c r="C11" s="879" t="s">
        <v>12</v>
      </c>
      <c r="D11" s="1276" t="s">
        <v>1489</v>
      </c>
      <c r="E11" s="875" t="s">
        <v>13</v>
      </c>
      <c r="F11" s="1873">
        <v>13</v>
      </c>
      <c r="G11" s="967"/>
      <c r="H11" s="1008"/>
      <c r="I11" s="1063"/>
      <c r="J11" s="613"/>
      <c r="K11" s="6"/>
      <c r="L11" s="622"/>
      <c r="M11" s="982"/>
      <c r="N11" s="622"/>
      <c r="O11" s="1063"/>
      <c r="P11" s="613"/>
      <c r="Q11" s="64"/>
      <c r="R11" s="1209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x14ac:dyDescent="0.25">
      <c r="A12" s="247">
        <v>45659</v>
      </c>
      <c r="B12" s="882" t="s">
        <v>14</v>
      </c>
      <c r="C12" s="879" t="s">
        <v>12</v>
      </c>
      <c r="D12" s="879" t="s">
        <v>1486</v>
      </c>
      <c r="E12" s="871" t="s">
        <v>13</v>
      </c>
      <c r="F12" s="780">
        <v>4.46</v>
      </c>
      <c r="G12" s="982"/>
      <c r="H12" s="1008"/>
      <c r="I12" s="1063"/>
      <c r="J12" s="2013"/>
      <c r="K12" s="1207"/>
      <c r="L12" s="622"/>
      <c r="M12" s="982"/>
      <c r="N12" s="622"/>
      <c r="O12" s="1063"/>
      <c r="P12" s="622"/>
      <c r="Q12" s="982"/>
      <c r="R12" s="861"/>
      <c r="T12" s="878"/>
    </row>
    <row r="13" spans="1:42" s="224" customFormat="1" ht="15" customHeight="1" x14ac:dyDescent="0.25">
      <c r="A13" s="247">
        <v>45659</v>
      </c>
      <c r="B13" s="882" t="s">
        <v>7231</v>
      </c>
      <c r="C13" s="879" t="s">
        <v>12</v>
      </c>
      <c r="D13" s="879"/>
      <c r="E13" s="875" t="s">
        <v>13</v>
      </c>
      <c r="F13" s="780"/>
      <c r="G13" s="982">
        <v>200</v>
      </c>
      <c r="H13" s="1008"/>
      <c r="I13" s="1063"/>
      <c r="J13" s="622"/>
      <c r="K13" s="982"/>
      <c r="L13" s="622">
        <v>200</v>
      </c>
      <c r="M13" s="982"/>
      <c r="N13" s="622"/>
      <c r="O13" s="1063"/>
      <c r="P13" s="622"/>
      <c r="Q13" s="982"/>
      <c r="R13" s="861"/>
    </row>
    <row r="14" spans="1:42" s="224" customFormat="1" x14ac:dyDescent="0.25">
      <c r="A14" s="247">
        <v>45660</v>
      </c>
      <c r="B14" s="882" t="s">
        <v>14</v>
      </c>
      <c r="C14" s="879" t="s">
        <v>12</v>
      </c>
      <c r="D14" s="879" t="s">
        <v>1486</v>
      </c>
      <c r="E14" s="871" t="s">
        <v>13</v>
      </c>
      <c r="F14" s="780">
        <v>4.17</v>
      </c>
      <c r="G14" s="982"/>
      <c r="H14" s="1008"/>
      <c r="I14" s="1063"/>
      <c r="J14" s="2013"/>
      <c r="K14" s="1207"/>
      <c r="L14" s="622"/>
      <c r="M14" s="982"/>
      <c r="N14" s="622"/>
      <c r="O14" s="1063"/>
      <c r="P14" s="622"/>
      <c r="Q14" s="982"/>
      <c r="R14" s="861"/>
      <c r="T14" s="878"/>
    </row>
    <row r="15" spans="1:42" s="224" customFormat="1" x14ac:dyDescent="0.25">
      <c r="A15" s="247">
        <v>45660</v>
      </c>
      <c r="B15" s="364" t="s">
        <v>32</v>
      </c>
      <c r="C15" s="350" t="s">
        <v>12</v>
      </c>
      <c r="D15" s="350" t="s">
        <v>1485</v>
      </c>
      <c r="E15" s="875" t="s">
        <v>13</v>
      </c>
      <c r="F15" s="780">
        <v>28</v>
      </c>
      <c r="G15" s="982"/>
      <c r="H15" s="1008"/>
      <c r="I15" s="1063"/>
      <c r="J15" s="2013"/>
      <c r="K15" s="1207"/>
      <c r="L15" s="622"/>
      <c r="M15" s="982"/>
      <c r="N15" s="622"/>
      <c r="O15" s="1063"/>
      <c r="P15" s="622"/>
      <c r="Q15" s="982"/>
      <c r="R15" s="861"/>
      <c r="T15" s="878"/>
    </row>
    <row r="16" spans="1:42" s="224" customFormat="1" x14ac:dyDescent="0.25">
      <c r="A16" s="247">
        <v>45660</v>
      </c>
      <c r="B16" s="882" t="s">
        <v>14</v>
      </c>
      <c r="C16" s="879" t="s">
        <v>12</v>
      </c>
      <c r="D16" s="879" t="s">
        <v>1486</v>
      </c>
      <c r="E16" s="871" t="s">
        <v>13</v>
      </c>
      <c r="F16" s="780">
        <v>15.95</v>
      </c>
      <c r="G16" s="982"/>
      <c r="H16" s="1008"/>
      <c r="I16" s="1063"/>
      <c r="J16" s="2013"/>
      <c r="K16" s="1207"/>
      <c r="L16" s="622"/>
      <c r="M16" s="982"/>
      <c r="N16" s="622"/>
      <c r="O16" s="1063"/>
      <c r="P16" s="622"/>
      <c r="Q16" s="982"/>
      <c r="R16" s="861"/>
      <c r="T16" s="878"/>
    </row>
    <row r="17" spans="1:42" s="224" customFormat="1" ht="15" customHeight="1" x14ac:dyDescent="0.25">
      <c r="A17" s="247">
        <v>45661</v>
      </c>
      <c r="B17" s="1275" t="s">
        <v>6857</v>
      </c>
      <c r="C17" s="1276" t="s">
        <v>12</v>
      </c>
      <c r="D17" s="1276"/>
      <c r="E17" s="1286" t="s">
        <v>13</v>
      </c>
      <c r="F17" s="613">
        <v>118.8</v>
      </c>
      <c r="G17" s="967"/>
      <c r="H17" s="1008"/>
      <c r="I17" s="1063"/>
      <c r="J17" s="613"/>
      <c r="K17" s="6"/>
      <c r="L17" s="622"/>
      <c r="M17" s="982"/>
      <c r="N17" s="622"/>
      <c r="O17" s="1063"/>
      <c r="P17" s="613"/>
      <c r="Q17" s="64"/>
      <c r="R17" s="1024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45661</v>
      </c>
      <c r="B18" s="1275" t="s">
        <v>6755</v>
      </c>
      <c r="C18" s="1276" t="s">
        <v>12</v>
      </c>
      <c r="D18" s="1276"/>
      <c r="E18" s="1286"/>
      <c r="F18" s="613"/>
      <c r="G18" s="967">
        <v>118.8</v>
      </c>
      <c r="H18" s="1008"/>
      <c r="I18" s="1063"/>
      <c r="J18" s="613"/>
      <c r="K18" s="6"/>
      <c r="L18" s="622"/>
      <c r="M18" s="982"/>
      <c r="N18" s="622"/>
      <c r="O18" s="1063"/>
      <c r="P18" s="613"/>
      <c r="Q18" s="64"/>
      <c r="R18" s="1024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45661</v>
      </c>
      <c r="B19" s="1289" t="s">
        <v>2096</v>
      </c>
      <c r="C19" s="879" t="s">
        <v>12</v>
      </c>
      <c r="D19" s="1276" t="s">
        <v>1506</v>
      </c>
      <c r="E19" s="875" t="s">
        <v>13</v>
      </c>
      <c r="F19" s="1873">
        <v>50</v>
      </c>
      <c r="G19" s="967"/>
      <c r="H19" s="1008"/>
      <c r="I19" s="1063"/>
      <c r="J19" s="613"/>
      <c r="K19" s="6"/>
      <c r="L19" s="622"/>
      <c r="M19" s="982"/>
      <c r="N19" s="622"/>
      <c r="O19" s="1063"/>
      <c r="P19" s="613"/>
      <c r="Q19" s="64"/>
      <c r="R19" s="120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45661</v>
      </c>
      <c r="B20" s="882" t="s">
        <v>82</v>
      </c>
      <c r="C20" s="879" t="s">
        <v>12</v>
      </c>
      <c r="D20" s="879" t="s">
        <v>1493</v>
      </c>
      <c r="E20" s="875" t="s">
        <v>13</v>
      </c>
      <c r="F20" s="780">
        <v>30</v>
      </c>
      <c r="G20" s="982"/>
      <c r="H20" s="622"/>
      <c r="I20" s="982"/>
      <c r="J20" s="622"/>
      <c r="K20" s="982"/>
      <c r="L20" s="622"/>
      <c r="M20" s="982"/>
      <c r="N20" s="880"/>
      <c r="O20" s="1525"/>
      <c r="P20" s="613"/>
      <c r="Q20" s="162"/>
      <c r="R20" s="1956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x14ac:dyDescent="0.25">
      <c r="A21" s="247">
        <v>45662</v>
      </c>
      <c r="B21" s="882" t="s">
        <v>14</v>
      </c>
      <c r="C21" s="879" t="s">
        <v>12</v>
      </c>
      <c r="D21" s="879" t="s">
        <v>1486</v>
      </c>
      <c r="E21" s="871" t="s">
        <v>13</v>
      </c>
      <c r="F21" s="780">
        <v>5.1100000000000003</v>
      </c>
      <c r="G21" s="982"/>
      <c r="H21" s="1008"/>
      <c r="I21" s="1063"/>
      <c r="J21" s="2013"/>
      <c r="K21" s="1207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ht="15" customHeight="1" x14ac:dyDescent="0.25">
      <c r="A22" s="247">
        <v>45662</v>
      </c>
      <c r="B22" s="882" t="s">
        <v>7232</v>
      </c>
      <c r="C22" s="879" t="s">
        <v>12</v>
      </c>
      <c r="D22" s="879" t="s">
        <v>1491</v>
      </c>
      <c r="E22" s="875" t="s">
        <v>15</v>
      </c>
      <c r="F22" s="780">
        <v>100</v>
      </c>
      <c r="G22" s="982"/>
      <c r="H22" s="95"/>
      <c r="I22" s="1064"/>
      <c r="J22" s="622"/>
      <c r="K22" s="982"/>
      <c r="L22" s="622"/>
      <c r="M22" s="982"/>
      <c r="N22" s="622"/>
      <c r="O22" s="1063"/>
      <c r="P22" s="622"/>
      <c r="Q22" s="982"/>
      <c r="R22" s="861"/>
    </row>
    <row r="23" spans="1:42" s="224" customFormat="1" ht="15" customHeight="1" x14ac:dyDescent="0.25">
      <c r="A23" s="247">
        <v>45662</v>
      </c>
      <c r="B23" s="882" t="s">
        <v>7233</v>
      </c>
      <c r="C23" s="879" t="s">
        <v>12</v>
      </c>
      <c r="D23" s="879" t="s">
        <v>1493</v>
      </c>
      <c r="E23" s="875" t="s">
        <v>13</v>
      </c>
      <c r="F23" s="780">
        <v>33.799999999999997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</row>
    <row r="24" spans="1:42" s="224" customFormat="1" ht="15" customHeight="1" x14ac:dyDescent="0.25">
      <c r="A24" s="247">
        <v>45663</v>
      </c>
      <c r="B24" s="882" t="s">
        <v>7234</v>
      </c>
      <c r="C24" s="879" t="s">
        <v>12</v>
      </c>
      <c r="D24" s="879"/>
      <c r="E24" s="875" t="s">
        <v>13</v>
      </c>
      <c r="F24" s="780"/>
      <c r="G24" s="982">
        <v>91.5</v>
      </c>
      <c r="H24" s="1008"/>
      <c r="I24" s="1063"/>
      <c r="J24" s="622">
        <v>91.5</v>
      </c>
      <c r="K24" s="982"/>
      <c r="L24" s="622"/>
      <c r="M24" s="982"/>
      <c r="N24" s="622"/>
      <c r="O24" s="1063"/>
      <c r="P24" s="622"/>
      <c r="Q24" s="982"/>
      <c r="R24" s="861"/>
    </row>
    <row r="25" spans="1:42" s="224" customFormat="1" ht="15" customHeight="1" x14ac:dyDescent="0.25">
      <c r="A25" s="247">
        <v>45663</v>
      </c>
      <c r="B25" s="882" t="s">
        <v>7235</v>
      </c>
      <c r="C25" s="879" t="s">
        <v>12</v>
      </c>
      <c r="D25" s="879" t="s">
        <v>1524</v>
      </c>
      <c r="E25" s="875" t="s">
        <v>13</v>
      </c>
      <c r="F25" s="780">
        <v>91.5</v>
      </c>
      <c r="G25" s="982"/>
      <c r="H25" s="1008"/>
      <c r="I25" s="1063"/>
      <c r="J25" s="613"/>
      <c r="K25" s="982"/>
      <c r="L25" s="622"/>
      <c r="M25" s="982"/>
      <c r="N25" s="622"/>
      <c r="O25" s="1063"/>
      <c r="P25" s="622"/>
      <c r="Q25" s="982"/>
      <c r="R25" s="861"/>
    </row>
    <row r="26" spans="1:42" s="224" customFormat="1" x14ac:dyDescent="0.25">
      <c r="A26" s="247">
        <v>45663</v>
      </c>
      <c r="B26" s="364" t="s">
        <v>2789</v>
      </c>
      <c r="C26" s="350" t="s">
        <v>12</v>
      </c>
      <c r="D26" s="350" t="s">
        <v>1485</v>
      </c>
      <c r="E26" s="875" t="s">
        <v>13</v>
      </c>
      <c r="F26" s="780">
        <v>14.5</v>
      </c>
      <c r="G26" s="982"/>
      <c r="H26" s="1008"/>
      <c r="I26" s="1063"/>
      <c r="J26" s="2013"/>
      <c r="K26" s="1207"/>
      <c r="L26" s="622"/>
      <c r="M26" s="982"/>
      <c r="N26" s="622"/>
      <c r="O26" s="1063"/>
      <c r="P26" s="622"/>
      <c r="Q26" s="982"/>
      <c r="R26" s="861"/>
      <c r="T26" s="878"/>
    </row>
    <row r="27" spans="1:42" s="224" customFormat="1" x14ac:dyDescent="0.25">
      <c r="A27" s="247">
        <v>45663</v>
      </c>
      <c r="B27" s="364" t="s">
        <v>7243</v>
      </c>
      <c r="C27" s="350" t="s">
        <v>12</v>
      </c>
      <c r="D27" s="350" t="s">
        <v>6731</v>
      </c>
      <c r="E27" s="875" t="s">
        <v>13</v>
      </c>
      <c r="F27" s="780">
        <v>23</v>
      </c>
      <c r="G27" s="982"/>
      <c r="H27" s="1008"/>
      <c r="I27" s="1063"/>
      <c r="J27" s="2013"/>
      <c r="K27" s="1207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ht="15" customHeight="1" x14ac:dyDescent="0.25">
      <c r="A28" s="247">
        <v>45663</v>
      </c>
      <c r="B28" s="364" t="s">
        <v>6920</v>
      </c>
      <c r="C28" s="350" t="s">
        <v>12</v>
      </c>
      <c r="D28" s="350" t="s">
        <v>1493</v>
      </c>
      <c r="E28" s="875" t="s">
        <v>13</v>
      </c>
      <c r="F28" s="780">
        <v>17.05</v>
      </c>
      <c r="G28" s="982"/>
      <c r="H28" s="1008"/>
      <c r="I28" s="1063"/>
      <c r="J28" s="1116"/>
      <c r="K28" s="1207"/>
      <c r="L28" s="622"/>
      <c r="M28" s="982"/>
      <c r="N28" s="622"/>
      <c r="O28" s="1063"/>
      <c r="P28" s="622"/>
      <c r="Q28" s="982"/>
      <c r="R28" s="861"/>
      <c r="T28" s="1035"/>
    </row>
    <row r="29" spans="1:42" s="224" customFormat="1" ht="15.75" customHeight="1" x14ac:dyDescent="0.25">
      <c r="A29" s="247">
        <v>45664</v>
      </c>
      <c r="B29" s="873" t="s">
        <v>7240</v>
      </c>
      <c r="C29" s="879" t="s">
        <v>12</v>
      </c>
      <c r="D29" s="874"/>
      <c r="E29" s="887" t="s">
        <v>25</v>
      </c>
      <c r="F29" s="1524"/>
      <c r="G29" s="1002">
        <v>1600</v>
      </c>
      <c r="H29" s="538"/>
      <c r="I29" s="982"/>
      <c r="J29" s="2013"/>
      <c r="K29" s="1207"/>
      <c r="L29" s="622"/>
      <c r="M29" s="982"/>
      <c r="N29" s="622"/>
      <c r="O29" s="1063"/>
      <c r="P29" s="622"/>
      <c r="Q29" s="982"/>
      <c r="R29" s="178"/>
    </row>
    <row r="30" spans="1:42" s="224" customFormat="1" ht="15.75" customHeight="1" x14ac:dyDescent="0.25">
      <c r="A30" s="247">
        <v>45664</v>
      </c>
      <c r="B30" s="873" t="s">
        <v>7241</v>
      </c>
      <c r="C30" s="879" t="s">
        <v>12</v>
      </c>
      <c r="D30" s="874"/>
      <c r="E30" s="887" t="s">
        <v>25</v>
      </c>
      <c r="F30" s="1524"/>
      <c r="G30" s="1002">
        <v>2406.48</v>
      </c>
      <c r="H30" s="538"/>
      <c r="I30" s="982"/>
      <c r="J30" s="2013"/>
      <c r="K30" s="1207"/>
      <c r="L30" s="622"/>
      <c r="M30" s="982"/>
      <c r="N30" s="622"/>
      <c r="O30" s="1063"/>
      <c r="P30" s="622"/>
      <c r="Q30" s="982"/>
      <c r="R30" s="178"/>
    </row>
    <row r="31" spans="1:42" s="224" customFormat="1" ht="15" customHeight="1" x14ac:dyDescent="0.25">
      <c r="A31" s="247">
        <v>45664</v>
      </c>
      <c r="B31" s="364" t="s">
        <v>1396</v>
      </c>
      <c r="C31" s="879" t="s">
        <v>12</v>
      </c>
      <c r="D31" s="350"/>
      <c r="E31" s="919" t="s">
        <v>25</v>
      </c>
      <c r="F31" s="1116"/>
      <c r="G31" s="966">
        <v>150</v>
      </c>
      <c r="H31" s="1031"/>
      <c r="I31" s="1525"/>
      <c r="J31" s="2013"/>
      <c r="K31" s="1207"/>
      <c r="L31" s="880"/>
      <c r="M31" s="1033"/>
      <c r="N31" s="622"/>
      <c r="O31" s="1063"/>
      <c r="P31" s="1116"/>
      <c r="Q31" s="1207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45664</v>
      </c>
      <c r="B32" s="364" t="s">
        <v>7219</v>
      </c>
      <c r="C32" s="879" t="s">
        <v>12</v>
      </c>
      <c r="D32" s="350" t="s">
        <v>1491</v>
      </c>
      <c r="E32" s="875" t="s">
        <v>13</v>
      </c>
      <c r="F32" s="780">
        <v>500</v>
      </c>
      <c r="G32" s="982"/>
      <c r="H32" s="1008"/>
      <c r="I32" s="1063"/>
      <c r="J32" s="2013"/>
      <c r="K32" s="1207"/>
      <c r="L32" s="622"/>
      <c r="M32" s="982"/>
      <c r="N32" s="622"/>
      <c r="O32" s="1063"/>
      <c r="P32" s="622"/>
      <c r="Q32" s="982"/>
      <c r="R32" s="1028"/>
      <c r="T32" s="1035"/>
    </row>
    <row r="33" spans="1:20" s="224" customFormat="1" ht="15" customHeight="1" x14ac:dyDescent="0.25">
      <c r="A33" s="247">
        <v>45664</v>
      </c>
      <c r="B33" s="862" t="s">
        <v>6416</v>
      </c>
      <c r="C33" s="879" t="s">
        <v>12</v>
      </c>
      <c r="D33" s="879" t="s">
        <v>1504</v>
      </c>
      <c r="E33" s="871" t="s">
        <v>13</v>
      </c>
      <c r="F33" s="780">
        <v>40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1808">
        <v>60</v>
      </c>
      <c r="S33" s="1028"/>
      <c r="T33" s="1035"/>
    </row>
    <row r="34" spans="1:20" s="224" customFormat="1" ht="15" customHeight="1" x14ac:dyDescent="0.25">
      <c r="A34" s="247">
        <v>45664</v>
      </c>
      <c r="B34" s="882" t="s">
        <v>7220</v>
      </c>
      <c r="C34" s="879" t="s">
        <v>12</v>
      </c>
      <c r="D34" s="879" t="s">
        <v>1499</v>
      </c>
      <c r="E34" s="871" t="s">
        <v>13</v>
      </c>
      <c r="F34" s="780">
        <v>80.459999999999994</v>
      </c>
      <c r="G34" s="982"/>
      <c r="H34" s="1008"/>
      <c r="I34" s="1063"/>
      <c r="J34" s="880"/>
      <c r="K34" s="1033"/>
      <c r="L34" s="622"/>
      <c r="M34" s="982"/>
      <c r="N34" s="622"/>
      <c r="O34" s="1063"/>
      <c r="P34" s="622"/>
      <c r="Q34" s="982"/>
      <c r="R34" s="1028"/>
      <c r="S34" s="999"/>
      <c r="T34" s="878"/>
    </row>
    <row r="35" spans="1:20" x14ac:dyDescent="0.25">
      <c r="A35" s="247">
        <v>45664</v>
      </c>
      <c r="B35" s="876" t="s">
        <v>6762</v>
      </c>
      <c r="C35" s="879" t="s">
        <v>12</v>
      </c>
      <c r="D35" s="879" t="s">
        <v>1496</v>
      </c>
      <c r="E35" s="871" t="s">
        <v>13</v>
      </c>
      <c r="F35" s="780">
        <v>100</v>
      </c>
      <c r="G35" s="982"/>
      <c r="H35" s="1009"/>
      <c r="I35" s="1063"/>
      <c r="J35" s="613"/>
      <c r="K35" s="6"/>
      <c r="L35" s="622"/>
      <c r="M35" s="982"/>
      <c r="N35" s="622"/>
      <c r="O35" s="1063"/>
      <c r="P35" s="622"/>
      <c r="Q35" s="982"/>
      <c r="R35" s="1029"/>
    </row>
    <row r="36" spans="1:20" s="224" customFormat="1" ht="15" customHeight="1" x14ac:dyDescent="0.25">
      <c r="A36" s="247">
        <v>45664</v>
      </c>
      <c r="B36" s="882" t="s">
        <v>6214</v>
      </c>
      <c r="C36" s="879" t="s">
        <v>12</v>
      </c>
      <c r="D36" s="879"/>
      <c r="E36" s="875" t="s">
        <v>13</v>
      </c>
      <c r="F36" s="780"/>
      <c r="G36" s="982"/>
      <c r="H36" s="95"/>
      <c r="I36" s="1064"/>
      <c r="J36" s="622"/>
      <c r="K36" s="982">
        <v>700</v>
      </c>
      <c r="L36" s="622"/>
      <c r="M36" s="982"/>
      <c r="N36" s="622"/>
      <c r="O36" s="1063"/>
      <c r="P36" s="622"/>
      <c r="Q36" s="982"/>
      <c r="R36" s="861"/>
    </row>
    <row r="37" spans="1:20" s="224" customFormat="1" ht="15" customHeight="1" x14ac:dyDescent="0.25">
      <c r="A37" s="247">
        <v>45664</v>
      </c>
      <c r="B37" s="882" t="s">
        <v>7252</v>
      </c>
      <c r="C37" s="879" t="s">
        <v>12</v>
      </c>
      <c r="D37" s="879"/>
      <c r="E37" s="871" t="s">
        <v>25</v>
      </c>
      <c r="F37" s="780"/>
      <c r="G37" s="982">
        <v>200</v>
      </c>
      <c r="H37" s="95"/>
      <c r="I37" s="1064"/>
      <c r="J37" s="613"/>
      <c r="K37" s="6"/>
      <c r="L37" s="622"/>
      <c r="M37" s="982"/>
      <c r="N37" s="622"/>
      <c r="O37" s="1063"/>
      <c r="P37" s="622"/>
      <c r="Q37" s="982"/>
      <c r="R37" s="861"/>
    </row>
    <row r="38" spans="1:20" s="224" customFormat="1" ht="15" customHeight="1" x14ac:dyDescent="0.25">
      <c r="A38" s="247">
        <v>45664</v>
      </c>
      <c r="B38" s="882" t="s">
        <v>7253</v>
      </c>
      <c r="C38" s="879" t="s">
        <v>12</v>
      </c>
      <c r="D38" s="879"/>
      <c r="E38" s="875" t="s">
        <v>13</v>
      </c>
      <c r="F38" s="780">
        <v>200</v>
      </c>
      <c r="G38" s="982"/>
      <c r="H38" s="1008"/>
      <c r="I38" s="1063"/>
      <c r="J38" s="622"/>
      <c r="K38" s="982"/>
      <c r="L38" s="622"/>
      <c r="M38" s="982">
        <v>200</v>
      </c>
      <c r="N38" s="622"/>
      <c r="O38" s="1063"/>
      <c r="P38" s="622"/>
      <c r="Q38" s="982"/>
      <c r="R38" s="861"/>
    </row>
    <row r="39" spans="1:20" s="224" customFormat="1" x14ac:dyDescent="0.25">
      <c r="A39" s="247">
        <v>45664</v>
      </c>
      <c r="B39" s="364" t="s">
        <v>32</v>
      </c>
      <c r="C39" s="350" t="s">
        <v>12</v>
      </c>
      <c r="D39" s="350" t="s">
        <v>1485</v>
      </c>
      <c r="E39" s="875" t="s">
        <v>13</v>
      </c>
      <c r="F39" s="780">
        <v>22</v>
      </c>
      <c r="G39" s="982"/>
      <c r="H39" s="1008"/>
      <c r="I39" s="1063"/>
      <c r="J39" s="2013"/>
      <c r="K39" s="1207"/>
      <c r="L39" s="622"/>
      <c r="M39" s="982"/>
      <c r="N39" s="622"/>
      <c r="O39" s="1063"/>
      <c r="P39" s="622"/>
      <c r="Q39" s="982"/>
      <c r="R39" s="861"/>
      <c r="T39" s="878"/>
    </row>
    <row r="40" spans="1:20" s="224" customFormat="1" ht="15" customHeight="1" x14ac:dyDescent="0.25">
      <c r="A40" s="247">
        <v>45664</v>
      </c>
      <c r="B40" s="882" t="s">
        <v>6130</v>
      </c>
      <c r="C40" s="350" t="s">
        <v>12</v>
      </c>
      <c r="D40" s="879" t="s">
        <v>1491</v>
      </c>
      <c r="E40" s="875" t="s">
        <v>13</v>
      </c>
      <c r="F40" s="780">
        <v>31.9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1028" t="s">
        <v>7137</v>
      </c>
    </row>
    <row r="41" spans="1:20" s="224" customFormat="1" ht="15" customHeight="1" x14ac:dyDescent="0.25">
      <c r="A41" s="247">
        <v>45664</v>
      </c>
      <c r="B41" s="882" t="s">
        <v>6804</v>
      </c>
      <c r="C41" s="350" t="s">
        <v>12</v>
      </c>
      <c r="D41" s="879" t="s">
        <v>1504</v>
      </c>
      <c r="E41" s="875" t="s">
        <v>13</v>
      </c>
      <c r="F41" s="780">
        <v>40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1028" t="s">
        <v>7137</v>
      </c>
    </row>
    <row r="42" spans="1:20" s="224" customFormat="1" ht="15" customHeight="1" x14ac:dyDescent="0.25">
      <c r="A42" s="247">
        <v>45664</v>
      </c>
      <c r="B42" s="882" t="s">
        <v>6805</v>
      </c>
      <c r="C42" s="350" t="s">
        <v>12</v>
      </c>
      <c r="D42" s="879" t="s">
        <v>1504</v>
      </c>
      <c r="E42" s="875" t="s">
        <v>13</v>
      </c>
      <c r="F42" s="780">
        <v>45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028" t="s">
        <v>7137</v>
      </c>
    </row>
    <row r="43" spans="1:20" s="224" customFormat="1" ht="15" customHeight="1" x14ac:dyDescent="0.25">
      <c r="A43" s="247">
        <v>45664</v>
      </c>
      <c r="B43" s="882" t="s">
        <v>7095</v>
      </c>
      <c r="C43" s="350" t="s">
        <v>12</v>
      </c>
      <c r="D43" s="879" t="s">
        <v>1504</v>
      </c>
      <c r="E43" s="875" t="s">
        <v>13</v>
      </c>
      <c r="F43" s="780">
        <v>29.806666666666668</v>
      </c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028" t="s">
        <v>7137</v>
      </c>
    </row>
    <row r="44" spans="1:20" s="224" customFormat="1" ht="15" customHeight="1" x14ac:dyDescent="0.25">
      <c r="A44" s="247">
        <v>45664</v>
      </c>
      <c r="B44" s="882" t="s">
        <v>7196</v>
      </c>
      <c r="C44" s="350" t="s">
        <v>12</v>
      </c>
      <c r="D44" s="879" t="s">
        <v>1525</v>
      </c>
      <c r="E44" s="875" t="s">
        <v>13</v>
      </c>
      <c r="F44" s="780">
        <v>95.46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1028" t="s">
        <v>7137</v>
      </c>
    </row>
    <row r="45" spans="1:20" s="224" customFormat="1" ht="15" customHeight="1" x14ac:dyDescent="0.25">
      <c r="A45" s="247">
        <v>45664</v>
      </c>
      <c r="B45" s="882" t="s">
        <v>7197</v>
      </c>
      <c r="C45" s="350" t="s">
        <v>12</v>
      </c>
      <c r="D45" s="879" t="s">
        <v>1504</v>
      </c>
      <c r="E45" s="875" t="s">
        <v>13</v>
      </c>
      <c r="F45" s="780">
        <v>6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028" t="s">
        <v>7137</v>
      </c>
    </row>
    <row r="46" spans="1:20" s="224" customFormat="1" ht="15" customHeight="1" x14ac:dyDescent="0.25">
      <c r="A46" s="247">
        <v>45664</v>
      </c>
      <c r="B46" s="882" t="s">
        <v>7194</v>
      </c>
      <c r="C46" s="350" t="s">
        <v>12</v>
      </c>
      <c r="D46" s="879" t="s">
        <v>1486</v>
      </c>
      <c r="E46" s="875" t="s">
        <v>13</v>
      </c>
      <c r="F46" s="780">
        <v>12.47</v>
      </c>
      <c r="G46" s="982"/>
      <c r="H46" s="1008"/>
      <c r="I46" s="1063"/>
      <c r="J46" s="622"/>
      <c r="K46" s="982"/>
      <c r="L46" s="622"/>
      <c r="M46" s="982"/>
      <c r="N46" s="622"/>
      <c r="O46" s="1063"/>
      <c r="P46" s="622"/>
      <c r="Q46" s="982"/>
      <c r="R46" s="1028" t="s">
        <v>7137</v>
      </c>
    </row>
    <row r="47" spans="1:20" s="224" customFormat="1" ht="15" customHeight="1" x14ac:dyDescent="0.25">
      <c r="A47" s="247">
        <v>45664</v>
      </c>
      <c r="B47" s="882" t="s">
        <v>7246</v>
      </c>
      <c r="C47" s="350" t="s">
        <v>12</v>
      </c>
      <c r="D47" s="879" t="s">
        <v>1506</v>
      </c>
      <c r="E47" s="875" t="s">
        <v>13</v>
      </c>
      <c r="F47" s="780">
        <v>99</v>
      </c>
      <c r="G47" s="982"/>
      <c r="H47" s="1008"/>
      <c r="I47" s="1063"/>
      <c r="J47" s="622"/>
      <c r="K47" s="982"/>
      <c r="L47" s="622"/>
      <c r="M47" s="982"/>
      <c r="N47" s="622"/>
      <c r="O47" s="1063"/>
      <c r="P47" s="622"/>
      <c r="Q47" s="982"/>
      <c r="R47" s="1028" t="s">
        <v>7137</v>
      </c>
    </row>
    <row r="48" spans="1:20" s="224" customFormat="1" ht="15" customHeight="1" x14ac:dyDescent="0.25">
      <c r="A48" s="247">
        <v>45664</v>
      </c>
      <c r="B48" s="882" t="s">
        <v>7212</v>
      </c>
      <c r="C48" s="350" t="s">
        <v>12</v>
      </c>
      <c r="D48" s="879" t="s">
        <v>6731</v>
      </c>
      <c r="E48" s="875" t="s">
        <v>13</v>
      </c>
      <c r="F48" s="780">
        <v>20</v>
      </c>
      <c r="G48" s="982"/>
      <c r="H48" s="1008"/>
      <c r="I48" s="1063"/>
      <c r="J48" s="622"/>
      <c r="K48" s="982"/>
      <c r="L48" s="622"/>
      <c r="M48" s="982"/>
      <c r="N48" s="622"/>
      <c r="O48" s="1063"/>
      <c r="P48" s="622"/>
      <c r="Q48" s="982"/>
      <c r="R48" s="1028" t="s">
        <v>7137</v>
      </c>
    </row>
    <row r="49" spans="1:42" s="224" customFormat="1" ht="15" customHeight="1" x14ac:dyDescent="0.25">
      <c r="A49" s="247">
        <v>45664</v>
      </c>
      <c r="B49" s="882" t="s">
        <v>7213</v>
      </c>
      <c r="C49" s="350" t="s">
        <v>12</v>
      </c>
      <c r="D49" s="879" t="s">
        <v>1491</v>
      </c>
      <c r="E49" s="875" t="s">
        <v>13</v>
      </c>
      <c r="F49" s="780">
        <v>85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1028" t="s">
        <v>7137</v>
      </c>
    </row>
    <row r="50" spans="1:42" s="224" customFormat="1" ht="15" customHeight="1" x14ac:dyDescent="0.25">
      <c r="A50" s="247">
        <v>45664</v>
      </c>
      <c r="B50" s="882" t="s">
        <v>7214</v>
      </c>
      <c r="C50" s="350" t="s">
        <v>12</v>
      </c>
      <c r="D50" s="879" t="s">
        <v>1489</v>
      </c>
      <c r="E50" s="875" t="s">
        <v>13</v>
      </c>
      <c r="F50" s="780">
        <v>30</v>
      </c>
      <c r="G50" s="982"/>
      <c r="H50" s="95"/>
      <c r="I50" s="1064"/>
      <c r="J50" s="622"/>
      <c r="K50" s="982"/>
      <c r="L50" s="622"/>
      <c r="M50" s="982"/>
      <c r="N50" s="622"/>
      <c r="O50" s="1063"/>
      <c r="P50" s="622"/>
      <c r="Q50" s="982"/>
      <c r="R50" s="1028" t="s">
        <v>7137</v>
      </c>
    </row>
    <row r="51" spans="1:42" s="224" customFormat="1" x14ac:dyDescent="0.25">
      <c r="A51" s="247">
        <v>45664</v>
      </c>
      <c r="B51" s="1275" t="s">
        <v>7211</v>
      </c>
      <c r="C51" s="350" t="s">
        <v>12</v>
      </c>
      <c r="D51" s="1276" t="s">
        <v>1506</v>
      </c>
      <c r="E51" s="875" t="s">
        <v>13</v>
      </c>
      <c r="F51" s="1279">
        <v>80</v>
      </c>
      <c r="G51" s="982"/>
      <c r="H51" s="1008"/>
      <c r="I51" s="1063"/>
      <c r="J51" s="2013"/>
      <c r="K51" s="1207"/>
      <c r="L51" s="622"/>
      <c r="M51" s="982"/>
      <c r="N51" s="622"/>
      <c r="O51" s="1063"/>
      <c r="P51" s="622"/>
      <c r="Q51" s="982"/>
      <c r="R51" s="1028" t="s">
        <v>7137</v>
      </c>
      <c r="T51" s="878"/>
    </row>
    <row r="52" spans="1:42" s="224" customFormat="1" ht="15" customHeight="1" x14ac:dyDescent="0.25">
      <c r="A52" s="247">
        <v>45664</v>
      </c>
      <c r="B52" s="882" t="s">
        <v>6329</v>
      </c>
      <c r="C52" s="879" t="s">
        <v>12</v>
      </c>
      <c r="D52" s="879"/>
      <c r="E52" s="875" t="s">
        <v>25</v>
      </c>
      <c r="F52" s="780"/>
      <c r="G52" s="982">
        <v>100</v>
      </c>
      <c r="H52" s="1008"/>
      <c r="I52" s="1063"/>
      <c r="J52" s="613"/>
      <c r="K52" s="982"/>
      <c r="L52" s="622"/>
      <c r="M52" s="982"/>
      <c r="N52" s="622"/>
      <c r="O52" s="1063"/>
      <c r="P52" s="622"/>
      <c r="Q52" s="982"/>
      <c r="R52" s="861"/>
    </row>
    <row r="53" spans="1:42" s="224" customFormat="1" ht="15" customHeight="1" x14ac:dyDescent="0.25">
      <c r="A53" s="247">
        <v>45664</v>
      </c>
      <c r="B53" s="882" t="s">
        <v>14</v>
      </c>
      <c r="C53" s="879" t="s">
        <v>12</v>
      </c>
      <c r="D53" s="879" t="s">
        <v>1486</v>
      </c>
      <c r="E53" s="871" t="s">
        <v>13</v>
      </c>
      <c r="F53" s="780">
        <v>8.23</v>
      </c>
      <c r="G53" s="982"/>
      <c r="H53" s="95"/>
      <c r="I53" s="1064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45665</v>
      </c>
      <c r="B54" s="882" t="s">
        <v>7234</v>
      </c>
      <c r="C54" s="879" t="s">
        <v>12</v>
      </c>
      <c r="D54" s="879"/>
      <c r="E54" s="875" t="s">
        <v>13</v>
      </c>
      <c r="F54" s="780"/>
      <c r="G54" s="982">
        <v>122.75</v>
      </c>
      <c r="H54" s="1008"/>
      <c r="I54" s="1063"/>
      <c r="J54" s="622">
        <v>122.75</v>
      </c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5" customHeight="1" x14ac:dyDescent="0.25">
      <c r="A55" s="247">
        <v>45665</v>
      </c>
      <c r="B55" s="882" t="s">
        <v>7264</v>
      </c>
      <c r="C55" s="879" t="s">
        <v>12</v>
      </c>
      <c r="D55" s="879" t="s">
        <v>1524</v>
      </c>
      <c r="E55" s="875" t="s">
        <v>13</v>
      </c>
      <c r="F55" s="780">
        <v>122.75</v>
      </c>
      <c r="G55" s="982"/>
      <c r="H55" s="1008"/>
      <c r="I55" s="1063"/>
      <c r="J55" s="613"/>
      <c r="K55" s="982"/>
      <c r="L55" s="622"/>
      <c r="M55" s="982"/>
      <c r="N55" s="622"/>
      <c r="O55" s="1063"/>
      <c r="P55" s="622"/>
      <c r="Q55" s="982"/>
      <c r="R55" s="861"/>
    </row>
    <row r="56" spans="1:42" s="224" customFormat="1" x14ac:dyDescent="0.25">
      <c r="A56" s="247">
        <v>45665</v>
      </c>
      <c r="B56" s="364" t="s">
        <v>2789</v>
      </c>
      <c r="C56" s="350" t="s">
        <v>12</v>
      </c>
      <c r="D56" s="350" t="s">
        <v>1485</v>
      </c>
      <c r="E56" s="875" t="s">
        <v>13</v>
      </c>
      <c r="F56" s="780">
        <v>15.5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861"/>
      <c r="T56" s="878"/>
    </row>
    <row r="57" spans="1:42" s="224" customFormat="1" ht="15" customHeight="1" x14ac:dyDescent="0.25">
      <c r="A57" s="247">
        <v>45665</v>
      </c>
      <c r="B57" s="882" t="s">
        <v>7266</v>
      </c>
      <c r="C57" s="879" t="s">
        <v>12</v>
      </c>
      <c r="D57" s="879"/>
      <c r="E57" s="875" t="s">
        <v>13</v>
      </c>
      <c r="F57" s="780">
        <v>927.13</v>
      </c>
      <c r="G57" s="982"/>
      <c r="H57" s="95"/>
      <c r="I57" s="1064"/>
      <c r="J57" s="622"/>
      <c r="K57" s="982"/>
      <c r="L57" s="622"/>
      <c r="M57" s="982"/>
      <c r="N57" s="622"/>
      <c r="O57" s="1063">
        <v>927.13</v>
      </c>
      <c r="P57" s="622"/>
      <c r="Q57" s="982"/>
      <c r="R57" s="861"/>
    </row>
    <row r="58" spans="1:42" s="224" customFormat="1" ht="15" customHeight="1" x14ac:dyDescent="0.25">
      <c r="A58" s="247">
        <v>45665</v>
      </c>
      <c r="B58" s="882" t="s">
        <v>7253</v>
      </c>
      <c r="C58" s="879" t="s">
        <v>12</v>
      </c>
      <c r="D58" s="879"/>
      <c r="E58" s="875" t="s">
        <v>13</v>
      </c>
      <c r="F58" s="780">
        <v>300</v>
      </c>
      <c r="G58" s="982"/>
      <c r="H58" s="1008"/>
      <c r="I58" s="1063"/>
      <c r="J58" s="622"/>
      <c r="K58" s="982"/>
      <c r="L58" s="622"/>
      <c r="M58" s="982">
        <v>300</v>
      </c>
      <c r="N58" s="622"/>
      <c r="O58" s="1063"/>
      <c r="P58" s="622"/>
      <c r="Q58" s="982"/>
      <c r="R58" s="861"/>
    </row>
    <row r="59" spans="1:42" s="224" customFormat="1" ht="14.25" customHeight="1" x14ac:dyDescent="0.25">
      <c r="A59" s="247">
        <v>45665</v>
      </c>
      <c r="B59" s="882" t="s">
        <v>7267</v>
      </c>
      <c r="C59" s="879" t="s">
        <v>12</v>
      </c>
      <c r="D59" s="879" t="s">
        <v>6731</v>
      </c>
      <c r="E59" s="875" t="s">
        <v>13</v>
      </c>
      <c r="F59" s="1873">
        <v>124.98</v>
      </c>
      <c r="G59" s="982"/>
      <c r="H59" s="1031"/>
      <c r="I59" s="1525"/>
      <c r="J59" s="622"/>
      <c r="K59" s="982"/>
      <c r="L59" s="880"/>
      <c r="M59" s="1033"/>
      <c r="N59" s="880"/>
      <c r="O59" s="1525"/>
      <c r="P59" s="613"/>
      <c r="Q59" s="162"/>
      <c r="R59" s="120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customHeight="1" x14ac:dyDescent="0.25">
      <c r="A60" s="247">
        <v>45665</v>
      </c>
      <c r="B60" s="882" t="s">
        <v>14</v>
      </c>
      <c r="C60" s="879" t="s">
        <v>12</v>
      </c>
      <c r="D60" s="879" t="s">
        <v>1486</v>
      </c>
      <c r="E60" s="871" t="s">
        <v>13</v>
      </c>
      <c r="F60" s="780">
        <v>12.97</v>
      </c>
      <c r="G60" s="982"/>
      <c r="H60" s="95"/>
      <c r="I60" s="1064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x14ac:dyDescent="0.25">
      <c r="A61" s="247">
        <v>45666</v>
      </c>
      <c r="B61" s="364" t="s">
        <v>32</v>
      </c>
      <c r="C61" s="350" t="s">
        <v>12</v>
      </c>
      <c r="D61" s="350" t="s">
        <v>1485</v>
      </c>
      <c r="E61" s="875" t="s">
        <v>13</v>
      </c>
      <c r="F61" s="780">
        <v>22</v>
      </c>
      <c r="G61" s="982"/>
      <c r="H61" s="1008"/>
      <c r="I61" s="1063"/>
      <c r="J61" s="2013"/>
      <c r="K61" s="1207"/>
      <c r="L61" s="622"/>
      <c r="M61" s="982"/>
      <c r="N61" s="622"/>
      <c r="O61" s="1063"/>
      <c r="P61" s="622"/>
      <c r="Q61" s="982"/>
      <c r="R61" s="861"/>
      <c r="T61" s="878"/>
    </row>
    <row r="62" spans="1:42" s="224" customFormat="1" ht="15" customHeight="1" x14ac:dyDescent="0.25">
      <c r="A62" s="247">
        <v>45666</v>
      </c>
      <c r="B62" s="882" t="s">
        <v>7268</v>
      </c>
      <c r="C62" s="879" t="s">
        <v>12</v>
      </c>
      <c r="D62" s="879" t="s">
        <v>1491</v>
      </c>
      <c r="E62" s="875" t="s">
        <v>13</v>
      </c>
      <c r="F62" s="780">
        <v>80</v>
      </c>
      <c r="G62" s="982"/>
      <c r="H62" s="95"/>
      <c r="I62" s="1064"/>
      <c r="J62" s="622"/>
      <c r="K62" s="982"/>
      <c r="L62" s="622"/>
      <c r="M62" s="982"/>
      <c r="N62" s="622"/>
      <c r="O62" s="1063"/>
      <c r="P62" s="622"/>
      <c r="Q62" s="982"/>
      <c r="R62" s="861"/>
    </row>
    <row r="63" spans="1:42" s="224" customFormat="1" ht="15" customHeight="1" x14ac:dyDescent="0.25">
      <c r="A63" s="247">
        <v>45666</v>
      </c>
      <c r="B63" s="364" t="s">
        <v>81</v>
      </c>
      <c r="C63" s="350" t="s">
        <v>12</v>
      </c>
      <c r="D63" s="350" t="s">
        <v>1493</v>
      </c>
      <c r="E63" s="875" t="s">
        <v>13</v>
      </c>
      <c r="F63" s="780">
        <v>4.5</v>
      </c>
      <c r="G63" s="982"/>
      <c r="H63" s="1008"/>
      <c r="I63" s="1063"/>
      <c r="J63" s="1116"/>
      <c r="K63" s="1207"/>
      <c r="L63" s="622"/>
      <c r="M63" s="982"/>
      <c r="N63" s="622"/>
      <c r="O63" s="1063"/>
      <c r="P63" s="622"/>
      <c r="Q63" s="982"/>
      <c r="R63" s="861"/>
      <c r="T63" s="1035"/>
    </row>
    <row r="64" spans="1:42" s="224" customFormat="1" x14ac:dyDescent="0.25">
      <c r="A64" s="247">
        <v>45667</v>
      </c>
      <c r="B64" s="364" t="s">
        <v>32</v>
      </c>
      <c r="C64" s="350" t="s">
        <v>12</v>
      </c>
      <c r="D64" s="350" t="s">
        <v>1485</v>
      </c>
      <c r="E64" s="875" t="s">
        <v>13</v>
      </c>
      <c r="F64" s="780">
        <v>22</v>
      </c>
      <c r="G64" s="982"/>
      <c r="H64" s="1008"/>
      <c r="I64" s="1063"/>
      <c r="J64" s="2013"/>
      <c r="K64" s="1207"/>
      <c r="L64" s="622"/>
      <c r="M64" s="982"/>
      <c r="N64" s="622"/>
      <c r="O64" s="1063"/>
      <c r="P64" s="622"/>
      <c r="Q64" s="982"/>
      <c r="R64" s="861"/>
      <c r="T64" s="878"/>
    </row>
    <row r="65" spans="1:42" s="224" customFormat="1" ht="15" customHeight="1" x14ac:dyDescent="0.25">
      <c r="A65" s="247">
        <v>45667</v>
      </c>
      <c r="B65" s="882" t="s">
        <v>7234</v>
      </c>
      <c r="C65" s="879" t="s">
        <v>12</v>
      </c>
      <c r="D65" s="879"/>
      <c r="E65" s="875" t="s">
        <v>13</v>
      </c>
      <c r="F65" s="780"/>
      <c r="G65" s="982">
        <v>64.25</v>
      </c>
      <c r="H65" s="1008"/>
      <c r="I65" s="1063"/>
      <c r="J65" s="622">
        <v>64.25</v>
      </c>
      <c r="K65" s="982"/>
      <c r="L65" s="622"/>
      <c r="M65" s="982"/>
      <c r="N65" s="622"/>
      <c r="O65" s="1063"/>
      <c r="P65" s="622"/>
      <c r="Q65" s="982"/>
      <c r="R65" s="861"/>
    </row>
    <row r="66" spans="1:42" s="224" customFormat="1" ht="15" customHeight="1" x14ac:dyDescent="0.25">
      <c r="A66" s="247">
        <v>45667</v>
      </c>
      <c r="B66" s="882" t="s">
        <v>7269</v>
      </c>
      <c r="C66" s="879" t="s">
        <v>12</v>
      </c>
      <c r="D66" s="879" t="s">
        <v>1524</v>
      </c>
      <c r="E66" s="875" t="s">
        <v>13</v>
      </c>
      <c r="F66" s="780">
        <v>64.25</v>
      </c>
      <c r="G66" s="982"/>
      <c r="H66" s="1008"/>
      <c r="I66" s="1063"/>
      <c r="J66" s="613"/>
      <c r="K66" s="982"/>
      <c r="L66" s="622"/>
      <c r="M66" s="982"/>
      <c r="N66" s="622"/>
      <c r="O66" s="1063"/>
      <c r="P66" s="622"/>
      <c r="Q66" s="982"/>
      <c r="R66" s="861"/>
    </row>
    <row r="67" spans="1:42" s="224" customFormat="1" ht="15" customHeight="1" x14ac:dyDescent="0.25">
      <c r="A67" s="247">
        <v>45667</v>
      </c>
      <c r="B67" s="1275" t="s">
        <v>6942</v>
      </c>
      <c r="C67" s="1276" t="s">
        <v>12</v>
      </c>
      <c r="D67" s="1276"/>
      <c r="E67" s="1286" t="s">
        <v>13</v>
      </c>
      <c r="F67" s="613">
        <v>178.2</v>
      </c>
      <c r="G67" s="967"/>
      <c r="H67" s="1008"/>
      <c r="I67" s="1063"/>
      <c r="J67" s="613"/>
      <c r="K67" s="6"/>
      <c r="L67" s="622"/>
      <c r="M67" s="982"/>
      <c r="N67" s="622"/>
      <c r="O67" s="1063"/>
      <c r="P67" s="613"/>
      <c r="Q67" s="64"/>
      <c r="R67" s="1024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ht="15" customHeight="1" x14ac:dyDescent="0.25">
      <c r="A68" s="247">
        <v>45667</v>
      </c>
      <c r="B68" s="1275" t="s">
        <v>6755</v>
      </c>
      <c r="C68" s="1276" t="s">
        <v>12</v>
      </c>
      <c r="D68" s="1276"/>
      <c r="E68" s="1286"/>
      <c r="F68" s="613"/>
      <c r="G68" s="967">
        <v>178.2</v>
      </c>
      <c r="H68" s="1008"/>
      <c r="I68" s="1063"/>
      <c r="J68" s="613"/>
      <c r="K68" s="6"/>
      <c r="L68" s="622"/>
      <c r="M68" s="982"/>
      <c r="N68" s="622"/>
      <c r="O68" s="1063"/>
      <c r="P68" s="613"/>
      <c r="Q68" s="64"/>
      <c r="R68" s="1024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customHeight="1" x14ac:dyDescent="0.25">
      <c r="A69" s="247">
        <v>45667</v>
      </c>
      <c r="B69" s="882" t="s">
        <v>14</v>
      </c>
      <c r="C69" s="879" t="s">
        <v>12</v>
      </c>
      <c r="D69" s="879" t="s">
        <v>1486</v>
      </c>
      <c r="E69" s="871" t="s">
        <v>13</v>
      </c>
      <c r="F69" s="780">
        <v>17.39</v>
      </c>
      <c r="G69" s="982"/>
      <c r="H69" s="1008"/>
      <c r="I69" s="1063"/>
      <c r="J69" s="613"/>
      <c r="K69" s="982"/>
      <c r="L69" s="622"/>
      <c r="M69" s="982"/>
      <c r="N69" s="622"/>
      <c r="O69" s="1063"/>
      <c r="P69" s="622"/>
      <c r="Q69" s="982"/>
      <c r="R69" s="861"/>
    </row>
    <row r="70" spans="1:42" s="224" customFormat="1" ht="15" customHeight="1" x14ac:dyDescent="0.25">
      <c r="A70" s="247">
        <v>45668</v>
      </c>
      <c r="B70" s="882" t="s">
        <v>14</v>
      </c>
      <c r="C70" s="879" t="s">
        <v>12</v>
      </c>
      <c r="D70" s="879" t="s">
        <v>1486</v>
      </c>
      <c r="E70" s="871" t="s">
        <v>13</v>
      </c>
      <c r="F70" s="780">
        <v>7.05</v>
      </c>
      <c r="G70" s="982"/>
      <c r="H70" s="1008"/>
      <c r="I70" s="1063"/>
      <c r="J70" s="613"/>
      <c r="K70" s="982"/>
      <c r="L70" s="622"/>
      <c r="M70" s="982"/>
      <c r="N70" s="622"/>
      <c r="O70" s="1063"/>
      <c r="P70" s="622"/>
      <c r="Q70" s="982"/>
      <c r="R70" s="861"/>
    </row>
    <row r="71" spans="1:42" s="224" customFormat="1" ht="15" customHeight="1" x14ac:dyDescent="0.25">
      <c r="A71" s="247">
        <v>45668</v>
      </c>
      <c r="B71" s="882" t="s">
        <v>7234</v>
      </c>
      <c r="C71" s="879" t="s">
        <v>12</v>
      </c>
      <c r="D71" s="879"/>
      <c r="E71" s="875" t="s">
        <v>13</v>
      </c>
      <c r="F71" s="780"/>
      <c r="G71" s="982">
        <v>282.73</v>
      </c>
      <c r="H71" s="1008"/>
      <c r="I71" s="1063"/>
      <c r="J71" s="622">
        <v>282.73</v>
      </c>
      <c r="K71" s="982"/>
      <c r="L71" s="622"/>
      <c r="M71" s="982"/>
      <c r="N71" s="622"/>
      <c r="O71" s="1063"/>
      <c r="P71" s="622"/>
      <c r="Q71" s="982"/>
      <c r="R71" s="861"/>
    </row>
    <row r="72" spans="1:42" s="224" customFormat="1" ht="15" customHeight="1" x14ac:dyDescent="0.25">
      <c r="A72" s="247">
        <v>45668</v>
      </c>
      <c r="B72" s="882" t="s">
        <v>7273</v>
      </c>
      <c r="C72" s="879" t="s">
        <v>12</v>
      </c>
      <c r="D72" s="879" t="s">
        <v>1524</v>
      </c>
      <c r="E72" s="875" t="s">
        <v>13</v>
      </c>
      <c r="F72" s="780">
        <v>282.73</v>
      </c>
      <c r="G72" s="982"/>
      <c r="H72" s="1008"/>
      <c r="I72" s="1063"/>
      <c r="J72" s="613"/>
      <c r="K72" s="982"/>
      <c r="L72" s="622"/>
      <c r="M72" s="982"/>
      <c r="N72" s="622"/>
      <c r="O72" s="1063"/>
      <c r="P72" s="622"/>
      <c r="Q72" s="982"/>
      <c r="R72" s="861"/>
    </row>
    <row r="73" spans="1:42" s="224" customFormat="1" ht="15" customHeight="1" x14ac:dyDescent="0.25">
      <c r="A73" s="247">
        <v>45668</v>
      </c>
      <c r="B73" s="882" t="s">
        <v>7270</v>
      </c>
      <c r="C73" s="879" t="s">
        <v>12</v>
      </c>
      <c r="D73" s="879" t="s">
        <v>1493</v>
      </c>
      <c r="E73" s="875" t="s">
        <v>13</v>
      </c>
      <c r="F73" s="780">
        <v>57</v>
      </c>
      <c r="G73" s="982"/>
      <c r="H73" s="1008"/>
      <c r="I73" s="1063"/>
      <c r="J73" s="613"/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45669</v>
      </c>
      <c r="B74" s="882" t="s">
        <v>14</v>
      </c>
      <c r="C74" s="879" t="s">
        <v>12</v>
      </c>
      <c r="D74" s="879" t="s">
        <v>1486</v>
      </c>
      <c r="E74" s="871" t="s">
        <v>13</v>
      </c>
      <c r="F74" s="780">
        <v>6.73</v>
      </c>
      <c r="G74" s="982"/>
      <c r="H74" s="95"/>
      <c r="I74" s="1064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45669</v>
      </c>
      <c r="B75" s="882" t="s">
        <v>7271</v>
      </c>
      <c r="C75" s="879" t="s">
        <v>12</v>
      </c>
      <c r="D75" s="879" t="s">
        <v>1489</v>
      </c>
      <c r="E75" s="875" t="s">
        <v>13</v>
      </c>
      <c r="F75" s="780">
        <v>5.0999999999999996</v>
      </c>
      <c r="G75" s="982"/>
      <c r="H75" s="95"/>
      <c r="I75" s="1064"/>
      <c r="J75" s="613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4.25" customHeight="1" x14ac:dyDescent="0.25">
      <c r="A76" s="247">
        <v>45669</v>
      </c>
      <c r="B76" s="882" t="s">
        <v>7272</v>
      </c>
      <c r="C76" s="879" t="s">
        <v>12</v>
      </c>
      <c r="D76" s="879" t="s">
        <v>1493</v>
      </c>
      <c r="E76" s="875" t="s">
        <v>13</v>
      </c>
      <c r="F76" s="1873">
        <v>7</v>
      </c>
      <c r="G76" s="982"/>
      <c r="H76" s="1031"/>
      <c r="I76" s="1525"/>
      <c r="J76" s="622"/>
      <c r="K76" s="982"/>
      <c r="L76" s="880"/>
      <c r="M76" s="1033"/>
      <c r="N76" s="880"/>
      <c r="O76" s="1525"/>
      <c r="P76" s="613"/>
      <c r="Q76" s="162"/>
      <c r="R76" s="1209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ht="15" customHeight="1" x14ac:dyDescent="0.25">
      <c r="A77" s="247">
        <v>45669</v>
      </c>
      <c r="B77" s="882" t="s">
        <v>1906</v>
      </c>
      <c r="C77" s="879" t="s">
        <v>12</v>
      </c>
      <c r="D77" s="879" t="s">
        <v>1493</v>
      </c>
      <c r="E77" s="875" t="s">
        <v>13</v>
      </c>
      <c r="F77" s="780">
        <v>25</v>
      </c>
      <c r="G77" s="982"/>
      <c r="H77" s="1008"/>
      <c r="I77" s="1063"/>
      <c r="J77" s="613"/>
      <c r="K77" s="982"/>
      <c r="L77" s="622"/>
      <c r="M77" s="982"/>
      <c r="N77" s="622"/>
      <c r="O77" s="1063"/>
      <c r="P77" s="622"/>
      <c r="Q77" s="982"/>
      <c r="R77" s="861"/>
    </row>
    <row r="78" spans="1:42" s="224" customFormat="1" x14ac:dyDescent="0.25">
      <c r="A78" s="247">
        <v>45670</v>
      </c>
      <c r="B78" s="364" t="s">
        <v>32</v>
      </c>
      <c r="C78" s="350" t="s">
        <v>12</v>
      </c>
      <c r="D78" s="350" t="s">
        <v>1485</v>
      </c>
      <c r="E78" s="875" t="s">
        <v>13</v>
      </c>
      <c r="F78" s="780">
        <v>22</v>
      </c>
      <c r="G78" s="982"/>
      <c r="H78" s="1008"/>
      <c r="I78" s="1063"/>
      <c r="J78" s="2013"/>
      <c r="K78" s="1207"/>
      <c r="L78" s="622"/>
      <c r="M78" s="982"/>
      <c r="N78" s="622"/>
      <c r="O78" s="1063"/>
      <c r="P78" s="622"/>
      <c r="Q78" s="982"/>
      <c r="R78" s="861"/>
      <c r="T78" s="878"/>
    </row>
    <row r="79" spans="1:42" s="224" customFormat="1" ht="15" customHeight="1" x14ac:dyDescent="0.25">
      <c r="A79" s="247">
        <v>45670</v>
      </c>
      <c r="B79" s="882" t="s">
        <v>7291</v>
      </c>
      <c r="C79" s="879" t="s">
        <v>12</v>
      </c>
      <c r="D79" s="879"/>
      <c r="E79" s="875" t="s">
        <v>13</v>
      </c>
      <c r="F79" s="780"/>
      <c r="G79" s="982">
        <v>873.15</v>
      </c>
      <c r="H79" s="1008"/>
      <c r="I79" s="1063"/>
      <c r="J79" s="622">
        <v>873.15</v>
      </c>
      <c r="K79" s="982"/>
      <c r="L79" s="622"/>
      <c r="M79" s="982"/>
      <c r="N79" s="622"/>
      <c r="O79" s="1063"/>
      <c r="P79" s="622"/>
      <c r="Q79" s="982"/>
      <c r="R79" s="861"/>
    </row>
    <row r="80" spans="1:42" s="224" customFormat="1" ht="15" customHeight="1" x14ac:dyDescent="0.25">
      <c r="A80" s="247">
        <v>45670</v>
      </c>
      <c r="B80" s="882" t="s">
        <v>7292</v>
      </c>
      <c r="C80" s="879" t="s">
        <v>12</v>
      </c>
      <c r="D80" s="879" t="s">
        <v>1524</v>
      </c>
      <c r="E80" s="875" t="s">
        <v>13</v>
      </c>
      <c r="F80" s="780">
        <v>873.15</v>
      </c>
      <c r="G80" s="982"/>
      <c r="H80" s="1008"/>
      <c r="I80" s="1063"/>
      <c r="J80" s="613"/>
      <c r="K80" s="982"/>
      <c r="L80" s="622"/>
      <c r="M80" s="982"/>
      <c r="N80" s="622"/>
      <c r="O80" s="1063"/>
      <c r="P80" s="622"/>
      <c r="Q80" s="982"/>
      <c r="R80" s="861"/>
    </row>
    <row r="81" spans="1:42" s="224" customFormat="1" ht="15" customHeight="1" x14ac:dyDescent="0.25">
      <c r="A81" s="247">
        <v>45670</v>
      </c>
      <c r="B81" s="882" t="s">
        <v>17</v>
      </c>
      <c r="C81" s="879" t="s">
        <v>12</v>
      </c>
      <c r="D81" s="879" t="s">
        <v>1493</v>
      </c>
      <c r="E81" s="875" t="s">
        <v>13</v>
      </c>
      <c r="F81" s="780">
        <v>8</v>
      </c>
      <c r="G81" s="982"/>
      <c r="H81" s="1008"/>
      <c r="I81" s="1063"/>
      <c r="J81" s="613"/>
      <c r="K81" s="982"/>
      <c r="L81" s="622"/>
      <c r="M81" s="982"/>
      <c r="N81" s="622"/>
      <c r="O81" s="1063"/>
      <c r="P81" s="622"/>
      <c r="Q81" s="982"/>
      <c r="R81" s="861"/>
    </row>
    <row r="82" spans="1:42" s="224" customFormat="1" ht="15" customHeight="1" x14ac:dyDescent="0.25">
      <c r="A82" s="247">
        <v>45670</v>
      </c>
      <c r="B82" s="882" t="s">
        <v>14</v>
      </c>
      <c r="C82" s="879" t="s">
        <v>12</v>
      </c>
      <c r="D82" s="879" t="s">
        <v>1486</v>
      </c>
      <c r="E82" s="871" t="s">
        <v>13</v>
      </c>
      <c r="F82" s="780">
        <v>6.77</v>
      </c>
      <c r="G82" s="982"/>
      <c r="H82" s="95"/>
      <c r="I82" s="1064"/>
      <c r="J82" s="613"/>
      <c r="K82" s="982"/>
      <c r="L82" s="622"/>
      <c r="M82" s="982"/>
      <c r="N82" s="622"/>
      <c r="O82" s="1063"/>
      <c r="P82" s="622"/>
      <c r="Q82" s="982"/>
      <c r="R82" s="861"/>
    </row>
    <row r="83" spans="1:42" s="224" customFormat="1" ht="15" customHeight="1" x14ac:dyDescent="0.25">
      <c r="A83" s="247">
        <v>45671</v>
      </c>
      <c r="B83" s="882" t="s">
        <v>6329</v>
      </c>
      <c r="C83" s="879" t="s">
        <v>12</v>
      </c>
      <c r="D83" s="879"/>
      <c r="E83" s="875" t="s">
        <v>25</v>
      </c>
      <c r="F83" s="780"/>
      <c r="G83" s="982">
        <v>100</v>
      </c>
      <c r="H83" s="1008"/>
      <c r="I83" s="1063"/>
      <c r="J83" s="613"/>
      <c r="K83" s="982"/>
      <c r="L83" s="622"/>
      <c r="M83" s="982"/>
      <c r="N83" s="622"/>
      <c r="O83" s="1063"/>
      <c r="P83" s="622"/>
      <c r="Q83" s="982"/>
      <c r="R83" s="861"/>
    </row>
    <row r="84" spans="1:42" s="224" customFormat="1" x14ac:dyDescent="0.25">
      <c r="A84" s="247">
        <v>45671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22</v>
      </c>
      <c r="G84" s="982"/>
      <c r="H84" s="1008"/>
      <c r="I84" s="1063"/>
      <c r="J84" s="2013"/>
      <c r="K84" s="1207"/>
      <c r="L84" s="622"/>
      <c r="M84" s="982"/>
      <c r="N84" s="622"/>
      <c r="O84" s="1063"/>
      <c r="P84" s="622"/>
      <c r="Q84" s="982"/>
      <c r="R84" s="861"/>
      <c r="T84" s="878"/>
    </row>
    <row r="85" spans="1:42" s="224" customFormat="1" x14ac:dyDescent="0.25">
      <c r="A85" s="247">
        <v>45672</v>
      </c>
      <c r="B85" s="364" t="s">
        <v>32</v>
      </c>
      <c r="C85" s="350" t="s">
        <v>12</v>
      </c>
      <c r="D85" s="350" t="s">
        <v>1485</v>
      </c>
      <c r="E85" s="875" t="s">
        <v>13</v>
      </c>
      <c r="F85" s="780">
        <v>22</v>
      </c>
      <c r="G85" s="982"/>
      <c r="H85" s="1008"/>
      <c r="I85" s="1063"/>
      <c r="J85" s="2013"/>
      <c r="K85" s="1207"/>
      <c r="L85" s="622"/>
      <c r="M85" s="982"/>
      <c r="N85" s="622"/>
      <c r="O85" s="1063"/>
      <c r="P85" s="622"/>
      <c r="Q85" s="982"/>
      <c r="R85" s="861"/>
      <c r="T85" s="878"/>
    </row>
    <row r="86" spans="1:42" s="224" customFormat="1" x14ac:dyDescent="0.25">
      <c r="A86" s="247">
        <v>45672</v>
      </c>
      <c r="B86" s="1275" t="s">
        <v>2629</v>
      </c>
      <c r="C86" s="879" t="s">
        <v>12</v>
      </c>
      <c r="D86" s="1276" t="s">
        <v>1489</v>
      </c>
      <c r="E86" s="1286" t="s">
        <v>5470</v>
      </c>
      <c r="F86" s="780">
        <v>155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982"/>
      <c r="R86" s="1028"/>
      <c r="T86" s="878"/>
    </row>
    <row r="87" spans="1:42" s="224" customFormat="1" ht="15" customHeight="1" x14ac:dyDescent="0.25">
      <c r="A87" s="247">
        <v>45672</v>
      </c>
      <c r="B87" s="882" t="s">
        <v>2629</v>
      </c>
      <c r="C87" s="879" t="s">
        <v>12</v>
      </c>
      <c r="D87" s="879" t="s">
        <v>1489</v>
      </c>
      <c r="E87" s="480" t="s">
        <v>13</v>
      </c>
      <c r="F87" s="613">
        <v>10.3</v>
      </c>
      <c r="G87" s="967"/>
      <c r="H87" s="1008"/>
      <c r="I87" s="1063"/>
      <c r="J87" s="622"/>
      <c r="K87" s="982"/>
      <c r="L87" s="880"/>
      <c r="M87" s="1033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45673</v>
      </c>
      <c r="B88" s="882" t="s">
        <v>7300</v>
      </c>
      <c r="C88" s="879" t="s">
        <v>12</v>
      </c>
      <c r="D88" s="879" t="s">
        <v>1525</v>
      </c>
      <c r="E88" s="875" t="s">
        <v>13</v>
      </c>
      <c r="F88" s="780">
        <v>24.21</v>
      </c>
      <c r="G88" s="982"/>
      <c r="H88" s="622"/>
      <c r="I88" s="982"/>
      <c r="J88" s="622"/>
      <c r="K88" s="982"/>
      <c r="L88" s="622"/>
      <c r="M88" s="982"/>
      <c r="N88" s="622"/>
      <c r="O88" s="1063"/>
      <c r="P88" s="622"/>
      <c r="Q88" s="982"/>
      <c r="R88" s="1028"/>
      <c r="S88" s="959"/>
      <c r="T88" s="878"/>
      <c r="U88" s="958"/>
    </row>
    <row r="89" spans="1:42" s="224" customFormat="1" ht="15" customHeight="1" x14ac:dyDescent="0.25">
      <c r="A89" s="247">
        <v>45673</v>
      </c>
      <c r="B89" s="882" t="s">
        <v>7301</v>
      </c>
      <c r="C89" s="879" t="s">
        <v>12</v>
      </c>
      <c r="D89" s="879" t="s">
        <v>1525</v>
      </c>
      <c r="E89" s="871" t="s">
        <v>13</v>
      </c>
      <c r="F89" s="780">
        <v>42.49</v>
      </c>
      <c r="G89" s="982"/>
      <c r="H89" s="622"/>
      <c r="I89" s="982"/>
      <c r="J89" s="872"/>
      <c r="K89" s="1207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customHeight="1" x14ac:dyDescent="0.25">
      <c r="A90" s="247">
        <v>45673</v>
      </c>
      <c r="B90" s="882" t="s">
        <v>7302</v>
      </c>
      <c r="C90" s="879" t="s">
        <v>12</v>
      </c>
      <c r="D90" s="879" t="s">
        <v>1525</v>
      </c>
      <c r="E90" s="875" t="s">
        <v>13</v>
      </c>
      <c r="F90" s="780">
        <v>26.9</v>
      </c>
      <c r="G90" s="982"/>
      <c r="H90" s="622"/>
      <c r="I90" s="982"/>
      <c r="J90" s="622"/>
      <c r="K90" s="982"/>
      <c r="L90" s="622"/>
      <c r="M90" s="982"/>
      <c r="N90" s="622"/>
      <c r="O90" s="1063"/>
      <c r="P90" s="622"/>
      <c r="Q90" s="982"/>
      <c r="R90" s="1028"/>
      <c r="S90" s="959"/>
      <c r="T90" s="878"/>
      <c r="U90" s="958"/>
    </row>
    <row r="91" spans="1:42" s="224" customFormat="1" x14ac:dyDescent="0.25">
      <c r="A91" s="247">
        <v>45673</v>
      </c>
      <c r="B91" s="364" t="s">
        <v>32</v>
      </c>
      <c r="C91" s="350" t="s">
        <v>12</v>
      </c>
      <c r="D91" s="350" t="s">
        <v>1485</v>
      </c>
      <c r="E91" s="875" t="s">
        <v>13</v>
      </c>
      <c r="F91" s="780">
        <v>22</v>
      </c>
      <c r="G91" s="982"/>
      <c r="H91" s="1008"/>
      <c r="I91" s="1063"/>
      <c r="J91" s="2013"/>
      <c r="K91" s="1207"/>
      <c r="L91" s="622"/>
      <c r="M91" s="982"/>
      <c r="N91" s="622"/>
      <c r="O91" s="1063"/>
      <c r="P91" s="622"/>
      <c r="Q91" s="982"/>
      <c r="R91" s="861"/>
      <c r="T91" s="878"/>
    </row>
    <row r="92" spans="1:42" s="224" customFormat="1" x14ac:dyDescent="0.25">
      <c r="A92" s="247">
        <v>45674</v>
      </c>
      <c r="B92" s="364" t="s">
        <v>32</v>
      </c>
      <c r="C92" s="350" t="s">
        <v>12</v>
      </c>
      <c r="D92" s="350" t="s">
        <v>1485</v>
      </c>
      <c r="E92" s="875" t="s">
        <v>13</v>
      </c>
      <c r="F92" s="780">
        <v>22</v>
      </c>
      <c r="G92" s="982"/>
      <c r="H92" s="1008"/>
      <c r="I92" s="1063"/>
      <c r="J92" s="2013"/>
      <c r="K92" s="1207"/>
      <c r="L92" s="622"/>
      <c r="M92" s="982"/>
      <c r="N92" s="622"/>
      <c r="O92" s="1063"/>
      <c r="P92" s="622"/>
      <c r="Q92" s="982"/>
      <c r="R92" s="861"/>
      <c r="T92" s="878"/>
    </row>
    <row r="93" spans="1:42" s="224" customFormat="1" ht="15" customHeight="1" x14ac:dyDescent="0.25">
      <c r="A93" s="247">
        <v>45674</v>
      </c>
      <c r="B93" s="364" t="s">
        <v>81</v>
      </c>
      <c r="C93" s="350" t="s">
        <v>12</v>
      </c>
      <c r="D93" s="350" t="s">
        <v>1493</v>
      </c>
      <c r="E93" s="875" t="s">
        <v>13</v>
      </c>
      <c r="F93" s="780">
        <v>10</v>
      </c>
      <c r="G93" s="982"/>
      <c r="H93" s="1008"/>
      <c r="I93" s="1063"/>
      <c r="J93" s="1116"/>
      <c r="K93" s="1207"/>
      <c r="L93" s="622"/>
      <c r="M93" s="982"/>
      <c r="N93" s="622"/>
      <c r="O93" s="1063"/>
      <c r="P93" s="622"/>
      <c r="Q93" s="982"/>
      <c r="R93" s="861"/>
      <c r="T93" s="1035"/>
    </row>
    <row r="94" spans="1:42" s="224" customFormat="1" ht="15" customHeight="1" x14ac:dyDescent="0.25">
      <c r="A94" s="247">
        <v>45674</v>
      </c>
      <c r="B94" s="882" t="s">
        <v>14</v>
      </c>
      <c r="C94" s="879" t="s">
        <v>12</v>
      </c>
      <c r="D94" s="879" t="s">
        <v>1486</v>
      </c>
      <c r="E94" s="871" t="s">
        <v>13</v>
      </c>
      <c r="F94" s="780">
        <v>8.2799999999999994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45675</v>
      </c>
      <c r="B95" s="882" t="s">
        <v>14</v>
      </c>
      <c r="C95" s="879" t="s">
        <v>12</v>
      </c>
      <c r="D95" s="879" t="s">
        <v>1486</v>
      </c>
      <c r="E95" s="871" t="s">
        <v>13</v>
      </c>
      <c r="F95" s="780">
        <v>6.21</v>
      </c>
      <c r="G95" s="982"/>
      <c r="H95" s="622"/>
      <c r="I95" s="982"/>
      <c r="J95" s="872"/>
      <c r="K95" s="1207"/>
      <c r="L95" s="622"/>
      <c r="M95" s="982"/>
      <c r="N95" s="622"/>
      <c r="O95" s="1063"/>
      <c r="P95" s="622"/>
      <c r="Q95" s="982"/>
      <c r="R95" s="1028"/>
      <c r="S95" s="959"/>
      <c r="T95" s="878"/>
      <c r="U95" s="958"/>
    </row>
    <row r="96" spans="1:42" s="224" customFormat="1" x14ac:dyDescent="0.25">
      <c r="A96" s="247">
        <v>45675</v>
      </c>
      <c r="B96" s="1275" t="s">
        <v>7122</v>
      </c>
      <c r="C96" s="879" t="s">
        <v>12</v>
      </c>
      <c r="D96" s="1276" t="s">
        <v>1489</v>
      </c>
      <c r="E96" s="1277" t="s">
        <v>13</v>
      </c>
      <c r="F96" s="1279">
        <v>13</v>
      </c>
      <c r="G96" s="982"/>
      <c r="H96" s="1008"/>
      <c r="I96" s="1063"/>
      <c r="J96" s="2013"/>
      <c r="K96" s="1207"/>
      <c r="L96" s="622"/>
      <c r="M96" s="982"/>
      <c r="N96" s="622"/>
      <c r="O96" s="1063"/>
      <c r="P96" s="622"/>
      <c r="Q96" s="982"/>
      <c r="R96" s="1028"/>
      <c r="T96" s="878"/>
    </row>
    <row r="97" spans="1:42" s="224" customFormat="1" ht="15" customHeight="1" x14ac:dyDescent="0.25">
      <c r="A97" s="247">
        <v>45675</v>
      </c>
      <c r="B97" s="882" t="s">
        <v>7305</v>
      </c>
      <c r="C97" s="879" t="s">
        <v>12</v>
      </c>
      <c r="D97" s="879" t="s">
        <v>1523</v>
      </c>
      <c r="E97" s="875" t="s">
        <v>13</v>
      </c>
      <c r="F97" s="780">
        <v>140</v>
      </c>
      <c r="G97" s="982"/>
      <c r="H97" s="622"/>
      <c r="I97" s="982"/>
      <c r="J97" s="622"/>
      <c r="K97" s="982"/>
      <c r="L97" s="622"/>
      <c r="M97" s="982"/>
      <c r="N97" s="880"/>
      <c r="O97" s="1525"/>
      <c r="P97" s="613"/>
      <c r="Q97" s="162"/>
      <c r="R97" s="1956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pans="1:42" s="224" customFormat="1" ht="15" customHeight="1" x14ac:dyDescent="0.25">
      <c r="A98" s="247">
        <v>45676</v>
      </c>
      <c r="B98" s="882" t="s">
        <v>14</v>
      </c>
      <c r="C98" s="879" t="s">
        <v>12</v>
      </c>
      <c r="D98" s="879" t="s">
        <v>1486</v>
      </c>
      <c r="E98" s="871" t="s">
        <v>13</v>
      </c>
      <c r="F98" s="780">
        <v>6.3</v>
      </c>
      <c r="G98" s="982"/>
      <c r="H98" s="622"/>
      <c r="I98" s="982"/>
      <c r="J98" s="872"/>
      <c r="K98" s="1207"/>
      <c r="L98" s="622"/>
      <c r="M98" s="982"/>
      <c r="N98" s="622"/>
      <c r="O98" s="1063"/>
      <c r="P98" s="622"/>
      <c r="Q98" s="982"/>
      <c r="R98" s="1028"/>
      <c r="S98" s="959"/>
      <c r="T98" s="878"/>
      <c r="U98" s="958"/>
    </row>
    <row r="99" spans="1:42" s="224" customFormat="1" ht="15" customHeight="1" x14ac:dyDescent="0.25">
      <c r="A99" s="247">
        <v>45676</v>
      </c>
      <c r="B99" s="882" t="s">
        <v>23</v>
      </c>
      <c r="C99" s="879" t="s">
        <v>12</v>
      </c>
      <c r="D99" s="879" t="s">
        <v>1489</v>
      </c>
      <c r="E99" s="875" t="s">
        <v>13</v>
      </c>
      <c r="F99" s="780">
        <v>16</v>
      </c>
      <c r="G99" s="982"/>
      <c r="H99" s="622"/>
      <c r="I99" s="982"/>
      <c r="J99" s="622"/>
      <c r="K99" s="982"/>
      <c r="L99" s="622"/>
      <c r="M99" s="982"/>
      <c r="N99" s="880"/>
      <c r="O99" s="1525"/>
      <c r="P99" s="613"/>
      <c r="Q99" s="162"/>
      <c r="R99" s="1956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45677</v>
      </c>
      <c r="B100" s="882" t="s">
        <v>7221</v>
      </c>
      <c r="C100" s="350" t="s">
        <v>12</v>
      </c>
      <c r="D100" s="350"/>
      <c r="E100" s="480" t="s">
        <v>25</v>
      </c>
      <c r="F100" s="622"/>
      <c r="G100" s="982">
        <v>2080</v>
      </c>
      <c r="H100" s="1008"/>
      <c r="I100" s="1063"/>
      <c r="J100" s="622"/>
      <c r="K100" s="982"/>
      <c r="L100" s="622"/>
      <c r="M100" s="982"/>
      <c r="N100" s="622"/>
      <c r="O100" s="1063"/>
      <c r="P100" s="622"/>
      <c r="Q100" s="982"/>
      <c r="R100" s="861"/>
    </row>
    <row r="101" spans="1:42" s="224" customFormat="1" ht="15" customHeight="1" x14ac:dyDescent="0.25">
      <c r="A101" s="247">
        <v>45677</v>
      </c>
      <c r="B101" s="364" t="s">
        <v>7222</v>
      </c>
      <c r="C101" s="879" t="s">
        <v>12</v>
      </c>
      <c r="D101" s="879"/>
      <c r="E101" s="983" t="s">
        <v>25</v>
      </c>
      <c r="F101" s="780"/>
      <c r="G101" s="982"/>
      <c r="H101" s="622"/>
      <c r="I101" s="982"/>
      <c r="J101" s="2013"/>
      <c r="K101" s="1207"/>
      <c r="L101" s="622"/>
      <c r="M101" s="982"/>
      <c r="N101" s="622"/>
      <c r="O101" s="1063"/>
      <c r="P101" s="622"/>
      <c r="Q101" s="982">
        <v>805.33</v>
      </c>
      <c r="R101" s="927"/>
      <c r="S101" s="927"/>
      <c r="T101" s="878"/>
    </row>
    <row r="102" spans="1:42" s="224" customFormat="1" ht="15" customHeight="1" x14ac:dyDescent="0.25">
      <c r="A102" s="247">
        <v>45677</v>
      </c>
      <c r="B102" s="364" t="s">
        <v>3354</v>
      </c>
      <c r="C102" s="350" t="s">
        <v>12</v>
      </c>
      <c r="D102" s="350"/>
      <c r="E102" s="145" t="s">
        <v>25</v>
      </c>
      <c r="F102" s="613"/>
      <c r="G102" s="967"/>
      <c r="H102" s="1008"/>
      <c r="I102" s="1063"/>
      <c r="J102" s="622"/>
      <c r="K102" s="982"/>
      <c r="L102" s="880"/>
      <c r="M102" s="1033"/>
      <c r="N102" s="880"/>
      <c r="O102" s="1525"/>
      <c r="P102" s="613"/>
      <c r="Q102" s="162">
        <v>176.56</v>
      </c>
      <c r="R102" s="2018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</row>
    <row r="103" spans="1:42" s="224" customFormat="1" ht="15" customHeight="1" x14ac:dyDescent="0.25">
      <c r="A103" s="247">
        <v>45677</v>
      </c>
      <c r="B103" s="862" t="s">
        <v>2867</v>
      </c>
      <c r="C103" s="350" t="s">
        <v>12</v>
      </c>
      <c r="D103" s="874" t="s">
        <v>1504</v>
      </c>
      <c r="E103" s="887" t="s">
        <v>13</v>
      </c>
      <c r="F103" s="1245"/>
      <c r="G103" s="982"/>
      <c r="H103" s="1009"/>
      <c r="I103" s="1063"/>
      <c r="J103" s="622"/>
      <c r="K103" s="982"/>
      <c r="L103" s="853"/>
      <c r="M103" s="982"/>
      <c r="N103" s="853"/>
      <c r="O103" s="1063"/>
      <c r="P103" s="622"/>
      <c r="Q103" s="982"/>
      <c r="R103" s="1690" t="s">
        <v>7215</v>
      </c>
      <c r="S103" s="1690"/>
      <c r="T103" s="1690"/>
      <c r="U103" s="1690"/>
      <c r="V103" s="1690"/>
      <c r="W103" s="1690"/>
      <c r="X103" s="1690"/>
      <c r="Y103" s="1690"/>
      <c r="Z103" s="1690"/>
    </row>
    <row r="104" spans="1:42" s="224" customFormat="1" ht="14.25" customHeight="1" x14ac:dyDescent="0.25">
      <c r="A104" s="247">
        <v>45677</v>
      </c>
      <c r="B104" s="364" t="s">
        <v>2977</v>
      </c>
      <c r="C104" s="350" t="s">
        <v>12</v>
      </c>
      <c r="D104" s="350" t="s">
        <v>1491</v>
      </c>
      <c r="E104" s="875" t="s">
        <v>13</v>
      </c>
      <c r="F104" s="1047">
        <v>400</v>
      </c>
      <c r="G104" s="982"/>
      <c r="H104" s="1008"/>
      <c r="I104" s="1063"/>
      <c r="J104" s="622"/>
      <c r="K104" s="982"/>
      <c r="L104" s="622"/>
      <c r="M104" s="982"/>
      <c r="N104" s="622"/>
      <c r="O104" s="1063"/>
      <c r="P104" s="622"/>
      <c r="Q104" s="982"/>
      <c r="R104" s="1029"/>
      <c r="S104" s="89"/>
      <c r="T104" s="930"/>
    </row>
    <row r="105" spans="1:42" s="224" customFormat="1" ht="15" customHeight="1" x14ac:dyDescent="0.25">
      <c r="A105" s="247">
        <v>45677</v>
      </c>
      <c r="B105" s="349" t="s">
        <v>7223</v>
      </c>
      <c r="C105" s="887" t="s">
        <v>12</v>
      </c>
      <c r="D105" s="350" t="s">
        <v>1525</v>
      </c>
      <c r="E105" s="887" t="s">
        <v>13</v>
      </c>
      <c r="F105" s="613">
        <v>299.75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45677</v>
      </c>
      <c r="B106" s="349" t="s">
        <v>7223</v>
      </c>
      <c r="C106" s="887" t="s">
        <v>12</v>
      </c>
      <c r="D106" s="350" t="s">
        <v>1522</v>
      </c>
      <c r="E106" s="887" t="s">
        <v>13</v>
      </c>
      <c r="F106" s="613">
        <v>23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45677</v>
      </c>
      <c r="B107" s="349" t="s">
        <v>7223</v>
      </c>
      <c r="C107" s="887" t="s">
        <v>12</v>
      </c>
      <c r="D107" s="350" t="s">
        <v>1489</v>
      </c>
      <c r="E107" s="887" t="s">
        <v>13</v>
      </c>
      <c r="F107" s="613">
        <v>37.31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45677</v>
      </c>
      <c r="B108" s="349" t="s">
        <v>7223</v>
      </c>
      <c r="C108" s="887" t="s">
        <v>12</v>
      </c>
      <c r="D108" s="350" t="s">
        <v>1496</v>
      </c>
      <c r="E108" s="887" t="s">
        <v>13</v>
      </c>
      <c r="F108" s="613">
        <v>70.3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45677</v>
      </c>
      <c r="B109" s="349" t="s">
        <v>7223</v>
      </c>
      <c r="C109" s="887" t="s">
        <v>12</v>
      </c>
      <c r="D109" s="350" t="s">
        <v>1522</v>
      </c>
      <c r="E109" s="887" t="s">
        <v>13</v>
      </c>
      <c r="F109" s="613">
        <v>95.9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45677</v>
      </c>
      <c r="B110" s="349" t="s">
        <v>7223</v>
      </c>
      <c r="C110" s="887" t="s">
        <v>12</v>
      </c>
      <c r="D110" s="350" t="s">
        <v>1522</v>
      </c>
      <c r="E110" s="887" t="s">
        <v>13</v>
      </c>
      <c r="F110" s="613">
        <v>85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45677</v>
      </c>
      <c r="B111" s="349" t="s">
        <v>7223</v>
      </c>
      <c r="C111" s="887" t="s">
        <v>12</v>
      </c>
      <c r="D111" s="1005" t="s">
        <v>1522</v>
      </c>
      <c r="E111" s="887" t="s">
        <v>13</v>
      </c>
      <c r="F111" s="1116">
        <v>24.6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45677</v>
      </c>
      <c r="B112" s="349" t="s">
        <v>7223</v>
      </c>
      <c r="C112" s="887" t="s">
        <v>12</v>
      </c>
      <c r="D112" s="350" t="s">
        <v>1525</v>
      </c>
      <c r="E112" s="887" t="s">
        <v>13</v>
      </c>
      <c r="F112" s="613">
        <v>78.900000000000006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21" s="224" customFormat="1" ht="15" customHeight="1" x14ac:dyDescent="0.25">
      <c r="A113" s="247">
        <v>45677</v>
      </c>
      <c r="B113" s="349" t="s">
        <v>7223</v>
      </c>
      <c r="C113" s="887" t="s">
        <v>12</v>
      </c>
      <c r="D113" s="350" t="s">
        <v>1525</v>
      </c>
      <c r="E113" s="887" t="s">
        <v>13</v>
      </c>
      <c r="F113" s="613">
        <v>109.95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21" s="224" customFormat="1" ht="15" customHeight="1" x14ac:dyDescent="0.25">
      <c r="A114" s="247">
        <v>45677</v>
      </c>
      <c r="B114" s="882" t="s">
        <v>7224</v>
      </c>
      <c r="C114" s="879" t="s">
        <v>12</v>
      </c>
      <c r="D114" s="879" t="s">
        <v>1499</v>
      </c>
      <c r="E114" s="871" t="s">
        <v>13</v>
      </c>
      <c r="F114" s="780">
        <v>174.86</v>
      </c>
      <c r="G114" s="982"/>
      <c r="H114" s="1008"/>
      <c r="I114" s="1063"/>
      <c r="J114" s="622"/>
      <c r="K114" s="982"/>
      <c r="L114" s="622"/>
      <c r="M114" s="982"/>
      <c r="N114" s="622"/>
      <c r="O114" s="1063"/>
      <c r="P114" s="622"/>
      <c r="Q114" s="982"/>
      <c r="R114" s="861">
        <v>574.86</v>
      </c>
      <c r="T114" s="1123"/>
      <c r="U114" s="999"/>
    </row>
    <row r="115" spans="1:21" s="224" customFormat="1" ht="15" customHeight="1" x14ac:dyDescent="0.25">
      <c r="A115" s="247">
        <v>45677</v>
      </c>
      <c r="B115" s="882" t="s">
        <v>7164</v>
      </c>
      <c r="C115" s="879" t="s">
        <v>12</v>
      </c>
      <c r="D115" s="879"/>
      <c r="E115" s="875"/>
      <c r="F115" s="780">
        <v>200</v>
      </c>
      <c r="G115" s="982"/>
      <c r="H115" s="95"/>
      <c r="I115" s="1064"/>
      <c r="J115" s="622"/>
      <c r="K115" s="982"/>
      <c r="L115" s="622"/>
      <c r="M115" s="982">
        <v>200</v>
      </c>
      <c r="N115" s="622"/>
      <c r="O115" s="1063"/>
      <c r="P115" s="622"/>
      <c r="Q115" s="982"/>
      <c r="R115" s="1028"/>
    </row>
    <row r="116" spans="1:21" s="224" customFormat="1" ht="15" customHeight="1" x14ac:dyDescent="0.25">
      <c r="A116" s="247">
        <v>45677</v>
      </c>
      <c r="B116" s="882" t="s">
        <v>7307</v>
      </c>
      <c r="C116" s="879" t="s">
        <v>12</v>
      </c>
      <c r="D116" s="879"/>
      <c r="E116" s="875" t="s">
        <v>13</v>
      </c>
      <c r="F116" s="780"/>
      <c r="G116" s="982">
        <v>21.2</v>
      </c>
      <c r="H116" s="1008"/>
      <c r="I116" s="1063"/>
      <c r="J116" s="622">
        <v>21.2</v>
      </c>
      <c r="K116" s="982"/>
      <c r="L116" s="622"/>
      <c r="M116" s="982"/>
      <c r="N116" s="622"/>
      <c r="O116" s="1063"/>
      <c r="P116" s="622"/>
      <c r="Q116" s="982"/>
      <c r="R116" s="861"/>
    </row>
    <row r="117" spans="1:21" s="224" customFormat="1" x14ac:dyDescent="0.25">
      <c r="A117" s="247">
        <v>45677</v>
      </c>
      <c r="B117" s="364" t="s">
        <v>2789</v>
      </c>
      <c r="C117" s="350" t="s">
        <v>12</v>
      </c>
      <c r="D117" s="350" t="s">
        <v>1485</v>
      </c>
      <c r="E117" s="875" t="s">
        <v>13</v>
      </c>
      <c r="F117" s="780">
        <v>16.5</v>
      </c>
      <c r="G117" s="982"/>
      <c r="H117" s="1008"/>
      <c r="I117" s="1063"/>
      <c r="J117" s="2013"/>
      <c r="K117" s="1207"/>
      <c r="L117" s="622"/>
      <c r="M117" s="982"/>
      <c r="N117" s="622"/>
      <c r="O117" s="1063"/>
      <c r="P117" s="622"/>
      <c r="Q117" s="982"/>
      <c r="R117" s="861"/>
      <c r="T117" s="878"/>
    </row>
    <row r="118" spans="1:21" s="224" customFormat="1" ht="15" customHeight="1" x14ac:dyDescent="0.25">
      <c r="A118" s="247">
        <v>45677</v>
      </c>
      <c r="B118" s="882" t="s">
        <v>7308</v>
      </c>
      <c r="C118" s="879" t="s">
        <v>12</v>
      </c>
      <c r="D118" s="879" t="s">
        <v>1524</v>
      </c>
      <c r="E118" s="875" t="s">
        <v>13</v>
      </c>
      <c r="F118" s="780">
        <v>21.2</v>
      </c>
      <c r="G118" s="982"/>
      <c r="H118" s="1008"/>
      <c r="I118" s="1063"/>
      <c r="J118" s="613"/>
      <c r="K118" s="982"/>
      <c r="L118" s="622"/>
      <c r="M118" s="982"/>
      <c r="N118" s="622"/>
      <c r="O118" s="1063"/>
      <c r="P118" s="622"/>
      <c r="Q118" s="982"/>
      <c r="R118" s="861"/>
    </row>
    <row r="119" spans="1:21" s="224" customFormat="1" ht="15" customHeight="1" x14ac:dyDescent="0.25">
      <c r="A119" s="247">
        <v>45678</v>
      </c>
      <c r="B119" s="882" t="s">
        <v>6329</v>
      </c>
      <c r="C119" s="879" t="s">
        <v>12</v>
      </c>
      <c r="D119" s="879"/>
      <c r="E119" s="875" t="s">
        <v>25</v>
      </c>
      <c r="F119" s="780"/>
      <c r="G119" s="982">
        <v>100</v>
      </c>
      <c r="H119" s="1008"/>
      <c r="I119" s="1063"/>
      <c r="J119" s="613"/>
      <c r="K119" s="982"/>
      <c r="L119" s="622"/>
      <c r="M119" s="982"/>
      <c r="N119" s="622"/>
      <c r="O119" s="1063"/>
      <c r="P119" s="622"/>
      <c r="Q119" s="982"/>
      <c r="R119" s="861"/>
    </row>
    <row r="120" spans="1:21" s="224" customFormat="1" ht="15" customHeight="1" x14ac:dyDescent="0.25">
      <c r="A120" s="247">
        <v>45678</v>
      </c>
      <c r="B120" s="882" t="s">
        <v>7309</v>
      </c>
      <c r="C120" s="879" t="s">
        <v>12</v>
      </c>
      <c r="D120" s="879"/>
      <c r="E120" s="875" t="s">
        <v>13</v>
      </c>
      <c r="F120" s="780">
        <v>150</v>
      </c>
      <c r="G120" s="982"/>
      <c r="H120" s="95"/>
      <c r="I120" s="1064"/>
      <c r="J120" s="622"/>
      <c r="K120" s="982"/>
      <c r="L120" s="622"/>
      <c r="M120" s="982"/>
      <c r="N120" s="622"/>
      <c r="O120" s="1063">
        <v>150</v>
      </c>
      <c r="P120" s="622"/>
      <c r="Q120" s="982"/>
      <c r="R120" s="861"/>
    </row>
    <row r="121" spans="1:21" s="224" customFormat="1" x14ac:dyDescent="0.25">
      <c r="A121" s="247">
        <v>45678</v>
      </c>
      <c r="B121" s="364" t="s">
        <v>32</v>
      </c>
      <c r="C121" s="350" t="s">
        <v>12</v>
      </c>
      <c r="D121" s="350" t="s">
        <v>1485</v>
      </c>
      <c r="E121" s="875" t="s">
        <v>13</v>
      </c>
      <c r="F121" s="780">
        <v>22</v>
      </c>
      <c r="G121" s="982"/>
      <c r="H121" s="1008"/>
      <c r="I121" s="1063"/>
      <c r="J121" s="2013"/>
      <c r="K121" s="1207"/>
      <c r="L121" s="622"/>
      <c r="M121" s="982"/>
      <c r="N121" s="622"/>
      <c r="O121" s="1063"/>
      <c r="P121" s="622"/>
      <c r="Q121" s="982"/>
      <c r="R121" s="861"/>
      <c r="T121" s="878"/>
    </row>
    <row r="122" spans="1:21" s="224" customFormat="1" ht="15" customHeight="1" x14ac:dyDescent="0.25">
      <c r="A122" s="247">
        <v>45678</v>
      </c>
      <c r="B122" s="882" t="s">
        <v>7310</v>
      </c>
      <c r="C122" s="879" t="s">
        <v>12</v>
      </c>
      <c r="D122" s="879"/>
      <c r="E122" s="871" t="s">
        <v>25</v>
      </c>
      <c r="F122" s="780"/>
      <c r="G122" s="982">
        <v>200</v>
      </c>
      <c r="H122" s="95"/>
      <c r="I122" s="1064"/>
      <c r="J122" s="613"/>
      <c r="K122" s="6"/>
      <c r="L122" s="622"/>
      <c r="M122" s="982"/>
      <c r="N122" s="622"/>
      <c r="O122" s="1063"/>
      <c r="P122" s="622"/>
      <c r="Q122" s="982"/>
      <c r="R122" s="861"/>
    </row>
    <row r="123" spans="1:21" s="224" customFormat="1" ht="15" customHeight="1" x14ac:dyDescent="0.25">
      <c r="A123" s="247">
        <v>45678</v>
      </c>
      <c r="B123" s="882" t="s">
        <v>7313</v>
      </c>
      <c r="C123" s="879" t="s">
        <v>12</v>
      </c>
      <c r="D123" s="879"/>
      <c r="E123" s="875"/>
      <c r="F123" s="780"/>
      <c r="G123" s="982"/>
      <c r="H123" s="95"/>
      <c r="I123" s="1064"/>
      <c r="J123" s="613"/>
      <c r="K123" s="64">
        <v>3021.51</v>
      </c>
      <c r="L123" s="622"/>
      <c r="M123" s="982"/>
      <c r="N123" s="622"/>
      <c r="O123" s="1063"/>
      <c r="P123" s="1116"/>
      <c r="Q123" s="1215"/>
      <c r="R123" s="1028">
        <v>4998</v>
      </c>
      <c r="U123" s="958"/>
    </row>
    <row r="124" spans="1:21" s="224" customFormat="1" ht="15" customHeight="1" x14ac:dyDescent="0.25">
      <c r="A124" s="247">
        <v>45678</v>
      </c>
      <c r="B124" s="882" t="s">
        <v>7314</v>
      </c>
      <c r="C124" s="879" t="s">
        <v>12</v>
      </c>
      <c r="D124" s="879"/>
      <c r="E124" s="875"/>
      <c r="F124" s="780"/>
      <c r="G124" s="982"/>
      <c r="H124" s="95"/>
      <c r="I124" s="1064"/>
      <c r="J124" s="613"/>
      <c r="K124" s="64">
        <v>1976.85</v>
      </c>
      <c r="L124" s="622"/>
      <c r="M124" s="982"/>
      <c r="N124" s="622"/>
      <c r="O124" s="1525"/>
      <c r="P124" s="1116"/>
      <c r="Q124" s="1215"/>
      <c r="R124" s="1028"/>
      <c r="U124" s="958"/>
    </row>
    <row r="125" spans="1:21" s="224" customFormat="1" ht="15" customHeight="1" x14ac:dyDescent="0.25">
      <c r="A125" s="247">
        <v>45678</v>
      </c>
      <c r="B125" s="882" t="s">
        <v>7317</v>
      </c>
      <c r="C125" s="879" t="s">
        <v>12</v>
      </c>
      <c r="D125" s="879"/>
      <c r="E125" s="875" t="s">
        <v>13</v>
      </c>
      <c r="F125" s="780"/>
      <c r="G125" s="982">
        <v>89.97</v>
      </c>
      <c r="H125" s="1008"/>
      <c r="I125" s="1063"/>
      <c r="J125" s="622">
        <v>89.97</v>
      </c>
      <c r="K125" s="982"/>
      <c r="L125" s="622"/>
      <c r="M125" s="982"/>
      <c r="N125" s="622"/>
      <c r="O125" s="1063"/>
      <c r="P125" s="622"/>
      <c r="Q125" s="982"/>
      <c r="R125" s="861"/>
    </row>
    <row r="126" spans="1:21" s="224" customFormat="1" ht="15" customHeight="1" x14ac:dyDescent="0.25">
      <c r="A126" s="247">
        <v>45678</v>
      </c>
      <c r="B126" s="882" t="s">
        <v>7316</v>
      </c>
      <c r="C126" s="879" t="s">
        <v>12</v>
      </c>
      <c r="D126" s="879" t="s">
        <v>1524</v>
      </c>
      <c r="E126" s="871" t="s">
        <v>13</v>
      </c>
      <c r="F126" s="780">
        <v>89.97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21" s="224" customFormat="1" ht="15" customHeight="1" x14ac:dyDescent="0.25">
      <c r="A127" s="247">
        <v>45678</v>
      </c>
      <c r="B127" s="882" t="s">
        <v>14</v>
      </c>
      <c r="C127" s="879" t="s">
        <v>12</v>
      </c>
      <c r="D127" s="879" t="s">
        <v>1486</v>
      </c>
      <c r="E127" s="871" t="s">
        <v>13</v>
      </c>
      <c r="F127" s="780">
        <v>11.35</v>
      </c>
      <c r="G127" s="982"/>
      <c r="H127" s="622"/>
      <c r="I127" s="982"/>
      <c r="J127" s="872"/>
      <c r="K127" s="1207"/>
      <c r="L127" s="622"/>
      <c r="M127" s="982"/>
      <c r="N127" s="622"/>
      <c r="O127" s="1063"/>
      <c r="P127" s="622"/>
      <c r="Q127" s="982"/>
      <c r="R127" s="1028"/>
      <c r="S127" s="959"/>
      <c r="T127" s="878"/>
      <c r="U127" s="958"/>
    </row>
    <row r="128" spans="1:21" s="224" customFormat="1" x14ac:dyDescent="0.25">
      <c r="A128" s="247">
        <v>45679</v>
      </c>
      <c r="B128" s="364" t="s">
        <v>32</v>
      </c>
      <c r="C128" s="350" t="s">
        <v>12</v>
      </c>
      <c r="D128" s="350" t="s">
        <v>1485</v>
      </c>
      <c r="E128" s="875" t="s">
        <v>13</v>
      </c>
      <c r="F128" s="780">
        <v>22</v>
      </c>
      <c r="G128" s="982"/>
      <c r="H128" s="1008"/>
      <c r="I128" s="1063"/>
      <c r="J128" s="2013"/>
      <c r="K128" s="1207"/>
      <c r="L128" s="622"/>
      <c r="M128" s="982"/>
      <c r="N128" s="622"/>
      <c r="O128" s="1063"/>
      <c r="P128" s="622"/>
      <c r="Q128" s="982"/>
      <c r="R128" s="861"/>
      <c r="T128" s="878"/>
    </row>
    <row r="129" spans="1:42" s="224" customFormat="1" ht="15" customHeight="1" x14ac:dyDescent="0.25">
      <c r="A129" s="247">
        <v>45679</v>
      </c>
      <c r="B129" s="882" t="s">
        <v>14</v>
      </c>
      <c r="C129" s="879" t="s">
        <v>12</v>
      </c>
      <c r="D129" s="879" t="s">
        <v>1486</v>
      </c>
      <c r="E129" s="871" t="s">
        <v>13</v>
      </c>
      <c r="F129" s="780">
        <v>4.9400000000000004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45680</v>
      </c>
      <c r="B130" s="1275" t="s">
        <v>6942</v>
      </c>
      <c r="C130" s="1276" t="s">
        <v>12</v>
      </c>
      <c r="D130" s="1276"/>
      <c r="E130" s="1286" t="s">
        <v>13</v>
      </c>
      <c r="F130" s="613">
        <v>178.2</v>
      </c>
      <c r="G130" s="967"/>
      <c r="H130" s="1008"/>
      <c r="I130" s="1063"/>
      <c r="J130" s="613"/>
      <c r="K130" s="6"/>
      <c r="L130" s="622"/>
      <c r="M130" s="982"/>
      <c r="N130" s="622"/>
      <c r="O130" s="1063"/>
      <c r="P130" s="613"/>
      <c r="Q130" s="64"/>
      <c r="R130" s="1024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</row>
    <row r="131" spans="1:42" s="224" customFormat="1" ht="15" customHeight="1" x14ac:dyDescent="0.25">
      <c r="A131" s="247">
        <v>45680</v>
      </c>
      <c r="B131" s="1275" t="s">
        <v>6755</v>
      </c>
      <c r="C131" s="1276" t="s">
        <v>12</v>
      </c>
      <c r="D131" s="1276"/>
      <c r="E131" s="1286"/>
      <c r="F131" s="613"/>
      <c r="G131" s="967">
        <v>178.2</v>
      </c>
      <c r="H131" s="1008"/>
      <c r="I131" s="1063"/>
      <c r="J131" s="613"/>
      <c r="K131" s="6"/>
      <c r="L131" s="622"/>
      <c r="M131" s="982"/>
      <c r="N131" s="622"/>
      <c r="O131" s="1063"/>
      <c r="P131" s="613"/>
      <c r="Q131" s="64"/>
      <c r="R131" s="1024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</row>
    <row r="132" spans="1:42" s="224" customFormat="1" ht="15" customHeight="1" x14ac:dyDescent="0.25">
      <c r="A132" s="247">
        <v>45680</v>
      </c>
      <c r="B132" s="882" t="s">
        <v>7321</v>
      </c>
      <c r="C132" s="879" t="s">
        <v>12</v>
      </c>
      <c r="D132" s="879"/>
      <c r="E132" s="875" t="s">
        <v>13</v>
      </c>
      <c r="F132" s="780"/>
      <c r="G132" s="982">
        <v>110</v>
      </c>
      <c r="H132" s="1008"/>
      <c r="I132" s="1063"/>
      <c r="J132" s="622">
        <v>110</v>
      </c>
      <c r="K132" s="982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45680</v>
      </c>
      <c r="B133" s="882" t="s">
        <v>7322</v>
      </c>
      <c r="C133" s="879" t="s">
        <v>12</v>
      </c>
      <c r="D133" s="879" t="s">
        <v>1524</v>
      </c>
      <c r="E133" s="875" t="s">
        <v>13</v>
      </c>
      <c r="F133" s="780">
        <v>110</v>
      </c>
      <c r="G133" s="982"/>
      <c r="H133" s="1008"/>
      <c r="I133" s="1063"/>
      <c r="J133" s="613"/>
      <c r="K133" s="982"/>
      <c r="L133" s="622"/>
      <c r="M133" s="982"/>
      <c r="N133" s="622"/>
      <c r="O133" s="1063"/>
      <c r="P133" s="622"/>
      <c r="Q133" s="982"/>
      <c r="R133" s="861"/>
    </row>
    <row r="134" spans="1:42" s="224" customFormat="1" ht="15" customHeight="1" x14ac:dyDescent="0.25">
      <c r="A134" s="247">
        <v>45680</v>
      </c>
      <c r="B134" s="882" t="s">
        <v>7327</v>
      </c>
      <c r="C134" s="879" t="s">
        <v>12</v>
      </c>
      <c r="D134" s="879"/>
      <c r="E134" s="875" t="s">
        <v>13</v>
      </c>
      <c r="F134" s="780"/>
      <c r="G134" s="982">
        <v>150</v>
      </c>
      <c r="H134" s="1008"/>
      <c r="I134" s="1063"/>
      <c r="J134" s="622">
        <v>150</v>
      </c>
      <c r="K134" s="982"/>
      <c r="L134" s="622"/>
      <c r="M134" s="982"/>
      <c r="N134" s="622"/>
      <c r="O134" s="1063"/>
      <c r="P134" s="622"/>
      <c r="Q134" s="982"/>
      <c r="R134" s="861"/>
    </row>
    <row r="135" spans="1:42" s="224" customFormat="1" ht="15" customHeight="1" x14ac:dyDescent="0.25">
      <c r="A135" s="247">
        <v>45680</v>
      </c>
      <c r="B135" s="882" t="s">
        <v>7328</v>
      </c>
      <c r="C135" s="879" t="s">
        <v>12</v>
      </c>
      <c r="D135" s="879" t="s">
        <v>1524</v>
      </c>
      <c r="E135" s="875" t="s">
        <v>13</v>
      </c>
      <c r="F135" s="780">
        <v>150</v>
      </c>
      <c r="G135" s="982"/>
      <c r="H135" s="1008"/>
      <c r="I135" s="1063"/>
      <c r="J135" s="613"/>
      <c r="K135" s="982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45680</v>
      </c>
      <c r="B136" s="882" t="s">
        <v>7325</v>
      </c>
      <c r="C136" s="879" t="s">
        <v>12</v>
      </c>
      <c r="D136" s="879"/>
      <c r="E136" s="875" t="s">
        <v>13</v>
      </c>
      <c r="F136" s="780"/>
      <c r="G136" s="982">
        <v>500</v>
      </c>
      <c r="H136" s="1008"/>
      <c r="I136" s="1063"/>
      <c r="J136" s="622">
        <v>500</v>
      </c>
      <c r="K136" s="982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45680</v>
      </c>
      <c r="B137" s="882" t="s">
        <v>7326</v>
      </c>
      <c r="C137" s="879" t="s">
        <v>12</v>
      </c>
      <c r="D137" s="879" t="s">
        <v>1524</v>
      </c>
      <c r="E137" s="875" t="s">
        <v>13</v>
      </c>
      <c r="F137" s="780">
        <v>500</v>
      </c>
      <c r="G137" s="982"/>
      <c r="H137" s="1008"/>
      <c r="I137" s="1063"/>
      <c r="J137" s="613"/>
      <c r="K137" s="982"/>
      <c r="L137" s="622"/>
      <c r="M137" s="982"/>
      <c r="N137" s="622"/>
      <c r="O137" s="1063"/>
      <c r="P137" s="622"/>
      <c r="Q137" s="982"/>
      <c r="R137" s="861"/>
    </row>
    <row r="138" spans="1:42" s="224" customFormat="1" x14ac:dyDescent="0.25">
      <c r="A138" s="247">
        <v>45680</v>
      </c>
      <c r="B138" s="364" t="s">
        <v>32</v>
      </c>
      <c r="C138" s="350" t="s">
        <v>12</v>
      </c>
      <c r="D138" s="350" t="s">
        <v>1485</v>
      </c>
      <c r="E138" s="875" t="s">
        <v>13</v>
      </c>
      <c r="F138" s="780">
        <v>22</v>
      </c>
      <c r="G138" s="982"/>
      <c r="H138" s="1008"/>
      <c r="I138" s="1063"/>
      <c r="J138" s="2013"/>
      <c r="K138" s="1207"/>
      <c r="L138" s="622"/>
      <c r="M138" s="982"/>
      <c r="N138" s="622"/>
      <c r="O138" s="1063"/>
      <c r="P138" s="622"/>
      <c r="Q138" s="982"/>
      <c r="R138" s="861"/>
      <c r="T138" s="878"/>
    </row>
    <row r="139" spans="1:42" s="224" customFormat="1" ht="15" customHeight="1" x14ac:dyDescent="0.25">
      <c r="A139" s="247">
        <v>45680</v>
      </c>
      <c r="B139" s="882" t="s">
        <v>7330</v>
      </c>
      <c r="C139" s="879" t="s">
        <v>12</v>
      </c>
      <c r="D139" s="879" t="s">
        <v>1525</v>
      </c>
      <c r="E139" s="871" t="s">
        <v>13</v>
      </c>
      <c r="F139" s="780">
        <v>37.9</v>
      </c>
      <c r="G139" s="982"/>
      <c r="H139" s="95"/>
      <c r="I139" s="1064"/>
      <c r="J139" s="613"/>
      <c r="K139" s="6"/>
      <c r="L139" s="622"/>
      <c r="M139" s="982"/>
      <c r="N139" s="622"/>
      <c r="O139" s="1063"/>
      <c r="P139" s="1116"/>
      <c r="Q139" s="1215"/>
      <c r="R139" s="1028"/>
      <c r="U139" s="958"/>
    </row>
    <row r="140" spans="1:42" s="224" customFormat="1" ht="15" customHeight="1" x14ac:dyDescent="0.25">
      <c r="A140" s="247">
        <v>45680</v>
      </c>
      <c r="B140" s="882" t="s">
        <v>14</v>
      </c>
      <c r="C140" s="879" t="s">
        <v>12</v>
      </c>
      <c r="D140" s="879" t="s">
        <v>1486</v>
      </c>
      <c r="E140" s="871" t="s">
        <v>13</v>
      </c>
      <c r="F140" s="780">
        <v>8.3699999999999992</v>
      </c>
      <c r="G140" s="982"/>
      <c r="H140" s="622"/>
      <c r="I140" s="982"/>
      <c r="J140" s="1116"/>
      <c r="K140" s="1207"/>
      <c r="L140" s="880"/>
      <c r="M140" s="1033"/>
      <c r="N140" s="880"/>
      <c r="O140" s="1525"/>
      <c r="P140" s="880"/>
      <c r="Q140" s="1033"/>
      <c r="R140" s="927"/>
      <c r="T140" s="878"/>
    </row>
    <row r="141" spans="1:42" s="224" customFormat="1" x14ac:dyDescent="0.25">
      <c r="A141" s="247">
        <v>45681</v>
      </c>
      <c r="B141" s="364" t="s">
        <v>32</v>
      </c>
      <c r="C141" s="350" t="s">
        <v>12</v>
      </c>
      <c r="D141" s="350" t="s">
        <v>1485</v>
      </c>
      <c r="E141" s="875" t="s">
        <v>13</v>
      </c>
      <c r="F141" s="780">
        <v>22</v>
      </c>
      <c r="G141" s="982"/>
      <c r="H141" s="1008"/>
      <c r="I141" s="1063"/>
      <c r="J141" s="2013"/>
      <c r="K141" s="1207"/>
      <c r="L141" s="622"/>
      <c r="M141" s="982"/>
      <c r="N141" s="622"/>
      <c r="O141" s="1063"/>
      <c r="P141" s="622"/>
      <c r="Q141" s="982"/>
      <c r="R141" s="861"/>
      <c r="T141" s="878"/>
    </row>
    <row r="142" spans="1:42" s="224" customFormat="1" ht="15" customHeight="1" x14ac:dyDescent="0.25">
      <c r="A142" s="247">
        <v>45681</v>
      </c>
      <c r="B142" s="364" t="s">
        <v>81</v>
      </c>
      <c r="C142" s="350" t="s">
        <v>12</v>
      </c>
      <c r="D142" s="350" t="s">
        <v>1493</v>
      </c>
      <c r="E142" s="875" t="s">
        <v>13</v>
      </c>
      <c r="F142" s="780">
        <v>4</v>
      </c>
      <c r="G142" s="982"/>
      <c r="H142" s="1008"/>
      <c r="I142" s="1063"/>
      <c r="J142" s="1116"/>
      <c r="K142" s="1207"/>
      <c r="L142" s="622"/>
      <c r="M142" s="982"/>
      <c r="N142" s="622"/>
      <c r="O142" s="1063"/>
      <c r="P142" s="622"/>
      <c r="Q142" s="982"/>
      <c r="R142" s="861"/>
      <c r="T142" s="1035"/>
    </row>
    <row r="143" spans="1:42" s="224" customFormat="1" ht="15" customHeight="1" x14ac:dyDescent="0.25">
      <c r="A143" s="247">
        <v>45681</v>
      </c>
      <c r="B143" s="882" t="s">
        <v>14</v>
      </c>
      <c r="C143" s="879" t="s">
        <v>12</v>
      </c>
      <c r="D143" s="879" t="s">
        <v>1486</v>
      </c>
      <c r="E143" s="871" t="s">
        <v>13</v>
      </c>
      <c r="F143" s="780">
        <v>7.29</v>
      </c>
      <c r="G143" s="982"/>
      <c r="H143" s="95"/>
      <c r="I143" s="1064"/>
      <c r="J143" s="622"/>
      <c r="K143" s="982"/>
      <c r="L143" s="622"/>
      <c r="M143" s="982"/>
      <c r="N143" s="622"/>
      <c r="O143" s="1063"/>
      <c r="P143" s="622"/>
      <c r="Q143" s="982"/>
      <c r="R143" s="1028"/>
      <c r="U143" s="958"/>
    </row>
    <row r="144" spans="1:42" s="224" customFormat="1" ht="15" customHeight="1" x14ac:dyDescent="0.25">
      <c r="A144" s="247">
        <v>45681</v>
      </c>
      <c r="B144" s="882" t="s">
        <v>7333</v>
      </c>
      <c r="C144" s="879" t="s">
        <v>12</v>
      </c>
      <c r="D144" s="879" t="s">
        <v>1523</v>
      </c>
      <c r="E144" s="875" t="s">
        <v>13</v>
      </c>
      <c r="F144" s="780">
        <v>52</v>
      </c>
      <c r="G144" s="982"/>
      <c r="H144" s="622"/>
      <c r="I144" s="982"/>
      <c r="J144" s="872"/>
      <c r="K144" s="1207"/>
      <c r="L144" s="622"/>
      <c r="M144" s="982"/>
      <c r="N144" s="622"/>
      <c r="O144" s="1063"/>
      <c r="P144" s="622"/>
      <c r="Q144" s="982"/>
      <c r="R144" s="1028"/>
      <c r="S144" s="959"/>
      <c r="T144" s="878"/>
      <c r="U144" s="958"/>
    </row>
    <row r="145" spans="1:42" s="224" customFormat="1" ht="15" customHeight="1" x14ac:dyDescent="0.25">
      <c r="A145" s="247">
        <v>45682</v>
      </c>
      <c r="B145" s="882" t="s">
        <v>7334</v>
      </c>
      <c r="C145" s="879" t="s">
        <v>12</v>
      </c>
      <c r="D145" s="879" t="s">
        <v>6731</v>
      </c>
      <c r="E145" s="875" t="s">
        <v>13</v>
      </c>
      <c r="F145" s="780">
        <v>45.98</v>
      </c>
      <c r="G145" s="982"/>
      <c r="H145" s="622"/>
      <c r="I145" s="982"/>
      <c r="J145" s="872"/>
      <c r="K145" s="1207"/>
      <c r="L145" s="622"/>
      <c r="M145" s="982"/>
      <c r="N145" s="622"/>
      <c r="O145" s="1063"/>
      <c r="P145" s="622"/>
      <c r="Q145" s="982"/>
      <c r="R145" s="1028"/>
      <c r="S145" s="959"/>
      <c r="T145" s="878"/>
      <c r="U145" s="958"/>
    </row>
    <row r="146" spans="1:42" s="224" customFormat="1" ht="15" customHeight="1" x14ac:dyDescent="0.25">
      <c r="A146" s="247">
        <v>45682</v>
      </c>
      <c r="B146" s="882" t="s">
        <v>7335</v>
      </c>
      <c r="C146" s="879" t="s">
        <v>12</v>
      </c>
      <c r="D146" s="879" t="s">
        <v>1489</v>
      </c>
      <c r="E146" s="875" t="s">
        <v>13</v>
      </c>
      <c r="F146" s="780">
        <v>3.2</v>
      </c>
      <c r="G146" s="982"/>
      <c r="H146" s="622"/>
      <c r="I146" s="982"/>
      <c r="J146" s="872"/>
      <c r="K146" s="1207"/>
      <c r="L146" s="622"/>
      <c r="M146" s="982"/>
      <c r="N146" s="622"/>
      <c r="O146" s="1063"/>
      <c r="P146" s="622"/>
      <c r="Q146" s="982"/>
      <c r="R146" s="1028"/>
      <c r="S146" s="959"/>
      <c r="T146" s="878"/>
      <c r="U146" s="958"/>
    </row>
    <row r="147" spans="1:42" s="224" customFormat="1" ht="15" customHeight="1" x14ac:dyDescent="0.25">
      <c r="A147" s="247">
        <v>45682</v>
      </c>
      <c r="B147" s="882" t="s">
        <v>7335</v>
      </c>
      <c r="C147" s="879" t="s">
        <v>12</v>
      </c>
      <c r="D147" s="879" t="s">
        <v>1489</v>
      </c>
      <c r="E147" s="875" t="s">
        <v>13</v>
      </c>
      <c r="F147" s="780">
        <v>11.8</v>
      </c>
      <c r="G147" s="982"/>
      <c r="H147" s="622"/>
      <c r="I147" s="982"/>
      <c r="J147" s="872"/>
      <c r="K147" s="1207"/>
      <c r="L147" s="622"/>
      <c r="M147" s="982"/>
      <c r="N147" s="622"/>
      <c r="O147" s="1063"/>
      <c r="P147" s="622"/>
      <c r="Q147" s="982"/>
      <c r="R147" s="1028"/>
      <c r="S147" s="959"/>
      <c r="T147" s="878"/>
      <c r="U147" s="958"/>
    </row>
    <row r="148" spans="1:42" s="224" customFormat="1" ht="15" customHeight="1" x14ac:dyDescent="0.25">
      <c r="A148" s="247">
        <v>45682</v>
      </c>
      <c r="B148" s="882" t="s">
        <v>7336</v>
      </c>
      <c r="C148" s="879" t="s">
        <v>12</v>
      </c>
      <c r="D148" s="879" t="s">
        <v>1489</v>
      </c>
      <c r="E148" s="875" t="s">
        <v>13</v>
      </c>
      <c r="F148" s="780">
        <v>15.8</v>
      </c>
      <c r="G148" s="982"/>
      <c r="H148" s="622"/>
      <c r="I148" s="982"/>
      <c r="J148" s="872"/>
      <c r="K148" s="1207"/>
      <c r="L148" s="622"/>
      <c r="M148" s="982"/>
      <c r="N148" s="622"/>
      <c r="O148" s="1063"/>
      <c r="P148" s="622"/>
      <c r="Q148" s="982"/>
      <c r="R148" s="1028"/>
      <c r="S148" s="959"/>
      <c r="T148" s="878"/>
      <c r="U148" s="958"/>
    </row>
    <row r="149" spans="1:42" s="224" customFormat="1" ht="15" customHeight="1" x14ac:dyDescent="0.25">
      <c r="A149" s="247">
        <v>45682</v>
      </c>
      <c r="B149" s="882" t="s">
        <v>7336</v>
      </c>
      <c r="C149" s="879" t="s">
        <v>12</v>
      </c>
      <c r="D149" s="879" t="s">
        <v>1489</v>
      </c>
      <c r="E149" s="875" t="s">
        <v>13</v>
      </c>
      <c r="F149" s="780">
        <v>5.9</v>
      </c>
      <c r="G149" s="982"/>
      <c r="H149" s="622"/>
      <c r="I149" s="982"/>
      <c r="J149" s="872"/>
      <c r="K149" s="1207"/>
      <c r="L149" s="622"/>
      <c r="M149" s="982"/>
      <c r="N149" s="622"/>
      <c r="O149" s="1063"/>
      <c r="P149" s="622"/>
      <c r="Q149" s="982"/>
      <c r="R149" s="1028"/>
      <c r="S149" s="959"/>
      <c r="T149" s="878"/>
      <c r="U149" s="958"/>
    </row>
    <row r="150" spans="1:42" s="224" customFormat="1" ht="15" customHeight="1" x14ac:dyDescent="0.25">
      <c r="A150" s="247">
        <v>45682</v>
      </c>
      <c r="B150" s="882" t="s">
        <v>7336</v>
      </c>
      <c r="C150" s="879" t="s">
        <v>12</v>
      </c>
      <c r="D150" s="879" t="s">
        <v>1489</v>
      </c>
      <c r="E150" s="875" t="s">
        <v>13</v>
      </c>
      <c r="F150" s="780">
        <v>3.2</v>
      </c>
      <c r="G150" s="982"/>
      <c r="H150" s="622"/>
      <c r="I150" s="982"/>
      <c r="J150" s="872"/>
      <c r="K150" s="1207"/>
      <c r="L150" s="622"/>
      <c r="M150" s="982"/>
      <c r="N150" s="622"/>
      <c r="O150" s="1063"/>
      <c r="P150" s="622"/>
      <c r="Q150" s="982"/>
      <c r="R150" s="1028"/>
      <c r="S150" s="959"/>
      <c r="T150" s="878"/>
      <c r="U150" s="958"/>
    </row>
    <row r="151" spans="1:42" s="224" customFormat="1" ht="15" customHeight="1" x14ac:dyDescent="0.25">
      <c r="A151" s="247">
        <v>45683</v>
      </c>
      <c r="B151" s="882" t="s">
        <v>7332</v>
      </c>
      <c r="C151" s="879" t="s">
        <v>12</v>
      </c>
      <c r="D151" s="879" t="s">
        <v>1493</v>
      </c>
      <c r="E151" s="875" t="s">
        <v>15</v>
      </c>
      <c r="F151" s="780">
        <v>25</v>
      </c>
      <c r="G151" s="982"/>
      <c r="H151" s="622"/>
      <c r="I151" s="982"/>
      <c r="J151" s="622"/>
      <c r="K151" s="982"/>
      <c r="L151" s="622"/>
      <c r="M151" s="982"/>
      <c r="N151" s="880"/>
      <c r="O151" s="1525"/>
      <c r="P151" s="613"/>
      <c r="Q151" s="162"/>
      <c r="R151" s="1956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</row>
    <row r="152" spans="1:42" s="224" customFormat="1" ht="15" customHeight="1" x14ac:dyDescent="0.25">
      <c r="A152" s="247">
        <v>45684</v>
      </c>
      <c r="B152" s="882" t="s">
        <v>7337</v>
      </c>
      <c r="C152" s="879" t="s">
        <v>12</v>
      </c>
      <c r="D152" s="879"/>
      <c r="E152" s="875" t="s">
        <v>13</v>
      </c>
      <c r="F152" s="780"/>
      <c r="G152" s="982">
        <v>200</v>
      </c>
      <c r="H152" s="1008"/>
      <c r="I152" s="1063"/>
      <c r="J152" s="622">
        <v>200</v>
      </c>
      <c r="K152" s="982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45684</v>
      </c>
      <c r="B153" s="364" t="s">
        <v>7338</v>
      </c>
      <c r="C153" s="350" t="s">
        <v>12</v>
      </c>
      <c r="D153" s="350" t="s">
        <v>1524</v>
      </c>
      <c r="E153" s="875" t="s">
        <v>13</v>
      </c>
      <c r="F153" s="780">
        <v>87.26</v>
      </c>
      <c r="G153" s="982"/>
      <c r="H153" s="1008"/>
      <c r="I153" s="1063"/>
      <c r="J153" s="1116"/>
      <c r="K153" s="1207"/>
      <c r="L153" s="622"/>
      <c r="M153" s="982"/>
      <c r="N153" s="622"/>
      <c r="O153" s="1063"/>
      <c r="P153" s="622"/>
      <c r="Q153" s="982"/>
      <c r="R153" s="861"/>
      <c r="T153" s="1035"/>
    </row>
    <row r="154" spans="1:42" s="224" customFormat="1" ht="15" customHeight="1" x14ac:dyDescent="0.25">
      <c r="A154" s="247">
        <v>45684</v>
      </c>
      <c r="B154" s="364" t="s">
        <v>7339</v>
      </c>
      <c r="C154" s="350" t="s">
        <v>12</v>
      </c>
      <c r="D154" s="350" t="s">
        <v>1524</v>
      </c>
      <c r="E154" s="875" t="s">
        <v>13</v>
      </c>
      <c r="F154" s="780">
        <v>46.31</v>
      </c>
      <c r="G154" s="982"/>
      <c r="H154" s="1008"/>
      <c r="I154" s="1063"/>
      <c r="J154" s="1116"/>
      <c r="K154" s="1207"/>
      <c r="L154" s="622"/>
      <c r="M154" s="982"/>
      <c r="N154" s="622"/>
      <c r="O154" s="1063"/>
      <c r="P154" s="622"/>
      <c r="Q154" s="982"/>
      <c r="R154" s="861"/>
      <c r="T154" s="1035"/>
    </row>
    <row r="155" spans="1:42" s="224" customFormat="1" ht="15" customHeight="1" x14ac:dyDescent="0.25">
      <c r="A155" s="247">
        <v>45684</v>
      </c>
      <c r="B155" s="364" t="s">
        <v>7340</v>
      </c>
      <c r="C155" s="350" t="s">
        <v>12</v>
      </c>
      <c r="D155" s="350" t="s">
        <v>1524</v>
      </c>
      <c r="E155" s="875" t="s">
        <v>13</v>
      </c>
      <c r="F155" s="780">
        <v>66.5</v>
      </c>
      <c r="G155" s="982"/>
      <c r="H155" s="1008"/>
      <c r="I155" s="1063"/>
      <c r="J155" s="1116"/>
      <c r="K155" s="1207"/>
      <c r="L155" s="622"/>
      <c r="M155" s="982"/>
      <c r="N155" s="622"/>
      <c r="O155" s="1063"/>
      <c r="P155" s="622"/>
      <c r="Q155" s="982"/>
      <c r="R155" s="861"/>
      <c r="T155" s="1035"/>
    </row>
    <row r="156" spans="1:42" s="224" customFormat="1" x14ac:dyDescent="0.25">
      <c r="A156" s="247">
        <v>45684</v>
      </c>
      <c r="B156" s="364" t="s">
        <v>32</v>
      </c>
      <c r="C156" s="350" t="s">
        <v>12</v>
      </c>
      <c r="D156" s="350" t="s">
        <v>1485</v>
      </c>
      <c r="E156" s="875" t="s">
        <v>13</v>
      </c>
      <c r="F156" s="780">
        <v>22</v>
      </c>
      <c r="G156" s="982"/>
      <c r="H156" s="1008"/>
      <c r="I156" s="1063"/>
      <c r="J156" s="2013"/>
      <c r="K156" s="1207"/>
      <c r="L156" s="622"/>
      <c r="M156" s="982"/>
      <c r="N156" s="622"/>
      <c r="O156" s="1063"/>
      <c r="P156" s="622"/>
      <c r="Q156" s="982"/>
      <c r="R156" s="861"/>
      <c r="T156" s="878"/>
    </row>
    <row r="157" spans="1:42" s="224" customFormat="1" ht="15" customHeight="1" x14ac:dyDescent="0.25">
      <c r="A157" s="247">
        <v>45684</v>
      </c>
      <c r="B157" s="882" t="s">
        <v>14</v>
      </c>
      <c r="C157" s="879" t="s">
        <v>12</v>
      </c>
      <c r="D157" s="879" t="s">
        <v>1486</v>
      </c>
      <c r="E157" s="871" t="s">
        <v>13</v>
      </c>
      <c r="F157" s="780">
        <v>7.36</v>
      </c>
      <c r="G157" s="982"/>
      <c r="H157" s="1008"/>
      <c r="I157" s="1063"/>
      <c r="J157" s="1116"/>
      <c r="K157" s="1207"/>
      <c r="L157" s="622"/>
      <c r="M157" s="982"/>
      <c r="N157" s="622"/>
      <c r="O157" s="1063"/>
      <c r="P157" s="622"/>
      <c r="Q157" s="982"/>
      <c r="R157" s="861"/>
      <c r="T157" s="1035"/>
    </row>
    <row r="158" spans="1:42" s="224" customFormat="1" ht="15" customHeight="1" x14ac:dyDescent="0.25">
      <c r="A158" s="247">
        <v>45685</v>
      </c>
      <c r="B158" s="882" t="s">
        <v>6329</v>
      </c>
      <c r="C158" s="879" t="s">
        <v>12</v>
      </c>
      <c r="D158" s="879"/>
      <c r="E158" s="875" t="s">
        <v>25</v>
      </c>
      <c r="F158" s="780"/>
      <c r="G158" s="982">
        <v>100</v>
      </c>
      <c r="H158" s="1008"/>
      <c r="I158" s="1063"/>
      <c r="J158" s="613"/>
      <c r="K158" s="982"/>
      <c r="L158" s="622"/>
      <c r="M158" s="982"/>
      <c r="N158" s="622"/>
      <c r="O158" s="1063"/>
      <c r="P158" s="622"/>
      <c r="Q158" s="982"/>
      <c r="R158" s="861"/>
    </row>
    <row r="159" spans="1:42" s="224" customFormat="1" x14ac:dyDescent="0.25">
      <c r="A159" s="247">
        <v>45685</v>
      </c>
      <c r="B159" s="364" t="s">
        <v>2789</v>
      </c>
      <c r="C159" s="350" t="s">
        <v>12</v>
      </c>
      <c r="D159" s="350" t="s">
        <v>1485</v>
      </c>
      <c r="E159" s="875" t="s">
        <v>13</v>
      </c>
      <c r="F159" s="780">
        <v>15</v>
      </c>
      <c r="G159" s="982"/>
      <c r="H159" s="1008"/>
      <c r="I159" s="1063"/>
      <c r="J159" s="2013"/>
      <c r="K159" s="1207"/>
      <c r="L159" s="622"/>
      <c r="M159" s="982"/>
      <c r="N159" s="622"/>
      <c r="O159" s="1063"/>
      <c r="P159" s="622"/>
      <c r="Q159" s="982"/>
      <c r="R159" s="861"/>
      <c r="T159" s="878"/>
    </row>
    <row r="160" spans="1:42" s="224" customFormat="1" x14ac:dyDescent="0.25">
      <c r="A160" s="247">
        <v>45686</v>
      </c>
      <c r="B160" s="364" t="s">
        <v>32</v>
      </c>
      <c r="C160" s="350" t="s">
        <v>12</v>
      </c>
      <c r="D160" s="350" t="s">
        <v>1485</v>
      </c>
      <c r="E160" s="875" t="s">
        <v>13</v>
      </c>
      <c r="F160" s="780">
        <v>22</v>
      </c>
      <c r="G160" s="982"/>
      <c r="H160" s="1008"/>
      <c r="I160" s="1063"/>
      <c r="J160" s="2013"/>
      <c r="K160" s="1207"/>
      <c r="L160" s="622"/>
      <c r="M160" s="982"/>
      <c r="N160" s="622"/>
      <c r="O160" s="1063"/>
      <c r="P160" s="622"/>
      <c r="Q160" s="982"/>
      <c r="R160" s="861"/>
      <c r="T160" s="878"/>
    </row>
    <row r="161" spans="1:21" s="224" customFormat="1" ht="15" customHeight="1" x14ac:dyDescent="0.25">
      <c r="A161" s="247">
        <v>45686</v>
      </c>
      <c r="B161" s="882" t="s">
        <v>7342</v>
      </c>
      <c r="C161" s="879" t="s">
        <v>12</v>
      </c>
      <c r="D161" s="879" t="s">
        <v>1506</v>
      </c>
      <c r="E161" s="871" t="s">
        <v>13</v>
      </c>
      <c r="F161" s="780">
        <v>150</v>
      </c>
      <c r="G161" s="982"/>
      <c r="H161" s="622"/>
      <c r="I161" s="982"/>
      <c r="J161" s="872"/>
      <c r="K161" s="1207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21" s="224" customFormat="1" ht="15" customHeight="1" x14ac:dyDescent="0.25">
      <c r="A162" s="247">
        <v>45687</v>
      </c>
      <c r="B162" s="882" t="s">
        <v>1331</v>
      </c>
      <c r="C162" s="879" t="s">
        <v>12</v>
      </c>
      <c r="D162" s="879" t="s">
        <v>2157</v>
      </c>
      <c r="E162" s="871" t="s">
        <v>15</v>
      </c>
      <c r="F162" s="780">
        <v>30</v>
      </c>
      <c r="G162" s="982"/>
      <c r="H162" s="622"/>
      <c r="I162" s="982"/>
      <c r="J162" s="622"/>
      <c r="K162" s="982"/>
      <c r="L162" s="622"/>
      <c r="M162" s="982"/>
      <c r="N162" s="622"/>
      <c r="O162" s="1063"/>
      <c r="P162" s="622"/>
      <c r="Q162" s="982"/>
      <c r="R162" s="1028"/>
      <c r="S162" s="959"/>
      <c r="T162" s="878"/>
      <c r="U162" s="958"/>
    </row>
    <row r="163" spans="1:21" s="224" customFormat="1" ht="15" customHeight="1" x14ac:dyDescent="0.25">
      <c r="A163" s="247">
        <v>45687</v>
      </c>
      <c r="B163" s="882" t="s">
        <v>7325</v>
      </c>
      <c r="C163" s="879" t="s">
        <v>12</v>
      </c>
      <c r="D163" s="879"/>
      <c r="E163" s="875" t="s">
        <v>13</v>
      </c>
      <c r="F163" s="780"/>
      <c r="G163" s="982">
        <v>500</v>
      </c>
      <c r="H163" s="1008"/>
      <c r="I163" s="1063"/>
      <c r="J163" s="622">
        <v>500</v>
      </c>
      <c r="K163" s="982"/>
      <c r="L163" s="622"/>
      <c r="M163" s="982"/>
      <c r="N163" s="622"/>
      <c r="O163" s="1063"/>
      <c r="P163" s="622"/>
      <c r="Q163" s="982"/>
      <c r="R163" s="861"/>
    </row>
    <row r="164" spans="1:21" s="224" customFormat="1" ht="15" customHeight="1" x14ac:dyDescent="0.25">
      <c r="A164" s="247">
        <v>45687</v>
      </c>
      <c r="B164" s="882" t="s">
        <v>7352</v>
      </c>
      <c r="C164" s="879" t="s">
        <v>12</v>
      </c>
      <c r="D164" s="879" t="s">
        <v>1524</v>
      </c>
      <c r="E164" s="875" t="s">
        <v>13</v>
      </c>
      <c r="F164" s="780">
        <v>500</v>
      </c>
      <c r="G164" s="982"/>
      <c r="H164" s="1008"/>
      <c r="I164" s="1063"/>
      <c r="J164" s="613"/>
      <c r="K164" s="982"/>
      <c r="L164" s="622"/>
      <c r="M164" s="982"/>
      <c r="N164" s="622"/>
      <c r="O164" s="1063"/>
      <c r="P164" s="622"/>
      <c r="Q164" s="982"/>
      <c r="R164" s="861"/>
    </row>
    <row r="165" spans="1:21" s="224" customFormat="1" ht="15" customHeight="1" x14ac:dyDescent="0.25">
      <c r="A165" s="247">
        <v>45687</v>
      </c>
      <c r="B165" s="364" t="s">
        <v>32</v>
      </c>
      <c r="C165" s="350" t="s">
        <v>12</v>
      </c>
      <c r="D165" s="350" t="s">
        <v>1485</v>
      </c>
      <c r="E165" s="875" t="s">
        <v>13</v>
      </c>
      <c r="F165" s="780">
        <v>22</v>
      </c>
      <c r="G165" s="982"/>
      <c r="H165" s="95"/>
      <c r="I165" s="1064"/>
      <c r="J165" s="622"/>
      <c r="K165" s="982"/>
      <c r="L165" s="622"/>
      <c r="M165" s="982"/>
      <c r="N165" s="622"/>
      <c r="O165" s="1063"/>
      <c r="P165" s="622"/>
      <c r="Q165" s="982"/>
      <c r="R165" s="861"/>
      <c r="T165" s="927"/>
      <c r="U165" s="999"/>
    </row>
    <row r="166" spans="1:21" s="224" customFormat="1" ht="15" customHeight="1" x14ac:dyDescent="0.25">
      <c r="A166" s="247">
        <v>45687</v>
      </c>
      <c r="B166" s="882" t="s">
        <v>7354</v>
      </c>
      <c r="C166" s="879" t="s">
        <v>12</v>
      </c>
      <c r="D166" s="879" t="s">
        <v>1506</v>
      </c>
      <c r="E166" s="871" t="s">
        <v>13</v>
      </c>
      <c r="F166" s="780">
        <v>15</v>
      </c>
      <c r="G166" s="982"/>
      <c r="H166" s="622"/>
      <c r="I166" s="982"/>
      <c r="J166" s="622"/>
      <c r="K166" s="982"/>
      <c r="L166" s="622"/>
      <c r="M166" s="982"/>
      <c r="N166" s="622"/>
      <c r="O166" s="1063"/>
      <c r="P166" s="622"/>
      <c r="Q166" s="982"/>
      <c r="R166" s="1028"/>
      <c r="S166" s="959"/>
      <c r="T166" s="878"/>
      <c r="U166" s="958"/>
    </row>
    <row r="167" spans="1:21" s="224" customFormat="1" ht="15" customHeight="1" x14ac:dyDescent="0.25">
      <c r="A167" s="247">
        <v>45687</v>
      </c>
      <c r="B167" s="364" t="s">
        <v>3130</v>
      </c>
      <c r="C167" s="350" t="s">
        <v>12</v>
      </c>
      <c r="D167" s="350" t="s">
        <v>1506</v>
      </c>
      <c r="E167" s="875" t="s">
        <v>13</v>
      </c>
      <c r="F167" s="780">
        <v>26</v>
      </c>
      <c r="G167" s="982"/>
      <c r="H167" s="95"/>
      <c r="I167" s="1064"/>
      <c r="J167" s="622"/>
      <c r="K167" s="982"/>
      <c r="L167" s="622"/>
      <c r="M167" s="982"/>
      <c r="N167" s="622"/>
      <c r="O167" s="1063"/>
      <c r="P167" s="622"/>
      <c r="Q167" s="982"/>
      <c r="R167" s="861"/>
      <c r="T167" s="927"/>
      <c r="U167" s="999"/>
    </row>
    <row r="168" spans="1:21" s="224" customFormat="1" ht="15" customHeight="1" x14ac:dyDescent="0.25">
      <c r="A168" s="247">
        <v>45687</v>
      </c>
      <c r="B168" s="882" t="s">
        <v>14</v>
      </c>
      <c r="C168" s="879" t="s">
        <v>12</v>
      </c>
      <c r="D168" s="879" t="s">
        <v>1486</v>
      </c>
      <c r="E168" s="871" t="s">
        <v>13</v>
      </c>
      <c r="F168" s="780">
        <v>4.6100000000000003</v>
      </c>
      <c r="G168" s="982"/>
      <c r="H168" s="622"/>
      <c r="I168" s="982"/>
      <c r="J168" s="622"/>
      <c r="K168" s="982"/>
      <c r="L168" s="622"/>
      <c r="M168" s="982"/>
      <c r="N168" s="622"/>
      <c r="O168" s="1063"/>
      <c r="P168" s="622"/>
      <c r="Q168" s="982"/>
      <c r="R168" s="1028"/>
      <c r="S168" s="959"/>
      <c r="T168" s="878"/>
      <c r="U168" s="958"/>
    </row>
    <row r="169" spans="1:21" s="224" customFormat="1" ht="15" customHeight="1" x14ac:dyDescent="0.25">
      <c r="A169" s="247">
        <v>45688</v>
      </c>
      <c r="B169" s="364" t="s">
        <v>3958</v>
      </c>
      <c r="C169" s="350" t="s">
        <v>12</v>
      </c>
      <c r="D169" s="350" t="s">
        <v>1489</v>
      </c>
      <c r="E169" s="875" t="s">
        <v>13</v>
      </c>
      <c r="F169" s="780">
        <v>25</v>
      </c>
      <c r="G169" s="982"/>
      <c r="H169" s="95"/>
      <c r="I169" s="1064"/>
      <c r="J169" s="622"/>
      <c r="K169" s="982"/>
      <c r="L169" s="622"/>
      <c r="M169" s="982"/>
      <c r="N169" s="622"/>
      <c r="O169" s="1063"/>
      <c r="P169" s="622"/>
      <c r="Q169" s="982"/>
      <c r="R169" s="861"/>
      <c r="T169" s="927"/>
      <c r="U169" s="999"/>
    </row>
    <row r="170" spans="1:21" s="224" customFormat="1" ht="15" customHeight="1" x14ac:dyDescent="0.25">
      <c r="A170" s="247">
        <v>45688</v>
      </c>
      <c r="B170" s="364" t="s">
        <v>32</v>
      </c>
      <c r="C170" s="350" t="s">
        <v>12</v>
      </c>
      <c r="D170" s="350" t="s">
        <v>1485</v>
      </c>
      <c r="E170" s="875" t="s">
        <v>13</v>
      </c>
      <c r="F170" s="780">
        <v>22</v>
      </c>
      <c r="G170" s="982"/>
      <c r="H170" s="95"/>
      <c r="I170" s="1064"/>
      <c r="J170" s="622"/>
      <c r="K170" s="982"/>
      <c r="L170" s="622"/>
      <c r="M170" s="982"/>
      <c r="N170" s="622"/>
      <c r="O170" s="1063"/>
      <c r="P170" s="622"/>
      <c r="Q170" s="982"/>
      <c r="R170" s="861"/>
      <c r="T170" s="927"/>
      <c r="U170" s="999"/>
    </row>
    <row r="171" spans="1:21" s="224" customFormat="1" ht="15" customHeight="1" x14ac:dyDescent="0.25">
      <c r="A171" s="247">
        <v>45688</v>
      </c>
      <c r="B171" s="882" t="s">
        <v>7356</v>
      </c>
      <c r="C171" s="879" t="s">
        <v>12</v>
      </c>
      <c r="D171" s="879" t="s">
        <v>1489</v>
      </c>
      <c r="E171" s="871" t="s">
        <v>13</v>
      </c>
      <c r="F171" s="780">
        <v>13</v>
      </c>
      <c r="G171" s="982"/>
      <c r="H171" s="622"/>
      <c r="I171" s="982"/>
      <c r="J171" s="622"/>
      <c r="K171" s="982"/>
      <c r="L171" s="622"/>
      <c r="M171" s="982"/>
      <c r="N171" s="622"/>
      <c r="O171" s="1063"/>
      <c r="P171" s="622"/>
      <c r="Q171" s="982"/>
      <c r="R171" s="1028"/>
      <c r="S171" s="959"/>
      <c r="T171" s="878"/>
      <c r="U171" s="958"/>
    </row>
    <row r="172" spans="1:21" s="224" customFormat="1" ht="15" customHeight="1" x14ac:dyDescent="0.25">
      <c r="A172" s="247">
        <v>45688</v>
      </c>
      <c r="B172" s="364" t="s">
        <v>2629</v>
      </c>
      <c r="C172" s="350" t="s">
        <v>12</v>
      </c>
      <c r="D172" s="350" t="s">
        <v>1489</v>
      </c>
      <c r="E172" s="875" t="s">
        <v>13</v>
      </c>
      <c r="F172" s="780">
        <v>68.61</v>
      </c>
      <c r="G172" s="982"/>
      <c r="H172" s="1008"/>
      <c r="I172" s="1063"/>
      <c r="J172" s="622"/>
      <c r="K172" s="982"/>
      <c r="L172" s="622"/>
      <c r="M172" s="982"/>
      <c r="N172" s="622"/>
      <c r="O172" s="1063"/>
      <c r="P172" s="622"/>
      <c r="Q172" s="982"/>
      <c r="R172" s="861"/>
      <c r="T172" s="1035"/>
    </row>
    <row r="173" spans="1:21" s="224" customFormat="1" ht="15" customHeight="1" x14ac:dyDescent="0.25">
      <c r="A173" s="247">
        <v>45688</v>
      </c>
      <c r="B173" s="364" t="s">
        <v>80</v>
      </c>
      <c r="C173" s="350" t="s">
        <v>12</v>
      </c>
      <c r="D173" s="350" t="s">
        <v>1523</v>
      </c>
      <c r="E173" s="875" t="s">
        <v>13</v>
      </c>
      <c r="F173" s="780">
        <v>32</v>
      </c>
      <c r="G173" s="982"/>
      <c r="H173" s="1008"/>
      <c r="I173" s="1063"/>
      <c r="J173" s="622"/>
      <c r="K173" s="982"/>
      <c r="L173" s="622"/>
      <c r="M173" s="982"/>
      <c r="N173" s="622"/>
      <c r="O173" s="1063"/>
      <c r="P173" s="622"/>
      <c r="Q173" s="982"/>
      <c r="R173" s="861"/>
      <c r="T173" s="1035"/>
    </row>
    <row r="174" spans="1:21" s="224" customFormat="1" ht="15" customHeight="1" x14ac:dyDescent="0.25">
      <c r="A174" s="247">
        <v>45688</v>
      </c>
      <c r="B174" s="882" t="s">
        <v>14</v>
      </c>
      <c r="C174" s="879" t="s">
        <v>12</v>
      </c>
      <c r="D174" s="879" t="s">
        <v>1486</v>
      </c>
      <c r="E174" s="871" t="s">
        <v>13</v>
      </c>
      <c r="F174" s="780">
        <v>6.44</v>
      </c>
      <c r="G174" s="982"/>
      <c r="H174" s="1008"/>
      <c r="I174" s="1063"/>
      <c r="J174" s="622"/>
      <c r="K174" s="982"/>
      <c r="L174" s="622"/>
      <c r="M174" s="982"/>
      <c r="N174" s="622"/>
      <c r="O174" s="1063"/>
      <c r="P174" s="622"/>
      <c r="Q174" s="982"/>
      <c r="R174" s="861"/>
      <c r="T174" s="1035"/>
    </row>
    <row r="175" spans="1:21" s="224" customFormat="1" ht="15" customHeight="1" thickBot="1" x14ac:dyDescent="0.3">
      <c r="A175" s="247">
        <v>45688</v>
      </c>
      <c r="B175" s="349" t="s">
        <v>6168</v>
      </c>
      <c r="C175" s="350" t="s">
        <v>12</v>
      </c>
      <c r="D175" s="350"/>
      <c r="E175" s="480" t="s">
        <v>25</v>
      </c>
      <c r="F175" s="780"/>
      <c r="G175" s="946"/>
      <c r="H175" s="95"/>
      <c r="I175" s="2096"/>
      <c r="J175" s="622"/>
      <c r="K175" s="2096">
        <v>9</v>
      </c>
      <c r="L175" s="622"/>
      <c r="M175" s="2096">
        <v>8.01</v>
      </c>
      <c r="N175" s="622"/>
      <c r="O175" s="2096">
        <v>93.42</v>
      </c>
      <c r="P175" s="622"/>
      <c r="Q175" s="982"/>
      <c r="R175" s="2585">
        <f>I175+K175+M175+O175</f>
        <v>110.43</v>
      </c>
      <c r="T175" s="927"/>
      <c r="U175" s="999"/>
    </row>
    <row r="176" spans="1:21" ht="25.5" customHeight="1" thickBot="1" x14ac:dyDescent="0.3">
      <c r="A176" s="3060"/>
      <c r="B176" s="3061"/>
      <c r="C176" s="3062"/>
      <c r="D176" s="3062"/>
      <c r="E176" s="3062"/>
      <c r="F176" s="1023">
        <f>SUM(F6:F175)</f>
        <v>11615.216666666673</v>
      </c>
      <c r="G176" s="1065">
        <f>SUM(G5:G175)</f>
        <v>12279.684916666718</v>
      </c>
      <c r="H176" s="517">
        <f>SUM(H6:H175)</f>
        <v>1510.26</v>
      </c>
      <c r="I176" s="93">
        <f>SUM(I5:I175)</f>
        <v>1510.2559999999989</v>
      </c>
      <c r="J176" s="517">
        <f>SUM(J6:J175)</f>
        <v>3005.55</v>
      </c>
      <c r="K176" s="93">
        <f>SUM(K5:K175)</f>
        <v>14307.450000000008</v>
      </c>
      <c r="L176" s="1023">
        <f>SUM(L6:L175)</f>
        <v>200</v>
      </c>
      <c r="M176" s="93">
        <f>SUM(M5:M175)</f>
        <v>1308.4199999999998</v>
      </c>
      <c r="N176" s="1023">
        <f>SUM(N6:N175)</f>
        <v>0</v>
      </c>
      <c r="O176" s="93">
        <f>SUM(O5:O175)</f>
        <v>10211.120000000003</v>
      </c>
      <c r="P176" s="1023">
        <f>SUM(P6:P175)</f>
        <v>0</v>
      </c>
      <c r="Q176" s="93">
        <f>SUM(Q5:Q175)</f>
        <v>30451.715984720006</v>
      </c>
      <c r="S176" s="216"/>
    </row>
    <row r="177" spans="1:26" ht="25.5" customHeight="1" thickBot="1" x14ac:dyDescent="0.3">
      <c r="A177" s="3063" t="s">
        <v>49</v>
      </c>
      <c r="B177" s="3064"/>
      <c r="C177" s="3064"/>
      <c r="D177" s="3064"/>
      <c r="E177" s="3064"/>
      <c r="F177" s="2046" t="s">
        <v>280</v>
      </c>
      <c r="G177" s="1066">
        <f>G176-F176</f>
        <v>664.46825000004537</v>
      </c>
      <c r="H177" s="1221"/>
      <c r="I177" s="772">
        <f>I176-H176</f>
        <v>-4.0000000010422809E-3</v>
      </c>
      <c r="J177" s="1221"/>
      <c r="K177" s="772">
        <f>K176-J176</f>
        <v>11301.900000000009</v>
      </c>
      <c r="L177" s="1222"/>
      <c r="M177" s="772">
        <f>M176-L176</f>
        <v>1108.4199999999998</v>
      </c>
      <c r="N177" s="1222"/>
      <c r="O177" s="772">
        <f>O176-N176</f>
        <v>10211.120000000003</v>
      </c>
      <c r="P177" s="1222"/>
      <c r="Q177" s="772">
        <f>Q176-P176</f>
        <v>30451.715984720006</v>
      </c>
      <c r="R177" s="484">
        <f>M177+O177+Q177</f>
        <v>41771.25598472001</v>
      </c>
    </row>
    <row r="178" spans="1:26" x14ac:dyDescent="0.25">
      <c r="J178" s="1210"/>
      <c r="K178" s="1038"/>
      <c r="M178" s="1238">
        <f>M177/R177</f>
        <v>2.6535472153517758E-2</v>
      </c>
      <c r="O178" s="1238">
        <f>O177/R177</f>
        <v>0.24445326718773422</v>
      </c>
      <c r="P178" s="1239"/>
      <c r="Q178" s="1239">
        <f>Q177/R177</f>
        <v>0.72901126065874799</v>
      </c>
      <c r="R178" s="867"/>
      <c r="S178" s="867"/>
      <c r="T178" s="79"/>
      <c r="W178" s="518"/>
      <c r="X178" s="216"/>
      <c r="Z178" s="877"/>
    </row>
    <row r="179" spans="1:26" x14ac:dyDescent="0.25">
      <c r="B179" s="81" t="s">
        <v>3</v>
      </c>
      <c r="C179" s="193" t="s">
        <v>1484</v>
      </c>
      <c r="D179" s="970" t="s">
        <v>2378</v>
      </c>
      <c r="E179" s="193" t="s">
        <v>3216</v>
      </c>
      <c r="F179" s="1061" t="s">
        <v>3217</v>
      </c>
      <c r="G179" s="216"/>
      <c r="I179" s="216"/>
      <c r="J179" s="1038"/>
      <c r="K179" s="216"/>
      <c r="M179" s="866"/>
      <c r="O179" s="866"/>
      <c r="P179" s="1038"/>
      <c r="Q179" s="1038"/>
      <c r="R179" s="865"/>
      <c r="S179" s="867"/>
    </row>
    <row r="180" spans="1:26" x14ac:dyDescent="0.25">
      <c r="B180" s="79" t="s">
        <v>32</v>
      </c>
      <c r="C180" s="85" t="s">
        <v>1485</v>
      </c>
      <c r="D180" s="475">
        <f>SUMIF($D$7:$D$175,C180,$F$7:$F$175)</f>
        <v>441.5</v>
      </c>
      <c r="E180" s="1202">
        <f t="shared" ref="E180:E196" si="0">D180/$K$200</f>
        <v>14.241935483870968</v>
      </c>
      <c r="F180" s="1203">
        <f t="shared" ref="F180:F196" si="1">E180/$E$201</f>
        <v>8.4106746034139923E-2</v>
      </c>
      <c r="G180" s="800"/>
      <c r="I180" s="769"/>
      <c r="J180" s="1038"/>
      <c r="K180" s="1225"/>
      <c r="M180" s="886"/>
      <c r="O180" s="886"/>
      <c r="P180" s="886"/>
      <c r="Q180" s="1038">
        <v>24197.98</v>
      </c>
      <c r="R180" s="1038" t="s">
        <v>6378</v>
      </c>
      <c r="S180" s="1210"/>
      <c r="U180" s="1201"/>
      <c r="V180" s="877"/>
    </row>
    <row r="181" spans="1:26" x14ac:dyDescent="0.25">
      <c r="B181" s="79" t="s">
        <v>2187</v>
      </c>
      <c r="C181" s="85" t="s">
        <v>2157</v>
      </c>
      <c r="D181" s="475">
        <f>SUMIF($D$15:$D$175,C181,$F$15:$F$175)</f>
        <v>30</v>
      </c>
      <c r="E181" s="1202">
        <f>D181/$K$200</f>
        <v>0.967741935483871</v>
      </c>
      <c r="F181" s="1203">
        <f t="shared" si="1"/>
        <v>5.7150676806890094E-3</v>
      </c>
      <c r="G181" s="609"/>
      <c r="J181" s="2125"/>
      <c r="K181" s="1129"/>
      <c r="M181" s="1210"/>
      <c r="O181" s="1038"/>
      <c r="P181" s="1210"/>
      <c r="Q181" s="1210">
        <f>Q177+Q180</f>
        <v>54649.695984720005</v>
      </c>
      <c r="R181" s="1038" t="s">
        <v>6379</v>
      </c>
      <c r="U181" s="877"/>
      <c r="V181" s="877"/>
    </row>
    <row r="182" spans="1:26" s="85" customFormat="1" x14ac:dyDescent="0.25">
      <c r="A182" s="79"/>
      <c r="B182" s="79" t="s">
        <v>50</v>
      </c>
      <c r="C182" s="85" t="s">
        <v>1493</v>
      </c>
      <c r="D182" s="475">
        <f>SUMIF($D$9:$D$175,C182,$F$9:$F$175)</f>
        <v>221.35</v>
      </c>
      <c r="E182" s="1202">
        <f t="shared" si="0"/>
        <v>7.1403225806451607</v>
      </c>
      <c r="F182" s="1203">
        <f t="shared" si="1"/>
        <v>4.2167674370683736E-2</v>
      </c>
      <c r="J182" s="1210"/>
      <c r="K182" s="1038"/>
      <c r="M182" s="941"/>
      <c r="N182" s="877"/>
      <c r="O182" s="863"/>
      <c r="Q182" s="79"/>
      <c r="R182" s="177"/>
      <c r="U182" s="877"/>
      <c r="V182" s="877"/>
    </row>
    <row r="183" spans="1:26" s="85" customFormat="1" x14ac:dyDescent="0.25">
      <c r="A183" s="79"/>
      <c r="B183" s="79" t="s">
        <v>14</v>
      </c>
      <c r="C183" s="85" t="s">
        <v>1486</v>
      </c>
      <c r="D183" s="475">
        <f>SUMIF($D$9:$D$175,C183,$F$9:$F$175)</f>
        <v>190.69000000000003</v>
      </c>
      <c r="E183" s="1202">
        <f t="shared" si="0"/>
        <v>6.1512903225806461</v>
      </c>
      <c r="F183" s="1203">
        <f t="shared" si="1"/>
        <v>3.6326875201019578E-2</v>
      </c>
      <c r="G183" s="79"/>
      <c r="H183" s="79"/>
      <c r="J183" s="1210"/>
      <c r="K183" s="1038"/>
      <c r="M183" s="1028"/>
      <c r="N183" s="877"/>
      <c r="O183" s="1038"/>
      <c r="R183" s="177"/>
      <c r="U183" s="877"/>
      <c r="V183" s="877"/>
    </row>
    <row r="184" spans="1:26" s="85" customFormat="1" x14ac:dyDescent="0.25">
      <c r="B184" s="79" t="s">
        <v>51</v>
      </c>
      <c r="C184" s="864" t="s">
        <v>1499</v>
      </c>
      <c r="D184" s="475">
        <f>SUMIF($D$15:$D$175,C184,$F$15:$F$175)</f>
        <v>255.32</v>
      </c>
      <c r="E184" s="1202">
        <f t="shared" si="0"/>
        <v>8.2361290322580647</v>
      </c>
      <c r="F184" s="1203">
        <f t="shared" si="1"/>
        <v>4.863903600778393E-2</v>
      </c>
      <c r="G184" s="79"/>
      <c r="H184" s="79"/>
      <c r="I184" s="79"/>
      <c r="J184" s="1210"/>
      <c r="K184" s="1038"/>
      <c r="M184" s="1028"/>
      <c r="N184" s="877"/>
      <c r="O184" s="1038"/>
      <c r="P184" s="1210"/>
      <c r="Q184" s="1038"/>
      <c r="R184" s="177"/>
      <c r="U184" s="877"/>
      <c r="V184" s="877"/>
    </row>
    <row r="185" spans="1:26" s="85" customFormat="1" x14ac:dyDescent="0.25">
      <c r="A185" s="79"/>
      <c r="B185" s="79" t="s">
        <v>2189</v>
      </c>
      <c r="C185" s="864" t="s">
        <v>1496</v>
      </c>
      <c r="D185" s="475">
        <f>SUMIF($D$15:$D$175,C185,$F$15:$F$175)</f>
        <v>170.3</v>
      </c>
      <c r="E185" s="1202">
        <f t="shared" si="0"/>
        <v>5.4935483870967747</v>
      </c>
      <c r="F185" s="1203">
        <f t="shared" si="1"/>
        <v>3.2442534200711276E-2</v>
      </c>
      <c r="G185" s="79"/>
      <c r="J185" s="1210"/>
      <c r="K185" s="1038"/>
      <c r="M185" s="877"/>
      <c r="O185" s="177"/>
      <c r="R185" s="177"/>
      <c r="U185" s="877"/>
      <c r="V185" s="877"/>
    </row>
    <row r="186" spans="1:26" s="85" customFormat="1" x14ac:dyDescent="0.25">
      <c r="A186" s="79"/>
      <c r="B186" s="867" t="s">
        <v>53</v>
      </c>
      <c r="C186" s="864" t="s">
        <v>1522</v>
      </c>
      <c r="D186" s="475">
        <f>SUMIF($D$7:$D$175,C186,$F$7:$F$175)</f>
        <v>1675.66</v>
      </c>
      <c r="E186" s="1202">
        <f t="shared" si="0"/>
        <v>54.053548387096775</v>
      </c>
      <c r="F186" s="1203">
        <f t="shared" si="1"/>
        <v>0.31921701032744482</v>
      </c>
      <c r="J186" s="1210"/>
      <c r="K186" s="1038"/>
      <c r="M186" s="1959"/>
      <c r="O186" s="177"/>
      <c r="P186" s="868"/>
      <c r="Q186" s="769"/>
      <c r="R186" s="79"/>
      <c r="U186" s="877"/>
      <c r="V186" s="877"/>
    </row>
    <row r="187" spans="1:26" s="85" customFormat="1" x14ac:dyDescent="0.25">
      <c r="A187" s="79"/>
      <c r="B187" s="79" t="s">
        <v>3048</v>
      </c>
      <c r="C187" s="864" t="s">
        <v>1523</v>
      </c>
      <c r="D187" s="475">
        <f>SUMIF($D$15:$D$175,C187,$F$15:$F$175)</f>
        <v>224</v>
      </c>
      <c r="E187" s="1202">
        <f t="shared" si="0"/>
        <v>7.225806451612903</v>
      </c>
      <c r="F187" s="1203">
        <f t="shared" si="1"/>
        <v>4.2672505349144602E-2</v>
      </c>
      <c r="G187" s="866"/>
      <c r="J187" s="1210"/>
      <c r="K187" s="1038"/>
      <c r="M187" s="877"/>
      <c r="O187" s="177"/>
      <c r="P187" s="866"/>
      <c r="Q187" s="1210"/>
      <c r="R187" s="877"/>
      <c r="U187" s="877"/>
      <c r="V187" s="877"/>
    </row>
    <row r="188" spans="1:26" s="85" customFormat="1" x14ac:dyDescent="0.25">
      <c r="A188" s="79"/>
      <c r="B188" s="79" t="s">
        <v>1686</v>
      </c>
      <c r="C188" s="864" t="s">
        <v>1506</v>
      </c>
      <c r="D188" s="475">
        <f>SUMIF($D$9:$D$175,C188,$F$9:$F$175)</f>
        <v>420</v>
      </c>
      <c r="E188" s="1202">
        <f t="shared" si="0"/>
        <v>13.548387096774194</v>
      </c>
      <c r="F188" s="1203">
        <f t="shared" si="1"/>
        <v>8.0010947529646131E-2</v>
      </c>
      <c r="G188" s="868"/>
      <c r="J188" s="1210"/>
      <c r="K188" s="1038"/>
      <c r="M188" s="877"/>
      <c r="O188" s="177"/>
      <c r="P188" s="1226"/>
      <c r="Q188" s="1129"/>
      <c r="R188" s="877"/>
      <c r="U188" s="877"/>
      <c r="V188" s="877"/>
    </row>
    <row r="189" spans="1:26" x14ac:dyDescent="0.25">
      <c r="B189" s="79" t="s">
        <v>418</v>
      </c>
      <c r="C189" s="85" t="s">
        <v>1524</v>
      </c>
      <c r="D189" s="475">
        <f t="shared" ref="D189:D195" si="2">SUMIF($D$15:$D$175,C189,$F$15:$F$175)</f>
        <v>3005.6200000000003</v>
      </c>
      <c r="E189" s="1202">
        <f t="shared" si="0"/>
        <v>96.955483870967754</v>
      </c>
      <c r="F189" s="1203">
        <f t="shared" si="1"/>
        <v>0.57257739074775005</v>
      </c>
      <c r="G189" s="85"/>
      <c r="H189" s="85"/>
      <c r="I189" s="85"/>
      <c r="J189" s="1210"/>
      <c r="K189" s="1038"/>
      <c r="L189" s="769"/>
      <c r="M189" s="877"/>
      <c r="N189" s="769"/>
      <c r="O189" s="216"/>
      <c r="P189" s="1038"/>
      <c r="Q189" s="1226"/>
      <c r="R189" s="877"/>
      <c r="U189" s="877"/>
      <c r="V189" s="877"/>
    </row>
    <row r="190" spans="1:26" x14ac:dyDescent="0.25">
      <c r="B190" s="79" t="s">
        <v>6732</v>
      </c>
      <c r="C190" s="85" t="s">
        <v>1491</v>
      </c>
      <c r="D190" s="475">
        <f t="shared" si="2"/>
        <v>1196.9000000000001</v>
      </c>
      <c r="E190" s="1202">
        <f t="shared" si="0"/>
        <v>38.609677419354838</v>
      </c>
      <c r="F190" s="1203">
        <f t="shared" si="1"/>
        <v>0.22801215023388915</v>
      </c>
      <c r="I190" s="85"/>
      <c r="J190" s="1210"/>
      <c r="K190" s="1038"/>
      <c r="N190" s="216"/>
      <c r="O190" s="216"/>
      <c r="Q190" s="484"/>
      <c r="R190" s="877"/>
      <c r="U190" s="877"/>
      <c r="V190" s="877"/>
    </row>
    <row r="191" spans="1:26" x14ac:dyDescent="0.25">
      <c r="B191" s="79" t="s">
        <v>6733</v>
      </c>
      <c r="C191" s="85" t="s">
        <v>6731</v>
      </c>
      <c r="D191" s="475">
        <f t="shared" si="2"/>
        <v>213.96</v>
      </c>
      <c r="E191" s="1202">
        <f t="shared" si="0"/>
        <v>6.9019354838709681</v>
      </c>
      <c r="F191" s="1203">
        <f t="shared" si="1"/>
        <v>4.0759862698674015E-2</v>
      </c>
      <c r="I191" s="85"/>
      <c r="J191" s="1210"/>
      <c r="K191" s="1038"/>
      <c r="N191" s="216"/>
      <c r="O191" s="216"/>
      <c r="Q191" s="484"/>
      <c r="R191" s="877"/>
      <c r="U191" s="877"/>
      <c r="V191" s="877"/>
    </row>
    <row r="192" spans="1:26" x14ac:dyDescent="0.25">
      <c r="B192" s="79" t="s">
        <v>911</v>
      </c>
      <c r="C192" s="85" t="s">
        <v>1525</v>
      </c>
      <c r="D192" s="475">
        <f t="shared" si="2"/>
        <v>715.56000000000006</v>
      </c>
      <c r="E192" s="1202">
        <f t="shared" si="0"/>
        <v>23.082580645161293</v>
      </c>
      <c r="F192" s="1203">
        <f t="shared" si="1"/>
        <v>0.13631579431979426</v>
      </c>
      <c r="J192" s="1210"/>
      <c r="K192" s="1038"/>
      <c r="O192" s="216"/>
      <c r="Q192" s="484"/>
      <c r="R192" s="1673"/>
      <c r="U192" s="877"/>
      <c r="V192" s="877"/>
    </row>
    <row r="193" spans="1:24" x14ac:dyDescent="0.25">
      <c r="B193" s="79" t="s">
        <v>1526</v>
      </c>
      <c r="C193" s="85" t="s">
        <v>1504</v>
      </c>
      <c r="D193" s="475">
        <f t="shared" si="2"/>
        <v>160.80666666666667</v>
      </c>
      <c r="E193" s="1202">
        <f t="shared" si="0"/>
        <v>5.1873118279569894</v>
      </c>
      <c r="F193" s="1203">
        <f t="shared" si="1"/>
        <v>3.0634032783533244E-2</v>
      </c>
      <c r="J193" s="1210"/>
      <c r="K193" s="1038"/>
      <c r="L193" s="769"/>
      <c r="N193" s="769"/>
      <c r="O193" s="886"/>
      <c r="P193" s="1210"/>
      <c r="Q193" s="1038"/>
      <c r="R193" s="1129"/>
      <c r="T193" s="1129"/>
      <c r="U193" s="877"/>
      <c r="V193" s="877"/>
    </row>
    <row r="194" spans="1:24" x14ac:dyDescent="0.25">
      <c r="B194" s="79" t="s">
        <v>2343</v>
      </c>
      <c r="C194" s="85" t="s">
        <v>2315</v>
      </c>
      <c r="D194" s="475">
        <f t="shared" si="2"/>
        <v>0</v>
      </c>
      <c r="E194" s="1202">
        <f t="shared" si="0"/>
        <v>0</v>
      </c>
      <c r="F194" s="1203">
        <f t="shared" si="1"/>
        <v>0</v>
      </c>
      <c r="J194" s="1210"/>
      <c r="K194" s="1038"/>
      <c r="L194" s="769"/>
      <c r="M194" s="1210"/>
      <c r="N194" s="769"/>
      <c r="O194" s="1673"/>
      <c r="P194" s="1210"/>
      <c r="Q194" s="1038"/>
      <c r="R194" s="1129"/>
      <c r="T194" s="1129"/>
      <c r="U194" s="877"/>
      <c r="V194" s="877"/>
    </row>
    <row r="195" spans="1:24" x14ac:dyDescent="0.25">
      <c r="B195" s="79" t="s">
        <v>3019</v>
      </c>
      <c r="C195" s="85" t="s">
        <v>3017</v>
      </c>
      <c r="D195" s="796">
        <f t="shared" si="2"/>
        <v>0</v>
      </c>
      <c r="E195" s="1202">
        <f t="shared" si="0"/>
        <v>0</v>
      </c>
      <c r="F195" s="1203">
        <f t="shared" si="1"/>
        <v>0</v>
      </c>
      <c r="J195" s="1210"/>
      <c r="K195" s="1038"/>
      <c r="L195" s="769"/>
      <c r="N195" s="769"/>
      <c r="P195" s="941"/>
      <c r="Q195" s="224"/>
      <c r="R195" s="1226"/>
      <c r="S195" s="1129"/>
      <c r="T195" s="1129"/>
      <c r="U195" s="877"/>
      <c r="V195" s="877"/>
    </row>
    <row r="196" spans="1:24" ht="15.75" thickBot="1" x14ac:dyDescent="0.3">
      <c r="B196" s="301" t="s">
        <v>1527</v>
      </c>
      <c r="C196" s="2400" t="s">
        <v>1489</v>
      </c>
      <c r="D196" s="2401">
        <f>SUMIF($D$9:$D$175,C196,$F$9:$F$175)</f>
        <v>426.22</v>
      </c>
      <c r="E196" s="2402">
        <f t="shared" si="0"/>
        <v>13.749032258064517</v>
      </c>
      <c r="F196" s="2403">
        <f t="shared" si="1"/>
        <v>8.1195871562108987E-2</v>
      </c>
      <c r="J196" s="1210"/>
      <c r="K196" s="1038"/>
      <c r="P196" s="2584"/>
      <c r="Q196" s="2584"/>
      <c r="R196" s="1226"/>
      <c r="S196" s="1129"/>
      <c r="T196" s="1129"/>
      <c r="U196" s="877"/>
      <c r="V196" s="877"/>
    </row>
    <row r="197" spans="1:24" x14ac:dyDescent="0.25">
      <c r="B197" s="1124" t="s">
        <v>6790</v>
      </c>
      <c r="C197" s="1124"/>
      <c r="D197" s="1125">
        <f>SUMIF($B$12:$B$175,"Crédito Gasolina",$G$12:$G$175)</f>
        <v>475.2</v>
      </c>
      <c r="E197" s="1138">
        <f>D197/K200</f>
        <v>15.329032258064515</v>
      </c>
      <c r="F197" s="1124"/>
      <c r="J197" s="2037"/>
      <c r="K197" s="629"/>
      <c r="P197" s="1210"/>
      <c r="Q197" s="1038"/>
      <c r="R197" s="1227"/>
      <c r="S197" s="1129"/>
      <c r="T197" s="1129"/>
      <c r="U197" s="877"/>
      <c r="V197" s="877"/>
    </row>
    <row r="198" spans="1:24" x14ac:dyDescent="0.25">
      <c r="B198" s="1124" t="s">
        <v>6918</v>
      </c>
      <c r="C198" s="1124"/>
      <c r="D198" s="1125">
        <f>SUMIF($B$15:$B$175,"Trabalho Art frutt",$G$15:$G$175)</f>
        <v>400</v>
      </c>
      <c r="E198" s="1138">
        <f>D198/K200</f>
        <v>12.903225806451612</v>
      </c>
      <c r="F198" s="1124"/>
      <c r="J198" s="2037"/>
      <c r="K198" s="629"/>
      <c r="L198" s="459" t="s">
        <v>6481</v>
      </c>
      <c r="M198" s="2125" t="s">
        <v>6482</v>
      </c>
      <c r="P198" s="1210"/>
      <c r="Q198" s="1038"/>
      <c r="R198" s="1227"/>
      <c r="S198" s="1129"/>
      <c r="T198" s="1129"/>
      <c r="U198" s="877"/>
      <c r="V198" s="877"/>
    </row>
    <row r="199" spans="1:24" x14ac:dyDescent="0.25">
      <c r="B199" s="1124"/>
      <c r="C199" s="1124"/>
      <c r="D199" s="1125"/>
      <c r="E199" s="1138"/>
      <c r="F199" s="1124"/>
      <c r="J199" s="2037"/>
      <c r="K199" s="629"/>
      <c r="L199" s="459"/>
      <c r="M199" s="2125"/>
      <c r="P199" s="1210"/>
      <c r="Q199" s="1038"/>
      <c r="R199" s="1227"/>
      <c r="S199" s="1129"/>
      <c r="T199" s="1129"/>
      <c r="U199" s="877"/>
      <c r="V199" s="877"/>
    </row>
    <row r="200" spans="1:24" x14ac:dyDescent="0.25">
      <c r="C200" s="3168" t="s">
        <v>486</v>
      </c>
      <c r="D200" s="3168"/>
      <c r="E200" s="863">
        <f>J200/K200</f>
        <v>301.54473118279572</v>
      </c>
      <c r="G200" s="518" t="s">
        <v>487</v>
      </c>
      <c r="J200" s="629">
        <f>SUM(D180:D196)</f>
        <v>9347.8866666666672</v>
      </c>
      <c r="K200" s="1517">
        <v>31</v>
      </c>
      <c r="L200" s="484">
        <f>5079.95+D198-J201</f>
        <v>-862.31666666666661</v>
      </c>
      <c r="N200" s="216"/>
      <c r="O200" s="1517"/>
      <c r="P200" s="1210"/>
      <c r="Q200" s="1038"/>
      <c r="R200" s="1226"/>
      <c r="S200" s="1129"/>
      <c r="T200" s="1129"/>
      <c r="U200" s="877"/>
      <c r="V200" s="877"/>
    </row>
    <row r="201" spans="1:24" ht="15.75" customHeight="1" x14ac:dyDescent="0.25">
      <c r="B201" s="3167" t="s">
        <v>7353</v>
      </c>
      <c r="C201" s="3167"/>
      <c r="D201" s="3167"/>
      <c r="E201" s="1125">
        <f>5079.95/30</f>
        <v>169.33166666666665</v>
      </c>
      <c r="G201" s="518" t="s">
        <v>6257</v>
      </c>
      <c r="J201" s="609">
        <f>J200-D189</f>
        <v>6342.2666666666664</v>
      </c>
      <c r="K201" s="629"/>
      <c r="M201" s="868"/>
      <c r="O201" s="868"/>
      <c r="P201" s="1210"/>
      <c r="Q201" s="1038"/>
      <c r="R201" s="1226"/>
      <c r="S201" s="1129"/>
      <c r="T201" s="1129"/>
      <c r="U201" s="877"/>
      <c r="V201" s="877"/>
    </row>
    <row r="202" spans="1:24" x14ac:dyDescent="0.25">
      <c r="A202" s="518"/>
      <c r="C202" s="79"/>
      <c r="D202" s="79"/>
      <c r="E202" s="769"/>
      <c r="F202" s="866"/>
      <c r="G202" s="769"/>
      <c r="H202" s="866"/>
      <c r="I202" s="1210"/>
      <c r="J202" s="867"/>
      <c r="K202" s="866"/>
      <c r="L202" s="1038"/>
      <c r="M202" s="1210"/>
      <c r="N202" s="1038"/>
      <c r="O202" s="1210"/>
      <c r="P202" s="1210"/>
      <c r="Q202" s="1038"/>
      <c r="R202" s="769"/>
      <c r="S202" s="484"/>
      <c r="T202" s="216"/>
      <c r="U202" s="866"/>
      <c r="V202" s="484"/>
      <c r="X202" s="877"/>
    </row>
    <row r="203" spans="1:24" s="518" customFormat="1" x14ac:dyDescent="0.25">
      <c r="A203" s="79"/>
      <c r="B203" s="79"/>
      <c r="C203" s="79"/>
      <c r="D203" s="79"/>
      <c r="E203" s="1126">
        <f>E201-E200</f>
        <v>-132.21306451612907</v>
      </c>
      <c r="F203" s="1205">
        <f>SUM(F180:F202)</f>
        <v>1.7807934990470129</v>
      </c>
      <c r="G203" s="85"/>
      <c r="H203" s="85"/>
      <c r="I203" s="89"/>
      <c r="J203" s="1210"/>
      <c r="K203" s="754"/>
      <c r="L203" s="79"/>
      <c r="M203" s="79"/>
      <c r="N203" s="79"/>
      <c r="O203" s="79"/>
      <c r="P203" s="1210"/>
      <c r="Q203" s="1038"/>
      <c r="R203" s="79"/>
      <c r="S203" s="79"/>
      <c r="T203" s="866"/>
      <c r="U203" s="484"/>
      <c r="V203" s="79"/>
      <c r="W203" s="877"/>
      <c r="X203" s="79"/>
    </row>
    <row r="204" spans="1:24" s="518" customFormat="1" x14ac:dyDescent="0.25">
      <c r="A204" s="79"/>
      <c r="B204" s="79"/>
      <c r="C204" s="79"/>
      <c r="D204" s="79"/>
      <c r="E204" s="85"/>
      <c r="J204" s="1038"/>
      <c r="K204" s="1225"/>
      <c r="Q204" s="2583"/>
      <c r="R204" s="926"/>
      <c r="S204" s="79"/>
      <c r="T204" s="877"/>
      <c r="U204" s="79"/>
    </row>
    <row r="205" spans="1:24" s="518" customFormat="1" x14ac:dyDescent="0.25">
      <c r="A205" s="79"/>
      <c r="B205" s="1124" t="s">
        <v>6376</v>
      </c>
      <c r="C205" s="2125"/>
      <c r="D205" s="2219">
        <f>SUMIF($E$29:$E$175,"crédito",$G$29:$G$175)</f>
        <v>7036.48</v>
      </c>
      <c r="E205" s="85"/>
      <c r="F205" s="89"/>
      <c r="G205" s="79"/>
      <c r="H205" s="79"/>
      <c r="I205" s="79"/>
      <c r="J205" s="1038"/>
      <c r="K205" s="1225"/>
      <c r="L205" s="769"/>
      <c r="M205" s="866"/>
      <c r="N205" s="769"/>
      <c r="O205" s="866"/>
      <c r="P205" s="1210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518" t="s">
        <v>6496</v>
      </c>
      <c r="C206" s="459"/>
      <c r="D206" s="2218">
        <f>SUM(D180:D196)-D189</f>
        <v>6342.2666666666664</v>
      </c>
      <c r="E206" s="85"/>
      <c r="F206" s="89"/>
      <c r="G206" s="79"/>
      <c r="H206" s="79"/>
      <c r="I206" s="216"/>
      <c r="J206" s="864"/>
      <c r="K206" s="877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81" t="s">
        <v>6497</v>
      </c>
      <c r="C207" s="81"/>
      <c r="D207" s="1014">
        <f>D205-D206</f>
        <v>694.21333333333314</v>
      </c>
      <c r="E207" s="79"/>
      <c r="F207" s="79"/>
      <c r="G207" s="79"/>
      <c r="H207" s="79"/>
      <c r="J207" s="1038"/>
      <c r="K207" s="877"/>
      <c r="M207" s="866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216"/>
      <c r="J208" s="1038"/>
      <c r="K208" s="877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216"/>
      <c r="H209" s="79"/>
      <c r="I209" s="216"/>
      <c r="J209" s="1038"/>
      <c r="K209" s="877"/>
      <c r="L209" s="769"/>
      <c r="M209" s="868"/>
      <c r="N209" s="769"/>
      <c r="O209" s="868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216"/>
      <c r="H210" s="79"/>
      <c r="I210" s="216"/>
      <c r="J210" s="79"/>
      <c r="K210" s="877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216"/>
      <c r="H211" s="79"/>
      <c r="I211" s="79"/>
      <c r="J211" s="85"/>
      <c r="K211" s="877"/>
      <c r="L211" s="770"/>
      <c r="M211" s="866"/>
      <c r="N211" s="770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216"/>
      <c r="J212" s="1038"/>
      <c r="K212" s="877"/>
      <c r="L212" s="769"/>
      <c r="M212" s="868"/>
      <c r="N212" s="769"/>
      <c r="O212" s="868"/>
      <c r="P212" s="1210"/>
      <c r="Q212" s="103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85"/>
      <c r="D213" s="85"/>
      <c r="E213" s="85"/>
      <c r="F213" s="89"/>
      <c r="G213" s="79"/>
      <c r="H213" s="79"/>
      <c r="I213" s="79"/>
      <c r="J213" s="85"/>
      <c r="K213" s="877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629"/>
      <c r="J214" s="769"/>
      <c r="K214" s="1225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85"/>
      <c r="D215" s="85"/>
      <c r="E215" s="85"/>
      <c r="F215" s="89"/>
      <c r="G215" s="79"/>
      <c r="H215" s="79"/>
      <c r="I215" s="79"/>
      <c r="J215" s="79"/>
      <c r="K215" s="79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85"/>
      <c r="D216" s="85"/>
      <c r="E216" s="85"/>
      <c r="F216" s="89"/>
      <c r="G216" s="79"/>
      <c r="H216" s="79"/>
      <c r="I216" s="79"/>
      <c r="J216" s="79"/>
      <c r="K216" s="79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1" s="518" customFormat="1" x14ac:dyDescent="0.25">
      <c r="A217" s="79"/>
      <c r="B217" s="79"/>
      <c r="C217" s="85"/>
      <c r="D217" s="85"/>
      <c r="E217" s="85"/>
      <c r="F217" s="89"/>
      <c r="G217" s="79"/>
      <c r="H217" s="79"/>
      <c r="I217" s="79"/>
      <c r="J217" s="769"/>
      <c r="K217" s="868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1" s="518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J218" s="769"/>
      <c r="K218" s="868"/>
      <c r="L218" s="769"/>
      <c r="M218" s="866"/>
      <c r="N218" s="769"/>
      <c r="O218" s="866"/>
      <c r="P218" s="1210"/>
      <c r="Q218" s="1038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69"/>
      <c r="K219" s="79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216"/>
      <c r="J220" s="79"/>
      <c r="K220" s="79"/>
      <c r="L220" s="769"/>
      <c r="M220" s="866"/>
      <c r="N220" s="769"/>
      <c r="O220" s="866"/>
      <c r="P220" s="1210"/>
      <c r="Q220" s="1038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79"/>
      <c r="K221" s="79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216"/>
      <c r="J222" s="1517"/>
      <c r="K222" s="79"/>
      <c r="L222" s="769"/>
      <c r="M222" s="866"/>
      <c r="N222" s="769"/>
      <c r="O222" s="866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216"/>
      <c r="J223" s="79"/>
      <c r="K223" s="868"/>
      <c r="L223" s="769"/>
      <c r="M223" s="866"/>
      <c r="N223" s="769"/>
      <c r="O223" s="866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216"/>
      <c r="J224" s="89"/>
      <c r="K224" s="79"/>
      <c r="L224" s="769"/>
      <c r="M224" s="868"/>
      <c r="N224" s="769"/>
      <c r="O224" s="868"/>
      <c r="P224" s="79"/>
      <c r="Q224" s="79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216"/>
      <c r="J225" s="79"/>
      <c r="K225" s="79"/>
      <c r="L225" s="769"/>
      <c r="M225" s="868"/>
      <c r="N225" s="769"/>
      <c r="O225" s="868"/>
      <c r="P225" s="81"/>
      <c r="Q225" s="755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216"/>
      <c r="L226" s="769"/>
      <c r="M226" s="868"/>
      <c r="N226" s="769"/>
      <c r="O226" s="868"/>
      <c r="P226" s="868"/>
      <c r="Q226" s="7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216"/>
      <c r="J227" s="769"/>
      <c r="K227" s="866"/>
      <c r="L227" s="769"/>
      <c r="M227" s="868"/>
      <c r="N227" s="769"/>
      <c r="O227" s="868"/>
      <c r="P227" s="754"/>
      <c r="Q227" s="88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769"/>
      <c r="K228" s="866"/>
      <c r="L228" s="769"/>
      <c r="M228" s="868"/>
      <c r="N228" s="769"/>
      <c r="O228" s="868"/>
      <c r="P228" s="864"/>
      <c r="Q228" s="864"/>
      <c r="R228" s="484"/>
      <c r="S228" s="79"/>
      <c r="T228" s="877"/>
      <c r="U228" s="79"/>
    </row>
    <row r="229" spans="1:21" s="518" customFormat="1" x14ac:dyDescent="0.25">
      <c r="A229" s="79"/>
      <c r="B229" s="79"/>
      <c r="C229" s="85"/>
      <c r="D229" s="85"/>
      <c r="E229" s="85"/>
      <c r="F229" s="89"/>
      <c r="G229" s="79"/>
      <c r="H229" s="79"/>
      <c r="I229" s="79"/>
      <c r="K229" s="866"/>
      <c r="L229" s="769"/>
      <c r="M229" s="866"/>
      <c r="N229" s="769"/>
      <c r="O229" s="866"/>
      <c r="P229" s="864"/>
      <c r="Q229" s="1032"/>
      <c r="R229" s="484"/>
      <c r="S229" s="79"/>
      <c r="T229" s="877"/>
      <c r="U229" s="79"/>
    </row>
    <row r="230" spans="1:21" s="518" customFormat="1" x14ac:dyDescent="0.25">
      <c r="A230" s="79"/>
      <c r="B230" s="79"/>
      <c r="C230" s="85"/>
      <c r="D230" s="85"/>
      <c r="E230" s="85"/>
      <c r="F230" s="89"/>
      <c r="G230" s="79"/>
      <c r="H230" s="79"/>
      <c r="I230" s="79"/>
      <c r="J230" s="769"/>
      <c r="K230" s="866"/>
      <c r="L230" s="769"/>
      <c r="M230" s="866"/>
      <c r="N230" s="769"/>
      <c r="O230" s="866"/>
      <c r="P230" s="864"/>
      <c r="Q230" s="1032"/>
      <c r="R230" s="484"/>
      <c r="S230" s="79"/>
      <c r="T230" s="877"/>
      <c r="U230" s="79"/>
    </row>
    <row r="231" spans="1:21" s="518" customFormat="1" x14ac:dyDescent="0.25">
      <c r="A231" s="79"/>
      <c r="B231" s="79"/>
      <c r="C231" s="85"/>
      <c r="D231" s="85"/>
      <c r="E231" s="85"/>
      <c r="F231" s="89"/>
      <c r="G231" s="79"/>
      <c r="H231" s="79"/>
      <c r="I231" s="79"/>
      <c r="J231" s="769"/>
      <c r="K231" s="868"/>
      <c r="L231" s="769"/>
      <c r="M231" s="868"/>
      <c r="N231" s="769"/>
      <c r="O231" s="868"/>
      <c r="P231" s="85"/>
      <c r="Q231" s="795"/>
      <c r="R231" s="484"/>
      <c r="S231" s="79"/>
      <c r="T231" s="877"/>
      <c r="U231" s="79"/>
    </row>
    <row r="232" spans="1:21" s="518" customFormat="1" x14ac:dyDescent="0.25">
      <c r="A232" s="79"/>
      <c r="B232" s="79"/>
      <c r="C232" s="85"/>
      <c r="D232" s="85"/>
      <c r="E232" s="85"/>
      <c r="F232" s="89"/>
      <c r="G232" s="79"/>
      <c r="H232" s="79"/>
      <c r="I232" s="79"/>
      <c r="J232" s="769"/>
      <c r="K232" s="866"/>
      <c r="L232" s="769"/>
      <c r="M232" s="866"/>
      <c r="N232" s="769"/>
      <c r="O232" s="866"/>
      <c r="P232" s="85"/>
      <c r="Q232" s="177"/>
      <c r="R232" s="484"/>
      <c r="S232" s="79"/>
      <c r="T232" s="877"/>
      <c r="U232" s="79"/>
    </row>
    <row r="233" spans="1:21" s="518" customFormat="1" x14ac:dyDescent="0.25">
      <c r="A233" s="79"/>
      <c r="B233" s="79"/>
      <c r="C233" s="85"/>
      <c r="D233" s="85"/>
      <c r="E233" s="85"/>
      <c r="F233" s="89"/>
      <c r="G233" s="79"/>
      <c r="H233" s="79"/>
      <c r="I233" s="79"/>
      <c r="J233" s="770"/>
      <c r="K233" s="866"/>
      <c r="L233" s="769"/>
      <c r="M233" s="866"/>
      <c r="N233" s="769"/>
      <c r="O233" s="866"/>
      <c r="P233" s="85"/>
      <c r="Q233" s="177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8"/>
      <c r="L234" s="769"/>
      <c r="M234" s="868"/>
      <c r="N234" s="769"/>
      <c r="O234" s="868"/>
      <c r="P234" s="85"/>
      <c r="Q234" s="177" t="s">
        <v>280</v>
      </c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769"/>
      <c r="M235" s="868"/>
      <c r="N235" s="769"/>
      <c r="O235" s="868"/>
      <c r="P235" s="85"/>
      <c r="Q235" s="177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69"/>
      <c r="M236" s="868"/>
      <c r="N236" s="769"/>
      <c r="O236" s="868"/>
      <c r="P236" s="85"/>
      <c r="Q236" s="866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69"/>
      <c r="M237" s="868"/>
      <c r="N237" s="769"/>
      <c r="O237" s="868"/>
      <c r="P237" s="769"/>
      <c r="Q237" s="216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769"/>
      <c r="M238" s="866"/>
      <c r="N238" s="769"/>
      <c r="O238" s="866"/>
      <c r="P238" s="79"/>
      <c r="Q238" s="21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6"/>
      <c r="L239" s="223"/>
      <c r="M239" s="629"/>
      <c r="N239" s="223"/>
      <c r="O239" s="629"/>
      <c r="P239" s="76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6"/>
      <c r="L240" s="756"/>
      <c r="M240" s="756"/>
      <c r="N240" s="756"/>
      <c r="O240" s="756"/>
      <c r="P240" s="76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79"/>
      <c r="M241" s="79"/>
      <c r="N241" s="79"/>
      <c r="O241" s="79"/>
      <c r="P241" s="769"/>
      <c r="Q241" s="868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9"/>
      <c r="M242" s="79"/>
      <c r="N242" s="79"/>
      <c r="O242" s="79"/>
      <c r="P242" s="769"/>
      <c r="Q242" s="79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9"/>
      <c r="Q243" s="79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85"/>
      <c r="M245" s="85"/>
      <c r="N245" s="85"/>
      <c r="O245" s="85"/>
      <c r="P245" s="1517"/>
      <c r="Q245" s="79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9"/>
      <c r="Q246" s="868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89"/>
      <c r="Q247" s="79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8"/>
      <c r="L248" s="79"/>
      <c r="M248" s="79"/>
      <c r="N248" s="79"/>
      <c r="O248" s="79"/>
      <c r="P248" s="79"/>
      <c r="Q248" s="79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8"/>
      <c r="L249" s="79"/>
      <c r="M249" s="79"/>
      <c r="N249" s="79"/>
      <c r="O249" s="79"/>
      <c r="P249" s="769"/>
      <c r="Q249" s="86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8"/>
      <c r="L250" s="79"/>
      <c r="M250" s="79"/>
      <c r="N250" s="79"/>
      <c r="O250" s="79"/>
      <c r="P250" s="769"/>
      <c r="Q250" s="866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9"/>
      <c r="M251" s="79"/>
      <c r="N251" s="79"/>
      <c r="O251" s="79"/>
      <c r="P251" s="769"/>
      <c r="Q251" s="866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85"/>
      <c r="M252" s="85"/>
      <c r="N252" s="85"/>
      <c r="O252" s="85"/>
      <c r="Q252" s="866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8"/>
      <c r="L253" s="79"/>
      <c r="M253" s="79"/>
      <c r="N253" s="79"/>
      <c r="O253" s="79"/>
      <c r="P253" s="769"/>
      <c r="Q253" s="866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6"/>
      <c r="L254" s="79"/>
      <c r="M254" s="79"/>
      <c r="N254" s="79"/>
      <c r="O254" s="79"/>
      <c r="P254" s="769"/>
      <c r="Q254" s="868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6"/>
      <c r="L255" s="79"/>
      <c r="M255" s="79"/>
      <c r="N255" s="79"/>
      <c r="O255" s="79"/>
      <c r="P255" s="769"/>
      <c r="Q255" s="866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770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69"/>
      <c r="Q257" s="868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71"/>
      <c r="N259" s="771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79"/>
      <c r="M260" s="79"/>
      <c r="N260" s="79"/>
      <c r="O260" s="79"/>
      <c r="P260" s="769"/>
      <c r="Q260" s="866"/>
      <c r="R260" s="484"/>
      <c r="S260" s="79"/>
      <c r="T260" s="877"/>
      <c r="U260" s="79"/>
    </row>
    <row r="261" spans="1:21" x14ac:dyDescent="0.25">
      <c r="J261" s="223"/>
      <c r="K261" s="629"/>
      <c r="P261" s="769"/>
      <c r="Q261" s="866"/>
    </row>
    <row r="262" spans="1:21" x14ac:dyDescent="0.25">
      <c r="J262" s="756"/>
      <c r="K262" s="756"/>
      <c r="P262" s="769"/>
      <c r="Q262" s="866"/>
    </row>
    <row r="263" spans="1:21" x14ac:dyDescent="0.25">
      <c r="P263" s="769"/>
      <c r="Q263" s="866"/>
    </row>
    <row r="264" spans="1:21" x14ac:dyDescent="0.25">
      <c r="P264" s="769"/>
      <c r="Q264" s="866"/>
    </row>
    <row r="265" spans="1:21" x14ac:dyDescent="0.25">
      <c r="P265" s="769"/>
      <c r="Q265" s="866"/>
    </row>
    <row r="266" spans="1:21" x14ac:dyDescent="0.25">
      <c r="P266" s="769"/>
      <c r="Q266" s="866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85"/>
      <c r="K267" s="85"/>
      <c r="L267" s="79"/>
      <c r="M267" s="216"/>
      <c r="N267" s="79"/>
      <c r="O267" s="216"/>
      <c r="P267" s="769"/>
      <c r="Q267" s="866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216"/>
      <c r="N268" s="79"/>
      <c r="O268" s="216"/>
      <c r="P268" s="769"/>
      <c r="Q268" s="866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216"/>
      <c r="N269" s="79"/>
      <c r="O269" s="216"/>
      <c r="P269" s="769"/>
      <c r="Q269" s="868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x14ac:dyDescent="0.25">
      <c r="P271" s="769"/>
      <c r="Q271" s="868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216"/>
      <c r="N272" s="79"/>
      <c r="O272" s="216"/>
      <c r="P272" s="769"/>
      <c r="Q272" s="868"/>
      <c r="R272" s="484"/>
      <c r="S272" s="79"/>
      <c r="T272" s="877"/>
      <c r="U272" s="79"/>
    </row>
    <row r="273" spans="1:21" x14ac:dyDescent="0.25">
      <c r="P273" s="769"/>
      <c r="Q273" s="868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85"/>
      <c r="K274" s="85"/>
      <c r="L274" s="79"/>
      <c r="M274" s="629"/>
      <c r="N274" s="79"/>
      <c r="O274" s="629"/>
      <c r="P274" s="769"/>
      <c r="Q274" s="866"/>
      <c r="R274" s="484"/>
      <c r="S274" s="79"/>
      <c r="T274" s="877"/>
      <c r="U274" s="79"/>
    </row>
    <row r="275" spans="1:21" x14ac:dyDescent="0.25">
      <c r="P275" s="769"/>
      <c r="Q275" s="866"/>
    </row>
    <row r="276" spans="1:21" x14ac:dyDescent="0.25">
      <c r="P276" s="769"/>
      <c r="Q276" s="868"/>
    </row>
    <row r="277" spans="1:21" x14ac:dyDescent="0.25">
      <c r="P277" s="769"/>
      <c r="Q277" s="866"/>
    </row>
    <row r="278" spans="1:21" x14ac:dyDescent="0.25">
      <c r="P278" s="769"/>
      <c r="Q278" s="866"/>
    </row>
    <row r="279" spans="1:21" x14ac:dyDescent="0.25">
      <c r="P279" s="769"/>
      <c r="Q279" s="868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69"/>
      <c r="Q280" s="868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71"/>
      <c r="L281" s="79"/>
      <c r="M281" s="216"/>
      <c r="N281" s="79"/>
      <c r="O281" s="216"/>
      <c r="P281" s="769"/>
      <c r="Q281" s="868"/>
      <c r="R281" s="484"/>
      <c r="S281" s="79"/>
      <c r="T281" s="877"/>
      <c r="U281" s="79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216"/>
      <c r="N282" s="79"/>
      <c r="O282" s="216"/>
      <c r="P282" s="769"/>
      <c r="Q282" s="868"/>
      <c r="R282" s="484"/>
      <c r="S282" s="79"/>
      <c r="T282" s="877"/>
      <c r="U282" s="79"/>
    </row>
    <row r="283" spans="1:21" s="518" customFormat="1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216"/>
      <c r="N283" s="79"/>
      <c r="O283" s="216"/>
      <c r="P283" s="769"/>
      <c r="Q283" s="866"/>
      <c r="R283" s="484"/>
      <c r="S283" s="79"/>
      <c r="T283" s="877"/>
      <c r="U283" s="79"/>
    </row>
    <row r="284" spans="1:21" s="518" customFormat="1" x14ac:dyDescent="0.25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216"/>
      <c r="N284" s="79"/>
      <c r="O284" s="216"/>
      <c r="P284" s="223"/>
      <c r="Q284" s="629"/>
      <c r="R284" s="484"/>
      <c r="S284" s="79"/>
      <c r="T284" s="877"/>
      <c r="U284" s="79"/>
    </row>
    <row r="285" spans="1:21" s="518" customFormat="1" x14ac:dyDescent="0.25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216"/>
      <c r="N285" s="79"/>
      <c r="O285" s="216"/>
      <c r="P285" s="756"/>
      <c r="Q285" s="756"/>
      <c r="R285" s="484"/>
      <c r="S285" s="79"/>
      <c r="T285" s="877"/>
      <c r="U285" s="79"/>
    </row>
    <row r="286" spans="1:21" s="518" customFormat="1" x14ac:dyDescent="0.25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216"/>
      <c r="N286" s="79"/>
      <c r="O286" s="216"/>
      <c r="P286" s="79"/>
      <c r="Q286" s="79"/>
      <c r="R286" s="484"/>
      <c r="S286" s="79"/>
      <c r="T286" s="877"/>
      <c r="U286" s="79"/>
    </row>
    <row r="287" spans="1:21" s="518" customFormat="1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216"/>
      <c r="N287" s="79"/>
      <c r="O287" s="216"/>
      <c r="P287" s="79"/>
      <c r="Q287" s="79"/>
      <c r="R287" s="484"/>
      <c r="S287" s="79"/>
      <c r="T287" s="877"/>
      <c r="U287" s="79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216"/>
      <c r="N288" s="79"/>
      <c r="O288" s="216"/>
      <c r="P288" s="79"/>
      <c r="Q288" s="79"/>
      <c r="R288" s="484"/>
      <c r="S288" s="79"/>
      <c r="T288" s="877"/>
      <c r="U288" s="79"/>
    </row>
    <row r="289" spans="1:42" x14ac:dyDescent="0.25">
      <c r="K289" s="216"/>
    </row>
    <row r="290" spans="1:42" x14ac:dyDescent="0.25">
      <c r="K290" s="216"/>
      <c r="P290" s="85"/>
      <c r="Q290" s="85"/>
    </row>
    <row r="291" spans="1:42" x14ac:dyDescent="0.25">
      <c r="K291" s="216"/>
    </row>
    <row r="292" spans="1:42" x14ac:dyDescent="0.25">
      <c r="K292" s="216"/>
    </row>
    <row r="294" spans="1:42" x14ac:dyDescent="0.25">
      <c r="K294" s="216"/>
    </row>
    <row r="296" spans="1:42" x14ac:dyDescent="0.25">
      <c r="K296" s="629"/>
    </row>
    <row r="297" spans="1:42" x14ac:dyDescent="0.25">
      <c r="P297" s="85"/>
      <c r="Q297" s="85"/>
    </row>
    <row r="301" spans="1:42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S301" s="79"/>
      <c r="T301" s="877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216"/>
      <c r="L302" s="79"/>
      <c r="M302" s="79"/>
      <c r="N302" s="79"/>
      <c r="O302" s="79"/>
      <c r="P302" s="79"/>
      <c r="Q302" s="79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216"/>
      <c r="L303" s="79"/>
      <c r="M303" s="79"/>
      <c r="N303" s="79"/>
      <c r="O303" s="79"/>
      <c r="P303" s="79"/>
      <c r="Q303" s="79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216"/>
      <c r="L304" s="79"/>
      <c r="M304" s="79"/>
      <c r="N304" s="79"/>
      <c r="O304" s="79"/>
      <c r="P304" s="771"/>
      <c r="Q304" s="518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216"/>
      <c r="L305" s="79"/>
      <c r="M305" s="79"/>
      <c r="N305" s="79"/>
      <c r="O305" s="79"/>
      <c r="P305" s="79"/>
      <c r="Q305" s="79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6" spans="1:42" x14ac:dyDescent="0.25">
      <c r="K306" s="216"/>
    </row>
    <row r="307" spans="1:42" x14ac:dyDescent="0.25">
      <c r="K307" s="216"/>
    </row>
    <row r="308" spans="1:42" x14ac:dyDescent="0.25">
      <c r="K308" s="216"/>
    </row>
    <row r="309" spans="1:42" x14ac:dyDescent="0.25">
      <c r="K309" s="216"/>
    </row>
    <row r="310" spans="1:42" x14ac:dyDescent="0.25">
      <c r="K310" s="216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216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216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7" spans="1:42" s="484" customFormat="1" x14ac:dyDescent="0.25">
      <c r="A317" s="79"/>
      <c r="B317" s="79"/>
      <c r="C317" s="85"/>
      <c r="D317" s="85"/>
      <c r="E317" s="85"/>
      <c r="F317" s="8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216"/>
      <c r="S317" s="79"/>
      <c r="T317" s="877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629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216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  <row r="328" spans="1:42" s="484" customFormat="1" x14ac:dyDescent="0.25">
      <c r="A328" s="79"/>
      <c r="B328" s="79"/>
      <c r="C328" s="85"/>
      <c r="D328" s="85"/>
      <c r="E328" s="85"/>
      <c r="F328" s="8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216"/>
      <c r="S328" s="79"/>
      <c r="T328" s="877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</row>
    <row r="329" spans="1:42" s="484" customFormat="1" x14ac:dyDescent="0.25">
      <c r="A329" s="79"/>
      <c r="B329" s="79"/>
      <c r="C329" s="85"/>
      <c r="D329" s="85"/>
      <c r="E329" s="85"/>
      <c r="F329" s="8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216"/>
      <c r="S329" s="79"/>
      <c r="T329" s="877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</row>
    <row r="330" spans="1:42" s="484" customFormat="1" x14ac:dyDescent="0.25">
      <c r="A330" s="79"/>
      <c r="B330" s="79"/>
      <c r="C330" s="85"/>
      <c r="D330" s="85"/>
      <c r="E330" s="85"/>
      <c r="F330" s="8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216"/>
      <c r="S330" s="79"/>
      <c r="T330" s="877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</row>
    <row r="331" spans="1:42" s="484" customFormat="1" x14ac:dyDescent="0.25">
      <c r="A331" s="79"/>
      <c r="B331" s="79"/>
      <c r="C331" s="85"/>
      <c r="D331" s="85"/>
      <c r="E331" s="85"/>
      <c r="F331" s="8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216"/>
      <c r="S331" s="79"/>
      <c r="T331" s="877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</row>
    <row r="332" spans="1:42" s="484" customFormat="1" x14ac:dyDescent="0.25">
      <c r="A332" s="79"/>
      <c r="B332" s="79"/>
      <c r="C332" s="85"/>
      <c r="D332" s="85"/>
      <c r="E332" s="85"/>
      <c r="F332" s="8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216"/>
      <c r="S332" s="79"/>
      <c r="T332" s="877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</sheetData>
  <autoFilter ref="A2:I198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201:D201"/>
    <mergeCell ref="L2:M3"/>
    <mergeCell ref="N2:O3"/>
    <mergeCell ref="P2:Q3"/>
    <mergeCell ref="A176:E176"/>
    <mergeCell ref="A177:E177"/>
    <mergeCell ref="C200:D200"/>
  </mergeCells>
  <phoneticPr fontId="142" type="noConversion"/>
  <conditionalFormatting sqref="D180:D196">
    <cfRule type="dataBar" priority="1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{E61BE003-0D81-4E90-9498-C4988E7B36EF}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61BE003-0D81-4E90-9498-C4988E7B36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D180:D196</xm:sqref>
        </x14:conditionalFormatting>
      </x14:conditionalFormattings>
    </ext>
  </extLst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6A908-465D-4B49-BDFC-BF1B8C865F03}">
  <dimension ref="A1:AP309"/>
  <sheetViews>
    <sheetView zoomScale="85" zoomScaleNormal="85" workbookViewId="0">
      <pane ySplit="5" topLeftCell="A105" activePane="bottomLeft" state="frozen"/>
      <selection pane="bottomLeft" activeCell="B115" sqref="B114:E115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7345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45689</v>
      </c>
      <c r="B5" s="369" t="s">
        <v>10</v>
      </c>
      <c r="C5" s="370"/>
      <c r="D5" s="370"/>
      <c r="E5" s="777"/>
      <c r="F5" s="179"/>
      <c r="G5" s="933">
        <f>'Janeiro-25'!G177</f>
        <v>664.46825000004537</v>
      </c>
      <c r="H5" s="163"/>
      <c r="I5" s="1479">
        <f>'Janeiro-25'!I177</f>
        <v>-4.0000000010422809E-3</v>
      </c>
      <c r="J5" s="179"/>
      <c r="K5" s="933">
        <f>'Janeiro-25'!K177</f>
        <v>11301.900000000009</v>
      </c>
      <c r="L5" s="179"/>
      <c r="M5" s="933">
        <f>'Janeiro-25'!M177</f>
        <v>1108.4199999999998</v>
      </c>
      <c r="N5" s="179"/>
      <c r="O5" s="1479">
        <f>'Janeiro-25'!O177</f>
        <v>10211.120000000003</v>
      </c>
      <c r="P5" s="179"/>
      <c r="Q5" s="933">
        <f>'Janeiro-25'!Q177</f>
        <v>30451.715984720006</v>
      </c>
    </row>
    <row r="6" spans="1:42" s="224" customFormat="1" x14ac:dyDescent="0.25">
      <c r="A6" s="247">
        <v>45689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45689</v>
      </c>
      <c r="B7" s="1275" t="s">
        <v>7362</v>
      </c>
      <c r="C7" s="1276" t="s">
        <v>12</v>
      </c>
      <c r="D7" s="1276"/>
      <c r="E7" s="1286" t="s">
        <v>13</v>
      </c>
      <c r="F7" s="613">
        <v>181.17</v>
      </c>
      <c r="G7" s="967"/>
      <c r="H7" s="1008"/>
      <c r="I7" s="1063"/>
      <c r="J7" s="613"/>
      <c r="K7" s="6"/>
      <c r="L7" s="622"/>
      <c r="M7" s="982"/>
      <c r="N7" s="622"/>
      <c r="O7" s="1063"/>
      <c r="P7" s="613"/>
      <c r="Q7" s="64"/>
      <c r="R7" s="10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45689</v>
      </c>
      <c r="B8" s="1275" t="s">
        <v>6755</v>
      </c>
      <c r="C8" s="1276" t="s">
        <v>12</v>
      </c>
      <c r="D8" s="1276"/>
      <c r="E8" s="1286"/>
      <c r="F8" s="613"/>
      <c r="G8" s="967">
        <v>181.17</v>
      </c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45689</v>
      </c>
      <c r="B9" s="882" t="s">
        <v>14</v>
      </c>
      <c r="C9" s="879" t="s">
        <v>12</v>
      </c>
      <c r="D9" s="879" t="s">
        <v>1486</v>
      </c>
      <c r="E9" s="871" t="s">
        <v>13</v>
      </c>
      <c r="F9" s="780">
        <v>7.45</v>
      </c>
      <c r="G9" s="982"/>
      <c r="H9" s="1008"/>
      <c r="I9" s="1063"/>
      <c r="J9" s="622"/>
      <c r="K9" s="982"/>
      <c r="L9" s="622"/>
      <c r="M9" s="982"/>
      <c r="N9" s="622"/>
      <c r="O9" s="1063"/>
      <c r="P9" s="622"/>
      <c r="Q9" s="982"/>
      <c r="R9" s="861"/>
      <c r="T9" s="1035"/>
    </row>
    <row r="10" spans="1:42" s="224" customFormat="1" ht="15" customHeight="1" x14ac:dyDescent="0.25">
      <c r="A10" s="247">
        <v>45689</v>
      </c>
      <c r="B10" s="882" t="s">
        <v>7363</v>
      </c>
      <c r="C10" s="879" t="s">
        <v>12</v>
      </c>
      <c r="D10" s="879" t="s">
        <v>6731</v>
      </c>
      <c r="E10" s="871" t="s">
        <v>13</v>
      </c>
      <c r="F10" s="780">
        <v>13</v>
      </c>
      <c r="G10" s="982"/>
      <c r="H10" s="1008"/>
      <c r="I10" s="1063"/>
      <c r="J10" s="622"/>
      <c r="K10" s="982"/>
      <c r="L10" s="622"/>
      <c r="M10" s="982"/>
      <c r="N10" s="622"/>
      <c r="O10" s="1063"/>
      <c r="P10" s="622"/>
      <c r="Q10" s="982"/>
      <c r="R10" s="861"/>
      <c r="T10" s="1035"/>
    </row>
    <row r="11" spans="1:42" s="224" customFormat="1" ht="15" customHeight="1" x14ac:dyDescent="0.25">
      <c r="A11" s="247">
        <v>45689</v>
      </c>
      <c r="B11" s="364" t="s">
        <v>80</v>
      </c>
      <c r="C11" s="350" t="s">
        <v>12</v>
      </c>
      <c r="D11" s="350" t="s">
        <v>1523</v>
      </c>
      <c r="E11" s="875" t="s">
        <v>13</v>
      </c>
      <c r="F11" s="780">
        <v>53.98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1035"/>
    </row>
    <row r="12" spans="1:42" s="224" customFormat="1" ht="15" customHeight="1" x14ac:dyDescent="0.25">
      <c r="A12" s="247">
        <v>45689</v>
      </c>
      <c r="B12" s="364" t="s">
        <v>7371</v>
      </c>
      <c r="C12" s="350" t="s">
        <v>12</v>
      </c>
      <c r="D12" s="350" t="s">
        <v>1523</v>
      </c>
      <c r="E12" s="875" t="s">
        <v>13</v>
      </c>
      <c r="F12" s="780">
        <v>300</v>
      </c>
      <c r="G12" s="982"/>
      <c r="H12" s="1008"/>
      <c r="I12" s="1063"/>
      <c r="J12" s="622"/>
      <c r="K12" s="982"/>
      <c r="L12" s="622"/>
      <c r="M12" s="982"/>
      <c r="N12" s="622"/>
      <c r="O12" s="1063"/>
      <c r="P12" s="622"/>
      <c r="Q12" s="982"/>
      <c r="R12" s="1028" t="s">
        <v>7372</v>
      </c>
      <c r="T12" s="1035"/>
    </row>
    <row r="13" spans="1:42" s="224" customFormat="1" ht="15" customHeight="1" x14ac:dyDescent="0.25">
      <c r="A13" s="247">
        <v>45690</v>
      </c>
      <c r="B13" s="882" t="s">
        <v>14</v>
      </c>
      <c r="C13" s="879" t="s">
        <v>12</v>
      </c>
      <c r="D13" s="879" t="s">
        <v>1486</v>
      </c>
      <c r="E13" s="871" t="s">
        <v>13</v>
      </c>
      <c r="F13" s="780">
        <v>19.68</v>
      </c>
      <c r="G13" s="982"/>
      <c r="H13" s="1008"/>
      <c r="I13" s="1063"/>
      <c r="J13" s="622"/>
      <c r="K13" s="982"/>
      <c r="L13" s="622"/>
      <c r="M13" s="982"/>
      <c r="N13" s="622"/>
      <c r="O13" s="1063"/>
      <c r="P13" s="622"/>
      <c r="Q13" s="982"/>
      <c r="R13" s="861"/>
      <c r="T13" s="1035"/>
    </row>
    <row r="14" spans="1:42" s="224" customFormat="1" ht="15" customHeight="1" x14ac:dyDescent="0.25">
      <c r="A14" s="247">
        <v>45690</v>
      </c>
      <c r="B14" s="882" t="s">
        <v>1981</v>
      </c>
      <c r="C14" s="879" t="s">
        <v>12</v>
      </c>
      <c r="D14" s="879" t="s">
        <v>1489</v>
      </c>
      <c r="E14" s="875" t="s">
        <v>13</v>
      </c>
      <c r="F14" s="780">
        <v>3.2</v>
      </c>
      <c r="G14" s="982"/>
      <c r="H14" s="1008"/>
      <c r="I14" s="1063"/>
      <c r="J14" s="622"/>
      <c r="K14" s="982"/>
      <c r="L14" s="622"/>
      <c r="M14" s="982"/>
      <c r="N14" s="622"/>
      <c r="O14" s="1063"/>
      <c r="P14" s="622"/>
      <c r="Q14" s="982"/>
      <c r="R14" s="861"/>
    </row>
    <row r="15" spans="1:42" s="224" customFormat="1" ht="15" customHeight="1" x14ac:dyDescent="0.25">
      <c r="A15" s="247">
        <v>45690</v>
      </c>
      <c r="B15" s="882" t="s">
        <v>7365</v>
      </c>
      <c r="C15" s="879" t="s">
        <v>12</v>
      </c>
      <c r="D15" s="879"/>
      <c r="E15" s="875" t="s">
        <v>13</v>
      </c>
      <c r="F15" s="780"/>
      <c r="G15" s="982">
        <v>30</v>
      </c>
      <c r="H15" s="1008"/>
      <c r="I15" s="1063"/>
      <c r="J15" s="622">
        <v>30</v>
      </c>
      <c r="K15" s="982"/>
      <c r="L15" s="622"/>
      <c r="M15" s="982"/>
      <c r="N15" s="622"/>
      <c r="O15" s="1063"/>
      <c r="P15" s="622"/>
      <c r="Q15" s="982"/>
      <c r="R15" s="861"/>
    </row>
    <row r="16" spans="1:42" s="224" customFormat="1" ht="15" customHeight="1" x14ac:dyDescent="0.25">
      <c r="A16" s="247">
        <v>45690</v>
      </c>
      <c r="B16" s="364" t="s">
        <v>7364</v>
      </c>
      <c r="C16" s="350" t="s">
        <v>12</v>
      </c>
      <c r="D16" s="350" t="s">
        <v>1524</v>
      </c>
      <c r="E16" s="875" t="s">
        <v>15</v>
      </c>
      <c r="F16" s="780">
        <v>30</v>
      </c>
      <c r="G16" s="982"/>
      <c r="H16" s="1008"/>
      <c r="I16" s="1063"/>
      <c r="J16" s="1116"/>
      <c r="K16" s="1207"/>
      <c r="L16" s="622"/>
      <c r="M16" s="982"/>
      <c r="N16" s="622"/>
      <c r="O16" s="1063"/>
      <c r="P16" s="622"/>
      <c r="Q16" s="982"/>
      <c r="R16" s="861"/>
      <c r="T16" s="1035"/>
    </row>
    <row r="17" spans="1:42" s="224" customFormat="1" ht="15" customHeight="1" x14ac:dyDescent="0.25">
      <c r="A17" s="247">
        <v>45691</v>
      </c>
      <c r="B17" s="882" t="s">
        <v>7368</v>
      </c>
      <c r="C17" s="879" t="s">
        <v>12</v>
      </c>
      <c r="D17" s="879"/>
      <c r="E17" s="875" t="s">
        <v>13</v>
      </c>
      <c r="F17" s="780"/>
      <c r="G17" s="982">
        <v>97</v>
      </c>
      <c r="H17" s="1008"/>
      <c r="I17" s="1063"/>
      <c r="J17" s="622">
        <v>97</v>
      </c>
      <c r="K17" s="982"/>
      <c r="L17" s="622"/>
      <c r="M17" s="982"/>
      <c r="N17" s="622"/>
      <c r="O17" s="1063"/>
      <c r="P17" s="622"/>
      <c r="Q17" s="982"/>
      <c r="R17" s="861"/>
    </row>
    <row r="18" spans="1:42" s="224" customFormat="1" ht="15" customHeight="1" x14ac:dyDescent="0.25">
      <c r="A18" s="247">
        <v>45691</v>
      </c>
      <c r="B18" s="364" t="s">
        <v>7366</v>
      </c>
      <c r="C18" s="350" t="s">
        <v>12</v>
      </c>
      <c r="D18" s="350" t="s">
        <v>1524</v>
      </c>
      <c r="E18" s="875" t="s">
        <v>15</v>
      </c>
      <c r="F18" s="780">
        <v>97</v>
      </c>
      <c r="G18" s="982"/>
      <c r="H18" s="1008"/>
      <c r="I18" s="1063"/>
      <c r="J18" s="1116"/>
      <c r="K18" s="1207"/>
      <c r="L18" s="622"/>
      <c r="M18" s="982"/>
      <c r="N18" s="622"/>
      <c r="O18" s="1063"/>
      <c r="P18" s="622"/>
      <c r="Q18" s="982"/>
      <c r="R18" s="861"/>
      <c r="T18" s="1035"/>
    </row>
    <row r="19" spans="1:42" s="224" customFormat="1" ht="15" customHeight="1" x14ac:dyDescent="0.25">
      <c r="A19" s="247">
        <v>45691</v>
      </c>
      <c r="B19" s="882" t="s">
        <v>7367</v>
      </c>
      <c r="C19" s="879" t="s">
        <v>12</v>
      </c>
      <c r="D19" s="879"/>
      <c r="E19" s="875" t="s">
        <v>13</v>
      </c>
      <c r="F19" s="780"/>
      <c r="G19" s="982">
        <v>250</v>
      </c>
      <c r="H19" s="1008"/>
      <c r="I19" s="1063"/>
      <c r="J19" s="622">
        <v>250</v>
      </c>
      <c r="K19" s="982"/>
      <c r="L19" s="622"/>
      <c r="M19" s="982"/>
      <c r="N19" s="622"/>
      <c r="O19" s="1063"/>
      <c r="P19" s="622"/>
      <c r="Q19" s="982"/>
      <c r="R19" s="861"/>
    </row>
    <row r="20" spans="1:42" s="224" customFormat="1" ht="15" customHeight="1" x14ac:dyDescent="0.25">
      <c r="A20" s="247">
        <v>45691</v>
      </c>
      <c r="B20" s="882" t="s">
        <v>7369</v>
      </c>
      <c r="C20" s="350" t="s">
        <v>12</v>
      </c>
      <c r="D20" s="350" t="s">
        <v>1524</v>
      </c>
      <c r="E20" s="875" t="s">
        <v>15</v>
      </c>
      <c r="F20" s="780">
        <v>250</v>
      </c>
      <c r="G20" s="982"/>
      <c r="H20" s="1008"/>
      <c r="I20" s="1063"/>
      <c r="J20" s="1116"/>
      <c r="K20" s="1207"/>
      <c r="L20" s="622"/>
      <c r="M20" s="982"/>
      <c r="N20" s="622"/>
      <c r="O20" s="1063"/>
      <c r="P20" s="622"/>
      <c r="Q20" s="982"/>
      <c r="R20" s="861"/>
      <c r="T20" s="1035"/>
    </row>
    <row r="21" spans="1:42" s="224" customFormat="1" ht="15" customHeight="1" x14ac:dyDescent="0.25">
      <c r="A21" s="247">
        <v>45691</v>
      </c>
      <c r="B21" s="364" t="s">
        <v>32</v>
      </c>
      <c r="C21" s="350" t="s">
        <v>12</v>
      </c>
      <c r="D21" s="350" t="s">
        <v>1485</v>
      </c>
      <c r="E21" s="875" t="s">
        <v>13</v>
      </c>
      <c r="F21" s="780">
        <v>22</v>
      </c>
      <c r="G21" s="982"/>
      <c r="H21" s="1008"/>
      <c r="I21" s="1063"/>
      <c r="J21" s="622"/>
      <c r="K21" s="982"/>
      <c r="L21" s="622"/>
      <c r="M21" s="982"/>
      <c r="N21" s="622"/>
      <c r="O21" s="1063"/>
      <c r="P21" s="622"/>
      <c r="Q21" s="982"/>
      <c r="R21" s="861"/>
      <c r="T21" s="927"/>
      <c r="U21" s="999"/>
    </row>
    <row r="22" spans="1:42" s="224" customFormat="1" ht="15" customHeight="1" x14ac:dyDescent="0.25">
      <c r="A22" s="247">
        <v>45691</v>
      </c>
      <c r="B22" s="882" t="s">
        <v>7373</v>
      </c>
      <c r="C22" s="879" t="s">
        <v>12</v>
      </c>
      <c r="D22" s="879"/>
      <c r="E22" s="875" t="s">
        <v>13</v>
      </c>
      <c r="F22" s="780"/>
      <c r="G22" s="982">
        <v>50</v>
      </c>
      <c r="H22" s="1008"/>
      <c r="I22" s="1063"/>
      <c r="J22" s="622">
        <v>50</v>
      </c>
      <c r="K22" s="982"/>
      <c r="L22" s="622"/>
      <c r="M22" s="982"/>
      <c r="N22" s="622"/>
      <c r="O22" s="1063"/>
      <c r="P22" s="622"/>
      <c r="Q22" s="982"/>
      <c r="R22" s="861"/>
    </row>
    <row r="23" spans="1:42" s="224" customFormat="1" ht="15" customHeight="1" x14ac:dyDescent="0.25">
      <c r="A23" s="247">
        <v>45691</v>
      </c>
      <c r="B23" s="364" t="s">
        <v>7370</v>
      </c>
      <c r="C23" s="350" t="s">
        <v>12</v>
      </c>
      <c r="D23" s="350" t="s">
        <v>1524</v>
      </c>
      <c r="E23" s="875" t="s">
        <v>15</v>
      </c>
      <c r="F23" s="780">
        <v>50</v>
      </c>
      <c r="G23" s="982"/>
      <c r="H23" s="1008"/>
      <c r="I23" s="1063"/>
      <c r="J23" s="1116"/>
      <c r="K23" s="1207"/>
      <c r="L23" s="622"/>
      <c r="M23" s="982"/>
      <c r="N23" s="622"/>
      <c r="O23" s="1063"/>
      <c r="P23" s="622"/>
      <c r="Q23" s="982"/>
      <c r="R23" s="861"/>
      <c r="T23" s="1035"/>
    </row>
    <row r="24" spans="1:42" s="224" customFormat="1" ht="15" customHeight="1" x14ac:dyDescent="0.25">
      <c r="A24" s="247">
        <v>45691</v>
      </c>
      <c r="B24" s="882" t="s">
        <v>7375</v>
      </c>
      <c r="C24" s="879" t="s">
        <v>12</v>
      </c>
      <c r="D24" s="879"/>
      <c r="E24" s="875" t="s">
        <v>13</v>
      </c>
      <c r="F24" s="780"/>
      <c r="G24" s="982">
        <v>61</v>
      </c>
      <c r="H24" s="1008"/>
      <c r="I24" s="1063"/>
      <c r="J24" s="622">
        <v>61</v>
      </c>
      <c r="K24" s="982"/>
      <c r="L24" s="622"/>
      <c r="M24" s="982"/>
      <c r="N24" s="622"/>
      <c r="O24" s="1063"/>
      <c r="P24" s="622"/>
      <c r="Q24" s="982"/>
      <c r="R24" s="861"/>
    </row>
    <row r="25" spans="1:42" s="224" customFormat="1" ht="15" customHeight="1" x14ac:dyDescent="0.25">
      <c r="A25" s="247">
        <v>45691</v>
      </c>
      <c r="B25" s="882" t="s">
        <v>7374</v>
      </c>
      <c r="C25" s="879" t="s">
        <v>12</v>
      </c>
      <c r="D25" s="879" t="s">
        <v>1524</v>
      </c>
      <c r="E25" s="871" t="s">
        <v>13</v>
      </c>
      <c r="F25" s="780">
        <v>61</v>
      </c>
      <c r="G25" s="982"/>
      <c r="H25" s="622"/>
      <c r="I25" s="982"/>
      <c r="J25" s="872"/>
      <c r="K25" s="1207"/>
      <c r="L25" s="622"/>
      <c r="M25" s="982"/>
      <c r="N25" s="622"/>
      <c r="O25" s="1063"/>
      <c r="P25" s="622"/>
      <c r="Q25" s="982"/>
      <c r="R25" s="1028"/>
      <c r="S25" s="959"/>
      <c r="T25" s="878"/>
      <c r="U25" s="958"/>
    </row>
    <row r="26" spans="1:42" s="224" customFormat="1" ht="15" customHeight="1" x14ac:dyDescent="0.25">
      <c r="A26" s="247">
        <v>45692</v>
      </c>
      <c r="B26" s="882" t="s">
        <v>6329</v>
      </c>
      <c r="C26" s="879" t="s">
        <v>12</v>
      </c>
      <c r="D26" s="879"/>
      <c r="E26" s="875" t="s">
        <v>25</v>
      </c>
      <c r="F26" s="780"/>
      <c r="G26" s="982">
        <v>100</v>
      </c>
      <c r="H26" s="1008"/>
      <c r="I26" s="1063"/>
      <c r="J26" s="613"/>
      <c r="K26" s="982"/>
      <c r="L26" s="622"/>
      <c r="M26" s="982"/>
      <c r="N26" s="622"/>
      <c r="O26" s="1063"/>
      <c r="P26" s="622"/>
      <c r="Q26" s="982"/>
      <c r="R26" s="861"/>
    </row>
    <row r="27" spans="1:42" s="224" customFormat="1" ht="15" customHeight="1" x14ac:dyDescent="0.25">
      <c r="A27" s="247">
        <v>45692</v>
      </c>
      <c r="B27" s="364" t="s">
        <v>32</v>
      </c>
      <c r="C27" s="350" t="s">
        <v>12</v>
      </c>
      <c r="D27" s="350" t="s">
        <v>1485</v>
      </c>
      <c r="E27" s="875" t="s">
        <v>13</v>
      </c>
      <c r="F27" s="780">
        <v>22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861"/>
      <c r="T27" s="927"/>
      <c r="U27" s="999"/>
    </row>
    <row r="28" spans="1:42" s="224" customFormat="1" ht="15" customHeight="1" x14ac:dyDescent="0.25">
      <c r="A28" s="247">
        <v>45692</v>
      </c>
      <c r="B28" s="882" t="s">
        <v>14</v>
      </c>
      <c r="C28" s="879" t="s">
        <v>12</v>
      </c>
      <c r="D28" s="879" t="s">
        <v>1486</v>
      </c>
      <c r="E28" s="871" t="s">
        <v>13</v>
      </c>
      <c r="F28" s="780">
        <v>5.99</v>
      </c>
      <c r="G28" s="982"/>
      <c r="H28" s="622"/>
      <c r="I28" s="982"/>
      <c r="J28" s="872"/>
      <c r="K28" s="1207"/>
      <c r="L28" s="622"/>
      <c r="M28" s="982"/>
      <c r="N28" s="622"/>
      <c r="O28" s="1063"/>
      <c r="P28" s="622"/>
      <c r="Q28" s="982"/>
      <c r="R28" s="1028"/>
      <c r="S28" s="959"/>
      <c r="T28" s="878"/>
      <c r="U28" s="958"/>
    </row>
    <row r="29" spans="1:42" s="224" customFormat="1" ht="15" customHeight="1" x14ac:dyDescent="0.25">
      <c r="A29" s="247">
        <v>45693</v>
      </c>
      <c r="B29" s="364" t="s">
        <v>32</v>
      </c>
      <c r="C29" s="350" t="s">
        <v>12</v>
      </c>
      <c r="D29" s="350" t="s">
        <v>1485</v>
      </c>
      <c r="E29" s="875" t="s">
        <v>13</v>
      </c>
      <c r="F29" s="780">
        <v>22</v>
      </c>
      <c r="G29" s="982"/>
      <c r="H29" s="1008"/>
      <c r="I29" s="1063"/>
      <c r="J29" s="622"/>
      <c r="K29" s="982"/>
      <c r="L29" s="622"/>
      <c r="M29" s="982"/>
      <c r="N29" s="622"/>
      <c r="O29" s="1063"/>
      <c r="P29" s="622"/>
      <c r="Q29" s="982"/>
      <c r="R29" s="861"/>
      <c r="T29" s="927"/>
      <c r="U29" s="999"/>
    </row>
    <row r="30" spans="1:42" s="224" customFormat="1" ht="15" customHeight="1" x14ac:dyDescent="0.25">
      <c r="A30" s="247">
        <v>45693</v>
      </c>
      <c r="B30" s="882" t="s">
        <v>14</v>
      </c>
      <c r="C30" s="879" t="s">
        <v>12</v>
      </c>
      <c r="D30" s="879" t="s">
        <v>1486</v>
      </c>
      <c r="E30" s="871" t="s">
        <v>13</v>
      </c>
      <c r="F30" s="780">
        <v>6.01</v>
      </c>
      <c r="G30" s="982"/>
      <c r="H30" s="622"/>
      <c r="I30" s="982"/>
      <c r="J30" s="622"/>
      <c r="K30" s="982"/>
      <c r="L30" s="622"/>
      <c r="M30" s="982"/>
      <c r="N30" s="880"/>
      <c r="O30" s="1525"/>
      <c r="P30" s="613"/>
      <c r="Q30" s="162"/>
      <c r="R30" s="1956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.75" customHeight="1" x14ac:dyDescent="0.25">
      <c r="A31" s="247">
        <v>45694</v>
      </c>
      <c r="B31" s="873" t="s">
        <v>7346</v>
      </c>
      <c r="C31" s="879" t="s">
        <v>12</v>
      </c>
      <c r="D31" s="874"/>
      <c r="E31" s="887" t="s">
        <v>25</v>
      </c>
      <c r="F31" s="1524"/>
      <c r="G31" s="1002">
        <v>2268.87</v>
      </c>
      <c r="H31" s="538"/>
      <c r="I31" s="982"/>
      <c r="J31" s="2013"/>
      <c r="K31" s="1207"/>
      <c r="L31" s="622"/>
      <c r="M31" s="982"/>
      <c r="N31" s="622"/>
      <c r="O31" s="1063"/>
      <c r="P31" s="622"/>
      <c r="Q31" s="982"/>
      <c r="R31" s="178"/>
    </row>
    <row r="32" spans="1:42" s="224" customFormat="1" ht="15" customHeight="1" x14ac:dyDescent="0.25">
      <c r="A32" s="247">
        <v>45694</v>
      </c>
      <c r="B32" s="364" t="s">
        <v>1396</v>
      </c>
      <c r="C32" s="879" t="s">
        <v>12</v>
      </c>
      <c r="D32" s="350"/>
      <c r="E32" s="919" t="s">
        <v>25</v>
      </c>
      <c r="F32" s="1116"/>
      <c r="G32" s="966">
        <v>150</v>
      </c>
      <c r="H32" s="1031"/>
      <c r="I32" s="1525"/>
      <c r="J32" s="2013"/>
      <c r="K32" s="1207"/>
      <c r="L32" s="880"/>
      <c r="M32" s="1033"/>
      <c r="N32" s="622"/>
      <c r="O32" s="1063"/>
      <c r="P32" s="1116"/>
      <c r="Q32" s="1207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45694</v>
      </c>
      <c r="B33" s="364" t="s">
        <v>7219</v>
      </c>
      <c r="C33" s="879" t="s">
        <v>12</v>
      </c>
      <c r="D33" s="350" t="s">
        <v>1491</v>
      </c>
      <c r="E33" s="875" t="s">
        <v>13</v>
      </c>
      <c r="F33" s="780">
        <v>500</v>
      </c>
      <c r="G33" s="982"/>
      <c r="H33" s="1008"/>
      <c r="I33" s="1063"/>
      <c r="J33" s="2013"/>
      <c r="K33" s="1207"/>
      <c r="L33" s="622"/>
      <c r="M33" s="982"/>
      <c r="N33" s="622"/>
      <c r="O33" s="1063"/>
      <c r="P33" s="622"/>
      <c r="Q33" s="982"/>
      <c r="R33" s="1028"/>
      <c r="T33" s="1035"/>
    </row>
    <row r="34" spans="1:42" s="224" customFormat="1" ht="15" customHeight="1" x14ac:dyDescent="0.25">
      <c r="A34" s="247">
        <v>45694</v>
      </c>
      <c r="B34" s="862" t="s">
        <v>6416</v>
      </c>
      <c r="C34" s="879" t="s">
        <v>12</v>
      </c>
      <c r="D34" s="879" t="s">
        <v>1504</v>
      </c>
      <c r="E34" s="871" t="s">
        <v>13</v>
      </c>
      <c r="F34" s="780">
        <v>40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808">
        <v>60</v>
      </c>
      <c r="S34" s="1028"/>
      <c r="T34" s="1035"/>
    </row>
    <row r="35" spans="1:42" s="224" customFormat="1" ht="15" customHeight="1" x14ac:dyDescent="0.25">
      <c r="A35" s="247">
        <v>45694</v>
      </c>
      <c r="B35" s="882" t="s">
        <v>7347</v>
      </c>
      <c r="C35" s="879" t="s">
        <v>12</v>
      </c>
      <c r="D35" s="879" t="s">
        <v>1499</v>
      </c>
      <c r="E35" s="871" t="s">
        <v>13</v>
      </c>
      <c r="F35" s="780">
        <v>156.91</v>
      </c>
      <c r="G35" s="982"/>
      <c r="H35" s="1008"/>
      <c r="I35" s="1063"/>
      <c r="J35" s="880"/>
      <c r="K35" s="1033"/>
      <c r="L35" s="622"/>
      <c r="M35" s="982"/>
      <c r="N35" s="622"/>
      <c r="O35" s="1063"/>
      <c r="P35" s="622"/>
      <c r="Q35" s="982"/>
      <c r="R35" s="1028">
        <v>350</v>
      </c>
      <c r="S35" s="999"/>
      <c r="T35" s="878"/>
    </row>
    <row r="36" spans="1:42" x14ac:dyDescent="0.25">
      <c r="A36" s="247">
        <v>45694</v>
      </c>
      <c r="B36" s="876" t="s">
        <v>6762</v>
      </c>
      <c r="C36" s="879" t="s">
        <v>12</v>
      </c>
      <c r="D36" s="879" t="s">
        <v>1496</v>
      </c>
      <c r="E36" s="871" t="s">
        <v>13</v>
      </c>
      <c r="F36" s="780">
        <v>100</v>
      </c>
      <c r="G36" s="982"/>
      <c r="H36" s="1009"/>
      <c r="I36" s="1063"/>
      <c r="J36" s="613"/>
      <c r="K36" s="6"/>
      <c r="L36" s="622"/>
      <c r="M36" s="982"/>
      <c r="N36" s="622"/>
      <c r="O36" s="1063"/>
      <c r="P36" s="622"/>
      <c r="Q36" s="982"/>
      <c r="R36" s="1029"/>
    </row>
    <row r="37" spans="1:42" s="224" customFormat="1" ht="15" customHeight="1" x14ac:dyDescent="0.25">
      <c r="A37" s="247">
        <v>45694</v>
      </c>
      <c r="B37" s="1289" t="s">
        <v>2096</v>
      </c>
      <c r="C37" s="879" t="s">
        <v>12</v>
      </c>
      <c r="D37" s="1276" t="s">
        <v>1506</v>
      </c>
      <c r="E37" s="875" t="s">
        <v>13</v>
      </c>
      <c r="F37" s="1873">
        <v>50</v>
      </c>
      <c r="G37" s="967"/>
      <c r="H37" s="1008"/>
      <c r="I37" s="1063"/>
      <c r="J37" s="613"/>
      <c r="K37" s="6"/>
      <c r="L37" s="622"/>
      <c r="M37" s="982"/>
      <c r="N37" s="622"/>
      <c r="O37" s="1063"/>
      <c r="P37" s="613"/>
      <c r="Q37" s="64"/>
      <c r="R37" s="1209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45694</v>
      </c>
      <c r="B38" s="882" t="s">
        <v>7382</v>
      </c>
      <c r="C38" s="879" t="s">
        <v>12</v>
      </c>
      <c r="D38" s="879"/>
      <c r="E38" s="871" t="s">
        <v>25</v>
      </c>
      <c r="F38" s="780"/>
      <c r="G38" s="982">
        <v>500</v>
      </c>
      <c r="H38" s="95"/>
      <c r="I38" s="1064"/>
      <c r="J38" s="613"/>
      <c r="K38" s="6"/>
      <c r="L38" s="622"/>
      <c r="M38" s="982"/>
      <c r="N38" s="622"/>
      <c r="O38" s="1063"/>
      <c r="P38" s="622"/>
      <c r="Q38" s="982"/>
      <c r="R38" s="861"/>
    </row>
    <row r="39" spans="1:42" s="224" customFormat="1" ht="15" customHeight="1" x14ac:dyDescent="0.25">
      <c r="A39" s="247">
        <v>45694</v>
      </c>
      <c r="B39" s="882" t="s">
        <v>6130</v>
      </c>
      <c r="C39" s="879" t="s">
        <v>12</v>
      </c>
      <c r="D39" s="879" t="s">
        <v>1491</v>
      </c>
      <c r="E39" s="875" t="s">
        <v>13</v>
      </c>
      <c r="F39" s="780">
        <v>33.979999999999997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1028" t="s">
        <v>7137</v>
      </c>
    </row>
    <row r="40" spans="1:42" s="224" customFormat="1" ht="15" customHeight="1" x14ac:dyDescent="0.25">
      <c r="A40" s="247">
        <v>45694</v>
      </c>
      <c r="B40" s="882" t="s">
        <v>6804</v>
      </c>
      <c r="C40" s="879" t="s">
        <v>12</v>
      </c>
      <c r="D40" s="879" t="s">
        <v>1504</v>
      </c>
      <c r="E40" s="875" t="s">
        <v>13</v>
      </c>
      <c r="F40" s="780">
        <v>40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1028" t="s">
        <v>7137</v>
      </c>
    </row>
    <row r="41" spans="1:42" s="224" customFormat="1" ht="15" customHeight="1" x14ac:dyDescent="0.25">
      <c r="A41" s="247">
        <v>45694</v>
      </c>
      <c r="B41" s="882" t="s">
        <v>6805</v>
      </c>
      <c r="C41" s="879" t="s">
        <v>12</v>
      </c>
      <c r="D41" s="879" t="s">
        <v>1504</v>
      </c>
      <c r="E41" s="875" t="s">
        <v>13</v>
      </c>
      <c r="F41" s="780">
        <v>45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1028" t="s">
        <v>7137</v>
      </c>
    </row>
    <row r="42" spans="1:42" s="224" customFormat="1" ht="15" customHeight="1" x14ac:dyDescent="0.25">
      <c r="A42" s="247">
        <v>45694</v>
      </c>
      <c r="B42" s="882" t="s">
        <v>7244</v>
      </c>
      <c r="C42" s="879" t="s">
        <v>12</v>
      </c>
      <c r="D42" s="879" t="s">
        <v>1504</v>
      </c>
      <c r="E42" s="875" t="s">
        <v>13</v>
      </c>
      <c r="F42" s="780">
        <v>29.806666666666668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028" t="s">
        <v>7137</v>
      </c>
    </row>
    <row r="43" spans="1:42" s="224" customFormat="1" ht="15" customHeight="1" x14ac:dyDescent="0.25">
      <c r="A43" s="247">
        <v>45694</v>
      </c>
      <c r="B43" s="882" t="s">
        <v>7303</v>
      </c>
      <c r="C43" s="879" t="s">
        <v>12</v>
      </c>
      <c r="D43" s="879" t="s">
        <v>1504</v>
      </c>
      <c r="E43" s="875" t="s">
        <v>13</v>
      </c>
      <c r="F43" s="780">
        <v>7</v>
      </c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028" t="s">
        <v>7137</v>
      </c>
    </row>
    <row r="44" spans="1:42" s="224" customFormat="1" ht="15" customHeight="1" x14ac:dyDescent="0.25">
      <c r="A44" s="247">
        <v>45694</v>
      </c>
      <c r="B44" s="882" t="s">
        <v>7247</v>
      </c>
      <c r="C44" s="879" t="s">
        <v>12</v>
      </c>
      <c r="D44" s="879" t="s">
        <v>1506</v>
      </c>
      <c r="E44" s="875" t="s">
        <v>13</v>
      </c>
      <c r="F44" s="780">
        <v>99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1028" t="s">
        <v>7137</v>
      </c>
    </row>
    <row r="45" spans="1:42" s="224" customFormat="1" ht="15" customHeight="1" x14ac:dyDescent="0.25">
      <c r="A45" s="247">
        <v>45694</v>
      </c>
      <c r="B45" s="882" t="s">
        <v>7248</v>
      </c>
      <c r="C45" s="879" t="s">
        <v>12</v>
      </c>
      <c r="D45" s="879" t="s">
        <v>6731</v>
      </c>
      <c r="E45" s="875" t="s">
        <v>13</v>
      </c>
      <c r="F45" s="780">
        <v>20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028" t="s">
        <v>7137</v>
      </c>
    </row>
    <row r="46" spans="1:42" s="224" customFormat="1" ht="15" customHeight="1" x14ac:dyDescent="0.25">
      <c r="A46" s="247">
        <v>45694</v>
      </c>
      <c r="B46" s="882" t="s">
        <v>7249</v>
      </c>
      <c r="C46" s="879" t="s">
        <v>12</v>
      </c>
      <c r="D46" s="879" t="s">
        <v>1491</v>
      </c>
      <c r="E46" s="875" t="s">
        <v>13</v>
      </c>
      <c r="F46" s="780">
        <v>85</v>
      </c>
      <c r="G46" s="982"/>
      <c r="H46" s="1008"/>
      <c r="I46" s="1063"/>
      <c r="J46" s="622"/>
      <c r="K46" s="982"/>
      <c r="L46" s="622"/>
      <c r="M46" s="982"/>
      <c r="N46" s="622"/>
      <c r="O46" s="1063"/>
      <c r="P46" s="622"/>
      <c r="Q46" s="982"/>
      <c r="R46" s="1028" t="s">
        <v>7137</v>
      </c>
    </row>
    <row r="47" spans="1:42" s="224" customFormat="1" ht="15" customHeight="1" x14ac:dyDescent="0.25">
      <c r="A47" s="247">
        <v>45694</v>
      </c>
      <c r="B47" s="882" t="s">
        <v>7341</v>
      </c>
      <c r="C47" s="879" t="s">
        <v>12</v>
      </c>
      <c r="D47" s="879" t="s">
        <v>1489</v>
      </c>
      <c r="E47" s="875" t="s">
        <v>13</v>
      </c>
      <c r="F47" s="780">
        <v>30</v>
      </c>
      <c r="G47" s="982"/>
      <c r="H47" s="1008"/>
      <c r="I47" s="1063"/>
      <c r="J47" s="622"/>
      <c r="K47" s="982"/>
      <c r="L47" s="622"/>
      <c r="M47" s="982"/>
      <c r="N47" s="622"/>
      <c r="O47" s="1063"/>
      <c r="P47" s="622"/>
      <c r="Q47" s="982"/>
      <c r="R47" s="1028" t="s">
        <v>7137</v>
      </c>
    </row>
    <row r="48" spans="1:42" s="224" customFormat="1" ht="15" customHeight="1" x14ac:dyDescent="0.25">
      <c r="A48" s="247">
        <v>45694</v>
      </c>
      <c r="B48" s="882" t="s">
        <v>7250</v>
      </c>
      <c r="C48" s="879" t="s">
        <v>12</v>
      </c>
      <c r="D48" s="879" t="s">
        <v>1506</v>
      </c>
      <c r="E48" s="875" t="s">
        <v>13</v>
      </c>
      <c r="F48" s="780">
        <v>80</v>
      </c>
      <c r="G48" s="982"/>
      <c r="H48" s="1008"/>
      <c r="I48" s="1063"/>
      <c r="J48" s="622"/>
      <c r="K48" s="982"/>
      <c r="L48" s="622"/>
      <c r="M48" s="982"/>
      <c r="N48" s="622"/>
      <c r="O48" s="1063"/>
      <c r="P48" s="622"/>
      <c r="Q48" s="982"/>
      <c r="R48" s="1028" t="s">
        <v>7137</v>
      </c>
    </row>
    <row r="49" spans="1:42" s="224" customFormat="1" ht="15" customHeight="1" x14ac:dyDescent="0.25">
      <c r="A49" s="247">
        <v>45694</v>
      </c>
      <c r="B49" s="364" t="s">
        <v>32</v>
      </c>
      <c r="C49" s="350" t="s">
        <v>12</v>
      </c>
      <c r="D49" s="350" t="s">
        <v>1485</v>
      </c>
      <c r="E49" s="875" t="s">
        <v>13</v>
      </c>
      <c r="F49" s="780">
        <v>22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861"/>
      <c r="T49" s="927"/>
      <c r="U49" s="999"/>
    </row>
    <row r="50" spans="1:42" s="224" customFormat="1" ht="15" customHeight="1" x14ac:dyDescent="0.25">
      <c r="A50" s="247">
        <v>45694</v>
      </c>
      <c r="B50" s="882" t="s">
        <v>2451</v>
      </c>
      <c r="C50" s="879" t="s">
        <v>12</v>
      </c>
      <c r="D50" s="879" t="s">
        <v>1506</v>
      </c>
      <c r="E50" s="875" t="s">
        <v>13</v>
      </c>
      <c r="F50" s="780">
        <v>16</v>
      </c>
      <c r="G50" s="982"/>
      <c r="H50" s="1008"/>
      <c r="I50" s="1063"/>
      <c r="J50" s="622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45694</v>
      </c>
      <c r="B51" s="882" t="s">
        <v>7391</v>
      </c>
      <c r="C51" s="879" t="s">
        <v>12</v>
      </c>
      <c r="D51" s="879" t="s">
        <v>1506</v>
      </c>
      <c r="E51" s="875" t="s">
        <v>13</v>
      </c>
      <c r="F51" s="780">
        <v>14</v>
      </c>
      <c r="G51" s="982"/>
      <c r="H51" s="1008"/>
      <c r="I51" s="1063"/>
      <c r="J51" s="622"/>
      <c r="K51" s="982"/>
      <c r="L51" s="622"/>
      <c r="M51" s="982"/>
      <c r="N51" s="622"/>
      <c r="O51" s="1063"/>
      <c r="P51" s="622"/>
      <c r="Q51" s="982"/>
      <c r="R51" s="861"/>
    </row>
    <row r="52" spans="1:42" s="224" customFormat="1" ht="15" customHeight="1" x14ac:dyDescent="0.25">
      <c r="A52" s="247">
        <v>45694</v>
      </c>
      <c r="B52" s="882" t="s">
        <v>14</v>
      </c>
      <c r="C52" s="879" t="s">
        <v>12</v>
      </c>
      <c r="D52" s="879" t="s">
        <v>1486</v>
      </c>
      <c r="E52" s="871" t="s">
        <v>13</v>
      </c>
      <c r="F52" s="780">
        <v>7.3</v>
      </c>
      <c r="G52" s="982"/>
      <c r="H52" s="95"/>
      <c r="I52" s="1064"/>
      <c r="J52" s="622"/>
      <c r="K52" s="982"/>
      <c r="L52" s="622"/>
      <c r="M52" s="982"/>
      <c r="N52" s="622"/>
      <c r="O52" s="1063"/>
      <c r="P52" s="622"/>
      <c r="Q52" s="982"/>
      <c r="R52" s="861"/>
    </row>
    <row r="53" spans="1:42" s="224" customFormat="1" x14ac:dyDescent="0.25">
      <c r="A53" s="247">
        <v>45695</v>
      </c>
      <c r="B53" s="364" t="s">
        <v>32</v>
      </c>
      <c r="C53" s="350" t="s">
        <v>12</v>
      </c>
      <c r="D53" s="350" t="s">
        <v>1485</v>
      </c>
      <c r="E53" s="875" t="s">
        <v>13</v>
      </c>
      <c r="F53" s="780">
        <v>22</v>
      </c>
      <c r="G53" s="982"/>
      <c r="H53" s="1008"/>
      <c r="I53" s="1063"/>
      <c r="J53" s="2013"/>
      <c r="K53" s="1207"/>
      <c r="L53" s="622"/>
      <c r="M53" s="982"/>
      <c r="N53" s="622"/>
      <c r="O53" s="1063"/>
      <c r="P53" s="622"/>
      <c r="Q53" s="982"/>
      <c r="R53" s="861"/>
      <c r="T53" s="878"/>
    </row>
    <row r="54" spans="1:42" s="224" customFormat="1" ht="15" customHeight="1" x14ac:dyDescent="0.25">
      <c r="A54" s="247">
        <v>45695</v>
      </c>
      <c r="B54" s="364" t="s">
        <v>81</v>
      </c>
      <c r="C54" s="350" t="s">
        <v>12</v>
      </c>
      <c r="D54" s="350" t="s">
        <v>1493</v>
      </c>
      <c r="E54" s="875" t="s">
        <v>13</v>
      </c>
      <c r="F54" s="780">
        <v>4</v>
      </c>
      <c r="G54" s="982"/>
      <c r="H54" s="1008"/>
      <c r="I54" s="1063"/>
      <c r="J54" s="1116"/>
      <c r="K54" s="1207"/>
      <c r="L54" s="622"/>
      <c r="M54" s="982"/>
      <c r="N54" s="622"/>
      <c r="O54" s="1063"/>
      <c r="P54" s="622"/>
      <c r="Q54" s="982"/>
      <c r="R54" s="861"/>
      <c r="T54" s="1035"/>
    </row>
    <row r="55" spans="1:42" s="224" customFormat="1" x14ac:dyDescent="0.25">
      <c r="A55" s="247">
        <v>45695</v>
      </c>
      <c r="B55" s="1275" t="s">
        <v>2629</v>
      </c>
      <c r="C55" s="879" t="s">
        <v>12</v>
      </c>
      <c r="D55" s="1276" t="s">
        <v>1489</v>
      </c>
      <c r="E55" s="1277" t="s">
        <v>13</v>
      </c>
      <c r="F55" s="1279">
        <v>138.37</v>
      </c>
      <c r="G55" s="982"/>
      <c r="H55" s="1008"/>
      <c r="I55" s="1063"/>
      <c r="J55" s="2013"/>
      <c r="K55" s="1207"/>
      <c r="L55" s="622"/>
      <c r="M55" s="982"/>
      <c r="N55" s="622"/>
      <c r="O55" s="1063"/>
      <c r="P55" s="622"/>
      <c r="Q55" s="982"/>
      <c r="R55" s="1028"/>
      <c r="T55" s="878"/>
    </row>
    <row r="56" spans="1:42" s="224" customFormat="1" x14ac:dyDescent="0.25">
      <c r="A56" s="247">
        <v>45695</v>
      </c>
      <c r="B56" s="1275" t="s">
        <v>80</v>
      </c>
      <c r="C56" s="879" t="s">
        <v>12</v>
      </c>
      <c r="D56" s="1276" t="s">
        <v>1523</v>
      </c>
      <c r="E56" s="1277" t="s">
        <v>13</v>
      </c>
      <c r="F56" s="1279">
        <v>27.48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1028"/>
      <c r="T56" s="878"/>
    </row>
    <row r="57" spans="1:42" s="224" customFormat="1" ht="15" customHeight="1" x14ac:dyDescent="0.25">
      <c r="A57" s="247">
        <v>45696</v>
      </c>
      <c r="B57" s="882" t="s">
        <v>445</v>
      </c>
      <c r="C57" s="879" t="s">
        <v>12</v>
      </c>
      <c r="D57" s="879" t="s">
        <v>1493</v>
      </c>
      <c r="E57" s="875" t="s">
        <v>13</v>
      </c>
      <c r="F57" s="780">
        <v>5.6</v>
      </c>
      <c r="G57" s="982"/>
      <c r="H57" s="95"/>
      <c r="I57" s="1064"/>
      <c r="J57" s="613"/>
      <c r="K57" s="982"/>
      <c r="L57" s="622"/>
      <c r="M57" s="982"/>
      <c r="N57" s="622"/>
      <c r="O57" s="1063"/>
      <c r="P57" s="622"/>
      <c r="Q57" s="982"/>
      <c r="R57" s="861"/>
    </row>
    <row r="58" spans="1:42" s="224" customFormat="1" ht="15" customHeight="1" x14ac:dyDescent="0.25">
      <c r="A58" s="247">
        <v>45697</v>
      </c>
      <c r="B58" s="882" t="s">
        <v>14</v>
      </c>
      <c r="C58" s="879" t="s">
        <v>12</v>
      </c>
      <c r="D58" s="879" t="s">
        <v>1486</v>
      </c>
      <c r="E58" s="871" t="s">
        <v>13</v>
      </c>
      <c r="F58" s="780">
        <v>7.41</v>
      </c>
      <c r="G58" s="982"/>
      <c r="H58" s="95"/>
      <c r="I58" s="1064"/>
      <c r="J58" s="622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ht="15" customHeight="1" x14ac:dyDescent="0.25">
      <c r="A59" s="247">
        <v>45697</v>
      </c>
      <c r="B59" s="882" t="s">
        <v>7402</v>
      </c>
      <c r="C59" s="879" t="s">
        <v>12</v>
      </c>
      <c r="D59" s="879" t="s">
        <v>1523</v>
      </c>
      <c r="E59" s="871" t="s">
        <v>13</v>
      </c>
      <c r="F59" s="780">
        <v>120</v>
      </c>
      <c r="G59" s="982"/>
      <c r="H59" s="95"/>
      <c r="I59" s="1064"/>
      <c r="J59" s="622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4.25" customHeight="1" x14ac:dyDescent="0.25">
      <c r="A60" s="247">
        <v>45697</v>
      </c>
      <c r="B60" s="882" t="s">
        <v>445</v>
      </c>
      <c r="C60" s="879" t="s">
        <v>12</v>
      </c>
      <c r="D60" s="879" t="s">
        <v>1493</v>
      </c>
      <c r="E60" s="875" t="s">
        <v>13</v>
      </c>
      <c r="F60" s="1873">
        <v>3.5</v>
      </c>
      <c r="G60" s="982"/>
      <c r="H60" s="1031"/>
      <c r="I60" s="1525"/>
      <c r="J60" s="622"/>
      <c r="K60" s="982"/>
      <c r="L60" s="880"/>
      <c r="M60" s="1033"/>
      <c r="N60" s="880"/>
      <c r="O60" s="1525"/>
      <c r="P60" s="613"/>
      <c r="Q60" s="162"/>
      <c r="R60" s="1209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pans="1:42" s="224" customFormat="1" ht="15" customHeight="1" x14ac:dyDescent="0.25">
      <c r="A61" s="247">
        <v>45698</v>
      </c>
      <c r="B61" s="882" t="s">
        <v>7403</v>
      </c>
      <c r="C61" s="879" t="s">
        <v>12</v>
      </c>
      <c r="D61" s="879" t="s">
        <v>6731</v>
      </c>
      <c r="E61" s="875" t="s">
        <v>13</v>
      </c>
      <c r="F61" s="780">
        <v>33.46</v>
      </c>
      <c r="G61" s="982"/>
      <c r="H61" s="1008"/>
      <c r="I61" s="1063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x14ac:dyDescent="0.25">
      <c r="A62" s="247">
        <v>45698</v>
      </c>
      <c r="B62" s="364" t="s">
        <v>32</v>
      </c>
      <c r="C62" s="350" t="s">
        <v>12</v>
      </c>
      <c r="D62" s="350" t="s">
        <v>1485</v>
      </c>
      <c r="E62" s="875" t="s">
        <v>13</v>
      </c>
      <c r="F62" s="780">
        <v>22</v>
      </c>
      <c r="G62" s="982"/>
      <c r="H62" s="1008"/>
      <c r="I62" s="1063"/>
      <c r="J62" s="2013"/>
      <c r="K62" s="1207"/>
      <c r="L62" s="622"/>
      <c r="M62" s="982"/>
      <c r="N62" s="622"/>
      <c r="O62" s="1063"/>
      <c r="P62" s="622"/>
      <c r="Q62" s="982"/>
      <c r="R62" s="861"/>
      <c r="T62" s="878"/>
    </row>
    <row r="63" spans="1:42" s="224" customFormat="1" ht="15" customHeight="1" x14ac:dyDescent="0.25">
      <c r="A63" s="247">
        <v>45698</v>
      </c>
      <c r="B63" s="882" t="s">
        <v>7253</v>
      </c>
      <c r="C63" s="879" t="s">
        <v>12</v>
      </c>
      <c r="D63" s="879"/>
      <c r="E63" s="875" t="s">
        <v>13</v>
      </c>
      <c r="F63" s="780">
        <v>300</v>
      </c>
      <c r="G63" s="982"/>
      <c r="H63" s="1008"/>
      <c r="I63" s="1063"/>
      <c r="J63" s="622"/>
      <c r="K63" s="982"/>
      <c r="L63" s="622"/>
      <c r="M63" s="982">
        <v>300</v>
      </c>
      <c r="N63" s="622"/>
      <c r="O63" s="1063"/>
      <c r="P63" s="622"/>
      <c r="Q63" s="982"/>
      <c r="R63" s="861"/>
    </row>
    <row r="64" spans="1:42" s="224" customFormat="1" ht="15" customHeight="1" x14ac:dyDescent="0.25">
      <c r="A64" s="247">
        <v>45699</v>
      </c>
      <c r="B64" s="882" t="s">
        <v>6329</v>
      </c>
      <c r="C64" s="879" t="s">
        <v>12</v>
      </c>
      <c r="D64" s="879"/>
      <c r="E64" s="875" t="s">
        <v>25</v>
      </c>
      <c r="F64" s="780"/>
      <c r="G64" s="982">
        <v>100</v>
      </c>
      <c r="H64" s="1008"/>
      <c r="I64" s="1063"/>
      <c r="J64" s="613"/>
      <c r="K64" s="982"/>
      <c r="L64" s="622"/>
      <c r="M64" s="982"/>
      <c r="N64" s="622"/>
      <c r="O64" s="1063"/>
      <c r="P64" s="622"/>
      <c r="Q64" s="982"/>
      <c r="R64" s="861"/>
    </row>
    <row r="65" spans="1:42" s="224" customFormat="1" x14ac:dyDescent="0.25">
      <c r="A65" s="247">
        <v>45700</v>
      </c>
      <c r="B65" s="364" t="s">
        <v>32</v>
      </c>
      <c r="C65" s="350" t="s">
        <v>12</v>
      </c>
      <c r="D65" s="350" t="s">
        <v>1485</v>
      </c>
      <c r="E65" s="875" t="s">
        <v>13</v>
      </c>
      <c r="F65" s="780">
        <v>22</v>
      </c>
      <c r="G65" s="982"/>
      <c r="H65" s="1008"/>
      <c r="I65" s="1063"/>
      <c r="J65" s="2013"/>
      <c r="K65" s="1207"/>
      <c r="L65" s="622"/>
      <c r="M65" s="982"/>
      <c r="N65" s="622"/>
      <c r="O65" s="1063"/>
      <c r="P65" s="622"/>
      <c r="Q65" s="982"/>
      <c r="R65" s="861"/>
      <c r="T65" s="878"/>
    </row>
    <row r="66" spans="1:42" s="224" customFormat="1" ht="15" customHeight="1" x14ac:dyDescent="0.25">
      <c r="A66" s="247">
        <v>45700</v>
      </c>
      <c r="B66" s="1275" t="s">
        <v>7410</v>
      </c>
      <c r="C66" s="1276" t="s">
        <v>12</v>
      </c>
      <c r="D66" s="1276"/>
      <c r="E66" s="1286" t="s">
        <v>13</v>
      </c>
      <c r="F66" s="613">
        <v>120.78</v>
      </c>
      <c r="G66" s="967"/>
      <c r="H66" s="1008"/>
      <c r="I66" s="1063"/>
      <c r="J66" s="613"/>
      <c r="K66" s="6"/>
      <c r="L66" s="622"/>
      <c r="M66" s="982"/>
      <c r="N66" s="622"/>
      <c r="O66" s="1063"/>
      <c r="P66" s="613"/>
      <c r="Q66" s="64"/>
      <c r="R66" s="1024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45700</v>
      </c>
      <c r="B67" s="1275" t="s">
        <v>6755</v>
      </c>
      <c r="C67" s="1276" t="s">
        <v>12</v>
      </c>
      <c r="D67" s="1276"/>
      <c r="E67" s="1286"/>
      <c r="F67" s="613"/>
      <c r="G67" s="967">
        <v>120.78</v>
      </c>
      <c r="H67" s="1008"/>
      <c r="I67" s="1063"/>
      <c r="J67" s="613"/>
      <c r="K67" s="6"/>
      <c r="L67" s="622"/>
      <c r="M67" s="982"/>
      <c r="N67" s="622"/>
      <c r="O67" s="1063"/>
      <c r="P67" s="613"/>
      <c r="Q67" s="64"/>
      <c r="R67" s="1024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x14ac:dyDescent="0.25">
      <c r="A68" s="247">
        <v>45701</v>
      </c>
      <c r="B68" s="364" t="s">
        <v>2789</v>
      </c>
      <c r="C68" s="350" t="s">
        <v>12</v>
      </c>
      <c r="D68" s="350" t="s">
        <v>1485</v>
      </c>
      <c r="E68" s="875" t="s">
        <v>13</v>
      </c>
      <c r="F68" s="780">
        <v>16</v>
      </c>
      <c r="G68" s="982"/>
      <c r="H68" s="1008"/>
      <c r="I68" s="1063"/>
      <c r="J68" s="2013"/>
      <c r="K68" s="1207"/>
      <c r="L68" s="622"/>
      <c r="M68" s="982"/>
      <c r="N68" s="622"/>
      <c r="O68" s="1063"/>
      <c r="P68" s="622"/>
      <c r="Q68" s="982"/>
      <c r="R68" s="861"/>
      <c r="T68" s="878"/>
    </row>
    <row r="69" spans="1:42" s="224" customFormat="1" ht="15" customHeight="1" x14ac:dyDescent="0.25">
      <c r="A69" s="247">
        <v>45701</v>
      </c>
      <c r="B69" s="882" t="s">
        <v>14</v>
      </c>
      <c r="C69" s="879" t="s">
        <v>12</v>
      </c>
      <c r="D69" s="879" t="s">
        <v>1486</v>
      </c>
      <c r="E69" s="871" t="s">
        <v>13</v>
      </c>
      <c r="F69" s="780">
        <v>8.2899999999999991</v>
      </c>
      <c r="G69" s="982"/>
      <c r="H69" s="95"/>
      <c r="I69" s="1064"/>
      <c r="J69" s="622"/>
      <c r="K69" s="982"/>
      <c r="L69" s="622"/>
      <c r="M69" s="982"/>
      <c r="N69" s="622"/>
      <c r="O69" s="1063"/>
      <c r="P69" s="622"/>
      <c r="Q69" s="982"/>
      <c r="R69" s="861"/>
    </row>
    <row r="70" spans="1:42" s="224" customFormat="1" ht="15" customHeight="1" x14ac:dyDescent="0.25">
      <c r="A70" s="247">
        <v>45702</v>
      </c>
      <c r="B70" s="364" t="s">
        <v>32</v>
      </c>
      <c r="C70" s="350" t="s">
        <v>12</v>
      </c>
      <c r="D70" s="350" t="s">
        <v>1485</v>
      </c>
      <c r="E70" s="875" t="s">
        <v>13</v>
      </c>
      <c r="F70" s="613">
        <v>22</v>
      </c>
      <c r="G70" s="967"/>
      <c r="H70" s="1008"/>
      <c r="I70" s="1063"/>
      <c r="J70" s="622"/>
      <c r="K70" s="982"/>
      <c r="L70" s="880"/>
      <c r="M70" s="1033"/>
      <c r="N70" s="880"/>
      <c r="O70" s="1525"/>
      <c r="P70" s="613"/>
      <c r="Q70" s="162"/>
      <c r="R70" s="1956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45702</v>
      </c>
      <c r="B71" s="882" t="s">
        <v>1906</v>
      </c>
      <c r="C71" s="879" t="s">
        <v>12</v>
      </c>
      <c r="D71" s="879" t="s">
        <v>1493</v>
      </c>
      <c r="E71" s="875" t="s">
        <v>13</v>
      </c>
      <c r="F71" s="780">
        <v>22</v>
      </c>
      <c r="G71" s="982"/>
      <c r="H71" s="622"/>
      <c r="I71" s="982"/>
      <c r="J71" s="622"/>
      <c r="K71" s="982"/>
      <c r="L71" s="622"/>
      <c r="M71" s="982"/>
      <c r="N71" s="622"/>
      <c r="O71" s="1063"/>
      <c r="P71" s="622"/>
      <c r="Q71" s="982"/>
      <c r="R71" s="1028"/>
      <c r="S71" s="959"/>
      <c r="T71" s="878"/>
      <c r="U71" s="958"/>
    </row>
    <row r="72" spans="1:42" s="224" customFormat="1" ht="15" customHeight="1" x14ac:dyDescent="0.25">
      <c r="A72" s="247">
        <v>45703</v>
      </c>
      <c r="B72" s="882" t="s">
        <v>14</v>
      </c>
      <c r="C72" s="879" t="s">
        <v>12</v>
      </c>
      <c r="D72" s="879" t="s">
        <v>1486</v>
      </c>
      <c r="E72" s="871" t="s">
        <v>13</v>
      </c>
      <c r="F72" s="780">
        <v>5.61</v>
      </c>
      <c r="G72" s="982"/>
      <c r="H72" s="95"/>
      <c r="I72" s="1064"/>
      <c r="J72" s="622"/>
      <c r="K72" s="982"/>
      <c r="L72" s="622"/>
      <c r="M72" s="982"/>
      <c r="N72" s="622"/>
      <c r="O72" s="1063"/>
      <c r="P72" s="622"/>
      <c r="Q72" s="982"/>
      <c r="R72" s="861"/>
    </row>
    <row r="73" spans="1:42" s="224" customFormat="1" ht="15" customHeight="1" x14ac:dyDescent="0.25">
      <c r="A73" s="247">
        <v>45703</v>
      </c>
      <c r="B73" s="364" t="s">
        <v>32</v>
      </c>
      <c r="C73" s="350" t="s">
        <v>12</v>
      </c>
      <c r="D73" s="350" t="s">
        <v>1485</v>
      </c>
      <c r="E73" s="875" t="s">
        <v>13</v>
      </c>
      <c r="F73" s="780">
        <v>30</v>
      </c>
      <c r="G73" s="982"/>
      <c r="H73" s="622"/>
      <c r="I73" s="982"/>
      <c r="J73" s="872"/>
      <c r="K73" s="1207"/>
      <c r="L73" s="622"/>
      <c r="M73" s="982"/>
      <c r="N73" s="622"/>
      <c r="O73" s="1063"/>
      <c r="P73" s="622"/>
      <c r="Q73" s="982"/>
      <c r="R73" s="1028"/>
      <c r="S73" s="959"/>
      <c r="T73" s="878"/>
      <c r="U73" s="958"/>
    </row>
    <row r="74" spans="1:42" s="224" customFormat="1" ht="15" customHeight="1" x14ac:dyDescent="0.25">
      <c r="A74" s="247">
        <v>45703</v>
      </c>
      <c r="B74" s="882" t="s">
        <v>445</v>
      </c>
      <c r="C74" s="879" t="s">
        <v>12</v>
      </c>
      <c r="D74" s="879" t="s">
        <v>1493</v>
      </c>
      <c r="E74" s="875" t="s">
        <v>13</v>
      </c>
      <c r="F74" s="780">
        <v>8.4</v>
      </c>
      <c r="G74" s="982"/>
      <c r="H74" s="622"/>
      <c r="I74" s="982"/>
      <c r="J74" s="622"/>
      <c r="K74" s="982"/>
      <c r="L74" s="622"/>
      <c r="M74" s="982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45703</v>
      </c>
      <c r="B75" s="882" t="s">
        <v>3708</v>
      </c>
      <c r="C75" s="879" t="s">
        <v>12</v>
      </c>
      <c r="D75" s="879" t="s">
        <v>1493</v>
      </c>
      <c r="E75" s="875" t="s">
        <v>13</v>
      </c>
      <c r="F75" s="780">
        <v>45</v>
      </c>
      <c r="G75" s="982"/>
      <c r="H75" s="622"/>
      <c r="I75" s="982"/>
      <c r="J75" s="622"/>
      <c r="K75" s="982"/>
      <c r="L75" s="622"/>
      <c r="M75" s="982"/>
      <c r="N75" s="622"/>
      <c r="O75" s="1063"/>
      <c r="P75" s="622"/>
      <c r="Q75" s="982"/>
      <c r="R75" s="1028"/>
      <c r="S75" s="959"/>
      <c r="T75" s="878"/>
      <c r="U75" s="958"/>
    </row>
    <row r="76" spans="1:42" s="224" customFormat="1" ht="15" customHeight="1" x14ac:dyDescent="0.25">
      <c r="A76" s="247">
        <v>45704</v>
      </c>
      <c r="B76" s="882" t="s">
        <v>14</v>
      </c>
      <c r="C76" s="879" t="s">
        <v>12</v>
      </c>
      <c r="D76" s="879" t="s">
        <v>1486</v>
      </c>
      <c r="E76" s="871" t="s">
        <v>13</v>
      </c>
      <c r="F76" s="780">
        <v>7.38</v>
      </c>
      <c r="G76" s="982"/>
      <c r="H76" s="95"/>
      <c r="I76" s="1064"/>
      <c r="J76" s="622"/>
      <c r="K76" s="982"/>
      <c r="L76" s="622"/>
      <c r="M76" s="982"/>
      <c r="N76" s="622"/>
      <c r="O76" s="1063"/>
      <c r="P76" s="622"/>
      <c r="Q76" s="982"/>
      <c r="R76" s="861"/>
    </row>
    <row r="77" spans="1:42" s="224" customFormat="1" ht="15" customHeight="1" x14ac:dyDescent="0.25">
      <c r="A77" s="247">
        <v>45704</v>
      </c>
      <c r="B77" s="882" t="s">
        <v>7411</v>
      </c>
      <c r="C77" s="879" t="s">
        <v>12</v>
      </c>
      <c r="D77" s="879" t="s">
        <v>1491</v>
      </c>
      <c r="E77" s="871" t="s">
        <v>13</v>
      </c>
      <c r="F77" s="780">
        <v>42</v>
      </c>
      <c r="G77" s="982"/>
      <c r="H77" s="622"/>
      <c r="I77" s="982"/>
      <c r="J77" s="872"/>
      <c r="K77" s="1207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45704</v>
      </c>
      <c r="B78" s="882" t="s">
        <v>7412</v>
      </c>
      <c r="C78" s="879" t="s">
        <v>12</v>
      </c>
      <c r="D78" s="879" t="s">
        <v>1523</v>
      </c>
      <c r="E78" s="871" t="s">
        <v>13</v>
      </c>
      <c r="F78" s="780">
        <v>26.8</v>
      </c>
      <c r="G78" s="982"/>
      <c r="H78" s="622"/>
      <c r="I78" s="982"/>
      <c r="J78" s="872"/>
      <c r="K78" s="1207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45704</v>
      </c>
      <c r="B79" s="882" t="s">
        <v>7413</v>
      </c>
      <c r="C79" s="879" t="s">
        <v>12</v>
      </c>
      <c r="D79" s="879" t="s">
        <v>1523</v>
      </c>
      <c r="E79" s="871" t="s">
        <v>13</v>
      </c>
      <c r="F79" s="780">
        <v>35.75</v>
      </c>
      <c r="G79" s="982"/>
      <c r="H79" s="622"/>
      <c r="I79" s="982"/>
      <c r="J79" s="872"/>
      <c r="K79" s="1207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5" customHeight="1" x14ac:dyDescent="0.25">
      <c r="A80" s="247">
        <v>45704</v>
      </c>
      <c r="B80" s="882" t="s">
        <v>134</v>
      </c>
      <c r="C80" s="879" t="s">
        <v>12</v>
      </c>
      <c r="D80" s="879" t="s">
        <v>1493</v>
      </c>
      <c r="E80" s="871" t="s">
        <v>13</v>
      </c>
      <c r="F80" s="780">
        <v>17.28</v>
      </c>
      <c r="G80" s="982"/>
      <c r="H80" s="622"/>
      <c r="I80" s="982"/>
      <c r="J80" s="872"/>
      <c r="K80" s="1207"/>
      <c r="L80" s="622"/>
      <c r="M80" s="982"/>
      <c r="N80" s="622"/>
      <c r="O80" s="1063"/>
      <c r="P80" s="622"/>
      <c r="Q80" s="982"/>
      <c r="R80" s="1028"/>
      <c r="S80" s="959"/>
      <c r="T80" s="878"/>
      <c r="U80" s="958"/>
    </row>
    <row r="81" spans="1:42" s="224" customFormat="1" ht="15" customHeight="1" x14ac:dyDescent="0.25">
      <c r="A81" s="247">
        <v>45705</v>
      </c>
      <c r="B81" s="364" t="s">
        <v>32</v>
      </c>
      <c r="C81" s="350" t="s">
        <v>12</v>
      </c>
      <c r="D81" s="350" t="s">
        <v>1485</v>
      </c>
      <c r="E81" s="875" t="s">
        <v>13</v>
      </c>
      <c r="F81" s="780">
        <v>22</v>
      </c>
      <c r="G81" s="982"/>
      <c r="H81" s="622"/>
      <c r="I81" s="982"/>
      <c r="J81" s="872"/>
      <c r="K81" s="1207"/>
      <c r="L81" s="622"/>
      <c r="M81" s="982"/>
      <c r="N81" s="622"/>
      <c r="O81" s="1063"/>
      <c r="P81" s="622"/>
      <c r="Q81" s="982"/>
      <c r="R81" s="1028"/>
      <c r="S81" s="959"/>
      <c r="T81" s="878"/>
      <c r="U81" s="958"/>
    </row>
    <row r="82" spans="1:42" s="224" customFormat="1" ht="15" customHeight="1" x14ac:dyDescent="0.25">
      <c r="A82" s="247">
        <v>45705</v>
      </c>
      <c r="B82" s="882" t="s">
        <v>14</v>
      </c>
      <c r="C82" s="879" t="s">
        <v>12</v>
      </c>
      <c r="D82" s="879" t="s">
        <v>1486</v>
      </c>
      <c r="E82" s="871" t="s">
        <v>13</v>
      </c>
      <c r="F82" s="780">
        <v>6.62</v>
      </c>
      <c r="G82" s="982"/>
      <c r="H82" s="622"/>
      <c r="I82" s="982"/>
      <c r="J82" s="622"/>
      <c r="K82" s="982"/>
      <c r="L82" s="622"/>
      <c r="M82" s="982"/>
      <c r="N82" s="880"/>
      <c r="O82" s="1525"/>
      <c r="P82" s="613"/>
      <c r="Q82" s="162"/>
      <c r="R82" s="1956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45706</v>
      </c>
      <c r="B83" s="882" t="s">
        <v>7417</v>
      </c>
      <c r="C83" s="879" t="s">
        <v>12</v>
      </c>
      <c r="D83" s="879" t="s">
        <v>1506</v>
      </c>
      <c r="E83" s="875" t="s">
        <v>13</v>
      </c>
      <c r="F83" s="780">
        <v>224.91</v>
      </c>
      <c r="G83" s="982"/>
      <c r="H83" s="622"/>
      <c r="I83" s="982"/>
      <c r="J83" s="622"/>
      <c r="K83" s="982"/>
      <c r="L83" s="853"/>
      <c r="M83" s="982"/>
      <c r="N83" s="622"/>
      <c r="O83" s="1063"/>
      <c r="P83" s="622"/>
      <c r="Q83" s="982"/>
      <c r="R83" s="927"/>
      <c r="S83" s="927"/>
      <c r="T83" s="878"/>
    </row>
    <row r="84" spans="1:42" s="224" customFormat="1" ht="15" customHeight="1" x14ac:dyDescent="0.25">
      <c r="A84" s="247">
        <v>45706</v>
      </c>
      <c r="B84" s="364" t="s">
        <v>32</v>
      </c>
      <c r="C84" s="350" t="s">
        <v>12</v>
      </c>
      <c r="D84" s="350" t="s">
        <v>1485</v>
      </c>
      <c r="E84" s="875" t="s">
        <v>13</v>
      </c>
      <c r="F84" s="780">
        <v>30</v>
      </c>
      <c r="G84" s="982"/>
      <c r="H84" s="622"/>
      <c r="I84" s="982"/>
      <c r="J84" s="872"/>
      <c r="K84" s="1207"/>
      <c r="L84" s="622"/>
      <c r="M84" s="982"/>
      <c r="N84" s="622"/>
      <c r="O84" s="1063"/>
      <c r="P84" s="622"/>
      <c r="Q84" s="982"/>
      <c r="R84" s="1028"/>
      <c r="S84" s="959"/>
      <c r="T84" s="878"/>
      <c r="U84" s="958"/>
    </row>
    <row r="85" spans="1:42" s="224" customFormat="1" ht="15" customHeight="1" x14ac:dyDescent="0.25">
      <c r="A85" s="247">
        <v>45706</v>
      </c>
      <c r="B85" s="882" t="s">
        <v>7418</v>
      </c>
      <c r="C85" s="879" t="s">
        <v>12</v>
      </c>
      <c r="D85" s="879"/>
      <c r="E85" s="875"/>
      <c r="F85" s="780"/>
      <c r="G85" s="982"/>
      <c r="H85" s="622"/>
      <c r="I85" s="982"/>
      <c r="J85" s="622">
        <v>95</v>
      </c>
      <c r="K85" s="982"/>
      <c r="L85" s="853"/>
      <c r="M85" s="982"/>
      <c r="N85" s="622"/>
      <c r="O85" s="1063"/>
      <c r="P85" s="622"/>
      <c r="Q85" s="982"/>
      <c r="R85" s="927"/>
      <c r="S85" s="927"/>
      <c r="T85" s="878"/>
    </row>
    <row r="86" spans="1:42" s="224" customFormat="1" ht="15" customHeight="1" x14ac:dyDescent="0.25">
      <c r="A86" s="247">
        <v>45706</v>
      </c>
      <c r="B86" s="882" t="s">
        <v>7426</v>
      </c>
      <c r="C86" s="879" t="s">
        <v>12</v>
      </c>
      <c r="D86" s="879"/>
      <c r="E86" s="875" t="s">
        <v>13</v>
      </c>
      <c r="F86" s="780"/>
      <c r="G86" s="982">
        <v>100</v>
      </c>
      <c r="H86" s="1008"/>
      <c r="I86" s="1063"/>
      <c r="J86" s="622">
        <v>100</v>
      </c>
      <c r="K86" s="982"/>
      <c r="L86" s="622"/>
      <c r="M86" s="982"/>
      <c r="N86" s="622"/>
      <c r="O86" s="1063"/>
      <c r="P86" s="622"/>
      <c r="Q86" s="982"/>
      <c r="R86" s="861"/>
    </row>
    <row r="87" spans="1:42" s="224" customFormat="1" ht="15" customHeight="1" x14ac:dyDescent="0.25">
      <c r="A87" s="247">
        <v>45706</v>
      </c>
      <c r="B87" s="882" t="s">
        <v>7425</v>
      </c>
      <c r="C87" s="879" t="s">
        <v>12</v>
      </c>
      <c r="D87" s="879" t="s">
        <v>1524</v>
      </c>
      <c r="E87" s="875" t="s">
        <v>13</v>
      </c>
      <c r="F87" s="780">
        <v>100</v>
      </c>
      <c r="G87" s="982"/>
      <c r="H87" s="622"/>
      <c r="I87" s="982"/>
      <c r="J87" s="622"/>
      <c r="K87" s="982"/>
      <c r="L87" s="853"/>
      <c r="M87" s="982"/>
      <c r="N87" s="622"/>
      <c r="O87" s="1063"/>
      <c r="P87" s="622"/>
      <c r="Q87" s="982"/>
      <c r="R87" s="927"/>
      <c r="S87" s="927"/>
      <c r="T87" s="878"/>
    </row>
    <row r="88" spans="1:42" s="224" customFormat="1" ht="15" customHeight="1" x14ac:dyDescent="0.25">
      <c r="A88" s="247">
        <v>45706</v>
      </c>
      <c r="B88" s="364" t="s">
        <v>7434</v>
      </c>
      <c r="C88" s="350" t="s">
        <v>12</v>
      </c>
      <c r="D88" s="350" t="s">
        <v>1489</v>
      </c>
      <c r="E88" s="875" t="s">
        <v>13</v>
      </c>
      <c r="F88" s="780">
        <v>31.2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45706</v>
      </c>
      <c r="B89" s="364" t="s">
        <v>7435</v>
      </c>
      <c r="C89" s="350" t="s">
        <v>12</v>
      </c>
      <c r="D89" s="350" t="s">
        <v>1522</v>
      </c>
      <c r="E89" s="875" t="s">
        <v>13</v>
      </c>
      <c r="F89" s="780">
        <v>26.5</v>
      </c>
      <c r="G89" s="982"/>
      <c r="H89" s="622"/>
      <c r="I89" s="982"/>
      <c r="J89" s="622"/>
      <c r="K89" s="982"/>
      <c r="L89" s="622"/>
      <c r="M89" s="982"/>
      <c r="N89" s="880"/>
      <c r="O89" s="1525"/>
      <c r="P89" s="613"/>
      <c r="Q89" s="162"/>
      <c r="R89" s="1956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45706</v>
      </c>
      <c r="B90" s="1289" t="s">
        <v>7230</v>
      </c>
      <c r="C90" s="879" t="s">
        <v>12</v>
      </c>
      <c r="D90" s="1276" t="s">
        <v>1489</v>
      </c>
      <c r="E90" s="875" t="s">
        <v>13</v>
      </c>
      <c r="F90" s="1873">
        <v>13</v>
      </c>
      <c r="G90" s="982"/>
      <c r="H90" s="622"/>
      <c r="I90" s="982"/>
      <c r="J90" s="622"/>
      <c r="K90" s="982"/>
      <c r="L90" s="622"/>
      <c r="M90" s="982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45707</v>
      </c>
      <c r="B91" s="882" t="s">
        <v>6329</v>
      </c>
      <c r="C91" s="879" t="s">
        <v>12</v>
      </c>
      <c r="D91" s="879"/>
      <c r="E91" s="875" t="s">
        <v>25</v>
      </c>
      <c r="F91" s="780"/>
      <c r="G91" s="982">
        <v>100</v>
      </c>
      <c r="H91" s="1008"/>
      <c r="I91" s="1063"/>
      <c r="J91" s="613"/>
      <c r="K91" s="982"/>
      <c r="L91" s="622"/>
      <c r="M91" s="982"/>
      <c r="N91" s="622"/>
      <c r="O91" s="1063"/>
      <c r="P91" s="622"/>
      <c r="Q91" s="982"/>
      <c r="R91" s="861"/>
    </row>
    <row r="92" spans="1:42" s="224" customFormat="1" ht="15" customHeight="1" x14ac:dyDescent="0.25">
      <c r="A92" s="247">
        <v>45707</v>
      </c>
      <c r="B92" s="882" t="s">
        <v>81</v>
      </c>
      <c r="C92" s="879" t="s">
        <v>12</v>
      </c>
      <c r="D92" s="879" t="s">
        <v>1493</v>
      </c>
      <c r="E92" s="875" t="s">
        <v>13</v>
      </c>
      <c r="F92" s="780">
        <v>7</v>
      </c>
      <c r="G92" s="982"/>
      <c r="H92" s="622"/>
      <c r="I92" s="982"/>
      <c r="J92" s="622"/>
      <c r="K92" s="982"/>
      <c r="L92" s="622"/>
      <c r="M92" s="982"/>
      <c r="N92" s="880"/>
      <c r="O92" s="1525"/>
      <c r="P92" s="613"/>
      <c r="Q92" s="162"/>
      <c r="R92" s="1956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45707</v>
      </c>
      <c r="B93" s="882" t="s">
        <v>7446</v>
      </c>
      <c r="C93" s="879" t="s">
        <v>12</v>
      </c>
      <c r="D93" s="879"/>
      <c r="E93" s="875" t="s">
        <v>13</v>
      </c>
      <c r="F93" s="780"/>
      <c r="G93" s="982"/>
      <c r="H93" s="95"/>
      <c r="I93" s="1064"/>
      <c r="J93" s="622"/>
      <c r="K93" s="982">
        <v>700</v>
      </c>
      <c r="L93" s="622"/>
      <c r="M93" s="982"/>
      <c r="N93" s="622"/>
      <c r="O93" s="1063"/>
      <c r="P93" s="622"/>
      <c r="Q93" s="982"/>
      <c r="R93" s="861"/>
    </row>
    <row r="94" spans="1:42" s="224" customFormat="1" ht="15" customHeight="1" x14ac:dyDescent="0.25">
      <c r="A94" s="247">
        <v>45707</v>
      </c>
      <c r="B94" s="882" t="s">
        <v>14</v>
      </c>
      <c r="C94" s="879" t="s">
        <v>12</v>
      </c>
      <c r="D94" s="879" t="s">
        <v>1486</v>
      </c>
      <c r="E94" s="871" t="s">
        <v>13</v>
      </c>
      <c r="F94" s="780">
        <v>7.12</v>
      </c>
      <c r="G94" s="982"/>
      <c r="H94" s="622"/>
      <c r="I94" s="982"/>
      <c r="J94" s="622"/>
      <c r="K94" s="982"/>
      <c r="L94" s="622"/>
      <c r="M94" s="982"/>
      <c r="N94" s="880"/>
      <c r="O94" s="1525"/>
      <c r="P94" s="613"/>
      <c r="Q94" s="162"/>
      <c r="R94" s="1956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customHeight="1" x14ac:dyDescent="0.25">
      <c r="A95" s="247">
        <v>45707</v>
      </c>
      <c r="B95" s="882" t="s">
        <v>7438</v>
      </c>
      <c r="C95" s="879" t="s">
        <v>12</v>
      </c>
      <c r="D95" s="879"/>
      <c r="E95" s="875"/>
      <c r="F95" s="780"/>
      <c r="G95" s="982">
        <v>150</v>
      </c>
      <c r="H95" s="622"/>
      <c r="I95" s="982"/>
      <c r="J95" s="622">
        <v>150</v>
      </c>
      <c r="K95" s="982"/>
      <c r="L95" s="853"/>
      <c r="M95" s="982"/>
      <c r="N95" s="622"/>
      <c r="O95" s="1063"/>
      <c r="P95" s="622"/>
      <c r="Q95" s="982"/>
      <c r="R95" s="927"/>
      <c r="S95" s="927"/>
      <c r="T95" s="878"/>
    </row>
    <row r="96" spans="1:42" s="224" customFormat="1" ht="15" customHeight="1" x14ac:dyDescent="0.25">
      <c r="A96" s="247">
        <v>45707</v>
      </c>
      <c r="B96" s="882" t="s">
        <v>7437</v>
      </c>
      <c r="C96" s="879" t="s">
        <v>12</v>
      </c>
      <c r="D96" s="879" t="s">
        <v>1524</v>
      </c>
      <c r="E96" s="875" t="s">
        <v>13</v>
      </c>
      <c r="F96" s="780">
        <v>150</v>
      </c>
      <c r="G96" s="982"/>
      <c r="H96" s="622"/>
      <c r="I96" s="982"/>
      <c r="J96" s="622"/>
      <c r="K96" s="982"/>
      <c r="L96" s="622"/>
      <c r="M96" s="982"/>
      <c r="N96" s="880"/>
      <c r="O96" s="1525"/>
      <c r="P96" s="613"/>
      <c r="Q96" s="162"/>
      <c r="R96" s="195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45708</v>
      </c>
      <c r="B97" s="882" t="s">
        <v>7348</v>
      </c>
      <c r="C97" s="350" t="s">
        <v>12</v>
      </c>
      <c r="D97" s="350"/>
      <c r="E97" s="480" t="s">
        <v>25</v>
      </c>
      <c r="F97" s="622"/>
      <c r="G97" s="982">
        <v>2400</v>
      </c>
      <c r="H97" s="1008"/>
      <c r="I97" s="1063"/>
      <c r="J97" s="622"/>
      <c r="K97" s="982"/>
      <c r="L97" s="622"/>
      <c r="M97" s="982"/>
      <c r="N97" s="622"/>
      <c r="O97" s="1063"/>
      <c r="P97" s="622"/>
      <c r="Q97" s="982"/>
      <c r="R97" s="861"/>
    </row>
    <row r="98" spans="1:42" s="224" customFormat="1" ht="15" customHeight="1" x14ac:dyDescent="0.25">
      <c r="A98" s="247">
        <v>45708</v>
      </c>
      <c r="B98" s="364" t="s">
        <v>7349</v>
      </c>
      <c r="C98" s="879" t="s">
        <v>12</v>
      </c>
      <c r="D98" s="879"/>
      <c r="E98" s="983" t="s">
        <v>25</v>
      </c>
      <c r="F98" s="780"/>
      <c r="G98" s="982"/>
      <c r="H98" s="622"/>
      <c r="I98" s="982"/>
      <c r="J98" s="2013"/>
      <c r="K98" s="1207"/>
      <c r="L98" s="622"/>
      <c r="M98" s="982"/>
      <c r="N98" s="622"/>
      <c r="O98" s="1063"/>
      <c r="P98" s="622"/>
      <c r="Q98" s="982">
        <v>501.33</v>
      </c>
      <c r="R98" s="927"/>
      <c r="S98" s="927"/>
      <c r="T98" s="878"/>
    </row>
    <row r="99" spans="1:42" s="224" customFormat="1" ht="15" customHeight="1" x14ac:dyDescent="0.25">
      <c r="A99" s="247">
        <v>45708</v>
      </c>
      <c r="B99" s="364" t="s">
        <v>3354</v>
      </c>
      <c r="C99" s="350" t="s">
        <v>12</v>
      </c>
      <c r="D99" s="350"/>
      <c r="E99" s="145" t="s">
        <v>25</v>
      </c>
      <c r="F99" s="613"/>
      <c r="G99" s="967"/>
      <c r="H99" s="1008"/>
      <c r="I99" s="1063"/>
      <c r="J99" s="622"/>
      <c r="K99" s="982"/>
      <c r="L99" s="880"/>
      <c r="M99" s="1033"/>
      <c r="N99" s="880"/>
      <c r="O99" s="1525"/>
      <c r="P99" s="613"/>
      <c r="Q99" s="162">
        <v>227.34</v>
      </c>
      <c r="R99" s="2018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45708</v>
      </c>
      <c r="B100" s="862" t="s">
        <v>2867</v>
      </c>
      <c r="C100" s="350" t="s">
        <v>12</v>
      </c>
      <c r="D100" s="874" t="s">
        <v>1504</v>
      </c>
      <c r="E100" s="887" t="s">
        <v>13</v>
      </c>
      <c r="F100" s="1245"/>
      <c r="G100" s="982"/>
      <c r="H100" s="1009"/>
      <c r="I100" s="1063"/>
      <c r="J100" s="622"/>
      <c r="K100" s="982"/>
      <c r="L100" s="853"/>
      <c r="M100" s="982"/>
      <c r="N100" s="853"/>
      <c r="O100" s="1063"/>
      <c r="P100" s="622"/>
      <c r="Q100" s="982"/>
      <c r="R100" s="1690" t="s">
        <v>7215</v>
      </c>
      <c r="S100" s="1690"/>
      <c r="T100" s="1690"/>
      <c r="U100" s="1690"/>
      <c r="V100" s="1690"/>
      <c r="W100" s="1690"/>
      <c r="X100" s="1690"/>
      <c r="Y100" s="1690"/>
      <c r="Z100" s="1690"/>
    </row>
    <row r="101" spans="1:42" s="224" customFormat="1" ht="14.25" customHeight="1" x14ac:dyDescent="0.25">
      <c r="A101" s="247">
        <v>45708</v>
      </c>
      <c r="B101" s="364" t="s">
        <v>7439</v>
      </c>
      <c r="C101" s="350" t="s">
        <v>12</v>
      </c>
      <c r="D101" s="350" t="s">
        <v>1491</v>
      </c>
      <c r="E101" s="875" t="s">
        <v>13</v>
      </c>
      <c r="F101" s="1047">
        <v>400</v>
      </c>
      <c r="G101" s="982"/>
      <c r="H101" s="1008"/>
      <c r="I101" s="1063"/>
      <c r="J101" s="622"/>
      <c r="K101" s="982"/>
      <c r="L101" s="622"/>
      <c r="M101" s="982"/>
      <c r="N101" s="622"/>
      <c r="O101" s="1063"/>
      <c r="P101" s="622"/>
      <c r="Q101" s="982"/>
      <c r="R101" s="1029"/>
      <c r="S101" s="89"/>
      <c r="T101" s="930"/>
    </row>
    <row r="102" spans="1:42" s="224" customFormat="1" ht="15" customHeight="1" x14ac:dyDescent="0.25">
      <c r="A102" s="247">
        <v>45708</v>
      </c>
      <c r="B102" s="349" t="s">
        <v>7350</v>
      </c>
      <c r="C102" s="887" t="s">
        <v>12</v>
      </c>
      <c r="D102" s="350" t="s">
        <v>1525</v>
      </c>
      <c r="E102" s="887" t="s">
        <v>13</v>
      </c>
      <c r="F102" s="613">
        <v>300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42" s="224" customFormat="1" ht="15" customHeight="1" x14ac:dyDescent="0.25">
      <c r="A103" s="247">
        <v>45708</v>
      </c>
      <c r="B103" s="349" t="s">
        <v>7350</v>
      </c>
      <c r="C103" s="887" t="s">
        <v>12</v>
      </c>
      <c r="D103" s="350" t="s">
        <v>1525</v>
      </c>
      <c r="E103" s="887" t="s">
        <v>13</v>
      </c>
      <c r="F103" s="613">
        <v>109.95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42" s="224" customFormat="1" ht="15" customHeight="1" x14ac:dyDescent="0.25">
      <c r="A104" s="247">
        <v>45708</v>
      </c>
      <c r="B104" s="349" t="s">
        <v>7350</v>
      </c>
      <c r="C104" s="887" t="s">
        <v>12</v>
      </c>
      <c r="D104" s="350" t="s">
        <v>1506</v>
      </c>
      <c r="E104" s="887" t="s">
        <v>13</v>
      </c>
      <c r="F104" s="613">
        <v>80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45708</v>
      </c>
      <c r="B105" s="349" t="s">
        <v>7350</v>
      </c>
      <c r="C105" s="887" t="s">
        <v>12</v>
      </c>
      <c r="D105" s="350" t="s">
        <v>1506</v>
      </c>
      <c r="E105" s="887" t="s">
        <v>13</v>
      </c>
      <c r="F105" s="613">
        <v>100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45708</v>
      </c>
      <c r="B106" s="349" t="s">
        <v>7350</v>
      </c>
      <c r="C106" s="887" t="s">
        <v>12</v>
      </c>
      <c r="D106" s="350" t="s">
        <v>1506</v>
      </c>
      <c r="E106" s="887" t="s">
        <v>13</v>
      </c>
      <c r="F106" s="613">
        <v>199.9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45708</v>
      </c>
      <c r="B107" s="882" t="s">
        <v>7351</v>
      </c>
      <c r="C107" s="879" t="s">
        <v>12</v>
      </c>
      <c r="D107" s="879" t="s">
        <v>1499</v>
      </c>
      <c r="E107" s="871" t="s">
        <v>13</v>
      </c>
      <c r="F107" s="613">
        <v>0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028" t="s">
        <v>7558</v>
      </c>
      <c r="T107" s="1123"/>
      <c r="U107" s="999"/>
    </row>
    <row r="108" spans="1:42" s="224" customFormat="1" ht="15" customHeight="1" x14ac:dyDescent="0.25">
      <c r="A108" s="247">
        <v>45708</v>
      </c>
      <c r="B108" s="882" t="s">
        <v>7440</v>
      </c>
      <c r="C108" s="879" t="s">
        <v>12</v>
      </c>
      <c r="D108" s="879" t="s">
        <v>1489</v>
      </c>
      <c r="E108" s="871" t="s">
        <v>13</v>
      </c>
      <c r="F108" s="613">
        <v>33.25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861"/>
    </row>
    <row r="109" spans="1:42" s="224" customFormat="1" ht="15" customHeight="1" x14ac:dyDescent="0.25">
      <c r="A109" s="247">
        <v>45708</v>
      </c>
      <c r="B109" s="882" t="s">
        <v>7164</v>
      </c>
      <c r="C109" s="879" t="s">
        <v>12</v>
      </c>
      <c r="D109" s="879"/>
      <c r="E109" s="875"/>
      <c r="F109" s="780">
        <v>584.76</v>
      </c>
      <c r="G109" s="982"/>
      <c r="H109" s="95"/>
      <c r="I109" s="1064"/>
      <c r="J109" s="622"/>
      <c r="K109" s="982"/>
      <c r="L109" s="622"/>
      <c r="M109" s="982">
        <v>584.76</v>
      </c>
      <c r="N109" s="622"/>
      <c r="O109" s="1063"/>
      <c r="P109" s="622"/>
      <c r="Q109" s="982"/>
      <c r="R109" s="1028"/>
    </row>
    <row r="110" spans="1:42" s="224" customFormat="1" ht="15" customHeight="1" x14ac:dyDescent="0.25">
      <c r="A110" s="247">
        <v>45708</v>
      </c>
      <c r="B110" s="364" t="s">
        <v>32</v>
      </c>
      <c r="C110" s="350" t="s">
        <v>12</v>
      </c>
      <c r="D110" s="350" t="s">
        <v>1485</v>
      </c>
      <c r="E110" s="875" t="s">
        <v>13</v>
      </c>
      <c r="F110" s="780">
        <v>22</v>
      </c>
      <c r="G110" s="982"/>
      <c r="H110" s="622"/>
      <c r="I110" s="982"/>
      <c r="J110" s="872"/>
      <c r="K110" s="1207"/>
      <c r="L110" s="622"/>
      <c r="M110" s="982"/>
      <c r="N110" s="622"/>
      <c r="O110" s="1063"/>
      <c r="P110" s="622"/>
      <c r="Q110" s="982"/>
      <c r="R110" s="1028"/>
      <c r="S110" s="959"/>
      <c r="T110" s="878"/>
      <c r="U110" s="958"/>
    </row>
    <row r="111" spans="1:42" s="224" customFormat="1" ht="15" customHeight="1" x14ac:dyDescent="0.25">
      <c r="A111" s="247">
        <v>45708</v>
      </c>
      <c r="B111" s="882" t="s">
        <v>7453</v>
      </c>
      <c r="C111" s="879" t="s">
        <v>12</v>
      </c>
      <c r="D111" s="879" t="s">
        <v>1489</v>
      </c>
      <c r="E111" s="871" t="s">
        <v>13</v>
      </c>
      <c r="F111" s="613">
        <v>9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861"/>
    </row>
    <row r="112" spans="1:42" s="224" customFormat="1" ht="15" customHeight="1" x14ac:dyDescent="0.25">
      <c r="A112" s="247">
        <v>45708</v>
      </c>
      <c r="B112" s="882" t="s">
        <v>7451</v>
      </c>
      <c r="C112" s="879" t="s">
        <v>12</v>
      </c>
      <c r="D112" s="879" t="s">
        <v>1489</v>
      </c>
      <c r="E112" s="871" t="s">
        <v>13</v>
      </c>
      <c r="F112" s="613">
        <v>20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861"/>
    </row>
    <row r="113" spans="1:42" s="224" customFormat="1" ht="15" customHeight="1" x14ac:dyDescent="0.25">
      <c r="A113" s="247">
        <v>45708</v>
      </c>
      <c r="B113" s="882" t="s">
        <v>7454</v>
      </c>
      <c r="C113" s="879" t="s">
        <v>12</v>
      </c>
      <c r="D113" s="879"/>
      <c r="E113" s="875"/>
      <c r="F113" s="780"/>
      <c r="G113" s="982">
        <v>840</v>
      </c>
      <c r="H113" s="622"/>
      <c r="I113" s="982"/>
      <c r="J113" s="622">
        <v>840</v>
      </c>
      <c r="K113" s="982"/>
      <c r="L113" s="853"/>
      <c r="M113" s="982"/>
      <c r="N113" s="622"/>
      <c r="O113" s="1063"/>
      <c r="P113" s="622"/>
      <c r="Q113" s="982"/>
      <c r="R113" s="927"/>
      <c r="S113" s="927"/>
      <c r="T113" s="878"/>
    </row>
    <row r="114" spans="1:42" s="224" customFormat="1" ht="15" customHeight="1" x14ac:dyDescent="0.25">
      <c r="A114" s="247">
        <v>45708</v>
      </c>
      <c r="B114" s="882" t="s">
        <v>7456</v>
      </c>
      <c r="C114" s="879" t="s">
        <v>12</v>
      </c>
      <c r="D114" s="879" t="s">
        <v>1524</v>
      </c>
      <c r="E114" s="875" t="s">
        <v>13</v>
      </c>
      <c r="F114" s="780">
        <v>840</v>
      </c>
      <c r="G114" s="982"/>
      <c r="H114" s="622"/>
      <c r="I114" s="982"/>
      <c r="J114" s="622"/>
      <c r="K114" s="982"/>
      <c r="L114" s="622"/>
      <c r="M114" s="982"/>
      <c r="N114" s="880"/>
      <c r="O114" s="1525"/>
      <c r="P114" s="613"/>
      <c r="Q114" s="162"/>
      <c r="R114" s="1956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</row>
    <row r="115" spans="1:42" s="224" customFormat="1" ht="15" customHeight="1" x14ac:dyDescent="0.25">
      <c r="A115" s="247">
        <v>45709</v>
      </c>
      <c r="B115" s="364" t="s">
        <v>32</v>
      </c>
      <c r="C115" s="350" t="s">
        <v>12</v>
      </c>
      <c r="D115" s="350" t="s">
        <v>1485</v>
      </c>
      <c r="E115" s="875" t="s">
        <v>13</v>
      </c>
      <c r="F115" s="780">
        <v>22</v>
      </c>
      <c r="G115" s="982"/>
      <c r="H115" s="622"/>
      <c r="I115" s="982"/>
      <c r="J115" s="872"/>
      <c r="K115" s="1207"/>
      <c r="L115" s="622"/>
      <c r="M115" s="982"/>
      <c r="N115" s="622"/>
      <c r="O115" s="1063"/>
      <c r="P115" s="622"/>
      <c r="Q115" s="982"/>
      <c r="R115" s="1028"/>
      <c r="S115" s="959"/>
      <c r="T115" s="878"/>
      <c r="U115" s="958"/>
    </row>
    <row r="116" spans="1:42" s="224" customFormat="1" ht="15" customHeight="1" x14ac:dyDescent="0.25">
      <c r="A116" s="247">
        <v>45709</v>
      </c>
      <c r="B116" s="882" t="s">
        <v>81</v>
      </c>
      <c r="C116" s="879" t="s">
        <v>12</v>
      </c>
      <c r="D116" s="879" t="s">
        <v>1493</v>
      </c>
      <c r="E116" s="875" t="s">
        <v>13</v>
      </c>
      <c r="F116" s="613">
        <v>6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861"/>
    </row>
    <row r="117" spans="1:42" s="224" customFormat="1" ht="15" customHeight="1" x14ac:dyDescent="0.25">
      <c r="A117" s="247">
        <v>45709</v>
      </c>
      <c r="B117" s="882" t="s">
        <v>7457</v>
      </c>
      <c r="C117" s="879" t="s">
        <v>12</v>
      </c>
      <c r="D117" s="879"/>
      <c r="E117" s="875"/>
      <c r="F117" s="780"/>
      <c r="G117" s="982"/>
      <c r="H117" s="95"/>
      <c r="I117" s="1064"/>
      <c r="J117" s="613"/>
      <c r="K117" s="64">
        <v>3021.51</v>
      </c>
      <c r="L117" s="622"/>
      <c r="M117" s="982"/>
      <c r="N117" s="622"/>
      <c r="O117" s="1063"/>
      <c r="P117" s="1116"/>
      <c r="Q117" s="1215"/>
      <c r="R117" s="1028">
        <v>4998</v>
      </c>
      <c r="U117" s="958"/>
    </row>
    <row r="118" spans="1:42" s="224" customFormat="1" ht="15" customHeight="1" x14ac:dyDescent="0.25">
      <c r="A118" s="247">
        <v>45709</v>
      </c>
      <c r="B118" s="882" t="s">
        <v>7458</v>
      </c>
      <c r="C118" s="879" t="s">
        <v>12</v>
      </c>
      <c r="D118" s="879"/>
      <c r="E118" s="875"/>
      <c r="F118" s="780"/>
      <c r="G118" s="982"/>
      <c r="H118" s="95"/>
      <c r="I118" s="1064"/>
      <c r="J118" s="613"/>
      <c r="K118" s="64">
        <v>1976.85</v>
      </c>
      <c r="L118" s="622"/>
      <c r="M118" s="982"/>
      <c r="N118" s="622"/>
      <c r="O118" s="1525"/>
      <c r="P118" s="1116"/>
      <c r="Q118" s="1215"/>
      <c r="R118" s="1028"/>
      <c r="U118" s="958"/>
    </row>
    <row r="119" spans="1:42" s="224" customFormat="1" ht="15" customHeight="1" x14ac:dyDescent="0.25">
      <c r="A119" s="247">
        <v>45709</v>
      </c>
      <c r="B119" s="1275" t="s">
        <v>7362</v>
      </c>
      <c r="C119" s="1276" t="s">
        <v>12</v>
      </c>
      <c r="D119" s="1276"/>
      <c r="E119" s="1286" t="s">
        <v>13</v>
      </c>
      <c r="F119" s="613">
        <v>181.17</v>
      </c>
      <c r="G119" s="967"/>
      <c r="H119" s="1008"/>
      <c r="I119" s="1063"/>
      <c r="J119" s="613"/>
      <c r="K119" s="6"/>
      <c r="L119" s="622"/>
      <c r="M119" s="982"/>
      <c r="N119" s="622"/>
      <c r="O119" s="1063"/>
      <c r="P119" s="613"/>
      <c r="Q119" s="64"/>
      <c r="R119" s="1024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</row>
    <row r="120" spans="1:42" s="224" customFormat="1" ht="15" customHeight="1" x14ac:dyDescent="0.25">
      <c r="A120" s="247">
        <v>45709</v>
      </c>
      <c r="B120" s="1275" t="s">
        <v>6755</v>
      </c>
      <c r="C120" s="1276" t="s">
        <v>12</v>
      </c>
      <c r="D120" s="1276"/>
      <c r="E120" s="1286"/>
      <c r="F120" s="613"/>
      <c r="G120" s="967">
        <v>181.17</v>
      </c>
      <c r="H120" s="1008"/>
      <c r="I120" s="1063"/>
      <c r="J120" s="613"/>
      <c r="K120" s="6"/>
      <c r="L120" s="622"/>
      <c r="M120" s="982"/>
      <c r="N120" s="622"/>
      <c r="O120" s="1063"/>
      <c r="P120" s="613"/>
      <c r="Q120" s="64"/>
      <c r="R120" s="1024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</row>
    <row r="121" spans="1:42" s="224" customFormat="1" ht="15" customHeight="1" x14ac:dyDescent="0.25">
      <c r="A121" s="247">
        <v>45709</v>
      </c>
      <c r="B121" s="882" t="s">
        <v>82</v>
      </c>
      <c r="C121" s="879" t="s">
        <v>12</v>
      </c>
      <c r="D121" s="879" t="s">
        <v>1493</v>
      </c>
      <c r="E121" s="871" t="s">
        <v>13</v>
      </c>
      <c r="F121" s="613">
        <v>24.9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861"/>
    </row>
    <row r="122" spans="1:42" s="224" customFormat="1" ht="15" customHeight="1" x14ac:dyDescent="0.25">
      <c r="A122" s="247">
        <v>45710</v>
      </c>
      <c r="B122" s="882" t="s">
        <v>14</v>
      </c>
      <c r="C122" s="879" t="s">
        <v>12</v>
      </c>
      <c r="D122" s="879" t="s">
        <v>1486</v>
      </c>
      <c r="E122" s="871" t="s">
        <v>13</v>
      </c>
      <c r="F122" s="780">
        <v>6.04</v>
      </c>
      <c r="G122" s="982"/>
      <c r="H122" s="622"/>
      <c r="I122" s="982"/>
      <c r="J122" s="622"/>
      <c r="K122" s="982"/>
      <c r="L122" s="622"/>
      <c r="M122" s="982"/>
      <c r="N122" s="880"/>
      <c r="O122" s="1525"/>
      <c r="P122" s="613"/>
      <c r="Q122" s="162"/>
      <c r="R122" s="1956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45710</v>
      </c>
      <c r="B123" s="882" t="s">
        <v>2595</v>
      </c>
      <c r="C123" s="879" t="s">
        <v>12</v>
      </c>
      <c r="D123" s="879" t="s">
        <v>1506</v>
      </c>
      <c r="E123" s="871" t="s">
        <v>13</v>
      </c>
      <c r="F123" s="613">
        <v>10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861"/>
    </row>
    <row r="124" spans="1:42" s="224" customFormat="1" ht="15" customHeight="1" x14ac:dyDescent="0.25">
      <c r="A124" s="247">
        <v>45710</v>
      </c>
      <c r="B124" s="882" t="s">
        <v>2629</v>
      </c>
      <c r="C124" s="879" t="s">
        <v>12</v>
      </c>
      <c r="D124" s="879" t="s">
        <v>1489</v>
      </c>
      <c r="E124" s="875" t="s">
        <v>13</v>
      </c>
      <c r="F124" s="780">
        <v>77.98</v>
      </c>
      <c r="G124" s="982"/>
      <c r="H124" s="622"/>
      <c r="I124" s="982"/>
      <c r="J124" s="1116"/>
      <c r="K124" s="1207"/>
      <c r="L124" s="622"/>
      <c r="M124" s="982"/>
      <c r="N124" s="622"/>
      <c r="O124" s="1063"/>
      <c r="P124" s="880"/>
      <c r="Q124" s="1033"/>
      <c r="R124" s="927"/>
      <c r="T124" s="878"/>
    </row>
    <row r="125" spans="1:42" s="224" customFormat="1" ht="15" customHeight="1" x14ac:dyDescent="0.25">
      <c r="A125" s="247">
        <v>45710</v>
      </c>
      <c r="B125" s="882" t="s">
        <v>445</v>
      </c>
      <c r="C125" s="879" t="s">
        <v>12</v>
      </c>
      <c r="D125" s="879" t="s">
        <v>1493</v>
      </c>
      <c r="E125" s="875" t="s">
        <v>13</v>
      </c>
      <c r="F125" s="780">
        <v>8.4</v>
      </c>
      <c r="G125" s="982"/>
      <c r="H125" s="622"/>
      <c r="I125" s="982"/>
      <c r="J125" s="622"/>
      <c r="K125" s="982"/>
      <c r="L125" s="622"/>
      <c r="M125" s="982"/>
      <c r="N125" s="880"/>
      <c r="O125" s="1525"/>
      <c r="P125" s="613"/>
      <c r="Q125" s="162"/>
      <c r="R125" s="1956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</row>
    <row r="126" spans="1:42" s="224" customFormat="1" ht="15" customHeight="1" x14ac:dyDescent="0.25">
      <c r="A126" s="247">
        <v>45710</v>
      </c>
      <c r="B126" s="882" t="s">
        <v>82</v>
      </c>
      <c r="C126" s="879" t="s">
        <v>12</v>
      </c>
      <c r="D126" s="879" t="s">
        <v>1493</v>
      </c>
      <c r="E126" s="871" t="s">
        <v>13</v>
      </c>
      <c r="F126" s="613">
        <v>54.9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861"/>
    </row>
    <row r="127" spans="1:42" s="224" customFormat="1" ht="15" customHeight="1" x14ac:dyDescent="0.25">
      <c r="A127" s="247">
        <v>45711</v>
      </c>
      <c r="B127" s="882" t="s">
        <v>14</v>
      </c>
      <c r="C127" s="879" t="s">
        <v>12</v>
      </c>
      <c r="D127" s="879" t="s">
        <v>1486</v>
      </c>
      <c r="E127" s="871" t="s">
        <v>13</v>
      </c>
      <c r="F127" s="780">
        <v>5.33</v>
      </c>
      <c r="G127" s="982"/>
      <c r="H127" s="622"/>
      <c r="I127" s="982"/>
      <c r="J127" s="622"/>
      <c r="K127" s="982"/>
      <c r="L127" s="622"/>
      <c r="M127" s="982"/>
      <c r="N127" s="622"/>
      <c r="O127" s="1063"/>
      <c r="P127" s="613"/>
      <c r="Q127" s="162"/>
      <c r="R127" s="1956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</row>
    <row r="128" spans="1:42" s="224" customFormat="1" ht="15" customHeight="1" x14ac:dyDescent="0.25">
      <c r="A128" s="247">
        <v>45711</v>
      </c>
      <c r="B128" s="882" t="s">
        <v>7459</v>
      </c>
      <c r="C128" s="879" t="s">
        <v>12</v>
      </c>
      <c r="D128" s="879" t="s">
        <v>1493</v>
      </c>
      <c r="E128" s="871" t="s">
        <v>13</v>
      </c>
      <c r="F128" s="780">
        <v>14</v>
      </c>
      <c r="G128" s="982"/>
      <c r="H128" s="95"/>
      <c r="I128" s="1064"/>
      <c r="J128" s="613"/>
      <c r="K128" s="6"/>
      <c r="L128" s="622"/>
      <c r="M128" s="982"/>
      <c r="N128" s="622"/>
      <c r="O128" s="1063"/>
      <c r="P128" s="613"/>
      <c r="Q128" s="64"/>
      <c r="R128" s="1028"/>
      <c r="U128" s="958"/>
    </row>
    <row r="129" spans="1:42" s="224" customFormat="1" ht="15" customHeight="1" x14ac:dyDescent="0.25">
      <c r="A129" s="247">
        <v>45711</v>
      </c>
      <c r="B129" s="882" t="s">
        <v>7460</v>
      </c>
      <c r="C129" s="879" t="s">
        <v>12</v>
      </c>
      <c r="D129" s="879" t="s">
        <v>1489</v>
      </c>
      <c r="E129" s="871" t="s">
        <v>13</v>
      </c>
      <c r="F129" s="780">
        <v>20</v>
      </c>
      <c r="G129" s="982"/>
      <c r="H129" s="95"/>
      <c r="I129" s="1064"/>
      <c r="J129" s="613"/>
      <c r="K129" s="6"/>
      <c r="L129" s="622"/>
      <c r="M129" s="982"/>
      <c r="N129" s="880"/>
      <c r="O129" s="1525"/>
      <c r="P129" s="1116"/>
      <c r="Q129" s="1215"/>
      <c r="R129" s="1028"/>
      <c r="U129" s="958"/>
    </row>
    <row r="130" spans="1:42" s="224" customFormat="1" ht="15" customHeight="1" x14ac:dyDescent="0.25">
      <c r="A130" s="247">
        <v>45711</v>
      </c>
      <c r="B130" s="882" t="s">
        <v>1906</v>
      </c>
      <c r="C130" s="879" t="s">
        <v>12</v>
      </c>
      <c r="D130" s="879" t="s">
        <v>1493</v>
      </c>
      <c r="E130" s="871" t="s">
        <v>13</v>
      </c>
      <c r="F130" s="780">
        <v>17.8</v>
      </c>
      <c r="G130" s="982"/>
      <c r="H130" s="95"/>
      <c r="I130" s="1064"/>
      <c r="J130" s="613"/>
      <c r="K130" s="6"/>
      <c r="L130" s="622"/>
      <c r="M130" s="1033"/>
      <c r="N130" s="880"/>
      <c r="O130" s="1525"/>
      <c r="P130" s="1110"/>
      <c r="Q130" s="1208"/>
      <c r="R130" s="1028"/>
      <c r="U130" s="958"/>
    </row>
    <row r="131" spans="1:42" s="224" customFormat="1" ht="15" customHeight="1" x14ac:dyDescent="0.25">
      <c r="A131" s="247">
        <v>45712</v>
      </c>
      <c r="B131" s="364" t="s">
        <v>32</v>
      </c>
      <c r="C131" s="350" t="s">
        <v>12</v>
      </c>
      <c r="D131" s="350" t="s">
        <v>1485</v>
      </c>
      <c r="E131" s="875" t="s">
        <v>13</v>
      </c>
      <c r="F131" s="780">
        <v>30</v>
      </c>
      <c r="G131" s="982"/>
      <c r="H131" s="622"/>
      <c r="I131" s="982"/>
      <c r="J131" s="872"/>
      <c r="K131" s="1207"/>
      <c r="L131" s="622"/>
      <c r="M131" s="982"/>
      <c r="N131" s="622"/>
      <c r="O131" s="1063"/>
      <c r="P131" s="622"/>
      <c r="Q131" s="982"/>
      <c r="R131" s="1028"/>
      <c r="S131" s="959"/>
      <c r="T131" s="878"/>
      <c r="U131" s="958"/>
    </row>
    <row r="132" spans="1:42" s="224" customFormat="1" ht="15" customHeight="1" x14ac:dyDescent="0.25">
      <c r="A132" s="247">
        <v>45712</v>
      </c>
      <c r="B132" s="882" t="s">
        <v>7461</v>
      </c>
      <c r="C132" s="879" t="s">
        <v>12</v>
      </c>
      <c r="D132" s="879" t="s">
        <v>1493</v>
      </c>
      <c r="E132" s="871" t="s">
        <v>13</v>
      </c>
      <c r="F132" s="780">
        <v>8</v>
      </c>
      <c r="G132" s="982"/>
      <c r="H132" s="95"/>
      <c r="I132" s="1064"/>
      <c r="J132" s="622"/>
      <c r="K132" s="982"/>
      <c r="L132" s="622"/>
      <c r="M132" s="982"/>
      <c r="N132" s="622"/>
      <c r="O132" s="1063"/>
      <c r="P132" s="622"/>
      <c r="Q132" s="982"/>
      <c r="R132" s="1028"/>
      <c r="U132" s="958"/>
    </row>
    <row r="133" spans="1:42" s="224" customFormat="1" ht="15" customHeight="1" x14ac:dyDescent="0.25">
      <c r="A133" s="247">
        <v>45712</v>
      </c>
      <c r="B133" s="882" t="s">
        <v>14</v>
      </c>
      <c r="C133" s="879" t="s">
        <v>12</v>
      </c>
      <c r="D133" s="879" t="s">
        <v>1486</v>
      </c>
      <c r="E133" s="871" t="s">
        <v>13</v>
      </c>
      <c r="F133" s="780">
        <v>12.47</v>
      </c>
      <c r="G133" s="982"/>
      <c r="H133" s="622"/>
      <c r="I133" s="982"/>
      <c r="J133" s="622"/>
      <c r="K133" s="982"/>
      <c r="L133" s="622"/>
      <c r="M133" s="982"/>
      <c r="N133" s="622"/>
      <c r="O133" s="1063"/>
      <c r="P133" s="613"/>
      <c r="Q133" s="162"/>
      <c r="R133" s="1956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24" customFormat="1" ht="15" customHeight="1" x14ac:dyDescent="0.25">
      <c r="A134" s="247">
        <v>45712</v>
      </c>
      <c r="B134" s="882" t="s">
        <v>1369</v>
      </c>
      <c r="C134" s="879" t="s">
        <v>12</v>
      </c>
      <c r="D134" s="879" t="s">
        <v>1506</v>
      </c>
      <c r="E134" s="871" t="s">
        <v>13</v>
      </c>
      <c r="F134" s="780">
        <v>13.48</v>
      </c>
      <c r="G134" s="982"/>
      <c r="H134" s="95"/>
      <c r="I134" s="1064"/>
      <c r="J134" s="622"/>
      <c r="K134" s="982"/>
      <c r="L134" s="622"/>
      <c r="M134" s="982"/>
      <c r="N134" s="622"/>
      <c r="O134" s="1063"/>
      <c r="P134" s="622"/>
      <c r="Q134" s="982"/>
      <c r="R134" s="1028"/>
      <c r="U134" s="958"/>
    </row>
    <row r="135" spans="1:42" s="224" customFormat="1" ht="15" customHeight="1" x14ac:dyDescent="0.25">
      <c r="A135" s="247">
        <v>45712</v>
      </c>
      <c r="B135" s="882" t="s">
        <v>7462</v>
      </c>
      <c r="C135" s="879" t="s">
        <v>12</v>
      </c>
      <c r="D135" s="879" t="s">
        <v>6731</v>
      </c>
      <c r="E135" s="871" t="s">
        <v>13</v>
      </c>
      <c r="F135" s="780">
        <v>65</v>
      </c>
      <c r="G135" s="982"/>
      <c r="H135" s="95"/>
      <c r="I135" s="1064"/>
      <c r="J135" s="622"/>
      <c r="K135" s="982"/>
      <c r="L135" s="622"/>
      <c r="M135" s="982"/>
      <c r="N135" s="622"/>
      <c r="O135" s="1063"/>
      <c r="P135" s="622"/>
      <c r="Q135" s="982"/>
      <c r="R135" s="1028"/>
      <c r="U135" s="958"/>
    </row>
    <row r="136" spans="1:42" s="224" customFormat="1" ht="15" customHeight="1" x14ac:dyDescent="0.25">
      <c r="A136" s="247">
        <v>45713</v>
      </c>
      <c r="B136" s="882" t="s">
        <v>14</v>
      </c>
      <c r="C136" s="879" t="s">
        <v>12</v>
      </c>
      <c r="D136" s="879" t="s">
        <v>1486</v>
      </c>
      <c r="E136" s="871" t="s">
        <v>13</v>
      </c>
      <c r="F136" s="780">
        <v>5.43</v>
      </c>
      <c r="G136" s="982"/>
      <c r="H136" s="622"/>
      <c r="I136" s="982"/>
      <c r="J136" s="872"/>
      <c r="K136" s="1207"/>
      <c r="L136" s="622"/>
      <c r="M136" s="982"/>
      <c r="N136" s="622"/>
      <c r="O136" s="1063"/>
      <c r="P136" s="622"/>
      <c r="Q136" s="982"/>
      <c r="R136" s="1028"/>
      <c r="S136" s="959"/>
      <c r="T136" s="878"/>
      <c r="U136" s="958"/>
    </row>
    <row r="137" spans="1:42" s="224" customFormat="1" ht="15" customHeight="1" x14ac:dyDescent="0.25">
      <c r="A137" s="247">
        <v>45713</v>
      </c>
      <c r="B137" s="1289" t="s">
        <v>7230</v>
      </c>
      <c r="C137" s="879" t="s">
        <v>12</v>
      </c>
      <c r="D137" s="1276" t="s">
        <v>1489</v>
      </c>
      <c r="E137" s="875" t="s">
        <v>13</v>
      </c>
      <c r="F137" s="1873">
        <v>13</v>
      </c>
      <c r="G137" s="982"/>
      <c r="H137" s="622"/>
      <c r="I137" s="982"/>
      <c r="J137" s="622"/>
      <c r="K137" s="982"/>
      <c r="L137" s="622"/>
      <c r="M137" s="982"/>
      <c r="N137" s="880"/>
      <c r="O137" s="1525"/>
      <c r="P137" s="613"/>
      <c r="Q137" s="162"/>
      <c r="R137" s="1956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</row>
    <row r="138" spans="1:42" s="224" customFormat="1" ht="15" customHeight="1" x14ac:dyDescent="0.25">
      <c r="A138" s="247">
        <v>45714</v>
      </c>
      <c r="B138" s="882" t="s">
        <v>6329</v>
      </c>
      <c r="C138" s="879" t="s">
        <v>12</v>
      </c>
      <c r="D138" s="879"/>
      <c r="E138" s="875" t="s">
        <v>25</v>
      </c>
      <c r="F138" s="780"/>
      <c r="G138" s="982">
        <v>100</v>
      </c>
      <c r="H138" s="1008"/>
      <c r="I138" s="1063"/>
      <c r="J138" s="613"/>
      <c r="K138" s="982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45714</v>
      </c>
      <c r="B139" s="364" t="s">
        <v>32</v>
      </c>
      <c r="C139" s="350" t="s">
        <v>12</v>
      </c>
      <c r="D139" s="350" t="s">
        <v>1485</v>
      </c>
      <c r="E139" s="875" t="s">
        <v>13</v>
      </c>
      <c r="F139" s="780">
        <v>30</v>
      </c>
      <c r="G139" s="982"/>
      <c r="H139" s="622"/>
      <c r="I139" s="982"/>
      <c r="J139" s="872"/>
      <c r="K139" s="1207"/>
      <c r="L139" s="622"/>
      <c r="M139" s="982"/>
      <c r="N139" s="622"/>
      <c r="O139" s="1063"/>
      <c r="P139" s="622"/>
      <c r="Q139" s="982"/>
      <c r="R139" s="1028"/>
      <c r="S139" s="959"/>
      <c r="T139" s="878"/>
      <c r="U139" s="958"/>
    </row>
    <row r="140" spans="1:42" s="224" customFormat="1" ht="15" customHeight="1" x14ac:dyDescent="0.25">
      <c r="A140" s="247">
        <v>45714</v>
      </c>
      <c r="B140" s="882" t="s">
        <v>14</v>
      </c>
      <c r="C140" s="879" t="s">
        <v>12</v>
      </c>
      <c r="D140" s="879" t="s">
        <v>1486</v>
      </c>
      <c r="E140" s="871" t="s">
        <v>13</v>
      </c>
      <c r="F140" s="780">
        <v>14.65</v>
      </c>
      <c r="G140" s="982"/>
      <c r="H140" s="622"/>
      <c r="I140" s="982"/>
      <c r="J140" s="622"/>
      <c r="K140" s="982"/>
      <c r="L140" s="622"/>
      <c r="M140" s="982"/>
      <c r="N140" s="880"/>
      <c r="O140" s="1525"/>
      <c r="P140" s="613"/>
      <c r="Q140" s="162"/>
      <c r="R140" s="1956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</row>
    <row r="141" spans="1:42" s="224" customFormat="1" ht="15" customHeight="1" x14ac:dyDescent="0.25">
      <c r="A141" s="247">
        <v>45715</v>
      </c>
      <c r="B141" s="364" t="s">
        <v>32</v>
      </c>
      <c r="C141" s="350" t="s">
        <v>12</v>
      </c>
      <c r="D141" s="350" t="s">
        <v>1485</v>
      </c>
      <c r="E141" s="875" t="s">
        <v>13</v>
      </c>
      <c r="F141" s="780">
        <v>30</v>
      </c>
      <c r="G141" s="982"/>
      <c r="H141" s="622"/>
      <c r="I141" s="982"/>
      <c r="J141" s="872"/>
      <c r="K141" s="1207"/>
      <c r="L141" s="622"/>
      <c r="M141" s="982"/>
      <c r="N141" s="622"/>
      <c r="O141" s="1063"/>
      <c r="P141" s="622"/>
      <c r="Q141" s="982"/>
      <c r="R141" s="1028"/>
      <c r="S141" s="959"/>
      <c r="T141" s="878"/>
      <c r="U141" s="958"/>
    </row>
    <row r="142" spans="1:42" s="224" customFormat="1" ht="15" customHeight="1" x14ac:dyDescent="0.25">
      <c r="A142" s="247">
        <v>45715</v>
      </c>
      <c r="B142" s="364" t="s">
        <v>7463</v>
      </c>
      <c r="C142" s="350" t="s">
        <v>12</v>
      </c>
      <c r="D142" s="350" t="s">
        <v>1525</v>
      </c>
      <c r="E142" s="875" t="s">
        <v>13</v>
      </c>
      <c r="F142" s="780">
        <v>26</v>
      </c>
      <c r="G142" s="982"/>
      <c r="H142" s="1008"/>
      <c r="I142" s="1063"/>
      <c r="J142" s="1116"/>
      <c r="K142" s="1207"/>
      <c r="L142" s="622"/>
      <c r="M142" s="982"/>
      <c r="N142" s="622"/>
      <c r="O142" s="1063"/>
      <c r="P142" s="622"/>
      <c r="Q142" s="982"/>
      <c r="R142" s="861"/>
      <c r="T142" s="1035"/>
    </row>
    <row r="143" spans="1:42" s="224" customFormat="1" ht="15" customHeight="1" x14ac:dyDescent="0.25">
      <c r="A143" s="247">
        <v>45715</v>
      </c>
      <c r="B143" s="364" t="s">
        <v>7464</v>
      </c>
      <c r="C143" s="350" t="s">
        <v>12</v>
      </c>
      <c r="D143" s="350" t="s">
        <v>1489</v>
      </c>
      <c r="E143" s="875" t="s">
        <v>13</v>
      </c>
      <c r="F143" s="780">
        <v>80</v>
      </c>
      <c r="G143" s="982"/>
      <c r="H143" s="1008"/>
      <c r="I143" s="1063"/>
      <c r="J143" s="1116"/>
      <c r="K143" s="1207"/>
      <c r="L143" s="622"/>
      <c r="M143" s="982"/>
      <c r="N143" s="622"/>
      <c r="O143" s="1063"/>
      <c r="P143" s="622"/>
      <c r="Q143" s="982"/>
      <c r="R143" s="861"/>
      <c r="T143" s="1035"/>
    </row>
    <row r="144" spans="1:42" s="224" customFormat="1" ht="15" customHeight="1" x14ac:dyDescent="0.25">
      <c r="A144" s="247">
        <v>45715</v>
      </c>
      <c r="B144" s="364" t="s">
        <v>2542</v>
      </c>
      <c r="C144" s="350" t="s">
        <v>12</v>
      </c>
      <c r="D144" s="350" t="s">
        <v>1493</v>
      </c>
      <c r="E144" s="875" t="s">
        <v>13</v>
      </c>
      <c r="F144" s="780">
        <v>12</v>
      </c>
      <c r="G144" s="982"/>
      <c r="H144" s="1008"/>
      <c r="I144" s="1063"/>
      <c r="J144" s="1116"/>
      <c r="K144" s="1207"/>
      <c r="L144" s="622"/>
      <c r="M144" s="982"/>
      <c r="N144" s="622"/>
      <c r="O144" s="1063"/>
      <c r="P144" s="622"/>
      <c r="Q144" s="982"/>
      <c r="R144" s="861"/>
      <c r="T144" s="1035"/>
    </row>
    <row r="145" spans="1:42" s="224" customFormat="1" ht="15" customHeight="1" x14ac:dyDescent="0.25">
      <c r="A145" s="247">
        <v>45715</v>
      </c>
      <c r="B145" s="882" t="s">
        <v>7465</v>
      </c>
      <c r="C145" s="879" t="s">
        <v>12</v>
      </c>
      <c r="D145" s="879"/>
      <c r="E145" s="875"/>
      <c r="F145" s="780"/>
      <c r="G145" s="982">
        <v>200</v>
      </c>
      <c r="H145" s="95"/>
      <c r="I145" s="1064"/>
      <c r="J145" s="622"/>
      <c r="K145" s="982"/>
      <c r="L145" s="622">
        <v>200</v>
      </c>
      <c r="M145" s="982"/>
      <c r="N145" s="622"/>
      <c r="O145" s="1063"/>
      <c r="P145" s="622"/>
      <c r="Q145" s="982"/>
      <c r="R145" s="861"/>
    </row>
    <row r="146" spans="1:42" s="224" customFormat="1" ht="15" customHeight="1" x14ac:dyDescent="0.25">
      <c r="A146" s="247">
        <v>45715</v>
      </c>
      <c r="B146" s="364" t="s">
        <v>7434</v>
      </c>
      <c r="C146" s="350" t="s">
        <v>12</v>
      </c>
      <c r="D146" s="350" t="s">
        <v>1489</v>
      </c>
      <c r="E146" s="875" t="s">
        <v>13</v>
      </c>
      <c r="F146" s="780">
        <v>33</v>
      </c>
      <c r="G146" s="982"/>
      <c r="H146" s="1008"/>
      <c r="I146" s="1063"/>
      <c r="J146" s="1116"/>
      <c r="K146" s="1207"/>
      <c r="L146" s="622"/>
      <c r="M146" s="982"/>
      <c r="N146" s="622"/>
      <c r="O146" s="1063"/>
      <c r="P146" s="622"/>
      <c r="Q146" s="982"/>
      <c r="R146" s="861"/>
      <c r="T146" s="1035"/>
    </row>
    <row r="147" spans="1:42" s="224" customFormat="1" ht="15" customHeight="1" x14ac:dyDescent="0.25">
      <c r="A147" s="247">
        <v>45716</v>
      </c>
      <c r="B147" s="364" t="s">
        <v>32</v>
      </c>
      <c r="C147" s="350" t="s">
        <v>12</v>
      </c>
      <c r="D147" s="350" t="s">
        <v>1485</v>
      </c>
      <c r="E147" s="875" t="s">
        <v>13</v>
      </c>
      <c r="F147" s="780">
        <v>22</v>
      </c>
      <c r="G147" s="982"/>
      <c r="H147" s="622"/>
      <c r="I147" s="982"/>
      <c r="J147" s="872"/>
      <c r="K147" s="1207"/>
      <c r="L147" s="622"/>
      <c r="M147" s="982"/>
      <c r="N147" s="622"/>
      <c r="O147" s="1063"/>
      <c r="P147" s="622"/>
      <c r="Q147" s="982"/>
      <c r="R147" s="1028"/>
      <c r="S147" s="959"/>
      <c r="T147" s="878"/>
      <c r="U147" s="958"/>
    </row>
    <row r="148" spans="1:42" s="224" customFormat="1" ht="15" customHeight="1" x14ac:dyDescent="0.25">
      <c r="A148" s="247">
        <v>45716</v>
      </c>
      <c r="B148" s="882" t="s">
        <v>81</v>
      </c>
      <c r="C148" s="879" t="s">
        <v>12</v>
      </c>
      <c r="D148" s="879" t="s">
        <v>1493</v>
      </c>
      <c r="E148" s="875" t="s">
        <v>13</v>
      </c>
      <c r="F148" s="780">
        <v>4</v>
      </c>
      <c r="G148" s="982"/>
      <c r="H148" s="622"/>
      <c r="I148" s="982"/>
      <c r="J148" s="622"/>
      <c r="K148" s="982"/>
      <c r="L148" s="622"/>
      <c r="M148" s="982"/>
      <c r="N148" s="622"/>
      <c r="O148" s="1063"/>
      <c r="P148" s="622"/>
      <c r="Q148" s="982"/>
      <c r="R148" s="1028"/>
      <c r="S148" s="959"/>
      <c r="T148" s="878"/>
      <c r="U148" s="958"/>
    </row>
    <row r="149" spans="1:42" s="224" customFormat="1" ht="15" customHeight="1" x14ac:dyDescent="0.25">
      <c r="A149" s="247">
        <v>45716</v>
      </c>
      <c r="B149" s="364" t="s">
        <v>7469</v>
      </c>
      <c r="C149" s="350" t="s">
        <v>12</v>
      </c>
      <c r="D149" s="350" t="s">
        <v>1525</v>
      </c>
      <c r="E149" s="875" t="s">
        <v>13</v>
      </c>
      <c r="F149" s="780">
        <v>25</v>
      </c>
      <c r="G149" s="982"/>
      <c r="H149" s="1008"/>
      <c r="I149" s="1063"/>
      <c r="J149" s="622"/>
      <c r="K149" s="982"/>
      <c r="L149" s="622"/>
      <c r="M149" s="982"/>
      <c r="N149" s="622"/>
      <c r="O149" s="1063"/>
      <c r="P149" s="622"/>
      <c r="Q149" s="982"/>
      <c r="R149" s="861"/>
      <c r="T149" s="1035"/>
    </row>
    <row r="150" spans="1:42" s="224" customFormat="1" ht="15" customHeight="1" x14ac:dyDescent="0.25">
      <c r="A150" s="247">
        <v>45716</v>
      </c>
      <c r="B150" s="882" t="s">
        <v>14</v>
      </c>
      <c r="C150" s="879" t="s">
        <v>12</v>
      </c>
      <c r="D150" s="879" t="s">
        <v>1486</v>
      </c>
      <c r="E150" s="871" t="s">
        <v>5470</v>
      </c>
      <c r="F150" s="780">
        <v>5.96</v>
      </c>
      <c r="G150" s="982"/>
      <c r="H150" s="622"/>
      <c r="I150" s="982"/>
      <c r="J150" s="622"/>
      <c r="K150" s="982"/>
      <c r="L150" s="622"/>
      <c r="M150" s="982"/>
      <c r="N150" s="880"/>
      <c r="O150" s="1525"/>
      <c r="P150" s="613"/>
      <c r="Q150" s="162"/>
      <c r="R150" s="1956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</row>
    <row r="151" spans="1:42" s="224" customFormat="1" ht="15" customHeight="1" thickBot="1" x14ac:dyDescent="0.3">
      <c r="A151" s="247">
        <v>45716</v>
      </c>
      <c r="B151" s="349" t="s">
        <v>6168</v>
      </c>
      <c r="C151" s="350" t="s">
        <v>12</v>
      </c>
      <c r="D151" s="350"/>
      <c r="E151" s="480" t="s">
        <v>25</v>
      </c>
      <c r="F151" s="780"/>
      <c r="G151" s="946"/>
      <c r="H151" s="95"/>
      <c r="I151" s="2096"/>
      <c r="J151" s="622"/>
      <c r="K151" s="2096">
        <v>99</v>
      </c>
      <c r="L151" s="622"/>
      <c r="M151" s="2556">
        <v>10.91</v>
      </c>
      <c r="N151" s="622"/>
      <c r="O151" s="2096">
        <v>80.41</v>
      </c>
      <c r="P151" s="622"/>
      <c r="Q151" s="982"/>
      <c r="R151" s="2585">
        <f>I151+K151+M151+O151</f>
        <v>190.32</v>
      </c>
      <c r="T151" s="927"/>
      <c r="U151" s="999"/>
    </row>
    <row r="152" spans="1:42" ht="25.5" customHeight="1" thickBot="1" x14ac:dyDescent="0.3">
      <c r="A152" s="3060"/>
      <c r="B152" s="3061"/>
      <c r="C152" s="3062"/>
      <c r="D152" s="3062"/>
      <c r="E152" s="3062"/>
      <c r="F152" s="1023">
        <f>SUM(F6:F151)</f>
        <v>7829.3066666666655</v>
      </c>
      <c r="G152" s="1065">
        <f>SUM(G5:G151)</f>
        <v>8644.4582500000452</v>
      </c>
      <c r="H152" s="517">
        <f>SUM(H6:H151)</f>
        <v>0</v>
      </c>
      <c r="I152" s="93">
        <f>SUM(I5:I151)</f>
        <v>-4.0000000010422809E-3</v>
      </c>
      <c r="J152" s="517">
        <f>SUM(J6:J151)</f>
        <v>1673</v>
      </c>
      <c r="K152" s="93">
        <f>SUM(K5:K151)</f>
        <v>17099.260000000009</v>
      </c>
      <c r="L152" s="1023">
        <f>SUM(L6:L151)</f>
        <v>200</v>
      </c>
      <c r="M152" s="93">
        <f>SUM(M5:M151)</f>
        <v>2004.09</v>
      </c>
      <c r="N152" s="1023">
        <f>SUM(N6:N151)</f>
        <v>0</v>
      </c>
      <c r="O152" s="93">
        <f>SUM(O5:O151)</f>
        <v>10291.530000000002</v>
      </c>
      <c r="P152" s="1023">
        <f>SUM(P6:P151)</f>
        <v>0</v>
      </c>
      <c r="Q152" s="93">
        <f>SUM(Q5:Q151)</f>
        <v>31180.385984720007</v>
      </c>
      <c r="S152" s="216"/>
    </row>
    <row r="153" spans="1:42" ht="25.5" customHeight="1" thickBot="1" x14ac:dyDescent="0.3">
      <c r="A153" s="3063" t="s">
        <v>49</v>
      </c>
      <c r="B153" s="3064"/>
      <c r="C153" s="3064"/>
      <c r="D153" s="3064"/>
      <c r="E153" s="3064"/>
      <c r="F153" s="2046" t="s">
        <v>280</v>
      </c>
      <c r="G153" s="1066">
        <f>G152-F152</f>
        <v>815.15158333337968</v>
      </c>
      <c r="H153" s="1221"/>
      <c r="I153" s="772">
        <f>I152-H152</f>
        <v>-4.0000000010422809E-3</v>
      </c>
      <c r="J153" s="1221"/>
      <c r="K153" s="772">
        <f>K152-J152</f>
        <v>15426.260000000009</v>
      </c>
      <c r="L153" s="1222"/>
      <c r="M153" s="772">
        <f>M152-L152</f>
        <v>1804.09</v>
      </c>
      <c r="N153" s="1222"/>
      <c r="O153" s="772">
        <f>O152-N152</f>
        <v>10291.530000000002</v>
      </c>
      <c r="P153" s="1222"/>
      <c r="Q153" s="772">
        <f>Q152-P152</f>
        <v>31180.385984720007</v>
      </c>
      <c r="R153" s="484">
        <f>M153+O153+Q153</f>
        <v>43276.00598472001</v>
      </c>
    </row>
    <row r="154" spans="1:42" x14ac:dyDescent="0.25">
      <c r="J154" s="1210"/>
      <c r="K154" s="1038"/>
      <c r="M154" s="1238">
        <f>M153/R153</f>
        <v>4.1687996822927516E-2</v>
      </c>
      <c r="O154" s="1238">
        <f>O153/R153</f>
        <v>0.23781145615965021</v>
      </c>
      <c r="P154" s="1239"/>
      <c r="Q154" s="1239">
        <f>Q153/R153</f>
        <v>0.72050054701742228</v>
      </c>
      <c r="R154" s="867"/>
      <c r="S154" s="867"/>
      <c r="T154" s="79"/>
      <c r="W154" s="518"/>
      <c r="X154" s="216"/>
      <c r="Z154" s="877"/>
    </row>
    <row r="155" spans="1:42" x14ac:dyDescent="0.25">
      <c r="B155" s="81" t="s">
        <v>3</v>
      </c>
      <c r="C155" s="193" t="s">
        <v>1484</v>
      </c>
      <c r="D155" s="970" t="s">
        <v>2378</v>
      </c>
      <c r="E155" s="193" t="s">
        <v>3216</v>
      </c>
      <c r="F155" s="1061" t="s">
        <v>3217</v>
      </c>
      <c r="G155" s="216"/>
      <c r="I155" s="216"/>
      <c r="J155" s="1038"/>
      <c r="K155" s="216"/>
      <c r="M155" s="866"/>
      <c r="O155" s="866"/>
      <c r="P155" s="1038"/>
      <c r="Q155" s="1038"/>
      <c r="R155" s="865"/>
      <c r="S155" s="867"/>
    </row>
    <row r="156" spans="1:42" x14ac:dyDescent="0.25">
      <c r="B156" s="79" t="s">
        <v>32</v>
      </c>
      <c r="C156" s="85" t="s">
        <v>1485</v>
      </c>
      <c r="D156" s="475">
        <f>SUMIF($D$7:$D$151,C156,$F$7:$F$151)</f>
        <v>430</v>
      </c>
      <c r="E156" s="1202">
        <f t="shared" ref="E156:E172" si="0">D156/$K$176</f>
        <v>15.357142857142858</v>
      </c>
      <c r="F156" s="1203">
        <f t="shared" ref="F156:F172" si="1">E156/$E$177</f>
        <v>8.6657441119963458E-2</v>
      </c>
      <c r="G156" s="800"/>
      <c r="I156" s="769"/>
      <c r="J156" s="1038"/>
      <c r="K156" s="2596"/>
      <c r="M156" s="886"/>
      <c r="O156" s="886"/>
      <c r="P156" s="886"/>
      <c r="Q156" s="1038">
        <v>24197.98</v>
      </c>
      <c r="R156" s="1038" t="s">
        <v>6378</v>
      </c>
      <c r="S156" s="1210"/>
      <c r="U156" s="1201"/>
      <c r="V156" s="877"/>
    </row>
    <row r="157" spans="1:42" x14ac:dyDescent="0.25">
      <c r="B157" s="79" t="s">
        <v>2187</v>
      </c>
      <c r="C157" s="85" t="s">
        <v>2157</v>
      </c>
      <c r="D157" s="475">
        <f>SUMIF($D$7:$D$151,C157,$F$7:$F$151)</f>
        <v>0</v>
      </c>
      <c r="E157" s="1202">
        <f>D157/$K$176</f>
        <v>0</v>
      </c>
      <c r="F157" s="1203">
        <f t="shared" si="1"/>
        <v>0</v>
      </c>
      <c r="G157" s="609"/>
      <c r="J157" s="2125"/>
      <c r="K157" s="1129"/>
      <c r="M157" s="1210"/>
      <c r="O157" s="1038"/>
      <c r="P157" s="1210"/>
      <c r="Q157" s="1210">
        <f>Q153+Q156</f>
        <v>55378.365984720003</v>
      </c>
      <c r="R157" s="1038" t="s">
        <v>6379</v>
      </c>
      <c r="U157" s="877"/>
      <c r="V157" s="877"/>
    </row>
    <row r="158" spans="1:42" s="85" customFormat="1" x14ac:dyDescent="0.25">
      <c r="A158" s="79"/>
      <c r="B158" s="79" t="s">
        <v>50</v>
      </c>
      <c r="C158" s="85" t="s">
        <v>1493</v>
      </c>
      <c r="D158" s="475">
        <f>SUMIF($D$7:$D$151,C158,$F$7:$F$151)</f>
        <v>262.78000000000003</v>
      </c>
      <c r="E158" s="1202">
        <f t="shared" si="0"/>
        <v>9.3850000000000016</v>
      </c>
      <c r="F158" s="1203">
        <f t="shared" si="1"/>
        <v>5.2957772970939537E-2</v>
      </c>
      <c r="J158" s="1210"/>
      <c r="K158" s="1239"/>
      <c r="M158" s="941"/>
      <c r="N158" s="877"/>
      <c r="O158" s="863"/>
      <c r="Q158" s="79"/>
      <c r="R158" s="177"/>
      <c r="U158" s="877"/>
      <c r="V158" s="877"/>
    </row>
    <row r="159" spans="1:42" s="85" customFormat="1" x14ac:dyDescent="0.25">
      <c r="A159" s="79"/>
      <c r="B159" s="79" t="s">
        <v>14</v>
      </c>
      <c r="C159" s="85" t="s">
        <v>1486</v>
      </c>
      <c r="D159" s="475">
        <f>SUMIF($D$7:$D$151,C159,$F$7:$F$151)</f>
        <v>138.74</v>
      </c>
      <c r="E159" s="1202">
        <f t="shared" si="0"/>
        <v>4.9550000000000001</v>
      </c>
      <c r="F159" s="1203">
        <f t="shared" si="1"/>
        <v>2.7960124141822629E-2</v>
      </c>
      <c r="G159" s="79"/>
      <c r="H159" s="79"/>
      <c r="J159" s="1210"/>
      <c r="K159" s="1038"/>
      <c r="M159" s="1028"/>
      <c r="N159" s="877"/>
      <c r="O159" s="1038"/>
      <c r="R159" s="177"/>
      <c r="U159" s="877"/>
      <c r="V159" s="877"/>
    </row>
    <row r="160" spans="1:42" s="85" customFormat="1" x14ac:dyDescent="0.25">
      <c r="B160" s="79" t="s">
        <v>51</v>
      </c>
      <c r="C160" s="864" t="s">
        <v>1499</v>
      </c>
      <c r="D160" s="475">
        <f>SUMIF($D$7:$D$151,C160,$F$7:$F$151)</f>
        <v>156.91</v>
      </c>
      <c r="E160" s="1202">
        <f t="shared" si="0"/>
        <v>5.6039285714285709</v>
      </c>
      <c r="F160" s="1203">
        <f t="shared" si="1"/>
        <v>3.1621904851473176E-2</v>
      </c>
      <c r="G160" s="79"/>
      <c r="H160" s="79"/>
      <c r="I160" s="79"/>
      <c r="J160" s="1210"/>
      <c r="K160" s="1038"/>
      <c r="M160" s="1028"/>
      <c r="N160" s="877"/>
      <c r="O160" s="1038"/>
      <c r="P160" s="1210"/>
      <c r="Q160" s="1038"/>
      <c r="R160" s="177"/>
      <c r="U160" s="877"/>
      <c r="V160" s="877"/>
    </row>
    <row r="161" spans="1:22" s="85" customFormat="1" x14ac:dyDescent="0.25">
      <c r="A161" s="79"/>
      <c r="B161" s="79" t="s">
        <v>2189</v>
      </c>
      <c r="C161" s="864" t="s">
        <v>1496</v>
      </c>
      <c r="D161" s="475">
        <f>SUMIF($D$9:$D$151,C161,$F$9:$F$151)</f>
        <v>100</v>
      </c>
      <c r="E161" s="1202">
        <f t="shared" si="0"/>
        <v>3.5714285714285716</v>
      </c>
      <c r="F161" s="1203">
        <f t="shared" si="1"/>
        <v>2.0152893283712434E-2</v>
      </c>
      <c r="G161" s="79"/>
      <c r="J161" s="1210"/>
      <c r="K161" s="1038"/>
      <c r="M161" s="877"/>
      <c r="O161" s="177"/>
      <c r="R161" s="177"/>
      <c r="U161" s="877"/>
      <c r="V161" s="877"/>
    </row>
    <row r="162" spans="1:22" s="85" customFormat="1" x14ac:dyDescent="0.25">
      <c r="A162" s="79"/>
      <c r="B162" s="867" t="s">
        <v>53</v>
      </c>
      <c r="C162" s="864" t="s">
        <v>1522</v>
      </c>
      <c r="D162" s="475">
        <f>SUMIF($D$7:$D$151,C162,$F$7:$F$151)</f>
        <v>26.5</v>
      </c>
      <c r="E162" s="1202">
        <f t="shared" si="0"/>
        <v>0.9464285714285714</v>
      </c>
      <c r="F162" s="1203">
        <f t="shared" si="1"/>
        <v>5.3405167201837946E-3</v>
      </c>
      <c r="J162" s="1210"/>
      <c r="K162" s="1038"/>
      <c r="M162" s="1959"/>
      <c r="O162" s="177"/>
      <c r="P162" s="868"/>
      <c r="Q162" s="769"/>
      <c r="R162" s="79"/>
      <c r="U162" s="877"/>
      <c r="V162" s="877"/>
    </row>
    <row r="163" spans="1:22" s="85" customFormat="1" x14ac:dyDescent="0.25">
      <c r="A163" s="79"/>
      <c r="B163" s="79" t="s">
        <v>3048</v>
      </c>
      <c r="C163" s="864" t="s">
        <v>1523</v>
      </c>
      <c r="D163" s="475">
        <f>SUMIF($D$7:$D$151,C163,$F$7:$F$151)</f>
        <v>564.01</v>
      </c>
      <c r="E163" s="1202">
        <f t="shared" si="0"/>
        <v>20.143214285714286</v>
      </c>
      <c r="F163" s="1203">
        <f t="shared" si="1"/>
        <v>0.11366433340946649</v>
      </c>
      <c r="G163" s="866"/>
      <c r="J163" s="1210"/>
      <c r="K163" s="1038"/>
      <c r="M163" s="877"/>
      <c r="O163" s="177"/>
      <c r="P163" s="866"/>
      <c r="Q163" s="1210"/>
      <c r="R163" s="877"/>
      <c r="U163" s="877"/>
      <c r="V163" s="877"/>
    </row>
    <row r="164" spans="1:22" s="85" customFormat="1" x14ac:dyDescent="0.25">
      <c r="A164" s="79"/>
      <c r="B164" s="79" t="s">
        <v>1686</v>
      </c>
      <c r="C164" s="864" t="s">
        <v>1506</v>
      </c>
      <c r="D164" s="475">
        <f>SUMIF($D$30:$D$151,C164,$F$30:$F$151)</f>
        <v>887.29</v>
      </c>
      <c r="E164" s="1202">
        <f t="shared" si="0"/>
        <v>31.688928571428569</v>
      </c>
      <c r="F164" s="1203">
        <f t="shared" si="1"/>
        <v>0.17881460681705202</v>
      </c>
      <c r="G164" s="868"/>
      <c r="J164" s="1210"/>
      <c r="K164" s="1038"/>
      <c r="M164" s="877"/>
      <c r="O164" s="177"/>
      <c r="P164" s="1226"/>
      <c r="Q164" s="1129"/>
      <c r="R164" s="877"/>
      <c r="U164" s="877"/>
      <c r="V164" s="877"/>
    </row>
    <row r="165" spans="1:22" x14ac:dyDescent="0.25">
      <c r="B165" s="79" t="s">
        <v>418</v>
      </c>
      <c r="C165" s="85" t="s">
        <v>1524</v>
      </c>
      <c r="D165" s="475">
        <f>SUMIF($D$7:$D$151,C165,$F$7:$F$151)</f>
        <v>1578</v>
      </c>
      <c r="E165" s="1202">
        <f t="shared" si="0"/>
        <v>56.357142857142854</v>
      </c>
      <c r="F165" s="1203">
        <f t="shared" si="1"/>
        <v>0.31801265601698214</v>
      </c>
      <c r="G165" s="85"/>
      <c r="H165" s="85"/>
      <c r="I165" s="85"/>
      <c r="J165" s="1210"/>
      <c r="K165" s="1038"/>
      <c r="L165" s="769"/>
      <c r="M165" s="877"/>
      <c r="N165" s="769"/>
      <c r="O165" s="216"/>
      <c r="P165" s="1038"/>
      <c r="Q165" s="1226"/>
      <c r="R165" s="877"/>
      <c r="U165" s="877"/>
      <c r="V165" s="877"/>
    </row>
    <row r="166" spans="1:22" x14ac:dyDescent="0.25">
      <c r="B166" s="79" t="s">
        <v>6732</v>
      </c>
      <c r="C166" s="85" t="s">
        <v>1491</v>
      </c>
      <c r="D166" s="475">
        <f>SUMIF($D$31:$D$151,C166,$F$31:$F$151)</f>
        <v>1060.98</v>
      </c>
      <c r="E166" s="1202">
        <f t="shared" si="0"/>
        <v>37.892142857142858</v>
      </c>
      <c r="F166" s="1203">
        <f t="shared" si="1"/>
        <v>0.21381816716153215</v>
      </c>
      <c r="I166" s="85"/>
      <c r="J166" s="1210"/>
      <c r="K166" s="1038"/>
      <c r="N166" s="216"/>
      <c r="O166" s="216"/>
      <c r="Q166" s="484"/>
      <c r="R166" s="877"/>
      <c r="U166" s="877"/>
      <c r="V166" s="877"/>
    </row>
    <row r="167" spans="1:22" x14ac:dyDescent="0.25">
      <c r="B167" s="79" t="s">
        <v>6733</v>
      </c>
      <c r="C167" s="85" t="s">
        <v>6731</v>
      </c>
      <c r="D167" s="475">
        <f>SUMIF($D$9:$D$151,C167,$F$9:$F$151)</f>
        <v>131.46</v>
      </c>
      <c r="E167" s="1202">
        <f t="shared" si="0"/>
        <v>4.6950000000000003</v>
      </c>
      <c r="F167" s="1203">
        <f t="shared" si="1"/>
        <v>2.6492993510768365E-2</v>
      </c>
      <c r="I167" s="85"/>
      <c r="J167" s="1210"/>
      <c r="K167" s="1038"/>
      <c r="N167" s="216"/>
      <c r="O167" s="216"/>
      <c r="Q167" s="484"/>
      <c r="R167" s="877"/>
      <c r="U167" s="877"/>
      <c r="V167" s="877"/>
    </row>
    <row r="168" spans="1:22" x14ac:dyDescent="0.25">
      <c r="B168" s="79" t="s">
        <v>5439</v>
      </c>
      <c r="C168" s="85" t="s">
        <v>1525</v>
      </c>
      <c r="D168" s="475">
        <f>SUMIF($D$31:$D$151,C168,$F$31:$F$151)</f>
        <v>460.95</v>
      </c>
      <c r="E168" s="1202">
        <f t="shared" si="0"/>
        <v>16.462499999999999</v>
      </c>
      <c r="F168" s="1203">
        <f t="shared" si="1"/>
        <v>9.289476159127244E-2</v>
      </c>
      <c r="J168" s="1210"/>
      <c r="K168" s="1038"/>
      <c r="O168" s="216"/>
      <c r="Q168" s="484"/>
      <c r="R168" s="1673"/>
      <c r="U168" s="877"/>
      <c r="V168" s="877"/>
    </row>
    <row r="169" spans="1:22" x14ac:dyDescent="0.25">
      <c r="B169" s="79" t="s">
        <v>1526</v>
      </c>
      <c r="C169" s="85" t="s">
        <v>1504</v>
      </c>
      <c r="D169" s="475">
        <f>SUMIF($D$31:$D$151,C169,$F$31:$F$151)</f>
        <v>161.80666666666667</v>
      </c>
      <c r="E169" s="1202">
        <f t="shared" si="0"/>
        <v>5.7788095238095236</v>
      </c>
      <c r="F169" s="1203">
        <f t="shared" si="1"/>
        <v>3.260872485926563E-2</v>
      </c>
      <c r="J169" s="1210"/>
      <c r="K169" s="1038"/>
      <c r="L169" s="769"/>
      <c r="N169" s="769"/>
      <c r="O169" s="886"/>
      <c r="P169" s="1210"/>
      <c r="Q169" s="1038"/>
      <c r="R169" s="1129"/>
      <c r="T169" s="1129"/>
      <c r="U169" s="877"/>
      <c r="V169" s="877"/>
    </row>
    <row r="170" spans="1:22" x14ac:dyDescent="0.25">
      <c r="B170" s="79" t="s">
        <v>2343</v>
      </c>
      <c r="C170" s="85" t="s">
        <v>2315</v>
      </c>
      <c r="D170" s="475">
        <f>SUMIF($D$31:$D$151,C170,$F$31:$F$151)</f>
        <v>0</v>
      </c>
      <c r="E170" s="1202">
        <f t="shared" si="0"/>
        <v>0</v>
      </c>
      <c r="F170" s="1203">
        <f t="shared" si="1"/>
        <v>0</v>
      </c>
      <c r="J170" s="1210"/>
      <c r="K170" s="1038"/>
      <c r="L170" s="769"/>
      <c r="M170" s="1210"/>
      <c r="N170" s="769"/>
      <c r="O170" s="1673"/>
      <c r="P170" s="1210"/>
      <c r="Q170" s="1038"/>
      <c r="R170" s="1129"/>
      <c r="T170" s="1129"/>
      <c r="U170" s="877"/>
      <c r="V170" s="877"/>
    </row>
    <row r="171" spans="1:22" x14ac:dyDescent="0.25">
      <c r="B171" s="79" t="s">
        <v>3019</v>
      </c>
      <c r="C171" s="85" t="s">
        <v>3017</v>
      </c>
      <c r="D171" s="796">
        <f>SUMIF($D$31:$D$151,C171,$F$31:$F$151)</f>
        <v>0</v>
      </c>
      <c r="E171" s="1202">
        <f t="shared" si="0"/>
        <v>0</v>
      </c>
      <c r="F171" s="1203">
        <f t="shared" si="1"/>
        <v>0</v>
      </c>
      <c r="J171" s="1210"/>
      <c r="K171" s="1038"/>
      <c r="L171" s="769"/>
      <c r="N171" s="769"/>
      <c r="P171" s="941"/>
      <c r="Q171" s="224"/>
      <c r="R171" s="1226"/>
      <c r="S171" s="1129"/>
      <c r="T171" s="1129"/>
      <c r="U171" s="877"/>
      <c r="V171" s="877"/>
    </row>
    <row r="172" spans="1:22" ht="15.75" thickBot="1" x14ac:dyDescent="0.3">
      <c r="B172" s="301" t="s">
        <v>1527</v>
      </c>
      <c r="C172" s="2400" t="s">
        <v>1489</v>
      </c>
      <c r="D172" s="2401">
        <f>SUMIF($D$7:$D$151,C172,$F$7:$F$151)</f>
        <v>502</v>
      </c>
      <c r="E172" s="2402">
        <f t="shared" si="0"/>
        <v>17.928571428571427</v>
      </c>
      <c r="F172" s="2403">
        <f t="shared" si="1"/>
        <v>0.10116752428423639</v>
      </c>
      <c r="J172" s="1210"/>
      <c r="K172" s="1038"/>
      <c r="P172" s="1210"/>
      <c r="Q172" s="1038"/>
      <c r="R172" s="1226"/>
      <c r="S172" s="1129"/>
      <c r="T172" s="1129"/>
      <c r="U172" s="877"/>
      <c r="V172" s="877"/>
    </row>
    <row r="173" spans="1:22" x14ac:dyDescent="0.25">
      <c r="B173" s="1124" t="s">
        <v>6790</v>
      </c>
      <c r="C173" s="1124"/>
      <c r="D173" s="1125">
        <f>SUMIF($B$7:$B$151,"Crédito Gasolina",$G$7:$G$151)</f>
        <v>483.12</v>
      </c>
      <c r="E173" s="1138">
        <f>D173/K176</f>
        <v>17.254285714285714</v>
      </c>
      <c r="F173" s="1124"/>
      <c r="G173" s="1129"/>
      <c r="J173" s="2037"/>
      <c r="K173" s="629"/>
      <c r="P173" s="1210"/>
      <c r="Q173" s="1038"/>
      <c r="R173" s="1227"/>
      <c r="S173" s="1129"/>
      <c r="T173" s="1129"/>
      <c r="U173" s="877"/>
      <c r="V173" s="877"/>
    </row>
    <row r="174" spans="1:22" x14ac:dyDescent="0.25">
      <c r="B174" s="1124" t="s">
        <v>6918</v>
      </c>
      <c r="C174" s="1124"/>
      <c r="D174" s="1125">
        <f>SUMIF($B$7:$B$151,"Trabalho Art frutt",$G$7:$G$151)</f>
        <v>400</v>
      </c>
      <c r="E174" s="1138">
        <f>D174/K176</f>
        <v>14.285714285714286</v>
      </c>
      <c r="F174" s="1124"/>
      <c r="J174" s="2037"/>
      <c r="K174" s="629"/>
      <c r="L174" s="970" t="s">
        <v>6481</v>
      </c>
      <c r="M174" s="2033" t="s">
        <v>6482</v>
      </c>
      <c r="P174" s="1210"/>
      <c r="Q174" s="1038"/>
      <c r="R174" s="1227"/>
      <c r="S174" s="1129"/>
      <c r="T174" s="1129"/>
      <c r="U174" s="877"/>
      <c r="V174" s="877"/>
    </row>
    <row r="175" spans="1:22" x14ac:dyDescent="0.25">
      <c r="B175" s="1124"/>
      <c r="C175" s="1124"/>
      <c r="D175" s="1125"/>
      <c r="E175" s="1138"/>
      <c r="F175" s="1124"/>
      <c r="I175" s="2037"/>
      <c r="J175" s="629"/>
      <c r="K175" s="459"/>
      <c r="L175" s="2125"/>
      <c r="P175" s="1210"/>
      <c r="Q175" s="1038"/>
      <c r="R175" s="1227"/>
      <c r="T175" s="1129"/>
      <c r="U175" s="877"/>
      <c r="V175" s="877"/>
    </row>
    <row r="176" spans="1:22" x14ac:dyDescent="0.25">
      <c r="C176" s="3168" t="s">
        <v>486</v>
      </c>
      <c r="D176" s="3168"/>
      <c r="E176" s="863">
        <f>J176/K176</f>
        <v>230.76523809523806</v>
      </c>
      <c r="G176" s="518" t="s">
        <v>487</v>
      </c>
      <c r="J176" s="629">
        <f>SUM(D156:D172)</f>
        <v>6461.4266666666654</v>
      </c>
      <c r="K176" s="1517">
        <v>28</v>
      </c>
      <c r="M176" s="1138">
        <f>5316.5+D174-J177</f>
        <v>833.07333333333463</v>
      </c>
      <c r="N176" s="216"/>
      <c r="O176" s="1517"/>
      <c r="P176" s="1210"/>
      <c r="Q176" s="1038"/>
      <c r="R176" s="1226"/>
      <c r="S176" s="1129"/>
      <c r="T176" s="1129"/>
      <c r="U176" s="877"/>
      <c r="V176" s="877"/>
    </row>
    <row r="177" spans="1:24" ht="15.75" customHeight="1" x14ac:dyDescent="0.25">
      <c r="B177" s="3167" t="s">
        <v>7452</v>
      </c>
      <c r="C177" s="3167"/>
      <c r="D177" s="3167"/>
      <c r="E177" s="1125">
        <f>5316.5/30</f>
        <v>177.21666666666667</v>
      </c>
      <c r="G177" s="518" t="s">
        <v>6257</v>
      </c>
      <c r="J177" s="609">
        <f>J176-D165</f>
        <v>4883.4266666666654</v>
      </c>
      <c r="K177" s="629"/>
      <c r="M177" s="868"/>
      <c r="O177" s="868"/>
      <c r="P177" s="1210"/>
      <c r="Q177" s="1038"/>
      <c r="R177" s="1226"/>
      <c r="S177" s="1129"/>
      <c r="T177" s="1129"/>
      <c r="U177" s="877"/>
      <c r="V177" s="877"/>
    </row>
    <row r="178" spans="1:24" x14ac:dyDescent="0.25">
      <c r="A178" s="518"/>
      <c r="C178" s="79"/>
      <c r="D178" s="79"/>
      <c r="E178" s="769"/>
      <c r="F178" s="866"/>
      <c r="G178" s="769"/>
      <c r="H178" s="866"/>
      <c r="I178" s="1210"/>
      <c r="J178" s="867"/>
      <c r="K178" s="866"/>
      <c r="L178" s="1038"/>
      <c r="M178" s="1210"/>
      <c r="N178" s="1038"/>
      <c r="O178" s="1210"/>
      <c r="P178" s="1210"/>
      <c r="Q178" s="1038"/>
      <c r="R178" s="769"/>
      <c r="S178" s="484" t="s">
        <v>280</v>
      </c>
      <c r="T178" s="216"/>
      <c r="U178" s="866"/>
      <c r="V178" s="484"/>
      <c r="X178" s="877"/>
    </row>
    <row r="179" spans="1:24" s="518" customFormat="1" x14ac:dyDescent="0.25">
      <c r="A179" s="79"/>
      <c r="B179" s="79"/>
      <c r="C179" s="79"/>
      <c r="D179" s="79"/>
      <c r="E179" s="1126">
        <f>E177-E176</f>
        <v>-53.548571428571393</v>
      </c>
      <c r="F179" s="1205">
        <f>SUM(F156:F178)</f>
        <v>1.3021644207386709</v>
      </c>
      <c r="G179" s="85"/>
      <c r="H179" s="85"/>
      <c r="I179" s="89"/>
      <c r="J179" s="1210"/>
      <c r="K179" s="754"/>
      <c r="L179" s="79"/>
      <c r="M179" s="79"/>
      <c r="N179" s="79"/>
      <c r="O179" s="79"/>
      <c r="P179" s="1210"/>
      <c r="Q179" s="1038"/>
      <c r="R179" s="79"/>
      <c r="S179" s="79"/>
      <c r="T179" s="866"/>
      <c r="U179" s="484"/>
      <c r="V179" s="79"/>
      <c r="W179" s="877"/>
      <c r="X179" s="79"/>
    </row>
    <row r="180" spans="1:24" s="518" customFormat="1" x14ac:dyDescent="0.25">
      <c r="A180" s="79"/>
      <c r="B180" s="79"/>
      <c r="C180" s="79"/>
      <c r="D180" s="79"/>
      <c r="E180" s="85"/>
      <c r="J180" s="1038"/>
      <c r="K180" s="1225"/>
      <c r="Q180" s="1038"/>
      <c r="R180" s="484"/>
      <c r="S180" s="79"/>
      <c r="T180" s="877"/>
      <c r="U180" s="79"/>
    </row>
    <row r="181" spans="1:24" s="518" customFormat="1" x14ac:dyDescent="0.25">
      <c r="A181" s="79"/>
      <c r="B181" s="1124" t="s">
        <v>6376</v>
      </c>
      <c r="C181" s="2125"/>
      <c r="D181" s="2219">
        <f>SUMIF($E$7:$E$151,"crédito",$G$7:$G$151)</f>
        <v>5718.87</v>
      </c>
      <c r="E181" s="85"/>
      <c r="F181" s="89"/>
      <c r="G181" s="79"/>
      <c r="H181" s="79"/>
      <c r="I181" s="79"/>
      <c r="J181" s="1038"/>
      <c r="K181" s="1225"/>
      <c r="L181" s="769"/>
      <c r="M181" s="866"/>
      <c r="N181" s="769"/>
      <c r="O181" s="866"/>
      <c r="P181" s="1210"/>
      <c r="Q181" s="1038"/>
      <c r="R181" s="484"/>
      <c r="S181" s="79"/>
      <c r="T181" s="877"/>
      <c r="U181" s="79"/>
    </row>
    <row r="182" spans="1:24" s="518" customFormat="1" x14ac:dyDescent="0.25">
      <c r="A182" s="79"/>
      <c r="B182" s="518" t="s">
        <v>6496</v>
      </c>
      <c r="C182" s="459"/>
      <c r="D182" s="2218">
        <f>SUM(D156:D172)-D165</f>
        <v>4883.4266666666654</v>
      </c>
      <c r="E182" s="85"/>
      <c r="F182" s="89"/>
      <c r="G182" s="79"/>
      <c r="H182" s="79"/>
      <c r="I182" s="216"/>
      <c r="J182" s="864"/>
      <c r="K182" s="877"/>
      <c r="L182" s="769"/>
      <c r="M182" s="866"/>
      <c r="N182" s="769"/>
      <c r="O182" s="866"/>
      <c r="P182" s="1210"/>
      <c r="Q182" s="1038"/>
      <c r="R182" s="484"/>
      <c r="S182" s="79"/>
      <c r="T182" s="877"/>
      <c r="U182" s="79"/>
    </row>
    <row r="183" spans="1:24" s="518" customFormat="1" x14ac:dyDescent="0.25">
      <c r="A183" s="79"/>
      <c r="B183" s="81" t="s">
        <v>6497</v>
      </c>
      <c r="C183" s="81"/>
      <c r="D183" s="1014">
        <f>D181-D182</f>
        <v>835.44333333333452</v>
      </c>
      <c r="E183" s="79"/>
      <c r="F183" s="79"/>
      <c r="G183" s="79"/>
      <c r="H183" s="79"/>
      <c r="J183" s="1038"/>
      <c r="K183" s="877"/>
      <c r="M183" s="866"/>
      <c r="O183" s="866"/>
      <c r="P183" s="1210"/>
      <c r="Q183" s="1038"/>
      <c r="R183" s="484"/>
      <c r="S183" s="79"/>
      <c r="T183" s="877"/>
      <c r="U183" s="79"/>
    </row>
    <row r="184" spans="1:24" s="518" customFormat="1" x14ac:dyDescent="0.25">
      <c r="A184" s="79"/>
      <c r="B184" s="79"/>
      <c r="C184" s="79"/>
      <c r="D184" s="79"/>
      <c r="E184" s="79"/>
      <c r="F184" s="79"/>
      <c r="G184" s="79"/>
      <c r="H184" s="79"/>
      <c r="I184" s="216"/>
      <c r="J184" s="1038"/>
      <c r="K184" s="877"/>
      <c r="L184" s="769"/>
      <c r="M184" s="866"/>
      <c r="N184" s="769"/>
      <c r="O184" s="866"/>
      <c r="P184" s="1210"/>
      <c r="Q184" s="1038"/>
      <c r="R184" s="484"/>
      <c r="S184" s="79"/>
      <c r="T184" s="877"/>
      <c r="U184" s="79"/>
    </row>
    <row r="185" spans="1:24" s="518" customFormat="1" x14ac:dyDescent="0.25">
      <c r="A185" s="79"/>
      <c r="B185" s="79"/>
      <c r="C185" s="79"/>
      <c r="D185" s="79"/>
      <c r="E185" s="79"/>
      <c r="F185" s="79"/>
      <c r="G185" s="216"/>
      <c r="H185" s="79"/>
      <c r="I185" s="216"/>
      <c r="J185" s="1038"/>
      <c r="K185" s="877"/>
      <c r="L185" s="769"/>
      <c r="M185" s="868"/>
      <c r="N185" s="769"/>
      <c r="O185" s="868"/>
      <c r="P185" s="1210"/>
      <c r="Q185" s="1038"/>
      <c r="R185" s="484"/>
      <c r="S185" s="79"/>
      <c r="T185" s="877"/>
      <c r="U185" s="79"/>
    </row>
    <row r="186" spans="1:24" s="518" customFormat="1" x14ac:dyDescent="0.25">
      <c r="A186" s="79"/>
      <c r="B186" s="79"/>
      <c r="C186" s="79"/>
      <c r="D186" s="79"/>
      <c r="E186" s="79"/>
      <c r="F186" s="79"/>
      <c r="G186" s="216"/>
      <c r="H186" s="79"/>
      <c r="I186" s="216"/>
      <c r="J186" s="79"/>
      <c r="K186" s="877"/>
      <c r="L186" s="769"/>
      <c r="M186" s="866"/>
      <c r="N186" s="769"/>
      <c r="O186" s="866"/>
      <c r="P186" s="1210"/>
      <c r="Q186" s="1038"/>
      <c r="R186" s="484"/>
      <c r="S186" s="79"/>
      <c r="T186" s="877"/>
      <c r="U186" s="79"/>
    </row>
    <row r="187" spans="1:24" s="518" customFormat="1" x14ac:dyDescent="0.25">
      <c r="A187" s="79"/>
      <c r="B187" s="79"/>
      <c r="C187" s="79"/>
      <c r="D187" s="79"/>
      <c r="E187" s="79"/>
      <c r="F187" s="79"/>
      <c r="G187" s="216"/>
      <c r="H187" s="79"/>
      <c r="I187" s="79"/>
      <c r="J187" s="85"/>
      <c r="K187" s="877"/>
      <c r="L187" s="770"/>
      <c r="M187" s="866"/>
      <c r="N187" s="770"/>
      <c r="O187" s="866"/>
      <c r="P187" s="1210"/>
      <c r="Q187" s="1038"/>
      <c r="R187" s="484"/>
      <c r="S187" s="79"/>
      <c r="T187" s="877"/>
      <c r="U187" s="79"/>
    </row>
    <row r="188" spans="1:24" s="518" customFormat="1" x14ac:dyDescent="0.25">
      <c r="A188" s="79"/>
      <c r="B188" s="79"/>
      <c r="C188" s="79"/>
      <c r="D188" s="79"/>
      <c r="E188" s="79"/>
      <c r="F188" s="79"/>
      <c r="G188" s="79"/>
      <c r="H188" s="79"/>
      <c r="I188" s="216"/>
      <c r="J188" s="1038"/>
      <c r="K188" s="877"/>
      <c r="L188" s="769"/>
      <c r="M188" s="868"/>
      <c r="N188" s="769"/>
      <c r="O188" s="868"/>
      <c r="P188" s="1210"/>
      <c r="Q188" s="1038"/>
      <c r="R188" s="484"/>
      <c r="S188" s="79"/>
      <c r="T188" s="877"/>
      <c r="U188" s="79"/>
    </row>
    <row r="189" spans="1:24" s="518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85"/>
      <c r="K189" s="877"/>
      <c r="L189" s="769"/>
      <c r="M189" s="866"/>
      <c r="N189" s="769"/>
      <c r="O189" s="866"/>
      <c r="P189" s="1210"/>
      <c r="Q189" s="1038"/>
      <c r="R189" s="484"/>
      <c r="S189" s="79"/>
      <c r="T189" s="877"/>
      <c r="U189" s="79"/>
    </row>
    <row r="190" spans="1:24" s="518" customFormat="1" x14ac:dyDescent="0.25">
      <c r="A190" s="79"/>
      <c r="B190" s="79"/>
      <c r="C190" s="79"/>
      <c r="D190" s="79"/>
      <c r="E190" s="79"/>
      <c r="F190" s="79"/>
      <c r="G190" s="79"/>
      <c r="H190" s="79"/>
      <c r="I190" s="629"/>
      <c r="J190" s="769"/>
      <c r="K190" s="1225"/>
      <c r="L190" s="769"/>
      <c r="M190" s="866"/>
      <c r="N190" s="769"/>
      <c r="O190" s="866"/>
      <c r="P190" s="1210"/>
      <c r="Q190" s="1038"/>
      <c r="R190" s="484"/>
      <c r="S190" s="79"/>
      <c r="T190" s="877"/>
      <c r="U190" s="79"/>
    </row>
    <row r="191" spans="1:24" s="518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9"/>
      <c r="K191" s="79"/>
      <c r="L191" s="769"/>
      <c r="M191" s="866"/>
      <c r="N191" s="769"/>
      <c r="O191" s="866"/>
      <c r="P191" s="1210"/>
      <c r="Q191" s="1038"/>
      <c r="R191" s="484"/>
      <c r="S191" s="79"/>
      <c r="T191" s="877"/>
      <c r="U191" s="79"/>
    </row>
    <row r="192" spans="1:24" s="518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9"/>
      <c r="K192" s="79"/>
      <c r="L192" s="769"/>
      <c r="M192" s="866"/>
      <c r="N192" s="769"/>
      <c r="O192" s="866"/>
      <c r="P192" s="1210"/>
      <c r="Q192" s="1038"/>
      <c r="R192" s="484"/>
      <c r="S192" s="79"/>
      <c r="T192" s="877"/>
      <c r="U192" s="79"/>
    </row>
    <row r="193" spans="1:21" s="518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69"/>
      <c r="K193" s="868"/>
      <c r="L193" s="769"/>
      <c r="M193" s="866"/>
      <c r="N193" s="769"/>
      <c r="O193" s="866"/>
      <c r="P193" s="1210"/>
      <c r="Q193" s="1038"/>
      <c r="R193" s="484"/>
      <c r="S193" s="79"/>
      <c r="T193" s="877"/>
      <c r="U193" s="79"/>
    </row>
    <row r="194" spans="1:21" s="518" customFormat="1" x14ac:dyDescent="0.25">
      <c r="A194" s="79"/>
      <c r="B194" s="79"/>
      <c r="C194" s="85"/>
      <c r="D194" s="85"/>
      <c r="E194" s="85"/>
      <c r="F194" s="89"/>
      <c r="G194" s="79"/>
      <c r="H194" s="79"/>
      <c r="I194" s="79"/>
      <c r="J194" s="769"/>
      <c r="K194" s="868"/>
      <c r="L194" s="769"/>
      <c r="M194" s="866"/>
      <c r="N194" s="769"/>
      <c r="O194" s="866"/>
      <c r="P194" s="1210"/>
      <c r="Q194" s="1038"/>
      <c r="R194" s="484"/>
      <c r="S194" s="79"/>
      <c r="T194" s="877"/>
      <c r="U194" s="79"/>
    </row>
    <row r="195" spans="1:21" s="518" customFormat="1" x14ac:dyDescent="0.25">
      <c r="A195" s="79"/>
      <c r="B195" s="79"/>
      <c r="C195" s="85"/>
      <c r="D195" s="85"/>
      <c r="E195" s="85"/>
      <c r="F195" s="89"/>
      <c r="G195" s="79"/>
      <c r="H195" s="79"/>
      <c r="I195" s="79"/>
      <c r="J195" s="769"/>
      <c r="K195" s="79"/>
      <c r="L195" s="769"/>
      <c r="M195" s="866"/>
      <c r="N195" s="769"/>
      <c r="O195" s="866"/>
      <c r="P195" s="1210"/>
      <c r="Q195" s="1038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79"/>
      <c r="K196" s="79"/>
      <c r="L196" s="769"/>
      <c r="M196" s="866"/>
      <c r="N196" s="769"/>
      <c r="O196" s="866"/>
      <c r="P196" s="1210"/>
      <c r="Q196" s="103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216"/>
      <c r="J197" s="79"/>
      <c r="K197" s="79"/>
      <c r="L197" s="769"/>
      <c r="M197" s="866"/>
      <c r="N197" s="769"/>
      <c r="O197" s="866"/>
      <c r="P197" s="1210"/>
      <c r="Q197" s="103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216"/>
      <c r="J198" s="1517"/>
      <c r="K198" s="79"/>
      <c r="L198" s="769"/>
      <c r="M198" s="866"/>
      <c r="N198" s="769"/>
      <c r="O198" s="866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79"/>
      <c r="H199" s="79"/>
      <c r="I199" s="216"/>
      <c r="J199" s="79"/>
      <c r="K199" s="868"/>
      <c r="L199" s="769"/>
      <c r="M199" s="866"/>
      <c r="N199" s="769"/>
      <c r="O199" s="866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216"/>
      <c r="J200" s="89"/>
      <c r="K200" s="79"/>
      <c r="L200" s="769"/>
      <c r="M200" s="868"/>
      <c r="N200" s="769"/>
      <c r="O200" s="868"/>
      <c r="P200" s="79"/>
      <c r="Q200" s="79"/>
      <c r="R200" s="484"/>
      <c r="S200" s="79"/>
      <c r="T200" s="877"/>
      <c r="U200" s="79"/>
    </row>
    <row r="201" spans="1:21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216"/>
      <c r="J201" s="79"/>
      <c r="K201" s="79"/>
      <c r="L201" s="769"/>
      <c r="M201" s="868"/>
      <c r="N201" s="769"/>
      <c r="O201" s="868"/>
      <c r="P201" s="81"/>
      <c r="Q201" s="755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216"/>
      <c r="L202" s="769"/>
      <c r="M202" s="868"/>
      <c r="N202" s="769"/>
      <c r="O202" s="868"/>
      <c r="P202" s="868"/>
      <c r="Q202" s="79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216"/>
      <c r="J203" s="769"/>
      <c r="K203" s="866"/>
      <c r="L203" s="769"/>
      <c r="M203" s="868"/>
      <c r="N203" s="769"/>
      <c r="O203" s="868"/>
      <c r="P203" s="754"/>
      <c r="Q203" s="886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216"/>
      <c r="J204" s="769"/>
      <c r="K204" s="866"/>
      <c r="L204" s="769"/>
      <c r="M204" s="868"/>
      <c r="N204" s="769"/>
      <c r="O204" s="868"/>
      <c r="P204" s="864"/>
      <c r="Q204" s="864"/>
      <c r="R204" s="484"/>
      <c r="S204" s="79"/>
      <c r="T204" s="877"/>
      <c r="U204" s="79"/>
    </row>
    <row r="205" spans="1:21" s="518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K205" s="866"/>
      <c r="L205" s="769"/>
      <c r="M205" s="866"/>
      <c r="N205" s="769"/>
      <c r="O205" s="866"/>
      <c r="P205" s="864"/>
      <c r="Q205" s="1032"/>
      <c r="R205" s="484"/>
      <c r="S205" s="79"/>
      <c r="T205" s="877"/>
      <c r="U205" s="79"/>
    </row>
    <row r="206" spans="1:21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769"/>
      <c r="K206" s="866"/>
      <c r="L206" s="769"/>
      <c r="M206" s="866"/>
      <c r="N206" s="769"/>
      <c r="O206" s="866"/>
      <c r="P206" s="864"/>
      <c r="Q206" s="1032"/>
      <c r="R206" s="484"/>
      <c r="S206" s="79"/>
      <c r="T206" s="877"/>
      <c r="U206" s="79"/>
    </row>
    <row r="207" spans="1:21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69"/>
      <c r="K207" s="868"/>
      <c r="L207" s="769"/>
      <c r="M207" s="868"/>
      <c r="N207" s="769"/>
      <c r="O207" s="868"/>
      <c r="P207" s="85"/>
      <c r="Q207" s="795"/>
      <c r="R207" s="484"/>
      <c r="S207" s="79"/>
      <c r="T207" s="877"/>
      <c r="U207" s="79"/>
    </row>
    <row r="208" spans="1:21" s="518" customFormat="1" x14ac:dyDescent="0.25">
      <c r="A208" s="79"/>
      <c r="B208" s="79"/>
      <c r="C208" s="85"/>
      <c r="D208" s="85"/>
      <c r="E208" s="85"/>
      <c r="F208" s="89"/>
      <c r="G208" s="79"/>
      <c r="H208" s="79"/>
      <c r="I208" s="79"/>
      <c r="J208" s="769"/>
      <c r="K208" s="866"/>
      <c r="L208" s="769"/>
      <c r="M208" s="866"/>
      <c r="N208" s="769"/>
      <c r="O208" s="866"/>
      <c r="P208" s="85"/>
      <c r="Q208" s="177"/>
      <c r="R208" s="484"/>
      <c r="S208" s="79"/>
      <c r="T208" s="877"/>
      <c r="U208" s="79"/>
    </row>
    <row r="209" spans="1:21" s="518" customFormat="1" x14ac:dyDescent="0.25">
      <c r="A209" s="79"/>
      <c r="B209" s="79"/>
      <c r="C209" s="85"/>
      <c r="D209" s="85"/>
      <c r="E209" s="85"/>
      <c r="F209" s="89"/>
      <c r="G209" s="79"/>
      <c r="H209" s="79"/>
      <c r="I209" s="79"/>
      <c r="J209" s="770"/>
      <c r="K209" s="866"/>
      <c r="L209" s="769"/>
      <c r="M209" s="866"/>
      <c r="N209" s="769"/>
      <c r="O209" s="866"/>
      <c r="P209" s="85"/>
      <c r="Q209" s="177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79"/>
      <c r="J210" s="769"/>
      <c r="K210" s="868"/>
      <c r="L210" s="769"/>
      <c r="M210" s="868"/>
      <c r="N210" s="769"/>
      <c r="O210" s="868"/>
      <c r="P210" s="85"/>
      <c r="Q210" s="177" t="s">
        <v>280</v>
      </c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79"/>
      <c r="J211" s="769"/>
      <c r="K211" s="866"/>
      <c r="L211" s="769"/>
      <c r="M211" s="868"/>
      <c r="N211" s="769"/>
      <c r="O211" s="868"/>
      <c r="P211" s="85"/>
      <c r="Q211" s="177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79"/>
      <c r="J212" s="769"/>
      <c r="K212" s="866"/>
      <c r="L212" s="769"/>
      <c r="M212" s="868"/>
      <c r="N212" s="769"/>
      <c r="O212" s="868"/>
      <c r="P212" s="85"/>
      <c r="Q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79"/>
      <c r="J213" s="769"/>
      <c r="K213" s="866"/>
      <c r="L213" s="769"/>
      <c r="M213" s="868"/>
      <c r="N213" s="769"/>
      <c r="O213" s="868"/>
      <c r="P213" s="769"/>
      <c r="Q213" s="21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79"/>
      <c r="J214" s="769"/>
      <c r="K214" s="866"/>
      <c r="L214" s="769"/>
      <c r="M214" s="866"/>
      <c r="N214" s="769"/>
      <c r="O214" s="866"/>
      <c r="P214" s="79"/>
      <c r="Q214" s="216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79"/>
      <c r="J215" s="769"/>
      <c r="K215" s="866"/>
      <c r="L215" s="223"/>
      <c r="M215" s="629"/>
      <c r="N215" s="223"/>
      <c r="O215" s="629"/>
      <c r="P215" s="769"/>
      <c r="Q215" s="86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79"/>
      <c r="J216" s="769"/>
      <c r="K216" s="866"/>
      <c r="L216" s="756"/>
      <c r="M216" s="756"/>
      <c r="N216" s="756"/>
      <c r="O216" s="756"/>
      <c r="P216" s="769"/>
      <c r="Q216" s="868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6"/>
      <c r="L217" s="79"/>
      <c r="M217" s="79"/>
      <c r="N217" s="79"/>
      <c r="O217" s="79"/>
      <c r="P217" s="769"/>
      <c r="Q217" s="868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6"/>
      <c r="L218" s="79"/>
      <c r="M218" s="79"/>
      <c r="N218" s="79"/>
      <c r="O218" s="79"/>
      <c r="P218" s="769"/>
      <c r="Q218" s="79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6"/>
      <c r="L219" s="79"/>
      <c r="M219" s="79"/>
      <c r="N219" s="79"/>
      <c r="O219" s="79"/>
      <c r="P219" s="79"/>
      <c r="Q219" s="79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79"/>
      <c r="M220" s="79"/>
      <c r="N220" s="79"/>
      <c r="O220" s="79"/>
      <c r="P220" s="79"/>
      <c r="Q220" s="79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6"/>
      <c r="L221" s="85"/>
      <c r="M221" s="85"/>
      <c r="N221" s="85"/>
      <c r="O221" s="85"/>
      <c r="P221" s="1517"/>
      <c r="Q221" s="79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8"/>
      <c r="L222" s="79"/>
      <c r="M222" s="79"/>
      <c r="N222" s="79"/>
      <c r="O222" s="79"/>
      <c r="P222" s="7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8"/>
      <c r="L223" s="79"/>
      <c r="M223" s="79"/>
      <c r="N223" s="79"/>
      <c r="O223" s="79"/>
      <c r="P223" s="89"/>
      <c r="Q223" s="79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9"/>
      <c r="M224" s="79"/>
      <c r="N224" s="79"/>
      <c r="O224" s="79"/>
      <c r="P224" s="79"/>
      <c r="Q224" s="79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8"/>
      <c r="L225" s="79"/>
      <c r="M225" s="79"/>
      <c r="N225" s="79"/>
      <c r="O225" s="79"/>
      <c r="P225" s="769"/>
      <c r="Q225" s="86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8"/>
      <c r="L226" s="79"/>
      <c r="M226" s="79"/>
      <c r="N226" s="79"/>
      <c r="O226" s="79"/>
      <c r="P226" s="769"/>
      <c r="Q226" s="86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79"/>
      <c r="M227" s="79"/>
      <c r="N227" s="79"/>
      <c r="O227" s="79"/>
      <c r="P227" s="769"/>
      <c r="Q227" s="86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85"/>
      <c r="M228" s="85"/>
      <c r="N228" s="85"/>
      <c r="O228" s="85"/>
      <c r="Q228" s="86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8"/>
      <c r="L229" s="79"/>
      <c r="M229" s="79"/>
      <c r="N229" s="79"/>
      <c r="O229" s="79"/>
      <c r="P229" s="769"/>
      <c r="Q229" s="866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9"/>
      <c r="M230" s="79"/>
      <c r="N230" s="79"/>
      <c r="O230" s="79"/>
      <c r="P230" s="769"/>
      <c r="Q230" s="86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69"/>
      <c r="Q231" s="86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8"/>
      <c r="L232" s="79"/>
      <c r="M232" s="79"/>
      <c r="N232" s="79"/>
      <c r="O232" s="79"/>
      <c r="P232" s="770"/>
      <c r="Q232" s="866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8"/>
      <c r="L233" s="79"/>
      <c r="M233" s="79"/>
      <c r="N233" s="79"/>
      <c r="O233" s="79"/>
      <c r="P233" s="769"/>
      <c r="Q233" s="868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8"/>
      <c r="L234" s="79"/>
      <c r="M234" s="79"/>
      <c r="N234" s="79"/>
      <c r="O234" s="79"/>
      <c r="P234" s="769"/>
      <c r="Q234" s="866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8"/>
      <c r="L235" s="771"/>
      <c r="N235" s="771"/>
      <c r="P235" s="769"/>
      <c r="Q235" s="866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9"/>
      <c r="M236" s="79"/>
      <c r="N236" s="79"/>
      <c r="O236" s="79"/>
      <c r="P236" s="769"/>
      <c r="Q236" s="866"/>
      <c r="R236" s="484"/>
      <c r="S236" s="79"/>
      <c r="T236" s="877"/>
      <c r="U236" s="79"/>
    </row>
    <row r="237" spans="1:21" x14ac:dyDescent="0.25">
      <c r="J237" s="223"/>
      <c r="K237" s="629"/>
      <c r="P237" s="769"/>
      <c r="Q237" s="866"/>
    </row>
    <row r="238" spans="1:21" x14ac:dyDescent="0.25">
      <c r="J238" s="756"/>
      <c r="K238" s="756"/>
      <c r="P238" s="769"/>
      <c r="Q238" s="866"/>
    </row>
    <row r="239" spans="1:21" x14ac:dyDescent="0.25">
      <c r="P239" s="769"/>
      <c r="Q239" s="866"/>
    </row>
    <row r="240" spans="1:21" x14ac:dyDescent="0.25">
      <c r="P240" s="769"/>
      <c r="Q240" s="866"/>
    </row>
    <row r="241" spans="1:21" x14ac:dyDescent="0.25">
      <c r="P241" s="769"/>
      <c r="Q241" s="866"/>
    </row>
    <row r="242" spans="1:21" x14ac:dyDescent="0.25">
      <c r="P242" s="769"/>
      <c r="Q242" s="866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85"/>
      <c r="K243" s="85"/>
      <c r="L243" s="79"/>
      <c r="M243" s="216"/>
      <c r="N243" s="79"/>
      <c r="O243" s="216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216"/>
      <c r="N244" s="79"/>
      <c r="O244" s="216"/>
      <c r="P244" s="769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216"/>
      <c r="N245" s="79"/>
      <c r="O245" s="216"/>
      <c r="P245" s="769"/>
      <c r="Q245" s="868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216"/>
      <c r="N246" s="79"/>
      <c r="O246" s="216"/>
      <c r="P246" s="769"/>
      <c r="Q246" s="868"/>
      <c r="R246" s="484"/>
      <c r="S246" s="79"/>
      <c r="T246" s="877"/>
      <c r="U246" s="79"/>
    </row>
    <row r="247" spans="1:21" x14ac:dyDescent="0.25">
      <c r="P247" s="769"/>
      <c r="Q247" s="868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216"/>
      <c r="N248" s="79"/>
      <c r="O248" s="216"/>
      <c r="P248" s="769"/>
      <c r="Q248" s="868"/>
      <c r="R248" s="484"/>
      <c r="S248" s="79"/>
      <c r="T248" s="877"/>
      <c r="U248" s="79"/>
    </row>
    <row r="249" spans="1:21" x14ac:dyDescent="0.25">
      <c r="P249" s="769"/>
      <c r="Q249" s="868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85"/>
      <c r="K250" s="85"/>
      <c r="L250" s="79"/>
      <c r="M250" s="629"/>
      <c r="N250" s="79"/>
      <c r="O250" s="629"/>
      <c r="P250" s="769"/>
      <c r="Q250" s="866"/>
      <c r="R250" s="484"/>
      <c r="S250" s="79"/>
      <c r="T250" s="877"/>
      <c r="U250" s="79"/>
    </row>
    <row r="251" spans="1:21" x14ac:dyDescent="0.25">
      <c r="P251" s="769"/>
      <c r="Q251" s="866"/>
    </row>
    <row r="252" spans="1:21" x14ac:dyDescent="0.25">
      <c r="P252" s="769"/>
      <c r="Q252" s="868"/>
    </row>
    <row r="253" spans="1:21" x14ac:dyDescent="0.25">
      <c r="P253" s="769"/>
      <c r="Q253" s="866"/>
    </row>
    <row r="254" spans="1:21" x14ac:dyDescent="0.25">
      <c r="P254" s="769"/>
      <c r="Q254" s="866"/>
    </row>
    <row r="255" spans="1:21" x14ac:dyDescent="0.25">
      <c r="P255" s="769"/>
      <c r="Q255" s="868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69"/>
      <c r="Q256" s="868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71"/>
      <c r="L257" s="79"/>
      <c r="M257" s="216"/>
      <c r="N257" s="79"/>
      <c r="O257" s="216"/>
      <c r="P257" s="769"/>
      <c r="Q257" s="868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69"/>
      <c r="Q258" s="868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216"/>
      <c r="N259" s="79"/>
      <c r="O259" s="216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216"/>
      <c r="N260" s="79"/>
      <c r="O260" s="216"/>
      <c r="P260" s="223"/>
      <c r="Q260" s="629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216"/>
      <c r="N261" s="79"/>
      <c r="O261" s="216"/>
      <c r="P261" s="756"/>
      <c r="Q261" s="75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216"/>
      <c r="N262" s="79"/>
      <c r="O262" s="216"/>
      <c r="P262" s="79"/>
      <c r="Q262" s="79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216"/>
      <c r="N263" s="79"/>
      <c r="O263" s="216"/>
      <c r="P263" s="79"/>
      <c r="Q263" s="79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216"/>
      <c r="N264" s="79"/>
      <c r="O264" s="216"/>
      <c r="P264" s="79"/>
      <c r="Q264" s="79"/>
      <c r="R264" s="484"/>
      <c r="S264" s="79"/>
      <c r="T264" s="877"/>
      <c r="U264" s="79"/>
    </row>
    <row r="265" spans="1:21" x14ac:dyDescent="0.25">
      <c r="K265" s="216"/>
    </row>
    <row r="266" spans="1:21" x14ac:dyDescent="0.25">
      <c r="K266" s="216"/>
      <c r="P266" s="85"/>
      <c r="Q266" s="85"/>
    </row>
    <row r="267" spans="1:21" x14ac:dyDescent="0.25">
      <c r="K267" s="216"/>
    </row>
    <row r="268" spans="1:21" x14ac:dyDescent="0.25">
      <c r="K268" s="216"/>
    </row>
    <row r="270" spans="1:21" x14ac:dyDescent="0.25">
      <c r="K270" s="216"/>
    </row>
    <row r="272" spans="1:21" x14ac:dyDescent="0.25">
      <c r="K272" s="629"/>
    </row>
    <row r="273" spans="1:42" x14ac:dyDescent="0.25">
      <c r="P273" s="85"/>
      <c r="Q273" s="85"/>
    </row>
    <row r="277" spans="1:42" s="484" customFormat="1" x14ac:dyDescent="0.25">
      <c r="A277" s="79"/>
      <c r="B277" s="79"/>
      <c r="C277" s="85"/>
      <c r="D277" s="85"/>
      <c r="E277" s="85"/>
      <c r="F277" s="8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S277" s="79"/>
      <c r="T277" s="877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</row>
    <row r="278" spans="1:42" s="484" customFormat="1" x14ac:dyDescent="0.25">
      <c r="A278" s="79"/>
      <c r="B278" s="79"/>
      <c r="C278" s="85"/>
      <c r="D278" s="85"/>
      <c r="E278" s="85"/>
      <c r="F278" s="89"/>
      <c r="G278" s="79"/>
      <c r="H278" s="79"/>
      <c r="I278" s="79"/>
      <c r="J278" s="79"/>
      <c r="K278" s="216"/>
      <c r="L278" s="79"/>
      <c r="M278" s="79"/>
      <c r="N278" s="79"/>
      <c r="O278" s="79"/>
      <c r="P278" s="79"/>
      <c r="Q278" s="79"/>
      <c r="S278" s="79"/>
      <c r="T278" s="877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</row>
    <row r="279" spans="1:42" s="484" customFormat="1" x14ac:dyDescent="0.25">
      <c r="A279" s="79"/>
      <c r="B279" s="79"/>
      <c r="C279" s="85"/>
      <c r="D279" s="85"/>
      <c r="E279" s="85"/>
      <c r="F279" s="89"/>
      <c r="G279" s="79"/>
      <c r="H279" s="79"/>
      <c r="I279" s="79"/>
      <c r="J279" s="79"/>
      <c r="K279" s="216"/>
      <c r="L279" s="79"/>
      <c r="M279" s="79"/>
      <c r="N279" s="79"/>
      <c r="O279" s="79"/>
      <c r="P279" s="79"/>
      <c r="Q279" s="79"/>
      <c r="S279" s="79"/>
      <c r="T279" s="877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</row>
    <row r="280" spans="1:42" s="484" customFormat="1" x14ac:dyDescent="0.25">
      <c r="A280" s="79"/>
      <c r="B280" s="79"/>
      <c r="C280" s="85"/>
      <c r="D280" s="85"/>
      <c r="E280" s="85"/>
      <c r="F280" s="89"/>
      <c r="G280" s="79"/>
      <c r="H280" s="79"/>
      <c r="I280" s="79"/>
      <c r="J280" s="79"/>
      <c r="K280" s="216"/>
      <c r="L280" s="79"/>
      <c r="M280" s="79"/>
      <c r="N280" s="79"/>
      <c r="O280" s="79"/>
      <c r="P280" s="771"/>
      <c r="Q280" s="518"/>
      <c r="S280" s="79"/>
      <c r="T280" s="877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</row>
    <row r="281" spans="1:42" s="484" customFormat="1" x14ac:dyDescent="0.25">
      <c r="A281" s="79"/>
      <c r="B281" s="79"/>
      <c r="C281" s="85"/>
      <c r="D281" s="85"/>
      <c r="E281" s="85"/>
      <c r="F281" s="89"/>
      <c r="G281" s="79"/>
      <c r="H281" s="79"/>
      <c r="I281" s="79"/>
      <c r="J281" s="79"/>
      <c r="K281" s="216"/>
      <c r="L281" s="79"/>
      <c r="M281" s="79"/>
      <c r="N281" s="79"/>
      <c r="O281" s="79"/>
      <c r="P281" s="79"/>
      <c r="Q281" s="79"/>
      <c r="S281" s="79"/>
      <c r="T281" s="877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</row>
    <row r="282" spans="1:42" x14ac:dyDescent="0.25">
      <c r="K282" s="216"/>
    </row>
    <row r="283" spans="1:42" x14ac:dyDescent="0.25">
      <c r="K283" s="216"/>
    </row>
    <row r="284" spans="1:42" x14ac:dyDescent="0.25">
      <c r="K284" s="216"/>
    </row>
    <row r="285" spans="1:42" x14ac:dyDescent="0.25">
      <c r="K285" s="216"/>
    </row>
    <row r="286" spans="1:42" x14ac:dyDescent="0.25">
      <c r="K286" s="216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216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216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216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216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  <row r="293" spans="1:42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216"/>
      <c r="S293" s="79"/>
      <c r="T293" s="877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629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301" spans="1:42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216"/>
      <c r="S301" s="79"/>
      <c r="T301" s="877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216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216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216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216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216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216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216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216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</sheetData>
  <autoFilter ref="A2:I174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177:D177"/>
    <mergeCell ref="L2:M3"/>
    <mergeCell ref="N2:O3"/>
    <mergeCell ref="P2:Q3"/>
    <mergeCell ref="A152:E152"/>
    <mergeCell ref="A153:E153"/>
    <mergeCell ref="C176:D176"/>
  </mergeCells>
  <phoneticPr fontId="43" type="noConversion"/>
  <conditionalFormatting sqref="D156:D172">
    <cfRule type="dataBar" priority="1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{7D8A853F-88F7-4434-B92E-002C028CBFF9}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8A853F-88F7-4434-B92E-002C028CBFF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D156:D172</xm:sqref>
        </x14:conditionalFormatting>
      </x14:conditionalFormattings>
    </ext>
  </extLst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BEA0B-E69B-41A4-AA8B-F3DA7ABB4709}">
  <sheetPr filterMode="1"/>
  <dimension ref="A1:AP344"/>
  <sheetViews>
    <sheetView zoomScale="85" zoomScaleNormal="85" workbookViewId="0">
      <pane ySplit="5" topLeftCell="A6" activePane="bottomLeft" state="frozen"/>
      <selection pane="bottomLeft" activeCell="F64" sqref="F6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7376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hidden="1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hidden="1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hidden="1" x14ac:dyDescent="0.25">
      <c r="A5" s="281">
        <v>45717</v>
      </c>
      <c r="B5" s="369" t="s">
        <v>10</v>
      </c>
      <c r="C5" s="370"/>
      <c r="D5" s="370"/>
      <c r="E5" s="777"/>
      <c r="F5" s="179"/>
      <c r="G5" s="933">
        <f>'Fevereiro-25'!G153</f>
        <v>815.15158333337968</v>
      </c>
      <c r="H5" s="163"/>
      <c r="I5" s="1479">
        <f>'Fevereiro-25'!I153</f>
        <v>-4.0000000010422809E-3</v>
      </c>
      <c r="J5" s="179"/>
      <c r="K5" s="933">
        <f>'Fevereiro-25'!K153</f>
        <v>15426.260000000009</v>
      </c>
      <c r="L5" s="179"/>
      <c r="M5" s="933">
        <f>'Fevereiro-25'!M153</f>
        <v>1804.09</v>
      </c>
      <c r="N5" s="179"/>
      <c r="O5" s="1479">
        <f>'Fevereiro-25'!O153</f>
        <v>10291.530000000002</v>
      </c>
      <c r="P5" s="179"/>
      <c r="Q5" s="933">
        <f>'Fevereiro-25'!Q153</f>
        <v>31180.385984720007</v>
      </c>
    </row>
    <row r="6" spans="1:42" s="224" customFormat="1" hidden="1" x14ac:dyDescent="0.25">
      <c r="A6" s="247">
        <v>45717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hidden="1" customHeight="1" x14ac:dyDescent="0.25">
      <c r="A7" s="247">
        <v>45717</v>
      </c>
      <c r="B7" s="882" t="s">
        <v>14</v>
      </c>
      <c r="C7" s="879" t="s">
        <v>12</v>
      </c>
      <c r="D7" s="879" t="s">
        <v>1486</v>
      </c>
      <c r="E7" s="871" t="s">
        <v>13</v>
      </c>
      <c r="F7" s="780">
        <v>6.01</v>
      </c>
      <c r="G7" s="967"/>
      <c r="H7" s="1008"/>
      <c r="I7" s="1063"/>
      <c r="J7" s="613"/>
      <c r="K7" s="6"/>
      <c r="L7" s="622"/>
      <c r="M7" s="982"/>
      <c r="N7" s="622"/>
      <c r="O7" s="1063"/>
      <c r="P7" s="613"/>
      <c r="Q7" s="64"/>
      <c r="R7" s="10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hidden="1" customHeight="1" x14ac:dyDescent="0.25">
      <c r="A8" s="247">
        <v>45717</v>
      </c>
      <c r="B8" s="1275" t="s">
        <v>2629</v>
      </c>
      <c r="C8" s="1276" t="s">
        <v>12</v>
      </c>
      <c r="D8" s="1276" t="s">
        <v>1489</v>
      </c>
      <c r="E8" s="1286" t="s">
        <v>13</v>
      </c>
      <c r="F8" s="613">
        <v>139.61000000000001</v>
      </c>
      <c r="G8" s="967"/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hidden="1" customHeight="1" x14ac:dyDescent="0.25">
      <c r="A9" s="247">
        <v>45717</v>
      </c>
      <c r="B9" s="1275" t="s">
        <v>32</v>
      </c>
      <c r="C9" s="1276" t="s">
        <v>12</v>
      </c>
      <c r="D9" s="1276" t="s">
        <v>1485</v>
      </c>
      <c r="E9" s="1286" t="s">
        <v>13</v>
      </c>
      <c r="F9" s="613">
        <v>28</v>
      </c>
      <c r="G9" s="967"/>
      <c r="H9" s="1008"/>
      <c r="I9" s="1063"/>
      <c r="J9" s="613"/>
      <c r="K9" s="6"/>
      <c r="L9" s="622"/>
      <c r="M9" s="982"/>
      <c r="N9" s="622"/>
      <c r="O9" s="1063"/>
      <c r="P9" s="613"/>
      <c r="Q9" s="64"/>
      <c r="R9" s="10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hidden="1" customHeight="1" x14ac:dyDescent="0.25">
      <c r="A10" s="247">
        <v>45718</v>
      </c>
      <c r="B10" s="882" t="s">
        <v>14</v>
      </c>
      <c r="C10" s="879" t="s">
        <v>12</v>
      </c>
      <c r="D10" s="879" t="s">
        <v>1486</v>
      </c>
      <c r="E10" s="871" t="s">
        <v>13</v>
      </c>
      <c r="F10" s="780">
        <v>9.39</v>
      </c>
      <c r="G10" s="967"/>
      <c r="H10" s="1008"/>
      <c r="I10" s="1063"/>
      <c r="J10" s="613"/>
      <c r="K10" s="6"/>
      <c r="L10" s="622"/>
      <c r="M10" s="982"/>
      <c r="N10" s="622"/>
      <c r="O10" s="1063"/>
      <c r="P10" s="613"/>
      <c r="Q10" s="64"/>
      <c r="R10" s="10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hidden="1" customHeight="1" x14ac:dyDescent="0.25">
      <c r="A11" s="247">
        <v>45718</v>
      </c>
      <c r="B11" s="882" t="s">
        <v>7470</v>
      </c>
      <c r="C11" s="879" t="s">
        <v>12</v>
      </c>
      <c r="D11" s="879"/>
      <c r="E11" s="875"/>
      <c r="F11" s="780"/>
      <c r="G11" s="982">
        <v>370</v>
      </c>
      <c r="H11" s="622"/>
      <c r="I11" s="982"/>
      <c r="J11" s="622">
        <v>370</v>
      </c>
      <c r="K11" s="982"/>
      <c r="L11" s="853"/>
      <c r="M11" s="982"/>
      <c r="N11" s="622"/>
      <c r="O11" s="1063"/>
      <c r="P11" s="622"/>
      <c r="Q11" s="982"/>
      <c r="R11" s="927"/>
      <c r="S11" s="927"/>
      <c r="T11" s="878"/>
    </row>
    <row r="12" spans="1:42" s="224" customFormat="1" ht="15" customHeight="1" x14ac:dyDescent="0.25">
      <c r="A12" s="247">
        <v>45718</v>
      </c>
      <c r="B12" s="882" t="s">
        <v>7471</v>
      </c>
      <c r="C12" s="879" t="s">
        <v>12</v>
      </c>
      <c r="D12" s="879" t="s">
        <v>1524</v>
      </c>
      <c r="E12" s="875" t="s">
        <v>13</v>
      </c>
      <c r="F12" s="780">
        <v>370</v>
      </c>
      <c r="G12" s="982"/>
      <c r="H12" s="622"/>
      <c r="I12" s="982"/>
      <c r="J12" s="622"/>
      <c r="K12" s="982"/>
      <c r="L12" s="622"/>
      <c r="M12" s="982"/>
      <c r="N12" s="880"/>
      <c r="O12" s="1525"/>
      <c r="P12" s="613"/>
      <c r="Q12" s="162"/>
      <c r="R12" s="1956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hidden="1" customHeight="1" x14ac:dyDescent="0.25">
      <c r="A13" s="247">
        <v>45718</v>
      </c>
      <c r="B13" s="882" t="s">
        <v>82</v>
      </c>
      <c r="C13" s="879" t="s">
        <v>12</v>
      </c>
      <c r="D13" s="879" t="s">
        <v>1493</v>
      </c>
      <c r="E13" s="871" t="s">
        <v>13</v>
      </c>
      <c r="F13" s="780">
        <v>49.9</v>
      </c>
      <c r="G13" s="982"/>
      <c r="H13" s="1008"/>
      <c r="I13" s="1063"/>
      <c r="J13" s="622"/>
      <c r="K13" s="982"/>
      <c r="L13" s="622"/>
      <c r="M13" s="982"/>
      <c r="N13" s="622"/>
      <c r="O13" s="1063"/>
      <c r="P13" s="622"/>
      <c r="Q13" s="982"/>
      <c r="R13" s="861"/>
      <c r="T13" s="1035"/>
    </row>
    <row r="14" spans="1:42" s="224" customFormat="1" ht="15" hidden="1" customHeight="1" x14ac:dyDescent="0.25">
      <c r="A14" s="247">
        <v>45719</v>
      </c>
      <c r="B14" s="882" t="s">
        <v>14</v>
      </c>
      <c r="C14" s="879" t="s">
        <v>12</v>
      </c>
      <c r="D14" s="879" t="s">
        <v>1486</v>
      </c>
      <c r="E14" s="871" t="s">
        <v>13</v>
      </c>
      <c r="F14" s="780">
        <v>10.34</v>
      </c>
      <c r="G14" s="967"/>
      <c r="H14" s="1008"/>
      <c r="I14" s="1063"/>
      <c r="J14" s="613"/>
      <c r="K14" s="6"/>
      <c r="L14" s="622"/>
      <c r="M14" s="982"/>
      <c r="N14" s="622"/>
      <c r="O14" s="1063"/>
      <c r="P14" s="613"/>
      <c r="Q14" s="64"/>
      <c r="R14" s="102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hidden="1" customHeight="1" x14ac:dyDescent="0.25">
      <c r="A15" s="247">
        <v>45719</v>
      </c>
      <c r="B15" s="882" t="s">
        <v>7472</v>
      </c>
      <c r="C15" s="879" t="s">
        <v>12</v>
      </c>
      <c r="D15" s="879" t="s">
        <v>1523</v>
      </c>
      <c r="E15" s="871" t="s">
        <v>13</v>
      </c>
      <c r="F15" s="780">
        <v>81.87</v>
      </c>
      <c r="G15" s="982"/>
      <c r="H15" s="1008"/>
      <c r="I15" s="1063"/>
      <c r="J15" s="622"/>
      <c r="K15" s="982"/>
      <c r="L15" s="622"/>
      <c r="M15" s="982"/>
      <c r="N15" s="622"/>
      <c r="O15" s="1063"/>
      <c r="P15" s="622"/>
      <c r="Q15" s="982"/>
      <c r="R15" s="861"/>
      <c r="T15" s="1035"/>
    </row>
    <row r="16" spans="1:42" s="224" customFormat="1" ht="15" hidden="1" customHeight="1" x14ac:dyDescent="0.25">
      <c r="A16" s="247">
        <v>45720</v>
      </c>
      <c r="B16" s="882" t="s">
        <v>6329</v>
      </c>
      <c r="C16" s="879" t="s">
        <v>12</v>
      </c>
      <c r="D16" s="879"/>
      <c r="E16" s="875" t="s">
        <v>25</v>
      </c>
      <c r="F16" s="780"/>
      <c r="G16" s="982">
        <v>100</v>
      </c>
      <c r="H16" s="1008"/>
      <c r="I16" s="1063"/>
      <c r="J16" s="613"/>
      <c r="K16" s="982"/>
      <c r="L16" s="622"/>
      <c r="M16" s="982"/>
      <c r="N16" s="622"/>
      <c r="O16" s="1063"/>
      <c r="P16" s="622"/>
      <c r="Q16" s="982"/>
      <c r="R16" s="861"/>
    </row>
    <row r="17" spans="1:42" s="224" customFormat="1" ht="15" hidden="1" customHeight="1" x14ac:dyDescent="0.25">
      <c r="A17" s="247">
        <v>45720</v>
      </c>
      <c r="B17" s="882" t="s">
        <v>14</v>
      </c>
      <c r="C17" s="879" t="s">
        <v>12</v>
      </c>
      <c r="D17" s="879" t="s">
        <v>1486</v>
      </c>
      <c r="E17" s="871" t="s">
        <v>13</v>
      </c>
      <c r="F17" s="780">
        <v>7.2</v>
      </c>
      <c r="G17" s="967"/>
      <c r="H17" s="1008"/>
      <c r="I17" s="1063"/>
      <c r="J17" s="613"/>
      <c r="K17" s="6"/>
      <c r="L17" s="622"/>
      <c r="M17" s="982"/>
      <c r="N17" s="622"/>
      <c r="O17" s="1063"/>
      <c r="P17" s="613"/>
      <c r="Q17" s="64"/>
      <c r="R17" s="1024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hidden="1" customHeight="1" x14ac:dyDescent="0.25">
      <c r="A18" s="247">
        <v>45720</v>
      </c>
      <c r="B18" s="882" t="s">
        <v>7473</v>
      </c>
      <c r="C18" s="879" t="s">
        <v>12</v>
      </c>
      <c r="D18" s="879"/>
      <c r="E18" s="875"/>
      <c r="F18" s="780"/>
      <c r="G18" s="982">
        <v>408</v>
      </c>
      <c r="H18" s="622"/>
      <c r="I18" s="982"/>
      <c r="J18" s="622">
        <v>408</v>
      </c>
      <c r="K18" s="982"/>
      <c r="L18" s="853"/>
      <c r="M18" s="982"/>
      <c r="N18" s="622"/>
      <c r="O18" s="1063"/>
      <c r="P18" s="622"/>
      <c r="Q18" s="982"/>
      <c r="R18" s="927"/>
      <c r="S18" s="927"/>
      <c r="T18" s="878"/>
    </row>
    <row r="19" spans="1:42" s="224" customFormat="1" ht="15" customHeight="1" x14ac:dyDescent="0.25">
      <c r="A19" s="247">
        <v>45720</v>
      </c>
      <c r="B19" s="882" t="s">
        <v>7476</v>
      </c>
      <c r="C19" s="879" t="s">
        <v>12</v>
      </c>
      <c r="D19" s="879" t="s">
        <v>1524</v>
      </c>
      <c r="E19" s="875" t="s">
        <v>13</v>
      </c>
      <c r="F19" s="780">
        <v>408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hidden="1" customHeight="1" x14ac:dyDescent="0.25">
      <c r="A20" s="247">
        <v>45720</v>
      </c>
      <c r="B20" s="882" t="s">
        <v>7474</v>
      </c>
      <c r="C20" s="879" t="s">
        <v>12</v>
      </c>
      <c r="D20" s="879"/>
      <c r="E20" s="875"/>
      <c r="F20" s="780"/>
      <c r="G20" s="982">
        <v>50</v>
      </c>
      <c r="H20" s="622"/>
      <c r="I20" s="982"/>
      <c r="J20" s="622">
        <v>50</v>
      </c>
      <c r="K20" s="982"/>
      <c r="L20" s="853"/>
      <c r="M20" s="982"/>
      <c r="N20" s="622"/>
      <c r="O20" s="1063"/>
      <c r="P20" s="622"/>
      <c r="Q20" s="982"/>
      <c r="R20" s="927"/>
      <c r="S20" s="927"/>
      <c r="T20" s="878"/>
    </row>
    <row r="21" spans="1:42" s="224" customFormat="1" ht="15" customHeight="1" x14ac:dyDescent="0.25">
      <c r="A21" s="247">
        <v>45720</v>
      </c>
      <c r="B21" s="882" t="s">
        <v>7475</v>
      </c>
      <c r="C21" s="879" t="s">
        <v>12</v>
      </c>
      <c r="D21" s="879" t="s">
        <v>1524</v>
      </c>
      <c r="E21" s="875" t="s">
        <v>15</v>
      </c>
      <c r="F21" s="780">
        <v>50</v>
      </c>
      <c r="G21" s="982"/>
      <c r="H21" s="622"/>
      <c r="I21" s="982"/>
      <c r="J21" s="622"/>
      <c r="K21" s="982"/>
      <c r="L21" s="622"/>
      <c r="M21" s="982"/>
      <c r="N21" s="880"/>
      <c r="O21" s="1525"/>
      <c r="P21" s="613"/>
      <c r="Q21" s="162"/>
      <c r="R21" s="1956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hidden="1" customHeight="1" x14ac:dyDescent="0.25">
      <c r="A22" s="247">
        <v>45720</v>
      </c>
      <c r="B22" s="364" t="s">
        <v>2427</v>
      </c>
      <c r="C22" s="350" t="s">
        <v>12</v>
      </c>
      <c r="D22" s="350" t="s">
        <v>1506</v>
      </c>
      <c r="E22" s="875" t="s">
        <v>13</v>
      </c>
      <c r="F22" s="780">
        <v>30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861"/>
      <c r="T22" s="1035"/>
    </row>
    <row r="23" spans="1:42" s="224" customFormat="1" ht="15" hidden="1" customHeight="1" x14ac:dyDescent="0.25">
      <c r="A23" s="247">
        <v>45720</v>
      </c>
      <c r="B23" s="364" t="s">
        <v>7477</v>
      </c>
      <c r="C23" s="350" t="s">
        <v>12</v>
      </c>
      <c r="D23" s="350" t="s">
        <v>6731</v>
      </c>
      <c r="E23" s="875" t="s">
        <v>13</v>
      </c>
      <c r="F23" s="780">
        <v>39.79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  <c r="T23" s="1035"/>
    </row>
    <row r="24" spans="1:42" s="224" customFormat="1" ht="15" hidden="1" customHeight="1" x14ac:dyDescent="0.25">
      <c r="A24" s="247">
        <v>45720</v>
      </c>
      <c r="B24" s="364" t="s">
        <v>445</v>
      </c>
      <c r="C24" s="350" t="s">
        <v>12</v>
      </c>
      <c r="D24" s="350" t="s">
        <v>1493</v>
      </c>
      <c r="E24" s="875" t="s">
        <v>13</v>
      </c>
      <c r="F24" s="780">
        <v>11.9</v>
      </c>
      <c r="G24" s="982"/>
      <c r="H24" s="1008"/>
      <c r="I24" s="1063"/>
      <c r="J24" s="622"/>
      <c r="K24" s="982"/>
      <c r="L24" s="622"/>
      <c r="M24" s="982"/>
      <c r="N24" s="622"/>
      <c r="O24" s="1063"/>
      <c r="P24" s="622"/>
      <c r="Q24" s="982"/>
      <c r="R24" s="861"/>
      <c r="T24" s="1035"/>
    </row>
    <row r="25" spans="1:42" s="224" customFormat="1" ht="15" hidden="1" customHeight="1" x14ac:dyDescent="0.25">
      <c r="A25" s="247">
        <v>45720</v>
      </c>
      <c r="B25" s="364" t="s">
        <v>103</v>
      </c>
      <c r="C25" s="350" t="s">
        <v>12</v>
      </c>
      <c r="D25" s="350" t="s">
        <v>1489</v>
      </c>
      <c r="E25" s="875" t="s">
        <v>13</v>
      </c>
      <c r="F25" s="780">
        <v>16</v>
      </c>
      <c r="G25" s="982"/>
      <c r="H25" s="1008"/>
      <c r="I25" s="1063"/>
      <c r="J25" s="622"/>
      <c r="K25" s="982"/>
      <c r="L25" s="622"/>
      <c r="M25" s="982"/>
      <c r="N25" s="622"/>
      <c r="O25" s="1063"/>
      <c r="P25" s="622"/>
      <c r="Q25" s="982"/>
      <c r="R25" s="861"/>
      <c r="T25" s="1035"/>
    </row>
    <row r="26" spans="1:42" s="224" customFormat="1" ht="15" hidden="1" customHeight="1" x14ac:dyDescent="0.25">
      <c r="A26" s="247">
        <v>45720</v>
      </c>
      <c r="B26" s="1275" t="s">
        <v>7410</v>
      </c>
      <c r="C26" s="1276" t="s">
        <v>12</v>
      </c>
      <c r="D26" s="1276"/>
      <c r="E26" s="1286" t="s">
        <v>13</v>
      </c>
      <c r="F26" s="613">
        <v>120.78</v>
      </c>
      <c r="G26" s="967"/>
      <c r="H26" s="1008"/>
      <c r="I26" s="1063"/>
      <c r="J26" s="613"/>
      <c r="K26" s="6"/>
      <c r="L26" s="622"/>
      <c r="M26" s="982"/>
      <c r="N26" s="622"/>
      <c r="O26" s="1063"/>
      <c r="P26" s="613"/>
      <c r="Q26" s="64"/>
      <c r="R26" s="1024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hidden="1" customHeight="1" x14ac:dyDescent="0.25">
      <c r="A27" s="247">
        <v>45720</v>
      </c>
      <c r="B27" s="1275" t="s">
        <v>6755</v>
      </c>
      <c r="C27" s="1276" t="s">
        <v>12</v>
      </c>
      <c r="D27" s="1276"/>
      <c r="E27" s="1286"/>
      <c r="F27" s="613"/>
      <c r="G27" s="967">
        <v>120.78</v>
      </c>
      <c r="H27" s="1008"/>
      <c r="I27" s="1063"/>
      <c r="J27" s="613"/>
      <c r="K27" s="6"/>
      <c r="L27" s="622"/>
      <c r="M27" s="982"/>
      <c r="N27" s="622"/>
      <c r="O27" s="1063"/>
      <c r="P27" s="613"/>
      <c r="Q27" s="64"/>
      <c r="R27" s="1024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</row>
    <row r="28" spans="1:42" s="224" customFormat="1" ht="15" hidden="1" customHeight="1" x14ac:dyDescent="0.25">
      <c r="A28" s="247">
        <v>45721</v>
      </c>
      <c r="B28" s="1289" t="s">
        <v>7230</v>
      </c>
      <c r="C28" s="879" t="s">
        <v>12</v>
      </c>
      <c r="D28" s="1276" t="s">
        <v>1489</v>
      </c>
      <c r="E28" s="875" t="s">
        <v>13</v>
      </c>
      <c r="F28" s="1873">
        <v>13</v>
      </c>
      <c r="G28" s="982"/>
      <c r="H28" s="622"/>
      <c r="I28" s="982"/>
      <c r="J28" s="622"/>
      <c r="K28" s="982"/>
      <c r="L28" s="622"/>
      <c r="M28" s="982"/>
      <c r="N28" s="880"/>
      <c r="O28" s="1525"/>
      <c r="P28" s="613"/>
      <c r="Q28" s="162"/>
      <c r="R28" s="1956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" hidden="1" customHeight="1" x14ac:dyDescent="0.25">
      <c r="A29" s="247">
        <v>45721</v>
      </c>
      <c r="B29" s="1275" t="s">
        <v>32</v>
      </c>
      <c r="C29" s="1276" t="s">
        <v>12</v>
      </c>
      <c r="D29" s="1276" t="s">
        <v>1485</v>
      </c>
      <c r="E29" s="1286" t="s">
        <v>13</v>
      </c>
      <c r="F29" s="613">
        <v>22</v>
      </c>
      <c r="G29" s="967"/>
      <c r="H29" s="1008"/>
      <c r="I29" s="1063"/>
      <c r="J29" s="613"/>
      <c r="K29" s="6"/>
      <c r="L29" s="622"/>
      <c r="M29" s="982"/>
      <c r="N29" s="622"/>
      <c r="O29" s="1063"/>
      <c r="P29" s="613"/>
      <c r="Q29" s="64"/>
      <c r="R29" s="1024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hidden="1" customHeight="1" x14ac:dyDescent="0.25">
      <c r="A30" s="247">
        <v>45721</v>
      </c>
      <c r="B30" s="882" t="s">
        <v>7497</v>
      </c>
      <c r="C30" s="879" t="s">
        <v>12</v>
      </c>
      <c r="D30" s="879"/>
      <c r="E30" s="875"/>
      <c r="F30" s="780"/>
      <c r="G30" s="982">
        <v>47.9</v>
      </c>
      <c r="H30" s="622"/>
      <c r="I30" s="982"/>
      <c r="J30" s="622">
        <v>47.9</v>
      </c>
      <c r="K30" s="982"/>
      <c r="L30" s="853"/>
      <c r="M30" s="982"/>
      <c r="N30" s="622"/>
      <c r="O30" s="1063"/>
      <c r="P30" s="622"/>
      <c r="Q30" s="982"/>
      <c r="R30" s="927"/>
      <c r="S30" s="927"/>
      <c r="T30" s="878"/>
    </row>
    <row r="31" spans="1:42" s="224" customFormat="1" ht="15" customHeight="1" x14ac:dyDescent="0.25">
      <c r="A31" s="247">
        <v>45721</v>
      </c>
      <c r="B31" s="882" t="s">
        <v>7486</v>
      </c>
      <c r="C31" s="879" t="s">
        <v>12</v>
      </c>
      <c r="D31" s="879" t="s">
        <v>1524</v>
      </c>
      <c r="E31" s="875" t="s">
        <v>13</v>
      </c>
      <c r="F31" s="780">
        <v>47.9</v>
      </c>
      <c r="G31" s="982"/>
      <c r="H31" s="622"/>
      <c r="I31" s="982"/>
      <c r="J31" s="622"/>
      <c r="K31" s="982"/>
      <c r="L31" s="622"/>
      <c r="M31" s="982"/>
      <c r="N31" s="880"/>
      <c r="O31" s="1525"/>
      <c r="P31" s="613"/>
      <c r="Q31" s="162"/>
      <c r="R31" s="1956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hidden="1" customHeight="1" x14ac:dyDescent="0.25">
      <c r="A32" s="247">
        <v>45721</v>
      </c>
      <c r="B32" s="882" t="s">
        <v>14</v>
      </c>
      <c r="C32" s="879" t="s">
        <v>12</v>
      </c>
      <c r="D32" s="879" t="s">
        <v>1486</v>
      </c>
      <c r="E32" s="871" t="s">
        <v>13</v>
      </c>
      <c r="F32" s="780">
        <v>6.73</v>
      </c>
      <c r="G32" s="967"/>
      <c r="H32" s="1008"/>
      <c r="I32" s="1063"/>
      <c r="J32" s="613"/>
      <c r="K32" s="6"/>
      <c r="L32" s="622"/>
      <c r="M32" s="982"/>
      <c r="N32" s="622"/>
      <c r="O32" s="1063"/>
      <c r="P32" s="613"/>
      <c r="Q32" s="64"/>
      <c r="R32" s="1024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.75" hidden="1" customHeight="1" x14ac:dyDescent="0.25">
      <c r="A33" s="247">
        <v>45722</v>
      </c>
      <c r="B33" s="873" t="s">
        <v>7415</v>
      </c>
      <c r="C33" s="879" t="s">
        <v>12</v>
      </c>
      <c r="D33" s="874"/>
      <c r="E33" s="887" t="s">
        <v>25</v>
      </c>
      <c r="F33" s="1524"/>
      <c r="G33" s="1002">
        <v>2716.5</v>
      </c>
      <c r="H33" s="538"/>
      <c r="I33" s="982"/>
      <c r="J33" s="2013"/>
      <c r="K33" s="1207"/>
      <c r="L33" s="622"/>
      <c r="M33" s="982"/>
      <c r="N33" s="622"/>
      <c r="O33" s="1063"/>
      <c r="P33" s="622"/>
      <c r="Q33" s="982"/>
      <c r="R33" s="178"/>
    </row>
    <row r="34" spans="1:42" s="224" customFormat="1" ht="15" hidden="1" customHeight="1" x14ac:dyDescent="0.25">
      <c r="A34" s="247">
        <v>45722</v>
      </c>
      <c r="B34" s="364" t="s">
        <v>1396</v>
      </c>
      <c r="C34" s="879" t="s">
        <v>12</v>
      </c>
      <c r="D34" s="350"/>
      <c r="E34" s="919" t="s">
        <v>25</v>
      </c>
      <c r="F34" s="1116"/>
      <c r="G34" s="966">
        <v>200</v>
      </c>
      <c r="H34" s="1031"/>
      <c r="I34" s="1525"/>
      <c r="J34" s="2013"/>
      <c r="K34" s="1207"/>
      <c r="L34" s="880"/>
      <c r="M34" s="1033"/>
      <c r="N34" s="622"/>
      <c r="O34" s="1063"/>
      <c r="P34" s="1116"/>
      <c r="Q34" s="1207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224" customFormat="1" ht="15" hidden="1" customHeight="1" x14ac:dyDescent="0.25">
      <c r="A35" s="247">
        <v>45722</v>
      </c>
      <c r="B35" s="364" t="s">
        <v>7219</v>
      </c>
      <c r="C35" s="879" t="s">
        <v>12</v>
      </c>
      <c r="D35" s="350" t="s">
        <v>1491</v>
      </c>
      <c r="E35" s="875" t="s">
        <v>13</v>
      </c>
      <c r="F35" s="780">
        <v>500</v>
      </c>
      <c r="G35" s="982"/>
      <c r="H35" s="1008"/>
      <c r="I35" s="1063"/>
      <c r="J35" s="2013"/>
      <c r="K35" s="1207"/>
      <c r="L35" s="622"/>
      <c r="M35" s="982"/>
      <c r="N35" s="622"/>
      <c r="O35" s="1063"/>
      <c r="P35" s="622"/>
      <c r="Q35" s="982"/>
      <c r="R35" s="1028"/>
      <c r="T35" s="1035"/>
    </row>
    <row r="36" spans="1:42" s="224" customFormat="1" ht="15" hidden="1" customHeight="1" x14ac:dyDescent="0.25">
      <c r="A36" s="247">
        <v>45722</v>
      </c>
      <c r="B36" s="862" t="s">
        <v>6416</v>
      </c>
      <c r="C36" s="879" t="s">
        <v>12</v>
      </c>
      <c r="D36" s="879" t="s">
        <v>1504</v>
      </c>
      <c r="E36" s="871" t="s">
        <v>13</v>
      </c>
      <c r="F36" s="780">
        <v>40</v>
      </c>
      <c r="G36" s="982"/>
      <c r="H36" s="1528"/>
      <c r="I36" s="1063"/>
      <c r="J36" s="622"/>
      <c r="K36" s="982"/>
      <c r="L36" s="622"/>
      <c r="M36" s="982"/>
      <c r="N36" s="622"/>
      <c r="O36" s="1063"/>
      <c r="P36" s="622"/>
      <c r="Q36" s="982"/>
      <c r="R36" s="1808">
        <v>60</v>
      </c>
      <c r="S36" s="1028"/>
      <c r="T36" s="1035"/>
    </row>
    <row r="37" spans="1:42" s="224" customFormat="1" ht="15" hidden="1" customHeight="1" x14ac:dyDescent="0.25">
      <c r="A37" s="247">
        <v>45722</v>
      </c>
      <c r="B37" s="882" t="s">
        <v>7416</v>
      </c>
      <c r="C37" s="879" t="s">
        <v>12</v>
      </c>
      <c r="D37" s="879" t="s">
        <v>1499</v>
      </c>
      <c r="E37" s="871" t="s">
        <v>13</v>
      </c>
      <c r="F37" s="780">
        <v>168.53</v>
      </c>
      <c r="G37" s="982"/>
      <c r="H37" s="1008"/>
      <c r="I37" s="1063"/>
      <c r="J37" s="880"/>
      <c r="K37" s="1033"/>
      <c r="L37" s="622"/>
      <c r="M37" s="982"/>
      <c r="N37" s="622"/>
      <c r="O37" s="1063"/>
      <c r="P37" s="622"/>
      <c r="Q37" s="982"/>
      <c r="R37" s="1028">
        <v>300</v>
      </c>
      <c r="S37" s="999"/>
      <c r="T37" s="878"/>
    </row>
    <row r="38" spans="1:42" hidden="1" x14ac:dyDescent="0.25">
      <c r="A38" s="247">
        <v>45722</v>
      </c>
      <c r="B38" s="876" t="s">
        <v>6762</v>
      </c>
      <c r="C38" s="879" t="s">
        <v>12</v>
      </c>
      <c r="D38" s="879" t="s">
        <v>1496</v>
      </c>
      <c r="E38" s="871" t="s">
        <v>13</v>
      </c>
      <c r="F38" s="780">
        <v>100</v>
      </c>
      <c r="G38" s="982"/>
      <c r="H38" s="1009"/>
      <c r="I38" s="1063"/>
      <c r="J38" s="613"/>
      <c r="K38" s="6"/>
      <c r="L38" s="622"/>
      <c r="M38" s="982"/>
      <c r="N38" s="622"/>
      <c r="O38" s="1063"/>
      <c r="P38" s="622"/>
      <c r="Q38" s="982"/>
      <c r="R38" s="1029"/>
    </row>
    <row r="39" spans="1:42" s="224" customFormat="1" ht="15" hidden="1" customHeight="1" x14ac:dyDescent="0.25">
      <c r="A39" s="247">
        <v>45722</v>
      </c>
      <c r="B39" s="1289" t="s">
        <v>2096</v>
      </c>
      <c r="C39" s="879" t="s">
        <v>12</v>
      </c>
      <c r="D39" s="1276" t="s">
        <v>1506</v>
      </c>
      <c r="E39" s="875" t="s">
        <v>13</v>
      </c>
      <c r="F39" s="1873">
        <v>50</v>
      </c>
      <c r="G39" s="967"/>
      <c r="H39" s="1008"/>
      <c r="I39" s="1063"/>
      <c r="J39" s="613"/>
      <c r="K39" s="6"/>
      <c r="L39" s="622"/>
      <c r="M39" s="982"/>
      <c r="N39" s="622"/>
      <c r="O39" s="1063"/>
      <c r="P39" s="613"/>
      <c r="Q39" s="64"/>
      <c r="R39" s="120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hidden="1" customHeight="1" x14ac:dyDescent="0.25">
      <c r="A40" s="247">
        <v>45722</v>
      </c>
      <c r="B40" s="882" t="s">
        <v>7446</v>
      </c>
      <c r="C40" s="879" t="s">
        <v>12</v>
      </c>
      <c r="D40" s="879"/>
      <c r="E40" s="875" t="s">
        <v>13</v>
      </c>
      <c r="F40" s="780"/>
      <c r="G40" s="982"/>
      <c r="H40" s="95"/>
      <c r="I40" s="1064"/>
      <c r="J40" s="622"/>
      <c r="K40" s="982">
        <v>700</v>
      </c>
      <c r="L40" s="622"/>
      <c r="M40" s="982"/>
      <c r="N40" s="622"/>
      <c r="O40" s="1063"/>
      <c r="P40" s="622"/>
      <c r="Q40" s="982"/>
      <c r="R40" s="861"/>
    </row>
    <row r="41" spans="1:42" s="224" customFormat="1" ht="15" hidden="1" customHeight="1" x14ac:dyDescent="0.25">
      <c r="A41" s="247">
        <v>45722</v>
      </c>
      <c r="B41" s="882" t="s">
        <v>7488</v>
      </c>
      <c r="C41" s="879" t="s">
        <v>12</v>
      </c>
      <c r="D41" s="879"/>
      <c r="E41" s="875"/>
      <c r="F41" s="780"/>
      <c r="G41" s="982">
        <v>250</v>
      </c>
      <c r="H41" s="622"/>
      <c r="I41" s="982"/>
      <c r="J41" s="622">
        <v>250</v>
      </c>
      <c r="K41" s="982"/>
      <c r="L41" s="853"/>
      <c r="M41" s="982"/>
      <c r="N41" s="622"/>
      <c r="O41" s="1063"/>
      <c r="P41" s="622"/>
      <c r="Q41" s="982"/>
      <c r="R41" s="927"/>
      <c r="S41" s="927"/>
      <c r="T41" s="878"/>
    </row>
    <row r="42" spans="1:42" s="224" customFormat="1" ht="15" customHeight="1" x14ac:dyDescent="0.25">
      <c r="A42" s="247">
        <v>45722</v>
      </c>
      <c r="B42" s="882" t="s">
        <v>7489</v>
      </c>
      <c r="C42" s="879" t="s">
        <v>12</v>
      </c>
      <c r="D42" s="879" t="s">
        <v>1524</v>
      </c>
      <c r="E42" s="875" t="s">
        <v>13</v>
      </c>
      <c r="F42" s="780">
        <v>250</v>
      </c>
      <c r="G42" s="982"/>
      <c r="H42" s="622"/>
      <c r="I42" s="982"/>
      <c r="J42" s="622"/>
      <c r="K42" s="982"/>
      <c r="L42" s="622"/>
      <c r="M42" s="982"/>
      <c r="N42" s="880"/>
      <c r="O42" s="1525"/>
      <c r="P42" s="613"/>
      <c r="Q42" s="162"/>
      <c r="R42" s="1956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hidden="1" customHeight="1" x14ac:dyDescent="0.25">
      <c r="A43" s="247">
        <v>45722</v>
      </c>
      <c r="B43" s="882" t="s">
        <v>7164</v>
      </c>
      <c r="C43" s="879" t="s">
        <v>12</v>
      </c>
      <c r="D43" s="879"/>
      <c r="E43" s="875"/>
      <c r="F43" s="780">
        <v>200</v>
      </c>
      <c r="G43" s="982"/>
      <c r="H43" s="95"/>
      <c r="I43" s="1064"/>
      <c r="J43" s="622"/>
      <c r="K43" s="982"/>
      <c r="L43" s="622"/>
      <c r="M43" s="982">
        <v>200</v>
      </c>
      <c r="N43" s="622"/>
      <c r="O43" s="1063"/>
      <c r="P43" s="622"/>
      <c r="Q43" s="982"/>
      <c r="R43" s="1028"/>
    </row>
    <row r="44" spans="1:42" s="224" customFormat="1" ht="15" hidden="1" customHeight="1" x14ac:dyDescent="0.25">
      <c r="A44" s="247">
        <v>45722</v>
      </c>
      <c r="B44" s="882" t="s">
        <v>7309</v>
      </c>
      <c r="C44" s="879" t="s">
        <v>12</v>
      </c>
      <c r="D44" s="879"/>
      <c r="E44" s="875" t="s">
        <v>13</v>
      </c>
      <c r="F44" s="780">
        <v>700</v>
      </c>
      <c r="G44" s="982"/>
      <c r="H44" s="95"/>
      <c r="I44" s="1064"/>
      <c r="J44" s="622"/>
      <c r="K44" s="982"/>
      <c r="L44" s="622"/>
      <c r="M44" s="982"/>
      <c r="N44" s="622"/>
      <c r="O44" s="1063">
        <v>700</v>
      </c>
      <c r="P44" s="622"/>
      <c r="Q44" s="982"/>
      <c r="R44" s="861"/>
    </row>
    <row r="45" spans="1:42" s="224" customFormat="1" ht="15" hidden="1" customHeight="1" x14ac:dyDescent="0.25">
      <c r="A45" s="247">
        <v>45722</v>
      </c>
      <c r="B45" s="882" t="s">
        <v>7499</v>
      </c>
      <c r="C45" s="879" t="s">
        <v>12</v>
      </c>
      <c r="D45" s="879" t="s">
        <v>1525</v>
      </c>
      <c r="E45" s="875" t="s">
        <v>13</v>
      </c>
      <c r="F45" s="780">
        <v>15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861"/>
    </row>
    <row r="46" spans="1:42" s="224" customFormat="1" ht="15" hidden="1" customHeight="1" x14ac:dyDescent="0.25">
      <c r="A46" s="247">
        <v>45722</v>
      </c>
      <c r="B46" s="882" t="s">
        <v>7502</v>
      </c>
      <c r="C46" s="879" t="s">
        <v>12</v>
      </c>
      <c r="D46" s="879"/>
      <c r="E46" s="875"/>
      <c r="F46" s="780"/>
      <c r="G46" s="982">
        <v>38</v>
      </c>
      <c r="H46" s="622"/>
      <c r="I46" s="982"/>
      <c r="J46" s="622">
        <v>38</v>
      </c>
      <c r="K46" s="982"/>
      <c r="L46" s="853"/>
      <c r="M46" s="982"/>
      <c r="N46" s="622"/>
      <c r="O46" s="1063"/>
      <c r="P46" s="622"/>
      <c r="Q46" s="982"/>
      <c r="R46" s="927"/>
      <c r="S46" s="927"/>
      <c r="T46" s="878"/>
    </row>
    <row r="47" spans="1:42" s="224" customFormat="1" ht="15" customHeight="1" x14ac:dyDescent="0.25">
      <c r="A47" s="247">
        <v>45722</v>
      </c>
      <c r="B47" s="882" t="s">
        <v>7501</v>
      </c>
      <c r="C47" s="879" t="s">
        <v>12</v>
      </c>
      <c r="D47" s="879" t="s">
        <v>1524</v>
      </c>
      <c r="E47" s="875" t="s">
        <v>13</v>
      </c>
      <c r="F47" s="780">
        <v>38</v>
      </c>
      <c r="G47" s="982"/>
      <c r="H47" s="622"/>
      <c r="I47" s="982"/>
      <c r="J47" s="622"/>
      <c r="K47" s="982"/>
      <c r="L47" s="622"/>
      <c r="M47" s="982"/>
      <c r="N47" s="880"/>
      <c r="O47" s="1525"/>
      <c r="P47" s="613"/>
      <c r="Q47" s="162"/>
      <c r="R47" s="1956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hidden="1" customHeight="1" x14ac:dyDescent="0.25">
      <c r="A48" s="247">
        <v>45722</v>
      </c>
      <c r="B48" s="882" t="s">
        <v>7500</v>
      </c>
      <c r="C48" s="879" t="s">
        <v>12</v>
      </c>
      <c r="D48" s="879" t="s">
        <v>1489</v>
      </c>
      <c r="E48" s="871" t="s">
        <v>13</v>
      </c>
      <c r="F48" s="780">
        <v>17.04</v>
      </c>
      <c r="G48" s="982"/>
      <c r="H48" s="622"/>
      <c r="I48" s="982"/>
      <c r="J48" s="622"/>
      <c r="K48" s="982"/>
      <c r="L48" s="622"/>
      <c r="M48" s="982"/>
      <c r="N48" s="880"/>
      <c r="O48" s="1525"/>
      <c r="P48" s="613"/>
      <c r="Q48" s="162"/>
      <c r="R48" s="1956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hidden="1" customHeight="1" x14ac:dyDescent="0.25">
      <c r="A49" s="247">
        <v>45722</v>
      </c>
      <c r="B49" s="882" t="s">
        <v>14</v>
      </c>
      <c r="C49" s="879" t="s">
        <v>12</v>
      </c>
      <c r="D49" s="879" t="s">
        <v>1486</v>
      </c>
      <c r="E49" s="871" t="s">
        <v>5470</v>
      </c>
      <c r="F49" s="780">
        <v>17.28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95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hidden="1" customHeight="1" x14ac:dyDescent="0.25">
      <c r="A50" s="247">
        <v>45723</v>
      </c>
      <c r="B50" s="882" t="s">
        <v>7503</v>
      </c>
      <c r="C50" s="879" t="s">
        <v>12</v>
      </c>
      <c r="D50" s="879"/>
      <c r="E50" s="875"/>
      <c r="F50" s="780"/>
      <c r="G50" s="982">
        <v>667</v>
      </c>
      <c r="H50" s="622"/>
      <c r="I50" s="982"/>
      <c r="J50" s="622">
        <v>667</v>
      </c>
      <c r="K50" s="982"/>
      <c r="L50" s="853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45723</v>
      </c>
      <c r="B51" s="882" t="s">
        <v>7504</v>
      </c>
      <c r="C51" s="879" t="s">
        <v>12</v>
      </c>
      <c r="D51" s="879" t="s">
        <v>1524</v>
      </c>
      <c r="E51" s="875" t="s">
        <v>13</v>
      </c>
      <c r="F51" s="780">
        <v>667</v>
      </c>
      <c r="G51" s="982"/>
      <c r="H51" s="622"/>
      <c r="I51" s="982"/>
      <c r="J51" s="622"/>
      <c r="K51" s="982"/>
      <c r="L51" s="622"/>
      <c r="M51" s="982"/>
      <c r="N51" s="880"/>
      <c r="O51" s="1525"/>
      <c r="P51" s="613"/>
      <c r="Q51" s="162"/>
      <c r="R51" s="1956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ht="15" hidden="1" customHeight="1" x14ac:dyDescent="0.25">
      <c r="A52" s="247">
        <v>45723</v>
      </c>
      <c r="B52" s="1275" t="s">
        <v>32</v>
      </c>
      <c r="C52" s="1276" t="s">
        <v>12</v>
      </c>
      <c r="D52" s="1276" t="s">
        <v>1485</v>
      </c>
      <c r="E52" s="1286" t="s">
        <v>13</v>
      </c>
      <c r="F52" s="613">
        <v>23</v>
      </c>
      <c r="G52" s="967"/>
      <c r="H52" s="1008"/>
      <c r="I52" s="1063"/>
      <c r="J52" s="613"/>
      <c r="K52" s="6"/>
      <c r="L52" s="622"/>
      <c r="M52" s="982"/>
      <c r="N52" s="622"/>
      <c r="O52" s="1063"/>
      <c r="P52" s="613"/>
      <c r="Q52" s="64"/>
      <c r="R52" s="1024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hidden="1" customHeight="1" x14ac:dyDescent="0.25">
      <c r="A53" s="247">
        <v>45723</v>
      </c>
      <c r="B53" s="882" t="s">
        <v>3958</v>
      </c>
      <c r="C53" s="879" t="s">
        <v>12</v>
      </c>
      <c r="D53" s="879" t="s">
        <v>1489</v>
      </c>
      <c r="E53" s="875" t="s">
        <v>13</v>
      </c>
      <c r="F53" s="780">
        <v>28</v>
      </c>
      <c r="G53" s="982"/>
      <c r="H53" s="95"/>
      <c r="I53" s="1064"/>
      <c r="J53" s="622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hidden="1" customHeight="1" x14ac:dyDescent="0.25">
      <c r="A54" s="247">
        <v>45723</v>
      </c>
      <c r="B54" s="882" t="s">
        <v>14</v>
      </c>
      <c r="C54" s="879" t="s">
        <v>12</v>
      </c>
      <c r="D54" s="879" t="s">
        <v>1486</v>
      </c>
      <c r="E54" s="871" t="s">
        <v>5470</v>
      </c>
      <c r="F54" s="780">
        <v>5.99</v>
      </c>
      <c r="G54" s="982"/>
      <c r="H54" s="622"/>
      <c r="I54" s="982"/>
      <c r="J54" s="622"/>
      <c r="K54" s="982"/>
      <c r="L54" s="622"/>
      <c r="M54" s="982"/>
      <c r="N54" s="880"/>
      <c r="O54" s="1525"/>
      <c r="P54" s="613"/>
      <c r="Q54" s="162"/>
      <c r="R54" s="195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hidden="1" customHeight="1" x14ac:dyDescent="0.25">
      <c r="A55" s="247">
        <v>45724</v>
      </c>
      <c r="B55" s="882" t="s">
        <v>14</v>
      </c>
      <c r="C55" s="879" t="s">
        <v>12</v>
      </c>
      <c r="D55" s="879" t="s">
        <v>1486</v>
      </c>
      <c r="E55" s="871" t="s">
        <v>13</v>
      </c>
      <c r="F55" s="780">
        <v>7.74</v>
      </c>
      <c r="G55" s="982"/>
      <c r="H55" s="622"/>
      <c r="I55" s="982"/>
      <c r="J55" s="622"/>
      <c r="K55" s="982"/>
      <c r="L55" s="622"/>
      <c r="M55" s="982"/>
      <c r="N55" s="880"/>
      <c r="O55" s="1525"/>
      <c r="P55" s="613"/>
      <c r="Q55" s="162"/>
      <c r="R55" s="195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idden="1" x14ac:dyDescent="0.25">
      <c r="A56" s="247">
        <v>45724</v>
      </c>
      <c r="B56" s="1275" t="s">
        <v>80</v>
      </c>
      <c r="C56" s="879" t="s">
        <v>12</v>
      </c>
      <c r="D56" s="1276" t="s">
        <v>1523</v>
      </c>
      <c r="E56" s="1277" t="s">
        <v>13</v>
      </c>
      <c r="F56" s="1279">
        <v>16.14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1028"/>
      <c r="T56" s="878"/>
    </row>
    <row r="57" spans="1:42" s="224" customFormat="1" hidden="1" x14ac:dyDescent="0.25">
      <c r="A57" s="247">
        <v>45724</v>
      </c>
      <c r="B57" s="1275" t="s">
        <v>2629</v>
      </c>
      <c r="C57" s="879" t="s">
        <v>12</v>
      </c>
      <c r="D57" s="1276" t="s">
        <v>1489</v>
      </c>
      <c r="E57" s="1277" t="s">
        <v>5470</v>
      </c>
      <c r="F57" s="1279">
        <v>129.69999999999999</v>
      </c>
      <c r="G57" s="982"/>
      <c r="H57" s="1008"/>
      <c r="I57" s="1063"/>
      <c r="J57" s="2013"/>
      <c r="K57" s="1207"/>
      <c r="L57" s="622"/>
      <c r="M57" s="982"/>
      <c r="N57" s="622"/>
      <c r="O57" s="1063"/>
      <c r="P57" s="622"/>
      <c r="Q57" s="982"/>
      <c r="R57" s="1028"/>
      <c r="T57" s="878"/>
    </row>
    <row r="58" spans="1:42" s="224" customFormat="1" hidden="1" x14ac:dyDescent="0.25">
      <c r="A58" s="247">
        <v>45724</v>
      </c>
      <c r="B58" s="1275" t="s">
        <v>7513</v>
      </c>
      <c r="C58" s="879" t="s">
        <v>12</v>
      </c>
      <c r="D58" s="1276" t="s">
        <v>1489</v>
      </c>
      <c r="E58" s="1277" t="s">
        <v>13</v>
      </c>
      <c r="F58" s="1279">
        <v>15</v>
      </c>
      <c r="G58" s="982"/>
      <c r="H58" s="1008"/>
      <c r="I58" s="1063"/>
      <c r="J58" s="2013"/>
      <c r="K58" s="1207"/>
      <c r="L58" s="622"/>
      <c r="M58" s="982"/>
      <c r="N58" s="622"/>
      <c r="O58" s="1063"/>
      <c r="P58" s="622"/>
      <c r="Q58" s="982"/>
      <c r="R58" s="1028"/>
      <c r="T58" s="878"/>
    </row>
    <row r="59" spans="1:42" s="224" customFormat="1" ht="15" hidden="1" customHeight="1" x14ac:dyDescent="0.25">
      <c r="A59" s="247">
        <v>45724</v>
      </c>
      <c r="B59" s="1275" t="s">
        <v>32</v>
      </c>
      <c r="C59" s="1276" t="s">
        <v>12</v>
      </c>
      <c r="D59" s="1276" t="s">
        <v>1485</v>
      </c>
      <c r="E59" s="1286" t="s">
        <v>13</v>
      </c>
      <c r="F59" s="613">
        <v>19.899999999999999</v>
      </c>
      <c r="G59" s="967"/>
      <c r="H59" s="1008"/>
      <c r="I59" s="1063"/>
      <c r="J59" s="613"/>
      <c r="K59" s="6"/>
      <c r="L59" s="622"/>
      <c r="M59" s="982"/>
      <c r="N59" s="622"/>
      <c r="O59" s="1063"/>
      <c r="P59" s="613"/>
      <c r="Q59" s="64"/>
      <c r="R59" s="1024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hidden="1" customHeight="1" x14ac:dyDescent="0.25">
      <c r="A60" s="247">
        <v>45724</v>
      </c>
      <c r="B60" s="882" t="s">
        <v>7511</v>
      </c>
      <c r="C60" s="879" t="s">
        <v>12</v>
      </c>
      <c r="D60" s="879"/>
      <c r="E60" s="875"/>
      <c r="F60" s="780"/>
      <c r="G60" s="982">
        <v>560</v>
      </c>
      <c r="H60" s="622"/>
      <c r="I60" s="982"/>
      <c r="J60" s="622">
        <v>560</v>
      </c>
      <c r="K60" s="982"/>
      <c r="L60" s="853"/>
      <c r="M60" s="982"/>
      <c r="N60" s="622"/>
      <c r="O60" s="1063"/>
      <c r="P60" s="622"/>
      <c r="Q60" s="982"/>
      <c r="R60" s="927"/>
      <c r="S60" s="927"/>
      <c r="T60" s="878"/>
    </row>
    <row r="61" spans="1:42" s="224" customFormat="1" ht="15" customHeight="1" x14ac:dyDescent="0.25">
      <c r="A61" s="247">
        <v>45724</v>
      </c>
      <c r="B61" s="882" t="s">
        <v>7471</v>
      </c>
      <c r="C61" s="879" t="s">
        <v>12</v>
      </c>
      <c r="D61" s="879" t="s">
        <v>1524</v>
      </c>
      <c r="E61" s="875" t="s">
        <v>13</v>
      </c>
      <c r="F61" s="780">
        <v>210</v>
      </c>
      <c r="G61" s="982"/>
      <c r="H61" s="622"/>
      <c r="I61" s="982"/>
      <c r="J61" s="622"/>
      <c r="K61" s="982"/>
      <c r="L61" s="622"/>
      <c r="M61" s="982"/>
      <c r="N61" s="880"/>
      <c r="O61" s="1525"/>
      <c r="P61" s="613"/>
      <c r="Q61" s="162"/>
      <c r="R61" s="1956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</row>
    <row r="62" spans="1:42" s="224" customFormat="1" ht="15" customHeight="1" x14ac:dyDescent="0.25">
      <c r="A62" s="247">
        <v>45724</v>
      </c>
      <c r="B62" s="882" t="s">
        <v>7514</v>
      </c>
      <c r="C62" s="879" t="s">
        <v>12</v>
      </c>
      <c r="D62" s="879" t="s">
        <v>1524</v>
      </c>
      <c r="E62" s="875" t="s">
        <v>13</v>
      </c>
      <c r="F62" s="780">
        <v>350</v>
      </c>
      <c r="G62" s="982"/>
      <c r="H62" s="622"/>
      <c r="I62" s="982"/>
      <c r="J62" s="622"/>
      <c r="K62" s="982"/>
      <c r="L62" s="622"/>
      <c r="M62" s="982"/>
      <c r="N62" s="880"/>
      <c r="O62" s="1525"/>
      <c r="P62" s="613"/>
      <c r="Q62" s="162"/>
      <c r="R62" s="1956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5" hidden="1" customHeight="1" x14ac:dyDescent="0.25">
      <c r="A63" s="247">
        <v>45724</v>
      </c>
      <c r="B63" s="882" t="s">
        <v>7474</v>
      </c>
      <c r="C63" s="879" t="s">
        <v>12</v>
      </c>
      <c r="D63" s="879"/>
      <c r="E63" s="875"/>
      <c r="F63" s="780"/>
      <c r="G63" s="982">
        <v>40</v>
      </c>
      <c r="H63" s="622"/>
      <c r="I63" s="982"/>
      <c r="J63" s="622">
        <v>40</v>
      </c>
      <c r="K63" s="982"/>
      <c r="L63" s="853"/>
      <c r="M63" s="982"/>
      <c r="N63" s="622"/>
      <c r="O63" s="1063"/>
      <c r="P63" s="622"/>
      <c r="Q63" s="982"/>
      <c r="R63" s="927"/>
      <c r="S63" s="927"/>
      <c r="T63" s="878"/>
    </row>
    <row r="64" spans="1:42" s="224" customFormat="1" ht="15" customHeight="1" x14ac:dyDescent="0.25">
      <c r="A64" s="247">
        <v>45724</v>
      </c>
      <c r="B64" s="882" t="s">
        <v>7475</v>
      </c>
      <c r="C64" s="879" t="s">
        <v>12</v>
      </c>
      <c r="D64" s="879" t="s">
        <v>1524</v>
      </c>
      <c r="E64" s="875" t="s">
        <v>15</v>
      </c>
      <c r="F64" s="780">
        <v>40</v>
      </c>
      <c r="G64" s="982"/>
      <c r="H64" s="622"/>
      <c r="I64" s="982"/>
      <c r="J64" s="622"/>
      <c r="K64" s="982"/>
      <c r="L64" s="622"/>
      <c r="M64" s="982"/>
      <c r="N64" s="880"/>
      <c r="O64" s="1525"/>
      <c r="P64" s="613"/>
      <c r="Q64" s="162"/>
      <c r="R64" s="1956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hidden="1" customHeight="1" x14ac:dyDescent="0.25">
      <c r="A65" s="247">
        <v>45724</v>
      </c>
      <c r="B65" s="882" t="s">
        <v>82</v>
      </c>
      <c r="C65" s="879" t="s">
        <v>12</v>
      </c>
      <c r="D65" s="879" t="s">
        <v>1493</v>
      </c>
      <c r="E65" s="871" t="s">
        <v>13</v>
      </c>
      <c r="F65" s="780">
        <v>25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861"/>
      <c r="T65" s="1035"/>
    </row>
    <row r="66" spans="1:42" s="224" customFormat="1" ht="15" hidden="1" customHeight="1" x14ac:dyDescent="0.25">
      <c r="A66" s="247">
        <v>45725</v>
      </c>
      <c r="B66" s="882" t="s">
        <v>14</v>
      </c>
      <c r="C66" s="879" t="s">
        <v>12</v>
      </c>
      <c r="D66" s="879" t="s">
        <v>1486</v>
      </c>
      <c r="E66" s="871" t="s">
        <v>13</v>
      </c>
      <c r="F66" s="780">
        <v>8.85</v>
      </c>
      <c r="G66" s="982"/>
      <c r="H66" s="622"/>
      <c r="I66" s="982"/>
      <c r="J66" s="622"/>
      <c r="K66" s="982"/>
      <c r="L66" s="622"/>
      <c r="M66" s="982"/>
      <c r="N66" s="880"/>
      <c r="O66" s="1525"/>
      <c r="P66" s="613"/>
      <c r="Q66" s="162"/>
      <c r="R66" s="195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hidden="1" customHeight="1" x14ac:dyDescent="0.25">
      <c r="A67" s="247">
        <v>45726</v>
      </c>
      <c r="B67" s="882" t="s">
        <v>7511</v>
      </c>
      <c r="C67" s="879" t="s">
        <v>12</v>
      </c>
      <c r="D67" s="879"/>
      <c r="E67" s="875"/>
      <c r="F67" s="780"/>
      <c r="G67" s="982">
        <v>1000</v>
      </c>
      <c r="H67" s="622"/>
      <c r="I67" s="982"/>
      <c r="J67" s="622">
        <v>1000</v>
      </c>
      <c r="K67" s="982"/>
      <c r="L67" s="853"/>
      <c r="M67" s="982"/>
      <c r="N67" s="622"/>
      <c r="O67" s="1063"/>
      <c r="P67" s="622"/>
      <c r="Q67" s="982"/>
      <c r="R67" s="927"/>
      <c r="S67" s="927"/>
      <c r="T67" s="878"/>
    </row>
    <row r="68" spans="1:42" s="224" customFormat="1" ht="15" customHeight="1" x14ac:dyDescent="0.25">
      <c r="A68" s="247">
        <v>45726</v>
      </c>
      <c r="B68" s="882" t="s">
        <v>7512</v>
      </c>
      <c r="C68" s="879" t="s">
        <v>12</v>
      </c>
      <c r="D68" s="879" t="s">
        <v>1524</v>
      </c>
      <c r="E68" s="875" t="s">
        <v>13</v>
      </c>
      <c r="F68" s="780">
        <v>1000</v>
      </c>
      <c r="G68" s="982"/>
      <c r="H68" s="622"/>
      <c r="I68" s="982"/>
      <c r="J68" s="622"/>
      <c r="K68" s="982"/>
      <c r="L68" s="622"/>
      <c r="M68" s="982"/>
      <c r="N68" s="880"/>
      <c r="O68" s="1525"/>
      <c r="P68" s="613"/>
      <c r="Q68" s="162"/>
      <c r="R68" s="1956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hidden="1" customHeight="1" x14ac:dyDescent="0.25">
      <c r="A69" s="247">
        <v>45726</v>
      </c>
      <c r="B69" s="882" t="s">
        <v>7515</v>
      </c>
      <c r="C69" s="879" t="s">
        <v>12</v>
      </c>
      <c r="D69" s="879"/>
      <c r="E69" s="875"/>
      <c r="F69" s="780"/>
      <c r="G69" s="982">
        <v>48.5</v>
      </c>
      <c r="H69" s="622"/>
      <c r="I69" s="982"/>
      <c r="J69" s="622">
        <v>48.5</v>
      </c>
      <c r="K69" s="982"/>
      <c r="L69" s="853"/>
      <c r="M69" s="982"/>
      <c r="N69" s="622"/>
      <c r="O69" s="1063"/>
      <c r="P69" s="622"/>
      <c r="Q69" s="982"/>
      <c r="R69" s="927"/>
      <c r="S69" s="927"/>
      <c r="T69" s="878"/>
    </row>
    <row r="70" spans="1:42" s="224" customFormat="1" ht="15" customHeight="1" x14ac:dyDescent="0.25">
      <c r="A70" s="247">
        <v>45726</v>
      </c>
      <c r="B70" s="882" t="s">
        <v>7516</v>
      </c>
      <c r="C70" s="879" t="s">
        <v>12</v>
      </c>
      <c r="D70" s="879" t="s">
        <v>1524</v>
      </c>
      <c r="E70" s="875" t="s">
        <v>15</v>
      </c>
      <c r="F70" s="780">
        <v>48.5</v>
      </c>
      <c r="G70" s="982"/>
      <c r="H70" s="622"/>
      <c r="I70" s="982"/>
      <c r="J70" s="622"/>
      <c r="K70" s="982"/>
      <c r="L70" s="622"/>
      <c r="M70" s="982"/>
      <c r="N70" s="880"/>
      <c r="O70" s="1525"/>
      <c r="P70" s="613"/>
      <c r="Q70" s="162"/>
      <c r="R70" s="1956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idden="1" x14ac:dyDescent="0.25">
      <c r="A71" s="247">
        <v>45726</v>
      </c>
      <c r="B71" s="364" t="s">
        <v>2789</v>
      </c>
      <c r="C71" s="350" t="s">
        <v>12</v>
      </c>
      <c r="D71" s="350" t="s">
        <v>1485</v>
      </c>
      <c r="E71" s="875" t="s">
        <v>13</v>
      </c>
      <c r="F71" s="780">
        <v>13</v>
      </c>
      <c r="G71" s="982"/>
      <c r="H71" s="1008"/>
      <c r="I71" s="1063"/>
      <c r="J71" s="2013"/>
      <c r="K71" s="1207"/>
      <c r="L71" s="622"/>
      <c r="M71" s="982"/>
      <c r="N71" s="622"/>
      <c r="O71" s="1063"/>
      <c r="P71" s="622"/>
      <c r="Q71" s="982"/>
      <c r="R71" s="861"/>
      <c r="T71" s="878"/>
    </row>
    <row r="72" spans="1:42" s="224" customFormat="1" ht="15" hidden="1" customHeight="1" x14ac:dyDescent="0.25">
      <c r="A72" s="247">
        <v>45727</v>
      </c>
      <c r="B72" s="882" t="s">
        <v>6329</v>
      </c>
      <c r="C72" s="879" t="s">
        <v>12</v>
      </c>
      <c r="D72" s="879"/>
      <c r="E72" s="875" t="s">
        <v>25</v>
      </c>
      <c r="F72" s="780"/>
      <c r="G72" s="982">
        <v>100</v>
      </c>
      <c r="H72" s="1008"/>
      <c r="I72" s="1063"/>
      <c r="J72" s="613"/>
      <c r="K72" s="982"/>
      <c r="L72" s="622"/>
      <c r="M72" s="982"/>
      <c r="N72" s="622"/>
      <c r="O72" s="1063"/>
      <c r="P72" s="622"/>
      <c r="Q72" s="982"/>
      <c r="R72" s="861"/>
    </row>
    <row r="73" spans="1:42" s="224" customFormat="1" ht="15" hidden="1" customHeight="1" x14ac:dyDescent="0.25">
      <c r="A73" s="247">
        <v>45727</v>
      </c>
      <c r="B73" s="882" t="s">
        <v>7511</v>
      </c>
      <c r="C73" s="879" t="s">
        <v>12</v>
      </c>
      <c r="D73" s="879"/>
      <c r="E73" s="875"/>
      <c r="F73" s="780"/>
      <c r="G73" s="982">
        <v>415</v>
      </c>
      <c r="H73" s="622"/>
      <c r="I73" s="982"/>
      <c r="J73" s="622">
        <v>415</v>
      </c>
      <c r="K73" s="982"/>
      <c r="L73" s="853"/>
      <c r="M73" s="982"/>
      <c r="N73" s="622"/>
      <c r="O73" s="1063"/>
      <c r="P73" s="622"/>
      <c r="Q73" s="982"/>
      <c r="R73" s="927"/>
      <c r="S73" s="927"/>
      <c r="T73" s="878"/>
    </row>
    <row r="74" spans="1:42" s="224" customFormat="1" ht="15" customHeight="1" x14ac:dyDescent="0.25">
      <c r="A74" s="247">
        <v>45727</v>
      </c>
      <c r="B74" s="882" t="s">
        <v>7520</v>
      </c>
      <c r="C74" s="879" t="s">
        <v>12</v>
      </c>
      <c r="D74" s="879" t="s">
        <v>1524</v>
      </c>
      <c r="E74" s="875" t="s">
        <v>13</v>
      </c>
      <c r="F74" s="780">
        <v>415</v>
      </c>
      <c r="G74" s="982"/>
      <c r="H74" s="622"/>
      <c r="I74" s="982"/>
      <c r="J74" s="622"/>
      <c r="K74" s="982"/>
      <c r="L74" s="622"/>
      <c r="M74" s="982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hidden="1" customHeight="1" x14ac:dyDescent="0.25">
      <c r="A75" s="247">
        <v>45727</v>
      </c>
      <c r="B75" s="1275" t="s">
        <v>32</v>
      </c>
      <c r="C75" s="1276" t="s">
        <v>12</v>
      </c>
      <c r="D75" s="1276" t="s">
        <v>1485</v>
      </c>
      <c r="E75" s="1286" t="s">
        <v>13</v>
      </c>
      <c r="F75" s="613">
        <v>25</v>
      </c>
      <c r="G75" s="967"/>
      <c r="H75" s="1008"/>
      <c r="I75" s="1063"/>
      <c r="J75" s="613"/>
      <c r="K75" s="6"/>
      <c r="L75" s="622"/>
      <c r="M75" s="982"/>
      <c r="N75" s="622"/>
      <c r="O75" s="1063"/>
      <c r="P75" s="613"/>
      <c r="Q75" s="64"/>
      <c r="R75" s="1024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ht="15" hidden="1" customHeight="1" x14ac:dyDescent="0.25">
      <c r="A76" s="247">
        <v>45727</v>
      </c>
      <c r="B76" s="882" t="s">
        <v>14</v>
      </c>
      <c r="C76" s="879" t="s">
        <v>12</v>
      </c>
      <c r="D76" s="879" t="s">
        <v>1486</v>
      </c>
      <c r="E76" s="871" t="s">
        <v>13</v>
      </c>
      <c r="F76" s="780">
        <v>9.4600000000000009</v>
      </c>
      <c r="G76" s="982"/>
      <c r="H76" s="1008"/>
      <c r="I76" s="1063"/>
      <c r="J76" s="613"/>
      <c r="K76" s="982"/>
      <c r="L76" s="622"/>
      <c r="M76" s="982"/>
      <c r="N76" s="622"/>
      <c r="O76" s="1063"/>
      <c r="P76" s="622"/>
      <c r="Q76" s="982"/>
      <c r="R76" s="861"/>
    </row>
    <row r="77" spans="1:42" s="224" customFormat="1" ht="15" hidden="1" customHeight="1" x14ac:dyDescent="0.25">
      <c r="A77" s="247">
        <v>45728</v>
      </c>
      <c r="B77" s="1275" t="s">
        <v>32</v>
      </c>
      <c r="C77" s="1276" t="s">
        <v>12</v>
      </c>
      <c r="D77" s="1276" t="s">
        <v>1485</v>
      </c>
      <c r="E77" s="1286" t="s">
        <v>13</v>
      </c>
      <c r="F77" s="613">
        <v>23</v>
      </c>
      <c r="G77" s="967"/>
      <c r="H77" s="1008"/>
      <c r="I77" s="1063"/>
      <c r="J77" s="613"/>
      <c r="K77" s="6"/>
      <c r="L77" s="622"/>
      <c r="M77" s="982"/>
      <c r="N77" s="622"/>
      <c r="O77" s="1063"/>
      <c r="P77" s="613"/>
      <c r="Q77" s="64"/>
      <c r="R77" s="1024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idden="1" x14ac:dyDescent="0.25">
      <c r="A78" s="247">
        <v>45728</v>
      </c>
      <c r="B78" s="882" t="s">
        <v>14</v>
      </c>
      <c r="C78" s="879" t="s">
        <v>12</v>
      </c>
      <c r="D78" s="879" t="s">
        <v>1486</v>
      </c>
      <c r="E78" s="871" t="s">
        <v>13</v>
      </c>
      <c r="F78" s="780">
        <v>18.010000000000002</v>
      </c>
      <c r="G78" s="982"/>
      <c r="H78" s="1008"/>
      <c r="I78" s="1063"/>
      <c r="J78" s="622"/>
      <c r="K78" s="982"/>
      <c r="L78" s="622"/>
      <c r="M78" s="982"/>
      <c r="N78" s="622"/>
      <c r="O78" s="1063"/>
      <c r="P78" s="622"/>
      <c r="Q78" s="982"/>
      <c r="R78" s="1028"/>
      <c r="T78" s="878"/>
    </row>
    <row r="79" spans="1:42" s="224" customFormat="1" ht="15" hidden="1" customHeight="1" x14ac:dyDescent="0.25">
      <c r="A79" s="247">
        <v>45728</v>
      </c>
      <c r="B79" s="1275" t="s">
        <v>7410</v>
      </c>
      <c r="C79" s="1276" t="s">
        <v>12</v>
      </c>
      <c r="D79" s="1276"/>
      <c r="E79" s="1286" t="s">
        <v>13</v>
      </c>
      <c r="F79" s="613">
        <v>120.78</v>
      </c>
      <c r="G79" s="967"/>
      <c r="H79" s="1008"/>
      <c r="I79" s="1063"/>
      <c r="J79" s="613"/>
      <c r="K79" s="6"/>
      <c r="L79" s="622"/>
      <c r="M79" s="982"/>
      <c r="N79" s="622"/>
      <c r="O79" s="1063"/>
      <c r="P79" s="613"/>
      <c r="Q79" s="64"/>
      <c r="R79" s="1024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hidden="1" customHeight="1" x14ac:dyDescent="0.25">
      <c r="A80" s="247">
        <v>45728</v>
      </c>
      <c r="B80" s="1275" t="s">
        <v>6755</v>
      </c>
      <c r="C80" s="1276" t="s">
        <v>12</v>
      </c>
      <c r="D80" s="1276"/>
      <c r="E80" s="1286"/>
      <c r="F80" s="613"/>
      <c r="G80" s="967">
        <v>120.78</v>
      </c>
      <c r="H80" s="1008"/>
      <c r="I80" s="1063"/>
      <c r="J80" s="613"/>
      <c r="K80" s="6"/>
      <c r="L80" s="622"/>
      <c r="M80" s="982"/>
      <c r="N80" s="622"/>
      <c r="O80" s="1063"/>
      <c r="P80" s="613"/>
      <c r="Q80" s="64"/>
      <c r="R80" s="1024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hidden="1" customHeight="1" x14ac:dyDescent="0.25">
      <c r="A81" s="247">
        <v>45729</v>
      </c>
      <c r="B81" s="882" t="s">
        <v>7521</v>
      </c>
      <c r="C81" s="879" t="s">
        <v>12</v>
      </c>
      <c r="D81" s="879" t="s">
        <v>1489</v>
      </c>
      <c r="E81" s="480" t="s">
        <v>13</v>
      </c>
      <c r="F81" s="613">
        <v>13</v>
      </c>
      <c r="G81" s="967"/>
      <c r="H81" s="1008"/>
      <c r="I81" s="1063"/>
      <c r="J81" s="622"/>
      <c r="K81" s="982"/>
      <c r="L81" s="880"/>
      <c r="M81" s="1033"/>
      <c r="N81" s="880"/>
      <c r="O81" s="1525"/>
      <c r="P81" s="613"/>
      <c r="Q81" s="162"/>
      <c r="R81" s="1956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hidden="1" customHeight="1" x14ac:dyDescent="0.25">
      <c r="A82" s="247">
        <v>45729</v>
      </c>
      <c r="B82" s="882" t="s">
        <v>7511</v>
      </c>
      <c r="C82" s="879" t="s">
        <v>12</v>
      </c>
      <c r="D82" s="879"/>
      <c r="E82" s="875"/>
      <c r="F82" s="780"/>
      <c r="G82" s="982">
        <v>100</v>
      </c>
      <c r="H82" s="622"/>
      <c r="I82" s="982"/>
      <c r="J82" s="622">
        <v>100</v>
      </c>
      <c r="K82" s="982"/>
      <c r="L82" s="853"/>
      <c r="M82" s="982"/>
      <c r="N82" s="622"/>
      <c r="O82" s="1063"/>
      <c r="P82" s="622"/>
      <c r="Q82" s="982"/>
      <c r="R82" s="927"/>
      <c r="S82" s="927"/>
      <c r="T82" s="878"/>
    </row>
    <row r="83" spans="1:42" s="224" customFormat="1" ht="15" customHeight="1" x14ac:dyDescent="0.25">
      <c r="A83" s="247">
        <v>45729</v>
      </c>
      <c r="B83" s="882" t="s">
        <v>7522</v>
      </c>
      <c r="C83" s="879" t="s">
        <v>12</v>
      </c>
      <c r="D83" s="879" t="s">
        <v>1524</v>
      </c>
      <c r="E83" s="875" t="s">
        <v>15</v>
      </c>
      <c r="F83" s="780">
        <v>100</v>
      </c>
      <c r="G83" s="982"/>
      <c r="H83" s="622"/>
      <c r="I83" s="982"/>
      <c r="J83" s="622"/>
      <c r="K83" s="982"/>
      <c r="L83" s="622"/>
      <c r="M83" s="982"/>
      <c r="N83" s="880"/>
      <c r="O83" s="1525"/>
      <c r="P83" s="613"/>
      <c r="Q83" s="162"/>
      <c r="R83" s="1956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hidden="1" customHeight="1" x14ac:dyDescent="0.25">
      <c r="A84" s="247">
        <v>45729</v>
      </c>
      <c r="B84" s="882" t="s">
        <v>7511</v>
      </c>
      <c r="C84" s="879" t="s">
        <v>12</v>
      </c>
      <c r="D84" s="879"/>
      <c r="E84" s="875"/>
      <c r="F84" s="780"/>
      <c r="G84" s="982">
        <v>100</v>
      </c>
      <c r="H84" s="622"/>
      <c r="I84" s="982"/>
      <c r="J84" s="622">
        <v>100</v>
      </c>
      <c r="K84" s="982"/>
      <c r="L84" s="853"/>
      <c r="M84" s="982"/>
      <c r="N84" s="622"/>
      <c r="O84" s="1063"/>
      <c r="P84" s="622"/>
      <c r="Q84" s="982"/>
      <c r="R84" s="927"/>
      <c r="S84" s="927"/>
      <c r="T84" s="878"/>
    </row>
    <row r="85" spans="1:42" s="224" customFormat="1" ht="15" customHeight="1" x14ac:dyDescent="0.25">
      <c r="A85" s="247">
        <v>45729</v>
      </c>
      <c r="B85" s="882" t="s">
        <v>7523</v>
      </c>
      <c r="C85" s="879" t="s">
        <v>12</v>
      </c>
      <c r="D85" s="879" t="s">
        <v>1524</v>
      </c>
      <c r="E85" s="875" t="s">
        <v>15</v>
      </c>
      <c r="F85" s="780">
        <v>100</v>
      </c>
      <c r="G85" s="982"/>
      <c r="H85" s="622"/>
      <c r="I85" s="982"/>
      <c r="J85" s="622"/>
      <c r="K85" s="982"/>
      <c r="L85" s="622"/>
      <c r="M85" s="982"/>
      <c r="N85" s="880"/>
      <c r="O85" s="1525"/>
      <c r="P85" s="613"/>
      <c r="Q85" s="162"/>
      <c r="R85" s="1956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hidden="1" customHeight="1" x14ac:dyDescent="0.25">
      <c r="A86" s="247">
        <v>45729</v>
      </c>
      <c r="B86" s="882" t="s">
        <v>43</v>
      </c>
      <c r="C86" s="879" t="s">
        <v>12</v>
      </c>
      <c r="D86" s="879" t="s">
        <v>1493</v>
      </c>
      <c r="E86" s="480" t="s">
        <v>13</v>
      </c>
      <c r="F86" s="613">
        <v>17</v>
      </c>
      <c r="G86" s="967"/>
      <c r="H86" s="1008"/>
      <c r="I86" s="1063"/>
      <c r="J86" s="622"/>
      <c r="K86" s="982"/>
      <c r="L86" s="880"/>
      <c r="M86" s="1033"/>
      <c r="N86" s="880"/>
      <c r="O86" s="1525"/>
      <c r="P86" s="613"/>
      <c r="Q86" s="162"/>
      <c r="R86" s="195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pans="1:42" s="224" customFormat="1" ht="15" hidden="1" customHeight="1" x14ac:dyDescent="0.25">
      <c r="A87" s="247">
        <v>45729</v>
      </c>
      <c r="B87" s="882" t="s">
        <v>7511</v>
      </c>
      <c r="C87" s="879" t="s">
        <v>12</v>
      </c>
      <c r="D87" s="879"/>
      <c r="E87" s="875"/>
      <c r="F87" s="780"/>
      <c r="G87" s="982">
        <v>537.5</v>
      </c>
      <c r="H87" s="622"/>
      <c r="I87" s="982"/>
      <c r="J87" s="622">
        <v>537.5</v>
      </c>
      <c r="K87" s="982"/>
      <c r="L87" s="853"/>
      <c r="M87" s="982"/>
      <c r="N87" s="622"/>
      <c r="O87" s="1063"/>
      <c r="P87" s="622"/>
      <c r="Q87" s="982"/>
      <c r="R87" s="927"/>
      <c r="S87" s="927"/>
      <c r="T87" s="878"/>
    </row>
    <row r="88" spans="1:42" s="224" customFormat="1" ht="15" customHeight="1" x14ac:dyDescent="0.25">
      <c r="A88" s="247">
        <v>45729</v>
      </c>
      <c r="B88" s="882" t="s">
        <v>7526</v>
      </c>
      <c r="C88" s="879" t="s">
        <v>12</v>
      </c>
      <c r="D88" s="879" t="s">
        <v>1524</v>
      </c>
      <c r="E88" s="875" t="s">
        <v>13</v>
      </c>
      <c r="F88" s="780">
        <v>537.5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hidden="1" customHeight="1" x14ac:dyDescent="0.25">
      <c r="A89" s="247">
        <v>45730</v>
      </c>
      <c r="B89" s="882" t="s">
        <v>1369</v>
      </c>
      <c r="C89" s="879" t="s">
        <v>12</v>
      </c>
      <c r="D89" s="879" t="s">
        <v>1489</v>
      </c>
      <c r="E89" s="875" t="s">
        <v>13</v>
      </c>
      <c r="F89" s="780">
        <v>15.49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hidden="1" customHeight="1" x14ac:dyDescent="0.25">
      <c r="A90" s="247">
        <v>45730</v>
      </c>
      <c r="B90" s="882" t="s">
        <v>2270</v>
      </c>
      <c r="C90" s="879" t="s">
        <v>12</v>
      </c>
      <c r="D90" s="879" t="s">
        <v>1493</v>
      </c>
      <c r="E90" s="871" t="s">
        <v>13</v>
      </c>
      <c r="F90" s="780">
        <v>28</v>
      </c>
      <c r="G90" s="982"/>
      <c r="H90" s="622"/>
      <c r="I90" s="982"/>
      <c r="J90" s="872"/>
      <c r="K90" s="1207"/>
      <c r="L90" s="622"/>
      <c r="M90" s="982"/>
      <c r="N90" s="622"/>
      <c r="O90" s="1063"/>
      <c r="P90" s="622"/>
      <c r="Q90" s="982"/>
      <c r="R90" s="1028"/>
      <c r="S90" s="959"/>
      <c r="T90" s="878"/>
      <c r="U90" s="958"/>
    </row>
    <row r="91" spans="1:42" s="224" customFormat="1" ht="15" hidden="1" customHeight="1" x14ac:dyDescent="0.25">
      <c r="A91" s="247">
        <v>45730</v>
      </c>
      <c r="B91" s="882" t="s">
        <v>103</v>
      </c>
      <c r="C91" s="879" t="s">
        <v>12</v>
      </c>
      <c r="D91" s="879" t="s">
        <v>1489</v>
      </c>
      <c r="E91" s="871" t="s">
        <v>13</v>
      </c>
      <c r="F91" s="780">
        <v>16</v>
      </c>
      <c r="G91" s="982"/>
      <c r="H91" s="622"/>
      <c r="I91" s="982"/>
      <c r="J91" s="872"/>
      <c r="K91" s="1207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idden="1" x14ac:dyDescent="0.25">
      <c r="A92" s="247">
        <v>45731</v>
      </c>
      <c r="B92" s="882" t="s">
        <v>14</v>
      </c>
      <c r="C92" s="879" t="s">
        <v>12</v>
      </c>
      <c r="D92" s="879" t="s">
        <v>1486</v>
      </c>
      <c r="E92" s="871" t="s">
        <v>13</v>
      </c>
      <c r="F92" s="780">
        <v>8.1300000000000008</v>
      </c>
      <c r="G92" s="982"/>
      <c r="H92" s="1008"/>
      <c r="I92" s="1063"/>
      <c r="J92" s="622"/>
      <c r="K92" s="982"/>
      <c r="L92" s="622"/>
      <c r="M92" s="982"/>
      <c r="N92" s="622"/>
      <c r="O92" s="1063"/>
      <c r="P92" s="622"/>
      <c r="Q92" s="982"/>
      <c r="R92" s="1028"/>
      <c r="T92" s="878"/>
    </row>
    <row r="93" spans="1:42" s="224" customFormat="1" hidden="1" x14ac:dyDescent="0.25">
      <c r="A93" s="247">
        <v>45731</v>
      </c>
      <c r="B93" s="882" t="s">
        <v>7230</v>
      </c>
      <c r="C93" s="879" t="s">
        <v>12</v>
      </c>
      <c r="D93" s="879" t="s">
        <v>1489</v>
      </c>
      <c r="E93" s="871" t="s">
        <v>13</v>
      </c>
      <c r="F93" s="780">
        <v>13</v>
      </c>
      <c r="G93" s="982"/>
      <c r="H93" s="1008"/>
      <c r="I93" s="1063"/>
      <c r="J93" s="622"/>
      <c r="K93" s="982"/>
      <c r="L93" s="622"/>
      <c r="M93" s="982"/>
      <c r="N93" s="622"/>
      <c r="O93" s="1063"/>
      <c r="P93" s="622"/>
      <c r="Q93" s="982"/>
      <c r="R93" s="1028"/>
      <c r="T93" s="878"/>
    </row>
    <row r="94" spans="1:42" s="224" customFormat="1" ht="15" hidden="1" customHeight="1" x14ac:dyDescent="0.25">
      <c r="A94" s="247">
        <v>45731</v>
      </c>
      <c r="B94" s="1275" t="s">
        <v>32</v>
      </c>
      <c r="C94" s="1276" t="s">
        <v>12</v>
      </c>
      <c r="D94" s="1276" t="s">
        <v>1485</v>
      </c>
      <c r="E94" s="1286" t="s">
        <v>13</v>
      </c>
      <c r="F94" s="613">
        <v>20</v>
      </c>
      <c r="G94" s="967"/>
      <c r="H94" s="1008"/>
      <c r="I94" s="1063"/>
      <c r="J94" s="613"/>
      <c r="K94" s="6"/>
      <c r="L94" s="622"/>
      <c r="M94" s="982"/>
      <c r="N94" s="622"/>
      <c r="O94" s="1063"/>
      <c r="P94" s="613"/>
      <c r="Q94" s="64"/>
      <c r="R94" s="102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hidden="1" customHeight="1" x14ac:dyDescent="0.25">
      <c r="A95" s="247">
        <v>45731</v>
      </c>
      <c r="B95" s="1275" t="s">
        <v>1906</v>
      </c>
      <c r="C95" s="1276" t="s">
        <v>12</v>
      </c>
      <c r="D95" s="1276" t="s">
        <v>1493</v>
      </c>
      <c r="E95" s="1286" t="s">
        <v>13</v>
      </c>
      <c r="F95" s="613">
        <v>39.4</v>
      </c>
      <c r="G95" s="967"/>
      <c r="H95" s="1008"/>
      <c r="I95" s="1063"/>
      <c r="J95" s="613"/>
      <c r="K95" s="6"/>
      <c r="L95" s="622"/>
      <c r="M95" s="982"/>
      <c r="N95" s="622"/>
      <c r="O95" s="1063"/>
      <c r="P95" s="613"/>
      <c r="Q95" s="64"/>
      <c r="R95" s="1024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</row>
    <row r="96" spans="1:42" s="224" customFormat="1" hidden="1" x14ac:dyDescent="0.25">
      <c r="A96" s="247">
        <v>45732</v>
      </c>
      <c r="B96" s="882" t="s">
        <v>14</v>
      </c>
      <c r="C96" s="879" t="s">
        <v>12</v>
      </c>
      <c r="D96" s="879" t="s">
        <v>1486</v>
      </c>
      <c r="E96" s="871" t="s">
        <v>13</v>
      </c>
      <c r="F96" s="780">
        <v>8.92</v>
      </c>
      <c r="G96" s="982"/>
      <c r="H96" s="1008"/>
      <c r="I96" s="1063"/>
      <c r="J96" s="622"/>
      <c r="K96" s="982"/>
      <c r="L96" s="622"/>
      <c r="M96" s="982"/>
      <c r="N96" s="622"/>
      <c r="O96" s="1063"/>
      <c r="P96" s="622"/>
      <c r="Q96" s="982"/>
      <c r="R96" s="1028"/>
      <c r="T96" s="878"/>
    </row>
    <row r="97" spans="1:42" s="224" customFormat="1" ht="15" hidden="1" customHeight="1" x14ac:dyDescent="0.25">
      <c r="A97" s="247">
        <v>45732</v>
      </c>
      <c r="B97" s="882" t="s">
        <v>525</v>
      </c>
      <c r="C97" s="879" t="s">
        <v>12</v>
      </c>
      <c r="D97" s="879" t="s">
        <v>1493</v>
      </c>
      <c r="E97" s="875" t="s">
        <v>13</v>
      </c>
      <c r="F97" s="780">
        <v>19.8</v>
      </c>
      <c r="G97" s="982"/>
      <c r="H97" s="622"/>
      <c r="I97" s="982"/>
      <c r="J97" s="622"/>
      <c r="K97" s="982"/>
      <c r="L97" s="622"/>
      <c r="M97" s="982"/>
      <c r="N97" s="880"/>
      <c r="O97" s="1525"/>
      <c r="P97" s="613"/>
      <c r="Q97" s="162"/>
      <c r="R97" s="1956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pans="1:42" s="224" customFormat="1" ht="15" hidden="1" customHeight="1" x14ac:dyDescent="0.25">
      <c r="A98" s="247">
        <v>45733</v>
      </c>
      <c r="B98" s="882" t="s">
        <v>7511</v>
      </c>
      <c r="C98" s="879" t="s">
        <v>12</v>
      </c>
      <c r="D98" s="879"/>
      <c r="E98" s="875"/>
      <c r="F98" s="780"/>
      <c r="G98" s="982">
        <v>1000</v>
      </c>
      <c r="H98" s="622"/>
      <c r="I98" s="982"/>
      <c r="J98" s="622">
        <v>1000</v>
      </c>
      <c r="K98" s="982"/>
      <c r="L98" s="853"/>
      <c r="M98" s="982"/>
      <c r="N98" s="622"/>
      <c r="O98" s="1063"/>
      <c r="P98" s="622"/>
      <c r="Q98" s="982"/>
      <c r="R98" s="927"/>
      <c r="S98" s="927"/>
      <c r="T98" s="878"/>
    </row>
    <row r="99" spans="1:42" s="224" customFormat="1" ht="15" customHeight="1" x14ac:dyDescent="0.25">
      <c r="A99" s="247">
        <v>45733</v>
      </c>
      <c r="B99" s="882" t="s">
        <v>7536</v>
      </c>
      <c r="C99" s="879" t="s">
        <v>12</v>
      </c>
      <c r="D99" s="879" t="s">
        <v>1524</v>
      </c>
      <c r="E99" s="875" t="s">
        <v>13</v>
      </c>
      <c r="F99" s="780">
        <v>1000</v>
      </c>
      <c r="G99" s="982"/>
      <c r="H99" s="622"/>
      <c r="I99" s="982"/>
      <c r="J99" s="622"/>
      <c r="K99" s="982"/>
      <c r="L99" s="622"/>
      <c r="M99" s="982"/>
      <c r="N99" s="880"/>
      <c r="O99" s="1525"/>
      <c r="P99" s="613"/>
      <c r="Q99" s="162"/>
      <c r="R99" s="1956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idden="1" x14ac:dyDescent="0.25">
      <c r="A100" s="247">
        <v>45733</v>
      </c>
      <c r="B100" s="364" t="s">
        <v>2789</v>
      </c>
      <c r="C100" s="350" t="s">
        <v>12</v>
      </c>
      <c r="D100" s="350" t="s">
        <v>1485</v>
      </c>
      <c r="E100" s="875" t="s">
        <v>13</v>
      </c>
      <c r="F100" s="780">
        <v>14</v>
      </c>
      <c r="G100" s="982"/>
      <c r="H100" s="1008"/>
      <c r="I100" s="1063"/>
      <c r="J100" s="2013"/>
      <c r="K100" s="1207"/>
      <c r="L100" s="622"/>
      <c r="M100" s="982"/>
      <c r="N100" s="622"/>
      <c r="O100" s="1063"/>
      <c r="P100" s="622"/>
      <c r="Q100" s="982"/>
      <c r="R100" s="861"/>
      <c r="T100" s="878"/>
    </row>
    <row r="101" spans="1:42" s="224" customFormat="1" ht="15" hidden="1" customHeight="1" x14ac:dyDescent="0.25">
      <c r="A101" s="247">
        <v>45733</v>
      </c>
      <c r="B101" s="882" t="s">
        <v>14</v>
      </c>
      <c r="C101" s="879" t="s">
        <v>12</v>
      </c>
      <c r="D101" s="879" t="s">
        <v>1486</v>
      </c>
      <c r="E101" s="871" t="s">
        <v>13</v>
      </c>
      <c r="F101" s="780">
        <v>4.67</v>
      </c>
      <c r="G101" s="982"/>
      <c r="H101" s="622"/>
      <c r="I101" s="982"/>
      <c r="J101" s="872"/>
      <c r="K101" s="1207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hidden="1" customHeight="1" x14ac:dyDescent="0.25">
      <c r="A102" s="247">
        <v>45734</v>
      </c>
      <c r="B102" s="882" t="s">
        <v>7511</v>
      </c>
      <c r="C102" s="879" t="s">
        <v>12</v>
      </c>
      <c r="D102" s="879"/>
      <c r="E102" s="875"/>
      <c r="F102" s="780"/>
      <c r="G102" s="982">
        <v>50</v>
      </c>
      <c r="H102" s="622"/>
      <c r="I102" s="982"/>
      <c r="J102" s="622">
        <v>50</v>
      </c>
      <c r="K102" s="982"/>
      <c r="L102" s="853"/>
      <c r="M102" s="982"/>
      <c r="N102" s="622"/>
      <c r="O102" s="1063"/>
      <c r="P102" s="622"/>
      <c r="Q102" s="982"/>
      <c r="R102" s="927"/>
      <c r="S102" s="927"/>
      <c r="T102" s="878"/>
    </row>
    <row r="103" spans="1:42" s="224" customFormat="1" ht="15" customHeight="1" x14ac:dyDescent="0.25">
      <c r="A103" s="247">
        <v>45734</v>
      </c>
      <c r="B103" s="882" t="s">
        <v>7475</v>
      </c>
      <c r="C103" s="879" t="s">
        <v>12</v>
      </c>
      <c r="D103" s="879" t="s">
        <v>1524</v>
      </c>
      <c r="E103" s="875" t="s">
        <v>15</v>
      </c>
      <c r="F103" s="780">
        <v>50</v>
      </c>
      <c r="G103" s="982"/>
      <c r="H103" s="622"/>
      <c r="I103" s="982"/>
      <c r="J103" s="622"/>
      <c r="K103" s="982"/>
      <c r="L103" s="622"/>
      <c r="M103" s="982"/>
      <c r="N103" s="880"/>
      <c r="O103" s="1525"/>
      <c r="P103" s="613"/>
      <c r="Q103" s="162"/>
      <c r="R103" s="1956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</row>
    <row r="104" spans="1:42" s="224" customFormat="1" ht="15" hidden="1" customHeight="1" x14ac:dyDescent="0.25">
      <c r="A104" s="247">
        <v>45734</v>
      </c>
      <c r="B104" s="882" t="s">
        <v>6329</v>
      </c>
      <c r="C104" s="879" t="s">
        <v>12</v>
      </c>
      <c r="D104" s="879"/>
      <c r="E104" s="875" t="s">
        <v>25</v>
      </c>
      <c r="F104" s="780"/>
      <c r="G104" s="982">
        <v>100</v>
      </c>
      <c r="H104" s="1008"/>
      <c r="I104" s="1063"/>
      <c r="J104" s="613"/>
      <c r="K104" s="982"/>
      <c r="L104" s="622"/>
      <c r="M104" s="982"/>
      <c r="N104" s="622"/>
      <c r="O104" s="1063"/>
      <c r="P104" s="622"/>
      <c r="Q104" s="982"/>
      <c r="R104" s="861"/>
    </row>
    <row r="105" spans="1:42" s="224" customFormat="1" ht="15" hidden="1" customHeight="1" x14ac:dyDescent="0.25">
      <c r="A105" s="247">
        <v>45734</v>
      </c>
      <c r="B105" s="1275" t="s">
        <v>32</v>
      </c>
      <c r="C105" s="1276" t="s">
        <v>12</v>
      </c>
      <c r="D105" s="1276" t="s">
        <v>1485</v>
      </c>
      <c r="E105" s="1286" t="s">
        <v>13</v>
      </c>
      <c r="F105" s="613">
        <v>22</v>
      </c>
      <c r="G105" s="967"/>
      <c r="H105" s="1008"/>
      <c r="I105" s="1063"/>
      <c r="J105" s="613"/>
      <c r="K105" s="6"/>
      <c r="L105" s="622"/>
      <c r="M105" s="982"/>
      <c r="N105" s="622"/>
      <c r="O105" s="1063"/>
      <c r="P105" s="613"/>
      <c r="Q105" s="64"/>
      <c r="R105" s="1024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</row>
    <row r="106" spans="1:42" s="224" customFormat="1" ht="15" hidden="1" customHeight="1" x14ac:dyDescent="0.25">
      <c r="A106" s="247">
        <v>45734</v>
      </c>
      <c r="B106" s="1275" t="s">
        <v>7410</v>
      </c>
      <c r="C106" s="1276" t="s">
        <v>12</v>
      </c>
      <c r="D106" s="1276"/>
      <c r="E106" s="1286" t="s">
        <v>13</v>
      </c>
      <c r="F106" s="613">
        <v>120.78</v>
      </c>
      <c r="G106" s="967"/>
      <c r="H106" s="1008"/>
      <c r="I106" s="1063"/>
      <c r="J106" s="613"/>
      <c r="K106" s="6"/>
      <c r="L106" s="622"/>
      <c r="M106" s="982"/>
      <c r="N106" s="622"/>
      <c r="O106" s="1063"/>
      <c r="P106" s="613"/>
      <c r="Q106" s="64"/>
      <c r="R106" s="1024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</row>
    <row r="107" spans="1:42" s="224" customFormat="1" ht="15" hidden="1" customHeight="1" x14ac:dyDescent="0.25">
      <c r="A107" s="247">
        <v>45734</v>
      </c>
      <c r="B107" s="1275" t="s">
        <v>6755</v>
      </c>
      <c r="C107" s="1276" t="s">
        <v>12</v>
      </c>
      <c r="D107" s="1276"/>
      <c r="E107" s="1286"/>
      <c r="F107" s="613"/>
      <c r="G107" s="967">
        <v>120.78</v>
      </c>
      <c r="H107" s="1008"/>
      <c r="I107" s="1063"/>
      <c r="J107" s="613"/>
      <c r="K107" s="6"/>
      <c r="L107" s="622"/>
      <c r="M107" s="982"/>
      <c r="N107" s="622"/>
      <c r="O107" s="1063"/>
      <c r="P107" s="613"/>
      <c r="Q107" s="64"/>
      <c r="R107" s="1024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</row>
    <row r="108" spans="1:42" s="224" customFormat="1" ht="15" hidden="1" customHeight="1" x14ac:dyDescent="0.25">
      <c r="A108" s="247">
        <v>45735</v>
      </c>
      <c r="B108" s="1275" t="s">
        <v>32</v>
      </c>
      <c r="C108" s="1276" t="s">
        <v>12</v>
      </c>
      <c r="D108" s="1276" t="s">
        <v>1485</v>
      </c>
      <c r="E108" s="1286" t="s">
        <v>13</v>
      </c>
      <c r="F108" s="780">
        <v>25</v>
      </c>
      <c r="G108" s="982"/>
      <c r="H108" s="622"/>
      <c r="I108" s="982"/>
      <c r="J108" s="622"/>
      <c r="K108" s="982"/>
      <c r="L108" s="622"/>
      <c r="M108" s="982"/>
      <c r="N108" s="880"/>
      <c r="O108" s="1525"/>
      <c r="P108" s="613"/>
      <c r="Q108" s="162"/>
      <c r="R108" s="1956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</row>
    <row r="109" spans="1:42" s="224" customFormat="1" ht="15" hidden="1" customHeight="1" x14ac:dyDescent="0.25">
      <c r="A109" s="247">
        <v>45735</v>
      </c>
      <c r="B109" s="1275" t="s">
        <v>7550</v>
      </c>
      <c r="C109" s="1276" t="s">
        <v>12</v>
      </c>
      <c r="D109" s="1276" t="s">
        <v>1525</v>
      </c>
      <c r="E109" s="1286" t="s">
        <v>13</v>
      </c>
      <c r="F109" s="780">
        <v>29</v>
      </c>
      <c r="G109" s="982"/>
      <c r="H109" s="622"/>
      <c r="I109" s="982"/>
      <c r="J109" s="622"/>
      <c r="K109" s="982"/>
      <c r="L109" s="622"/>
      <c r="M109" s="982"/>
      <c r="N109" s="880"/>
      <c r="O109" s="1525"/>
      <c r="P109" s="613"/>
      <c r="Q109" s="162"/>
      <c r="R109" s="1956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</row>
    <row r="110" spans="1:42" s="224" customFormat="1" ht="15" hidden="1" customHeight="1" x14ac:dyDescent="0.25">
      <c r="A110" s="247">
        <v>45736</v>
      </c>
      <c r="B110" s="882" t="s">
        <v>7419</v>
      </c>
      <c r="C110" s="350" t="s">
        <v>12</v>
      </c>
      <c r="D110" s="350"/>
      <c r="E110" s="480" t="s">
        <v>25</v>
      </c>
      <c r="F110" s="622"/>
      <c r="G110" s="982">
        <v>2520</v>
      </c>
      <c r="H110" s="1008"/>
      <c r="I110" s="1063"/>
      <c r="J110" s="622"/>
      <c r="K110" s="982"/>
      <c r="L110" s="622"/>
      <c r="M110" s="982"/>
      <c r="N110" s="622"/>
      <c r="O110" s="1063"/>
      <c r="P110" s="622"/>
      <c r="Q110" s="982"/>
      <c r="R110" s="861"/>
    </row>
    <row r="111" spans="1:42" s="224" customFormat="1" ht="15" hidden="1" customHeight="1" x14ac:dyDescent="0.25">
      <c r="A111" s="247">
        <v>45736</v>
      </c>
      <c r="B111" s="364" t="s">
        <v>7420</v>
      </c>
      <c r="C111" s="879" t="s">
        <v>12</v>
      </c>
      <c r="D111" s="879"/>
      <c r="E111" s="983" t="s">
        <v>25</v>
      </c>
      <c r="F111" s="780"/>
      <c r="G111" s="982"/>
      <c r="H111" s="622"/>
      <c r="I111" s="982"/>
      <c r="J111" s="2013"/>
      <c r="K111" s="1207"/>
      <c r="L111" s="622"/>
      <c r="M111" s="982"/>
      <c r="N111" s="622"/>
      <c r="O111" s="1063"/>
      <c r="P111" s="622"/>
      <c r="Q111" s="982">
        <v>504</v>
      </c>
      <c r="R111" s="927"/>
      <c r="S111" s="927"/>
      <c r="T111" s="878"/>
    </row>
    <row r="112" spans="1:42" s="224" customFormat="1" ht="15" hidden="1" customHeight="1" x14ac:dyDescent="0.25">
      <c r="A112" s="247">
        <v>45736</v>
      </c>
      <c r="B112" s="364" t="s">
        <v>3354</v>
      </c>
      <c r="C112" s="350" t="s">
        <v>12</v>
      </c>
      <c r="D112" s="350"/>
      <c r="E112" s="145" t="s">
        <v>25</v>
      </c>
      <c r="F112" s="613"/>
      <c r="G112" s="967"/>
      <c r="H112" s="1008"/>
      <c r="I112" s="1063"/>
      <c r="J112" s="622"/>
      <c r="K112" s="982"/>
      <c r="L112" s="880"/>
      <c r="M112" s="1033"/>
      <c r="N112" s="880"/>
      <c r="O112" s="1525"/>
      <c r="P112" s="613"/>
      <c r="Q112" s="162">
        <v>210.04</v>
      </c>
      <c r="R112" s="2018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</row>
    <row r="113" spans="1:26" s="224" customFormat="1" ht="15" hidden="1" customHeight="1" x14ac:dyDescent="0.25">
      <c r="A113" s="247">
        <v>45736</v>
      </c>
      <c r="B113" s="862" t="s">
        <v>2867</v>
      </c>
      <c r="C113" s="350" t="s">
        <v>12</v>
      </c>
      <c r="D113" s="874" t="s">
        <v>1504</v>
      </c>
      <c r="E113" s="887" t="s">
        <v>13</v>
      </c>
      <c r="F113" s="780">
        <v>80</v>
      </c>
      <c r="G113" s="982"/>
      <c r="H113" s="1009"/>
      <c r="I113" s="1063"/>
      <c r="J113" s="622"/>
      <c r="K113" s="982"/>
      <c r="L113" s="853"/>
      <c r="M113" s="982"/>
      <c r="N113" s="853"/>
      <c r="O113" s="1063"/>
      <c r="P113" s="622"/>
      <c r="Q113" s="982"/>
      <c r="R113" s="1690" t="s">
        <v>7577</v>
      </c>
      <c r="S113" s="1690"/>
      <c r="T113" s="1690"/>
      <c r="U113" s="1690"/>
      <c r="V113" s="1690"/>
      <c r="W113" s="1690"/>
      <c r="X113" s="1690"/>
      <c r="Y113" s="1690"/>
      <c r="Z113" s="1690"/>
    </row>
    <row r="114" spans="1:26" s="224" customFormat="1" ht="14.25" hidden="1" customHeight="1" x14ac:dyDescent="0.25">
      <c r="A114" s="247">
        <v>45736</v>
      </c>
      <c r="B114" s="364" t="s">
        <v>2977</v>
      </c>
      <c r="C114" s="350" t="s">
        <v>12</v>
      </c>
      <c r="D114" s="350" t="s">
        <v>1491</v>
      </c>
      <c r="E114" s="875" t="s">
        <v>13</v>
      </c>
      <c r="F114" s="1047">
        <v>400</v>
      </c>
      <c r="G114" s="982"/>
      <c r="H114" s="1008"/>
      <c r="I114" s="1063"/>
      <c r="J114" s="622"/>
      <c r="K114" s="982"/>
      <c r="L114" s="622"/>
      <c r="M114" s="982"/>
      <c r="N114" s="622"/>
      <c r="O114" s="1063"/>
      <c r="P114" s="622"/>
      <c r="Q114" s="982"/>
      <c r="R114" s="1029"/>
      <c r="S114" s="89"/>
      <c r="T114" s="930"/>
    </row>
    <row r="115" spans="1:26" s="224" customFormat="1" ht="15" hidden="1" customHeight="1" x14ac:dyDescent="0.25">
      <c r="A115" s="247">
        <v>45736</v>
      </c>
      <c r="B115" s="349" t="s">
        <v>7421</v>
      </c>
      <c r="C115" s="887" t="s">
        <v>12</v>
      </c>
      <c r="D115" s="350" t="s">
        <v>1491</v>
      </c>
      <c r="E115" s="887" t="s">
        <v>13</v>
      </c>
      <c r="F115" s="613">
        <v>33.979999999999997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26" s="224" customFormat="1" ht="15" hidden="1" customHeight="1" x14ac:dyDescent="0.25">
      <c r="A116" s="247">
        <v>45736</v>
      </c>
      <c r="B116" s="349" t="s">
        <v>7421</v>
      </c>
      <c r="C116" s="887" t="s">
        <v>12</v>
      </c>
      <c r="D116" s="350" t="s">
        <v>1504</v>
      </c>
      <c r="E116" s="887" t="s">
        <v>13</v>
      </c>
      <c r="F116" s="613">
        <v>40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26" s="224" customFormat="1" ht="15" hidden="1" customHeight="1" x14ac:dyDescent="0.25">
      <c r="A117" s="247">
        <v>45736</v>
      </c>
      <c r="B117" s="349" t="s">
        <v>7421</v>
      </c>
      <c r="C117" s="887" t="s">
        <v>12</v>
      </c>
      <c r="D117" s="350" t="s">
        <v>1504</v>
      </c>
      <c r="E117" s="887" t="s">
        <v>13</v>
      </c>
      <c r="F117" s="613">
        <v>45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26" s="224" customFormat="1" ht="15" hidden="1" customHeight="1" x14ac:dyDescent="0.25">
      <c r="A118" s="247">
        <v>45736</v>
      </c>
      <c r="B118" s="349" t="s">
        <v>7421</v>
      </c>
      <c r="C118" s="887" t="s">
        <v>12</v>
      </c>
      <c r="D118" s="350" t="s">
        <v>1504</v>
      </c>
      <c r="E118" s="887" t="s">
        <v>13</v>
      </c>
      <c r="F118" s="613">
        <v>29.806666666666668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26" s="224" customFormat="1" ht="15" hidden="1" customHeight="1" x14ac:dyDescent="0.25">
      <c r="A119" s="247">
        <v>45736</v>
      </c>
      <c r="B119" s="349" t="s">
        <v>7421</v>
      </c>
      <c r="C119" s="887" t="s">
        <v>12</v>
      </c>
      <c r="D119" s="350" t="s">
        <v>1504</v>
      </c>
      <c r="E119" s="887" t="s">
        <v>13</v>
      </c>
      <c r="F119" s="613">
        <v>7.99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26" s="224" customFormat="1" ht="15" hidden="1" customHeight="1" x14ac:dyDescent="0.25">
      <c r="A120" s="247">
        <v>45736</v>
      </c>
      <c r="B120" s="349" t="s">
        <v>7421</v>
      </c>
      <c r="C120" s="887" t="s">
        <v>12</v>
      </c>
      <c r="D120" s="350" t="s">
        <v>1506</v>
      </c>
      <c r="E120" s="887" t="s">
        <v>13</v>
      </c>
      <c r="F120" s="613">
        <v>80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927"/>
      <c r="S120" s="999"/>
      <c r="T120" s="878"/>
    </row>
    <row r="121" spans="1:26" s="224" customFormat="1" ht="15" hidden="1" customHeight="1" x14ac:dyDescent="0.25">
      <c r="A121" s="247">
        <v>45736</v>
      </c>
      <c r="B121" s="349" t="s">
        <v>7421</v>
      </c>
      <c r="C121" s="887" t="s">
        <v>12</v>
      </c>
      <c r="D121" s="350" t="s">
        <v>1506</v>
      </c>
      <c r="E121" s="887" t="s">
        <v>13</v>
      </c>
      <c r="F121" s="613">
        <v>100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927"/>
      <c r="S121" s="999"/>
      <c r="T121" s="878"/>
    </row>
    <row r="122" spans="1:26" s="224" customFormat="1" ht="15" hidden="1" customHeight="1" x14ac:dyDescent="0.25">
      <c r="A122" s="247">
        <v>45736</v>
      </c>
      <c r="B122" s="349" t="s">
        <v>7421</v>
      </c>
      <c r="C122" s="887" t="s">
        <v>12</v>
      </c>
      <c r="D122" s="350" t="s">
        <v>1525</v>
      </c>
      <c r="E122" s="887" t="s">
        <v>13</v>
      </c>
      <c r="F122" s="613">
        <v>63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927"/>
      <c r="S122" s="999"/>
      <c r="T122" s="878"/>
    </row>
    <row r="123" spans="1:26" s="224" customFormat="1" ht="15" hidden="1" customHeight="1" x14ac:dyDescent="0.25">
      <c r="A123" s="247">
        <v>45736</v>
      </c>
      <c r="B123" s="349" t="s">
        <v>7421</v>
      </c>
      <c r="C123" s="887" t="s">
        <v>12</v>
      </c>
      <c r="D123" s="350" t="s">
        <v>1491</v>
      </c>
      <c r="E123" s="887" t="s">
        <v>13</v>
      </c>
      <c r="F123" s="613">
        <v>50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927"/>
      <c r="S123" s="999"/>
      <c r="T123" s="878"/>
    </row>
    <row r="124" spans="1:26" s="224" customFormat="1" ht="15" customHeight="1" x14ac:dyDescent="0.25">
      <c r="A124" s="247">
        <v>45736</v>
      </c>
      <c r="B124" s="349" t="s">
        <v>7421</v>
      </c>
      <c r="C124" s="887" t="s">
        <v>12</v>
      </c>
      <c r="D124" s="350" t="s">
        <v>1524</v>
      </c>
      <c r="E124" s="887" t="s">
        <v>13</v>
      </c>
      <c r="F124" s="613">
        <v>474.9</v>
      </c>
      <c r="G124" s="982"/>
      <c r="H124" s="872"/>
      <c r="I124" s="1063"/>
      <c r="J124" s="622"/>
      <c r="K124" s="982"/>
      <c r="L124" s="622"/>
      <c r="M124" s="982"/>
      <c r="N124" s="622"/>
      <c r="O124" s="1063"/>
      <c r="P124" s="622"/>
      <c r="Q124" s="982"/>
      <c r="R124" s="927"/>
      <c r="S124" s="999"/>
      <c r="T124" s="878"/>
    </row>
    <row r="125" spans="1:26" s="224" customFormat="1" ht="15" customHeight="1" x14ac:dyDescent="0.25">
      <c r="A125" s="247">
        <v>45736</v>
      </c>
      <c r="B125" s="349" t="s">
        <v>7421</v>
      </c>
      <c r="C125" s="887" t="s">
        <v>12</v>
      </c>
      <c r="D125" s="350" t="s">
        <v>1524</v>
      </c>
      <c r="E125" s="887" t="s">
        <v>13</v>
      </c>
      <c r="F125" s="613">
        <v>54.8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927"/>
      <c r="S125" s="999"/>
      <c r="T125" s="878"/>
    </row>
    <row r="126" spans="1:26" s="224" customFormat="1" ht="15" customHeight="1" x14ac:dyDescent="0.25">
      <c r="A126" s="247">
        <v>45736</v>
      </c>
      <c r="B126" s="349" t="s">
        <v>7421</v>
      </c>
      <c r="C126" s="887" t="s">
        <v>12</v>
      </c>
      <c r="D126" s="1005" t="s">
        <v>1524</v>
      </c>
      <c r="E126" s="887" t="s">
        <v>13</v>
      </c>
      <c r="F126" s="1116">
        <v>474.9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927"/>
      <c r="S126" s="999"/>
      <c r="T126" s="878"/>
    </row>
    <row r="127" spans="1:26" s="224" customFormat="1" ht="15" customHeight="1" x14ac:dyDescent="0.25">
      <c r="A127" s="247">
        <v>45736</v>
      </c>
      <c r="B127" s="349" t="s">
        <v>7421</v>
      </c>
      <c r="C127" s="887" t="s">
        <v>12</v>
      </c>
      <c r="D127" s="350" t="s">
        <v>1524</v>
      </c>
      <c r="E127" s="887" t="s">
        <v>13</v>
      </c>
      <c r="F127" s="613">
        <v>54.8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927"/>
      <c r="S127" s="999"/>
      <c r="T127" s="878"/>
    </row>
    <row r="128" spans="1:26" s="224" customFormat="1" ht="15" customHeight="1" x14ac:dyDescent="0.25">
      <c r="A128" s="247">
        <v>45736</v>
      </c>
      <c r="B128" s="349" t="s">
        <v>7421</v>
      </c>
      <c r="C128" s="887" t="s">
        <v>12</v>
      </c>
      <c r="D128" s="350" t="s">
        <v>1524</v>
      </c>
      <c r="E128" s="887" t="s">
        <v>13</v>
      </c>
      <c r="F128" s="613">
        <v>149.76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927"/>
      <c r="S128" s="999"/>
      <c r="T128" s="878"/>
    </row>
    <row r="129" spans="1:42" s="224" customFormat="1" ht="15" hidden="1" customHeight="1" x14ac:dyDescent="0.25">
      <c r="A129" s="247">
        <v>45736</v>
      </c>
      <c r="B129" s="882" t="s">
        <v>7422</v>
      </c>
      <c r="C129" s="879" t="s">
        <v>12</v>
      </c>
      <c r="D129" s="879" t="s">
        <v>1499</v>
      </c>
      <c r="E129" s="871" t="s">
        <v>13</v>
      </c>
      <c r="F129" s="780">
        <v>0</v>
      </c>
      <c r="G129" s="982"/>
      <c r="H129" s="1008"/>
      <c r="I129" s="1063"/>
      <c r="J129" s="622"/>
      <c r="K129" s="982"/>
      <c r="L129" s="622"/>
      <c r="M129" s="982"/>
      <c r="N129" s="622"/>
      <c r="O129" s="1063"/>
      <c r="P129" s="622"/>
      <c r="Q129" s="982"/>
      <c r="R129" s="1028" t="s">
        <v>7558</v>
      </c>
      <c r="T129" s="1123"/>
      <c r="U129" s="999"/>
    </row>
    <row r="130" spans="1:42" s="224" customFormat="1" ht="15" hidden="1" customHeight="1" x14ac:dyDescent="0.25">
      <c r="A130" s="247">
        <v>45736</v>
      </c>
      <c r="B130" s="882" t="s">
        <v>6814</v>
      </c>
      <c r="C130" s="879" t="s">
        <v>12</v>
      </c>
      <c r="D130" s="879"/>
      <c r="E130" s="875" t="s">
        <v>13</v>
      </c>
      <c r="F130" s="780"/>
      <c r="G130" s="982">
        <v>1209.1600000000001</v>
      </c>
      <c r="H130" s="1008"/>
      <c r="I130" s="1063"/>
      <c r="J130" s="622">
        <v>1209.1600000000001</v>
      </c>
      <c r="K130" s="982"/>
      <c r="L130" s="622"/>
      <c r="M130" s="982"/>
      <c r="N130" s="622"/>
      <c r="O130" s="1063"/>
      <c r="P130" s="622"/>
      <c r="Q130" s="982"/>
      <c r="R130" s="941"/>
    </row>
    <row r="131" spans="1:42" s="224" customFormat="1" ht="15" hidden="1" customHeight="1" x14ac:dyDescent="0.25">
      <c r="A131" s="247">
        <v>45736</v>
      </c>
      <c r="B131" s="882" t="s">
        <v>6697</v>
      </c>
      <c r="C131" s="879" t="s">
        <v>12</v>
      </c>
      <c r="D131" s="879"/>
      <c r="E131" s="875" t="s">
        <v>13</v>
      </c>
      <c r="F131" s="780">
        <v>1000</v>
      </c>
      <c r="G131" s="982"/>
      <c r="H131" s="95"/>
      <c r="I131" s="1064"/>
      <c r="J131" s="622"/>
      <c r="K131" s="982">
        <v>1000</v>
      </c>
      <c r="L131" s="622"/>
      <c r="M131" s="982"/>
      <c r="N131" s="622"/>
      <c r="O131" s="982"/>
      <c r="P131" s="622"/>
      <c r="Q131" s="982"/>
      <c r="R131" s="1210"/>
      <c r="S131" s="1038"/>
      <c r="T131" s="861"/>
    </row>
    <row r="132" spans="1:42" s="224" customFormat="1" ht="15" hidden="1" customHeight="1" x14ac:dyDescent="0.25">
      <c r="A132" s="247">
        <v>45736</v>
      </c>
      <c r="B132" s="882" t="s">
        <v>7511</v>
      </c>
      <c r="C132" s="879" t="s">
        <v>12</v>
      </c>
      <c r="D132" s="879"/>
      <c r="E132" s="875"/>
      <c r="F132" s="780"/>
      <c r="G132" s="982">
        <v>427</v>
      </c>
      <c r="H132" s="622"/>
      <c r="I132" s="982"/>
      <c r="J132" s="622">
        <v>427</v>
      </c>
      <c r="K132" s="982"/>
      <c r="L132" s="853"/>
      <c r="M132" s="982"/>
      <c r="N132" s="622"/>
      <c r="O132" s="1063"/>
      <c r="P132" s="622"/>
      <c r="Q132" s="982"/>
      <c r="R132" s="927"/>
      <c r="S132" s="927"/>
      <c r="T132" s="878"/>
    </row>
    <row r="133" spans="1:42" s="224" customFormat="1" ht="15" customHeight="1" x14ac:dyDescent="0.25">
      <c r="A133" s="247">
        <v>45736</v>
      </c>
      <c r="B133" s="882" t="s">
        <v>7526</v>
      </c>
      <c r="C133" s="879" t="s">
        <v>12</v>
      </c>
      <c r="D133" s="879" t="s">
        <v>1524</v>
      </c>
      <c r="E133" s="875" t="s">
        <v>13</v>
      </c>
      <c r="F133" s="780">
        <v>427</v>
      </c>
      <c r="G133" s="982"/>
      <c r="H133" s="622"/>
      <c r="I133" s="982"/>
      <c r="J133" s="622"/>
      <c r="K133" s="982"/>
      <c r="L133" s="622"/>
      <c r="M133" s="982"/>
      <c r="N133" s="880"/>
      <c r="O133" s="1525"/>
      <c r="P133" s="613"/>
      <c r="Q133" s="162"/>
      <c r="R133" s="1956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24" customFormat="1" hidden="1" x14ac:dyDescent="0.25">
      <c r="A134" s="247">
        <v>45736</v>
      </c>
      <c r="B134" s="364" t="s">
        <v>2789</v>
      </c>
      <c r="C134" s="350" t="s">
        <v>12</v>
      </c>
      <c r="D134" s="350" t="s">
        <v>1485</v>
      </c>
      <c r="E134" s="875" t="s">
        <v>13</v>
      </c>
      <c r="F134" s="780">
        <v>13</v>
      </c>
      <c r="G134" s="982"/>
      <c r="H134" s="1008"/>
      <c r="I134" s="1063"/>
      <c r="J134" s="2013"/>
      <c r="K134" s="1207"/>
      <c r="L134" s="622"/>
      <c r="M134" s="982"/>
      <c r="N134" s="622"/>
      <c r="O134" s="1063"/>
      <c r="P134" s="622"/>
      <c r="Q134" s="982"/>
      <c r="R134" s="861"/>
      <c r="T134" s="878"/>
    </row>
    <row r="135" spans="1:42" s="224" customFormat="1" ht="15" hidden="1" customHeight="1" x14ac:dyDescent="0.25">
      <c r="A135" s="247">
        <v>45736</v>
      </c>
      <c r="B135" s="882" t="s">
        <v>7540</v>
      </c>
      <c r="C135" s="879" t="s">
        <v>12</v>
      </c>
      <c r="D135" s="879"/>
      <c r="E135" s="875"/>
      <c r="F135" s="780"/>
      <c r="G135" s="982"/>
      <c r="H135" s="95"/>
      <c r="I135" s="1064"/>
      <c r="J135" s="613"/>
      <c r="K135" s="64">
        <v>3021.51</v>
      </c>
      <c r="L135" s="622"/>
      <c r="M135" s="982"/>
      <c r="N135" s="622"/>
      <c r="O135" s="1063"/>
      <c r="P135" s="1116"/>
      <c r="Q135" s="1215"/>
      <c r="R135" s="1028">
        <v>4998</v>
      </c>
      <c r="U135" s="958"/>
    </row>
    <row r="136" spans="1:42" s="224" customFormat="1" ht="15" hidden="1" customHeight="1" x14ac:dyDescent="0.25">
      <c r="A136" s="247">
        <v>45736</v>
      </c>
      <c r="B136" s="882" t="s">
        <v>7541</v>
      </c>
      <c r="C136" s="879" t="s">
        <v>12</v>
      </c>
      <c r="D136" s="879"/>
      <c r="E136" s="875"/>
      <c r="F136" s="780"/>
      <c r="G136" s="982"/>
      <c r="H136" s="95"/>
      <c r="I136" s="1064"/>
      <c r="J136" s="613"/>
      <c r="K136" s="64">
        <v>1976.85</v>
      </c>
      <c r="L136" s="622"/>
      <c r="M136" s="982"/>
      <c r="N136" s="622"/>
      <c r="O136" s="1525"/>
      <c r="P136" s="1116"/>
      <c r="Q136" s="1215"/>
      <c r="R136" s="1028"/>
      <c r="U136" s="958"/>
    </row>
    <row r="137" spans="1:42" s="224" customFormat="1" ht="15" hidden="1" customHeight="1" x14ac:dyDescent="0.25">
      <c r="A137" s="247">
        <v>45736</v>
      </c>
      <c r="B137" s="882" t="s">
        <v>7164</v>
      </c>
      <c r="C137" s="879" t="s">
        <v>12</v>
      </c>
      <c r="D137" s="879"/>
      <c r="E137" s="875"/>
      <c r="F137" s="780">
        <v>160</v>
      </c>
      <c r="G137" s="982"/>
      <c r="H137" s="95"/>
      <c r="I137" s="1064"/>
      <c r="J137" s="622"/>
      <c r="K137" s="982"/>
      <c r="L137" s="622"/>
      <c r="M137" s="982">
        <v>160</v>
      </c>
      <c r="N137" s="622"/>
      <c r="O137" s="1063"/>
      <c r="P137" s="622"/>
      <c r="Q137" s="982"/>
      <c r="R137" s="1028"/>
    </row>
    <row r="138" spans="1:42" s="224" customFormat="1" ht="15" hidden="1" customHeight="1" x14ac:dyDescent="0.25">
      <c r="A138" s="247">
        <v>45737</v>
      </c>
      <c r="B138" s="1275" t="s">
        <v>32</v>
      </c>
      <c r="C138" s="1276" t="s">
        <v>12</v>
      </c>
      <c r="D138" s="1276" t="s">
        <v>1485</v>
      </c>
      <c r="E138" s="1286" t="s">
        <v>13</v>
      </c>
      <c r="F138" s="780">
        <v>22</v>
      </c>
      <c r="G138" s="982"/>
      <c r="H138" s="622"/>
      <c r="I138" s="982"/>
      <c r="J138" s="622"/>
      <c r="K138" s="982"/>
      <c r="L138" s="622"/>
      <c r="M138" s="982"/>
      <c r="N138" s="880"/>
      <c r="O138" s="1525"/>
      <c r="P138" s="613"/>
      <c r="Q138" s="162"/>
      <c r="R138" s="1956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</row>
    <row r="139" spans="1:42" s="224" customFormat="1" ht="15" hidden="1" customHeight="1" x14ac:dyDescent="0.25">
      <c r="A139" s="247">
        <v>45737</v>
      </c>
      <c r="B139" s="882" t="s">
        <v>7568</v>
      </c>
      <c r="C139" s="879" t="s">
        <v>12</v>
      </c>
      <c r="D139" s="879" t="s">
        <v>6731</v>
      </c>
      <c r="E139" s="871" t="s">
        <v>13</v>
      </c>
      <c r="F139" s="780">
        <v>65</v>
      </c>
      <c r="G139" s="982"/>
      <c r="H139" s="95"/>
      <c r="I139" s="1064"/>
      <c r="J139" s="622"/>
      <c r="K139" s="982"/>
      <c r="L139" s="622"/>
      <c r="M139" s="982"/>
      <c r="N139" s="622"/>
      <c r="O139" s="1063"/>
      <c r="P139" s="622"/>
      <c r="Q139" s="982"/>
      <c r="R139" s="1028"/>
      <c r="U139" s="958"/>
    </row>
    <row r="140" spans="1:42" s="224" customFormat="1" ht="15" hidden="1" customHeight="1" x14ac:dyDescent="0.25">
      <c r="A140" s="247">
        <v>45737</v>
      </c>
      <c r="B140" s="882" t="s">
        <v>81</v>
      </c>
      <c r="C140" s="879" t="s">
        <v>12</v>
      </c>
      <c r="D140" s="879" t="s">
        <v>1493</v>
      </c>
      <c r="E140" s="871" t="s">
        <v>13</v>
      </c>
      <c r="F140" s="780">
        <v>4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941"/>
    </row>
    <row r="141" spans="1:42" s="224" customFormat="1" ht="15" hidden="1" customHeight="1" x14ac:dyDescent="0.25">
      <c r="A141" s="247">
        <v>45737</v>
      </c>
      <c r="B141" s="882" t="s">
        <v>14</v>
      </c>
      <c r="C141" s="879" t="s">
        <v>12</v>
      </c>
      <c r="D141" s="879" t="s">
        <v>1486</v>
      </c>
      <c r="E141" s="871" t="s">
        <v>13</v>
      </c>
      <c r="F141" s="780">
        <v>27</v>
      </c>
      <c r="G141" s="982"/>
      <c r="H141" s="95"/>
      <c r="I141" s="1064"/>
      <c r="J141" s="613"/>
      <c r="K141" s="6"/>
      <c r="L141" s="622"/>
      <c r="M141" s="982"/>
      <c r="N141" s="622"/>
      <c r="O141" s="1063"/>
      <c r="P141" s="622"/>
      <c r="Q141" s="982"/>
      <c r="R141" s="861"/>
    </row>
    <row r="142" spans="1:42" s="224" customFormat="1" ht="15" hidden="1" customHeight="1" x14ac:dyDescent="0.25">
      <c r="A142" s="247">
        <v>45738</v>
      </c>
      <c r="B142" s="1275" t="s">
        <v>32</v>
      </c>
      <c r="C142" s="1276" t="s">
        <v>12</v>
      </c>
      <c r="D142" s="1276" t="s">
        <v>1485</v>
      </c>
      <c r="E142" s="1286" t="s">
        <v>13</v>
      </c>
      <c r="F142" s="780">
        <v>25</v>
      </c>
      <c r="G142" s="982"/>
      <c r="H142" s="622"/>
      <c r="I142" s="982"/>
      <c r="J142" s="622"/>
      <c r="K142" s="982"/>
      <c r="L142" s="622"/>
      <c r="M142" s="982"/>
      <c r="N142" s="880"/>
      <c r="O142" s="1525"/>
      <c r="P142" s="613"/>
      <c r="Q142" s="162"/>
      <c r="R142" s="1956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</row>
    <row r="143" spans="1:42" s="224" customFormat="1" ht="15" hidden="1" customHeight="1" x14ac:dyDescent="0.25">
      <c r="A143" s="247">
        <v>45739</v>
      </c>
      <c r="B143" s="882" t="s">
        <v>14</v>
      </c>
      <c r="C143" s="879" t="s">
        <v>12</v>
      </c>
      <c r="D143" s="879" t="s">
        <v>1486</v>
      </c>
      <c r="E143" s="871" t="s">
        <v>13</v>
      </c>
      <c r="F143" s="780">
        <v>5.47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22"/>
      <c r="Q143" s="982"/>
      <c r="R143" s="861"/>
    </row>
    <row r="144" spans="1:42" s="224" customFormat="1" ht="15" hidden="1" customHeight="1" x14ac:dyDescent="0.25">
      <c r="A144" s="247">
        <v>45739</v>
      </c>
      <c r="B144" s="882" t="s">
        <v>7572</v>
      </c>
      <c r="C144" s="879" t="s">
        <v>12</v>
      </c>
      <c r="D144" s="879" t="s">
        <v>6731</v>
      </c>
      <c r="E144" s="875" t="s">
        <v>13</v>
      </c>
      <c r="F144" s="780">
        <v>40</v>
      </c>
      <c r="G144" s="982"/>
      <c r="H144" s="622"/>
      <c r="I144" s="982"/>
      <c r="J144" s="1116"/>
      <c r="K144" s="1207"/>
      <c r="L144" s="622"/>
      <c r="M144" s="982"/>
      <c r="N144" s="622"/>
      <c r="O144" s="1063"/>
      <c r="P144" s="880"/>
      <c r="Q144" s="1033"/>
      <c r="R144" s="927"/>
      <c r="T144" s="878"/>
    </row>
    <row r="145" spans="1:42" s="224" customFormat="1" ht="15" hidden="1" customHeight="1" x14ac:dyDescent="0.25">
      <c r="A145" s="247">
        <v>45739</v>
      </c>
      <c r="B145" s="882" t="s">
        <v>7573</v>
      </c>
      <c r="C145" s="879" t="s">
        <v>12</v>
      </c>
      <c r="D145" s="879" t="s">
        <v>1525</v>
      </c>
      <c r="E145" s="875" t="s">
        <v>13</v>
      </c>
      <c r="F145" s="780">
        <v>50</v>
      </c>
      <c r="G145" s="982"/>
      <c r="H145" s="622"/>
      <c r="I145" s="982"/>
      <c r="J145" s="1116"/>
      <c r="K145" s="1207"/>
      <c r="L145" s="622"/>
      <c r="M145" s="982"/>
      <c r="N145" s="622"/>
      <c r="O145" s="1063"/>
      <c r="P145" s="880"/>
      <c r="Q145" s="1033"/>
      <c r="R145" s="927"/>
      <c r="T145" s="878"/>
    </row>
    <row r="146" spans="1:42" s="224" customFormat="1" ht="15" hidden="1" customHeight="1" x14ac:dyDescent="0.25">
      <c r="A146" s="247">
        <v>45739</v>
      </c>
      <c r="B146" s="882" t="s">
        <v>7574</v>
      </c>
      <c r="C146" s="879" t="s">
        <v>12</v>
      </c>
      <c r="D146" s="879" t="s">
        <v>1489</v>
      </c>
      <c r="E146" s="871" t="s">
        <v>13</v>
      </c>
      <c r="F146" s="780">
        <v>69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622"/>
      <c r="Q146" s="982"/>
      <c r="R146" s="861"/>
    </row>
    <row r="147" spans="1:42" s="224" customFormat="1" ht="15" hidden="1" customHeight="1" x14ac:dyDescent="0.25">
      <c r="A147" s="247">
        <v>45740</v>
      </c>
      <c r="B147" s="882" t="s">
        <v>7217</v>
      </c>
      <c r="C147" s="879" t="s">
        <v>12</v>
      </c>
      <c r="D147" s="879" t="s">
        <v>1489</v>
      </c>
      <c r="E147" s="871" t="s">
        <v>13</v>
      </c>
      <c r="F147" s="780">
        <v>14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622"/>
      <c r="Q147" s="982"/>
      <c r="R147" s="861"/>
    </row>
    <row r="148" spans="1:42" s="224" customFormat="1" ht="15" hidden="1" customHeight="1" x14ac:dyDescent="0.25">
      <c r="A148" s="247">
        <v>45740</v>
      </c>
      <c r="B148" s="882" t="s">
        <v>6329</v>
      </c>
      <c r="C148" s="879" t="s">
        <v>12</v>
      </c>
      <c r="D148" s="879"/>
      <c r="E148" s="875" t="s">
        <v>25</v>
      </c>
      <c r="F148" s="780"/>
      <c r="G148" s="982">
        <v>100</v>
      </c>
      <c r="H148" s="1008"/>
      <c r="I148" s="1063"/>
      <c r="J148" s="613"/>
      <c r="K148" s="982"/>
      <c r="L148" s="622"/>
      <c r="M148" s="982"/>
      <c r="N148" s="622"/>
      <c r="O148" s="1063"/>
      <c r="P148" s="622"/>
      <c r="Q148" s="982"/>
      <c r="R148" s="861"/>
    </row>
    <row r="149" spans="1:42" s="224" customFormat="1" ht="15" hidden="1" customHeight="1" x14ac:dyDescent="0.25">
      <c r="A149" s="247">
        <v>45740</v>
      </c>
      <c r="B149" s="882" t="s">
        <v>7511</v>
      </c>
      <c r="C149" s="879" t="s">
        <v>12</v>
      </c>
      <c r="D149" s="879"/>
      <c r="E149" s="875"/>
      <c r="F149" s="780"/>
      <c r="G149" s="982">
        <v>2000</v>
      </c>
      <c r="H149" s="622"/>
      <c r="I149" s="982"/>
      <c r="J149" s="622">
        <v>2000</v>
      </c>
      <c r="K149" s="982"/>
      <c r="L149" s="853"/>
      <c r="M149" s="982"/>
      <c r="N149" s="622"/>
      <c r="O149" s="1063"/>
      <c r="P149" s="622"/>
      <c r="Q149" s="982"/>
      <c r="R149" s="927"/>
      <c r="S149" s="927"/>
      <c r="T149" s="878"/>
    </row>
    <row r="150" spans="1:42" s="224" customFormat="1" ht="15" customHeight="1" x14ac:dyDescent="0.25">
      <c r="A150" s="247">
        <v>45740</v>
      </c>
      <c r="B150" s="882" t="s">
        <v>7575</v>
      </c>
      <c r="C150" s="879" t="s">
        <v>12</v>
      </c>
      <c r="D150" s="879" t="s">
        <v>1524</v>
      </c>
      <c r="E150" s="875" t="s">
        <v>13</v>
      </c>
      <c r="F150" s="780">
        <v>2000</v>
      </c>
      <c r="G150" s="982"/>
      <c r="H150" s="622"/>
      <c r="I150" s="982"/>
      <c r="J150" s="622"/>
      <c r="K150" s="982"/>
      <c r="L150" s="622"/>
      <c r="M150" s="982"/>
      <c r="N150" s="880"/>
      <c r="O150" s="1525"/>
      <c r="P150" s="613"/>
      <c r="Q150" s="162"/>
      <c r="R150" s="1956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</row>
    <row r="151" spans="1:42" s="224" customFormat="1" ht="15" hidden="1" customHeight="1" x14ac:dyDescent="0.25">
      <c r="A151" s="247">
        <v>45740</v>
      </c>
      <c r="B151" s="1275" t="s">
        <v>32</v>
      </c>
      <c r="C151" s="1276" t="s">
        <v>12</v>
      </c>
      <c r="D151" s="1276" t="s">
        <v>1485</v>
      </c>
      <c r="E151" s="1286" t="s">
        <v>13</v>
      </c>
      <c r="F151" s="780">
        <v>23</v>
      </c>
      <c r="G151" s="982"/>
      <c r="H151" s="622"/>
      <c r="I151" s="982"/>
      <c r="J151" s="622"/>
      <c r="K151" s="982"/>
      <c r="L151" s="622"/>
      <c r="M151" s="982"/>
      <c r="N151" s="880"/>
      <c r="O151" s="1525"/>
      <c r="P151" s="613"/>
      <c r="Q151" s="162"/>
      <c r="R151" s="1956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</row>
    <row r="152" spans="1:42" s="224" customFormat="1" ht="15" hidden="1" customHeight="1" x14ac:dyDescent="0.25">
      <c r="A152" s="247">
        <v>45740</v>
      </c>
      <c r="B152" s="882" t="s">
        <v>7578</v>
      </c>
      <c r="C152" s="879" t="s">
        <v>12</v>
      </c>
      <c r="D152" s="879" t="s">
        <v>1489</v>
      </c>
      <c r="E152" s="871" t="s">
        <v>13</v>
      </c>
      <c r="F152" s="780">
        <v>10</v>
      </c>
      <c r="G152" s="982"/>
      <c r="H152" s="95"/>
      <c r="I152" s="1064"/>
      <c r="J152" s="613"/>
      <c r="K152" s="6"/>
      <c r="L152" s="622"/>
      <c r="M152" s="982"/>
      <c r="N152" s="622"/>
      <c r="O152" s="1063"/>
      <c r="P152" s="622"/>
      <c r="Q152" s="982"/>
      <c r="R152" s="861"/>
    </row>
    <row r="153" spans="1:42" s="224" customFormat="1" ht="15" hidden="1" customHeight="1" x14ac:dyDescent="0.25">
      <c r="A153" s="247">
        <v>45740</v>
      </c>
      <c r="B153" s="882" t="s">
        <v>7579</v>
      </c>
      <c r="C153" s="879" t="s">
        <v>12</v>
      </c>
      <c r="D153" s="879" t="s">
        <v>1525</v>
      </c>
      <c r="E153" s="871" t="s">
        <v>13</v>
      </c>
      <c r="F153" s="780">
        <v>5</v>
      </c>
      <c r="G153" s="982"/>
      <c r="H153" s="95"/>
      <c r="I153" s="1064"/>
      <c r="J153" s="613"/>
      <c r="K153" s="6"/>
      <c r="L153" s="622"/>
      <c r="M153" s="982"/>
      <c r="N153" s="622"/>
      <c r="O153" s="1063"/>
      <c r="P153" s="622"/>
      <c r="Q153" s="982"/>
      <c r="R153" s="861"/>
    </row>
    <row r="154" spans="1:42" s="224" customFormat="1" ht="15" hidden="1" customHeight="1" x14ac:dyDescent="0.25">
      <c r="A154" s="247">
        <v>45740</v>
      </c>
      <c r="B154" s="882" t="s">
        <v>7580</v>
      </c>
      <c r="C154" s="879" t="s">
        <v>12</v>
      </c>
      <c r="D154" s="879" t="s">
        <v>1506</v>
      </c>
      <c r="E154" s="871" t="s">
        <v>13</v>
      </c>
      <c r="F154" s="780">
        <v>44</v>
      </c>
      <c r="G154" s="982"/>
      <c r="H154" s="95"/>
      <c r="I154" s="1064"/>
      <c r="J154" s="613"/>
      <c r="K154" s="6"/>
      <c r="L154" s="622"/>
      <c r="M154" s="982"/>
      <c r="N154" s="622"/>
      <c r="O154" s="1063"/>
      <c r="P154" s="622"/>
      <c r="Q154" s="982"/>
      <c r="R154" s="861"/>
    </row>
    <row r="155" spans="1:42" s="224" customFormat="1" ht="15" hidden="1" customHeight="1" x14ac:dyDescent="0.25">
      <c r="A155" s="247">
        <v>45741</v>
      </c>
      <c r="B155" s="1275" t="s">
        <v>7410</v>
      </c>
      <c r="C155" s="1276" t="s">
        <v>12</v>
      </c>
      <c r="D155" s="1276"/>
      <c r="E155" s="1286" t="s">
        <v>13</v>
      </c>
      <c r="F155" s="613">
        <v>120.78</v>
      </c>
      <c r="G155" s="967"/>
      <c r="H155" s="1008"/>
      <c r="I155" s="1063"/>
      <c r="J155" s="613"/>
      <c r="K155" s="6"/>
      <c r="L155" s="622"/>
      <c r="M155" s="982"/>
      <c r="N155" s="622"/>
      <c r="O155" s="1063"/>
      <c r="P155" s="613"/>
      <c r="Q155" s="64"/>
      <c r="R155" s="1024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</row>
    <row r="156" spans="1:42" s="224" customFormat="1" ht="15" hidden="1" customHeight="1" x14ac:dyDescent="0.25">
      <c r="A156" s="247">
        <v>45741</v>
      </c>
      <c r="B156" s="1275" t="s">
        <v>6755</v>
      </c>
      <c r="C156" s="1276" t="s">
        <v>12</v>
      </c>
      <c r="D156" s="1276"/>
      <c r="E156" s="1286"/>
      <c r="F156" s="613"/>
      <c r="G156" s="967">
        <v>120.78</v>
      </c>
      <c r="H156" s="1008"/>
      <c r="I156" s="1063"/>
      <c r="J156" s="613"/>
      <c r="K156" s="6"/>
      <c r="L156" s="622"/>
      <c r="M156" s="982"/>
      <c r="N156" s="622"/>
      <c r="O156" s="1063"/>
      <c r="P156" s="613"/>
      <c r="Q156" s="64"/>
      <c r="R156" s="1024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</row>
    <row r="157" spans="1:42" s="224" customFormat="1" ht="15" hidden="1" customHeight="1" x14ac:dyDescent="0.25">
      <c r="A157" s="247">
        <v>45741</v>
      </c>
      <c r="B157" s="882" t="s">
        <v>7511</v>
      </c>
      <c r="C157" s="879" t="s">
        <v>12</v>
      </c>
      <c r="D157" s="879"/>
      <c r="E157" s="875"/>
      <c r="F157" s="780"/>
      <c r="G157" s="982">
        <v>28.9</v>
      </c>
      <c r="H157" s="622"/>
      <c r="I157" s="982"/>
      <c r="J157" s="622">
        <v>28.9</v>
      </c>
      <c r="K157" s="982"/>
      <c r="L157" s="853"/>
      <c r="M157" s="982"/>
      <c r="N157" s="622"/>
      <c r="O157" s="1063"/>
      <c r="P157" s="622"/>
      <c r="Q157" s="982"/>
      <c r="R157" s="927"/>
      <c r="S157" s="927"/>
      <c r="T157" s="878"/>
    </row>
    <row r="158" spans="1:42" s="224" customFormat="1" ht="15" customHeight="1" x14ac:dyDescent="0.25">
      <c r="A158" s="247">
        <v>45741</v>
      </c>
      <c r="B158" s="882" t="s">
        <v>7583</v>
      </c>
      <c r="C158" s="879" t="s">
        <v>12</v>
      </c>
      <c r="D158" s="879" t="s">
        <v>1524</v>
      </c>
      <c r="E158" s="875" t="s">
        <v>13</v>
      </c>
      <c r="F158" s="780">
        <v>28.9</v>
      </c>
      <c r="G158" s="982"/>
      <c r="H158" s="622"/>
      <c r="I158" s="982"/>
      <c r="J158" s="622"/>
      <c r="K158" s="982"/>
      <c r="L158" s="622"/>
      <c r="M158" s="982"/>
      <c r="N158" s="880"/>
      <c r="O158" s="1525"/>
      <c r="P158" s="613"/>
      <c r="Q158" s="162"/>
      <c r="R158" s="1956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hidden="1" customHeight="1" x14ac:dyDescent="0.25">
      <c r="A159" s="247">
        <v>45741</v>
      </c>
      <c r="B159" s="1275" t="s">
        <v>32</v>
      </c>
      <c r="C159" s="1276" t="s">
        <v>12</v>
      </c>
      <c r="D159" s="1276" t="s">
        <v>1485</v>
      </c>
      <c r="E159" s="1286" t="s">
        <v>13</v>
      </c>
      <c r="F159" s="780">
        <v>23</v>
      </c>
      <c r="G159" s="982"/>
      <c r="H159" s="622"/>
      <c r="I159" s="982"/>
      <c r="J159" s="622"/>
      <c r="K159" s="982"/>
      <c r="L159" s="622"/>
      <c r="M159" s="982"/>
      <c r="N159" s="880"/>
      <c r="O159" s="1525"/>
      <c r="P159" s="613"/>
      <c r="Q159" s="162"/>
      <c r="R159" s="1956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hidden="1" customHeight="1" x14ac:dyDescent="0.25">
      <c r="A160" s="247">
        <v>45741</v>
      </c>
      <c r="B160" s="882" t="s">
        <v>81</v>
      </c>
      <c r="C160" s="879" t="s">
        <v>12</v>
      </c>
      <c r="D160" s="879" t="s">
        <v>1493</v>
      </c>
      <c r="E160" s="871" t="s">
        <v>13</v>
      </c>
      <c r="F160" s="780">
        <v>6</v>
      </c>
      <c r="G160" s="982"/>
      <c r="H160" s="95"/>
      <c r="I160" s="1064"/>
      <c r="J160" s="613"/>
      <c r="K160" s="6"/>
      <c r="L160" s="622"/>
      <c r="M160" s="982"/>
      <c r="N160" s="622"/>
      <c r="O160" s="1063"/>
      <c r="P160" s="622"/>
      <c r="Q160" s="982"/>
      <c r="R160" s="941"/>
    </row>
    <row r="161" spans="1:42" s="224" customFormat="1" ht="15" hidden="1" customHeight="1" x14ac:dyDescent="0.25">
      <c r="A161" s="247">
        <v>45741</v>
      </c>
      <c r="B161" s="882" t="s">
        <v>7511</v>
      </c>
      <c r="C161" s="879" t="s">
        <v>12</v>
      </c>
      <c r="D161" s="879"/>
      <c r="E161" s="875"/>
      <c r="F161" s="780"/>
      <c r="G161" s="982">
        <v>23.2</v>
      </c>
      <c r="H161" s="622"/>
      <c r="I161" s="982"/>
      <c r="J161" s="622">
        <v>23.2</v>
      </c>
      <c r="K161" s="982"/>
      <c r="L161" s="853"/>
      <c r="M161" s="982"/>
      <c r="N161" s="622"/>
      <c r="O161" s="1063"/>
      <c r="P161" s="622"/>
      <c r="Q161" s="982"/>
      <c r="R161" s="927"/>
      <c r="S161" s="927"/>
      <c r="T161" s="878"/>
    </row>
    <row r="162" spans="1:42" s="224" customFormat="1" ht="15" customHeight="1" x14ac:dyDescent="0.25">
      <c r="A162" s="247">
        <v>45741</v>
      </c>
      <c r="B162" s="882" t="s">
        <v>7611</v>
      </c>
      <c r="C162" s="879" t="s">
        <v>12</v>
      </c>
      <c r="D162" s="879" t="s">
        <v>1524</v>
      </c>
      <c r="E162" s="875" t="s">
        <v>13</v>
      </c>
      <c r="F162" s="780">
        <v>23.2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1956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hidden="1" customHeight="1" x14ac:dyDescent="0.25">
      <c r="A163" s="247">
        <v>45741</v>
      </c>
      <c r="B163" s="882" t="s">
        <v>2270</v>
      </c>
      <c r="C163" s="879" t="s">
        <v>12</v>
      </c>
      <c r="D163" s="879" t="s">
        <v>1489</v>
      </c>
      <c r="E163" s="875" t="s">
        <v>13</v>
      </c>
      <c r="F163" s="780">
        <v>27.89</v>
      </c>
      <c r="G163" s="982"/>
      <c r="H163" s="622"/>
      <c r="I163" s="982"/>
      <c r="J163" s="1116"/>
      <c r="K163" s="1207"/>
      <c r="L163" s="622"/>
      <c r="M163" s="982"/>
      <c r="N163" s="622"/>
      <c r="O163" s="1063"/>
      <c r="P163" s="880"/>
      <c r="Q163" s="1033"/>
      <c r="R163" s="927"/>
      <c r="T163" s="878"/>
    </row>
    <row r="164" spans="1:42" s="224" customFormat="1" ht="15" hidden="1" customHeight="1" x14ac:dyDescent="0.25">
      <c r="A164" s="247">
        <v>45741</v>
      </c>
      <c r="B164" s="882" t="s">
        <v>103</v>
      </c>
      <c r="C164" s="879" t="s">
        <v>12</v>
      </c>
      <c r="D164" s="879" t="s">
        <v>1489</v>
      </c>
      <c r="E164" s="871" t="s">
        <v>13</v>
      </c>
      <c r="F164" s="780">
        <v>16</v>
      </c>
      <c r="G164" s="982"/>
      <c r="H164" s="622"/>
      <c r="I164" s="982"/>
      <c r="J164" s="872"/>
      <c r="K164" s="1207"/>
      <c r="L164" s="622"/>
      <c r="M164" s="982"/>
      <c r="N164" s="622"/>
      <c r="O164" s="1063"/>
      <c r="P164" s="622"/>
      <c r="Q164" s="982"/>
      <c r="R164" s="1028"/>
      <c r="S164" s="959"/>
      <c r="T164" s="878"/>
      <c r="U164" s="958"/>
    </row>
    <row r="165" spans="1:42" s="224" customFormat="1" ht="15" hidden="1" customHeight="1" x14ac:dyDescent="0.25">
      <c r="A165" s="247">
        <v>45741</v>
      </c>
      <c r="B165" s="882" t="s">
        <v>7601</v>
      </c>
      <c r="C165" s="879" t="s">
        <v>12</v>
      </c>
      <c r="D165" s="879" t="s">
        <v>1493</v>
      </c>
      <c r="E165" s="871" t="s">
        <v>15</v>
      </c>
      <c r="F165" s="780">
        <v>20</v>
      </c>
      <c r="G165" s="982"/>
      <c r="H165" s="622"/>
      <c r="I165" s="982"/>
      <c r="J165" s="872"/>
      <c r="K165" s="1207"/>
      <c r="L165" s="622"/>
      <c r="M165" s="982"/>
      <c r="N165" s="622"/>
      <c r="O165" s="1063"/>
      <c r="P165" s="622"/>
      <c r="Q165" s="982"/>
      <c r="R165" s="1028"/>
      <c r="S165" s="959"/>
      <c r="T165" s="878"/>
      <c r="U165" s="958"/>
    </row>
    <row r="166" spans="1:42" s="224" customFormat="1" ht="15" hidden="1" customHeight="1" x14ac:dyDescent="0.25">
      <c r="A166" s="247">
        <v>45742</v>
      </c>
      <c r="B166" s="882" t="s">
        <v>7217</v>
      </c>
      <c r="C166" s="879" t="s">
        <v>12</v>
      </c>
      <c r="D166" s="879" t="s">
        <v>1489</v>
      </c>
      <c r="E166" s="871" t="s">
        <v>13</v>
      </c>
      <c r="F166" s="780">
        <v>9</v>
      </c>
      <c r="G166" s="982"/>
      <c r="H166" s="622"/>
      <c r="I166" s="982"/>
      <c r="J166" s="872"/>
      <c r="K166" s="1207"/>
      <c r="L166" s="622"/>
      <c r="M166" s="982"/>
      <c r="N166" s="622"/>
      <c r="O166" s="1063"/>
      <c r="P166" s="622"/>
      <c r="Q166" s="982"/>
      <c r="R166" s="1028"/>
      <c r="S166" s="959"/>
      <c r="T166" s="878"/>
      <c r="U166" s="958"/>
    </row>
    <row r="167" spans="1:42" s="224" customFormat="1" ht="15" hidden="1" customHeight="1" x14ac:dyDescent="0.25">
      <c r="A167" s="247">
        <v>45742</v>
      </c>
      <c r="B167" s="882" t="s">
        <v>7600</v>
      </c>
      <c r="C167" s="879" t="s">
        <v>12</v>
      </c>
      <c r="D167" s="879" t="s">
        <v>6731</v>
      </c>
      <c r="E167" s="871" t="s">
        <v>13</v>
      </c>
      <c r="F167" s="780">
        <v>27.48</v>
      </c>
      <c r="G167" s="982"/>
      <c r="H167" s="622"/>
      <c r="I167" s="982"/>
      <c r="J167" s="872"/>
      <c r="K167" s="1207"/>
      <c r="L167" s="622"/>
      <c r="M167" s="982"/>
      <c r="N167" s="622"/>
      <c r="O167" s="1063"/>
      <c r="P167" s="622"/>
      <c r="Q167" s="982"/>
      <c r="R167" s="1028"/>
      <c r="S167" s="959"/>
      <c r="T167" s="878"/>
      <c r="U167" s="958"/>
    </row>
    <row r="168" spans="1:42" s="224" customFormat="1" ht="15" hidden="1" customHeight="1" x14ac:dyDescent="0.25">
      <c r="A168" s="247">
        <v>45742</v>
      </c>
      <c r="B168" s="1275" t="s">
        <v>32</v>
      </c>
      <c r="C168" s="1276" t="s">
        <v>12</v>
      </c>
      <c r="D168" s="1276" t="s">
        <v>1485</v>
      </c>
      <c r="E168" s="1286" t="s">
        <v>13</v>
      </c>
      <c r="F168" s="780">
        <v>22</v>
      </c>
      <c r="G168" s="982"/>
      <c r="H168" s="622"/>
      <c r="I168" s="982"/>
      <c r="J168" s="622"/>
      <c r="K168" s="982"/>
      <c r="L168" s="622"/>
      <c r="M168" s="982"/>
      <c r="N168" s="880"/>
      <c r="O168" s="1525"/>
      <c r="P168" s="613"/>
      <c r="Q168" s="162"/>
      <c r="R168" s="1956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</row>
    <row r="169" spans="1:42" s="224" customFormat="1" ht="15" hidden="1" customHeight="1" x14ac:dyDescent="0.25">
      <c r="A169" s="247">
        <v>45742</v>
      </c>
      <c r="B169" s="882" t="s">
        <v>14</v>
      </c>
      <c r="C169" s="879" t="s">
        <v>12</v>
      </c>
      <c r="D169" s="879" t="s">
        <v>1486</v>
      </c>
      <c r="E169" s="871" t="s">
        <v>13</v>
      </c>
      <c r="F169" s="780">
        <v>9.4600000000000009</v>
      </c>
      <c r="G169" s="982"/>
      <c r="H169" s="95"/>
      <c r="I169" s="1064"/>
      <c r="J169" s="613"/>
      <c r="K169" s="6"/>
      <c r="L169" s="622"/>
      <c r="M169" s="982"/>
      <c r="N169" s="622"/>
      <c r="O169" s="1063"/>
      <c r="P169" s="1110"/>
      <c r="Q169" s="1208"/>
      <c r="R169" s="1028"/>
      <c r="U169" s="958"/>
    </row>
    <row r="170" spans="1:42" s="224" customFormat="1" ht="15" hidden="1" customHeight="1" x14ac:dyDescent="0.25">
      <c r="A170" s="247">
        <v>45743</v>
      </c>
      <c r="B170" s="882" t="s">
        <v>7511</v>
      </c>
      <c r="C170" s="879" t="s">
        <v>12</v>
      </c>
      <c r="D170" s="879"/>
      <c r="E170" s="875"/>
      <c r="F170" s="780"/>
      <c r="G170" s="982">
        <v>502</v>
      </c>
      <c r="H170" s="622"/>
      <c r="I170" s="982"/>
      <c r="J170" s="622">
        <v>502</v>
      </c>
      <c r="K170" s="982"/>
      <c r="L170" s="853"/>
      <c r="M170" s="982"/>
      <c r="N170" s="622"/>
      <c r="O170" s="1063"/>
      <c r="P170" s="622"/>
      <c r="Q170" s="982"/>
      <c r="R170" s="927"/>
      <c r="S170" s="927"/>
      <c r="T170" s="878"/>
    </row>
    <row r="171" spans="1:42" s="224" customFormat="1" ht="15" customHeight="1" x14ac:dyDescent="0.25">
      <c r="A171" s="247">
        <v>45743</v>
      </c>
      <c r="B171" s="882" t="s">
        <v>7625</v>
      </c>
      <c r="C171" s="879" t="s">
        <v>12</v>
      </c>
      <c r="D171" s="879" t="s">
        <v>1524</v>
      </c>
      <c r="E171" s="875" t="s">
        <v>13</v>
      </c>
      <c r="F171" s="780">
        <v>502</v>
      </c>
      <c r="G171" s="982"/>
      <c r="H171" s="622"/>
      <c r="I171" s="982"/>
      <c r="J171" s="622"/>
      <c r="K171" s="982"/>
      <c r="L171" s="622"/>
      <c r="M171" s="982"/>
      <c r="N171" s="880"/>
      <c r="O171" s="1525"/>
      <c r="P171" s="613"/>
      <c r="Q171" s="162"/>
      <c r="R171" s="1956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</row>
    <row r="172" spans="1:42" s="224" customFormat="1" ht="15" hidden="1" customHeight="1" x14ac:dyDescent="0.25">
      <c r="A172" s="247">
        <v>45743</v>
      </c>
      <c r="B172" s="1275" t="s">
        <v>32</v>
      </c>
      <c r="C172" s="1276" t="s">
        <v>12</v>
      </c>
      <c r="D172" s="1276" t="s">
        <v>1485</v>
      </c>
      <c r="E172" s="1286" t="s">
        <v>13</v>
      </c>
      <c r="F172" s="780">
        <v>23</v>
      </c>
      <c r="G172" s="982"/>
      <c r="H172" s="622"/>
      <c r="I172" s="982"/>
      <c r="J172" s="622"/>
      <c r="K172" s="982"/>
      <c r="L172" s="622"/>
      <c r="M172" s="982"/>
      <c r="N172" s="880"/>
      <c r="O172" s="1525"/>
      <c r="P172" s="613"/>
      <c r="Q172" s="162"/>
      <c r="R172" s="1956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</row>
    <row r="173" spans="1:42" s="224" customFormat="1" ht="15" hidden="1" customHeight="1" x14ac:dyDescent="0.25">
      <c r="A173" s="247">
        <v>45743</v>
      </c>
      <c r="B173" s="882" t="s">
        <v>14</v>
      </c>
      <c r="C173" s="879" t="s">
        <v>12</v>
      </c>
      <c r="D173" s="879" t="s">
        <v>1486</v>
      </c>
      <c r="E173" s="871" t="s">
        <v>13</v>
      </c>
      <c r="F173" s="780">
        <v>11.71</v>
      </c>
      <c r="G173" s="982"/>
      <c r="H173" s="95"/>
      <c r="I173" s="1064"/>
      <c r="J173" s="613"/>
      <c r="K173" s="6"/>
      <c r="L173" s="622"/>
      <c r="M173" s="982"/>
      <c r="N173" s="622"/>
      <c r="O173" s="1063"/>
      <c r="P173" s="1110"/>
      <c r="Q173" s="1208"/>
      <c r="R173" s="1028"/>
      <c r="U173" s="958"/>
    </row>
    <row r="174" spans="1:42" s="224" customFormat="1" ht="15" hidden="1" customHeight="1" x14ac:dyDescent="0.25">
      <c r="A174" s="247">
        <v>45744</v>
      </c>
      <c r="B174" s="882" t="s">
        <v>7511</v>
      </c>
      <c r="C174" s="879" t="s">
        <v>12</v>
      </c>
      <c r="D174" s="879"/>
      <c r="E174" s="875"/>
      <c r="F174" s="780"/>
      <c r="G174" s="982">
        <v>1000</v>
      </c>
      <c r="H174" s="622"/>
      <c r="I174" s="982"/>
      <c r="J174" s="622">
        <v>1000</v>
      </c>
      <c r="K174" s="982"/>
      <c r="L174" s="853"/>
      <c r="M174" s="982"/>
      <c r="N174" s="622"/>
      <c r="O174" s="1063"/>
      <c r="P174" s="622"/>
      <c r="Q174" s="982"/>
      <c r="R174" s="927"/>
      <c r="S174" s="927"/>
      <c r="T174" s="878"/>
    </row>
    <row r="175" spans="1:42" s="224" customFormat="1" ht="15" customHeight="1" x14ac:dyDescent="0.25">
      <c r="A175" s="247">
        <v>45744</v>
      </c>
      <c r="B175" s="882" t="s">
        <v>7636</v>
      </c>
      <c r="C175" s="879" t="s">
        <v>12</v>
      </c>
      <c r="D175" s="879" t="s">
        <v>1524</v>
      </c>
      <c r="E175" s="875" t="s">
        <v>13</v>
      </c>
      <c r="F175" s="780">
        <v>1000</v>
      </c>
      <c r="G175" s="982"/>
      <c r="H175" s="622"/>
      <c r="I175" s="982"/>
      <c r="J175" s="622"/>
      <c r="K175" s="982"/>
      <c r="L175" s="622"/>
      <c r="M175" s="982"/>
      <c r="N175" s="880"/>
      <c r="O175" s="1525"/>
      <c r="P175" s="613"/>
      <c r="Q175" s="162"/>
      <c r="R175" s="1956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</row>
    <row r="176" spans="1:42" s="224" customFormat="1" ht="15" hidden="1" customHeight="1" x14ac:dyDescent="0.25">
      <c r="A176" s="247">
        <v>45744</v>
      </c>
      <c r="B176" s="1275" t="s">
        <v>32</v>
      </c>
      <c r="C176" s="1276" t="s">
        <v>12</v>
      </c>
      <c r="D176" s="1276" t="s">
        <v>1485</v>
      </c>
      <c r="E176" s="1286" t="s">
        <v>13</v>
      </c>
      <c r="F176" s="780">
        <v>23</v>
      </c>
      <c r="G176" s="982"/>
      <c r="H176" s="622"/>
      <c r="I176" s="982"/>
      <c r="J176" s="622"/>
      <c r="K176" s="982"/>
      <c r="L176" s="622"/>
      <c r="M176" s="982"/>
      <c r="N176" s="880"/>
      <c r="O176" s="1525"/>
      <c r="P176" s="613"/>
      <c r="Q176" s="162"/>
      <c r="R176" s="195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</row>
    <row r="177" spans="1:42" s="224" customFormat="1" ht="15" hidden="1" customHeight="1" x14ac:dyDescent="0.25">
      <c r="A177" s="247">
        <v>45744</v>
      </c>
      <c r="B177" s="882" t="s">
        <v>14</v>
      </c>
      <c r="C177" s="879" t="s">
        <v>12</v>
      </c>
      <c r="D177" s="879" t="s">
        <v>1486</v>
      </c>
      <c r="E177" s="871" t="s">
        <v>13</v>
      </c>
      <c r="F177" s="780">
        <v>10.67</v>
      </c>
      <c r="G177" s="982"/>
      <c r="H177" s="622"/>
      <c r="I177" s="982"/>
      <c r="J177" s="872"/>
      <c r="K177" s="1207"/>
      <c r="L177" s="622"/>
      <c r="M177" s="982"/>
      <c r="N177" s="622"/>
      <c r="O177" s="1063"/>
      <c r="P177" s="622"/>
      <c r="Q177" s="982"/>
      <c r="R177" s="1028"/>
      <c r="S177" s="959"/>
      <c r="T177" s="878"/>
      <c r="U177" s="958"/>
    </row>
    <row r="178" spans="1:42" s="224" customFormat="1" hidden="1" x14ac:dyDescent="0.25">
      <c r="A178" s="247">
        <v>45745</v>
      </c>
      <c r="B178" s="1275" t="s">
        <v>2629</v>
      </c>
      <c r="C178" s="879" t="s">
        <v>12</v>
      </c>
      <c r="D178" s="1276" t="s">
        <v>1489</v>
      </c>
      <c r="E178" s="1277" t="s">
        <v>5470</v>
      </c>
      <c r="F178" s="1279">
        <v>55</v>
      </c>
      <c r="G178" s="982"/>
      <c r="H178" s="1008"/>
      <c r="I178" s="1063"/>
      <c r="J178" s="2013"/>
      <c r="K178" s="1207"/>
      <c r="L178" s="622"/>
      <c r="M178" s="982"/>
      <c r="N178" s="622"/>
      <c r="O178" s="1063"/>
      <c r="P178" s="622"/>
      <c r="Q178" s="982"/>
      <c r="R178" s="1028"/>
      <c r="T178" s="878"/>
    </row>
    <row r="179" spans="1:42" s="224" customFormat="1" ht="15" hidden="1" customHeight="1" x14ac:dyDescent="0.25">
      <c r="A179" s="247">
        <v>45745</v>
      </c>
      <c r="B179" s="1275" t="s">
        <v>2629</v>
      </c>
      <c r="C179" s="879" t="s">
        <v>12</v>
      </c>
      <c r="D179" s="1276" t="s">
        <v>1489</v>
      </c>
      <c r="E179" s="1277" t="s">
        <v>13</v>
      </c>
      <c r="F179" s="1279">
        <v>33.47</v>
      </c>
      <c r="G179" s="982"/>
      <c r="H179" s="622"/>
      <c r="I179" s="982"/>
      <c r="J179" s="622"/>
      <c r="K179" s="982"/>
      <c r="L179" s="622"/>
      <c r="M179" s="982"/>
      <c r="N179" s="880"/>
      <c r="O179" s="1525"/>
      <c r="P179" s="613"/>
      <c r="Q179" s="162"/>
      <c r="R179" s="1956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</row>
    <row r="180" spans="1:42" s="224" customFormat="1" ht="15" hidden="1" customHeight="1" x14ac:dyDescent="0.25">
      <c r="A180" s="247">
        <v>45745</v>
      </c>
      <c r="B180" s="1275" t="s">
        <v>80</v>
      </c>
      <c r="C180" s="879" t="s">
        <v>12</v>
      </c>
      <c r="D180" s="1276" t="s">
        <v>1523</v>
      </c>
      <c r="E180" s="1277" t="s">
        <v>13</v>
      </c>
      <c r="F180" s="1279">
        <v>18.8</v>
      </c>
      <c r="G180" s="982"/>
      <c r="H180" s="622"/>
      <c r="I180" s="982"/>
      <c r="J180" s="622"/>
      <c r="K180" s="982"/>
      <c r="L180" s="622"/>
      <c r="M180" s="982"/>
      <c r="N180" s="880"/>
      <c r="O180" s="1525"/>
      <c r="P180" s="613"/>
      <c r="Q180" s="162"/>
      <c r="R180" s="1956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</row>
    <row r="181" spans="1:42" s="224" customFormat="1" ht="15" hidden="1" customHeight="1" x14ac:dyDescent="0.25">
      <c r="A181" s="247">
        <v>45745</v>
      </c>
      <c r="B181" s="1275" t="s">
        <v>32</v>
      </c>
      <c r="C181" s="1276" t="s">
        <v>12</v>
      </c>
      <c r="D181" s="1276" t="s">
        <v>1485</v>
      </c>
      <c r="E181" s="1286" t="s">
        <v>13</v>
      </c>
      <c r="F181" s="780">
        <v>28</v>
      </c>
      <c r="G181" s="982"/>
      <c r="H181" s="622"/>
      <c r="I181" s="982"/>
      <c r="J181" s="622"/>
      <c r="K181" s="982"/>
      <c r="L181" s="622"/>
      <c r="M181" s="982"/>
      <c r="N181" s="880"/>
      <c r="O181" s="1525"/>
      <c r="P181" s="613"/>
      <c r="Q181" s="162"/>
      <c r="R181" s="1956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</row>
    <row r="182" spans="1:42" s="224" customFormat="1" ht="15" hidden="1" customHeight="1" x14ac:dyDescent="0.25">
      <c r="A182" s="247">
        <v>45745</v>
      </c>
      <c r="B182" s="1275" t="s">
        <v>7638</v>
      </c>
      <c r="C182" s="1276" t="s">
        <v>12</v>
      </c>
      <c r="D182" s="1276" t="s">
        <v>6731</v>
      </c>
      <c r="E182" s="1286" t="s">
        <v>13</v>
      </c>
      <c r="F182" s="780">
        <v>86.3</v>
      </c>
      <c r="G182" s="982"/>
      <c r="H182" s="622"/>
      <c r="I182" s="982"/>
      <c r="J182" s="622"/>
      <c r="K182" s="982"/>
      <c r="L182" s="622"/>
      <c r="M182" s="982"/>
      <c r="N182" s="880"/>
      <c r="O182" s="1525"/>
      <c r="P182" s="613"/>
      <c r="Q182" s="162"/>
      <c r="R182" s="2706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</row>
    <row r="183" spans="1:42" s="224" customFormat="1" ht="15" hidden="1" customHeight="1" x14ac:dyDescent="0.25">
      <c r="A183" s="247">
        <v>45746</v>
      </c>
      <c r="B183" s="1275" t="s">
        <v>1906</v>
      </c>
      <c r="C183" s="1276" t="s">
        <v>12</v>
      </c>
      <c r="D183" s="1276" t="s">
        <v>1493</v>
      </c>
      <c r="E183" s="1286" t="s">
        <v>13</v>
      </c>
      <c r="F183" s="613">
        <v>50</v>
      </c>
      <c r="G183" s="967"/>
      <c r="H183" s="1008"/>
      <c r="I183" s="1063"/>
      <c r="J183" s="613"/>
      <c r="K183" s="6"/>
      <c r="L183" s="622"/>
      <c r="M183" s="982"/>
      <c r="N183" s="622"/>
      <c r="O183" s="1063"/>
      <c r="P183" s="613"/>
      <c r="Q183" s="64"/>
      <c r="R183" s="1024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</row>
    <row r="184" spans="1:42" s="224" customFormat="1" ht="15" hidden="1" customHeight="1" x14ac:dyDescent="0.25">
      <c r="A184" s="247">
        <v>45747</v>
      </c>
      <c r="B184" s="1275" t="s">
        <v>32</v>
      </c>
      <c r="C184" s="1276" t="s">
        <v>12</v>
      </c>
      <c r="D184" s="1276" t="s">
        <v>1485</v>
      </c>
      <c r="E184" s="1286" t="s">
        <v>13</v>
      </c>
      <c r="F184" s="780">
        <v>23</v>
      </c>
      <c r="G184" s="982"/>
      <c r="H184" s="622"/>
      <c r="I184" s="982"/>
      <c r="J184" s="622"/>
      <c r="K184" s="982"/>
      <c r="L184" s="622"/>
      <c r="M184" s="982"/>
      <c r="N184" s="880"/>
      <c r="O184" s="1525"/>
      <c r="P184" s="613"/>
      <c r="Q184" s="162"/>
      <c r="R184" s="1956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</row>
    <row r="185" spans="1:42" s="224" customFormat="1" ht="15" hidden="1" customHeight="1" x14ac:dyDescent="0.25">
      <c r="A185" s="247">
        <v>45747</v>
      </c>
      <c r="B185" s="882" t="s">
        <v>14</v>
      </c>
      <c r="C185" s="879" t="s">
        <v>12</v>
      </c>
      <c r="D185" s="879" t="s">
        <v>1486</v>
      </c>
      <c r="E185" s="871" t="s">
        <v>13</v>
      </c>
      <c r="F185" s="780">
        <v>7.81</v>
      </c>
      <c r="G185" s="982"/>
      <c r="H185" s="1008"/>
      <c r="I185" s="1063"/>
      <c r="J185" s="1116"/>
      <c r="K185" s="1207"/>
      <c r="L185" s="622"/>
      <c r="M185" s="982"/>
      <c r="N185" s="622"/>
      <c r="O185" s="1063"/>
      <c r="P185" s="622"/>
      <c r="Q185" s="982"/>
      <c r="R185" s="861"/>
      <c r="T185" s="1035"/>
    </row>
    <row r="186" spans="1:42" s="224" customFormat="1" ht="15" hidden="1" customHeight="1" thickBot="1" x14ac:dyDescent="0.3">
      <c r="A186" s="247">
        <v>45747</v>
      </c>
      <c r="B186" s="349" t="s">
        <v>6168</v>
      </c>
      <c r="C186" s="350" t="s">
        <v>12</v>
      </c>
      <c r="D186" s="350"/>
      <c r="E186" s="480" t="s">
        <v>25</v>
      </c>
      <c r="F186" s="780"/>
      <c r="G186" s="946"/>
      <c r="H186" s="95"/>
      <c r="I186" s="2096"/>
      <c r="J186" s="622"/>
      <c r="K186" s="2096">
        <v>96.14</v>
      </c>
      <c r="L186" s="622"/>
      <c r="M186" s="2556">
        <v>16.04</v>
      </c>
      <c r="N186" s="622"/>
      <c r="O186" s="2096">
        <v>85.68</v>
      </c>
      <c r="P186" s="1036"/>
      <c r="Q186" s="1535"/>
      <c r="R186" s="2585">
        <f>I186+K186+M186+O186</f>
        <v>197.86</v>
      </c>
      <c r="T186" s="927"/>
      <c r="U186" s="999"/>
    </row>
    <row r="187" spans="1:42" ht="25.5" hidden="1" customHeight="1" thickBot="1" x14ac:dyDescent="0.3">
      <c r="A187" s="3060"/>
      <c r="B187" s="3061"/>
      <c r="C187" s="3062"/>
      <c r="D187" s="3062"/>
      <c r="E187" s="3062"/>
      <c r="F187" s="1023">
        <f>SUM(F6:F186)</f>
        <v>17333.906666666662</v>
      </c>
      <c r="G187" s="1065">
        <f>SUM(G5:G186)</f>
        <v>18006.931583333382</v>
      </c>
      <c r="H187" s="517">
        <f>SUM(H6:H186)</f>
        <v>0</v>
      </c>
      <c r="I187" s="93">
        <f>SUM(I5:I186)</f>
        <v>-4.0000000010422809E-3</v>
      </c>
      <c r="J187" s="517">
        <f>SUM(J6:J186)</f>
        <v>10872.16</v>
      </c>
      <c r="K187" s="93">
        <f>SUM(K5:K186)</f>
        <v>22220.760000000009</v>
      </c>
      <c r="L187" s="1023">
        <f>SUM(L6:L186)</f>
        <v>0</v>
      </c>
      <c r="M187" s="93">
        <f>SUM(M5:M186)</f>
        <v>2180.13</v>
      </c>
      <c r="N187" s="1023">
        <f>SUM(N6:N186)</f>
        <v>0</v>
      </c>
      <c r="O187" s="93">
        <f>SUM(O5:O186)</f>
        <v>11077.210000000003</v>
      </c>
      <c r="P187" s="1023">
        <f>SUM(P6:P186)</f>
        <v>0</v>
      </c>
      <c r="Q187" s="93">
        <f>SUM(Q5:Q186)</f>
        <v>31894.425984720008</v>
      </c>
      <c r="S187" s="216"/>
    </row>
    <row r="188" spans="1:42" ht="25.5" hidden="1" customHeight="1" thickBot="1" x14ac:dyDescent="0.3">
      <c r="A188" s="3063" t="s">
        <v>49</v>
      </c>
      <c r="B188" s="3064"/>
      <c r="C188" s="3064"/>
      <c r="D188" s="3064"/>
      <c r="E188" s="3064"/>
      <c r="F188" s="2046" t="s">
        <v>280</v>
      </c>
      <c r="G188" s="1066">
        <f>G187-F187</f>
        <v>673.02491666671995</v>
      </c>
      <c r="H188" s="1221"/>
      <c r="I188" s="772">
        <f>I187-H187</f>
        <v>-4.0000000010422809E-3</v>
      </c>
      <c r="J188" s="1221"/>
      <c r="K188" s="772">
        <f>K187-J187</f>
        <v>11348.600000000009</v>
      </c>
      <c r="L188" s="1222"/>
      <c r="M188" s="772">
        <f>M187-L187</f>
        <v>2180.13</v>
      </c>
      <c r="N188" s="1222"/>
      <c r="O188" s="772">
        <f>O187-N187</f>
        <v>11077.210000000003</v>
      </c>
      <c r="P188" s="1222"/>
      <c r="Q188" s="772">
        <f>Q187-P187</f>
        <v>31894.425984720008</v>
      </c>
      <c r="R188" s="484">
        <f>M188+O188+Q188</f>
        <v>45151.765984720012</v>
      </c>
    </row>
    <row r="189" spans="1:42" hidden="1" x14ac:dyDescent="0.25">
      <c r="J189" s="1210"/>
      <c r="K189" s="1038"/>
      <c r="M189" s="1238">
        <f>M188/R188</f>
        <v>4.8284490151233213E-2</v>
      </c>
      <c r="O189" s="1238">
        <f>O188/R188</f>
        <v>0.24533281829438711</v>
      </c>
      <c r="P189" s="1239"/>
      <c r="Q189" s="1239">
        <f>Q188/R188</f>
        <v>0.70638269155437972</v>
      </c>
      <c r="R189" s="867"/>
      <c r="S189" s="867"/>
      <c r="T189" s="79"/>
      <c r="W189" s="518"/>
      <c r="X189" s="216"/>
      <c r="Z189" s="877"/>
    </row>
    <row r="190" spans="1:42" hidden="1" x14ac:dyDescent="0.25">
      <c r="B190" s="81" t="s">
        <v>3</v>
      </c>
      <c r="C190" s="193" t="s">
        <v>1484</v>
      </c>
      <c r="D190" s="970" t="s">
        <v>2378</v>
      </c>
      <c r="E190" s="193" t="s">
        <v>3216</v>
      </c>
      <c r="F190" s="1061" t="s">
        <v>3217</v>
      </c>
      <c r="G190" s="216"/>
      <c r="I190" s="216"/>
      <c r="J190" s="1038"/>
      <c r="K190" s="216"/>
      <c r="M190" s="866"/>
      <c r="O190" s="866"/>
      <c r="P190" s="1038"/>
      <c r="Q190" s="1038"/>
      <c r="R190" s="865"/>
      <c r="S190" s="867"/>
    </row>
    <row r="191" spans="1:42" hidden="1" x14ac:dyDescent="0.25">
      <c r="B191" s="79" t="s">
        <v>32</v>
      </c>
      <c r="C191" s="85" t="s">
        <v>1485</v>
      </c>
      <c r="D191" s="475">
        <f t="shared" ref="D191:D207" si="0">SUMIF($D$7:$D$186,C191,$F$7:$F$186)</f>
        <v>459.9</v>
      </c>
      <c r="E191" s="1202">
        <f t="shared" ref="E191:E207" si="1">D191/$K$211</f>
        <v>14.835483870967741</v>
      </c>
      <c r="F191" s="1203">
        <f>E191/$E$212</f>
        <v>8.3713818513877963E-2</v>
      </c>
      <c r="G191" s="800"/>
      <c r="I191" s="769"/>
      <c r="J191" s="1038"/>
      <c r="K191" s="1225"/>
      <c r="M191" s="886"/>
      <c r="O191" s="886"/>
      <c r="P191" s="886"/>
      <c r="Q191" s="1038">
        <v>24197.98</v>
      </c>
      <c r="R191" s="1038" t="s">
        <v>6378</v>
      </c>
      <c r="S191" s="1210"/>
      <c r="U191" s="1201"/>
      <c r="V191" s="877"/>
    </row>
    <row r="192" spans="1:42" hidden="1" x14ac:dyDescent="0.25">
      <c r="B192" s="79" t="s">
        <v>2187</v>
      </c>
      <c r="C192" s="85" t="s">
        <v>2157</v>
      </c>
      <c r="D192" s="475">
        <f t="shared" si="0"/>
        <v>0</v>
      </c>
      <c r="E192" s="1202">
        <f>D192/$K$211</f>
        <v>0</v>
      </c>
      <c r="F192" s="1203">
        <f t="shared" ref="F192:F207" si="2">E192/$E$212</f>
        <v>0</v>
      </c>
      <c r="G192" s="609"/>
      <c r="J192" s="2125"/>
      <c r="K192" s="1129"/>
      <c r="M192" s="1210"/>
      <c r="O192" s="1038"/>
      <c r="P192" s="1210"/>
      <c r="Q192" s="1210">
        <f>Q188+Q191</f>
        <v>56092.405984720011</v>
      </c>
      <c r="R192" s="1038" t="s">
        <v>6379</v>
      </c>
      <c r="U192" s="877"/>
      <c r="V192" s="877"/>
    </row>
    <row r="193" spans="1:22" s="85" customFormat="1" hidden="1" x14ac:dyDescent="0.25">
      <c r="A193" s="79"/>
      <c r="B193" s="79" t="s">
        <v>50</v>
      </c>
      <c r="C193" s="85" t="s">
        <v>1493</v>
      </c>
      <c r="D193" s="475">
        <f t="shared" si="0"/>
        <v>271</v>
      </c>
      <c r="E193" s="1202">
        <f t="shared" si="1"/>
        <v>8.741935483870968</v>
      </c>
      <c r="F193" s="1203">
        <f t="shared" si="2"/>
        <v>4.9329082011874172E-2</v>
      </c>
      <c r="J193" s="1210"/>
      <c r="K193" s="1038"/>
      <c r="M193" s="941"/>
      <c r="N193" s="877"/>
      <c r="O193" s="863"/>
      <c r="Q193" s="79"/>
      <c r="R193" s="177"/>
      <c r="U193" s="877"/>
      <c r="V193" s="877"/>
    </row>
    <row r="194" spans="1:22" s="85" customFormat="1" hidden="1" x14ac:dyDescent="0.25">
      <c r="A194" s="79"/>
      <c r="B194" s="79" t="s">
        <v>14</v>
      </c>
      <c r="C194" s="85" t="s">
        <v>1486</v>
      </c>
      <c r="D194" s="475">
        <f t="shared" si="0"/>
        <v>200.84</v>
      </c>
      <c r="E194" s="1202">
        <f t="shared" si="1"/>
        <v>6.4787096774193547</v>
      </c>
      <c r="F194" s="1203">
        <f t="shared" si="2"/>
        <v>3.655812852865243E-2</v>
      </c>
      <c r="G194" s="79"/>
      <c r="H194" s="79"/>
      <c r="J194" s="1210"/>
      <c r="K194" s="1038"/>
      <c r="M194" s="1028"/>
      <c r="N194" s="877"/>
      <c r="O194" s="1038"/>
      <c r="R194" s="177"/>
      <c r="U194" s="877"/>
      <c r="V194" s="877"/>
    </row>
    <row r="195" spans="1:22" s="85" customFormat="1" hidden="1" x14ac:dyDescent="0.25">
      <c r="B195" s="79" t="s">
        <v>51</v>
      </c>
      <c r="C195" s="864" t="s">
        <v>1499</v>
      </c>
      <c r="D195" s="475">
        <f t="shared" si="0"/>
        <v>168.53</v>
      </c>
      <c r="E195" s="1202">
        <f t="shared" si="1"/>
        <v>5.4364516129032259</v>
      </c>
      <c r="F195" s="1203">
        <f t="shared" si="2"/>
        <v>3.0676864175133409E-2</v>
      </c>
      <c r="G195" s="79"/>
      <c r="H195" s="79"/>
      <c r="I195" s="79"/>
      <c r="J195" s="1210"/>
      <c r="K195" s="1038"/>
      <c r="M195" s="1028"/>
      <c r="N195" s="877"/>
      <c r="O195" s="1038"/>
      <c r="P195" s="1210"/>
      <c r="Q195" s="1038"/>
      <c r="R195" s="177"/>
      <c r="U195" s="877"/>
      <c r="V195" s="877"/>
    </row>
    <row r="196" spans="1:22" s="85" customFormat="1" hidden="1" x14ac:dyDescent="0.25">
      <c r="A196" s="79"/>
      <c r="B196" s="79" t="s">
        <v>2189</v>
      </c>
      <c r="C196" s="864" t="s">
        <v>1496</v>
      </c>
      <c r="D196" s="475">
        <f t="shared" si="0"/>
        <v>100</v>
      </c>
      <c r="E196" s="1202">
        <f t="shared" si="1"/>
        <v>3.225806451612903</v>
      </c>
      <c r="F196" s="1203">
        <f t="shared" si="2"/>
        <v>1.8202613288514451E-2</v>
      </c>
      <c r="G196" s="79"/>
      <c r="J196" s="1210"/>
      <c r="K196" s="1038"/>
      <c r="M196" s="877"/>
      <c r="O196" s="177"/>
      <c r="R196" s="177"/>
      <c r="U196" s="877"/>
      <c r="V196" s="877"/>
    </row>
    <row r="197" spans="1:22" s="85" customFormat="1" hidden="1" x14ac:dyDescent="0.25">
      <c r="A197" s="79"/>
      <c r="B197" s="867" t="s">
        <v>53</v>
      </c>
      <c r="C197" s="864" t="s">
        <v>1522</v>
      </c>
      <c r="D197" s="475">
        <f t="shared" si="0"/>
        <v>0</v>
      </c>
      <c r="E197" s="1202">
        <f t="shared" si="1"/>
        <v>0</v>
      </c>
      <c r="F197" s="1203">
        <f t="shared" si="2"/>
        <v>0</v>
      </c>
      <c r="J197" s="1210"/>
      <c r="K197" s="1038"/>
      <c r="M197" s="1959"/>
      <c r="O197" s="177"/>
      <c r="P197" s="868"/>
      <c r="Q197" s="769"/>
      <c r="R197" s="79"/>
      <c r="U197" s="877"/>
      <c r="V197" s="877"/>
    </row>
    <row r="198" spans="1:22" s="85" customFormat="1" hidden="1" x14ac:dyDescent="0.25">
      <c r="A198" s="79"/>
      <c r="B198" s="79" t="s">
        <v>3048</v>
      </c>
      <c r="C198" s="864" t="s">
        <v>1523</v>
      </c>
      <c r="D198" s="475">
        <f t="shared" si="0"/>
        <v>116.81</v>
      </c>
      <c r="E198" s="1202">
        <f t="shared" si="1"/>
        <v>3.7680645161290323</v>
      </c>
      <c r="F198" s="1203">
        <f t="shared" si="2"/>
        <v>2.1262472582313733E-2</v>
      </c>
      <c r="G198" s="866"/>
      <c r="J198" s="1210"/>
      <c r="K198" s="1038"/>
      <c r="M198" s="877"/>
      <c r="O198" s="177"/>
      <c r="P198" s="866"/>
      <c r="Q198" s="1210"/>
      <c r="R198" s="877"/>
      <c r="U198" s="877"/>
      <c r="V198" s="877"/>
    </row>
    <row r="199" spans="1:22" s="85" customFormat="1" hidden="1" x14ac:dyDescent="0.25">
      <c r="A199" s="79"/>
      <c r="B199" s="79" t="s">
        <v>1686</v>
      </c>
      <c r="C199" s="864" t="s">
        <v>1506</v>
      </c>
      <c r="D199" s="475">
        <f t="shared" si="0"/>
        <v>304</v>
      </c>
      <c r="E199" s="1202">
        <f t="shared" si="1"/>
        <v>9.806451612903226</v>
      </c>
      <c r="F199" s="1203">
        <f t="shared" si="2"/>
        <v>5.533594439708394E-2</v>
      </c>
      <c r="G199" s="868"/>
      <c r="J199" s="1210"/>
      <c r="K199" s="1038"/>
      <c r="M199" s="877"/>
      <c r="O199" s="177"/>
      <c r="P199" s="1226"/>
      <c r="Q199" s="1129"/>
      <c r="R199" s="877"/>
      <c r="U199" s="877"/>
      <c r="V199" s="877"/>
    </row>
    <row r="200" spans="1:22" hidden="1" x14ac:dyDescent="0.25">
      <c r="B200" s="79" t="s">
        <v>418</v>
      </c>
      <c r="C200" s="85" t="s">
        <v>1524</v>
      </c>
      <c r="D200" s="475">
        <f t="shared" si="0"/>
        <v>10872.16</v>
      </c>
      <c r="E200" s="1202">
        <f t="shared" si="1"/>
        <v>350.71483870967739</v>
      </c>
      <c r="F200" s="1203">
        <f t="shared" si="2"/>
        <v>1.9790172409085529</v>
      </c>
      <c r="G200" s="85"/>
      <c r="H200" s="85"/>
      <c r="I200" s="85"/>
      <c r="J200" s="1210"/>
      <c r="K200" s="1038"/>
      <c r="L200" s="769"/>
      <c r="M200" s="877"/>
      <c r="N200" s="769"/>
      <c r="O200" s="216"/>
      <c r="P200" s="1038"/>
      <c r="Q200" s="1226"/>
      <c r="R200" s="877"/>
      <c r="U200" s="877"/>
      <c r="V200" s="877"/>
    </row>
    <row r="201" spans="1:22" hidden="1" x14ac:dyDescent="0.25">
      <c r="B201" s="79" t="s">
        <v>6732</v>
      </c>
      <c r="C201" s="85" t="s">
        <v>1491</v>
      </c>
      <c r="D201" s="475">
        <f t="shared" si="0"/>
        <v>983.98</v>
      </c>
      <c r="E201" s="1202">
        <f t="shared" si="1"/>
        <v>31.741290322580646</v>
      </c>
      <c r="F201" s="1203">
        <f t="shared" si="2"/>
        <v>0.17911007423632452</v>
      </c>
      <c r="I201" s="85"/>
      <c r="J201" s="1210"/>
      <c r="K201" s="1038"/>
      <c r="N201" s="216"/>
      <c r="O201" s="216"/>
      <c r="Q201" s="484"/>
      <c r="R201" s="877"/>
      <c r="U201" s="877"/>
      <c r="V201" s="877"/>
    </row>
    <row r="202" spans="1:22" hidden="1" x14ac:dyDescent="0.25">
      <c r="B202" s="79" t="s">
        <v>6733</v>
      </c>
      <c r="C202" s="85" t="s">
        <v>6731</v>
      </c>
      <c r="D202" s="475">
        <f t="shared" si="0"/>
        <v>258.57</v>
      </c>
      <c r="E202" s="1202">
        <f t="shared" si="1"/>
        <v>8.3409677419354828</v>
      </c>
      <c r="F202" s="1203">
        <f t="shared" si="2"/>
        <v>4.706649718011182E-2</v>
      </c>
      <c r="I202" s="85"/>
      <c r="J202" s="1210"/>
      <c r="K202" s="1038"/>
      <c r="N202" s="216"/>
      <c r="O202" s="216"/>
      <c r="Q202" s="484"/>
      <c r="R202" s="877"/>
      <c r="U202" s="877"/>
      <c r="V202" s="877"/>
    </row>
    <row r="203" spans="1:22" hidden="1" x14ac:dyDescent="0.25">
      <c r="B203" s="79" t="s">
        <v>5439</v>
      </c>
      <c r="C203" s="85" t="s">
        <v>1525</v>
      </c>
      <c r="D203" s="475">
        <f t="shared" si="0"/>
        <v>162</v>
      </c>
      <c r="E203" s="1202">
        <f t="shared" si="1"/>
        <v>5.225806451612903</v>
      </c>
      <c r="F203" s="1203">
        <f t="shared" si="2"/>
        <v>2.9488233527393416E-2</v>
      </c>
      <c r="J203" s="1210"/>
      <c r="K203" s="1038"/>
      <c r="O203" s="216"/>
      <c r="Q203" s="484"/>
      <c r="R203" s="1673"/>
      <c r="U203" s="877"/>
      <c r="V203" s="877"/>
    </row>
    <row r="204" spans="1:22" hidden="1" x14ac:dyDescent="0.25">
      <c r="B204" s="79" t="s">
        <v>1526</v>
      </c>
      <c r="C204" s="85" t="s">
        <v>1504</v>
      </c>
      <c r="D204" s="475">
        <f t="shared" si="0"/>
        <v>242.79666666666668</v>
      </c>
      <c r="E204" s="1202">
        <f t="shared" si="1"/>
        <v>7.8321505376344094</v>
      </c>
      <c r="F204" s="1203">
        <f t="shared" si="2"/>
        <v>4.4195338310736812E-2</v>
      </c>
      <c r="J204" s="1210"/>
      <c r="K204" s="1038"/>
      <c r="L204" s="769"/>
      <c r="N204" s="769"/>
      <c r="O204" s="886"/>
      <c r="P204" s="1210"/>
      <c r="Q204" s="1038"/>
      <c r="R204" s="1129"/>
      <c r="T204" s="1129"/>
      <c r="U204" s="877"/>
      <c r="V204" s="877"/>
    </row>
    <row r="205" spans="1:22" hidden="1" x14ac:dyDescent="0.25">
      <c r="B205" s="79" t="s">
        <v>2343</v>
      </c>
      <c r="C205" s="85" t="s">
        <v>2315</v>
      </c>
      <c r="D205" s="475">
        <f t="shared" si="0"/>
        <v>0</v>
      </c>
      <c r="E205" s="1202">
        <f t="shared" si="1"/>
        <v>0</v>
      </c>
      <c r="F205" s="1203">
        <f t="shared" si="2"/>
        <v>0</v>
      </c>
      <c r="J205" s="1210"/>
      <c r="K205" s="1038"/>
      <c r="L205" s="769"/>
      <c r="M205" s="1210"/>
      <c r="N205" s="769"/>
      <c r="O205" s="1673"/>
      <c r="P205" s="1210"/>
      <c r="Q205" s="1038"/>
      <c r="R205" s="1129"/>
      <c r="T205" s="1129"/>
      <c r="U205" s="877"/>
      <c r="V205" s="877"/>
    </row>
    <row r="206" spans="1:22" hidden="1" x14ac:dyDescent="0.25">
      <c r="B206" s="79" t="s">
        <v>3019</v>
      </c>
      <c r="C206" s="85" t="s">
        <v>3017</v>
      </c>
      <c r="D206" s="475">
        <f t="shared" si="0"/>
        <v>0</v>
      </c>
      <c r="E206" s="1202">
        <f t="shared" si="1"/>
        <v>0</v>
      </c>
      <c r="F206" s="1203">
        <f t="shared" si="2"/>
        <v>0</v>
      </c>
      <c r="J206" s="1210"/>
      <c r="K206" s="1038"/>
      <c r="L206" s="769"/>
      <c r="N206" s="769"/>
      <c r="P206" s="941"/>
      <c r="Q206" s="224"/>
      <c r="R206" s="1226"/>
      <c r="S206" s="1129"/>
      <c r="T206" s="1129"/>
      <c r="U206" s="877"/>
      <c r="V206" s="877"/>
    </row>
    <row r="207" spans="1:22" ht="15.75" hidden="1" thickBot="1" x14ac:dyDescent="0.3">
      <c r="B207" s="301" t="s">
        <v>1527</v>
      </c>
      <c r="C207" s="2400" t="s">
        <v>1489</v>
      </c>
      <c r="D207" s="2401">
        <f t="shared" si="0"/>
        <v>650.20000000000005</v>
      </c>
      <c r="E207" s="2402">
        <f t="shared" si="1"/>
        <v>20.974193548387099</v>
      </c>
      <c r="F207" s="2403">
        <f t="shared" si="2"/>
        <v>0.11835339160192099</v>
      </c>
      <c r="J207" s="1210"/>
      <c r="K207" s="1038"/>
      <c r="P207" s="1210"/>
      <c r="Q207" s="1038"/>
      <c r="R207" s="1226"/>
      <c r="S207" s="1129"/>
      <c r="T207" s="1129"/>
      <c r="U207" s="877"/>
      <c r="V207" s="877"/>
    </row>
    <row r="208" spans="1:22" hidden="1" x14ac:dyDescent="0.25">
      <c r="B208" s="1124" t="s">
        <v>6790</v>
      </c>
      <c r="C208" s="1124"/>
      <c r="D208" s="1125">
        <f>SUMIF($B$7:$B$186,"Crédito Gasolina",$G$7:$G$186)</f>
        <v>483.12</v>
      </c>
      <c r="E208" s="1138">
        <f>D208/K211</f>
        <v>15.584516129032258</v>
      </c>
      <c r="F208" s="1124"/>
      <c r="G208" s="1129"/>
      <c r="J208" s="2037"/>
      <c r="K208" s="629"/>
      <c r="P208" s="1210"/>
      <c r="Q208" s="1038"/>
      <c r="R208" s="1227"/>
      <c r="S208" s="1129"/>
      <c r="T208" s="1129"/>
      <c r="U208" s="877"/>
      <c r="V208" s="877"/>
    </row>
    <row r="209" spans="1:24" hidden="1" x14ac:dyDescent="0.25">
      <c r="B209" s="1124" t="s">
        <v>6918</v>
      </c>
      <c r="C209" s="1124"/>
      <c r="D209" s="1125">
        <f>SUMIF($B$7:$B$186,"Trabalho Art frutt",$G$7:$G$186)</f>
        <v>400</v>
      </c>
      <c r="E209" s="1138">
        <f>D209/K211</f>
        <v>12.903225806451612</v>
      </c>
      <c r="F209" s="1124"/>
      <c r="J209" s="2037"/>
      <c r="K209" s="629"/>
      <c r="L209" s="459" t="s">
        <v>6481</v>
      </c>
      <c r="M209" s="2125" t="s">
        <v>6482</v>
      </c>
      <c r="P209" s="1210"/>
      <c r="Q209" s="1038"/>
      <c r="R209" s="1227"/>
      <c r="S209" s="1129"/>
      <c r="T209" s="1129"/>
      <c r="U209" s="877"/>
      <c r="V209" s="877"/>
    </row>
    <row r="210" spans="1:24" x14ac:dyDescent="0.25">
      <c r="B210" s="1124"/>
      <c r="C210" s="1124"/>
      <c r="D210" s="1125"/>
      <c r="E210" s="1138"/>
      <c r="F210" s="1124"/>
      <c r="J210" s="2037"/>
      <c r="K210" s="629"/>
      <c r="L210" s="459"/>
      <c r="M210" s="2125"/>
      <c r="P210" s="1210"/>
      <c r="Q210" s="1038"/>
      <c r="R210" s="1227"/>
      <c r="T210" s="1129"/>
      <c r="U210" s="877"/>
      <c r="V210" s="877"/>
    </row>
    <row r="211" spans="1:24" x14ac:dyDescent="0.25">
      <c r="C211" s="3168" t="s">
        <v>486</v>
      </c>
      <c r="D211" s="3168"/>
      <c r="E211" s="863">
        <f>J211/K211</f>
        <v>477.12215053763441</v>
      </c>
      <c r="G211" s="518" t="s">
        <v>487</v>
      </c>
      <c r="J211" s="629">
        <f>SUM(D191:D207)</f>
        <v>14790.786666666667</v>
      </c>
      <c r="K211" s="1517">
        <v>31</v>
      </c>
      <c r="M211" s="1138">
        <f>5316.5+D209-J212</f>
        <v>1797.873333333333</v>
      </c>
      <c r="N211" s="216"/>
      <c r="O211" s="1517"/>
      <c r="P211" s="1210"/>
      <c r="Q211" s="1038"/>
      <c r="R211" s="1226"/>
      <c r="S211" s="1129"/>
      <c r="T211" s="1129"/>
      <c r="U211" s="877"/>
      <c r="V211" s="877"/>
    </row>
    <row r="212" spans="1:24" ht="15.75" customHeight="1" x14ac:dyDescent="0.25">
      <c r="B212" s="3167" t="s">
        <v>7452</v>
      </c>
      <c r="C212" s="3167"/>
      <c r="D212" s="3167"/>
      <c r="E212" s="1125">
        <f>5316.5/30</f>
        <v>177.21666666666667</v>
      </c>
      <c r="G212" s="518" t="s">
        <v>6257</v>
      </c>
      <c r="J212" s="609">
        <f>J211-D200</f>
        <v>3918.626666666667</v>
      </c>
      <c r="K212" s="629"/>
      <c r="M212" s="868"/>
      <c r="O212" s="868"/>
      <c r="P212" s="1210"/>
      <c r="Q212" s="1038"/>
      <c r="R212" s="1226"/>
      <c r="S212" s="1129"/>
      <c r="T212" s="1129"/>
      <c r="U212" s="877"/>
      <c r="V212" s="877"/>
    </row>
    <row r="213" spans="1:24" x14ac:dyDescent="0.25">
      <c r="A213" s="518"/>
      <c r="C213" s="79"/>
      <c r="D213" s="79"/>
      <c r="E213" s="769"/>
      <c r="F213" s="866"/>
      <c r="G213" s="769"/>
      <c r="H213" s="866"/>
      <c r="I213" s="1210"/>
      <c r="J213" s="867"/>
      <c r="K213" s="866"/>
      <c r="L213" s="1038"/>
      <c r="M213" s="1210"/>
      <c r="N213" s="1038"/>
      <c r="O213" s="1210"/>
      <c r="P213" s="1210"/>
      <c r="Q213" s="1038"/>
      <c r="R213" s="769"/>
      <c r="S213" s="484" t="s">
        <v>280</v>
      </c>
      <c r="T213" s="216"/>
      <c r="U213" s="866"/>
      <c r="V213" s="484"/>
      <c r="X213" s="877"/>
    </row>
    <row r="214" spans="1:24" s="518" customFormat="1" x14ac:dyDescent="0.25">
      <c r="A214" s="79"/>
      <c r="B214" s="79"/>
      <c r="C214" s="79"/>
      <c r="D214" s="79"/>
      <c r="E214" s="1126">
        <f>E212-E211</f>
        <v>-299.90548387096771</v>
      </c>
      <c r="F214" s="1205">
        <f>SUM(F191:F213)</f>
        <v>2.6923096992624913</v>
      </c>
      <c r="G214" s="85"/>
      <c r="H214" s="85"/>
      <c r="I214" s="89"/>
      <c r="J214" s="1210"/>
      <c r="K214" s="754"/>
      <c r="L214" s="79"/>
      <c r="M214" s="79"/>
      <c r="N214" s="79"/>
      <c r="O214" s="79"/>
      <c r="P214" s="1210"/>
      <c r="Q214" s="1038"/>
      <c r="R214" s="79"/>
      <c r="S214" s="79"/>
      <c r="T214" s="866"/>
      <c r="U214" s="484"/>
      <c r="V214" s="79"/>
      <c r="W214" s="877"/>
      <c r="X214" s="79"/>
    </row>
    <row r="215" spans="1:24" s="518" customFormat="1" x14ac:dyDescent="0.25">
      <c r="A215" s="79"/>
      <c r="B215" s="79"/>
      <c r="C215" s="79"/>
      <c r="D215" s="79"/>
      <c r="E215" s="85"/>
      <c r="J215" s="1038"/>
      <c r="K215" s="1225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1124" t="s">
        <v>6376</v>
      </c>
      <c r="C216" s="2125"/>
      <c r="D216" s="2219">
        <f>SUMIF($E$7:$E$186,"crédito",$G$7:$G$186)</f>
        <v>5836.5</v>
      </c>
      <c r="E216" s="85"/>
      <c r="F216" s="89"/>
      <c r="G216" s="79"/>
      <c r="H216" s="79"/>
      <c r="I216" s="79"/>
      <c r="J216" s="1038"/>
      <c r="K216" s="1225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518" t="s">
        <v>6496</v>
      </c>
      <c r="C217" s="459"/>
      <c r="D217" s="2218">
        <f>SUM(D191:D207)-D200</f>
        <v>3918.626666666667</v>
      </c>
      <c r="E217" s="85"/>
      <c r="F217" s="89"/>
      <c r="G217" s="79"/>
      <c r="H217" s="79"/>
      <c r="I217" s="216"/>
      <c r="J217" s="864"/>
      <c r="K217" s="877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81" t="s">
        <v>6497</v>
      </c>
      <c r="C218" s="81"/>
      <c r="D218" s="1014">
        <f>D216-D217</f>
        <v>1917.873333333333</v>
      </c>
      <c r="E218" s="79"/>
      <c r="F218" s="79"/>
      <c r="G218" s="79"/>
      <c r="H218" s="79"/>
      <c r="J218" s="1038"/>
      <c r="K218" s="877"/>
      <c r="M218" s="866"/>
      <c r="O218" s="866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216"/>
      <c r="J219" s="1038"/>
      <c r="K219" s="877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79"/>
      <c r="D220" s="79"/>
      <c r="E220" s="79"/>
      <c r="F220" s="79"/>
      <c r="G220" s="216"/>
      <c r="H220" s="79"/>
      <c r="I220" s="216"/>
      <c r="J220" s="1038"/>
      <c r="K220" s="877"/>
      <c r="L220" s="769"/>
      <c r="M220" s="868"/>
      <c r="N220" s="769"/>
      <c r="O220" s="868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79"/>
      <c r="D221" s="79"/>
      <c r="E221" s="79"/>
      <c r="F221" s="79"/>
      <c r="G221" s="216"/>
      <c r="H221" s="79"/>
      <c r="I221" s="216"/>
      <c r="J221" s="79"/>
      <c r="K221" s="877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79"/>
      <c r="D222" s="79"/>
      <c r="E222" s="79"/>
      <c r="F222" s="79"/>
      <c r="G222" s="216"/>
      <c r="H222" s="79"/>
      <c r="I222" s="79"/>
      <c r="J222" s="85"/>
      <c r="K222" s="877"/>
      <c r="L222" s="770"/>
      <c r="M222" s="866"/>
      <c r="N222" s="770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216"/>
      <c r="J223" s="1038"/>
      <c r="K223" s="877"/>
      <c r="L223" s="769"/>
      <c r="M223" s="868"/>
      <c r="N223" s="769"/>
      <c r="O223" s="868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85"/>
      <c r="K224" s="877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629"/>
      <c r="J225" s="769"/>
      <c r="K225" s="1225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9"/>
      <c r="K226" s="79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9"/>
      <c r="K227" s="79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85"/>
      <c r="D228" s="85"/>
      <c r="E228" s="85"/>
      <c r="F228" s="89"/>
      <c r="G228" s="79"/>
      <c r="H228" s="79"/>
      <c r="I228" s="79"/>
      <c r="J228" s="769"/>
      <c r="K228" s="868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85"/>
      <c r="D229" s="85"/>
      <c r="E229" s="85"/>
      <c r="F229" s="89"/>
      <c r="G229" s="79"/>
      <c r="H229" s="79"/>
      <c r="I229" s="79"/>
      <c r="J229" s="769"/>
      <c r="K229" s="868"/>
      <c r="L229" s="769"/>
      <c r="M229" s="866"/>
      <c r="N229" s="769"/>
      <c r="O229" s="866"/>
      <c r="P229" s="1210"/>
      <c r="Q229" s="103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85"/>
      <c r="D230" s="85"/>
      <c r="E230" s="85"/>
      <c r="F230" s="89"/>
      <c r="G230" s="79"/>
      <c r="H230" s="79"/>
      <c r="I230" s="79"/>
      <c r="J230" s="769"/>
      <c r="K230" s="79"/>
      <c r="L230" s="769"/>
      <c r="M230" s="866"/>
      <c r="N230" s="769"/>
      <c r="O230" s="866"/>
      <c r="P230" s="1210"/>
      <c r="Q230" s="103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79"/>
      <c r="K231" s="79"/>
      <c r="L231" s="769"/>
      <c r="M231" s="866"/>
      <c r="N231" s="769"/>
      <c r="O231" s="866"/>
      <c r="P231" s="1210"/>
      <c r="Q231" s="1038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J232" s="79"/>
      <c r="K232" s="79"/>
      <c r="L232" s="769"/>
      <c r="M232" s="866"/>
      <c r="N232" s="769"/>
      <c r="O232" s="866"/>
      <c r="P232" s="1210"/>
      <c r="Q232" s="1038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J233" s="1517"/>
      <c r="K233" s="79"/>
      <c r="L233" s="769"/>
      <c r="M233" s="866"/>
      <c r="N233" s="769"/>
      <c r="O233" s="866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79"/>
      <c r="K234" s="868"/>
      <c r="L234" s="769"/>
      <c r="M234" s="866"/>
      <c r="N234" s="769"/>
      <c r="O234" s="866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J235" s="89"/>
      <c r="K235" s="79"/>
      <c r="L235" s="769"/>
      <c r="M235" s="868"/>
      <c r="N235" s="769"/>
      <c r="O235" s="868"/>
      <c r="P235" s="79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216"/>
      <c r="J236" s="79"/>
      <c r="K236" s="79"/>
      <c r="L236" s="769"/>
      <c r="M236" s="868"/>
      <c r="N236" s="769"/>
      <c r="O236" s="868"/>
      <c r="P236" s="81"/>
      <c r="Q236" s="755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216"/>
      <c r="L237" s="769"/>
      <c r="M237" s="868"/>
      <c r="N237" s="769"/>
      <c r="O237" s="868"/>
      <c r="P237" s="868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216"/>
      <c r="J238" s="769"/>
      <c r="K238" s="866"/>
      <c r="L238" s="769"/>
      <c r="M238" s="868"/>
      <c r="N238" s="769"/>
      <c r="O238" s="868"/>
      <c r="P238" s="754"/>
      <c r="Q238" s="88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216"/>
      <c r="J239" s="769"/>
      <c r="K239" s="866"/>
      <c r="L239" s="769"/>
      <c r="M239" s="868"/>
      <c r="N239" s="769"/>
      <c r="O239" s="868"/>
      <c r="P239" s="864"/>
      <c r="Q239" s="864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K240" s="866"/>
      <c r="L240" s="769"/>
      <c r="M240" s="866"/>
      <c r="N240" s="769"/>
      <c r="O240" s="866"/>
      <c r="P240" s="864"/>
      <c r="Q240" s="1032"/>
      <c r="R240" s="484"/>
      <c r="S240" s="79"/>
      <c r="T240" s="877"/>
      <c r="U240" s="79"/>
    </row>
    <row r="241" spans="1:21" s="518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69"/>
      <c r="K241" s="866"/>
      <c r="L241" s="769"/>
      <c r="M241" s="866"/>
      <c r="N241" s="769"/>
      <c r="O241" s="866"/>
      <c r="P241" s="864"/>
      <c r="Q241" s="1032"/>
      <c r="R241" s="484"/>
      <c r="S241" s="79"/>
      <c r="T241" s="877"/>
      <c r="U241" s="79"/>
    </row>
    <row r="242" spans="1:21" s="518" customFormat="1" x14ac:dyDescent="0.25">
      <c r="A242" s="79"/>
      <c r="B242" s="79"/>
      <c r="C242" s="85"/>
      <c r="D242" s="85"/>
      <c r="E242" s="85"/>
      <c r="F242" s="89"/>
      <c r="G242" s="79"/>
      <c r="H242" s="79"/>
      <c r="I242" s="79"/>
      <c r="J242" s="769"/>
      <c r="K242" s="868"/>
      <c r="L242" s="769"/>
      <c r="M242" s="868"/>
      <c r="N242" s="769"/>
      <c r="O242" s="868"/>
      <c r="P242" s="85"/>
      <c r="Q242" s="795"/>
      <c r="R242" s="484"/>
      <c r="S242" s="79"/>
      <c r="T242" s="877"/>
      <c r="U242" s="79"/>
    </row>
    <row r="243" spans="1:21" s="518" customFormat="1" x14ac:dyDescent="0.25">
      <c r="A243" s="79"/>
      <c r="B243" s="79"/>
      <c r="C243" s="85"/>
      <c r="D243" s="85"/>
      <c r="E243" s="85"/>
      <c r="F243" s="89"/>
      <c r="G243" s="79"/>
      <c r="H243" s="79"/>
      <c r="I243" s="79"/>
      <c r="J243" s="769"/>
      <c r="K243" s="866"/>
      <c r="L243" s="769"/>
      <c r="M243" s="866"/>
      <c r="N243" s="769"/>
      <c r="O243" s="866"/>
      <c r="P243" s="85"/>
      <c r="Q243" s="177"/>
      <c r="R243" s="484"/>
      <c r="S243" s="79"/>
      <c r="T243" s="877"/>
      <c r="U243" s="79"/>
    </row>
    <row r="244" spans="1:21" s="518" customFormat="1" x14ac:dyDescent="0.25">
      <c r="A244" s="79"/>
      <c r="B244" s="79"/>
      <c r="C244" s="85"/>
      <c r="D244" s="85"/>
      <c r="E244" s="85"/>
      <c r="F244" s="89"/>
      <c r="G244" s="79"/>
      <c r="H244" s="79"/>
      <c r="I244" s="79"/>
      <c r="J244" s="770"/>
      <c r="K244" s="866"/>
      <c r="L244" s="769"/>
      <c r="M244" s="866"/>
      <c r="N244" s="769"/>
      <c r="O244" s="866"/>
      <c r="P244" s="85"/>
      <c r="Q244" s="177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8"/>
      <c r="L245" s="769"/>
      <c r="M245" s="868"/>
      <c r="N245" s="769"/>
      <c r="O245" s="868"/>
      <c r="P245" s="85"/>
      <c r="Q245" s="177" t="s">
        <v>280</v>
      </c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769"/>
      <c r="M246" s="868"/>
      <c r="N246" s="769"/>
      <c r="O246" s="868"/>
      <c r="P246" s="85"/>
      <c r="Q246" s="177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69"/>
      <c r="M247" s="868"/>
      <c r="N247" s="769"/>
      <c r="O247" s="868"/>
      <c r="P247" s="85"/>
      <c r="Q247" s="86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69"/>
      <c r="M248" s="868"/>
      <c r="N248" s="769"/>
      <c r="O248" s="868"/>
      <c r="P248" s="769"/>
      <c r="Q248" s="21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69"/>
      <c r="M249" s="866"/>
      <c r="N249" s="769"/>
      <c r="O249" s="866"/>
      <c r="P249" s="79"/>
      <c r="Q249" s="21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223"/>
      <c r="M250" s="629"/>
      <c r="N250" s="223"/>
      <c r="O250" s="629"/>
      <c r="P250" s="769"/>
      <c r="Q250" s="868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56"/>
      <c r="M251" s="756"/>
      <c r="N251" s="756"/>
      <c r="O251" s="756"/>
      <c r="P251" s="769"/>
      <c r="Q251" s="868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79"/>
      <c r="M252" s="79"/>
      <c r="N252" s="79"/>
      <c r="O252" s="79"/>
      <c r="P252" s="769"/>
      <c r="Q252" s="868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79"/>
      <c r="M253" s="79"/>
      <c r="N253" s="79"/>
      <c r="O253" s="79"/>
      <c r="P253" s="769"/>
      <c r="Q253" s="79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6"/>
      <c r="L254" s="79"/>
      <c r="M254" s="79"/>
      <c r="N254" s="79"/>
      <c r="O254" s="79"/>
      <c r="P254" s="79"/>
      <c r="Q254" s="79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6"/>
      <c r="L255" s="79"/>
      <c r="M255" s="79"/>
      <c r="N255" s="79"/>
      <c r="O255" s="79"/>
      <c r="P255" s="79"/>
      <c r="Q255" s="79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6"/>
      <c r="L256" s="85"/>
      <c r="M256" s="85"/>
      <c r="N256" s="85"/>
      <c r="O256" s="85"/>
      <c r="P256" s="1517"/>
      <c r="Q256" s="79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9"/>
      <c r="Q257" s="868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89"/>
      <c r="Q258" s="79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9"/>
      <c r="M259" s="79"/>
      <c r="N259" s="79"/>
      <c r="O259" s="79"/>
      <c r="P259" s="79"/>
      <c r="Q259" s="79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8"/>
      <c r="L260" s="79"/>
      <c r="M260" s="79"/>
      <c r="N260" s="79"/>
      <c r="O260" s="79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8"/>
      <c r="L261" s="79"/>
      <c r="M261" s="79"/>
      <c r="N261" s="79"/>
      <c r="O261" s="79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9"/>
      <c r="M262" s="79"/>
      <c r="N262" s="79"/>
      <c r="O262" s="79"/>
      <c r="P262" s="769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85"/>
      <c r="M263" s="85"/>
      <c r="N263" s="85"/>
      <c r="O263" s="85"/>
      <c r="Q263" s="866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8"/>
      <c r="L264" s="79"/>
      <c r="M264" s="79"/>
      <c r="N264" s="79"/>
      <c r="O264" s="79"/>
      <c r="P264" s="769"/>
      <c r="Q264" s="866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6"/>
      <c r="L265" s="79"/>
      <c r="M265" s="79"/>
      <c r="N265" s="79"/>
      <c r="O265" s="79"/>
      <c r="P265" s="769"/>
      <c r="Q265" s="868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6"/>
      <c r="L266" s="79"/>
      <c r="M266" s="79"/>
      <c r="N266" s="79"/>
      <c r="O266" s="79"/>
      <c r="P266" s="769"/>
      <c r="Q266" s="866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8"/>
      <c r="L267" s="79"/>
      <c r="M267" s="79"/>
      <c r="N267" s="79"/>
      <c r="O267" s="79"/>
      <c r="P267" s="770"/>
      <c r="Q267" s="866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8"/>
      <c r="L268" s="79"/>
      <c r="M268" s="79"/>
      <c r="N268" s="79"/>
      <c r="O268" s="79"/>
      <c r="P268" s="769"/>
      <c r="Q268" s="868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69"/>
      <c r="K269" s="868"/>
      <c r="L269" s="79"/>
      <c r="M269" s="79"/>
      <c r="N269" s="79"/>
      <c r="O269" s="79"/>
      <c r="P269" s="769"/>
      <c r="Q269" s="866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69"/>
      <c r="K270" s="868"/>
      <c r="L270" s="771"/>
      <c r="N270" s="771"/>
      <c r="P270" s="769"/>
      <c r="Q270" s="866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69"/>
      <c r="K271" s="866"/>
      <c r="L271" s="79"/>
      <c r="M271" s="79"/>
      <c r="N271" s="79"/>
      <c r="O271" s="79"/>
      <c r="P271" s="769"/>
      <c r="Q271" s="866"/>
      <c r="R271" s="484"/>
      <c r="S271" s="79"/>
      <c r="T271" s="877"/>
      <c r="U271" s="79"/>
    </row>
    <row r="272" spans="1:21" x14ac:dyDescent="0.25">
      <c r="J272" s="223"/>
      <c r="K272" s="629"/>
      <c r="P272" s="769"/>
      <c r="Q272" s="866"/>
    </row>
    <row r="273" spans="1:21" x14ac:dyDescent="0.25">
      <c r="J273" s="756"/>
      <c r="K273" s="756"/>
      <c r="P273" s="769"/>
      <c r="Q273" s="866"/>
    </row>
    <row r="274" spans="1:21" x14ac:dyDescent="0.25">
      <c r="P274" s="769"/>
      <c r="Q274" s="866"/>
    </row>
    <row r="275" spans="1:21" x14ac:dyDescent="0.25">
      <c r="P275" s="769"/>
      <c r="Q275" s="866"/>
    </row>
    <row r="276" spans="1:21" x14ac:dyDescent="0.25">
      <c r="P276" s="769"/>
      <c r="Q276" s="866"/>
    </row>
    <row r="277" spans="1:21" x14ac:dyDescent="0.25">
      <c r="P277" s="769"/>
      <c r="Q277" s="866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85"/>
      <c r="K278" s="85"/>
      <c r="L278" s="79"/>
      <c r="M278" s="216"/>
      <c r="N278" s="79"/>
      <c r="O278" s="216"/>
      <c r="P278" s="769"/>
      <c r="Q278" s="866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69"/>
      <c r="Q279" s="866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69"/>
      <c r="Q280" s="868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69"/>
      <c r="Q281" s="868"/>
      <c r="R281" s="484"/>
      <c r="S281" s="79"/>
      <c r="T281" s="877"/>
      <c r="U281" s="79"/>
    </row>
    <row r="282" spans="1:21" x14ac:dyDescent="0.25">
      <c r="P282" s="769"/>
      <c r="Q282" s="868"/>
    </row>
    <row r="283" spans="1:21" s="518" customFormat="1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216"/>
      <c r="N283" s="79"/>
      <c r="O283" s="216"/>
      <c r="P283" s="769"/>
      <c r="Q283" s="868"/>
      <c r="R283" s="484"/>
      <c r="S283" s="79"/>
      <c r="T283" s="877"/>
      <c r="U283" s="79"/>
    </row>
    <row r="284" spans="1:21" x14ac:dyDescent="0.25">
      <c r="P284" s="769"/>
      <c r="Q284" s="868"/>
    </row>
    <row r="285" spans="1:21" s="518" customFormat="1" x14ac:dyDescent="0.25">
      <c r="A285" s="79"/>
      <c r="B285" s="79"/>
      <c r="C285" s="79"/>
      <c r="D285" s="79"/>
      <c r="E285" s="79"/>
      <c r="F285" s="79"/>
      <c r="G285" s="79"/>
      <c r="H285" s="79"/>
      <c r="I285" s="79"/>
      <c r="J285" s="85"/>
      <c r="K285" s="85"/>
      <c r="L285" s="79"/>
      <c r="M285" s="629"/>
      <c r="N285" s="79"/>
      <c r="O285" s="629"/>
      <c r="P285" s="769"/>
      <c r="Q285" s="866"/>
      <c r="R285" s="484"/>
      <c r="S285" s="79"/>
      <c r="T285" s="877"/>
      <c r="U285" s="79"/>
    </row>
    <row r="286" spans="1:21" x14ac:dyDescent="0.25">
      <c r="P286" s="769"/>
      <c r="Q286" s="866"/>
    </row>
    <row r="287" spans="1:21" x14ac:dyDescent="0.25">
      <c r="P287" s="769"/>
      <c r="Q287" s="868"/>
    </row>
    <row r="288" spans="1:21" x14ac:dyDescent="0.25">
      <c r="P288" s="769"/>
      <c r="Q288" s="866"/>
    </row>
    <row r="289" spans="1:21" x14ac:dyDescent="0.25">
      <c r="P289" s="769"/>
      <c r="Q289" s="866"/>
    </row>
    <row r="290" spans="1:21" x14ac:dyDescent="0.25">
      <c r="P290" s="769"/>
      <c r="Q290" s="868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8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71"/>
      <c r="L292" s="79"/>
      <c r="M292" s="216"/>
      <c r="N292" s="79"/>
      <c r="O292" s="216"/>
      <c r="P292" s="769"/>
      <c r="Q292" s="868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69"/>
      <c r="Q293" s="868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69"/>
      <c r="Q294" s="866"/>
      <c r="R294" s="484"/>
      <c r="S294" s="79"/>
      <c r="T294" s="877"/>
      <c r="U294" s="79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216"/>
      <c r="N295" s="79"/>
      <c r="O295" s="216"/>
      <c r="P295" s="223"/>
      <c r="Q295" s="629"/>
      <c r="R295" s="484"/>
      <c r="S295" s="79"/>
      <c r="T295" s="877"/>
      <c r="U295" s="79"/>
    </row>
    <row r="296" spans="1:21" s="518" customFormat="1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216"/>
      <c r="N296" s="79"/>
      <c r="O296" s="216"/>
      <c r="P296" s="756"/>
      <c r="Q296" s="756"/>
      <c r="R296" s="484"/>
      <c r="S296" s="79"/>
      <c r="T296" s="877"/>
      <c r="U296" s="79"/>
    </row>
    <row r="297" spans="1:21" s="518" customFormat="1" x14ac:dyDescent="0.25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216"/>
      <c r="N297" s="79"/>
      <c r="O297" s="216"/>
      <c r="P297" s="79"/>
      <c r="Q297" s="79"/>
      <c r="R297" s="484"/>
      <c r="S297" s="79"/>
      <c r="T297" s="877"/>
      <c r="U297" s="79"/>
    </row>
    <row r="298" spans="1:21" s="518" customFormat="1" x14ac:dyDescent="0.25">
      <c r="A298" s="79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216"/>
      <c r="N298" s="79"/>
      <c r="O298" s="216"/>
      <c r="P298" s="79"/>
      <c r="Q298" s="79"/>
      <c r="R298" s="484"/>
      <c r="S298" s="79"/>
      <c r="T298" s="877"/>
      <c r="U298" s="79"/>
    </row>
    <row r="299" spans="1:21" s="518" customFormat="1" x14ac:dyDescent="0.25">
      <c r="A299" s="79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216"/>
      <c r="N299" s="79"/>
      <c r="O299" s="216"/>
      <c r="P299" s="79"/>
      <c r="Q299" s="79"/>
      <c r="R299" s="484"/>
      <c r="S299" s="79"/>
      <c r="T299" s="877"/>
      <c r="U299" s="79"/>
    </row>
    <row r="300" spans="1:21" x14ac:dyDescent="0.25">
      <c r="K300" s="216"/>
    </row>
    <row r="301" spans="1:21" x14ac:dyDescent="0.25">
      <c r="K301" s="216"/>
      <c r="P301" s="85"/>
      <c r="Q301" s="85"/>
    </row>
    <row r="302" spans="1:21" x14ac:dyDescent="0.25">
      <c r="K302" s="216"/>
    </row>
    <row r="303" spans="1:21" x14ac:dyDescent="0.25">
      <c r="K303" s="216"/>
    </row>
    <row r="305" spans="1:42" x14ac:dyDescent="0.25">
      <c r="K305" s="216"/>
    </row>
    <row r="307" spans="1:42" x14ac:dyDescent="0.25">
      <c r="K307" s="629"/>
    </row>
    <row r="308" spans="1:42" x14ac:dyDescent="0.25">
      <c r="P308" s="85"/>
      <c r="Q308" s="85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216"/>
      <c r="L313" s="79"/>
      <c r="M313" s="79"/>
      <c r="N313" s="79"/>
      <c r="O313" s="79"/>
      <c r="P313" s="79"/>
      <c r="Q313" s="79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216"/>
      <c r="L314" s="79"/>
      <c r="M314" s="79"/>
      <c r="N314" s="79"/>
      <c r="O314" s="79"/>
      <c r="P314" s="79"/>
      <c r="Q314" s="79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216"/>
      <c r="L315" s="79"/>
      <c r="M315" s="79"/>
      <c r="N315" s="79"/>
      <c r="O315" s="79"/>
      <c r="P315" s="771"/>
      <c r="Q315" s="518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216"/>
      <c r="L316" s="79"/>
      <c r="M316" s="79"/>
      <c r="N316" s="79"/>
      <c r="O316" s="79"/>
      <c r="P316" s="79"/>
      <c r="Q316" s="79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7" spans="1:42" x14ac:dyDescent="0.25">
      <c r="K317" s="216"/>
    </row>
    <row r="318" spans="1:42" x14ac:dyDescent="0.25">
      <c r="K318" s="216"/>
    </row>
    <row r="319" spans="1:42" x14ac:dyDescent="0.25">
      <c r="K319" s="216"/>
    </row>
    <row r="320" spans="1:42" x14ac:dyDescent="0.25">
      <c r="K320" s="216"/>
    </row>
    <row r="321" spans="1:42" x14ac:dyDescent="0.25">
      <c r="K321" s="216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8" spans="1:42" s="484" customFormat="1" x14ac:dyDescent="0.25">
      <c r="A328" s="79"/>
      <c r="B328" s="79"/>
      <c r="C328" s="85"/>
      <c r="D328" s="85"/>
      <c r="E328" s="85"/>
      <c r="F328" s="8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216"/>
      <c r="S328" s="79"/>
      <c r="T328" s="877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</row>
    <row r="330" spans="1:42" s="484" customFormat="1" x14ac:dyDescent="0.25">
      <c r="A330" s="79"/>
      <c r="B330" s="79"/>
      <c r="C330" s="85"/>
      <c r="D330" s="85"/>
      <c r="E330" s="85"/>
      <c r="F330" s="8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629"/>
      <c r="S330" s="79"/>
      <c r="T330" s="877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216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  <row r="341" spans="1:42" s="484" customFormat="1" x14ac:dyDescent="0.25">
      <c r="A341" s="79"/>
      <c r="B341" s="79"/>
      <c r="C341" s="85"/>
      <c r="D341" s="85"/>
      <c r="E341" s="85"/>
      <c r="F341" s="8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216"/>
      <c r="S341" s="79"/>
      <c r="T341" s="877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</row>
    <row r="342" spans="1:42" s="484" customFormat="1" x14ac:dyDescent="0.25">
      <c r="A342" s="79"/>
      <c r="B342" s="79"/>
      <c r="C342" s="85"/>
      <c r="D342" s="85"/>
      <c r="E342" s="85"/>
      <c r="F342" s="8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216"/>
      <c r="S342" s="79"/>
      <c r="T342" s="877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</row>
    <row r="343" spans="1:42" s="484" customFormat="1" x14ac:dyDescent="0.25">
      <c r="A343" s="79"/>
      <c r="B343" s="79"/>
      <c r="C343" s="85"/>
      <c r="D343" s="85"/>
      <c r="E343" s="85"/>
      <c r="F343" s="8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216"/>
      <c r="S343" s="79"/>
      <c r="T343" s="877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</row>
    <row r="344" spans="1:42" s="484" customFormat="1" x14ac:dyDescent="0.25">
      <c r="A344" s="79"/>
      <c r="B344" s="79"/>
      <c r="C344" s="85"/>
      <c r="D344" s="85"/>
      <c r="E344" s="85"/>
      <c r="F344" s="8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216"/>
      <c r="S344" s="79"/>
      <c r="T344" s="877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</row>
  </sheetData>
  <autoFilter ref="A2:I209" xr:uid="{00000000-0009-0000-0000-00008D000000}">
    <filterColumn colId="3">
      <filters>
        <filter val="COM"/>
      </filters>
    </filterColumn>
  </autoFilter>
  <mergeCells count="17">
    <mergeCell ref="B212:D212"/>
    <mergeCell ref="L2:M3"/>
    <mergeCell ref="N2:O3"/>
    <mergeCell ref="P2:Q3"/>
    <mergeCell ref="A187:E187"/>
    <mergeCell ref="A188:E188"/>
    <mergeCell ref="C211:D211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conditionalFormatting sqref="D191:D207">
    <cfRule type="dataBar" priority="1">
      <dataBar>
        <cfvo type="min"/>
        <cfvo type="max"/>
        <color theme="0" tint="-0.499984740745262"/>
      </dataBar>
      <extLst>
        <ext xmlns:x14="http://schemas.microsoft.com/office/spreadsheetml/2009/9/main" uri="{B025F937-C7B1-47D3-B67F-A62EFF666E3E}">
          <x14:id>{A51367F2-44C6-49B3-A19A-C44F9A5BB0D5}</x14:id>
        </ext>
      </extLst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51367F2-44C6-49B3-A19A-C44F9A5BB0D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D191:D207</xm:sqref>
        </x14:conditionalFormatting>
      </x14:conditionalFormattings>
    </ext>
  </extLst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4A31-7E8B-4ED6-8437-3C71403D3549}">
  <dimension ref="A1:AP321"/>
  <sheetViews>
    <sheetView zoomScale="85" zoomScaleNormal="85" workbookViewId="0">
      <pane ySplit="5" topLeftCell="A6" activePane="bottomLeft" state="frozen"/>
      <selection pane="bottomLeft" activeCell="D21" sqref="D2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7560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45748</v>
      </c>
      <c r="B5" s="369" t="s">
        <v>10</v>
      </c>
      <c r="C5" s="370"/>
      <c r="D5" s="370"/>
      <c r="E5" s="777"/>
      <c r="F5" s="179"/>
      <c r="G5" s="933">
        <f>'Março-25'!G188</f>
        <v>673.02491666671995</v>
      </c>
      <c r="H5" s="163"/>
      <c r="I5" s="1479">
        <f>'Março-25'!I188</f>
        <v>-4.0000000010422809E-3</v>
      </c>
      <c r="J5" s="179"/>
      <c r="K5" s="933">
        <f>'Março-25'!K188</f>
        <v>11348.600000000009</v>
      </c>
      <c r="L5" s="179"/>
      <c r="M5" s="933">
        <f>'Março-25'!M188</f>
        <v>2180.13</v>
      </c>
      <c r="N5" s="179"/>
      <c r="O5" s="1479">
        <f>'Março-25'!O188</f>
        <v>11077.210000000003</v>
      </c>
      <c r="P5" s="179"/>
      <c r="Q5" s="933">
        <f>'Março-25'!Q188</f>
        <v>31894.425984720008</v>
      </c>
    </row>
    <row r="6" spans="1:42" s="224" customFormat="1" x14ac:dyDescent="0.25">
      <c r="A6" s="247">
        <v>45748</v>
      </c>
      <c r="B6" s="348" t="s">
        <v>11</v>
      </c>
      <c r="C6" s="351"/>
      <c r="D6" s="351"/>
      <c r="E6" s="673"/>
      <c r="F6" s="538">
        <v>15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45748</v>
      </c>
      <c r="B7" s="882" t="s">
        <v>7511</v>
      </c>
      <c r="C7" s="879" t="s">
        <v>12</v>
      </c>
      <c r="D7" s="879"/>
      <c r="E7" s="875"/>
      <c r="F7" s="780"/>
      <c r="G7" s="982">
        <v>440</v>
      </c>
      <c r="H7" s="622"/>
      <c r="I7" s="982"/>
      <c r="J7" s="622">
        <v>440</v>
      </c>
      <c r="K7" s="982"/>
      <c r="L7" s="853"/>
      <c r="M7" s="982"/>
      <c r="N7" s="622"/>
      <c r="O7" s="1063"/>
      <c r="P7" s="622"/>
      <c r="Q7" s="982"/>
      <c r="R7" s="927"/>
      <c r="S7" s="927"/>
      <c r="T7" s="878"/>
    </row>
    <row r="8" spans="1:42" s="224" customFormat="1" ht="15" customHeight="1" x14ac:dyDescent="0.25">
      <c r="A8" s="247">
        <v>45748</v>
      </c>
      <c r="B8" s="882" t="s">
        <v>7645</v>
      </c>
      <c r="C8" s="879" t="s">
        <v>12</v>
      </c>
      <c r="D8" s="879" t="s">
        <v>1524</v>
      </c>
      <c r="E8" s="875" t="s">
        <v>13</v>
      </c>
      <c r="F8" s="780">
        <v>440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45748</v>
      </c>
      <c r="B9" s="882" t="s">
        <v>7511</v>
      </c>
      <c r="C9" s="879" t="s">
        <v>12</v>
      </c>
      <c r="D9" s="879"/>
      <c r="E9" s="875"/>
      <c r="F9" s="780"/>
      <c r="G9" s="982">
        <v>1200</v>
      </c>
      <c r="H9" s="622"/>
      <c r="I9" s="982"/>
      <c r="J9" s="622">
        <v>1200</v>
      </c>
      <c r="K9" s="982"/>
      <c r="L9" s="853"/>
      <c r="M9" s="982"/>
      <c r="N9" s="622"/>
      <c r="O9" s="1063"/>
      <c r="P9" s="622"/>
      <c r="Q9" s="982"/>
      <c r="R9" s="927"/>
      <c r="S9" s="927"/>
      <c r="T9" s="878"/>
    </row>
    <row r="10" spans="1:42" s="224" customFormat="1" ht="15" customHeight="1" x14ac:dyDescent="0.25">
      <c r="A10" s="247">
        <v>45748</v>
      </c>
      <c r="B10" s="882" t="s">
        <v>7644</v>
      </c>
      <c r="C10" s="879" t="s">
        <v>12</v>
      </c>
      <c r="D10" s="879" t="s">
        <v>1524</v>
      </c>
      <c r="E10" s="875" t="s">
        <v>13</v>
      </c>
      <c r="F10" s="780">
        <v>1200</v>
      </c>
      <c r="G10" s="982"/>
      <c r="H10" s="622"/>
      <c r="I10" s="982"/>
      <c r="J10" s="622"/>
      <c r="K10" s="982"/>
      <c r="L10" s="622"/>
      <c r="M10" s="982"/>
      <c r="N10" s="880"/>
      <c r="O10" s="1525"/>
      <c r="P10" s="613"/>
      <c r="Q10" s="162"/>
      <c r="R10" s="1956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45748</v>
      </c>
      <c r="B11" s="1275" t="s">
        <v>32</v>
      </c>
      <c r="C11" s="1276" t="s">
        <v>12</v>
      </c>
      <c r="D11" s="1276" t="s">
        <v>1485</v>
      </c>
      <c r="E11" s="1286" t="s">
        <v>13</v>
      </c>
      <c r="F11" s="780">
        <v>30</v>
      </c>
      <c r="G11" s="982"/>
      <c r="H11" s="622"/>
      <c r="I11" s="982"/>
      <c r="J11" s="622"/>
      <c r="K11" s="982"/>
      <c r="L11" s="622"/>
      <c r="M11" s="982"/>
      <c r="N11" s="880"/>
      <c r="O11" s="1525"/>
      <c r="P11" s="613"/>
      <c r="Q11" s="162"/>
      <c r="R11" s="1956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45748</v>
      </c>
      <c r="B12" s="1275" t="s">
        <v>7656</v>
      </c>
      <c r="C12" s="1276" t="s">
        <v>12</v>
      </c>
      <c r="D12" s="1276" t="s">
        <v>1506</v>
      </c>
      <c r="E12" s="1286" t="s">
        <v>13</v>
      </c>
      <c r="F12" s="613">
        <v>20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982"/>
      <c r="R12" s="1038"/>
      <c r="S12" s="1038"/>
      <c r="T12" s="1210"/>
      <c r="U12" s="1038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45749</v>
      </c>
      <c r="B13" s="882" t="s">
        <v>6329</v>
      </c>
      <c r="C13" s="879" t="s">
        <v>12</v>
      </c>
      <c r="D13" s="879"/>
      <c r="E13" s="875" t="s">
        <v>25</v>
      </c>
      <c r="F13" s="780"/>
      <c r="G13" s="982">
        <v>100</v>
      </c>
      <c r="H13" s="1008"/>
      <c r="I13" s="1063"/>
      <c r="J13" s="613"/>
      <c r="K13" s="982"/>
      <c r="L13" s="622"/>
      <c r="M13" s="982"/>
      <c r="N13" s="622"/>
      <c r="O13" s="1063"/>
      <c r="P13" s="622"/>
      <c r="Q13" s="982"/>
      <c r="R13" s="861"/>
    </row>
    <row r="14" spans="1:42" s="224" customFormat="1" ht="15" customHeight="1" x14ac:dyDescent="0.25">
      <c r="A14" s="247">
        <v>45749</v>
      </c>
      <c r="B14" s="882" t="s">
        <v>7511</v>
      </c>
      <c r="C14" s="879" t="s">
        <v>12</v>
      </c>
      <c r="D14" s="879"/>
      <c r="E14" s="875"/>
      <c r="F14" s="780"/>
      <c r="G14" s="982">
        <v>155.75</v>
      </c>
      <c r="H14" s="622"/>
      <c r="I14" s="982"/>
      <c r="J14" s="622">
        <v>155.75</v>
      </c>
      <c r="K14" s="982"/>
      <c r="L14" s="853"/>
      <c r="M14" s="982"/>
      <c r="N14" s="622"/>
      <c r="O14" s="1063"/>
      <c r="P14" s="622"/>
      <c r="Q14" s="982"/>
      <c r="R14" s="927"/>
      <c r="S14" s="927"/>
      <c r="T14" s="878"/>
    </row>
    <row r="15" spans="1:42" s="224" customFormat="1" ht="15" customHeight="1" x14ac:dyDescent="0.25">
      <c r="A15" s="247">
        <v>45749</v>
      </c>
      <c r="B15" s="882" t="s">
        <v>7667</v>
      </c>
      <c r="C15" s="879" t="s">
        <v>12</v>
      </c>
      <c r="D15" s="879" t="s">
        <v>1524</v>
      </c>
      <c r="E15" s="875" t="s">
        <v>13</v>
      </c>
      <c r="F15" s="780">
        <v>155.75</v>
      </c>
      <c r="G15" s="982"/>
      <c r="H15" s="622"/>
      <c r="I15" s="982"/>
      <c r="J15" s="622"/>
      <c r="K15" s="982"/>
      <c r="L15" s="622"/>
      <c r="M15" s="982"/>
      <c r="N15" s="880"/>
      <c r="O15" s="1525"/>
      <c r="P15" s="613"/>
      <c r="Q15" s="162"/>
      <c r="R15" s="1956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45749</v>
      </c>
      <c r="B16" s="882" t="s">
        <v>7511</v>
      </c>
      <c r="C16" s="879" t="s">
        <v>12</v>
      </c>
      <c r="D16" s="879"/>
      <c r="E16" s="875"/>
      <c r="F16" s="780"/>
      <c r="G16" s="982">
        <v>40</v>
      </c>
      <c r="H16" s="622"/>
      <c r="I16" s="982"/>
      <c r="J16" s="622">
        <v>40</v>
      </c>
      <c r="K16" s="982"/>
      <c r="L16" s="853"/>
      <c r="M16" s="982"/>
      <c r="N16" s="622"/>
      <c r="O16" s="1063"/>
      <c r="P16" s="622"/>
      <c r="Q16" s="982"/>
      <c r="R16" s="927"/>
      <c r="S16" s="927"/>
      <c r="T16" s="878"/>
    </row>
    <row r="17" spans="1:42" s="224" customFormat="1" ht="15" customHeight="1" x14ac:dyDescent="0.25">
      <c r="A17" s="247">
        <v>45749</v>
      </c>
      <c r="B17" s="882" t="s">
        <v>7668</v>
      </c>
      <c r="C17" s="879" t="s">
        <v>12</v>
      </c>
      <c r="D17" s="879" t="s">
        <v>1524</v>
      </c>
      <c r="E17" s="875" t="s">
        <v>13</v>
      </c>
      <c r="F17" s="780">
        <v>40</v>
      </c>
      <c r="G17" s="982"/>
      <c r="H17" s="622"/>
      <c r="I17" s="982"/>
      <c r="J17" s="622"/>
      <c r="K17" s="982"/>
      <c r="L17" s="622"/>
      <c r="M17" s="982"/>
      <c r="N17" s="880"/>
      <c r="O17" s="1525"/>
      <c r="P17" s="613"/>
      <c r="Q17" s="162"/>
      <c r="R17" s="1956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45749</v>
      </c>
      <c r="B18" s="1275" t="s">
        <v>32</v>
      </c>
      <c r="C18" s="1276" t="s">
        <v>12</v>
      </c>
      <c r="D18" s="1276" t="s">
        <v>1485</v>
      </c>
      <c r="E18" s="1286" t="s">
        <v>13</v>
      </c>
      <c r="F18" s="780">
        <v>23</v>
      </c>
      <c r="G18" s="982"/>
      <c r="H18" s="1008"/>
      <c r="I18" s="1063"/>
      <c r="J18" s="622"/>
      <c r="K18" s="982"/>
      <c r="L18" s="622"/>
      <c r="M18" s="982"/>
      <c r="N18" s="622"/>
      <c r="O18" s="1063"/>
      <c r="P18" s="622"/>
      <c r="Q18" s="982"/>
      <c r="R18" s="861"/>
      <c r="T18" s="1035"/>
    </row>
    <row r="19" spans="1:42" s="224" customFormat="1" ht="15" customHeight="1" x14ac:dyDescent="0.25">
      <c r="A19" s="247">
        <v>45749</v>
      </c>
      <c r="B19" s="1275" t="s">
        <v>101</v>
      </c>
      <c r="C19" s="1276" t="s">
        <v>12</v>
      </c>
      <c r="D19" s="1276" t="s">
        <v>1493</v>
      </c>
      <c r="E19" s="1286" t="s">
        <v>13</v>
      </c>
      <c r="F19" s="780">
        <v>13</v>
      </c>
      <c r="G19" s="982"/>
      <c r="H19" s="1008"/>
      <c r="I19" s="1063"/>
      <c r="J19" s="622"/>
      <c r="K19" s="982"/>
      <c r="L19" s="622"/>
      <c r="M19" s="982"/>
      <c r="N19" s="622"/>
      <c r="O19" s="1063"/>
      <c r="P19" s="622"/>
      <c r="Q19" s="982"/>
      <c r="R19" s="861"/>
      <c r="T19" s="1035"/>
    </row>
    <row r="20" spans="1:42" s="224" customFormat="1" ht="15" customHeight="1" x14ac:dyDescent="0.25">
      <c r="A20" s="247">
        <v>45750</v>
      </c>
      <c r="B20" s="1275" t="s">
        <v>32</v>
      </c>
      <c r="C20" s="1276" t="s">
        <v>12</v>
      </c>
      <c r="D20" s="1276" t="s">
        <v>1485</v>
      </c>
      <c r="E20" s="1286" t="s">
        <v>13</v>
      </c>
      <c r="F20" s="780">
        <v>22</v>
      </c>
      <c r="G20" s="982"/>
      <c r="H20" s="1008"/>
      <c r="I20" s="1063"/>
      <c r="J20" s="622"/>
      <c r="K20" s="982"/>
      <c r="L20" s="622"/>
      <c r="M20" s="982"/>
      <c r="N20" s="622"/>
      <c r="O20" s="1063"/>
      <c r="P20" s="622"/>
      <c r="Q20" s="982"/>
      <c r="R20" s="861"/>
      <c r="T20" s="1035"/>
    </row>
    <row r="21" spans="1:42" s="224" customFormat="1" ht="15" customHeight="1" x14ac:dyDescent="0.25">
      <c r="A21" s="247">
        <v>45750</v>
      </c>
      <c r="B21" s="1275" t="s">
        <v>7694</v>
      </c>
      <c r="C21" s="1276" t="s">
        <v>12</v>
      </c>
      <c r="D21" s="1276" t="s">
        <v>6731</v>
      </c>
      <c r="E21" s="1286" t="s">
        <v>13</v>
      </c>
      <c r="F21" s="780">
        <v>109.08</v>
      </c>
      <c r="G21" s="982"/>
      <c r="H21" s="1008"/>
      <c r="I21" s="1063"/>
      <c r="J21" s="622"/>
      <c r="K21" s="982"/>
      <c r="L21" s="622"/>
      <c r="M21" s="982"/>
      <c r="N21" s="622"/>
      <c r="O21" s="1063"/>
      <c r="P21" s="622"/>
      <c r="Q21" s="982"/>
      <c r="R21" s="861"/>
      <c r="T21" s="1035"/>
    </row>
    <row r="22" spans="1:42" s="224" customFormat="1" ht="15" customHeight="1" x14ac:dyDescent="0.25">
      <c r="A22" s="247">
        <v>45750</v>
      </c>
      <c r="B22" s="1275" t="s">
        <v>80</v>
      </c>
      <c r="C22" s="1276" t="s">
        <v>19</v>
      </c>
      <c r="D22" s="1276" t="s">
        <v>1523</v>
      </c>
      <c r="E22" s="1286" t="s">
        <v>13</v>
      </c>
      <c r="F22" s="780">
        <v>26.28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861"/>
      <c r="T22" s="1035"/>
    </row>
    <row r="23" spans="1:42" s="224" customFormat="1" ht="15" customHeight="1" x14ac:dyDescent="0.25">
      <c r="A23" s="247">
        <v>45750</v>
      </c>
      <c r="B23" s="1275" t="s">
        <v>134</v>
      </c>
      <c r="C23" s="1276" t="s">
        <v>12</v>
      </c>
      <c r="D23" s="1276" t="s">
        <v>1493</v>
      </c>
      <c r="E23" s="1286" t="s">
        <v>13</v>
      </c>
      <c r="F23" s="780">
        <v>17</v>
      </c>
      <c r="G23" s="982"/>
      <c r="H23" s="1008"/>
      <c r="I23" s="1063"/>
      <c r="J23" s="622"/>
      <c r="K23" s="982"/>
      <c r="L23" s="622"/>
      <c r="M23" s="982"/>
      <c r="N23" s="622"/>
      <c r="O23" s="1063"/>
      <c r="P23" s="622"/>
      <c r="Q23" s="982"/>
      <c r="R23" s="861"/>
      <c r="T23" s="1035"/>
    </row>
    <row r="24" spans="1:42" s="224" customFormat="1" ht="15.75" customHeight="1" x14ac:dyDescent="0.25">
      <c r="A24" s="247">
        <v>45751</v>
      </c>
      <c r="B24" s="873" t="s">
        <v>7561</v>
      </c>
      <c r="C24" s="879" t="s">
        <v>12</v>
      </c>
      <c r="D24" s="874"/>
      <c r="E24" s="887" t="s">
        <v>25</v>
      </c>
      <c r="F24" s="780"/>
      <c r="G24" s="1002">
        <v>2596.5</v>
      </c>
      <c r="H24" s="538"/>
      <c r="I24" s="982"/>
      <c r="J24" s="2013"/>
      <c r="K24" s="1207"/>
      <c r="L24" s="622"/>
      <c r="M24" s="982"/>
      <c r="N24" s="622"/>
      <c r="O24" s="1063"/>
      <c r="P24" s="622"/>
      <c r="Q24" s="982"/>
      <c r="R24" s="178"/>
    </row>
    <row r="25" spans="1:42" s="224" customFormat="1" ht="15" customHeight="1" x14ac:dyDescent="0.25">
      <c r="A25" s="247">
        <v>45751</v>
      </c>
      <c r="B25" s="364" t="s">
        <v>1396</v>
      </c>
      <c r="C25" s="879" t="s">
        <v>12</v>
      </c>
      <c r="D25" s="350"/>
      <c r="E25" s="919" t="s">
        <v>25</v>
      </c>
      <c r="F25" s="1116"/>
      <c r="G25" s="966">
        <v>200</v>
      </c>
      <c r="H25" s="1031"/>
      <c r="I25" s="1525"/>
      <c r="J25" s="2013"/>
      <c r="K25" s="1207"/>
      <c r="L25" s="880"/>
      <c r="M25" s="1033"/>
      <c r="N25" s="622"/>
      <c r="O25" s="1063"/>
      <c r="P25" s="1116"/>
      <c r="Q25" s="1207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45751</v>
      </c>
      <c r="B26" s="364" t="s">
        <v>7219</v>
      </c>
      <c r="C26" s="879" t="s">
        <v>12</v>
      </c>
      <c r="D26" s="350" t="s">
        <v>1491</v>
      </c>
      <c r="E26" s="875" t="s">
        <v>13</v>
      </c>
      <c r="F26" s="780">
        <v>500</v>
      </c>
      <c r="G26" s="982"/>
      <c r="H26" s="622"/>
      <c r="I26" s="982"/>
      <c r="J26" s="2013"/>
      <c r="K26" s="1207"/>
      <c r="L26" s="622"/>
      <c r="M26" s="982"/>
      <c r="N26" s="622"/>
      <c r="O26" s="1063"/>
      <c r="P26" s="622"/>
      <c r="Q26" s="982"/>
      <c r="R26" s="1028"/>
      <c r="T26" s="1035"/>
    </row>
    <row r="27" spans="1:42" s="224" customFormat="1" ht="15" customHeight="1" x14ac:dyDescent="0.25">
      <c r="A27" s="247">
        <v>45751</v>
      </c>
      <c r="B27" s="862" t="s">
        <v>6416</v>
      </c>
      <c r="C27" s="879" t="s">
        <v>12</v>
      </c>
      <c r="D27" s="879" t="s">
        <v>1504</v>
      </c>
      <c r="E27" s="871" t="s">
        <v>13</v>
      </c>
      <c r="F27" s="780">
        <v>40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1808">
        <v>60</v>
      </c>
      <c r="S27" s="1028"/>
      <c r="T27" s="1035"/>
    </row>
    <row r="28" spans="1:42" s="224" customFormat="1" ht="15" customHeight="1" x14ac:dyDescent="0.25">
      <c r="A28" s="247">
        <v>45751</v>
      </c>
      <c r="B28" s="882" t="s">
        <v>7562</v>
      </c>
      <c r="C28" s="879" t="s">
        <v>12</v>
      </c>
      <c r="D28" s="879" t="s">
        <v>1499</v>
      </c>
      <c r="E28" s="871" t="s">
        <v>13</v>
      </c>
      <c r="F28" s="780">
        <v>159.08000000000001</v>
      </c>
      <c r="G28" s="982"/>
      <c r="H28" s="1008"/>
      <c r="I28" s="1063"/>
      <c r="J28" s="880"/>
      <c r="K28" s="1033"/>
      <c r="L28" s="622"/>
      <c r="M28" s="982"/>
      <c r="N28" s="622"/>
      <c r="O28" s="1063"/>
      <c r="P28" s="622"/>
      <c r="Q28" s="982"/>
      <c r="R28" s="1028">
        <v>400</v>
      </c>
      <c r="S28" s="999"/>
      <c r="T28" s="878"/>
    </row>
    <row r="29" spans="1:42" x14ac:dyDescent="0.25">
      <c r="A29" s="247">
        <v>45751</v>
      </c>
      <c r="B29" s="876" t="s">
        <v>6762</v>
      </c>
      <c r="C29" s="879" t="s">
        <v>12</v>
      </c>
      <c r="D29" s="879" t="s">
        <v>1496</v>
      </c>
      <c r="E29" s="871" t="s">
        <v>13</v>
      </c>
      <c r="F29" s="780">
        <v>100</v>
      </c>
      <c r="G29" s="982"/>
      <c r="H29" s="1009"/>
      <c r="I29" s="1063"/>
      <c r="J29" s="613"/>
      <c r="K29" s="6"/>
      <c r="L29" s="622"/>
      <c r="M29" s="982"/>
      <c r="N29" s="622"/>
      <c r="O29" s="1063"/>
      <c r="P29" s="622"/>
      <c r="Q29" s="982"/>
      <c r="R29" s="1029"/>
    </row>
    <row r="30" spans="1:42" s="224" customFormat="1" ht="15" customHeight="1" x14ac:dyDescent="0.25">
      <c r="A30" s="247">
        <v>45751</v>
      </c>
      <c r="B30" s="1289" t="s">
        <v>2096</v>
      </c>
      <c r="C30" s="879" t="s">
        <v>12</v>
      </c>
      <c r="D30" s="1276" t="s">
        <v>1506</v>
      </c>
      <c r="E30" s="875" t="s">
        <v>13</v>
      </c>
      <c r="F30" s="1810">
        <v>50</v>
      </c>
      <c r="G30" s="967"/>
      <c r="H30" s="1008"/>
      <c r="I30" s="1063"/>
      <c r="J30" s="613"/>
      <c r="K30" s="6"/>
      <c r="L30" s="622"/>
      <c r="M30" s="982"/>
      <c r="N30" s="622"/>
      <c r="O30" s="1063"/>
      <c r="P30" s="613"/>
      <c r="Q30" s="64"/>
      <c r="R30" s="1209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45751</v>
      </c>
      <c r="B31" s="882" t="s">
        <v>7511</v>
      </c>
      <c r="C31" s="879" t="s">
        <v>12</v>
      </c>
      <c r="D31" s="879"/>
      <c r="E31" s="875"/>
      <c r="F31" s="780"/>
      <c r="G31" s="982">
        <v>285.5</v>
      </c>
      <c r="H31" s="622"/>
      <c r="I31" s="982"/>
      <c r="J31" s="622">
        <v>285.5</v>
      </c>
      <c r="K31" s="982"/>
      <c r="L31" s="853"/>
      <c r="M31" s="982"/>
      <c r="N31" s="622"/>
      <c r="O31" s="1063"/>
      <c r="P31" s="622"/>
      <c r="Q31" s="982"/>
      <c r="R31" s="927"/>
      <c r="S31" s="927"/>
      <c r="T31" s="878"/>
    </row>
    <row r="32" spans="1:42" s="224" customFormat="1" ht="15" customHeight="1" x14ac:dyDescent="0.25">
      <c r="A32" s="247">
        <v>45751</v>
      </c>
      <c r="B32" s="882" t="s">
        <v>7696</v>
      </c>
      <c r="C32" s="879" t="s">
        <v>12</v>
      </c>
      <c r="D32" s="879" t="s">
        <v>1524</v>
      </c>
      <c r="E32" s="875" t="s">
        <v>13</v>
      </c>
      <c r="F32" s="780">
        <v>91.8</v>
      </c>
      <c r="G32" s="982"/>
      <c r="H32" s="622"/>
      <c r="I32" s="982"/>
      <c r="J32" s="622"/>
      <c r="K32" s="982"/>
      <c r="L32" s="622"/>
      <c r="M32" s="982"/>
      <c r="N32" s="880"/>
      <c r="O32" s="1525"/>
      <c r="P32" s="613"/>
      <c r="Q32" s="162"/>
      <c r="R32" s="1956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45751</v>
      </c>
      <c r="B33" s="882" t="s">
        <v>7698</v>
      </c>
      <c r="C33" s="879" t="s">
        <v>12</v>
      </c>
      <c r="D33" s="879" t="s">
        <v>1524</v>
      </c>
      <c r="E33" s="875" t="s">
        <v>13</v>
      </c>
      <c r="F33" s="780">
        <v>193.7</v>
      </c>
      <c r="G33" s="982"/>
      <c r="H33" s="1008"/>
      <c r="I33" s="1063"/>
      <c r="J33" s="622"/>
      <c r="K33" s="982"/>
      <c r="L33" s="622"/>
      <c r="M33" s="982"/>
      <c r="N33" s="622"/>
      <c r="O33" s="1063"/>
      <c r="P33" s="622"/>
      <c r="Q33" s="982"/>
      <c r="R33" s="861"/>
    </row>
    <row r="34" spans="1:42" s="224" customFormat="1" ht="15" customHeight="1" x14ac:dyDescent="0.25">
      <c r="A34" s="247">
        <v>45751</v>
      </c>
      <c r="B34" s="882" t="s">
        <v>7511</v>
      </c>
      <c r="C34" s="879" t="s">
        <v>12</v>
      </c>
      <c r="D34" s="879"/>
      <c r="E34" s="875"/>
      <c r="F34" s="780"/>
      <c r="G34" s="982">
        <v>600</v>
      </c>
      <c r="H34" s="622"/>
      <c r="I34" s="982"/>
      <c r="J34" s="622">
        <v>600</v>
      </c>
      <c r="K34" s="982"/>
      <c r="L34" s="853"/>
      <c r="M34" s="982"/>
      <c r="N34" s="622"/>
      <c r="O34" s="1063"/>
      <c r="P34" s="622"/>
      <c r="Q34" s="982"/>
      <c r="R34" s="927"/>
      <c r="S34" s="927"/>
      <c r="T34" s="878"/>
    </row>
    <row r="35" spans="1:42" s="224" customFormat="1" ht="15" customHeight="1" x14ac:dyDescent="0.25">
      <c r="A35" s="247">
        <v>45751</v>
      </c>
      <c r="B35" s="882" t="s">
        <v>7697</v>
      </c>
      <c r="C35" s="879" t="s">
        <v>12</v>
      </c>
      <c r="D35" s="879" t="s">
        <v>1524</v>
      </c>
      <c r="E35" s="875" t="s">
        <v>13</v>
      </c>
      <c r="F35" s="780">
        <v>600</v>
      </c>
      <c r="G35" s="982"/>
      <c r="H35" s="622"/>
      <c r="I35" s="982"/>
      <c r="J35" s="622"/>
      <c r="K35" s="982"/>
      <c r="L35" s="622"/>
      <c r="M35" s="982"/>
      <c r="N35" s="880"/>
      <c r="O35" s="1525"/>
      <c r="P35" s="613"/>
      <c r="Q35" s="162"/>
      <c r="R35" s="1956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45751</v>
      </c>
      <c r="B36" s="882" t="s">
        <v>7465</v>
      </c>
      <c r="C36" s="879" t="s">
        <v>12</v>
      </c>
      <c r="D36" s="879"/>
      <c r="E36" s="875"/>
      <c r="F36" s="780"/>
      <c r="G36" s="982">
        <v>1100</v>
      </c>
      <c r="H36" s="95"/>
      <c r="I36" s="1064"/>
      <c r="J36" s="622"/>
      <c r="K36" s="982"/>
      <c r="L36" s="622">
        <v>1100</v>
      </c>
      <c r="M36" s="982"/>
      <c r="N36" s="622"/>
      <c r="O36" s="1063"/>
      <c r="P36" s="622"/>
      <c r="Q36" s="982"/>
      <c r="R36" s="861"/>
    </row>
    <row r="37" spans="1:42" s="224" customFormat="1" ht="15" customHeight="1" x14ac:dyDescent="0.25">
      <c r="A37" s="247">
        <v>45751</v>
      </c>
      <c r="B37" s="882" t="s">
        <v>7701</v>
      </c>
      <c r="C37" s="879" t="s">
        <v>12</v>
      </c>
      <c r="D37" s="879"/>
      <c r="E37" s="875" t="s">
        <v>13</v>
      </c>
      <c r="F37" s="780">
        <v>1100</v>
      </c>
      <c r="G37" s="982"/>
      <c r="H37" s="95"/>
      <c r="I37" s="1064"/>
      <c r="J37" s="622"/>
      <c r="K37" s="982">
        <v>1100</v>
      </c>
      <c r="L37" s="622"/>
      <c r="M37" s="982"/>
      <c r="N37" s="622"/>
      <c r="O37" s="1063"/>
      <c r="P37" s="622"/>
      <c r="Q37" s="982"/>
      <c r="R37" s="861"/>
    </row>
    <row r="38" spans="1:42" s="224" customFormat="1" ht="15" customHeight="1" x14ac:dyDescent="0.25">
      <c r="A38" s="247">
        <v>45751</v>
      </c>
      <c r="B38" s="882" t="s">
        <v>7700</v>
      </c>
      <c r="C38" s="879" t="s">
        <v>12</v>
      </c>
      <c r="D38" s="879"/>
      <c r="E38" s="875" t="s">
        <v>13</v>
      </c>
      <c r="F38" s="780">
        <v>900</v>
      </c>
      <c r="G38" s="982"/>
      <c r="H38" s="95"/>
      <c r="I38" s="1064"/>
      <c r="J38" s="622"/>
      <c r="K38" s="982">
        <v>900</v>
      </c>
      <c r="L38" s="622"/>
      <c r="M38" s="982"/>
      <c r="N38" s="622"/>
      <c r="O38" s="982"/>
      <c r="P38" s="622"/>
      <c r="Q38" s="982"/>
      <c r="R38" s="1210"/>
      <c r="S38" s="1038"/>
      <c r="T38" s="861"/>
    </row>
    <row r="39" spans="1:42" s="224" customFormat="1" ht="15" customHeight="1" x14ac:dyDescent="0.25">
      <c r="A39" s="247">
        <v>45751</v>
      </c>
      <c r="B39" s="1275" t="s">
        <v>32</v>
      </c>
      <c r="C39" s="1276" t="s">
        <v>12</v>
      </c>
      <c r="D39" s="1276" t="s">
        <v>1485</v>
      </c>
      <c r="E39" s="1286" t="s">
        <v>13</v>
      </c>
      <c r="F39" s="780">
        <v>22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861"/>
      <c r="T39" s="1035"/>
    </row>
    <row r="40" spans="1:42" s="224" customFormat="1" x14ac:dyDescent="0.25">
      <c r="A40" s="247">
        <v>45751</v>
      </c>
      <c r="B40" s="1275" t="s">
        <v>7702</v>
      </c>
      <c r="C40" s="879" t="s">
        <v>12</v>
      </c>
      <c r="D40" s="1276" t="s">
        <v>6731</v>
      </c>
      <c r="E40" s="1277" t="s">
        <v>13</v>
      </c>
      <c r="F40" s="1702">
        <v>28</v>
      </c>
      <c r="G40" s="982"/>
      <c r="H40" s="1008"/>
      <c r="I40" s="1063"/>
      <c r="J40" s="2013"/>
      <c r="K40" s="1207"/>
      <c r="L40" s="622"/>
      <c r="M40" s="982"/>
      <c r="N40" s="622"/>
      <c r="O40" s="1063"/>
      <c r="P40" s="622"/>
      <c r="Q40" s="982"/>
      <c r="R40" s="1028"/>
      <c r="T40" s="878"/>
    </row>
    <row r="41" spans="1:42" s="224" customFormat="1" x14ac:dyDescent="0.25">
      <c r="A41" s="247">
        <v>45752</v>
      </c>
      <c r="B41" s="1275" t="s">
        <v>7703</v>
      </c>
      <c r="C41" s="879" t="s">
        <v>12</v>
      </c>
      <c r="D41" s="1276" t="s">
        <v>6731</v>
      </c>
      <c r="E41" s="1277" t="s">
        <v>13</v>
      </c>
      <c r="F41" s="1702">
        <v>100</v>
      </c>
      <c r="G41" s="982"/>
      <c r="H41" s="1008"/>
      <c r="I41" s="1063"/>
      <c r="J41" s="2013"/>
      <c r="K41" s="1207"/>
      <c r="L41" s="622"/>
      <c r="M41" s="982"/>
      <c r="N41" s="622"/>
      <c r="O41" s="1063"/>
      <c r="P41" s="622"/>
      <c r="Q41" s="982"/>
      <c r="R41" s="1028"/>
      <c r="T41" s="878"/>
    </row>
    <row r="42" spans="1:42" s="224" customFormat="1" ht="15" customHeight="1" x14ac:dyDescent="0.25">
      <c r="A42" s="247">
        <v>45752</v>
      </c>
      <c r="B42" s="1275" t="s">
        <v>7704</v>
      </c>
      <c r="C42" s="879" t="s">
        <v>12</v>
      </c>
      <c r="D42" s="1276" t="s">
        <v>6731</v>
      </c>
      <c r="E42" s="1277" t="s">
        <v>13</v>
      </c>
      <c r="F42" s="780">
        <v>20</v>
      </c>
      <c r="G42" s="982"/>
      <c r="H42" s="95"/>
      <c r="I42" s="1064"/>
      <c r="J42" s="622"/>
      <c r="K42" s="982"/>
      <c r="L42" s="622"/>
      <c r="M42" s="982"/>
      <c r="N42" s="622"/>
      <c r="O42" s="1063"/>
      <c r="P42" s="622"/>
      <c r="Q42" s="982"/>
      <c r="R42" s="861"/>
    </row>
    <row r="43" spans="1:42" s="224" customFormat="1" x14ac:dyDescent="0.25">
      <c r="A43" s="247">
        <v>45752</v>
      </c>
      <c r="B43" s="1275" t="s">
        <v>7705</v>
      </c>
      <c r="C43" s="879" t="s">
        <v>12</v>
      </c>
      <c r="D43" s="1276" t="s">
        <v>6731</v>
      </c>
      <c r="E43" s="1277" t="s">
        <v>13</v>
      </c>
      <c r="F43" s="1702">
        <v>30</v>
      </c>
      <c r="G43" s="982"/>
      <c r="H43" s="1008"/>
      <c r="I43" s="1063"/>
      <c r="J43" s="2013"/>
      <c r="K43" s="1207"/>
      <c r="L43" s="622"/>
      <c r="M43" s="982"/>
      <c r="N43" s="622"/>
      <c r="O43" s="1063"/>
      <c r="P43" s="622"/>
      <c r="Q43" s="982"/>
      <c r="R43" s="1028"/>
      <c r="T43" s="878"/>
    </row>
    <row r="44" spans="1:42" s="224" customFormat="1" ht="15" customHeight="1" x14ac:dyDescent="0.25">
      <c r="A44" s="247">
        <v>45753</v>
      </c>
      <c r="B44" s="882" t="s">
        <v>443</v>
      </c>
      <c r="C44" s="879" t="s">
        <v>12</v>
      </c>
      <c r="D44" s="879" t="s">
        <v>1493</v>
      </c>
      <c r="E44" s="875" t="s">
        <v>13</v>
      </c>
      <c r="F44" s="780">
        <v>14.9</v>
      </c>
      <c r="G44" s="982"/>
      <c r="H44" s="95"/>
      <c r="I44" s="1064"/>
      <c r="J44" s="622"/>
      <c r="K44" s="982"/>
      <c r="L44" s="622"/>
      <c r="M44" s="982"/>
      <c r="N44" s="622"/>
      <c r="O44" s="1063"/>
      <c r="P44" s="622"/>
      <c r="Q44" s="982"/>
      <c r="R44" s="861"/>
    </row>
    <row r="45" spans="1:42" s="224" customFormat="1" ht="15" customHeight="1" x14ac:dyDescent="0.25">
      <c r="A45" s="247">
        <v>45754</v>
      </c>
      <c r="B45" s="1275" t="s">
        <v>32</v>
      </c>
      <c r="C45" s="1276" t="s">
        <v>12</v>
      </c>
      <c r="D45" s="1276" t="s">
        <v>1485</v>
      </c>
      <c r="E45" s="1286" t="s">
        <v>13</v>
      </c>
      <c r="F45" s="780">
        <v>23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861"/>
      <c r="T45" s="1035"/>
    </row>
    <row r="46" spans="1:42" s="224" customFormat="1" ht="15" customHeight="1" x14ac:dyDescent="0.25">
      <c r="A46" s="247">
        <v>45754</v>
      </c>
      <c r="B46" s="882" t="s">
        <v>14</v>
      </c>
      <c r="C46" s="879" t="s">
        <v>12</v>
      </c>
      <c r="D46" s="879" t="s">
        <v>1486</v>
      </c>
      <c r="E46" s="875" t="s">
        <v>13</v>
      </c>
      <c r="F46" s="780">
        <v>9.15</v>
      </c>
      <c r="G46" s="982"/>
      <c r="H46" s="95"/>
      <c r="I46" s="1064"/>
      <c r="J46" s="613"/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ht="15" customHeight="1" x14ac:dyDescent="0.25">
      <c r="A47" s="247">
        <v>45754</v>
      </c>
      <c r="B47" s="1275" t="s">
        <v>7710</v>
      </c>
      <c r="C47" s="1276" t="s">
        <v>12</v>
      </c>
      <c r="D47" s="1276"/>
      <c r="E47" s="1286" t="s">
        <v>13</v>
      </c>
      <c r="F47" s="613">
        <v>241.56</v>
      </c>
      <c r="G47" s="967"/>
      <c r="H47" s="1008"/>
      <c r="I47" s="1063"/>
      <c r="J47" s="613"/>
      <c r="K47" s="6"/>
      <c r="L47" s="622"/>
      <c r="M47" s="982"/>
      <c r="N47" s="622"/>
      <c r="O47" s="1063"/>
      <c r="P47" s="613"/>
      <c r="Q47" s="64"/>
      <c r="R47" s="1024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customHeight="1" x14ac:dyDescent="0.25">
      <c r="A48" s="247">
        <v>45754</v>
      </c>
      <c r="B48" s="1275" t="s">
        <v>6755</v>
      </c>
      <c r="C48" s="1276" t="s">
        <v>12</v>
      </c>
      <c r="D48" s="1276"/>
      <c r="E48" s="1286"/>
      <c r="F48" s="613"/>
      <c r="G48" s="967">
        <v>241.56</v>
      </c>
      <c r="H48" s="1008"/>
      <c r="I48" s="1063"/>
      <c r="J48" s="613"/>
      <c r="K48" s="6"/>
      <c r="L48" s="622"/>
      <c r="M48" s="982"/>
      <c r="N48" s="622"/>
      <c r="O48" s="1063"/>
      <c r="P48" s="613"/>
      <c r="Q48" s="64"/>
      <c r="R48" s="1024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x14ac:dyDescent="0.25">
      <c r="A49" s="247">
        <v>45755</v>
      </c>
      <c r="B49" s="1275" t="s">
        <v>7731</v>
      </c>
      <c r="C49" s="879" t="s">
        <v>12</v>
      </c>
      <c r="D49" s="1276" t="s">
        <v>1493</v>
      </c>
      <c r="E49" s="1286" t="s">
        <v>13</v>
      </c>
      <c r="F49" s="780">
        <v>6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1028"/>
      <c r="T49" s="878"/>
    </row>
    <row r="50" spans="1:42" s="224" customFormat="1" ht="15" customHeight="1" x14ac:dyDescent="0.25">
      <c r="A50" s="247">
        <v>45755</v>
      </c>
      <c r="B50" s="882" t="s">
        <v>7511</v>
      </c>
      <c r="C50" s="879" t="s">
        <v>12</v>
      </c>
      <c r="D50" s="879"/>
      <c r="E50" s="875"/>
      <c r="F50" s="780"/>
      <c r="G50" s="982">
        <v>500</v>
      </c>
      <c r="H50" s="622"/>
      <c r="I50" s="982"/>
      <c r="J50" s="622">
        <v>500</v>
      </c>
      <c r="K50" s="982"/>
      <c r="L50" s="853"/>
      <c r="M50" s="982"/>
      <c r="N50" s="622"/>
      <c r="O50" s="1063"/>
      <c r="P50" s="622"/>
      <c r="Q50" s="982"/>
      <c r="R50" s="927"/>
      <c r="S50" s="927"/>
      <c r="T50" s="878"/>
    </row>
    <row r="51" spans="1:42" s="224" customFormat="1" ht="15" customHeight="1" x14ac:dyDescent="0.25">
      <c r="A51" s="247">
        <v>45755</v>
      </c>
      <c r="B51" s="882" t="s">
        <v>7709</v>
      </c>
      <c r="C51" s="879" t="s">
        <v>12</v>
      </c>
      <c r="D51" s="879" t="s">
        <v>1524</v>
      </c>
      <c r="E51" s="875" t="s">
        <v>13</v>
      </c>
      <c r="F51" s="780">
        <v>500</v>
      </c>
      <c r="G51" s="982"/>
      <c r="H51" s="622"/>
      <c r="I51" s="982"/>
      <c r="J51" s="622"/>
      <c r="K51" s="982"/>
      <c r="L51" s="622"/>
      <c r="M51" s="982"/>
      <c r="N51" s="880"/>
      <c r="O51" s="1525"/>
      <c r="P51" s="613"/>
      <c r="Q51" s="162"/>
      <c r="R51" s="1956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ht="15" customHeight="1" x14ac:dyDescent="0.25">
      <c r="A52" s="247">
        <v>45755</v>
      </c>
      <c r="B52" s="882" t="s">
        <v>7511</v>
      </c>
      <c r="C52" s="879" t="s">
        <v>12</v>
      </c>
      <c r="D52" s="879"/>
      <c r="E52" s="875"/>
      <c r="F52" s="780"/>
      <c r="G52" s="982">
        <v>100</v>
      </c>
      <c r="H52" s="622"/>
      <c r="I52" s="982"/>
      <c r="J52" s="622">
        <v>100</v>
      </c>
      <c r="K52" s="982"/>
      <c r="L52" s="853"/>
      <c r="M52" s="982"/>
      <c r="N52" s="622"/>
      <c r="O52" s="1063"/>
      <c r="P52" s="622"/>
      <c r="Q52" s="982"/>
      <c r="R52" s="927"/>
      <c r="S52" s="927"/>
      <c r="T52" s="878"/>
    </row>
    <row r="53" spans="1:42" s="224" customFormat="1" ht="15" customHeight="1" x14ac:dyDescent="0.25">
      <c r="A53" s="247">
        <v>45755</v>
      </c>
      <c r="B53" s="882" t="s">
        <v>7715</v>
      </c>
      <c r="C53" s="879" t="s">
        <v>12</v>
      </c>
      <c r="D53" s="879" t="s">
        <v>1524</v>
      </c>
      <c r="E53" s="875" t="s">
        <v>13</v>
      </c>
      <c r="F53" s="780">
        <v>100</v>
      </c>
      <c r="G53" s="982"/>
      <c r="H53" s="622"/>
      <c r="I53" s="982"/>
      <c r="J53" s="622"/>
      <c r="K53" s="982"/>
      <c r="L53" s="622"/>
      <c r="M53" s="982"/>
      <c r="N53" s="880"/>
      <c r="O53" s="1525"/>
      <c r="P53" s="613"/>
      <c r="Q53" s="162"/>
      <c r="R53" s="1956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 spans="1:42" s="224" customFormat="1" ht="15" customHeight="1" x14ac:dyDescent="0.25">
      <c r="A54" s="247">
        <v>45755</v>
      </c>
      <c r="B54" s="882" t="s">
        <v>6329</v>
      </c>
      <c r="C54" s="879" t="s">
        <v>12</v>
      </c>
      <c r="D54" s="879"/>
      <c r="E54" s="875" t="s">
        <v>25</v>
      </c>
      <c r="F54" s="780"/>
      <c r="G54" s="982">
        <v>100</v>
      </c>
      <c r="H54" s="1008"/>
      <c r="I54" s="1063"/>
      <c r="J54" s="613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4.25" customHeight="1" x14ac:dyDescent="0.25">
      <c r="A55" s="247">
        <v>45755</v>
      </c>
      <c r="B55" s="882" t="s">
        <v>6804</v>
      </c>
      <c r="C55" s="879" t="s">
        <v>12</v>
      </c>
      <c r="D55" s="879" t="s">
        <v>1504</v>
      </c>
      <c r="E55" s="875" t="s">
        <v>25</v>
      </c>
      <c r="F55" s="1810">
        <v>40</v>
      </c>
      <c r="G55" s="982"/>
      <c r="H55" s="1031"/>
      <c r="I55" s="1525"/>
      <c r="J55" s="622"/>
      <c r="K55" s="982"/>
      <c r="L55" s="880"/>
      <c r="M55" s="1033"/>
      <c r="N55" s="880"/>
      <c r="O55" s="1525"/>
      <c r="P55" s="613"/>
      <c r="Q55" s="162"/>
      <c r="R55" s="1028" t="s">
        <v>7137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t="14.25" customHeight="1" x14ac:dyDescent="0.25">
      <c r="A56" s="247">
        <v>45755</v>
      </c>
      <c r="B56" s="882" t="s">
        <v>6805</v>
      </c>
      <c r="C56" s="879" t="s">
        <v>12</v>
      </c>
      <c r="D56" s="879" t="s">
        <v>1504</v>
      </c>
      <c r="E56" s="875" t="s">
        <v>25</v>
      </c>
      <c r="F56" s="1810">
        <v>45</v>
      </c>
      <c r="G56" s="982"/>
      <c r="H56" s="1031"/>
      <c r="I56" s="1525"/>
      <c r="J56" s="622"/>
      <c r="K56" s="982"/>
      <c r="L56" s="880"/>
      <c r="M56" s="1033"/>
      <c r="N56" s="880"/>
      <c r="O56" s="1525"/>
      <c r="P56" s="613"/>
      <c r="Q56" s="162"/>
      <c r="R56" s="1028" t="s">
        <v>7137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4.25" customHeight="1" x14ac:dyDescent="0.25">
      <c r="A57" s="247">
        <v>45755</v>
      </c>
      <c r="B57" s="882" t="s">
        <v>7443</v>
      </c>
      <c r="C57" s="879" t="s">
        <v>12</v>
      </c>
      <c r="D57" s="879" t="s">
        <v>1504</v>
      </c>
      <c r="E57" s="875" t="s">
        <v>25</v>
      </c>
      <c r="F57" s="1810">
        <v>29.806666666666668</v>
      </c>
      <c r="G57" s="982"/>
      <c r="H57" s="1031"/>
      <c r="I57" s="1525"/>
      <c r="J57" s="622"/>
      <c r="K57" s="982"/>
      <c r="L57" s="880"/>
      <c r="M57" s="1033"/>
      <c r="N57" s="880"/>
      <c r="O57" s="1525"/>
      <c r="P57" s="613"/>
      <c r="Q57" s="162"/>
      <c r="R57" s="1028" t="s">
        <v>7137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pans="1:42" s="224" customFormat="1" ht="14.25" customHeight="1" x14ac:dyDescent="0.25">
      <c r="A58" s="247">
        <v>45755</v>
      </c>
      <c r="B58" s="882" t="s">
        <v>7537</v>
      </c>
      <c r="C58" s="879" t="s">
        <v>12</v>
      </c>
      <c r="D58" s="879" t="s">
        <v>1504</v>
      </c>
      <c r="E58" s="875" t="s">
        <v>25</v>
      </c>
      <c r="F58" s="1810">
        <v>7.99</v>
      </c>
      <c r="G58" s="982"/>
      <c r="H58" s="1031"/>
      <c r="I58" s="1525"/>
      <c r="J58" s="622"/>
      <c r="K58" s="982"/>
      <c r="L58" s="880"/>
      <c r="M58" s="1033"/>
      <c r="N58" s="880"/>
      <c r="O58" s="1525"/>
      <c r="P58" s="613"/>
      <c r="Q58" s="162"/>
      <c r="R58" s="1028" t="s">
        <v>7137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45755</v>
      </c>
      <c r="B59" s="882" t="s">
        <v>7511</v>
      </c>
      <c r="C59" s="879" t="s">
        <v>12</v>
      </c>
      <c r="D59" s="879"/>
      <c r="E59" s="875"/>
      <c r="F59" s="780"/>
      <c r="G59" s="982">
        <v>291.45</v>
      </c>
      <c r="H59" s="622"/>
      <c r="I59" s="982"/>
      <c r="J59" s="622">
        <v>291.45</v>
      </c>
      <c r="K59" s="982"/>
      <c r="L59" s="853"/>
      <c r="M59" s="982"/>
      <c r="N59" s="622"/>
      <c r="O59" s="1063"/>
      <c r="P59" s="622"/>
      <c r="Q59" s="982"/>
      <c r="R59" s="927"/>
      <c r="S59" s="927"/>
      <c r="T59" s="878"/>
    </row>
    <row r="60" spans="1:42" s="224" customFormat="1" ht="15" customHeight="1" x14ac:dyDescent="0.25">
      <c r="A60" s="247">
        <v>45755</v>
      </c>
      <c r="B60" s="882" t="s">
        <v>7722</v>
      </c>
      <c r="C60" s="879" t="s">
        <v>12</v>
      </c>
      <c r="D60" s="879" t="s">
        <v>1524</v>
      </c>
      <c r="E60" s="875" t="s">
        <v>13</v>
      </c>
      <c r="F60" s="780">
        <v>291.45</v>
      </c>
      <c r="G60" s="982"/>
      <c r="H60" s="622"/>
      <c r="I60" s="982"/>
      <c r="J60" s="622"/>
      <c r="K60" s="982"/>
      <c r="L60" s="622"/>
      <c r="M60" s="982"/>
      <c r="N60" s="880"/>
      <c r="O60" s="1525"/>
      <c r="P60" s="613"/>
      <c r="Q60" s="162"/>
      <c r="R60" s="1956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pans="1:42" s="224" customFormat="1" ht="15" customHeight="1" x14ac:dyDescent="0.25">
      <c r="A61" s="247">
        <v>45755</v>
      </c>
      <c r="B61" s="882" t="s">
        <v>443</v>
      </c>
      <c r="C61" s="879" t="s">
        <v>12</v>
      </c>
      <c r="D61" s="879" t="s">
        <v>1493</v>
      </c>
      <c r="E61" s="875" t="s">
        <v>13</v>
      </c>
      <c r="F61" s="780">
        <v>10.89</v>
      </c>
      <c r="G61" s="982"/>
      <c r="H61" s="95"/>
      <c r="I61" s="1064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5" customHeight="1" x14ac:dyDescent="0.25">
      <c r="A62" s="247">
        <v>45756</v>
      </c>
      <c r="B62" s="1275" t="s">
        <v>32</v>
      </c>
      <c r="C62" s="1276" t="s">
        <v>12</v>
      </c>
      <c r="D62" s="1276" t="s">
        <v>1485</v>
      </c>
      <c r="E62" s="1286" t="s">
        <v>13</v>
      </c>
      <c r="F62" s="780">
        <v>22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861"/>
      <c r="T62" s="1035"/>
    </row>
    <row r="63" spans="1:42" s="224" customFormat="1" ht="15" customHeight="1" x14ac:dyDescent="0.25">
      <c r="A63" s="247">
        <v>45756</v>
      </c>
      <c r="B63" s="882" t="s">
        <v>7511</v>
      </c>
      <c r="C63" s="879" t="s">
        <v>12</v>
      </c>
      <c r="D63" s="879"/>
      <c r="E63" s="875"/>
      <c r="F63" s="780"/>
      <c r="G63" s="982">
        <v>106.6</v>
      </c>
      <c r="H63" s="622"/>
      <c r="I63" s="982"/>
      <c r="J63" s="622">
        <v>106.6</v>
      </c>
      <c r="K63" s="982"/>
      <c r="L63" s="853"/>
      <c r="M63" s="982"/>
      <c r="N63" s="622"/>
      <c r="O63" s="1063"/>
      <c r="P63" s="622"/>
      <c r="Q63" s="982"/>
      <c r="R63" s="927"/>
      <c r="S63" s="927"/>
      <c r="T63" s="878"/>
    </row>
    <row r="64" spans="1:42" s="224" customFormat="1" ht="15" customHeight="1" x14ac:dyDescent="0.25">
      <c r="A64" s="247">
        <v>45756</v>
      </c>
      <c r="B64" s="882" t="s">
        <v>7728</v>
      </c>
      <c r="C64" s="879" t="s">
        <v>12</v>
      </c>
      <c r="D64" s="879" t="s">
        <v>1524</v>
      </c>
      <c r="E64" s="875" t="s">
        <v>13</v>
      </c>
      <c r="F64" s="780">
        <v>106.6</v>
      </c>
      <c r="G64" s="982"/>
      <c r="H64" s="622"/>
      <c r="I64" s="982"/>
      <c r="J64" s="622"/>
      <c r="K64" s="982"/>
      <c r="L64" s="622"/>
      <c r="M64" s="982"/>
      <c r="N64" s="880"/>
      <c r="O64" s="1525"/>
      <c r="P64" s="613"/>
      <c r="Q64" s="162"/>
      <c r="R64" s="1956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45756</v>
      </c>
      <c r="B65" s="882" t="s">
        <v>14</v>
      </c>
      <c r="C65" s="879" t="s">
        <v>12</v>
      </c>
      <c r="D65" s="879" t="s">
        <v>1486</v>
      </c>
      <c r="E65" s="875" t="s">
        <v>13</v>
      </c>
      <c r="F65" s="780">
        <v>14.58</v>
      </c>
      <c r="G65" s="982"/>
      <c r="H65" s="1008"/>
      <c r="I65" s="1063"/>
      <c r="J65" s="613"/>
      <c r="K65" s="982"/>
      <c r="L65" s="622"/>
      <c r="M65" s="982"/>
      <c r="N65" s="622"/>
      <c r="O65" s="1063"/>
      <c r="P65" s="622"/>
      <c r="Q65" s="982"/>
      <c r="R65" s="861"/>
    </row>
    <row r="66" spans="1:42" s="224" customFormat="1" ht="15" customHeight="1" x14ac:dyDescent="0.25">
      <c r="A66" s="247">
        <v>45757</v>
      </c>
      <c r="B66" s="882" t="s">
        <v>7511</v>
      </c>
      <c r="C66" s="879" t="s">
        <v>12</v>
      </c>
      <c r="D66" s="879"/>
      <c r="E66" s="875"/>
      <c r="F66" s="780"/>
      <c r="G66" s="982">
        <v>85.7</v>
      </c>
      <c r="H66" s="622"/>
      <c r="I66" s="982"/>
      <c r="J66" s="622">
        <v>85.7</v>
      </c>
      <c r="K66" s="982"/>
      <c r="L66" s="853"/>
      <c r="M66" s="982"/>
      <c r="N66" s="622"/>
      <c r="O66" s="1063"/>
      <c r="P66" s="622"/>
      <c r="Q66" s="982"/>
      <c r="R66" s="927"/>
      <c r="S66" s="927"/>
      <c r="T66" s="878"/>
    </row>
    <row r="67" spans="1:42" s="224" customFormat="1" ht="15" customHeight="1" x14ac:dyDescent="0.25">
      <c r="A67" s="247">
        <v>45757</v>
      </c>
      <c r="B67" s="882" t="s">
        <v>7732</v>
      </c>
      <c r="C67" s="879" t="s">
        <v>12</v>
      </c>
      <c r="D67" s="879" t="s">
        <v>1524</v>
      </c>
      <c r="E67" s="875" t="s">
        <v>13</v>
      </c>
      <c r="F67" s="780">
        <v>85.7</v>
      </c>
      <c r="G67" s="982"/>
      <c r="H67" s="622"/>
      <c r="I67" s="982"/>
      <c r="J67" s="622"/>
      <c r="K67" s="982"/>
      <c r="L67" s="622"/>
      <c r="M67" s="982"/>
      <c r="N67" s="880"/>
      <c r="O67" s="1525"/>
      <c r="P67" s="613"/>
      <c r="Q67" s="162"/>
      <c r="R67" s="1956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x14ac:dyDescent="0.25">
      <c r="A68" s="247">
        <v>45757</v>
      </c>
      <c r="B68" s="1275" t="s">
        <v>7731</v>
      </c>
      <c r="C68" s="879" t="s">
        <v>12</v>
      </c>
      <c r="D68" s="1276" t="s">
        <v>1493</v>
      </c>
      <c r="E68" s="1286" t="s">
        <v>13</v>
      </c>
      <c r="F68" s="780">
        <v>6</v>
      </c>
      <c r="G68" s="982"/>
      <c r="H68" s="1008"/>
      <c r="I68" s="1063"/>
      <c r="J68" s="622"/>
      <c r="K68" s="982"/>
      <c r="L68" s="622"/>
      <c r="M68" s="982"/>
      <c r="N68" s="622"/>
      <c r="O68" s="1063"/>
      <c r="P68" s="622"/>
      <c r="Q68" s="982"/>
      <c r="R68" s="1028"/>
      <c r="T68" s="878"/>
    </row>
    <row r="69" spans="1:42" s="224" customFormat="1" ht="15" customHeight="1" x14ac:dyDescent="0.25">
      <c r="A69" s="247">
        <v>45757</v>
      </c>
      <c r="B69" s="1275" t="s">
        <v>32</v>
      </c>
      <c r="C69" s="1276" t="s">
        <v>12</v>
      </c>
      <c r="D69" s="1276" t="s">
        <v>1485</v>
      </c>
      <c r="E69" s="1286" t="s">
        <v>13</v>
      </c>
      <c r="F69" s="780">
        <v>23</v>
      </c>
      <c r="G69" s="982"/>
      <c r="H69" s="1008"/>
      <c r="I69" s="1063"/>
      <c r="J69" s="622"/>
      <c r="K69" s="982"/>
      <c r="L69" s="622"/>
      <c r="M69" s="982"/>
      <c r="N69" s="622"/>
      <c r="O69" s="1063"/>
      <c r="P69" s="622"/>
      <c r="Q69" s="982"/>
      <c r="R69" s="861"/>
      <c r="T69" s="1035"/>
    </row>
    <row r="70" spans="1:42" s="224" customFormat="1" ht="15" customHeight="1" x14ac:dyDescent="0.25">
      <c r="A70" s="247">
        <v>45758</v>
      </c>
      <c r="B70" s="882" t="s">
        <v>7568</v>
      </c>
      <c r="C70" s="879" t="s">
        <v>12</v>
      </c>
      <c r="D70" s="879" t="s">
        <v>6731</v>
      </c>
      <c r="E70" s="871" t="s">
        <v>13</v>
      </c>
      <c r="F70" s="780">
        <v>65</v>
      </c>
      <c r="G70" s="982"/>
      <c r="H70" s="95"/>
      <c r="I70" s="1064"/>
      <c r="J70" s="622"/>
      <c r="K70" s="982"/>
      <c r="L70" s="622"/>
      <c r="M70" s="982"/>
      <c r="N70" s="622"/>
      <c r="O70" s="1063"/>
      <c r="P70" s="622"/>
      <c r="Q70" s="982"/>
      <c r="R70" s="1028"/>
      <c r="U70" s="958"/>
    </row>
    <row r="71" spans="1:42" s="224" customFormat="1" x14ac:dyDescent="0.25">
      <c r="A71" s="247">
        <v>45758</v>
      </c>
      <c r="B71" s="1275" t="s">
        <v>81</v>
      </c>
      <c r="C71" s="879" t="s">
        <v>12</v>
      </c>
      <c r="D71" s="1276" t="s">
        <v>1493</v>
      </c>
      <c r="E71" s="1286" t="s">
        <v>13</v>
      </c>
      <c r="F71" s="780">
        <v>6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1028"/>
      <c r="T71" s="878"/>
    </row>
    <row r="72" spans="1:42" s="224" customFormat="1" ht="15" customHeight="1" x14ac:dyDescent="0.25">
      <c r="A72" s="247">
        <v>45758</v>
      </c>
      <c r="B72" s="882" t="s">
        <v>7511</v>
      </c>
      <c r="C72" s="879" t="s">
        <v>12</v>
      </c>
      <c r="D72" s="879"/>
      <c r="E72" s="875"/>
      <c r="F72" s="780"/>
      <c r="G72" s="982">
        <v>27</v>
      </c>
      <c r="H72" s="622"/>
      <c r="I72" s="982"/>
      <c r="J72" s="622">
        <v>27</v>
      </c>
      <c r="K72" s="982"/>
      <c r="L72" s="853"/>
      <c r="M72" s="982"/>
      <c r="N72" s="622"/>
      <c r="O72" s="1063"/>
      <c r="P72" s="622"/>
      <c r="Q72" s="982"/>
      <c r="R72" s="927"/>
      <c r="S72" s="927"/>
      <c r="T72" s="878"/>
    </row>
    <row r="73" spans="1:42" s="224" customFormat="1" ht="15" customHeight="1" x14ac:dyDescent="0.25">
      <c r="A73" s="247">
        <v>45758</v>
      </c>
      <c r="B73" s="882" t="s">
        <v>7735</v>
      </c>
      <c r="C73" s="879" t="s">
        <v>12</v>
      </c>
      <c r="D73" s="879" t="s">
        <v>1524</v>
      </c>
      <c r="E73" s="875" t="s">
        <v>13</v>
      </c>
      <c r="F73" s="780">
        <v>27</v>
      </c>
      <c r="G73" s="982"/>
      <c r="H73" s="622"/>
      <c r="I73" s="982"/>
      <c r="J73" s="622"/>
      <c r="K73" s="982"/>
      <c r="L73" s="622"/>
      <c r="M73" s="982"/>
      <c r="N73" s="880"/>
      <c r="O73" s="1525"/>
      <c r="P73" s="613"/>
      <c r="Q73" s="162"/>
      <c r="R73" s="1956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45758</v>
      </c>
      <c r="B74" s="882" t="s">
        <v>443</v>
      </c>
      <c r="C74" s="879" t="s">
        <v>12</v>
      </c>
      <c r="D74" s="879" t="s">
        <v>1493</v>
      </c>
      <c r="E74" s="480" t="s">
        <v>13</v>
      </c>
      <c r="F74" s="613">
        <v>20</v>
      </c>
      <c r="G74" s="967"/>
      <c r="H74" s="1008"/>
      <c r="I74" s="1063"/>
      <c r="J74" s="622"/>
      <c r="K74" s="982"/>
      <c r="L74" s="880"/>
      <c r="M74" s="1033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45759</v>
      </c>
      <c r="B75" s="882" t="s">
        <v>14</v>
      </c>
      <c r="C75" s="879" t="s">
        <v>12</v>
      </c>
      <c r="D75" s="879" t="s">
        <v>1486</v>
      </c>
      <c r="E75" s="875" t="s">
        <v>13</v>
      </c>
      <c r="F75" s="780">
        <v>8.7799999999999994</v>
      </c>
      <c r="G75" s="982"/>
      <c r="H75" s="1008"/>
      <c r="I75" s="1063"/>
      <c r="J75" s="613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45759</v>
      </c>
      <c r="B76" s="882" t="s">
        <v>2629</v>
      </c>
      <c r="C76" s="879" t="s">
        <v>12</v>
      </c>
      <c r="D76" s="879" t="s">
        <v>1489</v>
      </c>
      <c r="E76" s="875" t="s">
        <v>5470</v>
      </c>
      <c r="F76" s="780">
        <v>128.94999999999999</v>
      </c>
      <c r="G76" s="982"/>
      <c r="H76" s="622"/>
      <c r="I76" s="982"/>
      <c r="J76" s="622"/>
      <c r="K76" s="982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45759</v>
      </c>
      <c r="B77" s="882" t="s">
        <v>80</v>
      </c>
      <c r="C77" s="879" t="s">
        <v>12</v>
      </c>
      <c r="D77" s="879" t="s">
        <v>1523</v>
      </c>
      <c r="E77" s="875" t="s">
        <v>13</v>
      </c>
      <c r="F77" s="780">
        <v>18.32</v>
      </c>
      <c r="G77" s="982"/>
      <c r="H77" s="622"/>
      <c r="I77" s="982"/>
      <c r="J77" s="622"/>
      <c r="K77" s="982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45759</v>
      </c>
      <c r="B78" s="882" t="s">
        <v>3120</v>
      </c>
      <c r="C78" s="879" t="s">
        <v>12</v>
      </c>
      <c r="D78" s="879" t="s">
        <v>1493</v>
      </c>
      <c r="E78" s="875" t="s">
        <v>13</v>
      </c>
      <c r="F78" s="780">
        <v>24</v>
      </c>
      <c r="G78" s="982"/>
      <c r="H78" s="622"/>
      <c r="I78" s="982"/>
      <c r="J78" s="622"/>
      <c r="K78" s="982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45760</v>
      </c>
      <c r="B79" s="882" t="s">
        <v>14</v>
      </c>
      <c r="C79" s="879" t="s">
        <v>12</v>
      </c>
      <c r="D79" s="879" t="s">
        <v>1486</v>
      </c>
      <c r="E79" s="875" t="s">
        <v>5470</v>
      </c>
      <c r="F79" s="780">
        <v>16.89</v>
      </c>
      <c r="G79" s="982"/>
      <c r="H79" s="622"/>
      <c r="I79" s="982"/>
      <c r="J79" s="872"/>
      <c r="K79" s="1207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4.25" customHeight="1" x14ac:dyDescent="0.25">
      <c r="A80" s="247">
        <v>45761</v>
      </c>
      <c r="B80" s="882" t="s">
        <v>6130</v>
      </c>
      <c r="C80" s="879" t="s">
        <v>12</v>
      </c>
      <c r="D80" s="879" t="s">
        <v>1491</v>
      </c>
      <c r="E80" s="875" t="s">
        <v>25</v>
      </c>
      <c r="F80" s="1810">
        <v>33.979999999999997</v>
      </c>
      <c r="G80" s="982"/>
      <c r="H80" s="1031"/>
      <c r="I80" s="1525"/>
      <c r="J80" s="622"/>
      <c r="K80" s="982"/>
      <c r="L80" s="880"/>
      <c r="M80" s="1033"/>
      <c r="N80" s="880"/>
      <c r="O80" s="1525"/>
      <c r="P80" s="613"/>
      <c r="Q80" s="162"/>
      <c r="R80" s="1028" t="s">
        <v>7137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4.25" customHeight="1" x14ac:dyDescent="0.25">
      <c r="A81" s="247">
        <v>45761</v>
      </c>
      <c r="B81" s="882" t="s">
        <v>7442</v>
      </c>
      <c r="C81" s="879" t="s">
        <v>12</v>
      </c>
      <c r="D81" s="879" t="s">
        <v>1506</v>
      </c>
      <c r="E81" s="875" t="s">
        <v>25</v>
      </c>
      <c r="F81" s="1810">
        <v>80</v>
      </c>
      <c r="G81" s="982"/>
      <c r="H81" s="1031"/>
      <c r="I81" s="1525"/>
      <c r="J81" s="622"/>
      <c r="K81" s="982"/>
      <c r="L81" s="880"/>
      <c r="M81" s="1033"/>
      <c r="N81" s="880"/>
      <c r="O81" s="1525"/>
      <c r="P81" s="613"/>
      <c r="Q81" s="162"/>
      <c r="R81" s="1028" t="s">
        <v>7137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4.25" customHeight="1" x14ac:dyDescent="0.25">
      <c r="A82" s="247">
        <v>45761</v>
      </c>
      <c r="B82" s="882" t="s">
        <v>7441</v>
      </c>
      <c r="C82" s="879" t="s">
        <v>12</v>
      </c>
      <c r="D82" s="879" t="s">
        <v>1506</v>
      </c>
      <c r="E82" s="875" t="s">
        <v>25</v>
      </c>
      <c r="F82" s="1810">
        <v>100</v>
      </c>
      <c r="G82" s="982"/>
      <c r="H82" s="1031"/>
      <c r="I82" s="1525"/>
      <c r="J82" s="622"/>
      <c r="K82" s="982"/>
      <c r="L82" s="880"/>
      <c r="M82" s="1033"/>
      <c r="N82" s="880"/>
      <c r="O82" s="1525"/>
      <c r="P82" s="613"/>
      <c r="Q82" s="162"/>
      <c r="R82" s="1028" t="s">
        <v>7137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4.25" customHeight="1" x14ac:dyDescent="0.25">
      <c r="A83" s="247">
        <v>45761</v>
      </c>
      <c r="B83" s="882" t="s">
        <v>7468</v>
      </c>
      <c r="C83" s="879" t="s">
        <v>12</v>
      </c>
      <c r="D83" s="879" t="s">
        <v>1525</v>
      </c>
      <c r="E83" s="875" t="s">
        <v>25</v>
      </c>
      <c r="F83" s="1810">
        <v>63</v>
      </c>
      <c r="G83" s="982"/>
      <c r="H83" s="1031"/>
      <c r="I83" s="1525"/>
      <c r="J83" s="622"/>
      <c r="K83" s="982"/>
      <c r="L83" s="880"/>
      <c r="M83" s="1033"/>
      <c r="N83" s="880"/>
      <c r="O83" s="1525"/>
      <c r="P83" s="613"/>
      <c r="Q83" s="162"/>
      <c r="R83" s="1028" t="s">
        <v>7137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customHeight="1" x14ac:dyDescent="0.25">
      <c r="A84" s="247">
        <v>45761</v>
      </c>
      <c r="B84" s="882" t="s">
        <v>7511</v>
      </c>
      <c r="C84" s="879" t="s">
        <v>12</v>
      </c>
      <c r="D84" s="879"/>
      <c r="E84" s="875"/>
      <c r="F84" s="780"/>
      <c r="G84" s="982">
        <v>1900</v>
      </c>
      <c r="H84" s="622"/>
      <c r="I84" s="982"/>
      <c r="J84" s="622">
        <v>1900</v>
      </c>
      <c r="K84" s="982"/>
      <c r="L84" s="853"/>
      <c r="M84" s="982"/>
      <c r="N84" s="622"/>
      <c r="O84" s="1063"/>
      <c r="P84" s="622"/>
      <c r="Q84" s="982"/>
      <c r="R84" s="927"/>
      <c r="S84" s="927"/>
      <c r="T84" s="878"/>
    </row>
    <row r="85" spans="1:42" s="224" customFormat="1" ht="15" customHeight="1" x14ac:dyDescent="0.25">
      <c r="A85" s="247">
        <v>45761</v>
      </c>
      <c r="B85" s="882" t="s">
        <v>7740</v>
      </c>
      <c r="C85" s="879" t="s">
        <v>12</v>
      </c>
      <c r="D85" s="879" t="s">
        <v>1524</v>
      </c>
      <c r="E85" s="875" t="s">
        <v>13</v>
      </c>
      <c r="F85" s="780">
        <v>1900</v>
      </c>
      <c r="G85" s="982"/>
      <c r="H85" s="622"/>
      <c r="I85" s="982"/>
      <c r="J85" s="622"/>
      <c r="K85" s="982"/>
      <c r="L85" s="622"/>
      <c r="M85" s="982"/>
      <c r="N85" s="880"/>
      <c r="O85" s="1525"/>
      <c r="P85" s="613"/>
      <c r="Q85" s="162"/>
      <c r="R85" s="1956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customHeight="1" x14ac:dyDescent="0.25">
      <c r="A86" s="247">
        <v>45761</v>
      </c>
      <c r="B86" s="882" t="s">
        <v>7511</v>
      </c>
      <c r="C86" s="879" t="s">
        <v>12</v>
      </c>
      <c r="D86" s="879"/>
      <c r="E86" s="875"/>
      <c r="F86" s="780"/>
      <c r="G86" s="982">
        <v>2970</v>
      </c>
      <c r="H86" s="622"/>
      <c r="I86" s="982"/>
      <c r="J86" s="622">
        <v>2970</v>
      </c>
      <c r="K86" s="982"/>
      <c r="L86" s="853"/>
      <c r="M86" s="982"/>
      <c r="N86" s="622"/>
      <c r="O86" s="1063"/>
      <c r="P86" s="622"/>
      <c r="Q86" s="982"/>
      <c r="R86" s="927"/>
      <c r="S86" s="927"/>
      <c r="T86" s="878"/>
    </row>
    <row r="87" spans="1:42" s="224" customFormat="1" ht="15" customHeight="1" x14ac:dyDescent="0.25">
      <c r="A87" s="247">
        <v>45761</v>
      </c>
      <c r="B87" s="882" t="s">
        <v>7793</v>
      </c>
      <c r="C87" s="879" t="s">
        <v>12</v>
      </c>
      <c r="D87" s="879" t="s">
        <v>1524</v>
      </c>
      <c r="E87" s="875" t="s">
        <v>13</v>
      </c>
      <c r="F87" s="780">
        <v>2970</v>
      </c>
      <c r="G87" s="982"/>
      <c r="H87" s="622"/>
      <c r="I87" s="982"/>
      <c r="J87" s="622"/>
      <c r="K87" s="982"/>
      <c r="L87" s="622"/>
      <c r="M87" s="982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45761</v>
      </c>
      <c r="B88" s="882" t="s">
        <v>134</v>
      </c>
      <c r="C88" s="879" t="s">
        <v>12</v>
      </c>
      <c r="D88" s="879" t="s">
        <v>1493</v>
      </c>
      <c r="E88" s="875" t="s">
        <v>13</v>
      </c>
      <c r="F88" s="780">
        <v>12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45762</v>
      </c>
      <c r="B89" s="882" t="s">
        <v>6329</v>
      </c>
      <c r="C89" s="879" t="s">
        <v>12</v>
      </c>
      <c r="D89" s="879"/>
      <c r="E89" s="875" t="s">
        <v>25</v>
      </c>
      <c r="F89" s="780"/>
      <c r="G89" s="982">
        <v>100</v>
      </c>
      <c r="H89" s="1008"/>
      <c r="I89" s="1063"/>
      <c r="J89" s="613"/>
      <c r="K89" s="982"/>
      <c r="L89" s="622"/>
      <c r="M89" s="982"/>
      <c r="N89" s="622"/>
      <c r="O89" s="1063"/>
      <c r="P89" s="622"/>
      <c r="Q89" s="982"/>
      <c r="R89" s="861"/>
    </row>
    <row r="90" spans="1:42" s="224" customFormat="1" ht="15" customHeight="1" x14ac:dyDescent="0.25">
      <c r="A90" s="247">
        <v>45762</v>
      </c>
      <c r="B90" s="882" t="s">
        <v>7511</v>
      </c>
      <c r="C90" s="879" t="s">
        <v>12</v>
      </c>
      <c r="D90" s="879"/>
      <c r="E90" s="875"/>
      <c r="F90" s="780"/>
      <c r="G90" s="982">
        <v>804.54</v>
      </c>
      <c r="H90" s="622"/>
      <c r="I90" s="982"/>
      <c r="J90" s="622">
        <v>804.54</v>
      </c>
      <c r="K90" s="982"/>
      <c r="L90" s="853"/>
      <c r="M90" s="982"/>
      <c r="N90" s="622"/>
      <c r="O90" s="1063"/>
      <c r="P90" s="622"/>
      <c r="Q90" s="982"/>
      <c r="R90" s="927"/>
      <c r="S90" s="927"/>
      <c r="T90" s="878"/>
    </row>
    <row r="91" spans="1:42" s="224" customFormat="1" ht="15" customHeight="1" x14ac:dyDescent="0.25">
      <c r="A91" s="247">
        <v>45762</v>
      </c>
      <c r="B91" s="882" t="s">
        <v>7749</v>
      </c>
      <c r="C91" s="879" t="s">
        <v>12</v>
      </c>
      <c r="D91" s="879" t="s">
        <v>1524</v>
      </c>
      <c r="E91" s="875" t="s">
        <v>13</v>
      </c>
      <c r="F91" s="780">
        <v>804.54</v>
      </c>
      <c r="G91" s="982"/>
      <c r="H91" s="622"/>
      <c r="I91" s="982"/>
      <c r="J91" s="622"/>
      <c r="K91" s="982"/>
      <c r="L91" s="622"/>
      <c r="M91" s="982"/>
      <c r="N91" s="880"/>
      <c r="O91" s="1525"/>
      <c r="P91" s="613"/>
      <c r="Q91" s="162"/>
      <c r="R91" s="2706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ht="15" customHeight="1" x14ac:dyDescent="0.25">
      <c r="A92" s="247">
        <v>45762</v>
      </c>
      <c r="B92" s="882" t="s">
        <v>14</v>
      </c>
      <c r="C92" s="879" t="s">
        <v>12</v>
      </c>
      <c r="D92" s="879" t="s">
        <v>1486</v>
      </c>
      <c r="E92" s="875" t="s">
        <v>13</v>
      </c>
      <c r="F92" s="780">
        <v>16.52</v>
      </c>
      <c r="G92" s="982"/>
      <c r="H92" s="622"/>
      <c r="I92" s="982"/>
      <c r="J92" s="872"/>
      <c r="K92" s="1207"/>
      <c r="L92" s="622"/>
      <c r="M92" s="982"/>
      <c r="N92" s="622"/>
      <c r="O92" s="1063"/>
      <c r="P92" s="622"/>
      <c r="Q92" s="982"/>
      <c r="R92" s="1028"/>
      <c r="S92" s="959"/>
      <c r="T92" s="878"/>
      <c r="U92" s="958"/>
    </row>
    <row r="93" spans="1:42" s="224" customFormat="1" ht="15" customHeight="1" x14ac:dyDescent="0.25">
      <c r="A93" s="247">
        <v>45763</v>
      </c>
      <c r="B93" s="1275" t="s">
        <v>32</v>
      </c>
      <c r="C93" s="1276" t="s">
        <v>12</v>
      </c>
      <c r="D93" s="1276" t="s">
        <v>1485</v>
      </c>
      <c r="E93" s="1286" t="s">
        <v>13</v>
      </c>
      <c r="F93" s="780">
        <v>27</v>
      </c>
      <c r="G93" s="982"/>
      <c r="H93" s="1008"/>
      <c r="I93" s="1063"/>
      <c r="J93" s="622"/>
      <c r="K93" s="982"/>
      <c r="L93" s="622"/>
      <c r="M93" s="982"/>
      <c r="N93" s="622"/>
      <c r="O93" s="1063"/>
      <c r="P93" s="622"/>
      <c r="Q93" s="982"/>
      <c r="R93" s="861"/>
      <c r="T93" s="1035"/>
    </row>
    <row r="94" spans="1:42" s="224" customFormat="1" ht="15" customHeight="1" x14ac:dyDescent="0.25">
      <c r="A94" s="247">
        <v>45764</v>
      </c>
      <c r="B94" s="882" t="s">
        <v>7563</v>
      </c>
      <c r="C94" s="350" t="s">
        <v>12</v>
      </c>
      <c r="D94" s="350"/>
      <c r="E94" s="480" t="s">
        <v>25</v>
      </c>
      <c r="F94" s="622"/>
      <c r="G94" s="982">
        <v>2520</v>
      </c>
      <c r="H94" s="1008"/>
      <c r="I94" s="1063"/>
      <c r="J94" s="622"/>
      <c r="K94" s="982"/>
      <c r="L94" s="622"/>
      <c r="M94" s="982"/>
      <c r="N94" s="622"/>
      <c r="O94" s="1063"/>
      <c r="P94" s="622"/>
      <c r="Q94" s="982"/>
      <c r="R94" s="861"/>
    </row>
    <row r="95" spans="1:42" s="224" customFormat="1" ht="15" customHeight="1" x14ac:dyDescent="0.25">
      <c r="A95" s="247">
        <v>45764</v>
      </c>
      <c r="B95" s="364" t="s">
        <v>7564</v>
      </c>
      <c r="C95" s="879" t="s">
        <v>12</v>
      </c>
      <c r="D95" s="879"/>
      <c r="E95" s="983" t="s">
        <v>25</v>
      </c>
      <c r="F95" s="780"/>
      <c r="G95" s="982"/>
      <c r="H95" s="622"/>
      <c r="I95" s="982"/>
      <c r="J95" s="2013"/>
      <c r="K95" s="1207"/>
      <c r="L95" s="622"/>
      <c r="M95" s="982"/>
      <c r="N95" s="622"/>
      <c r="O95" s="1063"/>
      <c r="P95" s="622"/>
      <c r="Q95" s="982">
        <v>504</v>
      </c>
      <c r="R95" s="927"/>
      <c r="S95" s="927"/>
      <c r="T95" s="878"/>
    </row>
    <row r="96" spans="1:42" s="224" customFormat="1" ht="15" customHeight="1" x14ac:dyDescent="0.25">
      <c r="A96" s="247">
        <v>45764</v>
      </c>
      <c r="B96" s="364" t="s">
        <v>3354</v>
      </c>
      <c r="C96" s="350" t="s">
        <v>12</v>
      </c>
      <c r="D96" s="350"/>
      <c r="E96" s="145" t="s">
        <v>25</v>
      </c>
      <c r="F96" s="613"/>
      <c r="G96" s="967"/>
      <c r="H96" s="1008"/>
      <c r="I96" s="1063"/>
      <c r="J96" s="622"/>
      <c r="K96" s="982"/>
      <c r="L96" s="880"/>
      <c r="M96" s="1033"/>
      <c r="N96" s="880"/>
      <c r="O96" s="1525"/>
      <c r="P96" s="613"/>
      <c r="Q96" s="162">
        <v>199.68</v>
      </c>
      <c r="R96" s="2018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26" s="224" customFormat="1" ht="15" customHeight="1" x14ac:dyDescent="0.25">
      <c r="A97" s="247">
        <v>45764</v>
      </c>
      <c r="B97" s="862" t="s">
        <v>2867</v>
      </c>
      <c r="C97" s="350" t="s">
        <v>12</v>
      </c>
      <c r="D97" s="874" t="s">
        <v>1504</v>
      </c>
      <c r="E97" s="887" t="s">
        <v>13</v>
      </c>
      <c r="F97" s="1245"/>
      <c r="G97" s="982"/>
      <c r="H97" s="1009"/>
      <c r="I97" s="1063"/>
      <c r="J97" s="622"/>
      <c r="K97" s="982"/>
      <c r="L97" s="853"/>
      <c r="M97" s="982"/>
      <c r="N97" s="853"/>
      <c r="O97" s="1063"/>
      <c r="P97" s="622"/>
      <c r="Q97" s="982"/>
      <c r="R97" s="1690" t="s">
        <v>7577</v>
      </c>
      <c r="S97" s="1690"/>
      <c r="T97" s="1690"/>
      <c r="U97" s="1690"/>
      <c r="V97" s="1690"/>
      <c r="W97" s="1690"/>
      <c r="X97" s="1690"/>
      <c r="Y97" s="1690"/>
      <c r="Z97" s="1690"/>
    </row>
    <row r="98" spans="1:26" s="224" customFormat="1" ht="14.25" customHeight="1" x14ac:dyDescent="0.25">
      <c r="A98" s="247">
        <v>45764</v>
      </c>
      <c r="B98" s="364" t="s">
        <v>2977</v>
      </c>
      <c r="C98" s="350" t="s">
        <v>12</v>
      </c>
      <c r="D98" s="350" t="s">
        <v>1491</v>
      </c>
      <c r="E98" s="875" t="s">
        <v>13</v>
      </c>
      <c r="F98" s="1047">
        <v>400</v>
      </c>
      <c r="G98" s="982"/>
      <c r="H98" s="1008"/>
      <c r="I98" s="1063"/>
      <c r="J98" s="622"/>
      <c r="K98" s="982"/>
      <c r="L98" s="622"/>
      <c r="M98" s="982"/>
      <c r="N98" s="622"/>
      <c r="O98" s="1063"/>
      <c r="P98" s="622"/>
      <c r="Q98" s="982"/>
      <c r="R98" s="1029"/>
      <c r="S98" s="89"/>
      <c r="T98" s="930"/>
    </row>
    <row r="99" spans="1:26" s="224" customFormat="1" ht="15" customHeight="1" x14ac:dyDescent="0.25">
      <c r="A99" s="247">
        <v>45764</v>
      </c>
      <c r="B99" s="349" t="s">
        <v>7565</v>
      </c>
      <c r="C99" s="887" t="s">
        <v>12</v>
      </c>
      <c r="D99" s="350" t="s">
        <v>1524</v>
      </c>
      <c r="E99" s="887" t="s">
        <v>13</v>
      </c>
      <c r="F99" s="613">
        <v>147.4975</v>
      </c>
      <c r="G99" s="982"/>
      <c r="H99" s="872"/>
      <c r="I99" s="1063"/>
      <c r="J99" s="622"/>
      <c r="K99" s="982"/>
      <c r="L99" s="622"/>
      <c r="M99" s="982"/>
      <c r="N99" s="622"/>
      <c r="O99" s="1063"/>
      <c r="P99" s="622"/>
      <c r="Q99" s="982"/>
      <c r="R99" s="927"/>
      <c r="S99" s="999"/>
      <c r="T99" s="878"/>
    </row>
    <row r="100" spans="1:26" s="224" customFormat="1" ht="15" customHeight="1" x14ac:dyDescent="0.25">
      <c r="A100" s="247">
        <v>45764</v>
      </c>
      <c r="B100" s="349" t="s">
        <v>7565</v>
      </c>
      <c r="C100" s="887" t="s">
        <v>12</v>
      </c>
      <c r="D100" s="350" t="s">
        <v>1524</v>
      </c>
      <c r="E100" s="887" t="s">
        <v>13</v>
      </c>
      <c r="F100" s="613">
        <v>147.4975</v>
      </c>
      <c r="G100" s="982"/>
      <c r="H100" s="872"/>
      <c r="I100" s="1063"/>
      <c r="J100" s="622"/>
      <c r="K100" s="982"/>
      <c r="L100" s="622"/>
      <c r="M100" s="982"/>
      <c r="N100" s="622"/>
      <c r="O100" s="1063"/>
      <c r="P100" s="622"/>
      <c r="Q100" s="982"/>
      <c r="R100" s="927"/>
      <c r="S100" s="999"/>
      <c r="T100" s="878"/>
    </row>
    <row r="101" spans="1:26" s="224" customFormat="1" ht="15" customHeight="1" x14ac:dyDescent="0.25">
      <c r="A101" s="247">
        <v>45764</v>
      </c>
      <c r="B101" s="349" t="s">
        <v>7565</v>
      </c>
      <c r="C101" s="887" t="s">
        <v>12</v>
      </c>
      <c r="D101" s="350" t="s">
        <v>1524</v>
      </c>
      <c r="E101" s="887" t="s">
        <v>13</v>
      </c>
      <c r="F101" s="613">
        <v>474.9975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927"/>
      <c r="S101" s="999"/>
      <c r="T101" s="878"/>
    </row>
    <row r="102" spans="1:26" s="224" customFormat="1" ht="15" customHeight="1" x14ac:dyDescent="0.25">
      <c r="A102" s="247">
        <v>45764</v>
      </c>
      <c r="B102" s="349" t="s">
        <v>7565</v>
      </c>
      <c r="C102" s="887" t="s">
        <v>12</v>
      </c>
      <c r="D102" s="350" t="s">
        <v>1524</v>
      </c>
      <c r="E102" s="887" t="s">
        <v>13</v>
      </c>
      <c r="F102" s="613">
        <v>174.9975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26" s="224" customFormat="1" ht="15" customHeight="1" x14ac:dyDescent="0.25">
      <c r="A103" s="247">
        <v>45764</v>
      </c>
      <c r="B103" s="349" t="s">
        <v>7565</v>
      </c>
      <c r="C103" s="887" t="s">
        <v>12</v>
      </c>
      <c r="D103" s="350" t="s">
        <v>1524</v>
      </c>
      <c r="E103" s="887" t="s">
        <v>13</v>
      </c>
      <c r="F103" s="613">
        <v>157.4975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26" s="224" customFormat="1" ht="15" customHeight="1" x14ac:dyDescent="0.25">
      <c r="A104" s="247">
        <v>45764</v>
      </c>
      <c r="B104" s="349" t="s">
        <v>7565</v>
      </c>
      <c r="C104" s="887" t="s">
        <v>12</v>
      </c>
      <c r="D104" s="350" t="s">
        <v>1524</v>
      </c>
      <c r="E104" s="887" t="s">
        <v>13</v>
      </c>
      <c r="F104" s="613">
        <v>274.9975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26" s="224" customFormat="1" ht="15" customHeight="1" x14ac:dyDescent="0.25">
      <c r="A105" s="247">
        <v>45764</v>
      </c>
      <c r="B105" s="349" t="s">
        <v>7565</v>
      </c>
      <c r="C105" s="887" t="s">
        <v>12</v>
      </c>
      <c r="D105" s="350" t="s">
        <v>1524</v>
      </c>
      <c r="E105" s="887" t="s">
        <v>13</v>
      </c>
      <c r="F105" s="613">
        <v>149.9975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26" s="224" customFormat="1" ht="15" customHeight="1" x14ac:dyDescent="0.25">
      <c r="A106" s="247">
        <v>45764</v>
      </c>
      <c r="B106" s="349" t="s">
        <v>7565</v>
      </c>
      <c r="C106" s="887" t="s">
        <v>12</v>
      </c>
      <c r="D106" s="350" t="s">
        <v>1524</v>
      </c>
      <c r="E106" s="887" t="s">
        <v>13</v>
      </c>
      <c r="F106" s="613">
        <v>15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26" s="224" customFormat="1" ht="15" customHeight="1" x14ac:dyDescent="0.25">
      <c r="A107" s="247">
        <v>45764</v>
      </c>
      <c r="B107" s="349" t="s">
        <v>7565</v>
      </c>
      <c r="C107" s="887" t="s">
        <v>12</v>
      </c>
      <c r="D107" s="350" t="s">
        <v>1506</v>
      </c>
      <c r="E107" s="887" t="s">
        <v>13</v>
      </c>
      <c r="F107" s="613">
        <v>80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26" s="224" customFormat="1" ht="15" customHeight="1" x14ac:dyDescent="0.25">
      <c r="A108" s="247">
        <v>45764</v>
      </c>
      <c r="B108" s="349" t="s">
        <v>7565</v>
      </c>
      <c r="C108" s="887" t="s">
        <v>12</v>
      </c>
      <c r="D108" s="350" t="s">
        <v>1524</v>
      </c>
      <c r="E108" s="887" t="s">
        <v>13</v>
      </c>
      <c r="F108" s="613">
        <v>114.42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26" s="224" customFormat="1" ht="15" customHeight="1" x14ac:dyDescent="0.25">
      <c r="A109" s="247">
        <v>45764</v>
      </c>
      <c r="B109" s="349" t="s">
        <v>7565</v>
      </c>
      <c r="C109" s="887" t="s">
        <v>12</v>
      </c>
      <c r="D109" s="350" t="s">
        <v>1524</v>
      </c>
      <c r="E109" s="887" t="s">
        <v>13</v>
      </c>
      <c r="F109" s="613">
        <v>299.55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26" s="224" customFormat="1" ht="15" customHeight="1" x14ac:dyDescent="0.25">
      <c r="A110" s="247">
        <v>45764</v>
      </c>
      <c r="B110" s="349" t="s">
        <v>7565</v>
      </c>
      <c r="C110" s="887" t="s">
        <v>12</v>
      </c>
      <c r="D110" s="350" t="s">
        <v>1524</v>
      </c>
      <c r="E110" s="887" t="s">
        <v>13</v>
      </c>
      <c r="F110" s="613">
        <v>83.98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26" s="224" customFormat="1" ht="15" customHeight="1" x14ac:dyDescent="0.25">
      <c r="A111" s="247">
        <v>45764</v>
      </c>
      <c r="B111" s="349" t="s">
        <v>7565</v>
      </c>
      <c r="C111" s="887" t="s">
        <v>12</v>
      </c>
      <c r="D111" s="350" t="s">
        <v>1524</v>
      </c>
      <c r="E111" s="887" t="s">
        <v>13</v>
      </c>
      <c r="F111" s="613">
        <v>250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26" s="224" customFormat="1" ht="15" customHeight="1" x14ac:dyDescent="0.25">
      <c r="A112" s="247">
        <v>45764</v>
      </c>
      <c r="B112" s="349" t="s">
        <v>7565</v>
      </c>
      <c r="C112" s="887" t="s">
        <v>12</v>
      </c>
      <c r="D112" s="1005" t="s">
        <v>6731</v>
      </c>
      <c r="E112" s="887" t="s">
        <v>13</v>
      </c>
      <c r="F112" s="1116">
        <v>500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42" s="224" customFormat="1" ht="15" customHeight="1" x14ac:dyDescent="0.25">
      <c r="A113" s="247">
        <v>45764</v>
      </c>
      <c r="B113" s="349" t="s">
        <v>7565</v>
      </c>
      <c r="C113" s="887" t="s">
        <v>12</v>
      </c>
      <c r="D113" s="350" t="s">
        <v>1525</v>
      </c>
      <c r="E113" s="887" t="s">
        <v>13</v>
      </c>
      <c r="F113" s="613">
        <v>92.85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42" s="224" customFormat="1" ht="15" customHeight="1" x14ac:dyDescent="0.25">
      <c r="A114" s="247">
        <v>45764</v>
      </c>
      <c r="B114" s="349" t="s">
        <v>7565</v>
      </c>
      <c r="C114" s="887" t="s">
        <v>12</v>
      </c>
      <c r="D114" s="350" t="s">
        <v>1491</v>
      </c>
      <c r="E114" s="887" t="s">
        <v>13</v>
      </c>
      <c r="F114" s="613">
        <v>29.9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42" s="224" customFormat="1" ht="15" customHeight="1" x14ac:dyDescent="0.25">
      <c r="A115" s="247">
        <v>45764</v>
      </c>
      <c r="B115" s="882" t="s">
        <v>7566</v>
      </c>
      <c r="C115" s="879" t="s">
        <v>12</v>
      </c>
      <c r="D115" s="879" t="s">
        <v>1499</v>
      </c>
      <c r="E115" s="871" t="s">
        <v>13</v>
      </c>
      <c r="F115" s="780">
        <v>0</v>
      </c>
      <c r="G115" s="982"/>
      <c r="H115" s="1008"/>
      <c r="I115" s="1063"/>
      <c r="J115" s="622"/>
      <c r="K115" s="982"/>
      <c r="L115" s="622"/>
      <c r="M115" s="982"/>
      <c r="N115" s="622"/>
      <c r="O115" s="1063"/>
      <c r="P115" s="622"/>
      <c r="Q115" s="982"/>
      <c r="R115" s="1028" t="s">
        <v>7729</v>
      </c>
      <c r="T115" s="1123"/>
      <c r="U115" s="999"/>
    </row>
    <row r="116" spans="1:42" s="224" customFormat="1" ht="15" customHeight="1" x14ac:dyDescent="0.25">
      <c r="A116" s="247">
        <v>45764</v>
      </c>
      <c r="B116" s="882" t="s">
        <v>6814</v>
      </c>
      <c r="C116" s="879" t="s">
        <v>12</v>
      </c>
      <c r="D116" s="879"/>
      <c r="E116" s="875" t="s">
        <v>13</v>
      </c>
      <c r="F116" s="780"/>
      <c r="G116" s="982">
        <v>2290.4299999999998</v>
      </c>
      <c r="H116" s="1008"/>
      <c r="I116" s="1063"/>
      <c r="J116" s="622">
        <v>2290.4299999999998</v>
      </c>
      <c r="K116" s="982"/>
      <c r="L116" s="622"/>
      <c r="M116" s="982"/>
      <c r="N116" s="622"/>
      <c r="O116" s="1063"/>
      <c r="P116" s="622"/>
      <c r="Q116" s="982"/>
      <c r="R116" s="941"/>
    </row>
    <row r="117" spans="1:42" s="224" customFormat="1" ht="15" customHeight="1" x14ac:dyDescent="0.25">
      <c r="A117" s="247">
        <v>45764</v>
      </c>
      <c r="B117" s="882" t="s">
        <v>7700</v>
      </c>
      <c r="C117" s="879" t="s">
        <v>12</v>
      </c>
      <c r="D117" s="879"/>
      <c r="E117" s="875" t="s">
        <v>13</v>
      </c>
      <c r="F117" s="780">
        <v>700</v>
      </c>
      <c r="G117" s="982"/>
      <c r="H117" s="95"/>
      <c r="I117" s="1064"/>
      <c r="J117" s="622"/>
      <c r="K117" s="982">
        <v>700</v>
      </c>
      <c r="L117" s="622"/>
      <c r="M117" s="982"/>
      <c r="N117" s="622"/>
      <c r="O117" s="982"/>
      <c r="P117" s="622"/>
      <c r="Q117" s="982"/>
      <c r="R117" s="1210"/>
      <c r="S117" s="1038"/>
      <c r="T117" s="861"/>
    </row>
    <row r="118" spans="1:42" s="224" customFormat="1" ht="15" customHeight="1" x14ac:dyDescent="0.25">
      <c r="A118" s="247">
        <v>45764</v>
      </c>
      <c r="B118" s="1275" t="s">
        <v>32</v>
      </c>
      <c r="C118" s="1276" t="s">
        <v>12</v>
      </c>
      <c r="D118" s="1276" t="s">
        <v>1485</v>
      </c>
      <c r="E118" s="1286" t="s">
        <v>13</v>
      </c>
      <c r="F118" s="780">
        <v>23</v>
      </c>
      <c r="G118" s="982"/>
      <c r="H118" s="1008"/>
      <c r="I118" s="1063"/>
      <c r="J118" s="622"/>
      <c r="K118" s="982"/>
      <c r="L118" s="622"/>
      <c r="M118" s="982"/>
      <c r="N118" s="622"/>
      <c r="O118" s="1063"/>
      <c r="P118" s="622"/>
      <c r="Q118" s="982"/>
      <c r="R118" s="861"/>
      <c r="T118" s="1035"/>
    </row>
    <row r="119" spans="1:42" s="224" customFormat="1" ht="15" customHeight="1" x14ac:dyDescent="0.25">
      <c r="A119" s="247">
        <v>45764</v>
      </c>
      <c r="B119" s="882" t="s">
        <v>7795</v>
      </c>
      <c r="C119" s="879" t="s">
        <v>12</v>
      </c>
      <c r="D119" s="879"/>
      <c r="E119" s="875"/>
      <c r="F119" s="780"/>
      <c r="G119" s="982"/>
      <c r="H119" s="95"/>
      <c r="I119" s="1064"/>
      <c r="J119" s="613"/>
      <c r="K119" s="64">
        <v>3021.51</v>
      </c>
      <c r="L119" s="622"/>
      <c r="M119" s="982"/>
      <c r="N119" s="622"/>
      <c r="O119" s="1063"/>
      <c r="P119" s="1116"/>
      <c r="Q119" s="1215"/>
      <c r="R119" s="1028">
        <v>4998</v>
      </c>
      <c r="U119" s="958"/>
    </row>
    <row r="120" spans="1:42" s="224" customFormat="1" ht="15" customHeight="1" x14ac:dyDescent="0.25">
      <c r="A120" s="247">
        <v>45764</v>
      </c>
      <c r="B120" s="882" t="s">
        <v>7794</v>
      </c>
      <c r="C120" s="879" t="s">
        <v>12</v>
      </c>
      <c r="D120" s="879"/>
      <c r="E120" s="875"/>
      <c r="F120" s="780"/>
      <c r="G120" s="982"/>
      <c r="H120" s="95"/>
      <c r="I120" s="1064"/>
      <c r="J120" s="613"/>
      <c r="K120" s="64">
        <v>1976.85</v>
      </c>
      <c r="L120" s="622"/>
      <c r="M120" s="982"/>
      <c r="N120" s="622"/>
      <c r="O120" s="1525"/>
      <c r="P120" s="1116"/>
      <c r="Q120" s="1215"/>
      <c r="R120" s="1028"/>
      <c r="U120" s="958"/>
    </row>
    <row r="121" spans="1:42" s="224" customFormat="1" ht="15" customHeight="1" x14ac:dyDescent="0.25">
      <c r="A121" s="247">
        <v>45764</v>
      </c>
      <c r="B121" s="882" t="s">
        <v>7800</v>
      </c>
      <c r="C121" s="879" t="s">
        <v>12</v>
      </c>
      <c r="D121" s="879" t="s">
        <v>1489</v>
      </c>
      <c r="E121" s="871" t="s">
        <v>13</v>
      </c>
      <c r="F121" s="780">
        <v>5</v>
      </c>
      <c r="G121" s="982"/>
      <c r="H121" s="95"/>
      <c r="I121" s="1064"/>
      <c r="J121" s="613"/>
      <c r="K121" s="6"/>
      <c r="L121" s="622"/>
      <c r="M121" s="982"/>
      <c r="N121" s="622"/>
      <c r="O121" s="1063"/>
      <c r="P121" s="622"/>
      <c r="Q121" s="982"/>
      <c r="R121" s="861"/>
    </row>
    <row r="122" spans="1:42" s="224" customFormat="1" ht="15" customHeight="1" x14ac:dyDescent="0.25">
      <c r="A122" s="247">
        <v>45764</v>
      </c>
      <c r="B122" s="882" t="s">
        <v>443</v>
      </c>
      <c r="C122" s="879" t="s">
        <v>12</v>
      </c>
      <c r="D122" s="879" t="s">
        <v>1493</v>
      </c>
      <c r="E122" s="871" t="s">
        <v>13</v>
      </c>
      <c r="F122" s="780">
        <v>14.9</v>
      </c>
      <c r="G122" s="982"/>
      <c r="H122" s="95"/>
      <c r="I122" s="1064"/>
      <c r="J122" s="613"/>
      <c r="K122" s="6"/>
      <c r="L122" s="622"/>
      <c r="M122" s="982"/>
      <c r="N122" s="622"/>
      <c r="O122" s="1063"/>
      <c r="P122" s="622"/>
      <c r="Q122" s="982"/>
      <c r="R122" s="861"/>
    </row>
    <row r="123" spans="1:42" s="224" customFormat="1" ht="15" customHeight="1" x14ac:dyDescent="0.25">
      <c r="A123" s="247">
        <v>45765</v>
      </c>
      <c r="B123" s="882" t="s">
        <v>14</v>
      </c>
      <c r="C123" s="879" t="s">
        <v>12</v>
      </c>
      <c r="D123" s="879" t="s">
        <v>1486</v>
      </c>
      <c r="E123" s="875" t="s">
        <v>13</v>
      </c>
      <c r="F123" s="780">
        <v>8.3800000000000008</v>
      </c>
      <c r="G123" s="982"/>
      <c r="H123" s="622"/>
      <c r="I123" s="982"/>
      <c r="J123" s="872"/>
      <c r="K123" s="1207"/>
      <c r="L123" s="622"/>
      <c r="M123" s="982"/>
      <c r="N123" s="622"/>
      <c r="O123" s="1063"/>
      <c r="P123" s="622"/>
      <c r="Q123" s="982"/>
      <c r="R123" s="1028"/>
      <c r="S123" s="959"/>
      <c r="T123" s="878"/>
      <c r="U123" s="958"/>
    </row>
    <row r="124" spans="1:42" s="224" customFormat="1" ht="15" customHeight="1" x14ac:dyDescent="0.25">
      <c r="A124" s="247">
        <v>45766</v>
      </c>
      <c r="B124" s="882" t="s">
        <v>7511</v>
      </c>
      <c r="C124" s="879" t="s">
        <v>12</v>
      </c>
      <c r="D124" s="879"/>
      <c r="E124" s="875"/>
      <c r="F124" s="780"/>
      <c r="G124" s="982">
        <v>40</v>
      </c>
      <c r="H124" s="622"/>
      <c r="I124" s="982"/>
      <c r="J124" s="622">
        <v>40</v>
      </c>
      <c r="K124" s="982"/>
      <c r="L124" s="853"/>
      <c r="M124" s="982"/>
      <c r="N124" s="622"/>
      <c r="O124" s="1063"/>
      <c r="P124" s="622"/>
      <c r="Q124" s="982"/>
      <c r="R124" s="927"/>
      <c r="S124" s="927"/>
      <c r="T124" s="878"/>
    </row>
    <row r="125" spans="1:42" s="224" customFormat="1" ht="15" customHeight="1" x14ac:dyDescent="0.25">
      <c r="A125" s="247">
        <v>45766</v>
      </c>
      <c r="B125" s="882" t="s">
        <v>7364</v>
      </c>
      <c r="C125" s="879" t="s">
        <v>12</v>
      </c>
      <c r="D125" s="879" t="s">
        <v>1524</v>
      </c>
      <c r="E125" s="875" t="s">
        <v>13</v>
      </c>
      <c r="F125" s="780">
        <v>40</v>
      </c>
      <c r="G125" s="982"/>
      <c r="H125" s="622"/>
      <c r="I125" s="982"/>
      <c r="J125" s="622"/>
      <c r="K125" s="982"/>
      <c r="L125" s="622"/>
      <c r="M125" s="982"/>
      <c r="N125" s="880"/>
      <c r="O125" s="1525"/>
      <c r="P125" s="613"/>
      <c r="Q125" s="162"/>
      <c r="R125" s="2706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</row>
    <row r="126" spans="1:42" s="224" customFormat="1" ht="15" customHeight="1" x14ac:dyDescent="0.25">
      <c r="A126" s="247">
        <v>45766</v>
      </c>
      <c r="B126" s="882" t="s">
        <v>14</v>
      </c>
      <c r="C126" s="879" t="s">
        <v>12</v>
      </c>
      <c r="D126" s="879" t="s">
        <v>1486</v>
      </c>
      <c r="E126" s="875" t="s">
        <v>13</v>
      </c>
      <c r="F126" s="780">
        <v>9.2799999999999994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42" s="224" customFormat="1" ht="15" customHeight="1" x14ac:dyDescent="0.25">
      <c r="A127" s="247">
        <v>45766</v>
      </c>
      <c r="B127" s="882" t="s">
        <v>7217</v>
      </c>
      <c r="C127" s="879" t="s">
        <v>12</v>
      </c>
      <c r="D127" s="879" t="s">
        <v>1489</v>
      </c>
      <c r="E127" s="875" t="s">
        <v>13</v>
      </c>
      <c r="F127" s="780">
        <v>14</v>
      </c>
      <c r="G127" s="982"/>
      <c r="H127" s="622"/>
      <c r="I127" s="982"/>
      <c r="J127" s="1116"/>
      <c r="K127" s="1207"/>
      <c r="L127" s="622"/>
      <c r="M127" s="982"/>
      <c r="N127" s="622"/>
      <c r="O127" s="1063"/>
      <c r="P127" s="880"/>
      <c r="Q127" s="1033"/>
      <c r="R127" s="927"/>
      <c r="T127" s="878"/>
    </row>
    <row r="128" spans="1:42" s="224" customFormat="1" ht="15" customHeight="1" x14ac:dyDescent="0.25">
      <c r="A128" s="247">
        <v>45766</v>
      </c>
      <c r="B128" s="882" t="s">
        <v>7122</v>
      </c>
      <c r="C128" s="879" t="s">
        <v>12</v>
      </c>
      <c r="D128" s="879" t="s">
        <v>1489</v>
      </c>
      <c r="E128" s="875" t="s">
        <v>13</v>
      </c>
      <c r="F128" s="780">
        <v>13</v>
      </c>
      <c r="G128" s="982"/>
      <c r="H128" s="622"/>
      <c r="I128" s="982"/>
      <c r="J128" s="1116"/>
      <c r="K128" s="1207"/>
      <c r="L128" s="622"/>
      <c r="M128" s="982"/>
      <c r="N128" s="622"/>
      <c r="O128" s="1063"/>
      <c r="P128" s="880"/>
      <c r="Q128" s="1033"/>
      <c r="R128" s="927"/>
      <c r="T128" s="878"/>
    </row>
    <row r="129" spans="1:42" s="224" customFormat="1" ht="15" customHeight="1" x14ac:dyDescent="0.25">
      <c r="A129" s="247">
        <v>45766</v>
      </c>
      <c r="B129" s="882" t="s">
        <v>7801</v>
      </c>
      <c r="C129" s="879" t="s">
        <v>12</v>
      </c>
      <c r="D129" s="879" t="s">
        <v>1489</v>
      </c>
      <c r="E129" s="871" t="s">
        <v>5470</v>
      </c>
      <c r="F129" s="780">
        <v>57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45766</v>
      </c>
      <c r="B130" s="882" t="s">
        <v>443</v>
      </c>
      <c r="C130" s="879" t="s">
        <v>12</v>
      </c>
      <c r="D130" s="879" t="s">
        <v>1493</v>
      </c>
      <c r="E130" s="871" t="s">
        <v>13</v>
      </c>
      <c r="F130" s="780">
        <v>41.8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45767</v>
      </c>
      <c r="B131" s="882" t="s">
        <v>14</v>
      </c>
      <c r="C131" s="879" t="s">
        <v>12</v>
      </c>
      <c r="D131" s="879" t="s">
        <v>1486</v>
      </c>
      <c r="E131" s="875" t="s">
        <v>13</v>
      </c>
      <c r="F131" s="780">
        <v>7.84</v>
      </c>
      <c r="G131" s="982"/>
      <c r="H131" s="622"/>
      <c r="I131" s="982"/>
      <c r="J131" s="872"/>
      <c r="K131" s="1207"/>
      <c r="L131" s="622"/>
      <c r="M131" s="982"/>
      <c r="N131" s="622"/>
      <c r="O131" s="1063"/>
      <c r="P131" s="622"/>
      <c r="Q131" s="982"/>
      <c r="R131" s="1028"/>
      <c r="S131" s="959"/>
      <c r="T131" s="878"/>
      <c r="U131" s="958"/>
    </row>
    <row r="132" spans="1:42" s="224" customFormat="1" ht="15" customHeight="1" x14ac:dyDescent="0.25">
      <c r="A132" s="247">
        <v>45768</v>
      </c>
      <c r="B132" s="882" t="s">
        <v>14</v>
      </c>
      <c r="C132" s="879" t="s">
        <v>12</v>
      </c>
      <c r="D132" s="879" t="s">
        <v>1486</v>
      </c>
      <c r="E132" s="875" t="s">
        <v>13</v>
      </c>
      <c r="F132" s="780">
        <v>8.7100000000000009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45768</v>
      </c>
      <c r="B133" s="882" t="s">
        <v>103</v>
      </c>
      <c r="C133" s="879" t="s">
        <v>12</v>
      </c>
      <c r="D133" s="879" t="s">
        <v>1493</v>
      </c>
      <c r="E133" s="871" t="s">
        <v>13</v>
      </c>
      <c r="F133" s="780">
        <v>16</v>
      </c>
      <c r="G133" s="982"/>
      <c r="H133" s="95"/>
      <c r="I133" s="1064"/>
      <c r="J133" s="613"/>
      <c r="K133" s="6"/>
      <c r="L133" s="622"/>
      <c r="M133" s="982"/>
      <c r="N133" s="622"/>
      <c r="O133" s="1063"/>
      <c r="P133" s="622"/>
      <c r="Q133" s="982"/>
      <c r="R133" s="861"/>
    </row>
    <row r="134" spans="1:42" s="224" customFormat="1" ht="15" customHeight="1" x14ac:dyDescent="0.25">
      <c r="A134" s="247">
        <v>45769</v>
      </c>
      <c r="B134" s="882" t="s">
        <v>7511</v>
      </c>
      <c r="C134" s="879" t="s">
        <v>12</v>
      </c>
      <c r="D134" s="879"/>
      <c r="E134" s="875" t="s">
        <v>13</v>
      </c>
      <c r="F134" s="780"/>
      <c r="G134" s="982">
        <v>39.6</v>
      </c>
      <c r="H134" s="1008"/>
      <c r="I134" s="1063"/>
      <c r="J134" s="622">
        <v>39.6</v>
      </c>
      <c r="K134" s="982"/>
      <c r="L134" s="622"/>
      <c r="M134" s="982"/>
      <c r="N134" s="622"/>
      <c r="O134" s="1063"/>
      <c r="P134" s="622"/>
      <c r="Q134" s="982"/>
      <c r="R134" s="941"/>
    </row>
    <row r="135" spans="1:42" s="224" customFormat="1" ht="15" customHeight="1" x14ac:dyDescent="0.25">
      <c r="A135" s="247">
        <v>45769</v>
      </c>
      <c r="B135" s="882" t="s">
        <v>7808</v>
      </c>
      <c r="C135" s="879" t="s">
        <v>12</v>
      </c>
      <c r="D135" s="879" t="s">
        <v>1524</v>
      </c>
      <c r="E135" s="875" t="s">
        <v>13</v>
      </c>
      <c r="F135" s="780">
        <v>39.6</v>
      </c>
      <c r="G135" s="982"/>
      <c r="H135" s="95"/>
      <c r="I135" s="1064"/>
      <c r="J135" s="622"/>
      <c r="K135" s="982"/>
      <c r="L135" s="622"/>
      <c r="M135" s="982"/>
      <c r="N135" s="622"/>
      <c r="O135" s="982"/>
      <c r="P135" s="622"/>
      <c r="Q135" s="982"/>
      <c r="R135" s="1210"/>
      <c r="S135" s="1038"/>
      <c r="T135" s="861"/>
    </row>
    <row r="136" spans="1:42" s="224" customFormat="1" ht="15" customHeight="1" x14ac:dyDescent="0.25">
      <c r="A136" s="247">
        <v>45769</v>
      </c>
      <c r="B136" s="882" t="s">
        <v>7511</v>
      </c>
      <c r="C136" s="879" t="s">
        <v>12</v>
      </c>
      <c r="D136" s="879"/>
      <c r="E136" s="875" t="s">
        <v>13</v>
      </c>
      <c r="F136" s="780"/>
      <c r="G136" s="982">
        <v>875</v>
      </c>
      <c r="H136" s="1008"/>
      <c r="I136" s="1063"/>
      <c r="J136" s="622">
        <v>875</v>
      </c>
      <c r="K136" s="982"/>
      <c r="L136" s="622"/>
      <c r="M136" s="982"/>
      <c r="N136" s="622"/>
      <c r="O136" s="1063"/>
      <c r="P136" s="622"/>
      <c r="Q136" s="982"/>
      <c r="R136" s="941"/>
    </row>
    <row r="137" spans="1:42" s="224" customFormat="1" ht="15" customHeight="1" x14ac:dyDescent="0.25">
      <c r="A137" s="247">
        <v>45769</v>
      </c>
      <c r="B137" s="882" t="s">
        <v>7809</v>
      </c>
      <c r="C137" s="879" t="s">
        <v>12</v>
      </c>
      <c r="D137" s="879" t="s">
        <v>1524</v>
      </c>
      <c r="E137" s="875" t="s">
        <v>13</v>
      </c>
      <c r="F137" s="780">
        <v>875</v>
      </c>
      <c r="G137" s="982"/>
      <c r="H137" s="95"/>
      <c r="I137" s="1064"/>
      <c r="J137" s="622"/>
      <c r="K137" s="982"/>
      <c r="L137" s="622"/>
      <c r="M137" s="982"/>
      <c r="N137" s="622"/>
      <c r="O137" s="982"/>
      <c r="P137" s="622"/>
      <c r="Q137" s="982"/>
      <c r="R137" s="1210"/>
      <c r="S137" s="1038"/>
      <c r="T137" s="861"/>
    </row>
    <row r="138" spans="1:42" s="224" customFormat="1" ht="15" customHeight="1" x14ac:dyDescent="0.25">
      <c r="A138" s="247">
        <v>45769</v>
      </c>
      <c r="B138" s="882" t="s">
        <v>6329</v>
      </c>
      <c r="C138" s="879" t="s">
        <v>12</v>
      </c>
      <c r="D138" s="879"/>
      <c r="E138" s="875" t="s">
        <v>25</v>
      </c>
      <c r="F138" s="780"/>
      <c r="G138" s="982">
        <v>100</v>
      </c>
      <c r="H138" s="1008"/>
      <c r="I138" s="1063"/>
      <c r="J138" s="613"/>
      <c r="K138" s="982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45769</v>
      </c>
      <c r="B139" s="1275" t="s">
        <v>32</v>
      </c>
      <c r="C139" s="1276" t="s">
        <v>12</v>
      </c>
      <c r="D139" s="1276" t="s">
        <v>1485</v>
      </c>
      <c r="E139" s="1286" t="s">
        <v>13</v>
      </c>
      <c r="F139" s="780">
        <v>23</v>
      </c>
      <c r="G139" s="982"/>
      <c r="H139" s="1008"/>
      <c r="I139" s="1063"/>
      <c r="J139" s="622"/>
      <c r="K139" s="982"/>
      <c r="L139" s="622"/>
      <c r="M139" s="982"/>
      <c r="N139" s="622"/>
      <c r="O139" s="1063"/>
      <c r="P139" s="622"/>
      <c r="Q139" s="982"/>
      <c r="R139" s="861"/>
      <c r="T139" s="1035"/>
    </row>
    <row r="140" spans="1:42" s="224" customFormat="1" ht="15" customHeight="1" x14ac:dyDescent="0.25">
      <c r="A140" s="247">
        <v>45769</v>
      </c>
      <c r="B140" s="1275" t="s">
        <v>7819</v>
      </c>
      <c r="C140" s="1276" t="s">
        <v>12</v>
      </c>
      <c r="D140" s="1276" t="s">
        <v>1489</v>
      </c>
      <c r="E140" s="1286" t="s">
        <v>13</v>
      </c>
      <c r="F140" s="780">
        <v>19.89</v>
      </c>
      <c r="G140" s="982"/>
      <c r="H140" s="1008"/>
      <c r="I140" s="1063"/>
      <c r="J140" s="622"/>
      <c r="K140" s="982"/>
      <c r="L140" s="622"/>
      <c r="M140" s="982"/>
      <c r="N140" s="622"/>
      <c r="O140" s="1063"/>
      <c r="P140" s="622"/>
      <c r="Q140" s="982"/>
      <c r="R140" s="861"/>
      <c r="T140" s="1035"/>
    </row>
    <row r="141" spans="1:42" s="224" customFormat="1" ht="15" customHeight="1" x14ac:dyDescent="0.25">
      <c r="A141" s="247">
        <v>45769</v>
      </c>
      <c r="B141" s="882" t="s">
        <v>7818</v>
      </c>
      <c r="C141" s="879" t="s">
        <v>12</v>
      </c>
      <c r="D141" s="879" t="s">
        <v>1506</v>
      </c>
      <c r="E141" s="875" t="s">
        <v>13</v>
      </c>
      <c r="F141" s="780">
        <v>14</v>
      </c>
      <c r="G141" s="982"/>
      <c r="H141" s="622"/>
      <c r="I141" s="982"/>
      <c r="J141" s="872"/>
      <c r="K141" s="1207"/>
      <c r="L141" s="622"/>
      <c r="M141" s="982"/>
      <c r="N141" s="622"/>
      <c r="O141" s="1063"/>
      <c r="P141" s="622"/>
      <c r="Q141" s="982"/>
      <c r="R141" s="1028"/>
      <c r="S141" s="959"/>
      <c r="T141" s="878"/>
      <c r="U141" s="958"/>
    </row>
    <row r="142" spans="1:42" s="224" customFormat="1" ht="15" customHeight="1" x14ac:dyDescent="0.25">
      <c r="A142" s="247">
        <v>45769</v>
      </c>
      <c r="B142" s="882" t="s">
        <v>14</v>
      </c>
      <c r="C142" s="879" t="s">
        <v>12</v>
      </c>
      <c r="D142" s="879" t="s">
        <v>1486</v>
      </c>
      <c r="E142" s="875" t="s">
        <v>13</v>
      </c>
      <c r="F142" s="780">
        <v>8.32</v>
      </c>
      <c r="G142" s="982"/>
      <c r="H142" s="622"/>
      <c r="I142" s="982"/>
      <c r="J142" s="872"/>
      <c r="K142" s="1207"/>
      <c r="L142" s="622"/>
      <c r="M142" s="982"/>
      <c r="N142" s="622"/>
      <c r="O142" s="1063"/>
      <c r="P142" s="622"/>
      <c r="Q142" s="982"/>
      <c r="R142" s="1028"/>
      <c r="S142" s="959"/>
      <c r="T142" s="878"/>
      <c r="U142" s="958"/>
    </row>
    <row r="143" spans="1:42" s="224" customFormat="1" ht="15" customHeight="1" x14ac:dyDescent="0.25">
      <c r="A143" s="247">
        <v>45770</v>
      </c>
      <c r="B143" s="1275" t="s">
        <v>7710</v>
      </c>
      <c r="C143" s="1276" t="s">
        <v>12</v>
      </c>
      <c r="D143" s="1276"/>
      <c r="E143" s="1286" t="s">
        <v>13</v>
      </c>
      <c r="F143" s="613">
        <v>241.56</v>
      </c>
      <c r="G143" s="967"/>
      <c r="H143" s="1008"/>
      <c r="I143" s="1063"/>
      <c r="J143" s="613"/>
      <c r="K143" s="6"/>
      <c r="L143" s="622"/>
      <c r="M143" s="982"/>
      <c r="N143" s="622"/>
      <c r="O143" s="1063"/>
      <c r="P143" s="613"/>
      <c r="Q143" s="64"/>
      <c r="R143" s="1024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</row>
    <row r="144" spans="1:42" s="224" customFormat="1" ht="15" customHeight="1" x14ac:dyDescent="0.25">
      <c r="A144" s="247">
        <v>45770</v>
      </c>
      <c r="B144" s="1275" t="s">
        <v>6755</v>
      </c>
      <c r="C144" s="1276" t="s">
        <v>12</v>
      </c>
      <c r="D144" s="1276"/>
      <c r="E144" s="1286"/>
      <c r="F144" s="613"/>
      <c r="G144" s="967">
        <v>241.56</v>
      </c>
      <c r="H144" s="1008"/>
      <c r="I144" s="1063"/>
      <c r="J144" s="613"/>
      <c r="K144" s="6"/>
      <c r="L144" s="622"/>
      <c r="M144" s="982"/>
      <c r="N144" s="622"/>
      <c r="O144" s="1063"/>
      <c r="P144" s="613"/>
      <c r="Q144" s="64"/>
      <c r="R144" s="102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</row>
    <row r="145" spans="1:42" s="224" customFormat="1" ht="15" customHeight="1" x14ac:dyDescent="0.25">
      <c r="A145" s="247">
        <v>45770</v>
      </c>
      <c r="B145" s="1275" t="s">
        <v>32</v>
      </c>
      <c r="C145" s="1276" t="s">
        <v>12</v>
      </c>
      <c r="D145" s="1276" t="s">
        <v>1485</v>
      </c>
      <c r="E145" s="1286" t="s">
        <v>13</v>
      </c>
      <c r="F145" s="780">
        <v>24</v>
      </c>
      <c r="G145" s="982"/>
      <c r="H145" s="622"/>
      <c r="I145" s="982"/>
      <c r="J145" s="613"/>
      <c r="K145" s="6"/>
      <c r="L145" s="622"/>
      <c r="M145" s="982"/>
      <c r="N145" s="622"/>
      <c r="O145" s="1063"/>
      <c r="P145" s="622"/>
      <c r="Q145" s="982"/>
      <c r="R145" s="927"/>
      <c r="T145" s="878"/>
    </row>
    <row r="146" spans="1:42" s="224" customFormat="1" ht="15" customHeight="1" x14ac:dyDescent="0.25">
      <c r="A146" s="247">
        <v>45770</v>
      </c>
      <c r="B146" s="882" t="s">
        <v>14</v>
      </c>
      <c r="C146" s="879" t="s">
        <v>12</v>
      </c>
      <c r="D146" s="879" t="s">
        <v>1486</v>
      </c>
      <c r="E146" s="875" t="s">
        <v>13</v>
      </c>
      <c r="F146" s="780">
        <v>13.24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1116"/>
      <c r="Q146" s="1215"/>
      <c r="R146" s="1028"/>
      <c r="U146" s="958"/>
    </row>
    <row r="147" spans="1:42" s="224" customFormat="1" ht="15" customHeight="1" x14ac:dyDescent="0.25">
      <c r="A147" s="247">
        <v>45771</v>
      </c>
      <c r="B147" s="1275" t="s">
        <v>32</v>
      </c>
      <c r="C147" s="1276" t="s">
        <v>12</v>
      </c>
      <c r="D147" s="1276" t="s">
        <v>1485</v>
      </c>
      <c r="E147" s="1286" t="s">
        <v>13</v>
      </c>
      <c r="F147" s="780">
        <v>23</v>
      </c>
      <c r="G147" s="982"/>
      <c r="H147" s="622"/>
      <c r="I147" s="1033"/>
      <c r="J147" s="1116"/>
      <c r="K147" s="1207"/>
      <c r="L147" s="880"/>
      <c r="M147" s="1033"/>
      <c r="N147" s="880"/>
      <c r="O147" s="1525"/>
      <c r="P147" s="880"/>
      <c r="Q147" s="1033"/>
      <c r="R147" s="927"/>
      <c r="T147" s="878"/>
    </row>
    <row r="148" spans="1:42" s="224" customFormat="1" ht="15" customHeight="1" x14ac:dyDescent="0.25">
      <c r="A148" s="247">
        <v>45771</v>
      </c>
      <c r="B148" s="882" t="s">
        <v>14</v>
      </c>
      <c r="C148" s="879" t="s">
        <v>12</v>
      </c>
      <c r="D148" s="879" t="s">
        <v>1486</v>
      </c>
      <c r="E148" s="875" t="s">
        <v>13</v>
      </c>
      <c r="F148" s="780">
        <v>15.54</v>
      </c>
      <c r="G148" s="982"/>
      <c r="H148" s="95"/>
      <c r="I148" s="1064"/>
      <c r="J148" s="622"/>
      <c r="K148" s="982"/>
      <c r="L148" s="622"/>
      <c r="M148" s="982"/>
      <c r="N148" s="622"/>
      <c r="O148" s="1063"/>
      <c r="P148" s="622"/>
      <c r="Q148" s="982"/>
      <c r="R148" s="1028"/>
      <c r="U148" s="958"/>
    </row>
    <row r="149" spans="1:42" s="224" customFormat="1" ht="15" customHeight="1" x14ac:dyDescent="0.25">
      <c r="A149" s="247">
        <v>45772</v>
      </c>
      <c r="B149" s="882" t="s">
        <v>7820</v>
      </c>
      <c r="C149" s="879" t="s">
        <v>12</v>
      </c>
      <c r="D149" s="879" t="s">
        <v>1489</v>
      </c>
      <c r="E149" s="875" t="s">
        <v>13</v>
      </c>
      <c r="F149" s="780">
        <v>40</v>
      </c>
      <c r="G149" s="982"/>
      <c r="H149" s="622"/>
      <c r="I149" s="982"/>
      <c r="J149" s="872"/>
      <c r="K149" s="1207"/>
      <c r="L149" s="622"/>
      <c r="M149" s="982"/>
      <c r="N149" s="622"/>
      <c r="O149" s="1063"/>
      <c r="P149" s="622"/>
      <c r="Q149" s="982"/>
      <c r="R149" s="1028"/>
      <c r="S149" s="959"/>
      <c r="T149" s="878"/>
      <c r="U149" s="958"/>
    </row>
    <row r="150" spans="1:42" s="224" customFormat="1" ht="15" customHeight="1" x14ac:dyDescent="0.25">
      <c r="A150" s="247">
        <v>45772</v>
      </c>
      <c r="B150" s="882" t="s">
        <v>14</v>
      </c>
      <c r="C150" s="879" t="s">
        <v>12</v>
      </c>
      <c r="D150" s="879" t="s">
        <v>1486</v>
      </c>
      <c r="E150" s="875" t="s">
        <v>13</v>
      </c>
      <c r="F150" s="780">
        <v>6.3</v>
      </c>
      <c r="G150" s="982"/>
      <c r="H150" s="622"/>
      <c r="I150" s="982"/>
      <c r="J150" s="872"/>
      <c r="K150" s="1207"/>
      <c r="L150" s="622"/>
      <c r="M150" s="982"/>
      <c r="N150" s="622"/>
      <c r="O150" s="1063"/>
      <c r="P150" s="622"/>
      <c r="Q150" s="982"/>
      <c r="R150" s="1028"/>
      <c r="S150" s="959"/>
      <c r="T150" s="878"/>
      <c r="U150" s="958"/>
    </row>
    <row r="151" spans="1:42" s="224" customFormat="1" ht="15" customHeight="1" x14ac:dyDescent="0.25">
      <c r="A151" s="247">
        <v>45772</v>
      </c>
      <c r="B151" s="882" t="s">
        <v>7821</v>
      </c>
      <c r="C151" s="879" t="s">
        <v>12</v>
      </c>
      <c r="D151" s="879" t="s">
        <v>1489</v>
      </c>
      <c r="E151" s="875" t="s">
        <v>13</v>
      </c>
      <c r="F151" s="780">
        <v>13</v>
      </c>
      <c r="G151" s="982"/>
      <c r="H151" s="622"/>
      <c r="I151" s="982"/>
      <c r="J151" s="872"/>
      <c r="K151" s="1207"/>
      <c r="L151" s="622"/>
      <c r="M151" s="982"/>
      <c r="N151" s="622"/>
      <c r="O151" s="1063"/>
      <c r="P151" s="622"/>
      <c r="Q151" s="982"/>
      <c r="R151" s="1028"/>
      <c r="S151" s="959"/>
      <c r="T151" s="878"/>
      <c r="U151" s="958"/>
    </row>
    <row r="152" spans="1:42" s="224" customFormat="1" ht="15" customHeight="1" x14ac:dyDescent="0.25">
      <c r="A152" s="247">
        <v>45773</v>
      </c>
      <c r="B152" s="882" t="s">
        <v>14</v>
      </c>
      <c r="C152" s="879" t="s">
        <v>12</v>
      </c>
      <c r="D152" s="879" t="s">
        <v>1486</v>
      </c>
      <c r="E152" s="875" t="s">
        <v>13</v>
      </c>
      <c r="F152" s="780">
        <v>8.5299999999999994</v>
      </c>
      <c r="G152" s="982"/>
      <c r="H152" s="622"/>
      <c r="I152" s="982"/>
      <c r="J152" s="622"/>
      <c r="K152" s="982"/>
      <c r="L152" s="622"/>
      <c r="M152" s="982"/>
      <c r="N152" s="880"/>
      <c r="O152" s="1525"/>
      <c r="P152" s="613"/>
      <c r="Q152" s="162"/>
      <c r="R152" s="1956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</row>
    <row r="153" spans="1:42" s="224" customFormat="1" ht="15" customHeight="1" x14ac:dyDescent="0.25">
      <c r="A153" s="247">
        <v>45773</v>
      </c>
      <c r="B153" s="882" t="s">
        <v>2629</v>
      </c>
      <c r="C153" s="879" t="s">
        <v>12</v>
      </c>
      <c r="D153" s="879" t="s">
        <v>1489</v>
      </c>
      <c r="E153" s="875" t="s">
        <v>13</v>
      </c>
      <c r="F153" s="780">
        <v>103.47</v>
      </c>
      <c r="G153" s="982"/>
      <c r="H153" s="622"/>
      <c r="I153" s="982"/>
      <c r="J153" s="872"/>
      <c r="K153" s="1207"/>
      <c r="L153" s="622"/>
      <c r="M153" s="982"/>
      <c r="N153" s="622"/>
      <c r="O153" s="1063"/>
      <c r="P153" s="622"/>
      <c r="Q153" s="982"/>
      <c r="R153" s="1028"/>
      <c r="S153" s="959"/>
      <c r="T153" s="878"/>
      <c r="U153" s="958"/>
    </row>
    <row r="154" spans="1:42" s="224" customFormat="1" ht="15" customHeight="1" x14ac:dyDescent="0.25">
      <c r="A154" s="247">
        <v>45774</v>
      </c>
      <c r="B154" s="882" t="s">
        <v>14</v>
      </c>
      <c r="C154" s="879" t="s">
        <v>12</v>
      </c>
      <c r="D154" s="879" t="s">
        <v>1486</v>
      </c>
      <c r="E154" s="875" t="s">
        <v>13</v>
      </c>
      <c r="F154" s="780">
        <v>9.75</v>
      </c>
      <c r="G154" s="982"/>
      <c r="H154" s="622"/>
      <c r="I154" s="982"/>
      <c r="J154" s="622"/>
      <c r="K154" s="982"/>
      <c r="L154" s="622"/>
      <c r="M154" s="982"/>
      <c r="N154" s="880"/>
      <c r="O154" s="1525"/>
      <c r="P154" s="613"/>
      <c r="Q154" s="162"/>
      <c r="R154" s="1956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</row>
    <row r="155" spans="1:42" s="224" customFormat="1" ht="15" customHeight="1" x14ac:dyDescent="0.25">
      <c r="A155" s="247">
        <v>45774</v>
      </c>
      <c r="B155" s="882" t="s">
        <v>7822</v>
      </c>
      <c r="C155" s="879" t="s">
        <v>12</v>
      </c>
      <c r="D155" s="879" t="s">
        <v>1489</v>
      </c>
      <c r="E155" s="875" t="s">
        <v>15</v>
      </c>
      <c r="F155" s="780">
        <v>10</v>
      </c>
      <c r="G155" s="982"/>
      <c r="H155" s="622"/>
      <c r="I155" s="982"/>
      <c r="J155" s="622"/>
      <c r="K155" s="982"/>
      <c r="L155" s="622"/>
      <c r="M155" s="982"/>
      <c r="N155" s="880"/>
      <c r="O155" s="1525"/>
      <c r="P155" s="613"/>
      <c r="Q155" s="162"/>
      <c r="R155" s="1956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</row>
    <row r="156" spans="1:42" s="224" customFormat="1" ht="15" customHeight="1" x14ac:dyDescent="0.25">
      <c r="A156" s="247">
        <v>45775</v>
      </c>
      <c r="B156" s="1275" t="s">
        <v>32</v>
      </c>
      <c r="C156" s="1276" t="s">
        <v>12</v>
      </c>
      <c r="D156" s="1276" t="s">
        <v>1485</v>
      </c>
      <c r="E156" s="1286" t="s">
        <v>13</v>
      </c>
      <c r="F156" s="780">
        <v>23</v>
      </c>
      <c r="G156" s="982"/>
      <c r="H156" s="622"/>
      <c r="I156" s="982"/>
      <c r="J156" s="1116"/>
      <c r="K156" s="1207"/>
      <c r="L156" s="622"/>
      <c r="M156" s="982"/>
      <c r="N156" s="622"/>
      <c r="O156" s="1063"/>
      <c r="P156" s="880"/>
      <c r="Q156" s="1033"/>
      <c r="R156" s="927"/>
      <c r="T156" s="878"/>
    </row>
    <row r="157" spans="1:42" s="224" customFormat="1" ht="15" customHeight="1" x14ac:dyDescent="0.25">
      <c r="A157" s="247">
        <v>45775</v>
      </c>
      <c r="B157" s="882" t="s">
        <v>14</v>
      </c>
      <c r="C157" s="879" t="s">
        <v>12</v>
      </c>
      <c r="D157" s="879" t="s">
        <v>1486</v>
      </c>
      <c r="E157" s="875" t="s">
        <v>13</v>
      </c>
      <c r="F157" s="780">
        <v>5.6</v>
      </c>
      <c r="G157" s="982"/>
      <c r="H157" s="1008"/>
      <c r="I157" s="1063"/>
      <c r="J157" s="1116"/>
      <c r="K157" s="1207"/>
      <c r="L157" s="622"/>
      <c r="M157" s="982"/>
      <c r="N157" s="622"/>
      <c r="O157" s="1063"/>
      <c r="P157" s="622"/>
      <c r="Q157" s="982"/>
      <c r="R157" s="861"/>
      <c r="T157" s="1035"/>
    </row>
    <row r="158" spans="1:42" s="224" customFormat="1" ht="15" customHeight="1" x14ac:dyDescent="0.25">
      <c r="A158" s="247">
        <v>45776</v>
      </c>
      <c r="B158" s="1275" t="s">
        <v>32</v>
      </c>
      <c r="C158" s="1276" t="s">
        <v>12</v>
      </c>
      <c r="D158" s="1276" t="s">
        <v>1485</v>
      </c>
      <c r="E158" s="1286" t="s">
        <v>13</v>
      </c>
      <c r="F158" s="780">
        <v>24</v>
      </c>
      <c r="G158" s="982"/>
      <c r="H158" s="622"/>
      <c r="I158" s="1033"/>
      <c r="J158" s="1116"/>
      <c r="K158" s="1207"/>
      <c r="L158" s="880"/>
      <c r="M158" s="1033"/>
      <c r="N158" s="880"/>
      <c r="O158" s="1525"/>
      <c r="P158" s="880"/>
      <c r="Q158" s="1033"/>
      <c r="R158" s="927"/>
      <c r="T158" s="878"/>
    </row>
    <row r="159" spans="1:42" s="224" customFormat="1" ht="15" customHeight="1" x14ac:dyDescent="0.25">
      <c r="A159" s="247">
        <v>45776</v>
      </c>
      <c r="B159" s="882" t="s">
        <v>14</v>
      </c>
      <c r="C159" s="879" t="s">
        <v>12</v>
      </c>
      <c r="D159" s="879" t="s">
        <v>1486</v>
      </c>
      <c r="E159" s="875" t="s">
        <v>13</v>
      </c>
      <c r="F159" s="780">
        <v>11.92</v>
      </c>
      <c r="G159" s="982"/>
      <c r="H159" s="1008"/>
      <c r="I159" s="1063"/>
      <c r="J159" s="1116"/>
      <c r="K159" s="1207"/>
      <c r="L159" s="622"/>
      <c r="M159" s="982"/>
      <c r="N159" s="622"/>
      <c r="O159" s="1063"/>
      <c r="P159" s="622"/>
      <c r="Q159" s="982"/>
      <c r="R159" s="861"/>
      <c r="T159" s="1035"/>
    </row>
    <row r="160" spans="1:42" s="224" customFormat="1" ht="15" customHeight="1" x14ac:dyDescent="0.25">
      <c r="A160" s="247">
        <v>45777</v>
      </c>
      <c r="B160" s="882" t="s">
        <v>6329</v>
      </c>
      <c r="C160" s="879" t="s">
        <v>12</v>
      </c>
      <c r="D160" s="879"/>
      <c r="E160" s="875" t="s">
        <v>25</v>
      </c>
      <c r="F160" s="780"/>
      <c r="G160" s="982">
        <v>100</v>
      </c>
      <c r="H160" s="1008"/>
      <c r="I160" s="1063"/>
      <c r="J160" s="613"/>
      <c r="K160" s="982"/>
      <c r="L160" s="622"/>
      <c r="M160" s="982"/>
      <c r="N160" s="622"/>
      <c r="O160" s="1063"/>
      <c r="P160" s="622"/>
      <c r="Q160" s="982"/>
      <c r="R160" s="861"/>
    </row>
    <row r="161" spans="1:26" s="224" customFormat="1" ht="15" customHeight="1" x14ac:dyDescent="0.25">
      <c r="A161" s="247">
        <v>45777</v>
      </c>
      <c r="B161" s="1275" t="s">
        <v>32</v>
      </c>
      <c r="C161" s="1276" t="s">
        <v>12</v>
      </c>
      <c r="D161" s="1276" t="s">
        <v>1485</v>
      </c>
      <c r="E161" s="1286" t="s">
        <v>13</v>
      </c>
      <c r="F161" s="780">
        <v>23</v>
      </c>
      <c r="G161" s="982"/>
      <c r="H161" s="622"/>
      <c r="I161" s="982"/>
      <c r="J161" s="622"/>
      <c r="K161" s="982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26" s="224" customFormat="1" ht="15" customHeight="1" x14ac:dyDescent="0.25">
      <c r="A162" s="247">
        <v>45777</v>
      </c>
      <c r="B162" s="364" t="s">
        <v>82</v>
      </c>
      <c r="C162" s="350" t="s">
        <v>12</v>
      </c>
      <c r="D162" s="350" t="s">
        <v>1493</v>
      </c>
      <c r="E162" s="875" t="s">
        <v>13</v>
      </c>
      <c r="F162" s="780">
        <v>47</v>
      </c>
      <c r="G162" s="982"/>
      <c r="H162" s="1008"/>
      <c r="I162" s="1063"/>
      <c r="J162" s="622"/>
      <c r="K162" s="982"/>
      <c r="L162" s="622"/>
      <c r="M162" s="982"/>
      <c r="N162" s="622"/>
      <c r="O162" s="1063"/>
      <c r="P162" s="622"/>
      <c r="Q162" s="982"/>
      <c r="R162" s="861"/>
      <c r="T162" s="1035"/>
    </row>
    <row r="163" spans="1:26" s="224" customFormat="1" ht="15" customHeight="1" thickBot="1" x14ac:dyDescent="0.3">
      <c r="A163" s="247">
        <v>45777</v>
      </c>
      <c r="B163" s="349" t="s">
        <v>6168</v>
      </c>
      <c r="C163" s="350" t="s">
        <v>12</v>
      </c>
      <c r="D163" s="350"/>
      <c r="E163" s="480" t="s">
        <v>25</v>
      </c>
      <c r="F163" s="2551"/>
      <c r="G163" s="1522"/>
      <c r="H163" s="95"/>
      <c r="I163" s="2096"/>
      <c r="J163" s="622"/>
      <c r="K163" s="2096">
        <v>60.37</v>
      </c>
      <c r="L163" s="622"/>
      <c r="M163" s="2556">
        <v>10.83</v>
      </c>
      <c r="N163" s="622"/>
      <c r="O163" s="2096">
        <v>93.06</v>
      </c>
      <c r="P163" s="622"/>
      <c r="Q163" s="982"/>
      <c r="R163" s="2585">
        <f>I163+K163+M163+O163</f>
        <v>164.26</v>
      </c>
      <c r="T163" s="927"/>
      <c r="U163" s="999"/>
    </row>
    <row r="164" spans="1:26" ht="25.5" customHeight="1" thickBot="1" x14ac:dyDescent="0.3">
      <c r="A164" s="3060"/>
      <c r="B164" s="3061"/>
      <c r="C164" s="3062"/>
      <c r="D164" s="3062"/>
      <c r="E164" s="3062"/>
      <c r="F164" s="1023">
        <f>SUM(F6:F163)</f>
        <v>19920.109166666658</v>
      </c>
      <c r="G164" s="1065">
        <f>SUM(G5:G163)</f>
        <v>20824.214916666722</v>
      </c>
      <c r="H164" s="517">
        <f>SUM(H6:H163)</f>
        <v>0</v>
      </c>
      <c r="I164" s="93">
        <f>SUM(I5:I163)</f>
        <v>-4.0000000010422809E-3</v>
      </c>
      <c r="J164" s="517">
        <f>SUM(J6:J163)</f>
        <v>12751.570000000002</v>
      </c>
      <c r="K164" s="93">
        <f>SUM(K5:K163)</f>
        <v>19107.330000000005</v>
      </c>
      <c r="L164" s="1023">
        <f>SUM(L6:L163)</f>
        <v>1100</v>
      </c>
      <c r="M164" s="93">
        <f>SUM(M5:M163)</f>
        <v>2190.96</v>
      </c>
      <c r="N164" s="1023">
        <f>SUM(N6:N163)</f>
        <v>0</v>
      </c>
      <c r="O164" s="93">
        <f>SUM(O5:O163)</f>
        <v>11170.270000000002</v>
      </c>
      <c r="P164" s="1023">
        <f>SUM(P6:P163)</f>
        <v>0</v>
      </c>
      <c r="Q164" s="93">
        <f>SUM(Q5:Q163)</f>
        <v>32598.105984720009</v>
      </c>
      <c r="S164" s="216"/>
    </row>
    <row r="165" spans="1:26" ht="25.5" customHeight="1" thickBot="1" x14ac:dyDescent="0.3">
      <c r="A165" s="3063" t="s">
        <v>49</v>
      </c>
      <c r="B165" s="3064"/>
      <c r="C165" s="3064"/>
      <c r="D165" s="3064"/>
      <c r="E165" s="3064"/>
      <c r="F165" s="2717" t="s">
        <v>280</v>
      </c>
      <c r="G165" s="2718">
        <f>G164-F164</f>
        <v>904.10575000006429</v>
      </c>
      <c r="H165" s="2719"/>
      <c r="I165" s="2720">
        <f>I164-H164</f>
        <v>-4.0000000010422809E-3</v>
      </c>
      <c r="J165" s="2719"/>
      <c r="K165" s="772">
        <f>K164-J164</f>
        <v>6355.7600000000039</v>
      </c>
      <c r="L165" s="1222"/>
      <c r="M165" s="772">
        <f>M164-L164</f>
        <v>1090.96</v>
      </c>
      <c r="N165" s="1222"/>
      <c r="O165" s="772">
        <f>O164-N164</f>
        <v>11170.270000000002</v>
      </c>
      <c r="P165" s="1222"/>
      <c r="Q165" s="772">
        <f>Q164-P164</f>
        <v>32598.105984720009</v>
      </c>
      <c r="R165" s="484">
        <f>M165+O165+Q165</f>
        <v>44859.335984720012</v>
      </c>
    </row>
    <row r="166" spans="1:26" x14ac:dyDescent="0.25">
      <c r="J166" s="1210"/>
      <c r="K166" s="1038"/>
      <c r="M166" s="1238">
        <f>M165/R165</f>
        <v>2.4319575313633775E-2</v>
      </c>
      <c r="O166" s="1238">
        <f>O165/R165</f>
        <v>0.24900658368649994</v>
      </c>
      <c r="P166" s="1239"/>
      <c r="Q166" s="1239">
        <f>Q165/R165</f>
        <v>0.72667384099986621</v>
      </c>
      <c r="R166" s="867"/>
      <c r="S166" s="867"/>
      <c r="T166" s="79"/>
      <c r="W166" s="518"/>
      <c r="X166" s="216"/>
      <c r="Z166" s="877"/>
    </row>
    <row r="167" spans="1:26" x14ac:dyDescent="0.25">
      <c r="B167" s="81" t="s">
        <v>3</v>
      </c>
      <c r="C167" s="193" t="s">
        <v>1484</v>
      </c>
      <c r="D167" s="970" t="s">
        <v>2378</v>
      </c>
      <c r="E167" s="193" t="s">
        <v>3216</v>
      </c>
      <c r="F167" s="1061" t="s">
        <v>3217</v>
      </c>
      <c r="G167" s="216"/>
      <c r="I167" s="216"/>
      <c r="J167" s="1038"/>
      <c r="K167" s="216"/>
      <c r="M167" s="866"/>
      <c r="O167" s="866"/>
      <c r="P167" s="1038"/>
      <c r="Q167" s="1038"/>
      <c r="R167" s="865"/>
      <c r="S167" s="867"/>
    </row>
    <row r="168" spans="1:26" x14ac:dyDescent="0.25">
      <c r="B168" s="79" t="s">
        <v>32</v>
      </c>
      <c r="C168" s="85" t="s">
        <v>1485</v>
      </c>
      <c r="D168" s="475">
        <f t="shared" ref="D168:D184" si="0">SUMIF($D$7:$D$163,C168,$F$7:$F$163)</f>
        <v>355</v>
      </c>
      <c r="E168" s="1202">
        <f t="shared" ref="E168:E184" si="1">D168/$K$188</f>
        <v>11.833333333333334</v>
      </c>
      <c r="F168" s="1203">
        <f t="shared" ref="F168:F184" si="2">E168/$E$189</f>
        <v>6.6773253080033859E-2</v>
      </c>
      <c r="G168" s="800"/>
      <c r="H168" s="79" t="s">
        <v>3759</v>
      </c>
      <c r="I168" s="769"/>
      <c r="J168" s="1038"/>
      <c r="K168" s="1225"/>
      <c r="M168" s="886"/>
      <c r="O168" s="886"/>
      <c r="P168" s="886"/>
      <c r="Q168" s="1038">
        <v>24197.98</v>
      </c>
      <c r="R168" s="1038" t="s">
        <v>6378</v>
      </c>
      <c r="S168" s="1210"/>
      <c r="U168" s="1201"/>
      <c r="V168" s="877"/>
    </row>
    <row r="169" spans="1:26" x14ac:dyDescent="0.25">
      <c r="B169" s="79" t="s">
        <v>2187</v>
      </c>
      <c r="C169" s="85" t="s">
        <v>2157</v>
      </c>
      <c r="D169" s="475">
        <f t="shared" si="0"/>
        <v>0</v>
      </c>
      <c r="E169" s="1202">
        <f t="shared" si="1"/>
        <v>0</v>
      </c>
      <c r="F169" s="1203">
        <f t="shared" si="2"/>
        <v>0</v>
      </c>
      <c r="G169" s="609"/>
      <c r="J169" s="2125"/>
      <c r="K169" s="1129"/>
      <c r="M169" s="1210"/>
      <c r="O169" s="1038"/>
      <c r="P169" s="1210"/>
      <c r="Q169" s="1210">
        <f>Q165+Q168</f>
        <v>56796.085984720004</v>
      </c>
      <c r="R169" s="1038" t="s">
        <v>6379</v>
      </c>
      <c r="U169" s="877"/>
      <c r="V169" s="877"/>
    </row>
    <row r="170" spans="1:26" s="85" customFormat="1" x14ac:dyDescent="0.25">
      <c r="A170" s="79"/>
      <c r="B170" s="79" t="s">
        <v>50</v>
      </c>
      <c r="C170" s="85" t="s">
        <v>1493</v>
      </c>
      <c r="D170" s="475">
        <f t="shared" si="0"/>
        <v>249.49</v>
      </c>
      <c r="E170" s="1202">
        <f t="shared" si="1"/>
        <v>8.3163333333333345</v>
      </c>
      <c r="F170" s="1203">
        <f t="shared" si="2"/>
        <v>4.6927489889965208E-2</v>
      </c>
      <c r="J170" s="1210"/>
      <c r="K170" s="1038"/>
      <c r="M170" s="941"/>
      <c r="N170" s="877"/>
      <c r="O170" s="863"/>
      <c r="Q170" s="79"/>
      <c r="R170" s="177"/>
      <c r="U170" s="877"/>
      <c r="V170" s="877"/>
    </row>
    <row r="171" spans="1:26" s="85" customFormat="1" x14ac:dyDescent="0.25">
      <c r="A171" s="79"/>
      <c r="B171" s="79" t="s">
        <v>14</v>
      </c>
      <c r="C171" s="85" t="s">
        <v>1486</v>
      </c>
      <c r="D171" s="475">
        <f t="shared" si="0"/>
        <v>179.32999999999998</v>
      </c>
      <c r="E171" s="1202">
        <f t="shared" si="1"/>
        <v>5.977666666666666</v>
      </c>
      <c r="F171" s="1203">
        <f t="shared" si="2"/>
        <v>3.373083795730273E-2</v>
      </c>
      <c r="G171" s="79"/>
      <c r="H171" s="79"/>
      <c r="J171" s="1210"/>
      <c r="K171" s="1038"/>
      <c r="M171" s="1028"/>
      <c r="N171" s="877"/>
      <c r="O171" s="1038"/>
      <c r="R171" s="177"/>
      <c r="U171" s="877"/>
      <c r="V171" s="877"/>
    </row>
    <row r="172" spans="1:26" s="85" customFormat="1" x14ac:dyDescent="0.25">
      <c r="B172" s="79" t="s">
        <v>51</v>
      </c>
      <c r="C172" s="864" t="s">
        <v>1499</v>
      </c>
      <c r="D172" s="475">
        <f t="shared" si="0"/>
        <v>159.08000000000001</v>
      </c>
      <c r="E172" s="1202">
        <f t="shared" si="1"/>
        <v>5.3026666666666671</v>
      </c>
      <c r="F172" s="1203">
        <f t="shared" si="2"/>
        <v>2.992194112668109E-2</v>
      </c>
      <c r="G172" s="79"/>
      <c r="H172" s="79"/>
      <c r="I172" s="79"/>
      <c r="J172" s="1210"/>
      <c r="K172" s="1038"/>
      <c r="M172" s="1028"/>
      <c r="N172" s="877"/>
      <c r="O172" s="1038"/>
      <c r="P172" s="1210"/>
      <c r="Q172" s="1038"/>
      <c r="R172" s="177"/>
      <c r="U172" s="877"/>
      <c r="V172" s="877"/>
    </row>
    <row r="173" spans="1:26" s="85" customFormat="1" x14ac:dyDescent="0.25">
      <c r="A173" s="79"/>
      <c r="B173" s="79" t="s">
        <v>2189</v>
      </c>
      <c r="C173" s="864" t="s">
        <v>1496</v>
      </c>
      <c r="D173" s="475">
        <f t="shared" si="0"/>
        <v>100</v>
      </c>
      <c r="E173" s="1202">
        <f t="shared" si="1"/>
        <v>3.3333333333333335</v>
      </c>
      <c r="F173" s="1203">
        <f t="shared" si="2"/>
        <v>1.8809367064798271E-2</v>
      </c>
      <c r="G173" s="79"/>
      <c r="J173" s="1210"/>
      <c r="K173" s="1038"/>
      <c r="M173" s="877"/>
      <c r="O173" s="177"/>
      <c r="R173" s="177"/>
      <c r="U173" s="877"/>
      <c r="V173" s="877"/>
    </row>
    <row r="174" spans="1:26" s="85" customFormat="1" x14ac:dyDescent="0.25">
      <c r="A174" s="79"/>
      <c r="B174" s="867" t="s">
        <v>53</v>
      </c>
      <c r="C174" s="864" t="s">
        <v>1522</v>
      </c>
      <c r="D174" s="475">
        <f t="shared" si="0"/>
        <v>0</v>
      </c>
      <c r="E174" s="1202">
        <f t="shared" si="1"/>
        <v>0</v>
      </c>
      <c r="F174" s="1203">
        <f t="shared" si="2"/>
        <v>0</v>
      </c>
      <c r="J174" s="1210"/>
      <c r="K174" s="1038"/>
      <c r="M174" s="1959"/>
      <c r="O174" s="177"/>
      <c r="P174" s="868"/>
      <c r="Q174" s="769"/>
      <c r="R174" s="79"/>
      <c r="U174" s="877"/>
      <c r="V174" s="877"/>
    </row>
    <row r="175" spans="1:26" s="85" customFormat="1" x14ac:dyDescent="0.25">
      <c r="A175" s="79"/>
      <c r="B175" s="79" t="s">
        <v>3048</v>
      </c>
      <c r="C175" s="864" t="s">
        <v>1523</v>
      </c>
      <c r="D175" s="475">
        <f t="shared" si="0"/>
        <v>44.6</v>
      </c>
      <c r="E175" s="1202">
        <f t="shared" si="1"/>
        <v>1.4866666666666668</v>
      </c>
      <c r="F175" s="1203">
        <f t="shared" si="2"/>
        <v>8.3889777109000287E-3</v>
      </c>
      <c r="G175" s="866"/>
      <c r="J175" s="1210"/>
      <c r="K175" s="1038"/>
      <c r="M175" s="877"/>
      <c r="O175" s="177"/>
      <c r="P175" s="866"/>
      <c r="Q175" s="1210"/>
      <c r="R175" s="877"/>
      <c r="U175" s="877"/>
      <c r="V175" s="877"/>
    </row>
    <row r="176" spans="1:26" s="85" customFormat="1" x14ac:dyDescent="0.25">
      <c r="A176" s="79"/>
      <c r="B176" s="79" t="s">
        <v>1686</v>
      </c>
      <c r="C176" s="864" t="s">
        <v>1506</v>
      </c>
      <c r="D176" s="475">
        <f t="shared" si="0"/>
        <v>344</v>
      </c>
      <c r="E176" s="1202">
        <f t="shared" si="1"/>
        <v>11.466666666666667</v>
      </c>
      <c r="F176" s="1203">
        <f t="shared" si="2"/>
        <v>6.4704222702906045E-2</v>
      </c>
      <c r="G176" s="868"/>
      <c r="J176" s="1210"/>
      <c r="K176" s="1038"/>
      <c r="M176" s="877"/>
      <c r="O176" s="177"/>
      <c r="P176" s="1226"/>
      <c r="Q176" s="1129"/>
      <c r="R176" s="877"/>
      <c r="U176" s="877"/>
      <c r="V176" s="877"/>
    </row>
    <row r="177" spans="1:24" x14ac:dyDescent="0.25">
      <c r="B177" s="79" t="s">
        <v>418</v>
      </c>
      <c r="C177" s="85" t="s">
        <v>1524</v>
      </c>
      <c r="D177" s="475">
        <f t="shared" si="0"/>
        <v>12751.572499999997</v>
      </c>
      <c r="E177" s="1202">
        <f t="shared" si="1"/>
        <v>425.05241666666655</v>
      </c>
      <c r="F177" s="1203">
        <f t="shared" si="2"/>
        <v>2.3984900780588725</v>
      </c>
      <c r="G177" s="85"/>
      <c r="H177" s="85"/>
      <c r="I177" s="85"/>
      <c r="J177" s="1210"/>
      <c r="K177" s="1038"/>
      <c r="L177" s="769"/>
      <c r="M177" s="877"/>
      <c r="N177" s="769"/>
      <c r="O177" s="216"/>
      <c r="P177" s="1038"/>
      <c r="Q177" s="1226"/>
      <c r="R177" s="877"/>
      <c r="U177" s="877"/>
      <c r="V177" s="877"/>
    </row>
    <row r="178" spans="1:24" x14ac:dyDescent="0.25">
      <c r="B178" s="79" t="s">
        <v>6732</v>
      </c>
      <c r="C178" s="85" t="s">
        <v>1491</v>
      </c>
      <c r="D178" s="475">
        <f t="shared" si="0"/>
        <v>963.88</v>
      </c>
      <c r="E178" s="1202">
        <f t="shared" si="1"/>
        <v>32.129333333333335</v>
      </c>
      <c r="F178" s="1203">
        <f t="shared" si="2"/>
        <v>0.18129972726417756</v>
      </c>
      <c r="I178" s="85"/>
      <c r="J178" s="1210"/>
      <c r="K178" s="1038"/>
      <c r="N178" s="216"/>
      <c r="O178" s="216"/>
      <c r="Q178" s="484"/>
      <c r="R178" s="877"/>
      <c r="U178" s="877"/>
      <c r="V178" s="877"/>
    </row>
    <row r="179" spans="1:24" x14ac:dyDescent="0.25">
      <c r="B179" s="79" t="s">
        <v>6733</v>
      </c>
      <c r="C179" s="85" t="s">
        <v>6731</v>
      </c>
      <c r="D179" s="475">
        <f t="shared" si="0"/>
        <v>852.07999999999993</v>
      </c>
      <c r="E179" s="1202">
        <f t="shared" si="1"/>
        <v>28.402666666666665</v>
      </c>
      <c r="F179" s="1203">
        <f t="shared" si="2"/>
        <v>0.16027085488573309</v>
      </c>
      <c r="I179" s="85"/>
      <c r="J179" s="1210"/>
      <c r="K179" s="1038"/>
      <c r="N179" s="216"/>
      <c r="O179" s="216"/>
      <c r="Q179" s="484"/>
      <c r="R179" s="877"/>
      <c r="U179" s="877"/>
      <c r="V179" s="877"/>
    </row>
    <row r="180" spans="1:24" x14ac:dyDescent="0.25">
      <c r="B180" s="79" t="s">
        <v>5439</v>
      </c>
      <c r="C180" s="85" t="s">
        <v>1525</v>
      </c>
      <c r="D180" s="475">
        <f t="shared" si="0"/>
        <v>155.85</v>
      </c>
      <c r="E180" s="1202">
        <f t="shared" si="1"/>
        <v>5.1949999999999994</v>
      </c>
      <c r="F180" s="1203">
        <f t="shared" si="2"/>
        <v>2.93143985704881E-2</v>
      </c>
      <c r="J180" s="1210"/>
      <c r="K180" s="1038"/>
      <c r="O180" s="216"/>
      <c r="Q180" s="484"/>
      <c r="R180" s="1673"/>
      <c r="U180" s="877"/>
      <c r="V180" s="877"/>
    </row>
    <row r="181" spans="1:24" x14ac:dyDescent="0.25">
      <c r="B181" s="79" t="s">
        <v>1526</v>
      </c>
      <c r="C181" s="85" t="s">
        <v>1504</v>
      </c>
      <c r="D181" s="475">
        <f t="shared" si="0"/>
        <v>162.79666666666668</v>
      </c>
      <c r="E181" s="1202">
        <f t="shared" si="1"/>
        <v>5.4265555555555558</v>
      </c>
      <c r="F181" s="1203">
        <f t="shared" si="2"/>
        <v>3.0621022602589424E-2</v>
      </c>
      <c r="J181" s="1210"/>
      <c r="K181" s="1038"/>
      <c r="L181" s="769"/>
      <c r="N181" s="769"/>
      <c r="O181" s="886"/>
      <c r="P181" s="1210"/>
      <c r="Q181" s="1038"/>
      <c r="R181" s="1129"/>
      <c r="T181" s="1129"/>
      <c r="U181" s="877"/>
      <c r="V181" s="877"/>
    </row>
    <row r="182" spans="1:24" x14ac:dyDescent="0.25">
      <c r="B182" s="79" t="s">
        <v>2343</v>
      </c>
      <c r="C182" s="85" t="s">
        <v>2315</v>
      </c>
      <c r="D182" s="475">
        <f t="shared" si="0"/>
        <v>0</v>
      </c>
      <c r="E182" s="1202">
        <f t="shared" si="1"/>
        <v>0</v>
      </c>
      <c r="F182" s="1203">
        <f t="shared" si="2"/>
        <v>0</v>
      </c>
      <c r="J182" s="1210"/>
      <c r="K182" s="1038"/>
      <c r="L182" s="769"/>
      <c r="M182" s="1210"/>
      <c r="N182" s="769"/>
      <c r="O182" s="1673"/>
      <c r="P182" s="1210"/>
      <c r="Q182" s="1038"/>
      <c r="R182" s="1129"/>
      <c r="T182" s="1129"/>
      <c r="U182" s="877"/>
      <c r="V182" s="877"/>
    </row>
    <row r="183" spans="1:24" x14ac:dyDescent="0.25">
      <c r="B183" s="79" t="s">
        <v>3019</v>
      </c>
      <c r="C183" s="85" t="s">
        <v>3017</v>
      </c>
      <c r="D183" s="475">
        <f t="shared" si="0"/>
        <v>0</v>
      </c>
      <c r="E183" s="1202">
        <f t="shared" si="1"/>
        <v>0</v>
      </c>
      <c r="F183" s="1203">
        <f t="shared" si="2"/>
        <v>0</v>
      </c>
      <c r="J183" s="1210"/>
      <c r="K183" s="1038"/>
      <c r="L183" s="769"/>
      <c r="N183" s="769"/>
      <c r="P183" s="941"/>
      <c r="Q183" s="224"/>
      <c r="R183" s="1226"/>
      <c r="S183" s="1129"/>
      <c r="T183" s="1129"/>
      <c r="U183" s="877"/>
      <c r="V183" s="877"/>
    </row>
    <row r="184" spans="1:24" ht="15.75" thickBot="1" x14ac:dyDescent="0.3">
      <c r="B184" s="301" t="s">
        <v>1527</v>
      </c>
      <c r="C184" s="2400" t="s">
        <v>1489</v>
      </c>
      <c r="D184" s="2401">
        <f t="shared" si="0"/>
        <v>404.30999999999995</v>
      </c>
      <c r="E184" s="2402">
        <f t="shared" si="1"/>
        <v>13.476999999999999</v>
      </c>
      <c r="F184" s="2403">
        <f t="shared" si="2"/>
        <v>7.6048151979685868E-2</v>
      </c>
      <c r="J184" s="1210"/>
      <c r="K184" s="1038"/>
      <c r="P184" s="1210"/>
      <c r="Q184" s="1038"/>
      <c r="R184" s="1226"/>
      <c r="S184" s="1129"/>
      <c r="T184" s="1129"/>
      <c r="U184" s="877"/>
      <c r="V184" s="877"/>
    </row>
    <row r="185" spans="1:24" x14ac:dyDescent="0.25">
      <c r="B185" s="1124" t="s">
        <v>6790</v>
      </c>
      <c r="C185" s="1124"/>
      <c r="D185" s="1125">
        <f>SUMIF($B$24:$B$163,"Crédito Gasolina",$G$24:$G$163)</f>
        <v>483.12</v>
      </c>
      <c r="E185" s="1138">
        <f>D185/K188</f>
        <v>16.103999999999999</v>
      </c>
      <c r="F185" s="1124"/>
      <c r="G185" s="1129"/>
      <c r="J185" s="2037"/>
      <c r="K185" s="629"/>
      <c r="P185" s="1210"/>
      <c r="Q185" s="1038"/>
      <c r="R185" s="1227"/>
      <c r="S185" s="1129"/>
      <c r="T185" s="1129"/>
      <c r="U185" s="877"/>
      <c r="V185" s="877"/>
    </row>
    <row r="186" spans="1:24" x14ac:dyDescent="0.25">
      <c r="B186" s="1124" t="s">
        <v>6918</v>
      </c>
      <c r="C186" s="1124"/>
      <c r="D186" s="1125">
        <f>SUMIF($B$7:$B$163,"Trabalho Art frutt",$G$7:$G$163)</f>
        <v>500</v>
      </c>
      <c r="E186" s="1138">
        <f>D186/K188</f>
        <v>16.666666666666668</v>
      </c>
      <c r="F186" s="1124"/>
      <c r="J186" s="2037" t="s">
        <v>280</v>
      </c>
      <c r="K186" s="629"/>
      <c r="L186" s="459" t="s">
        <v>6481</v>
      </c>
      <c r="M186" s="2125" t="s">
        <v>6482</v>
      </c>
      <c r="P186" s="1210"/>
      <c r="Q186" s="1038"/>
      <c r="R186" s="1227"/>
      <c r="S186" s="1129"/>
      <c r="T186" s="1129"/>
      <c r="U186" s="877"/>
      <c r="V186" s="877"/>
    </row>
    <row r="187" spans="1:24" x14ac:dyDescent="0.25">
      <c r="B187" s="1124"/>
      <c r="C187" s="1124"/>
      <c r="D187" s="1125"/>
      <c r="E187" s="1138"/>
      <c r="F187" s="1124"/>
      <c r="J187" s="2037"/>
      <c r="K187" s="629"/>
      <c r="L187" s="459"/>
      <c r="M187" s="2125"/>
      <c r="P187" s="1210"/>
      <c r="Q187" s="1038"/>
      <c r="R187" s="1227"/>
      <c r="T187" s="1129"/>
      <c r="U187" s="877"/>
      <c r="V187" s="877"/>
    </row>
    <row r="188" spans="1:24" x14ac:dyDescent="0.25">
      <c r="C188" s="3168" t="s">
        <v>486</v>
      </c>
      <c r="D188" s="3168"/>
      <c r="E188" s="863">
        <f>J188/K188</f>
        <v>557.39963888888872</v>
      </c>
      <c r="G188" s="518" t="s">
        <v>487</v>
      </c>
      <c r="J188" s="629">
        <f>SUM(D168:D184)</f>
        <v>16721.989166666663</v>
      </c>
      <c r="K188" s="1517">
        <v>30</v>
      </c>
      <c r="M188" s="1138">
        <f>5316.5+D186-J189</f>
        <v>1846.0833333333339</v>
      </c>
      <c r="N188" s="216"/>
      <c r="O188" s="1517"/>
      <c r="P188" s="1210"/>
      <c r="Q188" s="1038"/>
      <c r="R188" s="1226"/>
      <c r="S188" s="1129"/>
      <c r="T188" s="1129"/>
      <c r="U188" s="877"/>
      <c r="V188" s="877"/>
    </row>
    <row r="189" spans="1:24" ht="15.75" customHeight="1" x14ac:dyDescent="0.25">
      <c r="B189" s="3167" t="s">
        <v>7452</v>
      </c>
      <c r="C189" s="3167"/>
      <c r="D189" s="3167"/>
      <c r="E189" s="1125">
        <f>5316.5/30</f>
        <v>177.21666666666667</v>
      </c>
      <c r="G189" s="518" t="s">
        <v>6257</v>
      </c>
      <c r="J189" s="609">
        <f>J188-D177</f>
        <v>3970.4166666666661</v>
      </c>
      <c r="K189" s="629"/>
      <c r="M189" s="868"/>
      <c r="O189" s="868"/>
      <c r="P189" s="1210"/>
      <c r="Q189" s="1038"/>
      <c r="R189" s="1226"/>
      <c r="S189" s="1129"/>
      <c r="T189" s="1129"/>
      <c r="U189" s="877"/>
      <c r="V189" s="877"/>
    </row>
    <row r="190" spans="1:24" x14ac:dyDescent="0.25">
      <c r="A190" s="518"/>
      <c r="C190" s="79"/>
      <c r="D190" s="79"/>
      <c r="E190" s="769"/>
      <c r="F190" s="866"/>
      <c r="G190" s="769"/>
      <c r="H190" s="866"/>
      <c r="I190" s="1210"/>
      <c r="J190" s="867"/>
      <c r="K190" s="866"/>
      <c r="L190" s="1038"/>
      <c r="M190" s="1210"/>
      <c r="N190" s="1038"/>
      <c r="O190" s="1210"/>
      <c r="P190" s="1210"/>
      <c r="Q190" s="1038"/>
      <c r="R190" s="769"/>
      <c r="S190" s="484" t="s">
        <v>280</v>
      </c>
      <c r="T190" s="216"/>
      <c r="U190" s="866"/>
      <c r="V190" s="484"/>
      <c r="X190" s="877"/>
    </row>
    <row r="191" spans="1:24" s="518" customFormat="1" x14ac:dyDescent="0.25">
      <c r="A191" s="79"/>
      <c r="B191" s="79"/>
      <c r="C191" s="79"/>
      <c r="D191" s="79"/>
      <c r="E191" s="1126">
        <f>E189-E188</f>
        <v>-380.18297222222202</v>
      </c>
      <c r="F191" s="1205">
        <f>SUM(F168:F190)</f>
        <v>3.1453003228941334</v>
      </c>
      <c r="G191" s="85"/>
      <c r="H191" s="85"/>
      <c r="I191" s="89"/>
      <c r="J191" s="1210"/>
      <c r="K191" s="754"/>
      <c r="L191" s="79"/>
      <c r="M191" s="79"/>
      <c r="N191" s="79"/>
      <c r="O191" s="79"/>
      <c r="P191" s="1210"/>
      <c r="Q191" s="1038"/>
      <c r="R191" s="79"/>
      <c r="S191" s="79"/>
      <c r="T191" s="866"/>
      <c r="U191" s="484"/>
      <c r="V191" s="79"/>
      <c r="W191" s="877"/>
      <c r="X191" s="79"/>
    </row>
    <row r="192" spans="1:24" s="518" customFormat="1" x14ac:dyDescent="0.25">
      <c r="A192" s="79"/>
      <c r="B192" s="79"/>
      <c r="C192" s="79"/>
      <c r="D192" s="79"/>
      <c r="E192" s="85"/>
      <c r="J192" s="1038"/>
      <c r="K192" s="1225"/>
      <c r="Q192" s="1038"/>
      <c r="R192" s="484"/>
      <c r="S192" s="79"/>
      <c r="T192" s="877"/>
      <c r="U192" s="79"/>
    </row>
    <row r="193" spans="1:21" s="518" customFormat="1" x14ac:dyDescent="0.25">
      <c r="A193" s="79"/>
      <c r="B193" s="1124" t="s">
        <v>6376</v>
      </c>
      <c r="C193" s="2125"/>
      <c r="D193" s="2219">
        <f>SUMIF($E$7:$E$163,"crédito",$G$7:$G$163)</f>
        <v>5816.5</v>
      </c>
      <c r="E193" s="85"/>
      <c r="F193" s="89"/>
      <c r="G193" s="79"/>
      <c r="H193" s="79"/>
      <c r="I193" s="79"/>
      <c r="J193" s="1038"/>
      <c r="K193" s="1225"/>
      <c r="L193" s="769"/>
      <c r="M193" s="866"/>
      <c r="N193" s="769"/>
      <c r="O193" s="866"/>
      <c r="P193" s="1210"/>
      <c r="Q193" s="1038"/>
      <c r="R193" s="484"/>
      <c r="S193" s="79"/>
      <c r="T193" s="877"/>
      <c r="U193" s="79"/>
    </row>
    <row r="194" spans="1:21" s="518" customFormat="1" x14ac:dyDescent="0.25">
      <c r="A194" s="79"/>
      <c r="B194" s="518" t="s">
        <v>6496</v>
      </c>
      <c r="C194" s="459"/>
      <c r="D194" s="2218">
        <f>SUM(D168:D184)-D177</f>
        <v>3970.4166666666661</v>
      </c>
      <c r="E194" s="85"/>
      <c r="F194" s="89"/>
      <c r="G194" s="79"/>
      <c r="H194" s="79"/>
      <c r="I194" s="216"/>
      <c r="J194" s="864"/>
      <c r="K194" s="877"/>
      <c r="L194" s="769"/>
      <c r="M194" s="866"/>
      <c r="N194" s="769"/>
      <c r="O194" s="866"/>
      <c r="P194" s="1210"/>
      <c r="Q194" s="1038"/>
      <c r="R194" s="484"/>
      <c r="S194" s="79"/>
      <c r="T194" s="877"/>
      <c r="U194" s="79"/>
    </row>
    <row r="195" spans="1:21" s="518" customFormat="1" x14ac:dyDescent="0.25">
      <c r="A195" s="79"/>
      <c r="B195" s="81" t="s">
        <v>6497</v>
      </c>
      <c r="C195" s="81"/>
      <c r="D195" s="1014">
        <f>D193-D194</f>
        <v>1846.0833333333339</v>
      </c>
      <c r="E195" s="79"/>
      <c r="F195" s="79"/>
      <c r="G195" s="79"/>
      <c r="H195" s="79"/>
      <c r="J195" s="1038"/>
      <c r="K195" s="877"/>
      <c r="M195" s="866"/>
      <c r="O195" s="866"/>
      <c r="P195" s="1210"/>
      <c r="Q195" s="1038"/>
      <c r="R195" s="484"/>
      <c r="S195" s="79"/>
      <c r="T195" s="877"/>
      <c r="U195" s="79"/>
    </row>
    <row r="196" spans="1:21" s="518" customFormat="1" x14ac:dyDescent="0.25">
      <c r="A196" s="79"/>
      <c r="B196" s="79"/>
      <c r="C196" s="79"/>
      <c r="D196" s="79"/>
      <c r="E196" s="79"/>
      <c r="F196" s="79"/>
      <c r="G196" s="79"/>
      <c r="H196" s="79"/>
      <c r="I196" s="216"/>
      <c r="J196" s="1038"/>
      <c r="K196" s="877"/>
      <c r="L196" s="769"/>
      <c r="M196" s="866"/>
      <c r="N196" s="769"/>
      <c r="O196" s="866"/>
      <c r="P196" s="1210"/>
      <c r="Q196" s="103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216"/>
      <c r="H197" s="79"/>
      <c r="I197" s="216"/>
      <c r="J197" s="1038"/>
      <c r="K197" s="877"/>
      <c r="L197" s="769"/>
      <c r="M197" s="868"/>
      <c r="N197" s="769"/>
      <c r="O197" s="868"/>
      <c r="P197" s="1210"/>
      <c r="Q197" s="103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79"/>
      <c r="D198" s="79"/>
      <c r="E198" s="79"/>
      <c r="F198" s="79"/>
      <c r="G198" s="216"/>
      <c r="H198" s="79"/>
      <c r="I198" s="216"/>
      <c r="J198" s="79"/>
      <c r="K198" s="877"/>
      <c r="L198" s="769"/>
      <c r="M198" s="866"/>
      <c r="N198" s="769"/>
      <c r="O198" s="866"/>
      <c r="P198" s="1210"/>
      <c r="Q198" s="103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79"/>
      <c r="D199" s="79"/>
      <c r="E199" s="79"/>
      <c r="F199" s="79"/>
      <c r="G199" s="216"/>
      <c r="H199" s="79"/>
      <c r="I199" s="79"/>
      <c r="J199" s="85"/>
      <c r="K199" s="877"/>
      <c r="L199" s="770"/>
      <c r="M199" s="866"/>
      <c r="N199" s="770"/>
      <c r="O199" s="866"/>
      <c r="P199" s="1210"/>
      <c r="Q199" s="103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79"/>
      <c r="D200" s="79"/>
      <c r="E200" s="79"/>
      <c r="F200" s="79"/>
      <c r="G200" s="79"/>
      <c r="H200" s="79"/>
      <c r="I200" s="216"/>
      <c r="J200" s="1038"/>
      <c r="K200" s="877"/>
      <c r="L200" s="769"/>
      <c r="M200" s="868"/>
      <c r="N200" s="769"/>
      <c r="O200" s="868"/>
      <c r="P200" s="1210"/>
      <c r="Q200" s="1038"/>
      <c r="R200" s="484"/>
      <c r="S200" s="79"/>
      <c r="T200" s="877"/>
      <c r="U200" s="79"/>
    </row>
    <row r="201" spans="1:21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85"/>
      <c r="K201" s="877"/>
      <c r="L201" s="769"/>
      <c r="M201" s="866"/>
      <c r="N201" s="769"/>
      <c r="O201" s="866"/>
      <c r="P201" s="1210"/>
      <c r="Q201" s="1038"/>
      <c r="R201" s="484"/>
      <c r="S201" s="79"/>
      <c r="T201" s="877"/>
      <c r="U201" s="79"/>
    </row>
    <row r="202" spans="1:21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629"/>
      <c r="J202" s="769"/>
      <c r="K202" s="1225"/>
      <c r="L202" s="769"/>
      <c r="M202" s="866"/>
      <c r="N202" s="769"/>
      <c r="O202" s="866"/>
      <c r="P202" s="1210"/>
      <c r="Q202" s="103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79"/>
      <c r="K203" s="79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85"/>
      <c r="D204" s="85"/>
      <c r="E204" s="85"/>
      <c r="F204" s="89"/>
      <c r="G204" s="79"/>
      <c r="H204" s="79"/>
      <c r="I204" s="79"/>
      <c r="J204" s="79"/>
      <c r="K204" s="79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J205" s="769"/>
      <c r="K205" s="868"/>
      <c r="L205" s="769"/>
      <c r="M205" s="866"/>
      <c r="N205" s="769"/>
      <c r="O205" s="866"/>
      <c r="P205" s="1210"/>
      <c r="Q205" s="1038"/>
      <c r="R205" s="484"/>
      <c r="S205" s="79"/>
      <c r="T205" s="877"/>
      <c r="U205" s="79"/>
    </row>
    <row r="206" spans="1:21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769"/>
      <c r="K206" s="868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1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69"/>
      <c r="K207" s="79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216"/>
      <c r="J208" s="79"/>
      <c r="K208" s="79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216"/>
      <c r="J209" s="7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216"/>
      <c r="J210" s="1517"/>
      <c r="K210" s="79"/>
      <c r="L210" s="769"/>
      <c r="M210" s="866"/>
      <c r="N210" s="769"/>
      <c r="O210" s="86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216"/>
      <c r="J211" s="79"/>
      <c r="K211" s="868"/>
      <c r="L211" s="769"/>
      <c r="M211" s="866"/>
      <c r="N211" s="769"/>
      <c r="O211" s="866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216"/>
      <c r="J212" s="89"/>
      <c r="K212" s="79"/>
      <c r="L212" s="769"/>
      <c r="M212" s="868"/>
      <c r="N212" s="769"/>
      <c r="O212" s="868"/>
      <c r="P212" s="79"/>
      <c r="Q212" s="79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79"/>
      <c r="K213" s="79"/>
      <c r="L213" s="769"/>
      <c r="M213" s="868"/>
      <c r="N213" s="769"/>
      <c r="O213" s="868"/>
      <c r="P213" s="81"/>
      <c r="Q213" s="755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L214" s="769"/>
      <c r="M214" s="868"/>
      <c r="N214" s="769"/>
      <c r="O214" s="868"/>
      <c r="P214" s="868"/>
      <c r="Q214" s="79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769"/>
      <c r="K215" s="866"/>
      <c r="L215" s="769"/>
      <c r="M215" s="868"/>
      <c r="N215" s="769"/>
      <c r="O215" s="868"/>
      <c r="P215" s="754"/>
      <c r="Q215" s="88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769"/>
      <c r="K216" s="866"/>
      <c r="L216" s="769"/>
      <c r="M216" s="868"/>
      <c r="N216" s="769"/>
      <c r="O216" s="868"/>
      <c r="P216" s="864"/>
      <c r="Q216" s="864"/>
      <c r="R216" s="484"/>
      <c r="S216" s="79"/>
      <c r="T216" s="877"/>
      <c r="U216" s="79"/>
    </row>
    <row r="217" spans="1:21" s="518" customFormat="1" x14ac:dyDescent="0.25">
      <c r="A217" s="79"/>
      <c r="B217" s="79"/>
      <c r="C217" s="85"/>
      <c r="D217" s="85"/>
      <c r="E217" s="85"/>
      <c r="F217" s="89"/>
      <c r="G217" s="79"/>
      <c r="H217" s="79"/>
      <c r="I217" s="79"/>
      <c r="K217" s="866"/>
      <c r="L217" s="769"/>
      <c r="M217" s="866"/>
      <c r="N217" s="769"/>
      <c r="O217" s="866"/>
      <c r="P217" s="864"/>
      <c r="Q217" s="1032"/>
      <c r="R217" s="484"/>
      <c r="S217" s="79"/>
      <c r="T217" s="877"/>
      <c r="U217" s="79"/>
    </row>
    <row r="218" spans="1:21" s="518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J218" s="769"/>
      <c r="K218" s="866"/>
      <c r="L218" s="769"/>
      <c r="M218" s="866"/>
      <c r="N218" s="769"/>
      <c r="O218" s="866"/>
      <c r="P218" s="864"/>
      <c r="Q218" s="1032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69"/>
      <c r="K219" s="868"/>
      <c r="L219" s="769"/>
      <c r="M219" s="868"/>
      <c r="N219" s="769"/>
      <c r="O219" s="868"/>
      <c r="P219" s="85"/>
      <c r="Q219" s="795"/>
      <c r="R219" s="484"/>
      <c r="S219" s="79"/>
      <c r="T219" s="877"/>
      <c r="U219" s="79"/>
    </row>
    <row r="220" spans="1:21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69"/>
      <c r="K220" s="866"/>
      <c r="L220" s="769"/>
      <c r="M220" s="866"/>
      <c r="N220" s="769"/>
      <c r="O220" s="866"/>
      <c r="P220" s="85"/>
      <c r="Q220" s="177"/>
      <c r="R220" s="484"/>
      <c r="S220" s="79"/>
      <c r="T220" s="877"/>
      <c r="U220" s="79"/>
    </row>
    <row r="221" spans="1:21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70"/>
      <c r="K221" s="866"/>
      <c r="L221" s="769"/>
      <c r="M221" s="866"/>
      <c r="N221" s="769"/>
      <c r="O221" s="866"/>
      <c r="P221" s="85"/>
      <c r="Q221" s="177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8"/>
      <c r="L222" s="769"/>
      <c r="M222" s="868"/>
      <c r="N222" s="769"/>
      <c r="O222" s="868"/>
      <c r="P222" s="85"/>
      <c r="Q222" s="177" t="s">
        <v>280</v>
      </c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769"/>
      <c r="M223" s="868"/>
      <c r="N223" s="769"/>
      <c r="O223" s="868"/>
      <c r="P223" s="85"/>
      <c r="Q223" s="177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69"/>
      <c r="M224" s="868"/>
      <c r="N224" s="769"/>
      <c r="O224" s="868"/>
      <c r="P224" s="85"/>
      <c r="Q224" s="866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69"/>
      <c r="M225" s="868"/>
      <c r="N225" s="769"/>
      <c r="O225" s="868"/>
      <c r="P225" s="769"/>
      <c r="Q225" s="216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69"/>
      <c r="M226" s="866"/>
      <c r="N226" s="769"/>
      <c r="O226" s="866"/>
      <c r="P226" s="79"/>
      <c r="Q226" s="21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223"/>
      <c r="M227" s="629"/>
      <c r="N227" s="223"/>
      <c r="O227" s="629"/>
      <c r="P227" s="769"/>
      <c r="Q227" s="86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756"/>
      <c r="M228" s="756"/>
      <c r="N228" s="756"/>
      <c r="O228" s="756"/>
      <c r="P228" s="769"/>
      <c r="Q228" s="86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9"/>
      <c r="M229" s="79"/>
      <c r="N229" s="79"/>
      <c r="O229" s="79"/>
      <c r="P229" s="769"/>
      <c r="Q229" s="86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9"/>
      <c r="M230" s="79"/>
      <c r="N230" s="79"/>
      <c r="O230" s="79"/>
      <c r="P230" s="769"/>
      <c r="Q230" s="79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79"/>
      <c r="M232" s="79"/>
      <c r="N232" s="79"/>
      <c r="O232" s="79"/>
      <c r="P232" s="7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85"/>
      <c r="M233" s="85"/>
      <c r="N233" s="85"/>
      <c r="O233" s="85"/>
      <c r="P233" s="1517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8"/>
      <c r="L234" s="79"/>
      <c r="M234" s="79"/>
      <c r="N234" s="79"/>
      <c r="O234" s="79"/>
      <c r="P234" s="79"/>
      <c r="Q234" s="868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8"/>
      <c r="L235" s="79"/>
      <c r="M235" s="79"/>
      <c r="N235" s="79"/>
      <c r="O235" s="79"/>
      <c r="P235" s="89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8"/>
      <c r="L236" s="79"/>
      <c r="M236" s="79"/>
      <c r="N236" s="79"/>
      <c r="O236" s="79"/>
      <c r="P236" s="7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8"/>
      <c r="L237" s="79"/>
      <c r="M237" s="79"/>
      <c r="N237" s="79"/>
      <c r="O237" s="79"/>
      <c r="P237" s="769"/>
      <c r="Q237" s="866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8"/>
      <c r="L238" s="79"/>
      <c r="M238" s="79"/>
      <c r="N238" s="79"/>
      <c r="O238" s="79"/>
      <c r="P238" s="769"/>
      <c r="Q238" s="86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6"/>
      <c r="L239" s="79"/>
      <c r="M239" s="79"/>
      <c r="N239" s="79"/>
      <c r="O239" s="79"/>
      <c r="P239" s="769"/>
      <c r="Q239" s="86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6"/>
      <c r="L240" s="85"/>
      <c r="M240" s="85"/>
      <c r="N240" s="85"/>
      <c r="O240" s="85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9"/>
      <c r="M241" s="79"/>
      <c r="N241" s="79"/>
      <c r="O241" s="79"/>
      <c r="P241" s="769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9"/>
      <c r="M242" s="79"/>
      <c r="N242" s="79"/>
      <c r="O242" s="79"/>
      <c r="P242" s="769"/>
      <c r="Q242" s="868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8"/>
      <c r="L244" s="79"/>
      <c r="M244" s="79"/>
      <c r="N244" s="79"/>
      <c r="O244" s="79"/>
      <c r="P244" s="770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8"/>
      <c r="L245" s="79"/>
      <c r="M245" s="79"/>
      <c r="N245" s="79"/>
      <c r="O245" s="79"/>
      <c r="P245" s="769"/>
      <c r="Q245" s="868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69"/>
      <c r="Q246" s="86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71"/>
      <c r="N247" s="771"/>
      <c r="P247" s="769"/>
      <c r="Q247" s="86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866"/>
      <c r="R248" s="484"/>
      <c r="S248" s="79"/>
      <c r="T248" s="877"/>
      <c r="U248" s="79"/>
    </row>
    <row r="249" spans="1:21" x14ac:dyDescent="0.25">
      <c r="J249" s="223"/>
      <c r="K249" s="629"/>
      <c r="P249" s="769"/>
      <c r="Q249" s="866"/>
    </row>
    <row r="250" spans="1:21" x14ac:dyDescent="0.25">
      <c r="J250" s="756"/>
      <c r="K250" s="756"/>
      <c r="P250" s="769"/>
      <c r="Q250" s="866"/>
    </row>
    <row r="251" spans="1:21" x14ac:dyDescent="0.25">
      <c r="P251" s="769"/>
      <c r="Q251" s="866"/>
    </row>
    <row r="252" spans="1:21" x14ac:dyDescent="0.25">
      <c r="P252" s="769"/>
      <c r="Q252" s="866"/>
    </row>
    <row r="253" spans="1:21" x14ac:dyDescent="0.25">
      <c r="P253" s="769"/>
      <c r="Q253" s="866"/>
    </row>
    <row r="254" spans="1:21" x14ac:dyDescent="0.25">
      <c r="P254" s="769"/>
      <c r="Q254" s="866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85"/>
      <c r="K255" s="85"/>
      <c r="L255" s="79"/>
      <c r="M255" s="216"/>
      <c r="N255" s="79"/>
      <c r="O255" s="216"/>
      <c r="P255" s="769"/>
      <c r="Q255" s="866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216"/>
      <c r="N256" s="79"/>
      <c r="O256" s="216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216"/>
      <c r="N257" s="79"/>
      <c r="O257" s="216"/>
      <c r="P257" s="769"/>
      <c r="Q257" s="868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69"/>
      <c r="Q258" s="868"/>
      <c r="R258" s="484"/>
      <c r="S258" s="79"/>
      <c r="T258" s="877"/>
      <c r="U258" s="79"/>
    </row>
    <row r="259" spans="1:21" x14ac:dyDescent="0.25">
      <c r="P259" s="769"/>
      <c r="Q259" s="868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216"/>
      <c r="N260" s="79"/>
      <c r="O260" s="216"/>
      <c r="P260" s="769"/>
      <c r="Q260" s="868"/>
      <c r="R260" s="484"/>
      <c r="S260" s="79"/>
      <c r="T260" s="877"/>
      <c r="U260" s="79"/>
    </row>
    <row r="261" spans="1:21" x14ac:dyDescent="0.25">
      <c r="P261" s="769"/>
      <c r="Q261" s="868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85"/>
      <c r="K262" s="85"/>
      <c r="L262" s="79"/>
      <c r="M262" s="629"/>
      <c r="N262" s="79"/>
      <c r="O262" s="629"/>
      <c r="P262" s="769"/>
      <c r="Q262" s="866"/>
      <c r="R262" s="484"/>
      <c r="S262" s="79"/>
      <c r="T262" s="877"/>
      <c r="U262" s="79"/>
    </row>
    <row r="263" spans="1:21" x14ac:dyDescent="0.25">
      <c r="P263" s="769"/>
      <c r="Q263" s="866"/>
    </row>
    <row r="264" spans="1:21" x14ac:dyDescent="0.25">
      <c r="P264" s="769"/>
      <c r="Q264" s="868"/>
    </row>
    <row r="265" spans="1:21" x14ac:dyDescent="0.25">
      <c r="P265" s="769"/>
      <c r="Q265" s="866"/>
    </row>
    <row r="266" spans="1:21" x14ac:dyDescent="0.25">
      <c r="P266" s="769"/>
      <c r="Q266" s="866"/>
    </row>
    <row r="267" spans="1:21" x14ac:dyDescent="0.25">
      <c r="P267" s="769"/>
      <c r="Q267" s="868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216"/>
      <c r="N268" s="79"/>
      <c r="O268" s="216"/>
      <c r="P268" s="769"/>
      <c r="Q268" s="868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71"/>
      <c r="L269" s="79"/>
      <c r="M269" s="216"/>
      <c r="N269" s="79"/>
      <c r="O269" s="216"/>
      <c r="P269" s="769"/>
      <c r="Q269" s="868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216"/>
      <c r="N271" s="79"/>
      <c r="O271" s="216"/>
      <c r="P271" s="769"/>
      <c r="Q271" s="866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216"/>
      <c r="N272" s="79"/>
      <c r="O272" s="216"/>
      <c r="P272" s="223"/>
      <c r="Q272" s="629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756"/>
      <c r="Q273" s="75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79"/>
      <c r="Q274" s="79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9"/>
      <c r="Q275" s="79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9"/>
      <c r="Q276" s="79"/>
      <c r="R276" s="484"/>
      <c r="S276" s="79"/>
      <c r="T276" s="877"/>
      <c r="U276" s="79"/>
    </row>
    <row r="277" spans="1:21" x14ac:dyDescent="0.25">
      <c r="K277" s="216"/>
    </row>
    <row r="278" spans="1:21" x14ac:dyDescent="0.25">
      <c r="K278" s="216"/>
      <c r="P278" s="85"/>
      <c r="Q278" s="85"/>
    </row>
    <row r="279" spans="1:21" x14ac:dyDescent="0.25">
      <c r="K279" s="216"/>
    </row>
    <row r="280" spans="1:21" x14ac:dyDescent="0.25">
      <c r="K280" s="216"/>
    </row>
    <row r="282" spans="1:21" x14ac:dyDescent="0.25">
      <c r="K282" s="216"/>
    </row>
    <row r="284" spans="1:21" x14ac:dyDescent="0.25">
      <c r="K284" s="629"/>
    </row>
    <row r="285" spans="1:21" x14ac:dyDescent="0.25">
      <c r="P285" s="85"/>
      <c r="Q285" s="85"/>
    </row>
    <row r="289" spans="1:42" s="484" customFormat="1" x14ac:dyDescent="0.25">
      <c r="A289" s="79"/>
      <c r="B289" s="79"/>
      <c r="C289" s="85"/>
      <c r="D289" s="85"/>
      <c r="E289" s="85"/>
      <c r="F289" s="8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S289" s="79"/>
      <c r="T289" s="87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</row>
    <row r="290" spans="1:42" s="484" customFormat="1" x14ac:dyDescent="0.25">
      <c r="A290" s="79"/>
      <c r="B290" s="79"/>
      <c r="C290" s="85"/>
      <c r="D290" s="85"/>
      <c r="E290" s="85"/>
      <c r="F290" s="89"/>
      <c r="G290" s="79"/>
      <c r="H290" s="79"/>
      <c r="I290" s="79"/>
      <c r="J290" s="79"/>
      <c r="K290" s="216"/>
      <c r="L290" s="79"/>
      <c r="M290" s="79"/>
      <c r="N290" s="79"/>
      <c r="O290" s="79"/>
      <c r="P290" s="79"/>
      <c r="Q290" s="79"/>
      <c r="S290" s="79"/>
      <c r="T290" s="87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216"/>
      <c r="L291" s="79"/>
      <c r="M291" s="79"/>
      <c r="N291" s="79"/>
      <c r="O291" s="79"/>
      <c r="P291" s="79"/>
      <c r="Q291" s="79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  <row r="292" spans="1:42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216"/>
      <c r="L292" s="79"/>
      <c r="M292" s="79"/>
      <c r="N292" s="79"/>
      <c r="O292" s="79"/>
      <c r="P292" s="771"/>
      <c r="Q292" s="518"/>
      <c r="S292" s="79"/>
      <c r="T292" s="877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</row>
    <row r="293" spans="1:42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216"/>
      <c r="L293" s="79"/>
      <c r="M293" s="79"/>
      <c r="N293" s="79"/>
      <c r="O293" s="79"/>
      <c r="P293" s="79"/>
      <c r="Q293" s="79"/>
      <c r="S293" s="79"/>
      <c r="T293" s="877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</row>
    <row r="294" spans="1:42" x14ac:dyDescent="0.25">
      <c r="K294" s="216"/>
    </row>
    <row r="295" spans="1:42" x14ac:dyDescent="0.25">
      <c r="K295" s="216"/>
    </row>
    <row r="296" spans="1:42" x14ac:dyDescent="0.25">
      <c r="K296" s="216"/>
    </row>
    <row r="297" spans="1:42" x14ac:dyDescent="0.25">
      <c r="K297" s="216"/>
    </row>
    <row r="298" spans="1:42" x14ac:dyDescent="0.25">
      <c r="K298" s="216"/>
    </row>
    <row r="300" spans="1:42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216"/>
      <c r="S300" s="79"/>
      <c r="T300" s="877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</row>
    <row r="301" spans="1:42" s="484" customFormat="1" x14ac:dyDescent="0.25">
      <c r="A301" s="79"/>
      <c r="B301" s="79"/>
      <c r="C301" s="85"/>
      <c r="D301" s="85"/>
      <c r="E301" s="85"/>
      <c r="F301" s="8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216"/>
      <c r="S301" s="79"/>
      <c r="T301" s="877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216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216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216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629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216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7" spans="1:42" s="484" customFormat="1" x14ac:dyDescent="0.25">
      <c r="A317" s="79"/>
      <c r="B317" s="79"/>
      <c r="C317" s="85"/>
      <c r="D317" s="85"/>
      <c r="E317" s="85"/>
      <c r="F317" s="8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216"/>
      <c r="S317" s="79"/>
      <c r="T317" s="877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</sheetData>
  <autoFilter ref="A2:I186" xr:uid="{00000000-0009-0000-0000-00008D000000}"/>
  <mergeCells count="17"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B189:D189"/>
    <mergeCell ref="L2:M3"/>
    <mergeCell ref="N2:O3"/>
    <mergeCell ref="P2:Q3"/>
    <mergeCell ref="A164:E164"/>
    <mergeCell ref="A165:E165"/>
    <mergeCell ref="C188:D188"/>
  </mergeCells>
  <phoneticPr fontId="143" type="noConversion"/>
  <dataValidations disablePrompts="1" count="1">
    <dataValidation type="list" allowBlank="1" showInputMessage="1" showErrorMessage="1" sqref="S145 S147 S156 S158" xr:uid="{9D045C47-E149-43C1-B80D-2688EAE0F942}">
      <formula1>$D$2:$D$71</formula1>
    </dataValidation>
  </dataValidation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275C10D3-88F7-4876-BDC0-81F6F065EDF7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D168:D184</xm:sqref>
        </x14:conditionalFormatting>
      </x14:conditionalFormattings>
    </ext>
  </extLst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B05C0-0A16-43E8-9D3B-44F71801D75A}">
  <dimension ref="A1:AP334"/>
  <sheetViews>
    <sheetView zoomScale="85" zoomScaleNormal="85" workbookViewId="0">
      <pane ySplit="5" topLeftCell="A176" activePane="bottomLeft" state="frozen"/>
      <selection pane="bottomLeft" activeCell="M201" sqref="M201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7643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45778</v>
      </c>
      <c r="B5" s="369" t="s">
        <v>10</v>
      </c>
      <c r="C5" s="370"/>
      <c r="D5" s="370"/>
      <c r="E5" s="777"/>
      <c r="F5" s="179"/>
      <c r="G5" s="933">
        <f>'Abril-25'!G165</f>
        <v>904.10575000006429</v>
      </c>
      <c r="H5" s="163"/>
      <c r="I5" s="1479">
        <f>'Abril-25'!I165</f>
        <v>-4.0000000010422809E-3</v>
      </c>
      <c r="J5" s="179"/>
      <c r="K5" s="933">
        <f>'Abril-25'!K165</f>
        <v>6355.7600000000039</v>
      </c>
      <c r="L5" s="179"/>
      <c r="M5" s="933">
        <f>'Abril-25'!M165</f>
        <v>1090.96</v>
      </c>
      <c r="N5" s="179"/>
      <c r="O5" s="1479">
        <f>'Abril-25'!O165</f>
        <v>11170.270000000002</v>
      </c>
      <c r="P5" s="179"/>
      <c r="Q5" s="933">
        <f>'Abril-25'!Q165</f>
        <v>32598.105984720009</v>
      </c>
    </row>
    <row r="6" spans="1:42" s="224" customFormat="1" x14ac:dyDescent="0.25">
      <c r="A6" s="247">
        <v>45778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45778</v>
      </c>
      <c r="B7" s="882" t="s">
        <v>7511</v>
      </c>
      <c r="C7" s="879" t="s">
        <v>12</v>
      </c>
      <c r="D7" s="879"/>
      <c r="E7" s="875"/>
      <c r="F7" s="780"/>
      <c r="G7" s="982">
        <v>600</v>
      </c>
      <c r="H7" s="622"/>
      <c r="I7" s="982"/>
      <c r="J7" s="622">
        <v>600</v>
      </c>
      <c r="K7" s="982"/>
      <c r="L7" s="853"/>
      <c r="M7" s="982"/>
      <c r="N7" s="622"/>
      <c r="O7" s="1063"/>
      <c r="P7" s="622"/>
      <c r="Q7" s="982"/>
      <c r="R7" s="927"/>
      <c r="S7" s="927"/>
      <c r="T7" s="878"/>
    </row>
    <row r="8" spans="1:42" s="224" customFormat="1" ht="15" customHeight="1" x14ac:dyDescent="0.25">
      <c r="A8" s="247">
        <v>45778</v>
      </c>
      <c r="B8" s="882" t="s">
        <v>7823</v>
      </c>
      <c r="C8" s="879" t="s">
        <v>12</v>
      </c>
      <c r="D8" s="879" t="s">
        <v>1524</v>
      </c>
      <c r="E8" s="875" t="s">
        <v>13</v>
      </c>
      <c r="F8" s="780">
        <v>600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45778</v>
      </c>
      <c r="B9" s="882" t="s">
        <v>14</v>
      </c>
      <c r="C9" s="879" t="s">
        <v>12</v>
      </c>
      <c r="D9" s="879" t="s">
        <v>1486</v>
      </c>
      <c r="E9" s="875" t="s">
        <v>13</v>
      </c>
      <c r="F9" s="613">
        <v>7.2</v>
      </c>
      <c r="G9" s="967"/>
      <c r="H9" s="1008"/>
      <c r="I9" s="1063"/>
      <c r="J9" s="613"/>
      <c r="K9" s="6"/>
      <c r="L9" s="622"/>
      <c r="M9" s="982"/>
      <c r="N9" s="622"/>
      <c r="O9" s="1063"/>
      <c r="P9" s="613"/>
      <c r="Q9" s="982"/>
      <c r="R9" s="1038"/>
      <c r="S9" s="1038"/>
      <c r="T9" s="1210"/>
      <c r="U9" s="1038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45778</v>
      </c>
      <c r="B10" s="882" t="s">
        <v>7832</v>
      </c>
      <c r="C10" s="879" t="s">
        <v>12</v>
      </c>
      <c r="D10" s="879" t="s">
        <v>1489</v>
      </c>
      <c r="E10" s="875" t="s">
        <v>13</v>
      </c>
      <c r="F10" s="613">
        <v>80</v>
      </c>
      <c r="G10" s="967"/>
      <c r="H10" s="1008"/>
      <c r="I10" s="1063"/>
      <c r="J10" s="613"/>
      <c r="K10" s="6"/>
      <c r="L10" s="622"/>
      <c r="M10" s="982"/>
      <c r="N10" s="622"/>
      <c r="O10" s="1063"/>
      <c r="P10" s="613"/>
      <c r="Q10" s="982"/>
      <c r="R10" s="1038"/>
      <c r="S10" s="1038"/>
      <c r="T10" s="1210"/>
      <c r="U10" s="1038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45779</v>
      </c>
      <c r="B11" s="1275" t="s">
        <v>32</v>
      </c>
      <c r="C11" s="1276" t="s">
        <v>12</v>
      </c>
      <c r="D11" s="1276" t="s">
        <v>1485</v>
      </c>
      <c r="E11" s="1286" t="s">
        <v>13</v>
      </c>
      <c r="F11" s="780">
        <v>23</v>
      </c>
      <c r="G11" s="982"/>
      <c r="H11" s="622"/>
      <c r="I11" s="982"/>
      <c r="J11" s="622"/>
      <c r="K11" s="982"/>
      <c r="L11" s="622"/>
      <c r="M11" s="982"/>
      <c r="N11" s="622"/>
      <c r="O11" s="1063"/>
      <c r="P11" s="622"/>
      <c r="Q11" s="982"/>
      <c r="R11" s="1028"/>
      <c r="S11" s="959"/>
      <c r="T11" s="878"/>
      <c r="U11" s="958"/>
    </row>
    <row r="12" spans="1:42" s="224" customFormat="1" ht="15" customHeight="1" x14ac:dyDescent="0.25">
      <c r="A12" s="247">
        <v>45779</v>
      </c>
      <c r="B12" s="882" t="s">
        <v>14</v>
      </c>
      <c r="C12" s="879" t="s">
        <v>12</v>
      </c>
      <c r="D12" s="879" t="s">
        <v>1486</v>
      </c>
      <c r="E12" s="875" t="s">
        <v>13</v>
      </c>
      <c r="F12" s="613">
        <v>4.75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982"/>
      <c r="R12" s="2641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45780</v>
      </c>
      <c r="B13" s="882" t="s">
        <v>14</v>
      </c>
      <c r="C13" s="879" t="s">
        <v>12</v>
      </c>
      <c r="D13" s="879" t="s">
        <v>1486</v>
      </c>
      <c r="E13" s="875" t="s">
        <v>13</v>
      </c>
      <c r="F13" s="613">
        <v>8.02</v>
      </c>
      <c r="G13" s="967"/>
      <c r="H13" s="1008"/>
      <c r="I13" s="1063"/>
      <c r="J13" s="613"/>
      <c r="K13" s="6"/>
      <c r="L13" s="622"/>
      <c r="M13" s="982"/>
      <c r="N13" s="622"/>
      <c r="O13" s="1063"/>
      <c r="P13" s="613"/>
      <c r="Q13" s="982"/>
      <c r="R13" s="2641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45780</v>
      </c>
      <c r="B14" s="882" t="s">
        <v>1906</v>
      </c>
      <c r="C14" s="879" t="s">
        <v>12</v>
      </c>
      <c r="D14" s="879" t="s">
        <v>1493</v>
      </c>
      <c r="E14" s="871" t="s">
        <v>13</v>
      </c>
      <c r="F14" s="780">
        <v>44.6</v>
      </c>
      <c r="G14" s="982"/>
      <c r="H14" s="1008"/>
      <c r="I14" s="1063"/>
      <c r="J14" s="622"/>
      <c r="K14" s="982"/>
      <c r="L14" s="622"/>
      <c r="M14" s="982"/>
      <c r="N14" s="622"/>
      <c r="O14" s="1063"/>
      <c r="P14" s="622"/>
      <c r="Q14" s="982"/>
      <c r="R14" s="861"/>
      <c r="T14" s="1035"/>
    </row>
    <row r="15" spans="1:42" s="224" customFormat="1" ht="15" customHeight="1" x14ac:dyDescent="0.25">
      <c r="A15" s="247">
        <v>45781</v>
      </c>
      <c r="B15" s="882" t="s">
        <v>81</v>
      </c>
      <c r="C15" s="879" t="s">
        <v>12</v>
      </c>
      <c r="D15" s="879" t="s">
        <v>1493</v>
      </c>
      <c r="E15" s="871" t="s">
        <v>13</v>
      </c>
      <c r="F15" s="780">
        <v>31.61</v>
      </c>
      <c r="G15" s="982"/>
      <c r="H15" s="1008"/>
      <c r="I15" s="1063"/>
      <c r="J15" s="622"/>
      <c r="K15" s="982"/>
      <c r="L15" s="622"/>
      <c r="M15" s="982"/>
      <c r="N15" s="622"/>
      <c r="O15" s="1063"/>
      <c r="P15" s="622"/>
      <c r="Q15" s="982"/>
      <c r="R15" s="861"/>
      <c r="T15" s="1035"/>
    </row>
    <row r="16" spans="1:42" s="224" customFormat="1" ht="15" customHeight="1" x14ac:dyDescent="0.25">
      <c r="A16" s="247">
        <v>45782</v>
      </c>
      <c r="B16" s="1275" t="s">
        <v>2789</v>
      </c>
      <c r="C16" s="1276" t="s">
        <v>12</v>
      </c>
      <c r="D16" s="1276" t="s">
        <v>1485</v>
      </c>
      <c r="E16" s="1286" t="s">
        <v>13</v>
      </c>
      <c r="F16" s="780">
        <v>14</v>
      </c>
      <c r="G16" s="982"/>
      <c r="H16" s="622"/>
      <c r="I16" s="982"/>
      <c r="J16" s="622"/>
      <c r="K16" s="982"/>
      <c r="L16" s="622"/>
      <c r="M16" s="982"/>
      <c r="N16" s="622"/>
      <c r="O16" s="1063"/>
      <c r="P16" s="622"/>
      <c r="Q16" s="982"/>
      <c r="R16" s="1028"/>
      <c r="S16" s="959"/>
      <c r="T16" s="878"/>
      <c r="U16" s="958"/>
    </row>
    <row r="17" spans="1:42" s="224" customFormat="1" ht="15" customHeight="1" x14ac:dyDescent="0.25">
      <c r="A17" s="247">
        <v>45782</v>
      </c>
      <c r="B17" s="882" t="s">
        <v>7840</v>
      </c>
      <c r="C17" s="879" t="s">
        <v>12</v>
      </c>
      <c r="D17" s="879" t="s">
        <v>1506</v>
      </c>
      <c r="E17" s="871" t="s">
        <v>13</v>
      </c>
      <c r="F17" s="780">
        <v>28</v>
      </c>
      <c r="G17" s="982"/>
      <c r="H17" s="1008"/>
      <c r="I17" s="1063"/>
      <c r="J17" s="622"/>
      <c r="K17" s="982"/>
      <c r="L17" s="622"/>
      <c r="M17" s="982"/>
      <c r="N17" s="622"/>
      <c r="O17" s="1063"/>
      <c r="P17" s="622"/>
      <c r="Q17" s="982"/>
      <c r="R17" s="861"/>
      <c r="T17" s="1035"/>
    </row>
    <row r="18" spans="1:42" s="224" customFormat="1" ht="15" customHeight="1" x14ac:dyDescent="0.25">
      <c r="A18" s="247">
        <v>45782</v>
      </c>
      <c r="B18" s="1275" t="s">
        <v>7841</v>
      </c>
      <c r="C18" s="1276" t="s">
        <v>12</v>
      </c>
      <c r="D18" s="1276" t="s">
        <v>1522</v>
      </c>
      <c r="E18" s="1286" t="s">
        <v>13</v>
      </c>
      <c r="F18" s="780">
        <v>29.5</v>
      </c>
      <c r="G18" s="982"/>
      <c r="H18" s="622"/>
      <c r="I18" s="982"/>
      <c r="J18" s="622"/>
      <c r="K18" s="982"/>
      <c r="L18" s="622"/>
      <c r="M18" s="982"/>
      <c r="N18" s="622"/>
      <c r="O18" s="1063"/>
      <c r="P18" s="622"/>
      <c r="Q18" s="982"/>
      <c r="R18" s="1028"/>
      <c r="S18" s="959"/>
      <c r="T18" s="878"/>
      <c r="U18" s="958"/>
    </row>
    <row r="19" spans="1:42" s="224" customFormat="1" ht="15" customHeight="1" x14ac:dyDescent="0.25">
      <c r="A19" s="247">
        <v>45782</v>
      </c>
      <c r="B19" s="882" t="s">
        <v>7842</v>
      </c>
      <c r="C19" s="879" t="s">
        <v>12</v>
      </c>
      <c r="D19" s="879" t="s">
        <v>1493</v>
      </c>
      <c r="E19" s="871" t="s">
        <v>13</v>
      </c>
      <c r="F19" s="780">
        <v>20</v>
      </c>
      <c r="G19" s="982"/>
      <c r="H19" s="1008"/>
      <c r="I19" s="1063"/>
      <c r="J19" s="622"/>
      <c r="K19" s="982"/>
      <c r="L19" s="622"/>
      <c r="M19" s="982"/>
      <c r="N19" s="622"/>
      <c r="O19" s="1063"/>
      <c r="P19" s="622"/>
      <c r="Q19" s="982"/>
      <c r="R19" s="861"/>
      <c r="T19" s="1035"/>
    </row>
    <row r="20" spans="1:42" s="224" customFormat="1" ht="15" customHeight="1" x14ac:dyDescent="0.25">
      <c r="A20" s="247">
        <v>45783</v>
      </c>
      <c r="B20" s="1275" t="s">
        <v>32</v>
      </c>
      <c r="C20" s="1276" t="s">
        <v>12</v>
      </c>
      <c r="D20" s="1276" t="s">
        <v>1485</v>
      </c>
      <c r="E20" s="1286" t="s">
        <v>13</v>
      </c>
      <c r="F20" s="780">
        <v>31</v>
      </c>
      <c r="G20" s="982"/>
      <c r="H20" s="622"/>
      <c r="I20" s="982"/>
      <c r="J20" s="622"/>
      <c r="K20" s="982"/>
      <c r="L20" s="622"/>
      <c r="M20" s="982"/>
      <c r="N20" s="622"/>
      <c r="O20" s="1063"/>
      <c r="P20" s="622"/>
      <c r="Q20" s="982"/>
      <c r="R20" s="1028"/>
      <c r="S20" s="959"/>
      <c r="T20" s="878"/>
      <c r="U20" s="958"/>
    </row>
    <row r="21" spans="1:42" s="224" customFormat="1" ht="15" customHeight="1" x14ac:dyDescent="0.25">
      <c r="A21" s="247">
        <v>45783</v>
      </c>
      <c r="B21" s="882" t="s">
        <v>6329</v>
      </c>
      <c r="C21" s="879" t="s">
        <v>12</v>
      </c>
      <c r="D21" s="879"/>
      <c r="E21" s="875" t="s">
        <v>25</v>
      </c>
      <c r="F21" s="780"/>
      <c r="G21" s="982">
        <v>100</v>
      </c>
      <c r="H21" s="1008"/>
      <c r="I21" s="1063"/>
      <c r="J21" s="613"/>
      <c r="K21" s="982"/>
      <c r="L21" s="622"/>
      <c r="M21" s="982"/>
      <c r="N21" s="622"/>
      <c r="O21" s="1063"/>
      <c r="P21" s="622"/>
      <c r="Q21" s="982"/>
      <c r="R21" s="861"/>
    </row>
    <row r="22" spans="1:42" s="224" customFormat="1" ht="15" customHeight="1" x14ac:dyDescent="0.25">
      <c r="A22" s="247">
        <v>45783</v>
      </c>
      <c r="B22" s="882" t="s">
        <v>7845</v>
      </c>
      <c r="C22" s="879" t="s">
        <v>12</v>
      </c>
      <c r="D22" s="879" t="s">
        <v>1489</v>
      </c>
      <c r="E22" s="871" t="s">
        <v>13</v>
      </c>
      <c r="F22" s="780">
        <v>156.18</v>
      </c>
      <c r="G22" s="982"/>
      <c r="H22" s="1008"/>
      <c r="I22" s="1063"/>
      <c r="J22" s="622"/>
      <c r="K22" s="982"/>
      <c r="L22" s="622"/>
      <c r="M22" s="982"/>
      <c r="N22" s="622"/>
      <c r="O22" s="1063"/>
      <c r="P22" s="622"/>
      <c r="Q22" s="982"/>
      <c r="R22" s="861"/>
      <c r="T22" s="1035"/>
    </row>
    <row r="23" spans="1:42" s="224" customFormat="1" ht="15.75" customHeight="1" x14ac:dyDescent="0.25">
      <c r="A23" s="247">
        <v>45784</v>
      </c>
      <c r="B23" s="873" t="s">
        <v>7811</v>
      </c>
      <c r="C23" s="879" t="s">
        <v>12</v>
      </c>
      <c r="D23" s="874"/>
      <c r="E23" s="887" t="s">
        <v>25</v>
      </c>
      <c r="F23" s="780"/>
      <c r="G23" s="1002">
        <v>2596.5</v>
      </c>
      <c r="H23" s="538"/>
      <c r="I23" s="982"/>
      <c r="J23" s="2013"/>
      <c r="K23" s="1207"/>
      <c r="L23" s="622"/>
      <c r="M23" s="982"/>
      <c r="N23" s="622"/>
      <c r="O23" s="1063"/>
      <c r="P23" s="622"/>
      <c r="Q23" s="982"/>
      <c r="R23" s="178"/>
    </row>
    <row r="24" spans="1:42" s="224" customFormat="1" ht="15" customHeight="1" x14ac:dyDescent="0.25">
      <c r="A24" s="247">
        <v>45784</v>
      </c>
      <c r="B24" s="364" t="s">
        <v>1396</v>
      </c>
      <c r="C24" s="879" t="s">
        <v>12</v>
      </c>
      <c r="D24" s="350"/>
      <c r="E24" s="919" t="s">
        <v>25</v>
      </c>
      <c r="F24" s="1116"/>
      <c r="G24" s="966">
        <v>200</v>
      </c>
      <c r="H24" s="1031"/>
      <c r="I24" s="1525"/>
      <c r="J24" s="2013"/>
      <c r="K24" s="1207"/>
      <c r="L24" s="880"/>
      <c r="M24" s="1033"/>
      <c r="N24" s="622"/>
      <c r="O24" s="1063"/>
      <c r="P24" s="1116"/>
      <c r="Q24" s="1207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ht="15" customHeight="1" x14ac:dyDescent="0.25">
      <c r="A25" s="247">
        <v>45784</v>
      </c>
      <c r="B25" s="364" t="s">
        <v>7219</v>
      </c>
      <c r="C25" s="879" t="s">
        <v>12</v>
      </c>
      <c r="D25" s="350" t="s">
        <v>1491</v>
      </c>
      <c r="E25" s="875" t="s">
        <v>13</v>
      </c>
      <c r="F25" s="780">
        <v>500</v>
      </c>
      <c r="G25" s="982"/>
      <c r="H25" s="622"/>
      <c r="I25" s="982"/>
      <c r="J25" s="2013"/>
      <c r="K25" s="1207"/>
      <c r="L25" s="622"/>
      <c r="M25" s="982"/>
      <c r="N25" s="622"/>
      <c r="O25" s="1063"/>
      <c r="P25" s="622"/>
      <c r="Q25" s="982"/>
      <c r="R25" s="1028"/>
      <c r="T25" s="1035"/>
    </row>
    <row r="26" spans="1:42" s="224" customFormat="1" ht="15" customHeight="1" x14ac:dyDescent="0.25">
      <c r="A26" s="247">
        <v>45784</v>
      </c>
      <c r="B26" s="862" t="s">
        <v>6416</v>
      </c>
      <c r="C26" s="879" t="s">
        <v>12</v>
      </c>
      <c r="D26" s="879" t="s">
        <v>1504</v>
      </c>
      <c r="E26" s="871" t="s">
        <v>13</v>
      </c>
      <c r="F26" s="780">
        <v>40</v>
      </c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1808">
        <v>60</v>
      </c>
      <c r="S26" s="1028"/>
      <c r="T26" s="1035"/>
    </row>
    <row r="27" spans="1:42" s="224" customFormat="1" ht="15" customHeight="1" x14ac:dyDescent="0.25">
      <c r="A27" s="247">
        <v>45784</v>
      </c>
      <c r="B27" s="882" t="s">
        <v>7812</v>
      </c>
      <c r="C27" s="879" t="s">
        <v>12</v>
      </c>
      <c r="D27" s="879" t="s">
        <v>1499</v>
      </c>
      <c r="E27" s="871" t="s">
        <v>13</v>
      </c>
      <c r="F27" s="780">
        <v>96.31</v>
      </c>
      <c r="G27" s="982"/>
      <c r="H27" s="1008"/>
      <c r="I27" s="1063"/>
      <c r="J27" s="880"/>
      <c r="K27" s="1033"/>
      <c r="L27" s="622"/>
      <c r="M27" s="982"/>
      <c r="N27" s="622"/>
      <c r="O27" s="1063"/>
      <c r="P27" s="622"/>
      <c r="Q27" s="982"/>
      <c r="R27" s="1028">
        <v>170</v>
      </c>
      <c r="S27" s="999"/>
      <c r="T27" s="878"/>
    </row>
    <row r="28" spans="1:42" x14ac:dyDescent="0.25">
      <c r="A28" s="247">
        <v>45784</v>
      </c>
      <c r="B28" s="876" t="s">
        <v>6762</v>
      </c>
      <c r="C28" s="879" t="s">
        <v>12</v>
      </c>
      <c r="D28" s="879" t="s">
        <v>1496</v>
      </c>
      <c r="E28" s="871" t="s">
        <v>13</v>
      </c>
      <c r="F28" s="780">
        <v>100</v>
      </c>
      <c r="G28" s="982"/>
      <c r="H28" s="1009"/>
      <c r="I28" s="1063"/>
      <c r="J28" s="613"/>
      <c r="K28" s="6"/>
      <c r="L28" s="622"/>
      <c r="M28" s="982"/>
      <c r="N28" s="622"/>
      <c r="O28" s="1063"/>
      <c r="P28" s="622"/>
      <c r="Q28" s="982"/>
      <c r="R28" s="1029"/>
    </row>
    <row r="29" spans="1:42" s="224" customFormat="1" ht="15" customHeight="1" x14ac:dyDescent="0.25">
      <c r="A29" s="247">
        <v>45784</v>
      </c>
      <c r="B29" s="1289" t="s">
        <v>2096</v>
      </c>
      <c r="C29" s="879" t="s">
        <v>12</v>
      </c>
      <c r="D29" s="1276" t="s">
        <v>1506</v>
      </c>
      <c r="E29" s="875" t="s">
        <v>13</v>
      </c>
      <c r="F29" s="1810">
        <v>50</v>
      </c>
      <c r="G29" s="967"/>
      <c r="H29" s="1008"/>
      <c r="I29" s="1063"/>
      <c r="J29" s="613"/>
      <c r="K29" s="6"/>
      <c r="L29" s="622"/>
      <c r="M29" s="982"/>
      <c r="N29" s="622"/>
      <c r="O29" s="1063"/>
      <c r="P29" s="613"/>
      <c r="Q29" s="64"/>
      <c r="R29" s="120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45784</v>
      </c>
      <c r="B30" s="882" t="s">
        <v>7831</v>
      </c>
      <c r="C30" s="879" t="s">
        <v>12</v>
      </c>
      <c r="D30" s="879"/>
      <c r="E30" s="875" t="s">
        <v>25</v>
      </c>
      <c r="F30" s="780"/>
      <c r="G30" s="982">
        <v>150</v>
      </c>
      <c r="H30" s="1008"/>
      <c r="I30" s="1063"/>
      <c r="J30" s="622"/>
      <c r="K30" s="982"/>
      <c r="L30" s="622"/>
      <c r="M30" s="982"/>
      <c r="N30" s="622"/>
      <c r="O30" s="1063"/>
      <c r="P30" s="622"/>
      <c r="Q30" s="982"/>
      <c r="R30" s="2722">
        <v>150</v>
      </c>
    </row>
    <row r="31" spans="1:42" s="224" customFormat="1" ht="15" customHeight="1" x14ac:dyDescent="0.25">
      <c r="A31" s="247">
        <v>45784</v>
      </c>
      <c r="B31" s="882" t="s">
        <v>7847</v>
      </c>
      <c r="C31" s="879" t="s">
        <v>12</v>
      </c>
      <c r="D31" s="879"/>
      <c r="E31" s="875"/>
      <c r="F31" s="780"/>
      <c r="G31" s="982"/>
      <c r="H31" s="95"/>
      <c r="I31" s="1064"/>
      <c r="J31" s="622"/>
      <c r="K31" s="982"/>
      <c r="L31" s="622">
        <v>1092.74</v>
      </c>
      <c r="M31" s="982"/>
      <c r="N31" s="622"/>
      <c r="O31" s="1063"/>
      <c r="P31" s="622"/>
      <c r="Q31" s="982"/>
      <c r="R31" s="861"/>
    </row>
    <row r="32" spans="1:42" s="224" customFormat="1" ht="15" customHeight="1" x14ac:dyDescent="0.25">
      <c r="A32" s="247">
        <v>45784</v>
      </c>
      <c r="B32" s="882" t="s">
        <v>7701</v>
      </c>
      <c r="C32" s="879" t="s">
        <v>12</v>
      </c>
      <c r="D32" s="879"/>
      <c r="E32" s="875" t="s">
        <v>13</v>
      </c>
      <c r="F32" s="780"/>
      <c r="G32" s="982"/>
      <c r="H32" s="1008"/>
      <c r="I32" s="1063"/>
      <c r="J32" s="622"/>
      <c r="K32" s="982">
        <v>1092.74</v>
      </c>
      <c r="L32" s="622"/>
      <c r="M32" s="982"/>
      <c r="N32" s="622"/>
      <c r="O32" s="1063"/>
      <c r="P32" s="622"/>
      <c r="Q32" s="982"/>
      <c r="R32" s="861"/>
    </row>
    <row r="33" spans="1:42" s="224" customFormat="1" ht="15" customHeight="1" x14ac:dyDescent="0.25">
      <c r="A33" s="247">
        <v>45784</v>
      </c>
      <c r="B33" s="882" t="s">
        <v>7465</v>
      </c>
      <c r="C33" s="879" t="s">
        <v>12</v>
      </c>
      <c r="D33" s="879"/>
      <c r="E33" s="875"/>
      <c r="F33" s="780"/>
      <c r="G33" s="982"/>
      <c r="H33" s="95"/>
      <c r="I33" s="1064"/>
      <c r="J33" s="622"/>
      <c r="K33" s="982"/>
      <c r="L33" s="622"/>
      <c r="M33" s="982"/>
      <c r="N33" s="622">
        <v>1188.8699999999999</v>
      </c>
      <c r="O33" s="1063"/>
      <c r="P33" s="622"/>
      <c r="Q33" s="982"/>
      <c r="R33" s="861"/>
    </row>
    <row r="34" spans="1:42" s="224" customFormat="1" ht="15" customHeight="1" x14ac:dyDescent="0.25">
      <c r="A34" s="247">
        <v>45784</v>
      </c>
      <c r="B34" s="882" t="s">
        <v>7848</v>
      </c>
      <c r="C34" s="879" t="s">
        <v>12</v>
      </c>
      <c r="D34" s="879"/>
      <c r="E34" s="875" t="s">
        <v>13</v>
      </c>
      <c r="F34" s="780"/>
      <c r="G34" s="982"/>
      <c r="H34" s="1008"/>
      <c r="I34" s="1063"/>
      <c r="J34" s="622"/>
      <c r="K34" s="982">
        <v>1188.8699999999999</v>
      </c>
      <c r="L34" s="622"/>
      <c r="M34" s="982"/>
      <c r="N34" s="622"/>
      <c r="O34" s="1063"/>
      <c r="P34" s="622"/>
      <c r="Q34" s="982"/>
      <c r="R34" s="861"/>
    </row>
    <row r="35" spans="1:42" s="224" customFormat="1" ht="15" customHeight="1" x14ac:dyDescent="0.25">
      <c r="A35" s="247">
        <v>45784</v>
      </c>
      <c r="B35" s="882" t="s">
        <v>7849</v>
      </c>
      <c r="C35" s="879" t="s">
        <v>12</v>
      </c>
      <c r="D35" s="879"/>
      <c r="E35" s="875" t="s">
        <v>13</v>
      </c>
      <c r="F35" s="780">
        <v>718.39</v>
      </c>
      <c r="G35" s="982"/>
      <c r="H35" s="95"/>
      <c r="I35" s="1064"/>
      <c r="J35" s="622"/>
      <c r="K35" s="982">
        <v>718.39</v>
      </c>
      <c r="L35" s="622"/>
      <c r="M35" s="982"/>
      <c r="N35" s="622"/>
      <c r="O35" s="1063"/>
      <c r="P35" s="622"/>
      <c r="Q35" s="982"/>
      <c r="R35" s="861"/>
    </row>
    <row r="36" spans="1:42" s="224" customFormat="1" ht="15" customHeight="1" x14ac:dyDescent="0.25">
      <c r="A36" s="247">
        <v>45784</v>
      </c>
      <c r="B36" s="1275" t="s">
        <v>7410</v>
      </c>
      <c r="C36" s="1276" t="s">
        <v>12</v>
      </c>
      <c r="D36" s="1276"/>
      <c r="E36" s="1286" t="s">
        <v>13</v>
      </c>
      <c r="F36" s="613">
        <v>120.78</v>
      </c>
      <c r="G36" s="967"/>
      <c r="H36" s="1008"/>
      <c r="I36" s="1063"/>
      <c r="J36" s="613"/>
      <c r="K36" s="6"/>
      <c r="L36" s="622"/>
      <c r="M36" s="982"/>
      <c r="N36" s="622"/>
      <c r="O36" s="1063"/>
      <c r="P36" s="613"/>
      <c r="Q36" s="64"/>
      <c r="R36" s="1024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45784</v>
      </c>
      <c r="B37" s="1275" t="s">
        <v>6755</v>
      </c>
      <c r="C37" s="1276" t="s">
        <v>12</v>
      </c>
      <c r="D37" s="1276"/>
      <c r="E37" s="1286"/>
      <c r="F37" s="613"/>
      <c r="G37" s="967">
        <v>120.78</v>
      </c>
      <c r="H37" s="1008"/>
      <c r="I37" s="1063"/>
      <c r="J37" s="613"/>
      <c r="K37" s="6"/>
      <c r="L37" s="622"/>
      <c r="M37" s="982"/>
      <c r="N37" s="622"/>
      <c r="O37" s="1063"/>
      <c r="P37" s="613"/>
      <c r="Q37" s="64"/>
      <c r="R37" s="1024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45784</v>
      </c>
      <c r="B38" s="1275" t="s">
        <v>32</v>
      </c>
      <c r="C38" s="1276" t="s">
        <v>12</v>
      </c>
      <c r="D38" s="1276" t="s">
        <v>1485</v>
      </c>
      <c r="E38" s="1286" t="s">
        <v>13</v>
      </c>
      <c r="F38" s="780">
        <v>23</v>
      </c>
      <c r="G38" s="982"/>
      <c r="H38" s="622"/>
      <c r="I38" s="982"/>
      <c r="J38" s="622"/>
      <c r="K38" s="982"/>
      <c r="L38" s="622"/>
      <c r="M38" s="982"/>
      <c r="N38" s="622"/>
      <c r="O38" s="1063"/>
      <c r="P38" s="622"/>
      <c r="Q38" s="982"/>
      <c r="R38" s="1028"/>
      <c r="S38" s="959"/>
      <c r="T38" s="878"/>
      <c r="U38" s="958"/>
    </row>
    <row r="39" spans="1:42" s="224" customFormat="1" ht="15" customHeight="1" x14ac:dyDescent="0.25">
      <c r="A39" s="247">
        <v>45784</v>
      </c>
      <c r="B39" s="882" t="s">
        <v>7852</v>
      </c>
      <c r="C39" s="879" t="s">
        <v>12</v>
      </c>
      <c r="D39" s="879" t="s">
        <v>1489</v>
      </c>
      <c r="E39" s="875" t="s">
        <v>13</v>
      </c>
      <c r="F39" s="780">
        <v>64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45785</v>
      </c>
      <c r="B40" s="882" t="s">
        <v>6130</v>
      </c>
      <c r="C40" s="879" t="s">
        <v>12</v>
      </c>
      <c r="D40" s="879" t="s">
        <v>1491</v>
      </c>
      <c r="E40" s="875" t="s">
        <v>13</v>
      </c>
      <c r="F40" s="780">
        <v>33.979999999999997</v>
      </c>
      <c r="G40" s="982"/>
      <c r="H40" s="1008"/>
      <c r="I40" s="1063"/>
      <c r="J40" s="622"/>
      <c r="K40" s="982"/>
      <c r="L40" s="622"/>
      <c r="M40" s="982"/>
      <c r="N40" s="622"/>
      <c r="O40" s="1063"/>
      <c r="P40" s="622"/>
      <c r="Q40" s="982"/>
      <c r="R40" s="1028" t="s">
        <v>7137</v>
      </c>
    </row>
    <row r="41" spans="1:42" s="224" customFormat="1" ht="15" customHeight="1" x14ac:dyDescent="0.25">
      <c r="A41" s="247">
        <v>45785</v>
      </c>
      <c r="B41" s="882" t="s">
        <v>7799</v>
      </c>
      <c r="C41" s="879" t="s">
        <v>12</v>
      </c>
      <c r="D41" s="879" t="s">
        <v>1504</v>
      </c>
      <c r="E41" s="875" t="s">
        <v>13</v>
      </c>
      <c r="F41" s="780">
        <v>43</v>
      </c>
      <c r="G41" s="982"/>
      <c r="H41" s="95"/>
      <c r="I41" s="1064"/>
      <c r="J41" s="622"/>
      <c r="K41" s="982"/>
      <c r="L41" s="622"/>
      <c r="M41" s="982"/>
      <c r="N41" s="622"/>
      <c r="O41" s="1063"/>
      <c r="P41" s="622"/>
      <c r="Q41" s="982"/>
      <c r="R41" s="1028" t="s">
        <v>7137</v>
      </c>
    </row>
    <row r="42" spans="1:42" s="224" customFormat="1" ht="15" customHeight="1" x14ac:dyDescent="0.25">
      <c r="A42" s="247">
        <v>45785</v>
      </c>
      <c r="B42" s="882" t="s">
        <v>6805</v>
      </c>
      <c r="C42" s="879" t="s">
        <v>12</v>
      </c>
      <c r="D42" s="879" t="s">
        <v>1504</v>
      </c>
      <c r="E42" s="875" t="s">
        <v>13</v>
      </c>
      <c r="F42" s="780">
        <v>45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028" t="s">
        <v>7137</v>
      </c>
    </row>
    <row r="43" spans="1:42" s="224" customFormat="1" ht="15" customHeight="1" x14ac:dyDescent="0.25">
      <c r="A43" s="247">
        <v>45785</v>
      </c>
      <c r="B43" s="882" t="s">
        <v>7753</v>
      </c>
      <c r="C43" s="879" t="s">
        <v>12</v>
      </c>
      <c r="D43" s="879" t="s">
        <v>1504</v>
      </c>
      <c r="E43" s="875" t="s">
        <v>13</v>
      </c>
      <c r="F43" s="780">
        <v>29.806666666666668</v>
      </c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028" t="s">
        <v>7137</v>
      </c>
    </row>
    <row r="44" spans="1:42" s="224" customFormat="1" ht="15" customHeight="1" x14ac:dyDescent="0.25">
      <c r="A44" s="247">
        <v>45785</v>
      </c>
      <c r="B44" s="882" t="s">
        <v>7791</v>
      </c>
      <c r="C44" s="879" t="s">
        <v>12</v>
      </c>
      <c r="D44" s="879" t="s">
        <v>1504</v>
      </c>
      <c r="E44" s="875" t="s">
        <v>13</v>
      </c>
      <c r="F44" s="780">
        <v>10</v>
      </c>
      <c r="G44" s="982"/>
      <c r="H44" s="95"/>
      <c r="I44" s="1064"/>
      <c r="J44" s="622"/>
      <c r="K44" s="982"/>
      <c r="L44" s="622"/>
      <c r="M44" s="982"/>
      <c r="N44" s="622"/>
      <c r="O44" s="1063"/>
      <c r="P44" s="622"/>
      <c r="Q44" s="982"/>
      <c r="R44" s="1028" t="s">
        <v>7137</v>
      </c>
    </row>
    <row r="45" spans="1:42" s="224" customFormat="1" ht="15" customHeight="1" x14ac:dyDescent="0.25">
      <c r="A45" s="247">
        <v>45785</v>
      </c>
      <c r="B45" s="882" t="s">
        <v>7557</v>
      </c>
      <c r="C45" s="879" t="s">
        <v>12</v>
      </c>
      <c r="D45" s="879" t="s">
        <v>1525</v>
      </c>
      <c r="E45" s="875" t="s">
        <v>13</v>
      </c>
      <c r="F45" s="780">
        <v>63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028" t="s">
        <v>7137</v>
      </c>
    </row>
    <row r="46" spans="1:42" s="224" customFormat="1" ht="15" customHeight="1" x14ac:dyDescent="0.25">
      <c r="A46" s="247">
        <v>45785</v>
      </c>
      <c r="B46" s="1275" t="s">
        <v>32</v>
      </c>
      <c r="C46" s="1276" t="s">
        <v>12</v>
      </c>
      <c r="D46" s="1276" t="s">
        <v>1485</v>
      </c>
      <c r="E46" s="1286" t="s">
        <v>13</v>
      </c>
      <c r="F46" s="780">
        <v>23</v>
      </c>
      <c r="G46" s="982"/>
      <c r="H46" s="622"/>
      <c r="I46" s="982"/>
      <c r="J46" s="622"/>
      <c r="K46" s="982"/>
      <c r="L46" s="622"/>
      <c r="M46" s="982"/>
      <c r="N46" s="622"/>
      <c r="O46" s="1063"/>
      <c r="P46" s="622"/>
      <c r="Q46" s="982"/>
      <c r="R46" s="1028"/>
      <c r="S46" s="959"/>
      <c r="T46" s="878"/>
      <c r="U46" s="958"/>
    </row>
    <row r="47" spans="1:42" s="224" customFormat="1" ht="15" customHeight="1" x14ac:dyDescent="0.25">
      <c r="A47" s="247">
        <v>45785</v>
      </c>
      <c r="B47" s="882" t="s">
        <v>14</v>
      </c>
      <c r="C47" s="1276" t="s">
        <v>12</v>
      </c>
      <c r="D47" s="879" t="s">
        <v>1486</v>
      </c>
      <c r="E47" s="875" t="s">
        <v>13</v>
      </c>
      <c r="F47" s="780">
        <v>23.1</v>
      </c>
      <c r="G47" s="982"/>
      <c r="H47" s="95"/>
      <c r="I47" s="1064"/>
      <c r="J47" s="622"/>
      <c r="K47" s="982"/>
      <c r="L47" s="622"/>
      <c r="M47" s="982"/>
      <c r="N47" s="622"/>
      <c r="O47" s="1063"/>
      <c r="P47" s="622"/>
      <c r="Q47" s="982"/>
      <c r="R47" s="1028"/>
    </row>
    <row r="48" spans="1:42" s="224" customFormat="1" ht="15" customHeight="1" x14ac:dyDescent="0.25">
      <c r="A48" s="247">
        <v>45786</v>
      </c>
      <c r="B48" s="1275" t="s">
        <v>32</v>
      </c>
      <c r="C48" s="1276" t="s">
        <v>12</v>
      </c>
      <c r="D48" s="1276" t="s">
        <v>1485</v>
      </c>
      <c r="E48" s="1286" t="s">
        <v>13</v>
      </c>
      <c r="F48" s="780">
        <v>23</v>
      </c>
      <c r="G48" s="982"/>
      <c r="H48" s="622"/>
      <c r="I48" s="982"/>
      <c r="J48" s="622"/>
      <c r="K48" s="982"/>
      <c r="L48" s="622"/>
      <c r="M48" s="982"/>
      <c r="N48" s="622"/>
      <c r="O48" s="1063"/>
      <c r="P48" s="622"/>
      <c r="Q48" s="982"/>
      <c r="R48" s="1028"/>
      <c r="S48" s="959"/>
      <c r="T48" s="878"/>
      <c r="U48" s="958"/>
    </row>
    <row r="49" spans="1:42" s="224" customFormat="1" x14ac:dyDescent="0.25">
      <c r="A49" s="247">
        <v>45786</v>
      </c>
      <c r="B49" s="1275" t="s">
        <v>1336</v>
      </c>
      <c r="C49" s="879" t="s">
        <v>12</v>
      </c>
      <c r="D49" s="1276" t="s">
        <v>1489</v>
      </c>
      <c r="E49" s="1277" t="s">
        <v>13</v>
      </c>
      <c r="F49" s="1702">
        <v>13.49</v>
      </c>
      <c r="G49" s="982"/>
      <c r="H49" s="1008"/>
      <c r="I49" s="1063"/>
      <c r="J49" s="2013"/>
      <c r="K49" s="1207"/>
      <c r="L49" s="622"/>
      <c r="M49" s="982"/>
      <c r="N49" s="622"/>
      <c r="O49" s="1063"/>
      <c r="P49" s="622"/>
      <c r="Q49" s="982"/>
      <c r="R49" s="1028"/>
      <c r="T49" s="878"/>
    </row>
    <row r="50" spans="1:42" s="224" customFormat="1" x14ac:dyDescent="0.25">
      <c r="A50" s="247">
        <v>45786</v>
      </c>
      <c r="B50" s="1275" t="s">
        <v>3123</v>
      </c>
      <c r="C50" s="879" t="s">
        <v>12</v>
      </c>
      <c r="D50" s="1276" t="s">
        <v>1493</v>
      </c>
      <c r="E50" s="1277" t="s">
        <v>13</v>
      </c>
      <c r="F50" s="1702">
        <v>38</v>
      </c>
      <c r="G50" s="982"/>
      <c r="H50" s="1008"/>
      <c r="I50" s="1063"/>
      <c r="J50" s="2013"/>
      <c r="K50" s="1207"/>
      <c r="L50" s="622"/>
      <c r="M50" s="982"/>
      <c r="N50" s="622"/>
      <c r="O50" s="1063"/>
      <c r="P50" s="622"/>
      <c r="Q50" s="982"/>
      <c r="R50" s="1028"/>
      <c r="T50" s="878"/>
    </row>
    <row r="51" spans="1:42" s="224" customFormat="1" ht="15" customHeight="1" x14ac:dyDescent="0.25">
      <c r="A51" s="247">
        <v>45787</v>
      </c>
      <c r="B51" s="882" t="s">
        <v>14</v>
      </c>
      <c r="C51" s="1276" t="s">
        <v>12</v>
      </c>
      <c r="D51" s="879" t="s">
        <v>1486</v>
      </c>
      <c r="E51" s="875" t="s">
        <v>13</v>
      </c>
      <c r="F51" s="780">
        <v>8.49</v>
      </c>
      <c r="G51" s="982"/>
      <c r="H51" s="95"/>
      <c r="I51" s="1064"/>
      <c r="J51" s="622"/>
      <c r="K51" s="982"/>
      <c r="L51" s="622"/>
      <c r="M51" s="982"/>
      <c r="N51" s="622"/>
      <c r="O51" s="1063"/>
      <c r="P51" s="622"/>
      <c r="Q51" s="982"/>
      <c r="R51" s="1028"/>
    </row>
    <row r="52" spans="1:42" s="224" customFormat="1" ht="15" customHeight="1" x14ac:dyDescent="0.25">
      <c r="A52" s="247">
        <v>45787</v>
      </c>
      <c r="B52" s="882" t="s">
        <v>2629</v>
      </c>
      <c r="C52" s="879" t="s">
        <v>12</v>
      </c>
      <c r="D52" s="879" t="s">
        <v>1489</v>
      </c>
      <c r="E52" s="875" t="s">
        <v>5470</v>
      </c>
      <c r="F52" s="780">
        <v>117.58</v>
      </c>
      <c r="G52" s="982"/>
      <c r="H52" s="95"/>
      <c r="I52" s="1064"/>
      <c r="J52" s="613"/>
      <c r="K52" s="982"/>
      <c r="L52" s="622"/>
      <c r="M52" s="982"/>
      <c r="N52" s="622"/>
      <c r="O52" s="1063"/>
      <c r="P52" s="622"/>
      <c r="Q52" s="982"/>
      <c r="R52" s="861"/>
    </row>
    <row r="53" spans="1:42" s="224" customFormat="1" ht="15" customHeight="1" x14ac:dyDescent="0.25">
      <c r="A53" s="247">
        <v>45787</v>
      </c>
      <c r="B53" s="882" t="s">
        <v>80</v>
      </c>
      <c r="C53" s="879" t="s">
        <v>12</v>
      </c>
      <c r="D53" s="879" t="s">
        <v>1523</v>
      </c>
      <c r="E53" s="875" t="s">
        <v>13</v>
      </c>
      <c r="F53" s="780">
        <v>17.7</v>
      </c>
      <c r="G53" s="982"/>
      <c r="H53" s="95"/>
      <c r="I53" s="1064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45787</v>
      </c>
      <c r="B54" s="882" t="s">
        <v>7857</v>
      </c>
      <c r="C54" s="879" t="s">
        <v>12</v>
      </c>
      <c r="D54" s="879" t="s">
        <v>1489</v>
      </c>
      <c r="E54" s="875" t="s">
        <v>13</v>
      </c>
      <c r="F54" s="780">
        <v>13</v>
      </c>
      <c r="G54" s="982"/>
      <c r="H54" s="95"/>
      <c r="I54" s="1064"/>
      <c r="J54" s="613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5" customHeight="1" x14ac:dyDescent="0.25">
      <c r="A55" s="247">
        <v>45787</v>
      </c>
      <c r="B55" s="1275" t="s">
        <v>32</v>
      </c>
      <c r="C55" s="1276" t="s">
        <v>12</v>
      </c>
      <c r="D55" s="1276" t="s">
        <v>1485</v>
      </c>
      <c r="E55" s="1286" t="s">
        <v>13</v>
      </c>
      <c r="F55" s="780">
        <v>20</v>
      </c>
      <c r="G55" s="982"/>
      <c r="H55" s="622"/>
      <c r="I55" s="982"/>
      <c r="J55" s="622"/>
      <c r="K55" s="982"/>
      <c r="L55" s="622"/>
      <c r="M55" s="982"/>
      <c r="N55" s="622"/>
      <c r="O55" s="1063"/>
      <c r="P55" s="622"/>
      <c r="Q55" s="982"/>
      <c r="R55" s="1028"/>
      <c r="S55" s="959"/>
      <c r="T55" s="878"/>
      <c r="U55" s="958"/>
    </row>
    <row r="56" spans="1:42" s="224" customFormat="1" ht="15" customHeight="1" x14ac:dyDescent="0.25">
      <c r="A56" s="247">
        <v>45787</v>
      </c>
      <c r="B56" s="882" t="s">
        <v>82</v>
      </c>
      <c r="C56" s="879" t="s">
        <v>12</v>
      </c>
      <c r="D56" s="879" t="s">
        <v>1493</v>
      </c>
      <c r="E56" s="875" t="s">
        <v>15</v>
      </c>
      <c r="F56" s="780">
        <v>25</v>
      </c>
      <c r="G56" s="982"/>
      <c r="H56" s="95"/>
      <c r="I56" s="1064"/>
      <c r="J56" s="613"/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ht="15" customHeight="1" x14ac:dyDescent="0.25">
      <c r="A57" s="247">
        <v>45788</v>
      </c>
      <c r="B57" s="882" t="s">
        <v>14</v>
      </c>
      <c r="C57" s="1276" t="s">
        <v>12</v>
      </c>
      <c r="D57" s="879" t="s">
        <v>1486</v>
      </c>
      <c r="E57" s="875" t="s">
        <v>5470</v>
      </c>
      <c r="F57" s="780">
        <v>26.73</v>
      </c>
      <c r="G57" s="982"/>
      <c r="H57" s="95"/>
      <c r="I57" s="1064"/>
      <c r="J57" s="622"/>
      <c r="K57" s="982"/>
      <c r="L57" s="622"/>
      <c r="M57" s="982"/>
      <c r="N57" s="622"/>
      <c r="O57" s="1063"/>
      <c r="P57" s="622"/>
      <c r="Q57" s="982"/>
      <c r="R57" s="1028"/>
    </row>
    <row r="58" spans="1:42" s="224" customFormat="1" ht="14.25" customHeight="1" x14ac:dyDescent="0.25">
      <c r="A58" s="247">
        <v>45788</v>
      </c>
      <c r="B58" s="1275" t="s">
        <v>7858</v>
      </c>
      <c r="C58" s="1276" t="s">
        <v>12</v>
      </c>
      <c r="D58" s="1276" t="s">
        <v>1485</v>
      </c>
      <c r="E58" s="1286" t="s">
        <v>13</v>
      </c>
      <c r="F58" s="1810">
        <v>40</v>
      </c>
      <c r="G58" s="982"/>
      <c r="H58" s="1031"/>
      <c r="I58" s="1525"/>
      <c r="J58" s="622"/>
      <c r="K58" s="982"/>
      <c r="L58" s="880"/>
      <c r="M58" s="1033"/>
      <c r="N58" s="880"/>
      <c r="O58" s="1525"/>
      <c r="P58" s="613"/>
      <c r="Q58" s="162"/>
      <c r="R58" s="1209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4.25" customHeight="1" x14ac:dyDescent="0.25">
      <c r="A59" s="247">
        <v>45788</v>
      </c>
      <c r="B59" s="1275" t="s">
        <v>7859</v>
      </c>
      <c r="C59" s="1276" t="s">
        <v>12</v>
      </c>
      <c r="D59" s="1276" t="s">
        <v>1489</v>
      </c>
      <c r="E59" s="1286" t="s">
        <v>13</v>
      </c>
      <c r="F59" s="1810">
        <v>200</v>
      </c>
      <c r="G59" s="982"/>
      <c r="H59" s="1031"/>
      <c r="I59" s="1525"/>
      <c r="J59" s="622"/>
      <c r="K59" s="982"/>
      <c r="L59" s="880"/>
      <c r="M59" s="1033"/>
      <c r="N59" s="880"/>
      <c r="O59" s="1525"/>
      <c r="P59" s="613"/>
      <c r="Q59" s="162"/>
      <c r="R59" s="120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customHeight="1" x14ac:dyDescent="0.25">
      <c r="A60" s="247">
        <v>45789</v>
      </c>
      <c r="B60" s="1275" t="s">
        <v>2789</v>
      </c>
      <c r="C60" s="1276" t="s">
        <v>12</v>
      </c>
      <c r="D60" s="1276" t="s">
        <v>1485</v>
      </c>
      <c r="E60" s="1286" t="s">
        <v>13</v>
      </c>
      <c r="F60" s="780">
        <v>13</v>
      </c>
      <c r="G60" s="982"/>
      <c r="H60" s="622"/>
      <c r="I60" s="982"/>
      <c r="J60" s="622"/>
      <c r="K60" s="982"/>
      <c r="L60" s="622"/>
      <c r="M60" s="982"/>
      <c r="N60" s="622"/>
      <c r="O60" s="1063"/>
      <c r="P60" s="622"/>
      <c r="Q60" s="982"/>
      <c r="R60" s="1028"/>
      <c r="S60" s="959"/>
      <c r="T60" s="878"/>
      <c r="U60" s="958"/>
    </row>
    <row r="61" spans="1:42" s="224" customFormat="1" ht="15" customHeight="1" x14ac:dyDescent="0.25">
      <c r="A61" s="247">
        <v>45790</v>
      </c>
      <c r="B61" s="882" t="s">
        <v>6329</v>
      </c>
      <c r="C61" s="879" t="s">
        <v>12</v>
      </c>
      <c r="D61" s="879"/>
      <c r="E61" s="875" t="s">
        <v>25</v>
      </c>
      <c r="F61" s="780"/>
      <c r="G61" s="982">
        <v>100</v>
      </c>
      <c r="H61" s="1008"/>
      <c r="I61" s="1063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5" customHeight="1" x14ac:dyDescent="0.25">
      <c r="A62" s="247">
        <v>45790</v>
      </c>
      <c r="B62" s="882" t="s">
        <v>6814</v>
      </c>
      <c r="C62" s="879" t="s">
        <v>12</v>
      </c>
      <c r="D62" s="879"/>
      <c r="E62" s="875" t="s">
        <v>13</v>
      </c>
      <c r="F62" s="780"/>
      <c r="G62" s="982">
        <v>866.5</v>
      </c>
      <c r="H62" s="1008"/>
      <c r="I62" s="1063"/>
      <c r="J62" s="622">
        <v>866.5</v>
      </c>
      <c r="K62" s="982"/>
      <c r="L62" s="622"/>
      <c r="M62" s="982"/>
      <c r="N62" s="622"/>
      <c r="O62" s="1063"/>
      <c r="P62" s="622"/>
      <c r="Q62" s="982"/>
      <c r="R62" s="941"/>
    </row>
    <row r="63" spans="1:42" s="224" customFormat="1" ht="15" customHeight="1" x14ac:dyDescent="0.25">
      <c r="A63" s="247">
        <v>45790</v>
      </c>
      <c r="B63" s="882" t="s">
        <v>7873</v>
      </c>
      <c r="C63" s="879" t="s">
        <v>12</v>
      </c>
      <c r="D63" s="879"/>
      <c r="E63" s="875" t="s">
        <v>13</v>
      </c>
      <c r="F63" s="780"/>
      <c r="G63" s="982">
        <v>68.63</v>
      </c>
      <c r="H63" s="1008"/>
      <c r="I63" s="1063"/>
      <c r="J63" s="622">
        <v>68.63</v>
      </c>
      <c r="K63" s="982"/>
      <c r="L63" s="622"/>
      <c r="M63" s="982"/>
      <c r="N63" s="622"/>
      <c r="O63" s="1063"/>
      <c r="P63" s="622"/>
      <c r="Q63" s="982"/>
      <c r="R63" s="941"/>
    </row>
    <row r="64" spans="1:42" s="224" customFormat="1" ht="15" customHeight="1" x14ac:dyDescent="0.25">
      <c r="A64" s="247">
        <v>45790</v>
      </c>
      <c r="B64" s="882" t="s">
        <v>7647</v>
      </c>
      <c r="C64" s="879" t="s">
        <v>12</v>
      </c>
      <c r="D64" s="875" t="s">
        <v>1524</v>
      </c>
      <c r="E64" s="1475" t="s">
        <v>25</v>
      </c>
      <c r="F64" s="780">
        <v>299.55</v>
      </c>
      <c r="G64" s="982"/>
      <c r="H64" s="1008"/>
      <c r="I64" s="1063"/>
      <c r="J64" s="613"/>
      <c r="K64" s="982"/>
      <c r="L64" s="622"/>
      <c r="M64" s="982"/>
      <c r="N64" s="622"/>
      <c r="O64" s="1063"/>
      <c r="P64" s="622"/>
      <c r="Q64" s="982"/>
      <c r="R64" s="1028" t="s">
        <v>7137</v>
      </c>
    </row>
    <row r="65" spans="1:42" s="224" customFormat="1" x14ac:dyDescent="0.25">
      <c r="A65" s="247">
        <v>45790</v>
      </c>
      <c r="B65" s="1275" t="s">
        <v>7677</v>
      </c>
      <c r="C65" s="879" t="s">
        <v>12</v>
      </c>
      <c r="D65" s="875" t="s">
        <v>1524</v>
      </c>
      <c r="E65" s="957" t="s">
        <v>25</v>
      </c>
      <c r="F65" s="780">
        <v>250</v>
      </c>
      <c r="G65" s="982"/>
      <c r="H65" s="1008"/>
      <c r="I65" s="1063"/>
      <c r="J65" s="622"/>
      <c r="K65" s="982"/>
      <c r="L65" s="622"/>
      <c r="M65" s="982"/>
      <c r="N65" s="622"/>
      <c r="O65" s="1063"/>
      <c r="P65" s="622"/>
      <c r="Q65" s="982"/>
      <c r="R65" s="1028" t="s">
        <v>7137</v>
      </c>
      <c r="T65" s="878"/>
    </row>
    <row r="66" spans="1:42" s="224" customFormat="1" ht="15" customHeight="1" x14ac:dyDescent="0.25">
      <c r="A66" s="247">
        <v>45790</v>
      </c>
      <c r="B66" s="882" t="s">
        <v>7872</v>
      </c>
      <c r="C66" s="879" t="s">
        <v>12</v>
      </c>
      <c r="D66" s="875" t="s">
        <v>1524</v>
      </c>
      <c r="E66" s="957" t="s">
        <v>25</v>
      </c>
      <c r="F66" s="780">
        <v>31.69</v>
      </c>
      <c r="G66" s="982"/>
      <c r="H66" s="1008"/>
      <c r="I66" s="1063"/>
      <c r="J66" s="613"/>
      <c r="K66" s="982"/>
      <c r="L66" s="622"/>
      <c r="M66" s="982"/>
      <c r="N66" s="622"/>
      <c r="O66" s="1063"/>
      <c r="P66" s="622"/>
      <c r="Q66" s="982"/>
      <c r="R66" s="1028" t="s">
        <v>7137</v>
      </c>
    </row>
    <row r="67" spans="1:42" s="224" customFormat="1" ht="15" customHeight="1" x14ac:dyDescent="0.25">
      <c r="A67" s="247">
        <v>45790</v>
      </c>
      <c r="B67" s="882" t="s">
        <v>7783</v>
      </c>
      <c r="C67" s="879" t="s">
        <v>12</v>
      </c>
      <c r="D67" s="875" t="s">
        <v>1524</v>
      </c>
      <c r="E67" s="957" t="s">
        <v>25</v>
      </c>
      <c r="F67" s="780">
        <v>48</v>
      </c>
      <c r="G67" s="982"/>
      <c r="H67" s="1008"/>
      <c r="I67" s="1063"/>
      <c r="J67" s="613"/>
      <c r="K67" s="982"/>
      <c r="L67" s="622"/>
      <c r="M67" s="982"/>
      <c r="N67" s="622"/>
      <c r="O67" s="1063"/>
      <c r="P67" s="622"/>
      <c r="Q67" s="982"/>
      <c r="R67" s="1028" t="s">
        <v>7137</v>
      </c>
    </row>
    <row r="68" spans="1:42" s="224" customFormat="1" x14ac:dyDescent="0.25">
      <c r="A68" s="247">
        <v>45790</v>
      </c>
      <c r="B68" s="1275" t="s">
        <v>7784</v>
      </c>
      <c r="C68" s="879" t="s">
        <v>12</v>
      </c>
      <c r="D68" s="875" t="s">
        <v>1524</v>
      </c>
      <c r="E68" s="957" t="s">
        <v>25</v>
      </c>
      <c r="F68" s="780">
        <v>48</v>
      </c>
      <c r="G68" s="982"/>
      <c r="H68" s="1008"/>
      <c r="I68" s="1063"/>
      <c r="J68" s="622"/>
      <c r="K68" s="982"/>
      <c r="L68" s="622"/>
      <c r="M68" s="982"/>
      <c r="N68" s="622"/>
      <c r="O68" s="1063"/>
      <c r="P68" s="622"/>
      <c r="Q68" s="982"/>
      <c r="R68" s="1028" t="s">
        <v>7137</v>
      </c>
      <c r="T68" s="878"/>
    </row>
    <row r="69" spans="1:42" s="224" customFormat="1" ht="15" customHeight="1" x14ac:dyDescent="0.25">
      <c r="A69" s="247">
        <v>45790</v>
      </c>
      <c r="B69" s="882" t="s">
        <v>7785</v>
      </c>
      <c r="C69" s="879" t="s">
        <v>12</v>
      </c>
      <c r="D69" s="875" t="s">
        <v>1524</v>
      </c>
      <c r="E69" s="957" t="s">
        <v>25</v>
      </c>
      <c r="F69" s="780">
        <v>44.52</v>
      </c>
      <c r="G69" s="982"/>
      <c r="H69" s="1008"/>
      <c r="I69" s="1063"/>
      <c r="J69" s="613"/>
      <c r="K69" s="982"/>
      <c r="L69" s="622"/>
      <c r="M69" s="982"/>
      <c r="N69" s="622"/>
      <c r="O69" s="1063"/>
      <c r="P69" s="622"/>
      <c r="Q69" s="982"/>
      <c r="R69" s="1028" t="s">
        <v>7137</v>
      </c>
    </row>
    <row r="70" spans="1:42" s="224" customFormat="1" x14ac:dyDescent="0.25">
      <c r="A70" s="247">
        <v>45790</v>
      </c>
      <c r="B70" s="1275" t="s">
        <v>7785</v>
      </c>
      <c r="C70" s="879" t="s">
        <v>12</v>
      </c>
      <c r="D70" s="875" t="s">
        <v>1524</v>
      </c>
      <c r="E70" s="957" t="s">
        <v>25</v>
      </c>
      <c r="F70" s="780">
        <v>44.52</v>
      </c>
      <c r="G70" s="982"/>
      <c r="H70" s="1008"/>
      <c r="I70" s="1063"/>
      <c r="J70" s="622"/>
      <c r="K70" s="982"/>
      <c r="L70" s="622"/>
      <c r="M70" s="982"/>
      <c r="N70" s="622"/>
      <c r="O70" s="1063"/>
      <c r="P70" s="622"/>
      <c r="Q70" s="982"/>
      <c r="R70" s="1028" t="s">
        <v>7137</v>
      </c>
      <c r="T70" s="878"/>
    </row>
    <row r="71" spans="1:42" s="224" customFormat="1" x14ac:dyDescent="0.25">
      <c r="A71" s="247">
        <v>45790</v>
      </c>
      <c r="B71" s="1275" t="s">
        <v>7803</v>
      </c>
      <c r="C71" s="879" t="s">
        <v>12</v>
      </c>
      <c r="D71" s="875" t="s">
        <v>1524</v>
      </c>
      <c r="E71" s="957" t="s">
        <v>25</v>
      </c>
      <c r="F71" s="780">
        <v>26.88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1028" t="s">
        <v>7137</v>
      </c>
      <c r="T71" s="878"/>
    </row>
    <row r="72" spans="1:42" s="224" customFormat="1" ht="15" customHeight="1" x14ac:dyDescent="0.25">
      <c r="A72" s="247">
        <v>45790</v>
      </c>
      <c r="B72" s="882" t="s">
        <v>7802</v>
      </c>
      <c r="C72" s="879" t="s">
        <v>12</v>
      </c>
      <c r="D72" s="875" t="s">
        <v>1524</v>
      </c>
      <c r="E72" s="957" t="s">
        <v>25</v>
      </c>
      <c r="F72" s="780">
        <v>73.34</v>
      </c>
      <c r="G72" s="982"/>
      <c r="H72" s="1008"/>
      <c r="I72" s="1063"/>
      <c r="J72" s="613"/>
      <c r="K72" s="982"/>
      <c r="L72" s="622"/>
      <c r="M72" s="982"/>
      <c r="N72" s="622"/>
      <c r="O72" s="1063"/>
      <c r="P72" s="622"/>
      <c r="Q72" s="982"/>
      <c r="R72" s="1028" t="s">
        <v>7137</v>
      </c>
    </row>
    <row r="73" spans="1:42" s="224" customFormat="1" ht="15" customHeight="1" x14ac:dyDescent="0.25">
      <c r="A73" s="247">
        <v>45790</v>
      </c>
      <c r="B73" s="882" t="s">
        <v>7792</v>
      </c>
      <c r="C73" s="879" t="s">
        <v>12</v>
      </c>
      <c r="D73" s="875" t="s">
        <v>1496</v>
      </c>
      <c r="E73" s="957" t="s">
        <v>25</v>
      </c>
      <c r="F73" s="780">
        <v>68.63</v>
      </c>
      <c r="G73" s="982"/>
      <c r="H73" s="1008"/>
      <c r="I73" s="1063"/>
      <c r="J73" s="613"/>
      <c r="K73" s="982"/>
      <c r="L73" s="622"/>
      <c r="M73" s="982"/>
      <c r="N73" s="622"/>
      <c r="O73" s="1063"/>
      <c r="P73" s="622"/>
      <c r="Q73" s="982"/>
      <c r="R73" s="1028" t="s">
        <v>7137</v>
      </c>
    </row>
    <row r="74" spans="1:42" s="224" customFormat="1" ht="15" customHeight="1" x14ac:dyDescent="0.25">
      <c r="A74" s="247">
        <v>45790</v>
      </c>
      <c r="B74" s="1275" t="s">
        <v>32</v>
      </c>
      <c r="C74" s="1276" t="s">
        <v>12</v>
      </c>
      <c r="D74" s="1276" t="s">
        <v>1485</v>
      </c>
      <c r="E74" s="1286" t="s">
        <v>13</v>
      </c>
      <c r="F74" s="780">
        <v>24</v>
      </c>
      <c r="G74" s="982"/>
      <c r="H74" s="622"/>
      <c r="I74" s="982"/>
      <c r="J74" s="622"/>
      <c r="K74" s="982"/>
      <c r="L74" s="622"/>
      <c r="M74" s="982"/>
      <c r="N74" s="622"/>
      <c r="O74" s="1063"/>
      <c r="P74" s="622"/>
      <c r="Q74" s="982"/>
      <c r="R74" s="1028"/>
      <c r="S74" s="959"/>
      <c r="T74" s="878"/>
      <c r="U74" s="958"/>
    </row>
    <row r="75" spans="1:42" s="224" customFormat="1" x14ac:dyDescent="0.25">
      <c r="A75" s="247">
        <v>45790</v>
      </c>
      <c r="B75" s="882" t="s">
        <v>14</v>
      </c>
      <c r="C75" s="1276" t="s">
        <v>12</v>
      </c>
      <c r="D75" s="879" t="s">
        <v>1486</v>
      </c>
      <c r="E75" s="875" t="s">
        <v>13</v>
      </c>
      <c r="F75" s="780">
        <v>11.6</v>
      </c>
      <c r="G75" s="982"/>
      <c r="H75" s="1008"/>
      <c r="I75" s="1063"/>
      <c r="J75" s="622"/>
      <c r="K75" s="982"/>
      <c r="L75" s="622"/>
      <c r="M75" s="982"/>
      <c r="N75" s="622"/>
      <c r="O75" s="1063"/>
      <c r="P75" s="622"/>
      <c r="Q75" s="982"/>
      <c r="R75" s="1028"/>
      <c r="T75" s="878"/>
    </row>
    <row r="76" spans="1:42" s="224" customFormat="1" ht="15" customHeight="1" x14ac:dyDescent="0.25">
      <c r="A76" s="247">
        <v>45791</v>
      </c>
      <c r="B76" s="1275" t="s">
        <v>32</v>
      </c>
      <c r="C76" s="1276" t="s">
        <v>12</v>
      </c>
      <c r="D76" s="1276" t="s">
        <v>1485</v>
      </c>
      <c r="E76" s="1286" t="s">
        <v>13</v>
      </c>
      <c r="F76" s="780">
        <v>23</v>
      </c>
      <c r="G76" s="982"/>
      <c r="H76" s="622"/>
      <c r="I76" s="982"/>
      <c r="J76" s="622"/>
      <c r="K76" s="982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45792</v>
      </c>
      <c r="B77" s="1275" t="s">
        <v>32</v>
      </c>
      <c r="C77" s="1276" t="s">
        <v>12</v>
      </c>
      <c r="D77" s="1276" t="s">
        <v>1485</v>
      </c>
      <c r="E77" s="1286" t="s">
        <v>13</v>
      </c>
      <c r="F77" s="780">
        <v>31</v>
      </c>
      <c r="G77" s="982"/>
      <c r="H77" s="622"/>
      <c r="I77" s="982"/>
      <c r="J77" s="622"/>
      <c r="K77" s="982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45792</v>
      </c>
      <c r="B78" s="882" t="s">
        <v>7877</v>
      </c>
      <c r="C78" s="879" t="s">
        <v>12</v>
      </c>
      <c r="D78" s="879" t="s">
        <v>6731</v>
      </c>
      <c r="E78" s="480" t="s">
        <v>13</v>
      </c>
      <c r="F78" s="613">
        <v>7.5</v>
      </c>
      <c r="G78" s="967"/>
      <c r="H78" s="1008"/>
      <c r="I78" s="1063"/>
      <c r="J78" s="622"/>
      <c r="K78" s="982"/>
      <c r="L78" s="880"/>
      <c r="M78" s="1033"/>
      <c r="N78" s="880"/>
      <c r="O78" s="1525"/>
      <c r="P78" s="613"/>
      <c r="Q78" s="162"/>
      <c r="R78" s="1956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45792</v>
      </c>
      <c r="B79" s="882" t="s">
        <v>14</v>
      </c>
      <c r="C79" s="1276" t="s">
        <v>12</v>
      </c>
      <c r="D79" s="879" t="s">
        <v>1486</v>
      </c>
      <c r="E79" s="875" t="s">
        <v>13</v>
      </c>
      <c r="F79" s="780">
        <v>9.52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5" customHeight="1" x14ac:dyDescent="0.25">
      <c r="A80" s="247">
        <v>45793</v>
      </c>
      <c r="B80" s="882" t="s">
        <v>6258</v>
      </c>
      <c r="C80" s="879" t="s">
        <v>12</v>
      </c>
      <c r="D80" s="879"/>
      <c r="E80" s="875" t="s">
        <v>13</v>
      </c>
      <c r="F80" s="780"/>
      <c r="G80" s="982">
        <v>22.5</v>
      </c>
      <c r="H80" s="1008"/>
      <c r="I80" s="1063"/>
      <c r="J80" s="622">
        <v>22.5</v>
      </c>
      <c r="K80" s="982"/>
      <c r="L80" s="622"/>
      <c r="M80" s="982"/>
      <c r="N80" s="622"/>
      <c r="O80" s="1063"/>
      <c r="P80" s="622"/>
      <c r="Q80" s="982"/>
      <c r="R80" s="941"/>
    </row>
    <row r="81" spans="1:42" s="224" customFormat="1" ht="15" customHeight="1" x14ac:dyDescent="0.25">
      <c r="A81" s="247">
        <v>45793</v>
      </c>
      <c r="B81" s="882" t="s">
        <v>7878</v>
      </c>
      <c r="C81" s="879" t="s">
        <v>12</v>
      </c>
      <c r="D81" s="879" t="s">
        <v>1524</v>
      </c>
      <c r="E81" s="871" t="s">
        <v>13</v>
      </c>
      <c r="F81" s="780">
        <v>22.5</v>
      </c>
      <c r="G81" s="982"/>
      <c r="H81" s="622"/>
      <c r="I81" s="982"/>
      <c r="J81" s="872"/>
      <c r="K81" s="1207"/>
      <c r="L81" s="622"/>
      <c r="M81" s="982"/>
      <c r="N81" s="622"/>
      <c r="O81" s="1063"/>
      <c r="P81" s="622"/>
      <c r="Q81" s="982"/>
      <c r="R81" s="1028"/>
      <c r="S81" s="959"/>
      <c r="T81" s="878"/>
      <c r="U81" s="958"/>
    </row>
    <row r="82" spans="1:42" s="224" customFormat="1" ht="15" customHeight="1" x14ac:dyDescent="0.25">
      <c r="A82" s="247">
        <v>45793</v>
      </c>
      <c r="B82" s="882" t="s">
        <v>81</v>
      </c>
      <c r="C82" s="879" t="s">
        <v>12</v>
      </c>
      <c r="D82" s="879" t="s">
        <v>1493</v>
      </c>
      <c r="E82" s="875" t="s">
        <v>13</v>
      </c>
      <c r="F82" s="780">
        <v>6</v>
      </c>
      <c r="G82" s="982"/>
      <c r="H82" s="1008"/>
      <c r="I82" s="1063"/>
      <c r="J82" s="622"/>
      <c r="K82" s="982"/>
      <c r="L82" s="622"/>
      <c r="M82" s="982"/>
      <c r="N82" s="622"/>
      <c r="O82" s="1063"/>
      <c r="P82" s="622"/>
      <c r="Q82" s="982"/>
      <c r="R82" s="941"/>
    </row>
    <row r="83" spans="1:42" s="224" customFormat="1" ht="15" customHeight="1" x14ac:dyDescent="0.25">
      <c r="A83" s="247">
        <v>45793</v>
      </c>
      <c r="B83" s="882" t="s">
        <v>1906</v>
      </c>
      <c r="C83" s="879" t="s">
        <v>12</v>
      </c>
      <c r="D83" s="879" t="s">
        <v>1493</v>
      </c>
      <c r="E83" s="871" t="s">
        <v>13</v>
      </c>
      <c r="F83" s="780">
        <v>23</v>
      </c>
      <c r="G83" s="982"/>
      <c r="H83" s="622"/>
      <c r="I83" s="982"/>
      <c r="J83" s="872"/>
      <c r="K83" s="1207"/>
      <c r="L83" s="622"/>
      <c r="M83" s="982"/>
      <c r="N83" s="622"/>
      <c r="O83" s="1063"/>
      <c r="P83" s="622"/>
      <c r="Q83" s="982"/>
      <c r="R83" s="1028"/>
      <c r="S83" s="959"/>
      <c r="T83" s="878"/>
      <c r="U83" s="958"/>
    </row>
    <row r="84" spans="1:42" s="224" customFormat="1" ht="15" customHeight="1" x14ac:dyDescent="0.25">
      <c r="A84" s="247">
        <v>45794</v>
      </c>
      <c r="B84" s="882" t="s">
        <v>14</v>
      </c>
      <c r="C84" s="1276" t="s">
        <v>12</v>
      </c>
      <c r="D84" s="879" t="s">
        <v>1486</v>
      </c>
      <c r="E84" s="875" t="s">
        <v>13</v>
      </c>
      <c r="F84" s="780">
        <v>7.92</v>
      </c>
      <c r="G84" s="982"/>
      <c r="H84" s="622"/>
      <c r="I84" s="982"/>
      <c r="J84" s="622"/>
      <c r="K84" s="982"/>
      <c r="L84" s="622"/>
      <c r="M84" s="982"/>
      <c r="N84" s="622"/>
      <c r="O84" s="1063"/>
      <c r="P84" s="622"/>
      <c r="Q84" s="982"/>
      <c r="R84" s="1028"/>
      <c r="S84" s="959"/>
      <c r="T84" s="878"/>
      <c r="U84" s="958"/>
    </row>
    <row r="85" spans="1:42" s="224" customFormat="1" ht="15" customHeight="1" x14ac:dyDescent="0.25">
      <c r="A85" s="247">
        <v>45794</v>
      </c>
      <c r="B85" s="882" t="s">
        <v>2629</v>
      </c>
      <c r="C85" s="879" t="s">
        <v>12</v>
      </c>
      <c r="D85" s="879" t="s">
        <v>1489</v>
      </c>
      <c r="E85" s="875" t="s">
        <v>5470</v>
      </c>
      <c r="F85" s="780">
        <v>50</v>
      </c>
      <c r="G85" s="982"/>
      <c r="H85" s="622"/>
      <c r="I85" s="982"/>
      <c r="J85" s="622"/>
      <c r="K85" s="982"/>
      <c r="L85" s="622"/>
      <c r="M85" s="982"/>
      <c r="N85" s="880"/>
      <c r="O85" s="1525"/>
      <c r="P85" s="613"/>
      <c r="Q85" s="162"/>
      <c r="R85" s="1956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customHeight="1" x14ac:dyDescent="0.25">
      <c r="A86" s="247">
        <v>45794</v>
      </c>
      <c r="B86" s="882" t="s">
        <v>2629</v>
      </c>
      <c r="C86" s="879" t="s">
        <v>12</v>
      </c>
      <c r="D86" s="879" t="s">
        <v>1489</v>
      </c>
      <c r="E86" s="875" t="s">
        <v>13</v>
      </c>
      <c r="F86" s="780">
        <v>23.09</v>
      </c>
      <c r="G86" s="982"/>
      <c r="H86" s="622"/>
      <c r="I86" s="982"/>
      <c r="J86" s="622"/>
      <c r="K86" s="982"/>
      <c r="L86" s="622"/>
      <c r="M86" s="982"/>
      <c r="N86" s="880"/>
      <c r="O86" s="1525"/>
      <c r="P86" s="613"/>
      <c r="Q86" s="162"/>
      <c r="R86" s="195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pans="1:42" s="224" customFormat="1" ht="15" customHeight="1" x14ac:dyDescent="0.25">
      <c r="A87" s="247">
        <v>45794</v>
      </c>
      <c r="B87" s="882" t="s">
        <v>6258</v>
      </c>
      <c r="C87" s="879" t="s">
        <v>12</v>
      </c>
      <c r="D87" s="879"/>
      <c r="E87" s="875" t="s">
        <v>13</v>
      </c>
      <c r="F87" s="780"/>
      <c r="G87" s="982">
        <v>202.91</v>
      </c>
      <c r="H87" s="1008"/>
      <c r="I87" s="1063"/>
      <c r="J87" s="622">
        <v>202.91</v>
      </c>
      <c r="K87" s="982"/>
      <c r="L87" s="622"/>
      <c r="M87" s="982"/>
      <c r="N87" s="622"/>
      <c r="O87" s="1063"/>
      <c r="P87" s="622"/>
      <c r="Q87" s="982"/>
      <c r="R87" s="941"/>
    </row>
    <row r="88" spans="1:42" s="224" customFormat="1" ht="15" customHeight="1" x14ac:dyDescent="0.25">
      <c r="A88" s="247">
        <v>45794</v>
      </c>
      <c r="B88" s="882" t="s">
        <v>7879</v>
      </c>
      <c r="C88" s="879" t="s">
        <v>12</v>
      </c>
      <c r="D88" s="879" t="s">
        <v>1524</v>
      </c>
      <c r="E88" s="871" t="s">
        <v>13</v>
      </c>
      <c r="F88" s="780">
        <v>202.91</v>
      </c>
      <c r="G88" s="982"/>
      <c r="H88" s="622"/>
      <c r="I88" s="982"/>
      <c r="J88" s="872"/>
      <c r="K88" s="1207"/>
      <c r="L88" s="622"/>
      <c r="M88" s="982"/>
      <c r="N88" s="622"/>
      <c r="O88" s="1063"/>
      <c r="P88" s="622"/>
      <c r="Q88" s="982"/>
      <c r="R88" s="1028"/>
      <c r="S88" s="959"/>
      <c r="T88" s="878"/>
      <c r="U88" s="958"/>
    </row>
    <row r="89" spans="1:42" s="224" customFormat="1" ht="15" customHeight="1" x14ac:dyDescent="0.25">
      <c r="A89" s="247">
        <v>45795</v>
      </c>
      <c r="B89" s="882" t="s">
        <v>14</v>
      </c>
      <c r="C89" s="1276" t="s">
        <v>12</v>
      </c>
      <c r="D89" s="879" t="s">
        <v>1486</v>
      </c>
      <c r="E89" s="875" t="s">
        <v>13</v>
      </c>
      <c r="F89" s="780">
        <v>9.32</v>
      </c>
      <c r="G89" s="982"/>
      <c r="H89" s="622"/>
      <c r="I89" s="982"/>
      <c r="J89" s="622"/>
      <c r="K89" s="982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customHeight="1" x14ac:dyDescent="0.25">
      <c r="A90" s="247">
        <v>45795</v>
      </c>
      <c r="B90" s="882" t="s">
        <v>7881</v>
      </c>
      <c r="C90" s="879" t="s">
        <v>12</v>
      </c>
      <c r="D90" s="879" t="s">
        <v>6731</v>
      </c>
      <c r="E90" s="875" t="s">
        <v>13</v>
      </c>
      <c r="F90" s="780">
        <v>61.5</v>
      </c>
      <c r="G90" s="982"/>
      <c r="H90" s="622"/>
      <c r="I90" s="982"/>
      <c r="J90" s="622"/>
      <c r="K90" s="982"/>
      <c r="L90" s="622"/>
      <c r="M90" s="982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45796</v>
      </c>
      <c r="B91" s="1275" t="s">
        <v>32</v>
      </c>
      <c r="C91" s="1276" t="s">
        <v>12</v>
      </c>
      <c r="D91" s="1276" t="s">
        <v>1485</v>
      </c>
      <c r="E91" s="1286" t="s">
        <v>13</v>
      </c>
      <c r="F91" s="780">
        <v>23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45796</v>
      </c>
      <c r="B92" s="882" t="s">
        <v>6258</v>
      </c>
      <c r="C92" s="879" t="s">
        <v>12</v>
      </c>
      <c r="D92" s="879"/>
      <c r="E92" s="875" t="s">
        <v>13</v>
      </c>
      <c r="F92" s="780"/>
      <c r="G92" s="982">
        <v>22.5</v>
      </c>
      <c r="H92" s="1008"/>
      <c r="I92" s="1063"/>
      <c r="J92" s="622">
        <v>22.5</v>
      </c>
      <c r="K92" s="982"/>
      <c r="L92" s="622"/>
      <c r="M92" s="982"/>
      <c r="N92" s="622"/>
      <c r="O92" s="1063"/>
      <c r="P92" s="622"/>
      <c r="Q92" s="982"/>
      <c r="R92" s="941"/>
    </row>
    <row r="93" spans="1:42" s="224" customFormat="1" ht="15" customHeight="1" x14ac:dyDescent="0.25">
      <c r="A93" s="247">
        <v>45796</v>
      </c>
      <c r="B93" s="882" t="s">
        <v>7878</v>
      </c>
      <c r="C93" s="879" t="s">
        <v>12</v>
      </c>
      <c r="D93" s="879" t="s">
        <v>1524</v>
      </c>
      <c r="E93" s="871" t="s">
        <v>13</v>
      </c>
      <c r="F93" s="780">
        <v>22.5</v>
      </c>
      <c r="G93" s="982"/>
      <c r="H93" s="622"/>
      <c r="I93" s="982"/>
      <c r="J93" s="872"/>
      <c r="K93" s="1207"/>
      <c r="L93" s="622"/>
      <c r="M93" s="982"/>
      <c r="N93" s="622"/>
      <c r="O93" s="1063"/>
      <c r="P93" s="622"/>
      <c r="Q93" s="982"/>
      <c r="R93" s="1028"/>
      <c r="S93" s="959"/>
      <c r="T93" s="878"/>
      <c r="U93" s="958"/>
    </row>
    <row r="94" spans="1:42" s="224" customFormat="1" ht="15" customHeight="1" x14ac:dyDescent="0.25">
      <c r="A94" s="247">
        <v>45796</v>
      </c>
      <c r="B94" s="882" t="s">
        <v>7884</v>
      </c>
      <c r="C94" s="879" t="s">
        <v>12</v>
      </c>
      <c r="D94" s="879" t="s">
        <v>6731</v>
      </c>
      <c r="E94" s="871" t="s">
        <v>13</v>
      </c>
      <c r="F94" s="780">
        <v>7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45797</v>
      </c>
      <c r="B95" s="882" t="s">
        <v>7813</v>
      </c>
      <c r="C95" s="350" t="s">
        <v>12</v>
      </c>
      <c r="D95" s="350"/>
      <c r="E95" s="480" t="s">
        <v>25</v>
      </c>
      <c r="F95" s="622"/>
      <c r="G95" s="982">
        <v>2520</v>
      </c>
      <c r="H95" s="1008"/>
      <c r="I95" s="1063"/>
      <c r="J95" s="622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45797</v>
      </c>
      <c r="B96" s="364" t="s">
        <v>7814</v>
      </c>
      <c r="C96" s="879" t="s">
        <v>12</v>
      </c>
      <c r="D96" s="879"/>
      <c r="E96" s="983" t="s">
        <v>25</v>
      </c>
      <c r="F96" s="780"/>
      <c r="G96" s="982"/>
      <c r="H96" s="622"/>
      <c r="I96" s="982"/>
      <c r="J96" s="2013"/>
      <c r="K96" s="1207"/>
      <c r="L96" s="622"/>
      <c r="M96" s="982"/>
      <c r="N96" s="622"/>
      <c r="O96" s="1063"/>
      <c r="P96" s="622"/>
      <c r="Q96" s="982">
        <v>504</v>
      </c>
      <c r="R96" s="927"/>
      <c r="S96" s="927"/>
      <c r="T96" s="878"/>
    </row>
    <row r="97" spans="1:42" s="224" customFormat="1" ht="15" customHeight="1" x14ac:dyDescent="0.25">
      <c r="A97" s="247">
        <v>45797</v>
      </c>
      <c r="B97" s="364" t="s">
        <v>3354</v>
      </c>
      <c r="C97" s="350" t="s">
        <v>12</v>
      </c>
      <c r="D97" s="350"/>
      <c r="E97" s="145" t="s">
        <v>25</v>
      </c>
      <c r="F97" s="613"/>
      <c r="G97" s="967"/>
      <c r="H97" s="1008"/>
      <c r="I97" s="1063"/>
      <c r="J97" s="622"/>
      <c r="K97" s="982"/>
      <c r="L97" s="880"/>
      <c r="M97" s="1033"/>
      <c r="N97" s="880"/>
      <c r="O97" s="1525"/>
      <c r="P97" s="613"/>
      <c r="Q97" s="162">
        <v>236.21</v>
      </c>
      <c r="R97" s="2018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pans="1:42" s="224" customFormat="1" ht="15" customHeight="1" x14ac:dyDescent="0.25">
      <c r="A98" s="247">
        <v>45797</v>
      </c>
      <c r="B98" s="862" t="s">
        <v>2867</v>
      </c>
      <c r="C98" s="350" t="s">
        <v>12</v>
      </c>
      <c r="D98" s="874" t="s">
        <v>1504</v>
      </c>
      <c r="E98" s="887" t="s">
        <v>13</v>
      </c>
      <c r="F98" s="1245"/>
      <c r="G98" s="982"/>
      <c r="H98" s="1009"/>
      <c r="I98" s="1063"/>
      <c r="J98" s="622"/>
      <c r="K98" s="982"/>
      <c r="L98" s="853"/>
      <c r="M98" s="982"/>
      <c r="N98" s="853"/>
      <c r="O98" s="1063"/>
      <c r="P98" s="622"/>
      <c r="Q98" s="982"/>
      <c r="R98" s="1690" t="s">
        <v>7577</v>
      </c>
      <c r="S98" s="1690"/>
      <c r="T98" s="1690"/>
      <c r="U98" s="1690"/>
      <c r="V98" s="1690"/>
      <c r="W98" s="1690"/>
      <c r="X98" s="1690"/>
      <c r="Y98" s="1690"/>
      <c r="Z98" s="1690"/>
    </row>
    <row r="99" spans="1:42" s="224" customFormat="1" ht="14.25" customHeight="1" x14ac:dyDescent="0.25">
      <c r="A99" s="247">
        <v>45797</v>
      </c>
      <c r="B99" s="364" t="s">
        <v>2977</v>
      </c>
      <c r="C99" s="350" t="s">
        <v>12</v>
      </c>
      <c r="D99" s="350" t="s">
        <v>1491</v>
      </c>
      <c r="E99" s="875" t="s">
        <v>13</v>
      </c>
      <c r="F99" s="1047">
        <v>400</v>
      </c>
      <c r="G99" s="982"/>
      <c r="H99" s="1008"/>
      <c r="I99" s="1063"/>
      <c r="J99" s="622"/>
      <c r="K99" s="982"/>
      <c r="L99" s="622"/>
      <c r="M99" s="982"/>
      <c r="N99" s="622"/>
      <c r="O99" s="1063"/>
      <c r="P99" s="622"/>
      <c r="Q99" s="982"/>
      <c r="R99" s="1029"/>
      <c r="S99" s="89"/>
      <c r="T99" s="930"/>
    </row>
    <row r="100" spans="1:42" s="224" customFormat="1" ht="15" customHeight="1" x14ac:dyDescent="0.25">
      <c r="A100" s="247">
        <v>45797</v>
      </c>
      <c r="B100" s="349" t="s">
        <v>7815</v>
      </c>
      <c r="C100" s="887" t="s">
        <v>12</v>
      </c>
      <c r="D100" s="350" t="s">
        <v>1524</v>
      </c>
      <c r="E100" s="887" t="s">
        <v>13</v>
      </c>
      <c r="F100" s="613">
        <v>147.4975</v>
      </c>
      <c r="G100" s="982"/>
      <c r="H100" s="872"/>
      <c r="I100" s="1063"/>
      <c r="J100" s="622"/>
      <c r="K100" s="982"/>
      <c r="L100" s="622"/>
      <c r="M100" s="982"/>
      <c r="N100" s="622"/>
      <c r="O100" s="1063"/>
      <c r="P100" s="622"/>
      <c r="Q100" s="982"/>
      <c r="R100" s="927"/>
      <c r="S100" s="999"/>
      <c r="T100" s="878"/>
    </row>
    <row r="101" spans="1:42" s="224" customFormat="1" ht="15" customHeight="1" x14ac:dyDescent="0.25">
      <c r="A101" s="247">
        <v>45797</v>
      </c>
      <c r="B101" s="349" t="s">
        <v>7815</v>
      </c>
      <c r="C101" s="887" t="s">
        <v>12</v>
      </c>
      <c r="D101" s="350" t="s">
        <v>1524</v>
      </c>
      <c r="E101" s="887" t="s">
        <v>13</v>
      </c>
      <c r="F101" s="613">
        <v>147.4975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927"/>
      <c r="S101" s="999"/>
      <c r="T101" s="878"/>
    </row>
    <row r="102" spans="1:42" s="224" customFormat="1" ht="15" customHeight="1" x14ac:dyDescent="0.25">
      <c r="A102" s="247">
        <v>45797</v>
      </c>
      <c r="B102" s="349" t="s">
        <v>7815</v>
      </c>
      <c r="C102" s="887" t="s">
        <v>12</v>
      </c>
      <c r="D102" s="350" t="s">
        <v>1524</v>
      </c>
      <c r="E102" s="887" t="s">
        <v>13</v>
      </c>
      <c r="F102" s="613">
        <v>474.9975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42" s="224" customFormat="1" ht="15" customHeight="1" x14ac:dyDescent="0.25">
      <c r="A103" s="247">
        <v>45797</v>
      </c>
      <c r="B103" s="349" t="s">
        <v>7815</v>
      </c>
      <c r="C103" s="887" t="s">
        <v>12</v>
      </c>
      <c r="D103" s="350" t="s">
        <v>1524</v>
      </c>
      <c r="E103" s="887" t="s">
        <v>13</v>
      </c>
      <c r="F103" s="613">
        <v>174.9975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42" s="224" customFormat="1" ht="15" customHeight="1" x14ac:dyDescent="0.25">
      <c r="A104" s="247">
        <v>45797</v>
      </c>
      <c r="B104" s="349" t="s">
        <v>7815</v>
      </c>
      <c r="C104" s="887" t="s">
        <v>12</v>
      </c>
      <c r="D104" s="350" t="s">
        <v>1524</v>
      </c>
      <c r="E104" s="887" t="s">
        <v>13</v>
      </c>
      <c r="F104" s="613">
        <v>157.4975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45797</v>
      </c>
      <c r="B105" s="349" t="s">
        <v>7815</v>
      </c>
      <c r="C105" s="887" t="s">
        <v>12</v>
      </c>
      <c r="D105" s="350" t="s">
        <v>1524</v>
      </c>
      <c r="E105" s="887" t="s">
        <v>13</v>
      </c>
      <c r="F105" s="613">
        <v>274.9975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45797</v>
      </c>
      <c r="B106" s="349" t="s">
        <v>7815</v>
      </c>
      <c r="C106" s="887" t="s">
        <v>12</v>
      </c>
      <c r="D106" s="350" t="s">
        <v>1524</v>
      </c>
      <c r="E106" s="887" t="s">
        <v>13</v>
      </c>
      <c r="F106" s="613">
        <v>149.9975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45797</v>
      </c>
      <c r="B107" s="349" t="s">
        <v>7815</v>
      </c>
      <c r="C107" s="887" t="s">
        <v>12</v>
      </c>
      <c r="D107" s="350" t="s">
        <v>1524</v>
      </c>
      <c r="E107" s="887" t="s">
        <v>13</v>
      </c>
      <c r="F107" s="613">
        <v>15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45797</v>
      </c>
      <c r="B108" s="349" t="s">
        <v>7815</v>
      </c>
      <c r="C108" s="887" t="s">
        <v>12</v>
      </c>
      <c r="D108" s="350" t="s">
        <v>1506</v>
      </c>
      <c r="E108" s="887" t="s">
        <v>13</v>
      </c>
      <c r="F108" s="613">
        <v>80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45797</v>
      </c>
      <c r="B109" s="349" t="s">
        <v>7815</v>
      </c>
      <c r="C109" s="887" t="s">
        <v>12</v>
      </c>
      <c r="D109" s="350" t="s">
        <v>1524</v>
      </c>
      <c r="E109" s="887" t="s">
        <v>13</v>
      </c>
      <c r="F109" s="613">
        <v>1500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45797</v>
      </c>
      <c r="B110" s="349" t="s">
        <v>7815</v>
      </c>
      <c r="C110" s="887" t="s">
        <v>12</v>
      </c>
      <c r="D110" s="350" t="s">
        <v>1489</v>
      </c>
      <c r="E110" s="887" t="s">
        <v>13</v>
      </c>
      <c r="F110" s="613">
        <v>94.424999999999997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45797</v>
      </c>
      <c r="B111" s="349" t="s">
        <v>7815</v>
      </c>
      <c r="C111" s="887" t="s">
        <v>12</v>
      </c>
      <c r="D111" s="350" t="s">
        <v>1506</v>
      </c>
      <c r="E111" s="887" t="s">
        <v>13</v>
      </c>
      <c r="F111" s="613">
        <v>75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45797</v>
      </c>
      <c r="B112" s="349" t="s">
        <v>7815</v>
      </c>
      <c r="C112" s="887" t="s">
        <v>12</v>
      </c>
      <c r="D112" s="350" t="s">
        <v>1525</v>
      </c>
      <c r="E112" s="887" t="s">
        <v>13</v>
      </c>
      <c r="F112" s="613">
        <v>117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42" s="224" customFormat="1" ht="15" customHeight="1" x14ac:dyDescent="0.25">
      <c r="A113" s="247">
        <v>45797</v>
      </c>
      <c r="B113" s="349" t="s">
        <v>7815</v>
      </c>
      <c r="C113" s="887" t="s">
        <v>12</v>
      </c>
      <c r="D113" s="350" t="s">
        <v>1506</v>
      </c>
      <c r="E113" s="887" t="s">
        <v>13</v>
      </c>
      <c r="F113" s="613">
        <v>139.9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42" s="224" customFormat="1" ht="15" customHeight="1" x14ac:dyDescent="0.25">
      <c r="A114" s="247">
        <v>45797</v>
      </c>
      <c r="B114" s="349" t="s">
        <v>7815</v>
      </c>
      <c r="C114" s="887" t="s">
        <v>12</v>
      </c>
      <c r="D114" s="350" t="s">
        <v>1489</v>
      </c>
      <c r="E114" s="887" t="s">
        <v>13</v>
      </c>
      <c r="F114" s="613">
        <v>170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42" s="224" customFormat="1" ht="15" customHeight="1" x14ac:dyDescent="0.25">
      <c r="A115" s="247">
        <v>45797</v>
      </c>
      <c r="B115" s="349" t="s">
        <v>7815</v>
      </c>
      <c r="C115" s="887" t="s">
        <v>12</v>
      </c>
      <c r="D115" s="350" t="s">
        <v>6731</v>
      </c>
      <c r="E115" s="887" t="s">
        <v>13</v>
      </c>
      <c r="F115" s="613">
        <v>13.33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42" s="224" customFormat="1" ht="15" customHeight="1" x14ac:dyDescent="0.25">
      <c r="A116" s="247">
        <v>45797</v>
      </c>
      <c r="B116" s="349" t="s">
        <v>7815</v>
      </c>
      <c r="C116" s="887" t="s">
        <v>12</v>
      </c>
      <c r="D116" s="350" t="s">
        <v>6731</v>
      </c>
      <c r="E116" s="887" t="s">
        <v>13</v>
      </c>
      <c r="F116" s="613">
        <v>99.933333333333337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42" s="224" customFormat="1" ht="15" customHeight="1" x14ac:dyDescent="0.25">
      <c r="A117" s="247">
        <v>45797</v>
      </c>
      <c r="B117" s="349" t="s">
        <v>7815</v>
      </c>
      <c r="C117" s="887" t="s">
        <v>12</v>
      </c>
      <c r="D117" s="350" t="s">
        <v>1524</v>
      </c>
      <c r="E117" s="887" t="s">
        <v>13</v>
      </c>
      <c r="F117" s="613">
        <v>118.136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42" s="224" customFormat="1" ht="15" customHeight="1" x14ac:dyDescent="0.25">
      <c r="A118" s="247">
        <v>45797</v>
      </c>
      <c r="B118" s="349" t="s">
        <v>7815</v>
      </c>
      <c r="C118" s="887" t="s">
        <v>12</v>
      </c>
      <c r="D118" s="350" t="s">
        <v>1524</v>
      </c>
      <c r="E118" s="887" t="s">
        <v>13</v>
      </c>
      <c r="F118" s="613">
        <v>68.3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42" s="224" customFormat="1" ht="15" customHeight="1" x14ac:dyDescent="0.25">
      <c r="A119" s="247">
        <v>45797</v>
      </c>
      <c r="B119" s="349" t="s">
        <v>7815</v>
      </c>
      <c r="C119" s="887" t="s">
        <v>12</v>
      </c>
      <c r="D119" s="350" t="s">
        <v>1522</v>
      </c>
      <c r="E119" s="887" t="s">
        <v>13</v>
      </c>
      <c r="F119" s="613">
        <v>171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42" s="224" customFormat="1" ht="15" customHeight="1" x14ac:dyDescent="0.25">
      <c r="A120" s="247">
        <v>45797</v>
      </c>
      <c r="B120" s="882" t="s">
        <v>7816</v>
      </c>
      <c r="C120" s="879" t="s">
        <v>12</v>
      </c>
      <c r="D120" s="879" t="s">
        <v>1499</v>
      </c>
      <c r="E120" s="871" t="s">
        <v>13</v>
      </c>
      <c r="F120" s="780">
        <v>0</v>
      </c>
      <c r="G120" s="982"/>
      <c r="H120" s="1008"/>
      <c r="I120" s="1063"/>
      <c r="J120" s="622"/>
      <c r="K120" s="982"/>
      <c r="L120" s="622"/>
      <c r="M120" s="982"/>
      <c r="N120" s="622"/>
      <c r="O120" s="1063"/>
      <c r="P120" s="622"/>
      <c r="Q120" s="982"/>
      <c r="R120" s="1028" t="s">
        <v>7729</v>
      </c>
      <c r="T120" s="1123"/>
      <c r="U120" s="999"/>
    </row>
    <row r="121" spans="1:42" s="224" customFormat="1" ht="15" customHeight="1" x14ac:dyDescent="0.25">
      <c r="A121" s="247">
        <v>45797</v>
      </c>
      <c r="B121" s="1275" t="s">
        <v>7891</v>
      </c>
      <c r="C121" s="1276" t="s">
        <v>12</v>
      </c>
      <c r="D121" s="1276"/>
      <c r="E121" s="1286" t="s">
        <v>13</v>
      </c>
      <c r="F121" s="613">
        <v>243.56</v>
      </c>
      <c r="G121" s="967"/>
      <c r="H121" s="1008"/>
      <c r="I121" s="1063"/>
      <c r="J121" s="613"/>
      <c r="K121" s="6"/>
      <c r="L121" s="622"/>
      <c r="M121" s="982"/>
      <c r="N121" s="622"/>
      <c r="O121" s="1063"/>
      <c r="P121" s="613"/>
      <c r="Q121" s="64"/>
      <c r="R121" s="1024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</row>
    <row r="122" spans="1:42" s="224" customFormat="1" ht="15" customHeight="1" x14ac:dyDescent="0.25">
      <c r="A122" s="247">
        <v>45797</v>
      </c>
      <c r="B122" s="1275" t="s">
        <v>6755</v>
      </c>
      <c r="C122" s="1276" t="s">
        <v>12</v>
      </c>
      <c r="D122" s="1276"/>
      <c r="E122" s="1286"/>
      <c r="F122" s="613"/>
      <c r="G122" s="967">
        <v>243.56</v>
      </c>
      <c r="H122" s="1008"/>
      <c r="I122" s="1063"/>
      <c r="J122" s="613"/>
      <c r="K122" s="6"/>
      <c r="L122" s="622"/>
      <c r="M122" s="982"/>
      <c r="N122" s="622"/>
      <c r="O122" s="1063"/>
      <c r="P122" s="613"/>
      <c r="Q122" s="64"/>
      <c r="R122" s="1024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45797</v>
      </c>
      <c r="B123" s="882" t="s">
        <v>6814</v>
      </c>
      <c r="C123" s="879" t="s">
        <v>12</v>
      </c>
      <c r="D123" s="879"/>
      <c r="E123" s="875" t="s">
        <v>13</v>
      </c>
      <c r="F123" s="780"/>
      <c r="G123" s="982">
        <v>3228.92</v>
      </c>
      <c r="H123" s="1008"/>
      <c r="I123" s="1063"/>
      <c r="J123" s="622">
        <v>3228.92</v>
      </c>
      <c r="K123" s="982"/>
      <c r="L123" s="622"/>
      <c r="M123" s="982"/>
      <c r="N123" s="622"/>
      <c r="O123" s="1063"/>
      <c r="P123" s="622"/>
      <c r="Q123" s="982"/>
      <c r="R123" s="941"/>
    </row>
    <row r="124" spans="1:42" s="224" customFormat="1" ht="15" customHeight="1" x14ac:dyDescent="0.25">
      <c r="A124" s="247">
        <v>45797</v>
      </c>
      <c r="B124" s="882" t="s">
        <v>7883</v>
      </c>
      <c r="C124" s="879" t="s">
        <v>12</v>
      </c>
      <c r="D124" s="879" t="s">
        <v>1489</v>
      </c>
      <c r="E124" s="871" t="s">
        <v>13</v>
      </c>
      <c r="F124" s="780">
        <v>150</v>
      </c>
      <c r="G124" s="982"/>
      <c r="H124" s="95"/>
      <c r="I124" s="1064"/>
      <c r="J124" s="613"/>
      <c r="K124" s="6"/>
      <c r="L124" s="622"/>
      <c r="M124" s="982"/>
      <c r="N124" s="622"/>
      <c r="O124" s="1063"/>
      <c r="P124" s="622"/>
      <c r="Q124" s="982"/>
      <c r="R124" s="861"/>
    </row>
    <row r="125" spans="1:42" s="224" customFormat="1" ht="15" customHeight="1" x14ac:dyDescent="0.25">
      <c r="A125" s="247">
        <v>45797</v>
      </c>
      <c r="B125" s="1275" t="s">
        <v>32</v>
      </c>
      <c r="C125" s="1276" t="s">
        <v>12</v>
      </c>
      <c r="D125" s="1276" t="s">
        <v>1485</v>
      </c>
      <c r="E125" s="1286" t="s">
        <v>13</v>
      </c>
      <c r="F125" s="780">
        <v>24</v>
      </c>
      <c r="G125" s="982"/>
      <c r="H125" s="622"/>
      <c r="I125" s="982"/>
      <c r="J125" s="622"/>
      <c r="K125" s="982"/>
      <c r="L125" s="622"/>
      <c r="M125" s="982"/>
      <c r="N125" s="622"/>
      <c r="O125" s="1063"/>
      <c r="P125" s="622"/>
      <c r="Q125" s="982"/>
      <c r="R125" s="1028"/>
      <c r="S125" s="959"/>
      <c r="T125" s="878"/>
      <c r="U125" s="958"/>
    </row>
    <row r="126" spans="1:42" s="224" customFormat="1" ht="15" customHeight="1" x14ac:dyDescent="0.25">
      <c r="A126" s="247">
        <v>45797</v>
      </c>
      <c r="B126" s="882" t="s">
        <v>7896</v>
      </c>
      <c r="C126" s="879" t="s">
        <v>12</v>
      </c>
      <c r="D126" s="879"/>
      <c r="E126" s="875"/>
      <c r="F126" s="780"/>
      <c r="G126" s="982"/>
      <c r="H126" s="95"/>
      <c r="I126" s="1064"/>
      <c r="J126" s="613"/>
      <c r="K126" s="64">
        <v>3021.51</v>
      </c>
      <c r="L126" s="622"/>
      <c r="M126" s="982"/>
      <c r="N126" s="622"/>
      <c r="O126" s="1063"/>
      <c r="P126" s="1116"/>
      <c r="Q126" s="1215"/>
      <c r="R126" s="1028">
        <v>4998</v>
      </c>
      <c r="U126" s="958"/>
    </row>
    <row r="127" spans="1:42" s="224" customFormat="1" ht="15" customHeight="1" x14ac:dyDescent="0.25">
      <c r="A127" s="247">
        <v>45797</v>
      </c>
      <c r="B127" s="882" t="s">
        <v>7897</v>
      </c>
      <c r="C127" s="879" t="s">
        <v>12</v>
      </c>
      <c r="D127" s="879"/>
      <c r="E127" s="875"/>
      <c r="F127" s="780"/>
      <c r="G127" s="982"/>
      <c r="H127" s="95"/>
      <c r="I127" s="1064"/>
      <c r="J127" s="613"/>
      <c r="K127" s="64">
        <v>1976.85</v>
      </c>
      <c r="L127" s="622"/>
      <c r="M127" s="982"/>
      <c r="N127" s="622"/>
      <c r="O127" s="1525"/>
      <c r="P127" s="1116"/>
      <c r="Q127" s="1215"/>
      <c r="R127" s="1028"/>
      <c r="U127" s="958"/>
    </row>
    <row r="128" spans="1:42" s="224" customFormat="1" ht="15" customHeight="1" x14ac:dyDescent="0.25">
      <c r="A128" s="247">
        <v>45797</v>
      </c>
      <c r="B128" s="882" t="s">
        <v>7700</v>
      </c>
      <c r="C128" s="879" t="s">
        <v>12</v>
      </c>
      <c r="D128" s="879"/>
      <c r="E128" s="875" t="s">
        <v>13</v>
      </c>
      <c r="F128" s="780">
        <v>400</v>
      </c>
      <c r="G128" s="982"/>
      <c r="H128" s="95"/>
      <c r="I128" s="1064"/>
      <c r="J128" s="622"/>
      <c r="K128" s="982">
        <v>400</v>
      </c>
      <c r="L128" s="622"/>
      <c r="M128" s="982"/>
      <c r="N128" s="622"/>
      <c r="O128" s="982"/>
      <c r="P128" s="622"/>
      <c r="Q128" s="982"/>
      <c r="R128" s="1210"/>
      <c r="S128" s="1038"/>
      <c r="T128" s="861"/>
    </row>
    <row r="129" spans="1:21" s="224" customFormat="1" ht="15" customHeight="1" x14ac:dyDescent="0.25">
      <c r="A129" s="247">
        <v>45797</v>
      </c>
      <c r="B129" s="882" t="s">
        <v>6329</v>
      </c>
      <c r="C129" s="879" t="s">
        <v>12</v>
      </c>
      <c r="D129" s="879"/>
      <c r="E129" s="875" t="s">
        <v>25</v>
      </c>
      <c r="F129" s="780"/>
      <c r="G129" s="982">
        <v>100</v>
      </c>
      <c r="H129" s="1008"/>
      <c r="I129" s="1063"/>
      <c r="J129" s="613"/>
      <c r="K129" s="982"/>
      <c r="L129" s="622"/>
      <c r="M129" s="982"/>
      <c r="N129" s="622"/>
      <c r="O129" s="1063"/>
      <c r="P129" s="622"/>
      <c r="Q129" s="982"/>
      <c r="R129" s="861"/>
    </row>
    <row r="130" spans="1:21" s="224" customFormat="1" ht="15" customHeight="1" x14ac:dyDescent="0.25">
      <c r="A130" s="247">
        <v>45797</v>
      </c>
      <c r="B130" s="882" t="s">
        <v>14</v>
      </c>
      <c r="C130" s="1276" t="s">
        <v>12</v>
      </c>
      <c r="D130" s="879" t="s">
        <v>1486</v>
      </c>
      <c r="E130" s="875" t="s">
        <v>13</v>
      </c>
      <c r="F130" s="780">
        <v>8.7899999999999991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21" s="224" customFormat="1" ht="15" customHeight="1" x14ac:dyDescent="0.25">
      <c r="A131" s="247">
        <v>45798</v>
      </c>
      <c r="B131" s="1275" t="s">
        <v>32</v>
      </c>
      <c r="C131" s="1276" t="s">
        <v>12</v>
      </c>
      <c r="D131" s="1276" t="s">
        <v>1485</v>
      </c>
      <c r="E131" s="1286" t="s">
        <v>13</v>
      </c>
      <c r="F131" s="780">
        <v>23</v>
      </c>
      <c r="G131" s="982"/>
      <c r="H131" s="622"/>
      <c r="I131" s="982"/>
      <c r="J131" s="622"/>
      <c r="K131" s="982"/>
      <c r="L131" s="622"/>
      <c r="M131" s="982"/>
      <c r="N131" s="622"/>
      <c r="O131" s="1063"/>
      <c r="P131" s="622"/>
      <c r="Q131" s="982"/>
      <c r="R131" s="1028"/>
      <c r="S131" s="959"/>
      <c r="T131" s="878"/>
      <c r="U131" s="958"/>
    </row>
    <row r="132" spans="1:21" s="224" customFormat="1" ht="15" customHeight="1" x14ac:dyDescent="0.25">
      <c r="A132" s="247">
        <v>45798</v>
      </c>
      <c r="B132" s="882" t="s">
        <v>7904</v>
      </c>
      <c r="C132" s="879" t="s">
        <v>12</v>
      </c>
      <c r="D132" s="879" t="s">
        <v>1489</v>
      </c>
      <c r="E132" s="871" t="s">
        <v>13</v>
      </c>
      <c r="F132" s="780">
        <v>8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21" s="224" customFormat="1" ht="15" customHeight="1" x14ac:dyDescent="0.25">
      <c r="A133" s="247">
        <v>45798</v>
      </c>
      <c r="B133" s="882" t="s">
        <v>134</v>
      </c>
      <c r="C133" s="879" t="s">
        <v>12</v>
      </c>
      <c r="D133" s="879" t="s">
        <v>1493</v>
      </c>
      <c r="E133" s="871" t="s">
        <v>13</v>
      </c>
      <c r="F133" s="780">
        <v>15</v>
      </c>
      <c r="G133" s="982"/>
      <c r="H133" s="95"/>
      <c r="I133" s="1064"/>
      <c r="J133" s="613"/>
      <c r="K133" s="6"/>
      <c r="L133" s="622"/>
      <c r="M133" s="982"/>
      <c r="N133" s="622"/>
      <c r="O133" s="1063"/>
      <c r="P133" s="622"/>
      <c r="Q133" s="982"/>
      <c r="R133" s="861"/>
    </row>
    <row r="134" spans="1:21" s="224" customFormat="1" ht="15" customHeight="1" x14ac:dyDescent="0.25">
      <c r="A134" s="247">
        <v>45799</v>
      </c>
      <c r="B134" s="882" t="s">
        <v>7882</v>
      </c>
      <c r="C134" s="879" t="s">
        <v>12</v>
      </c>
      <c r="D134" s="879"/>
      <c r="E134" s="871" t="s">
        <v>25</v>
      </c>
      <c r="F134" s="780"/>
      <c r="G134" s="982">
        <v>150</v>
      </c>
      <c r="H134" s="95"/>
      <c r="I134" s="1064"/>
      <c r="J134" s="613"/>
      <c r="K134" s="6"/>
      <c r="L134" s="622"/>
      <c r="M134" s="982"/>
      <c r="N134" s="622"/>
      <c r="O134" s="1063"/>
      <c r="P134" s="622"/>
      <c r="Q134" s="982"/>
      <c r="R134" s="861"/>
    </row>
    <row r="135" spans="1:21" s="224" customFormat="1" ht="15" customHeight="1" x14ac:dyDescent="0.25">
      <c r="A135" s="247">
        <v>45799</v>
      </c>
      <c r="B135" s="882" t="s">
        <v>7465</v>
      </c>
      <c r="C135" s="879" t="s">
        <v>12</v>
      </c>
      <c r="D135" s="879"/>
      <c r="E135" s="875"/>
      <c r="F135" s="780"/>
      <c r="G135" s="982">
        <v>465</v>
      </c>
      <c r="H135" s="622"/>
      <c r="I135" s="982"/>
      <c r="J135" s="1116"/>
      <c r="K135" s="1207"/>
      <c r="L135" s="622"/>
      <c r="M135" s="982"/>
      <c r="N135" s="622">
        <v>465</v>
      </c>
      <c r="O135" s="1063"/>
      <c r="P135" s="880"/>
      <c r="Q135" s="1033"/>
      <c r="R135" s="927"/>
      <c r="T135" s="878"/>
    </row>
    <row r="136" spans="1:21" s="224" customFormat="1" ht="15" customHeight="1" x14ac:dyDescent="0.25">
      <c r="A136" s="247">
        <v>45799</v>
      </c>
      <c r="B136" s="882" t="s">
        <v>7905</v>
      </c>
      <c r="C136" s="879" t="s">
        <v>12</v>
      </c>
      <c r="D136" s="879" t="s">
        <v>1489</v>
      </c>
      <c r="E136" s="875" t="s">
        <v>13</v>
      </c>
      <c r="F136" s="780">
        <v>465</v>
      </c>
      <c r="G136" s="982"/>
      <c r="H136" s="622"/>
      <c r="I136" s="982"/>
      <c r="J136" s="1116"/>
      <c r="K136" s="1207"/>
      <c r="L136" s="622"/>
      <c r="M136" s="982"/>
      <c r="N136" s="622"/>
      <c r="O136" s="1063"/>
      <c r="P136" s="880"/>
      <c r="Q136" s="1033"/>
      <c r="R136" s="927"/>
      <c r="T136" s="878"/>
    </row>
    <row r="137" spans="1:21" s="224" customFormat="1" ht="15" customHeight="1" x14ac:dyDescent="0.25">
      <c r="A137" s="247">
        <v>45799</v>
      </c>
      <c r="B137" s="882" t="s">
        <v>2789</v>
      </c>
      <c r="C137" s="879" t="s">
        <v>12</v>
      </c>
      <c r="D137" s="879" t="s">
        <v>1485</v>
      </c>
      <c r="E137" s="875" t="s">
        <v>13</v>
      </c>
      <c r="F137" s="780">
        <v>13.6</v>
      </c>
      <c r="G137" s="982"/>
      <c r="H137" s="622"/>
      <c r="I137" s="982"/>
      <c r="J137" s="1116"/>
      <c r="K137" s="1207"/>
      <c r="L137" s="622"/>
      <c r="M137" s="982"/>
      <c r="N137" s="622"/>
      <c r="O137" s="1063"/>
      <c r="P137" s="880"/>
      <c r="Q137" s="1033"/>
      <c r="R137" s="927"/>
      <c r="T137" s="878"/>
    </row>
    <row r="138" spans="1:21" s="224" customFormat="1" ht="15" customHeight="1" x14ac:dyDescent="0.25">
      <c r="A138" s="247">
        <v>45799</v>
      </c>
      <c r="B138" s="882" t="s">
        <v>6258</v>
      </c>
      <c r="C138" s="879" t="s">
        <v>12</v>
      </c>
      <c r="D138" s="879"/>
      <c r="E138" s="875" t="s">
        <v>13</v>
      </c>
      <c r="F138" s="780"/>
      <c r="G138" s="982">
        <v>570</v>
      </c>
      <c r="H138" s="1008"/>
      <c r="I138" s="1063"/>
      <c r="J138" s="622">
        <v>570</v>
      </c>
      <c r="K138" s="982"/>
      <c r="L138" s="622"/>
      <c r="M138" s="982"/>
      <c r="N138" s="622"/>
      <c r="O138" s="1063"/>
      <c r="P138" s="622"/>
      <c r="Q138" s="982"/>
      <c r="R138" s="941"/>
    </row>
    <row r="139" spans="1:21" s="224" customFormat="1" ht="15" customHeight="1" x14ac:dyDescent="0.25">
      <c r="A139" s="247">
        <v>45799</v>
      </c>
      <c r="B139" s="882" t="s">
        <v>7899</v>
      </c>
      <c r="C139" s="879" t="s">
        <v>12</v>
      </c>
      <c r="D139" s="879" t="s">
        <v>1524</v>
      </c>
      <c r="E139" s="871" t="s">
        <v>13</v>
      </c>
      <c r="F139" s="780">
        <v>570</v>
      </c>
      <c r="G139" s="982"/>
      <c r="H139" s="622"/>
      <c r="I139" s="982"/>
      <c r="J139" s="872"/>
      <c r="K139" s="1207"/>
      <c r="L139" s="622"/>
      <c r="M139" s="982"/>
      <c r="N139" s="622"/>
      <c r="O139" s="1063"/>
      <c r="P139" s="622"/>
      <c r="Q139" s="982"/>
      <c r="R139" s="1028"/>
      <c r="S139" s="959"/>
      <c r="T139" s="878"/>
      <c r="U139" s="958"/>
    </row>
    <row r="140" spans="1:21" s="224" customFormat="1" ht="15" customHeight="1" x14ac:dyDescent="0.25">
      <c r="A140" s="247">
        <v>45799</v>
      </c>
      <c r="B140" s="882" t="s">
        <v>14</v>
      </c>
      <c r="C140" s="1276" t="s">
        <v>12</v>
      </c>
      <c r="D140" s="879" t="s">
        <v>1486</v>
      </c>
      <c r="E140" s="875" t="s">
        <v>13</v>
      </c>
      <c r="F140" s="780">
        <v>7.59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861"/>
    </row>
    <row r="141" spans="1:21" s="224" customFormat="1" ht="15" customHeight="1" x14ac:dyDescent="0.25">
      <c r="A141" s="247">
        <v>45800</v>
      </c>
      <c r="B141" s="1275" t="s">
        <v>32</v>
      </c>
      <c r="C141" s="1276" t="s">
        <v>12</v>
      </c>
      <c r="D141" s="1276" t="s">
        <v>1485</v>
      </c>
      <c r="E141" s="1286" t="s">
        <v>13</v>
      </c>
      <c r="F141" s="780">
        <v>23</v>
      </c>
      <c r="G141" s="982"/>
      <c r="H141" s="622"/>
      <c r="I141" s="982"/>
      <c r="J141" s="622"/>
      <c r="K141" s="982"/>
      <c r="L141" s="622"/>
      <c r="M141" s="982"/>
      <c r="N141" s="622"/>
      <c r="O141" s="1063"/>
      <c r="P141" s="622"/>
      <c r="Q141" s="982"/>
      <c r="R141" s="1028"/>
      <c r="S141" s="959"/>
      <c r="T141" s="878"/>
      <c r="U141" s="958"/>
    </row>
    <row r="142" spans="1:21" s="224" customFormat="1" ht="15" customHeight="1" x14ac:dyDescent="0.25">
      <c r="A142" s="247">
        <v>45800</v>
      </c>
      <c r="B142" s="882" t="s">
        <v>1906</v>
      </c>
      <c r="C142" s="879" t="s">
        <v>12</v>
      </c>
      <c r="D142" s="879" t="s">
        <v>1493</v>
      </c>
      <c r="E142" s="871" t="s">
        <v>13</v>
      </c>
      <c r="F142" s="780">
        <v>23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622"/>
      <c r="Q142" s="982"/>
      <c r="R142" s="861"/>
    </row>
    <row r="143" spans="1:21" s="224" customFormat="1" ht="15" customHeight="1" x14ac:dyDescent="0.25">
      <c r="A143" s="247">
        <v>45801</v>
      </c>
      <c r="B143" s="882" t="s">
        <v>14</v>
      </c>
      <c r="C143" s="1276" t="s">
        <v>12</v>
      </c>
      <c r="D143" s="879" t="s">
        <v>1486</v>
      </c>
      <c r="E143" s="875" t="s">
        <v>13</v>
      </c>
      <c r="F143" s="780">
        <v>6.8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22"/>
      <c r="Q143" s="982"/>
      <c r="R143" s="861"/>
    </row>
    <row r="144" spans="1:21" s="224" customFormat="1" ht="15" customHeight="1" x14ac:dyDescent="0.25">
      <c r="A144" s="247">
        <v>45801</v>
      </c>
      <c r="B144" s="882" t="s">
        <v>32</v>
      </c>
      <c r="C144" s="1276" t="s">
        <v>12</v>
      </c>
      <c r="D144" s="879" t="s">
        <v>1485</v>
      </c>
      <c r="E144" s="875" t="s">
        <v>13</v>
      </c>
      <c r="F144" s="780">
        <v>20.170000000000002</v>
      </c>
      <c r="G144" s="982"/>
      <c r="H144" s="95"/>
      <c r="I144" s="1064"/>
      <c r="J144" s="613"/>
      <c r="K144" s="6"/>
      <c r="L144" s="622"/>
      <c r="M144" s="982"/>
      <c r="N144" s="622"/>
      <c r="O144" s="1063"/>
      <c r="P144" s="622"/>
      <c r="Q144" s="982"/>
      <c r="R144" s="861"/>
    </row>
    <row r="145" spans="1:42" s="224" customFormat="1" ht="15" customHeight="1" x14ac:dyDescent="0.25">
      <c r="A145" s="247">
        <v>45801</v>
      </c>
      <c r="B145" s="882" t="s">
        <v>1981</v>
      </c>
      <c r="C145" s="879" t="s">
        <v>12</v>
      </c>
      <c r="D145" s="879" t="s">
        <v>1489</v>
      </c>
      <c r="E145" s="875" t="s">
        <v>13</v>
      </c>
      <c r="F145" s="780">
        <v>5.0999999999999996</v>
      </c>
      <c r="G145" s="982"/>
      <c r="H145" s="622"/>
      <c r="I145" s="982"/>
      <c r="J145" s="1116"/>
      <c r="K145" s="1207"/>
      <c r="L145" s="622"/>
      <c r="M145" s="982"/>
      <c r="N145" s="622"/>
      <c r="O145" s="1063"/>
      <c r="P145" s="622"/>
      <c r="Q145" s="982"/>
      <c r="R145" s="927"/>
      <c r="T145" s="878"/>
    </row>
    <row r="146" spans="1:42" s="224" customFormat="1" ht="15" customHeight="1" x14ac:dyDescent="0.25">
      <c r="A146" s="247">
        <v>45801</v>
      </c>
      <c r="B146" s="882" t="s">
        <v>70</v>
      </c>
      <c r="C146" s="879" t="s">
        <v>12</v>
      </c>
      <c r="D146" s="879" t="s">
        <v>1489</v>
      </c>
      <c r="E146" s="871" t="s">
        <v>13</v>
      </c>
      <c r="F146" s="780">
        <v>19.98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1116"/>
      <c r="Q146" s="1215"/>
      <c r="R146" s="1028"/>
      <c r="U146" s="958"/>
    </row>
    <row r="147" spans="1:42" s="224" customFormat="1" ht="15" customHeight="1" x14ac:dyDescent="0.25">
      <c r="A147" s="247">
        <v>45801</v>
      </c>
      <c r="B147" s="882" t="s">
        <v>1981</v>
      </c>
      <c r="C147" s="879" t="s">
        <v>12</v>
      </c>
      <c r="D147" s="879" t="s">
        <v>1489</v>
      </c>
      <c r="E147" s="875" t="s">
        <v>13</v>
      </c>
      <c r="F147" s="780">
        <v>5.0999999999999996</v>
      </c>
      <c r="G147" s="982"/>
      <c r="H147" s="622"/>
      <c r="I147" s="982"/>
      <c r="J147" s="1116"/>
      <c r="K147" s="1207"/>
      <c r="L147" s="622"/>
      <c r="M147" s="1033"/>
      <c r="N147" s="880"/>
      <c r="O147" s="1525"/>
      <c r="P147" s="880"/>
      <c r="Q147" s="1033"/>
      <c r="R147" s="927"/>
      <c r="T147" s="878"/>
    </row>
    <row r="148" spans="1:42" s="224" customFormat="1" ht="15" customHeight="1" x14ac:dyDescent="0.25">
      <c r="A148" s="247">
        <v>45801</v>
      </c>
      <c r="B148" s="882" t="s">
        <v>82</v>
      </c>
      <c r="C148" s="879" t="s">
        <v>12</v>
      </c>
      <c r="D148" s="879" t="s">
        <v>1493</v>
      </c>
      <c r="E148" s="871" t="s">
        <v>13</v>
      </c>
      <c r="F148" s="780">
        <v>57.8</v>
      </c>
      <c r="G148" s="982"/>
      <c r="H148" s="95"/>
      <c r="I148" s="1064"/>
      <c r="J148" s="622"/>
      <c r="K148" s="982"/>
      <c r="L148" s="622"/>
      <c r="M148" s="982"/>
      <c r="N148" s="622"/>
      <c r="O148" s="1063"/>
      <c r="P148" s="622"/>
      <c r="Q148" s="982"/>
      <c r="R148" s="1028"/>
      <c r="U148" s="958"/>
    </row>
    <row r="149" spans="1:42" s="224" customFormat="1" ht="15" customHeight="1" x14ac:dyDescent="0.25">
      <c r="A149" s="247">
        <v>45802</v>
      </c>
      <c r="B149" s="882" t="s">
        <v>81</v>
      </c>
      <c r="C149" s="879" t="s">
        <v>12</v>
      </c>
      <c r="D149" s="879" t="s">
        <v>1493</v>
      </c>
      <c r="E149" s="875" t="s">
        <v>13</v>
      </c>
      <c r="F149" s="780">
        <v>12</v>
      </c>
      <c r="G149" s="982"/>
      <c r="H149" s="622"/>
      <c r="I149" s="982"/>
      <c r="J149" s="1116"/>
      <c r="K149" s="1207"/>
      <c r="L149" s="622"/>
      <c r="M149" s="982"/>
      <c r="N149" s="622"/>
      <c r="O149" s="1063"/>
      <c r="P149" s="880"/>
      <c r="Q149" s="1033"/>
      <c r="R149" s="927"/>
      <c r="T149" s="878"/>
    </row>
    <row r="150" spans="1:42" s="224" customFormat="1" ht="15" customHeight="1" x14ac:dyDescent="0.25">
      <c r="A150" s="247">
        <v>45802</v>
      </c>
      <c r="B150" s="882" t="s">
        <v>82</v>
      </c>
      <c r="C150" s="879" t="s">
        <v>12</v>
      </c>
      <c r="D150" s="879" t="s">
        <v>1493</v>
      </c>
      <c r="E150" s="887" t="s">
        <v>13</v>
      </c>
      <c r="F150" s="780">
        <v>25</v>
      </c>
      <c r="G150" s="982"/>
      <c r="H150" s="95"/>
      <c r="I150" s="1064"/>
      <c r="J150" s="622"/>
      <c r="K150" s="982"/>
      <c r="L150" s="622"/>
      <c r="M150" s="982"/>
      <c r="N150" s="622"/>
      <c r="O150" s="1063"/>
      <c r="P150" s="622"/>
      <c r="Q150" s="982"/>
      <c r="R150" s="1028"/>
      <c r="U150" s="958"/>
    </row>
    <row r="151" spans="1:42" s="224" customFormat="1" ht="15" customHeight="1" x14ac:dyDescent="0.25">
      <c r="A151" s="247">
        <v>45803</v>
      </c>
      <c r="B151" s="882" t="s">
        <v>7909</v>
      </c>
      <c r="C151" s="879" t="s">
        <v>12</v>
      </c>
      <c r="D151" s="879" t="s">
        <v>1489</v>
      </c>
      <c r="E151" s="887" t="s">
        <v>13</v>
      </c>
      <c r="F151" s="780">
        <v>90</v>
      </c>
      <c r="G151" s="982"/>
      <c r="H151" s="95"/>
      <c r="I151" s="1064"/>
      <c r="J151" s="613"/>
      <c r="K151" s="6"/>
      <c r="L151" s="622"/>
      <c r="M151" s="982"/>
      <c r="N151" s="622"/>
      <c r="O151" s="1063"/>
      <c r="P151" s="1116"/>
      <c r="Q151" s="1215"/>
      <c r="R151" s="1028"/>
      <c r="U151" s="958"/>
    </row>
    <row r="152" spans="1:42" s="224" customFormat="1" ht="15" customHeight="1" x14ac:dyDescent="0.25">
      <c r="A152" s="247">
        <v>45803</v>
      </c>
      <c r="B152" s="882" t="s">
        <v>14</v>
      </c>
      <c r="C152" s="1276" t="s">
        <v>12</v>
      </c>
      <c r="D152" s="879" t="s">
        <v>1486</v>
      </c>
      <c r="E152" s="875" t="s">
        <v>13</v>
      </c>
      <c r="F152" s="850">
        <v>8.56</v>
      </c>
      <c r="G152" s="1033"/>
      <c r="H152" s="94"/>
      <c r="I152" s="1519"/>
      <c r="J152" s="1116"/>
      <c r="K152" s="1207"/>
      <c r="L152" s="880"/>
      <c r="M152" s="1033"/>
      <c r="N152" s="880"/>
      <c r="O152" s="1525"/>
      <c r="P152" s="1110"/>
      <c r="Q152" s="1208"/>
      <c r="R152" s="1028"/>
      <c r="U152" s="958"/>
    </row>
    <row r="153" spans="1:42" s="224" customFormat="1" ht="15" customHeight="1" x14ac:dyDescent="0.25">
      <c r="A153" s="247">
        <v>45804</v>
      </c>
      <c r="B153" s="1275" t="s">
        <v>7911</v>
      </c>
      <c r="C153" s="1276" t="s">
        <v>12</v>
      </c>
      <c r="D153" s="1276"/>
      <c r="E153" s="1286" t="s">
        <v>13</v>
      </c>
      <c r="F153" s="613">
        <v>121.78</v>
      </c>
      <c r="G153" s="967"/>
      <c r="H153" s="1008"/>
      <c r="I153" s="1063"/>
      <c r="J153" s="613"/>
      <c r="K153" s="6"/>
      <c r="L153" s="622"/>
      <c r="M153" s="982"/>
      <c r="N153" s="622"/>
      <c r="O153" s="1063"/>
      <c r="P153" s="613"/>
      <c r="Q153" s="64"/>
      <c r="R153" s="1024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</row>
    <row r="154" spans="1:42" s="224" customFormat="1" ht="15" customHeight="1" x14ac:dyDescent="0.25">
      <c r="A154" s="247">
        <v>45804</v>
      </c>
      <c r="B154" s="1275" t="s">
        <v>6755</v>
      </c>
      <c r="C154" s="1276" t="s">
        <v>12</v>
      </c>
      <c r="D154" s="1276"/>
      <c r="E154" s="1286"/>
      <c r="F154" s="613"/>
      <c r="G154" s="967">
        <v>121.78</v>
      </c>
      <c r="H154" s="1008"/>
      <c r="I154" s="1063"/>
      <c r="J154" s="613"/>
      <c r="K154" s="6"/>
      <c r="L154" s="622"/>
      <c r="M154" s="982"/>
      <c r="N154" s="622"/>
      <c r="O154" s="1063"/>
      <c r="P154" s="613"/>
      <c r="Q154" s="64"/>
      <c r="R154" s="102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</row>
    <row r="155" spans="1:42" s="224" customFormat="1" ht="15" customHeight="1" x14ac:dyDescent="0.25">
      <c r="A155" s="247">
        <v>45804</v>
      </c>
      <c r="B155" s="882" t="s">
        <v>6329</v>
      </c>
      <c r="C155" s="879" t="s">
        <v>12</v>
      </c>
      <c r="D155" s="879"/>
      <c r="E155" s="875" t="s">
        <v>25</v>
      </c>
      <c r="F155" s="780"/>
      <c r="G155" s="982">
        <v>100</v>
      </c>
      <c r="H155" s="1008"/>
      <c r="I155" s="1063"/>
      <c r="J155" s="613"/>
      <c r="K155" s="982"/>
      <c r="L155" s="622"/>
      <c r="M155" s="982"/>
      <c r="N155" s="622"/>
      <c r="O155" s="1063"/>
      <c r="P155" s="622"/>
      <c r="Q155" s="982"/>
      <c r="R155" s="861"/>
    </row>
    <row r="156" spans="1:42" s="224" customFormat="1" ht="15" customHeight="1" x14ac:dyDescent="0.25">
      <c r="A156" s="247">
        <v>45804</v>
      </c>
      <c r="B156" s="882" t="s">
        <v>7910</v>
      </c>
      <c r="C156" s="879" t="s">
        <v>12</v>
      </c>
      <c r="D156" s="879" t="s">
        <v>1489</v>
      </c>
      <c r="E156" s="871" t="s">
        <v>13</v>
      </c>
      <c r="F156" s="780">
        <v>14.98</v>
      </c>
      <c r="G156" s="982"/>
      <c r="H156" s="95"/>
      <c r="I156" s="1064"/>
      <c r="J156" s="622"/>
      <c r="K156" s="982"/>
      <c r="L156" s="622"/>
      <c r="M156" s="982"/>
      <c r="N156" s="622"/>
      <c r="O156" s="1063"/>
      <c r="P156" s="622"/>
      <c r="Q156" s="982"/>
      <c r="R156" s="1028"/>
      <c r="U156" s="958"/>
    </row>
    <row r="157" spans="1:42" s="224" customFormat="1" ht="15" customHeight="1" x14ac:dyDescent="0.25">
      <c r="A157" s="247">
        <v>45804</v>
      </c>
      <c r="B157" s="1275" t="s">
        <v>32</v>
      </c>
      <c r="C157" s="1276" t="s">
        <v>12</v>
      </c>
      <c r="D157" s="1276" t="s">
        <v>1485</v>
      </c>
      <c r="E157" s="1286" t="s">
        <v>13</v>
      </c>
      <c r="F157" s="780">
        <v>23</v>
      </c>
      <c r="G157" s="982"/>
      <c r="H157" s="622"/>
      <c r="I157" s="982"/>
      <c r="J157" s="622"/>
      <c r="K157" s="982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42" s="224" customFormat="1" ht="15" customHeight="1" x14ac:dyDescent="0.25">
      <c r="A158" s="247">
        <v>45804</v>
      </c>
      <c r="B158" s="882" t="s">
        <v>14</v>
      </c>
      <c r="C158" s="1276" t="s">
        <v>12</v>
      </c>
      <c r="D158" s="879" t="s">
        <v>1486</v>
      </c>
      <c r="E158" s="875" t="s">
        <v>15</v>
      </c>
      <c r="F158" s="850">
        <v>6</v>
      </c>
      <c r="G158" s="1033"/>
      <c r="H158" s="94"/>
      <c r="I158" s="1519"/>
      <c r="J158" s="1116"/>
      <c r="K158" s="1207"/>
      <c r="L158" s="880"/>
      <c r="M158" s="1033"/>
      <c r="N158" s="880"/>
      <c r="O158" s="1525"/>
      <c r="P158" s="1110"/>
      <c r="Q158" s="1208"/>
      <c r="R158" s="1028"/>
      <c r="U158" s="958"/>
    </row>
    <row r="159" spans="1:42" s="224" customFormat="1" ht="15" customHeight="1" x14ac:dyDescent="0.25">
      <c r="A159" s="247">
        <v>45804</v>
      </c>
      <c r="B159" s="882" t="s">
        <v>7940</v>
      </c>
      <c r="C159" s="879" t="s">
        <v>12</v>
      </c>
      <c r="D159" s="879" t="s">
        <v>1525</v>
      </c>
      <c r="E159" s="871" t="s">
        <v>13</v>
      </c>
      <c r="F159" s="780">
        <v>15</v>
      </c>
      <c r="G159" s="982"/>
      <c r="H159" s="95"/>
      <c r="I159" s="1064"/>
      <c r="J159" s="622"/>
      <c r="K159" s="982"/>
      <c r="L159" s="622"/>
      <c r="M159" s="982"/>
      <c r="N159" s="622"/>
      <c r="O159" s="1063"/>
      <c r="P159" s="622"/>
      <c r="Q159" s="982"/>
      <c r="R159" s="1028"/>
      <c r="U159" s="958"/>
    </row>
    <row r="160" spans="1:42" s="224" customFormat="1" ht="15" customHeight="1" x14ac:dyDescent="0.25">
      <c r="A160" s="247">
        <v>45804</v>
      </c>
      <c r="B160" s="882" t="s">
        <v>7941</v>
      </c>
      <c r="C160" s="879" t="s">
        <v>12</v>
      </c>
      <c r="D160" s="879" t="s">
        <v>1525</v>
      </c>
      <c r="E160" s="871" t="s">
        <v>13</v>
      </c>
      <c r="F160" s="780">
        <v>41.5</v>
      </c>
      <c r="G160" s="982"/>
      <c r="H160" s="95"/>
      <c r="I160" s="1064"/>
      <c r="J160" s="622"/>
      <c r="K160" s="982"/>
      <c r="L160" s="622"/>
      <c r="M160" s="982"/>
      <c r="N160" s="622"/>
      <c r="O160" s="1063"/>
      <c r="P160" s="622"/>
      <c r="Q160" s="982"/>
      <c r="R160" s="1028"/>
      <c r="U160" s="958"/>
    </row>
    <row r="161" spans="1:42" s="224" customFormat="1" ht="15" customHeight="1" x14ac:dyDescent="0.25">
      <c r="A161" s="247">
        <v>45805</v>
      </c>
      <c r="B161" s="1275" t="s">
        <v>32</v>
      </c>
      <c r="C161" s="1276" t="s">
        <v>12</v>
      </c>
      <c r="D161" s="1276" t="s">
        <v>1485</v>
      </c>
      <c r="E161" s="1286" t="s">
        <v>13</v>
      </c>
      <c r="F161" s="780">
        <v>24</v>
      </c>
      <c r="G161" s="982"/>
      <c r="H161" s="622"/>
      <c r="I161" s="982"/>
      <c r="J161" s="622"/>
      <c r="K161" s="982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42" s="224" customFormat="1" ht="15" customHeight="1" x14ac:dyDescent="0.25">
      <c r="A162" s="247">
        <v>45805</v>
      </c>
      <c r="B162" s="882" t="s">
        <v>81</v>
      </c>
      <c r="C162" s="879" t="s">
        <v>12</v>
      </c>
      <c r="D162" s="879" t="s">
        <v>1493</v>
      </c>
      <c r="E162" s="875" t="s">
        <v>13</v>
      </c>
      <c r="F162" s="780">
        <v>6</v>
      </c>
      <c r="G162" s="982"/>
      <c r="H162" s="1008"/>
      <c r="I162" s="1063"/>
      <c r="J162" s="622"/>
      <c r="K162" s="982"/>
      <c r="L162" s="622"/>
      <c r="M162" s="982"/>
      <c r="N162" s="622"/>
      <c r="O162" s="1063"/>
      <c r="P162" s="622"/>
      <c r="Q162" s="982"/>
      <c r="R162" s="941"/>
    </row>
    <row r="163" spans="1:42" s="224" customFormat="1" ht="15" customHeight="1" x14ac:dyDescent="0.25">
      <c r="A163" s="247">
        <v>45805</v>
      </c>
      <c r="B163" s="882" t="s">
        <v>14</v>
      </c>
      <c r="C163" s="1276" t="s">
        <v>12</v>
      </c>
      <c r="D163" s="879" t="s">
        <v>1486</v>
      </c>
      <c r="E163" s="875" t="s">
        <v>13</v>
      </c>
      <c r="F163" s="780">
        <v>6</v>
      </c>
      <c r="G163" s="982"/>
      <c r="H163" s="622"/>
      <c r="I163" s="982"/>
      <c r="J163" s="872"/>
      <c r="K163" s="1207"/>
      <c r="L163" s="622"/>
      <c r="M163" s="982"/>
      <c r="N163" s="622"/>
      <c r="O163" s="1063"/>
      <c r="P163" s="622"/>
      <c r="Q163" s="982"/>
      <c r="R163" s="1028"/>
      <c r="S163" s="959"/>
      <c r="T163" s="878"/>
      <c r="U163" s="958"/>
    </row>
    <row r="164" spans="1:42" s="224" customFormat="1" ht="15" customHeight="1" x14ac:dyDescent="0.25">
      <c r="A164" s="247">
        <v>45806</v>
      </c>
      <c r="B164" s="1275" t="s">
        <v>32</v>
      </c>
      <c r="C164" s="1276" t="s">
        <v>12</v>
      </c>
      <c r="D164" s="1276" t="s">
        <v>1485</v>
      </c>
      <c r="E164" s="1286" t="s">
        <v>13</v>
      </c>
      <c r="F164" s="780">
        <v>23</v>
      </c>
      <c r="G164" s="982"/>
      <c r="H164" s="622"/>
      <c r="I164" s="982"/>
      <c r="J164" s="622"/>
      <c r="K164" s="982"/>
      <c r="L164" s="622"/>
      <c r="M164" s="982"/>
      <c r="N164" s="622"/>
      <c r="O164" s="1063"/>
      <c r="P164" s="622"/>
      <c r="Q164" s="982"/>
      <c r="R164" s="1028"/>
      <c r="S164" s="959"/>
      <c r="T164" s="878"/>
      <c r="U164" s="958"/>
    </row>
    <row r="165" spans="1:42" s="224" customFormat="1" ht="15" customHeight="1" x14ac:dyDescent="0.25">
      <c r="A165" s="247">
        <v>45806</v>
      </c>
      <c r="B165" s="882" t="s">
        <v>14</v>
      </c>
      <c r="C165" s="1276" t="s">
        <v>12</v>
      </c>
      <c r="D165" s="879" t="s">
        <v>1486</v>
      </c>
      <c r="E165" s="875" t="s">
        <v>13</v>
      </c>
      <c r="F165" s="780">
        <v>8.56</v>
      </c>
      <c r="G165" s="982"/>
      <c r="H165" s="622"/>
      <c r="I165" s="982"/>
      <c r="J165" s="622"/>
      <c r="K165" s="982"/>
      <c r="L165" s="622"/>
      <c r="M165" s="982"/>
      <c r="N165" s="880"/>
      <c r="O165" s="1525"/>
      <c r="P165" s="613"/>
      <c r="Q165" s="162"/>
      <c r="R165" s="1956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</row>
    <row r="166" spans="1:42" s="224" customFormat="1" ht="15" customHeight="1" x14ac:dyDescent="0.25">
      <c r="A166" s="247">
        <v>45807</v>
      </c>
      <c r="B166" s="1275" t="s">
        <v>32</v>
      </c>
      <c r="C166" s="1276" t="s">
        <v>12</v>
      </c>
      <c r="D166" s="1276" t="s">
        <v>1485</v>
      </c>
      <c r="E166" s="1286" t="s">
        <v>13</v>
      </c>
      <c r="F166" s="780">
        <v>23</v>
      </c>
      <c r="G166" s="982"/>
      <c r="H166" s="622"/>
      <c r="I166" s="982"/>
      <c r="J166" s="622"/>
      <c r="K166" s="982"/>
      <c r="L166" s="622"/>
      <c r="M166" s="982"/>
      <c r="N166" s="622"/>
      <c r="O166" s="1063"/>
      <c r="P166" s="622"/>
      <c r="Q166" s="982"/>
      <c r="R166" s="1028"/>
      <c r="S166" s="959"/>
      <c r="T166" s="878"/>
      <c r="U166" s="958"/>
    </row>
    <row r="167" spans="1:42" s="224" customFormat="1" ht="15" customHeight="1" x14ac:dyDescent="0.25">
      <c r="A167" s="247">
        <v>45807</v>
      </c>
      <c r="B167" s="364" t="s">
        <v>7946</v>
      </c>
      <c r="C167" s="350" t="s">
        <v>12</v>
      </c>
      <c r="D167" s="350" t="s">
        <v>6731</v>
      </c>
      <c r="E167" s="875" t="s">
        <v>13</v>
      </c>
      <c r="F167" s="780">
        <v>7.5</v>
      </c>
      <c r="G167" s="982"/>
      <c r="H167" s="1008"/>
      <c r="I167" s="1063"/>
      <c r="J167" s="1116"/>
      <c r="K167" s="1207"/>
      <c r="L167" s="622"/>
      <c r="M167" s="982"/>
      <c r="N167" s="622"/>
      <c r="O167" s="1063"/>
      <c r="P167" s="622"/>
      <c r="Q167" s="982"/>
      <c r="R167" s="861"/>
      <c r="T167" s="1035"/>
    </row>
    <row r="168" spans="1:42" s="224" customFormat="1" ht="15" customHeight="1" x14ac:dyDescent="0.25">
      <c r="A168" s="247">
        <v>45807</v>
      </c>
      <c r="B168" s="364" t="s">
        <v>1906</v>
      </c>
      <c r="C168" s="350" t="s">
        <v>12</v>
      </c>
      <c r="D168" s="350" t="s">
        <v>1493</v>
      </c>
      <c r="E168" s="875" t="s">
        <v>13</v>
      </c>
      <c r="F168" s="780">
        <v>25</v>
      </c>
      <c r="G168" s="982"/>
      <c r="H168" s="1008"/>
      <c r="I168" s="1063"/>
      <c r="J168" s="1116"/>
      <c r="K168" s="1207"/>
      <c r="L168" s="622"/>
      <c r="M168" s="982"/>
      <c r="N168" s="622"/>
      <c r="O168" s="1063"/>
      <c r="P168" s="622"/>
      <c r="Q168" s="982"/>
      <c r="R168" s="861"/>
      <c r="T168" s="1035"/>
    </row>
    <row r="169" spans="1:42" s="224" customFormat="1" ht="15" customHeight="1" x14ac:dyDescent="0.25">
      <c r="A169" s="247">
        <v>45808</v>
      </c>
      <c r="B169" s="364" t="s">
        <v>7947</v>
      </c>
      <c r="C169" s="350" t="s">
        <v>12</v>
      </c>
      <c r="D169" s="350" t="s">
        <v>1523</v>
      </c>
      <c r="E169" s="875" t="s">
        <v>13</v>
      </c>
      <c r="F169" s="780">
        <v>32</v>
      </c>
      <c r="G169" s="982"/>
      <c r="H169" s="1008"/>
      <c r="I169" s="1063"/>
      <c r="J169" s="1116"/>
      <c r="K169" s="1207"/>
      <c r="L169" s="622"/>
      <c r="M169" s="982"/>
      <c r="N169" s="622"/>
      <c r="O169" s="1063"/>
      <c r="P169" s="622"/>
      <c r="Q169" s="982"/>
      <c r="R169" s="861"/>
      <c r="T169" s="1035"/>
    </row>
    <row r="170" spans="1:42" s="224" customFormat="1" ht="15" customHeight="1" x14ac:dyDescent="0.25">
      <c r="A170" s="247">
        <v>45808</v>
      </c>
      <c r="B170" s="364" t="s">
        <v>2629</v>
      </c>
      <c r="C170" s="350" t="s">
        <v>12</v>
      </c>
      <c r="D170" s="350" t="s">
        <v>1489</v>
      </c>
      <c r="E170" s="875" t="s">
        <v>13</v>
      </c>
      <c r="F170" s="780">
        <v>22.04</v>
      </c>
      <c r="G170" s="982"/>
      <c r="H170" s="1008"/>
      <c r="I170" s="1063"/>
      <c r="J170" s="1116"/>
      <c r="K170" s="1207"/>
      <c r="L170" s="622"/>
      <c r="M170" s="982"/>
      <c r="N170" s="622"/>
      <c r="O170" s="1063"/>
      <c r="P170" s="622"/>
      <c r="Q170" s="982"/>
      <c r="R170" s="861"/>
      <c r="T170" s="1035"/>
    </row>
    <row r="171" spans="1:42" s="224" customFormat="1" ht="15" customHeight="1" x14ac:dyDescent="0.25">
      <c r="A171" s="247">
        <v>45808</v>
      </c>
      <c r="B171" s="882" t="s">
        <v>7948</v>
      </c>
      <c r="C171" s="879" t="s">
        <v>12</v>
      </c>
      <c r="D171" s="879" t="s">
        <v>1489</v>
      </c>
      <c r="E171" s="871" t="s">
        <v>13</v>
      </c>
      <c r="F171" s="780">
        <v>3.2</v>
      </c>
      <c r="G171" s="982"/>
      <c r="H171" s="622"/>
      <c r="I171" s="982"/>
      <c r="J171" s="622"/>
      <c r="K171" s="982"/>
      <c r="L171" s="622"/>
      <c r="M171" s="982"/>
      <c r="N171" s="622"/>
      <c r="O171" s="1063"/>
      <c r="P171" s="622"/>
      <c r="Q171" s="982"/>
      <c r="R171" s="1028"/>
      <c r="S171" s="959"/>
      <c r="T171" s="878"/>
      <c r="U171" s="958"/>
    </row>
    <row r="172" spans="1:42" s="224" customFormat="1" ht="15" customHeight="1" x14ac:dyDescent="0.25">
      <c r="A172" s="247">
        <v>45808</v>
      </c>
      <c r="B172" s="882" t="s">
        <v>7948</v>
      </c>
      <c r="C172" s="879" t="s">
        <v>12</v>
      </c>
      <c r="D172" s="879" t="s">
        <v>1489</v>
      </c>
      <c r="E172" s="871" t="s">
        <v>13</v>
      </c>
      <c r="F172" s="780">
        <v>9.4</v>
      </c>
      <c r="G172" s="982"/>
      <c r="H172" s="1008"/>
      <c r="I172" s="1063"/>
      <c r="J172" s="622"/>
      <c r="K172" s="982"/>
      <c r="L172" s="622"/>
      <c r="M172" s="982"/>
      <c r="N172" s="622"/>
      <c r="O172" s="1063"/>
      <c r="P172" s="622"/>
      <c r="Q172" s="982"/>
      <c r="R172" s="861"/>
      <c r="T172" s="1035"/>
    </row>
    <row r="173" spans="1:42" s="224" customFormat="1" ht="15" customHeight="1" x14ac:dyDescent="0.25">
      <c r="A173" s="247">
        <v>45808</v>
      </c>
      <c r="B173" s="882" t="s">
        <v>7949</v>
      </c>
      <c r="C173" s="879" t="s">
        <v>12</v>
      </c>
      <c r="D173" s="879" t="s">
        <v>1489</v>
      </c>
      <c r="E173" s="871" t="s">
        <v>13</v>
      </c>
      <c r="F173" s="780">
        <v>12.6</v>
      </c>
      <c r="G173" s="982"/>
      <c r="H173" s="622"/>
      <c r="I173" s="982"/>
      <c r="J173" s="622"/>
      <c r="K173" s="982"/>
      <c r="L173" s="622"/>
      <c r="M173" s="982"/>
      <c r="N173" s="622"/>
      <c r="O173" s="1063"/>
      <c r="P173" s="622"/>
      <c r="Q173" s="982"/>
      <c r="R173" s="1028"/>
      <c r="S173" s="959"/>
      <c r="T173" s="878"/>
      <c r="U173" s="958"/>
    </row>
    <row r="174" spans="1:42" s="224" customFormat="1" ht="15" customHeight="1" x14ac:dyDescent="0.25">
      <c r="A174" s="247">
        <v>45808</v>
      </c>
      <c r="B174" s="882" t="s">
        <v>7949</v>
      </c>
      <c r="C174" s="879" t="s">
        <v>12</v>
      </c>
      <c r="D174" s="879" t="s">
        <v>1489</v>
      </c>
      <c r="E174" s="871" t="s">
        <v>13</v>
      </c>
      <c r="F174" s="780">
        <v>4</v>
      </c>
      <c r="G174" s="982"/>
      <c r="H174" s="1008"/>
      <c r="I174" s="1063"/>
      <c r="J174" s="622"/>
      <c r="K174" s="982"/>
      <c r="L174" s="622"/>
      <c r="M174" s="982"/>
      <c r="N174" s="622"/>
      <c r="O174" s="1063"/>
      <c r="P174" s="622"/>
      <c r="Q174" s="982"/>
      <c r="R174" s="861"/>
      <c r="T174" s="1035"/>
    </row>
    <row r="175" spans="1:42" s="224" customFormat="1" ht="15" customHeight="1" x14ac:dyDescent="0.25">
      <c r="A175" s="247">
        <v>45808</v>
      </c>
      <c r="B175" s="882" t="s">
        <v>7949</v>
      </c>
      <c r="C175" s="879" t="s">
        <v>12</v>
      </c>
      <c r="D175" s="879" t="s">
        <v>1489</v>
      </c>
      <c r="E175" s="871" t="s">
        <v>13</v>
      </c>
      <c r="F175" s="780">
        <v>3.2</v>
      </c>
      <c r="G175" s="982"/>
      <c r="H175" s="622"/>
      <c r="I175" s="982"/>
      <c r="J175" s="622"/>
      <c r="K175" s="982"/>
      <c r="L175" s="622"/>
      <c r="M175" s="982"/>
      <c r="N175" s="622"/>
      <c r="O175" s="1063"/>
      <c r="P175" s="622"/>
      <c r="Q175" s="982"/>
      <c r="R175" s="1028"/>
      <c r="S175" s="959"/>
      <c r="T175" s="878"/>
      <c r="U175" s="958"/>
    </row>
    <row r="176" spans="1:42" s="224" customFormat="1" ht="15" customHeight="1" thickBot="1" x14ac:dyDescent="0.3">
      <c r="A176" s="247">
        <v>45808</v>
      </c>
      <c r="B176" s="349" t="s">
        <v>6168</v>
      </c>
      <c r="C176" s="350" t="s">
        <v>12</v>
      </c>
      <c r="D176" s="350"/>
      <c r="E176" s="480" t="s">
        <v>25</v>
      </c>
      <c r="F176" s="2551"/>
      <c r="G176" s="1522"/>
      <c r="H176" s="95"/>
      <c r="I176" s="2096"/>
      <c r="J176" s="622"/>
      <c r="K176" s="2096">
        <v>54.24</v>
      </c>
      <c r="L176" s="622"/>
      <c r="M176" s="2556">
        <v>1.78</v>
      </c>
      <c r="N176" s="622"/>
      <c r="O176" s="2096">
        <v>91.82</v>
      </c>
      <c r="P176" s="622"/>
      <c r="Q176" s="982"/>
      <c r="R176" s="2585">
        <f>I176+K176+M176+O176</f>
        <v>147.84</v>
      </c>
      <c r="T176" s="927"/>
      <c r="U176" s="999"/>
    </row>
    <row r="177" spans="1:26" ht="25.5" customHeight="1" thickBot="1" x14ac:dyDescent="0.3">
      <c r="A177" s="3060"/>
      <c r="B177" s="3061"/>
      <c r="C177" s="3062"/>
      <c r="D177" s="3062"/>
      <c r="E177" s="3062"/>
      <c r="F177" s="1023">
        <f>SUM(F6:F176)</f>
        <v>12364.023500000003</v>
      </c>
      <c r="G177" s="1065">
        <f>SUM(G5:G176)</f>
        <v>13453.685750000064</v>
      </c>
      <c r="H177" s="517">
        <f>SUM(H6:H176)</f>
        <v>0</v>
      </c>
      <c r="I177" s="93">
        <f>SUM(I5:I176)</f>
        <v>-4.0000000010422809E-3</v>
      </c>
      <c r="J177" s="517">
        <f>SUM(J6:J176)</f>
        <v>5581.96</v>
      </c>
      <c r="K177" s="93">
        <f>SUM(K5:K176)</f>
        <v>14808.360000000002</v>
      </c>
      <c r="L177" s="1023">
        <f>SUM(L6:L176)</f>
        <v>1092.74</v>
      </c>
      <c r="M177" s="93">
        <f>SUM(M5:M176)</f>
        <v>1092.74</v>
      </c>
      <c r="N177" s="1023">
        <f>SUM(N6:N176)</f>
        <v>1653.87</v>
      </c>
      <c r="O177" s="93">
        <f>SUM(O5:O176)</f>
        <v>11262.090000000002</v>
      </c>
      <c r="P177" s="1023">
        <f>SUM(P6:P176)</f>
        <v>0</v>
      </c>
      <c r="Q177" s="93">
        <f>SUM(Q5:Q176)</f>
        <v>33338.315984720008</v>
      </c>
      <c r="S177" s="216"/>
    </row>
    <row r="178" spans="1:26" ht="25.5" customHeight="1" thickBot="1" x14ac:dyDescent="0.3">
      <c r="A178" s="3063" t="s">
        <v>49</v>
      </c>
      <c r="B178" s="3064"/>
      <c r="C178" s="3064"/>
      <c r="D178" s="3064"/>
      <c r="E178" s="3064"/>
      <c r="F178" s="2046" t="s">
        <v>280</v>
      </c>
      <c r="G178" s="1066">
        <f>G177-F177</f>
        <v>1089.6622500000612</v>
      </c>
      <c r="H178" s="1221"/>
      <c r="I178" s="772">
        <f>I177-H177</f>
        <v>-4.0000000010422809E-3</v>
      </c>
      <c r="J178" s="1221"/>
      <c r="K178" s="772">
        <f>K177-J177</f>
        <v>9226.4000000000015</v>
      </c>
      <c r="L178" s="1222"/>
      <c r="M178" s="772">
        <f>M177-L177</f>
        <v>0</v>
      </c>
      <c r="N178" s="1222"/>
      <c r="O178" s="772">
        <f>O177-N177</f>
        <v>9608.2200000000012</v>
      </c>
      <c r="P178" s="1222"/>
      <c r="Q178" s="772">
        <f>Q177-P177</f>
        <v>33338.315984720008</v>
      </c>
      <c r="R178" s="484">
        <f>M178+O178+Q178</f>
        <v>42946.535984720009</v>
      </c>
    </row>
    <row r="179" spans="1:26" x14ac:dyDescent="0.25">
      <c r="J179" s="1210"/>
      <c r="K179" s="1038"/>
      <c r="M179" s="1238">
        <f>M178/R178</f>
        <v>0</v>
      </c>
      <c r="O179" s="1238">
        <f>O178/R178</f>
        <v>0.22372514522285381</v>
      </c>
      <c r="P179" s="1239"/>
      <c r="Q179" s="1239">
        <f>Q178/R178</f>
        <v>0.77627485477714619</v>
      </c>
      <c r="R179" s="867"/>
      <c r="S179" s="867"/>
      <c r="T179" s="79"/>
      <c r="W179" s="518"/>
      <c r="X179" s="216"/>
      <c r="Z179" s="877"/>
    </row>
    <row r="180" spans="1:26" x14ac:dyDescent="0.25">
      <c r="B180" s="81" t="s">
        <v>3</v>
      </c>
      <c r="C180" s="193" t="s">
        <v>1484</v>
      </c>
      <c r="D180" s="970" t="s">
        <v>2378</v>
      </c>
      <c r="E180" s="193" t="s">
        <v>3216</v>
      </c>
      <c r="F180" s="1061" t="s">
        <v>3217</v>
      </c>
      <c r="G180" s="216"/>
      <c r="I180" s="216"/>
      <c r="J180" s="1038"/>
      <c r="K180" s="216"/>
      <c r="M180" s="866"/>
      <c r="O180" s="866"/>
      <c r="P180" s="1038"/>
      <c r="Q180" s="1038"/>
      <c r="R180" s="865"/>
      <c r="S180" s="867"/>
    </row>
    <row r="181" spans="1:26" x14ac:dyDescent="0.25">
      <c r="B181" s="79" t="s">
        <v>32</v>
      </c>
      <c r="C181" s="85" t="s">
        <v>1485</v>
      </c>
      <c r="D181" s="475">
        <f t="shared" ref="D181:D197" si="0">SUMIF($D$7:$D$176,C181,$F$7:$F$176)</f>
        <v>507.77000000000004</v>
      </c>
      <c r="E181" s="1202">
        <f>D181/$K$201</f>
        <v>16.379677419354842</v>
      </c>
      <c r="F181" s="1203">
        <f t="shared" ref="F181:F197" si="1">E181/$E$202</f>
        <v>9.242740949508986E-2</v>
      </c>
      <c r="G181" s="800"/>
      <c r="H181" s="2305"/>
      <c r="I181" s="769"/>
      <c r="J181" s="3207" t="s">
        <v>7942</v>
      </c>
      <c r="K181" s="3207"/>
      <c r="L181" s="193" t="s">
        <v>2378</v>
      </c>
      <c r="M181" s="886"/>
      <c r="O181" s="886"/>
      <c r="P181" s="886"/>
      <c r="Q181" s="1038">
        <v>24197.98</v>
      </c>
      <c r="R181" s="1038" t="s">
        <v>6378</v>
      </c>
      <c r="S181" s="1210"/>
      <c r="U181" s="1201"/>
      <c r="V181" s="877"/>
    </row>
    <row r="182" spans="1:26" x14ac:dyDescent="0.25">
      <c r="B182" s="79" t="s">
        <v>2187</v>
      </c>
      <c r="C182" s="85" t="s">
        <v>2157</v>
      </c>
      <c r="D182" s="475">
        <f t="shared" si="0"/>
        <v>0</v>
      </c>
      <c r="E182" s="1202">
        <f>D182/$K$201</f>
        <v>0</v>
      </c>
      <c r="F182" s="1203">
        <f t="shared" si="1"/>
        <v>0</v>
      </c>
      <c r="G182" s="609"/>
      <c r="J182" s="864" t="s">
        <v>3062</v>
      </c>
      <c r="K182" s="1129"/>
      <c r="L182" s="216">
        <v>170</v>
      </c>
      <c r="M182" s="1210"/>
      <c r="O182" s="1038"/>
      <c r="P182" s="1210"/>
      <c r="Q182" s="1210">
        <f>Q178+Q181</f>
        <v>57536.295984720011</v>
      </c>
      <c r="R182" s="1038" t="s">
        <v>6379</v>
      </c>
      <c r="U182" s="877"/>
      <c r="V182" s="877"/>
    </row>
    <row r="183" spans="1:26" s="85" customFormat="1" x14ac:dyDescent="0.25">
      <c r="A183" s="79"/>
      <c r="B183" s="79" t="s">
        <v>50</v>
      </c>
      <c r="C183" s="85" t="s">
        <v>1493</v>
      </c>
      <c r="D183" s="475">
        <f t="shared" si="0"/>
        <v>352.01</v>
      </c>
      <c r="E183" s="1202">
        <f t="shared" ref="E183:E196" si="2">D183/$K$201</f>
        <v>11.355161290322581</v>
      </c>
      <c r="F183" s="1203">
        <f t="shared" si="1"/>
        <v>6.407501903689973E-2</v>
      </c>
      <c r="J183" s="1032" t="s">
        <v>190</v>
      </c>
      <c r="K183" s="1038" t="s">
        <v>15</v>
      </c>
      <c r="L183" s="177">
        <v>200</v>
      </c>
      <c r="M183" s="941"/>
      <c r="N183" s="877"/>
      <c r="O183" s="863"/>
      <c r="Q183" s="79"/>
      <c r="R183" s="177"/>
      <c r="U183" s="877"/>
      <c r="V183" s="877"/>
    </row>
    <row r="184" spans="1:26" s="85" customFormat="1" x14ac:dyDescent="0.25">
      <c r="A184" s="79"/>
      <c r="B184" s="79" t="s">
        <v>14</v>
      </c>
      <c r="C184" s="85" t="s">
        <v>1486</v>
      </c>
      <c r="D184" s="475">
        <f t="shared" si="0"/>
        <v>168.95000000000002</v>
      </c>
      <c r="E184" s="1202">
        <f t="shared" si="2"/>
        <v>5.45</v>
      </c>
      <c r="F184" s="1203">
        <f t="shared" si="1"/>
        <v>3.0753315150945173E-2</v>
      </c>
      <c r="G184" s="79"/>
      <c r="H184" s="79"/>
      <c r="J184" s="1032" t="s">
        <v>7839</v>
      </c>
      <c r="K184" s="1038"/>
      <c r="L184" s="177">
        <v>64</v>
      </c>
      <c r="M184" s="1028"/>
      <c r="N184" s="877"/>
      <c r="O184" s="1038"/>
      <c r="R184" s="177"/>
      <c r="U184" s="877"/>
      <c r="V184" s="877"/>
    </row>
    <row r="185" spans="1:26" s="85" customFormat="1" x14ac:dyDescent="0.25">
      <c r="B185" s="79" t="s">
        <v>51</v>
      </c>
      <c r="C185" s="864" t="s">
        <v>1499</v>
      </c>
      <c r="D185" s="475">
        <f t="shared" si="0"/>
        <v>96.31</v>
      </c>
      <c r="E185" s="1202">
        <f t="shared" si="2"/>
        <v>3.1067741935483872</v>
      </c>
      <c r="F185" s="1203">
        <f t="shared" si="1"/>
        <v>1.7530936858168273E-2</v>
      </c>
      <c r="G185" s="79"/>
      <c r="H185" s="79"/>
      <c r="I185" s="79"/>
      <c r="J185" s="1210"/>
      <c r="K185" s="1038"/>
      <c r="L185" s="2723">
        <f>SUM(L182:L184)</f>
        <v>434</v>
      </c>
      <c r="M185" s="1028"/>
      <c r="N185" s="877"/>
      <c r="O185" s="1038"/>
      <c r="P185" s="1210"/>
      <c r="Q185" s="1038"/>
      <c r="R185" s="177"/>
      <c r="U185" s="877"/>
      <c r="V185" s="877"/>
    </row>
    <row r="186" spans="1:26" s="85" customFormat="1" x14ac:dyDescent="0.25">
      <c r="A186" s="79"/>
      <c r="B186" s="79" t="s">
        <v>2189</v>
      </c>
      <c r="C186" s="864" t="s">
        <v>1496</v>
      </c>
      <c r="D186" s="475">
        <f t="shared" si="0"/>
        <v>168.63</v>
      </c>
      <c r="E186" s="1202">
        <f t="shared" si="2"/>
        <v>5.4396774193548385</v>
      </c>
      <c r="F186" s="1203">
        <f t="shared" si="1"/>
        <v>3.0695066788421922E-2</v>
      </c>
      <c r="G186" s="79"/>
      <c r="M186" s="877"/>
      <c r="O186" s="177"/>
      <c r="R186" s="177"/>
      <c r="U186" s="877"/>
      <c r="V186" s="877"/>
    </row>
    <row r="187" spans="1:26" s="85" customFormat="1" x14ac:dyDescent="0.25">
      <c r="A187" s="79"/>
      <c r="B187" s="867" t="s">
        <v>53</v>
      </c>
      <c r="C187" s="864" t="s">
        <v>1522</v>
      </c>
      <c r="D187" s="475">
        <f t="shared" si="0"/>
        <v>200.5</v>
      </c>
      <c r="E187" s="1202">
        <f t="shared" si="2"/>
        <v>6.467741935483871</v>
      </c>
      <c r="F187" s="1203">
        <f t="shared" si="1"/>
        <v>3.6496239643471484E-2</v>
      </c>
      <c r="J187" s="1210"/>
      <c r="K187" s="1038"/>
      <c r="M187" s="1959"/>
      <c r="O187" s="177"/>
      <c r="P187" s="868"/>
      <c r="Q187" s="769"/>
      <c r="R187" s="79"/>
      <c r="U187" s="877"/>
      <c r="V187" s="877"/>
    </row>
    <row r="188" spans="1:26" s="85" customFormat="1" x14ac:dyDescent="0.25">
      <c r="A188" s="79"/>
      <c r="B188" s="79" t="s">
        <v>3048</v>
      </c>
      <c r="C188" s="864" t="s">
        <v>1523</v>
      </c>
      <c r="D188" s="475">
        <f t="shared" si="0"/>
        <v>49.7</v>
      </c>
      <c r="E188" s="1202">
        <f t="shared" si="2"/>
        <v>1.6032258064516129</v>
      </c>
      <c r="F188" s="1203">
        <f t="shared" si="1"/>
        <v>9.0466988043916841E-3</v>
      </c>
      <c r="G188" s="866"/>
      <c r="J188" s="1210"/>
      <c r="K188" s="1038"/>
      <c r="M188" s="877"/>
      <c r="O188" s="177"/>
      <c r="P188" s="866"/>
      <c r="Q188" s="1210"/>
      <c r="R188" s="877"/>
      <c r="U188" s="877"/>
      <c r="V188" s="877"/>
    </row>
    <row r="189" spans="1:26" s="85" customFormat="1" x14ac:dyDescent="0.25">
      <c r="A189" s="79"/>
      <c r="B189" s="79" t="s">
        <v>1686</v>
      </c>
      <c r="C189" s="864" t="s">
        <v>1506</v>
      </c>
      <c r="D189" s="475">
        <f t="shared" si="0"/>
        <v>372.9</v>
      </c>
      <c r="E189" s="1202">
        <f t="shared" si="2"/>
        <v>12.029032258064515</v>
      </c>
      <c r="F189" s="1203">
        <f t="shared" si="1"/>
        <v>6.7877544952870392E-2</v>
      </c>
      <c r="G189" s="868"/>
      <c r="J189" s="1210"/>
      <c r="K189" s="1038"/>
      <c r="M189" s="877"/>
      <c r="O189" s="177"/>
      <c r="P189" s="1226"/>
      <c r="Q189" s="1129"/>
      <c r="R189" s="877"/>
      <c r="U189" s="877"/>
      <c r="V189" s="877"/>
    </row>
    <row r="190" spans="1:26" x14ac:dyDescent="0.25">
      <c r="B190" s="79" t="s">
        <v>418</v>
      </c>
      <c r="C190" s="85" t="s">
        <v>1524</v>
      </c>
      <c r="D190" s="475">
        <f t="shared" si="0"/>
        <v>5513.3285000000005</v>
      </c>
      <c r="E190" s="1202">
        <f t="shared" si="2"/>
        <v>177.84930645161293</v>
      </c>
      <c r="F190" s="1203">
        <f t="shared" si="1"/>
        <v>1.0035698661804549</v>
      </c>
      <c r="G190" s="85"/>
      <c r="H190" s="85"/>
      <c r="I190" s="85"/>
      <c r="J190" s="1210"/>
      <c r="K190" s="1038"/>
      <c r="L190" s="769"/>
      <c r="M190" s="877"/>
      <c r="N190" s="769"/>
      <c r="O190" s="216"/>
      <c r="P190" s="1038"/>
      <c r="Q190" s="1226"/>
      <c r="R190" s="877"/>
      <c r="U190" s="877"/>
      <c r="V190" s="877"/>
    </row>
    <row r="191" spans="1:26" x14ac:dyDescent="0.25">
      <c r="B191" s="79" t="s">
        <v>6732</v>
      </c>
      <c r="C191" s="85" t="s">
        <v>1491</v>
      </c>
      <c r="D191" s="475">
        <f t="shared" si="0"/>
        <v>933.98</v>
      </c>
      <c r="E191" s="1202">
        <f t="shared" si="2"/>
        <v>30.128387096774194</v>
      </c>
      <c r="F191" s="1203">
        <f t="shared" si="1"/>
        <v>0.17000876759206729</v>
      </c>
      <c r="I191" s="85"/>
      <c r="J191" s="1210"/>
      <c r="K191" s="1038"/>
      <c r="N191" s="216"/>
      <c r="O191" s="216"/>
      <c r="Q191" s="484"/>
      <c r="R191" s="877"/>
      <c r="U191" s="877"/>
      <c r="V191" s="877"/>
    </row>
    <row r="192" spans="1:26" x14ac:dyDescent="0.25">
      <c r="B192" s="79" t="s">
        <v>6733</v>
      </c>
      <c r="C192" s="85" t="s">
        <v>6731</v>
      </c>
      <c r="D192" s="475">
        <f t="shared" si="0"/>
        <v>196.76333333333332</v>
      </c>
      <c r="E192" s="1202">
        <f t="shared" si="2"/>
        <v>6.3472043010752683</v>
      </c>
      <c r="F192" s="1203">
        <f t="shared" si="1"/>
        <v>3.5816068660257321E-2</v>
      </c>
      <c r="I192" s="85"/>
      <c r="J192" s="1210"/>
      <c r="K192" s="1038"/>
      <c r="N192" s="216"/>
      <c r="O192" s="216"/>
      <c r="Q192" s="484"/>
      <c r="R192" s="877"/>
      <c r="U192" s="877"/>
      <c r="V192" s="877"/>
    </row>
    <row r="193" spans="1:24" x14ac:dyDescent="0.25">
      <c r="B193" s="79" t="s">
        <v>5439</v>
      </c>
      <c r="C193" s="85" t="s">
        <v>1525</v>
      </c>
      <c r="D193" s="475">
        <f t="shared" si="0"/>
        <v>236.5</v>
      </c>
      <c r="E193" s="1202">
        <f t="shared" si="2"/>
        <v>7.629032258064516</v>
      </c>
      <c r="F193" s="1203">
        <f t="shared" si="1"/>
        <v>4.3049180427336686E-2</v>
      </c>
      <c r="J193" s="1210"/>
      <c r="K193" s="1038"/>
      <c r="O193" s="216"/>
      <c r="Q193" s="484"/>
      <c r="R193" s="1673"/>
      <c r="U193" s="877"/>
      <c r="V193" s="877"/>
    </row>
    <row r="194" spans="1:24" x14ac:dyDescent="0.25">
      <c r="B194" s="79" t="s">
        <v>1526</v>
      </c>
      <c r="C194" s="85" t="s">
        <v>1504</v>
      </c>
      <c r="D194" s="475">
        <f t="shared" si="0"/>
        <v>167.80666666666667</v>
      </c>
      <c r="E194" s="1202">
        <f t="shared" si="2"/>
        <v>5.4131182795698924</v>
      </c>
      <c r="F194" s="1203">
        <f t="shared" si="1"/>
        <v>3.0545198605679821E-2</v>
      </c>
      <c r="J194" s="1210"/>
      <c r="K194" s="1038"/>
      <c r="L194" s="769"/>
      <c r="N194" s="769"/>
      <c r="O194" s="886"/>
      <c r="P194" s="1210"/>
      <c r="Q194" s="1038"/>
      <c r="R194" s="1129"/>
      <c r="T194" s="1129"/>
      <c r="U194" s="877"/>
      <c r="V194" s="877"/>
    </row>
    <row r="195" spans="1:24" x14ac:dyDescent="0.25">
      <c r="B195" s="79" t="s">
        <v>2343</v>
      </c>
      <c r="C195" s="85" t="s">
        <v>2315</v>
      </c>
      <c r="D195" s="475">
        <f t="shared" si="0"/>
        <v>0</v>
      </c>
      <c r="E195" s="1202">
        <f t="shared" si="2"/>
        <v>0</v>
      </c>
      <c r="F195" s="1203">
        <f t="shared" si="1"/>
        <v>0</v>
      </c>
      <c r="J195" s="1210"/>
      <c r="K195" s="1038"/>
      <c r="L195" s="769"/>
      <c r="M195" s="1210"/>
      <c r="N195" s="769"/>
      <c r="O195" s="1673"/>
      <c r="P195" s="1210"/>
      <c r="Q195" s="1038"/>
      <c r="R195" s="1129"/>
      <c r="T195" s="1129"/>
      <c r="U195" s="877"/>
      <c r="V195" s="877"/>
    </row>
    <row r="196" spans="1:24" x14ac:dyDescent="0.25">
      <c r="B196" s="79" t="s">
        <v>3019</v>
      </c>
      <c r="C196" s="85" t="s">
        <v>3017</v>
      </c>
      <c r="D196" s="796">
        <f t="shared" si="0"/>
        <v>0</v>
      </c>
      <c r="E196" s="1202">
        <f t="shared" si="2"/>
        <v>0</v>
      </c>
      <c r="F196" s="1203">
        <f t="shared" si="1"/>
        <v>0</v>
      </c>
      <c r="J196" s="1210"/>
      <c r="K196" s="1038"/>
      <c r="L196" s="769"/>
      <c r="N196" s="769"/>
      <c r="P196" s="941"/>
      <c r="Q196" s="224"/>
      <c r="R196" s="1226"/>
      <c r="S196" s="1129"/>
      <c r="T196" s="1129"/>
      <c r="U196" s="877"/>
      <c r="V196" s="877"/>
    </row>
    <row r="197" spans="1:24" ht="15.75" thickBot="1" x14ac:dyDescent="0.3">
      <c r="B197" s="301" t="s">
        <v>1527</v>
      </c>
      <c r="C197" s="2400" t="s">
        <v>1489</v>
      </c>
      <c r="D197" s="2401">
        <f t="shared" si="0"/>
        <v>1794.3649999999998</v>
      </c>
      <c r="E197" s="2402">
        <f>D197/$K$201</f>
        <v>57.882741935483864</v>
      </c>
      <c r="F197" s="2403">
        <f t="shared" si="1"/>
        <v>0.32662132193445237</v>
      </c>
      <c r="J197" s="1210"/>
      <c r="K197" s="1038"/>
      <c r="P197" s="1210"/>
      <c r="Q197" s="1038"/>
      <c r="R197" s="1226"/>
      <c r="S197" s="1129"/>
      <c r="T197" s="1129"/>
      <c r="U197" s="877"/>
      <c r="V197" s="877"/>
    </row>
    <row r="198" spans="1:24" x14ac:dyDescent="0.25">
      <c r="B198" s="1124" t="s">
        <v>7850</v>
      </c>
      <c r="C198" s="1124"/>
      <c r="D198" s="1125">
        <f>SUMIF($B$7:$B$176,B198,$G$7:$G$176)</f>
        <v>486.12</v>
      </c>
      <c r="E198" s="1138">
        <f>D198/K201</f>
        <v>15.681290322580645</v>
      </c>
      <c r="F198" s="1124"/>
      <c r="G198" s="1129"/>
      <c r="J198" s="2037"/>
      <c r="K198" s="629"/>
      <c r="P198" s="1210"/>
      <c r="Q198" s="1038"/>
      <c r="R198" s="1227"/>
      <c r="S198" s="1129"/>
      <c r="T198" s="1129"/>
      <c r="U198" s="877"/>
      <c r="V198" s="877"/>
    </row>
    <row r="199" spans="1:24" x14ac:dyDescent="0.25">
      <c r="B199" s="1124" t="s">
        <v>6329</v>
      </c>
      <c r="C199" s="1124"/>
      <c r="D199" s="1125">
        <f>SUMIF($B$7:$B$176,B199,$G$7:$G$176)</f>
        <v>400</v>
      </c>
      <c r="E199" s="1138">
        <f>D199/K201</f>
        <v>12.903225806451612</v>
      </c>
      <c r="F199" s="1124"/>
      <c r="J199" s="2037"/>
      <c r="K199" s="629"/>
      <c r="L199" s="518"/>
      <c r="P199" s="1210"/>
      <c r="Q199" s="1038"/>
      <c r="R199" s="1227"/>
      <c r="S199" s="1129"/>
      <c r="T199" s="1129"/>
      <c r="U199" s="877"/>
      <c r="V199" s="877"/>
    </row>
    <row r="200" spans="1:24" x14ac:dyDescent="0.25">
      <c r="B200" s="1124"/>
      <c r="C200" s="1124"/>
      <c r="D200" s="1125"/>
      <c r="E200" s="1138"/>
      <c r="F200" s="1124"/>
      <c r="J200" s="2037"/>
      <c r="K200" s="629"/>
      <c r="L200" s="459" t="s">
        <v>6481</v>
      </c>
      <c r="M200" s="2125" t="s">
        <v>6482</v>
      </c>
      <c r="P200" s="1210"/>
      <c r="Q200" s="1038"/>
      <c r="R200" s="1227"/>
      <c r="T200" s="1129"/>
      <c r="U200" s="877"/>
      <c r="V200" s="877"/>
    </row>
    <row r="201" spans="1:24" x14ac:dyDescent="0.25">
      <c r="C201" s="3168" t="s">
        <v>486</v>
      </c>
      <c r="D201" s="3168"/>
      <c r="E201" s="863">
        <f>J201/K201</f>
        <v>347.08108064516125</v>
      </c>
      <c r="G201" s="518" t="s">
        <v>487</v>
      </c>
      <c r="J201" s="629">
        <f>SUM(D181:D197)</f>
        <v>10759.513499999999</v>
      </c>
      <c r="K201" s="1517">
        <v>31</v>
      </c>
      <c r="M201" s="1138">
        <f>5316.5+D199-J202</f>
        <v>470.31500000000142</v>
      </c>
      <c r="N201" s="216"/>
      <c r="O201" s="1517"/>
      <c r="P201" s="1210"/>
      <c r="Q201" s="1038"/>
      <c r="R201" s="1226"/>
      <c r="S201" s="1129"/>
      <c r="T201" s="1129"/>
      <c r="U201" s="877"/>
      <c r="V201" s="877"/>
    </row>
    <row r="202" spans="1:24" ht="15.75" customHeight="1" x14ac:dyDescent="0.25">
      <c r="B202" s="3167" t="s">
        <v>7452</v>
      </c>
      <c r="C202" s="3167"/>
      <c r="D202" s="3167"/>
      <c r="E202" s="1125">
        <f>5316.5/30</f>
        <v>177.21666666666667</v>
      </c>
      <c r="G202" s="518" t="s">
        <v>6257</v>
      </c>
      <c r="J202" s="609">
        <f>J201-D190</f>
        <v>5246.1849999999986</v>
      </c>
      <c r="K202" s="629"/>
      <c r="M202" s="868"/>
      <c r="O202" s="868"/>
      <c r="P202" s="1210"/>
      <c r="Q202" s="1038"/>
      <c r="R202" s="1226"/>
      <c r="S202" s="1129"/>
      <c r="T202" s="1129"/>
      <c r="U202" s="877"/>
      <c r="V202" s="877"/>
    </row>
    <row r="203" spans="1:24" x14ac:dyDescent="0.25">
      <c r="A203" s="518"/>
      <c r="C203" s="79"/>
      <c r="D203" s="79"/>
      <c r="E203" s="769"/>
      <c r="F203" s="866"/>
      <c r="G203" s="769"/>
      <c r="H203" s="866"/>
      <c r="I203" s="1210"/>
      <c r="J203" s="867"/>
      <c r="K203" s="866"/>
      <c r="L203" s="1038"/>
      <c r="M203" s="1210"/>
      <c r="N203" s="1038"/>
      <c r="O203" s="1210"/>
      <c r="P203" s="1210"/>
      <c r="Q203" s="1038"/>
      <c r="R203" s="769"/>
      <c r="S203" s="484" t="s">
        <v>280</v>
      </c>
      <c r="T203" s="216"/>
      <c r="U203" s="866"/>
      <c r="V203" s="484"/>
      <c r="X203" s="877"/>
    </row>
    <row r="204" spans="1:24" s="518" customFormat="1" x14ac:dyDescent="0.25">
      <c r="A204" s="79"/>
      <c r="B204" s="79"/>
      <c r="C204" s="79"/>
      <c r="D204" s="79"/>
      <c r="E204" s="1126">
        <f>E202-E201</f>
        <v>-169.86441397849458</v>
      </c>
      <c r="F204" s="1205">
        <f>SUM(F181:F203)</f>
        <v>1.958512634130507</v>
      </c>
      <c r="G204" s="85"/>
      <c r="H204" s="85"/>
      <c r="I204" s="89"/>
      <c r="J204" s="1210"/>
      <c r="K204" s="754"/>
      <c r="L204" s="79"/>
      <c r="M204" s="79"/>
      <c r="N204" s="79"/>
      <c r="O204" s="79"/>
      <c r="P204" s="1210"/>
      <c r="Q204" s="1038"/>
      <c r="R204" s="79"/>
      <c r="S204" s="79"/>
      <c r="T204" s="866"/>
      <c r="U204" s="484"/>
      <c r="V204" s="79"/>
      <c r="W204" s="877"/>
      <c r="X204" s="79"/>
    </row>
    <row r="205" spans="1:24" s="518" customFormat="1" x14ac:dyDescent="0.25">
      <c r="A205" s="79"/>
      <c r="B205" s="79"/>
      <c r="C205" s="79"/>
      <c r="D205" s="79"/>
      <c r="E205" s="85"/>
      <c r="J205" s="1038"/>
      <c r="K205" s="1225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1124" t="s">
        <v>6376</v>
      </c>
      <c r="C206" s="2125"/>
      <c r="D206" s="2219">
        <f>SUMIF($E$8:$E$176,"crédito",$G$8:$G$176)</f>
        <v>6016.5</v>
      </c>
      <c r="E206" s="85"/>
      <c r="F206" s="89"/>
      <c r="G206" s="79"/>
      <c r="H206" s="79"/>
      <c r="I206" s="79"/>
      <c r="J206" s="1038"/>
      <c r="K206" s="1225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518" t="s">
        <v>6496</v>
      </c>
      <c r="C207" s="459"/>
      <c r="D207" s="2218">
        <f>SUM(D181:D197)-D190</f>
        <v>5246.1849999999986</v>
      </c>
      <c r="E207" s="85"/>
      <c r="F207" s="89"/>
      <c r="G207" s="79"/>
      <c r="H207" s="79"/>
      <c r="I207" s="216"/>
      <c r="J207" s="864"/>
      <c r="K207" s="877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81" t="s">
        <v>6497</v>
      </c>
      <c r="C208" s="81"/>
      <c r="D208" s="1014">
        <f>D206-D207</f>
        <v>770.31500000000142</v>
      </c>
      <c r="E208" s="79"/>
      <c r="F208" s="79"/>
      <c r="G208" s="79"/>
      <c r="H208" s="79"/>
      <c r="J208" s="1038"/>
      <c r="K208" s="877"/>
      <c r="M208" s="866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216"/>
      <c r="J209" s="1038"/>
      <c r="K209" s="877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216"/>
      <c r="H210" s="79"/>
      <c r="I210" s="216"/>
      <c r="J210" s="1038"/>
      <c r="K210" s="877"/>
      <c r="L210" s="769"/>
      <c r="M210" s="868"/>
      <c r="N210" s="769"/>
      <c r="O210" s="868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216"/>
      <c r="H211" s="79"/>
      <c r="I211" s="216"/>
      <c r="J211" s="79"/>
      <c r="K211" s="877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216"/>
      <c r="H212" s="79"/>
      <c r="I212" s="79"/>
      <c r="J212" s="85"/>
      <c r="K212" s="877"/>
      <c r="L212" s="770"/>
      <c r="M212" s="866"/>
      <c r="N212" s="770"/>
      <c r="O212" s="866"/>
      <c r="P212" s="1210"/>
      <c r="Q212" s="103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1038"/>
      <c r="K213" s="877"/>
      <c r="L213" s="769"/>
      <c r="M213" s="868"/>
      <c r="N213" s="769"/>
      <c r="O213" s="868"/>
      <c r="P213" s="1210"/>
      <c r="Q213" s="103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85"/>
      <c r="D214" s="85"/>
      <c r="E214" s="85"/>
      <c r="F214" s="89"/>
      <c r="G214" s="79"/>
      <c r="H214" s="79"/>
      <c r="I214" s="79"/>
      <c r="J214" s="85"/>
      <c r="K214" s="877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629"/>
      <c r="J215" s="769"/>
      <c r="K215" s="1225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85"/>
      <c r="D216" s="85"/>
      <c r="E216" s="85"/>
      <c r="F216" s="89"/>
      <c r="G216" s="79"/>
      <c r="H216" s="79"/>
      <c r="I216" s="79"/>
      <c r="J216" s="79"/>
      <c r="K216" s="79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1" s="518" customFormat="1" x14ac:dyDescent="0.25">
      <c r="A217" s="79"/>
      <c r="B217" s="79"/>
      <c r="C217" s="85"/>
      <c r="D217" s="85"/>
      <c r="E217" s="85"/>
      <c r="F217" s="89"/>
      <c r="G217" s="79"/>
      <c r="H217" s="79"/>
      <c r="I217" s="79"/>
      <c r="J217" s="79"/>
      <c r="K217" s="79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1" s="518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J218" s="769"/>
      <c r="K218" s="868"/>
      <c r="L218" s="769"/>
      <c r="M218" s="866"/>
      <c r="N218" s="769"/>
      <c r="O218" s="866"/>
      <c r="P218" s="1210"/>
      <c r="Q218" s="1038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69"/>
      <c r="K219" s="868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1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69"/>
      <c r="K220" s="79"/>
      <c r="L220" s="769"/>
      <c r="M220" s="866"/>
      <c r="N220" s="769"/>
      <c r="O220" s="866"/>
      <c r="P220" s="1210"/>
      <c r="Q220" s="1038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79"/>
      <c r="K221" s="79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216"/>
      <c r="J222" s="79"/>
      <c r="K222" s="79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216"/>
      <c r="J223" s="1517"/>
      <c r="K223" s="79"/>
      <c r="L223" s="769"/>
      <c r="M223" s="866"/>
      <c r="N223" s="769"/>
      <c r="O223" s="866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216"/>
      <c r="J224" s="79"/>
      <c r="K224" s="868"/>
      <c r="L224" s="769"/>
      <c r="M224" s="866"/>
      <c r="N224" s="769"/>
      <c r="O224" s="866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216"/>
      <c r="J225" s="89"/>
      <c r="K225" s="79"/>
      <c r="L225" s="769"/>
      <c r="M225" s="868"/>
      <c r="N225" s="769"/>
      <c r="O225" s="868"/>
      <c r="P225" s="79"/>
      <c r="Q225" s="79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216"/>
      <c r="J226" s="79"/>
      <c r="K226" s="79"/>
      <c r="L226" s="769"/>
      <c r="M226" s="868"/>
      <c r="N226" s="769"/>
      <c r="O226" s="868"/>
      <c r="P226" s="81"/>
      <c r="Q226" s="755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216"/>
      <c r="L227" s="769"/>
      <c r="M227" s="868"/>
      <c r="N227" s="769"/>
      <c r="O227" s="868"/>
      <c r="P227" s="868"/>
      <c r="Q227" s="79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769"/>
      <c r="K228" s="866"/>
      <c r="L228" s="769"/>
      <c r="M228" s="868"/>
      <c r="N228" s="769"/>
      <c r="O228" s="868"/>
      <c r="P228" s="754"/>
      <c r="Q228" s="88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769"/>
      <c r="K229" s="866"/>
      <c r="L229" s="769"/>
      <c r="M229" s="868"/>
      <c r="N229" s="769"/>
      <c r="O229" s="868"/>
      <c r="P229" s="864"/>
      <c r="Q229" s="864"/>
      <c r="R229" s="484"/>
      <c r="S229" s="79"/>
      <c r="T229" s="877"/>
      <c r="U229" s="79"/>
    </row>
    <row r="230" spans="1:21" s="518" customFormat="1" x14ac:dyDescent="0.25">
      <c r="A230" s="79"/>
      <c r="B230" s="79"/>
      <c r="C230" s="85"/>
      <c r="D230" s="85"/>
      <c r="E230" s="85"/>
      <c r="F230" s="89"/>
      <c r="G230" s="79"/>
      <c r="H230" s="79"/>
      <c r="I230" s="79"/>
      <c r="K230" s="866"/>
      <c r="L230" s="769"/>
      <c r="M230" s="866"/>
      <c r="N230" s="769"/>
      <c r="O230" s="866"/>
      <c r="P230" s="864"/>
      <c r="Q230" s="1032"/>
      <c r="R230" s="484"/>
      <c r="S230" s="79"/>
      <c r="T230" s="877"/>
      <c r="U230" s="79"/>
    </row>
    <row r="231" spans="1:21" s="518" customFormat="1" x14ac:dyDescent="0.25">
      <c r="A231" s="79"/>
      <c r="B231" s="79"/>
      <c r="C231" s="85"/>
      <c r="D231" s="85"/>
      <c r="E231" s="85"/>
      <c r="F231" s="89"/>
      <c r="G231" s="79"/>
      <c r="H231" s="79"/>
      <c r="I231" s="79"/>
      <c r="J231" s="769"/>
      <c r="K231" s="866"/>
      <c r="L231" s="769"/>
      <c r="M231" s="866"/>
      <c r="N231" s="769"/>
      <c r="O231" s="866"/>
      <c r="P231" s="864"/>
      <c r="Q231" s="1032"/>
      <c r="R231" s="484"/>
      <c r="S231" s="79"/>
      <c r="T231" s="877"/>
      <c r="U231" s="79"/>
    </row>
    <row r="232" spans="1:21" s="518" customFormat="1" x14ac:dyDescent="0.25">
      <c r="A232" s="79"/>
      <c r="B232" s="79"/>
      <c r="C232" s="85"/>
      <c r="D232" s="85"/>
      <c r="E232" s="85"/>
      <c r="F232" s="89"/>
      <c r="G232" s="79"/>
      <c r="H232" s="79"/>
      <c r="I232" s="79"/>
      <c r="J232" s="769"/>
      <c r="K232" s="868"/>
      <c r="L232" s="769"/>
      <c r="M232" s="868"/>
      <c r="N232" s="769"/>
      <c r="O232" s="868"/>
      <c r="P232" s="85"/>
      <c r="Q232" s="795"/>
      <c r="R232" s="484"/>
      <c r="S232" s="79"/>
      <c r="T232" s="877"/>
      <c r="U232" s="79"/>
    </row>
    <row r="233" spans="1:21" s="518" customFormat="1" x14ac:dyDescent="0.25">
      <c r="A233" s="79"/>
      <c r="B233" s="79"/>
      <c r="C233" s="85"/>
      <c r="D233" s="85"/>
      <c r="E233" s="85"/>
      <c r="F233" s="89"/>
      <c r="G233" s="79"/>
      <c r="H233" s="79"/>
      <c r="I233" s="79"/>
      <c r="J233" s="769"/>
      <c r="K233" s="866"/>
      <c r="L233" s="769"/>
      <c r="M233" s="866"/>
      <c r="N233" s="769"/>
      <c r="O233" s="866"/>
      <c r="P233" s="85"/>
      <c r="Q233" s="177"/>
      <c r="R233" s="484"/>
      <c r="S233" s="79"/>
      <c r="T233" s="877"/>
      <c r="U233" s="79"/>
    </row>
    <row r="234" spans="1:21" s="518" customFormat="1" x14ac:dyDescent="0.25">
      <c r="A234" s="79"/>
      <c r="B234" s="79"/>
      <c r="C234" s="85"/>
      <c r="D234" s="85"/>
      <c r="E234" s="85"/>
      <c r="F234" s="89"/>
      <c r="G234" s="79"/>
      <c r="H234" s="79"/>
      <c r="I234" s="79"/>
      <c r="J234" s="770"/>
      <c r="K234" s="866"/>
      <c r="L234" s="769"/>
      <c r="M234" s="866"/>
      <c r="N234" s="769"/>
      <c r="O234" s="866"/>
      <c r="P234" s="85"/>
      <c r="Q234" s="177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8"/>
      <c r="L235" s="769"/>
      <c r="M235" s="868"/>
      <c r="N235" s="769"/>
      <c r="O235" s="868"/>
      <c r="P235" s="85"/>
      <c r="Q235" s="177" t="s">
        <v>280</v>
      </c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69"/>
      <c r="M236" s="868"/>
      <c r="N236" s="769"/>
      <c r="O236" s="868"/>
      <c r="P236" s="85"/>
      <c r="Q236" s="177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69"/>
      <c r="M237" s="868"/>
      <c r="N237" s="769"/>
      <c r="O237" s="868"/>
      <c r="P237" s="85"/>
      <c r="Q237" s="866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769"/>
      <c r="M238" s="868"/>
      <c r="N238" s="769"/>
      <c r="O238" s="868"/>
      <c r="P238" s="769"/>
      <c r="Q238" s="21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6"/>
      <c r="L239" s="769"/>
      <c r="M239" s="866"/>
      <c r="N239" s="769"/>
      <c r="O239" s="866"/>
      <c r="P239" s="79"/>
      <c r="Q239" s="21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6"/>
      <c r="L240" s="223"/>
      <c r="M240" s="629"/>
      <c r="N240" s="223"/>
      <c r="O240" s="629"/>
      <c r="P240" s="76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756"/>
      <c r="M241" s="756"/>
      <c r="N241" s="756"/>
      <c r="O241" s="756"/>
      <c r="P241" s="769"/>
      <c r="Q241" s="868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9"/>
      <c r="M242" s="79"/>
      <c r="N242" s="79"/>
      <c r="O242" s="79"/>
      <c r="P242" s="769"/>
      <c r="Q242" s="868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69"/>
      <c r="Q243" s="79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9"/>
      <c r="Q244" s="79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9"/>
      <c r="M245" s="79"/>
      <c r="N245" s="79"/>
      <c r="O245" s="79"/>
      <c r="P245" s="79"/>
      <c r="Q245" s="79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85"/>
      <c r="M246" s="85"/>
      <c r="N246" s="85"/>
      <c r="O246" s="85"/>
      <c r="P246" s="1517"/>
      <c r="Q246" s="79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7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8"/>
      <c r="L248" s="79"/>
      <c r="M248" s="79"/>
      <c r="N248" s="79"/>
      <c r="O248" s="79"/>
      <c r="P248" s="89"/>
      <c r="Q248" s="79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8"/>
      <c r="L249" s="79"/>
      <c r="M249" s="79"/>
      <c r="N249" s="79"/>
      <c r="O249" s="79"/>
      <c r="P249" s="79"/>
      <c r="Q249" s="79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8"/>
      <c r="L250" s="79"/>
      <c r="M250" s="79"/>
      <c r="N250" s="79"/>
      <c r="O250" s="79"/>
      <c r="P250" s="769"/>
      <c r="Q250" s="866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8"/>
      <c r="L251" s="79"/>
      <c r="M251" s="79"/>
      <c r="N251" s="79"/>
      <c r="O251" s="79"/>
      <c r="P251" s="769"/>
      <c r="Q251" s="866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79"/>
      <c r="M252" s="79"/>
      <c r="N252" s="79"/>
      <c r="O252" s="79"/>
      <c r="P252" s="769"/>
      <c r="Q252" s="866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85"/>
      <c r="M253" s="85"/>
      <c r="N253" s="85"/>
      <c r="O253" s="85"/>
      <c r="Q253" s="866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8"/>
      <c r="L254" s="79"/>
      <c r="M254" s="79"/>
      <c r="N254" s="79"/>
      <c r="O254" s="79"/>
      <c r="P254" s="769"/>
      <c r="Q254" s="866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6"/>
      <c r="L255" s="79"/>
      <c r="M255" s="79"/>
      <c r="N255" s="79"/>
      <c r="O255" s="79"/>
      <c r="P255" s="769"/>
      <c r="Q255" s="868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6"/>
      <c r="L256" s="79"/>
      <c r="M256" s="79"/>
      <c r="N256" s="79"/>
      <c r="O256" s="79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70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769"/>
      <c r="Q258" s="868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9"/>
      <c r="M259" s="79"/>
      <c r="N259" s="79"/>
      <c r="O259" s="79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8"/>
      <c r="L260" s="771"/>
      <c r="N260" s="771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79"/>
      <c r="M261" s="79"/>
      <c r="N261" s="79"/>
      <c r="O261" s="79"/>
      <c r="P261" s="769"/>
      <c r="Q261" s="866"/>
      <c r="R261" s="484"/>
      <c r="S261" s="79"/>
      <c r="T261" s="877"/>
      <c r="U261" s="79"/>
    </row>
    <row r="262" spans="1:21" x14ac:dyDescent="0.25">
      <c r="J262" s="223"/>
      <c r="K262" s="629"/>
      <c r="P262" s="769"/>
      <c r="Q262" s="866"/>
    </row>
    <row r="263" spans="1:21" x14ac:dyDescent="0.25">
      <c r="J263" s="756"/>
      <c r="K263" s="756"/>
      <c r="P263" s="769"/>
      <c r="Q263" s="866"/>
    </row>
    <row r="264" spans="1:21" x14ac:dyDescent="0.25">
      <c r="P264" s="769"/>
      <c r="Q264" s="866"/>
    </row>
    <row r="265" spans="1:21" x14ac:dyDescent="0.25">
      <c r="P265" s="769"/>
      <c r="Q265" s="866"/>
    </row>
    <row r="266" spans="1:21" x14ac:dyDescent="0.25">
      <c r="P266" s="769"/>
      <c r="Q266" s="866"/>
    </row>
    <row r="267" spans="1:21" x14ac:dyDescent="0.25">
      <c r="P267" s="769"/>
      <c r="Q267" s="866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85"/>
      <c r="K268" s="85"/>
      <c r="L268" s="79"/>
      <c r="M268" s="216"/>
      <c r="N268" s="79"/>
      <c r="O268" s="216"/>
      <c r="P268" s="769"/>
      <c r="Q268" s="866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216"/>
      <c r="N269" s="79"/>
      <c r="O269" s="216"/>
      <c r="P269" s="769"/>
      <c r="Q269" s="866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216"/>
      <c r="N271" s="79"/>
      <c r="O271" s="216"/>
      <c r="P271" s="769"/>
      <c r="Q271" s="868"/>
      <c r="R271" s="484"/>
      <c r="S271" s="79"/>
      <c r="T271" s="877"/>
      <c r="U271" s="79"/>
    </row>
    <row r="272" spans="1:21" x14ac:dyDescent="0.25">
      <c r="P272" s="769"/>
      <c r="Q272" s="868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769"/>
      <c r="Q273" s="868"/>
      <c r="R273" s="484"/>
      <c r="S273" s="79"/>
      <c r="T273" s="877"/>
      <c r="U273" s="79"/>
    </row>
    <row r="274" spans="1:21" x14ac:dyDescent="0.25">
      <c r="P274" s="769"/>
      <c r="Q274" s="868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85"/>
      <c r="K275" s="85"/>
      <c r="L275" s="79"/>
      <c r="M275" s="629"/>
      <c r="N275" s="79"/>
      <c r="O275" s="629"/>
      <c r="P275" s="769"/>
      <c r="Q275" s="866"/>
      <c r="R275" s="484"/>
      <c r="S275" s="79"/>
      <c r="T275" s="877"/>
      <c r="U275" s="79"/>
    </row>
    <row r="276" spans="1:21" x14ac:dyDescent="0.25">
      <c r="P276" s="769"/>
      <c r="Q276" s="866"/>
    </row>
    <row r="277" spans="1:21" x14ac:dyDescent="0.25">
      <c r="P277" s="769"/>
      <c r="Q277" s="868"/>
    </row>
    <row r="278" spans="1:21" x14ac:dyDescent="0.25">
      <c r="P278" s="769"/>
      <c r="Q278" s="866"/>
    </row>
    <row r="279" spans="1:21" x14ac:dyDescent="0.25">
      <c r="P279" s="769"/>
      <c r="Q279" s="866"/>
    </row>
    <row r="280" spans="1:21" x14ac:dyDescent="0.25">
      <c r="P280" s="769"/>
      <c r="Q280" s="868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69"/>
      <c r="Q281" s="868"/>
      <c r="R281" s="484"/>
      <c r="S281" s="79"/>
      <c r="T281" s="877"/>
      <c r="U281" s="79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71"/>
      <c r="L282" s="79"/>
      <c r="M282" s="216"/>
      <c r="N282" s="79"/>
      <c r="O282" s="216"/>
      <c r="P282" s="769"/>
      <c r="Q282" s="868"/>
      <c r="R282" s="484"/>
      <c r="S282" s="79"/>
      <c r="T282" s="877"/>
      <c r="U282" s="79"/>
    </row>
    <row r="283" spans="1:21" s="518" customFormat="1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216"/>
      <c r="N283" s="79"/>
      <c r="O283" s="216"/>
      <c r="P283" s="769"/>
      <c r="Q283" s="868"/>
      <c r="R283" s="484"/>
      <c r="S283" s="79"/>
      <c r="T283" s="877"/>
      <c r="U283" s="79"/>
    </row>
    <row r="284" spans="1:21" s="518" customFormat="1" x14ac:dyDescent="0.25">
      <c r="A284" s="79"/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216"/>
      <c r="N284" s="79"/>
      <c r="O284" s="216"/>
      <c r="P284" s="769"/>
      <c r="Q284" s="866"/>
      <c r="R284" s="484"/>
      <c r="S284" s="79"/>
      <c r="T284" s="877"/>
      <c r="U284" s="79"/>
    </row>
    <row r="285" spans="1:21" s="518" customFormat="1" x14ac:dyDescent="0.25">
      <c r="A285" s="79"/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216"/>
      <c r="N285" s="79"/>
      <c r="O285" s="216"/>
      <c r="P285" s="223"/>
      <c r="Q285" s="629"/>
      <c r="R285" s="484"/>
      <c r="S285" s="79"/>
      <c r="T285" s="877"/>
      <c r="U285" s="79"/>
    </row>
    <row r="286" spans="1:21" s="518" customFormat="1" x14ac:dyDescent="0.25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216"/>
      <c r="N286" s="79"/>
      <c r="O286" s="216"/>
      <c r="P286" s="756"/>
      <c r="Q286" s="756"/>
      <c r="R286" s="484"/>
      <c r="S286" s="79"/>
      <c r="T286" s="877"/>
      <c r="U286" s="79"/>
    </row>
    <row r="287" spans="1:21" s="518" customFormat="1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216"/>
      <c r="N287" s="79"/>
      <c r="O287" s="216"/>
      <c r="P287" s="79"/>
      <c r="Q287" s="79"/>
      <c r="R287" s="484"/>
      <c r="S287" s="79"/>
      <c r="T287" s="877"/>
      <c r="U287" s="79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216"/>
      <c r="N288" s="79"/>
      <c r="O288" s="216"/>
      <c r="P288" s="79"/>
      <c r="Q288" s="79"/>
      <c r="R288" s="484"/>
      <c r="S288" s="79"/>
      <c r="T288" s="877"/>
      <c r="U288" s="79"/>
    </row>
    <row r="289" spans="1:42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9"/>
      <c r="Q289" s="79"/>
      <c r="R289" s="484"/>
      <c r="S289" s="79"/>
      <c r="T289" s="877"/>
      <c r="U289" s="79"/>
    </row>
    <row r="290" spans="1:42" x14ac:dyDescent="0.25">
      <c r="K290" s="216"/>
    </row>
    <row r="291" spans="1:42" x14ac:dyDescent="0.25">
      <c r="K291" s="216"/>
      <c r="P291" s="85"/>
      <c r="Q291" s="85"/>
    </row>
    <row r="292" spans="1:42" x14ac:dyDescent="0.25">
      <c r="K292" s="216"/>
    </row>
    <row r="293" spans="1:42" x14ac:dyDescent="0.25">
      <c r="K293" s="216"/>
    </row>
    <row r="295" spans="1:42" x14ac:dyDescent="0.25">
      <c r="K295" s="216"/>
    </row>
    <row r="297" spans="1:42" x14ac:dyDescent="0.25">
      <c r="K297" s="629"/>
    </row>
    <row r="298" spans="1:42" x14ac:dyDescent="0.25">
      <c r="P298" s="85"/>
      <c r="Q298" s="85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216"/>
      <c r="L303" s="79"/>
      <c r="M303" s="79"/>
      <c r="N303" s="79"/>
      <c r="O303" s="79"/>
      <c r="P303" s="79"/>
      <c r="Q303" s="79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216"/>
      <c r="L304" s="79"/>
      <c r="M304" s="79"/>
      <c r="N304" s="79"/>
      <c r="O304" s="79"/>
      <c r="P304" s="79"/>
      <c r="Q304" s="79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216"/>
      <c r="L305" s="79"/>
      <c r="M305" s="79"/>
      <c r="N305" s="79"/>
      <c r="O305" s="79"/>
      <c r="P305" s="771"/>
      <c r="Q305" s="518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216"/>
      <c r="L306" s="79"/>
      <c r="M306" s="79"/>
      <c r="N306" s="79"/>
      <c r="O306" s="79"/>
      <c r="P306" s="79"/>
      <c r="Q306" s="79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7" spans="1:42" x14ac:dyDescent="0.25">
      <c r="K307" s="216"/>
    </row>
    <row r="308" spans="1:42" x14ac:dyDescent="0.25">
      <c r="K308" s="216"/>
    </row>
    <row r="309" spans="1:42" x14ac:dyDescent="0.25">
      <c r="K309" s="216"/>
    </row>
    <row r="310" spans="1:42" x14ac:dyDescent="0.25">
      <c r="K310" s="216"/>
    </row>
    <row r="311" spans="1:42" x14ac:dyDescent="0.25">
      <c r="K311" s="216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216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629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216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  <row r="328" spans="1:42" s="484" customFormat="1" x14ac:dyDescent="0.25">
      <c r="A328" s="79"/>
      <c r="B328" s="79"/>
      <c r="C328" s="85"/>
      <c r="D328" s="85"/>
      <c r="E328" s="85"/>
      <c r="F328" s="8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216"/>
      <c r="S328" s="79"/>
      <c r="T328" s="877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</row>
    <row r="329" spans="1:42" s="484" customFormat="1" x14ac:dyDescent="0.25">
      <c r="A329" s="79"/>
      <c r="B329" s="79"/>
      <c r="C329" s="85"/>
      <c r="D329" s="85"/>
      <c r="E329" s="85"/>
      <c r="F329" s="8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216"/>
      <c r="S329" s="79"/>
      <c r="T329" s="877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</row>
    <row r="330" spans="1:42" s="484" customFormat="1" x14ac:dyDescent="0.25">
      <c r="A330" s="79"/>
      <c r="B330" s="79"/>
      <c r="C330" s="85"/>
      <c r="D330" s="85"/>
      <c r="E330" s="85"/>
      <c r="F330" s="8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216"/>
      <c r="S330" s="79"/>
      <c r="T330" s="877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</row>
    <row r="331" spans="1:42" s="484" customFormat="1" x14ac:dyDescent="0.25">
      <c r="A331" s="79"/>
      <c r="B331" s="79"/>
      <c r="C331" s="85"/>
      <c r="D331" s="85"/>
      <c r="E331" s="85"/>
      <c r="F331" s="8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216"/>
      <c r="S331" s="79"/>
      <c r="T331" s="877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</row>
    <row r="332" spans="1:42" s="484" customFormat="1" x14ac:dyDescent="0.25">
      <c r="A332" s="79"/>
      <c r="B332" s="79"/>
      <c r="C332" s="85"/>
      <c r="D332" s="85"/>
      <c r="E332" s="85"/>
      <c r="F332" s="8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216"/>
      <c r="S332" s="79"/>
      <c r="T332" s="877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</sheetData>
  <autoFilter ref="A2:I199" xr:uid="{00000000-0009-0000-0000-00008D000000}"/>
  <mergeCells count="18">
    <mergeCell ref="B202:D202"/>
    <mergeCell ref="L2:M3"/>
    <mergeCell ref="N2:O3"/>
    <mergeCell ref="P2:Q3"/>
    <mergeCell ref="A177:E177"/>
    <mergeCell ref="A178:E178"/>
    <mergeCell ref="C201:D201"/>
    <mergeCell ref="J181:K181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887C265B-4432-47C2-B1DC-A08F123A583E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D181:D197</xm:sqref>
        </x14:conditionalFormatting>
      </x14:conditionalFormattings>
    </ext>
  </extLst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A6421-6C82-44C9-AC11-8CE2AF01B6F1}">
  <dimension ref="A1:AP323"/>
  <sheetViews>
    <sheetView zoomScale="85" zoomScaleNormal="85" workbookViewId="0">
      <pane ySplit="5" topLeftCell="A165" activePane="bottomLeft" state="frozen"/>
      <selection pane="bottomLeft" activeCell="L190" sqref="L190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7835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45809</v>
      </c>
      <c r="B5" s="369" t="s">
        <v>10</v>
      </c>
      <c r="C5" s="370"/>
      <c r="D5" s="370"/>
      <c r="E5" s="777"/>
      <c r="F5" s="179"/>
      <c r="G5" s="933">
        <f>'Maio-25'!G178</f>
        <v>1089.6622500000612</v>
      </c>
      <c r="H5" s="163"/>
      <c r="I5" s="1479">
        <f>'Abril-25'!I165</f>
        <v>-4.0000000010422809E-3</v>
      </c>
      <c r="J5" s="179"/>
      <c r="K5" s="933">
        <f>'Maio-25'!K178</f>
        <v>9226.4000000000015</v>
      </c>
      <c r="L5" s="179"/>
      <c r="M5" s="933">
        <f>'Maio-25'!M178</f>
        <v>0</v>
      </c>
      <c r="N5" s="179"/>
      <c r="O5" s="1479">
        <f>'Maio-25'!O178</f>
        <v>9608.2200000000012</v>
      </c>
      <c r="P5" s="179"/>
      <c r="Q5" s="933">
        <f>'Maio-25'!Q178</f>
        <v>33338.315984720008</v>
      </c>
    </row>
    <row r="6" spans="1:42" s="224" customFormat="1" x14ac:dyDescent="0.25">
      <c r="A6" s="247">
        <v>45809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45809</v>
      </c>
      <c r="B7" s="882" t="s">
        <v>7943</v>
      </c>
      <c r="C7" s="1276" t="s">
        <v>12</v>
      </c>
      <c r="D7" s="879" t="s">
        <v>1489</v>
      </c>
      <c r="E7" s="875" t="s">
        <v>13</v>
      </c>
      <c r="F7" s="780">
        <v>12</v>
      </c>
      <c r="G7" s="982"/>
      <c r="H7" s="622"/>
      <c r="I7" s="982"/>
      <c r="J7" s="622"/>
      <c r="K7" s="982"/>
      <c r="L7" s="622"/>
      <c r="M7" s="982"/>
      <c r="N7" s="880"/>
      <c r="O7" s="1525"/>
      <c r="P7" s="613"/>
      <c r="Q7" s="162"/>
      <c r="R7" s="1956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45809</v>
      </c>
      <c r="B8" s="882" t="s">
        <v>7944</v>
      </c>
      <c r="C8" s="1276" t="s">
        <v>12</v>
      </c>
      <c r="D8" s="879" t="s">
        <v>1525</v>
      </c>
      <c r="E8" s="875" t="s">
        <v>13</v>
      </c>
      <c r="F8" s="780">
        <v>45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45809</v>
      </c>
      <c r="B9" s="882" t="s">
        <v>7945</v>
      </c>
      <c r="C9" s="1276" t="s">
        <v>12</v>
      </c>
      <c r="D9" s="879" t="s">
        <v>1496</v>
      </c>
      <c r="E9" s="875" t="s">
        <v>13</v>
      </c>
      <c r="F9" s="780">
        <v>53.9</v>
      </c>
      <c r="G9" s="982"/>
      <c r="H9" s="622"/>
      <c r="I9" s="982"/>
      <c r="J9" s="622"/>
      <c r="K9" s="982"/>
      <c r="L9" s="622"/>
      <c r="M9" s="982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45809</v>
      </c>
      <c r="B10" s="882" t="s">
        <v>14</v>
      </c>
      <c r="C10" s="1276" t="s">
        <v>12</v>
      </c>
      <c r="D10" s="879" t="s">
        <v>1486</v>
      </c>
      <c r="E10" s="875" t="s">
        <v>13</v>
      </c>
      <c r="F10" s="850">
        <v>17.96</v>
      </c>
      <c r="G10" s="1033"/>
      <c r="H10" s="94"/>
      <c r="I10" s="1519"/>
      <c r="J10" s="1116"/>
      <c r="K10" s="1207"/>
      <c r="L10" s="880"/>
      <c r="M10" s="1033"/>
      <c r="N10" s="880"/>
      <c r="O10" s="1525"/>
      <c r="P10" s="1110"/>
      <c r="Q10" s="1208"/>
      <c r="R10" s="1028"/>
      <c r="U10" s="958"/>
    </row>
    <row r="11" spans="1:42" s="224" customFormat="1" ht="15" customHeight="1" x14ac:dyDescent="0.25">
      <c r="A11" s="247">
        <v>45809</v>
      </c>
      <c r="B11" s="882" t="s">
        <v>81</v>
      </c>
      <c r="C11" s="879" t="s">
        <v>12</v>
      </c>
      <c r="D11" s="879" t="s">
        <v>1493</v>
      </c>
      <c r="E11" s="875" t="s">
        <v>13</v>
      </c>
      <c r="F11" s="780">
        <v>24</v>
      </c>
      <c r="G11" s="982"/>
      <c r="H11" s="622"/>
      <c r="I11" s="982"/>
      <c r="J11" s="622"/>
      <c r="K11" s="982"/>
      <c r="L11" s="853"/>
      <c r="M11" s="982"/>
      <c r="N11" s="622"/>
      <c r="O11" s="1063"/>
      <c r="P11" s="622"/>
      <c r="Q11" s="982"/>
      <c r="R11" s="927"/>
      <c r="S11" s="927"/>
      <c r="T11" s="878"/>
    </row>
    <row r="12" spans="1:42" s="224" customFormat="1" ht="15" customHeight="1" x14ac:dyDescent="0.25">
      <c r="A12" s="247">
        <v>45810</v>
      </c>
      <c r="B12" s="882" t="s">
        <v>6258</v>
      </c>
      <c r="C12" s="879" t="s">
        <v>12</v>
      </c>
      <c r="D12" s="879"/>
      <c r="E12" s="875" t="s">
        <v>13</v>
      </c>
      <c r="F12" s="780"/>
      <c r="G12" s="982">
        <v>145</v>
      </c>
      <c r="H12" s="1008"/>
      <c r="I12" s="1063"/>
      <c r="J12" s="622">
        <v>145</v>
      </c>
      <c r="K12" s="982"/>
      <c r="L12" s="622"/>
      <c r="M12" s="982"/>
      <c r="N12" s="622"/>
      <c r="O12" s="1063"/>
      <c r="P12" s="622"/>
      <c r="Q12" s="982"/>
      <c r="R12" s="941"/>
    </row>
    <row r="13" spans="1:42" s="224" customFormat="1" ht="15" customHeight="1" x14ac:dyDescent="0.25">
      <c r="A13" s="247">
        <v>45810</v>
      </c>
      <c r="B13" s="882" t="s">
        <v>7951</v>
      </c>
      <c r="C13" s="879" t="s">
        <v>12</v>
      </c>
      <c r="D13" s="879" t="s">
        <v>1524</v>
      </c>
      <c r="E13" s="871" t="s">
        <v>13</v>
      </c>
      <c r="F13" s="780">
        <v>145</v>
      </c>
      <c r="G13" s="982"/>
      <c r="H13" s="622"/>
      <c r="I13" s="982"/>
      <c r="J13" s="872"/>
      <c r="K13" s="1207"/>
      <c r="L13" s="622"/>
      <c r="M13" s="982"/>
      <c r="N13" s="622"/>
      <c r="O13" s="1063"/>
      <c r="P13" s="622"/>
      <c r="Q13" s="982"/>
      <c r="R13" s="1028"/>
      <c r="S13" s="959"/>
      <c r="T13" s="878"/>
      <c r="U13" s="958"/>
    </row>
    <row r="14" spans="1:42" s="224" customFormat="1" ht="15" customHeight="1" x14ac:dyDescent="0.25">
      <c r="A14" s="247">
        <v>45810</v>
      </c>
      <c r="B14" s="1275" t="s">
        <v>32</v>
      </c>
      <c r="C14" s="1276" t="s">
        <v>12</v>
      </c>
      <c r="D14" s="1276" t="s">
        <v>1485</v>
      </c>
      <c r="E14" s="1286" t="s">
        <v>13</v>
      </c>
      <c r="F14" s="780">
        <v>23</v>
      </c>
      <c r="G14" s="982"/>
      <c r="H14" s="622"/>
      <c r="I14" s="982"/>
      <c r="J14" s="622"/>
      <c r="K14" s="982"/>
      <c r="L14" s="622"/>
      <c r="M14" s="982"/>
      <c r="N14" s="880"/>
      <c r="O14" s="1525"/>
      <c r="P14" s="613"/>
      <c r="Q14" s="162"/>
      <c r="R14" s="1956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45810</v>
      </c>
      <c r="B15" s="882" t="s">
        <v>14</v>
      </c>
      <c r="C15" s="1276" t="s">
        <v>12</v>
      </c>
      <c r="D15" s="879" t="s">
        <v>1486</v>
      </c>
      <c r="E15" s="875" t="s">
        <v>13</v>
      </c>
      <c r="F15" s="850">
        <v>14</v>
      </c>
      <c r="G15" s="1033"/>
      <c r="H15" s="94"/>
      <c r="I15" s="1519"/>
      <c r="J15" s="1116"/>
      <c r="K15" s="1207"/>
      <c r="L15" s="880"/>
      <c r="M15" s="1033"/>
      <c r="N15" s="880"/>
      <c r="O15" s="1525"/>
      <c r="P15" s="1110"/>
      <c r="Q15" s="1208"/>
      <c r="R15" s="1028"/>
      <c r="U15" s="958"/>
    </row>
    <row r="16" spans="1:42" s="224" customFormat="1" ht="15" customHeight="1" x14ac:dyDescent="0.25">
      <c r="A16" s="247">
        <v>45811</v>
      </c>
      <c r="B16" s="882" t="s">
        <v>6329</v>
      </c>
      <c r="C16" s="879" t="s">
        <v>12</v>
      </c>
      <c r="D16" s="879"/>
      <c r="E16" s="875" t="s">
        <v>25</v>
      </c>
      <c r="F16" s="780"/>
      <c r="G16" s="982">
        <v>100</v>
      </c>
      <c r="H16" s="1008"/>
      <c r="I16" s="1063"/>
      <c r="J16" s="613"/>
      <c r="K16" s="982"/>
      <c r="L16" s="622"/>
      <c r="M16" s="982"/>
      <c r="N16" s="622"/>
      <c r="O16" s="1063"/>
      <c r="P16" s="622"/>
      <c r="Q16" s="982"/>
      <c r="R16" s="861"/>
    </row>
    <row r="17" spans="1:42" s="224" customFormat="1" ht="15" customHeight="1" x14ac:dyDescent="0.25">
      <c r="A17" s="247">
        <v>45811</v>
      </c>
      <c r="B17" s="882" t="s">
        <v>14</v>
      </c>
      <c r="C17" s="1276" t="s">
        <v>12</v>
      </c>
      <c r="D17" s="879" t="s">
        <v>1486</v>
      </c>
      <c r="E17" s="875" t="s">
        <v>13</v>
      </c>
      <c r="F17" s="613">
        <v>6.54</v>
      </c>
      <c r="G17" s="967"/>
      <c r="H17" s="1008"/>
      <c r="I17" s="1063"/>
      <c r="J17" s="613"/>
      <c r="K17" s="6"/>
      <c r="L17" s="622"/>
      <c r="M17" s="982"/>
      <c r="N17" s="622"/>
      <c r="O17" s="1063"/>
      <c r="P17" s="613"/>
      <c r="Q17" s="982"/>
      <c r="R17" s="1038"/>
      <c r="S17" s="1038"/>
      <c r="T17" s="1210"/>
      <c r="U17" s="1038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45811</v>
      </c>
      <c r="B18" s="882" t="s">
        <v>3958</v>
      </c>
      <c r="C18" s="879" t="s">
        <v>12</v>
      </c>
      <c r="D18" s="879" t="s">
        <v>1489</v>
      </c>
      <c r="E18" s="875" t="s">
        <v>13</v>
      </c>
      <c r="F18" s="613">
        <v>21</v>
      </c>
      <c r="G18" s="967"/>
      <c r="H18" s="1008"/>
      <c r="I18" s="1063"/>
      <c r="J18" s="613"/>
      <c r="K18" s="6"/>
      <c r="L18" s="622"/>
      <c r="M18" s="982"/>
      <c r="N18" s="622"/>
      <c r="O18" s="1063"/>
      <c r="P18" s="613"/>
      <c r="Q18" s="982"/>
      <c r="R18" s="1038"/>
      <c r="S18" s="1038"/>
      <c r="T18" s="1210"/>
      <c r="U18" s="103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45811</v>
      </c>
      <c r="B19" s="1275" t="s">
        <v>7952</v>
      </c>
      <c r="C19" s="1276" t="s">
        <v>12</v>
      </c>
      <c r="D19" s="1276"/>
      <c r="E19" s="1286" t="s">
        <v>13</v>
      </c>
      <c r="F19" s="613">
        <v>182.67</v>
      </c>
      <c r="G19" s="967"/>
      <c r="H19" s="1008"/>
      <c r="I19" s="1063"/>
      <c r="J19" s="613"/>
      <c r="K19" s="6"/>
      <c r="L19" s="622"/>
      <c r="M19" s="982"/>
      <c r="N19" s="622"/>
      <c r="O19" s="1063"/>
      <c r="P19" s="613"/>
      <c r="Q19" s="64"/>
      <c r="R19" s="1024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45811</v>
      </c>
      <c r="B20" s="1275" t="s">
        <v>6755</v>
      </c>
      <c r="C20" s="1276" t="s">
        <v>12</v>
      </c>
      <c r="D20" s="1276"/>
      <c r="E20" s="1286"/>
      <c r="F20" s="613"/>
      <c r="G20" s="967">
        <v>182.67</v>
      </c>
      <c r="H20" s="1008"/>
      <c r="I20" s="1063"/>
      <c r="J20" s="613"/>
      <c r="K20" s="6"/>
      <c r="L20" s="622"/>
      <c r="M20" s="982"/>
      <c r="N20" s="622"/>
      <c r="O20" s="1063"/>
      <c r="P20" s="613"/>
      <c r="Q20" s="64"/>
      <c r="R20" s="1024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45812</v>
      </c>
      <c r="B21" s="1275" t="s">
        <v>32</v>
      </c>
      <c r="C21" s="1276" t="s">
        <v>12</v>
      </c>
      <c r="D21" s="1276" t="s">
        <v>1485</v>
      </c>
      <c r="E21" s="1286" t="s">
        <v>13</v>
      </c>
      <c r="F21" s="780">
        <v>23</v>
      </c>
      <c r="G21" s="982"/>
      <c r="H21" s="622"/>
      <c r="I21" s="982"/>
      <c r="J21" s="622"/>
      <c r="K21" s="982"/>
      <c r="L21" s="622"/>
      <c r="M21" s="982"/>
      <c r="N21" s="880"/>
      <c r="O21" s="1525"/>
      <c r="P21" s="613"/>
      <c r="Q21" s="162"/>
      <c r="R21" s="1956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45812</v>
      </c>
      <c r="B22" s="882" t="s">
        <v>14</v>
      </c>
      <c r="C22" s="1276" t="s">
        <v>12</v>
      </c>
      <c r="D22" s="879" t="s">
        <v>1486</v>
      </c>
      <c r="E22" s="875" t="s">
        <v>13</v>
      </c>
      <c r="F22" s="780">
        <v>7.33</v>
      </c>
      <c r="G22" s="982"/>
      <c r="H22" s="622"/>
      <c r="I22" s="982"/>
      <c r="J22" s="622"/>
      <c r="K22" s="982"/>
      <c r="L22" s="622"/>
      <c r="M22" s="982"/>
      <c r="N22" s="622"/>
      <c r="O22" s="1063"/>
      <c r="P22" s="622"/>
      <c r="Q22" s="982"/>
      <c r="R22" s="1028"/>
      <c r="S22" s="959"/>
      <c r="T22" s="878"/>
      <c r="U22" s="958"/>
    </row>
    <row r="23" spans="1:42" s="224" customFormat="1" ht="15" customHeight="1" x14ac:dyDescent="0.25">
      <c r="A23" s="247">
        <v>45813</v>
      </c>
      <c r="B23" s="1275" t="s">
        <v>32</v>
      </c>
      <c r="C23" s="1276" t="s">
        <v>12</v>
      </c>
      <c r="D23" s="1276" t="s">
        <v>1485</v>
      </c>
      <c r="E23" s="1286" t="s">
        <v>13</v>
      </c>
      <c r="F23" s="780">
        <v>23</v>
      </c>
      <c r="G23" s="967"/>
      <c r="H23" s="1008"/>
      <c r="I23" s="1063"/>
      <c r="J23" s="613"/>
      <c r="K23" s="6"/>
      <c r="L23" s="622"/>
      <c r="M23" s="982"/>
      <c r="N23" s="622"/>
      <c r="O23" s="1063"/>
      <c r="P23" s="613"/>
      <c r="Q23" s="982"/>
      <c r="R23" s="2641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5" customHeight="1" x14ac:dyDescent="0.25">
      <c r="A24" s="247">
        <v>45813</v>
      </c>
      <c r="B24" s="882" t="s">
        <v>14</v>
      </c>
      <c r="C24" s="1276" t="s">
        <v>12</v>
      </c>
      <c r="D24" s="879" t="s">
        <v>1486</v>
      </c>
      <c r="E24" s="875" t="s">
        <v>13</v>
      </c>
      <c r="F24" s="613">
        <v>4.41</v>
      </c>
      <c r="G24" s="967"/>
      <c r="H24" s="1008"/>
      <c r="I24" s="1063"/>
      <c r="J24" s="613"/>
      <c r="K24" s="6"/>
      <c r="L24" s="622"/>
      <c r="M24" s="982"/>
      <c r="N24" s="622"/>
      <c r="O24" s="1063"/>
      <c r="P24" s="613"/>
      <c r="Q24" s="982"/>
      <c r="R24" s="2641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ht="15.75" customHeight="1" x14ac:dyDescent="0.25">
      <c r="A25" s="247">
        <v>45814</v>
      </c>
      <c r="B25" s="873" t="s">
        <v>7934</v>
      </c>
      <c r="C25" s="879" t="s">
        <v>12</v>
      </c>
      <c r="D25" s="874"/>
      <c r="E25" s="887" t="s">
        <v>25</v>
      </c>
      <c r="F25" s="1524"/>
      <c r="G25" s="1002">
        <v>2609.23</v>
      </c>
      <c r="H25" s="538"/>
      <c r="I25" s="982"/>
      <c r="J25" s="2013"/>
      <c r="K25" s="1207"/>
      <c r="L25" s="622"/>
      <c r="M25" s="982"/>
      <c r="N25" s="622"/>
      <c r="O25" s="1063"/>
      <c r="P25" s="622"/>
      <c r="Q25" s="982"/>
      <c r="R25" s="178"/>
    </row>
    <row r="26" spans="1:42" s="224" customFormat="1" ht="15" customHeight="1" x14ac:dyDescent="0.25">
      <c r="A26" s="247">
        <v>45814</v>
      </c>
      <c r="B26" s="364" t="s">
        <v>1396</v>
      </c>
      <c r="C26" s="879" t="s">
        <v>12</v>
      </c>
      <c r="D26" s="350"/>
      <c r="E26" s="919" t="s">
        <v>25</v>
      </c>
      <c r="F26" s="1116"/>
      <c r="G26" s="966">
        <v>200</v>
      </c>
      <c r="H26" s="1031"/>
      <c r="I26" s="1525"/>
      <c r="J26" s="2013"/>
      <c r="K26" s="1207"/>
      <c r="L26" s="880"/>
      <c r="M26" s="1033"/>
      <c r="N26" s="622"/>
      <c r="O26" s="1063"/>
      <c r="P26" s="1116"/>
      <c r="Q26" s="1207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customHeight="1" x14ac:dyDescent="0.25">
      <c r="A27" s="247">
        <v>45814</v>
      </c>
      <c r="B27" s="364" t="s">
        <v>7219</v>
      </c>
      <c r="C27" s="879" t="s">
        <v>12</v>
      </c>
      <c r="D27" s="350" t="s">
        <v>1491</v>
      </c>
      <c r="E27" s="875" t="s">
        <v>13</v>
      </c>
      <c r="F27" s="780">
        <v>500</v>
      </c>
      <c r="G27" s="982"/>
      <c r="H27" s="622"/>
      <c r="I27" s="982"/>
      <c r="J27" s="2013"/>
      <c r="K27" s="1207"/>
      <c r="L27" s="622"/>
      <c r="M27" s="982"/>
      <c r="N27" s="622"/>
      <c r="O27" s="1063"/>
      <c r="P27" s="622"/>
      <c r="Q27" s="982"/>
      <c r="R27" s="1028"/>
      <c r="T27" s="1035"/>
    </row>
    <row r="28" spans="1:42" s="224" customFormat="1" ht="15" customHeight="1" x14ac:dyDescent="0.25">
      <c r="A28" s="247">
        <v>45814</v>
      </c>
      <c r="B28" s="862" t="s">
        <v>6416</v>
      </c>
      <c r="C28" s="879" t="s">
        <v>12</v>
      </c>
      <c r="D28" s="879" t="s">
        <v>1504</v>
      </c>
      <c r="E28" s="871" t="s">
        <v>13</v>
      </c>
      <c r="F28" s="780">
        <v>40</v>
      </c>
      <c r="G28" s="982"/>
      <c r="H28" s="1008"/>
      <c r="I28" s="1063"/>
      <c r="J28" s="622"/>
      <c r="K28" s="982"/>
      <c r="L28" s="622"/>
      <c r="M28" s="982"/>
      <c r="N28" s="622"/>
      <c r="O28" s="1063"/>
      <c r="P28" s="622"/>
      <c r="Q28" s="982"/>
      <c r="R28" s="1808">
        <v>60</v>
      </c>
      <c r="S28" s="1028"/>
      <c r="T28" s="1035"/>
    </row>
    <row r="29" spans="1:42" s="224" customFormat="1" ht="15" customHeight="1" x14ac:dyDescent="0.25">
      <c r="A29" s="247">
        <v>45814</v>
      </c>
      <c r="B29" s="882" t="s">
        <v>7935</v>
      </c>
      <c r="C29" s="879" t="s">
        <v>12</v>
      </c>
      <c r="D29" s="879" t="s">
        <v>1499</v>
      </c>
      <c r="E29" s="871" t="s">
        <v>13</v>
      </c>
      <c r="F29" s="780">
        <v>125.73</v>
      </c>
      <c r="G29" s="982"/>
      <c r="H29" s="1008"/>
      <c r="I29" s="1063"/>
      <c r="J29" s="880"/>
      <c r="K29" s="1033"/>
      <c r="L29" s="622"/>
      <c r="M29" s="982"/>
      <c r="N29" s="622"/>
      <c r="O29" s="1063"/>
      <c r="P29" s="622"/>
      <c r="Q29" s="982"/>
      <c r="R29" s="1028">
        <v>300</v>
      </c>
      <c r="S29" s="999"/>
      <c r="T29" s="878"/>
    </row>
    <row r="30" spans="1:42" x14ac:dyDescent="0.25">
      <c r="A30" s="247">
        <v>45814</v>
      </c>
      <c r="B30" s="876" t="s">
        <v>6762</v>
      </c>
      <c r="C30" s="879" t="s">
        <v>12</v>
      </c>
      <c r="D30" s="879" t="s">
        <v>1496</v>
      </c>
      <c r="E30" s="871" t="s">
        <v>13</v>
      </c>
      <c r="F30" s="780">
        <v>100</v>
      </c>
      <c r="G30" s="982"/>
      <c r="H30" s="1009"/>
      <c r="I30" s="1063"/>
      <c r="J30" s="613"/>
      <c r="K30" s="6"/>
      <c r="L30" s="622"/>
      <c r="M30" s="982"/>
      <c r="N30" s="622"/>
      <c r="O30" s="1063"/>
      <c r="P30" s="622"/>
      <c r="Q30" s="982"/>
      <c r="R30" s="1029"/>
    </row>
    <row r="31" spans="1:42" s="224" customFormat="1" ht="15" customHeight="1" x14ac:dyDescent="0.25">
      <c r="A31" s="247">
        <v>45814</v>
      </c>
      <c r="B31" s="1289" t="s">
        <v>2096</v>
      </c>
      <c r="C31" s="879" t="s">
        <v>12</v>
      </c>
      <c r="D31" s="1276" t="s">
        <v>1506</v>
      </c>
      <c r="E31" s="875" t="s">
        <v>13</v>
      </c>
      <c r="F31" s="1810">
        <v>50</v>
      </c>
      <c r="G31" s="967"/>
      <c r="H31" s="1008"/>
      <c r="I31" s="1063"/>
      <c r="J31" s="613"/>
      <c r="K31" s="6"/>
      <c r="L31" s="622"/>
      <c r="M31" s="982"/>
      <c r="N31" s="622"/>
      <c r="O31" s="1063"/>
      <c r="P31" s="613"/>
      <c r="Q31" s="64"/>
      <c r="R31" s="1209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45814</v>
      </c>
      <c r="B32" s="882" t="s">
        <v>7836</v>
      </c>
      <c r="C32" s="879" t="s">
        <v>12</v>
      </c>
      <c r="D32" s="879"/>
      <c r="E32" s="875" t="s">
        <v>25</v>
      </c>
      <c r="F32" s="780"/>
      <c r="G32" s="982">
        <v>150</v>
      </c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2722">
        <v>150</v>
      </c>
    </row>
    <row r="33" spans="1:42" s="224" customFormat="1" ht="15" customHeight="1" x14ac:dyDescent="0.25">
      <c r="A33" s="247">
        <v>45814</v>
      </c>
      <c r="B33" s="882" t="s">
        <v>7849</v>
      </c>
      <c r="C33" s="879" t="s">
        <v>12</v>
      </c>
      <c r="D33" s="879"/>
      <c r="E33" s="875" t="s">
        <v>13</v>
      </c>
      <c r="F33" s="780">
        <v>1000</v>
      </c>
      <c r="G33" s="982"/>
      <c r="H33" s="1008"/>
      <c r="I33" s="1063"/>
      <c r="J33" s="622"/>
      <c r="K33" s="982">
        <v>1000</v>
      </c>
      <c r="L33" s="622"/>
      <c r="M33" s="982"/>
      <c r="N33" s="622"/>
      <c r="O33" s="1063"/>
      <c r="P33" s="622"/>
      <c r="Q33" s="982"/>
      <c r="R33" s="861"/>
    </row>
    <row r="34" spans="1:42" s="224" customFormat="1" ht="15" customHeight="1" x14ac:dyDescent="0.25">
      <c r="A34" s="247">
        <v>45814</v>
      </c>
      <c r="B34" s="882" t="s">
        <v>6130</v>
      </c>
      <c r="C34" s="879" t="s">
        <v>12</v>
      </c>
      <c r="D34" s="879" t="s">
        <v>1491</v>
      </c>
      <c r="E34" s="875" t="s">
        <v>13</v>
      </c>
      <c r="F34" s="780">
        <v>33.979999999999997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1028" t="s">
        <v>7137</v>
      </c>
    </row>
    <row r="35" spans="1:42" s="224" customFormat="1" ht="15" customHeight="1" x14ac:dyDescent="0.25">
      <c r="A35" s="247">
        <v>45814</v>
      </c>
      <c r="B35" s="882" t="s">
        <v>7799</v>
      </c>
      <c r="C35" s="879" t="s">
        <v>12</v>
      </c>
      <c r="D35" s="879" t="s">
        <v>1504</v>
      </c>
      <c r="E35" s="875" t="s">
        <v>13</v>
      </c>
      <c r="F35" s="780">
        <v>43</v>
      </c>
      <c r="G35" s="982"/>
      <c r="H35" s="1008"/>
      <c r="I35" s="1063"/>
      <c r="J35" s="622"/>
      <c r="K35" s="982"/>
      <c r="L35" s="622"/>
      <c r="M35" s="982"/>
      <c r="N35" s="622"/>
      <c r="O35" s="1063"/>
      <c r="P35" s="622"/>
      <c r="Q35" s="982"/>
      <c r="R35" s="1028" t="s">
        <v>7137</v>
      </c>
    </row>
    <row r="36" spans="1:42" s="224" customFormat="1" ht="15" customHeight="1" x14ac:dyDescent="0.25">
      <c r="A36" s="247">
        <v>45814</v>
      </c>
      <c r="B36" s="882" t="s">
        <v>7885</v>
      </c>
      <c r="C36" s="879" t="s">
        <v>12</v>
      </c>
      <c r="D36" s="879" t="s">
        <v>1504</v>
      </c>
      <c r="E36" s="875" t="s">
        <v>13</v>
      </c>
      <c r="F36" s="780">
        <v>20.9</v>
      </c>
      <c r="G36" s="982"/>
      <c r="H36" s="1008"/>
      <c r="I36" s="1063"/>
      <c r="J36" s="622"/>
      <c r="K36" s="982"/>
      <c r="L36" s="622"/>
      <c r="M36" s="982"/>
      <c r="N36" s="622"/>
      <c r="O36" s="1063"/>
      <c r="P36" s="622"/>
      <c r="Q36" s="982"/>
      <c r="R36" s="1028" t="s">
        <v>7137</v>
      </c>
    </row>
    <row r="37" spans="1:42" s="224" customFormat="1" ht="15" customHeight="1" x14ac:dyDescent="0.25">
      <c r="A37" s="247">
        <v>45814</v>
      </c>
      <c r="B37" s="882" t="s">
        <v>7892</v>
      </c>
      <c r="C37" s="879" t="s">
        <v>12</v>
      </c>
      <c r="D37" s="879" t="s">
        <v>1504</v>
      </c>
      <c r="E37" s="875" t="s">
        <v>13</v>
      </c>
      <c r="F37" s="780">
        <v>9.99</v>
      </c>
      <c r="G37" s="982"/>
      <c r="H37" s="1008"/>
      <c r="I37" s="1063"/>
      <c r="J37" s="622"/>
      <c r="K37" s="982"/>
      <c r="L37" s="622"/>
      <c r="M37" s="982"/>
      <c r="N37" s="622"/>
      <c r="O37" s="1063"/>
      <c r="P37" s="622"/>
      <c r="Q37" s="982"/>
      <c r="R37" s="1028" t="s">
        <v>7137</v>
      </c>
    </row>
    <row r="38" spans="1:42" s="224" customFormat="1" ht="15" customHeight="1" x14ac:dyDescent="0.25">
      <c r="A38" s="247">
        <v>45814</v>
      </c>
      <c r="B38" s="882" t="s">
        <v>7755</v>
      </c>
      <c r="C38" s="879" t="s">
        <v>12</v>
      </c>
      <c r="D38" s="879" t="s">
        <v>1504</v>
      </c>
      <c r="E38" s="875" t="s">
        <v>13</v>
      </c>
      <c r="F38" s="780">
        <v>29.806666666666668</v>
      </c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982"/>
      <c r="R38" s="1028" t="s">
        <v>7137</v>
      </c>
    </row>
    <row r="39" spans="1:42" s="224" customFormat="1" ht="15" customHeight="1" x14ac:dyDescent="0.25">
      <c r="A39" s="247">
        <v>45814</v>
      </c>
      <c r="B39" s="882" t="s">
        <v>7806</v>
      </c>
      <c r="C39" s="879" t="s">
        <v>12</v>
      </c>
      <c r="D39" s="879" t="s">
        <v>1506</v>
      </c>
      <c r="E39" s="875" t="s">
        <v>13</v>
      </c>
      <c r="F39" s="780">
        <v>75</v>
      </c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1028" t="s">
        <v>7137</v>
      </c>
    </row>
    <row r="40" spans="1:42" s="224" customFormat="1" ht="15" customHeight="1" x14ac:dyDescent="0.25">
      <c r="A40" s="247">
        <v>45814</v>
      </c>
      <c r="B40" s="882" t="s">
        <v>6258</v>
      </c>
      <c r="C40" s="879" t="s">
        <v>12</v>
      </c>
      <c r="D40" s="879"/>
      <c r="E40" s="875" t="s">
        <v>13</v>
      </c>
      <c r="F40" s="780"/>
      <c r="G40" s="982">
        <v>600</v>
      </c>
      <c r="H40" s="1008"/>
      <c r="I40" s="1063"/>
      <c r="J40" s="622">
        <v>600</v>
      </c>
      <c r="K40" s="982"/>
      <c r="L40" s="622"/>
      <c r="M40" s="982"/>
      <c r="N40" s="622"/>
      <c r="O40" s="1063"/>
      <c r="P40" s="622"/>
      <c r="Q40" s="982"/>
      <c r="R40" s="941"/>
    </row>
    <row r="41" spans="1:42" s="224" customFormat="1" ht="15" customHeight="1" x14ac:dyDescent="0.25">
      <c r="A41" s="247">
        <v>45814</v>
      </c>
      <c r="B41" s="882" t="s">
        <v>7966</v>
      </c>
      <c r="C41" s="879" t="s">
        <v>12</v>
      </c>
      <c r="D41" s="879" t="s">
        <v>1524</v>
      </c>
      <c r="E41" s="871" t="s">
        <v>13</v>
      </c>
      <c r="F41" s="780">
        <v>600</v>
      </c>
      <c r="G41" s="982"/>
      <c r="H41" s="622"/>
      <c r="I41" s="982"/>
      <c r="J41" s="872"/>
      <c r="K41" s="1207"/>
      <c r="L41" s="622"/>
      <c r="M41" s="982"/>
      <c r="N41" s="622"/>
      <c r="O41" s="1063"/>
      <c r="P41" s="622"/>
      <c r="Q41" s="982"/>
      <c r="R41" s="1028"/>
      <c r="S41" s="959"/>
      <c r="T41" s="878"/>
      <c r="U41" s="958"/>
    </row>
    <row r="42" spans="1:42" s="224" customFormat="1" ht="15" customHeight="1" x14ac:dyDescent="0.25">
      <c r="A42" s="247">
        <v>45814</v>
      </c>
      <c r="B42" s="1275" t="s">
        <v>32</v>
      </c>
      <c r="C42" s="1276" t="s">
        <v>12</v>
      </c>
      <c r="D42" s="1276" t="s">
        <v>1485</v>
      </c>
      <c r="E42" s="1286" t="s">
        <v>13</v>
      </c>
      <c r="F42" s="780">
        <v>23</v>
      </c>
      <c r="G42" s="967"/>
      <c r="H42" s="1008"/>
      <c r="I42" s="1063"/>
      <c r="J42" s="613"/>
      <c r="K42" s="6"/>
      <c r="L42" s="622"/>
      <c r="M42" s="982"/>
      <c r="N42" s="622"/>
      <c r="O42" s="1063"/>
      <c r="P42" s="613"/>
      <c r="Q42" s="982"/>
      <c r="R42" s="2641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45814</v>
      </c>
      <c r="B43" s="882" t="s">
        <v>81</v>
      </c>
      <c r="C43" s="879" t="s">
        <v>12</v>
      </c>
      <c r="D43" s="879" t="s">
        <v>1493</v>
      </c>
      <c r="E43" s="875" t="s">
        <v>13</v>
      </c>
      <c r="F43" s="780">
        <v>4</v>
      </c>
      <c r="G43" s="982"/>
      <c r="H43" s="622"/>
      <c r="I43" s="982"/>
      <c r="J43" s="622"/>
      <c r="K43" s="982"/>
      <c r="L43" s="853"/>
      <c r="M43" s="982"/>
      <c r="N43" s="622"/>
      <c r="O43" s="1063"/>
      <c r="P43" s="622"/>
      <c r="Q43" s="982"/>
      <c r="R43" s="927"/>
      <c r="S43" s="927"/>
      <c r="T43" s="878"/>
    </row>
    <row r="44" spans="1:42" s="224" customFormat="1" ht="15" customHeight="1" x14ac:dyDescent="0.25">
      <c r="A44" s="247">
        <v>45814</v>
      </c>
      <c r="B44" s="882" t="s">
        <v>7971</v>
      </c>
      <c r="C44" s="879" t="s">
        <v>12</v>
      </c>
      <c r="D44" s="879" t="s">
        <v>6731</v>
      </c>
      <c r="E44" s="875" t="s">
        <v>13</v>
      </c>
      <c r="F44" s="780">
        <v>79.47</v>
      </c>
      <c r="G44" s="982"/>
      <c r="H44" s="95"/>
      <c r="I44" s="1064"/>
      <c r="J44" s="622"/>
      <c r="K44" s="982"/>
      <c r="L44" s="622"/>
      <c r="M44" s="982"/>
      <c r="N44" s="622"/>
      <c r="O44" s="1063"/>
      <c r="P44" s="622"/>
      <c r="Q44" s="982"/>
      <c r="R44" s="861"/>
    </row>
    <row r="45" spans="1:42" s="224" customFormat="1" ht="15" customHeight="1" x14ac:dyDescent="0.25">
      <c r="A45" s="247">
        <v>45814</v>
      </c>
      <c r="B45" s="882" t="s">
        <v>7122</v>
      </c>
      <c r="C45" s="879" t="s">
        <v>12</v>
      </c>
      <c r="D45" s="879" t="s">
        <v>1489</v>
      </c>
      <c r="E45" s="875" t="s">
        <v>13</v>
      </c>
      <c r="F45" s="780">
        <v>13</v>
      </c>
      <c r="G45" s="982"/>
      <c r="H45" s="95"/>
      <c r="I45" s="1064"/>
      <c r="J45" s="622"/>
      <c r="K45" s="982"/>
      <c r="L45" s="622"/>
      <c r="M45" s="982"/>
      <c r="N45" s="622"/>
      <c r="O45" s="1063"/>
      <c r="P45" s="622"/>
      <c r="Q45" s="982"/>
      <c r="R45" s="861"/>
    </row>
    <row r="46" spans="1:42" s="224" customFormat="1" ht="15" customHeight="1" x14ac:dyDescent="0.25">
      <c r="A46" s="247">
        <v>45814</v>
      </c>
      <c r="B46" s="882" t="s">
        <v>1906</v>
      </c>
      <c r="C46" s="879" t="s">
        <v>12</v>
      </c>
      <c r="D46" s="879" t="s">
        <v>1493</v>
      </c>
      <c r="E46" s="875" t="s">
        <v>13</v>
      </c>
      <c r="F46" s="780">
        <v>23</v>
      </c>
      <c r="G46" s="982"/>
      <c r="H46" s="95"/>
      <c r="I46" s="1064"/>
      <c r="J46" s="622"/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x14ac:dyDescent="0.25">
      <c r="A47" s="247">
        <v>45815</v>
      </c>
      <c r="B47" s="1275" t="s">
        <v>81</v>
      </c>
      <c r="C47" s="879" t="s">
        <v>12</v>
      </c>
      <c r="D47" s="1276" t="s">
        <v>1493</v>
      </c>
      <c r="E47" s="1277" t="s">
        <v>13</v>
      </c>
      <c r="F47" s="1702">
        <v>10.29</v>
      </c>
      <c r="G47" s="982"/>
      <c r="H47" s="1008"/>
      <c r="I47" s="1063"/>
      <c r="J47" s="2013"/>
      <c r="K47" s="1207"/>
      <c r="L47" s="622"/>
      <c r="M47" s="982"/>
      <c r="N47" s="622"/>
      <c r="O47" s="1063"/>
      <c r="P47" s="622"/>
      <c r="Q47" s="982"/>
      <c r="R47" s="1028"/>
      <c r="T47" s="878"/>
    </row>
    <row r="48" spans="1:42" s="224" customFormat="1" x14ac:dyDescent="0.25">
      <c r="A48" s="247">
        <v>45815</v>
      </c>
      <c r="B48" s="1275" t="s">
        <v>7972</v>
      </c>
      <c r="C48" s="879" t="s">
        <v>12</v>
      </c>
      <c r="D48" s="1276" t="s">
        <v>1489</v>
      </c>
      <c r="E48" s="1277" t="s">
        <v>13</v>
      </c>
      <c r="F48" s="1702">
        <v>50</v>
      </c>
      <c r="G48" s="982"/>
      <c r="H48" s="1008"/>
      <c r="I48" s="1063"/>
      <c r="J48" s="2013"/>
      <c r="K48" s="1207"/>
      <c r="L48" s="622"/>
      <c r="M48" s="982"/>
      <c r="N48" s="622"/>
      <c r="O48" s="1063"/>
      <c r="P48" s="622"/>
      <c r="Q48" s="982"/>
      <c r="R48" s="1028"/>
      <c r="T48" s="878"/>
    </row>
    <row r="49" spans="1:42" s="224" customFormat="1" ht="15" customHeight="1" x14ac:dyDescent="0.25">
      <c r="A49" s="247">
        <v>45815</v>
      </c>
      <c r="B49" s="882" t="s">
        <v>2629</v>
      </c>
      <c r="C49" s="879" t="s">
        <v>12</v>
      </c>
      <c r="D49" s="879" t="s">
        <v>1489</v>
      </c>
      <c r="E49" s="875" t="s">
        <v>5470</v>
      </c>
      <c r="F49" s="780">
        <v>133.94999999999999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95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45815</v>
      </c>
      <c r="B50" s="882" t="s">
        <v>6861</v>
      </c>
      <c r="C50" s="879" t="s">
        <v>12</v>
      </c>
      <c r="D50" s="879" t="s">
        <v>1493</v>
      </c>
      <c r="E50" s="875" t="s">
        <v>13</v>
      </c>
      <c r="F50" s="780">
        <v>43.4</v>
      </c>
      <c r="G50" s="982"/>
      <c r="H50" s="95"/>
      <c r="I50" s="1064"/>
      <c r="J50" s="622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45816</v>
      </c>
      <c r="B51" s="882" t="s">
        <v>14</v>
      </c>
      <c r="C51" s="1276" t="s">
        <v>12</v>
      </c>
      <c r="D51" s="879" t="s">
        <v>1486</v>
      </c>
      <c r="E51" s="875" t="s">
        <v>13</v>
      </c>
      <c r="F51" s="613">
        <v>17.690000000000001</v>
      </c>
      <c r="G51" s="967"/>
      <c r="H51" s="1008"/>
      <c r="I51" s="1063"/>
      <c r="J51" s="613"/>
      <c r="K51" s="6"/>
      <c r="L51" s="622"/>
      <c r="M51" s="982"/>
      <c r="N51" s="622"/>
      <c r="O51" s="1063"/>
      <c r="P51" s="613"/>
      <c r="Q51" s="982"/>
      <c r="R51" s="264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x14ac:dyDescent="0.25">
      <c r="A52" s="247">
        <v>45816</v>
      </c>
      <c r="B52" s="1275" t="s">
        <v>443</v>
      </c>
      <c r="C52" s="879" t="s">
        <v>12</v>
      </c>
      <c r="D52" s="1276" t="s">
        <v>1493</v>
      </c>
      <c r="E52" s="1277" t="s">
        <v>13</v>
      </c>
      <c r="F52" s="1702">
        <v>19.84</v>
      </c>
      <c r="G52" s="982"/>
      <c r="H52" s="1008"/>
      <c r="I52" s="1063"/>
      <c r="J52" s="2013"/>
      <c r="K52" s="1207"/>
      <c r="L52" s="622"/>
      <c r="M52" s="982"/>
      <c r="N52" s="622"/>
      <c r="O52" s="1063"/>
      <c r="P52" s="622"/>
      <c r="Q52" s="982"/>
      <c r="R52" s="1028"/>
      <c r="T52" s="878"/>
    </row>
    <row r="53" spans="1:42" s="224" customFormat="1" ht="15" customHeight="1" x14ac:dyDescent="0.25">
      <c r="A53" s="247">
        <v>45817</v>
      </c>
      <c r="B53" s="1275" t="s">
        <v>32</v>
      </c>
      <c r="C53" s="1276" t="s">
        <v>12</v>
      </c>
      <c r="D53" s="1276" t="s">
        <v>1485</v>
      </c>
      <c r="E53" s="1286" t="s">
        <v>13</v>
      </c>
      <c r="F53" s="780">
        <v>23</v>
      </c>
      <c r="G53" s="967"/>
      <c r="H53" s="1008"/>
      <c r="I53" s="1063"/>
      <c r="J53" s="613"/>
      <c r="K53" s="6"/>
      <c r="L53" s="622"/>
      <c r="M53" s="982"/>
      <c r="N53" s="622"/>
      <c r="O53" s="1063"/>
      <c r="P53" s="613"/>
      <c r="Q53" s="982"/>
      <c r="R53" s="2641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 spans="1:42" s="224" customFormat="1" ht="15" customHeight="1" x14ac:dyDescent="0.25">
      <c r="A54" s="247">
        <v>45817</v>
      </c>
      <c r="B54" s="882" t="s">
        <v>6258</v>
      </c>
      <c r="C54" s="879" t="s">
        <v>12</v>
      </c>
      <c r="D54" s="879"/>
      <c r="E54" s="875" t="s">
        <v>13</v>
      </c>
      <c r="F54" s="780"/>
      <c r="G54" s="982">
        <v>147.5</v>
      </c>
      <c r="H54" s="1008"/>
      <c r="I54" s="1063"/>
      <c r="J54" s="622">
        <v>147.5</v>
      </c>
      <c r="K54" s="982"/>
      <c r="L54" s="622"/>
      <c r="M54" s="982"/>
      <c r="N54" s="622"/>
      <c r="O54" s="1063"/>
      <c r="P54" s="622"/>
      <c r="Q54" s="982"/>
      <c r="R54" s="941"/>
    </row>
    <row r="55" spans="1:42" s="224" customFormat="1" ht="15" customHeight="1" x14ac:dyDescent="0.25">
      <c r="A55" s="247">
        <v>45817</v>
      </c>
      <c r="B55" s="882" t="s">
        <v>7973</v>
      </c>
      <c r="C55" s="879" t="s">
        <v>12</v>
      </c>
      <c r="D55" s="879" t="s">
        <v>1524</v>
      </c>
      <c r="E55" s="871" t="s">
        <v>13</v>
      </c>
      <c r="F55" s="780">
        <v>147.5</v>
      </c>
      <c r="G55" s="982"/>
      <c r="H55" s="622"/>
      <c r="I55" s="982"/>
      <c r="J55" s="872"/>
      <c r="K55" s="1207"/>
      <c r="L55" s="622"/>
      <c r="M55" s="982"/>
      <c r="N55" s="622"/>
      <c r="O55" s="1063"/>
      <c r="P55" s="622"/>
      <c r="Q55" s="982"/>
      <c r="R55" s="1028"/>
      <c r="S55" s="959"/>
      <c r="T55" s="878"/>
      <c r="U55" s="958"/>
    </row>
    <row r="56" spans="1:42" s="224" customFormat="1" ht="15" customHeight="1" x14ac:dyDescent="0.25">
      <c r="A56" s="247">
        <v>45817</v>
      </c>
      <c r="B56" s="882" t="s">
        <v>14</v>
      </c>
      <c r="C56" s="1276" t="s">
        <v>12</v>
      </c>
      <c r="D56" s="879" t="s">
        <v>1486</v>
      </c>
      <c r="E56" s="875" t="s">
        <v>5470</v>
      </c>
      <c r="F56" s="780">
        <v>6.43</v>
      </c>
      <c r="G56" s="982"/>
      <c r="H56" s="95"/>
      <c r="I56" s="1064"/>
      <c r="J56" s="613"/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ht="15" customHeight="1" x14ac:dyDescent="0.25">
      <c r="A57" s="247">
        <v>45818</v>
      </c>
      <c r="B57" s="882" t="s">
        <v>6329</v>
      </c>
      <c r="C57" s="879" t="s">
        <v>12</v>
      </c>
      <c r="D57" s="879"/>
      <c r="E57" s="875" t="s">
        <v>25</v>
      </c>
      <c r="F57" s="780"/>
      <c r="G57" s="982">
        <v>100</v>
      </c>
      <c r="H57" s="1008"/>
      <c r="I57" s="1063"/>
      <c r="J57" s="613"/>
      <c r="K57" s="982"/>
      <c r="L57" s="622"/>
      <c r="M57" s="982"/>
      <c r="N57" s="622"/>
      <c r="O57" s="1063"/>
      <c r="P57" s="622"/>
      <c r="Q57" s="982"/>
      <c r="R57" s="861"/>
    </row>
    <row r="58" spans="1:42" s="224" customFormat="1" ht="15" customHeight="1" x14ac:dyDescent="0.25">
      <c r="A58" s="247">
        <v>45818</v>
      </c>
      <c r="B58" s="1275" t="s">
        <v>32</v>
      </c>
      <c r="C58" s="1276" t="s">
        <v>12</v>
      </c>
      <c r="D58" s="1276" t="s">
        <v>1485</v>
      </c>
      <c r="E58" s="1286" t="s">
        <v>13</v>
      </c>
      <c r="F58" s="780">
        <v>24</v>
      </c>
      <c r="G58" s="967"/>
      <c r="H58" s="1008"/>
      <c r="I58" s="1063"/>
      <c r="J58" s="613"/>
      <c r="K58" s="6"/>
      <c r="L58" s="622"/>
      <c r="M58" s="982"/>
      <c r="N58" s="622"/>
      <c r="O58" s="1063"/>
      <c r="P58" s="613"/>
      <c r="Q58" s="982"/>
      <c r="R58" s="2641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4.25" customHeight="1" x14ac:dyDescent="0.25">
      <c r="A59" s="247">
        <v>45818</v>
      </c>
      <c r="B59" s="882" t="s">
        <v>14</v>
      </c>
      <c r="C59" s="1276" t="s">
        <v>12</v>
      </c>
      <c r="D59" s="879" t="s">
        <v>1486</v>
      </c>
      <c r="E59" s="875" t="s">
        <v>13</v>
      </c>
      <c r="F59" s="1810">
        <v>4.41</v>
      </c>
      <c r="G59" s="982"/>
      <c r="H59" s="1031"/>
      <c r="I59" s="1525"/>
      <c r="J59" s="622"/>
      <c r="K59" s="982"/>
      <c r="L59" s="880"/>
      <c r="M59" s="1033"/>
      <c r="N59" s="880"/>
      <c r="O59" s="1525"/>
      <c r="P59" s="613"/>
      <c r="Q59" s="162"/>
      <c r="R59" s="120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customHeight="1" x14ac:dyDescent="0.25">
      <c r="A60" s="247">
        <v>45819</v>
      </c>
      <c r="B60" s="1275" t="s">
        <v>32</v>
      </c>
      <c r="C60" s="1276" t="s">
        <v>12</v>
      </c>
      <c r="D60" s="1276" t="s">
        <v>1485</v>
      </c>
      <c r="E60" s="1286" t="s">
        <v>13</v>
      </c>
      <c r="F60" s="780">
        <v>23</v>
      </c>
      <c r="G60" s="967"/>
      <c r="H60" s="1008"/>
      <c r="I60" s="1063"/>
      <c r="J60" s="613"/>
      <c r="K60" s="6"/>
      <c r="L60" s="622"/>
      <c r="M60" s="982"/>
      <c r="N60" s="622"/>
      <c r="O60" s="1063"/>
      <c r="P60" s="613"/>
      <c r="Q60" s="982"/>
      <c r="R60" s="2641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pans="1:42" s="224" customFormat="1" ht="15" customHeight="1" x14ac:dyDescent="0.25">
      <c r="A61" s="247">
        <v>45820</v>
      </c>
      <c r="B61" s="1275" t="s">
        <v>7911</v>
      </c>
      <c r="C61" s="1276" t="s">
        <v>12</v>
      </c>
      <c r="D61" s="1276"/>
      <c r="E61" s="1286" t="s">
        <v>13</v>
      </c>
      <c r="F61" s="613">
        <v>121.78</v>
      </c>
      <c r="G61" s="967"/>
      <c r="H61" s="1008"/>
      <c r="I61" s="1063"/>
      <c r="J61" s="613"/>
      <c r="K61" s="6"/>
      <c r="L61" s="622"/>
      <c r="M61" s="982"/>
      <c r="N61" s="622"/>
      <c r="O61" s="1063"/>
      <c r="P61" s="613"/>
      <c r="Q61" s="64"/>
      <c r="R61" s="1024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</row>
    <row r="62" spans="1:42" s="224" customFormat="1" ht="15" customHeight="1" x14ac:dyDescent="0.25">
      <c r="A62" s="247">
        <v>45820</v>
      </c>
      <c r="B62" s="1275" t="s">
        <v>6755</v>
      </c>
      <c r="C62" s="1276" t="s">
        <v>12</v>
      </c>
      <c r="D62" s="1276"/>
      <c r="E62" s="1286"/>
      <c r="F62" s="613"/>
      <c r="G62" s="967">
        <v>121.78</v>
      </c>
      <c r="H62" s="1008"/>
      <c r="I62" s="1063"/>
      <c r="J62" s="613"/>
      <c r="K62" s="6"/>
      <c r="L62" s="622"/>
      <c r="M62" s="982"/>
      <c r="N62" s="622"/>
      <c r="O62" s="1063"/>
      <c r="P62" s="613"/>
      <c r="Q62" s="64"/>
      <c r="R62" s="1024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5" customHeight="1" x14ac:dyDescent="0.25">
      <c r="A63" s="247">
        <v>45820</v>
      </c>
      <c r="B63" s="1275" t="s">
        <v>32</v>
      </c>
      <c r="C63" s="1276" t="s">
        <v>12</v>
      </c>
      <c r="D63" s="1276" t="s">
        <v>1485</v>
      </c>
      <c r="E63" s="1286" t="s">
        <v>13</v>
      </c>
      <c r="F63" s="780">
        <v>23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982"/>
      <c r="R63" s="2641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45820</v>
      </c>
      <c r="B64" s="882" t="s">
        <v>14</v>
      </c>
      <c r="C64" s="1276" t="s">
        <v>12</v>
      </c>
      <c r="D64" s="879" t="s">
        <v>1486</v>
      </c>
      <c r="E64" s="875" t="s">
        <v>13</v>
      </c>
      <c r="F64" s="780">
        <v>21.09</v>
      </c>
      <c r="G64" s="982"/>
      <c r="H64" s="1008"/>
      <c r="I64" s="1063"/>
      <c r="J64" s="613"/>
      <c r="K64" s="982"/>
      <c r="L64" s="622"/>
      <c r="M64" s="982"/>
      <c r="N64" s="622"/>
      <c r="O64" s="1063"/>
      <c r="P64" s="622"/>
      <c r="Q64" s="982"/>
      <c r="R64" s="861"/>
    </row>
    <row r="65" spans="1:42" s="224" customFormat="1" ht="15" customHeight="1" x14ac:dyDescent="0.25">
      <c r="A65" s="247">
        <v>45821</v>
      </c>
      <c r="B65" s="1275" t="s">
        <v>32</v>
      </c>
      <c r="C65" s="1276" t="s">
        <v>12</v>
      </c>
      <c r="D65" s="1276" t="s">
        <v>1485</v>
      </c>
      <c r="E65" s="1286" t="s">
        <v>13</v>
      </c>
      <c r="F65" s="780">
        <v>23</v>
      </c>
      <c r="G65" s="967"/>
      <c r="H65" s="1008"/>
      <c r="I65" s="1063"/>
      <c r="J65" s="613"/>
      <c r="K65" s="6"/>
      <c r="L65" s="622"/>
      <c r="M65" s="982"/>
      <c r="N65" s="622"/>
      <c r="O65" s="1063"/>
      <c r="P65" s="613"/>
      <c r="Q65" s="982"/>
      <c r="R65" s="2641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x14ac:dyDescent="0.25">
      <c r="A66" s="247">
        <v>45821</v>
      </c>
      <c r="B66" s="1275" t="s">
        <v>7977</v>
      </c>
      <c r="C66" s="879" t="s">
        <v>12</v>
      </c>
      <c r="D66" s="1276" t="s">
        <v>6731</v>
      </c>
      <c r="E66" s="1286" t="s">
        <v>13</v>
      </c>
      <c r="F66" s="780">
        <v>12.95</v>
      </c>
      <c r="G66" s="982"/>
      <c r="H66" s="1008"/>
      <c r="I66" s="1063"/>
      <c r="J66" s="622"/>
      <c r="K66" s="982"/>
      <c r="L66" s="622"/>
      <c r="M66" s="982"/>
      <c r="N66" s="622"/>
      <c r="O66" s="1063"/>
      <c r="P66" s="622"/>
      <c r="Q66" s="982"/>
      <c r="R66" s="1028"/>
      <c r="T66" s="878"/>
    </row>
    <row r="67" spans="1:42" s="224" customFormat="1" ht="15" customHeight="1" x14ac:dyDescent="0.25">
      <c r="A67" s="247">
        <v>45821</v>
      </c>
      <c r="B67" s="882" t="s">
        <v>7978</v>
      </c>
      <c r="C67" s="879" t="s">
        <v>12</v>
      </c>
      <c r="D67" s="879" t="s">
        <v>1493</v>
      </c>
      <c r="E67" s="480" t="s">
        <v>13</v>
      </c>
      <c r="F67" s="613">
        <v>69.02</v>
      </c>
      <c r="G67" s="967"/>
      <c r="H67" s="1008"/>
      <c r="I67" s="1063"/>
      <c r="J67" s="622"/>
      <c r="K67" s="982"/>
      <c r="L67" s="880"/>
      <c r="M67" s="1033"/>
      <c r="N67" s="880"/>
      <c r="O67" s="1525"/>
      <c r="P67" s="613"/>
      <c r="Q67" s="162"/>
      <c r="R67" s="1956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ht="15" customHeight="1" x14ac:dyDescent="0.25">
      <c r="A68" s="247">
        <v>45822</v>
      </c>
      <c r="B68" s="882" t="s">
        <v>14</v>
      </c>
      <c r="C68" s="1276" t="s">
        <v>12</v>
      </c>
      <c r="D68" s="879" t="s">
        <v>1486</v>
      </c>
      <c r="E68" s="875" t="s">
        <v>13</v>
      </c>
      <c r="F68" s="780">
        <v>8.35</v>
      </c>
      <c r="G68" s="982"/>
      <c r="H68" s="1008"/>
      <c r="I68" s="1063"/>
      <c r="J68" s="613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5" customHeight="1" x14ac:dyDescent="0.25">
      <c r="A69" s="247">
        <v>45822</v>
      </c>
      <c r="B69" s="882" t="s">
        <v>2595</v>
      </c>
      <c r="C69" s="879" t="s">
        <v>12</v>
      </c>
      <c r="D69" s="879" t="s">
        <v>1506</v>
      </c>
      <c r="E69" s="875" t="s">
        <v>13</v>
      </c>
      <c r="F69" s="780">
        <v>10</v>
      </c>
      <c r="G69" s="982"/>
      <c r="H69" s="622"/>
      <c r="I69" s="982"/>
      <c r="J69" s="622"/>
      <c r="K69" s="982"/>
      <c r="L69" s="622"/>
      <c r="M69" s="982"/>
      <c r="N69" s="622"/>
      <c r="O69" s="1063"/>
      <c r="P69" s="622"/>
      <c r="Q69" s="982"/>
      <c r="R69" s="1028"/>
      <c r="S69" s="959"/>
      <c r="T69" s="878"/>
      <c r="U69" s="958"/>
    </row>
    <row r="70" spans="1:42" s="224" customFormat="1" ht="15" customHeight="1" x14ac:dyDescent="0.25">
      <c r="A70" s="247">
        <v>45822</v>
      </c>
      <c r="B70" s="1275" t="s">
        <v>32</v>
      </c>
      <c r="C70" s="1276" t="s">
        <v>12</v>
      </c>
      <c r="D70" s="1276" t="s">
        <v>1485</v>
      </c>
      <c r="E70" s="1286" t="s">
        <v>13</v>
      </c>
      <c r="F70" s="780">
        <v>20</v>
      </c>
      <c r="G70" s="967"/>
      <c r="H70" s="1008"/>
      <c r="I70" s="1063"/>
      <c r="J70" s="613"/>
      <c r="K70" s="6"/>
      <c r="L70" s="622"/>
      <c r="M70" s="982"/>
      <c r="N70" s="622"/>
      <c r="O70" s="1063"/>
      <c r="P70" s="613"/>
      <c r="Q70" s="982"/>
      <c r="R70" s="2641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45822</v>
      </c>
      <c r="B71" s="882" t="s">
        <v>6258</v>
      </c>
      <c r="C71" s="879" t="s">
        <v>12</v>
      </c>
      <c r="D71" s="879"/>
      <c r="E71" s="875" t="s">
        <v>13</v>
      </c>
      <c r="F71" s="780"/>
      <c r="G71" s="982">
        <v>325</v>
      </c>
      <c r="H71" s="1008"/>
      <c r="I71" s="1063"/>
      <c r="J71" s="622">
        <v>325</v>
      </c>
      <c r="K71" s="982"/>
      <c r="L71" s="622"/>
      <c r="M71" s="982"/>
      <c r="N71" s="622"/>
      <c r="O71" s="1063"/>
      <c r="P71" s="622"/>
      <c r="Q71" s="982"/>
      <c r="R71" s="941"/>
    </row>
    <row r="72" spans="1:42" s="224" customFormat="1" ht="15" customHeight="1" x14ac:dyDescent="0.25">
      <c r="A72" s="247">
        <v>45822</v>
      </c>
      <c r="B72" s="882" t="s">
        <v>7980</v>
      </c>
      <c r="C72" s="879" t="s">
        <v>12</v>
      </c>
      <c r="D72" s="879" t="s">
        <v>1524</v>
      </c>
      <c r="E72" s="871" t="s">
        <v>13</v>
      </c>
      <c r="F72" s="780">
        <v>325</v>
      </c>
      <c r="G72" s="982"/>
      <c r="H72" s="622"/>
      <c r="I72" s="982"/>
      <c r="J72" s="872"/>
      <c r="K72" s="1207"/>
      <c r="L72" s="622"/>
      <c r="M72" s="982"/>
      <c r="N72" s="622"/>
      <c r="O72" s="1063"/>
      <c r="P72" s="622"/>
      <c r="Q72" s="982"/>
      <c r="R72" s="1028"/>
      <c r="S72" s="959"/>
      <c r="T72" s="878"/>
      <c r="U72" s="958"/>
    </row>
    <row r="73" spans="1:42" s="224" customFormat="1" ht="15" customHeight="1" x14ac:dyDescent="0.25">
      <c r="A73" s="247">
        <v>45822</v>
      </c>
      <c r="B73" s="882" t="s">
        <v>6861</v>
      </c>
      <c r="C73" s="879" t="s">
        <v>12</v>
      </c>
      <c r="D73" s="879" t="s">
        <v>1493</v>
      </c>
      <c r="E73" s="875" t="s">
        <v>13</v>
      </c>
      <c r="F73" s="780">
        <v>45</v>
      </c>
      <c r="G73" s="982"/>
      <c r="H73" s="95"/>
      <c r="I73" s="1064"/>
      <c r="J73" s="622"/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45823</v>
      </c>
      <c r="B74" s="882" t="s">
        <v>14</v>
      </c>
      <c r="C74" s="1276" t="s">
        <v>12</v>
      </c>
      <c r="D74" s="879" t="s">
        <v>1486</v>
      </c>
      <c r="E74" s="875" t="s">
        <v>13</v>
      </c>
      <c r="F74" s="780">
        <v>14.92</v>
      </c>
      <c r="G74" s="982"/>
      <c r="H74" s="1008"/>
      <c r="I74" s="1063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45823</v>
      </c>
      <c r="B75" s="882" t="s">
        <v>2252</v>
      </c>
      <c r="C75" s="879" t="s">
        <v>12</v>
      </c>
      <c r="D75" s="879" t="s">
        <v>1489</v>
      </c>
      <c r="E75" s="871" t="s">
        <v>13</v>
      </c>
      <c r="F75" s="780">
        <v>3.2</v>
      </c>
      <c r="G75" s="982"/>
      <c r="H75" s="622"/>
      <c r="I75" s="982"/>
      <c r="J75" s="872"/>
      <c r="K75" s="1207"/>
      <c r="L75" s="622"/>
      <c r="M75" s="982"/>
      <c r="N75" s="622"/>
      <c r="O75" s="1063"/>
      <c r="P75" s="622"/>
      <c r="Q75" s="982"/>
      <c r="R75" s="1028"/>
      <c r="S75" s="959"/>
      <c r="T75" s="878"/>
      <c r="U75" s="958"/>
    </row>
    <row r="76" spans="1:42" s="224" customFormat="1" ht="15" customHeight="1" x14ac:dyDescent="0.25">
      <c r="A76" s="247">
        <v>45823</v>
      </c>
      <c r="B76" s="882" t="s">
        <v>7979</v>
      </c>
      <c r="C76" s="879" t="s">
        <v>12</v>
      </c>
      <c r="D76" s="879" t="s">
        <v>1523</v>
      </c>
      <c r="E76" s="871" t="s">
        <v>13</v>
      </c>
      <c r="F76" s="780">
        <v>47.92</v>
      </c>
      <c r="G76" s="982"/>
      <c r="H76" s="622"/>
      <c r="I76" s="982"/>
      <c r="J76" s="872"/>
      <c r="K76" s="1207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45824</v>
      </c>
      <c r="B77" s="882" t="s">
        <v>7807</v>
      </c>
      <c r="C77" s="879" t="s">
        <v>12</v>
      </c>
      <c r="D77" s="879" t="s">
        <v>1489</v>
      </c>
      <c r="E77" s="871" t="s">
        <v>13</v>
      </c>
      <c r="F77" s="780">
        <v>94.424999999999997</v>
      </c>
      <c r="G77" s="982"/>
      <c r="H77" s="622"/>
      <c r="I77" s="982"/>
      <c r="J77" s="622"/>
      <c r="K77" s="982"/>
      <c r="L77" s="622"/>
      <c r="M77" s="982"/>
      <c r="N77" s="880"/>
      <c r="O77" s="1525"/>
      <c r="P77" s="613"/>
      <c r="Q77" s="162"/>
      <c r="R77" s="1028" t="s">
        <v>7137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t="15" customHeight="1" x14ac:dyDescent="0.25">
      <c r="A78" s="247">
        <v>45824</v>
      </c>
      <c r="B78" s="882" t="s">
        <v>7894</v>
      </c>
      <c r="C78" s="879" t="s">
        <v>12</v>
      </c>
      <c r="D78" s="879" t="s">
        <v>6731</v>
      </c>
      <c r="E78" s="871" t="s">
        <v>13</v>
      </c>
      <c r="F78" s="780">
        <v>13.333333333333334</v>
      </c>
      <c r="G78" s="982"/>
      <c r="H78" s="622"/>
      <c r="I78" s="982"/>
      <c r="J78" s="622"/>
      <c r="K78" s="982"/>
      <c r="L78" s="622"/>
      <c r="M78" s="982"/>
      <c r="N78" s="880"/>
      <c r="O78" s="1525"/>
      <c r="P78" s="613"/>
      <c r="Q78" s="162"/>
      <c r="R78" s="1028" t="s">
        <v>7137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 spans="1:42" s="224" customFormat="1" ht="15" customHeight="1" x14ac:dyDescent="0.25">
      <c r="A79" s="247">
        <v>45824</v>
      </c>
      <c r="B79" s="882" t="s">
        <v>7861</v>
      </c>
      <c r="C79" s="879" t="s">
        <v>12</v>
      </c>
      <c r="D79" s="879" t="s">
        <v>6731</v>
      </c>
      <c r="E79" s="871" t="s">
        <v>13</v>
      </c>
      <c r="F79" s="780">
        <v>99.933333333333337</v>
      </c>
      <c r="G79" s="982"/>
      <c r="H79" s="622"/>
      <c r="I79" s="982"/>
      <c r="J79" s="622"/>
      <c r="K79" s="982"/>
      <c r="L79" s="622"/>
      <c r="M79" s="982"/>
      <c r="N79" s="880"/>
      <c r="O79" s="1525"/>
      <c r="P79" s="613"/>
      <c r="Q79" s="162"/>
      <c r="R79" s="1028" t="s">
        <v>7137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customHeight="1" x14ac:dyDescent="0.25">
      <c r="A80" s="247">
        <v>45824</v>
      </c>
      <c r="B80" s="882" t="s">
        <v>7886</v>
      </c>
      <c r="C80" s="879" t="s">
        <v>12</v>
      </c>
      <c r="D80" s="879" t="s">
        <v>1522</v>
      </c>
      <c r="E80" s="871" t="s">
        <v>13</v>
      </c>
      <c r="F80" s="780">
        <v>266.66666666666669</v>
      </c>
      <c r="G80" s="982"/>
      <c r="H80" s="622"/>
      <c r="I80" s="982"/>
      <c r="J80" s="622"/>
      <c r="K80" s="982"/>
      <c r="L80" s="622"/>
      <c r="M80" s="982"/>
      <c r="N80" s="880"/>
      <c r="O80" s="1525"/>
      <c r="P80" s="613"/>
      <c r="Q80" s="162"/>
      <c r="R80" s="1028" t="s">
        <v>7137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45824</v>
      </c>
      <c r="B81" s="882" t="s">
        <v>7953</v>
      </c>
      <c r="C81" s="879" t="s">
        <v>12</v>
      </c>
      <c r="D81" s="879" t="s">
        <v>6731</v>
      </c>
      <c r="E81" s="871" t="s">
        <v>13</v>
      </c>
      <c r="F81" s="780">
        <v>69.75</v>
      </c>
      <c r="G81" s="982"/>
      <c r="H81" s="622"/>
      <c r="I81" s="982"/>
      <c r="J81" s="622"/>
      <c r="K81" s="982"/>
      <c r="L81" s="622"/>
      <c r="M81" s="982"/>
      <c r="N81" s="880"/>
      <c r="O81" s="1525"/>
      <c r="P81" s="613"/>
      <c r="Q81" s="162"/>
      <c r="R81" s="1028" t="s">
        <v>7137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45824</v>
      </c>
      <c r="B82" s="882" t="s">
        <v>6258</v>
      </c>
      <c r="C82" s="879" t="s">
        <v>12</v>
      </c>
      <c r="D82" s="879"/>
      <c r="E82" s="875" t="s">
        <v>13</v>
      </c>
      <c r="F82" s="780"/>
      <c r="G82" s="982">
        <v>600</v>
      </c>
      <c r="H82" s="1008"/>
      <c r="I82" s="1063"/>
      <c r="J82" s="622">
        <v>600</v>
      </c>
      <c r="K82" s="982"/>
      <c r="L82" s="622"/>
      <c r="M82" s="982"/>
      <c r="N82" s="622"/>
      <c r="O82" s="1063"/>
      <c r="P82" s="622"/>
      <c r="Q82" s="982"/>
      <c r="R82" s="941"/>
    </row>
    <row r="83" spans="1:42" s="224" customFormat="1" ht="15" customHeight="1" x14ac:dyDescent="0.25">
      <c r="A83" s="247">
        <v>45824</v>
      </c>
      <c r="B83" s="882" t="s">
        <v>7986</v>
      </c>
      <c r="C83" s="879" t="s">
        <v>12</v>
      </c>
      <c r="D83" s="879" t="s">
        <v>1524</v>
      </c>
      <c r="E83" s="871" t="s">
        <v>13</v>
      </c>
      <c r="F83" s="780">
        <v>600</v>
      </c>
      <c r="G83" s="982"/>
      <c r="H83" s="622"/>
      <c r="I83" s="982"/>
      <c r="J83" s="872"/>
      <c r="K83" s="1207"/>
      <c r="L83" s="622"/>
      <c r="M83" s="982"/>
      <c r="N83" s="622"/>
      <c r="O83" s="1063"/>
      <c r="P83" s="622"/>
      <c r="Q83" s="982"/>
      <c r="R83" s="1028"/>
      <c r="S83" s="959"/>
      <c r="T83" s="878"/>
      <c r="U83" s="958"/>
    </row>
    <row r="84" spans="1:42" s="224" customFormat="1" ht="15" customHeight="1" x14ac:dyDescent="0.25">
      <c r="A84" s="247">
        <v>45824</v>
      </c>
      <c r="B84" s="882" t="s">
        <v>14</v>
      </c>
      <c r="C84" s="1276" t="s">
        <v>12</v>
      </c>
      <c r="D84" s="879" t="s">
        <v>1486</v>
      </c>
      <c r="E84" s="875" t="s">
        <v>13</v>
      </c>
      <c r="F84" s="780">
        <v>12.32</v>
      </c>
      <c r="G84" s="982"/>
      <c r="H84" s="1008"/>
      <c r="I84" s="1063"/>
      <c r="J84" s="613"/>
      <c r="K84" s="982"/>
      <c r="L84" s="622"/>
      <c r="M84" s="982"/>
      <c r="N84" s="622"/>
      <c r="O84" s="1063"/>
      <c r="P84" s="622"/>
      <c r="Q84" s="982"/>
      <c r="R84" s="861"/>
    </row>
    <row r="85" spans="1:42" s="224" customFormat="1" ht="15" customHeight="1" x14ac:dyDescent="0.25">
      <c r="A85" s="247">
        <v>45824</v>
      </c>
      <c r="B85" s="882" t="s">
        <v>8017</v>
      </c>
      <c r="C85" s="879" t="s">
        <v>12</v>
      </c>
      <c r="D85" s="879" t="s">
        <v>1506</v>
      </c>
      <c r="E85" s="875" t="s">
        <v>13</v>
      </c>
      <c r="F85" s="780">
        <v>16</v>
      </c>
      <c r="G85" s="982"/>
      <c r="H85" s="622"/>
      <c r="I85" s="982"/>
      <c r="J85" s="622"/>
      <c r="K85" s="982"/>
      <c r="L85" s="622"/>
      <c r="M85" s="982"/>
      <c r="N85" s="880"/>
      <c r="O85" s="1525"/>
      <c r="P85" s="613"/>
      <c r="Q85" s="162"/>
      <c r="R85" s="1956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customHeight="1" x14ac:dyDescent="0.25">
      <c r="A86" s="247">
        <v>45824</v>
      </c>
      <c r="B86" s="882" t="s">
        <v>6258</v>
      </c>
      <c r="C86" s="879" t="s">
        <v>12</v>
      </c>
      <c r="D86" s="879"/>
      <c r="E86" s="875" t="s">
        <v>13</v>
      </c>
      <c r="F86" s="780"/>
      <c r="G86" s="982">
        <v>24</v>
      </c>
      <c r="H86" s="1008"/>
      <c r="I86" s="1063"/>
      <c r="J86" s="622">
        <v>24</v>
      </c>
      <c r="K86" s="982"/>
      <c r="L86" s="622"/>
      <c r="M86" s="982"/>
      <c r="N86" s="622"/>
      <c r="O86" s="1063"/>
      <c r="P86" s="622"/>
      <c r="Q86" s="982"/>
      <c r="R86" s="941"/>
    </row>
    <row r="87" spans="1:42" s="224" customFormat="1" ht="15" customHeight="1" x14ac:dyDescent="0.25">
      <c r="A87" s="247">
        <v>45824</v>
      </c>
      <c r="B87" s="882" t="s">
        <v>8018</v>
      </c>
      <c r="C87" s="879" t="s">
        <v>12</v>
      </c>
      <c r="D87" s="879" t="s">
        <v>1524</v>
      </c>
      <c r="E87" s="875" t="s">
        <v>13</v>
      </c>
      <c r="F87" s="780">
        <v>24</v>
      </c>
      <c r="G87" s="982"/>
      <c r="H87" s="622"/>
      <c r="I87" s="982"/>
      <c r="J87" s="622"/>
      <c r="K87" s="982"/>
      <c r="L87" s="622"/>
      <c r="M87" s="982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45825</v>
      </c>
      <c r="B88" s="882" t="s">
        <v>6329</v>
      </c>
      <c r="C88" s="879" t="s">
        <v>12</v>
      </c>
      <c r="D88" s="879"/>
      <c r="E88" s="875" t="s">
        <v>25</v>
      </c>
      <c r="F88" s="780"/>
      <c r="G88" s="982">
        <v>100</v>
      </c>
      <c r="H88" s="1008"/>
      <c r="I88" s="1063"/>
      <c r="J88" s="613"/>
      <c r="K88" s="982"/>
      <c r="L88" s="622"/>
      <c r="M88" s="982"/>
      <c r="N88" s="622"/>
      <c r="O88" s="1063"/>
      <c r="P88" s="622"/>
      <c r="Q88" s="982"/>
      <c r="R88" s="861"/>
    </row>
    <row r="89" spans="1:42" s="224" customFormat="1" ht="15" customHeight="1" x14ac:dyDescent="0.25">
      <c r="A89" s="247">
        <v>45825</v>
      </c>
      <c r="B89" s="1275" t="s">
        <v>32</v>
      </c>
      <c r="C89" s="1276" t="s">
        <v>12</v>
      </c>
      <c r="D89" s="1276" t="s">
        <v>1485</v>
      </c>
      <c r="E89" s="1286" t="s">
        <v>13</v>
      </c>
      <c r="F89" s="780">
        <v>23</v>
      </c>
      <c r="G89" s="967"/>
      <c r="H89" s="1008"/>
      <c r="I89" s="1063"/>
      <c r="J89" s="613"/>
      <c r="K89" s="6"/>
      <c r="L89" s="622"/>
      <c r="M89" s="982"/>
      <c r="N89" s="622"/>
      <c r="O89" s="1063"/>
      <c r="P89" s="613"/>
      <c r="Q89" s="982"/>
      <c r="R89" s="2641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45825</v>
      </c>
      <c r="B90" s="882" t="s">
        <v>14</v>
      </c>
      <c r="C90" s="1276" t="s">
        <v>12</v>
      </c>
      <c r="D90" s="879" t="s">
        <v>1486</v>
      </c>
      <c r="E90" s="875" t="s">
        <v>13</v>
      </c>
      <c r="F90" s="780">
        <v>3.96</v>
      </c>
      <c r="G90" s="982"/>
      <c r="H90" s="1008"/>
      <c r="I90" s="1063"/>
      <c r="J90" s="613"/>
      <c r="K90" s="982"/>
      <c r="L90" s="622"/>
      <c r="M90" s="982"/>
      <c r="N90" s="622"/>
      <c r="O90" s="1063"/>
      <c r="P90" s="622"/>
      <c r="Q90" s="982"/>
      <c r="R90" s="861"/>
    </row>
    <row r="91" spans="1:42" s="224" customFormat="1" ht="15" customHeight="1" x14ac:dyDescent="0.25">
      <c r="A91" s="247">
        <v>45825</v>
      </c>
      <c r="B91" s="882" t="s">
        <v>8019</v>
      </c>
      <c r="C91" s="879" t="s">
        <v>12</v>
      </c>
      <c r="D91" s="879" t="s">
        <v>6731</v>
      </c>
      <c r="E91" s="871" t="s">
        <v>13</v>
      </c>
      <c r="F91" s="780">
        <v>46.98</v>
      </c>
      <c r="G91" s="982"/>
      <c r="H91" s="622"/>
      <c r="I91" s="982"/>
      <c r="J91" s="872"/>
      <c r="K91" s="1207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45826</v>
      </c>
      <c r="B92" s="1275" t="s">
        <v>7911</v>
      </c>
      <c r="C92" s="1276" t="s">
        <v>12</v>
      </c>
      <c r="D92" s="1276"/>
      <c r="E92" s="1286" t="s">
        <v>13</v>
      </c>
      <c r="F92" s="613">
        <v>121.78</v>
      </c>
      <c r="G92" s="967"/>
      <c r="H92" s="1008"/>
      <c r="I92" s="1063"/>
      <c r="J92" s="613"/>
      <c r="K92" s="6"/>
      <c r="L92" s="622"/>
      <c r="M92" s="982"/>
      <c r="N92" s="622"/>
      <c r="O92" s="1063"/>
      <c r="P92" s="613"/>
      <c r="Q92" s="64"/>
      <c r="R92" s="1024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45826</v>
      </c>
      <c r="B93" s="1275" t="s">
        <v>6755</v>
      </c>
      <c r="C93" s="1276" t="s">
        <v>12</v>
      </c>
      <c r="D93" s="1276"/>
      <c r="E93" s="1286"/>
      <c r="F93" s="613"/>
      <c r="G93" s="967">
        <v>121.78</v>
      </c>
      <c r="H93" s="1008"/>
      <c r="I93" s="1063"/>
      <c r="J93" s="613"/>
      <c r="K93" s="6"/>
      <c r="L93" s="622"/>
      <c r="M93" s="982"/>
      <c r="N93" s="622"/>
      <c r="O93" s="1063"/>
      <c r="P93" s="613"/>
      <c r="Q93" s="64"/>
      <c r="R93" s="1024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45826</v>
      </c>
      <c r="B94" s="882" t="s">
        <v>82</v>
      </c>
      <c r="C94" s="879" t="s">
        <v>12</v>
      </c>
      <c r="D94" s="879" t="s">
        <v>1493</v>
      </c>
      <c r="E94" s="875" t="s">
        <v>13</v>
      </c>
      <c r="F94" s="780">
        <v>32.799999999999997</v>
      </c>
      <c r="G94" s="982"/>
      <c r="H94" s="622"/>
      <c r="I94" s="982"/>
      <c r="J94" s="622"/>
      <c r="K94" s="982"/>
      <c r="L94" s="622"/>
      <c r="M94" s="982"/>
      <c r="N94" s="880"/>
      <c r="O94" s="1525"/>
      <c r="P94" s="613"/>
      <c r="Q94" s="162"/>
      <c r="R94" s="1956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customHeight="1" x14ac:dyDescent="0.25">
      <c r="A95" s="247">
        <v>45827</v>
      </c>
      <c r="B95" s="882" t="s">
        <v>14</v>
      </c>
      <c r="C95" s="1276" t="s">
        <v>12</v>
      </c>
      <c r="D95" s="879" t="s">
        <v>1486</v>
      </c>
      <c r="E95" s="875" t="s">
        <v>13</v>
      </c>
      <c r="F95" s="780">
        <v>6.21</v>
      </c>
      <c r="G95" s="982"/>
      <c r="H95" s="1008"/>
      <c r="I95" s="1063"/>
      <c r="J95" s="613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45827</v>
      </c>
      <c r="B96" s="882" t="s">
        <v>7122</v>
      </c>
      <c r="C96" s="879" t="s">
        <v>12</v>
      </c>
      <c r="D96" s="879" t="s">
        <v>1489</v>
      </c>
      <c r="E96" s="871" t="s">
        <v>13</v>
      </c>
      <c r="F96" s="780">
        <v>13</v>
      </c>
      <c r="G96" s="982"/>
      <c r="H96" s="622"/>
      <c r="I96" s="982"/>
      <c r="J96" s="872"/>
      <c r="K96" s="1207"/>
      <c r="L96" s="622"/>
      <c r="M96" s="982"/>
      <c r="N96" s="622"/>
      <c r="O96" s="1063"/>
      <c r="P96" s="622"/>
      <c r="Q96" s="982"/>
      <c r="R96" s="1028"/>
      <c r="S96" s="959"/>
      <c r="T96" s="878"/>
      <c r="U96" s="958"/>
    </row>
    <row r="97" spans="1:42" s="224" customFormat="1" ht="15" customHeight="1" x14ac:dyDescent="0.25">
      <c r="A97" s="247">
        <v>45827</v>
      </c>
      <c r="B97" s="882" t="s">
        <v>80</v>
      </c>
      <c r="C97" s="879" t="s">
        <v>12</v>
      </c>
      <c r="D97" s="879" t="s">
        <v>1523</v>
      </c>
      <c r="E97" s="871" t="s">
        <v>13</v>
      </c>
      <c r="F97" s="780">
        <v>35</v>
      </c>
      <c r="G97" s="982"/>
      <c r="H97" s="622"/>
      <c r="I97" s="982"/>
      <c r="J97" s="872"/>
      <c r="K97" s="1207"/>
      <c r="L97" s="622"/>
      <c r="M97" s="982"/>
      <c r="N97" s="622"/>
      <c r="O97" s="1063"/>
      <c r="P97" s="622"/>
      <c r="Q97" s="982"/>
      <c r="R97" s="1028"/>
      <c r="S97" s="959"/>
      <c r="T97" s="878"/>
      <c r="U97" s="958"/>
    </row>
    <row r="98" spans="1:42" s="224" customFormat="1" ht="15" customHeight="1" x14ac:dyDescent="0.25">
      <c r="A98" s="247">
        <v>45827</v>
      </c>
      <c r="B98" s="882" t="s">
        <v>50</v>
      </c>
      <c r="C98" s="1276" t="s">
        <v>12</v>
      </c>
      <c r="D98" s="879" t="s">
        <v>1493</v>
      </c>
      <c r="E98" s="875" t="s">
        <v>13</v>
      </c>
      <c r="F98" s="780">
        <v>33.06</v>
      </c>
      <c r="G98" s="982"/>
      <c r="H98" s="1008"/>
      <c r="I98" s="1063"/>
      <c r="J98" s="613"/>
      <c r="K98" s="982"/>
      <c r="L98" s="622"/>
      <c r="M98" s="982"/>
      <c r="N98" s="622"/>
      <c r="O98" s="1063"/>
      <c r="P98" s="622"/>
      <c r="Q98" s="982"/>
      <c r="R98" s="861"/>
    </row>
    <row r="99" spans="1:42" s="224" customFormat="1" ht="15" customHeight="1" x14ac:dyDescent="0.25">
      <c r="A99" s="247">
        <v>45828</v>
      </c>
      <c r="B99" s="882" t="s">
        <v>7936</v>
      </c>
      <c r="C99" s="350" t="s">
        <v>12</v>
      </c>
      <c r="D99" s="350"/>
      <c r="E99" s="480" t="s">
        <v>25</v>
      </c>
      <c r="F99" s="622"/>
      <c r="G99" s="982">
        <v>2520</v>
      </c>
      <c r="H99" s="1008"/>
      <c r="I99" s="1063"/>
      <c r="J99" s="622"/>
      <c r="K99" s="982"/>
      <c r="L99" s="622"/>
      <c r="M99" s="982"/>
      <c r="N99" s="622"/>
      <c r="O99" s="1063"/>
      <c r="P99" s="622"/>
      <c r="Q99" s="982"/>
      <c r="R99" s="861"/>
    </row>
    <row r="100" spans="1:42" s="224" customFormat="1" ht="15" customHeight="1" x14ac:dyDescent="0.25">
      <c r="A100" s="247">
        <v>45828</v>
      </c>
      <c r="B100" s="364" t="s">
        <v>7937</v>
      </c>
      <c r="C100" s="879" t="s">
        <v>12</v>
      </c>
      <c r="D100" s="879"/>
      <c r="E100" s="983" t="s">
        <v>25</v>
      </c>
      <c r="F100" s="780"/>
      <c r="G100" s="982"/>
      <c r="H100" s="622"/>
      <c r="I100" s="982"/>
      <c r="J100" s="2013"/>
      <c r="K100" s="1207"/>
      <c r="L100" s="622"/>
      <c r="M100" s="982"/>
      <c r="N100" s="622"/>
      <c r="O100" s="1063"/>
      <c r="P100" s="622"/>
      <c r="Q100" s="982">
        <v>504</v>
      </c>
      <c r="R100" s="927"/>
      <c r="S100" s="927"/>
      <c r="T100" s="878"/>
    </row>
    <row r="101" spans="1:42" s="224" customFormat="1" ht="15" customHeight="1" x14ac:dyDescent="0.25">
      <c r="A101" s="247">
        <v>45828</v>
      </c>
      <c r="B101" s="364" t="s">
        <v>3354</v>
      </c>
      <c r="C101" s="350" t="s">
        <v>12</v>
      </c>
      <c r="D101" s="350"/>
      <c r="E101" s="145" t="s">
        <v>25</v>
      </c>
      <c r="F101" s="613"/>
      <c r="G101" s="967"/>
      <c r="H101" s="1008"/>
      <c r="I101" s="1063"/>
      <c r="J101" s="622"/>
      <c r="K101" s="982"/>
      <c r="L101" s="880"/>
      <c r="M101" s="1033"/>
      <c r="N101" s="880"/>
      <c r="O101" s="1525"/>
      <c r="P101" s="613"/>
      <c r="Q101" s="162">
        <v>240.61</v>
      </c>
      <c r="R101" s="2018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 s="224" customFormat="1" ht="15" customHeight="1" x14ac:dyDescent="0.25">
      <c r="A102" s="247">
        <v>45828</v>
      </c>
      <c r="B102" s="862" t="s">
        <v>2867</v>
      </c>
      <c r="C102" s="350" t="s">
        <v>12</v>
      </c>
      <c r="D102" s="874" t="s">
        <v>1504</v>
      </c>
      <c r="E102" s="887" t="s">
        <v>13</v>
      </c>
      <c r="F102" s="780">
        <v>80</v>
      </c>
      <c r="G102" s="982"/>
      <c r="H102" s="1009"/>
      <c r="I102" s="1063"/>
      <c r="J102" s="622"/>
      <c r="K102" s="982"/>
      <c r="L102" s="853"/>
      <c r="M102" s="982"/>
      <c r="N102" s="853"/>
      <c r="O102" s="1063"/>
      <c r="P102" s="622"/>
      <c r="Q102" s="982"/>
      <c r="R102" s="1690" t="s">
        <v>8032</v>
      </c>
      <c r="S102" s="1690"/>
      <c r="T102" s="1690"/>
      <c r="U102" s="1690"/>
      <c r="V102" s="1690"/>
      <c r="W102" s="1690"/>
      <c r="X102" s="1690"/>
      <c r="Y102" s="1690"/>
      <c r="Z102" s="1690"/>
    </row>
    <row r="103" spans="1:42" s="224" customFormat="1" ht="14.25" customHeight="1" x14ac:dyDescent="0.25">
      <c r="A103" s="247">
        <v>45828</v>
      </c>
      <c r="B103" s="364" t="s">
        <v>2977</v>
      </c>
      <c r="C103" s="350" t="s">
        <v>12</v>
      </c>
      <c r="D103" s="350" t="s">
        <v>1491</v>
      </c>
      <c r="E103" s="875" t="s">
        <v>13</v>
      </c>
      <c r="F103" s="780">
        <v>400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1029"/>
      <c r="S103" s="89"/>
      <c r="T103" s="930"/>
    </row>
    <row r="104" spans="1:42" s="224" customFormat="1" ht="15" customHeight="1" x14ac:dyDescent="0.25">
      <c r="A104" s="247">
        <v>45828</v>
      </c>
      <c r="B104" s="349" t="s">
        <v>7938</v>
      </c>
      <c r="C104" s="887" t="s">
        <v>12</v>
      </c>
      <c r="D104" s="350" t="s">
        <v>1524</v>
      </c>
      <c r="E104" s="887" t="s">
        <v>13</v>
      </c>
      <c r="F104" s="613">
        <v>147.4975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45828</v>
      </c>
      <c r="B105" s="349" t="s">
        <v>7938</v>
      </c>
      <c r="C105" s="887" t="s">
        <v>12</v>
      </c>
      <c r="D105" s="350" t="s">
        <v>1524</v>
      </c>
      <c r="E105" s="887" t="s">
        <v>13</v>
      </c>
      <c r="F105" s="613">
        <v>147.4975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45828</v>
      </c>
      <c r="B106" s="349" t="s">
        <v>7938</v>
      </c>
      <c r="C106" s="887" t="s">
        <v>12</v>
      </c>
      <c r="D106" s="350" t="s">
        <v>1524</v>
      </c>
      <c r="E106" s="887" t="s">
        <v>13</v>
      </c>
      <c r="F106" s="613">
        <v>474.9975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45828</v>
      </c>
      <c r="B107" s="349" t="s">
        <v>7938</v>
      </c>
      <c r="C107" s="887" t="s">
        <v>12</v>
      </c>
      <c r="D107" s="350" t="s">
        <v>1524</v>
      </c>
      <c r="E107" s="887" t="s">
        <v>13</v>
      </c>
      <c r="F107" s="613">
        <v>174.9975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45828</v>
      </c>
      <c r="B108" s="349" t="s">
        <v>7938</v>
      </c>
      <c r="C108" s="887" t="s">
        <v>12</v>
      </c>
      <c r="D108" s="350" t="s">
        <v>1524</v>
      </c>
      <c r="E108" s="887" t="s">
        <v>13</v>
      </c>
      <c r="F108" s="613">
        <v>157.4975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45828</v>
      </c>
      <c r="B109" s="349" t="s">
        <v>7938</v>
      </c>
      <c r="C109" s="887" t="s">
        <v>12</v>
      </c>
      <c r="D109" s="350" t="s">
        <v>1524</v>
      </c>
      <c r="E109" s="887" t="s">
        <v>13</v>
      </c>
      <c r="F109" s="613">
        <v>274.9975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45828</v>
      </c>
      <c r="B110" s="349" t="s">
        <v>7938</v>
      </c>
      <c r="C110" s="887" t="s">
        <v>12</v>
      </c>
      <c r="D110" s="350" t="s">
        <v>1524</v>
      </c>
      <c r="E110" s="887" t="s">
        <v>13</v>
      </c>
      <c r="F110" s="613">
        <v>149.9975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45828</v>
      </c>
      <c r="B111" s="349" t="s">
        <v>7938</v>
      </c>
      <c r="C111" s="887" t="s">
        <v>12</v>
      </c>
      <c r="D111" s="350" t="s">
        <v>1524</v>
      </c>
      <c r="E111" s="887" t="s">
        <v>13</v>
      </c>
      <c r="F111" s="613">
        <v>15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45828</v>
      </c>
      <c r="B112" s="349" t="s">
        <v>7938</v>
      </c>
      <c r="C112" s="887" t="s">
        <v>12</v>
      </c>
      <c r="D112" s="350" t="s">
        <v>1524</v>
      </c>
      <c r="E112" s="887" t="s">
        <v>13</v>
      </c>
      <c r="F112" s="613">
        <v>1500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21" s="224" customFormat="1" ht="15" customHeight="1" x14ac:dyDescent="0.25">
      <c r="A113" s="247">
        <v>45828</v>
      </c>
      <c r="B113" s="349" t="s">
        <v>7938</v>
      </c>
      <c r="C113" s="887" t="s">
        <v>12</v>
      </c>
      <c r="D113" s="350" t="s">
        <v>1524</v>
      </c>
      <c r="E113" s="887" t="s">
        <v>13</v>
      </c>
      <c r="F113" s="613">
        <v>118.136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21" s="224" customFormat="1" ht="15" customHeight="1" x14ac:dyDescent="0.25">
      <c r="A114" s="247">
        <v>45828</v>
      </c>
      <c r="B114" s="349" t="s">
        <v>7938</v>
      </c>
      <c r="C114" s="887" t="s">
        <v>12</v>
      </c>
      <c r="D114" s="350" t="s">
        <v>1524</v>
      </c>
      <c r="E114" s="887" t="s">
        <v>13</v>
      </c>
      <c r="F114" s="613">
        <v>159.66999999999999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21" s="224" customFormat="1" ht="15" customHeight="1" x14ac:dyDescent="0.25">
      <c r="A115" s="247">
        <v>45828</v>
      </c>
      <c r="B115" s="349" t="s">
        <v>7938</v>
      </c>
      <c r="C115" s="887" t="s">
        <v>12</v>
      </c>
      <c r="D115" s="350" t="s">
        <v>1524</v>
      </c>
      <c r="E115" s="887" t="s">
        <v>13</v>
      </c>
      <c r="F115" s="613">
        <v>253.465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21" s="224" customFormat="1" ht="15" customHeight="1" x14ac:dyDescent="0.25">
      <c r="A116" s="247">
        <v>45828</v>
      </c>
      <c r="B116" s="349" t="s">
        <v>7938</v>
      </c>
      <c r="C116" s="887" t="s">
        <v>12</v>
      </c>
      <c r="D116" s="350" t="s">
        <v>1524</v>
      </c>
      <c r="E116" s="887" t="s">
        <v>13</v>
      </c>
      <c r="F116" s="613">
        <v>60.656666666666666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21" s="224" customFormat="1" ht="15" customHeight="1" x14ac:dyDescent="0.25">
      <c r="A117" s="247">
        <v>45828</v>
      </c>
      <c r="B117" s="349" t="s">
        <v>7938</v>
      </c>
      <c r="C117" s="887" t="s">
        <v>12</v>
      </c>
      <c r="D117" s="350" t="s">
        <v>1524</v>
      </c>
      <c r="E117" s="887" t="s">
        <v>13</v>
      </c>
      <c r="F117" s="613">
        <v>44.985000000000007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21" s="224" customFormat="1" ht="15" customHeight="1" x14ac:dyDescent="0.25">
      <c r="A118" s="247">
        <v>45828</v>
      </c>
      <c r="B118" s="349" t="s">
        <v>7938</v>
      </c>
      <c r="C118" s="887" t="s">
        <v>12</v>
      </c>
      <c r="D118" s="350" t="s">
        <v>1524</v>
      </c>
      <c r="E118" s="887" t="s">
        <v>13</v>
      </c>
      <c r="F118" s="613">
        <v>8.9949999999999992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21" s="224" customFormat="1" ht="15" customHeight="1" x14ac:dyDescent="0.25">
      <c r="A119" s="247">
        <v>45828</v>
      </c>
      <c r="B119" s="349" t="s">
        <v>7938</v>
      </c>
      <c r="C119" s="887" t="s">
        <v>12</v>
      </c>
      <c r="D119" s="350" t="s">
        <v>1524</v>
      </c>
      <c r="E119" s="887" t="s">
        <v>13</v>
      </c>
      <c r="F119" s="613">
        <v>8.3333333333333339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21" s="224" customFormat="1" ht="15" customHeight="1" x14ac:dyDescent="0.25">
      <c r="A120" s="247">
        <v>45828</v>
      </c>
      <c r="B120" s="349" t="s">
        <v>7938</v>
      </c>
      <c r="C120" s="887" t="s">
        <v>12</v>
      </c>
      <c r="D120" s="350" t="s">
        <v>1524</v>
      </c>
      <c r="E120" s="887" t="s">
        <v>13</v>
      </c>
      <c r="F120" s="613">
        <v>50.857142857142854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927"/>
      <c r="S120" s="999"/>
      <c r="T120" s="878"/>
    </row>
    <row r="121" spans="1:21" s="224" customFormat="1" ht="15" customHeight="1" x14ac:dyDescent="0.25">
      <c r="A121" s="247">
        <v>45828</v>
      </c>
      <c r="B121" s="349" t="s">
        <v>7938</v>
      </c>
      <c r="C121" s="887" t="s">
        <v>12</v>
      </c>
      <c r="D121" s="350" t="s">
        <v>1524</v>
      </c>
      <c r="E121" s="887" t="s">
        <v>13</v>
      </c>
      <c r="F121" s="613">
        <v>111.4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927"/>
      <c r="S121" s="999"/>
      <c r="T121" s="878"/>
    </row>
    <row r="122" spans="1:21" s="224" customFormat="1" ht="15" customHeight="1" x14ac:dyDescent="0.25">
      <c r="A122" s="247">
        <v>45828</v>
      </c>
      <c r="B122" s="349" t="s">
        <v>7938</v>
      </c>
      <c r="C122" s="887" t="s">
        <v>12</v>
      </c>
      <c r="D122" s="350" t="s">
        <v>1489</v>
      </c>
      <c r="E122" s="887" t="s">
        <v>13</v>
      </c>
      <c r="F122" s="613">
        <v>2395.85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927"/>
      <c r="S122" s="999"/>
      <c r="T122" s="878"/>
    </row>
    <row r="123" spans="1:21" s="224" customFormat="1" ht="15" customHeight="1" x14ac:dyDescent="0.25">
      <c r="A123" s="247">
        <v>45828</v>
      </c>
      <c r="B123" s="882" t="s">
        <v>7939</v>
      </c>
      <c r="C123" s="879" t="s">
        <v>12</v>
      </c>
      <c r="D123" s="879" t="s">
        <v>1499</v>
      </c>
      <c r="E123" s="871" t="s">
        <v>13</v>
      </c>
      <c r="F123" s="780">
        <v>0</v>
      </c>
      <c r="G123" s="982"/>
      <c r="H123" s="1008"/>
      <c r="I123" s="1063"/>
      <c r="J123" s="622"/>
      <c r="K123" s="982"/>
      <c r="L123" s="622"/>
      <c r="M123" s="982"/>
      <c r="N123" s="622"/>
      <c r="O123" s="1063"/>
      <c r="P123" s="622"/>
      <c r="Q123" s="982"/>
      <c r="R123" s="1028" t="s">
        <v>7729</v>
      </c>
      <c r="T123" s="1123"/>
      <c r="U123" s="999"/>
    </row>
    <row r="124" spans="1:21" s="224" customFormat="1" ht="15" customHeight="1" x14ac:dyDescent="0.25">
      <c r="A124" s="247">
        <v>45828</v>
      </c>
      <c r="B124" s="882" t="s">
        <v>6814</v>
      </c>
      <c r="C124" s="879" t="s">
        <v>12</v>
      </c>
      <c r="D124" s="879"/>
      <c r="E124" s="875" t="s">
        <v>13</v>
      </c>
      <c r="F124" s="780"/>
      <c r="G124" s="982">
        <v>3858.98</v>
      </c>
      <c r="H124" s="1008"/>
      <c r="I124" s="1063"/>
      <c r="J124" s="622">
        <v>3858.98</v>
      </c>
      <c r="K124" s="982"/>
      <c r="L124" s="622"/>
      <c r="M124" s="982"/>
      <c r="N124" s="622"/>
      <c r="O124" s="1063"/>
      <c r="P124" s="622"/>
      <c r="Q124" s="982"/>
      <c r="R124" s="941"/>
    </row>
    <row r="125" spans="1:21" s="224" customFormat="1" ht="15" customHeight="1" x14ac:dyDescent="0.25">
      <c r="A125" s="247">
        <v>45828</v>
      </c>
      <c r="B125" s="882" t="s">
        <v>8021</v>
      </c>
      <c r="C125" s="879" t="s">
        <v>12</v>
      </c>
      <c r="D125" s="879"/>
      <c r="E125" s="875" t="s">
        <v>13</v>
      </c>
      <c r="F125" s="780"/>
      <c r="G125" s="982">
        <v>2400</v>
      </c>
      <c r="H125" s="1008"/>
      <c r="I125" s="1063"/>
      <c r="J125" s="622"/>
      <c r="K125" s="982"/>
      <c r="L125" s="622"/>
      <c r="M125" s="982"/>
      <c r="N125" s="622">
        <v>2400</v>
      </c>
      <c r="O125" s="1063"/>
      <c r="P125" s="622"/>
      <c r="Q125" s="982"/>
      <c r="R125" s="941"/>
    </row>
    <row r="126" spans="1:21" s="224" customFormat="1" ht="15" customHeight="1" x14ac:dyDescent="0.25">
      <c r="A126" s="247">
        <v>45828</v>
      </c>
      <c r="B126" s="882" t="s">
        <v>8025</v>
      </c>
      <c r="C126" s="879" t="s">
        <v>12</v>
      </c>
      <c r="D126" s="879" t="s">
        <v>1489</v>
      </c>
      <c r="E126" s="871" t="s">
        <v>13</v>
      </c>
      <c r="F126" s="780">
        <v>72.5</v>
      </c>
      <c r="G126" s="982"/>
      <c r="H126" s="95"/>
      <c r="I126" s="1064"/>
      <c r="J126" s="613"/>
      <c r="K126" s="6"/>
      <c r="L126" s="622"/>
      <c r="M126" s="982"/>
      <c r="N126" s="622"/>
      <c r="O126" s="1063"/>
      <c r="P126" s="622"/>
      <c r="Q126" s="982"/>
      <c r="R126" s="861"/>
    </row>
    <row r="127" spans="1:21" s="224" customFormat="1" ht="15" customHeight="1" x14ac:dyDescent="0.25">
      <c r="A127" s="247">
        <v>45828</v>
      </c>
      <c r="B127" s="882" t="s">
        <v>14</v>
      </c>
      <c r="C127" s="1276" t="s">
        <v>12</v>
      </c>
      <c r="D127" s="879" t="s">
        <v>1486</v>
      </c>
      <c r="E127" s="875" t="s">
        <v>13</v>
      </c>
      <c r="F127" s="780">
        <v>21.02</v>
      </c>
      <c r="G127" s="982"/>
      <c r="H127" s="1008"/>
      <c r="I127" s="1063"/>
      <c r="J127" s="613"/>
      <c r="K127" s="982"/>
      <c r="L127" s="622"/>
      <c r="M127" s="982"/>
      <c r="N127" s="622"/>
      <c r="O127" s="1063"/>
      <c r="P127" s="622"/>
      <c r="Q127" s="982"/>
      <c r="R127" s="861"/>
    </row>
    <row r="128" spans="1:21" s="224" customFormat="1" ht="15" customHeight="1" x14ac:dyDescent="0.25">
      <c r="A128" s="247">
        <v>45828</v>
      </c>
      <c r="B128" s="882" t="s">
        <v>8027</v>
      </c>
      <c r="C128" s="879" t="s">
        <v>12</v>
      </c>
      <c r="D128" s="879" t="s">
        <v>1489</v>
      </c>
      <c r="E128" s="871" t="s">
        <v>13</v>
      </c>
      <c r="F128" s="780">
        <v>10</v>
      </c>
      <c r="G128" s="982"/>
      <c r="H128" s="95"/>
      <c r="I128" s="1064"/>
      <c r="J128" s="613"/>
      <c r="K128" s="6"/>
      <c r="L128" s="622"/>
      <c r="M128" s="982"/>
      <c r="N128" s="622"/>
      <c r="O128" s="1063"/>
      <c r="P128" s="622"/>
      <c r="Q128" s="982"/>
      <c r="R128" s="861"/>
    </row>
    <row r="129" spans="1:42" s="224" customFormat="1" ht="15" customHeight="1" x14ac:dyDescent="0.25">
      <c r="A129" s="247">
        <v>45828</v>
      </c>
      <c r="B129" s="882" t="s">
        <v>2629</v>
      </c>
      <c r="C129" s="879" t="s">
        <v>12</v>
      </c>
      <c r="D129" s="879" t="s">
        <v>1489</v>
      </c>
      <c r="E129" s="871" t="s">
        <v>5470</v>
      </c>
      <c r="F129" s="780">
        <v>70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45828</v>
      </c>
      <c r="B130" s="882" t="s">
        <v>2629</v>
      </c>
      <c r="C130" s="879" t="s">
        <v>12</v>
      </c>
      <c r="D130" s="879" t="s">
        <v>1489</v>
      </c>
      <c r="E130" s="871" t="s">
        <v>13</v>
      </c>
      <c r="F130" s="780">
        <v>25.71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45828</v>
      </c>
      <c r="B131" s="882" t="s">
        <v>8026</v>
      </c>
      <c r="C131" s="879" t="s">
        <v>12</v>
      </c>
      <c r="D131" s="879" t="s">
        <v>6731</v>
      </c>
      <c r="E131" s="871" t="s">
        <v>13</v>
      </c>
      <c r="F131" s="780">
        <v>12</v>
      </c>
      <c r="G131" s="982"/>
      <c r="H131" s="95"/>
      <c r="I131" s="1064"/>
      <c r="J131" s="613"/>
      <c r="K131" s="6"/>
      <c r="L131" s="622"/>
      <c r="M131" s="982"/>
      <c r="N131" s="622"/>
      <c r="O131" s="1063"/>
      <c r="P131" s="622"/>
      <c r="Q131" s="982"/>
      <c r="R131" s="861"/>
    </row>
    <row r="132" spans="1:42" s="224" customFormat="1" ht="15" customHeight="1" x14ac:dyDescent="0.25">
      <c r="A132" s="247">
        <v>45828</v>
      </c>
      <c r="B132" s="882" t="s">
        <v>50</v>
      </c>
      <c r="C132" s="879" t="s">
        <v>12</v>
      </c>
      <c r="D132" s="879" t="s">
        <v>1489</v>
      </c>
      <c r="E132" s="871" t="s">
        <v>13</v>
      </c>
      <c r="F132" s="780">
        <v>16.29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45829</v>
      </c>
      <c r="B133" s="882" t="s">
        <v>14</v>
      </c>
      <c r="C133" s="1276" t="s">
        <v>12</v>
      </c>
      <c r="D133" s="879" t="s">
        <v>1486</v>
      </c>
      <c r="E133" s="875" t="s">
        <v>13</v>
      </c>
      <c r="F133" s="780">
        <v>11.92</v>
      </c>
      <c r="G133" s="982"/>
      <c r="H133" s="1008"/>
      <c r="I133" s="1063"/>
      <c r="J133" s="613"/>
      <c r="K133" s="982"/>
      <c r="L133" s="622"/>
      <c r="M133" s="982"/>
      <c r="N133" s="622"/>
      <c r="O133" s="1063"/>
      <c r="P133" s="622"/>
      <c r="Q133" s="982"/>
      <c r="R133" s="861"/>
    </row>
    <row r="134" spans="1:42" s="224" customFormat="1" ht="15" customHeight="1" x14ac:dyDescent="0.25">
      <c r="A134" s="247">
        <v>45829</v>
      </c>
      <c r="B134" s="882" t="s">
        <v>6861</v>
      </c>
      <c r="C134" s="879" t="s">
        <v>12</v>
      </c>
      <c r="D134" s="879" t="s">
        <v>1493</v>
      </c>
      <c r="E134" s="871" t="s">
        <v>13</v>
      </c>
      <c r="F134" s="780">
        <v>45</v>
      </c>
      <c r="G134" s="982"/>
      <c r="H134" s="95"/>
      <c r="I134" s="1064"/>
      <c r="J134" s="613"/>
      <c r="K134" s="6"/>
      <c r="L134" s="622"/>
      <c r="M134" s="982"/>
      <c r="N134" s="622"/>
      <c r="O134" s="1063"/>
      <c r="P134" s="622"/>
      <c r="Q134" s="982"/>
      <c r="R134" s="861"/>
    </row>
    <row r="135" spans="1:42" s="224" customFormat="1" ht="15" customHeight="1" x14ac:dyDescent="0.25">
      <c r="A135" s="247">
        <v>45830</v>
      </c>
      <c r="B135" s="882" t="s">
        <v>14</v>
      </c>
      <c r="C135" s="1276" t="s">
        <v>12</v>
      </c>
      <c r="D135" s="879" t="s">
        <v>1486</v>
      </c>
      <c r="E135" s="875" t="s">
        <v>13</v>
      </c>
      <c r="F135" s="780">
        <v>12</v>
      </c>
      <c r="G135" s="982"/>
      <c r="H135" s="1008"/>
      <c r="I135" s="1063"/>
      <c r="J135" s="613"/>
      <c r="K135" s="982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45830</v>
      </c>
      <c r="B136" s="882" t="s">
        <v>2851</v>
      </c>
      <c r="C136" s="879" t="s">
        <v>12</v>
      </c>
      <c r="D136" s="879" t="s">
        <v>1489</v>
      </c>
      <c r="E136" s="871" t="s">
        <v>13</v>
      </c>
      <c r="F136" s="780">
        <v>24.53</v>
      </c>
      <c r="G136" s="982"/>
      <c r="H136" s="622"/>
      <c r="I136" s="982"/>
      <c r="J136" s="1116"/>
      <c r="K136" s="1207"/>
      <c r="L136" s="622"/>
      <c r="M136" s="982"/>
      <c r="N136" s="622"/>
      <c r="O136" s="1063"/>
      <c r="P136" s="880"/>
      <c r="Q136" s="1033"/>
      <c r="R136" s="927"/>
      <c r="T136" s="878"/>
    </row>
    <row r="137" spans="1:42" s="224" customFormat="1" ht="15" customHeight="1" x14ac:dyDescent="0.25">
      <c r="A137" s="247">
        <v>45830</v>
      </c>
      <c r="B137" s="882" t="s">
        <v>14</v>
      </c>
      <c r="C137" s="1276" t="s">
        <v>12</v>
      </c>
      <c r="D137" s="879" t="s">
        <v>1486</v>
      </c>
      <c r="E137" s="875" t="s">
        <v>13</v>
      </c>
      <c r="F137" s="780">
        <v>5.7</v>
      </c>
      <c r="G137" s="982"/>
      <c r="H137" s="1008"/>
      <c r="I137" s="1063"/>
      <c r="J137" s="613"/>
      <c r="K137" s="982"/>
      <c r="L137" s="622"/>
      <c r="M137" s="982"/>
      <c r="N137" s="622"/>
      <c r="O137" s="1063"/>
      <c r="P137" s="622"/>
      <c r="Q137" s="982"/>
      <c r="R137" s="861"/>
    </row>
    <row r="138" spans="1:42" s="224" customFormat="1" ht="15" customHeight="1" x14ac:dyDescent="0.25">
      <c r="A138" s="247">
        <v>45831</v>
      </c>
      <c r="B138" s="882" t="s">
        <v>7217</v>
      </c>
      <c r="C138" s="879" t="s">
        <v>12</v>
      </c>
      <c r="D138" s="879" t="s">
        <v>1489</v>
      </c>
      <c r="E138" s="871" t="s">
        <v>13</v>
      </c>
      <c r="F138" s="780">
        <v>15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45831</v>
      </c>
      <c r="B139" s="882" t="s">
        <v>7700</v>
      </c>
      <c r="C139" s="879" t="s">
        <v>12</v>
      </c>
      <c r="D139" s="879"/>
      <c r="E139" s="875" t="s">
        <v>13</v>
      </c>
      <c r="F139" s="780">
        <v>1000</v>
      </c>
      <c r="G139" s="982"/>
      <c r="H139" s="95"/>
      <c r="I139" s="1064"/>
      <c r="J139" s="622"/>
      <c r="K139" s="982">
        <v>1000</v>
      </c>
      <c r="L139" s="622"/>
      <c r="M139" s="982"/>
      <c r="N139" s="622"/>
      <c r="O139" s="982"/>
      <c r="P139" s="622"/>
      <c r="Q139" s="982"/>
      <c r="R139" s="1210"/>
      <c r="S139" s="1038"/>
      <c r="T139" s="861"/>
    </row>
    <row r="140" spans="1:42" s="224" customFormat="1" ht="15" customHeight="1" x14ac:dyDescent="0.25">
      <c r="A140" s="247">
        <v>45831</v>
      </c>
      <c r="B140" s="882" t="s">
        <v>8028</v>
      </c>
      <c r="C140" s="879" t="s">
        <v>12</v>
      </c>
      <c r="D140" s="879" t="s">
        <v>6731</v>
      </c>
      <c r="E140" s="871" t="s">
        <v>13</v>
      </c>
      <c r="F140" s="780">
        <v>73.98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861"/>
    </row>
    <row r="141" spans="1:42" s="224" customFormat="1" ht="15" customHeight="1" x14ac:dyDescent="0.25">
      <c r="A141" s="247">
        <v>45832</v>
      </c>
      <c r="B141" s="882" t="s">
        <v>6329</v>
      </c>
      <c r="C141" s="879" t="s">
        <v>12</v>
      </c>
      <c r="D141" s="879"/>
      <c r="E141" s="875" t="s">
        <v>25</v>
      </c>
      <c r="F141" s="780"/>
      <c r="G141" s="982">
        <v>100</v>
      </c>
      <c r="H141" s="1008"/>
      <c r="I141" s="1063"/>
      <c r="J141" s="613"/>
      <c r="K141" s="982"/>
      <c r="L141" s="622"/>
      <c r="M141" s="982"/>
      <c r="N141" s="622"/>
      <c r="O141" s="1063"/>
      <c r="P141" s="622"/>
      <c r="Q141" s="982"/>
      <c r="R141" s="861"/>
    </row>
    <row r="142" spans="1:42" s="224" customFormat="1" ht="15" customHeight="1" x14ac:dyDescent="0.25">
      <c r="A142" s="247">
        <v>45832</v>
      </c>
      <c r="B142" s="1275" t="s">
        <v>32</v>
      </c>
      <c r="C142" s="1276" t="s">
        <v>12</v>
      </c>
      <c r="D142" s="1276" t="s">
        <v>1485</v>
      </c>
      <c r="E142" s="1286" t="s">
        <v>13</v>
      </c>
      <c r="F142" s="780">
        <v>23</v>
      </c>
      <c r="G142" s="967"/>
      <c r="H142" s="1008"/>
      <c r="I142" s="1063"/>
      <c r="J142" s="613"/>
      <c r="K142" s="6"/>
      <c r="L142" s="622"/>
      <c r="M142" s="982"/>
      <c r="N142" s="622"/>
      <c r="O142" s="1063"/>
      <c r="P142" s="613"/>
      <c r="Q142" s="982"/>
      <c r="R142" s="2641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</row>
    <row r="143" spans="1:42" s="224" customFormat="1" ht="15" customHeight="1" x14ac:dyDescent="0.25">
      <c r="A143" s="247">
        <v>45832</v>
      </c>
      <c r="B143" s="882" t="s">
        <v>2629</v>
      </c>
      <c r="C143" s="879" t="s">
        <v>12</v>
      </c>
      <c r="D143" s="879" t="s">
        <v>1489</v>
      </c>
      <c r="E143" s="871" t="s">
        <v>13</v>
      </c>
      <c r="F143" s="780">
        <v>7.45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22"/>
      <c r="Q143" s="982"/>
      <c r="R143" s="861"/>
    </row>
    <row r="144" spans="1:42" s="224" customFormat="1" ht="15" customHeight="1" x14ac:dyDescent="0.25">
      <c r="A144" s="247">
        <v>45833</v>
      </c>
      <c r="B144" s="1275" t="s">
        <v>32</v>
      </c>
      <c r="C144" s="1276" t="s">
        <v>12</v>
      </c>
      <c r="D144" s="1276" t="s">
        <v>1485</v>
      </c>
      <c r="E144" s="1286" t="s">
        <v>13</v>
      </c>
      <c r="F144" s="780">
        <v>23</v>
      </c>
      <c r="G144" s="967"/>
      <c r="H144" s="1008"/>
      <c r="I144" s="1063"/>
      <c r="J144" s="613"/>
      <c r="K144" s="6"/>
      <c r="L144" s="622"/>
      <c r="M144" s="982"/>
      <c r="N144" s="622"/>
      <c r="O144" s="1063"/>
      <c r="P144" s="613"/>
      <c r="Q144" s="982"/>
      <c r="R144" s="2641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</row>
    <row r="145" spans="1:42" s="224" customFormat="1" ht="15" customHeight="1" x14ac:dyDescent="0.25">
      <c r="A145" s="247">
        <v>45833</v>
      </c>
      <c r="B145" s="882" t="s">
        <v>14</v>
      </c>
      <c r="C145" s="1276" t="s">
        <v>12</v>
      </c>
      <c r="D145" s="879" t="s">
        <v>1486</v>
      </c>
      <c r="E145" s="875" t="s">
        <v>13</v>
      </c>
      <c r="F145" s="780">
        <v>25.09</v>
      </c>
      <c r="G145" s="982"/>
      <c r="H145" s="1008"/>
      <c r="I145" s="1063"/>
      <c r="J145" s="613"/>
      <c r="K145" s="982"/>
      <c r="L145" s="622"/>
      <c r="M145" s="982"/>
      <c r="N145" s="622"/>
      <c r="O145" s="1063"/>
      <c r="P145" s="622"/>
      <c r="Q145" s="982"/>
      <c r="R145" s="861"/>
    </row>
    <row r="146" spans="1:42" s="224" customFormat="1" ht="15" customHeight="1" x14ac:dyDescent="0.25">
      <c r="A146" s="247">
        <v>45833</v>
      </c>
      <c r="B146" s="1275" t="s">
        <v>8030</v>
      </c>
      <c r="C146" s="1276" t="s">
        <v>12</v>
      </c>
      <c r="D146" s="1276"/>
      <c r="E146" s="1286" t="s">
        <v>13</v>
      </c>
      <c r="F146" s="613">
        <v>60.89</v>
      </c>
      <c r="G146" s="967"/>
      <c r="H146" s="1008"/>
      <c r="I146" s="1063"/>
      <c r="J146" s="613"/>
      <c r="K146" s="6"/>
      <c r="L146" s="622"/>
      <c r="M146" s="982"/>
      <c r="N146" s="622"/>
      <c r="O146" s="1063"/>
      <c r="P146" s="613"/>
      <c r="Q146" s="64"/>
      <c r="R146" s="1024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</row>
    <row r="147" spans="1:42" s="224" customFormat="1" ht="15" customHeight="1" x14ac:dyDescent="0.25">
      <c r="A147" s="247">
        <v>45833</v>
      </c>
      <c r="B147" s="1275" t="s">
        <v>6755</v>
      </c>
      <c r="C147" s="1276" t="s">
        <v>12</v>
      </c>
      <c r="D147" s="1276"/>
      <c r="E147" s="1286"/>
      <c r="F147" s="613"/>
      <c r="G147" s="967">
        <v>60.89</v>
      </c>
      <c r="H147" s="1008"/>
      <c r="I147" s="1063"/>
      <c r="J147" s="613"/>
      <c r="K147" s="6"/>
      <c r="L147" s="622"/>
      <c r="M147" s="982"/>
      <c r="N147" s="622"/>
      <c r="O147" s="1063"/>
      <c r="P147" s="613"/>
      <c r="Q147" s="64"/>
      <c r="R147" s="1024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</row>
    <row r="148" spans="1:42" s="224" customFormat="1" ht="15" customHeight="1" x14ac:dyDescent="0.25">
      <c r="A148" s="247">
        <v>45834</v>
      </c>
      <c r="B148" s="882" t="s">
        <v>6258</v>
      </c>
      <c r="C148" s="879" t="s">
        <v>12</v>
      </c>
      <c r="D148" s="879"/>
      <c r="E148" s="875" t="s">
        <v>13</v>
      </c>
      <c r="F148" s="780"/>
      <c r="G148" s="982">
        <v>600</v>
      </c>
      <c r="H148" s="1008"/>
      <c r="I148" s="1063"/>
      <c r="J148" s="622">
        <v>600</v>
      </c>
      <c r="K148" s="982"/>
      <c r="L148" s="622"/>
      <c r="M148" s="982"/>
      <c r="N148" s="622"/>
      <c r="O148" s="1063"/>
      <c r="P148" s="622"/>
      <c r="Q148" s="982"/>
      <c r="R148" s="941"/>
    </row>
    <row r="149" spans="1:42" s="224" customFormat="1" ht="15" customHeight="1" x14ac:dyDescent="0.25">
      <c r="A149" s="247">
        <v>45834</v>
      </c>
      <c r="B149" s="882" t="s">
        <v>8069</v>
      </c>
      <c r="C149" s="879" t="s">
        <v>12</v>
      </c>
      <c r="D149" s="879" t="s">
        <v>1524</v>
      </c>
      <c r="E149" s="871" t="s">
        <v>13</v>
      </c>
      <c r="F149" s="780">
        <v>600</v>
      </c>
      <c r="G149" s="982"/>
      <c r="H149" s="622"/>
      <c r="I149" s="982"/>
      <c r="J149" s="872"/>
      <c r="K149" s="1207"/>
      <c r="L149" s="622"/>
      <c r="M149" s="982"/>
      <c r="N149" s="622"/>
      <c r="O149" s="1063"/>
      <c r="P149" s="622"/>
      <c r="Q149" s="982"/>
      <c r="R149" s="1028"/>
      <c r="S149" s="959"/>
      <c r="T149" s="878"/>
      <c r="U149" s="958"/>
    </row>
    <row r="150" spans="1:42" s="224" customFormat="1" ht="15" customHeight="1" x14ac:dyDescent="0.25">
      <c r="A150" s="247">
        <v>45834</v>
      </c>
      <c r="B150" s="1275" t="s">
        <v>32</v>
      </c>
      <c r="C150" s="1276" t="s">
        <v>12</v>
      </c>
      <c r="D150" s="1276" t="s">
        <v>1485</v>
      </c>
      <c r="E150" s="1286" t="s">
        <v>13</v>
      </c>
      <c r="F150" s="780">
        <v>23</v>
      </c>
      <c r="G150" s="967"/>
      <c r="H150" s="1008"/>
      <c r="I150" s="1063"/>
      <c r="J150" s="613"/>
      <c r="K150" s="6"/>
      <c r="L150" s="622"/>
      <c r="M150" s="982"/>
      <c r="N150" s="622"/>
      <c r="O150" s="1063"/>
      <c r="P150" s="613"/>
      <c r="Q150" s="982"/>
      <c r="R150" s="2641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</row>
    <row r="151" spans="1:42" s="224" customFormat="1" ht="15" customHeight="1" x14ac:dyDescent="0.25">
      <c r="A151" s="247">
        <v>45834</v>
      </c>
      <c r="B151" s="882" t="s">
        <v>14</v>
      </c>
      <c r="C151" s="1276" t="s">
        <v>12</v>
      </c>
      <c r="D151" s="879" t="s">
        <v>1486</v>
      </c>
      <c r="E151" s="875" t="s">
        <v>13</v>
      </c>
      <c r="F151" s="780">
        <v>5.35</v>
      </c>
      <c r="G151" s="982"/>
      <c r="H151" s="622"/>
      <c r="I151" s="982"/>
      <c r="J151" s="1116"/>
      <c r="K151" s="1207"/>
      <c r="L151" s="622"/>
      <c r="M151" s="982"/>
      <c r="N151" s="622"/>
      <c r="O151" s="1063"/>
      <c r="P151" s="880"/>
      <c r="Q151" s="1033"/>
      <c r="R151" s="927"/>
      <c r="T151" s="878"/>
    </row>
    <row r="152" spans="1:42" s="224" customFormat="1" ht="15" customHeight="1" x14ac:dyDescent="0.25">
      <c r="A152" s="247">
        <v>45835</v>
      </c>
      <c r="B152" s="882"/>
      <c r="C152" s="879"/>
      <c r="D152" s="879"/>
      <c r="E152" s="871"/>
      <c r="F152" s="780"/>
      <c r="G152" s="982"/>
      <c r="H152" s="95"/>
      <c r="I152" s="1064"/>
      <c r="J152" s="613"/>
      <c r="K152" s="6"/>
      <c r="L152" s="622"/>
      <c r="M152" s="982"/>
      <c r="N152" s="622"/>
      <c r="O152" s="1063"/>
      <c r="P152" s="1110"/>
      <c r="Q152" s="1208"/>
      <c r="R152" s="1028"/>
      <c r="U152" s="958"/>
    </row>
    <row r="153" spans="1:42" s="224" customFormat="1" ht="15" customHeight="1" x14ac:dyDescent="0.25">
      <c r="A153" s="247">
        <v>45836</v>
      </c>
      <c r="B153" s="882" t="s">
        <v>14</v>
      </c>
      <c r="C153" s="1276" t="s">
        <v>12</v>
      </c>
      <c r="D153" s="879" t="s">
        <v>1486</v>
      </c>
      <c r="E153" s="875" t="s">
        <v>13</v>
      </c>
      <c r="F153" s="780">
        <v>5.61</v>
      </c>
      <c r="G153" s="982"/>
      <c r="H153" s="622"/>
      <c r="I153" s="982"/>
      <c r="J153" s="1116"/>
      <c r="K153" s="1207"/>
      <c r="L153" s="622"/>
      <c r="M153" s="982"/>
      <c r="N153" s="622"/>
      <c r="O153" s="1063"/>
      <c r="P153" s="880"/>
      <c r="Q153" s="1033"/>
      <c r="R153" s="927"/>
      <c r="T153" s="878"/>
    </row>
    <row r="154" spans="1:42" s="224" customFormat="1" ht="15" customHeight="1" x14ac:dyDescent="0.25">
      <c r="A154" s="247">
        <v>45836</v>
      </c>
      <c r="B154" s="882" t="s">
        <v>1906</v>
      </c>
      <c r="C154" s="879" t="s">
        <v>12</v>
      </c>
      <c r="D154" s="879" t="s">
        <v>1493</v>
      </c>
      <c r="E154" s="871" t="s">
        <v>13</v>
      </c>
      <c r="F154" s="780">
        <v>13</v>
      </c>
      <c r="G154" s="982"/>
      <c r="H154" s="95"/>
      <c r="I154" s="1064"/>
      <c r="J154" s="622"/>
      <c r="K154" s="982"/>
      <c r="L154" s="622"/>
      <c r="M154" s="982"/>
      <c r="N154" s="622"/>
      <c r="O154" s="1063"/>
      <c r="P154" s="622"/>
      <c r="Q154" s="982"/>
      <c r="R154" s="1028"/>
      <c r="U154" s="958"/>
    </row>
    <row r="155" spans="1:42" s="224" customFormat="1" ht="15" customHeight="1" x14ac:dyDescent="0.25">
      <c r="A155" s="247">
        <v>45836</v>
      </c>
      <c r="B155" s="882" t="s">
        <v>8033</v>
      </c>
      <c r="C155" s="879" t="s">
        <v>12</v>
      </c>
      <c r="D155" s="879" t="s">
        <v>1493</v>
      </c>
      <c r="E155" s="875" t="s">
        <v>13</v>
      </c>
      <c r="F155" s="780">
        <v>7</v>
      </c>
      <c r="G155" s="982"/>
      <c r="H155" s="622"/>
      <c r="I155" s="982"/>
      <c r="J155" s="872"/>
      <c r="K155" s="1207"/>
      <c r="L155" s="622"/>
      <c r="M155" s="982"/>
      <c r="N155" s="622"/>
      <c r="O155" s="1063"/>
      <c r="P155" s="622"/>
      <c r="Q155" s="982"/>
      <c r="R155" s="1028"/>
      <c r="S155" s="959"/>
      <c r="T155" s="878"/>
      <c r="U155" s="958"/>
    </row>
    <row r="156" spans="1:42" s="224" customFormat="1" ht="15" customHeight="1" x14ac:dyDescent="0.25">
      <c r="A156" s="247">
        <v>45836</v>
      </c>
      <c r="B156" s="882" t="s">
        <v>690</v>
      </c>
      <c r="C156" s="879" t="s">
        <v>12</v>
      </c>
      <c r="D156" s="879" t="s">
        <v>1493</v>
      </c>
      <c r="E156" s="875" t="s">
        <v>13</v>
      </c>
      <c r="F156" s="780">
        <v>12</v>
      </c>
      <c r="G156" s="982"/>
      <c r="H156" s="622"/>
      <c r="I156" s="982"/>
      <c r="J156" s="872"/>
      <c r="K156" s="1207"/>
      <c r="L156" s="622"/>
      <c r="M156" s="982"/>
      <c r="N156" s="622"/>
      <c r="O156" s="1063"/>
      <c r="P156" s="622"/>
      <c r="Q156" s="982"/>
      <c r="R156" s="1028"/>
      <c r="S156" s="959"/>
      <c r="T156" s="878"/>
      <c r="U156" s="958"/>
    </row>
    <row r="157" spans="1:42" s="224" customFormat="1" ht="15" customHeight="1" x14ac:dyDescent="0.25">
      <c r="A157" s="247">
        <v>45837</v>
      </c>
      <c r="B157" s="882" t="s">
        <v>14</v>
      </c>
      <c r="C157" s="1276" t="s">
        <v>12</v>
      </c>
      <c r="D157" s="879" t="s">
        <v>1486</v>
      </c>
      <c r="E157" s="875" t="s">
        <v>13</v>
      </c>
      <c r="F157" s="780">
        <v>13.21</v>
      </c>
      <c r="G157" s="982"/>
      <c r="H157" s="622"/>
      <c r="I157" s="982"/>
      <c r="J157" s="1116"/>
      <c r="K157" s="1207"/>
      <c r="L157" s="622"/>
      <c r="M157" s="982"/>
      <c r="N157" s="622"/>
      <c r="O157" s="1063"/>
      <c r="P157" s="880"/>
      <c r="Q157" s="1033"/>
      <c r="R157" s="927"/>
      <c r="T157" s="878"/>
    </row>
    <row r="158" spans="1:42" s="224" customFormat="1" ht="15" customHeight="1" x14ac:dyDescent="0.25">
      <c r="A158" s="247">
        <v>45837</v>
      </c>
      <c r="B158" s="882" t="s">
        <v>50</v>
      </c>
      <c r="C158" s="879" t="s">
        <v>12</v>
      </c>
      <c r="D158" s="879" t="s">
        <v>1493</v>
      </c>
      <c r="E158" s="875" t="s">
        <v>13</v>
      </c>
      <c r="F158" s="780">
        <v>11.47</v>
      </c>
      <c r="G158" s="982"/>
      <c r="H158" s="622"/>
      <c r="I158" s="982"/>
      <c r="J158" s="622"/>
      <c r="K158" s="982"/>
      <c r="L158" s="622"/>
      <c r="M158" s="982"/>
      <c r="N158" s="880"/>
      <c r="O158" s="1525"/>
      <c r="P158" s="613"/>
      <c r="Q158" s="162"/>
      <c r="R158" s="1956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customHeight="1" x14ac:dyDescent="0.25">
      <c r="A159" s="247">
        <v>45837</v>
      </c>
      <c r="B159" s="882" t="s">
        <v>14</v>
      </c>
      <c r="C159" s="1276" t="s">
        <v>12</v>
      </c>
      <c r="D159" s="879" t="s">
        <v>1486</v>
      </c>
      <c r="E159" s="875" t="s">
        <v>13</v>
      </c>
      <c r="F159" s="780">
        <v>10.48</v>
      </c>
      <c r="G159" s="982"/>
      <c r="H159" s="622"/>
      <c r="I159" s="982"/>
      <c r="J159" s="622"/>
      <c r="K159" s="982"/>
      <c r="L159" s="622"/>
      <c r="M159" s="982"/>
      <c r="N159" s="880"/>
      <c r="O159" s="1525"/>
      <c r="P159" s="613"/>
      <c r="Q159" s="162"/>
      <c r="R159" s="1956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45838</v>
      </c>
      <c r="B160" s="882" t="s">
        <v>6258</v>
      </c>
      <c r="C160" s="879" t="s">
        <v>12</v>
      </c>
      <c r="D160" s="879"/>
      <c r="E160" s="875" t="s">
        <v>13</v>
      </c>
      <c r="F160" s="780"/>
      <c r="G160" s="982">
        <v>600</v>
      </c>
      <c r="H160" s="1008"/>
      <c r="I160" s="1063"/>
      <c r="J160" s="622">
        <v>600</v>
      </c>
      <c r="K160" s="982"/>
      <c r="L160" s="622"/>
      <c r="M160" s="982"/>
      <c r="N160" s="622"/>
      <c r="O160" s="1063"/>
      <c r="P160" s="622"/>
      <c r="Q160" s="982"/>
      <c r="R160" s="941"/>
    </row>
    <row r="161" spans="1:42" s="224" customFormat="1" ht="15" customHeight="1" x14ac:dyDescent="0.25">
      <c r="A161" s="247">
        <v>45838</v>
      </c>
      <c r="B161" s="882" t="s">
        <v>8070</v>
      </c>
      <c r="C161" s="879" t="s">
        <v>12</v>
      </c>
      <c r="D161" s="879" t="s">
        <v>1524</v>
      </c>
      <c r="E161" s="871" t="s">
        <v>13</v>
      </c>
      <c r="F161" s="780">
        <v>600</v>
      </c>
      <c r="G161" s="982"/>
      <c r="H161" s="622"/>
      <c r="I161" s="982"/>
      <c r="J161" s="872"/>
      <c r="K161" s="1207"/>
      <c r="L161" s="622"/>
      <c r="M161" s="982"/>
      <c r="N161" s="622"/>
      <c r="O161" s="1063"/>
      <c r="P161" s="622"/>
      <c r="Q161" s="982"/>
      <c r="R161" s="1028"/>
      <c r="S161" s="959"/>
      <c r="T161" s="878"/>
      <c r="U161" s="958"/>
    </row>
    <row r="162" spans="1:42" s="224" customFormat="1" ht="15" customHeight="1" x14ac:dyDescent="0.25">
      <c r="A162" s="247">
        <v>45838</v>
      </c>
      <c r="B162" s="1275" t="s">
        <v>32</v>
      </c>
      <c r="C162" s="1276" t="s">
        <v>12</v>
      </c>
      <c r="D162" s="1276" t="s">
        <v>1485</v>
      </c>
      <c r="E162" s="1286" t="s">
        <v>13</v>
      </c>
      <c r="F162" s="780">
        <v>23</v>
      </c>
      <c r="G162" s="967"/>
      <c r="H162" s="1008"/>
      <c r="I162" s="1063"/>
      <c r="J162" s="613"/>
      <c r="K162" s="6"/>
      <c r="L162" s="622"/>
      <c r="M162" s="982"/>
      <c r="N162" s="622"/>
      <c r="O162" s="1063"/>
      <c r="P162" s="613"/>
      <c r="Q162" s="982"/>
      <c r="R162" s="2641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45838</v>
      </c>
      <c r="B163" s="882" t="s">
        <v>14</v>
      </c>
      <c r="C163" s="1276" t="s">
        <v>12</v>
      </c>
      <c r="D163" s="879" t="s">
        <v>1486</v>
      </c>
      <c r="E163" s="875" t="s">
        <v>13</v>
      </c>
      <c r="F163" s="780">
        <v>13.43</v>
      </c>
      <c r="G163" s="982"/>
      <c r="H163" s="1008"/>
      <c r="I163" s="1063"/>
      <c r="J163" s="1116"/>
      <c r="K163" s="1207"/>
      <c r="L163" s="622"/>
      <c r="M163" s="982"/>
      <c r="N163" s="622"/>
      <c r="O163" s="1063"/>
      <c r="P163" s="622"/>
      <c r="Q163" s="982"/>
      <c r="R163" s="861"/>
      <c r="T163" s="1035"/>
    </row>
    <row r="164" spans="1:42" s="224" customFormat="1" ht="15" customHeight="1" x14ac:dyDescent="0.25">
      <c r="A164" s="247">
        <v>45838</v>
      </c>
      <c r="B164" s="882" t="s">
        <v>8037</v>
      </c>
      <c r="C164" s="1276" t="s">
        <v>12</v>
      </c>
      <c r="D164" s="879" t="s">
        <v>1489</v>
      </c>
      <c r="E164" s="875" t="s">
        <v>13</v>
      </c>
      <c r="F164" s="780">
        <v>8</v>
      </c>
      <c r="G164" s="982"/>
      <c r="H164" s="1008"/>
      <c r="I164" s="1063"/>
      <c r="J164" s="1116"/>
      <c r="K164" s="1207"/>
      <c r="L164" s="622"/>
      <c r="M164" s="982"/>
      <c r="N164" s="622"/>
      <c r="O164" s="1063"/>
      <c r="P164" s="622"/>
      <c r="Q164" s="982"/>
      <c r="R164" s="861"/>
      <c r="T164" s="1035"/>
    </row>
    <row r="165" spans="1:42" s="224" customFormat="1" ht="15" customHeight="1" thickBot="1" x14ac:dyDescent="0.3">
      <c r="A165" s="247">
        <v>45838</v>
      </c>
      <c r="B165" s="349" t="s">
        <v>6168</v>
      </c>
      <c r="C165" s="350" t="s">
        <v>12</v>
      </c>
      <c r="D165" s="350"/>
      <c r="E165" s="480" t="s">
        <v>25</v>
      </c>
      <c r="F165" s="2551"/>
      <c r="G165" s="1522"/>
      <c r="H165" s="95"/>
      <c r="I165" s="2096"/>
      <c r="J165" s="622"/>
      <c r="K165" s="2096">
        <v>67.7</v>
      </c>
      <c r="L165" s="622"/>
      <c r="M165" s="2556"/>
      <c r="N165" s="622"/>
      <c r="O165" s="2096">
        <v>86.75</v>
      </c>
      <c r="P165" s="622"/>
      <c r="Q165" s="982"/>
      <c r="R165" s="2585">
        <f>I165+K165+M165+O165</f>
        <v>154.44999999999999</v>
      </c>
      <c r="T165" s="927"/>
      <c r="U165" s="999"/>
    </row>
    <row r="166" spans="1:42" ht="25.5" customHeight="1" thickBot="1" x14ac:dyDescent="0.3">
      <c r="A166" s="3060"/>
      <c r="B166" s="3061"/>
      <c r="C166" s="3062"/>
      <c r="D166" s="3062"/>
      <c r="E166" s="3062"/>
      <c r="F166" s="1023">
        <f>SUM(F6:F165)</f>
        <v>15770.105642857148</v>
      </c>
      <c r="G166" s="1065">
        <f>SUM(G5:G165)</f>
        <v>16756.492250000061</v>
      </c>
      <c r="H166" s="517">
        <f>SUM(H6:H165)</f>
        <v>0</v>
      </c>
      <c r="I166" s="93">
        <f>SUM(I5:I165)</f>
        <v>-4.0000000010422809E-3</v>
      </c>
      <c r="J166" s="517">
        <f>SUM(J6:J165)</f>
        <v>6900.48</v>
      </c>
      <c r="K166" s="93">
        <f>SUM(K5:K165)</f>
        <v>11294.100000000002</v>
      </c>
      <c r="L166" s="1023">
        <f>SUM(L6:L165)</f>
        <v>0</v>
      </c>
      <c r="M166" s="93">
        <f>SUM(M5:M165)</f>
        <v>0</v>
      </c>
      <c r="N166" s="1023">
        <f>SUM(N6:N165)</f>
        <v>2400</v>
      </c>
      <c r="O166" s="93">
        <f>SUM(O5:O165)</f>
        <v>9694.9700000000012</v>
      </c>
      <c r="P166" s="1023">
        <f>SUM(P6:P165)</f>
        <v>0</v>
      </c>
      <c r="Q166" s="93">
        <f>SUM(Q5:Q165)</f>
        <v>34082.925984720008</v>
      </c>
      <c r="S166" s="216"/>
    </row>
    <row r="167" spans="1:42" ht="25.5" customHeight="1" thickBot="1" x14ac:dyDescent="0.3">
      <c r="A167" s="3063" t="s">
        <v>49</v>
      </c>
      <c r="B167" s="3064"/>
      <c r="C167" s="3064"/>
      <c r="D167" s="3064"/>
      <c r="E167" s="3064"/>
      <c r="F167" s="2046" t="s">
        <v>280</v>
      </c>
      <c r="G167" s="1066">
        <f>G166-F166</f>
        <v>986.38660714291291</v>
      </c>
      <c r="H167" s="1221"/>
      <c r="I167" s="772">
        <f>I166-H166</f>
        <v>-4.0000000010422809E-3</v>
      </c>
      <c r="J167" s="1221"/>
      <c r="K167" s="772">
        <f>K166-J166</f>
        <v>4393.6200000000026</v>
      </c>
      <c r="L167" s="1222"/>
      <c r="M167" s="772">
        <f>M166-L166</f>
        <v>0</v>
      </c>
      <c r="N167" s="1222"/>
      <c r="O167" s="772">
        <f>O166-N166</f>
        <v>7294.9700000000012</v>
      </c>
      <c r="P167" s="1222"/>
      <c r="Q167" s="772">
        <f>Q166-P166</f>
        <v>34082.925984720008</v>
      </c>
      <c r="R167" s="484">
        <f>M167+O167+Q167</f>
        <v>41377.895984720009</v>
      </c>
    </row>
    <row r="168" spans="1:42" x14ac:dyDescent="0.25">
      <c r="J168" s="1210"/>
      <c r="K168" s="1038"/>
      <c r="M168" s="1238">
        <f>M167/R167</f>
        <v>0</v>
      </c>
      <c r="O168" s="1238">
        <f>O167/R167</f>
        <v>0.17630113437120826</v>
      </c>
      <c r="P168" s="1239"/>
      <c r="Q168" s="1239">
        <f>Q167/R167</f>
        <v>0.82369886562879169</v>
      </c>
      <c r="R168" s="867"/>
      <c r="S168" s="867"/>
      <c r="T168" s="79"/>
      <c r="W168" s="518"/>
      <c r="X168" s="216"/>
      <c r="Z168" s="877"/>
    </row>
    <row r="169" spans="1:42" x14ac:dyDescent="0.25">
      <c r="B169" s="81" t="s">
        <v>3</v>
      </c>
      <c r="C169" s="193" t="s">
        <v>1484</v>
      </c>
      <c r="D169" s="970" t="s">
        <v>2378</v>
      </c>
      <c r="E169" s="193" t="s">
        <v>3216</v>
      </c>
      <c r="F169" s="1061" t="s">
        <v>3217</v>
      </c>
      <c r="G169" s="216"/>
      <c r="I169" s="216"/>
      <c r="J169" s="1038"/>
      <c r="K169" s="216"/>
      <c r="M169" s="866"/>
      <c r="O169" s="866"/>
      <c r="P169" s="1038"/>
      <c r="Q169" s="1038"/>
      <c r="R169" s="865"/>
      <c r="S169" s="867"/>
    </row>
    <row r="170" spans="1:42" x14ac:dyDescent="0.25">
      <c r="B170" s="79" t="s">
        <v>32</v>
      </c>
      <c r="C170" s="85" t="s">
        <v>1485</v>
      </c>
      <c r="D170" s="475">
        <f t="shared" ref="D170:D186" si="0">SUMIF($D$7:$D$165,C170,$F$7:$F$165)</f>
        <v>343</v>
      </c>
      <c r="E170" s="1202">
        <f>D170/$K$190</f>
        <v>11.433333333333334</v>
      </c>
      <c r="F170" s="1203">
        <f t="shared" ref="F170:F186" si="1">E170/$E$191</f>
        <v>6.4516129032258063E-2</v>
      </c>
      <c r="G170" s="800"/>
      <c r="I170" s="769"/>
      <c r="J170" s="1038"/>
      <c r="K170" s="1225"/>
      <c r="M170" s="886"/>
      <c r="O170" s="886"/>
      <c r="P170" s="886"/>
      <c r="Q170" s="1038">
        <v>24197.98</v>
      </c>
      <c r="R170" s="1038" t="s">
        <v>6378</v>
      </c>
      <c r="S170" s="1210"/>
      <c r="U170" s="1201"/>
      <c r="V170" s="877"/>
    </row>
    <row r="171" spans="1:42" x14ac:dyDescent="0.25">
      <c r="B171" s="79" t="s">
        <v>2187</v>
      </c>
      <c r="C171" s="85" t="s">
        <v>2157</v>
      </c>
      <c r="D171" s="475">
        <f t="shared" si="0"/>
        <v>0</v>
      </c>
      <c r="E171" s="1202">
        <f t="shared" ref="E171:E186" si="2">D171/$K$190</f>
        <v>0</v>
      </c>
      <c r="F171" s="1203">
        <f t="shared" si="1"/>
        <v>0</v>
      </c>
      <c r="G171" s="609"/>
      <c r="J171" s="2125"/>
      <c r="K171" s="1129"/>
      <c r="M171" s="1210"/>
      <c r="O171" s="1038"/>
      <c r="P171" s="1210"/>
      <c r="Q171" s="1210">
        <f>Q167+Q170</f>
        <v>58280.905984720011</v>
      </c>
      <c r="R171" s="1038" t="s">
        <v>6379</v>
      </c>
      <c r="U171" s="877"/>
      <c r="V171" s="877"/>
    </row>
    <row r="172" spans="1:42" s="85" customFormat="1" x14ac:dyDescent="0.25">
      <c r="A172" s="79"/>
      <c r="B172" s="79" t="s">
        <v>50</v>
      </c>
      <c r="C172" s="85" t="s">
        <v>1493</v>
      </c>
      <c r="D172" s="475">
        <f t="shared" si="0"/>
        <v>392.88000000000005</v>
      </c>
      <c r="E172" s="1202">
        <f t="shared" si="2"/>
        <v>13.096000000000002</v>
      </c>
      <c r="F172" s="1203">
        <f t="shared" si="1"/>
        <v>7.3898241324179451E-2</v>
      </c>
      <c r="J172" s="1210"/>
      <c r="K172" s="1038"/>
      <c r="M172" s="941"/>
      <c r="N172" s="877"/>
      <c r="O172" s="863"/>
      <c r="Q172" s="79"/>
      <c r="R172" s="177"/>
      <c r="U172" s="877"/>
      <c r="V172" s="877"/>
    </row>
    <row r="173" spans="1:42" s="85" customFormat="1" x14ac:dyDescent="0.25">
      <c r="A173" s="79"/>
      <c r="B173" s="79" t="s">
        <v>14</v>
      </c>
      <c r="C173" s="85" t="s">
        <v>1486</v>
      </c>
      <c r="D173" s="475">
        <f t="shared" si="0"/>
        <v>269.43</v>
      </c>
      <c r="E173" s="1202">
        <f t="shared" si="2"/>
        <v>8.9809999999999999</v>
      </c>
      <c r="F173" s="1203">
        <f t="shared" si="1"/>
        <v>5.0678077682685979E-2</v>
      </c>
      <c r="G173" s="79"/>
      <c r="H173" s="79"/>
      <c r="J173" s="1210"/>
      <c r="K173" s="1038"/>
      <c r="M173" s="1028"/>
      <c r="N173" s="877"/>
      <c r="O173" s="1038"/>
      <c r="R173" s="177"/>
      <c r="U173" s="877"/>
      <c r="V173" s="877"/>
    </row>
    <row r="174" spans="1:42" s="85" customFormat="1" x14ac:dyDescent="0.25">
      <c r="B174" s="79" t="s">
        <v>51</v>
      </c>
      <c r="C174" s="864" t="s">
        <v>1499</v>
      </c>
      <c r="D174" s="475">
        <f t="shared" si="0"/>
        <v>125.73</v>
      </c>
      <c r="E174" s="1202">
        <f t="shared" si="2"/>
        <v>4.1909999999999998</v>
      </c>
      <c r="F174" s="1203">
        <f t="shared" si="1"/>
        <v>2.3649017210570864E-2</v>
      </c>
      <c r="G174" s="79"/>
      <c r="H174" s="79"/>
      <c r="I174" s="79"/>
      <c r="J174" s="1210"/>
      <c r="K174" s="1038"/>
      <c r="M174" s="1028"/>
      <c r="N174" s="877"/>
      <c r="O174" s="1038"/>
      <c r="P174" s="1210"/>
      <c r="Q174" s="1038"/>
      <c r="R174" s="177"/>
      <c r="U174" s="877"/>
      <c r="V174" s="877"/>
    </row>
    <row r="175" spans="1:42" s="85" customFormat="1" x14ac:dyDescent="0.25">
      <c r="A175" s="79"/>
      <c r="B175" s="79" t="s">
        <v>2189</v>
      </c>
      <c r="C175" s="864" t="s">
        <v>1496</v>
      </c>
      <c r="D175" s="475">
        <f t="shared" si="0"/>
        <v>153.9</v>
      </c>
      <c r="E175" s="1202">
        <f t="shared" si="2"/>
        <v>5.13</v>
      </c>
      <c r="F175" s="1203">
        <f t="shared" si="1"/>
        <v>2.8947615912724534E-2</v>
      </c>
      <c r="G175" s="79"/>
      <c r="J175" s="1210"/>
      <c r="K175" s="1038"/>
      <c r="M175" s="877"/>
      <c r="O175" s="177"/>
      <c r="R175" s="177"/>
      <c r="U175" s="877"/>
      <c r="V175" s="877"/>
    </row>
    <row r="176" spans="1:42" s="85" customFormat="1" x14ac:dyDescent="0.25">
      <c r="A176" s="79"/>
      <c r="B176" s="867" t="s">
        <v>53</v>
      </c>
      <c r="C176" s="864" t="s">
        <v>1522</v>
      </c>
      <c r="D176" s="475">
        <f t="shared" si="0"/>
        <v>266.66666666666669</v>
      </c>
      <c r="E176" s="1202">
        <f t="shared" si="2"/>
        <v>8.8888888888888893</v>
      </c>
      <c r="F176" s="1203">
        <f t="shared" si="1"/>
        <v>5.0158312172795386E-2</v>
      </c>
      <c r="J176" s="1210"/>
      <c r="K176" s="1038"/>
      <c r="M176" s="1959"/>
      <c r="O176" s="177"/>
      <c r="P176" s="868"/>
      <c r="Q176" s="769"/>
      <c r="R176" s="79"/>
      <c r="U176" s="877"/>
      <c r="V176" s="877"/>
    </row>
    <row r="177" spans="1:24" s="85" customFormat="1" x14ac:dyDescent="0.25">
      <c r="A177" s="79"/>
      <c r="B177" s="79" t="s">
        <v>3048</v>
      </c>
      <c r="C177" s="864" t="s">
        <v>1523</v>
      </c>
      <c r="D177" s="475">
        <f t="shared" si="0"/>
        <v>82.92</v>
      </c>
      <c r="E177" s="1202">
        <f t="shared" si="2"/>
        <v>2.7640000000000002</v>
      </c>
      <c r="F177" s="1203">
        <f t="shared" si="1"/>
        <v>1.5596727170130727E-2</v>
      </c>
      <c r="G177" s="866"/>
      <c r="J177" s="1210"/>
      <c r="K177" s="1038"/>
      <c r="M177" s="877"/>
      <c r="O177" s="177"/>
      <c r="P177" s="866"/>
      <c r="Q177" s="1210"/>
      <c r="R177" s="877"/>
      <c r="U177" s="877"/>
      <c r="V177" s="877"/>
    </row>
    <row r="178" spans="1:24" s="85" customFormat="1" x14ac:dyDescent="0.25">
      <c r="A178" s="79"/>
      <c r="B178" s="79" t="s">
        <v>1686</v>
      </c>
      <c r="C178" s="864" t="s">
        <v>1506</v>
      </c>
      <c r="D178" s="475">
        <f t="shared" si="0"/>
        <v>151</v>
      </c>
      <c r="E178" s="1202">
        <f t="shared" si="2"/>
        <v>5.0333333333333332</v>
      </c>
      <c r="F178" s="1203">
        <f t="shared" si="1"/>
        <v>2.8402144267845385E-2</v>
      </c>
      <c r="G178" s="868"/>
      <c r="J178" s="1210"/>
      <c r="K178" s="1038"/>
      <c r="M178" s="877"/>
      <c r="O178" s="177"/>
      <c r="P178" s="1226"/>
      <c r="Q178" s="1129"/>
      <c r="R178" s="877"/>
      <c r="U178" s="877"/>
      <c r="V178" s="877"/>
    </row>
    <row r="179" spans="1:24" x14ac:dyDescent="0.25">
      <c r="B179" s="79" t="s">
        <v>418</v>
      </c>
      <c r="C179" s="85" t="s">
        <v>1524</v>
      </c>
      <c r="D179" s="475">
        <f t="shared" si="0"/>
        <v>6900.4806428571428</v>
      </c>
      <c r="E179" s="1202">
        <f t="shared" si="2"/>
        <v>230.01602142857143</v>
      </c>
      <c r="F179" s="1203">
        <f t="shared" si="1"/>
        <v>1.2979367333503513</v>
      </c>
      <c r="G179" s="85"/>
      <c r="H179" s="85"/>
      <c r="I179" s="85"/>
      <c r="J179" s="1210"/>
      <c r="K179" s="1038"/>
      <c r="L179" s="769"/>
      <c r="M179" s="877"/>
      <c r="N179" s="769"/>
      <c r="O179" s="216"/>
      <c r="P179" s="1038"/>
      <c r="Q179" s="1226"/>
      <c r="R179" s="877"/>
      <c r="U179" s="877"/>
      <c r="V179" s="877"/>
    </row>
    <row r="180" spans="1:24" x14ac:dyDescent="0.25">
      <c r="B180" s="79" t="s">
        <v>6732</v>
      </c>
      <c r="C180" s="85" t="s">
        <v>1491</v>
      </c>
      <c r="D180" s="475">
        <f t="shared" si="0"/>
        <v>933.98</v>
      </c>
      <c r="E180" s="1202">
        <f t="shared" si="2"/>
        <v>31.132666666666669</v>
      </c>
      <c r="F180" s="1203">
        <f t="shared" si="1"/>
        <v>0.17567572651180288</v>
      </c>
      <c r="I180" s="85"/>
      <c r="J180" s="1210"/>
      <c r="K180" s="1038"/>
      <c r="N180" s="216"/>
      <c r="O180" s="216"/>
      <c r="Q180" s="484"/>
      <c r="R180" s="877"/>
      <c r="U180" s="877"/>
      <c r="V180" s="877"/>
    </row>
    <row r="181" spans="1:24" x14ac:dyDescent="0.25">
      <c r="B181" s="79" t="s">
        <v>6733</v>
      </c>
      <c r="C181" s="85" t="s">
        <v>6731</v>
      </c>
      <c r="D181" s="475">
        <f t="shared" si="0"/>
        <v>408.3966666666667</v>
      </c>
      <c r="E181" s="1202">
        <f t="shared" si="2"/>
        <v>13.613222222222223</v>
      </c>
      <c r="F181" s="1203">
        <f t="shared" si="1"/>
        <v>7.6816828113733984E-2</v>
      </c>
      <c r="I181" s="85"/>
      <c r="J181" s="1210"/>
      <c r="K181" s="1038"/>
      <c r="N181" s="216"/>
      <c r="O181" s="216"/>
      <c r="Q181" s="484"/>
      <c r="R181" s="877"/>
      <c r="U181" s="877"/>
      <c r="V181" s="877"/>
    </row>
    <row r="182" spans="1:24" x14ac:dyDescent="0.25">
      <c r="B182" s="79" t="s">
        <v>5439</v>
      </c>
      <c r="C182" s="85" t="s">
        <v>1525</v>
      </c>
      <c r="D182" s="475">
        <f t="shared" si="0"/>
        <v>45</v>
      </c>
      <c r="E182" s="1202">
        <f t="shared" si="2"/>
        <v>1.5</v>
      </c>
      <c r="F182" s="1203">
        <f t="shared" si="1"/>
        <v>8.4642151791592211E-3</v>
      </c>
      <c r="J182" s="1210"/>
      <c r="K182" s="1038"/>
      <c r="O182" s="216"/>
      <c r="Q182" s="484"/>
      <c r="R182" s="1673"/>
      <c r="U182" s="877"/>
      <c r="V182" s="877"/>
    </row>
    <row r="183" spans="1:24" x14ac:dyDescent="0.25">
      <c r="B183" s="79" t="s">
        <v>1526</v>
      </c>
      <c r="C183" s="85" t="s">
        <v>1504</v>
      </c>
      <c r="D183" s="475">
        <f t="shared" si="0"/>
        <v>223.69666666666666</v>
      </c>
      <c r="E183" s="1202">
        <f t="shared" si="2"/>
        <v>7.4565555555555552</v>
      </c>
      <c r="F183" s="1203">
        <f t="shared" si="1"/>
        <v>4.2075927145051567E-2</v>
      </c>
      <c r="J183" s="1210"/>
      <c r="K183" s="1038"/>
      <c r="L183" s="769"/>
      <c r="N183" s="769"/>
      <c r="O183" s="886"/>
      <c r="P183" s="1210"/>
      <c r="Q183" s="1038"/>
      <c r="R183" s="1129"/>
      <c r="T183" s="1129"/>
      <c r="U183" s="877"/>
      <c r="V183" s="877"/>
    </row>
    <row r="184" spans="1:24" x14ac:dyDescent="0.25">
      <c r="B184" s="79" t="s">
        <v>2343</v>
      </c>
      <c r="C184" s="85" t="s">
        <v>2315</v>
      </c>
      <c r="D184" s="796">
        <f t="shared" si="0"/>
        <v>0</v>
      </c>
      <c r="E184" s="1202">
        <f t="shared" si="2"/>
        <v>0</v>
      </c>
      <c r="F184" s="1203">
        <f t="shared" si="1"/>
        <v>0</v>
      </c>
      <c r="J184" s="1210"/>
      <c r="K184" s="1038"/>
      <c r="L184" s="769"/>
      <c r="M184" s="1210"/>
      <c r="N184" s="769"/>
      <c r="O184" s="1673"/>
      <c r="P184" s="1210"/>
      <c r="Q184" s="1038"/>
      <c r="R184" s="1129"/>
      <c r="T184" s="1129"/>
      <c r="U184" s="877"/>
      <c r="V184" s="877"/>
    </row>
    <row r="185" spans="1:24" x14ac:dyDescent="0.25">
      <c r="B185" s="79" t="s">
        <v>3019</v>
      </c>
      <c r="C185" s="85" t="s">
        <v>3017</v>
      </c>
      <c r="D185" s="796">
        <f t="shared" si="0"/>
        <v>0</v>
      </c>
      <c r="E185" s="1202">
        <f t="shared" si="2"/>
        <v>0</v>
      </c>
      <c r="F185" s="1203">
        <f t="shared" si="1"/>
        <v>0</v>
      </c>
      <c r="J185" s="1210"/>
      <c r="K185" s="1038"/>
      <c r="L185" s="769"/>
      <c r="N185" s="769"/>
      <c r="P185" s="941"/>
      <c r="Q185" s="224"/>
      <c r="R185" s="1226"/>
      <c r="S185" s="1129"/>
      <c r="T185" s="1129"/>
      <c r="U185" s="877"/>
      <c r="V185" s="877"/>
    </row>
    <row r="186" spans="1:24" ht="15.75" thickBot="1" x14ac:dyDescent="0.3">
      <c r="B186" s="301" t="s">
        <v>1527</v>
      </c>
      <c r="C186" s="2400" t="s">
        <v>1489</v>
      </c>
      <c r="D186" s="2401">
        <f t="shared" si="0"/>
        <v>2985.9049999999997</v>
      </c>
      <c r="E186" s="2402">
        <f t="shared" si="2"/>
        <v>99.530166666666659</v>
      </c>
      <c r="F186" s="2403">
        <f t="shared" si="1"/>
        <v>0.56162983165616476</v>
      </c>
      <c r="J186" s="1210"/>
      <c r="K186" s="1038"/>
      <c r="P186" s="1210"/>
      <c r="Q186" s="1038"/>
      <c r="R186" s="1226"/>
      <c r="S186" s="1129"/>
      <c r="T186" s="1129"/>
      <c r="U186" s="877"/>
      <c r="V186" s="877"/>
    </row>
    <row r="187" spans="1:24" x14ac:dyDescent="0.25">
      <c r="B187" s="1124" t="s">
        <v>6790</v>
      </c>
      <c r="C187" s="1124"/>
      <c r="D187" s="1125">
        <f>SUMIF($B$7:$B$165,"Crédito Gasolina",$G$7:$G$165)</f>
        <v>487.12</v>
      </c>
      <c r="E187" s="1138">
        <f>D187/K190</f>
        <v>16.237333333333332</v>
      </c>
      <c r="F187" s="1124"/>
      <c r="G187" s="1129"/>
      <c r="J187" s="2037"/>
      <c r="K187" s="629"/>
      <c r="P187" s="1210"/>
      <c r="Q187" s="1038"/>
      <c r="R187" s="1227"/>
      <c r="S187" s="1129"/>
      <c r="T187" s="1129"/>
      <c r="U187" s="877"/>
      <c r="V187" s="877"/>
    </row>
    <row r="188" spans="1:24" x14ac:dyDescent="0.25">
      <c r="B188" s="1124" t="s">
        <v>6329</v>
      </c>
      <c r="C188" s="1124"/>
      <c r="D188" s="1125">
        <f>SUMIF($B$7:$B$165,"Trabalho Art frutt",$G$7:$G$165)</f>
        <v>400</v>
      </c>
      <c r="E188" s="1138">
        <f>D188/K190</f>
        <v>13.333333333333334</v>
      </c>
      <c r="F188" s="1124"/>
      <c r="J188" s="2037"/>
      <c r="K188" s="629"/>
      <c r="P188" s="1210"/>
      <c r="Q188" s="1038"/>
      <c r="R188" s="1227"/>
      <c r="S188" s="1129"/>
      <c r="T188" s="1129"/>
      <c r="U188" s="877"/>
      <c r="V188" s="877"/>
    </row>
    <row r="189" spans="1:24" x14ac:dyDescent="0.25">
      <c r="B189" s="1124"/>
      <c r="C189" s="1124"/>
      <c r="D189" s="1125"/>
      <c r="E189" s="1138"/>
      <c r="F189" s="1124"/>
      <c r="J189" s="2037"/>
      <c r="K189" s="629"/>
      <c r="L189" s="459" t="s">
        <v>6481</v>
      </c>
      <c r="M189" s="2125" t="s">
        <v>6482</v>
      </c>
      <c r="P189" s="1210"/>
      <c r="Q189" s="1038"/>
      <c r="R189" s="1227"/>
      <c r="T189" s="1129"/>
      <c r="U189" s="877"/>
      <c r="V189" s="877"/>
    </row>
    <row r="190" spans="1:24" x14ac:dyDescent="0.25">
      <c r="C190" s="3168" t="s">
        <v>486</v>
      </c>
      <c r="D190" s="3168"/>
      <c r="E190" s="863">
        <f>J190/K190</f>
        <v>442.76618809523814</v>
      </c>
      <c r="G190" s="518" t="s">
        <v>487</v>
      </c>
      <c r="J190" s="629">
        <f>SUM(D170:D186)</f>
        <v>13282.985642857144</v>
      </c>
      <c r="K190" s="1517">
        <v>30</v>
      </c>
      <c r="L190" s="484">
        <f>5316.5+D188-J191</f>
        <v>-666.00500000000102</v>
      </c>
      <c r="N190" s="216"/>
      <c r="O190" s="1517"/>
      <c r="P190" s="1210"/>
      <c r="Q190" s="1038"/>
      <c r="R190" s="1226"/>
      <c r="S190" s="1129"/>
      <c r="T190" s="1129"/>
      <c r="U190" s="877"/>
      <c r="V190" s="877"/>
    </row>
    <row r="191" spans="1:24" ht="15.75" customHeight="1" x14ac:dyDescent="0.25">
      <c r="B191" s="3167" t="s">
        <v>7452</v>
      </c>
      <c r="C191" s="3167"/>
      <c r="D191" s="3167"/>
      <c r="E191" s="1125">
        <f>5316.5/30</f>
        <v>177.21666666666667</v>
      </c>
      <c r="G191" s="518" t="s">
        <v>6257</v>
      </c>
      <c r="J191" s="609">
        <f>J190-D179</f>
        <v>6382.505000000001</v>
      </c>
      <c r="K191" s="629"/>
      <c r="M191" s="868"/>
      <c r="O191" s="868"/>
      <c r="P191" s="1210"/>
      <c r="Q191" s="1038"/>
      <c r="R191" s="1226"/>
      <c r="S191" s="1129"/>
      <c r="T191" s="1129"/>
      <c r="U191" s="877"/>
      <c r="V191" s="877"/>
    </row>
    <row r="192" spans="1:24" x14ac:dyDescent="0.25">
      <c r="A192" s="518"/>
      <c r="C192" s="79"/>
      <c r="D192" s="79"/>
      <c r="E192" s="769"/>
      <c r="F192" s="866"/>
      <c r="G192" s="769"/>
      <c r="H192" s="866"/>
      <c r="I192" s="1210"/>
      <c r="J192" s="867"/>
      <c r="K192" s="866"/>
      <c r="L192" s="1038"/>
      <c r="M192" s="1210"/>
      <c r="N192" s="1038"/>
      <c r="O192" s="1210"/>
      <c r="P192" s="1210"/>
      <c r="Q192" s="1038"/>
      <c r="R192" s="769"/>
      <c r="S192" s="484" t="s">
        <v>280</v>
      </c>
      <c r="T192" s="216"/>
      <c r="U192" s="866"/>
      <c r="V192" s="484"/>
      <c r="X192" s="877"/>
    </row>
    <row r="193" spans="1:24" s="518" customFormat="1" x14ac:dyDescent="0.25">
      <c r="A193" s="79"/>
      <c r="B193" s="79"/>
      <c r="C193" s="79"/>
      <c r="D193" s="79"/>
      <c r="E193" s="1126">
        <f>E191-E190</f>
        <v>-265.54952142857144</v>
      </c>
      <c r="F193" s="1205">
        <f>SUM(F170:F192)</f>
        <v>2.4984455267294541</v>
      </c>
      <c r="G193" s="85"/>
      <c r="H193" s="85"/>
      <c r="I193" s="89"/>
      <c r="J193" s="1210"/>
      <c r="K193" s="754"/>
      <c r="L193" s="79"/>
      <c r="M193" s="79"/>
      <c r="N193" s="79"/>
      <c r="O193" s="79"/>
      <c r="P193" s="1210"/>
      <c r="Q193" s="1038"/>
      <c r="R193" s="79"/>
      <c r="S193" s="79"/>
      <c r="T193" s="866"/>
      <c r="U193" s="484"/>
      <c r="V193" s="79"/>
      <c r="W193" s="877"/>
      <c r="X193" s="79"/>
    </row>
    <row r="194" spans="1:24" s="518" customFormat="1" x14ac:dyDescent="0.25">
      <c r="A194" s="79"/>
      <c r="B194" s="79"/>
      <c r="C194" s="79"/>
      <c r="D194" s="79"/>
      <c r="E194" s="85"/>
      <c r="J194" s="1038"/>
      <c r="K194" s="1225"/>
      <c r="Q194" s="1038"/>
      <c r="R194" s="484"/>
      <c r="S194" s="79"/>
      <c r="T194" s="877"/>
      <c r="U194" s="79"/>
    </row>
    <row r="195" spans="1:24" s="518" customFormat="1" x14ac:dyDescent="0.25">
      <c r="A195" s="79"/>
      <c r="B195" s="1124" t="s">
        <v>6376</v>
      </c>
      <c r="C195" s="2125"/>
      <c r="D195" s="2219">
        <f>SUMIF($E$7:$E$165,"crédito",$G$7:$G$165)</f>
        <v>5879.23</v>
      </c>
      <c r="E195" s="85"/>
      <c r="F195" s="89"/>
      <c r="G195" s="79"/>
      <c r="H195" s="79"/>
      <c r="I195" s="79"/>
      <c r="J195" s="1038"/>
      <c r="K195" s="1225"/>
      <c r="L195" s="769"/>
      <c r="M195" s="866"/>
      <c r="N195" s="769"/>
      <c r="O195" s="866"/>
      <c r="P195" s="1210"/>
      <c r="Q195" s="1038"/>
      <c r="R195" s="484"/>
      <c r="S195" s="79"/>
      <c r="T195" s="877"/>
      <c r="U195" s="79"/>
    </row>
    <row r="196" spans="1:24" s="518" customFormat="1" x14ac:dyDescent="0.25">
      <c r="A196" s="79"/>
      <c r="B196" s="518" t="s">
        <v>6496</v>
      </c>
      <c r="C196" s="459"/>
      <c r="D196" s="2218">
        <f>SUM(D170:D186)-D179</f>
        <v>6382.505000000001</v>
      </c>
      <c r="E196" s="85"/>
      <c r="F196" s="89"/>
      <c r="G196" s="79"/>
      <c r="H196" s="79"/>
      <c r="I196" s="216"/>
      <c r="J196" s="864"/>
      <c r="K196" s="877"/>
      <c r="L196" s="769"/>
      <c r="M196" s="866"/>
      <c r="N196" s="769"/>
      <c r="O196" s="866"/>
      <c r="P196" s="1210"/>
      <c r="Q196" s="1038"/>
      <c r="R196" s="484"/>
      <c r="S196" s="79"/>
      <c r="T196" s="877"/>
      <c r="U196" s="79"/>
    </row>
    <row r="197" spans="1:24" s="518" customFormat="1" x14ac:dyDescent="0.25">
      <c r="A197" s="79"/>
      <c r="B197" s="81" t="s">
        <v>6497</v>
      </c>
      <c r="C197" s="81"/>
      <c r="D197" s="1014">
        <f>D195-D196</f>
        <v>-503.27500000000146</v>
      </c>
      <c r="E197" s="79"/>
      <c r="F197" s="79"/>
      <c r="G197" s="79"/>
      <c r="H197" s="79"/>
      <c r="J197" s="1038"/>
      <c r="K197" s="877"/>
      <c r="M197" s="866"/>
      <c r="O197" s="866"/>
      <c r="P197" s="1210"/>
      <c r="Q197" s="1038"/>
      <c r="R197" s="484"/>
      <c r="S197" s="79"/>
      <c r="T197" s="877"/>
      <c r="U197" s="79"/>
    </row>
    <row r="198" spans="1:24" s="518" customFormat="1" x14ac:dyDescent="0.25">
      <c r="A198" s="79"/>
      <c r="B198" s="79"/>
      <c r="C198" s="79"/>
      <c r="D198" s="79"/>
      <c r="E198" s="79"/>
      <c r="F198" s="79"/>
      <c r="G198" s="79"/>
      <c r="H198" s="79"/>
      <c r="I198" s="216"/>
      <c r="J198" s="1038"/>
      <c r="K198" s="877"/>
      <c r="L198" s="769"/>
      <c r="M198" s="866"/>
      <c r="N198" s="769"/>
      <c r="O198" s="866"/>
      <c r="P198" s="1210"/>
      <c r="Q198" s="1038"/>
      <c r="R198" s="484"/>
      <c r="S198" s="79"/>
      <c r="T198" s="877"/>
      <c r="U198" s="79"/>
    </row>
    <row r="199" spans="1:24" s="518" customFormat="1" x14ac:dyDescent="0.25">
      <c r="A199" s="79"/>
      <c r="B199" s="79"/>
      <c r="C199" s="79"/>
      <c r="D199" s="79"/>
      <c r="E199" s="79"/>
      <c r="F199" s="79"/>
      <c r="G199" s="216"/>
      <c r="H199" s="79"/>
      <c r="I199" s="216"/>
      <c r="J199" s="1038"/>
      <c r="K199" s="877"/>
      <c r="L199" s="769"/>
      <c r="M199" s="868"/>
      <c r="N199" s="769"/>
      <c r="O199" s="868"/>
      <c r="P199" s="1210"/>
      <c r="Q199" s="1038"/>
      <c r="R199" s="484"/>
      <c r="S199" s="79"/>
      <c r="T199" s="877"/>
      <c r="U199" s="79"/>
    </row>
    <row r="200" spans="1:24" s="518" customFormat="1" x14ac:dyDescent="0.25">
      <c r="A200" s="79"/>
      <c r="B200" s="79"/>
      <c r="C200" s="79"/>
      <c r="D200" s="79"/>
      <c r="E200" s="79"/>
      <c r="F200" s="79"/>
      <c r="G200" s="216"/>
      <c r="H200" s="79"/>
      <c r="I200" s="216"/>
      <c r="J200" s="79"/>
      <c r="K200" s="877"/>
      <c r="L200" s="769"/>
      <c r="M200" s="866"/>
      <c r="N200" s="769"/>
      <c r="O200" s="866"/>
      <c r="P200" s="1210"/>
      <c r="Q200" s="1038"/>
      <c r="R200" s="484"/>
      <c r="S200" s="79"/>
      <c r="T200" s="877"/>
      <c r="U200" s="79"/>
    </row>
    <row r="201" spans="1:24" s="518" customFormat="1" x14ac:dyDescent="0.25">
      <c r="A201" s="79"/>
      <c r="B201" s="79"/>
      <c r="C201" s="79"/>
      <c r="D201" s="79"/>
      <c r="E201" s="79"/>
      <c r="F201" s="79"/>
      <c r="G201" s="216"/>
      <c r="H201" s="79"/>
      <c r="I201" s="79"/>
      <c r="J201" s="85"/>
      <c r="K201" s="877"/>
      <c r="L201" s="770"/>
      <c r="M201" s="866"/>
      <c r="N201" s="770"/>
      <c r="O201" s="866"/>
      <c r="P201" s="1210"/>
      <c r="Q201" s="1038"/>
      <c r="R201" s="484"/>
      <c r="S201" s="79"/>
      <c r="T201" s="877"/>
      <c r="U201" s="79"/>
    </row>
    <row r="202" spans="1:24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216"/>
      <c r="J202" s="1038"/>
      <c r="K202" s="877"/>
      <c r="L202" s="769"/>
      <c r="M202" s="868"/>
      <c r="N202" s="769"/>
      <c r="O202" s="868"/>
      <c r="P202" s="1210"/>
      <c r="Q202" s="1038"/>
      <c r="R202" s="484"/>
      <c r="S202" s="79"/>
      <c r="T202" s="877"/>
      <c r="U202" s="79"/>
    </row>
    <row r="203" spans="1:24" s="518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85"/>
      <c r="K203" s="877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4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629"/>
      <c r="J204" s="769"/>
      <c r="K204" s="1225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4" s="518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J205" s="79"/>
      <c r="K205" s="79"/>
      <c r="L205" s="769"/>
      <c r="M205" s="866"/>
      <c r="N205" s="769"/>
      <c r="O205" s="866"/>
      <c r="P205" s="1210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79"/>
      <c r="K206" s="79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69"/>
      <c r="K207" s="868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79"/>
      <c r="C208" s="85"/>
      <c r="D208" s="85"/>
      <c r="E208" s="85"/>
      <c r="F208" s="89"/>
      <c r="G208" s="79"/>
      <c r="H208" s="79"/>
      <c r="I208" s="79"/>
      <c r="J208" s="769"/>
      <c r="K208" s="868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85"/>
      <c r="D209" s="85"/>
      <c r="E209" s="85"/>
      <c r="F209" s="89"/>
      <c r="G209" s="79"/>
      <c r="H209" s="79"/>
      <c r="I209" s="79"/>
      <c r="J209" s="76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216"/>
      <c r="J210" s="79"/>
      <c r="K210" s="79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216"/>
      <c r="J211" s="79"/>
      <c r="K211" s="79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79"/>
      <c r="D212" s="79"/>
      <c r="E212" s="79"/>
      <c r="F212" s="79"/>
      <c r="G212" s="79"/>
      <c r="H212" s="79"/>
      <c r="I212" s="216"/>
      <c r="J212" s="1517"/>
      <c r="K212" s="79"/>
      <c r="L212" s="769"/>
      <c r="M212" s="866"/>
      <c r="N212" s="769"/>
      <c r="O212" s="866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79"/>
      <c r="K213" s="868"/>
      <c r="L213" s="769"/>
      <c r="M213" s="866"/>
      <c r="N213" s="769"/>
      <c r="O213" s="866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J214" s="89"/>
      <c r="K214" s="79"/>
      <c r="L214" s="769"/>
      <c r="M214" s="868"/>
      <c r="N214" s="769"/>
      <c r="O214" s="868"/>
      <c r="P214" s="79"/>
      <c r="Q214" s="79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79"/>
      <c r="K215" s="79"/>
      <c r="L215" s="769"/>
      <c r="M215" s="868"/>
      <c r="N215" s="769"/>
      <c r="O215" s="868"/>
      <c r="P215" s="81"/>
      <c r="Q215" s="755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L216" s="769"/>
      <c r="M216" s="868"/>
      <c r="N216" s="769"/>
      <c r="O216" s="868"/>
      <c r="P216" s="868"/>
      <c r="Q216" s="79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216"/>
      <c r="J217" s="769"/>
      <c r="K217" s="866"/>
      <c r="L217" s="769"/>
      <c r="M217" s="868"/>
      <c r="N217" s="769"/>
      <c r="O217" s="868"/>
      <c r="P217" s="754"/>
      <c r="Q217" s="88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216"/>
      <c r="J218" s="769"/>
      <c r="K218" s="866"/>
      <c r="L218" s="769"/>
      <c r="M218" s="868"/>
      <c r="N218" s="769"/>
      <c r="O218" s="868"/>
      <c r="P218" s="864"/>
      <c r="Q218" s="864"/>
      <c r="R218" s="484"/>
      <c r="S218" s="79"/>
      <c r="T218" s="877"/>
      <c r="U218" s="79"/>
    </row>
    <row r="219" spans="1:21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K219" s="866"/>
      <c r="L219" s="769"/>
      <c r="M219" s="866"/>
      <c r="N219" s="769"/>
      <c r="O219" s="866"/>
      <c r="P219" s="864"/>
      <c r="Q219" s="1032"/>
      <c r="R219" s="484"/>
      <c r="S219" s="79"/>
      <c r="T219" s="877"/>
      <c r="U219" s="79"/>
    </row>
    <row r="220" spans="1:21" s="518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69"/>
      <c r="K220" s="866"/>
      <c r="L220" s="769"/>
      <c r="M220" s="866"/>
      <c r="N220" s="769"/>
      <c r="O220" s="866"/>
      <c r="P220" s="864"/>
      <c r="Q220" s="1032"/>
      <c r="R220" s="484"/>
      <c r="S220" s="79"/>
      <c r="T220" s="877"/>
      <c r="U220" s="79"/>
    </row>
    <row r="221" spans="1:21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69"/>
      <c r="K221" s="868"/>
      <c r="L221" s="769"/>
      <c r="M221" s="868"/>
      <c r="N221" s="769"/>
      <c r="O221" s="868"/>
      <c r="P221" s="85"/>
      <c r="Q221" s="795"/>
      <c r="R221" s="484"/>
      <c r="S221" s="79"/>
      <c r="T221" s="877"/>
      <c r="U221" s="79"/>
    </row>
    <row r="222" spans="1:21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769"/>
      <c r="K222" s="866"/>
      <c r="L222" s="769"/>
      <c r="M222" s="866"/>
      <c r="N222" s="769"/>
      <c r="O222" s="866"/>
      <c r="P222" s="85"/>
      <c r="Q222" s="177"/>
      <c r="R222" s="484"/>
      <c r="S222" s="79"/>
      <c r="T222" s="877"/>
      <c r="U222" s="79"/>
    </row>
    <row r="223" spans="1:21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70"/>
      <c r="K223" s="866"/>
      <c r="L223" s="769"/>
      <c r="M223" s="866"/>
      <c r="N223" s="769"/>
      <c r="O223" s="866"/>
      <c r="P223" s="85"/>
      <c r="Q223" s="177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8"/>
      <c r="L224" s="769"/>
      <c r="M224" s="868"/>
      <c r="N224" s="769"/>
      <c r="O224" s="868"/>
      <c r="P224" s="85"/>
      <c r="Q224" s="177" t="s">
        <v>280</v>
      </c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69"/>
      <c r="M225" s="868"/>
      <c r="N225" s="769"/>
      <c r="O225" s="868"/>
      <c r="P225" s="85"/>
      <c r="Q225" s="177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69"/>
      <c r="M226" s="868"/>
      <c r="N226" s="769"/>
      <c r="O226" s="868"/>
      <c r="P226" s="85"/>
      <c r="Q226" s="866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769"/>
      <c r="M227" s="868"/>
      <c r="N227" s="769"/>
      <c r="O227" s="868"/>
      <c r="P227" s="769"/>
      <c r="Q227" s="216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769"/>
      <c r="M228" s="866"/>
      <c r="N228" s="769"/>
      <c r="O228" s="866"/>
      <c r="P228" s="79"/>
      <c r="Q228" s="21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223"/>
      <c r="M229" s="629"/>
      <c r="N229" s="223"/>
      <c r="O229" s="629"/>
      <c r="P229" s="769"/>
      <c r="Q229" s="86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56"/>
      <c r="M230" s="756"/>
      <c r="N230" s="756"/>
      <c r="O230" s="756"/>
      <c r="P230" s="769"/>
      <c r="Q230" s="86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9"/>
      <c r="M231" s="79"/>
      <c r="N231" s="79"/>
      <c r="O231" s="79"/>
      <c r="P231" s="769"/>
      <c r="Q231" s="868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79"/>
      <c r="M232" s="79"/>
      <c r="N232" s="79"/>
      <c r="O232" s="79"/>
      <c r="P232" s="769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79"/>
      <c r="M233" s="79"/>
      <c r="N233" s="79"/>
      <c r="O233" s="79"/>
      <c r="P233" s="79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79"/>
      <c r="M234" s="79"/>
      <c r="N234" s="79"/>
      <c r="O234" s="79"/>
      <c r="P234" s="79"/>
      <c r="Q234" s="79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85"/>
      <c r="M235" s="85"/>
      <c r="N235" s="85"/>
      <c r="O235" s="85"/>
      <c r="P235" s="1517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8"/>
      <c r="L236" s="79"/>
      <c r="M236" s="79"/>
      <c r="N236" s="79"/>
      <c r="O236" s="79"/>
      <c r="P236" s="79"/>
      <c r="Q236" s="868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8"/>
      <c r="L237" s="79"/>
      <c r="M237" s="79"/>
      <c r="N237" s="79"/>
      <c r="O237" s="79"/>
      <c r="P237" s="8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8"/>
      <c r="L238" s="79"/>
      <c r="M238" s="79"/>
      <c r="N238" s="79"/>
      <c r="O238" s="79"/>
      <c r="P238" s="79"/>
      <c r="Q238" s="79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8"/>
      <c r="L239" s="79"/>
      <c r="M239" s="79"/>
      <c r="N239" s="79"/>
      <c r="O239" s="79"/>
      <c r="P239" s="769"/>
      <c r="Q239" s="86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9"/>
      <c r="M240" s="79"/>
      <c r="N240" s="79"/>
      <c r="O240" s="79"/>
      <c r="P240" s="769"/>
      <c r="Q240" s="866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79"/>
      <c r="M241" s="79"/>
      <c r="N241" s="79"/>
      <c r="O241" s="79"/>
      <c r="P241" s="769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85"/>
      <c r="M242" s="85"/>
      <c r="N242" s="85"/>
      <c r="O242" s="85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8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69"/>
      <c r="Q244" s="868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9"/>
      <c r="M245" s="79"/>
      <c r="N245" s="79"/>
      <c r="O245" s="79"/>
      <c r="P245" s="769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70"/>
      <c r="Q246" s="86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8"/>
      <c r="L248" s="79"/>
      <c r="M248" s="79"/>
      <c r="N248" s="79"/>
      <c r="O248" s="79"/>
      <c r="P248" s="769"/>
      <c r="Q248" s="86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8"/>
      <c r="L249" s="771"/>
      <c r="N249" s="771"/>
      <c r="P249" s="769"/>
      <c r="Q249" s="86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69"/>
      <c r="Q250" s="866"/>
      <c r="R250" s="484"/>
      <c r="S250" s="79"/>
      <c r="T250" s="877"/>
      <c r="U250" s="79"/>
    </row>
    <row r="251" spans="1:21" x14ac:dyDescent="0.25">
      <c r="J251" s="223"/>
      <c r="K251" s="629"/>
      <c r="P251" s="769"/>
      <c r="Q251" s="866"/>
    </row>
    <row r="252" spans="1:21" x14ac:dyDescent="0.25">
      <c r="J252" s="756"/>
      <c r="K252" s="756"/>
      <c r="P252" s="769"/>
      <c r="Q252" s="866"/>
    </row>
    <row r="253" spans="1:21" x14ac:dyDescent="0.25">
      <c r="P253" s="769"/>
      <c r="Q253" s="866"/>
    </row>
    <row r="254" spans="1:21" x14ac:dyDescent="0.25">
      <c r="P254" s="769"/>
      <c r="Q254" s="866"/>
    </row>
    <row r="255" spans="1:21" x14ac:dyDescent="0.25">
      <c r="P255" s="769"/>
      <c r="Q255" s="866"/>
    </row>
    <row r="256" spans="1:21" x14ac:dyDescent="0.25">
      <c r="P256" s="769"/>
      <c r="Q256" s="866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85"/>
      <c r="K257" s="85"/>
      <c r="L257" s="79"/>
      <c r="M257" s="216"/>
      <c r="N257" s="79"/>
      <c r="O257" s="216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216"/>
      <c r="N258" s="79"/>
      <c r="O258" s="216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216"/>
      <c r="N259" s="79"/>
      <c r="O259" s="216"/>
      <c r="P259" s="769"/>
      <c r="Q259" s="868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216"/>
      <c r="N260" s="79"/>
      <c r="O260" s="216"/>
      <c r="P260" s="769"/>
      <c r="Q260" s="868"/>
      <c r="R260" s="484"/>
      <c r="S260" s="79"/>
      <c r="T260" s="877"/>
      <c r="U260" s="79"/>
    </row>
    <row r="261" spans="1:21" x14ac:dyDescent="0.25">
      <c r="P261" s="769"/>
      <c r="Q261" s="868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216"/>
      <c r="N262" s="79"/>
      <c r="O262" s="216"/>
      <c r="P262" s="769"/>
      <c r="Q262" s="868"/>
      <c r="R262" s="484"/>
      <c r="S262" s="79"/>
      <c r="T262" s="877"/>
      <c r="U262" s="79"/>
    </row>
    <row r="263" spans="1:21" x14ac:dyDescent="0.25">
      <c r="P263" s="769"/>
      <c r="Q263" s="868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85"/>
      <c r="K264" s="85"/>
      <c r="L264" s="79"/>
      <c r="M264" s="629"/>
      <c r="N264" s="79"/>
      <c r="O264" s="629"/>
      <c r="P264" s="769"/>
      <c r="Q264" s="866"/>
      <c r="R264" s="484"/>
      <c r="S264" s="79"/>
      <c r="T264" s="877"/>
      <c r="U264" s="79"/>
    </row>
    <row r="265" spans="1:21" x14ac:dyDescent="0.25">
      <c r="P265" s="769"/>
      <c r="Q265" s="866"/>
    </row>
    <row r="266" spans="1:21" x14ac:dyDescent="0.25">
      <c r="P266" s="769"/>
      <c r="Q266" s="868"/>
    </row>
    <row r="267" spans="1:21" x14ac:dyDescent="0.25">
      <c r="P267" s="769"/>
      <c r="Q267" s="866"/>
    </row>
    <row r="268" spans="1:21" x14ac:dyDescent="0.25">
      <c r="P268" s="769"/>
      <c r="Q268" s="866"/>
    </row>
    <row r="269" spans="1:21" x14ac:dyDescent="0.25">
      <c r="P269" s="769"/>
      <c r="Q269" s="868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69"/>
      <c r="Q270" s="868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71"/>
      <c r="L271" s="79"/>
      <c r="M271" s="216"/>
      <c r="N271" s="79"/>
      <c r="O271" s="216"/>
      <c r="P271" s="769"/>
      <c r="Q271" s="868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216"/>
      <c r="N272" s="79"/>
      <c r="O272" s="216"/>
      <c r="P272" s="769"/>
      <c r="Q272" s="868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769"/>
      <c r="Q273" s="86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223"/>
      <c r="Q274" s="629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56"/>
      <c r="Q275" s="756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9"/>
      <c r="Q276" s="79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9"/>
      <c r="Q277" s="79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9"/>
      <c r="Q278" s="79"/>
      <c r="R278" s="484"/>
      <c r="S278" s="79"/>
      <c r="T278" s="877"/>
      <c r="U278" s="79"/>
    </row>
    <row r="279" spans="1:21" x14ac:dyDescent="0.25">
      <c r="K279" s="216"/>
    </row>
    <row r="280" spans="1:21" x14ac:dyDescent="0.25">
      <c r="K280" s="216"/>
      <c r="P280" s="85"/>
      <c r="Q280" s="85"/>
    </row>
    <row r="281" spans="1:21" x14ac:dyDescent="0.25">
      <c r="K281" s="216"/>
    </row>
    <row r="282" spans="1:21" x14ac:dyDescent="0.25">
      <c r="K282" s="216"/>
    </row>
    <row r="284" spans="1:21" x14ac:dyDescent="0.25">
      <c r="K284" s="216"/>
    </row>
    <row r="286" spans="1:21" x14ac:dyDescent="0.25">
      <c r="K286" s="629"/>
    </row>
    <row r="287" spans="1:21" x14ac:dyDescent="0.25">
      <c r="P287" s="85"/>
      <c r="Q287" s="85"/>
    </row>
    <row r="291" spans="1:42" s="484" customFormat="1" x14ac:dyDescent="0.25">
      <c r="A291" s="79"/>
      <c r="B291" s="79"/>
      <c r="C291" s="85"/>
      <c r="D291" s="85"/>
      <c r="E291" s="85"/>
      <c r="F291" s="8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S291" s="79"/>
      <c r="T291" s="87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</row>
    <row r="292" spans="1:42" s="484" customFormat="1" x14ac:dyDescent="0.25">
      <c r="A292" s="79"/>
      <c r="B292" s="79"/>
      <c r="C292" s="85"/>
      <c r="D292" s="85"/>
      <c r="E292" s="85"/>
      <c r="F292" s="89"/>
      <c r="G292" s="79"/>
      <c r="H292" s="79"/>
      <c r="I292" s="79"/>
      <c r="J292" s="79"/>
      <c r="K292" s="216"/>
      <c r="L292" s="79"/>
      <c r="M292" s="79"/>
      <c r="N292" s="79"/>
      <c r="O292" s="79"/>
      <c r="P292" s="79"/>
      <c r="Q292" s="79"/>
      <c r="S292" s="79"/>
      <c r="T292" s="877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</row>
    <row r="293" spans="1:42" s="484" customFormat="1" x14ac:dyDescent="0.25">
      <c r="A293" s="79"/>
      <c r="B293" s="79"/>
      <c r="C293" s="85"/>
      <c r="D293" s="85"/>
      <c r="E293" s="85"/>
      <c r="F293" s="89"/>
      <c r="G293" s="79"/>
      <c r="H293" s="79"/>
      <c r="I293" s="79"/>
      <c r="J293" s="79"/>
      <c r="K293" s="216"/>
      <c r="L293" s="79"/>
      <c r="M293" s="79"/>
      <c r="N293" s="79"/>
      <c r="O293" s="79"/>
      <c r="P293" s="79"/>
      <c r="Q293" s="79"/>
      <c r="S293" s="79"/>
      <c r="T293" s="877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</row>
    <row r="294" spans="1:42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216"/>
      <c r="L294" s="79"/>
      <c r="M294" s="79"/>
      <c r="N294" s="79"/>
      <c r="O294" s="79"/>
      <c r="P294" s="771"/>
      <c r="Q294" s="518"/>
      <c r="S294" s="79"/>
      <c r="T294" s="877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216"/>
      <c r="L295" s="79"/>
      <c r="M295" s="79"/>
      <c r="N295" s="79"/>
      <c r="O295" s="79"/>
      <c r="P295" s="79"/>
      <c r="Q295" s="79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296" spans="1:42" x14ac:dyDescent="0.25">
      <c r="K296" s="216"/>
    </row>
    <row r="297" spans="1:42" x14ac:dyDescent="0.25">
      <c r="K297" s="216"/>
    </row>
    <row r="298" spans="1:42" x14ac:dyDescent="0.25">
      <c r="K298" s="216"/>
    </row>
    <row r="299" spans="1:42" x14ac:dyDescent="0.25">
      <c r="K299" s="216"/>
    </row>
    <row r="300" spans="1:42" x14ac:dyDescent="0.25">
      <c r="K300" s="216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216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3" spans="1:42" s="484" customFormat="1" x14ac:dyDescent="0.25">
      <c r="A303" s="79"/>
      <c r="B303" s="79"/>
      <c r="C303" s="85"/>
      <c r="D303" s="85"/>
      <c r="E303" s="85"/>
      <c r="F303" s="8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216"/>
      <c r="S303" s="79"/>
      <c r="T303" s="87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</row>
    <row r="304" spans="1:42" s="484" customFormat="1" x14ac:dyDescent="0.25">
      <c r="A304" s="79"/>
      <c r="B304" s="79"/>
      <c r="C304" s="85"/>
      <c r="D304" s="85"/>
      <c r="E304" s="85"/>
      <c r="F304" s="8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216"/>
      <c r="S304" s="79"/>
      <c r="T304" s="87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216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216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629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  <row r="317" spans="1:42" s="484" customFormat="1" x14ac:dyDescent="0.25">
      <c r="A317" s="79"/>
      <c r="B317" s="79"/>
      <c r="C317" s="85"/>
      <c r="D317" s="85"/>
      <c r="E317" s="85"/>
      <c r="F317" s="8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216"/>
      <c r="S317" s="79"/>
      <c r="T317" s="877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</sheetData>
  <autoFilter ref="A2:I188" xr:uid="{00000000-0009-0000-0000-00008D000000}"/>
  <mergeCells count="17">
    <mergeCell ref="B191:D191"/>
    <mergeCell ref="L2:M3"/>
    <mergeCell ref="N2:O3"/>
    <mergeCell ref="P2:Q3"/>
    <mergeCell ref="A166:E166"/>
    <mergeCell ref="A167:E167"/>
    <mergeCell ref="C190:D190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150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DC57AB96-7F2D-42B1-9174-D605378D5C2B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D170:D186</xm:sqref>
        </x14:conditionalFormatting>
      </x14:conditionalFormattings>
    </ext>
  </extLst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A918-83EC-49B3-A7F1-2B3653B6241C}">
  <sheetPr>
    <tabColor rgb="FFFFFF00"/>
  </sheetPr>
  <dimension ref="A1:AP342"/>
  <sheetViews>
    <sheetView zoomScale="85" zoomScaleNormal="85" workbookViewId="0">
      <pane ySplit="5" topLeftCell="A153" activePane="bottomLeft" state="frozen"/>
      <selection pane="bottomLeft" activeCell="E207" sqref="E20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7950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45839</v>
      </c>
      <c r="B5" s="369" t="s">
        <v>10</v>
      </c>
      <c r="C5" s="370"/>
      <c r="D5" s="370"/>
      <c r="E5" s="777"/>
      <c r="F5" s="179"/>
      <c r="G5" s="933">
        <f>'Junho-25'!G167</f>
        <v>986.38660714291291</v>
      </c>
      <c r="H5" s="163"/>
      <c r="I5" s="1479">
        <v>0</v>
      </c>
      <c r="J5" s="179"/>
      <c r="K5" s="933">
        <f>'Junho-25'!K167</f>
        <v>4393.6200000000026</v>
      </c>
      <c r="L5" s="179"/>
      <c r="M5" s="933">
        <f>'Maio-25'!M178</f>
        <v>0</v>
      </c>
      <c r="N5" s="179"/>
      <c r="O5" s="1479">
        <f>'Junho-25'!O167</f>
        <v>7294.9700000000012</v>
      </c>
      <c r="P5" s="179"/>
      <c r="Q5" s="933">
        <f>'Junho-25'!Q167</f>
        <v>34082.925984720008</v>
      </c>
    </row>
    <row r="6" spans="1:42" s="224" customFormat="1" x14ac:dyDescent="0.25">
      <c r="A6" s="247">
        <v>45839</v>
      </c>
      <c r="B6" s="348" t="s">
        <v>11</v>
      </c>
      <c r="C6" s="351"/>
      <c r="D6" s="351"/>
      <c r="E6" s="673"/>
      <c r="F6" s="538">
        <v>10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45839</v>
      </c>
      <c r="B7" s="882" t="s">
        <v>6329</v>
      </c>
      <c r="C7" s="879" t="s">
        <v>12</v>
      </c>
      <c r="D7" s="879"/>
      <c r="E7" s="875" t="s">
        <v>25</v>
      </c>
      <c r="F7" s="780"/>
      <c r="G7" s="982">
        <v>100</v>
      </c>
      <c r="H7" s="1008"/>
      <c r="I7" s="1063"/>
      <c r="J7" s="613"/>
      <c r="K7" s="982"/>
      <c r="L7" s="622"/>
      <c r="M7" s="982"/>
      <c r="N7" s="622"/>
      <c r="O7" s="1063"/>
      <c r="P7" s="622"/>
      <c r="Q7" s="982"/>
      <c r="R7" s="861"/>
    </row>
    <row r="8" spans="1:42" s="224" customFormat="1" ht="15" customHeight="1" x14ac:dyDescent="0.25">
      <c r="A8" s="247">
        <v>45839</v>
      </c>
      <c r="B8" s="882" t="s">
        <v>14</v>
      </c>
      <c r="C8" s="1276" t="s">
        <v>12</v>
      </c>
      <c r="D8" s="879" t="s">
        <v>1486</v>
      </c>
      <c r="E8" s="875" t="s">
        <v>13</v>
      </c>
      <c r="F8" s="780">
        <v>8.69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45839</v>
      </c>
      <c r="B9" s="882" t="s">
        <v>8039</v>
      </c>
      <c r="C9" s="1276" t="s">
        <v>12</v>
      </c>
      <c r="D9" s="879" t="s">
        <v>1489</v>
      </c>
      <c r="E9" s="875" t="s">
        <v>13</v>
      </c>
      <c r="F9" s="780">
        <v>17</v>
      </c>
      <c r="G9" s="982"/>
      <c r="H9" s="622"/>
      <c r="I9" s="982"/>
      <c r="J9" s="622"/>
      <c r="K9" s="982"/>
      <c r="L9" s="622"/>
      <c r="M9" s="982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45840</v>
      </c>
      <c r="B10" s="882" t="s">
        <v>7890</v>
      </c>
      <c r="C10" s="1276" t="s">
        <v>12</v>
      </c>
      <c r="D10" s="879" t="s">
        <v>1522</v>
      </c>
      <c r="E10" s="875" t="s">
        <v>13</v>
      </c>
      <c r="F10" s="780">
        <v>266.66666666666669</v>
      </c>
      <c r="G10" s="982"/>
      <c r="H10" s="622"/>
      <c r="I10" s="982"/>
      <c r="J10" s="622"/>
      <c r="K10" s="982"/>
      <c r="L10" s="622"/>
      <c r="M10" s="982"/>
      <c r="N10" s="880"/>
      <c r="O10" s="1525"/>
      <c r="P10" s="613"/>
      <c r="Q10" s="162"/>
      <c r="R10" s="1028" t="s">
        <v>7137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45840</v>
      </c>
      <c r="B11" s="882" t="s">
        <v>8040</v>
      </c>
      <c r="C11" s="1276" t="s">
        <v>12</v>
      </c>
      <c r="D11" s="879" t="s">
        <v>1506</v>
      </c>
      <c r="E11" s="875" t="s">
        <v>13</v>
      </c>
      <c r="F11" s="780">
        <v>84.326666666666668</v>
      </c>
      <c r="G11" s="982"/>
      <c r="H11" s="622"/>
      <c r="I11" s="982"/>
      <c r="J11" s="622"/>
      <c r="K11" s="982"/>
      <c r="L11" s="853"/>
      <c r="M11" s="982"/>
      <c r="N11" s="622"/>
      <c r="O11" s="1063"/>
      <c r="P11" s="622"/>
      <c r="Q11" s="982"/>
      <c r="R11" s="1028" t="s">
        <v>7137</v>
      </c>
      <c r="S11" s="927"/>
      <c r="T11" s="878"/>
    </row>
    <row r="12" spans="1:42" s="224" customFormat="1" ht="15" customHeight="1" x14ac:dyDescent="0.25">
      <c r="A12" s="247">
        <v>45840</v>
      </c>
      <c r="B12" s="882" t="s">
        <v>7954</v>
      </c>
      <c r="C12" s="1276" t="s">
        <v>12</v>
      </c>
      <c r="D12" s="879" t="s">
        <v>6731</v>
      </c>
      <c r="E12" s="875" t="s">
        <v>13</v>
      </c>
      <c r="F12" s="780">
        <v>69.75</v>
      </c>
      <c r="G12" s="982"/>
      <c r="H12" s="622"/>
      <c r="I12" s="982"/>
      <c r="J12" s="622"/>
      <c r="K12" s="982"/>
      <c r="L12" s="853"/>
      <c r="M12" s="982"/>
      <c r="N12" s="622"/>
      <c r="O12" s="1063"/>
      <c r="P12" s="622"/>
      <c r="Q12" s="982"/>
      <c r="R12" s="1028" t="s">
        <v>7137</v>
      </c>
      <c r="S12" s="927"/>
      <c r="T12" s="878"/>
    </row>
    <row r="13" spans="1:42" s="224" customFormat="1" ht="15" customHeight="1" x14ac:dyDescent="0.25">
      <c r="A13" s="247">
        <v>45840</v>
      </c>
      <c r="B13" s="1275" t="s">
        <v>32</v>
      </c>
      <c r="C13" s="1276" t="s">
        <v>12</v>
      </c>
      <c r="D13" s="1276" t="s">
        <v>1485</v>
      </c>
      <c r="E13" s="1286" t="s">
        <v>13</v>
      </c>
      <c r="F13" s="780">
        <v>31</v>
      </c>
      <c r="G13" s="982"/>
      <c r="H13" s="622"/>
      <c r="I13" s="982"/>
      <c r="J13" s="622"/>
      <c r="K13" s="982"/>
      <c r="L13" s="622"/>
      <c r="M13" s="982"/>
      <c r="N13" s="880"/>
      <c r="O13" s="1525"/>
      <c r="P13" s="613"/>
      <c r="Q13" s="162"/>
      <c r="R13" s="1028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45840</v>
      </c>
      <c r="B14" s="882" t="s">
        <v>6258</v>
      </c>
      <c r="C14" s="879" t="s">
        <v>12</v>
      </c>
      <c r="D14" s="879"/>
      <c r="E14" s="875" t="s">
        <v>13</v>
      </c>
      <c r="F14" s="780"/>
      <c r="G14" s="982">
        <v>192</v>
      </c>
      <c r="H14" s="1008"/>
      <c r="I14" s="1063"/>
      <c r="J14" s="622">
        <v>192</v>
      </c>
      <c r="K14" s="982"/>
      <c r="L14" s="622"/>
      <c r="M14" s="982"/>
      <c r="N14" s="622"/>
      <c r="O14" s="1063"/>
      <c r="P14" s="622"/>
      <c r="Q14" s="982"/>
      <c r="R14" s="941"/>
    </row>
    <row r="15" spans="1:42" s="224" customFormat="1" ht="15" customHeight="1" x14ac:dyDescent="0.25">
      <c r="A15" s="247">
        <v>45840</v>
      </c>
      <c r="B15" s="882" t="s">
        <v>8047</v>
      </c>
      <c r="C15" s="879" t="s">
        <v>12</v>
      </c>
      <c r="D15" s="879" t="s">
        <v>1524</v>
      </c>
      <c r="E15" s="871" t="s">
        <v>13</v>
      </c>
      <c r="F15" s="780">
        <v>192</v>
      </c>
      <c r="G15" s="982"/>
      <c r="H15" s="622"/>
      <c r="I15" s="982"/>
      <c r="J15" s="872"/>
      <c r="K15" s="1207"/>
      <c r="L15" s="622"/>
      <c r="M15" s="982"/>
      <c r="N15" s="622"/>
      <c r="O15" s="1063"/>
      <c r="P15" s="622"/>
      <c r="Q15" s="982"/>
      <c r="R15" s="1028"/>
      <c r="S15" s="959"/>
      <c r="T15" s="878"/>
      <c r="U15" s="958"/>
    </row>
    <row r="16" spans="1:42" s="224" customFormat="1" ht="15" customHeight="1" x14ac:dyDescent="0.25">
      <c r="A16" s="247">
        <v>45840</v>
      </c>
      <c r="B16" s="882" t="s">
        <v>8057</v>
      </c>
      <c r="C16" s="1276" t="s">
        <v>12</v>
      </c>
      <c r="D16" s="879" t="s">
        <v>6731</v>
      </c>
      <c r="E16" s="875" t="s">
        <v>13</v>
      </c>
      <c r="F16" s="780">
        <v>8.61</v>
      </c>
      <c r="G16" s="982"/>
      <c r="H16" s="622"/>
      <c r="I16" s="982"/>
      <c r="J16" s="622"/>
      <c r="K16" s="982"/>
      <c r="L16" s="622"/>
      <c r="M16" s="982"/>
      <c r="N16" s="880"/>
      <c r="O16" s="1525"/>
      <c r="P16" s="613"/>
      <c r="Q16" s="162"/>
      <c r="R16" s="1028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ht="15" customHeight="1" x14ac:dyDescent="0.25">
      <c r="A17" s="247">
        <v>45840</v>
      </c>
      <c r="B17" s="882" t="s">
        <v>8058</v>
      </c>
      <c r="C17" s="879" t="s">
        <v>12</v>
      </c>
      <c r="D17" s="879" t="s">
        <v>6731</v>
      </c>
      <c r="E17" s="875" t="s">
        <v>13</v>
      </c>
      <c r="F17" s="780">
        <v>28.99</v>
      </c>
      <c r="G17" s="982"/>
      <c r="H17" s="622"/>
      <c r="I17" s="982"/>
      <c r="J17" s="622"/>
      <c r="K17" s="982"/>
      <c r="L17" s="853"/>
      <c r="M17" s="982"/>
      <c r="N17" s="622"/>
      <c r="O17" s="1063"/>
      <c r="P17" s="622"/>
      <c r="Q17" s="982"/>
      <c r="R17" s="1028"/>
      <c r="S17" s="927"/>
      <c r="T17" s="878"/>
    </row>
    <row r="18" spans="1:42" s="224" customFormat="1" ht="15" customHeight="1" x14ac:dyDescent="0.25">
      <c r="A18" s="247">
        <v>45840</v>
      </c>
      <c r="B18" s="882" t="s">
        <v>14</v>
      </c>
      <c r="C18" s="1276" t="s">
        <v>12</v>
      </c>
      <c r="D18" s="879" t="s">
        <v>1486</v>
      </c>
      <c r="E18" s="875" t="s">
        <v>13</v>
      </c>
      <c r="F18" s="780">
        <v>14.81</v>
      </c>
      <c r="G18" s="982"/>
      <c r="H18" s="622"/>
      <c r="I18" s="982"/>
      <c r="J18" s="622"/>
      <c r="K18" s="982"/>
      <c r="L18" s="622"/>
      <c r="M18" s="982"/>
      <c r="N18" s="880"/>
      <c r="O18" s="1525"/>
      <c r="P18" s="613"/>
      <c r="Q18" s="162"/>
      <c r="R18" s="1956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45841</v>
      </c>
      <c r="B19" s="1275" t="s">
        <v>7911</v>
      </c>
      <c r="C19" s="1276" t="s">
        <v>12</v>
      </c>
      <c r="D19" s="1276"/>
      <c r="E19" s="1286" t="s">
        <v>13</v>
      </c>
      <c r="F19" s="613">
        <v>121.78</v>
      </c>
      <c r="G19" s="967"/>
      <c r="H19" s="1008"/>
      <c r="I19" s="1063"/>
      <c r="J19" s="613"/>
      <c r="K19" s="6"/>
      <c r="L19" s="622"/>
      <c r="M19" s="982"/>
      <c r="N19" s="622"/>
      <c r="O19" s="1063"/>
      <c r="P19" s="613"/>
      <c r="Q19" s="64"/>
      <c r="R19" s="1024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45841</v>
      </c>
      <c r="B20" s="1275" t="s">
        <v>6755</v>
      </c>
      <c r="C20" s="1276" t="s">
        <v>12</v>
      </c>
      <c r="D20" s="1276"/>
      <c r="E20" s="1286"/>
      <c r="F20" s="613"/>
      <c r="G20" s="967">
        <v>121.78</v>
      </c>
      <c r="H20" s="1008"/>
      <c r="I20" s="1063"/>
      <c r="J20" s="613"/>
      <c r="K20" s="6"/>
      <c r="L20" s="622"/>
      <c r="M20" s="982"/>
      <c r="N20" s="622"/>
      <c r="O20" s="1063"/>
      <c r="P20" s="613"/>
      <c r="Q20" s="64"/>
      <c r="R20" s="1024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45841</v>
      </c>
      <c r="B21" s="1275" t="s">
        <v>32</v>
      </c>
      <c r="C21" s="1276" t="s">
        <v>12</v>
      </c>
      <c r="D21" s="1276" t="s">
        <v>1485</v>
      </c>
      <c r="E21" s="1286" t="s">
        <v>13</v>
      </c>
      <c r="F21" s="780">
        <v>23</v>
      </c>
      <c r="G21" s="982"/>
      <c r="H21" s="622"/>
      <c r="I21" s="982"/>
      <c r="J21" s="622"/>
      <c r="K21" s="982"/>
      <c r="L21" s="622"/>
      <c r="M21" s="982"/>
      <c r="N21" s="880"/>
      <c r="O21" s="1525"/>
      <c r="P21" s="613"/>
      <c r="Q21" s="162"/>
      <c r="R21" s="1028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45841</v>
      </c>
      <c r="B22" s="882" t="s">
        <v>8068</v>
      </c>
      <c r="C22" s="879" t="s">
        <v>12</v>
      </c>
      <c r="D22" s="879" t="s">
        <v>1506</v>
      </c>
      <c r="E22" s="875" t="s">
        <v>13</v>
      </c>
      <c r="F22" s="613">
        <v>61</v>
      </c>
      <c r="G22" s="967"/>
      <c r="H22" s="1008"/>
      <c r="I22" s="1063"/>
      <c r="J22" s="613"/>
      <c r="K22" s="6"/>
      <c r="L22" s="622"/>
      <c r="M22" s="982"/>
      <c r="N22" s="622"/>
      <c r="O22" s="1063"/>
      <c r="P22" s="613"/>
      <c r="Q22" s="982"/>
      <c r="R22" s="1038"/>
      <c r="S22" s="1038"/>
      <c r="T22" s="1210"/>
      <c r="U22" s="1038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45841</v>
      </c>
      <c r="B23" s="882" t="s">
        <v>14</v>
      </c>
      <c r="C23" s="1276" t="s">
        <v>12</v>
      </c>
      <c r="D23" s="879" t="s">
        <v>1486</v>
      </c>
      <c r="E23" s="875" t="s">
        <v>13</v>
      </c>
      <c r="F23" s="780">
        <v>3.64</v>
      </c>
      <c r="G23" s="982"/>
      <c r="H23" s="622"/>
      <c r="I23" s="982"/>
      <c r="J23" s="622"/>
      <c r="K23" s="982"/>
      <c r="L23" s="622"/>
      <c r="M23" s="982"/>
      <c r="N23" s="880"/>
      <c r="O23" s="1525"/>
      <c r="P23" s="613"/>
      <c r="Q23" s="162"/>
      <c r="R23" s="1956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5.75" customHeight="1" x14ac:dyDescent="0.25">
      <c r="A24" s="247">
        <v>45842</v>
      </c>
      <c r="B24" s="873" t="s">
        <v>8064</v>
      </c>
      <c r="C24" s="879" t="s">
        <v>12</v>
      </c>
      <c r="D24" s="874"/>
      <c r="E24" s="887" t="s">
        <v>25</v>
      </c>
      <c r="F24" s="2796"/>
      <c r="G24" s="1002">
        <v>2609.23</v>
      </c>
      <c r="H24" s="538"/>
      <c r="I24" s="982"/>
      <c r="J24" s="2013"/>
      <c r="K24" s="1207"/>
      <c r="L24" s="622"/>
      <c r="M24" s="982"/>
      <c r="N24" s="622"/>
      <c r="O24" s="1063"/>
      <c r="P24" s="622"/>
      <c r="Q24" s="982"/>
      <c r="R24" s="178"/>
    </row>
    <row r="25" spans="1:42" s="224" customFormat="1" ht="15" customHeight="1" x14ac:dyDescent="0.25">
      <c r="A25" s="247">
        <v>45842</v>
      </c>
      <c r="B25" s="364" t="s">
        <v>1396</v>
      </c>
      <c r="C25" s="879" t="s">
        <v>12</v>
      </c>
      <c r="D25" s="350"/>
      <c r="E25" s="919" t="s">
        <v>25</v>
      </c>
      <c r="F25" s="2797"/>
      <c r="G25" s="966">
        <v>200</v>
      </c>
      <c r="H25" s="1031"/>
      <c r="I25" s="1525"/>
      <c r="J25" s="2013"/>
      <c r="K25" s="1207"/>
      <c r="L25" s="880"/>
      <c r="M25" s="1033"/>
      <c r="N25" s="622"/>
      <c r="O25" s="1063"/>
      <c r="P25" s="1116"/>
      <c r="Q25" s="1207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45842</v>
      </c>
      <c r="B26" s="364" t="s">
        <v>7219</v>
      </c>
      <c r="C26" s="879" t="s">
        <v>12</v>
      </c>
      <c r="D26" s="350" t="s">
        <v>1491</v>
      </c>
      <c r="E26" s="875" t="s">
        <v>13</v>
      </c>
      <c r="F26" s="2796">
        <v>500</v>
      </c>
      <c r="G26" s="982"/>
      <c r="H26" s="622"/>
      <c r="I26" s="982"/>
      <c r="J26" s="2013"/>
      <c r="K26" s="1207"/>
      <c r="L26" s="622"/>
      <c r="M26" s="982"/>
      <c r="N26" s="622"/>
      <c r="O26" s="1063"/>
      <c r="P26" s="622"/>
      <c r="Q26" s="982"/>
      <c r="R26" s="1028"/>
      <c r="T26" s="1035"/>
    </row>
    <row r="27" spans="1:42" s="224" customFormat="1" ht="15" customHeight="1" x14ac:dyDescent="0.25">
      <c r="A27" s="247">
        <v>45842</v>
      </c>
      <c r="B27" s="862" t="s">
        <v>6416</v>
      </c>
      <c r="C27" s="879" t="s">
        <v>12</v>
      </c>
      <c r="D27" s="879" t="s">
        <v>1504</v>
      </c>
      <c r="E27" s="871" t="s">
        <v>13</v>
      </c>
      <c r="F27" s="2796">
        <v>40</v>
      </c>
      <c r="G27" s="982"/>
      <c r="H27" s="1008"/>
      <c r="I27" s="1063"/>
      <c r="J27" s="622"/>
      <c r="K27" s="982"/>
      <c r="L27" s="622"/>
      <c r="M27" s="982"/>
      <c r="N27" s="622"/>
      <c r="O27" s="1063"/>
      <c r="P27" s="622"/>
      <c r="Q27" s="982"/>
      <c r="R27" s="1808">
        <v>60</v>
      </c>
      <c r="S27" s="1028"/>
      <c r="T27" s="1035"/>
    </row>
    <row r="28" spans="1:42" s="224" customFormat="1" ht="15" customHeight="1" x14ac:dyDescent="0.25">
      <c r="A28" s="247">
        <v>45842</v>
      </c>
      <c r="B28" s="882" t="s">
        <v>8059</v>
      </c>
      <c r="C28" s="879" t="s">
        <v>12</v>
      </c>
      <c r="D28" s="879" t="s">
        <v>1499</v>
      </c>
      <c r="E28" s="871" t="s">
        <v>13</v>
      </c>
      <c r="F28" s="2796">
        <v>120</v>
      </c>
      <c r="G28" s="982"/>
      <c r="H28" s="1008"/>
      <c r="I28" s="1063"/>
      <c r="J28" s="880"/>
      <c r="K28" s="1033"/>
      <c r="L28" s="622"/>
      <c r="M28" s="982"/>
      <c r="N28" s="622"/>
      <c r="O28" s="1063"/>
      <c r="P28" s="622"/>
      <c r="Q28" s="982"/>
      <c r="R28" s="1028">
        <v>369.32</v>
      </c>
      <c r="S28" s="999"/>
      <c r="T28" s="878"/>
    </row>
    <row r="29" spans="1:42" x14ac:dyDescent="0.25">
      <c r="A29" s="247">
        <v>45842</v>
      </c>
      <c r="B29" s="876" t="s">
        <v>6762</v>
      </c>
      <c r="C29" s="879" t="s">
        <v>12</v>
      </c>
      <c r="D29" s="879" t="s">
        <v>1496</v>
      </c>
      <c r="E29" s="871" t="s">
        <v>13</v>
      </c>
      <c r="F29" s="2796">
        <v>100</v>
      </c>
      <c r="G29" s="982"/>
      <c r="H29" s="1009"/>
      <c r="I29" s="1063"/>
      <c r="J29" s="613"/>
      <c r="K29" s="6"/>
      <c r="L29" s="622"/>
      <c r="M29" s="982"/>
      <c r="N29" s="622"/>
      <c r="O29" s="1063"/>
      <c r="P29" s="622"/>
      <c r="Q29" s="982"/>
      <c r="R29" s="1029"/>
    </row>
    <row r="30" spans="1:42" s="224" customFormat="1" ht="15" customHeight="1" x14ac:dyDescent="0.25">
      <c r="A30" s="247">
        <v>45842</v>
      </c>
      <c r="B30" s="1289" t="s">
        <v>2096</v>
      </c>
      <c r="C30" s="879" t="s">
        <v>12</v>
      </c>
      <c r="D30" s="1276" t="s">
        <v>1506</v>
      </c>
      <c r="E30" s="875" t="s">
        <v>13</v>
      </c>
      <c r="F30" s="2798">
        <v>50</v>
      </c>
      <c r="G30" s="967"/>
      <c r="H30" s="1008"/>
      <c r="I30" s="1063"/>
      <c r="J30" s="613"/>
      <c r="K30" s="6"/>
      <c r="L30" s="622"/>
      <c r="M30" s="982"/>
      <c r="N30" s="622"/>
      <c r="O30" s="1063"/>
      <c r="P30" s="613"/>
      <c r="Q30" s="64"/>
      <c r="R30" s="1209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45842</v>
      </c>
      <c r="B31" s="882" t="s">
        <v>7849</v>
      </c>
      <c r="C31" s="879" t="s">
        <v>12</v>
      </c>
      <c r="D31" s="879"/>
      <c r="E31" s="875" t="s">
        <v>13</v>
      </c>
      <c r="F31" s="2796">
        <v>900</v>
      </c>
      <c r="G31" s="982"/>
      <c r="H31" s="1008"/>
      <c r="I31" s="1063"/>
      <c r="J31" s="622"/>
      <c r="K31" s="982">
        <v>900</v>
      </c>
      <c r="L31" s="622"/>
      <c r="M31" s="982"/>
      <c r="N31" s="622"/>
      <c r="O31" s="1063"/>
      <c r="P31" s="622"/>
      <c r="Q31" s="982"/>
      <c r="R31" s="861"/>
    </row>
    <row r="32" spans="1:42" s="224" customFormat="1" ht="15" customHeight="1" x14ac:dyDescent="0.25">
      <c r="A32" s="247">
        <v>45842</v>
      </c>
      <c r="B32" s="882" t="s">
        <v>6258</v>
      </c>
      <c r="C32" s="879" t="s">
        <v>12</v>
      </c>
      <c r="D32" s="879"/>
      <c r="E32" s="875" t="s">
        <v>13</v>
      </c>
      <c r="F32" s="2796"/>
      <c r="G32" s="982">
        <v>600</v>
      </c>
      <c r="H32" s="1008"/>
      <c r="I32" s="1063"/>
      <c r="J32" s="622">
        <v>600</v>
      </c>
      <c r="K32" s="982"/>
      <c r="L32" s="622"/>
      <c r="M32" s="982"/>
      <c r="N32" s="622"/>
      <c r="O32" s="1063"/>
      <c r="P32" s="622"/>
      <c r="Q32" s="982"/>
      <c r="R32" s="941"/>
    </row>
    <row r="33" spans="1:42" s="224" customFormat="1" ht="15" customHeight="1" x14ac:dyDescent="0.25">
      <c r="A33" s="247">
        <v>45842</v>
      </c>
      <c r="B33" s="882" t="s">
        <v>8071</v>
      </c>
      <c r="C33" s="879" t="s">
        <v>12</v>
      </c>
      <c r="D33" s="879" t="s">
        <v>1524</v>
      </c>
      <c r="E33" s="871" t="s">
        <v>13</v>
      </c>
      <c r="F33" s="2796">
        <v>600</v>
      </c>
      <c r="G33" s="982"/>
      <c r="H33" s="622"/>
      <c r="I33" s="982"/>
      <c r="J33" s="872"/>
      <c r="K33" s="1207"/>
      <c r="L33" s="622"/>
      <c r="M33" s="982"/>
      <c r="N33" s="622"/>
      <c r="O33" s="1063"/>
      <c r="P33" s="622"/>
      <c r="Q33" s="982"/>
      <c r="R33" s="1028"/>
      <c r="S33" s="959"/>
      <c r="T33" s="878"/>
      <c r="U33" s="958"/>
    </row>
    <row r="34" spans="1:42" s="224" customFormat="1" ht="15" customHeight="1" x14ac:dyDescent="0.25">
      <c r="A34" s="247">
        <v>45842</v>
      </c>
      <c r="B34" s="882" t="s">
        <v>81</v>
      </c>
      <c r="C34" s="879" t="s">
        <v>12</v>
      </c>
      <c r="D34" s="879" t="s">
        <v>1493</v>
      </c>
      <c r="E34" s="875" t="s">
        <v>13</v>
      </c>
      <c r="F34" s="2796">
        <v>6.5</v>
      </c>
      <c r="G34" s="982"/>
      <c r="H34" s="1008"/>
      <c r="I34" s="1063"/>
      <c r="J34" s="622"/>
      <c r="K34" s="982"/>
      <c r="L34" s="622"/>
      <c r="M34" s="982"/>
      <c r="N34" s="622"/>
      <c r="O34" s="1063"/>
      <c r="P34" s="622"/>
      <c r="Q34" s="982"/>
      <c r="R34" s="861"/>
    </row>
    <row r="35" spans="1:42" s="224" customFormat="1" ht="15" customHeight="1" x14ac:dyDescent="0.25">
      <c r="A35" s="247">
        <v>45842</v>
      </c>
      <c r="B35" s="882" t="s">
        <v>14</v>
      </c>
      <c r="C35" s="1276" t="s">
        <v>12</v>
      </c>
      <c r="D35" s="879" t="s">
        <v>1486</v>
      </c>
      <c r="E35" s="875" t="s">
        <v>13</v>
      </c>
      <c r="F35" s="780">
        <v>26.56</v>
      </c>
      <c r="G35" s="982"/>
      <c r="H35" s="622"/>
      <c r="I35" s="982"/>
      <c r="J35" s="622"/>
      <c r="K35" s="982"/>
      <c r="L35" s="622"/>
      <c r="M35" s="982"/>
      <c r="N35" s="880"/>
      <c r="O35" s="1525"/>
      <c r="P35" s="613"/>
      <c r="Q35" s="162"/>
      <c r="R35" s="1956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45842</v>
      </c>
      <c r="B36" s="882" t="s">
        <v>134</v>
      </c>
      <c r="C36" s="1276" t="s">
        <v>12</v>
      </c>
      <c r="D36" s="879" t="s">
        <v>1493</v>
      </c>
      <c r="E36" s="875" t="s">
        <v>13</v>
      </c>
      <c r="F36" s="780">
        <v>7</v>
      </c>
      <c r="G36" s="982"/>
      <c r="H36" s="622"/>
      <c r="I36" s="982"/>
      <c r="J36" s="622"/>
      <c r="K36" s="982"/>
      <c r="L36" s="622"/>
      <c r="M36" s="982"/>
      <c r="N36" s="880"/>
      <c r="O36" s="1525"/>
      <c r="P36" s="613"/>
      <c r="Q36" s="162"/>
      <c r="R36" s="195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45843</v>
      </c>
      <c r="B37" s="882" t="s">
        <v>14</v>
      </c>
      <c r="C37" s="1276" t="s">
        <v>12</v>
      </c>
      <c r="D37" s="879" t="s">
        <v>1486</v>
      </c>
      <c r="E37" s="875" t="s">
        <v>13</v>
      </c>
      <c r="F37" s="780">
        <v>6.94</v>
      </c>
      <c r="G37" s="982"/>
      <c r="H37" s="622"/>
      <c r="I37" s="982"/>
      <c r="J37" s="622"/>
      <c r="K37" s="982"/>
      <c r="L37" s="622"/>
      <c r="M37" s="982"/>
      <c r="N37" s="880"/>
      <c r="O37" s="1525"/>
      <c r="P37" s="613"/>
      <c r="Q37" s="162"/>
      <c r="R37" s="1956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45843</v>
      </c>
      <c r="B38" s="1275" t="s">
        <v>32</v>
      </c>
      <c r="C38" s="1276" t="s">
        <v>12</v>
      </c>
      <c r="D38" s="1276" t="s">
        <v>1485</v>
      </c>
      <c r="E38" s="1286" t="s">
        <v>5470</v>
      </c>
      <c r="F38" s="780">
        <v>19.899999999999999</v>
      </c>
      <c r="G38" s="982"/>
      <c r="H38" s="622"/>
      <c r="I38" s="982"/>
      <c r="J38" s="622"/>
      <c r="K38" s="982"/>
      <c r="L38" s="622"/>
      <c r="M38" s="982"/>
      <c r="N38" s="880"/>
      <c r="O38" s="1525"/>
      <c r="P38" s="613"/>
      <c r="Q38" s="162"/>
      <c r="R38" s="102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45843</v>
      </c>
      <c r="B39" s="882" t="s">
        <v>8073</v>
      </c>
      <c r="C39" s="879" t="s">
        <v>12</v>
      </c>
      <c r="D39" s="879" t="s">
        <v>1525</v>
      </c>
      <c r="E39" s="875" t="s">
        <v>13</v>
      </c>
      <c r="F39" s="780">
        <v>19.8</v>
      </c>
      <c r="G39" s="982"/>
      <c r="H39" s="95"/>
      <c r="I39" s="1064"/>
      <c r="J39" s="622"/>
      <c r="K39" s="982"/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45843</v>
      </c>
      <c r="B40" s="882" t="s">
        <v>8074</v>
      </c>
      <c r="C40" s="879" t="s">
        <v>12</v>
      </c>
      <c r="D40" s="879" t="s">
        <v>1523</v>
      </c>
      <c r="E40" s="875" t="s">
        <v>13</v>
      </c>
      <c r="F40" s="780">
        <v>5</v>
      </c>
      <c r="G40" s="982"/>
      <c r="H40" s="95"/>
      <c r="I40" s="1064"/>
      <c r="J40" s="622"/>
      <c r="K40" s="982"/>
      <c r="L40" s="622"/>
      <c r="M40" s="982"/>
      <c r="N40" s="622"/>
      <c r="O40" s="1063"/>
      <c r="P40" s="622"/>
      <c r="Q40" s="982"/>
      <c r="R40" s="861"/>
    </row>
    <row r="41" spans="1:42" s="224" customFormat="1" x14ac:dyDescent="0.25">
      <c r="A41" s="247">
        <v>45844</v>
      </c>
      <c r="B41" s="1275" t="s">
        <v>80</v>
      </c>
      <c r="C41" s="879" t="s">
        <v>12</v>
      </c>
      <c r="D41" s="1276" t="s">
        <v>1523</v>
      </c>
      <c r="E41" s="1277" t="s">
        <v>13</v>
      </c>
      <c r="F41" s="1702">
        <v>28</v>
      </c>
      <c r="G41" s="982"/>
      <c r="H41" s="1008"/>
      <c r="I41" s="1063"/>
      <c r="J41" s="2013"/>
      <c r="K41" s="1207"/>
      <c r="L41" s="622"/>
      <c r="M41" s="982"/>
      <c r="N41" s="622"/>
      <c r="O41" s="1063"/>
      <c r="P41" s="622"/>
      <c r="Q41" s="982"/>
      <c r="R41" s="1028"/>
      <c r="T41" s="878"/>
    </row>
    <row r="42" spans="1:42" s="224" customFormat="1" ht="15" customHeight="1" x14ac:dyDescent="0.25">
      <c r="A42" s="247">
        <v>45844</v>
      </c>
      <c r="B42" s="882" t="s">
        <v>14</v>
      </c>
      <c r="C42" s="1276" t="s">
        <v>12</v>
      </c>
      <c r="D42" s="879" t="s">
        <v>1486</v>
      </c>
      <c r="E42" s="875" t="s">
        <v>13</v>
      </c>
      <c r="F42" s="780">
        <v>6.55</v>
      </c>
      <c r="G42" s="982"/>
      <c r="H42" s="622"/>
      <c r="I42" s="982"/>
      <c r="J42" s="622"/>
      <c r="K42" s="982"/>
      <c r="L42" s="622"/>
      <c r="M42" s="982"/>
      <c r="N42" s="880"/>
      <c r="O42" s="1525"/>
      <c r="P42" s="613"/>
      <c r="Q42" s="162"/>
      <c r="R42" s="1956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45844</v>
      </c>
      <c r="B43" s="882" t="s">
        <v>134</v>
      </c>
      <c r="C43" s="1276" t="s">
        <v>12</v>
      </c>
      <c r="D43" s="879" t="s">
        <v>1493</v>
      </c>
      <c r="E43" s="875" t="s">
        <v>13</v>
      </c>
      <c r="F43" s="780">
        <v>9.0299999999999994</v>
      </c>
      <c r="G43" s="982"/>
      <c r="H43" s="622"/>
      <c r="I43" s="982"/>
      <c r="J43" s="622"/>
      <c r="K43" s="982"/>
      <c r="L43" s="622"/>
      <c r="M43" s="982"/>
      <c r="N43" s="880"/>
      <c r="O43" s="1525"/>
      <c r="P43" s="613"/>
      <c r="Q43" s="162"/>
      <c r="R43" s="1956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pans="1:42" s="224" customFormat="1" ht="15" customHeight="1" x14ac:dyDescent="0.25">
      <c r="A44" s="247">
        <v>45844</v>
      </c>
      <c r="B44" s="882" t="s">
        <v>134</v>
      </c>
      <c r="C44" s="1276" t="s">
        <v>12</v>
      </c>
      <c r="D44" s="879" t="s">
        <v>1493</v>
      </c>
      <c r="E44" s="875" t="s">
        <v>13</v>
      </c>
      <c r="F44" s="780">
        <v>7.68</v>
      </c>
      <c r="G44" s="982"/>
      <c r="H44" s="622"/>
      <c r="I44" s="982"/>
      <c r="J44" s="622"/>
      <c r="K44" s="982"/>
      <c r="L44" s="622"/>
      <c r="M44" s="982"/>
      <c r="N44" s="880"/>
      <c r="O44" s="1525"/>
      <c r="P44" s="613"/>
      <c r="Q44" s="162"/>
      <c r="R44" s="1956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224" customFormat="1" ht="15" customHeight="1" x14ac:dyDescent="0.25">
      <c r="A45" s="247">
        <v>45845</v>
      </c>
      <c r="B45" s="882" t="s">
        <v>8029</v>
      </c>
      <c r="C45" s="879" t="s">
        <v>12</v>
      </c>
      <c r="D45" s="879"/>
      <c r="E45" s="875" t="s">
        <v>25</v>
      </c>
      <c r="F45" s="780"/>
      <c r="G45" s="982">
        <v>150</v>
      </c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2722">
        <v>150</v>
      </c>
    </row>
    <row r="46" spans="1:42" s="224" customFormat="1" ht="15" customHeight="1" x14ac:dyDescent="0.25">
      <c r="A46" s="247">
        <v>45845</v>
      </c>
      <c r="B46" s="882" t="s">
        <v>7849</v>
      </c>
      <c r="C46" s="879" t="s">
        <v>12</v>
      </c>
      <c r="D46" s="879"/>
      <c r="E46" s="875" t="s">
        <v>13</v>
      </c>
      <c r="F46" s="2796">
        <v>220</v>
      </c>
      <c r="G46" s="982"/>
      <c r="H46" s="1008"/>
      <c r="I46" s="1063"/>
      <c r="J46" s="622"/>
      <c r="K46" s="982">
        <v>220</v>
      </c>
      <c r="L46" s="622"/>
      <c r="M46" s="982"/>
      <c r="N46" s="622"/>
      <c r="O46" s="1063"/>
      <c r="P46" s="622"/>
      <c r="Q46" s="982"/>
      <c r="R46" s="861"/>
    </row>
    <row r="47" spans="1:42" s="224" customFormat="1" ht="15" customHeight="1" x14ac:dyDescent="0.25">
      <c r="A47" s="247">
        <v>45845</v>
      </c>
      <c r="B47" s="882" t="s">
        <v>6258</v>
      </c>
      <c r="C47" s="879" t="s">
        <v>12</v>
      </c>
      <c r="D47" s="879"/>
      <c r="E47" s="875" t="s">
        <v>13</v>
      </c>
      <c r="F47" s="2796"/>
      <c r="G47" s="982">
        <v>20</v>
      </c>
      <c r="H47" s="1008"/>
      <c r="I47" s="1063"/>
      <c r="J47" s="622">
        <v>20</v>
      </c>
      <c r="K47" s="982"/>
      <c r="L47" s="622"/>
      <c r="M47" s="982"/>
      <c r="N47" s="622"/>
      <c r="O47" s="1063"/>
      <c r="P47" s="622"/>
      <c r="Q47" s="982"/>
      <c r="R47" s="941"/>
    </row>
    <row r="48" spans="1:42" s="224" customFormat="1" ht="15" customHeight="1" x14ac:dyDescent="0.25">
      <c r="A48" s="247">
        <v>45845</v>
      </c>
      <c r="B48" s="882" t="s">
        <v>8077</v>
      </c>
      <c r="C48" s="879" t="s">
        <v>12</v>
      </c>
      <c r="D48" s="879" t="s">
        <v>1524</v>
      </c>
      <c r="E48" s="871" t="s">
        <v>13</v>
      </c>
      <c r="F48" s="2796">
        <v>20</v>
      </c>
      <c r="G48" s="982"/>
      <c r="H48" s="622"/>
      <c r="I48" s="982"/>
      <c r="J48" s="872"/>
      <c r="K48" s="1207"/>
      <c r="L48" s="622"/>
      <c r="M48" s="982"/>
      <c r="N48" s="622"/>
      <c r="O48" s="1063"/>
      <c r="P48" s="622"/>
      <c r="Q48" s="982"/>
      <c r="R48" s="1028"/>
      <c r="S48" s="959"/>
      <c r="T48" s="878"/>
      <c r="U48" s="958"/>
    </row>
    <row r="49" spans="1:42" s="224" customFormat="1" ht="15" customHeight="1" x14ac:dyDescent="0.25">
      <c r="A49" s="247">
        <v>45845</v>
      </c>
      <c r="B49" s="1275" t="s">
        <v>32</v>
      </c>
      <c r="C49" s="1276" t="s">
        <v>12</v>
      </c>
      <c r="D49" s="1276" t="s">
        <v>1485</v>
      </c>
      <c r="E49" s="871" t="s">
        <v>13</v>
      </c>
      <c r="F49" s="780">
        <v>23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028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45845</v>
      </c>
      <c r="B50" s="882" t="s">
        <v>14</v>
      </c>
      <c r="C50" s="1276" t="s">
        <v>12</v>
      </c>
      <c r="D50" s="879" t="s">
        <v>1486</v>
      </c>
      <c r="E50" s="875" t="s">
        <v>13</v>
      </c>
      <c r="F50" s="780">
        <v>5.67</v>
      </c>
      <c r="G50" s="982"/>
      <c r="H50" s="95"/>
      <c r="I50" s="1064"/>
      <c r="J50" s="613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45846</v>
      </c>
      <c r="B51" s="882" t="s">
        <v>6329</v>
      </c>
      <c r="C51" s="879" t="s">
        <v>12</v>
      </c>
      <c r="D51" s="879"/>
      <c r="E51" s="875" t="s">
        <v>25</v>
      </c>
      <c r="F51" s="780"/>
      <c r="G51" s="982">
        <v>100</v>
      </c>
      <c r="H51" s="1008"/>
      <c r="I51" s="1063"/>
      <c r="J51" s="613"/>
      <c r="K51" s="982"/>
      <c r="L51" s="622"/>
      <c r="M51" s="982"/>
      <c r="N51" s="622"/>
      <c r="O51" s="1063"/>
      <c r="P51" s="622"/>
      <c r="Q51" s="982"/>
      <c r="R51" s="861"/>
    </row>
    <row r="52" spans="1:42" s="224" customFormat="1" ht="15" customHeight="1" x14ac:dyDescent="0.25">
      <c r="A52" s="247">
        <v>45846</v>
      </c>
      <c r="B52" s="1275" t="s">
        <v>32</v>
      </c>
      <c r="C52" s="1276" t="s">
        <v>12</v>
      </c>
      <c r="D52" s="1276" t="s">
        <v>1485</v>
      </c>
      <c r="E52" s="871" t="s">
        <v>13</v>
      </c>
      <c r="F52" s="780">
        <v>23</v>
      </c>
      <c r="G52" s="982"/>
      <c r="H52" s="622"/>
      <c r="I52" s="982"/>
      <c r="J52" s="622"/>
      <c r="K52" s="982"/>
      <c r="L52" s="622"/>
      <c r="M52" s="982"/>
      <c r="N52" s="880"/>
      <c r="O52" s="1525"/>
      <c r="P52" s="613"/>
      <c r="Q52" s="162"/>
      <c r="R52" s="1028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customHeight="1" x14ac:dyDescent="0.25">
      <c r="A53" s="247">
        <v>45846</v>
      </c>
      <c r="B53" s="882" t="s">
        <v>8019</v>
      </c>
      <c r="C53" s="879" t="s">
        <v>12</v>
      </c>
      <c r="D53" s="879" t="s">
        <v>6731</v>
      </c>
      <c r="E53" s="871" t="s">
        <v>13</v>
      </c>
      <c r="F53" s="780">
        <v>36.99</v>
      </c>
      <c r="G53" s="982"/>
      <c r="H53" s="622"/>
      <c r="I53" s="982"/>
      <c r="J53" s="872"/>
      <c r="K53" s="1207"/>
      <c r="L53" s="622"/>
      <c r="M53" s="982"/>
      <c r="N53" s="622"/>
      <c r="O53" s="1063"/>
      <c r="P53" s="622"/>
      <c r="Q53" s="982"/>
      <c r="R53" s="1028"/>
      <c r="S53" s="959"/>
      <c r="T53" s="878"/>
      <c r="U53" s="958"/>
    </row>
    <row r="54" spans="1:42" s="224" customFormat="1" ht="15" customHeight="1" x14ac:dyDescent="0.25">
      <c r="A54" s="247">
        <v>45846</v>
      </c>
      <c r="B54" s="882" t="s">
        <v>14</v>
      </c>
      <c r="C54" s="1276" t="s">
        <v>12</v>
      </c>
      <c r="D54" s="879" t="s">
        <v>1486</v>
      </c>
      <c r="E54" s="875" t="s">
        <v>13</v>
      </c>
      <c r="F54" s="780">
        <v>5.67</v>
      </c>
      <c r="G54" s="982"/>
      <c r="H54" s="95"/>
      <c r="I54" s="1064"/>
      <c r="J54" s="613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4.25" customHeight="1" x14ac:dyDescent="0.25">
      <c r="A55" s="247">
        <v>45846</v>
      </c>
      <c r="B55" s="882" t="s">
        <v>3958</v>
      </c>
      <c r="C55" s="879" t="s">
        <v>12</v>
      </c>
      <c r="D55" s="879" t="s">
        <v>1489</v>
      </c>
      <c r="E55" s="875" t="s">
        <v>15</v>
      </c>
      <c r="F55" s="1810">
        <v>22</v>
      </c>
      <c r="G55" s="982"/>
      <c r="H55" s="1031"/>
      <c r="I55" s="1525"/>
      <c r="J55" s="622"/>
      <c r="K55" s="982"/>
      <c r="L55" s="880"/>
      <c r="M55" s="1033"/>
      <c r="N55" s="880"/>
      <c r="O55" s="1525"/>
      <c r="P55" s="613"/>
      <c r="Q55" s="162"/>
      <c r="R55" s="1209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t="15" customHeight="1" x14ac:dyDescent="0.25">
      <c r="A56" s="247">
        <v>45846</v>
      </c>
      <c r="B56" s="882" t="s">
        <v>6258</v>
      </c>
      <c r="C56" s="879" t="s">
        <v>12</v>
      </c>
      <c r="D56" s="879"/>
      <c r="E56" s="875" t="s">
        <v>13</v>
      </c>
      <c r="F56" s="2796"/>
      <c r="G56" s="982">
        <v>35.979999999999997</v>
      </c>
      <c r="H56" s="1008"/>
      <c r="I56" s="1063"/>
      <c r="J56" s="622">
        <v>35.979999999999997</v>
      </c>
      <c r="K56" s="982"/>
      <c r="L56" s="622"/>
      <c r="M56" s="982"/>
      <c r="N56" s="622"/>
      <c r="O56" s="1063"/>
      <c r="P56" s="622"/>
      <c r="Q56" s="982"/>
      <c r="R56" s="941"/>
    </row>
    <row r="57" spans="1:42" s="224" customFormat="1" ht="15" customHeight="1" x14ac:dyDescent="0.25">
      <c r="A57" s="247">
        <v>45846</v>
      </c>
      <c r="B57" s="882" t="s">
        <v>8086</v>
      </c>
      <c r="C57" s="879" t="s">
        <v>12</v>
      </c>
      <c r="D57" s="879" t="s">
        <v>1524</v>
      </c>
      <c r="E57" s="871" t="s">
        <v>13</v>
      </c>
      <c r="F57" s="2796">
        <v>35.979999999999997</v>
      </c>
      <c r="G57" s="982"/>
      <c r="H57" s="622"/>
      <c r="I57" s="982"/>
      <c r="J57" s="872"/>
      <c r="K57" s="1207"/>
      <c r="L57" s="622"/>
      <c r="M57" s="982"/>
      <c r="N57" s="622"/>
      <c r="O57" s="1063"/>
      <c r="P57" s="622"/>
      <c r="Q57" s="982"/>
      <c r="R57" s="1028"/>
      <c r="S57" s="959"/>
      <c r="T57" s="878"/>
      <c r="U57" s="958"/>
    </row>
    <row r="58" spans="1:42" s="224" customFormat="1" ht="15" customHeight="1" x14ac:dyDescent="0.25">
      <c r="A58" s="247">
        <v>45847</v>
      </c>
      <c r="B58" s="1275" t="s">
        <v>32</v>
      </c>
      <c r="C58" s="1276" t="s">
        <v>12</v>
      </c>
      <c r="D58" s="1276" t="s">
        <v>1485</v>
      </c>
      <c r="E58" s="871" t="s">
        <v>13</v>
      </c>
      <c r="F58" s="780">
        <v>23</v>
      </c>
      <c r="G58" s="982"/>
      <c r="H58" s="622"/>
      <c r="I58" s="982"/>
      <c r="J58" s="622"/>
      <c r="K58" s="982"/>
      <c r="L58" s="622"/>
      <c r="M58" s="982"/>
      <c r="N58" s="880"/>
      <c r="O58" s="1525"/>
      <c r="P58" s="613"/>
      <c r="Q58" s="162"/>
      <c r="R58" s="102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45847</v>
      </c>
      <c r="B59" s="882" t="s">
        <v>81</v>
      </c>
      <c r="C59" s="879" t="s">
        <v>12</v>
      </c>
      <c r="D59" s="879" t="s">
        <v>1493</v>
      </c>
      <c r="E59" s="875" t="s">
        <v>13</v>
      </c>
      <c r="F59" s="2796">
        <v>6.5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5" customHeight="1" x14ac:dyDescent="0.25">
      <c r="A60" s="247">
        <v>45847</v>
      </c>
      <c r="B60" s="882" t="s">
        <v>14</v>
      </c>
      <c r="C60" s="1276" t="s">
        <v>12</v>
      </c>
      <c r="D60" s="879" t="s">
        <v>1486</v>
      </c>
      <c r="E60" s="875" t="s">
        <v>13</v>
      </c>
      <c r="F60" s="780">
        <v>3.99</v>
      </c>
      <c r="G60" s="982"/>
      <c r="H60" s="1008"/>
      <c r="I60" s="1063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ht="15" customHeight="1" x14ac:dyDescent="0.25">
      <c r="A61" s="247">
        <v>45848</v>
      </c>
      <c r="B61" s="882" t="s">
        <v>6258</v>
      </c>
      <c r="C61" s="879" t="s">
        <v>12</v>
      </c>
      <c r="D61" s="879"/>
      <c r="E61" s="875" t="s">
        <v>13</v>
      </c>
      <c r="F61" s="2796"/>
      <c r="G61" s="982">
        <v>59</v>
      </c>
      <c r="H61" s="1008"/>
      <c r="I61" s="1063"/>
      <c r="J61" s="622">
        <v>59</v>
      </c>
      <c r="K61" s="982"/>
      <c r="L61" s="622"/>
      <c r="M61" s="982"/>
      <c r="N61" s="622"/>
      <c r="O61" s="1063"/>
      <c r="P61" s="622"/>
      <c r="Q61" s="982"/>
      <c r="R61" s="941"/>
    </row>
    <row r="62" spans="1:42" s="224" customFormat="1" ht="15" customHeight="1" x14ac:dyDescent="0.25">
      <c r="A62" s="247">
        <v>45848</v>
      </c>
      <c r="B62" s="882" t="s">
        <v>8087</v>
      </c>
      <c r="C62" s="879" t="s">
        <v>12</v>
      </c>
      <c r="D62" s="879" t="s">
        <v>1524</v>
      </c>
      <c r="E62" s="871" t="s">
        <v>13</v>
      </c>
      <c r="F62" s="2796">
        <v>59</v>
      </c>
      <c r="G62" s="982"/>
      <c r="H62" s="622"/>
      <c r="I62" s="982"/>
      <c r="J62" s="872"/>
      <c r="K62" s="1207"/>
      <c r="L62" s="622"/>
      <c r="M62" s="982"/>
      <c r="N62" s="622"/>
      <c r="O62" s="1063"/>
      <c r="P62" s="622"/>
      <c r="Q62" s="982"/>
      <c r="R62" s="1028"/>
      <c r="S62" s="959"/>
      <c r="T62" s="878"/>
      <c r="U62" s="958"/>
    </row>
    <row r="63" spans="1:42" s="224" customFormat="1" ht="15" customHeight="1" x14ac:dyDescent="0.25">
      <c r="A63" s="247">
        <v>45848</v>
      </c>
      <c r="B63" s="1275" t="s">
        <v>2789</v>
      </c>
      <c r="C63" s="1276" t="s">
        <v>12</v>
      </c>
      <c r="D63" s="1276" t="s">
        <v>1485</v>
      </c>
      <c r="E63" s="871" t="s">
        <v>13</v>
      </c>
      <c r="F63" s="780">
        <v>12.96</v>
      </c>
      <c r="G63" s="982"/>
      <c r="H63" s="622"/>
      <c r="I63" s="982"/>
      <c r="J63" s="622"/>
      <c r="K63" s="982"/>
      <c r="L63" s="622"/>
      <c r="M63" s="982"/>
      <c r="N63" s="880"/>
      <c r="O63" s="1525"/>
      <c r="P63" s="613"/>
      <c r="Q63" s="162"/>
      <c r="R63" s="1028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x14ac:dyDescent="0.25">
      <c r="A64" s="247">
        <v>45848</v>
      </c>
      <c r="B64" s="1275" t="s">
        <v>8089</v>
      </c>
      <c r="C64" s="1276" t="s">
        <v>12</v>
      </c>
      <c r="D64" s="1276" t="s">
        <v>1525</v>
      </c>
      <c r="E64" s="871" t="s">
        <v>13</v>
      </c>
      <c r="F64" s="780">
        <v>74.83</v>
      </c>
      <c r="G64" s="982"/>
      <c r="H64" s="1008"/>
      <c r="I64" s="1063"/>
      <c r="J64" s="622"/>
      <c r="K64" s="982"/>
      <c r="L64" s="622"/>
      <c r="M64" s="982"/>
      <c r="N64" s="622"/>
      <c r="O64" s="1063"/>
      <c r="P64" s="622"/>
      <c r="Q64" s="982"/>
      <c r="R64" s="1028"/>
      <c r="T64" s="878"/>
    </row>
    <row r="65" spans="1:42" s="224" customFormat="1" ht="15" customHeight="1" x14ac:dyDescent="0.25">
      <c r="A65" s="247">
        <v>45848</v>
      </c>
      <c r="B65" s="882" t="s">
        <v>6258</v>
      </c>
      <c r="C65" s="879" t="s">
        <v>12</v>
      </c>
      <c r="D65" s="879"/>
      <c r="E65" s="875" t="s">
        <v>13</v>
      </c>
      <c r="F65" s="2796"/>
      <c r="G65" s="982">
        <v>108</v>
      </c>
      <c r="H65" s="1008"/>
      <c r="I65" s="1063"/>
      <c r="J65" s="622">
        <v>108</v>
      </c>
      <c r="K65" s="982"/>
      <c r="L65" s="622"/>
      <c r="M65" s="982"/>
      <c r="N65" s="622"/>
      <c r="O65" s="1063"/>
      <c r="P65" s="622"/>
      <c r="Q65" s="982"/>
      <c r="R65" s="941"/>
    </row>
    <row r="66" spans="1:42" s="224" customFormat="1" ht="15" customHeight="1" x14ac:dyDescent="0.25">
      <c r="A66" s="247">
        <v>45848</v>
      </c>
      <c r="B66" s="882" t="s">
        <v>8090</v>
      </c>
      <c r="C66" s="879" t="s">
        <v>12</v>
      </c>
      <c r="D66" s="879" t="s">
        <v>1524</v>
      </c>
      <c r="E66" s="871" t="s">
        <v>13</v>
      </c>
      <c r="F66" s="2796">
        <v>108</v>
      </c>
      <c r="G66" s="982"/>
      <c r="H66" s="622"/>
      <c r="I66" s="982"/>
      <c r="J66" s="872"/>
      <c r="K66" s="1207"/>
      <c r="L66" s="622"/>
      <c r="M66" s="982"/>
      <c r="N66" s="622"/>
      <c r="O66" s="1063"/>
      <c r="P66" s="622"/>
      <c r="Q66" s="982"/>
      <c r="R66" s="1028"/>
      <c r="S66" s="959"/>
      <c r="T66" s="878"/>
      <c r="U66" s="958"/>
    </row>
    <row r="67" spans="1:42" s="224" customFormat="1" ht="15" customHeight="1" x14ac:dyDescent="0.25">
      <c r="A67" s="247">
        <v>45848</v>
      </c>
      <c r="B67" s="882" t="s">
        <v>14</v>
      </c>
      <c r="C67" s="1276" t="s">
        <v>12</v>
      </c>
      <c r="D67" s="879" t="s">
        <v>1486</v>
      </c>
      <c r="E67" s="875" t="s">
        <v>13</v>
      </c>
      <c r="F67" s="780">
        <v>4.47</v>
      </c>
      <c r="G67" s="982"/>
      <c r="H67" s="1008"/>
      <c r="I67" s="1063"/>
      <c r="J67" s="613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45848</v>
      </c>
      <c r="B68" s="882" t="s">
        <v>81</v>
      </c>
      <c r="C68" s="1276" t="s">
        <v>12</v>
      </c>
      <c r="D68" s="879" t="s">
        <v>1493</v>
      </c>
      <c r="E68" s="875" t="s">
        <v>13</v>
      </c>
      <c r="F68" s="780">
        <v>6</v>
      </c>
      <c r="G68" s="982"/>
      <c r="H68" s="1008"/>
      <c r="I68" s="1063"/>
      <c r="J68" s="613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5" customHeight="1" x14ac:dyDescent="0.25">
      <c r="A69" s="247">
        <v>45848</v>
      </c>
      <c r="B69" s="1275" t="s">
        <v>7952</v>
      </c>
      <c r="C69" s="1276" t="s">
        <v>12</v>
      </c>
      <c r="D69" s="1276"/>
      <c r="E69" s="1286" t="s">
        <v>13</v>
      </c>
      <c r="F69" s="613">
        <v>182.71</v>
      </c>
      <c r="G69" s="967"/>
      <c r="H69" s="1008"/>
      <c r="I69" s="1063"/>
      <c r="J69" s="613"/>
      <c r="K69" s="6"/>
      <c r="L69" s="622"/>
      <c r="M69" s="982"/>
      <c r="N69" s="622"/>
      <c r="O69" s="1063"/>
      <c r="P69" s="613"/>
      <c r="Q69" s="64"/>
      <c r="R69" s="1024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ht="15" customHeight="1" x14ac:dyDescent="0.25">
      <c r="A70" s="247">
        <v>45848</v>
      </c>
      <c r="B70" s="1275" t="s">
        <v>6755</v>
      </c>
      <c r="C70" s="1276" t="s">
        <v>12</v>
      </c>
      <c r="D70" s="1276"/>
      <c r="E70" s="1286"/>
      <c r="F70" s="613"/>
      <c r="G70" s="967">
        <v>182.71</v>
      </c>
      <c r="H70" s="1008"/>
      <c r="I70" s="1063"/>
      <c r="J70" s="613"/>
      <c r="K70" s="6"/>
      <c r="L70" s="622"/>
      <c r="M70" s="982"/>
      <c r="N70" s="622"/>
      <c r="O70" s="1063"/>
      <c r="P70" s="613"/>
      <c r="Q70" s="64"/>
      <c r="R70" s="1024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45849</v>
      </c>
      <c r="B71" s="1275" t="s">
        <v>32</v>
      </c>
      <c r="C71" s="1276" t="s">
        <v>12</v>
      </c>
      <c r="D71" s="1276" t="s">
        <v>1485</v>
      </c>
      <c r="E71" s="871" t="s">
        <v>13</v>
      </c>
      <c r="F71" s="780">
        <v>23</v>
      </c>
      <c r="G71" s="982"/>
      <c r="H71" s="622"/>
      <c r="I71" s="982"/>
      <c r="J71" s="622"/>
      <c r="K71" s="982"/>
      <c r="L71" s="622"/>
      <c r="M71" s="982"/>
      <c r="N71" s="880"/>
      <c r="O71" s="1525"/>
      <c r="P71" s="613"/>
      <c r="Q71" s="162"/>
      <c r="R71" s="1028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pans="1:42" s="224" customFormat="1" ht="15" customHeight="1" x14ac:dyDescent="0.25">
      <c r="A72" s="247">
        <v>45849</v>
      </c>
      <c r="B72" s="882" t="s">
        <v>6258</v>
      </c>
      <c r="C72" s="879" t="s">
        <v>12</v>
      </c>
      <c r="D72" s="879"/>
      <c r="E72" s="875" t="s">
        <v>13</v>
      </c>
      <c r="F72" s="2796"/>
      <c r="G72" s="982">
        <v>1000</v>
      </c>
      <c r="H72" s="1008"/>
      <c r="I72" s="1063"/>
      <c r="J72" s="622">
        <v>1000</v>
      </c>
      <c r="K72" s="982"/>
      <c r="L72" s="622"/>
      <c r="M72" s="982"/>
      <c r="N72" s="622"/>
      <c r="O72" s="1063"/>
      <c r="P72" s="622"/>
      <c r="Q72" s="982"/>
    </row>
    <row r="73" spans="1:42" s="224" customFormat="1" ht="15" customHeight="1" x14ac:dyDescent="0.25">
      <c r="A73" s="247">
        <v>45849</v>
      </c>
      <c r="B73" s="882" t="s">
        <v>8104</v>
      </c>
      <c r="C73" s="879" t="s">
        <v>12</v>
      </c>
      <c r="D73" s="879" t="s">
        <v>1524</v>
      </c>
      <c r="E73" s="871" t="s">
        <v>13</v>
      </c>
      <c r="F73" s="2796">
        <v>1000</v>
      </c>
      <c r="G73" s="982"/>
      <c r="H73" s="622"/>
      <c r="I73" s="982"/>
      <c r="J73" s="872"/>
      <c r="K73" s="1207"/>
      <c r="L73" s="622"/>
      <c r="M73" s="982"/>
      <c r="N73" s="622"/>
      <c r="O73" s="1063"/>
      <c r="P73" s="622"/>
      <c r="Q73" s="982"/>
      <c r="R73" s="1117" t="s">
        <v>8092</v>
      </c>
      <c r="S73" s="959"/>
      <c r="T73" s="878"/>
      <c r="U73" s="958"/>
    </row>
    <row r="74" spans="1:42" s="224" customFormat="1" ht="15" customHeight="1" x14ac:dyDescent="0.25">
      <c r="A74" s="247">
        <v>45849</v>
      </c>
      <c r="B74" s="882" t="s">
        <v>8117</v>
      </c>
      <c r="C74" s="879" t="s">
        <v>12</v>
      </c>
      <c r="D74" s="879" t="s">
        <v>1493</v>
      </c>
      <c r="E74" s="480" t="s">
        <v>13</v>
      </c>
      <c r="F74" s="613">
        <v>57.8</v>
      </c>
      <c r="G74" s="967"/>
      <c r="H74" s="1008"/>
      <c r="I74" s="1063"/>
      <c r="J74" s="622"/>
      <c r="K74" s="982"/>
      <c r="L74" s="880"/>
      <c r="M74" s="1033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45850</v>
      </c>
      <c r="B75" s="882" t="s">
        <v>14</v>
      </c>
      <c r="C75" s="1276" t="s">
        <v>12</v>
      </c>
      <c r="D75" s="879" t="s">
        <v>1486</v>
      </c>
      <c r="E75" s="875" t="s">
        <v>13</v>
      </c>
      <c r="F75" s="780">
        <v>8.4600000000000009</v>
      </c>
      <c r="G75" s="982"/>
      <c r="H75" s="1008"/>
      <c r="I75" s="1063"/>
      <c r="J75" s="613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45850</v>
      </c>
      <c r="B76" s="882" t="s">
        <v>8116</v>
      </c>
      <c r="C76" s="879" t="s">
        <v>12</v>
      </c>
      <c r="D76" s="879" t="s">
        <v>1525</v>
      </c>
      <c r="E76" s="875" t="s">
        <v>13</v>
      </c>
      <c r="F76" s="780">
        <v>33</v>
      </c>
      <c r="G76" s="982"/>
      <c r="H76" s="622"/>
      <c r="I76" s="982"/>
      <c r="J76" s="622"/>
      <c r="K76" s="982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45850</v>
      </c>
      <c r="B77" s="882" t="s">
        <v>2629</v>
      </c>
      <c r="C77" s="879" t="s">
        <v>12</v>
      </c>
      <c r="D77" s="879" t="s">
        <v>1489</v>
      </c>
      <c r="E77" s="875" t="s">
        <v>5470</v>
      </c>
      <c r="F77" s="780">
        <v>123.92</v>
      </c>
      <c r="G77" s="982"/>
      <c r="H77" s="622"/>
      <c r="I77" s="982"/>
      <c r="J77" s="622"/>
      <c r="K77" s="982"/>
      <c r="L77" s="622"/>
      <c r="M77" s="982"/>
      <c r="N77" s="622"/>
      <c r="O77" s="1063"/>
      <c r="P77" s="622"/>
      <c r="Q77" s="982"/>
      <c r="R77" s="1028"/>
      <c r="S77" s="959"/>
      <c r="T77" s="878"/>
      <c r="U77" s="958"/>
    </row>
    <row r="78" spans="1:42" s="224" customFormat="1" ht="15" customHeight="1" x14ac:dyDescent="0.25">
      <c r="A78" s="247">
        <v>45850</v>
      </c>
      <c r="B78" s="882" t="s">
        <v>80</v>
      </c>
      <c r="C78" s="879" t="s">
        <v>12</v>
      </c>
      <c r="D78" s="879" t="s">
        <v>1523</v>
      </c>
      <c r="E78" s="875" t="s">
        <v>13</v>
      </c>
      <c r="F78" s="780">
        <v>24</v>
      </c>
      <c r="G78" s="982"/>
      <c r="H78" s="622"/>
      <c r="I78" s="982"/>
      <c r="J78" s="622"/>
      <c r="K78" s="982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45850</v>
      </c>
      <c r="B79" s="882" t="s">
        <v>6861</v>
      </c>
      <c r="C79" s="879" t="s">
        <v>12</v>
      </c>
      <c r="D79" s="879" t="s">
        <v>1493</v>
      </c>
      <c r="E79" s="875" t="s">
        <v>13</v>
      </c>
      <c r="F79" s="780">
        <v>39.5</v>
      </c>
      <c r="G79" s="982"/>
      <c r="H79" s="622"/>
      <c r="I79" s="982"/>
      <c r="J79" s="622"/>
      <c r="K79" s="982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ht="15" customHeight="1" x14ac:dyDescent="0.25">
      <c r="A80" s="247">
        <v>45851</v>
      </c>
      <c r="B80" s="882" t="s">
        <v>14</v>
      </c>
      <c r="C80" s="1276" t="s">
        <v>12</v>
      </c>
      <c r="D80" s="879" t="s">
        <v>1486</v>
      </c>
      <c r="E80" s="875" t="s">
        <v>13</v>
      </c>
      <c r="F80" s="780">
        <v>11.28</v>
      </c>
      <c r="G80" s="982"/>
      <c r="H80" s="622"/>
      <c r="I80" s="982"/>
      <c r="J80" s="622"/>
      <c r="K80" s="982"/>
      <c r="L80" s="622"/>
      <c r="M80" s="982"/>
      <c r="N80" s="622"/>
      <c r="O80" s="1063"/>
      <c r="P80" s="622"/>
      <c r="Q80" s="982"/>
      <c r="R80" s="1028"/>
      <c r="S80" s="959"/>
      <c r="T80" s="878"/>
      <c r="U80" s="958"/>
    </row>
    <row r="81" spans="1:42" s="224" customFormat="1" ht="15" customHeight="1" x14ac:dyDescent="0.25">
      <c r="A81" s="247">
        <v>45851</v>
      </c>
      <c r="B81" s="882" t="s">
        <v>7122</v>
      </c>
      <c r="C81" s="879" t="s">
        <v>12</v>
      </c>
      <c r="D81" s="879" t="s">
        <v>1489</v>
      </c>
      <c r="E81" s="871" t="s">
        <v>13</v>
      </c>
      <c r="F81" s="780">
        <v>15</v>
      </c>
      <c r="G81" s="982"/>
      <c r="H81" s="622"/>
      <c r="I81" s="982"/>
      <c r="J81" s="872"/>
      <c r="K81" s="1207"/>
      <c r="L81" s="622"/>
      <c r="M81" s="982"/>
      <c r="N81" s="622"/>
      <c r="O81" s="1063"/>
      <c r="P81" s="622"/>
      <c r="Q81" s="982"/>
      <c r="R81" s="1028"/>
      <c r="S81" s="959"/>
      <c r="T81" s="878"/>
      <c r="U81" s="958"/>
    </row>
    <row r="82" spans="1:42" s="224" customFormat="1" ht="15" customHeight="1" x14ac:dyDescent="0.25">
      <c r="A82" s="247">
        <v>45851</v>
      </c>
      <c r="B82" s="882" t="s">
        <v>1369</v>
      </c>
      <c r="C82" s="879" t="s">
        <v>12</v>
      </c>
      <c r="D82" s="879" t="s">
        <v>1489</v>
      </c>
      <c r="E82" s="871" t="s">
        <v>13</v>
      </c>
      <c r="F82" s="780">
        <v>14</v>
      </c>
      <c r="G82" s="982"/>
      <c r="H82" s="622"/>
      <c r="I82" s="982"/>
      <c r="J82" s="872"/>
      <c r="K82" s="1207"/>
      <c r="L82" s="622"/>
      <c r="M82" s="982"/>
      <c r="N82" s="622"/>
      <c r="O82" s="1063"/>
      <c r="P82" s="622"/>
      <c r="Q82" s="982"/>
      <c r="R82" s="1028"/>
      <c r="S82" s="959"/>
      <c r="T82" s="878"/>
      <c r="U82" s="958"/>
    </row>
    <row r="83" spans="1:42" s="224" customFormat="1" ht="15" customHeight="1" x14ac:dyDescent="0.25">
      <c r="A83" s="247">
        <v>45851</v>
      </c>
      <c r="B83" s="882" t="s">
        <v>7270</v>
      </c>
      <c r="C83" s="879" t="s">
        <v>12</v>
      </c>
      <c r="D83" s="879" t="s">
        <v>1493</v>
      </c>
      <c r="E83" s="871" t="s">
        <v>13</v>
      </c>
      <c r="F83" s="780">
        <v>35</v>
      </c>
      <c r="G83" s="982"/>
      <c r="H83" s="622"/>
      <c r="I83" s="982"/>
      <c r="J83" s="872"/>
      <c r="K83" s="1207"/>
      <c r="L83" s="622"/>
      <c r="M83" s="982"/>
      <c r="N83" s="622"/>
      <c r="O83" s="1063"/>
      <c r="P83" s="622"/>
      <c r="Q83" s="982"/>
      <c r="R83" s="1028"/>
      <c r="S83" s="959"/>
      <c r="T83" s="878"/>
      <c r="U83" s="958"/>
    </row>
    <row r="84" spans="1:42" s="224" customFormat="1" ht="15" customHeight="1" x14ac:dyDescent="0.25">
      <c r="A84" s="247">
        <v>45852</v>
      </c>
      <c r="B84" s="882" t="s">
        <v>6258</v>
      </c>
      <c r="C84" s="879" t="s">
        <v>12</v>
      </c>
      <c r="D84" s="879"/>
      <c r="E84" s="875" t="s">
        <v>13</v>
      </c>
      <c r="F84" s="2796"/>
      <c r="G84" s="982">
        <v>800</v>
      </c>
      <c r="H84" s="1008"/>
      <c r="I84" s="1063"/>
      <c r="J84" s="622">
        <v>800</v>
      </c>
      <c r="K84" s="982"/>
      <c r="L84" s="622"/>
      <c r="M84" s="982"/>
      <c r="N84" s="622"/>
      <c r="O84" s="1063"/>
      <c r="P84" s="622"/>
      <c r="Q84" s="982"/>
      <c r="R84" s="1117"/>
    </row>
    <row r="85" spans="1:42" s="224" customFormat="1" ht="15" customHeight="1" x14ac:dyDescent="0.25">
      <c r="A85" s="247">
        <v>45852</v>
      </c>
      <c r="B85" s="882" t="s">
        <v>8114</v>
      </c>
      <c r="C85" s="879" t="s">
        <v>12</v>
      </c>
      <c r="D85" s="879" t="s">
        <v>1524</v>
      </c>
      <c r="E85" s="871" t="s">
        <v>13</v>
      </c>
      <c r="F85" s="2796">
        <v>600</v>
      </c>
      <c r="G85" s="982"/>
      <c r="H85" s="622"/>
      <c r="I85" s="982"/>
      <c r="J85" s="872"/>
      <c r="K85" s="1207"/>
      <c r="L85" s="622"/>
      <c r="M85" s="982"/>
      <c r="N85" s="622"/>
      <c r="O85" s="1063"/>
      <c r="P85" s="622"/>
      <c r="Q85" s="982"/>
      <c r="R85" s="1028"/>
      <c r="S85" s="959"/>
      <c r="T85" s="878"/>
      <c r="U85" s="958"/>
    </row>
    <row r="86" spans="1:42" s="224" customFormat="1" ht="15" customHeight="1" x14ac:dyDescent="0.25">
      <c r="A86" s="247">
        <v>45852</v>
      </c>
      <c r="B86" s="882" t="s">
        <v>8115</v>
      </c>
      <c r="C86" s="879" t="s">
        <v>12</v>
      </c>
      <c r="D86" s="879" t="s">
        <v>1524</v>
      </c>
      <c r="E86" s="871" t="s">
        <v>13</v>
      </c>
      <c r="F86" s="2796">
        <v>200</v>
      </c>
      <c r="G86" s="982"/>
      <c r="H86" s="622"/>
      <c r="I86" s="982"/>
      <c r="J86" s="872"/>
      <c r="K86" s="1207"/>
      <c r="L86" s="622"/>
      <c r="M86" s="982"/>
      <c r="N86" s="622"/>
      <c r="O86" s="1063"/>
      <c r="P86" s="622"/>
      <c r="Q86" s="982"/>
      <c r="R86" s="1028"/>
      <c r="S86" s="959"/>
      <c r="T86" s="878"/>
      <c r="U86" s="958"/>
    </row>
    <row r="87" spans="1:42" s="224" customFormat="1" ht="15" customHeight="1" x14ac:dyDescent="0.25">
      <c r="A87" s="247">
        <v>45852</v>
      </c>
      <c r="B87" s="882" t="s">
        <v>6329</v>
      </c>
      <c r="C87" s="879" t="s">
        <v>12</v>
      </c>
      <c r="D87" s="879"/>
      <c r="E87" s="875" t="s">
        <v>25</v>
      </c>
      <c r="F87" s="780"/>
      <c r="G87" s="982">
        <v>100</v>
      </c>
      <c r="H87" s="1008"/>
      <c r="I87" s="1063"/>
      <c r="J87" s="613"/>
      <c r="K87" s="982"/>
      <c r="L87" s="622"/>
      <c r="M87" s="982"/>
      <c r="N87" s="622"/>
      <c r="O87" s="1063"/>
      <c r="P87" s="622"/>
      <c r="Q87" s="982"/>
      <c r="R87" s="861"/>
    </row>
    <row r="88" spans="1:42" s="224" customFormat="1" ht="15" customHeight="1" x14ac:dyDescent="0.25">
      <c r="A88" s="247">
        <v>45852</v>
      </c>
      <c r="B88" s="882" t="s">
        <v>8119</v>
      </c>
      <c r="C88" s="879" t="s">
        <v>12</v>
      </c>
      <c r="D88" s="879" t="s">
        <v>1525</v>
      </c>
      <c r="E88" s="875" t="s">
        <v>13</v>
      </c>
      <c r="F88" s="780">
        <v>63.9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45852</v>
      </c>
      <c r="B89" s="882" t="s">
        <v>8120</v>
      </c>
      <c r="C89" s="879" t="s">
        <v>12</v>
      </c>
      <c r="D89" s="879" t="s">
        <v>6731</v>
      </c>
      <c r="E89" s="871" t="s">
        <v>13</v>
      </c>
      <c r="F89" s="780">
        <v>17.37</v>
      </c>
      <c r="G89" s="982"/>
      <c r="H89" s="622"/>
      <c r="I89" s="982"/>
      <c r="J89" s="872"/>
      <c r="K89" s="1207"/>
      <c r="L89" s="622"/>
      <c r="M89" s="982"/>
      <c r="N89" s="622"/>
      <c r="O89" s="1063"/>
      <c r="P89" s="622"/>
      <c r="Q89" s="982"/>
      <c r="R89" s="1028"/>
      <c r="S89" s="959"/>
      <c r="T89" s="878"/>
      <c r="U89" s="958"/>
    </row>
    <row r="90" spans="1:42" s="224" customFormat="1" ht="15" customHeight="1" x14ac:dyDescent="0.25">
      <c r="A90" s="247">
        <v>45852</v>
      </c>
      <c r="B90" s="1275" t="s">
        <v>32</v>
      </c>
      <c r="C90" s="1276" t="s">
        <v>12</v>
      </c>
      <c r="D90" s="1276" t="s">
        <v>1485</v>
      </c>
      <c r="E90" s="871" t="s">
        <v>13</v>
      </c>
      <c r="F90" s="780">
        <v>23</v>
      </c>
      <c r="G90" s="982"/>
      <c r="H90" s="622"/>
      <c r="I90" s="982"/>
      <c r="J90" s="622"/>
      <c r="K90" s="982"/>
      <c r="L90" s="622"/>
      <c r="M90" s="982"/>
      <c r="N90" s="880"/>
      <c r="O90" s="1525"/>
      <c r="P90" s="613"/>
      <c r="Q90" s="162"/>
      <c r="R90" s="1028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45852</v>
      </c>
      <c r="B91" s="882" t="s">
        <v>14</v>
      </c>
      <c r="C91" s="1276" t="s">
        <v>12</v>
      </c>
      <c r="D91" s="879" t="s">
        <v>1486</v>
      </c>
      <c r="E91" s="875" t="s">
        <v>13</v>
      </c>
      <c r="F91" s="780">
        <v>4.37</v>
      </c>
      <c r="G91" s="982"/>
      <c r="H91" s="622"/>
      <c r="I91" s="982"/>
      <c r="J91" s="622"/>
      <c r="K91" s="982"/>
      <c r="L91" s="622"/>
      <c r="M91" s="982"/>
      <c r="N91" s="622"/>
      <c r="O91" s="1063"/>
      <c r="P91" s="622"/>
      <c r="Q91" s="982"/>
      <c r="R91" s="1028"/>
      <c r="S91" s="959"/>
      <c r="T91" s="878"/>
      <c r="U91" s="958"/>
    </row>
    <row r="92" spans="1:42" s="224" customFormat="1" ht="15" customHeight="1" x14ac:dyDescent="0.25">
      <c r="A92" s="247">
        <v>45853</v>
      </c>
      <c r="B92" s="882" t="s">
        <v>6130</v>
      </c>
      <c r="C92" s="1276" t="s">
        <v>12</v>
      </c>
      <c r="D92" s="879" t="s">
        <v>1491</v>
      </c>
      <c r="E92" s="875" t="s">
        <v>13</v>
      </c>
      <c r="F92" s="780">
        <v>33.979999999999997</v>
      </c>
      <c r="G92" s="982"/>
      <c r="H92" s="622"/>
      <c r="I92" s="982"/>
      <c r="J92" s="622"/>
      <c r="K92" s="982"/>
      <c r="L92" s="622"/>
      <c r="M92" s="982"/>
      <c r="N92" s="880"/>
      <c r="O92" s="1525"/>
      <c r="P92" s="613"/>
      <c r="Q92" s="162"/>
      <c r="R92" s="1028" t="s">
        <v>7137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45853</v>
      </c>
      <c r="B93" s="882" t="s">
        <v>7799</v>
      </c>
      <c r="C93" s="1276" t="s">
        <v>12</v>
      </c>
      <c r="D93" s="879" t="s">
        <v>1504</v>
      </c>
      <c r="E93" s="875" t="s">
        <v>13</v>
      </c>
      <c r="F93" s="780">
        <v>43</v>
      </c>
      <c r="G93" s="982"/>
      <c r="H93" s="622"/>
      <c r="I93" s="982"/>
      <c r="J93" s="872"/>
      <c r="K93" s="1207"/>
      <c r="L93" s="622"/>
      <c r="M93" s="982"/>
      <c r="N93" s="622"/>
      <c r="O93" s="1063"/>
      <c r="P93" s="622"/>
      <c r="Q93" s="982"/>
      <c r="R93" s="1028" t="s">
        <v>7137</v>
      </c>
      <c r="S93" s="959"/>
      <c r="T93" s="878"/>
      <c r="U93" s="958"/>
    </row>
    <row r="94" spans="1:42" s="224" customFormat="1" ht="15" customHeight="1" x14ac:dyDescent="0.25">
      <c r="A94" s="247">
        <v>45853</v>
      </c>
      <c r="B94" s="882" t="s">
        <v>7885</v>
      </c>
      <c r="C94" s="1276" t="s">
        <v>12</v>
      </c>
      <c r="D94" s="879" t="s">
        <v>1504</v>
      </c>
      <c r="E94" s="875" t="s">
        <v>13</v>
      </c>
      <c r="F94" s="780">
        <v>20.9</v>
      </c>
      <c r="G94" s="982"/>
      <c r="H94" s="622"/>
      <c r="I94" s="982"/>
      <c r="J94" s="622"/>
      <c r="K94" s="982"/>
      <c r="L94" s="622"/>
      <c r="M94" s="982"/>
      <c r="N94" s="880"/>
      <c r="O94" s="1525"/>
      <c r="P94" s="613"/>
      <c r="Q94" s="162"/>
      <c r="R94" s="1028" t="s">
        <v>7137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</row>
    <row r="95" spans="1:42" s="224" customFormat="1" ht="15" customHeight="1" x14ac:dyDescent="0.25">
      <c r="A95" s="247">
        <v>45853</v>
      </c>
      <c r="B95" s="882" t="s">
        <v>7892</v>
      </c>
      <c r="C95" s="1276" t="s">
        <v>12</v>
      </c>
      <c r="D95" s="879" t="s">
        <v>1504</v>
      </c>
      <c r="E95" s="875" t="s">
        <v>13</v>
      </c>
      <c r="F95" s="780">
        <v>9.99</v>
      </c>
      <c r="G95" s="982"/>
      <c r="H95" s="622"/>
      <c r="I95" s="982"/>
      <c r="J95" s="872"/>
      <c r="K95" s="1207"/>
      <c r="L95" s="622"/>
      <c r="M95" s="982"/>
      <c r="N95" s="622"/>
      <c r="O95" s="1063"/>
      <c r="P95" s="622"/>
      <c r="Q95" s="982"/>
      <c r="R95" s="1028" t="s">
        <v>7137</v>
      </c>
      <c r="S95" s="959"/>
      <c r="T95" s="878"/>
      <c r="U95" s="958"/>
    </row>
    <row r="96" spans="1:42" s="224" customFormat="1" ht="15" customHeight="1" x14ac:dyDescent="0.25">
      <c r="A96" s="247">
        <v>45853</v>
      </c>
      <c r="B96" s="882" t="s">
        <v>7887</v>
      </c>
      <c r="C96" s="1276" t="s">
        <v>12</v>
      </c>
      <c r="D96" s="879" t="s">
        <v>1504</v>
      </c>
      <c r="E96" s="875" t="s">
        <v>13</v>
      </c>
      <c r="F96" s="780">
        <v>29.806666666666668</v>
      </c>
      <c r="G96" s="982"/>
      <c r="H96" s="622"/>
      <c r="I96" s="982"/>
      <c r="J96" s="622"/>
      <c r="K96" s="982"/>
      <c r="L96" s="622"/>
      <c r="M96" s="982"/>
      <c r="N96" s="880"/>
      <c r="O96" s="1525"/>
      <c r="P96" s="613"/>
      <c r="Q96" s="162"/>
      <c r="R96" s="1028" t="s">
        <v>7137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45853</v>
      </c>
      <c r="B97" s="882" t="s">
        <v>7895</v>
      </c>
      <c r="C97" s="1276" t="s">
        <v>12</v>
      </c>
      <c r="D97" s="879" t="s">
        <v>6731</v>
      </c>
      <c r="E97" s="875" t="s">
        <v>13</v>
      </c>
      <c r="F97" s="780">
        <v>13.333333333333334</v>
      </c>
      <c r="G97" s="982"/>
      <c r="H97" s="622"/>
      <c r="I97" s="982"/>
      <c r="J97" s="872"/>
      <c r="K97" s="1207"/>
      <c r="L97" s="622"/>
      <c r="M97" s="982"/>
      <c r="N97" s="622"/>
      <c r="O97" s="1063"/>
      <c r="P97" s="622"/>
      <c r="Q97" s="982"/>
      <c r="R97" s="1028" t="s">
        <v>7137</v>
      </c>
      <c r="S97" s="959"/>
      <c r="T97" s="878"/>
      <c r="U97" s="958"/>
    </row>
    <row r="98" spans="1:42" s="224" customFormat="1" ht="15" customHeight="1" x14ac:dyDescent="0.25">
      <c r="A98" s="247">
        <v>45853</v>
      </c>
      <c r="B98" s="882" t="s">
        <v>14</v>
      </c>
      <c r="C98" s="1276" t="s">
        <v>12</v>
      </c>
      <c r="D98" s="879" t="s">
        <v>1486</v>
      </c>
      <c r="E98" s="875" t="s">
        <v>13</v>
      </c>
      <c r="F98" s="780">
        <v>4.6399999999999997</v>
      </c>
      <c r="G98" s="982"/>
      <c r="H98" s="622"/>
      <c r="I98" s="982"/>
      <c r="J98" s="622"/>
      <c r="K98" s="982"/>
      <c r="L98" s="622"/>
      <c r="M98" s="982"/>
      <c r="N98" s="880"/>
      <c r="O98" s="1525"/>
      <c r="P98" s="613"/>
      <c r="Q98" s="162"/>
      <c r="R98" s="1956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45854</v>
      </c>
      <c r="B99" s="1275" t="s">
        <v>32</v>
      </c>
      <c r="C99" s="1276" t="s">
        <v>12</v>
      </c>
      <c r="D99" s="1276" t="s">
        <v>1485</v>
      </c>
      <c r="E99" s="871" t="s">
        <v>13</v>
      </c>
      <c r="F99" s="780">
        <v>23</v>
      </c>
      <c r="G99" s="982"/>
      <c r="H99" s="622"/>
      <c r="I99" s="982"/>
      <c r="J99" s="622"/>
      <c r="K99" s="982"/>
      <c r="L99" s="622"/>
      <c r="M99" s="982"/>
      <c r="N99" s="880"/>
      <c r="O99" s="1525"/>
      <c r="P99" s="613"/>
      <c r="Q99" s="162"/>
      <c r="R99" s="1028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45854</v>
      </c>
      <c r="B100" s="882" t="s">
        <v>8132</v>
      </c>
      <c r="C100" s="1276" t="s">
        <v>12</v>
      </c>
      <c r="D100" s="879" t="s">
        <v>1493</v>
      </c>
      <c r="E100" s="875" t="s">
        <v>13</v>
      </c>
      <c r="F100" s="780">
        <v>20</v>
      </c>
      <c r="G100" s="982"/>
      <c r="H100" s="622"/>
      <c r="I100" s="982"/>
      <c r="J100" s="622"/>
      <c r="K100" s="982"/>
      <c r="L100" s="622"/>
      <c r="M100" s="982"/>
      <c r="N100" s="622"/>
      <c r="O100" s="1063"/>
      <c r="P100" s="622"/>
      <c r="Q100" s="982"/>
      <c r="R100" s="1028"/>
      <c r="S100" s="959"/>
      <c r="T100" s="878"/>
      <c r="U100" s="958"/>
    </row>
    <row r="101" spans="1:42" s="224" customFormat="1" ht="15" customHeight="1" x14ac:dyDescent="0.25">
      <c r="A101" s="247">
        <v>45854</v>
      </c>
      <c r="B101" s="882" t="s">
        <v>8117</v>
      </c>
      <c r="C101" s="879" t="s">
        <v>12</v>
      </c>
      <c r="D101" s="879" t="s">
        <v>1493</v>
      </c>
      <c r="E101" s="871" t="s">
        <v>13</v>
      </c>
      <c r="F101" s="780">
        <v>32.799999999999997</v>
      </c>
      <c r="G101" s="982"/>
      <c r="H101" s="622"/>
      <c r="I101" s="982"/>
      <c r="J101" s="872"/>
      <c r="K101" s="1207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customHeight="1" x14ac:dyDescent="0.25">
      <c r="A102" s="247">
        <v>45855</v>
      </c>
      <c r="B102" s="1275" t="s">
        <v>32</v>
      </c>
      <c r="C102" s="1276" t="s">
        <v>12</v>
      </c>
      <c r="D102" s="1276" t="s">
        <v>1485</v>
      </c>
      <c r="E102" s="871" t="s">
        <v>13</v>
      </c>
      <c r="F102" s="780">
        <v>23</v>
      </c>
      <c r="G102" s="982"/>
      <c r="H102" s="622"/>
      <c r="I102" s="982"/>
      <c r="J102" s="622"/>
      <c r="K102" s="982"/>
      <c r="L102" s="622"/>
      <c r="M102" s="982"/>
      <c r="N102" s="880"/>
      <c r="O102" s="1525"/>
      <c r="P102" s="613"/>
      <c r="Q102" s="162"/>
      <c r="R102" s="1028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</row>
    <row r="103" spans="1:42" s="224" customFormat="1" ht="15" customHeight="1" x14ac:dyDescent="0.25">
      <c r="A103" s="247">
        <v>45855</v>
      </c>
      <c r="B103" s="882" t="s">
        <v>14</v>
      </c>
      <c r="C103" s="1276" t="s">
        <v>12</v>
      </c>
      <c r="D103" s="879" t="s">
        <v>1486</v>
      </c>
      <c r="E103" s="875" t="s">
        <v>13</v>
      </c>
      <c r="F103" s="780">
        <v>11.62</v>
      </c>
      <c r="G103" s="982"/>
      <c r="H103" s="622"/>
      <c r="I103" s="982"/>
      <c r="J103" s="622"/>
      <c r="K103" s="982"/>
      <c r="L103" s="622"/>
      <c r="M103" s="982"/>
      <c r="N103" s="880"/>
      <c r="O103" s="1525"/>
      <c r="P103" s="613"/>
      <c r="Q103" s="162"/>
      <c r="R103" s="1956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</row>
    <row r="104" spans="1:42" s="224" customFormat="1" ht="15" customHeight="1" x14ac:dyDescent="0.25">
      <c r="A104" s="247">
        <v>45856</v>
      </c>
      <c r="B104" s="882" t="s">
        <v>8060</v>
      </c>
      <c r="C104" s="350" t="s">
        <v>12</v>
      </c>
      <c r="D104" s="350"/>
      <c r="E104" s="480" t="s">
        <v>25</v>
      </c>
      <c r="F104" s="622"/>
      <c r="G104" s="982">
        <v>2520</v>
      </c>
      <c r="H104" s="1008"/>
      <c r="I104" s="1063"/>
      <c r="J104" s="622"/>
      <c r="K104" s="982"/>
      <c r="L104" s="622"/>
      <c r="M104" s="982"/>
      <c r="N104" s="622"/>
      <c r="O104" s="1063"/>
      <c r="P104" s="622"/>
      <c r="Q104" s="982"/>
      <c r="R104" s="861"/>
    </row>
    <row r="105" spans="1:42" s="224" customFormat="1" ht="15" customHeight="1" x14ac:dyDescent="0.25">
      <c r="A105" s="247">
        <v>45856</v>
      </c>
      <c r="B105" s="364" t="s">
        <v>8061</v>
      </c>
      <c r="C105" s="879" t="s">
        <v>12</v>
      </c>
      <c r="D105" s="879"/>
      <c r="E105" s="983" t="s">
        <v>25</v>
      </c>
      <c r="F105" s="780"/>
      <c r="G105" s="982"/>
      <c r="H105" s="622"/>
      <c r="I105" s="982"/>
      <c r="J105" s="2013"/>
      <c r="K105" s="1207"/>
      <c r="L105" s="622"/>
      <c r="M105" s="982"/>
      <c r="N105" s="622"/>
      <c r="O105" s="1063"/>
      <c r="P105" s="622"/>
      <c r="Q105" s="982">
        <v>504</v>
      </c>
      <c r="R105" s="927"/>
      <c r="S105" s="927"/>
      <c r="T105" s="878"/>
    </row>
    <row r="106" spans="1:42" s="224" customFormat="1" ht="15" customHeight="1" x14ac:dyDescent="0.25">
      <c r="A106" s="247">
        <v>45856</v>
      </c>
      <c r="B106" s="364" t="s">
        <v>3354</v>
      </c>
      <c r="C106" s="350" t="s">
        <v>12</v>
      </c>
      <c r="D106" s="350"/>
      <c r="E106" s="145" t="s">
        <v>25</v>
      </c>
      <c r="F106" s="613"/>
      <c r="G106" s="967"/>
      <c r="H106" s="1008"/>
      <c r="I106" s="1063"/>
      <c r="J106" s="622"/>
      <c r="K106" s="982"/>
      <c r="L106" s="880"/>
      <c r="M106" s="1033"/>
      <c r="N106" s="880"/>
      <c r="O106" s="1525"/>
      <c r="P106" s="613"/>
      <c r="Q106" s="162">
        <v>242.97</v>
      </c>
      <c r="R106" s="2018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</row>
    <row r="107" spans="1:42" s="224" customFormat="1" ht="15" customHeight="1" x14ac:dyDescent="0.25">
      <c r="A107" s="247">
        <v>45856</v>
      </c>
      <c r="B107" s="862" t="s">
        <v>2867</v>
      </c>
      <c r="C107" s="350" t="s">
        <v>12</v>
      </c>
      <c r="D107" s="874" t="s">
        <v>1504</v>
      </c>
      <c r="E107" s="887" t="s">
        <v>13</v>
      </c>
      <c r="F107" s="780">
        <v>0</v>
      </c>
      <c r="G107" s="982"/>
      <c r="H107" s="1009"/>
      <c r="I107" s="1063"/>
      <c r="J107" s="622"/>
      <c r="K107" s="982"/>
      <c r="L107" s="853"/>
      <c r="M107" s="982"/>
      <c r="N107" s="853"/>
      <c r="O107" s="1063"/>
      <c r="P107" s="622"/>
      <c r="Q107" s="982"/>
      <c r="R107" s="1690" t="s">
        <v>8032</v>
      </c>
      <c r="S107" s="1690"/>
      <c r="T107" s="1690"/>
      <c r="U107" s="1690"/>
      <c r="V107" s="1690"/>
      <c r="W107" s="1690"/>
      <c r="X107" s="1690"/>
      <c r="Y107" s="1690"/>
      <c r="Z107" s="1690"/>
    </row>
    <row r="108" spans="1:42" s="224" customFormat="1" ht="14.25" customHeight="1" x14ac:dyDescent="0.25">
      <c r="A108" s="247">
        <v>45856</v>
      </c>
      <c r="B108" s="364" t="s">
        <v>2977</v>
      </c>
      <c r="C108" s="350" t="s">
        <v>12</v>
      </c>
      <c r="D108" s="350" t="s">
        <v>1491</v>
      </c>
      <c r="E108" s="875" t="s">
        <v>13</v>
      </c>
      <c r="F108" s="780">
        <v>400</v>
      </c>
      <c r="G108" s="982"/>
      <c r="H108" s="1008"/>
      <c r="I108" s="1063"/>
      <c r="J108" s="622"/>
      <c r="K108" s="982"/>
      <c r="L108" s="622"/>
      <c r="M108" s="982"/>
      <c r="N108" s="622"/>
      <c r="O108" s="1063"/>
      <c r="P108" s="622"/>
      <c r="Q108" s="982"/>
      <c r="R108" s="1029"/>
      <c r="S108" s="89"/>
      <c r="T108" s="930"/>
    </row>
    <row r="109" spans="1:42" s="224" customFormat="1" ht="15" customHeight="1" x14ac:dyDescent="0.25">
      <c r="A109" s="247">
        <v>45856</v>
      </c>
      <c r="B109" s="349" t="s">
        <v>8062</v>
      </c>
      <c r="C109" s="887" t="s">
        <v>12</v>
      </c>
      <c r="D109" s="350" t="s">
        <v>1524</v>
      </c>
      <c r="E109" s="887" t="s">
        <v>13</v>
      </c>
      <c r="F109" s="613">
        <v>147.4975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45856</v>
      </c>
      <c r="B110" s="349" t="s">
        <v>8062</v>
      </c>
      <c r="C110" s="887" t="s">
        <v>12</v>
      </c>
      <c r="D110" s="350" t="s">
        <v>1524</v>
      </c>
      <c r="E110" s="887" t="s">
        <v>13</v>
      </c>
      <c r="F110" s="613">
        <v>147.4975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45856</v>
      </c>
      <c r="B111" s="349" t="s">
        <v>8062</v>
      </c>
      <c r="C111" s="887" t="s">
        <v>12</v>
      </c>
      <c r="D111" s="350" t="s">
        <v>1524</v>
      </c>
      <c r="E111" s="887" t="s">
        <v>13</v>
      </c>
      <c r="F111" s="613">
        <v>474.9975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45856</v>
      </c>
      <c r="B112" s="349" t="s">
        <v>8062</v>
      </c>
      <c r="C112" s="887" t="s">
        <v>12</v>
      </c>
      <c r="D112" s="350" t="s">
        <v>1524</v>
      </c>
      <c r="E112" s="887" t="s">
        <v>13</v>
      </c>
      <c r="F112" s="613">
        <v>174.9975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20" s="224" customFormat="1" ht="15" customHeight="1" x14ac:dyDescent="0.25">
      <c r="A113" s="247">
        <v>45856</v>
      </c>
      <c r="B113" s="349" t="s">
        <v>8062</v>
      </c>
      <c r="C113" s="887" t="s">
        <v>12</v>
      </c>
      <c r="D113" s="350" t="s">
        <v>1524</v>
      </c>
      <c r="E113" s="887" t="s">
        <v>13</v>
      </c>
      <c r="F113" s="613">
        <v>157.4975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20" s="224" customFormat="1" ht="15" customHeight="1" x14ac:dyDescent="0.25">
      <c r="A114" s="247">
        <v>45856</v>
      </c>
      <c r="B114" s="349" t="s">
        <v>8062</v>
      </c>
      <c r="C114" s="887" t="s">
        <v>12</v>
      </c>
      <c r="D114" s="350" t="s">
        <v>1524</v>
      </c>
      <c r="E114" s="887" t="s">
        <v>13</v>
      </c>
      <c r="F114" s="613">
        <v>274.9975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20" s="224" customFormat="1" ht="15" customHeight="1" x14ac:dyDescent="0.25">
      <c r="A115" s="247">
        <v>45856</v>
      </c>
      <c r="B115" s="349" t="s">
        <v>8062</v>
      </c>
      <c r="C115" s="887" t="s">
        <v>12</v>
      </c>
      <c r="D115" s="350" t="s">
        <v>1524</v>
      </c>
      <c r="E115" s="887" t="s">
        <v>13</v>
      </c>
      <c r="F115" s="613">
        <v>149.9975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20" s="224" customFormat="1" ht="15" customHeight="1" x14ac:dyDescent="0.25">
      <c r="A116" s="247">
        <v>45856</v>
      </c>
      <c r="B116" s="349" t="s">
        <v>8062</v>
      </c>
      <c r="C116" s="887" t="s">
        <v>12</v>
      </c>
      <c r="D116" s="350" t="s">
        <v>1524</v>
      </c>
      <c r="E116" s="887" t="s">
        <v>13</v>
      </c>
      <c r="F116" s="613">
        <v>15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20" s="224" customFormat="1" ht="15" customHeight="1" x14ac:dyDescent="0.25">
      <c r="A117" s="247">
        <v>45856</v>
      </c>
      <c r="B117" s="349" t="s">
        <v>8062</v>
      </c>
      <c r="C117" s="887" t="s">
        <v>12</v>
      </c>
      <c r="D117" s="350" t="s">
        <v>1524</v>
      </c>
      <c r="E117" s="887" t="s">
        <v>13</v>
      </c>
      <c r="F117" s="613">
        <v>1500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20" s="224" customFormat="1" ht="15" customHeight="1" x14ac:dyDescent="0.25">
      <c r="A118" s="247">
        <v>45856</v>
      </c>
      <c r="B118" s="349" t="s">
        <v>8062</v>
      </c>
      <c r="C118" s="887" t="s">
        <v>12</v>
      </c>
      <c r="D118" s="350" t="s">
        <v>1524</v>
      </c>
      <c r="E118" s="887" t="s">
        <v>13</v>
      </c>
      <c r="F118" s="613">
        <v>118.136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20" s="224" customFormat="1" ht="15" customHeight="1" x14ac:dyDescent="0.25">
      <c r="A119" s="247">
        <v>45856</v>
      </c>
      <c r="B119" s="349" t="s">
        <v>8062</v>
      </c>
      <c r="C119" s="887" t="s">
        <v>12</v>
      </c>
      <c r="D119" s="350" t="s">
        <v>1524</v>
      </c>
      <c r="E119" s="887" t="s">
        <v>13</v>
      </c>
      <c r="F119" s="613">
        <v>253.465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20" s="224" customFormat="1" ht="15" customHeight="1" x14ac:dyDescent="0.25">
      <c r="A120" s="247">
        <v>45856</v>
      </c>
      <c r="B120" s="349" t="s">
        <v>8062</v>
      </c>
      <c r="C120" s="887" t="s">
        <v>12</v>
      </c>
      <c r="D120" s="350" t="s">
        <v>1524</v>
      </c>
      <c r="E120" s="887" t="s">
        <v>13</v>
      </c>
      <c r="F120" s="613">
        <v>60.656666666666666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927"/>
      <c r="S120" s="999"/>
      <c r="T120" s="878"/>
    </row>
    <row r="121" spans="1:20" s="224" customFormat="1" ht="15" customHeight="1" x14ac:dyDescent="0.25">
      <c r="A121" s="247">
        <v>45856</v>
      </c>
      <c r="B121" s="349" t="s">
        <v>8062</v>
      </c>
      <c r="C121" s="887" t="s">
        <v>12</v>
      </c>
      <c r="D121" s="350" t="s">
        <v>1524</v>
      </c>
      <c r="E121" s="887" t="s">
        <v>13</v>
      </c>
      <c r="F121" s="613">
        <v>44.985000000000007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927"/>
      <c r="S121" s="999"/>
      <c r="T121" s="878"/>
    </row>
    <row r="122" spans="1:20" s="224" customFormat="1" ht="15" customHeight="1" x14ac:dyDescent="0.25">
      <c r="A122" s="247">
        <v>45856</v>
      </c>
      <c r="B122" s="349" t="s">
        <v>8062</v>
      </c>
      <c r="C122" s="887" t="s">
        <v>12</v>
      </c>
      <c r="D122" s="350" t="s">
        <v>1524</v>
      </c>
      <c r="E122" s="887" t="s">
        <v>13</v>
      </c>
      <c r="F122" s="613">
        <v>8.9949999999999992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927"/>
      <c r="S122" s="999"/>
      <c r="T122" s="878"/>
    </row>
    <row r="123" spans="1:20" s="224" customFormat="1" ht="15" customHeight="1" x14ac:dyDescent="0.25">
      <c r="A123" s="247">
        <v>45856</v>
      </c>
      <c r="B123" s="349" t="s">
        <v>8062</v>
      </c>
      <c r="C123" s="887" t="s">
        <v>12</v>
      </c>
      <c r="D123" s="350" t="s">
        <v>1524</v>
      </c>
      <c r="E123" s="887" t="s">
        <v>13</v>
      </c>
      <c r="F123" s="613">
        <v>8.3333333333333339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927"/>
      <c r="S123" s="999"/>
      <c r="T123" s="878"/>
    </row>
    <row r="124" spans="1:20" s="224" customFormat="1" ht="15" customHeight="1" x14ac:dyDescent="0.25">
      <c r="A124" s="247">
        <v>45856</v>
      </c>
      <c r="B124" s="349" t="s">
        <v>8062</v>
      </c>
      <c r="C124" s="887" t="s">
        <v>12</v>
      </c>
      <c r="D124" s="350" t="s">
        <v>1524</v>
      </c>
      <c r="E124" s="887" t="s">
        <v>13</v>
      </c>
      <c r="F124" s="613">
        <v>50.857142857142854</v>
      </c>
      <c r="G124" s="982"/>
      <c r="H124" s="872"/>
      <c r="I124" s="1063"/>
      <c r="J124" s="622"/>
      <c r="K124" s="982"/>
      <c r="L124" s="622"/>
      <c r="M124" s="982"/>
      <c r="N124" s="622"/>
      <c r="O124" s="1063"/>
      <c r="P124" s="622"/>
      <c r="Q124" s="982"/>
      <c r="R124" s="927"/>
      <c r="S124" s="999"/>
      <c r="T124" s="878"/>
    </row>
    <row r="125" spans="1:20" s="224" customFormat="1" ht="15" customHeight="1" x14ac:dyDescent="0.25">
      <c r="A125" s="247">
        <v>45856</v>
      </c>
      <c r="B125" s="349" t="s">
        <v>8062</v>
      </c>
      <c r="C125" s="887" t="s">
        <v>12</v>
      </c>
      <c r="D125" s="350" t="s">
        <v>1524</v>
      </c>
      <c r="E125" s="887" t="s">
        <v>13</v>
      </c>
      <c r="F125" s="613">
        <v>111.4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927"/>
      <c r="S125" s="999"/>
      <c r="T125" s="878"/>
    </row>
    <row r="126" spans="1:20" s="224" customFormat="1" ht="15" customHeight="1" x14ac:dyDescent="0.25">
      <c r="A126" s="247">
        <v>45856</v>
      </c>
      <c r="B126" s="349" t="s">
        <v>8062</v>
      </c>
      <c r="C126" s="887" t="s">
        <v>12</v>
      </c>
      <c r="D126" s="350" t="s">
        <v>1524</v>
      </c>
      <c r="E126" s="887" t="s">
        <v>13</v>
      </c>
      <c r="F126" s="613">
        <v>430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927"/>
      <c r="S126" s="999"/>
      <c r="T126" s="878"/>
    </row>
    <row r="127" spans="1:20" s="224" customFormat="1" ht="15" customHeight="1" x14ac:dyDescent="0.25">
      <c r="A127" s="247">
        <v>45856</v>
      </c>
      <c r="B127" s="349" t="s">
        <v>8062</v>
      </c>
      <c r="C127" s="887" t="s">
        <v>12</v>
      </c>
      <c r="D127" s="350" t="s">
        <v>1524</v>
      </c>
      <c r="E127" s="887" t="s">
        <v>13</v>
      </c>
      <c r="F127" s="613">
        <v>110.26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927"/>
      <c r="S127" s="999"/>
      <c r="T127" s="878"/>
    </row>
    <row r="128" spans="1:20" s="224" customFormat="1" ht="15" customHeight="1" x14ac:dyDescent="0.25">
      <c r="A128" s="247">
        <v>45856</v>
      </c>
      <c r="B128" s="349" t="s">
        <v>8062</v>
      </c>
      <c r="C128" s="887" t="s">
        <v>12</v>
      </c>
      <c r="D128" s="350" t="s">
        <v>1524</v>
      </c>
      <c r="E128" s="887" t="s">
        <v>13</v>
      </c>
      <c r="F128" s="613">
        <v>148.78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927"/>
      <c r="S128" s="999"/>
      <c r="T128" s="878"/>
    </row>
    <row r="129" spans="1:42" s="224" customFormat="1" ht="15" customHeight="1" x14ac:dyDescent="0.25">
      <c r="A129" s="247">
        <v>45856</v>
      </c>
      <c r="B129" s="349" t="s">
        <v>8062</v>
      </c>
      <c r="C129" s="887" t="s">
        <v>12</v>
      </c>
      <c r="D129" s="350" t="s">
        <v>1524</v>
      </c>
      <c r="E129" s="887" t="s">
        <v>13</v>
      </c>
      <c r="F129" s="613">
        <v>252.59</v>
      </c>
      <c r="G129" s="982"/>
      <c r="H129" s="872"/>
      <c r="I129" s="1063"/>
      <c r="J129" s="622"/>
      <c r="K129" s="982"/>
      <c r="L129" s="622"/>
      <c r="M129" s="982"/>
      <c r="N129" s="622"/>
      <c r="O129" s="1063"/>
      <c r="P129" s="622"/>
      <c r="Q129" s="982"/>
      <c r="R129" s="927"/>
      <c r="S129" s="999"/>
      <c r="T129" s="878"/>
    </row>
    <row r="130" spans="1:42" s="224" customFormat="1" ht="15" customHeight="1" x14ac:dyDescent="0.25">
      <c r="A130" s="247">
        <v>45856</v>
      </c>
      <c r="B130" s="349" t="s">
        <v>8062</v>
      </c>
      <c r="C130" s="887" t="s">
        <v>12</v>
      </c>
      <c r="D130" s="350" t="s">
        <v>1524</v>
      </c>
      <c r="E130" s="887" t="s">
        <v>13</v>
      </c>
      <c r="F130" s="613">
        <v>53.591428571428573</v>
      </c>
      <c r="G130" s="982"/>
      <c r="H130" s="872"/>
      <c r="I130" s="1063"/>
      <c r="J130" s="622"/>
      <c r="K130" s="982"/>
      <c r="L130" s="622"/>
      <c r="M130" s="982"/>
      <c r="N130" s="622"/>
      <c r="O130" s="1063"/>
      <c r="P130" s="622"/>
      <c r="Q130" s="982"/>
      <c r="R130" s="927"/>
      <c r="S130" s="999"/>
      <c r="T130" s="878"/>
    </row>
    <row r="131" spans="1:42" s="224" customFormat="1" ht="15" customHeight="1" x14ac:dyDescent="0.25">
      <c r="A131" s="247">
        <v>45856</v>
      </c>
      <c r="B131" s="349" t="s">
        <v>8062</v>
      </c>
      <c r="C131" s="887" t="s">
        <v>12</v>
      </c>
      <c r="D131" s="350" t="s">
        <v>6731</v>
      </c>
      <c r="E131" s="887" t="s">
        <v>13</v>
      </c>
      <c r="F131" s="613">
        <v>99.933333333333337</v>
      </c>
      <c r="G131" s="982"/>
      <c r="H131" s="872"/>
      <c r="I131" s="1063"/>
      <c r="J131" s="622"/>
      <c r="K131" s="982"/>
      <c r="L131" s="622"/>
      <c r="M131" s="982"/>
      <c r="N131" s="622"/>
      <c r="O131" s="1063"/>
      <c r="P131" s="622"/>
      <c r="Q131" s="982"/>
      <c r="R131" s="927"/>
      <c r="S131" s="999"/>
      <c r="T131" s="878"/>
    </row>
    <row r="132" spans="1:42" s="224" customFormat="1" ht="15" customHeight="1" x14ac:dyDescent="0.25">
      <c r="A132" s="247">
        <v>45856</v>
      </c>
      <c r="B132" s="349" t="s">
        <v>8062</v>
      </c>
      <c r="C132" s="887" t="s">
        <v>12</v>
      </c>
      <c r="D132" s="350" t="s">
        <v>1525</v>
      </c>
      <c r="E132" s="887" t="s">
        <v>13</v>
      </c>
      <c r="F132" s="613">
        <v>114.33333333333333</v>
      </c>
      <c r="G132" s="982"/>
      <c r="H132" s="872"/>
      <c r="I132" s="1063"/>
      <c r="J132" s="622"/>
      <c r="K132" s="982"/>
      <c r="L132" s="622"/>
      <c r="M132" s="982"/>
      <c r="N132" s="622"/>
      <c r="O132" s="1063"/>
      <c r="P132" s="622"/>
      <c r="Q132" s="982"/>
      <c r="R132" s="927"/>
      <c r="S132" s="999"/>
      <c r="T132" s="878"/>
    </row>
    <row r="133" spans="1:42" s="224" customFormat="1" ht="15" customHeight="1" x14ac:dyDescent="0.25">
      <c r="A133" s="247">
        <v>45856</v>
      </c>
      <c r="B133" s="349" t="s">
        <v>8062</v>
      </c>
      <c r="C133" s="887" t="s">
        <v>12</v>
      </c>
      <c r="D133" s="350" t="s">
        <v>6731</v>
      </c>
      <c r="E133" s="887" t="s">
        <v>13</v>
      </c>
      <c r="F133" s="613">
        <v>128.80000000000001</v>
      </c>
      <c r="G133" s="982"/>
      <c r="H133" s="872"/>
      <c r="I133" s="1063"/>
      <c r="J133" s="622"/>
      <c r="K133" s="982"/>
      <c r="L133" s="622"/>
      <c r="M133" s="982"/>
      <c r="N133" s="622"/>
      <c r="O133" s="1063"/>
      <c r="P133" s="622"/>
      <c r="Q133" s="982"/>
      <c r="R133" s="927"/>
      <c r="S133" s="999"/>
      <c r="T133" s="878"/>
    </row>
    <row r="134" spans="1:42" s="224" customFormat="1" ht="15" customHeight="1" x14ac:dyDescent="0.25">
      <c r="A134" s="247">
        <v>45856</v>
      </c>
      <c r="B134" s="349" t="s">
        <v>8062</v>
      </c>
      <c r="C134" s="887" t="s">
        <v>12</v>
      </c>
      <c r="D134" s="350" t="s">
        <v>1525</v>
      </c>
      <c r="E134" s="887" t="s">
        <v>13</v>
      </c>
      <c r="F134" s="613">
        <v>63.703999999999994</v>
      </c>
      <c r="G134" s="982"/>
      <c r="H134" s="872"/>
      <c r="I134" s="1063"/>
      <c r="J134" s="622"/>
      <c r="K134" s="982"/>
      <c r="L134" s="622"/>
      <c r="M134" s="982"/>
      <c r="N134" s="622"/>
      <c r="O134" s="1063"/>
      <c r="P134" s="622"/>
      <c r="Q134" s="982"/>
      <c r="R134" s="927"/>
      <c r="S134" s="999"/>
      <c r="T134" s="878"/>
    </row>
    <row r="135" spans="1:42" s="224" customFormat="1" ht="15" customHeight="1" x14ac:dyDescent="0.25">
      <c r="A135" s="247">
        <v>45856</v>
      </c>
      <c r="B135" s="349" t="s">
        <v>8062</v>
      </c>
      <c r="C135" s="887" t="s">
        <v>12</v>
      </c>
      <c r="D135" s="350" t="s">
        <v>1525</v>
      </c>
      <c r="E135" s="887" t="s">
        <v>13</v>
      </c>
      <c r="F135" s="613">
        <v>50.077500000000001</v>
      </c>
      <c r="G135" s="982"/>
      <c r="H135" s="872"/>
      <c r="I135" s="1063"/>
      <c r="J135" s="622"/>
      <c r="K135" s="982"/>
      <c r="L135" s="622"/>
      <c r="M135" s="982"/>
      <c r="N135" s="622"/>
      <c r="O135" s="1063"/>
      <c r="P135" s="622"/>
      <c r="Q135" s="982"/>
      <c r="R135" s="927"/>
      <c r="S135" s="999"/>
      <c r="T135" s="878"/>
    </row>
    <row r="136" spans="1:42" s="224" customFormat="1" ht="15" customHeight="1" x14ac:dyDescent="0.25">
      <c r="A136" s="247">
        <v>45856</v>
      </c>
      <c r="B136" s="349" t="s">
        <v>8062</v>
      </c>
      <c r="C136" s="887" t="s">
        <v>12</v>
      </c>
      <c r="D136" s="350" t="s">
        <v>1525</v>
      </c>
      <c r="E136" s="887" t="s">
        <v>13</v>
      </c>
      <c r="F136" s="613">
        <v>29.44</v>
      </c>
      <c r="G136" s="982"/>
      <c r="H136" s="872"/>
      <c r="I136" s="1063"/>
      <c r="J136" s="622"/>
      <c r="K136" s="982"/>
      <c r="L136" s="622"/>
      <c r="M136" s="982"/>
      <c r="N136" s="622"/>
      <c r="O136" s="1063"/>
      <c r="P136" s="622"/>
      <c r="Q136" s="982"/>
      <c r="R136" s="927"/>
      <c r="S136" s="999"/>
      <c r="T136" s="878"/>
    </row>
    <row r="137" spans="1:42" s="224" customFormat="1" ht="15" customHeight="1" x14ac:dyDescent="0.25">
      <c r="A137" s="247">
        <v>45856</v>
      </c>
      <c r="B137" s="882" t="s">
        <v>8063</v>
      </c>
      <c r="C137" s="879" t="s">
        <v>12</v>
      </c>
      <c r="D137" s="879" t="s">
        <v>1499</v>
      </c>
      <c r="E137" s="871" t="s">
        <v>13</v>
      </c>
      <c r="F137" s="780">
        <v>0</v>
      </c>
      <c r="G137" s="982"/>
      <c r="H137" s="1008"/>
      <c r="I137" s="1063"/>
      <c r="J137" s="622"/>
      <c r="K137" s="982"/>
      <c r="L137" s="622"/>
      <c r="M137" s="982"/>
      <c r="N137" s="622"/>
      <c r="O137" s="1063"/>
      <c r="P137" s="622"/>
      <c r="Q137" s="982"/>
      <c r="R137" s="1028" t="s">
        <v>7558</v>
      </c>
      <c r="T137" s="1123"/>
      <c r="U137" s="999"/>
    </row>
    <row r="138" spans="1:42" s="224" customFormat="1" ht="15" customHeight="1" x14ac:dyDescent="0.25">
      <c r="A138" s="247">
        <v>45856</v>
      </c>
      <c r="B138" s="882" t="s">
        <v>8136</v>
      </c>
      <c r="C138" s="879" t="s">
        <v>12</v>
      </c>
      <c r="D138" s="879" t="s">
        <v>1525</v>
      </c>
      <c r="E138" s="871" t="s">
        <v>13</v>
      </c>
      <c r="F138" s="780">
        <v>68.45</v>
      </c>
      <c r="G138" s="982"/>
      <c r="H138" s="95"/>
      <c r="I138" s="1064"/>
      <c r="J138" s="613"/>
      <c r="K138" s="2805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45856</v>
      </c>
      <c r="B139" s="882" t="s">
        <v>8137</v>
      </c>
      <c r="C139" s="879" t="s">
        <v>12</v>
      </c>
      <c r="D139" s="879" t="s">
        <v>1525</v>
      </c>
      <c r="E139" s="871" t="s">
        <v>13</v>
      </c>
      <c r="F139" s="780">
        <v>4.3</v>
      </c>
      <c r="G139" s="982"/>
      <c r="H139" s="95"/>
      <c r="I139" s="1064"/>
      <c r="J139" s="613"/>
      <c r="K139" s="2805"/>
      <c r="L139" s="622"/>
      <c r="M139" s="982"/>
      <c r="N139" s="622"/>
      <c r="O139" s="1063"/>
      <c r="P139" s="622"/>
      <c r="Q139" s="982"/>
      <c r="R139" s="861"/>
    </row>
    <row r="140" spans="1:42" s="224" customFormat="1" ht="15" customHeight="1" x14ac:dyDescent="0.25">
      <c r="A140" s="247">
        <v>45856</v>
      </c>
      <c r="B140" s="882" t="s">
        <v>7465</v>
      </c>
      <c r="C140" s="879" t="s">
        <v>12</v>
      </c>
      <c r="D140" s="879"/>
      <c r="E140" s="875" t="s">
        <v>13</v>
      </c>
      <c r="F140" s="780"/>
      <c r="G140" s="982">
        <v>2341.21</v>
      </c>
      <c r="H140" s="1008"/>
      <c r="I140" s="1063"/>
      <c r="J140" s="622"/>
      <c r="K140" s="982"/>
      <c r="L140" s="622"/>
      <c r="M140" s="982"/>
      <c r="N140" s="622">
        <v>2341.21</v>
      </c>
      <c r="O140" s="1063"/>
      <c r="P140" s="622"/>
      <c r="Q140" s="982"/>
      <c r="R140" s="941"/>
    </row>
    <row r="141" spans="1:42" s="224" customFormat="1" ht="15" customHeight="1" x14ac:dyDescent="0.25">
      <c r="A141" s="247">
        <v>45856</v>
      </c>
      <c r="B141" s="882" t="s">
        <v>7848</v>
      </c>
      <c r="C141" s="879" t="s">
        <v>12</v>
      </c>
      <c r="D141" s="879"/>
      <c r="E141" s="875" t="s">
        <v>13</v>
      </c>
      <c r="F141" s="780">
        <v>2341.21</v>
      </c>
      <c r="G141" s="982"/>
      <c r="H141" s="95"/>
      <c r="I141" s="1064"/>
      <c r="J141" s="622"/>
      <c r="K141" s="982">
        <v>2341.21</v>
      </c>
      <c r="L141" s="622"/>
      <c r="M141" s="982"/>
      <c r="N141" s="622"/>
      <c r="O141" s="982"/>
      <c r="P141" s="622"/>
      <c r="Q141" s="982"/>
      <c r="R141" s="1210"/>
      <c r="S141" s="1038"/>
      <c r="T141" s="861"/>
    </row>
    <row r="142" spans="1:42" s="224" customFormat="1" ht="15" customHeight="1" x14ac:dyDescent="0.25">
      <c r="A142" s="247">
        <v>45856</v>
      </c>
      <c r="B142" s="1275" t="s">
        <v>32</v>
      </c>
      <c r="C142" s="1276" t="s">
        <v>12</v>
      </c>
      <c r="D142" s="1276" t="s">
        <v>1485</v>
      </c>
      <c r="E142" s="871" t="s">
        <v>13</v>
      </c>
      <c r="F142" s="780">
        <v>23</v>
      </c>
      <c r="G142" s="982"/>
      <c r="H142" s="622"/>
      <c r="I142" s="982"/>
      <c r="J142" s="622"/>
      <c r="K142" s="982"/>
      <c r="L142" s="622"/>
      <c r="M142" s="982"/>
      <c r="N142" s="880"/>
      <c r="O142" s="1525"/>
      <c r="P142" s="613"/>
      <c r="Q142" s="162"/>
      <c r="R142" s="1028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</row>
    <row r="143" spans="1:42" s="224" customFormat="1" ht="15" customHeight="1" x14ac:dyDescent="0.25">
      <c r="A143" s="247">
        <v>45856</v>
      </c>
      <c r="B143" s="882" t="s">
        <v>6814</v>
      </c>
      <c r="C143" s="879" t="s">
        <v>12</v>
      </c>
      <c r="D143" s="879"/>
      <c r="E143" s="875" t="s">
        <v>13</v>
      </c>
      <c r="F143" s="780"/>
      <c r="G143" s="982">
        <v>4695</v>
      </c>
      <c r="H143" s="1008"/>
      <c r="I143" s="1063"/>
      <c r="J143" s="622">
        <v>4695</v>
      </c>
      <c r="K143" s="982"/>
      <c r="L143" s="622"/>
      <c r="M143" s="982"/>
      <c r="N143" s="622"/>
      <c r="O143" s="1063"/>
      <c r="P143" s="622"/>
      <c r="Q143" s="982"/>
      <c r="R143" s="941"/>
    </row>
    <row r="144" spans="1:42" s="224" customFormat="1" ht="15" customHeight="1" x14ac:dyDescent="0.25">
      <c r="A144" s="247">
        <v>45856</v>
      </c>
      <c r="B144" s="882" t="s">
        <v>7700</v>
      </c>
      <c r="C144" s="879" t="s">
        <v>12</v>
      </c>
      <c r="D144" s="879"/>
      <c r="E144" s="875" t="s">
        <v>13</v>
      </c>
      <c r="F144" s="780">
        <v>800</v>
      </c>
      <c r="G144" s="982"/>
      <c r="H144" s="95"/>
      <c r="I144" s="1064"/>
      <c r="J144" s="622"/>
      <c r="K144" s="982">
        <v>800</v>
      </c>
      <c r="L144" s="622"/>
      <c r="M144" s="982"/>
      <c r="N144" s="622"/>
      <c r="O144" s="982"/>
      <c r="P144" s="622"/>
      <c r="Q144" s="982"/>
      <c r="R144" s="1210"/>
      <c r="S144" s="1038"/>
      <c r="T144" s="861"/>
    </row>
    <row r="145" spans="1:42" s="224" customFormat="1" ht="15" customHeight="1" x14ac:dyDescent="0.25">
      <c r="A145" s="247">
        <v>45856</v>
      </c>
      <c r="B145" s="882" t="s">
        <v>8153</v>
      </c>
      <c r="C145" s="879" t="s">
        <v>12</v>
      </c>
      <c r="D145" s="879" t="s">
        <v>1525</v>
      </c>
      <c r="E145" s="871" t="s">
        <v>13</v>
      </c>
      <c r="F145" s="780">
        <v>24.9</v>
      </c>
      <c r="G145" s="982"/>
      <c r="H145" s="95"/>
      <c r="I145" s="1064"/>
      <c r="J145" s="613"/>
      <c r="K145" s="2805"/>
      <c r="L145" s="622"/>
      <c r="M145" s="982"/>
      <c r="N145" s="622"/>
      <c r="O145" s="1063"/>
      <c r="P145" s="622"/>
      <c r="Q145" s="982"/>
      <c r="R145" s="861"/>
    </row>
    <row r="146" spans="1:42" s="224" customFormat="1" ht="15" customHeight="1" x14ac:dyDescent="0.25">
      <c r="A146" s="247">
        <v>45856</v>
      </c>
      <c r="B146" s="882" t="s">
        <v>8154</v>
      </c>
      <c r="C146" s="879" t="s">
        <v>12</v>
      </c>
      <c r="D146" s="879" t="s">
        <v>1493</v>
      </c>
      <c r="E146" s="871" t="s">
        <v>13</v>
      </c>
      <c r="F146" s="780">
        <v>30</v>
      </c>
      <c r="G146" s="982"/>
      <c r="H146" s="95"/>
      <c r="I146" s="1064"/>
      <c r="J146" s="613"/>
      <c r="K146" s="2805"/>
      <c r="L146" s="622"/>
      <c r="M146" s="982"/>
      <c r="N146" s="622"/>
      <c r="O146" s="1063"/>
      <c r="P146" s="622"/>
      <c r="Q146" s="982"/>
      <c r="R146" s="861"/>
    </row>
    <row r="147" spans="1:42" s="224" customFormat="1" ht="15" customHeight="1" x14ac:dyDescent="0.25">
      <c r="A147" s="247">
        <v>45857</v>
      </c>
      <c r="B147" s="882" t="s">
        <v>14</v>
      </c>
      <c r="C147" s="1276" t="s">
        <v>12</v>
      </c>
      <c r="D147" s="879" t="s">
        <v>1486</v>
      </c>
      <c r="E147" s="875" t="s">
        <v>13</v>
      </c>
      <c r="F147" s="780">
        <v>9</v>
      </c>
      <c r="G147" s="982"/>
      <c r="H147" s="622"/>
      <c r="I147" s="982"/>
      <c r="J147" s="622"/>
      <c r="K147" s="982"/>
      <c r="L147" s="622"/>
      <c r="M147" s="982"/>
      <c r="N147" s="880"/>
      <c r="O147" s="1525"/>
      <c r="P147" s="613"/>
      <c r="Q147" s="162"/>
      <c r="R147" s="1956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</row>
    <row r="148" spans="1:42" s="224" customFormat="1" ht="15" customHeight="1" x14ac:dyDescent="0.25">
      <c r="A148" s="247">
        <v>45857</v>
      </c>
      <c r="B148" s="1275" t="s">
        <v>32</v>
      </c>
      <c r="C148" s="1276" t="s">
        <v>12</v>
      </c>
      <c r="D148" s="1276" t="s">
        <v>1485</v>
      </c>
      <c r="E148" s="871" t="s">
        <v>15</v>
      </c>
      <c r="F148" s="780">
        <v>15</v>
      </c>
      <c r="G148" s="982"/>
      <c r="H148" s="622"/>
      <c r="I148" s="982"/>
      <c r="J148" s="622"/>
      <c r="K148" s="982"/>
      <c r="L148" s="622"/>
      <c r="M148" s="982"/>
      <c r="N148" s="880"/>
      <c r="O148" s="1525"/>
      <c r="P148" s="613"/>
      <c r="Q148" s="162"/>
      <c r="R148" s="102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</row>
    <row r="149" spans="1:42" s="224" customFormat="1" ht="15" customHeight="1" x14ac:dyDescent="0.25">
      <c r="A149" s="247">
        <v>45857</v>
      </c>
      <c r="B149" s="1275" t="s">
        <v>8156</v>
      </c>
      <c r="C149" s="1276" t="s">
        <v>12</v>
      </c>
      <c r="D149" s="1276" t="s">
        <v>1491</v>
      </c>
      <c r="E149" s="871" t="s">
        <v>13</v>
      </c>
      <c r="F149" s="780">
        <v>30</v>
      </c>
      <c r="G149" s="982"/>
      <c r="H149" s="622"/>
      <c r="I149" s="982"/>
      <c r="J149" s="622"/>
      <c r="K149" s="982"/>
      <c r="L149" s="622"/>
      <c r="M149" s="982"/>
      <c r="N149" s="880"/>
      <c r="O149" s="1525"/>
      <c r="P149" s="613"/>
      <c r="Q149" s="162"/>
      <c r="R149" s="1028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</row>
    <row r="150" spans="1:42" s="224" customFormat="1" ht="15" customHeight="1" x14ac:dyDescent="0.25">
      <c r="A150" s="247">
        <v>45857</v>
      </c>
      <c r="B150" s="882" t="s">
        <v>80</v>
      </c>
      <c r="C150" s="879" t="s">
        <v>12</v>
      </c>
      <c r="D150" s="879" t="s">
        <v>1523</v>
      </c>
      <c r="E150" s="871" t="s">
        <v>13</v>
      </c>
      <c r="F150" s="780">
        <v>46</v>
      </c>
      <c r="G150" s="982"/>
      <c r="H150" s="95"/>
      <c r="I150" s="1064"/>
      <c r="J150" s="613"/>
      <c r="K150" s="2805"/>
      <c r="L150" s="622"/>
      <c r="M150" s="982"/>
      <c r="N150" s="622"/>
      <c r="O150" s="1063"/>
      <c r="P150" s="622"/>
      <c r="Q150" s="982"/>
      <c r="R150" s="861"/>
    </row>
    <row r="151" spans="1:42" s="224" customFormat="1" ht="15" customHeight="1" x14ac:dyDescent="0.25">
      <c r="A151" s="247">
        <v>45858</v>
      </c>
      <c r="B151" s="882" t="s">
        <v>14</v>
      </c>
      <c r="C151" s="1276" t="s">
        <v>12</v>
      </c>
      <c r="D151" s="879" t="s">
        <v>1486</v>
      </c>
      <c r="E151" s="875" t="s">
        <v>5470</v>
      </c>
      <c r="F151" s="780">
        <v>15.33</v>
      </c>
      <c r="G151" s="982"/>
      <c r="H151" s="622"/>
      <c r="I151" s="982"/>
      <c r="J151" s="622"/>
      <c r="K151" s="982"/>
      <c r="L151" s="622"/>
      <c r="M151" s="982"/>
      <c r="N151" s="880"/>
      <c r="O151" s="1525"/>
      <c r="P151" s="613"/>
      <c r="Q151" s="162"/>
      <c r="R151" s="1956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</row>
    <row r="152" spans="1:42" s="224" customFormat="1" ht="15" customHeight="1" x14ac:dyDescent="0.25">
      <c r="A152" s="247">
        <v>45858</v>
      </c>
      <c r="B152" s="882" t="s">
        <v>8155</v>
      </c>
      <c r="C152" s="879" t="s">
        <v>12</v>
      </c>
      <c r="D152" s="879" t="s">
        <v>1493</v>
      </c>
      <c r="E152" s="871" t="s">
        <v>13</v>
      </c>
      <c r="F152" s="780">
        <v>21</v>
      </c>
      <c r="G152" s="982"/>
      <c r="H152" s="95"/>
      <c r="I152" s="1064"/>
      <c r="J152" s="613"/>
      <c r="K152" s="2805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45859</v>
      </c>
      <c r="B153" s="882" t="s">
        <v>8157</v>
      </c>
      <c r="C153" s="879" t="s">
        <v>12</v>
      </c>
      <c r="D153" s="879" t="s">
        <v>6731</v>
      </c>
      <c r="E153" s="875" t="s">
        <v>13</v>
      </c>
      <c r="F153" s="780">
        <v>37</v>
      </c>
      <c r="G153" s="982"/>
      <c r="H153" s="622"/>
      <c r="I153" s="982"/>
      <c r="J153" s="1116"/>
      <c r="K153" s="2806"/>
      <c r="L153" s="622"/>
      <c r="M153" s="982"/>
      <c r="N153" s="622"/>
      <c r="O153" s="1063"/>
      <c r="P153" s="880"/>
      <c r="Q153" s="1033"/>
      <c r="R153" s="927"/>
      <c r="T153" s="878"/>
    </row>
    <row r="154" spans="1:42" s="224" customFormat="1" ht="15" customHeight="1" x14ac:dyDescent="0.25">
      <c r="A154" s="247">
        <v>45859</v>
      </c>
      <c r="B154" s="882" t="s">
        <v>8158</v>
      </c>
      <c r="C154" s="879" t="s">
        <v>12</v>
      </c>
      <c r="D154" s="879" t="s">
        <v>6731</v>
      </c>
      <c r="E154" s="875" t="s">
        <v>13</v>
      </c>
      <c r="F154" s="780">
        <v>37</v>
      </c>
      <c r="G154" s="982"/>
      <c r="H154" s="622"/>
      <c r="I154" s="982"/>
      <c r="J154" s="1116"/>
      <c r="K154" s="2806"/>
      <c r="L154" s="622"/>
      <c r="M154" s="982"/>
      <c r="N154" s="622"/>
      <c r="O154" s="1063"/>
      <c r="P154" s="880"/>
      <c r="Q154" s="1033"/>
      <c r="R154" s="927"/>
      <c r="T154" s="878"/>
    </row>
    <row r="155" spans="1:42" s="224" customFormat="1" ht="15" customHeight="1" x14ac:dyDescent="0.25">
      <c r="A155" s="247">
        <v>45859</v>
      </c>
      <c r="B155" s="882" t="s">
        <v>14</v>
      </c>
      <c r="C155" s="1276" t="s">
        <v>12</v>
      </c>
      <c r="D155" s="879" t="s">
        <v>1486</v>
      </c>
      <c r="E155" s="875" t="s">
        <v>13</v>
      </c>
      <c r="F155" s="780">
        <v>4.33</v>
      </c>
      <c r="G155" s="982"/>
      <c r="H155" s="95"/>
      <c r="I155" s="1064"/>
      <c r="J155" s="613"/>
      <c r="K155" s="2805"/>
      <c r="L155" s="622"/>
      <c r="M155" s="982"/>
      <c r="N155" s="622"/>
      <c r="O155" s="1063"/>
      <c r="P155" s="622"/>
      <c r="Q155" s="982"/>
      <c r="R155" s="861"/>
    </row>
    <row r="156" spans="1:42" s="224" customFormat="1" ht="15" customHeight="1" x14ac:dyDescent="0.25">
      <c r="A156" s="247">
        <v>45859</v>
      </c>
      <c r="B156" s="882" t="s">
        <v>8168</v>
      </c>
      <c r="C156" s="1276" t="s">
        <v>12</v>
      </c>
      <c r="D156" s="879"/>
      <c r="E156" s="875" t="s">
        <v>25</v>
      </c>
      <c r="F156" s="780"/>
      <c r="G156" s="982"/>
      <c r="H156" s="95"/>
      <c r="I156" s="1064"/>
      <c r="J156" s="613"/>
      <c r="K156" s="2805"/>
      <c r="L156" s="622"/>
      <c r="M156" s="982"/>
      <c r="N156" s="622"/>
      <c r="O156" s="1063"/>
      <c r="P156" s="622"/>
      <c r="Q156" s="982">
        <v>1096.3800000000001</v>
      </c>
      <c r="R156" s="861"/>
    </row>
    <row r="157" spans="1:42" s="224" customFormat="1" ht="15" customHeight="1" x14ac:dyDescent="0.25">
      <c r="A157" s="247">
        <v>45860</v>
      </c>
      <c r="B157" s="882" t="s">
        <v>6329</v>
      </c>
      <c r="C157" s="879" t="s">
        <v>12</v>
      </c>
      <c r="D157" s="879"/>
      <c r="E157" s="875" t="s">
        <v>25</v>
      </c>
      <c r="F157" s="780"/>
      <c r="G157" s="982">
        <v>100</v>
      </c>
      <c r="H157" s="1008"/>
      <c r="I157" s="1063"/>
      <c r="J157" s="613"/>
      <c r="K157" s="982"/>
      <c r="L157" s="622"/>
      <c r="M157" s="982"/>
      <c r="N157" s="622"/>
      <c r="O157" s="1063"/>
      <c r="P157" s="622"/>
      <c r="Q157" s="982"/>
      <c r="R157" s="861"/>
    </row>
    <row r="158" spans="1:42" s="224" customFormat="1" ht="15" customHeight="1" x14ac:dyDescent="0.25">
      <c r="A158" s="247">
        <v>45860</v>
      </c>
      <c r="B158" s="1275" t="s">
        <v>32</v>
      </c>
      <c r="C158" s="1276" t="s">
        <v>12</v>
      </c>
      <c r="D158" s="1276" t="s">
        <v>1485</v>
      </c>
      <c r="E158" s="871" t="s">
        <v>13</v>
      </c>
      <c r="F158" s="780">
        <v>23</v>
      </c>
      <c r="G158" s="982"/>
      <c r="H158" s="622"/>
      <c r="I158" s="982"/>
      <c r="J158" s="622"/>
      <c r="K158" s="982"/>
      <c r="L158" s="622"/>
      <c r="M158" s="982"/>
      <c r="N158" s="880"/>
      <c r="O158" s="1525"/>
      <c r="P158" s="613"/>
      <c r="Q158" s="162"/>
      <c r="R158" s="102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customHeight="1" x14ac:dyDescent="0.25">
      <c r="A159" s="247">
        <v>45861</v>
      </c>
      <c r="B159" s="1275" t="s">
        <v>7952</v>
      </c>
      <c r="C159" s="1276" t="s">
        <v>12</v>
      </c>
      <c r="D159" s="1276"/>
      <c r="E159" s="1286" t="s">
        <v>13</v>
      </c>
      <c r="F159" s="613">
        <v>182.71</v>
      </c>
      <c r="G159" s="967"/>
      <c r="H159" s="1008"/>
      <c r="I159" s="1063"/>
      <c r="J159" s="613"/>
      <c r="K159" s="6"/>
      <c r="L159" s="622"/>
      <c r="M159" s="982"/>
      <c r="N159" s="622"/>
      <c r="O159" s="1063"/>
      <c r="P159" s="613"/>
      <c r="Q159" s="64"/>
      <c r="R159" s="1024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45861</v>
      </c>
      <c r="B160" s="1275" t="s">
        <v>6755</v>
      </c>
      <c r="C160" s="1276" t="s">
        <v>12</v>
      </c>
      <c r="D160" s="1276"/>
      <c r="E160" s="1286"/>
      <c r="F160" s="613"/>
      <c r="G160" s="967">
        <v>182.71</v>
      </c>
      <c r="H160" s="1008"/>
      <c r="I160" s="1063"/>
      <c r="J160" s="613"/>
      <c r="K160" s="6"/>
      <c r="L160" s="622"/>
      <c r="M160" s="982"/>
      <c r="N160" s="622"/>
      <c r="O160" s="1063"/>
      <c r="P160" s="613"/>
      <c r="Q160" s="64"/>
      <c r="R160" s="1024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</row>
    <row r="161" spans="1:42" s="224" customFormat="1" ht="15" customHeight="1" x14ac:dyDescent="0.25">
      <c r="A161" s="247">
        <v>45861</v>
      </c>
      <c r="B161" s="882" t="s">
        <v>8163</v>
      </c>
      <c r="C161" s="879" t="s">
        <v>12</v>
      </c>
      <c r="D161" s="879" t="s">
        <v>1489</v>
      </c>
      <c r="E161" s="875" t="s">
        <v>13</v>
      </c>
      <c r="F161" s="780">
        <v>26.44</v>
      </c>
      <c r="G161" s="982"/>
      <c r="H161" s="622"/>
      <c r="I161" s="982"/>
      <c r="J161" s="1116"/>
      <c r="K161" s="2806"/>
      <c r="L161" s="622"/>
      <c r="M161" s="982"/>
      <c r="N161" s="622"/>
      <c r="O161" s="1063"/>
      <c r="P161" s="880"/>
      <c r="Q161" s="1033"/>
      <c r="R161" s="927"/>
      <c r="T161" s="878"/>
    </row>
    <row r="162" spans="1:42" s="224" customFormat="1" ht="15" customHeight="1" x14ac:dyDescent="0.25">
      <c r="A162" s="247">
        <v>45861</v>
      </c>
      <c r="B162" s="882" t="s">
        <v>14</v>
      </c>
      <c r="C162" s="1276" t="s">
        <v>12</v>
      </c>
      <c r="D162" s="879" t="s">
        <v>1486</v>
      </c>
      <c r="E162" s="875" t="s">
        <v>5470</v>
      </c>
      <c r="F162" s="780">
        <v>4.2300000000000004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1956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45861</v>
      </c>
      <c r="B163" s="882" t="s">
        <v>8155</v>
      </c>
      <c r="C163" s="879" t="s">
        <v>12</v>
      </c>
      <c r="D163" s="879" t="s">
        <v>1493</v>
      </c>
      <c r="E163" s="871" t="s">
        <v>13</v>
      </c>
      <c r="F163" s="780">
        <v>15</v>
      </c>
      <c r="G163" s="982"/>
      <c r="H163" s="95"/>
      <c r="I163" s="1064"/>
      <c r="J163" s="613"/>
      <c r="K163" s="2805"/>
      <c r="L163" s="622"/>
      <c r="M163" s="982"/>
      <c r="N163" s="622"/>
      <c r="O163" s="1063"/>
      <c r="P163" s="622"/>
      <c r="Q163" s="982"/>
      <c r="R163" s="861"/>
    </row>
    <row r="164" spans="1:42" s="224" customFormat="1" ht="15" customHeight="1" x14ac:dyDescent="0.25">
      <c r="A164" s="247">
        <v>45862</v>
      </c>
      <c r="B164" s="1275" t="s">
        <v>32</v>
      </c>
      <c r="C164" s="1276" t="s">
        <v>12</v>
      </c>
      <c r="D164" s="1276" t="s">
        <v>1485</v>
      </c>
      <c r="E164" s="871" t="s">
        <v>13</v>
      </c>
      <c r="F164" s="780">
        <v>23</v>
      </c>
      <c r="G164" s="982"/>
      <c r="H164" s="622"/>
      <c r="I164" s="982"/>
      <c r="J164" s="622"/>
      <c r="K164" s="982"/>
      <c r="L164" s="622"/>
      <c r="M164" s="982"/>
      <c r="N164" s="880"/>
      <c r="O164" s="1525"/>
      <c r="P164" s="613"/>
      <c r="Q164" s="162"/>
      <c r="R164" s="1028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</row>
    <row r="165" spans="1:42" s="224" customFormat="1" ht="15" customHeight="1" x14ac:dyDescent="0.25">
      <c r="A165" s="247">
        <v>45862</v>
      </c>
      <c r="B165" s="882" t="s">
        <v>14</v>
      </c>
      <c r="C165" s="879" t="s">
        <v>12</v>
      </c>
      <c r="D165" s="879" t="s">
        <v>1486</v>
      </c>
      <c r="E165" s="871" t="s">
        <v>13</v>
      </c>
      <c r="F165" s="780">
        <v>26.45</v>
      </c>
      <c r="G165" s="982"/>
      <c r="H165" s="95"/>
      <c r="I165" s="1064"/>
      <c r="J165" s="613"/>
      <c r="K165" s="2805"/>
      <c r="L165" s="622"/>
      <c r="M165" s="982"/>
      <c r="N165" s="622"/>
      <c r="O165" s="1063"/>
      <c r="P165" s="1110"/>
      <c r="Q165" s="1208"/>
      <c r="R165" s="1028"/>
      <c r="U165" s="958"/>
    </row>
    <row r="166" spans="1:42" s="224" customFormat="1" ht="15" customHeight="1" x14ac:dyDescent="0.25">
      <c r="A166" s="247">
        <v>45863</v>
      </c>
      <c r="B166" s="882" t="s">
        <v>1906</v>
      </c>
      <c r="C166" s="879" t="s">
        <v>12</v>
      </c>
      <c r="D166" s="879" t="s">
        <v>1493</v>
      </c>
      <c r="E166" s="871" t="s">
        <v>13</v>
      </c>
      <c r="F166" s="780">
        <v>23</v>
      </c>
      <c r="G166" s="982"/>
      <c r="H166" s="95"/>
      <c r="I166" s="1064"/>
      <c r="J166" s="622"/>
      <c r="K166" s="982"/>
      <c r="L166" s="622"/>
      <c r="M166" s="982"/>
      <c r="N166" s="622"/>
      <c r="O166" s="1063"/>
      <c r="P166" s="622"/>
      <c r="Q166" s="982"/>
      <c r="R166" s="1028"/>
      <c r="U166" s="958"/>
    </row>
    <row r="167" spans="1:42" s="224" customFormat="1" ht="15" customHeight="1" x14ac:dyDescent="0.25">
      <c r="A167" s="247">
        <v>45863</v>
      </c>
      <c r="B167" s="882" t="s">
        <v>81</v>
      </c>
      <c r="C167" s="879" t="s">
        <v>12</v>
      </c>
      <c r="D167" s="879" t="s">
        <v>1493</v>
      </c>
      <c r="E167" s="871" t="s">
        <v>13</v>
      </c>
      <c r="F167" s="780">
        <v>7.5</v>
      </c>
      <c r="G167" s="982"/>
      <c r="H167" s="95"/>
      <c r="I167" s="1064"/>
      <c r="J167" s="622"/>
      <c r="K167" s="982"/>
      <c r="L167" s="622"/>
      <c r="M167" s="982"/>
      <c r="N167" s="622"/>
      <c r="O167" s="1063"/>
      <c r="P167" s="622"/>
      <c r="Q167" s="982"/>
      <c r="R167" s="1028"/>
      <c r="U167" s="958"/>
    </row>
    <row r="168" spans="1:42" s="224" customFormat="1" ht="15" customHeight="1" x14ac:dyDescent="0.25">
      <c r="A168" s="247">
        <v>45864</v>
      </c>
      <c r="B168" s="882" t="s">
        <v>14</v>
      </c>
      <c r="C168" s="879" t="s">
        <v>12</v>
      </c>
      <c r="D168" s="879" t="s">
        <v>1486</v>
      </c>
      <c r="E168" s="871" t="s">
        <v>13</v>
      </c>
      <c r="F168" s="780">
        <v>7.02</v>
      </c>
      <c r="G168" s="982"/>
      <c r="H168" s="95"/>
      <c r="I168" s="1064"/>
      <c r="J168" s="613"/>
      <c r="K168" s="2805"/>
      <c r="L168" s="622"/>
      <c r="M168" s="982"/>
      <c r="N168" s="622"/>
      <c r="O168" s="1063"/>
      <c r="P168" s="1110"/>
      <c r="Q168" s="1208"/>
      <c r="R168" s="1028"/>
      <c r="U168" s="958"/>
    </row>
    <row r="169" spans="1:42" s="224" customFormat="1" ht="15" customHeight="1" x14ac:dyDescent="0.25">
      <c r="A169" s="247">
        <v>45864</v>
      </c>
      <c r="B169" s="882" t="s">
        <v>2629</v>
      </c>
      <c r="C169" s="879" t="s">
        <v>12</v>
      </c>
      <c r="D169" s="879" t="s">
        <v>1489</v>
      </c>
      <c r="E169" s="875" t="s">
        <v>5470</v>
      </c>
      <c r="F169" s="780">
        <v>43</v>
      </c>
      <c r="G169" s="982"/>
      <c r="H169" s="622"/>
      <c r="I169" s="982"/>
      <c r="J169" s="872"/>
      <c r="K169" s="2806"/>
      <c r="L169" s="622"/>
      <c r="M169" s="982"/>
      <c r="N169" s="622"/>
      <c r="O169" s="1063"/>
      <c r="P169" s="622"/>
      <c r="Q169" s="982"/>
      <c r="R169" s="1028"/>
      <c r="S169" s="959"/>
      <c r="T169" s="878"/>
      <c r="U169" s="958"/>
    </row>
    <row r="170" spans="1:42" s="224" customFormat="1" ht="15" customHeight="1" x14ac:dyDescent="0.25">
      <c r="A170" s="247">
        <v>45864</v>
      </c>
      <c r="B170" s="882" t="s">
        <v>2629</v>
      </c>
      <c r="C170" s="879" t="s">
        <v>12</v>
      </c>
      <c r="D170" s="879" t="s">
        <v>1489</v>
      </c>
      <c r="E170" s="875" t="s">
        <v>13</v>
      </c>
      <c r="F170" s="780">
        <v>34.15</v>
      </c>
      <c r="G170" s="982"/>
      <c r="H170" s="622"/>
      <c r="I170" s="982"/>
      <c r="J170" s="872"/>
      <c r="K170" s="2806"/>
      <c r="L170" s="622"/>
      <c r="M170" s="982"/>
      <c r="N170" s="622"/>
      <c r="O170" s="1063"/>
      <c r="P170" s="622"/>
      <c r="Q170" s="982"/>
      <c r="R170" s="1028"/>
      <c r="S170" s="959"/>
      <c r="T170" s="878"/>
      <c r="U170" s="958"/>
    </row>
    <row r="171" spans="1:42" s="224" customFormat="1" ht="15" customHeight="1" x14ac:dyDescent="0.25">
      <c r="A171" s="247">
        <v>45864</v>
      </c>
      <c r="B171" s="1275" t="s">
        <v>32</v>
      </c>
      <c r="C171" s="1276" t="s">
        <v>12</v>
      </c>
      <c r="D171" s="1276" t="s">
        <v>1485</v>
      </c>
      <c r="E171" s="871" t="s">
        <v>13</v>
      </c>
      <c r="F171" s="780">
        <v>19.899999999999999</v>
      </c>
      <c r="G171" s="982"/>
      <c r="H171" s="622"/>
      <c r="I171" s="982"/>
      <c r="J171" s="622"/>
      <c r="K171" s="982"/>
      <c r="L171" s="622"/>
      <c r="M171" s="982"/>
      <c r="N171" s="880"/>
      <c r="O171" s="1525"/>
      <c r="P171" s="613"/>
      <c r="Q171" s="162"/>
      <c r="R171" s="1028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</row>
    <row r="172" spans="1:42" s="224" customFormat="1" ht="15" customHeight="1" x14ac:dyDescent="0.25">
      <c r="A172" s="247">
        <v>45864</v>
      </c>
      <c r="B172" s="1275" t="s">
        <v>1369</v>
      </c>
      <c r="C172" s="1276" t="s">
        <v>12</v>
      </c>
      <c r="D172" s="1276" t="s">
        <v>1489</v>
      </c>
      <c r="E172" s="871" t="s">
        <v>13</v>
      </c>
      <c r="F172" s="780">
        <v>9</v>
      </c>
      <c r="G172" s="982"/>
      <c r="H172" s="622"/>
      <c r="I172" s="982"/>
      <c r="J172" s="622"/>
      <c r="K172" s="982"/>
      <c r="L172" s="622"/>
      <c r="M172" s="982"/>
      <c r="N172" s="880"/>
      <c r="O172" s="1525"/>
      <c r="P172" s="613"/>
      <c r="Q172" s="162"/>
      <c r="R172" s="1028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</row>
    <row r="173" spans="1:42" s="224" customFormat="1" ht="15" customHeight="1" x14ac:dyDescent="0.25">
      <c r="A173" s="247">
        <v>45864</v>
      </c>
      <c r="B173" s="882" t="s">
        <v>8164</v>
      </c>
      <c r="C173" s="1276" t="s">
        <v>12</v>
      </c>
      <c r="D173" s="1276" t="s">
        <v>1493</v>
      </c>
      <c r="E173" s="871" t="s">
        <v>15</v>
      </c>
      <c r="F173" s="780">
        <v>54</v>
      </c>
      <c r="G173" s="982"/>
      <c r="H173" s="622"/>
      <c r="I173" s="982"/>
      <c r="J173" s="622"/>
      <c r="K173" s="982"/>
      <c r="L173" s="622"/>
      <c r="M173" s="982"/>
      <c r="N173" s="880"/>
      <c r="O173" s="1525"/>
      <c r="P173" s="613"/>
      <c r="Q173" s="162"/>
      <c r="R173" s="1028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</row>
    <row r="174" spans="1:42" s="224" customFormat="1" ht="15" customHeight="1" x14ac:dyDescent="0.25">
      <c r="A174" s="247">
        <v>45865</v>
      </c>
      <c r="B174" s="882" t="s">
        <v>14</v>
      </c>
      <c r="C174" s="879" t="s">
        <v>12</v>
      </c>
      <c r="D174" s="879" t="s">
        <v>1486</v>
      </c>
      <c r="E174" s="871" t="s">
        <v>13</v>
      </c>
      <c r="F174" s="780">
        <v>9.9</v>
      </c>
      <c r="G174" s="982"/>
      <c r="H174" s="622"/>
      <c r="I174" s="982"/>
      <c r="J174" s="622"/>
      <c r="K174" s="982"/>
      <c r="L174" s="622"/>
      <c r="M174" s="982"/>
      <c r="N174" s="880"/>
      <c r="O174" s="1525"/>
      <c r="P174" s="613"/>
      <c r="Q174" s="162"/>
      <c r="R174" s="1956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</row>
    <row r="175" spans="1:42" s="224" customFormat="1" ht="15" customHeight="1" x14ac:dyDescent="0.25">
      <c r="A175" s="247">
        <v>45866</v>
      </c>
      <c r="B175" s="882" t="s">
        <v>14</v>
      </c>
      <c r="C175" s="879" t="s">
        <v>12</v>
      </c>
      <c r="D175" s="879" t="s">
        <v>1486</v>
      </c>
      <c r="E175" s="871" t="s">
        <v>13</v>
      </c>
      <c r="F175" s="780">
        <v>4.4000000000000004</v>
      </c>
      <c r="G175" s="982"/>
      <c r="H175" s="1008"/>
      <c r="I175" s="1063"/>
      <c r="J175" s="1116"/>
      <c r="K175" s="2806"/>
      <c r="L175" s="622"/>
      <c r="M175" s="982"/>
      <c r="N175" s="622"/>
      <c r="O175" s="1063"/>
      <c r="P175" s="622"/>
      <c r="Q175" s="982"/>
      <c r="R175" s="861"/>
      <c r="T175" s="1035"/>
    </row>
    <row r="176" spans="1:42" s="224" customFormat="1" ht="15" customHeight="1" x14ac:dyDescent="0.25">
      <c r="A176" s="247">
        <v>45867</v>
      </c>
      <c r="B176" s="882" t="s">
        <v>6329</v>
      </c>
      <c r="C176" s="879" t="s">
        <v>12</v>
      </c>
      <c r="D176" s="879"/>
      <c r="E176" s="875" t="s">
        <v>25</v>
      </c>
      <c r="F176" s="780"/>
      <c r="G176" s="982">
        <v>100</v>
      </c>
      <c r="H176" s="1008"/>
      <c r="I176" s="1063"/>
      <c r="J176" s="613"/>
      <c r="K176" s="982"/>
      <c r="L176" s="622"/>
      <c r="M176" s="982"/>
      <c r="N176" s="622"/>
      <c r="O176" s="1063"/>
      <c r="P176" s="622"/>
      <c r="Q176" s="982"/>
      <c r="R176" s="861"/>
    </row>
    <row r="177" spans="1:42" s="224" customFormat="1" ht="15" customHeight="1" x14ac:dyDescent="0.25">
      <c r="A177" s="247">
        <v>45867</v>
      </c>
      <c r="B177" s="1275" t="s">
        <v>32</v>
      </c>
      <c r="C177" s="1276" t="s">
        <v>12</v>
      </c>
      <c r="D177" s="1276" t="s">
        <v>1485</v>
      </c>
      <c r="E177" s="871" t="s">
        <v>13</v>
      </c>
      <c r="F177" s="780">
        <v>23</v>
      </c>
      <c r="G177" s="982"/>
      <c r="H177" s="622"/>
      <c r="I177" s="982"/>
      <c r="J177" s="622"/>
      <c r="K177" s="982"/>
      <c r="L177" s="622"/>
      <c r="M177" s="982"/>
      <c r="N177" s="880"/>
      <c r="O177" s="1525"/>
      <c r="P177" s="613"/>
      <c r="Q177" s="162"/>
      <c r="R177" s="1028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</row>
    <row r="178" spans="1:42" s="224" customFormat="1" ht="15" customHeight="1" x14ac:dyDescent="0.25">
      <c r="A178" s="247">
        <v>45867</v>
      </c>
      <c r="B178" s="882" t="s">
        <v>14</v>
      </c>
      <c r="C178" s="879" t="s">
        <v>12</v>
      </c>
      <c r="D178" s="879" t="s">
        <v>1486</v>
      </c>
      <c r="E178" s="871" t="s">
        <v>13</v>
      </c>
      <c r="F178" s="780">
        <v>4.6399999999999997</v>
      </c>
      <c r="G178" s="982"/>
      <c r="H178" s="1008"/>
      <c r="I178" s="1063"/>
      <c r="J178" s="1116"/>
      <c r="K178" s="1207"/>
      <c r="L178" s="622"/>
      <c r="M178" s="982"/>
      <c r="N178" s="622"/>
      <c r="O178" s="1063"/>
      <c r="P178" s="622"/>
      <c r="Q178" s="982"/>
      <c r="R178" s="861"/>
      <c r="T178" s="1035"/>
    </row>
    <row r="179" spans="1:42" s="224" customFormat="1" ht="15" customHeight="1" x14ac:dyDescent="0.25">
      <c r="A179" s="247">
        <v>45868</v>
      </c>
      <c r="B179" s="1275" t="s">
        <v>32</v>
      </c>
      <c r="C179" s="1276" t="s">
        <v>12</v>
      </c>
      <c r="D179" s="1276" t="s">
        <v>1485</v>
      </c>
      <c r="E179" s="871" t="s">
        <v>13</v>
      </c>
      <c r="F179" s="780">
        <v>23</v>
      </c>
      <c r="G179" s="982"/>
      <c r="H179" s="622"/>
      <c r="I179" s="982"/>
      <c r="J179" s="622"/>
      <c r="K179" s="982"/>
      <c r="L179" s="622"/>
      <c r="M179" s="982"/>
      <c r="N179" s="880"/>
      <c r="O179" s="1525"/>
      <c r="P179" s="613"/>
      <c r="Q179" s="162"/>
      <c r="R179" s="1028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</row>
    <row r="180" spans="1:42" s="224" customFormat="1" ht="15" customHeight="1" x14ac:dyDescent="0.25">
      <c r="A180" s="247">
        <v>45868</v>
      </c>
      <c r="B180" s="882" t="s">
        <v>14</v>
      </c>
      <c r="C180" s="879" t="s">
        <v>12</v>
      </c>
      <c r="D180" s="879" t="s">
        <v>1486</v>
      </c>
      <c r="E180" s="871" t="s">
        <v>13</v>
      </c>
      <c r="F180" s="780">
        <v>4.54</v>
      </c>
      <c r="G180" s="982"/>
      <c r="H180" s="1008"/>
      <c r="I180" s="1063"/>
      <c r="J180" s="1116"/>
      <c r="K180" s="1207"/>
      <c r="L180" s="622"/>
      <c r="M180" s="982"/>
      <c r="N180" s="622"/>
      <c r="O180" s="1063"/>
      <c r="P180" s="622"/>
      <c r="Q180" s="982"/>
      <c r="R180" s="861"/>
      <c r="T180" s="1035"/>
    </row>
    <row r="181" spans="1:42" s="224" customFormat="1" ht="15" customHeight="1" x14ac:dyDescent="0.25">
      <c r="A181" s="247">
        <v>45869</v>
      </c>
      <c r="B181" s="882" t="s">
        <v>8172</v>
      </c>
      <c r="C181" s="879" t="s">
        <v>12</v>
      </c>
      <c r="D181" s="879" t="s">
        <v>1525</v>
      </c>
      <c r="E181" s="871" t="s">
        <v>13</v>
      </c>
      <c r="F181" s="780">
        <v>75.63</v>
      </c>
      <c r="G181" s="982"/>
      <c r="H181" s="622"/>
      <c r="I181" s="982"/>
      <c r="J181" s="622"/>
      <c r="K181" s="982"/>
      <c r="L181" s="622"/>
      <c r="M181" s="982"/>
      <c r="N181" s="622"/>
      <c r="O181" s="1063"/>
      <c r="P181" s="622"/>
      <c r="Q181" s="982"/>
      <c r="R181" s="1028"/>
      <c r="S181" s="959"/>
      <c r="T181" s="878"/>
      <c r="U181" s="958"/>
    </row>
    <row r="182" spans="1:42" s="224" customFormat="1" ht="15" customHeight="1" x14ac:dyDescent="0.25">
      <c r="A182" s="247">
        <v>45869</v>
      </c>
      <c r="B182" s="882" t="s">
        <v>81</v>
      </c>
      <c r="C182" s="879" t="s">
        <v>12</v>
      </c>
      <c r="D182" s="879" t="s">
        <v>1493</v>
      </c>
      <c r="E182" s="871" t="s">
        <v>13</v>
      </c>
      <c r="F182" s="780">
        <v>8</v>
      </c>
      <c r="G182" s="982"/>
      <c r="H182" s="1008"/>
      <c r="I182" s="1063"/>
      <c r="J182" s="622"/>
      <c r="K182" s="982"/>
      <c r="L182" s="622"/>
      <c r="M182" s="982"/>
      <c r="N182" s="622"/>
      <c r="O182" s="1063"/>
      <c r="P182" s="622"/>
      <c r="Q182" s="982"/>
      <c r="R182" s="861"/>
      <c r="T182" s="1035"/>
    </row>
    <row r="183" spans="1:42" s="224" customFormat="1" ht="15" customHeight="1" x14ac:dyDescent="0.25">
      <c r="A183" s="247">
        <v>45869</v>
      </c>
      <c r="B183" s="882" t="s">
        <v>14</v>
      </c>
      <c r="C183" s="879" t="s">
        <v>12</v>
      </c>
      <c r="D183" s="879" t="s">
        <v>1486</v>
      </c>
      <c r="E183" s="871" t="s">
        <v>13</v>
      </c>
      <c r="F183" s="780">
        <v>11.42</v>
      </c>
      <c r="G183" s="982"/>
      <c r="H183" s="1008"/>
      <c r="I183" s="1063"/>
      <c r="J183" s="622"/>
      <c r="K183" s="982"/>
      <c r="L183" s="622"/>
      <c r="M183" s="982"/>
      <c r="N183" s="622"/>
      <c r="O183" s="1063"/>
      <c r="P183" s="622"/>
      <c r="Q183" s="982"/>
      <c r="R183" s="861"/>
      <c r="T183" s="1035"/>
    </row>
    <row r="184" spans="1:42" s="224" customFormat="1" ht="15" customHeight="1" thickBot="1" x14ac:dyDescent="0.3">
      <c r="A184" s="247">
        <v>45869</v>
      </c>
      <c r="B184" s="349" t="s">
        <v>6168</v>
      </c>
      <c r="C184" s="350" t="s">
        <v>12</v>
      </c>
      <c r="D184" s="350"/>
      <c r="E184" s="480" t="s">
        <v>25</v>
      </c>
      <c r="F184" s="2551"/>
      <c r="G184" s="1522"/>
      <c r="H184" s="95"/>
      <c r="I184" s="2096"/>
      <c r="J184" s="622"/>
      <c r="K184" s="2096">
        <v>44.79</v>
      </c>
      <c r="L184" s="622"/>
      <c r="M184" s="2556"/>
      <c r="N184" s="622"/>
      <c r="O184" s="2096">
        <v>66.73</v>
      </c>
      <c r="P184" s="622"/>
      <c r="Q184" s="982"/>
      <c r="R184" s="2585">
        <f>I184+K184+M184+O184</f>
        <v>111.52000000000001</v>
      </c>
      <c r="T184" s="927"/>
      <c r="U184" s="999"/>
    </row>
    <row r="185" spans="1:42" ht="25.5" customHeight="1" thickBot="1" x14ac:dyDescent="0.3">
      <c r="A185" s="3060"/>
      <c r="B185" s="3061"/>
      <c r="C185" s="3062"/>
      <c r="D185" s="3062"/>
      <c r="E185" s="3062"/>
      <c r="F185" s="1023">
        <f>SUM(F6:F184)</f>
        <v>16577.933571428573</v>
      </c>
      <c r="G185" s="1065">
        <f>SUM(G5:G184)</f>
        <v>17304.00660714291</v>
      </c>
      <c r="H185" s="517">
        <f>SUM(H6:H184)</f>
        <v>0</v>
      </c>
      <c r="I185" s="93">
        <f>SUM(I5:I184)</f>
        <v>0</v>
      </c>
      <c r="J185" s="517">
        <f>SUM(J6:J184)</f>
        <v>7509.98</v>
      </c>
      <c r="K185" s="93">
        <f>SUM(K5:K184)</f>
        <v>8699.6200000000026</v>
      </c>
      <c r="L185" s="1023">
        <f>SUM(L6:L184)</f>
        <v>0</v>
      </c>
      <c r="M185" s="93">
        <f>SUM(M5:M184)</f>
        <v>0</v>
      </c>
      <c r="N185" s="1023">
        <f>SUM(N6:N184)</f>
        <v>2341.21</v>
      </c>
      <c r="O185" s="93">
        <f>SUM(O5:O184)</f>
        <v>7361.7000000000007</v>
      </c>
      <c r="P185" s="1023">
        <f>SUM(P6:P184)</f>
        <v>0</v>
      </c>
      <c r="Q185" s="93">
        <f>SUM(Q5:Q184)</f>
        <v>35926.275984720007</v>
      </c>
      <c r="S185" s="216"/>
    </row>
    <row r="186" spans="1:42" ht="25.5" customHeight="1" thickBot="1" x14ac:dyDescent="0.3">
      <c r="A186" s="3063" t="s">
        <v>49</v>
      </c>
      <c r="B186" s="3064"/>
      <c r="C186" s="3064"/>
      <c r="D186" s="3064"/>
      <c r="E186" s="3064"/>
      <c r="F186" s="2046" t="s">
        <v>280</v>
      </c>
      <c r="G186" s="1066">
        <f>G185-F185</f>
        <v>726.07303571433658</v>
      </c>
      <c r="H186" s="1221"/>
      <c r="I186" s="772">
        <f>I185-H185</f>
        <v>0</v>
      </c>
      <c r="J186" s="1221"/>
      <c r="K186" s="772">
        <f>K185-J185</f>
        <v>1189.6400000000031</v>
      </c>
      <c r="L186" s="1222"/>
      <c r="M186" s="772">
        <f>M185-L185</f>
        <v>0</v>
      </c>
      <c r="N186" s="1222"/>
      <c r="O186" s="772">
        <f>O185-N185</f>
        <v>5020.4900000000007</v>
      </c>
      <c r="P186" s="1222"/>
      <c r="Q186" s="772">
        <f>Q185-P185</f>
        <v>35926.275984720007</v>
      </c>
      <c r="R186" s="484">
        <f>M186+O186+Q186</f>
        <v>40946.765984720005</v>
      </c>
    </row>
    <row r="187" spans="1:42" x14ac:dyDescent="0.25">
      <c r="J187" s="1210"/>
      <c r="K187" s="1038"/>
      <c r="M187" s="1238">
        <f>M186/R186</f>
        <v>0</v>
      </c>
      <c r="O187" s="1238">
        <f>O186/R186</f>
        <v>0.12261017150593734</v>
      </c>
      <c r="P187" s="1239"/>
      <c r="Q187" s="1239">
        <f>Q186/R186</f>
        <v>0.87738982849406277</v>
      </c>
      <c r="R187" s="867"/>
      <c r="S187" s="867"/>
      <c r="T187" s="79"/>
      <c r="W187" s="518"/>
      <c r="X187" s="216"/>
      <c r="Z187" s="877"/>
    </row>
    <row r="188" spans="1:42" x14ac:dyDescent="0.25">
      <c r="B188" s="81" t="s">
        <v>3</v>
      </c>
      <c r="C188" s="193" t="s">
        <v>1484</v>
      </c>
      <c r="D188" s="970" t="s">
        <v>2378</v>
      </c>
      <c r="E188" s="193" t="s">
        <v>3216</v>
      </c>
      <c r="F188" s="1061" t="s">
        <v>3217</v>
      </c>
      <c r="G188" s="216"/>
      <c r="I188" s="216"/>
      <c r="J188" s="1038"/>
      <c r="K188" s="216"/>
      <c r="M188" s="866"/>
      <c r="O188" s="866"/>
      <c r="P188" s="1038"/>
      <c r="Q188" s="1038"/>
      <c r="R188" s="865"/>
      <c r="S188" s="867"/>
    </row>
    <row r="189" spans="1:42" x14ac:dyDescent="0.25">
      <c r="B189" s="79" t="s">
        <v>32</v>
      </c>
      <c r="C189" s="85" t="s">
        <v>1485</v>
      </c>
      <c r="D189" s="475">
        <f t="shared" ref="D189:D205" si="0">SUMIF($D$8:$D$184,C189,$F$8:$F$184)</f>
        <v>397.76</v>
      </c>
      <c r="E189" s="1202">
        <f>D189/$K$209</f>
        <v>12.830967741935483</v>
      </c>
      <c r="F189" s="1203">
        <f t="shared" ref="F189:F205" si="1">E189/$E$210</f>
        <v>7.2230036395275185E-2</v>
      </c>
      <c r="G189" s="800"/>
      <c r="I189" s="769"/>
      <c r="J189" s="1038"/>
      <c r="K189" s="1225"/>
      <c r="M189" s="886"/>
      <c r="O189" s="886"/>
      <c r="P189" s="886"/>
      <c r="Q189" s="1038">
        <v>24197.98</v>
      </c>
      <c r="R189" s="1038" t="s">
        <v>6378</v>
      </c>
      <c r="S189" s="1210"/>
      <c r="U189" s="1201"/>
      <c r="V189" s="877"/>
    </row>
    <row r="190" spans="1:42" x14ac:dyDescent="0.25">
      <c r="B190" s="79" t="s">
        <v>2187</v>
      </c>
      <c r="C190" s="85" t="s">
        <v>2157</v>
      </c>
      <c r="D190" s="475">
        <f t="shared" si="0"/>
        <v>0</v>
      </c>
      <c r="E190" s="1202">
        <f>D190/$K$209</f>
        <v>0</v>
      </c>
      <c r="F190" s="1203">
        <f t="shared" si="1"/>
        <v>0</v>
      </c>
      <c r="G190" s="609"/>
      <c r="J190" s="2125"/>
      <c r="K190" s="1129"/>
      <c r="M190" s="1210"/>
      <c r="O190" s="1038"/>
      <c r="P190" s="1210"/>
      <c r="Q190" s="1210">
        <f>Q186+Q189</f>
        <v>60124.255984720003</v>
      </c>
      <c r="R190" s="1038" t="s">
        <v>6379</v>
      </c>
      <c r="U190" s="877"/>
      <c r="V190" s="877"/>
    </row>
    <row r="191" spans="1:42" s="85" customFormat="1" x14ac:dyDescent="0.25">
      <c r="A191" s="79"/>
      <c r="B191" s="79" t="s">
        <v>50</v>
      </c>
      <c r="C191" s="85" t="s">
        <v>1493</v>
      </c>
      <c r="D191" s="475">
        <f t="shared" si="0"/>
        <v>386.31</v>
      </c>
      <c r="E191" s="1202">
        <f t="shared" ref="E191:E205" si="2">D191/$K$209</f>
        <v>12.461612903225806</v>
      </c>
      <c r="F191" s="1203">
        <f t="shared" si="1"/>
        <v>7.0150807924021424E-2</v>
      </c>
      <c r="J191" s="1210"/>
      <c r="K191" s="1038"/>
      <c r="M191" s="941"/>
      <c r="N191" s="877"/>
      <c r="O191" s="863"/>
      <c r="Q191" s="79"/>
      <c r="R191" s="177"/>
      <c r="U191" s="877"/>
      <c r="V191" s="877"/>
    </row>
    <row r="192" spans="1:42" s="85" customFormat="1" x14ac:dyDescent="0.25">
      <c r="A192" s="79"/>
      <c r="B192" s="79" t="s">
        <v>14</v>
      </c>
      <c r="C192" s="85" t="s">
        <v>1486</v>
      </c>
      <c r="D192" s="475">
        <f t="shared" si="0"/>
        <v>228.62</v>
      </c>
      <c r="E192" s="1202">
        <f t="shared" si="2"/>
        <v>7.3748387096774195</v>
      </c>
      <c r="F192" s="1203">
        <f t="shared" si="1"/>
        <v>4.1515564462710722E-2</v>
      </c>
      <c r="G192" s="79"/>
      <c r="H192" s="79"/>
      <c r="J192" s="1210"/>
      <c r="K192" s="1038"/>
      <c r="M192" s="1028"/>
      <c r="N192" s="877"/>
      <c r="O192" s="1038"/>
      <c r="R192" s="177"/>
      <c r="U192" s="877"/>
      <c r="V192" s="877"/>
    </row>
    <row r="193" spans="1:22" s="85" customFormat="1" x14ac:dyDescent="0.25">
      <c r="B193" s="79" t="s">
        <v>51</v>
      </c>
      <c r="C193" s="864" t="s">
        <v>1499</v>
      </c>
      <c r="D193" s="475">
        <f t="shared" si="0"/>
        <v>120</v>
      </c>
      <c r="E193" s="1202">
        <f t="shared" si="2"/>
        <v>3.870967741935484</v>
      </c>
      <c r="F193" s="1203">
        <f t="shared" si="1"/>
        <v>2.179104074676444E-2</v>
      </c>
      <c r="G193" s="79"/>
      <c r="H193" s="79"/>
      <c r="I193" s="79"/>
      <c r="J193" s="1210"/>
      <c r="K193" s="1038"/>
      <c r="M193" s="1028"/>
      <c r="N193" s="877"/>
      <c r="O193" s="1038"/>
      <c r="P193" s="1210"/>
      <c r="Q193" s="1038"/>
      <c r="R193" s="177"/>
      <c r="U193" s="877"/>
      <c r="V193" s="877"/>
    </row>
    <row r="194" spans="1:22" s="85" customFormat="1" x14ac:dyDescent="0.25">
      <c r="A194" s="79"/>
      <c r="B194" s="79" t="s">
        <v>2189</v>
      </c>
      <c r="C194" s="864" t="s">
        <v>1496</v>
      </c>
      <c r="D194" s="475">
        <f t="shared" si="0"/>
        <v>100</v>
      </c>
      <c r="E194" s="1202">
        <f t="shared" si="2"/>
        <v>3.225806451612903</v>
      </c>
      <c r="F194" s="1203">
        <f t="shared" si="1"/>
        <v>1.8159200622303698E-2</v>
      </c>
      <c r="G194" s="79"/>
      <c r="J194" s="1210"/>
      <c r="K194" s="1038"/>
      <c r="M194" s="877"/>
      <c r="O194" s="177"/>
      <c r="R194" s="177"/>
      <c r="U194" s="877"/>
      <c r="V194" s="877"/>
    </row>
    <row r="195" spans="1:22" s="85" customFormat="1" x14ac:dyDescent="0.25">
      <c r="A195" s="79"/>
      <c r="B195" s="867" t="s">
        <v>53</v>
      </c>
      <c r="C195" s="864" t="s">
        <v>1522</v>
      </c>
      <c r="D195" s="475">
        <f t="shared" si="0"/>
        <v>266.66666666666669</v>
      </c>
      <c r="E195" s="1202">
        <f t="shared" si="2"/>
        <v>8.6021505376344098</v>
      </c>
      <c r="F195" s="1203">
        <f t="shared" si="1"/>
        <v>4.8424534992809874E-2</v>
      </c>
      <c r="J195" s="1210"/>
      <c r="K195" s="1038"/>
      <c r="M195" s="1959"/>
      <c r="O195" s="177"/>
      <c r="P195" s="868"/>
      <c r="Q195" s="769"/>
      <c r="R195" s="79"/>
      <c r="U195" s="877"/>
      <c r="V195" s="877"/>
    </row>
    <row r="196" spans="1:22" s="85" customFormat="1" x14ac:dyDescent="0.25">
      <c r="A196" s="79"/>
      <c r="B196" s="79" t="s">
        <v>3048</v>
      </c>
      <c r="C196" s="864" t="s">
        <v>1523</v>
      </c>
      <c r="D196" s="475">
        <f t="shared" si="0"/>
        <v>103</v>
      </c>
      <c r="E196" s="1202">
        <f t="shared" si="2"/>
        <v>3.3225806451612905</v>
      </c>
      <c r="F196" s="1203">
        <f t="shared" si="1"/>
        <v>1.870397664097281E-2</v>
      </c>
      <c r="G196" s="866"/>
      <c r="J196" s="1210"/>
      <c r="K196" s="1038"/>
      <c r="M196" s="877"/>
      <c r="O196" s="177"/>
      <c r="P196" s="866"/>
      <c r="Q196" s="1210"/>
      <c r="R196" s="877"/>
      <c r="U196" s="877"/>
      <c r="V196" s="877"/>
    </row>
    <row r="197" spans="1:22" s="85" customFormat="1" x14ac:dyDescent="0.25">
      <c r="A197" s="79"/>
      <c r="B197" s="79" t="s">
        <v>1686</v>
      </c>
      <c r="C197" s="864" t="s">
        <v>1506</v>
      </c>
      <c r="D197" s="475">
        <f t="shared" si="0"/>
        <v>195.32666666666665</v>
      </c>
      <c r="E197" s="1202">
        <f t="shared" si="2"/>
        <v>6.3008602150537634</v>
      </c>
      <c r="F197" s="1203">
        <f t="shared" si="1"/>
        <v>3.5469761268858403E-2</v>
      </c>
      <c r="G197" s="868"/>
      <c r="J197" s="1210"/>
      <c r="K197" s="1038"/>
      <c r="M197" s="877"/>
      <c r="O197" s="177"/>
      <c r="P197" s="1226"/>
      <c r="Q197" s="1129"/>
      <c r="R197" s="877"/>
      <c r="U197" s="877"/>
      <c r="V197" s="877"/>
    </row>
    <row r="198" spans="1:22" x14ac:dyDescent="0.25">
      <c r="B198" s="79" t="s">
        <v>418</v>
      </c>
      <c r="C198" s="85" t="s">
        <v>1524</v>
      </c>
      <c r="D198" s="475">
        <f t="shared" si="0"/>
        <v>7509.5120714285722</v>
      </c>
      <c r="E198" s="1202">
        <f t="shared" si="2"/>
        <v>242.24232488479265</v>
      </c>
      <c r="F198" s="1203">
        <f t="shared" si="1"/>
        <v>1.3636673628068288</v>
      </c>
      <c r="G198" s="85"/>
      <c r="H198" s="85"/>
      <c r="I198" s="85"/>
      <c r="J198" s="1210"/>
      <c r="K198" s="1038"/>
      <c r="L198" s="769"/>
      <c r="M198" s="877"/>
      <c r="N198" s="769"/>
      <c r="O198" s="216"/>
      <c r="P198" s="1038"/>
      <c r="Q198" s="1226"/>
      <c r="R198" s="877"/>
      <c r="U198" s="877"/>
      <c r="V198" s="877"/>
    </row>
    <row r="199" spans="1:22" x14ac:dyDescent="0.25">
      <c r="B199" s="79" t="s">
        <v>6732</v>
      </c>
      <c r="C199" s="85" t="s">
        <v>1491</v>
      </c>
      <c r="D199" s="475">
        <f t="shared" si="0"/>
        <v>963.98</v>
      </c>
      <c r="E199" s="1202">
        <f t="shared" si="2"/>
        <v>31.096129032258066</v>
      </c>
      <c r="F199" s="1203">
        <f t="shared" si="1"/>
        <v>0.17505106215888322</v>
      </c>
      <c r="I199" s="85"/>
      <c r="J199" s="1210"/>
      <c r="K199" s="1038"/>
      <c r="N199" s="216"/>
      <c r="O199" s="216"/>
      <c r="Q199" s="484"/>
      <c r="R199" s="877"/>
      <c r="U199" s="877"/>
      <c r="V199" s="877"/>
    </row>
    <row r="200" spans="1:22" x14ac:dyDescent="0.25">
      <c r="B200" s="79" t="s">
        <v>6733</v>
      </c>
      <c r="C200" s="85" t="s">
        <v>6731</v>
      </c>
      <c r="D200" s="475">
        <f t="shared" si="0"/>
        <v>477.7766666666667</v>
      </c>
      <c r="E200" s="1202">
        <f t="shared" si="2"/>
        <v>15.41215053763441</v>
      </c>
      <c r="F200" s="1203">
        <f t="shared" si="1"/>
        <v>8.6760423426555211E-2</v>
      </c>
      <c r="I200" s="85"/>
      <c r="J200" s="1210"/>
      <c r="K200" s="1038"/>
      <c r="N200" s="216"/>
      <c r="O200" s="216"/>
      <c r="Q200" s="484"/>
      <c r="R200" s="877"/>
      <c r="U200" s="877"/>
      <c r="V200" s="877"/>
    </row>
    <row r="201" spans="1:22" x14ac:dyDescent="0.25">
      <c r="B201" s="79" t="s">
        <v>5439</v>
      </c>
      <c r="C201" s="85" t="s">
        <v>1525</v>
      </c>
      <c r="D201" s="475">
        <f t="shared" si="0"/>
        <v>622.36483333333331</v>
      </c>
      <c r="E201" s="1202">
        <f t="shared" si="2"/>
        <v>20.076284946236559</v>
      </c>
      <c r="F201" s="1203">
        <f t="shared" si="1"/>
        <v>0.11301647868766605</v>
      </c>
      <c r="J201" s="1210"/>
      <c r="K201" s="1038"/>
      <c r="O201" s="216"/>
      <c r="Q201" s="484"/>
      <c r="R201" s="1673"/>
      <c r="U201" s="877"/>
      <c r="V201" s="877"/>
    </row>
    <row r="202" spans="1:22" x14ac:dyDescent="0.25">
      <c r="B202" s="79" t="s">
        <v>1526</v>
      </c>
      <c r="C202" s="85" t="s">
        <v>1504</v>
      </c>
      <c r="D202" s="475">
        <f t="shared" si="0"/>
        <v>143.69666666666666</v>
      </c>
      <c r="E202" s="1202">
        <f t="shared" si="2"/>
        <v>4.6353763440860209</v>
      </c>
      <c r="F202" s="1203">
        <f t="shared" si="1"/>
        <v>2.6094165987563003E-2</v>
      </c>
      <c r="J202" s="1210"/>
      <c r="K202" s="1038"/>
      <c r="L202" s="769"/>
      <c r="N202" s="769"/>
      <c r="O202" s="886"/>
      <c r="P202" s="1210"/>
      <c r="Q202" s="1038"/>
      <c r="R202" s="1129"/>
      <c r="T202" s="1129"/>
      <c r="U202" s="877"/>
      <c r="V202" s="877"/>
    </row>
    <row r="203" spans="1:22" x14ac:dyDescent="0.25">
      <c r="B203" s="79" t="s">
        <v>2343</v>
      </c>
      <c r="C203" s="85" t="s">
        <v>2315</v>
      </c>
      <c r="D203" s="475">
        <f t="shared" si="0"/>
        <v>0</v>
      </c>
      <c r="E203" s="1202">
        <f t="shared" si="2"/>
        <v>0</v>
      </c>
      <c r="F203" s="1203">
        <f t="shared" si="1"/>
        <v>0</v>
      </c>
      <c r="J203" s="1210"/>
      <c r="K203" s="1038"/>
      <c r="L203" s="769"/>
      <c r="M203" s="1210"/>
      <c r="N203" s="769"/>
      <c r="O203" s="1673"/>
      <c r="P203" s="1210"/>
      <c r="Q203" s="1038"/>
      <c r="R203" s="1129"/>
      <c r="T203" s="1129"/>
      <c r="U203" s="877"/>
      <c r="V203" s="877"/>
    </row>
    <row r="204" spans="1:22" x14ac:dyDescent="0.25">
      <c r="B204" s="79" t="s">
        <v>3019</v>
      </c>
      <c r="C204" s="85" t="s">
        <v>3017</v>
      </c>
      <c r="D204" s="796">
        <f t="shared" si="0"/>
        <v>0</v>
      </c>
      <c r="E204" s="1202">
        <f t="shared" si="2"/>
        <v>0</v>
      </c>
      <c r="F204" s="1203">
        <f t="shared" si="1"/>
        <v>0</v>
      </c>
      <c r="J204" s="1210"/>
      <c r="K204" s="1038"/>
      <c r="L204" s="769"/>
      <c r="N204" s="769"/>
      <c r="P204" s="941"/>
      <c r="Q204" s="224"/>
      <c r="R204" s="1226"/>
      <c r="S204" s="1129"/>
      <c r="T204" s="1129"/>
      <c r="U204" s="877"/>
      <c r="V204" s="877"/>
    </row>
    <row r="205" spans="1:22" ht="15.75" thickBot="1" x14ac:dyDescent="0.3">
      <c r="B205" s="301" t="s">
        <v>1527</v>
      </c>
      <c r="C205" s="2400" t="s">
        <v>1489</v>
      </c>
      <c r="D205" s="2401">
        <f t="shared" si="0"/>
        <v>304.51</v>
      </c>
      <c r="E205" s="2402">
        <f t="shared" si="2"/>
        <v>9.822903225806451</v>
      </c>
      <c r="F205" s="2403">
        <f t="shared" si="1"/>
        <v>5.5296581814976993E-2</v>
      </c>
      <c r="J205" s="1210"/>
      <c r="K205" s="1038"/>
      <c r="P205" s="1210"/>
      <c r="Q205" s="1038"/>
      <c r="R205" s="1226"/>
      <c r="S205" s="1129"/>
      <c r="T205" s="1129"/>
      <c r="U205" s="877"/>
      <c r="V205" s="877"/>
    </row>
    <row r="206" spans="1:22" x14ac:dyDescent="0.25">
      <c r="B206" s="1124" t="s">
        <v>6790</v>
      </c>
      <c r="C206" s="1124"/>
      <c r="D206" s="1125">
        <f>SUMIF($B$7:$B$184,"Crédito Gasolina",$G$7:$G$184)</f>
        <v>487.20000000000005</v>
      </c>
      <c r="E206" s="1138">
        <f>D206/K209</f>
        <v>15.716129032258065</v>
      </c>
      <c r="F206" s="1124"/>
      <c r="G206" s="1129"/>
      <c r="J206" s="2037"/>
      <c r="K206" s="629"/>
      <c r="P206" s="1210"/>
      <c r="Q206" s="1038"/>
      <c r="R206" s="1227"/>
      <c r="S206" s="1129"/>
      <c r="T206" s="1129"/>
      <c r="U206" s="877"/>
      <c r="V206" s="877"/>
    </row>
    <row r="207" spans="1:22" x14ac:dyDescent="0.25">
      <c r="B207" s="1124" t="s">
        <v>6329</v>
      </c>
      <c r="C207" s="1124"/>
      <c r="D207" s="1125">
        <f>SUMIF($B$7:$B$184,"Trabalho Art frutt",$G$7:$G$184)</f>
        <v>500</v>
      </c>
      <c r="E207" s="1138">
        <f>D207/K209</f>
        <v>16.129032258064516</v>
      </c>
      <c r="F207" s="1124"/>
      <c r="J207" s="2037"/>
      <c r="K207" s="629"/>
      <c r="P207" s="1210"/>
      <c r="Q207" s="1038"/>
      <c r="R207" s="1227"/>
      <c r="S207" s="1129"/>
      <c r="T207" s="1129"/>
      <c r="U207" s="877"/>
      <c r="V207" s="877"/>
    </row>
    <row r="208" spans="1:22" x14ac:dyDescent="0.25">
      <c r="B208" s="1124"/>
      <c r="C208" s="1124"/>
      <c r="D208" s="1125"/>
      <c r="E208" s="1138"/>
      <c r="F208" s="1124"/>
      <c r="J208" s="2037"/>
      <c r="K208" s="629"/>
      <c r="L208" s="459" t="s">
        <v>6481</v>
      </c>
      <c r="M208" s="2125" t="s">
        <v>6482</v>
      </c>
      <c r="P208" s="1210"/>
      <c r="Q208" s="1038"/>
      <c r="R208" s="1227"/>
      <c r="T208" s="1129"/>
      <c r="U208" s="877"/>
      <c r="V208" s="877"/>
    </row>
    <row r="209" spans="1:24" x14ac:dyDescent="0.25">
      <c r="C209" s="3168" t="s">
        <v>486</v>
      </c>
      <c r="D209" s="3168"/>
      <c r="E209" s="863">
        <f>J209/K209</f>
        <v>381.27495391705071</v>
      </c>
      <c r="G209" s="518" t="s">
        <v>487</v>
      </c>
      <c r="J209" s="629">
        <f>SUM(D189:D205)</f>
        <v>11819.523571428572</v>
      </c>
      <c r="K209" s="1517">
        <v>31</v>
      </c>
      <c r="M209" s="1138">
        <f>C210+D207-J210</f>
        <v>1519.1985000000004</v>
      </c>
      <c r="N209" s="216"/>
      <c r="O209" s="1517"/>
      <c r="P209" s="1210"/>
      <c r="Q209" s="1038"/>
      <c r="R209" s="1226"/>
      <c r="S209" s="1129"/>
      <c r="T209" s="1129"/>
      <c r="U209" s="877"/>
      <c r="V209" s="877"/>
    </row>
    <row r="210" spans="1:24" ht="15.75" customHeight="1" x14ac:dyDescent="0.25">
      <c r="B210" s="2956" t="s">
        <v>8462</v>
      </c>
      <c r="C210" s="2957">
        <v>5329.21</v>
      </c>
      <c r="D210" s="2958">
        <v>30</v>
      </c>
      <c r="E210" s="1125">
        <f>C210/D210</f>
        <v>177.64033333333333</v>
      </c>
      <c r="G210" s="518" t="s">
        <v>6257</v>
      </c>
      <c r="J210" s="609">
        <f>J209-D198</f>
        <v>4310.0114999999996</v>
      </c>
      <c r="K210" s="629"/>
      <c r="M210" s="868"/>
      <c r="O210" s="868"/>
      <c r="P210" s="1210"/>
      <c r="Q210" s="1038"/>
      <c r="R210" s="1226"/>
      <c r="S210" s="1129"/>
      <c r="T210" s="1129"/>
      <c r="U210" s="877"/>
      <c r="V210" s="877"/>
    </row>
    <row r="211" spans="1:24" x14ac:dyDescent="0.25">
      <c r="A211" s="518"/>
      <c r="C211" s="79"/>
      <c r="D211" s="79"/>
      <c r="E211" s="769"/>
      <c r="F211" s="866"/>
      <c r="G211" s="769"/>
      <c r="H211" s="866"/>
      <c r="I211" s="1210"/>
      <c r="J211" s="867"/>
      <c r="K211" s="866"/>
      <c r="L211" s="1038"/>
      <c r="M211" s="1210"/>
      <c r="N211" s="1038"/>
      <c r="O211" s="1210"/>
      <c r="P211" s="1210"/>
      <c r="Q211" s="1038"/>
      <c r="R211" s="769"/>
      <c r="S211" s="484" t="s">
        <v>280</v>
      </c>
      <c r="T211" s="216"/>
      <c r="U211" s="866"/>
      <c r="V211" s="484"/>
      <c r="X211" s="877"/>
    </row>
    <row r="212" spans="1:24" s="518" customFormat="1" x14ac:dyDescent="0.25">
      <c r="A212" s="79"/>
      <c r="B212" s="79"/>
      <c r="C212" s="79"/>
      <c r="D212" s="79"/>
      <c r="E212" s="1126">
        <f>E210-E209</f>
        <v>-203.63462058371738</v>
      </c>
      <c r="F212" s="1205">
        <f>SUM(F189:F211)</f>
        <v>2.1463309979361895</v>
      </c>
      <c r="G212" s="85"/>
      <c r="H212" s="85"/>
      <c r="I212" s="89"/>
      <c r="J212" s="1210"/>
      <c r="K212" s="754"/>
      <c r="L212" s="79"/>
      <c r="M212" s="79"/>
      <c r="N212" s="79"/>
      <c r="O212" s="79"/>
      <c r="P212" s="1210"/>
      <c r="Q212" s="1038"/>
      <c r="R212" s="79"/>
      <c r="S212" s="79"/>
      <c r="T212" s="866"/>
      <c r="U212" s="484"/>
      <c r="V212" s="79"/>
      <c r="W212" s="877"/>
      <c r="X212" s="79"/>
    </row>
    <row r="213" spans="1:24" s="518" customFormat="1" x14ac:dyDescent="0.25">
      <c r="A213" s="79"/>
      <c r="B213" s="79"/>
      <c r="C213" s="79"/>
      <c r="D213" s="79"/>
      <c r="E213" s="85"/>
      <c r="J213" s="1038"/>
      <c r="K213" s="1225"/>
      <c r="Q213" s="1038"/>
      <c r="R213" s="484"/>
      <c r="S213" s="79"/>
      <c r="T213" s="877"/>
      <c r="U213" s="79"/>
    </row>
    <row r="214" spans="1:24" s="518" customFormat="1" x14ac:dyDescent="0.25">
      <c r="A214" s="79"/>
      <c r="E214" s="85"/>
      <c r="F214" s="89"/>
      <c r="G214" s="79"/>
      <c r="H214" s="79"/>
      <c r="I214" s="79"/>
      <c r="J214" s="1038"/>
      <c r="K214" s="1225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4" s="518" customFormat="1" x14ac:dyDescent="0.25">
      <c r="A215" s="79"/>
      <c r="B215" s="1124" t="s">
        <v>6376</v>
      </c>
      <c r="C215" s="2125"/>
      <c r="D215" s="2219">
        <f>SUMIF($E$7:$E$184,"crédito",$G$7:$G$184)</f>
        <v>5979.23</v>
      </c>
      <c r="E215" s="85"/>
      <c r="F215" s="89"/>
      <c r="G215" s="79"/>
      <c r="H215" s="79"/>
      <c r="I215" s="216"/>
      <c r="J215" s="864"/>
      <c r="K215" s="877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518" t="s">
        <v>6496</v>
      </c>
      <c r="C216" s="459"/>
      <c r="D216" s="2218">
        <f>SUM(D189:D205)-D198</f>
        <v>4310.0114999999996</v>
      </c>
      <c r="E216" s="79"/>
      <c r="F216" s="79"/>
      <c r="G216" s="79"/>
      <c r="H216" s="79"/>
      <c r="J216" s="1038"/>
      <c r="K216" s="877"/>
      <c r="M216" s="866"/>
      <c r="O216" s="866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81" t="s">
        <v>6497</v>
      </c>
      <c r="C217" s="81"/>
      <c r="D217" s="1014">
        <f>D215-D216</f>
        <v>1669.2184999999999</v>
      </c>
      <c r="E217" s="79"/>
      <c r="F217" s="79"/>
      <c r="G217" s="79"/>
      <c r="H217" s="79"/>
      <c r="I217" s="216"/>
      <c r="J217" s="1038"/>
      <c r="K217" s="877"/>
      <c r="L217" s="769"/>
      <c r="M217" s="866"/>
      <c r="N217" s="769"/>
      <c r="O217" s="866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79"/>
      <c r="C218" s="79"/>
      <c r="D218" s="79"/>
      <c r="E218" s="79"/>
      <c r="F218" s="79"/>
      <c r="G218" s="216"/>
      <c r="H218" s="79"/>
      <c r="I218" s="216"/>
      <c r="J218" s="1038"/>
      <c r="K218" s="877"/>
      <c r="L218" s="769"/>
      <c r="M218" s="868"/>
      <c r="N218" s="769"/>
      <c r="O218" s="868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79"/>
      <c r="D219" s="79"/>
      <c r="E219" s="79"/>
      <c r="F219" s="79"/>
      <c r="G219" s="216"/>
      <c r="H219" s="79"/>
      <c r="I219" s="216"/>
      <c r="J219" s="79"/>
      <c r="K219" s="877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79"/>
      <c r="D220" s="79"/>
      <c r="E220" s="79"/>
      <c r="F220" s="79"/>
      <c r="G220" s="216"/>
      <c r="H220" s="79"/>
      <c r="I220" s="79"/>
      <c r="J220" s="85"/>
      <c r="K220" s="877"/>
      <c r="L220" s="770"/>
      <c r="M220" s="866"/>
      <c r="N220" s="770"/>
      <c r="O220" s="866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1038"/>
      <c r="K221" s="877"/>
      <c r="L221" s="769"/>
      <c r="M221" s="868"/>
      <c r="N221" s="769"/>
      <c r="O221" s="868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85"/>
      <c r="K222" s="877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629"/>
      <c r="J223" s="769"/>
      <c r="K223" s="1225"/>
      <c r="L223" s="769"/>
      <c r="M223" s="866"/>
      <c r="N223" s="769"/>
      <c r="O223" s="866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9"/>
      <c r="K224" s="79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9"/>
      <c r="K225" s="79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69"/>
      <c r="K226" s="868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69"/>
      <c r="K227" s="868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85"/>
      <c r="D228" s="85"/>
      <c r="E228" s="85"/>
      <c r="F228" s="89"/>
      <c r="G228" s="79"/>
      <c r="H228" s="79"/>
      <c r="I228" s="79"/>
      <c r="J228" s="769"/>
      <c r="K228" s="79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79"/>
      <c r="K229" s="79"/>
      <c r="L229" s="769"/>
      <c r="M229" s="866"/>
      <c r="N229" s="769"/>
      <c r="O229" s="866"/>
      <c r="P229" s="1210"/>
      <c r="Q229" s="103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79"/>
      <c r="K230" s="79"/>
      <c r="L230" s="769"/>
      <c r="M230" s="866"/>
      <c r="N230" s="769"/>
      <c r="O230" s="866"/>
      <c r="P230" s="1210"/>
      <c r="Q230" s="1038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1517"/>
      <c r="K231" s="79"/>
      <c r="L231" s="769"/>
      <c r="M231" s="866"/>
      <c r="N231" s="769"/>
      <c r="O231" s="86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J232" s="79"/>
      <c r="K232" s="868"/>
      <c r="L232" s="769"/>
      <c r="M232" s="866"/>
      <c r="N232" s="769"/>
      <c r="O232" s="866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J233" s="89"/>
      <c r="K233" s="79"/>
      <c r="L233" s="769"/>
      <c r="M233" s="868"/>
      <c r="N233" s="769"/>
      <c r="O233" s="868"/>
      <c r="P233" s="79"/>
      <c r="Q233" s="79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79"/>
      <c r="K234" s="79"/>
      <c r="L234" s="769"/>
      <c r="M234" s="868"/>
      <c r="N234" s="769"/>
      <c r="O234" s="868"/>
      <c r="P234" s="81"/>
      <c r="Q234" s="755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L235" s="769"/>
      <c r="M235" s="868"/>
      <c r="N235" s="769"/>
      <c r="O235" s="868"/>
      <c r="P235" s="868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216"/>
      <c r="J236" s="769"/>
      <c r="K236" s="866"/>
      <c r="L236" s="769"/>
      <c r="M236" s="868"/>
      <c r="N236" s="769"/>
      <c r="O236" s="868"/>
      <c r="P236" s="754"/>
      <c r="Q236" s="886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216"/>
      <c r="J237" s="769"/>
      <c r="K237" s="866"/>
      <c r="L237" s="769"/>
      <c r="M237" s="868"/>
      <c r="N237" s="769"/>
      <c r="O237" s="868"/>
      <c r="P237" s="864"/>
      <c r="Q237" s="864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K238" s="866"/>
      <c r="L238" s="769"/>
      <c r="M238" s="866"/>
      <c r="N238" s="769"/>
      <c r="O238" s="866"/>
      <c r="P238" s="864"/>
      <c r="Q238" s="1032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6"/>
      <c r="L239" s="769"/>
      <c r="M239" s="866"/>
      <c r="N239" s="769"/>
      <c r="O239" s="866"/>
      <c r="P239" s="864"/>
      <c r="Q239" s="1032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69"/>
      <c r="K240" s="868"/>
      <c r="L240" s="769"/>
      <c r="M240" s="868"/>
      <c r="N240" s="769"/>
      <c r="O240" s="868"/>
      <c r="P240" s="85"/>
      <c r="Q240" s="795"/>
      <c r="R240" s="484"/>
      <c r="S240" s="79"/>
      <c r="T240" s="877"/>
      <c r="U240" s="79"/>
    </row>
    <row r="241" spans="1:21" s="518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69"/>
      <c r="K241" s="866"/>
      <c r="L241" s="769"/>
      <c r="M241" s="866"/>
      <c r="N241" s="769"/>
      <c r="O241" s="866"/>
      <c r="P241" s="85"/>
      <c r="Q241" s="177"/>
      <c r="R241" s="484"/>
      <c r="S241" s="79"/>
      <c r="T241" s="877"/>
      <c r="U241" s="79"/>
    </row>
    <row r="242" spans="1:21" s="518" customFormat="1" x14ac:dyDescent="0.25">
      <c r="A242" s="79"/>
      <c r="B242" s="79"/>
      <c r="C242" s="85"/>
      <c r="D242" s="85"/>
      <c r="E242" s="85"/>
      <c r="F242" s="89"/>
      <c r="G242" s="79"/>
      <c r="H242" s="79"/>
      <c r="I242" s="79"/>
      <c r="J242" s="770"/>
      <c r="K242" s="866"/>
      <c r="L242" s="769"/>
      <c r="M242" s="866"/>
      <c r="N242" s="769"/>
      <c r="O242" s="866"/>
      <c r="P242" s="85"/>
      <c r="Q242" s="177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8"/>
      <c r="L243" s="769"/>
      <c r="M243" s="868"/>
      <c r="N243" s="769"/>
      <c r="O243" s="868"/>
      <c r="P243" s="85"/>
      <c r="Q243" s="177" t="s">
        <v>280</v>
      </c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69"/>
      <c r="M244" s="868"/>
      <c r="N244" s="769"/>
      <c r="O244" s="868"/>
      <c r="P244" s="85"/>
      <c r="Q244" s="177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69"/>
      <c r="M245" s="868"/>
      <c r="N245" s="769"/>
      <c r="O245" s="868"/>
      <c r="P245" s="85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769"/>
      <c r="M246" s="868"/>
      <c r="N246" s="769"/>
      <c r="O246" s="868"/>
      <c r="P246" s="769"/>
      <c r="Q246" s="21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69"/>
      <c r="M247" s="866"/>
      <c r="N247" s="769"/>
      <c r="O247" s="866"/>
      <c r="P247" s="79"/>
      <c r="Q247" s="21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223"/>
      <c r="M248" s="629"/>
      <c r="N248" s="223"/>
      <c r="O248" s="629"/>
      <c r="P248" s="769"/>
      <c r="Q248" s="868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56"/>
      <c r="M249" s="756"/>
      <c r="N249" s="756"/>
      <c r="O249" s="756"/>
      <c r="P249" s="769"/>
      <c r="Q249" s="868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69"/>
      <c r="Q250" s="868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79"/>
      <c r="M251" s="79"/>
      <c r="N251" s="79"/>
      <c r="O251" s="79"/>
      <c r="P251" s="769"/>
      <c r="Q251" s="79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6"/>
      <c r="L252" s="79"/>
      <c r="M252" s="79"/>
      <c r="N252" s="79"/>
      <c r="O252" s="79"/>
      <c r="P252" s="79"/>
      <c r="Q252" s="79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79"/>
      <c r="M253" s="79"/>
      <c r="N253" s="79"/>
      <c r="O253" s="79"/>
      <c r="P253" s="79"/>
      <c r="Q253" s="79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6"/>
      <c r="L254" s="85"/>
      <c r="M254" s="85"/>
      <c r="N254" s="85"/>
      <c r="O254" s="85"/>
      <c r="P254" s="1517"/>
      <c r="Q254" s="79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9"/>
      <c r="M255" s="79"/>
      <c r="N255" s="79"/>
      <c r="O255" s="79"/>
      <c r="P255" s="79"/>
      <c r="Q255" s="868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89"/>
      <c r="Q256" s="79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8"/>
      <c r="L257" s="79"/>
      <c r="M257" s="79"/>
      <c r="N257" s="79"/>
      <c r="O257" s="79"/>
      <c r="P257" s="79"/>
      <c r="Q257" s="79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8"/>
      <c r="L258" s="79"/>
      <c r="M258" s="79"/>
      <c r="N258" s="79"/>
      <c r="O258" s="79"/>
      <c r="P258" s="769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9"/>
      <c r="M259" s="79"/>
      <c r="N259" s="79"/>
      <c r="O259" s="79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79"/>
      <c r="M260" s="79"/>
      <c r="N260" s="79"/>
      <c r="O260" s="79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85"/>
      <c r="M261" s="85"/>
      <c r="N261" s="85"/>
      <c r="O261" s="85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8"/>
      <c r="L262" s="79"/>
      <c r="M262" s="79"/>
      <c r="N262" s="79"/>
      <c r="O262" s="79"/>
      <c r="P262" s="769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79"/>
      <c r="M263" s="79"/>
      <c r="N263" s="79"/>
      <c r="O263" s="79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6"/>
      <c r="L264" s="79"/>
      <c r="M264" s="79"/>
      <c r="N264" s="79"/>
      <c r="O264" s="79"/>
      <c r="P264" s="769"/>
      <c r="Q264" s="866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8"/>
      <c r="L265" s="79"/>
      <c r="M265" s="79"/>
      <c r="N265" s="79"/>
      <c r="O265" s="79"/>
      <c r="P265" s="770"/>
      <c r="Q265" s="866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8"/>
      <c r="L266" s="79"/>
      <c r="M266" s="79"/>
      <c r="N266" s="79"/>
      <c r="O266" s="79"/>
      <c r="P266" s="769"/>
      <c r="Q266" s="868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8"/>
      <c r="L267" s="79"/>
      <c r="M267" s="79"/>
      <c r="N267" s="79"/>
      <c r="O267" s="79"/>
      <c r="P267" s="769"/>
      <c r="Q267" s="866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8"/>
      <c r="L268" s="771"/>
      <c r="N268" s="771"/>
      <c r="P268" s="769"/>
      <c r="Q268" s="866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69"/>
      <c r="K269" s="866"/>
      <c r="L269" s="79"/>
      <c r="M269" s="79"/>
      <c r="N269" s="79"/>
      <c r="O269" s="79"/>
      <c r="P269" s="769"/>
      <c r="Q269" s="866"/>
      <c r="R269" s="484"/>
      <c r="S269" s="79"/>
      <c r="T269" s="877"/>
      <c r="U269" s="79"/>
    </row>
    <row r="270" spans="1:21" x14ac:dyDescent="0.25">
      <c r="J270" s="223"/>
      <c r="K270" s="629"/>
      <c r="P270" s="769"/>
      <c r="Q270" s="866"/>
    </row>
    <row r="271" spans="1:21" x14ac:dyDescent="0.25">
      <c r="J271" s="756"/>
      <c r="K271" s="756"/>
      <c r="P271" s="769"/>
      <c r="Q271" s="866"/>
    </row>
    <row r="272" spans="1:21" x14ac:dyDescent="0.25">
      <c r="P272" s="769"/>
      <c r="Q272" s="866"/>
    </row>
    <row r="273" spans="1:21" x14ac:dyDescent="0.25">
      <c r="P273" s="769"/>
      <c r="Q273" s="866"/>
    </row>
    <row r="274" spans="1:21" x14ac:dyDescent="0.25">
      <c r="P274" s="769"/>
      <c r="Q274" s="866"/>
    </row>
    <row r="275" spans="1:21" x14ac:dyDescent="0.25">
      <c r="P275" s="769"/>
      <c r="Q275" s="866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85"/>
      <c r="K276" s="85"/>
      <c r="L276" s="79"/>
      <c r="M276" s="216"/>
      <c r="N276" s="79"/>
      <c r="O276" s="216"/>
      <c r="P276" s="769"/>
      <c r="Q276" s="866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69"/>
      <c r="Q277" s="866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69"/>
      <c r="Q278" s="868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69"/>
      <c r="Q279" s="868"/>
      <c r="R279" s="484"/>
      <c r="S279" s="79"/>
      <c r="T279" s="877"/>
      <c r="U279" s="79"/>
    </row>
    <row r="280" spans="1:21" x14ac:dyDescent="0.25">
      <c r="P280" s="769"/>
      <c r="Q280" s="868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69"/>
      <c r="Q281" s="868"/>
      <c r="R281" s="484"/>
      <c r="S281" s="79"/>
      <c r="T281" s="877"/>
      <c r="U281" s="79"/>
    </row>
    <row r="282" spans="1:21" x14ac:dyDescent="0.25">
      <c r="P282" s="769"/>
      <c r="Q282" s="868"/>
    </row>
    <row r="283" spans="1:21" s="518" customFormat="1" x14ac:dyDescent="0.25">
      <c r="A283" s="79"/>
      <c r="B283" s="79"/>
      <c r="C283" s="79"/>
      <c r="D283" s="79"/>
      <c r="E283" s="79"/>
      <c r="F283" s="79"/>
      <c r="G283" s="79"/>
      <c r="H283" s="79"/>
      <c r="I283" s="79"/>
      <c r="J283" s="85"/>
      <c r="K283" s="85"/>
      <c r="L283" s="79"/>
      <c r="M283" s="629"/>
      <c r="N283" s="79"/>
      <c r="O283" s="629"/>
      <c r="P283" s="769"/>
      <c r="Q283" s="866"/>
      <c r="R283" s="484"/>
      <c r="S283" s="79"/>
      <c r="T283" s="877"/>
      <c r="U283" s="79"/>
    </row>
    <row r="284" spans="1:21" x14ac:dyDescent="0.25">
      <c r="P284" s="769"/>
      <c r="Q284" s="866"/>
    </row>
    <row r="285" spans="1:21" x14ac:dyDescent="0.25">
      <c r="P285" s="769"/>
      <c r="Q285" s="868"/>
    </row>
    <row r="286" spans="1:21" x14ac:dyDescent="0.25">
      <c r="P286" s="769"/>
      <c r="Q286" s="866"/>
    </row>
    <row r="287" spans="1:21" x14ac:dyDescent="0.25">
      <c r="P287" s="769"/>
      <c r="Q287" s="866"/>
    </row>
    <row r="288" spans="1:21" x14ac:dyDescent="0.25">
      <c r="P288" s="769"/>
      <c r="Q288" s="868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69"/>
      <c r="Q289" s="868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71"/>
      <c r="L290" s="79"/>
      <c r="M290" s="216"/>
      <c r="N290" s="79"/>
      <c r="O290" s="216"/>
      <c r="P290" s="769"/>
      <c r="Q290" s="868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8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769"/>
      <c r="Q292" s="866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223"/>
      <c r="Q293" s="629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56"/>
      <c r="Q294" s="756"/>
      <c r="R294" s="484"/>
      <c r="S294" s="79"/>
      <c r="T294" s="877"/>
      <c r="U294" s="79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216"/>
      <c r="N295" s="79"/>
      <c r="O295" s="216"/>
      <c r="P295" s="79"/>
      <c r="Q295" s="79"/>
      <c r="R295" s="484"/>
      <c r="S295" s="79"/>
      <c r="T295" s="877"/>
      <c r="U295" s="79"/>
    </row>
    <row r="296" spans="1:21" s="518" customFormat="1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216"/>
      <c r="N296" s="79"/>
      <c r="O296" s="216"/>
      <c r="P296" s="79"/>
      <c r="Q296" s="79"/>
      <c r="R296" s="484"/>
      <c r="S296" s="79"/>
      <c r="T296" s="877"/>
      <c r="U296" s="79"/>
    </row>
    <row r="297" spans="1:21" s="518" customFormat="1" x14ac:dyDescent="0.25">
      <c r="A297" s="79"/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216"/>
      <c r="N297" s="79"/>
      <c r="O297" s="216"/>
      <c r="P297" s="79"/>
      <c r="Q297" s="79"/>
      <c r="R297" s="484"/>
      <c r="S297" s="79"/>
      <c r="T297" s="877"/>
      <c r="U297" s="79"/>
    </row>
    <row r="298" spans="1:21" x14ac:dyDescent="0.25">
      <c r="K298" s="216"/>
    </row>
    <row r="299" spans="1:21" x14ac:dyDescent="0.25">
      <c r="K299" s="216"/>
      <c r="P299" s="85"/>
      <c r="Q299" s="85"/>
    </row>
    <row r="300" spans="1:21" x14ac:dyDescent="0.25">
      <c r="K300" s="216"/>
    </row>
    <row r="301" spans="1:21" x14ac:dyDescent="0.25">
      <c r="K301" s="216"/>
    </row>
    <row r="303" spans="1:21" x14ac:dyDescent="0.25">
      <c r="K303" s="216"/>
    </row>
    <row r="305" spans="1:42" x14ac:dyDescent="0.25">
      <c r="K305" s="629"/>
    </row>
    <row r="306" spans="1:42" x14ac:dyDescent="0.25">
      <c r="P306" s="85"/>
      <c r="Q306" s="85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216"/>
      <c r="L311" s="79"/>
      <c r="M311" s="79"/>
      <c r="N311" s="79"/>
      <c r="O311" s="79"/>
      <c r="P311" s="79"/>
      <c r="Q311" s="79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216"/>
      <c r="L312" s="79"/>
      <c r="M312" s="79"/>
      <c r="N312" s="79"/>
      <c r="O312" s="79"/>
      <c r="P312" s="79"/>
      <c r="Q312" s="79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216"/>
      <c r="L313" s="79"/>
      <c r="M313" s="79"/>
      <c r="N313" s="79"/>
      <c r="O313" s="79"/>
      <c r="P313" s="771"/>
      <c r="Q313" s="518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216"/>
      <c r="L314" s="79"/>
      <c r="M314" s="79"/>
      <c r="N314" s="79"/>
      <c r="O314" s="79"/>
      <c r="P314" s="79"/>
      <c r="Q314" s="79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x14ac:dyDescent="0.25">
      <c r="K315" s="216"/>
    </row>
    <row r="316" spans="1:42" x14ac:dyDescent="0.25">
      <c r="K316" s="216"/>
    </row>
    <row r="317" spans="1:42" x14ac:dyDescent="0.25">
      <c r="K317" s="216"/>
    </row>
    <row r="318" spans="1:42" x14ac:dyDescent="0.25">
      <c r="K318" s="216"/>
    </row>
    <row r="319" spans="1:42" x14ac:dyDescent="0.25">
      <c r="K319" s="216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8" spans="1:42" s="484" customFormat="1" x14ac:dyDescent="0.25">
      <c r="A328" s="79"/>
      <c r="B328" s="79"/>
      <c r="C328" s="85"/>
      <c r="D328" s="85"/>
      <c r="E328" s="85"/>
      <c r="F328" s="8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629"/>
      <c r="S328" s="79"/>
      <c r="T328" s="877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216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  <row r="341" spans="1:42" s="484" customFormat="1" x14ac:dyDescent="0.25">
      <c r="A341" s="79"/>
      <c r="B341" s="79"/>
      <c r="C341" s="85"/>
      <c r="D341" s="85"/>
      <c r="E341" s="85"/>
      <c r="F341" s="8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216"/>
      <c r="S341" s="79"/>
      <c r="T341" s="877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</row>
    <row r="342" spans="1:42" s="484" customFormat="1" x14ac:dyDescent="0.25">
      <c r="A342" s="79"/>
      <c r="B342" s="79"/>
      <c r="C342" s="85"/>
      <c r="D342" s="85"/>
      <c r="E342" s="85"/>
      <c r="F342" s="8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216"/>
      <c r="S342" s="79"/>
      <c r="T342" s="877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</row>
  </sheetData>
  <autoFilter ref="A2:I207" xr:uid="{00000000-0009-0000-0000-00008D000000}"/>
  <mergeCells count="16">
    <mergeCell ref="C209:D209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  <mergeCell ref="L2:M3"/>
    <mergeCell ref="N2:O3"/>
    <mergeCell ref="P2:Q3"/>
    <mergeCell ref="A185:E185"/>
    <mergeCell ref="A186:E186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55E90D44-1B06-4B43-B8A5-DAA1E3954589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D189:D205</xm:sqref>
        </x14:conditionalFormatting>
      </x14:conditionalFormattings>
    </ext>
  </extLst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CB411-C808-47E9-85F1-61196718C35A}">
  <dimension ref="A1:AP327"/>
  <sheetViews>
    <sheetView zoomScale="85" zoomScaleNormal="85" workbookViewId="0">
      <pane ySplit="5" topLeftCell="A153" activePane="bottomLeft" state="frozen"/>
      <selection pane="bottomLeft" activeCell="M194" sqref="M194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8122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45870</v>
      </c>
      <c r="B5" s="369" t="s">
        <v>10</v>
      </c>
      <c r="C5" s="370"/>
      <c r="D5" s="370"/>
      <c r="E5" s="777"/>
      <c r="F5" s="179"/>
      <c r="G5" s="933">
        <f>'Julho-25'!G186</f>
        <v>726.07303571433658</v>
      </c>
      <c r="H5" s="163"/>
      <c r="I5" s="1479">
        <v>0</v>
      </c>
      <c r="J5" s="179"/>
      <c r="K5" s="933">
        <f>'Julho-25'!K186</f>
        <v>1189.6400000000031</v>
      </c>
      <c r="L5" s="179"/>
      <c r="M5" s="933">
        <f>'Maio-25'!M178</f>
        <v>0</v>
      </c>
      <c r="N5" s="179"/>
      <c r="O5" s="1479">
        <f>'Julho-25'!O186</f>
        <v>5020.4900000000007</v>
      </c>
      <c r="P5" s="179"/>
      <c r="Q5" s="933">
        <f>'Julho-25'!Q186</f>
        <v>35926.275984720007</v>
      </c>
    </row>
    <row r="6" spans="1:42" s="224" customFormat="1" x14ac:dyDescent="0.25">
      <c r="A6" s="247">
        <v>45870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45870</v>
      </c>
      <c r="B7" s="1275" t="s">
        <v>32</v>
      </c>
      <c r="C7" s="1276" t="s">
        <v>12</v>
      </c>
      <c r="D7" s="1276" t="s">
        <v>1485</v>
      </c>
      <c r="E7" s="871" t="s">
        <v>13</v>
      </c>
      <c r="F7" s="780">
        <v>23</v>
      </c>
      <c r="G7" s="982"/>
      <c r="H7" s="622"/>
      <c r="I7" s="982"/>
      <c r="J7" s="622"/>
      <c r="K7" s="982"/>
      <c r="L7" s="622"/>
      <c r="M7" s="982"/>
      <c r="N7" s="880"/>
      <c r="O7" s="1525"/>
      <c r="P7" s="613"/>
      <c r="Q7" s="162"/>
      <c r="R7" s="1956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45870</v>
      </c>
      <c r="B8" s="1275" t="s">
        <v>7952</v>
      </c>
      <c r="C8" s="1276" t="s">
        <v>12</v>
      </c>
      <c r="D8" s="1276"/>
      <c r="E8" s="1286" t="s">
        <v>13</v>
      </c>
      <c r="F8" s="613">
        <v>182.71</v>
      </c>
      <c r="G8" s="967"/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45870</v>
      </c>
      <c r="B9" s="1275" t="s">
        <v>6755</v>
      </c>
      <c r="C9" s="1276" t="s">
        <v>12</v>
      </c>
      <c r="D9" s="1276"/>
      <c r="E9" s="1286"/>
      <c r="F9" s="613"/>
      <c r="G9" s="967">
        <v>182.71</v>
      </c>
      <c r="H9" s="1008"/>
      <c r="I9" s="1063"/>
      <c r="J9" s="613"/>
      <c r="K9" s="6"/>
      <c r="L9" s="622"/>
      <c r="M9" s="982"/>
      <c r="N9" s="622"/>
      <c r="O9" s="1063"/>
      <c r="P9" s="613"/>
      <c r="Q9" s="64"/>
      <c r="R9" s="10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45870</v>
      </c>
      <c r="B10" s="882" t="s">
        <v>82</v>
      </c>
      <c r="C10" s="879" t="s">
        <v>12</v>
      </c>
      <c r="D10" s="879" t="s">
        <v>1493</v>
      </c>
      <c r="E10" s="871" t="s">
        <v>15</v>
      </c>
      <c r="F10" s="780">
        <v>57.8</v>
      </c>
      <c r="G10" s="982"/>
      <c r="H10" s="1008"/>
      <c r="I10" s="1063"/>
      <c r="J10" s="622"/>
      <c r="K10" s="982"/>
      <c r="L10" s="622"/>
      <c r="M10" s="982"/>
      <c r="N10" s="622"/>
      <c r="O10" s="1063"/>
      <c r="P10" s="622"/>
      <c r="Q10" s="982"/>
      <c r="R10" s="861"/>
      <c r="T10" s="1035"/>
    </row>
    <row r="11" spans="1:42" s="224" customFormat="1" ht="15" customHeight="1" x14ac:dyDescent="0.25">
      <c r="A11" s="247">
        <v>45871</v>
      </c>
      <c r="B11" s="882" t="s">
        <v>14</v>
      </c>
      <c r="C11" s="879" t="s">
        <v>12</v>
      </c>
      <c r="D11" s="879" t="s">
        <v>1486</v>
      </c>
      <c r="E11" s="871" t="s">
        <v>13</v>
      </c>
      <c r="F11" s="780">
        <v>7.67</v>
      </c>
      <c r="G11" s="982"/>
      <c r="H11" s="1008"/>
      <c r="I11" s="1063"/>
      <c r="J11" s="622"/>
      <c r="K11" s="982"/>
      <c r="L11" s="622"/>
      <c r="M11" s="982"/>
      <c r="N11" s="622"/>
      <c r="O11" s="1063"/>
      <c r="P11" s="622"/>
      <c r="Q11" s="982"/>
      <c r="R11" s="861"/>
      <c r="T11" s="1035"/>
    </row>
    <row r="12" spans="1:42" s="224" customFormat="1" ht="15" customHeight="1" x14ac:dyDescent="0.25">
      <c r="A12" s="247">
        <v>45871</v>
      </c>
      <c r="B12" s="882" t="s">
        <v>8177</v>
      </c>
      <c r="C12" s="1276" t="s">
        <v>12</v>
      </c>
      <c r="D12" s="879" t="s">
        <v>6731</v>
      </c>
      <c r="E12" s="875" t="s">
        <v>13</v>
      </c>
      <c r="F12" s="780">
        <v>9.1999999999999993</v>
      </c>
      <c r="G12" s="982"/>
      <c r="H12" s="622"/>
      <c r="I12" s="982"/>
      <c r="J12" s="622"/>
      <c r="K12" s="982"/>
      <c r="L12" s="622"/>
      <c r="M12" s="982"/>
      <c r="N12" s="880"/>
      <c r="O12" s="1525"/>
      <c r="P12" s="613"/>
      <c r="Q12" s="162"/>
      <c r="R12" s="1956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45871</v>
      </c>
      <c r="B13" s="882" t="s">
        <v>2629</v>
      </c>
      <c r="C13" s="1276" t="s">
        <v>12</v>
      </c>
      <c r="D13" s="879" t="s">
        <v>1489</v>
      </c>
      <c r="E13" s="875" t="s">
        <v>15</v>
      </c>
      <c r="F13" s="780">
        <v>50.98</v>
      </c>
      <c r="G13" s="982"/>
      <c r="H13" s="622"/>
      <c r="I13" s="982"/>
      <c r="J13" s="622"/>
      <c r="K13" s="982"/>
      <c r="L13" s="622"/>
      <c r="M13" s="982"/>
      <c r="N13" s="880"/>
      <c r="O13" s="1525"/>
      <c r="P13" s="613"/>
      <c r="Q13" s="162"/>
      <c r="R13" s="1956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45871</v>
      </c>
      <c r="B14" s="882" t="s">
        <v>80</v>
      </c>
      <c r="C14" s="1276" t="s">
        <v>12</v>
      </c>
      <c r="D14" s="879" t="s">
        <v>1523</v>
      </c>
      <c r="E14" s="875" t="s">
        <v>15</v>
      </c>
      <c r="F14" s="780">
        <v>22</v>
      </c>
      <c r="G14" s="982"/>
      <c r="H14" s="622"/>
      <c r="I14" s="982"/>
      <c r="J14" s="622"/>
      <c r="K14" s="982"/>
      <c r="L14" s="622"/>
      <c r="M14" s="982"/>
      <c r="N14" s="880"/>
      <c r="O14" s="1525"/>
      <c r="P14" s="613"/>
      <c r="Q14" s="162"/>
      <c r="R14" s="1956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45871</v>
      </c>
      <c r="B15" s="1275" t="s">
        <v>32</v>
      </c>
      <c r="C15" s="1276" t="s">
        <v>12</v>
      </c>
      <c r="D15" s="1276" t="s">
        <v>1485</v>
      </c>
      <c r="E15" s="871" t="s">
        <v>15</v>
      </c>
      <c r="F15" s="780">
        <v>40</v>
      </c>
      <c r="G15" s="982"/>
      <c r="H15" s="622"/>
      <c r="I15" s="982"/>
      <c r="J15" s="622"/>
      <c r="K15" s="982"/>
      <c r="L15" s="622"/>
      <c r="M15" s="982"/>
      <c r="N15" s="880"/>
      <c r="O15" s="1525"/>
      <c r="P15" s="613"/>
      <c r="Q15" s="162"/>
      <c r="R15" s="1956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45872</v>
      </c>
      <c r="B16" s="882" t="s">
        <v>14</v>
      </c>
      <c r="C16" s="879" t="s">
        <v>12</v>
      </c>
      <c r="D16" s="879" t="s">
        <v>1486</v>
      </c>
      <c r="E16" s="871" t="s">
        <v>13</v>
      </c>
      <c r="F16" s="780">
        <v>18.420000000000002</v>
      </c>
      <c r="G16" s="982"/>
      <c r="H16" s="1008"/>
      <c r="I16" s="1063"/>
      <c r="J16" s="622"/>
      <c r="K16" s="982"/>
      <c r="L16" s="622"/>
      <c r="M16" s="982"/>
      <c r="N16" s="622"/>
      <c r="O16" s="1063"/>
      <c r="P16" s="622"/>
      <c r="Q16" s="982"/>
      <c r="R16" s="861"/>
      <c r="T16" s="1035"/>
    </row>
    <row r="17" spans="1:42" s="224" customFormat="1" ht="15" customHeight="1" x14ac:dyDescent="0.25">
      <c r="A17" s="247">
        <v>45872</v>
      </c>
      <c r="B17" s="882" t="s">
        <v>1906</v>
      </c>
      <c r="C17" s="879" t="s">
        <v>12</v>
      </c>
      <c r="D17" s="879" t="s">
        <v>1493</v>
      </c>
      <c r="E17" s="875" t="s">
        <v>13</v>
      </c>
      <c r="F17" s="780">
        <v>24</v>
      </c>
      <c r="G17" s="982"/>
      <c r="H17" s="622"/>
      <c r="I17" s="982"/>
      <c r="J17" s="622"/>
      <c r="K17" s="982"/>
      <c r="L17" s="853"/>
      <c r="M17" s="982"/>
      <c r="N17" s="622"/>
      <c r="O17" s="1063"/>
      <c r="P17" s="622"/>
      <c r="Q17" s="982"/>
      <c r="R17" s="927"/>
      <c r="S17" s="927"/>
      <c r="T17" s="878"/>
    </row>
    <row r="18" spans="1:42" s="224" customFormat="1" ht="15" customHeight="1" x14ac:dyDescent="0.25">
      <c r="A18" s="247">
        <v>45872</v>
      </c>
      <c r="B18" s="882" t="s">
        <v>8178</v>
      </c>
      <c r="C18" s="879" t="s">
        <v>12</v>
      </c>
      <c r="D18" s="879" t="s">
        <v>1493</v>
      </c>
      <c r="E18" s="875" t="s">
        <v>13</v>
      </c>
      <c r="F18" s="780">
        <v>39</v>
      </c>
      <c r="G18" s="982"/>
      <c r="H18" s="622"/>
      <c r="I18" s="982"/>
      <c r="J18" s="622"/>
      <c r="K18" s="982"/>
      <c r="L18" s="853"/>
      <c r="M18" s="982"/>
      <c r="N18" s="622"/>
      <c r="O18" s="1063"/>
      <c r="P18" s="622"/>
      <c r="Q18" s="982"/>
      <c r="R18" s="927"/>
      <c r="S18" s="927"/>
      <c r="T18" s="878"/>
    </row>
    <row r="19" spans="1:42" s="224" customFormat="1" ht="15" customHeight="1" x14ac:dyDescent="0.25">
      <c r="A19" s="247">
        <v>45873</v>
      </c>
      <c r="B19" s="1275" t="s">
        <v>32</v>
      </c>
      <c r="C19" s="1276" t="s">
        <v>12</v>
      </c>
      <c r="D19" s="1276" t="s">
        <v>1485</v>
      </c>
      <c r="E19" s="875" t="s">
        <v>13</v>
      </c>
      <c r="F19" s="780">
        <v>23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45873</v>
      </c>
      <c r="B20" s="882" t="s">
        <v>134</v>
      </c>
      <c r="C20" s="879" t="s">
        <v>12</v>
      </c>
      <c r="D20" s="879" t="s">
        <v>1493</v>
      </c>
      <c r="E20" s="875" t="s">
        <v>13</v>
      </c>
      <c r="F20" s="780">
        <v>9.18</v>
      </c>
      <c r="G20" s="982"/>
      <c r="H20" s="622"/>
      <c r="I20" s="982"/>
      <c r="J20" s="622"/>
      <c r="K20" s="982"/>
      <c r="L20" s="622"/>
      <c r="M20" s="982"/>
      <c r="N20" s="880"/>
      <c r="O20" s="1525"/>
      <c r="P20" s="613"/>
      <c r="Q20" s="162"/>
      <c r="R20" s="1956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45874</v>
      </c>
      <c r="B21" s="882" t="s">
        <v>8157</v>
      </c>
      <c r="C21" s="879" t="s">
        <v>12</v>
      </c>
      <c r="D21" s="879" t="s">
        <v>6731</v>
      </c>
      <c r="E21" s="875" t="s">
        <v>13</v>
      </c>
      <c r="F21" s="780">
        <v>37.5</v>
      </c>
      <c r="G21" s="982"/>
      <c r="H21" s="622"/>
      <c r="I21" s="982"/>
      <c r="J21" s="1116"/>
      <c r="K21" s="2806"/>
      <c r="L21" s="622"/>
      <c r="M21" s="982"/>
      <c r="N21" s="622"/>
      <c r="O21" s="1063"/>
      <c r="P21" s="880"/>
      <c r="Q21" s="1033"/>
      <c r="R21" s="927"/>
      <c r="T21" s="878"/>
    </row>
    <row r="22" spans="1:42" s="224" customFormat="1" ht="15" customHeight="1" x14ac:dyDescent="0.25">
      <c r="A22" s="247">
        <v>45874</v>
      </c>
      <c r="B22" s="882" t="s">
        <v>8158</v>
      </c>
      <c r="C22" s="879" t="s">
        <v>12</v>
      </c>
      <c r="D22" s="879" t="s">
        <v>6731</v>
      </c>
      <c r="E22" s="875" t="s">
        <v>13</v>
      </c>
      <c r="F22" s="780">
        <v>37.5</v>
      </c>
      <c r="G22" s="982"/>
      <c r="H22" s="622"/>
      <c r="I22" s="982"/>
      <c r="J22" s="1116"/>
      <c r="K22" s="2806"/>
      <c r="L22" s="622"/>
      <c r="M22" s="982"/>
      <c r="N22" s="622"/>
      <c r="O22" s="1063"/>
      <c r="P22" s="880"/>
      <c r="Q22" s="1033"/>
      <c r="R22" s="927"/>
      <c r="T22" s="878"/>
    </row>
    <row r="23" spans="1:42" s="224" customFormat="1" ht="15" customHeight="1" x14ac:dyDescent="0.25">
      <c r="A23" s="247">
        <v>45874</v>
      </c>
      <c r="B23" s="882" t="s">
        <v>6329</v>
      </c>
      <c r="C23" s="879" t="s">
        <v>12</v>
      </c>
      <c r="D23" s="879"/>
      <c r="E23" s="875" t="s">
        <v>25</v>
      </c>
      <c r="F23" s="780"/>
      <c r="G23" s="982">
        <v>125</v>
      </c>
      <c r="H23" s="1008"/>
      <c r="I23" s="1063"/>
      <c r="J23" s="613"/>
      <c r="K23" s="982"/>
      <c r="L23" s="622"/>
      <c r="M23" s="982"/>
      <c r="N23" s="622"/>
      <c r="O23" s="1063"/>
      <c r="P23" s="622"/>
      <c r="Q23" s="982"/>
      <c r="R23" s="861"/>
    </row>
    <row r="24" spans="1:42" s="224" customFormat="1" ht="15" customHeight="1" x14ac:dyDescent="0.25">
      <c r="A24" s="247">
        <v>45874</v>
      </c>
      <c r="B24" s="1275" t="s">
        <v>32</v>
      </c>
      <c r="C24" s="1276" t="s">
        <v>12</v>
      </c>
      <c r="D24" s="1276" t="s">
        <v>1485</v>
      </c>
      <c r="E24" s="875" t="s">
        <v>13</v>
      </c>
      <c r="F24" s="780">
        <v>23</v>
      </c>
      <c r="G24" s="982"/>
      <c r="H24" s="622"/>
      <c r="I24" s="982"/>
      <c r="J24" s="622"/>
      <c r="K24" s="982"/>
      <c r="L24" s="622"/>
      <c r="M24" s="982"/>
      <c r="N24" s="880"/>
      <c r="O24" s="1525"/>
      <c r="P24" s="613"/>
      <c r="Q24" s="162"/>
      <c r="R24" s="1956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ht="15" customHeight="1" x14ac:dyDescent="0.25">
      <c r="A25" s="247">
        <v>45874</v>
      </c>
      <c r="B25" s="882" t="s">
        <v>8181</v>
      </c>
      <c r="C25" s="879" t="s">
        <v>12</v>
      </c>
      <c r="D25" s="879" t="s">
        <v>6731</v>
      </c>
      <c r="E25" s="875" t="s">
        <v>13</v>
      </c>
      <c r="F25" s="613">
        <v>30</v>
      </c>
      <c r="G25" s="967"/>
      <c r="H25" s="1008"/>
      <c r="I25" s="1063"/>
      <c r="J25" s="613"/>
      <c r="K25" s="6"/>
      <c r="L25" s="622"/>
      <c r="M25" s="982"/>
      <c r="N25" s="622"/>
      <c r="O25" s="1063"/>
      <c r="P25" s="613"/>
      <c r="Q25" s="982"/>
      <c r="R25" s="1038"/>
      <c r="S25" s="1038"/>
      <c r="T25" s="1210"/>
      <c r="U25" s="1038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45874</v>
      </c>
      <c r="B26" s="882" t="s">
        <v>8182</v>
      </c>
      <c r="C26" s="879" t="s">
        <v>12</v>
      </c>
      <c r="D26" s="879" t="s">
        <v>1489</v>
      </c>
      <c r="E26" s="875" t="s">
        <v>15</v>
      </c>
      <c r="F26" s="613">
        <v>5</v>
      </c>
      <c r="G26" s="967"/>
      <c r="H26" s="1008"/>
      <c r="I26" s="1063"/>
      <c r="J26" s="613"/>
      <c r="K26" s="6"/>
      <c r="L26" s="622"/>
      <c r="M26" s="982"/>
      <c r="N26" s="622"/>
      <c r="O26" s="1063"/>
      <c r="P26" s="613"/>
      <c r="Q26" s="982"/>
      <c r="R26" s="1038"/>
      <c r="S26" s="1038"/>
      <c r="T26" s="1210"/>
      <c r="U26" s="1038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.75" customHeight="1" x14ac:dyDescent="0.25">
      <c r="A27" s="247">
        <v>45875</v>
      </c>
      <c r="B27" s="873" t="s">
        <v>8179</v>
      </c>
      <c r="C27" s="879" t="s">
        <v>12</v>
      </c>
      <c r="D27" s="874"/>
      <c r="E27" s="887" t="s">
        <v>25</v>
      </c>
      <c r="F27" s="780"/>
      <c r="G27" s="1002">
        <v>2609.23</v>
      </c>
      <c r="H27" s="538"/>
      <c r="I27" s="982"/>
      <c r="J27" s="2013"/>
      <c r="K27" s="1207"/>
      <c r="L27" s="622"/>
      <c r="M27" s="982"/>
      <c r="N27" s="622"/>
      <c r="O27" s="1063"/>
      <c r="P27" s="622"/>
      <c r="Q27" s="982"/>
      <c r="R27" s="178"/>
    </row>
    <row r="28" spans="1:42" s="224" customFormat="1" ht="15" customHeight="1" x14ac:dyDescent="0.25">
      <c r="A28" s="247">
        <v>45875</v>
      </c>
      <c r="B28" s="364" t="s">
        <v>1396</v>
      </c>
      <c r="C28" s="879" t="s">
        <v>12</v>
      </c>
      <c r="D28" s="350"/>
      <c r="E28" s="919" t="s">
        <v>25</v>
      </c>
      <c r="F28" s="1116"/>
      <c r="G28" s="966">
        <v>200</v>
      </c>
      <c r="H28" s="1031"/>
      <c r="I28" s="1525"/>
      <c r="J28" s="2013"/>
      <c r="K28" s="1207"/>
      <c r="L28" s="880"/>
      <c r="M28" s="1033"/>
      <c r="N28" s="622"/>
      <c r="O28" s="1063"/>
      <c r="P28" s="1116"/>
      <c r="Q28" s="1207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" customHeight="1" x14ac:dyDescent="0.25">
      <c r="A29" s="247">
        <v>45875</v>
      </c>
      <c r="B29" s="364" t="s">
        <v>7219</v>
      </c>
      <c r="C29" s="879" t="s">
        <v>12</v>
      </c>
      <c r="D29" s="350" t="s">
        <v>1491</v>
      </c>
      <c r="E29" s="875" t="s">
        <v>13</v>
      </c>
      <c r="F29" s="780">
        <v>500</v>
      </c>
      <c r="G29" s="982"/>
      <c r="H29" s="622"/>
      <c r="I29" s="982"/>
      <c r="J29" s="2013"/>
      <c r="K29" s="1207"/>
      <c r="L29" s="622"/>
      <c r="M29" s="982"/>
      <c r="N29" s="622"/>
      <c r="O29" s="1063"/>
      <c r="P29" s="622"/>
      <c r="Q29" s="982"/>
      <c r="R29" s="1028"/>
      <c r="T29" s="1035"/>
    </row>
    <row r="30" spans="1:42" s="224" customFormat="1" ht="15" customHeight="1" x14ac:dyDescent="0.25">
      <c r="A30" s="247">
        <v>45875</v>
      </c>
      <c r="B30" s="862" t="s">
        <v>6416</v>
      </c>
      <c r="C30" s="879" t="s">
        <v>12</v>
      </c>
      <c r="D30" s="879" t="s">
        <v>1504</v>
      </c>
      <c r="E30" s="871" t="s">
        <v>13</v>
      </c>
      <c r="F30" s="780">
        <v>40</v>
      </c>
      <c r="G30" s="982"/>
      <c r="H30" s="1008"/>
      <c r="I30" s="1063"/>
      <c r="J30" s="622"/>
      <c r="K30" s="982"/>
      <c r="L30" s="622"/>
      <c r="M30" s="982"/>
      <c r="N30" s="622"/>
      <c r="O30" s="1063"/>
      <c r="P30" s="622"/>
      <c r="Q30" s="982"/>
      <c r="R30" s="1808">
        <v>60</v>
      </c>
      <c r="S30" s="1028"/>
      <c r="T30" s="1035"/>
    </row>
    <row r="31" spans="1:42" s="224" customFormat="1" ht="15" customHeight="1" x14ac:dyDescent="0.25">
      <c r="A31" s="247">
        <v>45875</v>
      </c>
      <c r="B31" s="882" t="s">
        <v>8180</v>
      </c>
      <c r="C31" s="879" t="s">
        <v>12</v>
      </c>
      <c r="D31" s="879" t="s">
        <v>1499</v>
      </c>
      <c r="E31" s="871" t="s">
        <v>13</v>
      </c>
      <c r="F31" s="780">
        <v>133.29</v>
      </c>
      <c r="G31" s="982"/>
      <c r="H31" s="1008"/>
      <c r="I31" s="1063"/>
      <c r="J31" s="880"/>
      <c r="K31" s="1033"/>
      <c r="L31" s="622"/>
      <c r="M31" s="982"/>
      <c r="N31" s="622"/>
      <c r="O31" s="1063"/>
      <c r="P31" s="622"/>
      <c r="Q31" s="982"/>
      <c r="R31" s="1028">
        <v>280</v>
      </c>
      <c r="S31" s="999"/>
      <c r="T31" s="878"/>
    </row>
    <row r="32" spans="1:42" x14ac:dyDescent="0.25">
      <c r="A32" s="247">
        <v>45875</v>
      </c>
      <c r="B32" s="876" t="s">
        <v>6762</v>
      </c>
      <c r="C32" s="879" t="s">
        <v>12</v>
      </c>
      <c r="D32" s="887" t="s">
        <v>1496</v>
      </c>
      <c r="E32" s="1475" t="s">
        <v>13</v>
      </c>
      <c r="F32" s="780">
        <v>100</v>
      </c>
      <c r="G32" s="982"/>
      <c r="H32" s="1009"/>
      <c r="I32" s="1063"/>
      <c r="J32" s="613"/>
      <c r="K32" s="6"/>
      <c r="L32" s="622"/>
      <c r="M32" s="982"/>
      <c r="N32" s="622"/>
      <c r="O32" s="1063"/>
      <c r="P32" s="622"/>
      <c r="Q32" s="982"/>
      <c r="R32" s="1029"/>
    </row>
    <row r="33" spans="1:42" s="224" customFormat="1" ht="15" customHeight="1" x14ac:dyDescent="0.25">
      <c r="A33" s="247">
        <v>45875</v>
      </c>
      <c r="B33" s="1289" t="s">
        <v>2096</v>
      </c>
      <c r="C33" s="879" t="s">
        <v>12</v>
      </c>
      <c r="D33" s="1313" t="s">
        <v>1506</v>
      </c>
      <c r="E33" s="957" t="s">
        <v>13</v>
      </c>
      <c r="F33" s="1810">
        <v>50</v>
      </c>
      <c r="G33" s="967"/>
      <c r="H33" s="1008"/>
      <c r="I33" s="1063"/>
      <c r="J33" s="613"/>
      <c r="K33" s="6"/>
      <c r="L33" s="622"/>
      <c r="M33" s="982"/>
      <c r="N33" s="622"/>
      <c r="O33" s="1063"/>
      <c r="P33" s="613"/>
      <c r="Q33" s="64"/>
      <c r="R33" s="1209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45875</v>
      </c>
      <c r="B34" s="1917" t="s">
        <v>6130</v>
      </c>
      <c r="C34" s="879" t="s">
        <v>12</v>
      </c>
      <c r="D34" s="2813" t="s">
        <v>1491</v>
      </c>
      <c r="E34" s="957" t="s">
        <v>13</v>
      </c>
      <c r="F34" s="2809">
        <v>33.979999999999997</v>
      </c>
      <c r="G34" s="967"/>
      <c r="H34" s="1008"/>
      <c r="I34" s="1063"/>
      <c r="J34" s="613"/>
      <c r="K34" s="6"/>
      <c r="L34" s="622"/>
      <c r="M34" s="982"/>
      <c r="N34" s="622"/>
      <c r="O34" s="1063"/>
      <c r="P34" s="613"/>
      <c r="Q34" s="64"/>
      <c r="R34" s="1028" t="s">
        <v>7137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224" customFormat="1" ht="15" customHeight="1" x14ac:dyDescent="0.25">
      <c r="A35" s="247">
        <v>45875</v>
      </c>
      <c r="B35" s="1917" t="s">
        <v>7799</v>
      </c>
      <c r="C35" s="879" t="s">
        <v>12</v>
      </c>
      <c r="D35" s="2813" t="s">
        <v>1504</v>
      </c>
      <c r="E35" s="957" t="s">
        <v>13</v>
      </c>
      <c r="F35" s="2809">
        <v>43</v>
      </c>
      <c r="G35" s="967"/>
      <c r="H35" s="1008"/>
      <c r="I35" s="1063"/>
      <c r="J35" s="613"/>
      <c r="K35" s="6"/>
      <c r="L35" s="622"/>
      <c r="M35" s="982"/>
      <c r="N35" s="622"/>
      <c r="O35" s="1063"/>
      <c r="P35" s="613"/>
      <c r="Q35" s="64"/>
      <c r="R35" s="1028" t="s">
        <v>7137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45875</v>
      </c>
      <c r="B36" s="1917" t="s">
        <v>7885</v>
      </c>
      <c r="C36" s="879" t="s">
        <v>12</v>
      </c>
      <c r="D36" s="2813" t="s">
        <v>1504</v>
      </c>
      <c r="E36" s="957" t="s">
        <v>13</v>
      </c>
      <c r="F36" s="2809">
        <v>20.9</v>
      </c>
      <c r="G36" s="967"/>
      <c r="H36" s="1008"/>
      <c r="I36" s="1063"/>
      <c r="J36" s="613"/>
      <c r="K36" s="6"/>
      <c r="L36" s="622"/>
      <c r="M36" s="982"/>
      <c r="N36" s="622"/>
      <c r="O36" s="1063"/>
      <c r="P36" s="613"/>
      <c r="Q36" s="64"/>
      <c r="R36" s="1028" t="s">
        <v>7137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45875</v>
      </c>
      <c r="B37" s="1917" t="s">
        <v>7892</v>
      </c>
      <c r="C37" s="879" t="s">
        <v>12</v>
      </c>
      <c r="D37" s="2813" t="s">
        <v>1504</v>
      </c>
      <c r="E37" s="957" t="s">
        <v>13</v>
      </c>
      <c r="F37" s="2809">
        <v>9.99</v>
      </c>
      <c r="G37" s="967"/>
      <c r="H37" s="1008"/>
      <c r="I37" s="1063"/>
      <c r="J37" s="613"/>
      <c r="K37" s="6"/>
      <c r="L37" s="622"/>
      <c r="M37" s="982"/>
      <c r="N37" s="622"/>
      <c r="O37" s="1063"/>
      <c r="P37" s="613"/>
      <c r="Q37" s="64"/>
      <c r="R37" s="1028" t="s">
        <v>7137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45875</v>
      </c>
      <c r="B38" s="882" t="s">
        <v>8165</v>
      </c>
      <c r="C38" s="879" t="s">
        <v>12</v>
      </c>
      <c r="D38" s="887" t="s">
        <v>1489</v>
      </c>
      <c r="E38" s="957" t="s">
        <v>13</v>
      </c>
      <c r="F38" s="780">
        <v>66.666666666666671</v>
      </c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982"/>
      <c r="R38" s="1028" t="s">
        <v>7137</v>
      </c>
    </row>
    <row r="39" spans="1:42" s="224" customFormat="1" ht="15" customHeight="1" x14ac:dyDescent="0.25">
      <c r="A39" s="247">
        <v>45875</v>
      </c>
      <c r="B39" s="882" t="s">
        <v>7849</v>
      </c>
      <c r="C39" s="879" t="s">
        <v>12</v>
      </c>
      <c r="D39" s="879"/>
      <c r="E39" s="875" t="s">
        <v>13</v>
      </c>
      <c r="F39" s="2796">
        <v>700</v>
      </c>
      <c r="G39" s="982"/>
      <c r="H39" s="1008"/>
      <c r="I39" s="1063"/>
      <c r="J39" s="622"/>
      <c r="K39" s="982">
        <v>700</v>
      </c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45875</v>
      </c>
      <c r="B40" s="1275" t="s">
        <v>32</v>
      </c>
      <c r="C40" s="1276" t="s">
        <v>12</v>
      </c>
      <c r="D40" s="1276" t="s">
        <v>1485</v>
      </c>
      <c r="E40" s="875" t="s">
        <v>13</v>
      </c>
      <c r="F40" s="780">
        <v>23</v>
      </c>
      <c r="G40" s="982"/>
      <c r="H40" s="622"/>
      <c r="I40" s="982"/>
      <c r="J40" s="622"/>
      <c r="K40" s="982"/>
      <c r="L40" s="622"/>
      <c r="M40" s="982"/>
      <c r="N40" s="880"/>
      <c r="O40" s="1525"/>
      <c r="P40" s="613"/>
      <c r="Q40" s="162"/>
      <c r="R40" s="1956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45875</v>
      </c>
      <c r="B41" s="882" t="s">
        <v>8186</v>
      </c>
      <c r="C41" s="879" t="s">
        <v>12</v>
      </c>
      <c r="D41" s="887" t="s">
        <v>6731</v>
      </c>
      <c r="E41" s="957" t="s">
        <v>13</v>
      </c>
      <c r="F41" s="780">
        <v>37.44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861"/>
    </row>
    <row r="42" spans="1:42" s="224" customFormat="1" ht="15" customHeight="1" x14ac:dyDescent="0.25">
      <c r="A42" s="247">
        <v>45875</v>
      </c>
      <c r="B42" s="882" t="s">
        <v>6258</v>
      </c>
      <c r="C42" s="879" t="s">
        <v>12</v>
      </c>
      <c r="D42" s="879"/>
      <c r="E42" s="875" t="s">
        <v>13</v>
      </c>
      <c r="F42" s="780"/>
      <c r="G42" s="982">
        <v>43.14</v>
      </c>
      <c r="H42" s="1008"/>
      <c r="I42" s="1063"/>
      <c r="J42" s="622">
        <v>43.14</v>
      </c>
      <c r="K42" s="982"/>
      <c r="L42" s="622"/>
      <c r="M42" s="982"/>
      <c r="N42" s="622"/>
      <c r="O42" s="1063"/>
      <c r="P42" s="622"/>
      <c r="Q42" s="982"/>
      <c r="R42" s="941"/>
    </row>
    <row r="43" spans="1:42" s="224" customFormat="1" ht="15" customHeight="1" x14ac:dyDescent="0.25">
      <c r="A43" s="247">
        <v>45875</v>
      </c>
      <c r="B43" s="882" t="s">
        <v>8187</v>
      </c>
      <c r="C43" s="879" t="s">
        <v>12</v>
      </c>
      <c r="D43" s="879" t="s">
        <v>1524</v>
      </c>
      <c r="E43" s="871" t="s">
        <v>13</v>
      </c>
      <c r="F43" s="780">
        <v>43.14</v>
      </c>
      <c r="G43" s="982"/>
      <c r="H43" s="622"/>
      <c r="I43" s="982"/>
      <c r="J43" s="872"/>
      <c r="K43" s="1207"/>
      <c r="L43" s="622"/>
      <c r="M43" s="982"/>
      <c r="N43" s="622"/>
      <c r="O43" s="1063"/>
      <c r="P43" s="622"/>
      <c r="Q43" s="982"/>
      <c r="R43" s="1028"/>
      <c r="S43" s="959"/>
      <c r="T43" s="878"/>
      <c r="U43" s="958"/>
    </row>
    <row r="44" spans="1:42" s="224" customFormat="1" ht="15" customHeight="1" x14ac:dyDescent="0.25">
      <c r="A44" s="247">
        <v>45875</v>
      </c>
      <c r="B44" s="882" t="s">
        <v>14</v>
      </c>
      <c r="C44" s="879" t="s">
        <v>12</v>
      </c>
      <c r="D44" s="879" t="s">
        <v>1486</v>
      </c>
      <c r="E44" s="871" t="s">
        <v>13</v>
      </c>
      <c r="F44" s="780">
        <v>4.2300000000000004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861"/>
      <c r="T44" s="1035"/>
    </row>
    <row r="45" spans="1:42" s="224" customFormat="1" ht="15" customHeight="1" x14ac:dyDescent="0.25">
      <c r="A45" s="247">
        <v>45875</v>
      </c>
      <c r="B45" s="1275" t="s">
        <v>8190</v>
      </c>
      <c r="C45" s="1276" t="s">
        <v>12</v>
      </c>
      <c r="D45" s="1276" t="s">
        <v>1493</v>
      </c>
      <c r="E45" s="875" t="s">
        <v>15</v>
      </c>
      <c r="F45" s="780">
        <v>15</v>
      </c>
      <c r="G45" s="982"/>
      <c r="H45" s="622"/>
      <c r="I45" s="982"/>
      <c r="J45" s="622"/>
      <c r="K45" s="982"/>
      <c r="L45" s="622"/>
      <c r="M45" s="982"/>
      <c r="N45" s="880"/>
      <c r="O45" s="1525"/>
      <c r="P45" s="613"/>
      <c r="Q45" s="162"/>
      <c r="R45" s="1956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47">
        <v>45876</v>
      </c>
      <c r="B46" s="882" t="s">
        <v>6258</v>
      </c>
      <c r="C46" s="879" t="s">
        <v>12</v>
      </c>
      <c r="D46" s="879"/>
      <c r="E46" s="875" t="s">
        <v>13</v>
      </c>
      <c r="F46" s="780"/>
      <c r="G46" s="982">
        <v>157</v>
      </c>
      <c r="H46" s="1008"/>
      <c r="I46" s="1063"/>
      <c r="J46" s="622">
        <v>157</v>
      </c>
      <c r="K46" s="982"/>
      <c r="L46" s="622"/>
      <c r="M46" s="982"/>
      <c r="N46" s="622"/>
      <c r="O46" s="1063"/>
      <c r="P46" s="622"/>
      <c r="Q46" s="982"/>
      <c r="R46" s="941"/>
    </row>
    <row r="47" spans="1:42" s="224" customFormat="1" ht="15" customHeight="1" x14ac:dyDescent="0.25">
      <c r="A47" s="247">
        <v>45876</v>
      </c>
      <c r="B47" s="882" t="s">
        <v>8191</v>
      </c>
      <c r="C47" s="879" t="s">
        <v>12</v>
      </c>
      <c r="D47" s="879" t="s">
        <v>1524</v>
      </c>
      <c r="E47" s="871" t="s">
        <v>13</v>
      </c>
      <c r="F47" s="780">
        <v>157</v>
      </c>
      <c r="G47" s="982"/>
      <c r="H47" s="622"/>
      <c r="I47" s="982"/>
      <c r="J47" s="872"/>
      <c r="K47" s="1207"/>
      <c r="L47" s="622"/>
      <c r="M47" s="982"/>
      <c r="N47" s="622"/>
      <c r="O47" s="1063"/>
      <c r="P47" s="622"/>
      <c r="Q47" s="982"/>
      <c r="R47" s="1028"/>
      <c r="S47" s="959"/>
      <c r="T47" s="878"/>
      <c r="U47" s="958"/>
    </row>
    <row r="48" spans="1:42" s="224" customFormat="1" ht="15" customHeight="1" x14ac:dyDescent="0.25">
      <c r="A48" s="247">
        <v>45876</v>
      </c>
      <c r="B48" s="1275" t="s">
        <v>32</v>
      </c>
      <c r="C48" s="1276" t="s">
        <v>12</v>
      </c>
      <c r="D48" s="1276" t="s">
        <v>1485</v>
      </c>
      <c r="E48" s="875" t="s">
        <v>13</v>
      </c>
      <c r="F48" s="780">
        <v>23</v>
      </c>
      <c r="G48" s="982"/>
      <c r="H48" s="622"/>
      <c r="I48" s="982"/>
      <c r="J48" s="622"/>
      <c r="K48" s="982"/>
      <c r="L48" s="622"/>
      <c r="M48" s="982"/>
      <c r="N48" s="880"/>
      <c r="O48" s="1525"/>
      <c r="P48" s="613"/>
      <c r="Q48" s="162"/>
      <c r="R48" s="1956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45876</v>
      </c>
      <c r="B49" s="882" t="s">
        <v>14</v>
      </c>
      <c r="C49" s="879" t="s">
        <v>12</v>
      </c>
      <c r="D49" s="879" t="s">
        <v>1486</v>
      </c>
      <c r="E49" s="871" t="s">
        <v>13</v>
      </c>
      <c r="F49" s="780">
        <v>4.4400000000000004</v>
      </c>
      <c r="G49" s="982"/>
      <c r="H49" s="1008"/>
      <c r="I49" s="1063"/>
      <c r="J49" s="622"/>
      <c r="K49" s="982"/>
      <c r="L49" s="622"/>
      <c r="M49" s="982"/>
      <c r="N49" s="622"/>
      <c r="O49" s="1063"/>
      <c r="P49" s="622"/>
      <c r="Q49" s="982"/>
      <c r="R49" s="861"/>
    </row>
    <row r="50" spans="1:42" s="224" customFormat="1" ht="15" customHeight="1" x14ac:dyDescent="0.25">
      <c r="A50" s="247">
        <v>45877</v>
      </c>
      <c r="B50" s="1275" t="s">
        <v>32</v>
      </c>
      <c r="C50" s="1276" t="s">
        <v>12</v>
      </c>
      <c r="D50" s="1276" t="s">
        <v>1485</v>
      </c>
      <c r="E50" s="875" t="s">
        <v>13</v>
      </c>
      <c r="F50" s="780">
        <v>23</v>
      </c>
      <c r="G50" s="982"/>
      <c r="H50" s="622"/>
      <c r="I50" s="982"/>
      <c r="J50" s="622"/>
      <c r="K50" s="982"/>
      <c r="L50" s="622"/>
      <c r="M50" s="982"/>
      <c r="N50" s="880"/>
      <c r="O50" s="1525"/>
      <c r="P50" s="613"/>
      <c r="Q50" s="162"/>
      <c r="R50" s="1956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47">
        <v>45877</v>
      </c>
      <c r="B51" s="882" t="s">
        <v>82</v>
      </c>
      <c r="C51" s="879" t="s">
        <v>12</v>
      </c>
      <c r="D51" s="887" t="s">
        <v>1493</v>
      </c>
      <c r="E51" s="2815" t="s">
        <v>13</v>
      </c>
      <c r="F51" s="780">
        <v>32.799999999999997</v>
      </c>
      <c r="G51" s="982"/>
      <c r="H51" s="95"/>
      <c r="I51" s="1064"/>
      <c r="J51" s="622"/>
      <c r="K51" s="982"/>
      <c r="L51" s="622"/>
      <c r="M51" s="982"/>
      <c r="N51" s="622"/>
      <c r="O51" s="1063"/>
      <c r="P51" s="622"/>
      <c r="Q51" s="982"/>
      <c r="R51" s="861"/>
    </row>
    <row r="52" spans="1:42" s="224" customFormat="1" x14ac:dyDescent="0.25">
      <c r="A52" s="247">
        <v>45878</v>
      </c>
      <c r="B52" s="882" t="s">
        <v>14</v>
      </c>
      <c r="C52" s="879" t="s">
        <v>12</v>
      </c>
      <c r="D52" s="879" t="s">
        <v>1486</v>
      </c>
      <c r="E52" s="871" t="s">
        <v>13</v>
      </c>
      <c r="F52" s="1810">
        <v>9.25</v>
      </c>
      <c r="G52" s="982"/>
      <c r="H52" s="1008"/>
      <c r="I52" s="1063"/>
      <c r="J52" s="2013"/>
      <c r="K52" s="1207"/>
      <c r="L52" s="622"/>
      <c r="M52" s="982"/>
      <c r="N52" s="622"/>
      <c r="O52" s="1063"/>
      <c r="P52" s="622"/>
      <c r="Q52" s="982"/>
      <c r="R52" s="1028"/>
      <c r="T52" s="878"/>
    </row>
    <row r="53" spans="1:42" s="224" customFormat="1" ht="15" customHeight="1" x14ac:dyDescent="0.25">
      <c r="A53" s="247">
        <v>45878</v>
      </c>
      <c r="B53" s="882" t="s">
        <v>2629</v>
      </c>
      <c r="C53" s="879" t="s">
        <v>12</v>
      </c>
      <c r="D53" s="879" t="s">
        <v>1489</v>
      </c>
      <c r="E53" s="875" t="s">
        <v>5470</v>
      </c>
      <c r="F53" s="780">
        <v>148.58000000000001</v>
      </c>
      <c r="G53" s="982"/>
      <c r="H53" s="95"/>
      <c r="I53" s="1064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45878</v>
      </c>
      <c r="B54" s="882" t="s">
        <v>80</v>
      </c>
      <c r="C54" s="879" t="s">
        <v>12</v>
      </c>
      <c r="D54" s="879" t="s">
        <v>1523</v>
      </c>
      <c r="E54" s="875" t="s">
        <v>13</v>
      </c>
      <c r="F54" s="780">
        <v>19.739999999999998</v>
      </c>
      <c r="G54" s="982"/>
      <c r="H54" s="95"/>
      <c r="I54" s="1064"/>
      <c r="J54" s="613"/>
      <c r="K54" s="982"/>
      <c r="L54" s="622"/>
      <c r="M54" s="982"/>
      <c r="N54" s="622"/>
      <c r="O54" s="1063"/>
      <c r="P54" s="622"/>
      <c r="Q54" s="982"/>
      <c r="R54" s="861"/>
    </row>
    <row r="55" spans="1:42" s="224" customFormat="1" ht="15" customHeight="1" x14ac:dyDescent="0.25">
      <c r="A55" s="247">
        <v>45878</v>
      </c>
      <c r="B55" s="882" t="s">
        <v>3120</v>
      </c>
      <c r="C55" s="879" t="s">
        <v>12</v>
      </c>
      <c r="D55" s="879" t="s">
        <v>1493</v>
      </c>
      <c r="E55" s="875" t="s">
        <v>13</v>
      </c>
      <c r="F55" s="780">
        <v>45</v>
      </c>
      <c r="G55" s="982"/>
      <c r="H55" s="95"/>
      <c r="I55" s="1064"/>
      <c r="J55" s="613"/>
      <c r="K55" s="982"/>
      <c r="L55" s="622"/>
      <c r="M55" s="982"/>
      <c r="N55" s="622"/>
      <c r="O55" s="1063"/>
      <c r="P55" s="622"/>
      <c r="Q55" s="982"/>
      <c r="R55" s="861"/>
    </row>
    <row r="56" spans="1:42" s="224" customFormat="1" x14ac:dyDescent="0.25">
      <c r="A56" s="247">
        <v>45879</v>
      </c>
      <c r="B56" s="882" t="s">
        <v>14</v>
      </c>
      <c r="C56" s="879" t="s">
        <v>12</v>
      </c>
      <c r="D56" s="879" t="s">
        <v>1486</v>
      </c>
      <c r="E56" s="871" t="s">
        <v>13</v>
      </c>
      <c r="F56" s="1810">
        <v>7.202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1028"/>
      <c r="T56" s="878"/>
    </row>
    <row r="57" spans="1:42" s="224" customFormat="1" ht="14.25" customHeight="1" x14ac:dyDescent="0.25">
      <c r="A57" s="247">
        <v>45879</v>
      </c>
      <c r="B57" s="882" t="s">
        <v>8193</v>
      </c>
      <c r="C57" s="879" t="s">
        <v>12</v>
      </c>
      <c r="D57" s="879" t="s">
        <v>1493</v>
      </c>
      <c r="E57" s="875" t="s">
        <v>13</v>
      </c>
      <c r="F57" s="1810">
        <v>22.94</v>
      </c>
      <c r="G57" s="982"/>
      <c r="H57" s="1031"/>
      <c r="I57" s="1525"/>
      <c r="J57" s="622"/>
      <c r="K57" s="982"/>
      <c r="L57" s="880"/>
      <c r="M57" s="1033"/>
      <c r="N57" s="880"/>
      <c r="O57" s="1525"/>
      <c r="P57" s="613"/>
      <c r="Q57" s="162"/>
      <c r="R57" s="1209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pans="1:42" s="224" customFormat="1" ht="15" customHeight="1" x14ac:dyDescent="0.25">
      <c r="A58" s="247">
        <v>45879</v>
      </c>
      <c r="B58" s="882" t="s">
        <v>8194</v>
      </c>
      <c r="C58" s="879" t="s">
        <v>12</v>
      </c>
      <c r="D58" s="879" t="s">
        <v>1493</v>
      </c>
      <c r="E58" s="875" t="s">
        <v>13</v>
      </c>
      <c r="F58" s="780">
        <v>15</v>
      </c>
      <c r="G58" s="982"/>
      <c r="H58" s="1008"/>
      <c r="I58" s="1063"/>
      <c r="J58" s="613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ht="15" customHeight="1" x14ac:dyDescent="0.25">
      <c r="A59" s="247">
        <v>45880</v>
      </c>
      <c r="B59" s="882" t="s">
        <v>8198</v>
      </c>
      <c r="C59" s="879" t="s">
        <v>12</v>
      </c>
      <c r="D59" s="879" t="s">
        <v>1489</v>
      </c>
      <c r="E59" s="875" t="s">
        <v>13</v>
      </c>
      <c r="F59" s="780">
        <v>15</v>
      </c>
      <c r="G59" s="982"/>
      <c r="H59" s="1008"/>
      <c r="I59" s="1063"/>
      <c r="J59" s="613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5" customHeight="1" x14ac:dyDescent="0.25">
      <c r="A60" s="247">
        <v>45881</v>
      </c>
      <c r="B60" s="882" t="s">
        <v>6329</v>
      </c>
      <c r="C60" s="879" t="s">
        <v>12</v>
      </c>
      <c r="D60" s="879"/>
      <c r="E60" s="875" t="s">
        <v>25</v>
      </c>
      <c r="F60" s="780"/>
      <c r="G60" s="982">
        <v>125</v>
      </c>
      <c r="H60" s="1008"/>
      <c r="I60" s="1063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ht="15" customHeight="1" x14ac:dyDescent="0.25">
      <c r="A61" s="247">
        <v>45881</v>
      </c>
      <c r="B61" s="1275" t="s">
        <v>32</v>
      </c>
      <c r="C61" s="1276" t="s">
        <v>12</v>
      </c>
      <c r="D61" s="1276" t="s">
        <v>1485</v>
      </c>
      <c r="E61" s="875" t="s">
        <v>13</v>
      </c>
      <c r="F61" s="780">
        <v>23</v>
      </c>
      <c r="G61" s="982"/>
      <c r="H61" s="622"/>
      <c r="I61" s="982"/>
      <c r="J61" s="622"/>
      <c r="K61" s="982"/>
      <c r="L61" s="622"/>
      <c r="M61" s="982"/>
      <c r="N61" s="880"/>
      <c r="O61" s="1525"/>
      <c r="P61" s="613"/>
      <c r="Q61" s="162"/>
      <c r="R61" s="1956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</row>
    <row r="62" spans="1:42" s="224" customFormat="1" x14ac:dyDescent="0.25">
      <c r="A62" s="247">
        <v>45881</v>
      </c>
      <c r="B62" s="1275" t="s">
        <v>8200</v>
      </c>
      <c r="C62" s="879" t="s">
        <v>12</v>
      </c>
      <c r="D62" s="1276" t="s">
        <v>1525</v>
      </c>
      <c r="E62" s="1286" t="s">
        <v>13</v>
      </c>
      <c r="F62" s="780">
        <v>37.9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1028"/>
      <c r="T62" s="878"/>
    </row>
    <row r="63" spans="1:42" s="224" customFormat="1" x14ac:dyDescent="0.25">
      <c r="A63" s="247">
        <v>45881</v>
      </c>
      <c r="B63" s="1275" t="s">
        <v>8199</v>
      </c>
      <c r="C63" s="879" t="s">
        <v>12</v>
      </c>
      <c r="D63" s="1276" t="s">
        <v>1525</v>
      </c>
      <c r="E63" s="1286" t="s">
        <v>13</v>
      </c>
      <c r="F63" s="780">
        <v>19</v>
      </c>
      <c r="G63" s="982"/>
      <c r="H63" s="1008"/>
      <c r="I63" s="1063"/>
      <c r="J63" s="622"/>
      <c r="K63" s="982"/>
      <c r="L63" s="622"/>
      <c r="M63" s="982"/>
      <c r="N63" s="622"/>
      <c r="O63" s="1063"/>
      <c r="P63" s="622"/>
      <c r="Q63" s="982"/>
      <c r="R63" s="1028"/>
      <c r="T63" s="878"/>
    </row>
    <row r="64" spans="1:42" s="224" customFormat="1" ht="15" customHeight="1" x14ac:dyDescent="0.25">
      <c r="A64" s="247">
        <v>45881</v>
      </c>
      <c r="B64" s="1275" t="s">
        <v>8203</v>
      </c>
      <c r="C64" s="1276" t="s">
        <v>12</v>
      </c>
      <c r="D64" s="1276"/>
      <c r="E64" s="1286" t="s">
        <v>13</v>
      </c>
      <c r="F64" s="613">
        <v>187.11</v>
      </c>
      <c r="G64" s="967"/>
      <c r="H64" s="1008"/>
      <c r="I64" s="1063"/>
      <c r="J64" s="613"/>
      <c r="K64" s="6"/>
      <c r="L64" s="622"/>
      <c r="M64" s="982"/>
      <c r="N64" s="622"/>
      <c r="O64" s="1063"/>
      <c r="P64" s="613"/>
      <c r="Q64" s="64"/>
      <c r="R64" s="102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45881</v>
      </c>
      <c r="B65" s="1275" t="s">
        <v>6755</v>
      </c>
      <c r="C65" s="1276" t="s">
        <v>12</v>
      </c>
      <c r="D65" s="1276"/>
      <c r="E65" s="1286"/>
      <c r="F65" s="613"/>
      <c r="G65" s="967">
        <v>187.11</v>
      </c>
      <c r="H65" s="1008"/>
      <c r="I65" s="1063"/>
      <c r="J65" s="613"/>
      <c r="K65" s="6"/>
      <c r="L65" s="622"/>
      <c r="M65" s="982"/>
      <c r="N65" s="622"/>
      <c r="O65" s="1063"/>
      <c r="P65" s="613"/>
      <c r="Q65" s="64"/>
      <c r="R65" s="1024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45882</v>
      </c>
      <c r="B66" s="882" t="s">
        <v>6258</v>
      </c>
      <c r="C66" s="879" t="s">
        <v>12</v>
      </c>
      <c r="D66" s="879"/>
      <c r="E66" s="875" t="s">
        <v>13</v>
      </c>
      <c r="F66" s="780"/>
      <c r="G66" s="982">
        <v>102.05</v>
      </c>
      <c r="H66" s="1008"/>
      <c r="I66" s="1063"/>
      <c r="J66" s="622">
        <v>102.05</v>
      </c>
      <c r="K66" s="982"/>
      <c r="L66" s="622"/>
      <c r="M66" s="982"/>
      <c r="N66" s="622"/>
      <c r="O66" s="1063"/>
      <c r="P66" s="622"/>
      <c r="Q66" s="982"/>
      <c r="R66" s="941"/>
    </row>
    <row r="67" spans="1:42" s="224" customFormat="1" ht="15" customHeight="1" x14ac:dyDescent="0.25">
      <c r="A67" s="247">
        <v>45882</v>
      </c>
      <c r="B67" s="882" t="s">
        <v>8204</v>
      </c>
      <c r="C67" s="879" t="s">
        <v>12</v>
      </c>
      <c r="D67" s="879" t="s">
        <v>1524</v>
      </c>
      <c r="E67" s="871" t="s">
        <v>13</v>
      </c>
      <c r="F67" s="780">
        <v>102.05</v>
      </c>
      <c r="G67" s="982"/>
      <c r="H67" s="622"/>
      <c r="I67" s="982"/>
      <c r="J67" s="872"/>
      <c r="K67" s="1207"/>
      <c r="L67" s="622"/>
      <c r="M67" s="982"/>
      <c r="N67" s="622"/>
      <c r="O67" s="1063"/>
      <c r="P67" s="622"/>
      <c r="Q67" s="982"/>
      <c r="R67" s="1028"/>
      <c r="S67" s="959"/>
      <c r="T67" s="878"/>
      <c r="U67" s="958"/>
    </row>
    <row r="68" spans="1:42" s="224" customFormat="1" ht="15" customHeight="1" x14ac:dyDescent="0.25">
      <c r="A68" s="247">
        <v>45882</v>
      </c>
      <c r="B68" s="1275" t="s">
        <v>32</v>
      </c>
      <c r="C68" s="1276" t="s">
        <v>12</v>
      </c>
      <c r="D68" s="1276" t="s">
        <v>1485</v>
      </c>
      <c r="E68" s="875" t="s">
        <v>13</v>
      </c>
      <c r="F68" s="780">
        <v>23</v>
      </c>
      <c r="G68" s="982"/>
      <c r="H68" s="622"/>
      <c r="I68" s="982"/>
      <c r="J68" s="622"/>
      <c r="K68" s="982"/>
      <c r="L68" s="622"/>
      <c r="M68" s="982"/>
      <c r="N68" s="880"/>
      <c r="O68" s="1525"/>
      <c r="P68" s="613"/>
      <c r="Q68" s="162"/>
      <c r="R68" s="1956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x14ac:dyDescent="0.25">
      <c r="A69" s="247">
        <v>45882</v>
      </c>
      <c r="B69" s="882" t="s">
        <v>14</v>
      </c>
      <c r="C69" s="879" t="s">
        <v>12</v>
      </c>
      <c r="D69" s="879" t="s">
        <v>1486</v>
      </c>
      <c r="E69" s="871" t="s">
        <v>13</v>
      </c>
      <c r="F69" s="1810">
        <v>4.13</v>
      </c>
      <c r="G69" s="982"/>
      <c r="H69" s="1008"/>
      <c r="I69" s="1063"/>
      <c r="J69" s="2013"/>
      <c r="K69" s="1207"/>
      <c r="L69" s="622"/>
      <c r="M69" s="982"/>
      <c r="N69" s="622"/>
      <c r="O69" s="1063"/>
      <c r="P69" s="622"/>
      <c r="Q69" s="982"/>
      <c r="R69" s="1028"/>
      <c r="T69" s="878"/>
    </row>
    <row r="70" spans="1:42" s="224" customFormat="1" x14ac:dyDescent="0.25">
      <c r="A70" s="247">
        <v>45882</v>
      </c>
      <c r="B70" s="1275" t="s">
        <v>8207</v>
      </c>
      <c r="C70" s="879" t="s">
        <v>12</v>
      </c>
      <c r="D70" s="1276" t="s">
        <v>6731</v>
      </c>
      <c r="E70" s="1286" t="s">
        <v>13</v>
      </c>
      <c r="F70" s="780">
        <v>37</v>
      </c>
      <c r="G70" s="982"/>
      <c r="H70" s="1008"/>
      <c r="I70" s="1063"/>
      <c r="J70" s="622"/>
      <c r="K70" s="982"/>
      <c r="L70" s="622"/>
      <c r="M70" s="982"/>
      <c r="N70" s="622"/>
      <c r="O70" s="1063"/>
      <c r="P70" s="622"/>
      <c r="Q70" s="982"/>
      <c r="R70" s="1028"/>
      <c r="T70" s="878"/>
    </row>
    <row r="71" spans="1:42" s="224" customFormat="1" ht="15" customHeight="1" x14ac:dyDescent="0.25">
      <c r="A71" s="247">
        <v>45883</v>
      </c>
      <c r="B71" s="882" t="s">
        <v>6258</v>
      </c>
      <c r="C71" s="879" t="s">
        <v>12</v>
      </c>
      <c r="D71" s="879"/>
      <c r="E71" s="875" t="s">
        <v>13</v>
      </c>
      <c r="F71" s="780"/>
      <c r="G71" s="982">
        <v>29</v>
      </c>
      <c r="H71" s="1008"/>
      <c r="I71" s="1063"/>
      <c r="J71" s="622">
        <v>29</v>
      </c>
      <c r="K71" s="982"/>
      <c r="L71" s="622"/>
      <c r="M71" s="982"/>
      <c r="N71" s="622"/>
      <c r="O71" s="1063"/>
      <c r="P71" s="622"/>
      <c r="Q71" s="982"/>
      <c r="R71" s="941"/>
    </row>
    <row r="72" spans="1:42" s="224" customFormat="1" ht="15" customHeight="1" x14ac:dyDescent="0.25">
      <c r="A72" s="247">
        <v>45883</v>
      </c>
      <c r="B72" s="882" t="s">
        <v>8210</v>
      </c>
      <c r="C72" s="879" t="s">
        <v>12</v>
      </c>
      <c r="D72" s="879" t="s">
        <v>1524</v>
      </c>
      <c r="E72" s="871" t="s">
        <v>13</v>
      </c>
      <c r="F72" s="780">
        <v>29</v>
      </c>
      <c r="G72" s="982"/>
      <c r="H72" s="622"/>
      <c r="I72" s="982"/>
      <c r="J72" s="872"/>
      <c r="K72" s="1207"/>
      <c r="L72" s="622"/>
      <c r="M72" s="982"/>
      <c r="N72" s="622"/>
      <c r="O72" s="1063"/>
      <c r="P72" s="622"/>
      <c r="Q72" s="982"/>
      <c r="R72" s="1028"/>
      <c r="S72" s="959"/>
      <c r="T72" s="878"/>
      <c r="U72" s="958"/>
    </row>
    <row r="73" spans="1:42" s="224" customFormat="1" ht="15" customHeight="1" x14ac:dyDescent="0.25">
      <c r="A73" s="247">
        <v>45883</v>
      </c>
      <c r="B73" s="1275" t="s">
        <v>32</v>
      </c>
      <c r="C73" s="1276" t="s">
        <v>12</v>
      </c>
      <c r="D73" s="1276" t="s">
        <v>1485</v>
      </c>
      <c r="E73" s="875" t="s">
        <v>13</v>
      </c>
      <c r="F73" s="780">
        <v>23</v>
      </c>
      <c r="G73" s="982"/>
      <c r="H73" s="622"/>
      <c r="I73" s="982"/>
      <c r="J73" s="622"/>
      <c r="K73" s="982"/>
      <c r="L73" s="622"/>
      <c r="M73" s="982"/>
      <c r="N73" s="880"/>
      <c r="O73" s="1525"/>
      <c r="P73" s="613"/>
      <c r="Q73" s="162"/>
      <c r="R73" s="1956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x14ac:dyDescent="0.25">
      <c r="A74" s="247">
        <v>45883</v>
      </c>
      <c r="B74" s="882" t="s">
        <v>14</v>
      </c>
      <c r="C74" s="879" t="s">
        <v>12</v>
      </c>
      <c r="D74" s="879" t="s">
        <v>1486</v>
      </c>
      <c r="E74" s="871" t="s">
        <v>13</v>
      </c>
      <c r="F74" s="1810">
        <v>13.98</v>
      </c>
      <c r="G74" s="982"/>
      <c r="H74" s="1008"/>
      <c r="I74" s="1063"/>
      <c r="J74" s="2013"/>
      <c r="K74" s="1207"/>
      <c r="L74" s="622"/>
      <c r="M74" s="982"/>
      <c r="N74" s="622"/>
      <c r="O74" s="1063"/>
      <c r="P74" s="622"/>
      <c r="Q74" s="982"/>
      <c r="R74" s="1028"/>
      <c r="T74" s="878"/>
    </row>
    <row r="75" spans="1:42" s="224" customFormat="1" ht="15" customHeight="1" x14ac:dyDescent="0.25">
      <c r="A75" s="247">
        <v>45883</v>
      </c>
      <c r="B75" s="882" t="s">
        <v>6258</v>
      </c>
      <c r="C75" s="879" t="s">
        <v>12</v>
      </c>
      <c r="D75" s="879"/>
      <c r="E75" s="875" t="s">
        <v>13</v>
      </c>
      <c r="F75" s="780"/>
      <c r="G75" s="982">
        <v>400</v>
      </c>
      <c r="H75" s="1008"/>
      <c r="I75" s="1063"/>
      <c r="J75" s="622">
        <v>400</v>
      </c>
      <c r="K75" s="982"/>
      <c r="L75" s="622"/>
      <c r="M75" s="982"/>
      <c r="N75" s="622"/>
      <c r="O75" s="1063"/>
      <c r="P75" s="622"/>
      <c r="Q75" s="982"/>
      <c r="R75" s="941"/>
    </row>
    <row r="76" spans="1:42" s="224" customFormat="1" ht="15" customHeight="1" x14ac:dyDescent="0.25">
      <c r="A76" s="247">
        <v>45883</v>
      </c>
      <c r="B76" s="882" t="s">
        <v>8206</v>
      </c>
      <c r="C76" s="879" t="s">
        <v>12</v>
      </c>
      <c r="D76" s="879" t="s">
        <v>1524</v>
      </c>
      <c r="E76" s="871" t="s">
        <v>13</v>
      </c>
      <c r="F76" s="780">
        <v>400</v>
      </c>
      <c r="G76" s="982"/>
      <c r="H76" s="622"/>
      <c r="I76" s="982"/>
      <c r="J76" s="872"/>
      <c r="K76" s="1207"/>
      <c r="L76" s="622"/>
      <c r="M76" s="982"/>
      <c r="N76" s="622"/>
      <c r="O76" s="1063"/>
      <c r="P76" s="622"/>
      <c r="Q76" s="982"/>
      <c r="R76" s="1028"/>
      <c r="S76" s="959"/>
      <c r="T76" s="878"/>
      <c r="U76" s="958"/>
    </row>
    <row r="77" spans="1:42" s="224" customFormat="1" ht="15" customHeight="1" x14ac:dyDescent="0.25">
      <c r="A77" s="247">
        <v>45884</v>
      </c>
      <c r="B77" s="1275" t="s">
        <v>32</v>
      </c>
      <c r="C77" s="1276" t="s">
        <v>12</v>
      </c>
      <c r="D77" s="1276" t="s">
        <v>1485</v>
      </c>
      <c r="E77" s="875" t="s">
        <v>13</v>
      </c>
      <c r="F77" s="780">
        <v>23</v>
      </c>
      <c r="G77" s="982"/>
      <c r="H77" s="622"/>
      <c r="I77" s="982"/>
      <c r="J77" s="622"/>
      <c r="K77" s="982"/>
      <c r="L77" s="622"/>
      <c r="M77" s="982"/>
      <c r="N77" s="880"/>
      <c r="O77" s="1525"/>
      <c r="P77" s="613"/>
      <c r="Q77" s="162"/>
      <c r="R77" s="1956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t="15" customHeight="1" x14ac:dyDescent="0.25">
      <c r="A78" s="247">
        <v>45884</v>
      </c>
      <c r="B78" s="882" t="s">
        <v>3738</v>
      </c>
      <c r="C78" s="879" t="s">
        <v>12</v>
      </c>
      <c r="D78" s="879" t="s">
        <v>6731</v>
      </c>
      <c r="E78" s="875" t="s">
        <v>13</v>
      </c>
      <c r="F78" s="780">
        <v>5</v>
      </c>
      <c r="G78" s="982"/>
      <c r="H78" s="622"/>
      <c r="I78" s="982"/>
      <c r="J78" s="622"/>
      <c r="K78" s="982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45884</v>
      </c>
      <c r="B79" s="882" t="s">
        <v>82</v>
      </c>
      <c r="C79" s="879" t="s">
        <v>12</v>
      </c>
      <c r="D79" s="879" t="s">
        <v>1493</v>
      </c>
      <c r="E79" s="871" t="s">
        <v>15</v>
      </c>
      <c r="F79" s="780">
        <v>32.799999999999997</v>
      </c>
      <c r="G79" s="982"/>
      <c r="H79" s="622"/>
      <c r="I79" s="982"/>
      <c r="J79" s="872"/>
      <c r="K79" s="1207"/>
      <c r="L79" s="622"/>
      <c r="M79" s="982"/>
      <c r="N79" s="622"/>
      <c r="O79" s="1063"/>
      <c r="P79" s="622"/>
      <c r="Q79" s="982"/>
      <c r="R79" s="1028"/>
      <c r="S79" s="959"/>
      <c r="T79" s="878"/>
      <c r="U79" s="958"/>
    </row>
    <row r="80" spans="1:42" s="224" customFormat="1" x14ac:dyDescent="0.25">
      <c r="A80" s="247">
        <v>45885</v>
      </c>
      <c r="B80" s="882" t="s">
        <v>14</v>
      </c>
      <c r="C80" s="879" t="s">
        <v>12</v>
      </c>
      <c r="D80" s="879" t="s">
        <v>1486</v>
      </c>
      <c r="E80" s="871" t="s">
        <v>13</v>
      </c>
      <c r="F80" s="1810">
        <v>7.56</v>
      </c>
      <c r="G80" s="982"/>
      <c r="H80" s="1008"/>
      <c r="I80" s="1063"/>
      <c r="J80" s="2013"/>
      <c r="K80" s="1207"/>
      <c r="L80" s="622"/>
      <c r="M80" s="982"/>
      <c r="N80" s="622"/>
      <c r="O80" s="1063"/>
      <c r="P80" s="622"/>
      <c r="Q80" s="982"/>
      <c r="R80" s="1028"/>
      <c r="T80" s="878"/>
    </row>
    <row r="81" spans="1:42" s="224" customFormat="1" ht="15" customHeight="1" x14ac:dyDescent="0.25">
      <c r="A81" s="247">
        <v>45885</v>
      </c>
      <c r="B81" s="882" t="s">
        <v>8177</v>
      </c>
      <c r="C81" s="879" t="s">
        <v>12</v>
      </c>
      <c r="D81" s="879" t="s">
        <v>6731</v>
      </c>
      <c r="E81" s="875" t="s">
        <v>13</v>
      </c>
      <c r="F81" s="780">
        <v>11.35</v>
      </c>
      <c r="G81" s="982"/>
      <c r="H81" s="622"/>
      <c r="I81" s="982"/>
      <c r="J81" s="622"/>
      <c r="K81" s="982"/>
      <c r="L81" s="622"/>
      <c r="M81" s="982"/>
      <c r="N81" s="880"/>
      <c r="O81" s="1525"/>
      <c r="P81" s="613"/>
      <c r="Q81" s="162"/>
      <c r="R81" s="1956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45885</v>
      </c>
      <c r="B82" s="882" t="s">
        <v>8211</v>
      </c>
      <c r="C82" s="879" t="s">
        <v>12</v>
      </c>
      <c r="D82" s="879" t="s">
        <v>1525</v>
      </c>
      <c r="E82" s="875" t="s">
        <v>13</v>
      </c>
      <c r="F82" s="780">
        <v>40.97</v>
      </c>
      <c r="G82" s="982"/>
      <c r="H82" s="622"/>
      <c r="I82" s="982"/>
      <c r="J82" s="622"/>
      <c r="K82" s="982"/>
      <c r="L82" s="622"/>
      <c r="M82" s="982"/>
      <c r="N82" s="880"/>
      <c r="O82" s="1525"/>
      <c r="P82" s="613"/>
      <c r="Q82" s="162"/>
      <c r="R82" s="1956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45885</v>
      </c>
      <c r="B83" s="882" t="s">
        <v>6861</v>
      </c>
      <c r="C83" s="879" t="s">
        <v>12</v>
      </c>
      <c r="D83" s="879" t="s">
        <v>1493</v>
      </c>
      <c r="E83" s="875" t="s">
        <v>13</v>
      </c>
      <c r="F83" s="780">
        <v>39.700000000000003</v>
      </c>
      <c r="G83" s="982"/>
      <c r="H83" s="622"/>
      <c r="I83" s="982"/>
      <c r="J83" s="622"/>
      <c r="K83" s="982"/>
      <c r="L83" s="622"/>
      <c r="M83" s="982"/>
      <c r="N83" s="880"/>
      <c r="O83" s="1525"/>
      <c r="P83" s="613"/>
      <c r="Q83" s="162"/>
      <c r="R83" s="1956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x14ac:dyDescent="0.25">
      <c r="A84" s="247">
        <v>45886</v>
      </c>
      <c r="B84" s="882" t="s">
        <v>14</v>
      </c>
      <c r="C84" s="879" t="s">
        <v>12</v>
      </c>
      <c r="D84" s="879" t="s">
        <v>1486</v>
      </c>
      <c r="E84" s="871" t="s">
        <v>13</v>
      </c>
      <c r="F84" s="1810">
        <v>11.33</v>
      </c>
      <c r="G84" s="982"/>
      <c r="H84" s="1008"/>
      <c r="I84" s="1063"/>
      <c r="J84" s="2013"/>
      <c r="K84" s="1207"/>
      <c r="L84" s="622"/>
      <c r="M84" s="982"/>
      <c r="N84" s="622"/>
      <c r="O84" s="1063"/>
      <c r="P84" s="622"/>
      <c r="Q84" s="982"/>
      <c r="R84" s="1028"/>
      <c r="T84" s="878"/>
    </row>
    <row r="85" spans="1:42" s="224" customFormat="1" ht="15" customHeight="1" x14ac:dyDescent="0.25">
      <c r="A85" s="247">
        <v>45886</v>
      </c>
      <c r="B85" s="882" t="s">
        <v>7356</v>
      </c>
      <c r="C85" s="879" t="s">
        <v>12</v>
      </c>
      <c r="D85" s="879" t="s">
        <v>1489</v>
      </c>
      <c r="E85" s="871" t="s">
        <v>13</v>
      </c>
      <c r="F85" s="780">
        <v>15</v>
      </c>
      <c r="G85" s="982"/>
      <c r="H85" s="622"/>
      <c r="I85" s="982"/>
      <c r="J85" s="872"/>
      <c r="K85" s="1207"/>
      <c r="L85" s="622"/>
      <c r="M85" s="982"/>
      <c r="N85" s="622"/>
      <c r="O85" s="1063"/>
      <c r="P85" s="622"/>
      <c r="Q85" s="982"/>
      <c r="R85" s="1028"/>
      <c r="S85" s="959"/>
      <c r="T85" s="878"/>
      <c r="U85" s="958"/>
    </row>
    <row r="86" spans="1:42" s="224" customFormat="1" ht="15" customHeight="1" x14ac:dyDescent="0.25">
      <c r="A86" s="247">
        <v>45886</v>
      </c>
      <c r="B86" s="882" t="s">
        <v>1369</v>
      </c>
      <c r="C86" s="879" t="s">
        <v>12</v>
      </c>
      <c r="D86" s="879" t="s">
        <v>1489</v>
      </c>
      <c r="E86" s="871" t="s">
        <v>13</v>
      </c>
      <c r="F86" s="780">
        <v>11.9</v>
      </c>
      <c r="G86" s="982"/>
      <c r="H86" s="622"/>
      <c r="I86" s="982"/>
      <c r="J86" s="872"/>
      <c r="K86" s="1207"/>
      <c r="L86" s="622"/>
      <c r="M86" s="982"/>
      <c r="N86" s="622"/>
      <c r="O86" s="1063"/>
      <c r="P86" s="622"/>
      <c r="Q86" s="982"/>
      <c r="R86" s="1028"/>
      <c r="S86" s="959"/>
      <c r="T86" s="878"/>
      <c r="U86" s="958"/>
    </row>
    <row r="87" spans="1:42" s="224" customFormat="1" ht="15" customHeight="1" x14ac:dyDescent="0.25">
      <c r="A87" s="247">
        <v>45886</v>
      </c>
      <c r="B87" s="882" t="s">
        <v>8212</v>
      </c>
      <c r="C87" s="879" t="s">
        <v>12</v>
      </c>
      <c r="D87" s="879" t="s">
        <v>1493</v>
      </c>
      <c r="E87" s="871" t="s">
        <v>13</v>
      </c>
      <c r="F87" s="780">
        <v>37</v>
      </c>
      <c r="G87" s="982"/>
      <c r="H87" s="622"/>
      <c r="I87" s="982"/>
      <c r="J87" s="872"/>
      <c r="K87" s="1207"/>
      <c r="L87" s="622"/>
      <c r="M87" s="982"/>
      <c r="N87" s="622"/>
      <c r="O87" s="1063"/>
      <c r="P87" s="622"/>
      <c r="Q87" s="982"/>
      <c r="R87" s="1028"/>
      <c r="S87" s="959"/>
      <c r="T87" s="878"/>
      <c r="U87" s="958"/>
    </row>
    <row r="88" spans="1:42" s="224" customFormat="1" ht="15" customHeight="1" x14ac:dyDescent="0.25">
      <c r="A88" s="247">
        <v>45887</v>
      </c>
      <c r="B88" s="1275" t="s">
        <v>32</v>
      </c>
      <c r="C88" s="1276" t="s">
        <v>12</v>
      </c>
      <c r="D88" s="1276" t="s">
        <v>1485</v>
      </c>
      <c r="E88" s="875" t="s">
        <v>13</v>
      </c>
      <c r="F88" s="780">
        <v>23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45887</v>
      </c>
      <c r="B89" s="882" t="s">
        <v>8214</v>
      </c>
      <c r="C89" s="879" t="s">
        <v>12</v>
      </c>
      <c r="D89" s="879" t="s">
        <v>1525</v>
      </c>
      <c r="E89" s="875" t="s">
        <v>13</v>
      </c>
      <c r="F89" s="780">
        <v>75.040000000000006</v>
      </c>
      <c r="G89" s="982"/>
      <c r="H89" s="622"/>
      <c r="I89" s="982"/>
      <c r="J89" s="622"/>
      <c r="K89" s="982"/>
      <c r="L89" s="622"/>
      <c r="M89" s="982"/>
      <c r="N89" s="880"/>
      <c r="O89" s="1525"/>
      <c r="P89" s="613"/>
      <c r="Q89" s="162"/>
      <c r="R89" s="1956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x14ac:dyDescent="0.25">
      <c r="A90" s="247">
        <v>45887</v>
      </c>
      <c r="B90" s="882" t="s">
        <v>14</v>
      </c>
      <c r="C90" s="879" t="s">
        <v>12</v>
      </c>
      <c r="D90" s="879" t="s">
        <v>1486</v>
      </c>
      <c r="E90" s="871" t="s">
        <v>13</v>
      </c>
      <c r="F90" s="1810">
        <v>4.33</v>
      </c>
      <c r="G90" s="982"/>
      <c r="H90" s="1008"/>
      <c r="I90" s="1063"/>
      <c r="J90" s="2013"/>
      <c r="K90" s="1207"/>
      <c r="L90" s="622"/>
      <c r="M90" s="982"/>
      <c r="N90" s="622"/>
      <c r="O90" s="1063"/>
      <c r="P90" s="622"/>
      <c r="Q90" s="982"/>
      <c r="R90" s="1028"/>
      <c r="T90" s="878"/>
    </row>
    <row r="91" spans="1:42" s="224" customFormat="1" x14ac:dyDescent="0.25">
      <c r="A91" s="247">
        <v>45887</v>
      </c>
      <c r="B91" s="882" t="s">
        <v>8215</v>
      </c>
      <c r="C91" s="879" t="s">
        <v>12</v>
      </c>
      <c r="D91" s="879" t="s">
        <v>1506</v>
      </c>
      <c r="E91" s="871" t="s">
        <v>15</v>
      </c>
      <c r="F91" s="1810">
        <v>20</v>
      </c>
      <c r="G91" s="982"/>
      <c r="H91" s="1008"/>
      <c r="I91" s="1063"/>
      <c r="J91" s="2013"/>
      <c r="K91" s="1207"/>
      <c r="L91" s="622"/>
      <c r="M91" s="982"/>
      <c r="N91" s="622"/>
      <c r="O91" s="1063"/>
      <c r="P91" s="622"/>
      <c r="Q91" s="982"/>
      <c r="R91" s="1028"/>
      <c r="T91" s="878"/>
    </row>
    <row r="92" spans="1:42" s="224" customFormat="1" x14ac:dyDescent="0.25">
      <c r="A92" s="247">
        <v>45888</v>
      </c>
      <c r="B92" s="882" t="s">
        <v>81</v>
      </c>
      <c r="C92" s="879" t="s">
        <v>12</v>
      </c>
      <c r="D92" s="879" t="s">
        <v>1493</v>
      </c>
      <c r="E92" s="871" t="s">
        <v>13</v>
      </c>
      <c r="F92" s="1810">
        <v>6</v>
      </c>
      <c r="G92" s="982"/>
      <c r="H92" s="1008"/>
      <c r="I92" s="1063"/>
      <c r="J92" s="2013"/>
      <c r="K92" s="1207"/>
      <c r="L92" s="622"/>
      <c r="M92" s="982"/>
      <c r="N92" s="622"/>
      <c r="O92" s="1063"/>
      <c r="P92" s="622"/>
      <c r="Q92" s="982"/>
      <c r="R92" s="1028"/>
      <c r="T92" s="878"/>
    </row>
    <row r="93" spans="1:42" s="224" customFormat="1" x14ac:dyDescent="0.25">
      <c r="A93" s="247">
        <v>45888</v>
      </c>
      <c r="B93" s="882" t="s">
        <v>14</v>
      </c>
      <c r="C93" s="879" t="s">
        <v>12</v>
      </c>
      <c r="D93" s="879" t="s">
        <v>1486</v>
      </c>
      <c r="E93" s="871" t="s">
        <v>13</v>
      </c>
      <c r="F93" s="1810">
        <v>9.23</v>
      </c>
      <c r="G93" s="982"/>
      <c r="H93" s="1008"/>
      <c r="I93" s="1063"/>
      <c r="J93" s="2013"/>
      <c r="K93" s="1207"/>
      <c r="L93" s="622"/>
      <c r="M93" s="982"/>
      <c r="N93" s="622"/>
      <c r="O93" s="1063"/>
      <c r="P93" s="622"/>
      <c r="Q93" s="982"/>
      <c r="R93" s="1028"/>
      <c r="T93" s="878"/>
    </row>
    <row r="94" spans="1:42" s="224" customFormat="1" x14ac:dyDescent="0.25">
      <c r="A94" s="247">
        <v>45888</v>
      </c>
      <c r="B94" s="882" t="s">
        <v>3958</v>
      </c>
      <c r="C94" s="879" t="s">
        <v>12</v>
      </c>
      <c r="D94" s="879" t="s">
        <v>1489</v>
      </c>
      <c r="E94" s="871" t="s">
        <v>13</v>
      </c>
      <c r="F94" s="1810">
        <v>19.899999999999999</v>
      </c>
      <c r="G94" s="982"/>
      <c r="H94" s="1008"/>
      <c r="I94" s="1063"/>
      <c r="J94" s="2013"/>
      <c r="K94" s="1207"/>
      <c r="L94" s="622"/>
      <c r="M94" s="982"/>
      <c r="N94" s="622"/>
      <c r="O94" s="1063"/>
      <c r="P94" s="622"/>
      <c r="Q94" s="982"/>
      <c r="R94" s="1028"/>
      <c r="T94" s="878"/>
    </row>
    <row r="95" spans="1:42" s="224" customFormat="1" ht="15" customHeight="1" x14ac:dyDescent="0.25">
      <c r="A95" s="247">
        <v>45888</v>
      </c>
      <c r="B95" s="882" t="s">
        <v>6329</v>
      </c>
      <c r="C95" s="879" t="s">
        <v>12</v>
      </c>
      <c r="D95" s="879"/>
      <c r="E95" s="875" t="s">
        <v>25</v>
      </c>
      <c r="F95" s="780"/>
      <c r="G95" s="982">
        <v>125</v>
      </c>
      <c r="H95" s="1008"/>
      <c r="I95" s="1063"/>
      <c r="J95" s="613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45889</v>
      </c>
      <c r="B96" s="882" t="s">
        <v>8123</v>
      </c>
      <c r="C96" s="350" t="s">
        <v>12</v>
      </c>
      <c r="D96" s="350"/>
      <c r="E96" s="480" t="s">
        <v>25</v>
      </c>
      <c r="F96" s="622"/>
      <c r="G96" s="982">
        <v>2520</v>
      </c>
      <c r="H96" s="1008"/>
      <c r="I96" s="1063"/>
      <c r="J96" s="622"/>
      <c r="K96" s="982"/>
      <c r="L96" s="622"/>
      <c r="M96" s="982"/>
      <c r="N96" s="622"/>
      <c r="O96" s="1063"/>
      <c r="P96" s="622"/>
      <c r="Q96" s="982"/>
      <c r="R96" s="861"/>
    </row>
    <row r="97" spans="1:42" s="224" customFormat="1" ht="15" customHeight="1" x14ac:dyDescent="0.25">
      <c r="A97" s="247">
        <v>45889</v>
      </c>
      <c r="B97" s="364" t="s">
        <v>8124</v>
      </c>
      <c r="C97" s="879" t="s">
        <v>12</v>
      </c>
      <c r="D97" s="879"/>
      <c r="E97" s="983" t="s">
        <v>25</v>
      </c>
      <c r="F97" s="780"/>
      <c r="G97" s="982"/>
      <c r="H97" s="622"/>
      <c r="I97" s="982"/>
      <c r="J97" s="2013"/>
      <c r="K97" s="1207"/>
      <c r="L97" s="622"/>
      <c r="M97" s="982"/>
      <c r="N97" s="622"/>
      <c r="O97" s="1063"/>
      <c r="P97" s="622"/>
      <c r="Q97" s="982">
        <v>504</v>
      </c>
      <c r="R97" s="927"/>
      <c r="S97" s="927"/>
      <c r="T97" s="878"/>
    </row>
    <row r="98" spans="1:42" s="224" customFormat="1" ht="15" customHeight="1" x14ac:dyDescent="0.25">
      <c r="A98" s="247">
        <v>45889</v>
      </c>
      <c r="B98" s="364" t="s">
        <v>3354</v>
      </c>
      <c r="C98" s="350" t="s">
        <v>12</v>
      </c>
      <c r="D98" s="350"/>
      <c r="E98" s="145" t="s">
        <v>25</v>
      </c>
      <c r="F98" s="613"/>
      <c r="G98" s="967"/>
      <c r="H98" s="1008"/>
      <c r="I98" s="1063"/>
      <c r="J98" s="622"/>
      <c r="K98" s="982"/>
      <c r="L98" s="880"/>
      <c r="M98" s="1033"/>
      <c r="N98" s="880"/>
      <c r="O98" s="1525"/>
      <c r="P98" s="613"/>
      <c r="Q98" s="162">
        <v>254.2</v>
      </c>
      <c r="R98" s="201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45889</v>
      </c>
      <c r="B99" s="862" t="s">
        <v>2867</v>
      </c>
      <c r="C99" s="350" t="s">
        <v>12</v>
      </c>
      <c r="D99" s="874" t="s">
        <v>1504</v>
      </c>
      <c r="E99" s="887" t="s">
        <v>13</v>
      </c>
      <c r="F99" s="1245">
        <v>0</v>
      </c>
      <c r="G99" s="982"/>
      <c r="H99" s="1009"/>
      <c r="I99" s="1063"/>
      <c r="J99" s="622"/>
      <c r="K99" s="982"/>
      <c r="L99" s="853"/>
      <c r="M99" s="982"/>
      <c r="N99" s="853"/>
      <c r="O99" s="1063"/>
      <c r="P99" s="622"/>
      <c r="Q99" s="982"/>
      <c r="R99" s="1690" t="s">
        <v>8032</v>
      </c>
      <c r="S99" s="1690"/>
      <c r="T99" s="1690"/>
      <c r="U99" s="1690"/>
      <c r="V99" s="1690"/>
      <c r="W99" s="1690"/>
      <c r="X99" s="1690"/>
      <c r="Y99" s="1690"/>
      <c r="Z99" s="1690"/>
    </row>
    <row r="100" spans="1:42" s="224" customFormat="1" ht="14.25" customHeight="1" x14ac:dyDescent="0.25">
      <c r="A100" s="247">
        <v>45889</v>
      </c>
      <c r="B100" s="364" t="s">
        <v>2977</v>
      </c>
      <c r="C100" s="350" t="s">
        <v>12</v>
      </c>
      <c r="D100" s="350" t="s">
        <v>1491</v>
      </c>
      <c r="E100" s="875" t="s">
        <v>13</v>
      </c>
      <c r="F100" s="1047">
        <v>400</v>
      </c>
      <c r="G100" s="982"/>
      <c r="H100" s="1008"/>
      <c r="I100" s="1063"/>
      <c r="J100" s="622"/>
      <c r="K100" s="982"/>
      <c r="L100" s="622"/>
      <c r="M100" s="982"/>
      <c r="N100" s="622"/>
      <c r="O100" s="1063"/>
      <c r="P100" s="622"/>
      <c r="Q100" s="982"/>
      <c r="R100" s="1029"/>
      <c r="S100" s="89"/>
      <c r="T100" s="930"/>
    </row>
    <row r="101" spans="1:42" s="224" customFormat="1" ht="15" customHeight="1" x14ac:dyDescent="0.25">
      <c r="A101" s="247">
        <v>45889</v>
      </c>
      <c r="B101" s="349" t="s">
        <v>8125</v>
      </c>
      <c r="C101" s="887" t="s">
        <v>12</v>
      </c>
      <c r="D101" s="350" t="s">
        <v>1524</v>
      </c>
      <c r="E101" s="887" t="s">
        <v>13</v>
      </c>
      <c r="F101" s="613">
        <v>118.136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927"/>
      <c r="S101" s="999"/>
      <c r="T101" s="878"/>
    </row>
    <row r="102" spans="1:42" s="224" customFormat="1" ht="15" customHeight="1" x14ac:dyDescent="0.25">
      <c r="A102" s="247">
        <v>45889</v>
      </c>
      <c r="B102" s="349" t="s">
        <v>8125</v>
      </c>
      <c r="C102" s="887" t="s">
        <v>12</v>
      </c>
      <c r="D102" s="350" t="s">
        <v>1522</v>
      </c>
      <c r="E102" s="887" t="s">
        <v>13</v>
      </c>
      <c r="F102" s="613">
        <v>266.66666666666669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927"/>
      <c r="S102" s="999"/>
      <c r="T102" s="878"/>
    </row>
    <row r="103" spans="1:42" s="224" customFormat="1" ht="15" customHeight="1" x14ac:dyDescent="0.25">
      <c r="A103" s="247">
        <v>45889</v>
      </c>
      <c r="B103" s="349" t="s">
        <v>8125</v>
      </c>
      <c r="C103" s="887" t="s">
        <v>12</v>
      </c>
      <c r="D103" s="350" t="s">
        <v>1524</v>
      </c>
      <c r="E103" s="887" t="s">
        <v>13</v>
      </c>
      <c r="F103" s="613">
        <v>253.465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927"/>
      <c r="S103" s="999"/>
      <c r="T103" s="878"/>
    </row>
    <row r="104" spans="1:42" s="224" customFormat="1" ht="15" customHeight="1" x14ac:dyDescent="0.25">
      <c r="A104" s="247">
        <v>45889</v>
      </c>
      <c r="B104" s="349" t="s">
        <v>8125</v>
      </c>
      <c r="C104" s="887" t="s">
        <v>12</v>
      </c>
      <c r="D104" s="350" t="s">
        <v>1524</v>
      </c>
      <c r="E104" s="887" t="s">
        <v>13</v>
      </c>
      <c r="F104" s="613">
        <v>60.656666666666666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927"/>
      <c r="S104" s="999"/>
      <c r="T104" s="878"/>
    </row>
    <row r="105" spans="1:42" s="224" customFormat="1" ht="15" customHeight="1" x14ac:dyDescent="0.25">
      <c r="A105" s="247">
        <v>45889</v>
      </c>
      <c r="B105" s="349" t="s">
        <v>8125</v>
      </c>
      <c r="C105" s="887" t="s">
        <v>12</v>
      </c>
      <c r="D105" s="350" t="s">
        <v>1524</v>
      </c>
      <c r="E105" s="887" t="s">
        <v>13</v>
      </c>
      <c r="F105" s="613">
        <v>44.985000000000007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927"/>
      <c r="S105" s="999"/>
      <c r="T105" s="878"/>
    </row>
    <row r="106" spans="1:42" s="224" customFormat="1" ht="15" customHeight="1" x14ac:dyDescent="0.25">
      <c r="A106" s="247">
        <v>45889</v>
      </c>
      <c r="B106" s="349" t="s">
        <v>8125</v>
      </c>
      <c r="C106" s="887" t="s">
        <v>12</v>
      </c>
      <c r="D106" s="350" t="s">
        <v>1524</v>
      </c>
      <c r="E106" s="887" t="s">
        <v>13</v>
      </c>
      <c r="F106" s="613">
        <v>8.9949999999999992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927"/>
      <c r="S106" s="999"/>
      <c r="T106" s="878"/>
    </row>
    <row r="107" spans="1:42" s="224" customFormat="1" ht="15" customHeight="1" x14ac:dyDescent="0.25">
      <c r="A107" s="247">
        <v>45889</v>
      </c>
      <c r="B107" s="349" t="s">
        <v>8125</v>
      </c>
      <c r="C107" s="887" t="s">
        <v>12</v>
      </c>
      <c r="D107" s="350" t="s">
        <v>1524</v>
      </c>
      <c r="E107" s="887" t="s">
        <v>13</v>
      </c>
      <c r="F107" s="613">
        <v>8.3333333333333339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927"/>
      <c r="S107" s="999"/>
      <c r="T107" s="878"/>
    </row>
    <row r="108" spans="1:42" s="224" customFormat="1" ht="15" customHeight="1" x14ac:dyDescent="0.25">
      <c r="A108" s="247">
        <v>45889</v>
      </c>
      <c r="B108" s="349" t="s">
        <v>8125</v>
      </c>
      <c r="C108" s="887" t="s">
        <v>12</v>
      </c>
      <c r="D108" s="350" t="s">
        <v>1524</v>
      </c>
      <c r="E108" s="887" t="s">
        <v>13</v>
      </c>
      <c r="F108" s="613">
        <v>50.857142857142854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927"/>
      <c r="S108" s="999"/>
      <c r="T108" s="878"/>
    </row>
    <row r="109" spans="1:42" s="224" customFormat="1" ht="15" customHeight="1" x14ac:dyDescent="0.25">
      <c r="A109" s="247">
        <v>45889</v>
      </c>
      <c r="B109" s="349" t="s">
        <v>8125</v>
      </c>
      <c r="C109" s="887" t="s">
        <v>12</v>
      </c>
      <c r="D109" s="350" t="s">
        <v>1524</v>
      </c>
      <c r="E109" s="887" t="s">
        <v>13</v>
      </c>
      <c r="F109" s="613">
        <v>111.4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927"/>
      <c r="S109" s="999"/>
      <c r="T109" s="878"/>
    </row>
    <row r="110" spans="1:42" s="224" customFormat="1" ht="15" customHeight="1" x14ac:dyDescent="0.25">
      <c r="A110" s="247">
        <v>45889</v>
      </c>
      <c r="B110" s="349" t="s">
        <v>8125</v>
      </c>
      <c r="C110" s="887" t="s">
        <v>12</v>
      </c>
      <c r="D110" s="350" t="s">
        <v>1524</v>
      </c>
      <c r="E110" s="887" t="s">
        <v>13</v>
      </c>
      <c r="F110" s="613">
        <v>430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927"/>
      <c r="S110" s="999"/>
      <c r="T110" s="878"/>
    </row>
    <row r="111" spans="1:42" s="224" customFormat="1" ht="15" customHeight="1" x14ac:dyDescent="0.25">
      <c r="A111" s="247">
        <v>45889</v>
      </c>
      <c r="B111" s="349" t="s">
        <v>8125</v>
      </c>
      <c r="C111" s="887" t="s">
        <v>12</v>
      </c>
      <c r="D111" s="350" t="s">
        <v>1506</v>
      </c>
      <c r="E111" s="887" t="s">
        <v>13</v>
      </c>
      <c r="F111" s="613">
        <v>84.326666666666668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927"/>
      <c r="S111" s="999"/>
      <c r="T111" s="878"/>
    </row>
    <row r="112" spans="1:42" s="224" customFormat="1" ht="15" customHeight="1" x14ac:dyDescent="0.25">
      <c r="A112" s="247">
        <v>45889</v>
      </c>
      <c r="B112" s="349" t="s">
        <v>8125</v>
      </c>
      <c r="C112" s="887" t="s">
        <v>12</v>
      </c>
      <c r="D112" s="350" t="s">
        <v>1524</v>
      </c>
      <c r="E112" s="887" t="s">
        <v>13</v>
      </c>
      <c r="F112" s="613">
        <v>252.59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927"/>
      <c r="S112" s="999"/>
      <c r="T112" s="878"/>
    </row>
    <row r="113" spans="1:42" s="224" customFormat="1" ht="15" customHeight="1" x14ac:dyDescent="0.25">
      <c r="A113" s="247">
        <v>45889</v>
      </c>
      <c r="B113" s="349" t="s">
        <v>8125</v>
      </c>
      <c r="C113" s="887" t="s">
        <v>12</v>
      </c>
      <c r="D113" s="350" t="s">
        <v>1525</v>
      </c>
      <c r="E113" s="887" t="s">
        <v>13</v>
      </c>
      <c r="F113" s="613">
        <v>114.33333333333333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927"/>
      <c r="S113" s="999"/>
      <c r="T113" s="878"/>
    </row>
    <row r="114" spans="1:42" s="224" customFormat="1" ht="15" customHeight="1" x14ac:dyDescent="0.25">
      <c r="A114" s="247">
        <v>45889</v>
      </c>
      <c r="B114" s="349" t="s">
        <v>8125</v>
      </c>
      <c r="C114" s="887" t="s">
        <v>12</v>
      </c>
      <c r="D114" s="350" t="s">
        <v>1525</v>
      </c>
      <c r="E114" s="887" t="s">
        <v>13</v>
      </c>
      <c r="F114" s="613">
        <v>63.703999999999994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927"/>
      <c r="S114" s="999"/>
      <c r="T114" s="878"/>
    </row>
    <row r="115" spans="1:42" s="224" customFormat="1" ht="15" customHeight="1" x14ac:dyDescent="0.25">
      <c r="A115" s="247">
        <v>45889</v>
      </c>
      <c r="B115" s="349" t="s">
        <v>8125</v>
      </c>
      <c r="C115" s="887" t="s">
        <v>12</v>
      </c>
      <c r="D115" s="350" t="s">
        <v>1525</v>
      </c>
      <c r="E115" s="887" t="s">
        <v>13</v>
      </c>
      <c r="F115" s="613">
        <v>50.077500000000001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927"/>
      <c r="S115" s="999"/>
      <c r="T115" s="878"/>
    </row>
    <row r="116" spans="1:42" s="224" customFormat="1" ht="15" customHeight="1" x14ac:dyDescent="0.25">
      <c r="A116" s="247">
        <v>45889</v>
      </c>
      <c r="B116" s="349" t="s">
        <v>8125</v>
      </c>
      <c r="C116" s="887" t="s">
        <v>12</v>
      </c>
      <c r="D116" s="350" t="s">
        <v>1524</v>
      </c>
      <c r="E116" s="887" t="s">
        <v>13</v>
      </c>
      <c r="F116" s="613">
        <v>53.591428571428573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927"/>
      <c r="S116" s="999"/>
      <c r="T116" s="878"/>
    </row>
    <row r="117" spans="1:42" s="224" customFormat="1" ht="15" customHeight="1" x14ac:dyDescent="0.25">
      <c r="A117" s="247">
        <v>45889</v>
      </c>
      <c r="B117" s="349" t="s">
        <v>8125</v>
      </c>
      <c r="C117" s="887" t="s">
        <v>12</v>
      </c>
      <c r="D117" s="350" t="s">
        <v>1524</v>
      </c>
      <c r="E117" s="887" t="s">
        <v>13</v>
      </c>
      <c r="F117" s="613">
        <v>29.44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927"/>
      <c r="S117" s="999"/>
      <c r="T117" s="878"/>
    </row>
    <row r="118" spans="1:42" s="224" customFormat="1" ht="15" customHeight="1" x14ac:dyDescent="0.25">
      <c r="A118" s="247">
        <v>45889</v>
      </c>
      <c r="B118" s="349" t="s">
        <v>8125</v>
      </c>
      <c r="C118" s="887" t="s">
        <v>12</v>
      </c>
      <c r="D118" s="350" t="s">
        <v>1504</v>
      </c>
      <c r="E118" s="887" t="s">
        <v>13</v>
      </c>
      <c r="F118" s="613">
        <v>34.22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927"/>
      <c r="S118" s="999"/>
      <c r="T118" s="878"/>
    </row>
    <row r="119" spans="1:42" s="224" customFormat="1" ht="15" customHeight="1" x14ac:dyDescent="0.25">
      <c r="A119" s="247">
        <v>45889</v>
      </c>
      <c r="B119" s="349" t="s">
        <v>8125</v>
      </c>
      <c r="C119" s="887" t="s">
        <v>12</v>
      </c>
      <c r="D119" s="350" t="s">
        <v>1524</v>
      </c>
      <c r="E119" s="887" t="s">
        <v>13</v>
      </c>
      <c r="F119" s="613">
        <v>149.10666666666665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927"/>
      <c r="S119" s="999"/>
      <c r="T119" s="878"/>
    </row>
    <row r="120" spans="1:42" s="224" customFormat="1" ht="15" customHeight="1" x14ac:dyDescent="0.25">
      <c r="A120" s="247">
        <v>45889</v>
      </c>
      <c r="B120" s="349" t="s">
        <v>8125</v>
      </c>
      <c r="C120" s="887" t="s">
        <v>12</v>
      </c>
      <c r="D120" s="350" t="s">
        <v>6731</v>
      </c>
      <c r="E120" s="887" t="s">
        <v>13</v>
      </c>
      <c r="F120" s="613">
        <v>63.395000000000003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927"/>
      <c r="S120" s="999"/>
      <c r="T120" s="878"/>
    </row>
    <row r="121" spans="1:42" s="224" customFormat="1" ht="15" customHeight="1" x14ac:dyDescent="0.25">
      <c r="A121" s="247">
        <v>45889</v>
      </c>
      <c r="B121" s="349" t="s">
        <v>8125</v>
      </c>
      <c r="C121" s="887" t="s">
        <v>12</v>
      </c>
      <c r="D121" s="350" t="s">
        <v>1489</v>
      </c>
      <c r="E121" s="887" t="s">
        <v>13</v>
      </c>
      <c r="F121" s="613">
        <v>66.666666666666671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927"/>
      <c r="S121" s="999"/>
      <c r="T121" s="878"/>
    </row>
    <row r="122" spans="1:42" s="224" customFormat="1" ht="15" customHeight="1" x14ac:dyDescent="0.25">
      <c r="A122" s="247">
        <v>45889</v>
      </c>
      <c r="B122" s="882" t="s">
        <v>8126</v>
      </c>
      <c r="C122" s="879" t="s">
        <v>12</v>
      </c>
      <c r="D122" s="879" t="s">
        <v>1499</v>
      </c>
      <c r="E122" s="871" t="s">
        <v>13</v>
      </c>
      <c r="F122" s="780">
        <v>0</v>
      </c>
      <c r="G122" s="982"/>
      <c r="H122" s="1008"/>
      <c r="I122" s="1063"/>
      <c r="J122" s="622"/>
      <c r="K122" s="982"/>
      <c r="L122" s="622"/>
      <c r="M122" s="982"/>
      <c r="N122" s="622"/>
      <c r="O122" s="1063"/>
      <c r="P122" s="622"/>
      <c r="Q122" s="982"/>
      <c r="R122" s="1028" t="s">
        <v>7729</v>
      </c>
      <c r="T122" s="1123"/>
      <c r="U122" s="999"/>
    </row>
    <row r="123" spans="1:42" s="224" customFormat="1" ht="15" customHeight="1" x14ac:dyDescent="0.25">
      <c r="A123" s="247">
        <v>45889</v>
      </c>
      <c r="B123" s="882" t="s">
        <v>7700</v>
      </c>
      <c r="C123" s="879" t="s">
        <v>12</v>
      </c>
      <c r="D123" s="879"/>
      <c r="E123" s="875" t="s">
        <v>13</v>
      </c>
      <c r="F123" s="780">
        <v>700</v>
      </c>
      <c r="G123" s="982"/>
      <c r="H123" s="95"/>
      <c r="I123" s="1064"/>
      <c r="J123" s="622"/>
      <c r="K123" s="982">
        <v>700</v>
      </c>
      <c r="L123" s="622"/>
      <c r="M123" s="982"/>
      <c r="N123" s="622"/>
      <c r="O123" s="982"/>
      <c r="P123" s="622"/>
      <c r="Q123" s="982"/>
      <c r="R123" s="1210"/>
      <c r="S123" s="1038"/>
      <c r="T123" s="861"/>
    </row>
    <row r="124" spans="1:42" s="224" customFormat="1" ht="15" customHeight="1" x14ac:dyDescent="0.25">
      <c r="A124" s="247">
        <v>45889</v>
      </c>
      <c r="B124" s="882" t="s">
        <v>6814</v>
      </c>
      <c r="C124" s="879" t="s">
        <v>12</v>
      </c>
      <c r="D124" s="879"/>
      <c r="E124" s="875" t="s">
        <v>13</v>
      </c>
      <c r="F124" s="780"/>
      <c r="G124" s="982">
        <v>1571.56</v>
      </c>
      <c r="H124" s="1008"/>
      <c r="I124" s="1063"/>
      <c r="J124" s="622">
        <v>1571.56</v>
      </c>
      <c r="K124" s="982"/>
      <c r="L124" s="622"/>
      <c r="M124" s="982"/>
      <c r="N124" s="622"/>
      <c r="O124" s="1063"/>
      <c r="P124" s="622"/>
      <c r="Q124" s="982"/>
      <c r="R124" s="941"/>
    </row>
    <row r="125" spans="1:42" s="224" customFormat="1" ht="15" customHeight="1" x14ac:dyDescent="0.25">
      <c r="A125" s="247">
        <v>45889</v>
      </c>
      <c r="B125" s="882" t="s">
        <v>8216</v>
      </c>
      <c r="C125" s="879" t="s">
        <v>12</v>
      </c>
      <c r="D125" s="879" t="s">
        <v>1504</v>
      </c>
      <c r="E125" s="871" t="s">
        <v>13</v>
      </c>
      <c r="F125" s="780">
        <v>100</v>
      </c>
      <c r="G125" s="982"/>
      <c r="H125" s="95"/>
      <c r="I125" s="1064"/>
      <c r="J125" s="613"/>
      <c r="K125" s="6"/>
      <c r="L125" s="622"/>
      <c r="M125" s="982"/>
      <c r="N125" s="622"/>
      <c r="O125" s="1063"/>
      <c r="P125" s="622"/>
      <c r="Q125" s="982"/>
      <c r="R125" s="861"/>
    </row>
    <row r="126" spans="1:42" s="224" customFormat="1" ht="15" customHeight="1" x14ac:dyDescent="0.25">
      <c r="A126" s="247">
        <v>45889</v>
      </c>
      <c r="B126" s="1275" t="s">
        <v>32</v>
      </c>
      <c r="C126" s="1276" t="s">
        <v>12</v>
      </c>
      <c r="D126" s="1276" t="s">
        <v>1485</v>
      </c>
      <c r="E126" s="875" t="s">
        <v>13</v>
      </c>
      <c r="F126" s="780">
        <v>23</v>
      </c>
      <c r="G126" s="982"/>
      <c r="H126" s="622"/>
      <c r="I126" s="982"/>
      <c r="J126" s="622"/>
      <c r="K126" s="982"/>
      <c r="L126" s="622"/>
      <c r="M126" s="982"/>
      <c r="N126" s="880"/>
      <c r="O126" s="1525"/>
      <c r="P126" s="613"/>
      <c r="Q126" s="162"/>
      <c r="R126" s="195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</row>
    <row r="127" spans="1:42" s="224" customFormat="1" ht="15" customHeight="1" x14ac:dyDescent="0.25">
      <c r="A127" s="247">
        <v>45889</v>
      </c>
      <c r="B127" s="882" t="s">
        <v>14</v>
      </c>
      <c r="C127" s="879" t="s">
        <v>12</v>
      </c>
      <c r="D127" s="879" t="s">
        <v>1486</v>
      </c>
      <c r="E127" s="871" t="s">
        <v>13</v>
      </c>
      <c r="F127" s="780">
        <v>7.92</v>
      </c>
      <c r="G127" s="982"/>
      <c r="H127" s="95"/>
      <c r="I127" s="1064"/>
      <c r="J127" s="613"/>
      <c r="K127" s="6"/>
      <c r="L127" s="622"/>
      <c r="M127" s="982"/>
      <c r="N127" s="622"/>
      <c r="O127" s="1063"/>
      <c r="P127" s="622"/>
      <c r="Q127" s="982"/>
      <c r="R127" s="861"/>
    </row>
    <row r="128" spans="1:42" s="224" customFormat="1" ht="15" customHeight="1" x14ac:dyDescent="0.25">
      <c r="A128" s="247">
        <v>45890</v>
      </c>
      <c r="B128" s="882" t="s">
        <v>8217</v>
      </c>
      <c r="C128" s="879" t="s">
        <v>12</v>
      </c>
      <c r="D128" s="879" t="s">
        <v>1504</v>
      </c>
      <c r="E128" s="871" t="s">
        <v>13</v>
      </c>
      <c r="F128" s="780">
        <v>53.28</v>
      </c>
      <c r="G128" s="982"/>
      <c r="H128" s="95"/>
      <c r="I128" s="1064"/>
      <c r="J128" s="613"/>
      <c r="K128" s="6"/>
      <c r="L128" s="622"/>
      <c r="M128" s="982"/>
      <c r="N128" s="622"/>
      <c r="O128" s="1063"/>
      <c r="P128" s="622"/>
      <c r="Q128" s="982"/>
      <c r="R128" s="861"/>
    </row>
    <row r="129" spans="1:42" s="224" customFormat="1" ht="15" customHeight="1" x14ac:dyDescent="0.25">
      <c r="A129" s="247">
        <v>45890</v>
      </c>
      <c r="B129" s="882" t="s">
        <v>14</v>
      </c>
      <c r="C129" s="879" t="s">
        <v>12</v>
      </c>
      <c r="D129" s="879" t="s">
        <v>1486</v>
      </c>
      <c r="E129" s="871" t="s">
        <v>13</v>
      </c>
      <c r="F129" s="780">
        <v>11.97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45890</v>
      </c>
      <c r="B130" s="882" t="s">
        <v>81</v>
      </c>
      <c r="C130" s="879" t="s">
        <v>12</v>
      </c>
      <c r="D130" s="879" t="s">
        <v>1493</v>
      </c>
      <c r="E130" s="871" t="s">
        <v>13</v>
      </c>
      <c r="F130" s="780">
        <v>9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45891</v>
      </c>
      <c r="B131" s="1275" t="s">
        <v>8218</v>
      </c>
      <c r="C131" s="1276" t="s">
        <v>12</v>
      </c>
      <c r="D131" s="1276"/>
      <c r="E131" s="1286" t="s">
        <v>13</v>
      </c>
      <c r="F131" s="613">
        <v>124.74</v>
      </c>
      <c r="G131" s="967"/>
      <c r="H131" s="1008"/>
      <c r="I131" s="1063"/>
      <c r="J131" s="613"/>
      <c r="K131" s="6"/>
      <c r="L131" s="622"/>
      <c r="M131" s="982"/>
      <c r="N131" s="622"/>
      <c r="O131" s="1063"/>
      <c r="P131" s="613"/>
      <c r="Q131" s="64"/>
      <c r="R131" s="1024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</row>
    <row r="132" spans="1:42" s="224" customFormat="1" ht="15" customHeight="1" x14ac:dyDescent="0.25">
      <c r="A132" s="247">
        <v>45891</v>
      </c>
      <c r="B132" s="1275" t="s">
        <v>6755</v>
      </c>
      <c r="C132" s="1276" t="s">
        <v>12</v>
      </c>
      <c r="D132" s="1276"/>
      <c r="E132" s="1286"/>
      <c r="F132" s="613"/>
      <c r="G132" s="967">
        <v>124.74</v>
      </c>
      <c r="H132" s="1008"/>
      <c r="I132" s="1063"/>
      <c r="J132" s="613"/>
      <c r="K132" s="6"/>
      <c r="L132" s="622"/>
      <c r="M132" s="982"/>
      <c r="N132" s="622"/>
      <c r="O132" s="1063"/>
      <c r="P132" s="613"/>
      <c r="Q132" s="64"/>
      <c r="R132" s="1024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</row>
    <row r="133" spans="1:42" s="224" customFormat="1" ht="15" customHeight="1" x14ac:dyDescent="0.25">
      <c r="A133" s="247">
        <v>45891</v>
      </c>
      <c r="B133" s="1275" t="s">
        <v>32</v>
      </c>
      <c r="C133" s="1276" t="s">
        <v>12</v>
      </c>
      <c r="D133" s="1276" t="s">
        <v>1485</v>
      </c>
      <c r="E133" s="875" t="s">
        <v>13</v>
      </c>
      <c r="F133" s="780">
        <v>23</v>
      </c>
      <c r="G133" s="982"/>
      <c r="H133" s="622"/>
      <c r="I133" s="982"/>
      <c r="J133" s="622"/>
      <c r="K133" s="982"/>
      <c r="L133" s="622"/>
      <c r="M133" s="982"/>
      <c r="N133" s="880"/>
      <c r="O133" s="1525"/>
      <c r="P133" s="613"/>
      <c r="Q133" s="162"/>
      <c r="R133" s="1956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24" customFormat="1" ht="15" customHeight="1" x14ac:dyDescent="0.25">
      <c r="A134" s="247">
        <v>45891</v>
      </c>
      <c r="B134" s="882" t="s">
        <v>81</v>
      </c>
      <c r="C134" s="879" t="s">
        <v>12</v>
      </c>
      <c r="D134" s="879" t="s">
        <v>1493</v>
      </c>
      <c r="E134" s="875" t="s">
        <v>13</v>
      </c>
      <c r="F134" s="780">
        <v>5</v>
      </c>
      <c r="G134" s="982"/>
      <c r="H134" s="622"/>
      <c r="I134" s="982"/>
      <c r="J134" s="1116"/>
      <c r="K134" s="1207"/>
      <c r="L134" s="622"/>
      <c r="M134" s="982"/>
      <c r="N134" s="622"/>
      <c r="O134" s="1063"/>
      <c r="P134" s="880"/>
      <c r="Q134" s="1033"/>
      <c r="R134" s="927"/>
      <c r="T134" s="878"/>
    </row>
    <row r="135" spans="1:42" s="224" customFormat="1" ht="15" customHeight="1" x14ac:dyDescent="0.25">
      <c r="A135" s="247">
        <v>45891</v>
      </c>
      <c r="B135" s="882" t="s">
        <v>82</v>
      </c>
      <c r="C135" s="879" t="s">
        <v>12</v>
      </c>
      <c r="D135" s="879" t="s">
        <v>1493</v>
      </c>
      <c r="E135" s="871" t="s">
        <v>13</v>
      </c>
      <c r="F135" s="780">
        <v>32.799999999999997</v>
      </c>
      <c r="G135" s="982"/>
      <c r="H135" s="95"/>
      <c r="I135" s="1064"/>
      <c r="J135" s="613"/>
      <c r="K135" s="6"/>
      <c r="L135" s="622"/>
      <c r="M135" s="982"/>
      <c r="N135" s="622"/>
      <c r="O135" s="1063"/>
      <c r="P135" s="622"/>
      <c r="Q135" s="982"/>
      <c r="R135" s="861"/>
    </row>
    <row r="136" spans="1:42" s="224" customFormat="1" ht="15" customHeight="1" x14ac:dyDescent="0.25">
      <c r="A136" s="247">
        <v>45891</v>
      </c>
      <c r="B136" s="882" t="s">
        <v>8219</v>
      </c>
      <c r="C136" s="879" t="s">
        <v>12</v>
      </c>
      <c r="D136" s="879" t="s">
        <v>1523</v>
      </c>
      <c r="E136" s="871" t="s">
        <v>13</v>
      </c>
      <c r="F136" s="780">
        <v>35</v>
      </c>
      <c r="G136" s="982"/>
      <c r="H136" s="95"/>
      <c r="I136" s="1064"/>
      <c r="J136" s="613"/>
      <c r="K136" s="6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45892</v>
      </c>
      <c r="B137" s="882" t="s">
        <v>14</v>
      </c>
      <c r="C137" s="879" t="s">
        <v>12</v>
      </c>
      <c r="D137" s="879" t="s">
        <v>1486</v>
      </c>
      <c r="E137" s="871" t="s">
        <v>13</v>
      </c>
      <c r="F137" s="780">
        <v>8.85</v>
      </c>
      <c r="G137" s="982"/>
      <c r="H137" s="95"/>
      <c r="I137" s="1064"/>
      <c r="J137" s="613"/>
      <c r="K137" s="6"/>
      <c r="L137" s="622"/>
      <c r="M137" s="982"/>
      <c r="N137" s="622"/>
      <c r="O137" s="1063"/>
      <c r="P137" s="622"/>
      <c r="Q137" s="982"/>
      <c r="R137" s="861"/>
    </row>
    <row r="138" spans="1:42" s="224" customFormat="1" ht="15" customHeight="1" x14ac:dyDescent="0.25">
      <c r="A138" s="247">
        <v>45892</v>
      </c>
      <c r="B138" s="882" t="s">
        <v>8177</v>
      </c>
      <c r="C138" s="879" t="s">
        <v>12</v>
      </c>
      <c r="D138" s="879" t="s">
        <v>6731</v>
      </c>
      <c r="E138" s="871" t="s">
        <v>13</v>
      </c>
      <c r="F138" s="780">
        <v>9.3699999999999992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42" s="224" customFormat="1" ht="15" customHeight="1" x14ac:dyDescent="0.25">
      <c r="A139" s="247">
        <v>45892</v>
      </c>
      <c r="B139" s="882" t="s">
        <v>8220</v>
      </c>
      <c r="C139" s="879" t="s">
        <v>12</v>
      </c>
      <c r="D139" s="879" t="s">
        <v>1489</v>
      </c>
      <c r="E139" s="875" t="s">
        <v>15</v>
      </c>
      <c r="F139" s="780">
        <v>65</v>
      </c>
      <c r="G139" s="982"/>
      <c r="H139" s="622"/>
      <c r="I139" s="982"/>
      <c r="J139" s="1116"/>
      <c r="K139" s="1207"/>
      <c r="L139" s="622"/>
      <c r="M139" s="982"/>
      <c r="N139" s="622"/>
      <c r="O139" s="1063"/>
      <c r="P139" s="880"/>
      <c r="Q139" s="1033"/>
      <c r="R139" s="927"/>
      <c r="T139" s="878"/>
    </row>
    <row r="140" spans="1:42" s="224" customFormat="1" ht="15" customHeight="1" x14ac:dyDescent="0.25">
      <c r="A140" s="247">
        <v>45892</v>
      </c>
      <c r="B140" s="882" t="s">
        <v>2629</v>
      </c>
      <c r="C140" s="879" t="s">
        <v>12</v>
      </c>
      <c r="D140" s="879" t="s">
        <v>1489</v>
      </c>
      <c r="E140" s="875" t="s">
        <v>15</v>
      </c>
      <c r="F140" s="780">
        <v>15</v>
      </c>
      <c r="G140" s="982"/>
      <c r="H140" s="622"/>
      <c r="I140" s="982"/>
      <c r="J140" s="1116"/>
      <c r="K140" s="1207"/>
      <c r="L140" s="622"/>
      <c r="M140" s="982"/>
      <c r="N140" s="622"/>
      <c r="O140" s="1063"/>
      <c r="P140" s="880"/>
      <c r="Q140" s="1033"/>
      <c r="R140" s="927"/>
      <c r="T140" s="878"/>
    </row>
    <row r="141" spans="1:42" s="224" customFormat="1" ht="15" customHeight="1" x14ac:dyDescent="0.25">
      <c r="A141" s="247">
        <v>45892</v>
      </c>
      <c r="B141" s="882" t="s">
        <v>8207</v>
      </c>
      <c r="C141" s="879" t="s">
        <v>12</v>
      </c>
      <c r="D141" s="879" t="s">
        <v>6731</v>
      </c>
      <c r="E141" s="875" t="s">
        <v>13</v>
      </c>
      <c r="F141" s="780">
        <v>42</v>
      </c>
      <c r="G141" s="982"/>
      <c r="H141" s="622"/>
      <c r="I141" s="982"/>
      <c r="J141" s="1116"/>
      <c r="K141" s="1207"/>
      <c r="L141" s="622"/>
      <c r="M141" s="982"/>
      <c r="N141" s="622"/>
      <c r="O141" s="1063"/>
      <c r="P141" s="880"/>
      <c r="Q141" s="1033"/>
      <c r="R141" s="927"/>
      <c r="T141" s="878"/>
    </row>
    <row r="142" spans="1:42" s="224" customFormat="1" ht="15" customHeight="1" x14ac:dyDescent="0.25">
      <c r="A142" s="247">
        <v>45892</v>
      </c>
      <c r="B142" s="882" t="s">
        <v>8221</v>
      </c>
      <c r="C142" s="879" t="s">
        <v>12</v>
      </c>
      <c r="D142" s="879" t="s">
        <v>1489</v>
      </c>
      <c r="E142" s="871" t="s">
        <v>13</v>
      </c>
      <c r="F142" s="780">
        <v>3.5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1116"/>
      <c r="Q142" s="1215"/>
      <c r="R142" s="1028"/>
      <c r="U142" s="958"/>
    </row>
    <row r="143" spans="1:42" s="224" customFormat="1" ht="15" customHeight="1" x14ac:dyDescent="0.25">
      <c r="A143" s="247">
        <v>45892</v>
      </c>
      <c r="B143" s="882" t="s">
        <v>8222</v>
      </c>
      <c r="C143" s="879" t="s">
        <v>12</v>
      </c>
      <c r="D143" s="879" t="s">
        <v>1489</v>
      </c>
      <c r="E143" s="871" t="s">
        <v>13</v>
      </c>
      <c r="F143" s="780">
        <v>4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13"/>
      <c r="Q143" s="64"/>
      <c r="R143" s="1028"/>
      <c r="U143" s="958"/>
    </row>
    <row r="144" spans="1:42" s="224" customFormat="1" ht="15" customHeight="1" x14ac:dyDescent="0.25">
      <c r="A144" s="247">
        <v>45892</v>
      </c>
      <c r="B144" s="882" t="s">
        <v>8222</v>
      </c>
      <c r="C144" s="879" t="s">
        <v>12</v>
      </c>
      <c r="D144" s="879" t="s">
        <v>1489</v>
      </c>
      <c r="E144" s="871" t="s">
        <v>13</v>
      </c>
      <c r="F144" s="780">
        <v>3.5</v>
      </c>
      <c r="G144" s="982"/>
      <c r="H144" s="95"/>
      <c r="I144" s="1064"/>
      <c r="J144" s="613"/>
      <c r="K144" s="6"/>
      <c r="L144" s="622"/>
      <c r="M144" s="982"/>
      <c r="N144" s="622"/>
      <c r="O144" s="1063"/>
      <c r="P144" s="1116"/>
      <c r="Q144" s="1215"/>
      <c r="R144" s="1028"/>
      <c r="U144" s="958"/>
    </row>
    <row r="145" spans="1:42" s="224" customFormat="1" ht="15" customHeight="1" x14ac:dyDescent="0.25">
      <c r="A145" s="247">
        <v>45892</v>
      </c>
      <c r="B145" s="882" t="s">
        <v>6861</v>
      </c>
      <c r="C145" s="879" t="s">
        <v>12</v>
      </c>
      <c r="D145" s="879" t="s">
        <v>1493</v>
      </c>
      <c r="E145" s="871" t="s">
        <v>13</v>
      </c>
      <c r="F145" s="780">
        <v>40.700000000000003</v>
      </c>
      <c r="G145" s="982"/>
      <c r="H145" s="95"/>
      <c r="I145" s="1064"/>
      <c r="J145" s="613"/>
      <c r="K145" s="6"/>
      <c r="L145" s="622"/>
      <c r="M145" s="982"/>
      <c r="N145" s="622"/>
      <c r="O145" s="1063"/>
      <c r="P145" s="1116"/>
      <c r="Q145" s="1215"/>
      <c r="R145" s="1028"/>
      <c r="U145" s="958"/>
    </row>
    <row r="146" spans="1:42" s="224" customFormat="1" ht="15" customHeight="1" x14ac:dyDescent="0.25">
      <c r="A146" s="247">
        <v>45893</v>
      </c>
      <c r="B146" s="882" t="s">
        <v>14</v>
      </c>
      <c r="C146" s="879" t="s">
        <v>12</v>
      </c>
      <c r="D146" s="879" t="s">
        <v>1486</v>
      </c>
      <c r="E146" s="871" t="s">
        <v>13</v>
      </c>
      <c r="F146" s="780">
        <v>10.51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622"/>
      <c r="Q146" s="982"/>
      <c r="R146" s="861"/>
    </row>
    <row r="147" spans="1:42" s="224" customFormat="1" ht="15" customHeight="1" x14ac:dyDescent="0.25">
      <c r="A147" s="247">
        <v>45893</v>
      </c>
      <c r="B147" s="882" t="s">
        <v>8190</v>
      </c>
      <c r="C147" s="879" t="s">
        <v>12</v>
      </c>
      <c r="D147" s="879" t="s">
        <v>1493</v>
      </c>
      <c r="E147" s="871" t="s">
        <v>13</v>
      </c>
      <c r="F147" s="780">
        <v>17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622"/>
      <c r="Q147" s="982"/>
      <c r="R147" s="861"/>
    </row>
    <row r="148" spans="1:42" s="224" customFormat="1" ht="15" customHeight="1" x14ac:dyDescent="0.25">
      <c r="A148" s="247">
        <v>45894</v>
      </c>
      <c r="B148" s="882" t="s">
        <v>2789</v>
      </c>
      <c r="C148" s="879" t="s">
        <v>12</v>
      </c>
      <c r="D148" s="879" t="s">
        <v>1485</v>
      </c>
      <c r="E148" s="871" t="s">
        <v>13</v>
      </c>
      <c r="F148" s="780">
        <v>10.84</v>
      </c>
      <c r="G148" s="982"/>
      <c r="H148" s="95"/>
      <c r="I148" s="1064"/>
      <c r="J148" s="613"/>
      <c r="K148" s="6"/>
      <c r="L148" s="622"/>
      <c r="M148" s="982"/>
      <c r="N148" s="622"/>
      <c r="O148" s="1063"/>
      <c r="P148" s="613"/>
      <c r="Q148" s="64"/>
      <c r="R148" s="1028"/>
      <c r="U148" s="958"/>
    </row>
    <row r="149" spans="1:42" s="224" customFormat="1" ht="15" customHeight="1" x14ac:dyDescent="0.25">
      <c r="A149" s="247">
        <v>45894</v>
      </c>
      <c r="B149" s="882" t="s">
        <v>14</v>
      </c>
      <c r="C149" s="879" t="s">
        <v>12</v>
      </c>
      <c r="D149" s="879" t="s">
        <v>1486</v>
      </c>
      <c r="E149" s="871" t="s">
        <v>13</v>
      </c>
      <c r="F149" s="780">
        <v>6.88</v>
      </c>
      <c r="G149" s="982"/>
      <c r="H149" s="95"/>
      <c r="I149" s="1064"/>
      <c r="J149" s="613"/>
      <c r="K149" s="6"/>
      <c r="L149" s="622"/>
      <c r="M149" s="982"/>
      <c r="N149" s="622"/>
      <c r="O149" s="1063"/>
      <c r="P149" s="622"/>
      <c r="Q149" s="982"/>
      <c r="R149" s="861"/>
    </row>
    <row r="150" spans="1:42" s="224" customFormat="1" ht="15" customHeight="1" x14ac:dyDescent="0.25">
      <c r="A150" s="247">
        <v>45895</v>
      </c>
      <c r="B150" s="882" t="s">
        <v>81</v>
      </c>
      <c r="C150" s="879" t="s">
        <v>12</v>
      </c>
      <c r="D150" s="879" t="s">
        <v>1493</v>
      </c>
      <c r="E150" s="871" t="s">
        <v>13</v>
      </c>
      <c r="F150" s="780">
        <v>4</v>
      </c>
      <c r="G150" s="982"/>
      <c r="H150" s="95"/>
      <c r="I150" s="1064"/>
      <c r="J150" s="613"/>
      <c r="K150" s="6"/>
      <c r="L150" s="622"/>
      <c r="M150" s="982"/>
      <c r="N150" s="622"/>
      <c r="O150" s="1063"/>
      <c r="P150" s="1116"/>
      <c r="Q150" s="1215"/>
      <c r="R150" s="1028"/>
      <c r="U150" s="958"/>
    </row>
    <row r="151" spans="1:42" s="224" customFormat="1" ht="15" customHeight="1" x14ac:dyDescent="0.25">
      <c r="A151" s="247">
        <v>45895</v>
      </c>
      <c r="B151" s="882" t="s">
        <v>14</v>
      </c>
      <c r="C151" s="879" t="s">
        <v>12</v>
      </c>
      <c r="D151" s="879" t="s">
        <v>1486</v>
      </c>
      <c r="E151" s="871" t="s">
        <v>13</v>
      </c>
      <c r="F151" s="780">
        <v>6.12</v>
      </c>
      <c r="G151" s="982"/>
      <c r="H151" s="95"/>
      <c r="I151" s="1064"/>
      <c r="J151" s="613"/>
      <c r="K151" s="6"/>
      <c r="L151" s="622"/>
      <c r="M151" s="982"/>
      <c r="N151" s="622"/>
      <c r="O151" s="1063"/>
      <c r="P151" s="622"/>
      <c r="Q151" s="982"/>
      <c r="R151" s="861"/>
    </row>
    <row r="152" spans="1:42" s="224" customFormat="1" ht="15" customHeight="1" x14ac:dyDescent="0.25">
      <c r="A152" s="247">
        <v>45895</v>
      </c>
      <c r="B152" s="882" t="s">
        <v>3130</v>
      </c>
      <c r="C152" s="879" t="s">
        <v>12</v>
      </c>
      <c r="D152" s="879" t="s">
        <v>1506</v>
      </c>
      <c r="E152" s="871" t="s">
        <v>13</v>
      </c>
      <c r="F152" s="780">
        <v>25</v>
      </c>
      <c r="G152" s="982"/>
      <c r="H152" s="95"/>
      <c r="I152" s="1064"/>
      <c r="J152" s="613"/>
      <c r="K152" s="6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45896</v>
      </c>
      <c r="B153" s="882" t="s">
        <v>6329</v>
      </c>
      <c r="C153" s="879" t="s">
        <v>12</v>
      </c>
      <c r="D153" s="879"/>
      <c r="E153" s="875" t="s">
        <v>25</v>
      </c>
      <c r="F153" s="780"/>
      <c r="G153" s="982">
        <v>125</v>
      </c>
      <c r="H153" s="1008"/>
      <c r="I153" s="1063"/>
      <c r="J153" s="613"/>
      <c r="K153" s="982"/>
      <c r="L153" s="622"/>
      <c r="M153" s="982"/>
      <c r="N153" s="622"/>
      <c r="O153" s="1063"/>
      <c r="P153" s="622"/>
      <c r="Q153" s="982"/>
      <c r="R153" s="861"/>
    </row>
    <row r="154" spans="1:42" s="224" customFormat="1" ht="15" customHeight="1" x14ac:dyDescent="0.25">
      <c r="A154" s="247">
        <v>45896</v>
      </c>
      <c r="B154" s="1275" t="s">
        <v>32</v>
      </c>
      <c r="C154" s="1276" t="s">
        <v>12</v>
      </c>
      <c r="D154" s="1276" t="s">
        <v>1485</v>
      </c>
      <c r="E154" s="875" t="s">
        <v>13</v>
      </c>
      <c r="F154" s="780">
        <v>23</v>
      </c>
      <c r="G154" s="982"/>
      <c r="H154" s="622"/>
      <c r="I154" s="982"/>
      <c r="J154" s="622"/>
      <c r="K154" s="982"/>
      <c r="L154" s="622"/>
      <c r="M154" s="982"/>
      <c r="N154" s="880"/>
      <c r="O154" s="1525"/>
      <c r="P154" s="613"/>
      <c r="Q154" s="162"/>
      <c r="R154" s="1956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</row>
    <row r="155" spans="1:42" s="224" customFormat="1" ht="15" customHeight="1" x14ac:dyDescent="0.25">
      <c r="A155" s="247">
        <v>45896</v>
      </c>
      <c r="B155" s="882" t="s">
        <v>14</v>
      </c>
      <c r="C155" s="879" t="s">
        <v>12</v>
      </c>
      <c r="D155" s="879" t="s">
        <v>1486</v>
      </c>
      <c r="E155" s="871" t="s">
        <v>13</v>
      </c>
      <c r="F155" s="780">
        <v>8.65</v>
      </c>
      <c r="G155" s="982"/>
      <c r="H155" s="95"/>
      <c r="I155" s="1064"/>
      <c r="J155" s="622"/>
      <c r="K155" s="982"/>
      <c r="L155" s="622"/>
      <c r="M155" s="982"/>
      <c r="N155" s="622"/>
      <c r="O155" s="1063"/>
      <c r="P155" s="880"/>
      <c r="Q155" s="1033"/>
      <c r="R155" s="1028"/>
      <c r="U155" s="958"/>
    </row>
    <row r="156" spans="1:42" s="224" customFormat="1" ht="15" customHeight="1" x14ac:dyDescent="0.25">
      <c r="A156" s="247">
        <v>45897</v>
      </c>
      <c r="B156" s="882" t="s">
        <v>8207</v>
      </c>
      <c r="C156" s="879" t="s">
        <v>12</v>
      </c>
      <c r="D156" s="879" t="s">
        <v>6731</v>
      </c>
      <c r="E156" s="875" t="s">
        <v>13</v>
      </c>
      <c r="F156" s="780">
        <v>37</v>
      </c>
      <c r="G156" s="982"/>
      <c r="H156" s="622"/>
      <c r="I156" s="982"/>
      <c r="J156" s="1116"/>
      <c r="K156" s="1207"/>
      <c r="L156" s="622"/>
      <c r="M156" s="982"/>
      <c r="N156" s="622"/>
      <c r="O156" s="1063"/>
      <c r="P156" s="880"/>
      <c r="Q156" s="1033"/>
      <c r="R156" s="927"/>
      <c r="T156" s="878"/>
    </row>
    <row r="157" spans="1:42" s="224" customFormat="1" ht="15" customHeight="1" x14ac:dyDescent="0.25">
      <c r="A157" s="247">
        <v>45897</v>
      </c>
      <c r="B157" s="882" t="s">
        <v>81</v>
      </c>
      <c r="C157" s="879" t="s">
        <v>12</v>
      </c>
      <c r="D157" s="879" t="s">
        <v>1493</v>
      </c>
      <c r="E157" s="875" t="s">
        <v>15</v>
      </c>
      <c r="F157" s="780">
        <v>5</v>
      </c>
      <c r="G157" s="982"/>
      <c r="H157" s="622"/>
      <c r="I157" s="982"/>
      <c r="J157" s="872"/>
      <c r="K157" s="1207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42" s="224" customFormat="1" ht="15" customHeight="1" x14ac:dyDescent="0.25">
      <c r="A158" s="247">
        <v>45897</v>
      </c>
      <c r="B158" s="882" t="s">
        <v>14</v>
      </c>
      <c r="C158" s="879" t="s">
        <v>12</v>
      </c>
      <c r="D158" s="879" t="s">
        <v>1486</v>
      </c>
      <c r="E158" s="871" t="s">
        <v>13</v>
      </c>
      <c r="F158" s="780">
        <v>9.57</v>
      </c>
      <c r="G158" s="982"/>
      <c r="H158" s="95"/>
      <c r="I158" s="1064"/>
      <c r="J158" s="622"/>
      <c r="K158" s="982"/>
      <c r="L158" s="622"/>
      <c r="M158" s="982"/>
      <c r="N158" s="622"/>
      <c r="O158" s="1063"/>
      <c r="P158" s="880"/>
      <c r="Q158" s="1033"/>
      <c r="R158" s="1028"/>
      <c r="U158" s="958"/>
    </row>
    <row r="159" spans="1:42" s="224" customFormat="1" ht="15" customHeight="1" x14ac:dyDescent="0.25">
      <c r="A159" s="247">
        <v>45897</v>
      </c>
      <c r="B159" s="882" t="s">
        <v>2251</v>
      </c>
      <c r="C159" s="879" t="s">
        <v>12</v>
      </c>
      <c r="D159" s="879" t="s">
        <v>2157</v>
      </c>
      <c r="E159" s="875" t="s">
        <v>13</v>
      </c>
      <c r="F159" s="780">
        <v>30</v>
      </c>
      <c r="G159" s="982"/>
      <c r="H159" s="622"/>
      <c r="I159" s="982"/>
      <c r="J159" s="622"/>
      <c r="K159" s="982"/>
      <c r="L159" s="622"/>
      <c r="M159" s="982"/>
      <c r="N159" s="880"/>
      <c r="O159" s="1525"/>
      <c r="P159" s="613"/>
      <c r="Q159" s="162"/>
      <c r="R159" s="1956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45898</v>
      </c>
      <c r="B160" s="1275" t="s">
        <v>32</v>
      </c>
      <c r="C160" s="1276" t="s">
        <v>12</v>
      </c>
      <c r="D160" s="1276" t="s">
        <v>1485</v>
      </c>
      <c r="E160" s="875" t="s">
        <v>13</v>
      </c>
      <c r="F160" s="780">
        <v>23</v>
      </c>
      <c r="G160" s="982"/>
      <c r="H160" s="622"/>
      <c r="I160" s="982"/>
      <c r="J160" s="622"/>
      <c r="K160" s="982"/>
      <c r="L160" s="622"/>
      <c r="M160" s="982"/>
      <c r="N160" s="880"/>
      <c r="O160" s="1525"/>
      <c r="P160" s="613"/>
      <c r="Q160" s="162"/>
      <c r="R160" s="1956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</row>
    <row r="161" spans="1:42" s="224" customFormat="1" ht="15" customHeight="1" x14ac:dyDescent="0.25">
      <c r="A161" s="247">
        <v>45898</v>
      </c>
      <c r="B161" s="882" t="s">
        <v>2251</v>
      </c>
      <c r="C161" s="879" t="s">
        <v>12</v>
      </c>
      <c r="D161" s="879" t="s">
        <v>2157</v>
      </c>
      <c r="E161" s="875" t="s">
        <v>15</v>
      </c>
      <c r="F161" s="780">
        <v>20</v>
      </c>
      <c r="G161" s="982"/>
      <c r="H161" s="622"/>
      <c r="I161" s="982"/>
      <c r="J161" s="622"/>
      <c r="K161" s="982"/>
      <c r="L161" s="622"/>
      <c r="M161" s="982"/>
      <c r="N161" s="880"/>
      <c r="O161" s="1525"/>
      <c r="P161" s="613"/>
      <c r="Q161" s="162"/>
      <c r="R161" s="1956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</row>
    <row r="162" spans="1:42" s="224" customFormat="1" ht="15" customHeight="1" x14ac:dyDescent="0.25">
      <c r="A162" s="247">
        <v>45898</v>
      </c>
      <c r="B162" s="882" t="s">
        <v>14</v>
      </c>
      <c r="C162" s="879" t="s">
        <v>12</v>
      </c>
      <c r="D162" s="879" t="s">
        <v>1486</v>
      </c>
      <c r="E162" s="871" t="s">
        <v>13</v>
      </c>
      <c r="F162" s="780">
        <v>10.77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1956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45899</v>
      </c>
      <c r="B163" s="882" t="s">
        <v>14</v>
      </c>
      <c r="C163" s="879" t="s">
        <v>12</v>
      </c>
      <c r="D163" s="879" t="s">
        <v>1486</v>
      </c>
      <c r="E163" s="871" t="s">
        <v>13</v>
      </c>
      <c r="F163" s="780">
        <v>8.06</v>
      </c>
      <c r="G163" s="982"/>
      <c r="H163" s="622"/>
      <c r="I163" s="982"/>
      <c r="J163" s="622"/>
      <c r="K163" s="982"/>
      <c r="L163" s="622"/>
      <c r="M163" s="982"/>
      <c r="N163" s="880"/>
      <c r="O163" s="1525"/>
      <c r="P163" s="613"/>
      <c r="Q163" s="162"/>
      <c r="R163" s="1956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</row>
    <row r="164" spans="1:42" s="224" customFormat="1" ht="15" customHeight="1" x14ac:dyDescent="0.25">
      <c r="A164" s="247">
        <v>45899</v>
      </c>
      <c r="B164" s="364" t="s">
        <v>8230</v>
      </c>
      <c r="C164" s="350" t="s">
        <v>12</v>
      </c>
      <c r="D164" s="350" t="s">
        <v>1485</v>
      </c>
      <c r="E164" s="875" t="s">
        <v>13</v>
      </c>
      <c r="F164" s="780">
        <v>20</v>
      </c>
      <c r="G164" s="982"/>
      <c r="H164" s="1008"/>
      <c r="I164" s="1063"/>
      <c r="J164" s="1116"/>
      <c r="K164" s="1207"/>
      <c r="L164" s="622"/>
      <c r="M164" s="982"/>
      <c r="N164" s="622"/>
      <c r="O164" s="1063"/>
      <c r="P164" s="622"/>
      <c r="Q164" s="982"/>
      <c r="R164" s="861"/>
      <c r="T164" s="1035"/>
    </row>
    <row r="165" spans="1:42" s="224" customFormat="1" ht="15" customHeight="1" x14ac:dyDescent="0.25">
      <c r="A165" s="247">
        <v>45899</v>
      </c>
      <c r="B165" s="364" t="s">
        <v>2629</v>
      </c>
      <c r="C165" s="350" t="s">
        <v>12</v>
      </c>
      <c r="D165" s="350" t="s">
        <v>1489</v>
      </c>
      <c r="E165" s="875" t="s">
        <v>5470</v>
      </c>
      <c r="F165" s="780">
        <v>53</v>
      </c>
      <c r="G165" s="982"/>
      <c r="H165" s="1008"/>
      <c r="I165" s="1063"/>
      <c r="J165" s="1116"/>
      <c r="K165" s="1207"/>
      <c r="L165" s="622"/>
      <c r="M165" s="982"/>
      <c r="N165" s="622"/>
      <c r="O165" s="1063"/>
      <c r="P165" s="622"/>
      <c r="Q165" s="982"/>
      <c r="R165" s="861"/>
      <c r="T165" s="1035"/>
    </row>
    <row r="166" spans="1:42" s="224" customFormat="1" ht="15" customHeight="1" x14ac:dyDescent="0.25">
      <c r="A166" s="247">
        <v>45899</v>
      </c>
      <c r="B166" s="364" t="s">
        <v>2629</v>
      </c>
      <c r="C166" s="350" t="s">
        <v>12</v>
      </c>
      <c r="D166" s="350" t="s">
        <v>1489</v>
      </c>
      <c r="E166" s="875" t="s">
        <v>13</v>
      </c>
      <c r="F166" s="780">
        <v>13.25</v>
      </c>
      <c r="G166" s="982"/>
      <c r="H166" s="1008"/>
      <c r="I166" s="1063"/>
      <c r="J166" s="1116"/>
      <c r="K166" s="1207"/>
      <c r="L166" s="622"/>
      <c r="M166" s="982"/>
      <c r="N166" s="622"/>
      <c r="O166" s="1063"/>
      <c r="P166" s="622"/>
      <c r="Q166" s="982"/>
      <c r="R166" s="861"/>
      <c r="T166" s="1035"/>
    </row>
    <row r="167" spans="1:42" s="224" customFormat="1" ht="15" customHeight="1" x14ac:dyDescent="0.25">
      <c r="A167" s="247">
        <v>45899</v>
      </c>
      <c r="B167" s="364" t="s">
        <v>1372</v>
      </c>
      <c r="C167" s="350" t="s">
        <v>12</v>
      </c>
      <c r="D167" s="350" t="s">
        <v>1491</v>
      </c>
      <c r="E167" s="875" t="s">
        <v>13</v>
      </c>
      <c r="F167" s="780">
        <v>3.5</v>
      </c>
      <c r="G167" s="982"/>
      <c r="H167" s="1008"/>
      <c r="I167" s="1063"/>
      <c r="J167" s="1116"/>
      <c r="K167" s="1207"/>
      <c r="L167" s="622"/>
      <c r="M167" s="982"/>
      <c r="N167" s="622"/>
      <c r="O167" s="1063"/>
      <c r="P167" s="622"/>
      <c r="Q167" s="982"/>
      <c r="R167" s="861"/>
      <c r="T167" s="1035"/>
    </row>
    <row r="168" spans="1:42" s="224" customFormat="1" ht="15" customHeight="1" x14ac:dyDescent="0.25">
      <c r="A168" s="247">
        <v>45900</v>
      </c>
      <c r="B168" s="882" t="s">
        <v>14</v>
      </c>
      <c r="C168" s="879" t="s">
        <v>12</v>
      </c>
      <c r="D168" s="879" t="s">
        <v>1486</v>
      </c>
      <c r="E168" s="871" t="s">
        <v>13</v>
      </c>
      <c r="F168" s="780">
        <v>7.95</v>
      </c>
      <c r="G168" s="982"/>
      <c r="H168" s="622"/>
      <c r="I168" s="982"/>
      <c r="J168" s="622"/>
      <c r="K168" s="982"/>
      <c r="L168" s="622"/>
      <c r="M168" s="982"/>
      <c r="N168" s="622"/>
      <c r="O168" s="1063"/>
      <c r="P168" s="622"/>
      <c r="Q168" s="982"/>
      <c r="R168" s="1028"/>
      <c r="S168" s="959"/>
      <c r="T168" s="878"/>
      <c r="U168" s="958"/>
    </row>
    <row r="169" spans="1:42" s="224" customFormat="1" ht="15" customHeight="1" thickBot="1" x14ac:dyDescent="0.3">
      <c r="A169" s="247">
        <v>45900</v>
      </c>
      <c r="B169" s="349" t="s">
        <v>6168</v>
      </c>
      <c r="C169" s="350" t="s">
        <v>12</v>
      </c>
      <c r="D169" s="350"/>
      <c r="E169" s="480" t="s">
        <v>25</v>
      </c>
      <c r="F169" s="2551"/>
      <c r="G169" s="1522"/>
      <c r="H169" s="95"/>
      <c r="I169" s="2096"/>
      <c r="J169" s="622"/>
      <c r="K169" s="2096">
        <v>9.11</v>
      </c>
      <c r="L169" s="622"/>
      <c r="M169" s="2556"/>
      <c r="N169" s="622"/>
      <c r="O169" s="2096">
        <v>48.14</v>
      </c>
      <c r="P169" s="622"/>
      <c r="Q169" s="982"/>
      <c r="R169" s="2585">
        <f>I169+K169+M169+O169</f>
        <v>57.25</v>
      </c>
      <c r="T169" s="927"/>
      <c r="U169" s="999"/>
    </row>
    <row r="170" spans="1:42" ht="25.5" customHeight="1" thickBot="1" x14ac:dyDescent="0.3">
      <c r="A170" s="3060"/>
      <c r="B170" s="3061"/>
      <c r="C170" s="3062"/>
      <c r="D170" s="3062"/>
      <c r="E170" s="3062"/>
      <c r="F170" s="1023">
        <f>SUM(F6:F169)</f>
        <v>8661.5047380952401</v>
      </c>
      <c r="G170" s="1065">
        <f>SUM(G5:G169)</f>
        <v>9352.6130357143356</v>
      </c>
      <c r="H170" s="517">
        <f>SUM(H6:H169)</f>
        <v>0</v>
      </c>
      <c r="I170" s="93">
        <f>SUM(I5:I169)</f>
        <v>0</v>
      </c>
      <c r="J170" s="517">
        <f>SUM(J6:J169)</f>
        <v>2302.75</v>
      </c>
      <c r="K170" s="93">
        <f>SUM(K5:K169)</f>
        <v>2598.7500000000032</v>
      </c>
      <c r="L170" s="1023">
        <f>SUM(L6:L169)</f>
        <v>0</v>
      </c>
      <c r="M170" s="93">
        <f>SUM(M5:M169)</f>
        <v>0</v>
      </c>
      <c r="N170" s="1023">
        <f>SUM(N6:N169)</f>
        <v>0</v>
      </c>
      <c r="O170" s="93">
        <f>SUM(O5:O169)</f>
        <v>5068.630000000001</v>
      </c>
      <c r="P170" s="1023">
        <f>SUM(P6:P169)</f>
        <v>0</v>
      </c>
      <c r="Q170" s="93">
        <f>SUM(Q5:Q169)</f>
        <v>36684.475984720004</v>
      </c>
      <c r="S170" s="216"/>
    </row>
    <row r="171" spans="1:42" ht="25.5" customHeight="1" thickBot="1" x14ac:dyDescent="0.3">
      <c r="A171" s="3063" t="s">
        <v>49</v>
      </c>
      <c r="B171" s="3064"/>
      <c r="C171" s="3064"/>
      <c r="D171" s="3064"/>
      <c r="E171" s="3064"/>
      <c r="F171" s="2046" t="s">
        <v>280</v>
      </c>
      <c r="G171" s="1066">
        <f>G170-F170</f>
        <v>691.10829761909554</v>
      </c>
      <c r="H171" s="1221"/>
      <c r="I171" s="772">
        <f>I170-H170</f>
        <v>0</v>
      </c>
      <c r="J171" s="1221"/>
      <c r="K171" s="772">
        <f>K170-J170</f>
        <v>296.00000000000318</v>
      </c>
      <c r="L171" s="1222"/>
      <c r="M171" s="772">
        <f>M170-L170</f>
        <v>0</v>
      </c>
      <c r="N171" s="1222"/>
      <c r="O171" s="772">
        <f>O170-N170</f>
        <v>5068.630000000001</v>
      </c>
      <c r="P171" s="1222"/>
      <c r="Q171" s="772">
        <f>Q170-P170</f>
        <v>36684.475984720004</v>
      </c>
      <c r="R171" s="484">
        <f>M171+O171+Q171</f>
        <v>41753.105984720009</v>
      </c>
    </row>
    <row r="172" spans="1:42" x14ac:dyDescent="0.25">
      <c r="J172" s="1210"/>
      <c r="K172" s="1038"/>
      <c r="M172" s="1238">
        <f>M171/R171</f>
        <v>0</v>
      </c>
      <c r="O172" s="1238">
        <f>O171/R171</f>
        <v>0.12139528019436255</v>
      </c>
      <c r="P172" s="1239"/>
      <c r="Q172" s="1239">
        <f>Q171/R171</f>
        <v>0.87860471980563737</v>
      </c>
      <c r="R172" s="867"/>
      <c r="S172" s="867"/>
      <c r="T172" s="79"/>
      <c r="W172" s="518"/>
      <c r="X172" s="216"/>
      <c r="Z172" s="877"/>
    </row>
    <row r="173" spans="1:42" x14ac:dyDescent="0.25">
      <c r="B173" s="81" t="s">
        <v>3</v>
      </c>
      <c r="C173" s="193" t="s">
        <v>1484</v>
      </c>
      <c r="D173" s="970" t="s">
        <v>2378</v>
      </c>
      <c r="E173" s="193" t="s">
        <v>3216</v>
      </c>
      <c r="F173" s="1061" t="s">
        <v>3217</v>
      </c>
      <c r="G173" s="216"/>
      <c r="I173" s="216"/>
      <c r="J173" s="1038"/>
      <c r="K173" s="216"/>
      <c r="M173" s="866"/>
      <c r="O173" s="866"/>
      <c r="P173" s="1038"/>
      <c r="Q173" s="1038"/>
      <c r="R173" s="865"/>
      <c r="S173" s="867"/>
    </row>
    <row r="174" spans="1:42" x14ac:dyDescent="0.25">
      <c r="B174" s="79" t="s">
        <v>32</v>
      </c>
      <c r="C174" s="85" t="s">
        <v>1485</v>
      </c>
      <c r="D174" s="475">
        <f t="shared" ref="D174:D190" ca="1" si="0">SUMIF($D$7:$D$169,C174,$F$7:$F$165)</f>
        <v>415.84</v>
      </c>
      <c r="E174" s="1202">
        <f t="shared" ref="E174:E190" ca="1" si="1">D174/$K$194</f>
        <v>13.414193548387097</v>
      </c>
      <c r="F174" s="1203">
        <f t="shared" ref="F174:F190" ca="1" si="2">E174/$E$195</f>
        <v>7.56937470989585E-2</v>
      </c>
      <c r="G174" s="800"/>
      <c r="H174" s="518"/>
      <c r="I174" s="1982"/>
      <c r="J174" s="958"/>
      <c r="K174" s="2807"/>
      <c r="L174" s="518"/>
      <c r="M174" s="2808"/>
      <c r="N174" s="518"/>
      <c r="O174" s="2808"/>
      <c r="P174" s="2808"/>
      <c r="Q174" s="958">
        <v>24197.98</v>
      </c>
      <c r="R174" s="958" t="s">
        <v>6378</v>
      </c>
      <c r="S174" s="958"/>
      <c r="T174" s="986"/>
      <c r="U174" s="1850"/>
      <c r="V174" s="877"/>
    </row>
    <row r="175" spans="1:42" x14ac:dyDescent="0.25">
      <c r="B175" s="79" t="s">
        <v>2187</v>
      </c>
      <c r="C175" s="85" t="s">
        <v>2157</v>
      </c>
      <c r="D175" s="475">
        <f t="shared" ca="1" si="0"/>
        <v>50</v>
      </c>
      <c r="E175" s="1202">
        <f ca="1">D175/$K$194</f>
        <v>1.6129032258064515</v>
      </c>
      <c r="F175" s="1203">
        <f t="shared" ca="1" si="2"/>
        <v>9.1013066442572257E-3</v>
      </c>
      <c r="G175" s="609"/>
      <c r="H175" s="518"/>
      <c r="I175" s="518"/>
      <c r="J175" s="459"/>
      <c r="K175" s="1223"/>
      <c r="L175" s="518"/>
      <c r="M175" s="958"/>
      <c r="N175" s="518"/>
      <c r="O175" s="958"/>
      <c r="P175" s="958"/>
      <c r="Q175" s="958">
        <f>Q171+Q174</f>
        <v>60882.45598472</v>
      </c>
      <c r="R175" s="958" t="s">
        <v>6379</v>
      </c>
      <c r="S175" s="518"/>
      <c r="T175" s="986"/>
      <c r="U175" s="986"/>
      <c r="V175" s="877"/>
    </row>
    <row r="176" spans="1:42" s="85" customFormat="1" x14ac:dyDescent="0.25">
      <c r="A176" s="79"/>
      <c r="B176" s="79" t="s">
        <v>50</v>
      </c>
      <c r="C176" s="85" t="s">
        <v>1493</v>
      </c>
      <c r="D176" s="475">
        <f t="shared" ca="1" si="0"/>
        <v>489.71999999999997</v>
      </c>
      <c r="E176" s="1202">
        <f t="shared" ca="1" si="1"/>
        <v>15.797419354838709</v>
      </c>
      <c r="F176" s="1203">
        <f t="shared" ca="1" si="2"/>
        <v>8.9141837796512982E-2</v>
      </c>
      <c r="J176" s="1210"/>
      <c r="K176" s="1038"/>
      <c r="M176" s="941"/>
      <c r="N176" s="877"/>
      <c r="O176" s="863"/>
      <c r="Q176" s="79"/>
      <c r="R176" s="177"/>
      <c r="U176" s="877"/>
      <c r="V176" s="877"/>
    </row>
    <row r="177" spans="1:22" s="85" customFormat="1" x14ac:dyDescent="0.25">
      <c r="A177" s="79"/>
      <c r="B177" s="79" t="s">
        <v>14</v>
      </c>
      <c r="C177" s="85" t="s">
        <v>1486</v>
      </c>
      <c r="D177" s="475">
        <f t="shared" ca="1" si="0"/>
        <v>199.02199999999999</v>
      </c>
      <c r="E177" s="1202">
        <f t="shared" ca="1" si="1"/>
        <v>6.420064516129032</v>
      </c>
      <c r="F177" s="1203">
        <f t="shared" ca="1" si="2"/>
        <v>3.6227205019067232E-2</v>
      </c>
      <c r="G177" s="79"/>
      <c r="H177" s="79"/>
      <c r="J177" s="1210"/>
      <c r="K177" s="1038"/>
      <c r="M177" s="1028"/>
      <c r="N177" s="877"/>
      <c r="O177" s="1038"/>
      <c r="R177" s="177"/>
      <c r="U177" s="877"/>
      <c r="V177" s="877"/>
    </row>
    <row r="178" spans="1:22" s="85" customFormat="1" x14ac:dyDescent="0.25">
      <c r="B178" s="79" t="s">
        <v>51</v>
      </c>
      <c r="C178" s="864" t="s">
        <v>1499</v>
      </c>
      <c r="D178" s="475">
        <f t="shared" ca="1" si="0"/>
        <v>133.29</v>
      </c>
      <c r="E178" s="1202">
        <f t="shared" ca="1" si="1"/>
        <v>4.2996774193548388</v>
      </c>
      <c r="F178" s="1203">
        <f t="shared" ca="1" si="2"/>
        <v>2.4262263252260916E-2</v>
      </c>
      <c r="G178" s="79"/>
      <c r="H178" s="79"/>
      <c r="I178" s="79"/>
      <c r="J178" s="1210"/>
      <c r="K178" s="1038"/>
      <c r="M178" s="1028"/>
      <c r="N178" s="877"/>
      <c r="O178" s="1038"/>
      <c r="P178" s="1210"/>
      <c r="Q178" s="1038"/>
      <c r="R178" s="177"/>
      <c r="U178" s="877"/>
      <c r="V178" s="877"/>
    </row>
    <row r="179" spans="1:22" s="85" customFormat="1" x14ac:dyDescent="0.25">
      <c r="A179" s="79"/>
      <c r="B179" s="79" t="s">
        <v>2189</v>
      </c>
      <c r="C179" s="864" t="s">
        <v>1496</v>
      </c>
      <c r="D179" s="475">
        <f t="shared" ca="1" si="0"/>
        <v>100</v>
      </c>
      <c r="E179" s="1202">
        <f t="shared" ca="1" si="1"/>
        <v>3.225806451612903</v>
      </c>
      <c r="F179" s="1203">
        <f t="shared" ca="1" si="2"/>
        <v>1.8202613288514451E-2</v>
      </c>
      <c r="G179" s="79"/>
      <c r="J179" s="1210"/>
      <c r="K179" s="1038"/>
      <c r="M179" s="877"/>
      <c r="O179" s="177"/>
      <c r="R179" s="177"/>
      <c r="U179" s="877"/>
      <c r="V179" s="877"/>
    </row>
    <row r="180" spans="1:22" s="85" customFormat="1" x14ac:dyDescent="0.25">
      <c r="A180" s="79"/>
      <c r="B180" s="867" t="s">
        <v>53</v>
      </c>
      <c r="C180" s="864" t="s">
        <v>1522</v>
      </c>
      <c r="D180" s="475">
        <f t="shared" ca="1" si="0"/>
        <v>266.66666666666669</v>
      </c>
      <c r="E180" s="1202">
        <f t="shared" ca="1" si="1"/>
        <v>8.6021505376344098</v>
      </c>
      <c r="F180" s="1203">
        <f t="shared" ca="1" si="2"/>
        <v>4.854030210270522E-2</v>
      </c>
      <c r="J180" s="1210"/>
      <c r="K180" s="1038"/>
      <c r="M180" s="1959"/>
      <c r="O180" s="177"/>
      <c r="P180" s="868"/>
      <c r="Q180" s="769"/>
      <c r="R180" s="79"/>
      <c r="U180" s="877"/>
      <c r="V180" s="877"/>
    </row>
    <row r="181" spans="1:22" s="85" customFormat="1" x14ac:dyDescent="0.25">
      <c r="A181" s="79"/>
      <c r="B181" s="79" t="s">
        <v>3048</v>
      </c>
      <c r="C181" s="864" t="s">
        <v>1523</v>
      </c>
      <c r="D181" s="475">
        <f t="shared" ca="1" si="0"/>
        <v>76.739999999999995</v>
      </c>
      <c r="E181" s="1202">
        <f t="shared" ca="1" si="1"/>
        <v>2.4754838709677416</v>
      </c>
      <c r="F181" s="1203">
        <f t="shared" ca="1" si="2"/>
        <v>1.3968685437605989E-2</v>
      </c>
      <c r="G181" s="866"/>
      <c r="J181" s="1210"/>
      <c r="K181" s="1038"/>
      <c r="M181" s="877"/>
      <c r="O181" s="177"/>
      <c r="P181" s="866"/>
      <c r="Q181" s="1210"/>
      <c r="R181" s="877"/>
      <c r="U181" s="877"/>
      <c r="V181" s="877"/>
    </row>
    <row r="182" spans="1:22" s="85" customFormat="1" x14ac:dyDescent="0.25">
      <c r="A182" s="79"/>
      <c r="B182" s="79" t="s">
        <v>1686</v>
      </c>
      <c r="C182" s="864" t="s">
        <v>1506</v>
      </c>
      <c r="D182" s="475">
        <f t="shared" ca="1" si="0"/>
        <v>179.32666666666665</v>
      </c>
      <c r="E182" s="1202">
        <f t="shared" ca="1" si="1"/>
        <v>5.7847311827956984</v>
      </c>
      <c r="F182" s="1203">
        <f t="shared" ca="1" si="2"/>
        <v>3.2642139656516682E-2</v>
      </c>
      <c r="G182" s="868"/>
      <c r="J182" s="1210"/>
      <c r="K182" s="1038"/>
      <c r="M182" s="877"/>
      <c r="O182" s="177"/>
      <c r="P182" s="1226"/>
      <c r="Q182" s="1129"/>
      <c r="R182" s="877"/>
      <c r="U182" s="877"/>
      <c r="V182" s="877"/>
    </row>
    <row r="183" spans="1:22" x14ac:dyDescent="0.25">
      <c r="B183" s="79" t="s">
        <v>418</v>
      </c>
      <c r="C183" s="85" t="s">
        <v>1524</v>
      </c>
      <c r="D183" s="475">
        <f t="shared" ca="1" si="0"/>
        <v>2302.7462380952379</v>
      </c>
      <c r="E183" s="1202">
        <f t="shared" ca="1" si="1"/>
        <v>74.282136712749605</v>
      </c>
      <c r="F183" s="1203">
        <f t="shared" ca="1" si="2"/>
        <v>0.41915999273629045</v>
      </c>
      <c r="G183" s="85"/>
      <c r="H183" s="85"/>
      <c r="I183" s="85"/>
      <c r="J183" s="1210"/>
      <c r="K183" s="1038"/>
      <c r="L183" s="769"/>
      <c r="M183" s="877"/>
      <c r="N183" s="769"/>
      <c r="O183" s="216"/>
      <c r="P183" s="1038"/>
      <c r="Q183" s="1226"/>
      <c r="R183" s="877"/>
      <c r="U183" s="877"/>
      <c r="V183" s="877"/>
    </row>
    <row r="184" spans="1:22" x14ac:dyDescent="0.25">
      <c r="B184" s="79" t="s">
        <v>6732</v>
      </c>
      <c r="C184" s="85" t="s">
        <v>1491</v>
      </c>
      <c r="D184" s="475">
        <f t="shared" ca="1" si="0"/>
        <v>937.48</v>
      </c>
      <c r="E184" s="1202">
        <f t="shared" ca="1" si="1"/>
        <v>30.241290322580646</v>
      </c>
      <c r="F184" s="1203">
        <f t="shared" ca="1" si="2"/>
        <v>0.17064585905716531</v>
      </c>
      <c r="I184" s="85"/>
      <c r="J184" s="1210"/>
      <c r="K184" s="1038"/>
      <c r="N184" s="216"/>
      <c r="O184" s="216"/>
      <c r="Q184" s="484"/>
      <c r="R184" s="877"/>
      <c r="U184" s="877"/>
      <c r="V184" s="877"/>
    </row>
    <row r="185" spans="1:22" x14ac:dyDescent="0.25">
      <c r="B185" s="79" t="s">
        <v>6733</v>
      </c>
      <c r="C185" s="85" t="s">
        <v>6731</v>
      </c>
      <c r="D185" s="475">
        <f t="shared" ca="1" si="0"/>
        <v>356.755</v>
      </c>
      <c r="E185" s="1202">
        <f t="shared" ca="1" si="1"/>
        <v>11.508225806451613</v>
      </c>
      <c r="F185" s="1203">
        <f t="shared" ca="1" si="2"/>
        <v>6.4938733037439744E-2</v>
      </c>
      <c r="I185" s="85"/>
      <c r="J185" s="1210"/>
      <c r="K185" s="1038"/>
      <c r="N185" s="216"/>
      <c r="O185" s="216"/>
      <c r="Q185" s="484"/>
      <c r="R185" s="877"/>
      <c r="U185" s="877"/>
      <c r="V185" s="877"/>
    </row>
    <row r="186" spans="1:22" x14ac:dyDescent="0.25">
      <c r="B186" s="79" t="s">
        <v>5439</v>
      </c>
      <c r="C186" s="85" t="s">
        <v>1525</v>
      </c>
      <c r="D186" s="475">
        <f t="shared" ca="1" si="0"/>
        <v>401.02483333333333</v>
      </c>
      <c r="E186" s="1202">
        <f t="shared" ca="1" si="1"/>
        <v>12.93628494623656</v>
      </c>
      <c r="F186" s="1203">
        <f t="shared" ca="1" si="2"/>
        <v>7.2996999602576274E-2</v>
      </c>
      <c r="J186" s="1210"/>
      <c r="K186" s="1038"/>
      <c r="O186" s="216"/>
      <c r="Q186" s="484"/>
      <c r="R186" s="1673"/>
      <c r="U186" s="877"/>
      <c r="V186" s="877"/>
    </row>
    <row r="187" spans="1:22" x14ac:dyDescent="0.25">
      <c r="B187" s="79" t="s">
        <v>1526</v>
      </c>
      <c r="C187" s="85" t="s">
        <v>1504</v>
      </c>
      <c r="D187" s="475">
        <f t="shared" ca="1" si="0"/>
        <v>301.39</v>
      </c>
      <c r="E187" s="1202">
        <f t="shared" ca="1" si="1"/>
        <v>9.7222580645161294</v>
      </c>
      <c r="F187" s="1203">
        <f t="shared" ca="1" si="2"/>
        <v>5.4860856190253715E-2</v>
      </c>
      <c r="J187" s="1210"/>
      <c r="K187" s="1038"/>
      <c r="L187" s="769"/>
      <c r="N187" s="769"/>
      <c r="O187" s="886"/>
      <c r="P187" s="1210"/>
      <c r="Q187" s="1038"/>
      <c r="R187" s="1129"/>
      <c r="T187" s="1129"/>
      <c r="U187" s="877"/>
      <c r="V187" s="877"/>
    </row>
    <row r="188" spans="1:22" x14ac:dyDescent="0.25">
      <c r="B188" s="79" t="s">
        <v>2343</v>
      </c>
      <c r="C188" s="85" t="s">
        <v>2315</v>
      </c>
      <c r="D188" s="475">
        <f t="shared" ca="1" si="0"/>
        <v>0</v>
      </c>
      <c r="E188" s="1202">
        <f t="shared" ca="1" si="1"/>
        <v>0</v>
      </c>
      <c r="F188" s="1203">
        <f t="shared" ca="1" si="2"/>
        <v>0</v>
      </c>
      <c r="J188" s="1210"/>
      <c r="K188" s="1038"/>
      <c r="L188" s="769"/>
      <c r="M188" s="1210"/>
      <c r="N188" s="769"/>
      <c r="O188" s="1673"/>
      <c r="P188" s="1210"/>
      <c r="Q188" s="1038"/>
      <c r="R188" s="1129"/>
      <c r="T188" s="1129"/>
      <c r="U188" s="877"/>
      <c r="V188" s="877"/>
    </row>
    <row r="189" spans="1:22" x14ac:dyDescent="0.25">
      <c r="B189" s="79" t="s">
        <v>3019</v>
      </c>
      <c r="C189" s="85" t="s">
        <v>3017</v>
      </c>
      <c r="D189" s="475">
        <f t="shared" ca="1" si="0"/>
        <v>0</v>
      </c>
      <c r="E189" s="1202">
        <f t="shared" ca="1" si="1"/>
        <v>0</v>
      </c>
      <c r="F189" s="1203">
        <f t="shared" ca="1" si="2"/>
        <v>0</v>
      </c>
      <c r="J189" s="1210"/>
      <c r="K189" s="1038"/>
      <c r="L189" s="769"/>
      <c r="N189" s="769"/>
      <c r="P189" s="941"/>
      <c r="Q189" s="224"/>
      <c r="R189" s="1226"/>
      <c r="S189" s="1129"/>
      <c r="T189" s="1129"/>
      <c r="U189" s="877"/>
      <c r="V189" s="877"/>
    </row>
    <row r="190" spans="1:22" ht="15.75" thickBot="1" x14ac:dyDescent="0.3">
      <c r="B190" s="301" t="s">
        <v>1527</v>
      </c>
      <c r="C190" s="2400" t="s">
        <v>1489</v>
      </c>
      <c r="D190" s="2401">
        <f t="shared" ca="1" si="0"/>
        <v>556.94333333333338</v>
      </c>
      <c r="E190" s="2402">
        <f t="shared" ca="1" si="1"/>
        <v>17.965913978494626</v>
      </c>
      <c r="F190" s="2403">
        <f t="shared" ca="1" si="2"/>
        <v>0.10137824120282871</v>
      </c>
      <c r="J190" s="1210"/>
      <c r="K190" s="1038"/>
      <c r="P190" s="1210"/>
      <c r="Q190" s="1038"/>
      <c r="R190" s="1226"/>
      <c r="S190" s="1129"/>
      <c r="T190" s="1129"/>
      <c r="U190" s="877"/>
      <c r="V190" s="877"/>
    </row>
    <row r="191" spans="1:22" x14ac:dyDescent="0.25">
      <c r="B191" s="1124" t="s">
        <v>6790</v>
      </c>
      <c r="C191" s="1124"/>
      <c r="D191" s="1125">
        <f>SUMIF($B$7:$B$169,"Crédito Gasolina",$G$7:$G$169)</f>
        <v>494.56000000000006</v>
      </c>
      <c r="E191" s="1138">
        <f>D191/K194</f>
        <v>15.953548387096776</v>
      </c>
      <c r="F191" s="1124"/>
      <c r="G191" s="1129"/>
      <c r="J191" s="2037"/>
      <c r="K191" s="629"/>
      <c r="P191" s="1210"/>
      <c r="Q191" s="1038"/>
      <c r="R191" s="1227"/>
      <c r="S191" s="1129"/>
      <c r="T191" s="1129"/>
      <c r="U191" s="877"/>
      <c r="V191" s="877"/>
    </row>
    <row r="192" spans="1:22" x14ac:dyDescent="0.25">
      <c r="B192" s="1124" t="s">
        <v>6329</v>
      </c>
      <c r="C192" s="1124"/>
      <c r="D192" s="1125">
        <f>SUMIF($B$7:$B$169,"Trabalho Art frutt",$G$7:$G$169)</f>
        <v>500</v>
      </c>
      <c r="E192" s="1138">
        <f>D192/K194</f>
        <v>16.129032258064516</v>
      </c>
      <c r="F192" s="1124"/>
      <c r="J192" s="2037"/>
      <c r="K192" s="629"/>
      <c r="P192" s="1210"/>
      <c r="Q192" s="1038"/>
      <c r="R192" s="1227"/>
      <c r="S192" s="1129"/>
      <c r="T192" s="1129"/>
      <c r="U192" s="877"/>
      <c r="V192" s="877"/>
    </row>
    <row r="193" spans="1:24" x14ac:dyDescent="0.25">
      <c r="B193" s="1124"/>
      <c r="C193" s="1124"/>
      <c r="D193" s="1125"/>
      <c r="E193" s="1138"/>
      <c r="F193" s="1124"/>
      <c r="J193" s="2037"/>
      <c r="K193" s="629"/>
      <c r="L193" s="459" t="s">
        <v>6481</v>
      </c>
      <c r="M193" s="2125" t="s">
        <v>6482</v>
      </c>
      <c r="P193" s="1210"/>
      <c r="Q193" s="1038"/>
      <c r="R193" s="1227"/>
      <c r="T193" s="1129"/>
      <c r="U193" s="877"/>
      <c r="V193" s="877"/>
    </row>
    <row r="194" spans="1:24" x14ac:dyDescent="0.25">
      <c r="C194" s="3168" t="s">
        <v>486</v>
      </c>
      <c r="D194" s="3168"/>
      <c r="E194" s="863">
        <f ca="1">J194/K194</f>
        <v>218.28853993855606</v>
      </c>
      <c r="G194" s="518" t="s">
        <v>487</v>
      </c>
      <c r="J194" s="629">
        <f ca="1">SUM(D174:D190)</f>
        <v>6766.9447380952379</v>
      </c>
      <c r="K194" s="1517">
        <v>31</v>
      </c>
      <c r="M194" s="1138">
        <f ca="1">5316.5+D192-J195</f>
        <v>1352.3014999999996</v>
      </c>
      <c r="N194" s="216"/>
      <c r="O194" s="1517"/>
      <c r="P194" s="1210"/>
      <c r="Q194" s="1038"/>
      <c r="R194" s="1226"/>
      <c r="S194" s="1129"/>
      <c r="T194" s="1129"/>
      <c r="U194" s="877"/>
      <c r="V194" s="877"/>
    </row>
    <row r="195" spans="1:24" ht="15.75" customHeight="1" x14ac:dyDescent="0.25">
      <c r="B195" s="3167" t="s">
        <v>7452</v>
      </c>
      <c r="C195" s="3167"/>
      <c r="D195" s="3167"/>
      <c r="E195" s="1125">
        <f>5316.5/30</f>
        <v>177.21666666666667</v>
      </c>
      <c r="G195" s="518" t="s">
        <v>6257</v>
      </c>
      <c r="J195" s="609">
        <f ca="1">J194-D183</f>
        <v>4464.1985000000004</v>
      </c>
      <c r="K195" s="629"/>
      <c r="M195" s="868"/>
      <c r="O195" s="868"/>
      <c r="P195" s="1210"/>
      <c r="Q195" s="1038"/>
      <c r="R195" s="1226"/>
      <c r="S195" s="1129"/>
      <c r="T195" s="1129"/>
      <c r="U195" s="877"/>
      <c r="V195" s="877"/>
    </row>
    <row r="196" spans="1:24" x14ac:dyDescent="0.25">
      <c r="A196" s="518"/>
      <c r="C196" s="79"/>
      <c r="D196" s="79"/>
      <c r="E196" s="769"/>
      <c r="F196" s="866"/>
      <c r="G196" s="769"/>
      <c r="H196" s="866"/>
      <c r="I196" s="1210"/>
      <c r="J196" s="867"/>
      <c r="K196" s="866"/>
      <c r="L196" s="1038"/>
      <c r="M196" s="1210"/>
      <c r="N196" s="1038"/>
      <c r="O196" s="1210"/>
      <c r="P196" s="1210"/>
      <c r="Q196" s="1038"/>
      <c r="R196" s="769"/>
      <c r="S196" s="484" t="s">
        <v>280</v>
      </c>
      <c r="T196" s="216"/>
      <c r="U196" s="866"/>
      <c r="V196" s="484"/>
      <c r="X196" s="877"/>
    </row>
    <row r="197" spans="1:24" s="518" customFormat="1" x14ac:dyDescent="0.25">
      <c r="A197" s="79"/>
      <c r="B197" s="79"/>
      <c r="C197" s="79"/>
      <c r="D197" s="79"/>
      <c r="E197" s="1126">
        <f ca="1">E195-E194</f>
        <v>-41.071873271889388</v>
      </c>
      <c r="F197" s="1205">
        <f ca="1">SUM(F174:F196)</f>
        <v>1.2317607821229535</v>
      </c>
      <c r="G197" s="85"/>
      <c r="H197" s="85"/>
      <c r="I197" s="89"/>
      <c r="J197" s="1210"/>
      <c r="K197" s="754"/>
      <c r="L197" s="79"/>
      <c r="M197" s="79"/>
      <c r="N197" s="79"/>
      <c r="O197" s="79"/>
      <c r="P197" s="1210"/>
      <c r="Q197" s="1038"/>
      <c r="R197" s="79"/>
      <c r="S197" s="79"/>
      <c r="T197" s="866"/>
      <c r="U197" s="484"/>
      <c r="V197" s="79"/>
      <c r="W197" s="877"/>
      <c r="X197" s="79"/>
    </row>
    <row r="198" spans="1:24" s="518" customFormat="1" x14ac:dyDescent="0.25">
      <c r="A198" s="79"/>
      <c r="B198" s="79"/>
      <c r="C198" s="79"/>
      <c r="D198" s="79"/>
      <c r="E198" s="85"/>
      <c r="J198" s="1038"/>
      <c r="K198" s="1225"/>
      <c r="Q198" s="1038"/>
      <c r="R198" s="484"/>
      <c r="S198" s="79"/>
      <c r="T198" s="877"/>
      <c r="U198" s="79"/>
    </row>
    <row r="199" spans="1:24" s="518" customFormat="1" x14ac:dyDescent="0.25">
      <c r="A199" s="79"/>
      <c r="B199" s="1124" t="s">
        <v>6376</v>
      </c>
      <c r="C199" s="2125"/>
      <c r="D199" s="2219">
        <f>SUMIF($E$7:$E$169,"crédito",$G$7:$G$169)</f>
        <v>5829.23</v>
      </c>
      <c r="E199" s="85"/>
      <c r="F199" s="89"/>
      <c r="G199" s="79"/>
      <c r="H199" s="79"/>
      <c r="I199" s="79"/>
      <c r="J199" s="1038"/>
      <c r="K199" s="1225"/>
      <c r="L199" s="769"/>
      <c r="M199" s="866"/>
      <c r="N199" s="769"/>
      <c r="O199" s="866"/>
      <c r="P199" s="1210"/>
      <c r="Q199" s="1038"/>
      <c r="R199" s="484"/>
      <c r="S199" s="79"/>
      <c r="T199" s="877"/>
      <c r="U199" s="79"/>
    </row>
    <row r="200" spans="1:24" s="518" customFormat="1" x14ac:dyDescent="0.25">
      <c r="A200" s="79"/>
      <c r="B200" s="518" t="s">
        <v>6496</v>
      </c>
      <c r="C200" s="459"/>
      <c r="D200" s="2218">
        <f ca="1">SUM(D174:D190)-D183</f>
        <v>4464.1985000000004</v>
      </c>
      <c r="E200" s="85"/>
      <c r="F200" s="89"/>
      <c r="G200" s="79"/>
      <c r="H200" s="79"/>
      <c r="I200" s="216"/>
      <c r="J200" s="864"/>
      <c r="K200" s="877"/>
      <c r="L200" s="769"/>
      <c r="M200" s="866"/>
      <c r="N200" s="769"/>
      <c r="O200" s="866"/>
      <c r="P200" s="1210"/>
      <c r="Q200" s="1038"/>
      <c r="R200" s="484"/>
      <c r="S200" s="79"/>
      <c r="T200" s="877"/>
      <c r="U200" s="79"/>
    </row>
    <row r="201" spans="1:24" s="518" customFormat="1" x14ac:dyDescent="0.25">
      <c r="A201" s="79"/>
      <c r="B201" s="81" t="s">
        <v>6497</v>
      </c>
      <c r="C201" s="81"/>
      <c r="D201" s="1014">
        <f ca="1">D199-D200</f>
        <v>1365.0314999999991</v>
      </c>
      <c r="E201" s="79"/>
      <c r="F201" s="79"/>
      <c r="G201" s="79"/>
      <c r="H201" s="79"/>
      <c r="J201" s="1038"/>
      <c r="K201" s="877"/>
      <c r="M201" s="866"/>
      <c r="O201" s="866"/>
      <c r="P201" s="1210"/>
      <c r="Q201" s="1038"/>
      <c r="R201" s="484"/>
      <c r="S201" s="79"/>
      <c r="T201" s="877"/>
      <c r="U201" s="79"/>
    </row>
    <row r="202" spans="1:24" s="518" customFormat="1" x14ac:dyDescent="0.25">
      <c r="A202" s="79"/>
      <c r="B202" s="79"/>
      <c r="C202" s="79"/>
      <c r="D202" s="79"/>
      <c r="E202" s="79"/>
      <c r="F202" s="79"/>
      <c r="G202" s="79"/>
      <c r="H202" s="79"/>
      <c r="I202" s="216"/>
      <c r="J202" s="1038"/>
      <c r="K202" s="877"/>
      <c r="L202" s="769"/>
      <c r="M202" s="866"/>
      <c r="N202" s="769"/>
      <c r="O202" s="866"/>
      <c r="P202" s="1210"/>
      <c r="Q202" s="1038"/>
      <c r="R202" s="484"/>
      <c r="S202" s="79"/>
      <c r="T202" s="877"/>
      <c r="U202" s="79"/>
    </row>
    <row r="203" spans="1:24" s="518" customFormat="1" x14ac:dyDescent="0.25">
      <c r="A203" s="79"/>
      <c r="B203" s="79"/>
      <c r="C203" s="79"/>
      <c r="D203" s="79"/>
      <c r="E203" s="79"/>
      <c r="F203" s="79"/>
      <c r="G203" s="216"/>
      <c r="H203" s="79"/>
      <c r="I203" s="216"/>
      <c r="J203" s="1038"/>
      <c r="K203" s="877"/>
      <c r="L203" s="769"/>
      <c r="M203" s="868"/>
      <c r="N203" s="769"/>
      <c r="O203" s="868"/>
      <c r="P203" s="1210"/>
      <c r="Q203" s="1038"/>
      <c r="R203" s="484"/>
      <c r="S203" s="79"/>
      <c r="T203" s="877"/>
      <c r="U203" s="79"/>
    </row>
    <row r="204" spans="1:24" s="518" customFormat="1" x14ac:dyDescent="0.25">
      <c r="A204" s="79"/>
      <c r="B204" s="79"/>
      <c r="C204" s="79"/>
      <c r="D204" s="79"/>
      <c r="E204" s="79"/>
      <c r="F204" s="79"/>
      <c r="G204" s="216"/>
      <c r="H204" s="79"/>
      <c r="I204" s="216"/>
      <c r="J204" s="79"/>
      <c r="K204" s="877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4" s="518" customFormat="1" x14ac:dyDescent="0.25">
      <c r="A205" s="79"/>
      <c r="B205" s="79"/>
      <c r="C205" s="79"/>
      <c r="D205" s="79"/>
      <c r="E205" s="79"/>
      <c r="F205" s="79"/>
      <c r="G205" s="216"/>
      <c r="H205" s="79"/>
      <c r="I205" s="79"/>
      <c r="J205" s="85"/>
      <c r="K205" s="877"/>
      <c r="L205" s="770"/>
      <c r="M205" s="866"/>
      <c r="N205" s="770"/>
      <c r="O205" s="866"/>
      <c r="P205" s="1210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216"/>
      <c r="J206" s="1038"/>
      <c r="K206" s="877"/>
      <c r="L206" s="769"/>
      <c r="M206" s="868"/>
      <c r="N206" s="769"/>
      <c r="O206" s="868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85"/>
      <c r="K207" s="877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629"/>
      <c r="J208" s="769"/>
      <c r="K208" s="1225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85"/>
      <c r="D209" s="85"/>
      <c r="E209" s="85"/>
      <c r="F209" s="89"/>
      <c r="G209" s="79"/>
      <c r="H209" s="79"/>
      <c r="I209" s="79"/>
      <c r="J209" s="7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85"/>
      <c r="D210" s="85"/>
      <c r="E210" s="85"/>
      <c r="F210" s="89"/>
      <c r="G210" s="79"/>
      <c r="H210" s="79"/>
      <c r="I210" s="79"/>
      <c r="J210" s="79"/>
      <c r="K210" s="79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85"/>
      <c r="D211" s="85"/>
      <c r="E211" s="85"/>
      <c r="F211" s="89"/>
      <c r="G211" s="79"/>
      <c r="H211" s="79"/>
      <c r="I211" s="79"/>
      <c r="J211" s="769"/>
      <c r="K211" s="868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85"/>
      <c r="D212" s="85"/>
      <c r="E212" s="85"/>
      <c r="F212" s="89"/>
      <c r="G212" s="79"/>
      <c r="H212" s="79"/>
      <c r="I212" s="79"/>
      <c r="J212" s="769"/>
      <c r="K212" s="868"/>
      <c r="L212" s="769"/>
      <c r="M212" s="866"/>
      <c r="N212" s="769"/>
      <c r="O212" s="866"/>
      <c r="P212" s="1210"/>
      <c r="Q212" s="103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85"/>
      <c r="D213" s="85"/>
      <c r="E213" s="85"/>
      <c r="F213" s="89"/>
      <c r="G213" s="79"/>
      <c r="H213" s="79"/>
      <c r="I213" s="79"/>
      <c r="J213" s="769"/>
      <c r="K213" s="79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J214" s="79"/>
      <c r="K214" s="79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79"/>
      <c r="K215" s="79"/>
      <c r="L215" s="769"/>
      <c r="M215" s="866"/>
      <c r="N215" s="769"/>
      <c r="O215" s="866"/>
      <c r="P215" s="1210"/>
      <c r="Q215" s="1038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1517"/>
      <c r="K216" s="79"/>
      <c r="L216" s="769"/>
      <c r="M216" s="866"/>
      <c r="N216" s="769"/>
      <c r="O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216"/>
      <c r="J217" s="79"/>
      <c r="K217" s="868"/>
      <c r="L217" s="769"/>
      <c r="M217" s="866"/>
      <c r="N217" s="769"/>
      <c r="O217" s="866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216"/>
      <c r="J218" s="89"/>
      <c r="K218" s="79"/>
      <c r="L218" s="769"/>
      <c r="M218" s="868"/>
      <c r="N218" s="769"/>
      <c r="O218" s="868"/>
      <c r="P218" s="79"/>
      <c r="Q218" s="79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216"/>
      <c r="J219" s="79"/>
      <c r="K219" s="79"/>
      <c r="L219" s="769"/>
      <c r="M219" s="868"/>
      <c r="N219" s="769"/>
      <c r="O219" s="868"/>
      <c r="P219" s="81"/>
      <c r="Q219" s="755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216"/>
      <c r="L220" s="769"/>
      <c r="M220" s="868"/>
      <c r="N220" s="769"/>
      <c r="O220" s="868"/>
      <c r="P220" s="868"/>
      <c r="Q220" s="79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769"/>
      <c r="K221" s="866"/>
      <c r="L221" s="769"/>
      <c r="M221" s="868"/>
      <c r="N221" s="769"/>
      <c r="O221" s="868"/>
      <c r="P221" s="754"/>
      <c r="Q221" s="886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216"/>
      <c r="J222" s="769"/>
      <c r="K222" s="866"/>
      <c r="L222" s="769"/>
      <c r="M222" s="868"/>
      <c r="N222" s="769"/>
      <c r="O222" s="868"/>
      <c r="P222" s="864"/>
      <c r="Q222" s="864"/>
      <c r="R222" s="484"/>
      <c r="S222" s="79"/>
      <c r="T222" s="877"/>
      <c r="U222" s="79"/>
    </row>
    <row r="223" spans="1:21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K223" s="866"/>
      <c r="L223" s="769"/>
      <c r="M223" s="866"/>
      <c r="N223" s="769"/>
      <c r="O223" s="866"/>
      <c r="P223" s="864"/>
      <c r="Q223" s="1032"/>
      <c r="R223" s="484"/>
      <c r="S223" s="79"/>
      <c r="T223" s="877"/>
      <c r="U223" s="79"/>
    </row>
    <row r="224" spans="1:21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69"/>
      <c r="K224" s="866"/>
      <c r="L224" s="769"/>
      <c r="M224" s="866"/>
      <c r="N224" s="769"/>
      <c r="O224" s="866"/>
      <c r="P224" s="864"/>
      <c r="Q224" s="1032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868"/>
      <c r="L225" s="769"/>
      <c r="M225" s="868"/>
      <c r="N225" s="769"/>
      <c r="O225" s="868"/>
      <c r="P225" s="85"/>
      <c r="Q225" s="795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69"/>
      <c r="K226" s="866"/>
      <c r="L226" s="769"/>
      <c r="M226" s="866"/>
      <c r="N226" s="769"/>
      <c r="O226" s="866"/>
      <c r="P226" s="85"/>
      <c r="Q226" s="177"/>
      <c r="R226" s="484"/>
      <c r="S226" s="79"/>
      <c r="T226" s="877"/>
      <c r="U226" s="79"/>
    </row>
    <row r="227" spans="1:21" s="518" customFormat="1" x14ac:dyDescent="0.25">
      <c r="A227" s="79"/>
      <c r="B227" s="79"/>
      <c r="C227" s="85"/>
      <c r="D227" s="85"/>
      <c r="E227" s="85"/>
      <c r="F227" s="89"/>
      <c r="G227" s="79"/>
      <c r="H227" s="79"/>
      <c r="I227" s="79"/>
      <c r="J227" s="770"/>
      <c r="K227" s="866"/>
      <c r="L227" s="769"/>
      <c r="M227" s="866"/>
      <c r="N227" s="769"/>
      <c r="O227" s="866"/>
      <c r="P227" s="85"/>
      <c r="Q227" s="177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8"/>
      <c r="L228" s="769"/>
      <c r="M228" s="868"/>
      <c r="N228" s="769"/>
      <c r="O228" s="868"/>
      <c r="P228" s="85"/>
      <c r="Q228" s="177" t="s">
        <v>280</v>
      </c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69"/>
      <c r="M229" s="868"/>
      <c r="N229" s="769"/>
      <c r="O229" s="868"/>
      <c r="P229" s="85"/>
      <c r="Q229" s="177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69"/>
      <c r="M230" s="868"/>
      <c r="N230" s="769"/>
      <c r="O230" s="868"/>
      <c r="P230" s="85"/>
      <c r="Q230" s="86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69"/>
      <c r="M231" s="868"/>
      <c r="N231" s="769"/>
      <c r="O231" s="868"/>
      <c r="P231" s="769"/>
      <c r="Q231" s="21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769"/>
      <c r="M232" s="866"/>
      <c r="N232" s="769"/>
      <c r="O232" s="866"/>
      <c r="P232" s="79"/>
      <c r="Q232" s="216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223"/>
      <c r="M233" s="629"/>
      <c r="N233" s="223"/>
      <c r="O233" s="629"/>
      <c r="P233" s="769"/>
      <c r="Q233" s="868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756"/>
      <c r="M234" s="756"/>
      <c r="N234" s="756"/>
      <c r="O234" s="756"/>
      <c r="P234" s="769"/>
      <c r="Q234" s="868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79"/>
      <c r="M235" s="79"/>
      <c r="N235" s="79"/>
      <c r="O235" s="79"/>
      <c r="P235" s="769"/>
      <c r="Q235" s="868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9"/>
      <c r="M236" s="79"/>
      <c r="N236" s="79"/>
      <c r="O236" s="79"/>
      <c r="P236" s="76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9"/>
      <c r="M237" s="79"/>
      <c r="N237" s="79"/>
      <c r="O237" s="79"/>
      <c r="P237" s="7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79"/>
      <c r="M238" s="79"/>
      <c r="N238" s="79"/>
      <c r="O238" s="79"/>
      <c r="P238" s="79"/>
      <c r="Q238" s="79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6"/>
      <c r="L239" s="85"/>
      <c r="M239" s="85"/>
      <c r="N239" s="85"/>
      <c r="O239" s="85"/>
      <c r="P239" s="1517"/>
      <c r="Q239" s="79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9"/>
      <c r="M240" s="79"/>
      <c r="N240" s="79"/>
      <c r="O240" s="79"/>
      <c r="P240" s="7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9"/>
      <c r="M241" s="79"/>
      <c r="N241" s="79"/>
      <c r="O241" s="79"/>
      <c r="P241" s="89"/>
      <c r="Q241" s="79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9"/>
      <c r="M242" s="79"/>
      <c r="N242" s="79"/>
      <c r="O242" s="79"/>
      <c r="P242" s="79"/>
      <c r="Q242" s="79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8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8"/>
      <c r="L244" s="79"/>
      <c r="M244" s="79"/>
      <c r="N244" s="79"/>
      <c r="O244" s="79"/>
      <c r="P244" s="769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79"/>
      <c r="M245" s="79"/>
      <c r="N245" s="79"/>
      <c r="O245" s="79"/>
      <c r="P245" s="769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85"/>
      <c r="M246" s="85"/>
      <c r="N246" s="85"/>
      <c r="O246" s="85"/>
      <c r="Q246" s="86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8"/>
      <c r="L247" s="79"/>
      <c r="M247" s="79"/>
      <c r="N247" s="79"/>
      <c r="O247" s="79"/>
      <c r="P247" s="769"/>
      <c r="Q247" s="866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868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69"/>
      <c r="Q249" s="86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8"/>
      <c r="L250" s="79"/>
      <c r="M250" s="79"/>
      <c r="N250" s="79"/>
      <c r="O250" s="79"/>
      <c r="P250" s="770"/>
      <c r="Q250" s="866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8"/>
      <c r="L251" s="79"/>
      <c r="M251" s="79"/>
      <c r="N251" s="79"/>
      <c r="O251" s="79"/>
      <c r="P251" s="769"/>
      <c r="Q251" s="868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8"/>
      <c r="L252" s="79"/>
      <c r="M252" s="79"/>
      <c r="N252" s="79"/>
      <c r="O252" s="79"/>
      <c r="P252" s="769"/>
      <c r="Q252" s="866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8"/>
      <c r="L253" s="771"/>
      <c r="N253" s="771"/>
      <c r="P253" s="769"/>
      <c r="Q253" s="866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6"/>
      <c r="L254" s="79"/>
      <c r="M254" s="79"/>
      <c r="N254" s="79"/>
      <c r="O254" s="79"/>
      <c r="P254" s="769"/>
      <c r="Q254" s="866"/>
      <c r="R254" s="484"/>
      <c r="S254" s="79"/>
      <c r="T254" s="877"/>
      <c r="U254" s="79"/>
    </row>
    <row r="255" spans="1:21" x14ac:dyDescent="0.25">
      <c r="J255" s="223"/>
      <c r="K255" s="629"/>
      <c r="P255" s="769"/>
      <c r="Q255" s="866"/>
    </row>
    <row r="256" spans="1:21" x14ac:dyDescent="0.25">
      <c r="J256" s="756"/>
      <c r="K256" s="756"/>
      <c r="P256" s="769"/>
      <c r="Q256" s="866"/>
    </row>
    <row r="257" spans="1:21" x14ac:dyDescent="0.25">
      <c r="P257" s="769"/>
      <c r="Q257" s="866"/>
    </row>
    <row r="258" spans="1:21" x14ac:dyDescent="0.25">
      <c r="P258" s="769"/>
      <c r="Q258" s="866"/>
    </row>
    <row r="259" spans="1:21" x14ac:dyDescent="0.25">
      <c r="P259" s="769"/>
      <c r="Q259" s="866"/>
    </row>
    <row r="260" spans="1:21" x14ac:dyDescent="0.25">
      <c r="P260" s="769"/>
      <c r="Q260" s="866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85"/>
      <c r="K261" s="85"/>
      <c r="L261" s="79"/>
      <c r="M261" s="216"/>
      <c r="N261" s="79"/>
      <c r="O261" s="216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216"/>
      <c r="N262" s="79"/>
      <c r="O262" s="216"/>
      <c r="P262" s="769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216"/>
      <c r="N263" s="79"/>
      <c r="O263" s="216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216"/>
      <c r="N264" s="79"/>
      <c r="O264" s="216"/>
      <c r="P264" s="769"/>
      <c r="Q264" s="868"/>
      <c r="R264" s="484"/>
      <c r="S264" s="79"/>
      <c r="T264" s="877"/>
      <c r="U264" s="79"/>
    </row>
    <row r="265" spans="1:21" x14ac:dyDescent="0.25">
      <c r="P265" s="769"/>
      <c r="Q265" s="868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216"/>
      <c r="N266" s="79"/>
      <c r="O266" s="216"/>
      <c r="P266" s="769"/>
      <c r="Q266" s="868"/>
      <c r="R266" s="484"/>
      <c r="S266" s="79"/>
      <c r="T266" s="877"/>
      <c r="U266" s="79"/>
    </row>
    <row r="267" spans="1:21" x14ac:dyDescent="0.25">
      <c r="P267" s="769"/>
      <c r="Q267" s="868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85"/>
      <c r="K268" s="85"/>
      <c r="L268" s="79"/>
      <c r="M268" s="629"/>
      <c r="N268" s="79"/>
      <c r="O268" s="629"/>
      <c r="P268" s="769"/>
      <c r="Q268" s="866"/>
      <c r="R268" s="484"/>
      <c r="S268" s="79"/>
      <c r="T268" s="877"/>
      <c r="U268" s="79"/>
    </row>
    <row r="269" spans="1:21" x14ac:dyDescent="0.25">
      <c r="P269" s="769"/>
      <c r="Q269" s="866"/>
    </row>
    <row r="270" spans="1:21" x14ac:dyDescent="0.25">
      <c r="P270" s="769"/>
      <c r="Q270" s="868"/>
    </row>
    <row r="271" spans="1:21" x14ac:dyDescent="0.25">
      <c r="P271" s="769"/>
      <c r="Q271" s="866"/>
    </row>
    <row r="272" spans="1:21" x14ac:dyDescent="0.25">
      <c r="P272" s="769"/>
      <c r="Q272" s="866"/>
    </row>
    <row r="273" spans="1:21" x14ac:dyDescent="0.25">
      <c r="P273" s="769"/>
      <c r="Q273" s="868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769"/>
      <c r="Q274" s="868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71"/>
      <c r="L275" s="79"/>
      <c r="M275" s="216"/>
      <c r="N275" s="79"/>
      <c r="O275" s="216"/>
      <c r="P275" s="769"/>
      <c r="Q275" s="868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8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769"/>
      <c r="Q277" s="866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223"/>
      <c r="Q278" s="629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56"/>
      <c r="Q279" s="756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9"/>
      <c r="Q280" s="79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9"/>
      <c r="Q281" s="79"/>
      <c r="R281" s="484"/>
      <c r="S281" s="79"/>
      <c r="T281" s="877"/>
      <c r="U281" s="79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216"/>
      <c r="N282" s="79"/>
      <c r="O282" s="216"/>
      <c r="P282" s="79"/>
      <c r="Q282" s="79"/>
      <c r="R282" s="484"/>
      <c r="S282" s="79"/>
      <c r="T282" s="877"/>
      <c r="U282" s="79"/>
    </row>
    <row r="283" spans="1:21" x14ac:dyDescent="0.25">
      <c r="K283" s="216"/>
    </row>
    <row r="284" spans="1:21" x14ac:dyDescent="0.25">
      <c r="K284" s="216"/>
      <c r="P284" s="85"/>
      <c r="Q284" s="85"/>
    </row>
    <row r="285" spans="1:21" x14ac:dyDescent="0.25">
      <c r="K285" s="216"/>
    </row>
    <row r="286" spans="1:21" x14ac:dyDescent="0.25">
      <c r="K286" s="216"/>
    </row>
    <row r="288" spans="1:21" x14ac:dyDescent="0.25">
      <c r="K288" s="216"/>
    </row>
    <row r="290" spans="1:42" x14ac:dyDescent="0.25">
      <c r="K290" s="629"/>
    </row>
    <row r="291" spans="1:42" x14ac:dyDescent="0.25">
      <c r="P291" s="85"/>
      <c r="Q291" s="85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296" spans="1:42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216"/>
      <c r="L296" s="79"/>
      <c r="M296" s="79"/>
      <c r="N296" s="79"/>
      <c r="O296" s="79"/>
      <c r="P296" s="79"/>
      <c r="Q296" s="79"/>
      <c r="S296" s="79"/>
      <c r="T296" s="877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</row>
    <row r="297" spans="1:42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216"/>
      <c r="L297" s="79"/>
      <c r="M297" s="79"/>
      <c r="N297" s="79"/>
      <c r="O297" s="79"/>
      <c r="P297" s="79"/>
      <c r="Q297" s="79"/>
      <c r="S297" s="79"/>
      <c r="T297" s="877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</row>
    <row r="298" spans="1:42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216"/>
      <c r="L298" s="79"/>
      <c r="M298" s="79"/>
      <c r="N298" s="79"/>
      <c r="O298" s="79"/>
      <c r="P298" s="771"/>
      <c r="Q298" s="518"/>
      <c r="S298" s="79"/>
      <c r="T298" s="877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</row>
    <row r="299" spans="1:42" s="484" customFormat="1" x14ac:dyDescent="0.25">
      <c r="A299" s="79"/>
      <c r="B299" s="79"/>
      <c r="C299" s="85"/>
      <c r="D299" s="85"/>
      <c r="E299" s="85"/>
      <c r="F299" s="89"/>
      <c r="G299" s="79"/>
      <c r="H299" s="79"/>
      <c r="I299" s="79"/>
      <c r="J299" s="79"/>
      <c r="K299" s="216"/>
      <c r="L299" s="79"/>
      <c r="M299" s="79"/>
      <c r="N299" s="79"/>
      <c r="O299" s="79"/>
      <c r="P299" s="79"/>
      <c r="Q299" s="79"/>
      <c r="S299" s="79"/>
      <c r="T299" s="877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</row>
    <row r="300" spans="1:42" x14ac:dyDescent="0.25">
      <c r="K300" s="216"/>
    </row>
    <row r="301" spans="1:42" x14ac:dyDescent="0.25">
      <c r="K301" s="216"/>
    </row>
    <row r="302" spans="1:42" x14ac:dyDescent="0.25">
      <c r="K302" s="216"/>
    </row>
    <row r="303" spans="1:42" x14ac:dyDescent="0.25">
      <c r="K303" s="216"/>
    </row>
    <row r="304" spans="1:42" x14ac:dyDescent="0.25">
      <c r="K304" s="216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216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216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216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216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216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629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216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</sheetData>
  <autoFilter ref="A2:I192" xr:uid="{00000000-0009-0000-0000-00008D000000}"/>
  <mergeCells count="17">
    <mergeCell ref="B195:D195"/>
    <mergeCell ref="L2:M3"/>
    <mergeCell ref="N2:O3"/>
    <mergeCell ref="P2:Q3"/>
    <mergeCell ref="A170:E170"/>
    <mergeCell ref="A171:E171"/>
    <mergeCell ref="C194:D194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43" type="noConversion"/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37D9D68B-E316-4001-BD07-6DB72AC2A4FB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D174:D190</xm:sqref>
        </x14:conditionalFormatting>
      </x14:conditionalFormattings>
    </ext>
  </extLst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3E129-9C15-4550-B602-399DDE58BAA3}">
  <dimension ref="A1:AP316"/>
  <sheetViews>
    <sheetView zoomScale="85" zoomScaleNormal="85" workbookViewId="0">
      <pane ySplit="5" topLeftCell="A162" activePane="bottomLeft" state="frozen"/>
      <selection pane="bottomLeft" activeCell="F180" sqref="F180"/>
    </sheetView>
  </sheetViews>
  <sheetFormatPr defaultColWidth="9.140625" defaultRowHeight="15" x14ac:dyDescent="0.25"/>
  <cols>
    <col min="1" max="1" width="12" style="79" bestFit="1" customWidth="1"/>
    <col min="2" max="2" width="41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8176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6263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45901</v>
      </c>
      <c r="B5" s="369" t="s">
        <v>10</v>
      </c>
      <c r="C5" s="370"/>
      <c r="D5" s="370"/>
      <c r="E5" s="777"/>
      <c r="F5" s="179"/>
      <c r="G5" s="933">
        <f>'Agosto-25'!G171</f>
        <v>691.10829761909554</v>
      </c>
      <c r="H5" s="163"/>
      <c r="I5" s="1479">
        <f>'Agosto-25'!I171</f>
        <v>0</v>
      </c>
      <c r="J5" s="179"/>
      <c r="K5" s="933">
        <f>'Agosto-25'!K171</f>
        <v>296.00000000000318</v>
      </c>
      <c r="L5" s="179"/>
      <c r="M5" s="933">
        <f>'Maio-25'!M178</f>
        <v>0</v>
      </c>
      <c r="N5" s="179"/>
      <c r="O5" s="1479">
        <f>'Agosto-25'!O171</f>
        <v>5068.630000000001</v>
      </c>
      <c r="P5" s="179"/>
      <c r="Q5" s="933">
        <f>'Agosto-25'!Q171</f>
        <v>36684.475984720004</v>
      </c>
    </row>
    <row r="6" spans="1:42" s="224" customFormat="1" x14ac:dyDescent="0.25">
      <c r="A6" s="247">
        <v>45901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45901</v>
      </c>
      <c r="B7" s="1275" t="s">
        <v>8231</v>
      </c>
      <c r="C7" s="1276" t="s">
        <v>12</v>
      </c>
      <c r="D7" s="1276"/>
      <c r="E7" s="1286" t="s">
        <v>13</v>
      </c>
      <c r="F7" s="613">
        <v>187.11</v>
      </c>
      <c r="G7" s="967"/>
      <c r="H7" s="1008"/>
      <c r="I7" s="1063"/>
      <c r="J7" s="613"/>
      <c r="K7" s="6"/>
      <c r="L7" s="622"/>
      <c r="M7" s="982"/>
      <c r="N7" s="622"/>
      <c r="O7" s="1063"/>
      <c r="P7" s="613"/>
      <c r="Q7" s="64"/>
      <c r="R7" s="1024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 spans="1:42" s="224" customFormat="1" ht="15" customHeight="1" x14ac:dyDescent="0.25">
      <c r="A8" s="247">
        <v>45901</v>
      </c>
      <c r="B8" s="1275" t="s">
        <v>6755</v>
      </c>
      <c r="C8" s="1276" t="s">
        <v>12</v>
      </c>
      <c r="D8" s="1276"/>
      <c r="E8" s="1286"/>
      <c r="F8" s="613"/>
      <c r="G8" s="967">
        <v>187.11</v>
      </c>
      <c r="H8" s="1008"/>
      <c r="I8" s="1063"/>
      <c r="J8" s="613"/>
      <c r="K8" s="6"/>
      <c r="L8" s="622"/>
      <c r="M8" s="982"/>
      <c r="N8" s="622"/>
      <c r="O8" s="1063"/>
      <c r="P8" s="613"/>
      <c r="Q8" s="64"/>
      <c r="R8" s="1024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ht="15" customHeight="1" x14ac:dyDescent="0.25">
      <c r="A9" s="247">
        <v>45901</v>
      </c>
      <c r="B9" s="882" t="s">
        <v>8214</v>
      </c>
      <c r="C9" s="879" t="s">
        <v>12</v>
      </c>
      <c r="D9" s="879" t="s">
        <v>1525</v>
      </c>
      <c r="E9" s="875" t="s">
        <v>13</v>
      </c>
      <c r="F9" s="780">
        <v>73.459999999999994</v>
      </c>
      <c r="G9" s="982"/>
      <c r="H9" s="622"/>
      <c r="I9" s="982"/>
      <c r="J9" s="622"/>
      <c r="K9" s="982"/>
      <c r="L9" s="622"/>
      <c r="M9" s="982"/>
      <c r="N9" s="880"/>
      <c r="O9" s="1525"/>
      <c r="P9" s="613"/>
      <c r="Q9" s="162"/>
      <c r="R9" s="1956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45901</v>
      </c>
      <c r="B10" s="882" t="s">
        <v>8232</v>
      </c>
      <c r="C10" s="1276" t="s">
        <v>12</v>
      </c>
      <c r="D10" s="879" t="s">
        <v>1525</v>
      </c>
      <c r="E10" s="875" t="s">
        <v>13</v>
      </c>
      <c r="F10" s="780">
        <v>29.34</v>
      </c>
      <c r="G10" s="982"/>
      <c r="H10" s="622"/>
      <c r="I10" s="982"/>
      <c r="J10" s="622"/>
      <c r="K10" s="982"/>
      <c r="L10" s="622"/>
      <c r="M10" s="982"/>
      <c r="N10" s="880"/>
      <c r="O10" s="1525"/>
      <c r="P10" s="613"/>
      <c r="Q10" s="162"/>
      <c r="R10" s="1956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45901</v>
      </c>
      <c r="B11" s="882" t="s">
        <v>8233</v>
      </c>
      <c r="C11" s="1276" t="s">
        <v>12</v>
      </c>
      <c r="D11" s="879" t="s">
        <v>1525</v>
      </c>
      <c r="E11" s="875" t="s">
        <v>13</v>
      </c>
      <c r="F11" s="780">
        <v>21.65</v>
      </c>
      <c r="G11" s="982"/>
      <c r="H11" s="622"/>
      <c r="I11" s="982"/>
      <c r="J11" s="622"/>
      <c r="K11" s="982"/>
      <c r="L11" s="622"/>
      <c r="M11" s="982"/>
      <c r="N11" s="880"/>
      <c r="O11" s="1525"/>
      <c r="P11" s="613"/>
      <c r="Q11" s="162"/>
      <c r="R11" s="1956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45901</v>
      </c>
      <c r="B12" s="1275" t="s">
        <v>32</v>
      </c>
      <c r="C12" s="1276" t="s">
        <v>12</v>
      </c>
      <c r="D12" s="1276" t="s">
        <v>1485</v>
      </c>
      <c r="E12" s="875" t="s">
        <v>13</v>
      </c>
      <c r="F12" s="780">
        <v>23</v>
      </c>
      <c r="G12" s="982"/>
      <c r="H12" s="622"/>
      <c r="I12" s="982"/>
      <c r="J12" s="622"/>
      <c r="K12" s="982"/>
      <c r="L12" s="622"/>
      <c r="M12" s="982"/>
      <c r="N12" s="880"/>
      <c r="O12" s="1525"/>
      <c r="P12" s="613"/>
      <c r="Q12" s="162"/>
      <c r="R12" s="1956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45901</v>
      </c>
      <c r="B13" s="882" t="s">
        <v>443</v>
      </c>
      <c r="C13" s="1276" t="s">
        <v>12</v>
      </c>
      <c r="D13" s="879" t="s">
        <v>1493</v>
      </c>
      <c r="E13" s="875" t="s">
        <v>13</v>
      </c>
      <c r="F13" s="780">
        <v>11.96</v>
      </c>
      <c r="G13" s="982"/>
      <c r="H13" s="622"/>
      <c r="I13" s="982"/>
      <c r="J13" s="622"/>
      <c r="K13" s="982"/>
      <c r="L13" s="622"/>
      <c r="M13" s="982"/>
      <c r="N13" s="880"/>
      <c r="O13" s="1525"/>
      <c r="P13" s="613"/>
      <c r="Q13" s="162"/>
      <c r="R13" s="1956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45902</v>
      </c>
      <c r="B14" s="882" t="s">
        <v>6329</v>
      </c>
      <c r="C14" s="879" t="s">
        <v>12</v>
      </c>
      <c r="D14" s="879"/>
      <c r="E14" s="875" t="s">
        <v>25</v>
      </c>
      <c r="F14" s="780"/>
      <c r="G14" s="982">
        <v>125</v>
      </c>
      <c r="H14" s="1008"/>
      <c r="I14" s="1063"/>
      <c r="J14" s="613"/>
      <c r="K14" s="982"/>
      <c r="L14" s="622"/>
      <c r="M14" s="982"/>
      <c r="N14" s="622"/>
      <c r="O14" s="1063"/>
      <c r="P14" s="622"/>
      <c r="Q14" s="982"/>
      <c r="R14" s="861"/>
    </row>
    <row r="15" spans="1:42" s="224" customFormat="1" ht="15" customHeight="1" x14ac:dyDescent="0.25">
      <c r="A15" s="247">
        <v>45902</v>
      </c>
      <c r="B15" s="1275" t="s">
        <v>32</v>
      </c>
      <c r="C15" s="1276" t="s">
        <v>12</v>
      </c>
      <c r="D15" s="1276" t="s">
        <v>1485</v>
      </c>
      <c r="E15" s="875" t="s">
        <v>13</v>
      </c>
      <c r="F15" s="780">
        <v>23</v>
      </c>
      <c r="G15" s="982"/>
      <c r="H15" s="622"/>
      <c r="I15" s="982"/>
      <c r="J15" s="622"/>
      <c r="K15" s="982"/>
      <c r="L15" s="622"/>
      <c r="M15" s="982"/>
      <c r="N15" s="880"/>
      <c r="O15" s="1525"/>
      <c r="P15" s="613"/>
      <c r="Q15" s="162"/>
      <c r="R15" s="1956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45902</v>
      </c>
      <c r="B16" s="882" t="s">
        <v>8207</v>
      </c>
      <c r="C16" s="879" t="s">
        <v>12</v>
      </c>
      <c r="D16" s="879" t="s">
        <v>6731</v>
      </c>
      <c r="E16" s="875" t="s">
        <v>15</v>
      </c>
      <c r="F16" s="780">
        <v>37</v>
      </c>
      <c r="G16" s="982"/>
      <c r="H16" s="622"/>
      <c r="I16" s="982"/>
      <c r="J16" s="1116"/>
      <c r="K16" s="1207"/>
      <c r="L16" s="622"/>
      <c r="M16" s="982"/>
      <c r="N16" s="622"/>
      <c r="O16" s="1063"/>
      <c r="P16" s="880"/>
      <c r="Q16" s="1033"/>
      <c r="R16" s="927"/>
      <c r="T16" s="878"/>
    </row>
    <row r="17" spans="1:42" s="224" customFormat="1" ht="15" customHeight="1" x14ac:dyDescent="0.25">
      <c r="A17" s="247">
        <v>45902</v>
      </c>
      <c r="B17" s="882" t="s">
        <v>14</v>
      </c>
      <c r="C17" s="879" t="s">
        <v>12</v>
      </c>
      <c r="D17" s="879" t="s">
        <v>1486</v>
      </c>
      <c r="E17" s="871" t="s">
        <v>13</v>
      </c>
      <c r="F17" s="780">
        <v>4.75</v>
      </c>
      <c r="G17" s="982"/>
      <c r="H17" s="622"/>
      <c r="I17" s="982"/>
      <c r="J17" s="622"/>
      <c r="K17" s="982"/>
      <c r="L17" s="622"/>
      <c r="M17" s="982"/>
      <c r="N17" s="880"/>
      <c r="O17" s="1525"/>
      <c r="P17" s="613"/>
      <c r="Q17" s="162"/>
      <c r="R17" s="1956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45903</v>
      </c>
      <c r="B18" s="1275" t="s">
        <v>32</v>
      </c>
      <c r="C18" s="1276" t="s">
        <v>12</v>
      </c>
      <c r="D18" s="1276" t="s">
        <v>1485</v>
      </c>
      <c r="E18" s="875" t="s">
        <v>13</v>
      </c>
      <c r="F18" s="780">
        <v>23</v>
      </c>
      <c r="G18" s="982"/>
      <c r="H18" s="622"/>
      <c r="I18" s="982"/>
      <c r="J18" s="622"/>
      <c r="K18" s="982"/>
      <c r="L18" s="622"/>
      <c r="M18" s="982"/>
      <c r="N18" s="880"/>
      <c r="O18" s="1525"/>
      <c r="P18" s="613"/>
      <c r="Q18" s="162"/>
      <c r="R18" s="1956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45903</v>
      </c>
      <c r="B19" s="882" t="s">
        <v>14</v>
      </c>
      <c r="C19" s="879" t="s">
        <v>12</v>
      </c>
      <c r="D19" s="879" t="s">
        <v>1486</v>
      </c>
      <c r="E19" s="871" t="s">
        <v>13</v>
      </c>
      <c r="F19" s="780">
        <v>5.23</v>
      </c>
      <c r="G19" s="982"/>
      <c r="H19" s="622"/>
      <c r="I19" s="982"/>
      <c r="J19" s="622"/>
      <c r="K19" s="982"/>
      <c r="L19" s="853"/>
      <c r="M19" s="982"/>
      <c r="N19" s="622"/>
      <c r="O19" s="1063"/>
      <c r="P19" s="622"/>
      <c r="Q19" s="982"/>
      <c r="R19" s="927"/>
      <c r="S19" s="927"/>
      <c r="T19" s="878"/>
    </row>
    <row r="20" spans="1:42" s="224" customFormat="1" ht="15" customHeight="1" x14ac:dyDescent="0.25">
      <c r="A20" s="247">
        <v>45904</v>
      </c>
      <c r="B20" s="882" t="s">
        <v>14</v>
      </c>
      <c r="C20" s="879" t="s">
        <v>12</v>
      </c>
      <c r="D20" s="879" t="s">
        <v>1486</v>
      </c>
      <c r="E20" s="871" t="s">
        <v>13</v>
      </c>
      <c r="F20" s="780">
        <v>25.66</v>
      </c>
      <c r="G20" s="982"/>
      <c r="H20" s="622"/>
      <c r="I20" s="982"/>
      <c r="J20" s="622"/>
      <c r="K20" s="982"/>
      <c r="L20" s="622"/>
      <c r="M20" s="982"/>
      <c r="N20" s="880"/>
      <c r="O20" s="1525"/>
      <c r="P20" s="613"/>
      <c r="Q20" s="162"/>
      <c r="R20" s="1956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.75" customHeight="1" x14ac:dyDescent="0.25">
      <c r="A21" s="247">
        <v>45905</v>
      </c>
      <c r="B21" s="873" t="s">
        <v>8223</v>
      </c>
      <c r="C21" s="879" t="s">
        <v>12</v>
      </c>
      <c r="D21" s="874"/>
      <c r="E21" s="887" t="s">
        <v>25</v>
      </c>
      <c r="F21" s="780"/>
      <c r="G21" s="1002">
        <v>2609.23</v>
      </c>
      <c r="H21" s="538"/>
      <c r="I21" s="982"/>
      <c r="J21" s="2013"/>
      <c r="K21" s="1207"/>
      <c r="L21" s="622"/>
      <c r="M21" s="982"/>
      <c r="N21" s="622"/>
      <c r="O21" s="1063"/>
      <c r="P21" s="622"/>
      <c r="Q21" s="982"/>
      <c r="R21" s="178"/>
    </row>
    <row r="22" spans="1:42" s="224" customFormat="1" ht="15" customHeight="1" x14ac:dyDescent="0.25">
      <c r="A22" s="247">
        <v>45905</v>
      </c>
      <c r="B22" s="364" t="s">
        <v>1396</v>
      </c>
      <c r="C22" s="879" t="s">
        <v>12</v>
      </c>
      <c r="D22" s="350"/>
      <c r="E22" s="919" t="s">
        <v>25</v>
      </c>
      <c r="F22" s="1116"/>
      <c r="G22" s="966">
        <v>200</v>
      </c>
      <c r="H22" s="1031"/>
      <c r="I22" s="1525"/>
      <c r="J22" s="2013"/>
      <c r="K22" s="1207"/>
      <c r="L22" s="880"/>
      <c r="M22" s="1033"/>
      <c r="N22" s="622"/>
      <c r="O22" s="1063"/>
      <c r="P22" s="1116"/>
      <c r="Q22" s="1207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45905</v>
      </c>
      <c r="B23" s="364" t="s">
        <v>7219</v>
      </c>
      <c r="C23" s="879" t="s">
        <v>12</v>
      </c>
      <c r="D23" s="350" t="s">
        <v>1491</v>
      </c>
      <c r="E23" s="875" t="s">
        <v>13</v>
      </c>
      <c r="F23" s="780">
        <v>500</v>
      </c>
      <c r="G23" s="982"/>
      <c r="H23" s="622"/>
      <c r="I23" s="982"/>
      <c r="J23" s="2013"/>
      <c r="K23" s="1207"/>
      <c r="L23" s="622"/>
      <c r="M23" s="982"/>
      <c r="N23" s="622"/>
      <c r="O23" s="1063"/>
      <c r="P23" s="622"/>
      <c r="Q23" s="982"/>
      <c r="R23" s="1028"/>
      <c r="T23" s="1035"/>
    </row>
    <row r="24" spans="1:42" s="224" customFormat="1" ht="15" customHeight="1" x14ac:dyDescent="0.25">
      <c r="A24" s="247">
        <v>45905</v>
      </c>
      <c r="B24" s="882" t="s">
        <v>8224</v>
      </c>
      <c r="C24" s="879" t="s">
        <v>12</v>
      </c>
      <c r="D24" s="879" t="s">
        <v>1499</v>
      </c>
      <c r="E24" s="871" t="s">
        <v>13</v>
      </c>
      <c r="F24" s="780">
        <v>157.27000000000001</v>
      </c>
      <c r="G24" s="982"/>
      <c r="H24" s="1008"/>
      <c r="I24" s="1063"/>
      <c r="J24" s="880"/>
      <c r="K24" s="1033"/>
      <c r="L24" s="622"/>
      <c r="M24" s="982"/>
      <c r="N24" s="622"/>
      <c r="O24" s="1063"/>
      <c r="P24" s="622"/>
      <c r="Q24" s="982"/>
      <c r="R24" s="1028">
        <v>280</v>
      </c>
      <c r="S24" s="999"/>
      <c r="T24" s="878"/>
    </row>
    <row r="25" spans="1:42" x14ac:dyDescent="0.25">
      <c r="A25" s="247">
        <v>45905</v>
      </c>
      <c r="B25" s="876" t="s">
        <v>6762</v>
      </c>
      <c r="C25" s="879" t="s">
        <v>12</v>
      </c>
      <c r="D25" s="879" t="s">
        <v>1496</v>
      </c>
      <c r="E25" s="871" t="s">
        <v>13</v>
      </c>
      <c r="F25" s="780">
        <v>100</v>
      </c>
      <c r="G25" s="982"/>
      <c r="H25" s="1009"/>
      <c r="I25" s="1063"/>
      <c r="J25" s="613"/>
      <c r="K25" s="6"/>
      <c r="L25" s="622"/>
      <c r="M25" s="982"/>
      <c r="N25" s="622"/>
      <c r="O25" s="1063"/>
      <c r="P25" s="622"/>
      <c r="Q25" s="982"/>
      <c r="R25" s="1029"/>
    </row>
    <row r="26" spans="1:42" s="224" customFormat="1" ht="15" customHeight="1" x14ac:dyDescent="0.25">
      <c r="A26" s="247">
        <v>45905</v>
      </c>
      <c r="B26" s="1289" t="s">
        <v>2096</v>
      </c>
      <c r="C26" s="879" t="s">
        <v>12</v>
      </c>
      <c r="D26" s="1276" t="s">
        <v>1506</v>
      </c>
      <c r="E26" s="875" t="s">
        <v>13</v>
      </c>
      <c r="F26" s="1810">
        <v>50</v>
      </c>
      <c r="G26" s="967"/>
      <c r="H26" s="1008"/>
      <c r="I26" s="1063"/>
      <c r="J26" s="613"/>
      <c r="K26" s="6"/>
      <c r="L26" s="622"/>
      <c r="M26" s="982"/>
      <c r="N26" s="622"/>
      <c r="O26" s="1063"/>
      <c r="P26" s="613"/>
      <c r="Q26" s="64"/>
      <c r="R26" s="1209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customHeight="1" x14ac:dyDescent="0.25">
      <c r="A27" s="247">
        <v>45905</v>
      </c>
      <c r="B27" s="882" t="s">
        <v>7849</v>
      </c>
      <c r="C27" s="879" t="s">
        <v>12</v>
      </c>
      <c r="D27" s="879"/>
      <c r="E27" s="875" t="s">
        <v>13</v>
      </c>
      <c r="F27" s="780">
        <v>800</v>
      </c>
      <c r="G27" s="982"/>
      <c r="H27" s="1008"/>
      <c r="I27" s="1063"/>
      <c r="J27" s="622"/>
      <c r="K27" s="982">
        <v>800</v>
      </c>
      <c r="L27" s="622"/>
      <c r="M27" s="982"/>
      <c r="N27" s="622"/>
      <c r="O27" s="1063"/>
      <c r="P27" s="622"/>
      <c r="Q27" s="982"/>
      <c r="R27" s="861"/>
    </row>
    <row r="28" spans="1:42" s="224" customFormat="1" ht="15" customHeight="1" x14ac:dyDescent="0.25">
      <c r="A28" s="247">
        <v>45905</v>
      </c>
      <c r="B28" s="1917" t="s">
        <v>6130</v>
      </c>
      <c r="C28" s="879" t="s">
        <v>12</v>
      </c>
      <c r="D28" s="2813" t="s">
        <v>1491</v>
      </c>
      <c r="E28" s="957" t="s">
        <v>13</v>
      </c>
      <c r="F28" s="2809">
        <v>33.979999999999997</v>
      </c>
      <c r="G28" s="967"/>
      <c r="H28" s="1008"/>
      <c r="I28" s="1063"/>
      <c r="J28" s="613"/>
      <c r="K28" s="6"/>
      <c r="L28" s="622"/>
      <c r="M28" s="982"/>
      <c r="N28" s="622"/>
      <c r="O28" s="1063"/>
      <c r="P28" s="613"/>
      <c r="Q28" s="64"/>
      <c r="R28" s="1028" t="s">
        <v>7137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" customHeight="1" x14ac:dyDescent="0.25">
      <c r="A29" s="247">
        <v>45905</v>
      </c>
      <c r="B29" s="1917" t="s">
        <v>7799</v>
      </c>
      <c r="C29" s="879" t="s">
        <v>12</v>
      </c>
      <c r="D29" s="2813" t="s">
        <v>1504</v>
      </c>
      <c r="E29" s="957" t="s">
        <v>13</v>
      </c>
      <c r="F29" s="2809">
        <v>43</v>
      </c>
      <c r="G29" s="967"/>
      <c r="H29" s="1008"/>
      <c r="I29" s="1063"/>
      <c r="J29" s="613"/>
      <c r="K29" s="6"/>
      <c r="L29" s="622"/>
      <c r="M29" s="982"/>
      <c r="N29" s="622"/>
      <c r="O29" s="1063"/>
      <c r="P29" s="613"/>
      <c r="Q29" s="64"/>
      <c r="R29" s="1028" t="s">
        <v>7137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45905</v>
      </c>
      <c r="B30" s="1917" t="s">
        <v>7885</v>
      </c>
      <c r="C30" s="879" t="s">
        <v>12</v>
      </c>
      <c r="D30" s="2813" t="s">
        <v>1504</v>
      </c>
      <c r="E30" s="957" t="s">
        <v>13</v>
      </c>
      <c r="F30" s="2809">
        <v>20.9</v>
      </c>
      <c r="G30" s="967"/>
      <c r="H30" s="1008"/>
      <c r="I30" s="1063"/>
      <c r="J30" s="613"/>
      <c r="K30" s="6"/>
      <c r="L30" s="622"/>
      <c r="M30" s="982"/>
      <c r="N30" s="622"/>
      <c r="O30" s="1063"/>
      <c r="P30" s="613"/>
      <c r="Q30" s="64"/>
      <c r="R30" s="1028" t="s">
        <v>7137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45905</v>
      </c>
      <c r="B31" s="1917" t="s">
        <v>7892</v>
      </c>
      <c r="C31" s="879" t="s">
        <v>12</v>
      </c>
      <c r="D31" s="2813" t="s">
        <v>1504</v>
      </c>
      <c r="E31" s="957" t="s">
        <v>13</v>
      </c>
      <c r="F31" s="2809">
        <v>9.99</v>
      </c>
      <c r="G31" s="967"/>
      <c r="H31" s="1008"/>
      <c r="I31" s="1063"/>
      <c r="J31" s="613"/>
      <c r="K31" s="6"/>
      <c r="L31" s="622"/>
      <c r="M31" s="982"/>
      <c r="N31" s="622"/>
      <c r="O31" s="1063"/>
      <c r="P31" s="613"/>
      <c r="Q31" s="64"/>
      <c r="R31" s="1028" t="s">
        <v>7137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45905</v>
      </c>
      <c r="B32" s="882" t="s">
        <v>8189</v>
      </c>
      <c r="C32" s="879" t="s">
        <v>12</v>
      </c>
      <c r="D32" s="879" t="s">
        <v>6731</v>
      </c>
      <c r="E32" s="957" t="s">
        <v>13</v>
      </c>
      <c r="F32" s="780">
        <v>63.4</v>
      </c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861"/>
    </row>
    <row r="33" spans="1:42" s="224" customFormat="1" ht="15" customHeight="1" x14ac:dyDescent="0.25">
      <c r="A33" s="247">
        <v>45905</v>
      </c>
      <c r="B33" s="1275" t="s">
        <v>32</v>
      </c>
      <c r="C33" s="1276" t="s">
        <v>12</v>
      </c>
      <c r="D33" s="1276" t="s">
        <v>1485</v>
      </c>
      <c r="E33" s="875" t="s">
        <v>13</v>
      </c>
      <c r="F33" s="780">
        <v>23</v>
      </c>
      <c r="G33" s="982"/>
      <c r="H33" s="622"/>
      <c r="I33" s="982"/>
      <c r="J33" s="622"/>
      <c r="K33" s="982"/>
      <c r="L33" s="622"/>
      <c r="M33" s="982"/>
      <c r="N33" s="880"/>
      <c r="O33" s="1525"/>
      <c r="P33" s="613"/>
      <c r="Q33" s="162"/>
      <c r="R33" s="1956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45905</v>
      </c>
      <c r="B34" s="882" t="s">
        <v>14</v>
      </c>
      <c r="C34" s="879" t="s">
        <v>12</v>
      </c>
      <c r="D34" s="879" t="s">
        <v>1486</v>
      </c>
      <c r="E34" s="871" t="s">
        <v>13</v>
      </c>
      <c r="F34" s="780">
        <v>10.39</v>
      </c>
      <c r="G34" s="982"/>
      <c r="H34" s="622"/>
      <c r="I34" s="982"/>
      <c r="J34" s="622"/>
      <c r="K34" s="982"/>
      <c r="L34" s="622"/>
      <c r="M34" s="982"/>
      <c r="N34" s="880"/>
      <c r="O34" s="1525"/>
      <c r="P34" s="613"/>
      <c r="Q34" s="162"/>
      <c r="R34" s="1956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224" customFormat="1" ht="15" customHeight="1" x14ac:dyDescent="0.25">
      <c r="A35" s="247">
        <v>45905</v>
      </c>
      <c r="B35" s="882" t="s">
        <v>8238</v>
      </c>
      <c r="C35" s="879" t="s">
        <v>12</v>
      </c>
      <c r="D35" s="879" t="s">
        <v>1493</v>
      </c>
      <c r="E35" s="871" t="s">
        <v>13</v>
      </c>
      <c r="F35" s="780">
        <v>22.9</v>
      </c>
      <c r="G35" s="982"/>
      <c r="H35" s="622"/>
      <c r="I35" s="982"/>
      <c r="J35" s="622"/>
      <c r="K35" s="982"/>
      <c r="L35" s="622"/>
      <c r="M35" s="982"/>
      <c r="N35" s="880"/>
      <c r="O35" s="1525"/>
      <c r="P35" s="613"/>
      <c r="Q35" s="162"/>
      <c r="R35" s="1956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45906</v>
      </c>
      <c r="B36" s="1275" t="s">
        <v>3453</v>
      </c>
      <c r="C36" s="1276" t="s">
        <v>12</v>
      </c>
      <c r="D36" s="1276" t="s">
        <v>1485</v>
      </c>
      <c r="E36" s="875" t="s">
        <v>13</v>
      </c>
      <c r="F36" s="780">
        <v>20</v>
      </c>
      <c r="G36" s="982"/>
      <c r="H36" s="622"/>
      <c r="I36" s="982"/>
      <c r="J36" s="622"/>
      <c r="K36" s="982"/>
      <c r="L36" s="622"/>
      <c r="M36" s="982"/>
      <c r="N36" s="880"/>
      <c r="O36" s="1525"/>
      <c r="P36" s="613"/>
      <c r="Q36" s="162"/>
      <c r="R36" s="195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45906</v>
      </c>
      <c r="B37" s="882" t="s">
        <v>8207</v>
      </c>
      <c r="C37" s="879" t="s">
        <v>12</v>
      </c>
      <c r="D37" s="879" t="s">
        <v>6731</v>
      </c>
      <c r="E37" s="875" t="s">
        <v>15</v>
      </c>
      <c r="F37" s="780">
        <v>37</v>
      </c>
      <c r="G37" s="982"/>
      <c r="H37" s="622"/>
      <c r="I37" s="982"/>
      <c r="J37" s="1116"/>
      <c r="K37" s="1207"/>
      <c r="L37" s="622"/>
      <c r="M37" s="982"/>
      <c r="N37" s="622"/>
      <c r="O37" s="1063"/>
      <c r="P37" s="880"/>
      <c r="Q37" s="1033"/>
      <c r="R37" s="927"/>
      <c r="T37" s="878"/>
    </row>
    <row r="38" spans="1:42" s="224" customFormat="1" ht="15" customHeight="1" x14ac:dyDescent="0.25">
      <c r="A38" s="247">
        <v>45906</v>
      </c>
      <c r="B38" s="882" t="s">
        <v>443</v>
      </c>
      <c r="C38" s="879" t="s">
        <v>12</v>
      </c>
      <c r="D38" s="879" t="s">
        <v>1493</v>
      </c>
      <c r="E38" s="871" t="s">
        <v>13</v>
      </c>
      <c r="F38" s="780">
        <v>8.94</v>
      </c>
      <c r="G38" s="982"/>
      <c r="H38" s="622"/>
      <c r="I38" s="982"/>
      <c r="J38" s="622"/>
      <c r="K38" s="982"/>
      <c r="L38" s="622"/>
      <c r="M38" s="982"/>
      <c r="N38" s="880"/>
      <c r="O38" s="1525"/>
      <c r="P38" s="613"/>
      <c r="Q38" s="162"/>
      <c r="R38" s="1956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45907</v>
      </c>
      <c r="B39" s="882" t="s">
        <v>14</v>
      </c>
      <c r="C39" s="879" t="s">
        <v>12</v>
      </c>
      <c r="D39" s="879" t="s">
        <v>1486</v>
      </c>
      <c r="E39" s="871" t="s">
        <v>13</v>
      </c>
      <c r="F39" s="780">
        <v>8.82</v>
      </c>
      <c r="G39" s="982"/>
      <c r="H39" s="622"/>
      <c r="I39" s="982"/>
      <c r="J39" s="622"/>
      <c r="K39" s="982"/>
      <c r="L39" s="622"/>
      <c r="M39" s="982"/>
      <c r="N39" s="880"/>
      <c r="O39" s="1525"/>
      <c r="P39" s="613"/>
      <c r="Q39" s="162"/>
      <c r="R39" s="1956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" customHeight="1" x14ac:dyDescent="0.25">
      <c r="A40" s="247">
        <v>45907</v>
      </c>
      <c r="B40" s="1275" t="s">
        <v>32</v>
      </c>
      <c r="C40" s="1276" t="s">
        <v>12</v>
      </c>
      <c r="D40" s="1276" t="s">
        <v>1485</v>
      </c>
      <c r="E40" s="875" t="s">
        <v>15</v>
      </c>
      <c r="F40" s="780">
        <v>20</v>
      </c>
      <c r="G40" s="982"/>
      <c r="H40" s="622"/>
      <c r="I40" s="982"/>
      <c r="J40" s="622"/>
      <c r="K40" s="982"/>
      <c r="L40" s="622"/>
      <c r="M40" s="982"/>
      <c r="N40" s="880"/>
      <c r="O40" s="1525"/>
      <c r="P40" s="613"/>
      <c r="Q40" s="162"/>
      <c r="R40" s="1956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45907</v>
      </c>
      <c r="B41" s="882" t="s">
        <v>443</v>
      </c>
      <c r="C41" s="879" t="s">
        <v>12</v>
      </c>
      <c r="D41" s="879" t="s">
        <v>1493</v>
      </c>
      <c r="E41" s="871" t="s">
        <v>13</v>
      </c>
      <c r="F41" s="780">
        <v>8.94</v>
      </c>
      <c r="G41" s="982"/>
      <c r="H41" s="95"/>
      <c r="I41" s="1064"/>
      <c r="J41" s="622"/>
      <c r="K41" s="982"/>
      <c r="L41" s="622"/>
      <c r="M41" s="982"/>
      <c r="N41" s="622"/>
      <c r="O41" s="1063"/>
      <c r="P41" s="622"/>
      <c r="Q41" s="982"/>
      <c r="R41" s="861"/>
    </row>
    <row r="42" spans="1:42" s="224" customFormat="1" x14ac:dyDescent="0.25">
      <c r="A42" s="247">
        <v>45907</v>
      </c>
      <c r="B42" s="1275" t="s">
        <v>8193</v>
      </c>
      <c r="C42" s="879" t="s">
        <v>12</v>
      </c>
      <c r="D42" s="1276" t="s">
        <v>1493</v>
      </c>
      <c r="E42" s="1277" t="s">
        <v>5470</v>
      </c>
      <c r="F42" s="1810">
        <v>11.71</v>
      </c>
      <c r="G42" s="982"/>
      <c r="H42" s="1008"/>
      <c r="I42" s="1063"/>
      <c r="J42" s="2013"/>
      <c r="K42" s="1207"/>
      <c r="L42" s="622"/>
      <c r="M42" s="982"/>
      <c r="N42" s="622"/>
      <c r="O42" s="1063"/>
      <c r="P42" s="622"/>
      <c r="Q42" s="982"/>
      <c r="R42" s="1028"/>
      <c r="T42" s="878"/>
    </row>
    <row r="43" spans="1:42" s="224" customFormat="1" ht="15" customHeight="1" x14ac:dyDescent="0.25">
      <c r="A43" s="247">
        <v>45908</v>
      </c>
      <c r="B43" s="882" t="s">
        <v>8243</v>
      </c>
      <c r="C43" s="879" t="s">
        <v>12</v>
      </c>
      <c r="D43" s="879" t="s">
        <v>1489</v>
      </c>
      <c r="E43" s="875" t="s">
        <v>13</v>
      </c>
      <c r="F43" s="780">
        <v>20</v>
      </c>
      <c r="G43" s="982"/>
      <c r="H43" s="95"/>
      <c r="I43" s="1064"/>
      <c r="J43" s="613"/>
      <c r="K43" s="982"/>
      <c r="L43" s="622"/>
      <c r="M43" s="982"/>
      <c r="N43" s="622"/>
      <c r="O43" s="1063"/>
      <c r="P43" s="622"/>
      <c r="Q43" s="982"/>
      <c r="R43" s="861"/>
    </row>
    <row r="44" spans="1:42" s="224" customFormat="1" ht="15" customHeight="1" x14ac:dyDescent="0.25">
      <c r="A44" s="247">
        <v>45908</v>
      </c>
      <c r="B44" s="882" t="s">
        <v>8241</v>
      </c>
      <c r="C44" s="879" t="s">
        <v>12</v>
      </c>
      <c r="D44" s="879" t="s">
        <v>1525</v>
      </c>
      <c r="E44" s="875" t="s">
        <v>13</v>
      </c>
      <c r="F44" s="780">
        <v>35</v>
      </c>
      <c r="G44" s="982"/>
      <c r="H44" s="1008"/>
      <c r="I44" s="1063"/>
      <c r="J44" s="613"/>
      <c r="K44" s="982"/>
      <c r="L44" s="622"/>
      <c r="M44" s="982"/>
      <c r="N44" s="622"/>
      <c r="O44" s="1063"/>
      <c r="P44" s="622"/>
      <c r="Q44" s="982"/>
      <c r="R44" s="861"/>
    </row>
    <row r="45" spans="1:42" s="224" customFormat="1" x14ac:dyDescent="0.25">
      <c r="A45" s="247">
        <v>45908</v>
      </c>
      <c r="B45" s="1275" t="s">
        <v>8242</v>
      </c>
      <c r="C45" s="879" t="s">
        <v>12</v>
      </c>
      <c r="D45" s="1276" t="s">
        <v>6731</v>
      </c>
      <c r="E45" s="1286" t="s">
        <v>13</v>
      </c>
      <c r="F45" s="780">
        <v>21.66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028"/>
      <c r="T45" s="878"/>
    </row>
    <row r="46" spans="1:42" s="224" customFormat="1" ht="15" customHeight="1" x14ac:dyDescent="0.25">
      <c r="A46" s="247">
        <v>45908</v>
      </c>
      <c r="B46" s="1275" t="s">
        <v>32</v>
      </c>
      <c r="C46" s="1276" t="s">
        <v>12</v>
      </c>
      <c r="D46" s="1276" t="s">
        <v>1485</v>
      </c>
      <c r="E46" s="875" t="s">
        <v>13</v>
      </c>
      <c r="F46" s="780">
        <v>23</v>
      </c>
      <c r="G46" s="982"/>
      <c r="H46" s="622"/>
      <c r="I46" s="982"/>
      <c r="J46" s="622"/>
      <c r="K46" s="982"/>
      <c r="L46" s="622"/>
      <c r="M46" s="982"/>
      <c r="N46" s="880"/>
      <c r="O46" s="1525"/>
      <c r="P46" s="613"/>
      <c r="Q46" s="162"/>
      <c r="R46" s="195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 spans="1:42" s="224" customFormat="1" ht="15" customHeight="1" x14ac:dyDescent="0.25">
      <c r="A47" s="247">
        <v>45908</v>
      </c>
      <c r="B47" s="882" t="s">
        <v>14</v>
      </c>
      <c r="C47" s="879" t="s">
        <v>12</v>
      </c>
      <c r="D47" s="879" t="s">
        <v>1486</v>
      </c>
      <c r="E47" s="871" t="s">
        <v>13</v>
      </c>
      <c r="F47" s="780">
        <v>9.44</v>
      </c>
      <c r="G47" s="982"/>
      <c r="H47" s="622"/>
      <c r="I47" s="982"/>
      <c r="J47" s="622"/>
      <c r="K47" s="982"/>
      <c r="L47" s="622"/>
      <c r="M47" s="982"/>
      <c r="N47" s="880"/>
      <c r="O47" s="1525"/>
      <c r="P47" s="613"/>
      <c r="Q47" s="162"/>
      <c r="R47" s="1956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customHeight="1" x14ac:dyDescent="0.25">
      <c r="A48" s="247">
        <v>45909</v>
      </c>
      <c r="B48" s="882" t="s">
        <v>6329</v>
      </c>
      <c r="C48" s="879" t="s">
        <v>12</v>
      </c>
      <c r="D48" s="879"/>
      <c r="E48" s="875" t="s">
        <v>25</v>
      </c>
      <c r="F48" s="780"/>
      <c r="G48" s="982">
        <v>125</v>
      </c>
      <c r="H48" s="1008"/>
      <c r="I48" s="1063"/>
      <c r="J48" s="613"/>
      <c r="K48" s="982"/>
      <c r="L48" s="622"/>
      <c r="M48" s="982"/>
      <c r="N48" s="622"/>
      <c r="O48" s="1063"/>
      <c r="P48" s="622"/>
      <c r="Q48" s="982"/>
      <c r="R48" s="861"/>
    </row>
    <row r="49" spans="1:42" s="224" customFormat="1" ht="15" customHeight="1" x14ac:dyDescent="0.25">
      <c r="A49" s="247">
        <v>45909</v>
      </c>
      <c r="B49" s="1275" t="s">
        <v>32</v>
      </c>
      <c r="C49" s="1276" t="s">
        <v>12</v>
      </c>
      <c r="D49" s="1276" t="s">
        <v>1485</v>
      </c>
      <c r="E49" s="875" t="s">
        <v>13</v>
      </c>
      <c r="F49" s="780">
        <v>23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95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45909</v>
      </c>
      <c r="B50" s="882" t="s">
        <v>14</v>
      </c>
      <c r="C50" s="879" t="s">
        <v>12</v>
      </c>
      <c r="D50" s="879" t="s">
        <v>1486</v>
      </c>
      <c r="E50" s="871" t="s">
        <v>13</v>
      </c>
      <c r="F50" s="780">
        <v>11.08</v>
      </c>
      <c r="G50" s="982"/>
      <c r="H50" s="622"/>
      <c r="I50" s="982"/>
      <c r="J50" s="622"/>
      <c r="K50" s="982"/>
      <c r="L50" s="622"/>
      <c r="M50" s="982"/>
      <c r="N50" s="880"/>
      <c r="O50" s="1525"/>
      <c r="P50" s="613"/>
      <c r="Q50" s="162"/>
      <c r="R50" s="1956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47">
        <v>45910</v>
      </c>
      <c r="B51" s="882" t="s">
        <v>8248</v>
      </c>
      <c r="C51" s="879" t="s">
        <v>12</v>
      </c>
      <c r="D51" s="879"/>
      <c r="E51" s="875" t="s">
        <v>13</v>
      </c>
      <c r="F51" s="780"/>
      <c r="G51" s="982">
        <v>158.30000000000001</v>
      </c>
      <c r="H51" s="1008"/>
      <c r="I51" s="1063"/>
      <c r="J51" s="622">
        <v>158.30000000000001</v>
      </c>
      <c r="K51" s="982"/>
      <c r="L51" s="622"/>
      <c r="M51" s="982"/>
      <c r="N51" s="622"/>
      <c r="O51" s="1063"/>
      <c r="P51" s="622"/>
      <c r="Q51" s="982"/>
      <c r="R51" s="941"/>
    </row>
    <row r="52" spans="1:42" s="224" customFormat="1" ht="15" customHeight="1" x14ac:dyDescent="0.25">
      <c r="A52" s="247">
        <v>45910</v>
      </c>
      <c r="B52" s="882" t="s">
        <v>8245</v>
      </c>
      <c r="C52" s="879" t="s">
        <v>12</v>
      </c>
      <c r="D52" s="879" t="s">
        <v>1524</v>
      </c>
      <c r="E52" s="871" t="s">
        <v>13</v>
      </c>
      <c r="F52" s="613">
        <v>24.9</v>
      </c>
      <c r="G52" s="967"/>
      <c r="H52" s="1008"/>
      <c r="I52" s="1063"/>
      <c r="J52" s="622"/>
      <c r="K52" s="982"/>
      <c r="L52" s="880"/>
      <c r="M52" s="1033"/>
      <c r="N52" s="880"/>
      <c r="O52" s="1525"/>
      <c r="P52" s="613"/>
      <c r="Q52" s="162"/>
      <c r="R52" s="1956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 spans="1:42" s="224" customFormat="1" ht="15" customHeight="1" x14ac:dyDescent="0.25">
      <c r="A53" s="247">
        <v>45910</v>
      </c>
      <c r="B53" s="882" t="s">
        <v>8246</v>
      </c>
      <c r="C53" s="879" t="s">
        <v>12</v>
      </c>
      <c r="D53" s="879" t="s">
        <v>1524</v>
      </c>
      <c r="E53" s="871" t="s">
        <v>13</v>
      </c>
      <c r="F53" s="780">
        <v>61.7</v>
      </c>
      <c r="G53" s="982"/>
      <c r="H53" s="1008"/>
      <c r="I53" s="1063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45910</v>
      </c>
      <c r="B54" s="882" t="s">
        <v>8247</v>
      </c>
      <c r="C54" s="879" t="s">
        <v>12</v>
      </c>
      <c r="D54" s="879" t="s">
        <v>1524</v>
      </c>
      <c r="E54" s="871" t="s">
        <v>13</v>
      </c>
      <c r="F54" s="613">
        <v>71.7</v>
      </c>
      <c r="G54" s="967"/>
      <c r="H54" s="1008"/>
      <c r="I54" s="1063"/>
      <c r="J54" s="622"/>
      <c r="K54" s="982"/>
      <c r="L54" s="880"/>
      <c r="M54" s="1033"/>
      <c r="N54" s="880"/>
      <c r="O54" s="1525"/>
      <c r="P54" s="613"/>
      <c r="Q54" s="162"/>
      <c r="R54" s="195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customHeight="1" x14ac:dyDescent="0.25">
      <c r="A55" s="247">
        <v>45910</v>
      </c>
      <c r="B55" s="1275" t="s">
        <v>32</v>
      </c>
      <c r="C55" s="1276" t="s">
        <v>12</v>
      </c>
      <c r="D55" s="1276" t="s">
        <v>1485</v>
      </c>
      <c r="E55" s="875" t="s">
        <v>13</v>
      </c>
      <c r="F55" s="780">
        <v>23</v>
      </c>
      <c r="G55" s="982"/>
      <c r="H55" s="622"/>
      <c r="I55" s="982"/>
      <c r="J55" s="622"/>
      <c r="K55" s="982"/>
      <c r="L55" s="622"/>
      <c r="M55" s="982"/>
      <c r="N55" s="880"/>
      <c r="O55" s="1525"/>
      <c r="P55" s="613"/>
      <c r="Q55" s="162"/>
      <c r="R55" s="195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t="15" customHeight="1" x14ac:dyDescent="0.25">
      <c r="A56" s="247">
        <v>45910</v>
      </c>
      <c r="B56" s="882" t="s">
        <v>14</v>
      </c>
      <c r="C56" s="879" t="s">
        <v>12</v>
      </c>
      <c r="D56" s="879" t="s">
        <v>1486</v>
      </c>
      <c r="E56" s="871" t="s">
        <v>13</v>
      </c>
      <c r="F56" s="780">
        <v>14.34</v>
      </c>
      <c r="G56" s="982"/>
      <c r="H56" s="622"/>
      <c r="I56" s="982"/>
      <c r="J56" s="622"/>
      <c r="K56" s="982"/>
      <c r="L56" s="622"/>
      <c r="M56" s="982"/>
      <c r="N56" s="880"/>
      <c r="O56" s="1525"/>
      <c r="P56" s="613"/>
      <c r="Q56" s="162"/>
      <c r="R56" s="19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customHeight="1" x14ac:dyDescent="0.25">
      <c r="A57" s="247">
        <v>45911</v>
      </c>
      <c r="B57" s="1275" t="s">
        <v>8254</v>
      </c>
      <c r="C57" s="1276" t="s">
        <v>12</v>
      </c>
      <c r="D57" s="1276"/>
      <c r="E57" s="1286" t="s">
        <v>13</v>
      </c>
      <c r="F57" s="613">
        <v>187.11</v>
      </c>
      <c r="G57" s="967"/>
      <c r="H57" s="1008"/>
      <c r="I57" s="1063"/>
      <c r="J57" s="613"/>
      <c r="K57" s="6"/>
      <c r="L57" s="622"/>
      <c r="M57" s="982"/>
      <c r="N57" s="622"/>
      <c r="O57" s="1063"/>
      <c r="P57" s="613"/>
      <c r="Q57" s="64"/>
      <c r="R57" s="1024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</row>
    <row r="58" spans="1:42" s="224" customFormat="1" ht="15" customHeight="1" x14ac:dyDescent="0.25">
      <c r="A58" s="247">
        <v>45911</v>
      </c>
      <c r="B58" s="1275" t="s">
        <v>6755</v>
      </c>
      <c r="C58" s="1276" t="s">
        <v>12</v>
      </c>
      <c r="D58" s="1276"/>
      <c r="E58" s="1286"/>
      <c r="F58" s="613"/>
      <c r="G58" s="967">
        <v>187.11</v>
      </c>
      <c r="H58" s="1008"/>
      <c r="I58" s="1063"/>
      <c r="J58" s="613"/>
      <c r="K58" s="6"/>
      <c r="L58" s="622"/>
      <c r="M58" s="982"/>
      <c r="N58" s="622"/>
      <c r="O58" s="1063"/>
      <c r="P58" s="613"/>
      <c r="Q58" s="64"/>
      <c r="R58" s="1024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45911</v>
      </c>
      <c r="B59" s="1275" t="s">
        <v>32</v>
      </c>
      <c r="C59" s="1276" t="s">
        <v>12</v>
      </c>
      <c r="D59" s="1276" t="s">
        <v>1485</v>
      </c>
      <c r="E59" s="875" t="s">
        <v>13</v>
      </c>
      <c r="F59" s="780">
        <v>23</v>
      </c>
      <c r="G59" s="982"/>
      <c r="H59" s="1008"/>
      <c r="I59" s="1063"/>
      <c r="J59" s="613"/>
      <c r="K59" s="982"/>
      <c r="L59" s="622"/>
      <c r="M59" s="982"/>
      <c r="N59" s="622"/>
      <c r="O59" s="1063"/>
      <c r="P59" s="622"/>
      <c r="Q59" s="982"/>
      <c r="R59" s="861"/>
    </row>
    <row r="60" spans="1:42" s="224" customFormat="1" ht="15" customHeight="1" x14ac:dyDescent="0.25">
      <c r="A60" s="247">
        <v>45911</v>
      </c>
      <c r="B60" s="882" t="s">
        <v>14</v>
      </c>
      <c r="C60" s="879" t="s">
        <v>12</v>
      </c>
      <c r="D60" s="879" t="s">
        <v>1486</v>
      </c>
      <c r="E60" s="871" t="s">
        <v>5470</v>
      </c>
      <c r="F60" s="613">
        <v>9.9</v>
      </c>
      <c r="G60" s="967"/>
      <c r="H60" s="1008"/>
      <c r="I60" s="1063"/>
      <c r="J60" s="622"/>
      <c r="K60" s="982"/>
      <c r="L60" s="880"/>
      <c r="M60" s="1033"/>
      <c r="N60" s="880"/>
      <c r="O60" s="1525"/>
      <c r="P60" s="613"/>
      <c r="Q60" s="162"/>
      <c r="R60" s="1956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</row>
    <row r="61" spans="1:42" s="224" customFormat="1" x14ac:dyDescent="0.25">
      <c r="A61" s="247">
        <v>45912</v>
      </c>
      <c r="B61" s="1275" t="s">
        <v>8166</v>
      </c>
      <c r="C61" s="879" t="s">
        <v>12</v>
      </c>
      <c r="D61" s="1276" t="s">
        <v>1489</v>
      </c>
      <c r="E61" s="1286" t="s">
        <v>13</v>
      </c>
      <c r="F61" s="780">
        <v>66.666666666666671</v>
      </c>
      <c r="G61" s="982"/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1028" t="s">
        <v>7137</v>
      </c>
      <c r="T61" s="878"/>
    </row>
    <row r="62" spans="1:42" s="224" customFormat="1" ht="15" customHeight="1" x14ac:dyDescent="0.25">
      <c r="A62" s="247">
        <v>45912</v>
      </c>
      <c r="B62" s="882" t="s">
        <v>8252</v>
      </c>
      <c r="C62" s="879" t="s">
        <v>12</v>
      </c>
      <c r="D62" s="879" t="s">
        <v>1491</v>
      </c>
      <c r="E62" s="1286" t="s">
        <v>13</v>
      </c>
      <c r="F62" s="613">
        <v>91.133333333333326</v>
      </c>
      <c r="G62" s="967"/>
      <c r="H62" s="1008"/>
      <c r="I62" s="1063"/>
      <c r="J62" s="622"/>
      <c r="K62" s="982"/>
      <c r="L62" s="880"/>
      <c r="M62" s="1033"/>
      <c r="N62" s="880"/>
      <c r="O62" s="1525"/>
      <c r="P62" s="613"/>
      <c r="Q62" s="162"/>
      <c r="R62" s="1028" t="s">
        <v>7137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5" customHeight="1" x14ac:dyDescent="0.25">
      <c r="A63" s="247">
        <v>45912</v>
      </c>
      <c r="B63" s="1275" t="s">
        <v>32</v>
      </c>
      <c r="C63" s="1276" t="s">
        <v>12</v>
      </c>
      <c r="D63" s="1276" t="s">
        <v>1485</v>
      </c>
      <c r="E63" s="875" t="s">
        <v>13</v>
      </c>
      <c r="F63" s="780">
        <v>23</v>
      </c>
      <c r="G63" s="982"/>
      <c r="H63" s="1008"/>
      <c r="I63" s="1063"/>
      <c r="J63" s="613"/>
      <c r="K63" s="982"/>
      <c r="L63" s="622"/>
      <c r="M63" s="982"/>
      <c r="N63" s="622"/>
      <c r="O63" s="1063"/>
      <c r="P63" s="622"/>
      <c r="Q63" s="982"/>
      <c r="R63" s="861"/>
    </row>
    <row r="64" spans="1:42" s="224" customFormat="1" ht="15" customHeight="1" x14ac:dyDescent="0.25">
      <c r="A64" s="247">
        <v>45912</v>
      </c>
      <c r="B64" s="1275" t="s">
        <v>82</v>
      </c>
      <c r="C64" s="1276" t="s">
        <v>12</v>
      </c>
      <c r="D64" s="1276" t="s">
        <v>1493</v>
      </c>
      <c r="E64" s="875" t="s">
        <v>13</v>
      </c>
      <c r="F64" s="780">
        <v>32.799999999999997</v>
      </c>
      <c r="G64" s="982"/>
      <c r="H64" s="1008"/>
      <c r="I64" s="1063"/>
      <c r="J64" s="613"/>
      <c r="K64" s="982"/>
      <c r="L64" s="622"/>
      <c r="M64" s="982"/>
      <c r="N64" s="622"/>
      <c r="O64" s="1063"/>
      <c r="P64" s="622"/>
      <c r="Q64" s="982"/>
      <c r="R64" s="861"/>
    </row>
    <row r="65" spans="1:42" s="224" customFormat="1" ht="15" customHeight="1" x14ac:dyDescent="0.25">
      <c r="A65" s="247">
        <v>45913</v>
      </c>
      <c r="B65" s="882" t="s">
        <v>14</v>
      </c>
      <c r="C65" s="879" t="s">
        <v>12</v>
      </c>
      <c r="D65" s="879" t="s">
        <v>1486</v>
      </c>
      <c r="E65" s="871" t="s">
        <v>13</v>
      </c>
      <c r="F65" s="613">
        <v>7.66</v>
      </c>
      <c r="G65" s="967"/>
      <c r="H65" s="1008"/>
      <c r="I65" s="1063"/>
      <c r="J65" s="622"/>
      <c r="K65" s="982"/>
      <c r="L65" s="880"/>
      <c r="M65" s="1033"/>
      <c r="N65" s="880"/>
      <c r="O65" s="1525"/>
      <c r="P65" s="613"/>
      <c r="Q65" s="162"/>
      <c r="R65" s="1956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45913</v>
      </c>
      <c r="B66" s="882" t="s">
        <v>2629</v>
      </c>
      <c r="C66" s="879" t="s">
        <v>12</v>
      </c>
      <c r="D66" s="879" t="s">
        <v>1489</v>
      </c>
      <c r="E66" s="875" t="s">
        <v>5470</v>
      </c>
      <c r="F66" s="780">
        <v>114.8</v>
      </c>
      <c r="G66" s="982"/>
      <c r="H66" s="95"/>
      <c r="I66" s="1064"/>
      <c r="J66" s="613"/>
      <c r="K66" s="982"/>
      <c r="L66" s="622"/>
      <c r="M66" s="982"/>
      <c r="N66" s="622"/>
      <c r="O66" s="1063"/>
      <c r="P66" s="622"/>
      <c r="Q66" s="982"/>
      <c r="R66" s="861"/>
    </row>
    <row r="67" spans="1:42" s="224" customFormat="1" ht="15" customHeight="1" x14ac:dyDescent="0.25">
      <c r="A67" s="247">
        <v>45913</v>
      </c>
      <c r="B67" s="882" t="s">
        <v>2441</v>
      </c>
      <c r="C67" s="879" t="s">
        <v>12</v>
      </c>
      <c r="D67" s="879" t="s">
        <v>1493</v>
      </c>
      <c r="E67" s="875" t="s">
        <v>13</v>
      </c>
      <c r="F67" s="780">
        <v>56.9</v>
      </c>
      <c r="G67" s="982"/>
      <c r="H67" s="622"/>
      <c r="I67" s="982"/>
      <c r="J67" s="622"/>
      <c r="K67" s="982"/>
      <c r="L67" s="622"/>
      <c r="M67" s="982"/>
      <c r="N67" s="622"/>
      <c r="O67" s="1063"/>
      <c r="P67" s="622"/>
      <c r="Q67" s="982"/>
      <c r="R67" s="1028"/>
      <c r="S67" s="959"/>
      <c r="T67" s="878"/>
      <c r="U67" s="958"/>
    </row>
    <row r="68" spans="1:42" s="224" customFormat="1" ht="15" customHeight="1" x14ac:dyDescent="0.25">
      <c r="A68" s="247">
        <v>45914</v>
      </c>
      <c r="B68" s="882" t="s">
        <v>14</v>
      </c>
      <c r="C68" s="879" t="s">
        <v>12</v>
      </c>
      <c r="D68" s="879" t="s">
        <v>1486</v>
      </c>
      <c r="E68" s="871" t="s">
        <v>13</v>
      </c>
      <c r="F68" s="613">
        <v>10.89</v>
      </c>
      <c r="G68" s="967"/>
      <c r="H68" s="1008"/>
      <c r="I68" s="1063"/>
      <c r="J68" s="622"/>
      <c r="K68" s="982"/>
      <c r="L68" s="880"/>
      <c r="M68" s="1033"/>
      <c r="N68" s="880"/>
      <c r="O68" s="1525"/>
      <c r="P68" s="613"/>
      <c r="Q68" s="162"/>
      <c r="R68" s="1956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customHeight="1" x14ac:dyDescent="0.25">
      <c r="A69" s="247">
        <v>45915</v>
      </c>
      <c r="B69" s="882" t="s">
        <v>14</v>
      </c>
      <c r="C69" s="879" t="s">
        <v>12</v>
      </c>
      <c r="D69" s="879" t="s">
        <v>1486</v>
      </c>
      <c r="E69" s="871" t="s">
        <v>13</v>
      </c>
      <c r="F69" s="613">
        <v>4.2</v>
      </c>
      <c r="G69" s="967"/>
      <c r="H69" s="1008"/>
      <c r="I69" s="1063"/>
      <c r="J69" s="622"/>
      <c r="K69" s="982"/>
      <c r="L69" s="880"/>
      <c r="M69" s="1033"/>
      <c r="N69" s="880"/>
      <c r="O69" s="1525"/>
      <c r="P69" s="613"/>
      <c r="Q69" s="162"/>
      <c r="R69" s="1956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ht="15" customHeight="1" x14ac:dyDescent="0.25">
      <c r="A70" s="247">
        <v>45916</v>
      </c>
      <c r="B70" s="882" t="s">
        <v>6329</v>
      </c>
      <c r="C70" s="879" t="s">
        <v>12</v>
      </c>
      <c r="D70" s="879"/>
      <c r="E70" s="875" t="s">
        <v>25</v>
      </c>
      <c r="F70" s="780"/>
      <c r="G70" s="982">
        <v>125</v>
      </c>
      <c r="H70" s="1008"/>
      <c r="I70" s="1063"/>
      <c r="J70" s="613"/>
      <c r="K70" s="982"/>
      <c r="L70" s="622"/>
      <c r="M70" s="982"/>
      <c r="N70" s="622"/>
      <c r="O70" s="1063"/>
      <c r="P70" s="622"/>
      <c r="Q70" s="982"/>
      <c r="R70" s="861"/>
    </row>
    <row r="71" spans="1:42" s="224" customFormat="1" ht="15" customHeight="1" x14ac:dyDescent="0.25">
      <c r="A71" s="247">
        <v>45916</v>
      </c>
      <c r="B71" s="882" t="s">
        <v>8268</v>
      </c>
      <c r="C71" s="879" t="s">
        <v>12</v>
      </c>
      <c r="D71" s="879"/>
      <c r="E71" s="871"/>
      <c r="F71" s="780"/>
      <c r="G71" s="982">
        <v>200</v>
      </c>
      <c r="H71" s="622"/>
      <c r="I71" s="982"/>
      <c r="J71" s="872"/>
      <c r="K71" s="1207"/>
      <c r="L71" s="622"/>
      <c r="M71" s="982"/>
      <c r="N71" s="622">
        <v>200</v>
      </c>
      <c r="O71" s="1063"/>
      <c r="P71" s="622"/>
      <c r="Q71" s="982"/>
      <c r="R71" s="1028"/>
      <c r="S71" s="959"/>
      <c r="T71" s="878"/>
      <c r="U71" s="958"/>
    </row>
    <row r="72" spans="1:42" s="224" customFormat="1" ht="15" customHeight="1" x14ac:dyDescent="0.25">
      <c r="A72" s="247">
        <v>45916</v>
      </c>
      <c r="B72" s="882" t="s">
        <v>8269</v>
      </c>
      <c r="C72" s="879" t="s">
        <v>12</v>
      </c>
      <c r="D72" s="879" t="s">
        <v>1489</v>
      </c>
      <c r="E72" s="871" t="s">
        <v>13</v>
      </c>
      <c r="F72" s="780">
        <v>200</v>
      </c>
      <c r="G72" s="982"/>
      <c r="H72" s="622"/>
      <c r="I72" s="982"/>
      <c r="J72" s="872"/>
      <c r="K72" s="1207"/>
      <c r="L72" s="622"/>
      <c r="M72" s="982"/>
      <c r="N72" s="622"/>
      <c r="O72" s="1063"/>
      <c r="P72" s="622"/>
      <c r="Q72" s="982"/>
      <c r="R72" s="1028"/>
      <c r="S72" s="959"/>
      <c r="T72" s="878"/>
      <c r="U72" s="958"/>
    </row>
    <row r="73" spans="1:42" s="224" customFormat="1" ht="15" customHeight="1" x14ac:dyDescent="0.25">
      <c r="A73" s="247">
        <v>45916</v>
      </c>
      <c r="B73" s="1275" t="s">
        <v>32</v>
      </c>
      <c r="C73" s="1276" t="s">
        <v>12</v>
      </c>
      <c r="D73" s="1276" t="s">
        <v>1485</v>
      </c>
      <c r="E73" s="875" t="s">
        <v>13</v>
      </c>
      <c r="F73" s="780">
        <v>23</v>
      </c>
      <c r="G73" s="982"/>
      <c r="H73" s="1008"/>
      <c r="I73" s="1063"/>
      <c r="J73" s="613"/>
      <c r="K73" s="982"/>
      <c r="L73" s="622"/>
      <c r="M73" s="982"/>
      <c r="N73" s="622"/>
      <c r="O73" s="1063"/>
      <c r="P73" s="622"/>
      <c r="Q73" s="982"/>
      <c r="R73" s="861"/>
    </row>
    <row r="74" spans="1:42" s="224" customFormat="1" ht="15" customHeight="1" x14ac:dyDescent="0.25">
      <c r="A74" s="247">
        <v>45916</v>
      </c>
      <c r="B74" s="1275" t="s">
        <v>8270</v>
      </c>
      <c r="C74" s="1276" t="s">
        <v>12</v>
      </c>
      <c r="D74" s="1276" t="s">
        <v>1506</v>
      </c>
      <c r="E74" s="875" t="s">
        <v>13</v>
      </c>
      <c r="F74" s="780">
        <v>30</v>
      </c>
      <c r="G74" s="982"/>
      <c r="H74" s="1008"/>
      <c r="I74" s="1063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45916</v>
      </c>
      <c r="B75" s="882" t="s">
        <v>14</v>
      </c>
      <c r="C75" s="879" t="s">
        <v>12</v>
      </c>
      <c r="D75" s="879" t="s">
        <v>1486</v>
      </c>
      <c r="E75" s="871" t="s">
        <v>13</v>
      </c>
      <c r="F75" s="613">
        <v>5.33</v>
      </c>
      <c r="G75" s="967"/>
      <c r="H75" s="1008"/>
      <c r="I75" s="1063"/>
      <c r="J75" s="622"/>
      <c r="K75" s="982"/>
      <c r="L75" s="880"/>
      <c r="M75" s="1033"/>
      <c r="N75" s="880"/>
      <c r="O75" s="1525"/>
      <c r="P75" s="613"/>
      <c r="Q75" s="162"/>
      <c r="R75" s="1956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ht="15" customHeight="1" x14ac:dyDescent="0.25">
      <c r="A76" s="247">
        <v>45917</v>
      </c>
      <c r="B76" s="1275" t="s">
        <v>32</v>
      </c>
      <c r="C76" s="1276" t="s">
        <v>12</v>
      </c>
      <c r="D76" s="1276" t="s">
        <v>1485</v>
      </c>
      <c r="E76" s="875" t="s">
        <v>13</v>
      </c>
      <c r="F76" s="780">
        <v>23</v>
      </c>
      <c r="G76" s="982"/>
      <c r="H76" s="1008"/>
      <c r="I76" s="1063"/>
      <c r="J76" s="613"/>
      <c r="K76" s="982"/>
      <c r="L76" s="622"/>
      <c r="M76" s="982"/>
      <c r="N76" s="622"/>
      <c r="O76" s="1063"/>
      <c r="P76" s="622"/>
      <c r="Q76" s="982"/>
      <c r="R76" s="861"/>
    </row>
    <row r="77" spans="1:42" s="224" customFormat="1" ht="15" customHeight="1" x14ac:dyDescent="0.25">
      <c r="A77" s="247">
        <v>45917</v>
      </c>
      <c r="B77" s="882" t="s">
        <v>14</v>
      </c>
      <c r="C77" s="879" t="s">
        <v>12</v>
      </c>
      <c r="D77" s="879" t="s">
        <v>1486</v>
      </c>
      <c r="E77" s="871" t="s">
        <v>13</v>
      </c>
      <c r="F77" s="780">
        <v>8.3699999999999992</v>
      </c>
      <c r="G77" s="982"/>
      <c r="H77" s="622"/>
      <c r="I77" s="982"/>
      <c r="J77" s="622"/>
      <c r="K77" s="982"/>
      <c r="L77" s="622"/>
      <c r="M77" s="982"/>
      <c r="N77" s="880"/>
      <c r="O77" s="1525"/>
      <c r="P77" s="613"/>
      <c r="Q77" s="162"/>
      <c r="R77" s="1956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 spans="1:42" s="224" customFormat="1" ht="15" customHeight="1" x14ac:dyDescent="0.25">
      <c r="A78" s="247">
        <v>45918</v>
      </c>
      <c r="B78" s="882" t="s">
        <v>32</v>
      </c>
      <c r="C78" s="879" t="s">
        <v>12</v>
      </c>
      <c r="D78" s="879" t="s">
        <v>1485</v>
      </c>
      <c r="E78" s="871" t="s">
        <v>15</v>
      </c>
      <c r="F78" s="780">
        <v>20</v>
      </c>
      <c r="G78" s="982"/>
      <c r="H78" s="622"/>
      <c r="I78" s="982"/>
      <c r="J78" s="872"/>
      <c r="K78" s="1207"/>
      <c r="L78" s="622"/>
      <c r="M78" s="982"/>
      <c r="N78" s="622"/>
      <c r="O78" s="1063"/>
      <c r="P78" s="622"/>
      <c r="Q78" s="982"/>
      <c r="R78" s="1028"/>
      <c r="S78" s="959"/>
      <c r="T78" s="878"/>
      <c r="U78" s="958"/>
    </row>
    <row r="79" spans="1:42" s="224" customFormat="1" ht="15" customHeight="1" x14ac:dyDescent="0.25">
      <c r="A79" s="247">
        <v>45918</v>
      </c>
      <c r="B79" s="882" t="s">
        <v>8193</v>
      </c>
      <c r="C79" s="879" t="s">
        <v>12</v>
      </c>
      <c r="D79" s="879" t="s">
        <v>1493</v>
      </c>
      <c r="E79" s="875" t="s">
        <v>13</v>
      </c>
      <c r="F79" s="780">
        <v>9.66</v>
      </c>
      <c r="G79" s="982"/>
      <c r="H79" s="622"/>
      <c r="I79" s="982"/>
      <c r="J79" s="622"/>
      <c r="K79" s="982"/>
      <c r="L79" s="622"/>
      <c r="M79" s="982"/>
      <c r="N79" s="880"/>
      <c r="O79" s="1525"/>
      <c r="P79" s="613"/>
      <c r="Q79" s="162"/>
      <c r="R79" s="1956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customHeight="1" x14ac:dyDescent="0.25">
      <c r="A80" s="247">
        <v>45918</v>
      </c>
      <c r="B80" s="882" t="s">
        <v>8273</v>
      </c>
      <c r="C80" s="879" t="s">
        <v>12</v>
      </c>
      <c r="D80" s="879" t="s">
        <v>1489</v>
      </c>
      <c r="E80" s="871" t="s">
        <v>13</v>
      </c>
      <c r="F80" s="780">
        <v>25.21</v>
      </c>
      <c r="G80" s="982"/>
      <c r="H80" s="622"/>
      <c r="I80" s="982"/>
      <c r="J80" s="872"/>
      <c r="K80" s="1207"/>
      <c r="L80" s="622"/>
      <c r="M80" s="982"/>
      <c r="N80" s="622"/>
      <c r="O80" s="1063"/>
      <c r="P80" s="622"/>
      <c r="Q80" s="982"/>
      <c r="R80" s="1028"/>
      <c r="S80" s="959"/>
      <c r="T80" s="878"/>
      <c r="U80" s="958"/>
    </row>
    <row r="81" spans="1:42" s="224" customFormat="1" ht="15" customHeight="1" x14ac:dyDescent="0.25">
      <c r="A81" s="247">
        <v>45918</v>
      </c>
      <c r="B81" s="882" t="s">
        <v>8268</v>
      </c>
      <c r="C81" s="879" t="s">
        <v>12</v>
      </c>
      <c r="D81" s="879"/>
      <c r="E81" s="871"/>
      <c r="F81" s="780"/>
      <c r="G81" s="982">
        <v>667</v>
      </c>
      <c r="H81" s="622"/>
      <c r="I81" s="982"/>
      <c r="J81" s="872"/>
      <c r="K81" s="1207"/>
      <c r="L81" s="622"/>
      <c r="M81" s="982"/>
      <c r="N81" s="622">
        <v>667</v>
      </c>
      <c r="O81" s="1063"/>
      <c r="P81" s="622"/>
      <c r="Q81" s="982"/>
      <c r="R81" s="1028"/>
      <c r="S81" s="959"/>
      <c r="T81" s="878"/>
      <c r="U81" s="958"/>
    </row>
    <row r="82" spans="1:42" s="224" customFormat="1" ht="15" customHeight="1" x14ac:dyDescent="0.25">
      <c r="A82" s="247">
        <v>45918</v>
      </c>
      <c r="B82" s="882" t="s">
        <v>8274</v>
      </c>
      <c r="C82" s="879" t="s">
        <v>19</v>
      </c>
      <c r="D82" s="879" t="s">
        <v>1522</v>
      </c>
      <c r="E82" s="871" t="s">
        <v>13</v>
      </c>
      <c r="F82" s="780">
        <v>667</v>
      </c>
      <c r="G82" s="982"/>
      <c r="H82" s="622"/>
      <c r="I82" s="982"/>
      <c r="J82" s="872"/>
      <c r="K82" s="1207"/>
      <c r="L82" s="622"/>
      <c r="M82" s="982"/>
      <c r="N82" s="622"/>
      <c r="O82" s="1063"/>
      <c r="P82" s="622"/>
      <c r="Q82" s="982"/>
      <c r="R82" s="1028"/>
      <c r="S82" s="959"/>
      <c r="T82" s="878"/>
      <c r="U82" s="958"/>
    </row>
    <row r="83" spans="1:42" s="224" customFormat="1" ht="15" customHeight="1" x14ac:dyDescent="0.25">
      <c r="A83" s="247">
        <v>45918</v>
      </c>
      <c r="B83" s="882" t="s">
        <v>443</v>
      </c>
      <c r="C83" s="879" t="s">
        <v>12</v>
      </c>
      <c r="D83" s="879" t="s">
        <v>1493</v>
      </c>
      <c r="E83" s="871" t="s">
        <v>13</v>
      </c>
      <c r="F83" s="780">
        <v>8.94</v>
      </c>
      <c r="G83" s="982"/>
      <c r="H83" s="622"/>
      <c r="I83" s="982"/>
      <c r="J83" s="872"/>
      <c r="K83" s="1207"/>
      <c r="L83" s="622"/>
      <c r="M83" s="982"/>
      <c r="N83" s="622"/>
      <c r="O83" s="1063"/>
      <c r="P83" s="622"/>
      <c r="Q83" s="982"/>
      <c r="R83" s="1028"/>
      <c r="S83" s="959"/>
      <c r="T83" s="878"/>
      <c r="U83" s="958"/>
    </row>
    <row r="84" spans="1:42" s="224" customFormat="1" ht="15" customHeight="1" x14ac:dyDescent="0.25">
      <c r="A84" s="247">
        <v>45919</v>
      </c>
      <c r="B84" s="882" t="s">
        <v>8227</v>
      </c>
      <c r="C84" s="350" t="s">
        <v>12</v>
      </c>
      <c r="D84" s="350"/>
      <c r="E84" s="480" t="s">
        <v>25</v>
      </c>
      <c r="F84" s="622"/>
      <c r="G84" s="982">
        <v>2520</v>
      </c>
      <c r="H84" s="1008"/>
      <c r="I84" s="1063"/>
      <c r="J84" s="622"/>
      <c r="K84" s="982"/>
      <c r="L84" s="622"/>
      <c r="M84" s="982"/>
      <c r="N84" s="622"/>
      <c r="O84" s="1063"/>
      <c r="P84" s="622"/>
      <c r="Q84" s="982"/>
      <c r="R84" s="861"/>
    </row>
    <row r="85" spans="1:42" s="224" customFormat="1" ht="15" customHeight="1" x14ac:dyDescent="0.25">
      <c r="A85" s="247">
        <v>45919</v>
      </c>
      <c r="B85" s="364" t="s">
        <v>8226</v>
      </c>
      <c r="C85" s="879" t="s">
        <v>12</v>
      </c>
      <c r="D85" s="879"/>
      <c r="E85" s="983" t="s">
        <v>25</v>
      </c>
      <c r="F85" s="780"/>
      <c r="G85" s="982"/>
      <c r="H85" s="622"/>
      <c r="I85" s="982"/>
      <c r="J85" s="2013"/>
      <c r="K85" s="1207"/>
      <c r="L85" s="622"/>
      <c r="M85" s="982"/>
      <c r="N85" s="622"/>
      <c r="O85" s="1063"/>
      <c r="P85" s="622"/>
      <c r="Q85" s="982">
        <v>504</v>
      </c>
      <c r="R85" s="927"/>
      <c r="S85" s="927"/>
      <c r="T85" s="878"/>
    </row>
    <row r="86" spans="1:42" s="224" customFormat="1" ht="15" customHeight="1" x14ac:dyDescent="0.25">
      <c r="A86" s="247">
        <v>45919</v>
      </c>
      <c r="B86" s="364" t="s">
        <v>3354</v>
      </c>
      <c r="C86" s="350" t="s">
        <v>12</v>
      </c>
      <c r="D86" s="350"/>
      <c r="E86" s="145" t="s">
        <v>25</v>
      </c>
      <c r="F86" s="613"/>
      <c r="G86" s="967"/>
      <c r="H86" s="1008"/>
      <c r="I86" s="1063"/>
      <c r="J86" s="622"/>
      <c r="K86" s="982"/>
      <c r="L86" s="880"/>
      <c r="M86" s="1033"/>
      <c r="N86" s="880"/>
      <c r="O86" s="1525"/>
      <c r="P86" s="613"/>
      <c r="Q86" s="162">
        <v>255.21</v>
      </c>
      <c r="R86" s="2018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pans="1:42" s="224" customFormat="1" ht="15" customHeight="1" x14ac:dyDescent="0.25">
      <c r="A87" s="247">
        <v>45919</v>
      </c>
      <c r="B87" s="862" t="s">
        <v>2867</v>
      </c>
      <c r="C87" s="350" t="s">
        <v>12</v>
      </c>
      <c r="D87" s="874" t="s">
        <v>1504</v>
      </c>
      <c r="E87" s="887" t="s">
        <v>13</v>
      </c>
      <c r="F87" s="780">
        <v>30</v>
      </c>
      <c r="G87" s="982"/>
      <c r="H87" s="1009"/>
      <c r="I87" s="1063"/>
      <c r="J87" s="622"/>
      <c r="K87" s="982"/>
      <c r="L87" s="853"/>
      <c r="M87" s="982"/>
      <c r="N87" s="853"/>
      <c r="O87" s="1063"/>
      <c r="P87" s="622"/>
      <c r="Q87" s="982"/>
      <c r="R87" s="1690" t="s">
        <v>8032</v>
      </c>
      <c r="S87" s="1690"/>
      <c r="T87" s="1690"/>
      <c r="U87" s="1690"/>
      <c r="V87" s="1690"/>
      <c r="W87" s="1690"/>
      <c r="X87" s="1690"/>
      <c r="Y87" s="1690"/>
      <c r="Z87" s="1690"/>
    </row>
    <row r="88" spans="1:42" s="224" customFormat="1" ht="14.25" customHeight="1" x14ac:dyDescent="0.25">
      <c r="A88" s="247">
        <v>45919</v>
      </c>
      <c r="B88" s="364" t="s">
        <v>2977</v>
      </c>
      <c r="C88" s="350" t="s">
        <v>12</v>
      </c>
      <c r="D88" s="350" t="s">
        <v>1491</v>
      </c>
      <c r="E88" s="875" t="s">
        <v>13</v>
      </c>
      <c r="F88" s="1047">
        <v>400</v>
      </c>
      <c r="G88" s="982"/>
      <c r="H88" s="1008"/>
      <c r="I88" s="1063"/>
      <c r="J88" s="622"/>
      <c r="K88" s="982"/>
      <c r="L88" s="622"/>
      <c r="M88" s="982"/>
      <c r="N88" s="622"/>
      <c r="O88" s="1063"/>
      <c r="P88" s="622"/>
      <c r="Q88" s="982"/>
      <c r="R88" s="1029"/>
      <c r="S88" s="89"/>
      <c r="T88" s="930"/>
    </row>
    <row r="89" spans="1:42" s="224" customFormat="1" ht="15" customHeight="1" x14ac:dyDescent="0.25">
      <c r="A89" s="247">
        <v>45919</v>
      </c>
      <c r="B89" s="882" t="s">
        <v>8228</v>
      </c>
      <c r="C89" s="879" t="s">
        <v>12</v>
      </c>
      <c r="D89" s="879" t="s">
        <v>1506</v>
      </c>
      <c r="E89" s="871" t="s">
        <v>13</v>
      </c>
      <c r="F89" s="780">
        <v>0</v>
      </c>
      <c r="G89" s="982"/>
      <c r="H89" s="1008"/>
      <c r="I89" s="1063"/>
      <c r="J89" s="622"/>
      <c r="K89" s="982"/>
      <c r="L89" s="622"/>
      <c r="M89" s="982"/>
      <c r="N89" s="622"/>
      <c r="O89" s="1063"/>
      <c r="P89" s="622"/>
      <c r="Q89" s="982"/>
      <c r="R89" s="1028" t="s">
        <v>7729</v>
      </c>
      <c r="T89" s="1123"/>
      <c r="U89" s="999"/>
    </row>
    <row r="90" spans="1:42" s="224" customFormat="1" ht="15" customHeight="1" x14ac:dyDescent="0.25">
      <c r="A90" s="247">
        <v>45919</v>
      </c>
      <c r="B90" s="862" t="s">
        <v>8225</v>
      </c>
      <c r="C90" s="879" t="s">
        <v>12</v>
      </c>
      <c r="D90" s="879" t="s">
        <v>1504</v>
      </c>
      <c r="E90" s="871" t="s">
        <v>13</v>
      </c>
      <c r="F90" s="780">
        <v>100</v>
      </c>
      <c r="G90" s="982"/>
      <c r="H90" s="1008"/>
      <c r="I90" s="1063"/>
      <c r="J90" s="622"/>
      <c r="K90" s="982"/>
      <c r="L90" s="622"/>
      <c r="M90" s="982"/>
      <c r="N90" s="622"/>
      <c r="O90" s="1063"/>
      <c r="P90" s="622"/>
      <c r="Q90" s="982"/>
      <c r="R90" s="1808"/>
      <c r="S90" s="1028"/>
      <c r="T90" s="1035"/>
    </row>
    <row r="91" spans="1:42" s="224" customFormat="1" ht="15" customHeight="1" x14ac:dyDescent="0.25">
      <c r="A91" s="247">
        <v>45919</v>
      </c>
      <c r="B91" s="349" t="s">
        <v>8009</v>
      </c>
      <c r="C91" s="350" t="s">
        <v>12</v>
      </c>
      <c r="D91" s="350" t="s">
        <v>1524</v>
      </c>
      <c r="E91" s="887" t="s">
        <v>13</v>
      </c>
      <c r="F91" s="613">
        <v>118.136</v>
      </c>
      <c r="G91" s="982"/>
      <c r="H91" s="872"/>
      <c r="I91" s="1063"/>
      <c r="J91" s="622"/>
      <c r="K91" s="982"/>
      <c r="L91" s="622"/>
      <c r="M91" s="982"/>
      <c r="N91" s="622"/>
      <c r="O91" s="1063"/>
      <c r="P91" s="622"/>
      <c r="Q91" s="982"/>
      <c r="R91" s="1080" t="s">
        <v>3044</v>
      </c>
      <c r="S91" s="999"/>
      <c r="T91" s="878"/>
    </row>
    <row r="92" spans="1:42" s="224" customFormat="1" ht="15" customHeight="1" x14ac:dyDescent="0.25">
      <c r="A92" s="247">
        <v>45919</v>
      </c>
      <c r="B92" s="349" t="s">
        <v>8010</v>
      </c>
      <c r="C92" s="350" t="s">
        <v>12</v>
      </c>
      <c r="D92" s="350" t="s">
        <v>1524</v>
      </c>
      <c r="E92" s="887" t="s">
        <v>13</v>
      </c>
      <c r="F92" s="613">
        <v>253.465</v>
      </c>
      <c r="G92" s="982"/>
      <c r="H92" s="872"/>
      <c r="I92" s="1063"/>
      <c r="J92" s="622"/>
      <c r="K92" s="982"/>
      <c r="L92" s="622"/>
      <c r="M92" s="982"/>
      <c r="N92" s="622"/>
      <c r="O92" s="1063"/>
      <c r="P92" s="622"/>
      <c r="Q92" s="982"/>
      <c r="R92" s="1080" t="s">
        <v>3044</v>
      </c>
      <c r="S92" s="999"/>
      <c r="T92" s="878"/>
    </row>
    <row r="93" spans="1:42" s="224" customFormat="1" ht="15" customHeight="1" x14ac:dyDescent="0.25">
      <c r="A93" s="247">
        <v>45919</v>
      </c>
      <c r="B93" s="349" t="s">
        <v>8011</v>
      </c>
      <c r="C93" s="350" t="s">
        <v>12</v>
      </c>
      <c r="D93" s="350" t="s">
        <v>1524</v>
      </c>
      <c r="E93" s="887" t="s">
        <v>13</v>
      </c>
      <c r="F93" s="613">
        <v>60.656666666666666</v>
      </c>
      <c r="G93" s="982"/>
      <c r="H93" s="872"/>
      <c r="I93" s="1063"/>
      <c r="J93" s="622"/>
      <c r="K93" s="982"/>
      <c r="L93" s="622"/>
      <c r="M93" s="982"/>
      <c r="N93" s="622"/>
      <c r="O93" s="1063"/>
      <c r="P93" s="622"/>
      <c r="Q93" s="982"/>
      <c r="R93" s="1080" t="s">
        <v>3044</v>
      </c>
      <c r="S93" s="999"/>
      <c r="T93" s="878"/>
    </row>
    <row r="94" spans="1:42" s="224" customFormat="1" ht="15" customHeight="1" x14ac:dyDescent="0.25">
      <c r="A94" s="247">
        <v>45919</v>
      </c>
      <c r="B94" s="349" t="s">
        <v>8012</v>
      </c>
      <c r="C94" s="350" t="s">
        <v>12</v>
      </c>
      <c r="D94" s="350" t="s">
        <v>1524</v>
      </c>
      <c r="E94" s="887" t="s">
        <v>13</v>
      </c>
      <c r="F94" s="613">
        <v>44.985000000000007</v>
      </c>
      <c r="G94" s="982"/>
      <c r="H94" s="872"/>
      <c r="I94" s="1063"/>
      <c r="J94" s="622"/>
      <c r="K94" s="982"/>
      <c r="L94" s="622"/>
      <c r="M94" s="982"/>
      <c r="N94" s="622"/>
      <c r="O94" s="1063"/>
      <c r="P94" s="622"/>
      <c r="Q94" s="982"/>
      <c r="R94" s="1080" t="s">
        <v>3044</v>
      </c>
      <c r="S94" s="999"/>
      <c r="T94" s="878"/>
    </row>
    <row r="95" spans="1:42" s="224" customFormat="1" ht="15" customHeight="1" x14ac:dyDescent="0.25">
      <c r="A95" s="247">
        <v>45919</v>
      </c>
      <c r="B95" s="349" t="s">
        <v>8013</v>
      </c>
      <c r="C95" s="350" t="s">
        <v>12</v>
      </c>
      <c r="D95" s="350" t="s">
        <v>1524</v>
      </c>
      <c r="E95" s="887" t="s">
        <v>13</v>
      </c>
      <c r="F95" s="613">
        <v>8.9949999999999992</v>
      </c>
      <c r="G95" s="982"/>
      <c r="H95" s="872"/>
      <c r="I95" s="1063"/>
      <c r="J95" s="622"/>
      <c r="K95" s="982"/>
      <c r="L95" s="622"/>
      <c r="M95" s="982"/>
      <c r="N95" s="622"/>
      <c r="O95" s="1063"/>
      <c r="P95" s="622"/>
      <c r="Q95" s="982"/>
      <c r="R95" s="1080" t="s">
        <v>3044</v>
      </c>
      <c r="S95" s="999"/>
      <c r="T95" s="878"/>
    </row>
    <row r="96" spans="1:42" s="224" customFormat="1" ht="15" customHeight="1" x14ac:dyDescent="0.25">
      <c r="A96" s="247">
        <v>45919</v>
      </c>
      <c r="B96" s="349" t="s">
        <v>8014</v>
      </c>
      <c r="C96" s="350" t="s">
        <v>12</v>
      </c>
      <c r="D96" s="350" t="s">
        <v>1524</v>
      </c>
      <c r="E96" s="887" t="s">
        <v>13</v>
      </c>
      <c r="F96" s="613">
        <v>8.3333333333333339</v>
      </c>
      <c r="G96" s="982"/>
      <c r="H96" s="872"/>
      <c r="I96" s="1063"/>
      <c r="J96" s="622"/>
      <c r="K96" s="982"/>
      <c r="L96" s="622"/>
      <c r="M96" s="982"/>
      <c r="N96" s="622"/>
      <c r="O96" s="1063"/>
      <c r="P96" s="622"/>
      <c r="Q96" s="982"/>
      <c r="R96" s="1080" t="s">
        <v>3044</v>
      </c>
      <c r="S96" s="999"/>
      <c r="T96" s="878"/>
    </row>
    <row r="97" spans="1:20" s="224" customFormat="1" ht="15" customHeight="1" x14ac:dyDescent="0.25">
      <c r="A97" s="247">
        <v>45919</v>
      </c>
      <c r="B97" s="349" t="s">
        <v>8015</v>
      </c>
      <c r="C97" s="350" t="s">
        <v>12</v>
      </c>
      <c r="D97" s="350" t="s">
        <v>1524</v>
      </c>
      <c r="E97" s="887" t="s">
        <v>13</v>
      </c>
      <c r="F97" s="613">
        <v>50.857142857142854</v>
      </c>
      <c r="G97" s="982"/>
      <c r="H97" s="872"/>
      <c r="I97" s="1063"/>
      <c r="J97" s="622"/>
      <c r="K97" s="982"/>
      <c r="L97" s="622"/>
      <c r="M97" s="982"/>
      <c r="N97" s="622"/>
      <c r="O97" s="1063"/>
      <c r="P97" s="622"/>
      <c r="Q97" s="982"/>
      <c r="R97" s="1080" t="s">
        <v>3044</v>
      </c>
      <c r="S97" s="999"/>
      <c r="T97" s="878"/>
    </row>
    <row r="98" spans="1:20" s="224" customFormat="1" ht="15" customHeight="1" x14ac:dyDescent="0.25">
      <c r="A98" s="247">
        <v>45919</v>
      </c>
      <c r="B98" s="349" t="s">
        <v>8016</v>
      </c>
      <c r="C98" s="350" t="s">
        <v>12</v>
      </c>
      <c r="D98" s="350" t="s">
        <v>1524</v>
      </c>
      <c r="E98" s="887" t="s">
        <v>13</v>
      </c>
      <c r="F98" s="613">
        <v>111.4</v>
      </c>
      <c r="G98" s="982"/>
      <c r="H98" s="872"/>
      <c r="I98" s="1063"/>
      <c r="J98" s="622"/>
      <c r="K98" s="982"/>
      <c r="L98" s="622"/>
      <c r="M98" s="982"/>
      <c r="N98" s="622"/>
      <c r="O98" s="1063"/>
      <c r="P98" s="622"/>
      <c r="Q98" s="982"/>
      <c r="R98" s="1080" t="s">
        <v>3044</v>
      </c>
      <c r="S98" s="999"/>
      <c r="T98" s="878"/>
    </row>
    <row r="99" spans="1:20" s="224" customFormat="1" ht="15" customHeight="1" x14ac:dyDescent="0.25">
      <c r="A99" s="247">
        <v>45919</v>
      </c>
      <c r="B99" s="349" t="s">
        <v>8131</v>
      </c>
      <c r="C99" s="350" t="s">
        <v>12</v>
      </c>
      <c r="D99" s="350" t="s">
        <v>1524</v>
      </c>
      <c r="E99" s="887" t="s">
        <v>13</v>
      </c>
      <c r="F99" s="613">
        <v>430</v>
      </c>
      <c r="G99" s="982"/>
      <c r="H99" s="872"/>
      <c r="I99" s="1063"/>
      <c r="J99" s="622"/>
      <c r="K99" s="982"/>
      <c r="L99" s="622"/>
      <c r="M99" s="982"/>
      <c r="N99" s="622"/>
      <c r="O99" s="1063"/>
      <c r="P99" s="622"/>
      <c r="Q99" s="982"/>
      <c r="R99" s="1080" t="s">
        <v>3044</v>
      </c>
      <c r="S99" s="999"/>
      <c r="T99" s="878"/>
    </row>
    <row r="100" spans="1:20" s="224" customFormat="1" ht="15" customHeight="1" x14ac:dyDescent="0.25">
      <c r="A100" s="247">
        <v>45919</v>
      </c>
      <c r="B100" s="349" t="s">
        <v>8053</v>
      </c>
      <c r="C100" s="350" t="s">
        <v>12</v>
      </c>
      <c r="D100" s="350" t="s">
        <v>1524</v>
      </c>
      <c r="E100" s="887" t="s">
        <v>13</v>
      </c>
      <c r="F100" s="613">
        <v>252.59</v>
      </c>
      <c r="G100" s="982"/>
      <c r="H100" s="872"/>
      <c r="I100" s="1063"/>
      <c r="J100" s="622"/>
      <c r="K100" s="982"/>
      <c r="L100" s="622"/>
      <c r="M100" s="982"/>
      <c r="N100" s="622"/>
      <c r="O100" s="1063"/>
      <c r="P100" s="622"/>
      <c r="Q100" s="982"/>
      <c r="R100" s="1080" t="s">
        <v>3044</v>
      </c>
      <c r="S100" s="999"/>
      <c r="T100" s="878"/>
    </row>
    <row r="101" spans="1:20" s="224" customFormat="1" ht="15" customHeight="1" x14ac:dyDescent="0.25">
      <c r="A101" s="247">
        <v>45919</v>
      </c>
      <c r="B101" s="349" t="s">
        <v>8113</v>
      </c>
      <c r="C101" s="350" t="s">
        <v>12</v>
      </c>
      <c r="D101" s="350" t="s">
        <v>1524</v>
      </c>
      <c r="E101" s="887" t="s">
        <v>13</v>
      </c>
      <c r="F101" s="613">
        <v>53.591428571428573</v>
      </c>
      <c r="G101" s="982"/>
      <c r="H101" s="872"/>
      <c r="I101" s="1063"/>
      <c r="J101" s="622"/>
      <c r="K101" s="982"/>
      <c r="L101" s="622"/>
      <c r="M101" s="982"/>
      <c r="N101" s="622"/>
      <c r="O101" s="1063"/>
      <c r="P101" s="622"/>
      <c r="Q101" s="982"/>
      <c r="R101" s="1080" t="s">
        <v>3044</v>
      </c>
      <c r="S101" s="999"/>
      <c r="T101" s="878"/>
    </row>
    <row r="102" spans="1:20" s="224" customFormat="1" ht="15" customHeight="1" x14ac:dyDescent="0.25">
      <c r="A102" s="247">
        <v>45919</v>
      </c>
      <c r="B102" s="349" t="s">
        <v>8174</v>
      </c>
      <c r="C102" s="350" t="s">
        <v>12</v>
      </c>
      <c r="D102" s="350" t="s">
        <v>1524</v>
      </c>
      <c r="E102" s="887" t="s">
        <v>13</v>
      </c>
      <c r="F102" s="613">
        <v>149.10666666666665</v>
      </c>
      <c r="G102" s="982"/>
      <c r="H102" s="872"/>
      <c r="I102" s="1063"/>
      <c r="J102" s="622"/>
      <c r="K102" s="982"/>
      <c r="L102" s="622"/>
      <c r="M102" s="982"/>
      <c r="N102" s="622"/>
      <c r="O102" s="1063"/>
      <c r="P102" s="622"/>
      <c r="Q102" s="982"/>
      <c r="R102" s="1080" t="s">
        <v>3044</v>
      </c>
      <c r="S102" s="999"/>
      <c r="T102" s="878"/>
    </row>
    <row r="103" spans="1:20" s="224" customFormat="1" ht="15" customHeight="1" x14ac:dyDescent="0.25">
      <c r="A103" s="247">
        <v>45919</v>
      </c>
      <c r="B103" s="349" t="s">
        <v>8052</v>
      </c>
      <c r="C103" s="350" t="s">
        <v>12</v>
      </c>
      <c r="D103" s="350" t="s">
        <v>1506</v>
      </c>
      <c r="E103" s="887" t="s">
        <v>13</v>
      </c>
      <c r="F103" s="613">
        <v>84.326666666666668</v>
      </c>
      <c r="G103" s="982"/>
      <c r="H103" s="872"/>
      <c r="I103" s="1063"/>
      <c r="J103" s="622"/>
      <c r="K103" s="982"/>
      <c r="L103" s="622"/>
      <c r="M103" s="982"/>
      <c r="N103" s="622"/>
      <c r="O103" s="1063"/>
      <c r="P103" s="622"/>
      <c r="Q103" s="982"/>
      <c r="R103" s="1080" t="s">
        <v>3044</v>
      </c>
      <c r="S103" s="999"/>
      <c r="T103" s="878"/>
    </row>
    <row r="104" spans="1:20" s="224" customFormat="1" ht="15" customHeight="1" x14ac:dyDescent="0.25">
      <c r="A104" s="247">
        <v>45919</v>
      </c>
      <c r="B104" s="349" t="s">
        <v>8081</v>
      </c>
      <c r="C104" s="350" t="s">
        <v>12</v>
      </c>
      <c r="D104" s="350" t="s">
        <v>1525</v>
      </c>
      <c r="E104" s="887" t="s">
        <v>13</v>
      </c>
      <c r="F104" s="613">
        <v>50.077500000000001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1080" t="s">
        <v>3044</v>
      </c>
      <c r="S104" s="999"/>
      <c r="T104" s="878"/>
    </row>
    <row r="105" spans="1:20" s="224" customFormat="1" ht="15" customHeight="1" x14ac:dyDescent="0.25">
      <c r="A105" s="247">
        <v>45919</v>
      </c>
      <c r="B105" s="349" t="s">
        <v>8152</v>
      </c>
      <c r="C105" s="350" t="s">
        <v>12</v>
      </c>
      <c r="D105" s="350" t="s">
        <v>1504</v>
      </c>
      <c r="E105" s="887" t="s">
        <v>13</v>
      </c>
      <c r="F105" s="613">
        <v>34.22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1080" t="s">
        <v>3044</v>
      </c>
      <c r="S105" s="999"/>
      <c r="T105" s="878"/>
    </row>
    <row r="106" spans="1:20" s="224" customFormat="1" ht="15" customHeight="1" x14ac:dyDescent="0.25">
      <c r="A106" s="247">
        <v>45919</v>
      </c>
      <c r="B106" s="349" t="s">
        <v>8196</v>
      </c>
      <c r="C106" s="350" t="s">
        <v>12</v>
      </c>
      <c r="D106" s="350" t="s">
        <v>1489</v>
      </c>
      <c r="E106" s="887" t="s">
        <v>13</v>
      </c>
      <c r="F106" s="613">
        <v>66.666666666666671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80" t="s">
        <v>3044</v>
      </c>
      <c r="S106" s="999"/>
      <c r="T106" s="878"/>
    </row>
    <row r="107" spans="1:20" s="224" customFormat="1" ht="15" customHeight="1" x14ac:dyDescent="0.25">
      <c r="A107" s="247">
        <v>45919</v>
      </c>
      <c r="B107" s="349" t="s">
        <v>8208</v>
      </c>
      <c r="C107" s="350" t="s">
        <v>12</v>
      </c>
      <c r="D107" s="350" t="s">
        <v>6731</v>
      </c>
      <c r="E107" s="887" t="s">
        <v>13</v>
      </c>
      <c r="F107" s="613">
        <v>78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080" t="s">
        <v>3044</v>
      </c>
      <c r="S107" s="999"/>
      <c r="T107" s="878"/>
    </row>
    <row r="108" spans="1:20" s="224" customFormat="1" ht="15" customHeight="1" x14ac:dyDescent="0.25">
      <c r="A108" s="247">
        <v>45919</v>
      </c>
      <c r="B108" s="349" t="s">
        <v>8209</v>
      </c>
      <c r="C108" s="350" t="s">
        <v>12</v>
      </c>
      <c r="D108" s="350" t="s">
        <v>1489</v>
      </c>
      <c r="E108" s="887" t="s">
        <v>13</v>
      </c>
      <c r="F108" s="613">
        <v>19.13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1080" t="s">
        <v>3044</v>
      </c>
      <c r="S108" s="999"/>
      <c r="T108" s="878"/>
    </row>
    <row r="109" spans="1:20" s="224" customFormat="1" ht="15" customHeight="1" x14ac:dyDescent="0.25">
      <c r="A109" s="247">
        <v>45919</v>
      </c>
      <c r="B109" s="349" t="s">
        <v>8239</v>
      </c>
      <c r="C109" s="350" t="s">
        <v>12</v>
      </c>
      <c r="D109" s="350" t="s">
        <v>6731</v>
      </c>
      <c r="E109" s="887" t="s">
        <v>13</v>
      </c>
      <c r="F109" s="613">
        <v>63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1080" t="s">
        <v>3044</v>
      </c>
      <c r="S109" s="999"/>
      <c r="T109" s="878"/>
    </row>
    <row r="110" spans="1:20" s="224" customFormat="1" ht="15" customHeight="1" x14ac:dyDescent="0.25">
      <c r="A110" s="247">
        <v>45919</v>
      </c>
      <c r="B110" s="349" t="s">
        <v>8240</v>
      </c>
      <c r="C110" s="350" t="s">
        <v>12</v>
      </c>
      <c r="D110" s="350" t="s">
        <v>6731</v>
      </c>
      <c r="E110" s="887" t="s">
        <v>13</v>
      </c>
      <c r="F110" s="613">
        <v>32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1080" t="s">
        <v>3044</v>
      </c>
      <c r="S110" s="999"/>
      <c r="T110" s="878"/>
    </row>
    <row r="111" spans="1:20" s="224" customFormat="1" ht="15" customHeight="1" x14ac:dyDescent="0.25">
      <c r="A111" s="247">
        <v>45919</v>
      </c>
      <c r="B111" s="349" t="s">
        <v>8255</v>
      </c>
      <c r="C111" s="350" t="s">
        <v>12</v>
      </c>
      <c r="D111" s="350" t="s">
        <v>1506</v>
      </c>
      <c r="E111" s="887" t="s">
        <v>13</v>
      </c>
      <c r="F111" s="613">
        <v>59.12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1080" t="s">
        <v>3044</v>
      </c>
      <c r="S111" s="999"/>
      <c r="T111" s="878"/>
    </row>
    <row r="112" spans="1:20" s="224" customFormat="1" ht="15" customHeight="1" x14ac:dyDescent="0.25">
      <c r="A112" s="247">
        <v>45919</v>
      </c>
      <c r="B112" s="349" t="s">
        <v>8056</v>
      </c>
      <c r="C112" s="350" t="s">
        <v>12</v>
      </c>
      <c r="D112" s="350" t="s">
        <v>1525</v>
      </c>
      <c r="E112" s="887" t="s">
        <v>13</v>
      </c>
      <c r="F112" s="613">
        <v>114.33333333333333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1080" t="s">
        <v>8275</v>
      </c>
      <c r="S112" s="999"/>
      <c r="T112" s="878"/>
    </row>
    <row r="113" spans="1:42" s="224" customFormat="1" ht="15" customHeight="1" x14ac:dyDescent="0.25">
      <c r="A113" s="247">
        <v>45919</v>
      </c>
      <c r="B113" s="349" t="s">
        <v>8076</v>
      </c>
      <c r="C113" s="350" t="s">
        <v>12</v>
      </c>
      <c r="D113" s="350" t="s">
        <v>1525</v>
      </c>
      <c r="E113" s="887" t="s">
        <v>13</v>
      </c>
      <c r="F113" s="613">
        <v>63.703999999999994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1080" t="s">
        <v>8275</v>
      </c>
      <c r="S113" s="999"/>
      <c r="T113" s="878"/>
    </row>
    <row r="114" spans="1:42" s="224" customFormat="1" ht="15" customHeight="1" x14ac:dyDescent="0.25">
      <c r="A114" s="247">
        <v>45919</v>
      </c>
      <c r="B114" s="882" t="s">
        <v>7700</v>
      </c>
      <c r="C114" s="879" t="s">
        <v>12</v>
      </c>
      <c r="D114" s="879"/>
      <c r="E114" s="875" t="s">
        <v>13</v>
      </c>
      <c r="F114" s="780">
        <v>800</v>
      </c>
      <c r="G114" s="982"/>
      <c r="H114" s="95"/>
      <c r="I114" s="1064"/>
      <c r="J114" s="622"/>
      <c r="K114" s="982">
        <v>800</v>
      </c>
      <c r="L114" s="622"/>
      <c r="M114" s="982"/>
      <c r="N114" s="622"/>
      <c r="O114" s="982"/>
      <c r="P114" s="622"/>
      <c r="Q114" s="982"/>
      <c r="R114" s="1210"/>
      <c r="S114" s="1038"/>
      <c r="T114" s="861"/>
    </row>
    <row r="115" spans="1:42" s="224" customFormat="1" ht="15" customHeight="1" x14ac:dyDescent="0.25">
      <c r="A115" s="247">
        <v>45919</v>
      </c>
      <c r="B115" s="882" t="s">
        <v>6814</v>
      </c>
      <c r="C115" s="879" t="s">
        <v>12</v>
      </c>
      <c r="D115" s="879"/>
      <c r="E115" s="875" t="s">
        <v>13</v>
      </c>
      <c r="F115" s="780"/>
      <c r="G115" s="982">
        <v>1542.12</v>
      </c>
      <c r="H115" s="1008"/>
      <c r="I115" s="1063"/>
      <c r="J115" s="622">
        <v>1542.12</v>
      </c>
      <c r="K115" s="982"/>
      <c r="L115" s="622"/>
      <c r="M115" s="982"/>
      <c r="N115" s="622"/>
      <c r="O115" s="1063"/>
      <c r="P115" s="622"/>
      <c r="Q115" s="982"/>
      <c r="R115" s="941"/>
    </row>
    <row r="116" spans="1:42" s="224" customFormat="1" ht="15" customHeight="1" x14ac:dyDescent="0.25">
      <c r="A116" s="247">
        <v>45919</v>
      </c>
      <c r="B116" s="1275" t="s">
        <v>32</v>
      </c>
      <c r="C116" s="1276" t="s">
        <v>12</v>
      </c>
      <c r="D116" s="1276" t="s">
        <v>1485</v>
      </c>
      <c r="E116" s="875" t="s">
        <v>13</v>
      </c>
      <c r="F116" s="780">
        <v>23</v>
      </c>
      <c r="G116" s="982"/>
      <c r="H116" s="1008"/>
      <c r="I116" s="1063"/>
      <c r="J116" s="613"/>
      <c r="K116" s="982"/>
      <c r="L116" s="622"/>
      <c r="M116" s="982"/>
      <c r="N116" s="622"/>
      <c r="O116" s="1063"/>
      <c r="P116" s="622"/>
      <c r="Q116" s="982"/>
      <c r="R116" s="861"/>
    </row>
    <row r="117" spans="1:42" s="224" customFormat="1" ht="15" customHeight="1" x14ac:dyDescent="0.25">
      <c r="A117" s="247">
        <v>45919</v>
      </c>
      <c r="B117" s="882" t="s">
        <v>8282</v>
      </c>
      <c r="C117" s="879" t="s">
        <v>12</v>
      </c>
      <c r="D117" s="879" t="s">
        <v>6731</v>
      </c>
      <c r="E117" s="871" t="s">
        <v>13</v>
      </c>
      <c r="F117" s="780">
        <v>12</v>
      </c>
      <c r="G117" s="982"/>
      <c r="H117" s="95"/>
      <c r="I117" s="1064"/>
      <c r="J117" s="613"/>
      <c r="K117" s="6"/>
      <c r="L117" s="622"/>
      <c r="M117" s="982"/>
      <c r="N117" s="622"/>
      <c r="O117" s="1063"/>
      <c r="P117" s="622"/>
      <c r="Q117" s="982"/>
      <c r="R117" s="861"/>
    </row>
    <row r="118" spans="1:42" s="224" customFormat="1" ht="15" customHeight="1" x14ac:dyDescent="0.25">
      <c r="A118" s="247">
        <v>45919</v>
      </c>
      <c r="B118" s="882" t="s">
        <v>14</v>
      </c>
      <c r="C118" s="879" t="s">
        <v>12</v>
      </c>
      <c r="D118" s="879" t="s">
        <v>1486</v>
      </c>
      <c r="E118" s="871" t="s">
        <v>13</v>
      </c>
      <c r="F118" s="613">
        <v>4.99</v>
      </c>
      <c r="G118" s="967"/>
      <c r="H118" s="1008"/>
      <c r="I118" s="1063"/>
      <c r="J118" s="622"/>
      <c r="K118" s="982"/>
      <c r="L118" s="880"/>
      <c r="M118" s="1033"/>
      <c r="N118" s="880"/>
      <c r="O118" s="1525"/>
      <c r="P118" s="613"/>
      <c r="Q118" s="162"/>
      <c r="R118" s="1956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</row>
    <row r="119" spans="1:42" s="224" customFormat="1" ht="15" customHeight="1" x14ac:dyDescent="0.25">
      <c r="A119" s="247">
        <v>45919</v>
      </c>
      <c r="B119" s="882" t="s">
        <v>8285</v>
      </c>
      <c r="C119" s="879" t="s">
        <v>12</v>
      </c>
      <c r="D119" s="879" t="s">
        <v>1489</v>
      </c>
      <c r="E119" s="871" t="s">
        <v>13</v>
      </c>
      <c r="F119" s="613">
        <v>63.9</v>
      </c>
      <c r="G119" s="967"/>
      <c r="H119" s="1008"/>
      <c r="I119" s="1063"/>
      <c r="J119" s="622"/>
      <c r="K119" s="982"/>
      <c r="L119" s="880"/>
      <c r="M119" s="1033"/>
      <c r="N119" s="880"/>
      <c r="O119" s="1525"/>
      <c r="P119" s="613"/>
      <c r="Q119" s="162"/>
      <c r="R119" s="1956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</row>
    <row r="120" spans="1:42" s="224" customFormat="1" ht="15" customHeight="1" x14ac:dyDescent="0.25">
      <c r="A120" s="247">
        <v>45919</v>
      </c>
      <c r="B120" s="1275" t="s">
        <v>8283</v>
      </c>
      <c r="C120" s="1276" t="s">
        <v>12</v>
      </c>
      <c r="D120" s="1276"/>
      <c r="E120" s="1286" t="s">
        <v>13</v>
      </c>
      <c r="F120" s="613">
        <v>124.74</v>
      </c>
      <c r="G120" s="967"/>
      <c r="H120" s="1008"/>
      <c r="I120" s="1063"/>
      <c r="J120" s="613"/>
      <c r="K120" s="6"/>
      <c r="L120" s="622"/>
      <c r="M120" s="982"/>
      <c r="N120" s="622"/>
      <c r="O120" s="1063"/>
      <c r="P120" s="613"/>
      <c r="Q120" s="64"/>
      <c r="R120" s="1024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</row>
    <row r="121" spans="1:42" s="224" customFormat="1" ht="15" customHeight="1" x14ac:dyDescent="0.25">
      <c r="A121" s="247">
        <v>45919</v>
      </c>
      <c r="B121" s="1275" t="s">
        <v>6755</v>
      </c>
      <c r="C121" s="1276" t="s">
        <v>12</v>
      </c>
      <c r="D121" s="1276"/>
      <c r="E121" s="1286"/>
      <c r="F121" s="613"/>
      <c r="G121" s="967">
        <v>124.74</v>
      </c>
      <c r="H121" s="1008"/>
      <c r="I121" s="1063"/>
      <c r="J121" s="613"/>
      <c r="K121" s="6"/>
      <c r="L121" s="622"/>
      <c r="M121" s="982"/>
      <c r="N121" s="622"/>
      <c r="O121" s="1063"/>
      <c r="P121" s="613"/>
      <c r="Q121" s="64"/>
      <c r="R121" s="1024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</row>
    <row r="122" spans="1:42" s="224" customFormat="1" ht="15" customHeight="1" x14ac:dyDescent="0.25">
      <c r="A122" s="247">
        <v>45920</v>
      </c>
      <c r="B122" s="882" t="s">
        <v>14</v>
      </c>
      <c r="C122" s="879" t="s">
        <v>12</v>
      </c>
      <c r="D122" s="879" t="s">
        <v>1486</v>
      </c>
      <c r="E122" s="871" t="s">
        <v>13</v>
      </c>
      <c r="F122" s="613">
        <v>5.18</v>
      </c>
      <c r="G122" s="967"/>
      <c r="H122" s="1008"/>
      <c r="I122" s="1063"/>
      <c r="J122" s="622"/>
      <c r="K122" s="982"/>
      <c r="L122" s="880"/>
      <c r="M122" s="1033"/>
      <c r="N122" s="880"/>
      <c r="O122" s="1525"/>
      <c r="P122" s="613"/>
      <c r="Q122" s="162"/>
      <c r="R122" s="1956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</row>
    <row r="123" spans="1:42" s="224" customFormat="1" ht="15" customHeight="1" x14ac:dyDescent="0.25">
      <c r="A123" s="247">
        <v>45920</v>
      </c>
      <c r="B123" s="882" t="s">
        <v>3455</v>
      </c>
      <c r="C123" s="879" t="s">
        <v>12</v>
      </c>
      <c r="D123" s="879" t="s">
        <v>1523</v>
      </c>
      <c r="E123" s="871" t="s">
        <v>13</v>
      </c>
      <c r="F123" s="780">
        <v>38</v>
      </c>
      <c r="G123" s="982"/>
      <c r="H123" s="95"/>
      <c r="I123" s="1064"/>
      <c r="J123" s="613"/>
      <c r="K123" s="6"/>
      <c r="L123" s="622"/>
      <c r="M123" s="982"/>
      <c r="N123" s="622"/>
      <c r="O123" s="1063"/>
      <c r="P123" s="622"/>
      <c r="Q123" s="982"/>
      <c r="R123" s="861"/>
    </row>
    <row r="124" spans="1:42" s="224" customFormat="1" ht="15" customHeight="1" x14ac:dyDescent="0.25">
      <c r="A124" s="247">
        <v>45920</v>
      </c>
      <c r="B124" s="882" t="s">
        <v>3455</v>
      </c>
      <c r="C124" s="879" t="s">
        <v>12</v>
      </c>
      <c r="D124" s="879" t="s">
        <v>1523</v>
      </c>
      <c r="E124" s="871" t="s">
        <v>13</v>
      </c>
      <c r="F124" s="780">
        <v>45</v>
      </c>
      <c r="G124" s="982"/>
      <c r="H124" s="95"/>
      <c r="I124" s="1064"/>
      <c r="J124" s="613"/>
      <c r="K124" s="6"/>
      <c r="L124" s="622"/>
      <c r="M124" s="982"/>
      <c r="N124" s="622"/>
      <c r="O124" s="1063"/>
      <c r="P124" s="622"/>
      <c r="Q124" s="982"/>
      <c r="R124" s="861"/>
    </row>
    <row r="125" spans="1:42" s="224" customFormat="1" ht="15" customHeight="1" x14ac:dyDescent="0.25">
      <c r="A125" s="247">
        <v>45921</v>
      </c>
      <c r="B125" s="882" t="s">
        <v>14</v>
      </c>
      <c r="C125" s="879" t="s">
        <v>12</v>
      </c>
      <c r="D125" s="879" t="s">
        <v>1486</v>
      </c>
      <c r="E125" s="871" t="s">
        <v>13</v>
      </c>
      <c r="F125" s="613">
        <v>8.82</v>
      </c>
      <c r="G125" s="967"/>
      <c r="H125" s="1008"/>
      <c r="I125" s="1063"/>
      <c r="J125" s="622"/>
      <c r="K125" s="982"/>
      <c r="L125" s="880"/>
      <c r="M125" s="1033"/>
      <c r="N125" s="880"/>
      <c r="O125" s="1525"/>
      <c r="P125" s="613"/>
      <c r="Q125" s="162"/>
      <c r="R125" s="1956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</row>
    <row r="126" spans="1:42" s="224" customFormat="1" ht="15" customHeight="1" x14ac:dyDescent="0.25">
      <c r="A126" s="247">
        <v>45921</v>
      </c>
      <c r="B126" s="882" t="s">
        <v>443</v>
      </c>
      <c r="C126" s="879" t="s">
        <v>12</v>
      </c>
      <c r="D126" s="879" t="s">
        <v>1493</v>
      </c>
      <c r="E126" s="871" t="s">
        <v>13</v>
      </c>
      <c r="F126" s="780">
        <v>8.94</v>
      </c>
      <c r="G126" s="982"/>
      <c r="H126" s="622"/>
      <c r="I126" s="982"/>
      <c r="J126" s="1116"/>
      <c r="K126" s="1207"/>
      <c r="L126" s="622"/>
      <c r="M126" s="982"/>
      <c r="N126" s="622"/>
      <c r="O126" s="1063"/>
      <c r="P126" s="880"/>
      <c r="Q126" s="1033"/>
      <c r="R126" s="927"/>
      <c r="T126" s="878"/>
    </row>
    <row r="127" spans="1:42" s="224" customFormat="1" ht="15" customHeight="1" x14ac:dyDescent="0.25">
      <c r="A127" s="247">
        <v>45922</v>
      </c>
      <c r="B127" s="1275" t="s">
        <v>2789</v>
      </c>
      <c r="C127" s="1276" t="s">
        <v>12</v>
      </c>
      <c r="D127" s="1276" t="s">
        <v>1485</v>
      </c>
      <c r="E127" s="875" t="s">
        <v>13</v>
      </c>
      <c r="F127" s="780">
        <v>15</v>
      </c>
      <c r="G127" s="982"/>
      <c r="H127" s="1008"/>
      <c r="I127" s="1063"/>
      <c r="J127" s="613"/>
      <c r="K127" s="982"/>
      <c r="L127" s="622"/>
      <c r="M127" s="982"/>
      <c r="N127" s="622"/>
      <c r="O127" s="1063"/>
      <c r="P127" s="622"/>
      <c r="Q127" s="982"/>
      <c r="R127" s="861"/>
    </row>
    <row r="128" spans="1:42" s="224" customFormat="1" ht="15" customHeight="1" x14ac:dyDescent="0.25">
      <c r="A128" s="247">
        <v>45922</v>
      </c>
      <c r="B128" s="882" t="s">
        <v>8286</v>
      </c>
      <c r="C128" s="879" t="s">
        <v>12</v>
      </c>
      <c r="D128" s="879" t="s">
        <v>1522</v>
      </c>
      <c r="E128" s="871" t="s">
        <v>13</v>
      </c>
      <c r="F128" s="780">
        <v>25</v>
      </c>
      <c r="G128" s="982"/>
      <c r="H128" s="95"/>
      <c r="I128" s="1064"/>
      <c r="J128" s="613"/>
      <c r="K128" s="6"/>
      <c r="L128" s="622"/>
      <c r="M128" s="982"/>
      <c r="N128" s="622"/>
      <c r="O128" s="1063"/>
      <c r="P128" s="622"/>
      <c r="Q128" s="982"/>
      <c r="R128" s="861"/>
    </row>
    <row r="129" spans="1:21" s="224" customFormat="1" ht="15" customHeight="1" x14ac:dyDescent="0.25">
      <c r="A129" s="247">
        <v>45922</v>
      </c>
      <c r="B129" s="882" t="s">
        <v>14</v>
      </c>
      <c r="C129" s="879" t="s">
        <v>12</v>
      </c>
      <c r="D129" s="879" t="s">
        <v>1486</v>
      </c>
      <c r="E129" s="871" t="s">
        <v>13</v>
      </c>
      <c r="F129" s="780">
        <v>7.98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21" s="224" customFormat="1" ht="15" customHeight="1" x14ac:dyDescent="0.25">
      <c r="A130" s="247">
        <v>45923</v>
      </c>
      <c r="B130" s="882" t="s">
        <v>6329</v>
      </c>
      <c r="C130" s="879" t="s">
        <v>12</v>
      </c>
      <c r="D130" s="879"/>
      <c r="E130" s="875" t="s">
        <v>25</v>
      </c>
      <c r="F130" s="780"/>
      <c r="G130" s="982">
        <v>125</v>
      </c>
      <c r="H130" s="1008"/>
      <c r="I130" s="1063"/>
      <c r="J130" s="613"/>
      <c r="K130" s="982"/>
      <c r="L130" s="622"/>
      <c r="M130" s="982"/>
      <c r="N130" s="622"/>
      <c r="O130" s="1063"/>
      <c r="P130" s="622"/>
      <c r="Q130" s="982"/>
      <c r="R130" s="861"/>
    </row>
    <row r="131" spans="1:21" s="224" customFormat="1" ht="15" customHeight="1" x14ac:dyDescent="0.25">
      <c r="A131" s="247">
        <v>45923</v>
      </c>
      <c r="B131" s="1275" t="s">
        <v>32</v>
      </c>
      <c r="C131" s="1276" t="s">
        <v>12</v>
      </c>
      <c r="D131" s="1276" t="s">
        <v>1485</v>
      </c>
      <c r="E131" s="875" t="s">
        <v>13</v>
      </c>
      <c r="F131" s="780">
        <v>23</v>
      </c>
      <c r="G131" s="982"/>
      <c r="H131" s="1008"/>
      <c r="I131" s="1063"/>
      <c r="J131" s="613"/>
      <c r="K131" s="982"/>
      <c r="L131" s="622"/>
      <c r="M131" s="982"/>
      <c r="N131" s="622"/>
      <c r="O131" s="1063"/>
      <c r="P131" s="622"/>
      <c r="Q131" s="982"/>
      <c r="R131" s="861"/>
    </row>
    <row r="132" spans="1:21" s="224" customFormat="1" ht="15" customHeight="1" x14ac:dyDescent="0.25">
      <c r="A132" s="247">
        <v>45923</v>
      </c>
      <c r="B132" s="882" t="s">
        <v>14</v>
      </c>
      <c r="C132" s="879" t="s">
        <v>12</v>
      </c>
      <c r="D132" s="879" t="s">
        <v>1486</v>
      </c>
      <c r="E132" s="871" t="s">
        <v>13</v>
      </c>
      <c r="F132" s="780">
        <v>11.63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21" s="224" customFormat="1" ht="15" customHeight="1" x14ac:dyDescent="0.25">
      <c r="A133" s="247">
        <v>45924</v>
      </c>
      <c r="B133" s="882" t="s">
        <v>8289</v>
      </c>
      <c r="C133" s="879" t="s">
        <v>12</v>
      </c>
      <c r="D133" s="879"/>
      <c r="E133" s="875" t="s">
        <v>13</v>
      </c>
      <c r="F133" s="780"/>
      <c r="G133" s="982">
        <v>200</v>
      </c>
      <c r="H133" s="1008"/>
      <c r="I133" s="1063"/>
      <c r="J133" s="622"/>
      <c r="K133" s="982"/>
      <c r="L133" s="622"/>
      <c r="M133" s="982"/>
      <c r="N133" s="622">
        <v>200</v>
      </c>
      <c r="O133" s="1063"/>
      <c r="P133" s="622"/>
      <c r="Q133" s="982"/>
      <c r="R133" s="941"/>
    </row>
    <row r="134" spans="1:21" s="224" customFormat="1" ht="15" customHeight="1" x14ac:dyDescent="0.25">
      <c r="A134" s="247">
        <v>45924</v>
      </c>
      <c r="B134" s="882" t="s">
        <v>8288</v>
      </c>
      <c r="C134" s="879" t="s">
        <v>12</v>
      </c>
      <c r="D134" s="879" t="s">
        <v>6731</v>
      </c>
      <c r="E134" s="875" t="s">
        <v>13</v>
      </c>
      <c r="F134" s="780">
        <v>300</v>
      </c>
      <c r="G134" s="982"/>
      <c r="H134" s="622"/>
      <c r="I134" s="982"/>
      <c r="J134" s="1116"/>
      <c r="K134" s="1207"/>
      <c r="L134" s="622"/>
      <c r="M134" s="982"/>
      <c r="N134" s="622"/>
      <c r="O134" s="1063"/>
      <c r="P134" s="880"/>
      <c r="Q134" s="1033"/>
      <c r="R134" s="927"/>
      <c r="T134" s="878"/>
    </row>
    <row r="135" spans="1:21" s="224" customFormat="1" ht="15" customHeight="1" x14ac:dyDescent="0.25">
      <c r="A135" s="247">
        <v>45924</v>
      </c>
      <c r="B135" s="1275" t="s">
        <v>32</v>
      </c>
      <c r="C135" s="1276" t="s">
        <v>12</v>
      </c>
      <c r="D135" s="1276" t="s">
        <v>1485</v>
      </c>
      <c r="E135" s="875" t="s">
        <v>13</v>
      </c>
      <c r="F135" s="780">
        <v>23</v>
      </c>
      <c r="G135" s="982"/>
      <c r="H135" s="1008"/>
      <c r="I135" s="1063"/>
      <c r="J135" s="613"/>
      <c r="K135" s="982"/>
      <c r="L135" s="622"/>
      <c r="M135" s="982"/>
      <c r="N135" s="622"/>
      <c r="O135" s="1063"/>
      <c r="P135" s="622"/>
      <c r="Q135" s="982"/>
      <c r="R135" s="861"/>
    </row>
    <row r="136" spans="1:21" s="224" customFormat="1" ht="15" customHeight="1" x14ac:dyDescent="0.25">
      <c r="A136" s="247">
        <v>45924</v>
      </c>
      <c r="B136" s="882" t="s">
        <v>14</v>
      </c>
      <c r="C136" s="879" t="s">
        <v>12</v>
      </c>
      <c r="D136" s="879" t="s">
        <v>1486</v>
      </c>
      <c r="E136" s="875" t="s">
        <v>13</v>
      </c>
      <c r="F136" s="780">
        <v>13.1</v>
      </c>
      <c r="G136" s="982"/>
      <c r="H136" s="622"/>
      <c r="I136" s="982"/>
      <c r="J136" s="1116"/>
      <c r="K136" s="1207"/>
      <c r="L136" s="622"/>
      <c r="M136" s="982"/>
      <c r="N136" s="622"/>
      <c r="O136" s="1063"/>
      <c r="P136" s="880"/>
      <c r="Q136" s="1033"/>
      <c r="R136" s="927"/>
      <c r="T136" s="878"/>
    </row>
    <row r="137" spans="1:21" s="224" customFormat="1" ht="15" customHeight="1" x14ac:dyDescent="0.25">
      <c r="A137" s="247">
        <v>45924</v>
      </c>
      <c r="B137" s="882" t="s">
        <v>8290</v>
      </c>
      <c r="C137" s="879" t="s">
        <v>12</v>
      </c>
      <c r="D137" s="879" t="s">
        <v>1525</v>
      </c>
      <c r="E137" s="875" t="s">
        <v>13</v>
      </c>
      <c r="F137" s="780">
        <v>36</v>
      </c>
      <c r="G137" s="982"/>
      <c r="H137" s="622"/>
      <c r="I137" s="982"/>
      <c r="J137" s="1116"/>
      <c r="K137" s="1207"/>
      <c r="L137" s="622"/>
      <c r="M137" s="982"/>
      <c r="N137" s="622"/>
      <c r="O137" s="1063"/>
      <c r="P137" s="880"/>
      <c r="Q137" s="1033"/>
      <c r="R137" s="927"/>
      <c r="T137" s="878"/>
    </row>
    <row r="138" spans="1:21" s="224" customFormat="1" ht="15" customHeight="1" x14ac:dyDescent="0.25">
      <c r="A138" s="247">
        <v>45925</v>
      </c>
      <c r="B138" s="1275" t="s">
        <v>32</v>
      </c>
      <c r="C138" s="1276" t="s">
        <v>12</v>
      </c>
      <c r="D138" s="1276" t="s">
        <v>1485</v>
      </c>
      <c r="E138" s="875" t="s">
        <v>13</v>
      </c>
      <c r="F138" s="780">
        <v>23</v>
      </c>
      <c r="G138" s="982"/>
      <c r="H138" s="1008"/>
      <c r="I138" s="1063"/>
      <c r="J138" s="613"/>
      <c r="K138" s="982"/>
      <c r="L138" s="622"/>
      <c r="M138" s="982"/>
      <c r="N138" s="622"/>
      <c r="O138" s="1063"/>
      <c r="P138" s="622"/>
      <c r="Q138" s="982"/>
      <c r="R138" s="861"/>
    </row>
    <row r="139" spans="1:21" s="224" customFormat="1" ht="15" customHeight="1" x14ac:dyDescent="0.25">
      <c r="A139" s="247">
        <v>45925</v>
      </c>
      <c r="B139" s="882" t="s">
        <v>14</v>
      </c>
      <c r="C139" s="879" t="s">
        <v>12</v>
      </c>
      <c r="D139" s="879" t="s">
        <v>1486</v>
      </c>
      <c r="E139" s="875" t="s">
        <v>13</v>
      </c>
      <c r="F139" s="780">
        <v>22.77</v>
      </c>
      <c r="G139" s="982"/>
      <c r="H139" s="95"/>
      <c r="I139" s="1064"/>
      <c r="J139" s="613"/>
      <c r="K139" s="6"/>
      <c r="L139" s="622"/>
      <c r="M139" s="982"/>
      <c r="N139" s="622"/>
      <c r="O139" s="1063"/>
      <c r="P139" s="1110"/>
      <c r="Q139" s="1208"/>
      <c r="R139" s="1028"/>
      <c r="U139" s="958"/>
    </row>
    <row r="140" spans="1:21" s="224" customFormat="1" ht="15" customHeight="1" x14ac:dyDescent="0.25">
      <c r="A140" s="247">
        <v>45926</v>
      </c>
      <c r="B140" s="1275" t="s">
        <v>32</v>
      </c>
      <c r="C140" s="1276" t="s">
        <v>12</v>
      </c>
      <c r="D140" s="1276" t="s">
        <v>1485</v>
      </c>
      <c r="E140" s="875" t="s">
        <v>13</v>
      </c>
      <c r="F140" s="780">
        <v>23</v>
      </c>
      <c r="G140" s="982"/>
      <c r="H140" s="1008"/>
      <c r="I140" s="1063"/>
      <c r="J140" s="613"/>
      <c r="K140" s="982"/>
      <c r="L140" s="622"/>
      <c r="M140" s="982"/>
      <c r="N140" s="622"/>
      <c r="O140" s="1063"/>
      <c r="P140" s="622"/>
      <c r="Q140" s="982"/>
      <c r="R140" s="861"/>
    </row>
    <row r="141" spans="1:21" s="224" customFormat="1" ht="15" customHeight="1" x14ac:dyDescent="0.25">
      <c r="A141" s="247">
        <v>45926</v>
      </c>
      <c r="B141" s="882" t="s">
        <v>8293</v>
      </c>
      <c r="C141" s="879" t="s">
        <v>12</v>
      </c>
      <c r="D141" s="879" t="s">
        <v>1493</v>
      </c>
      <c r="E141" s="871" t="s">
        <v>13</v>
      </c>
      <c r="F141" s="780">
        <v>28</v>
      </c>
      <c r="G141" s="982"/>
      <c r="H141" s="95"/>
      <c r="I141" s="1064"/>
      <c r="J141" s="622"/>
      <c r="K141" s="982"/>
      <c r="L141" s="622"/>
      <c r="M141" s="982"/>
      <c r="N141" s="622"/>
      <c r="O141" s="1063"/>
      <c r="P141" s="622"/>
      <c r="Q141" s="982"/>
      <c r="R141" s="1028"/>
      <c r="U141" s="958"/>
    </row>
    <row r="142" spans="1:21" s="224" customFormat="1" ht="15" customHeight="1" x14ac:dyDescent="0.25">
      <c r="A142" s="247">
        <v>45927</v>
      </c>
      <c r="B142" s="882" t="s">
        <v>8294</v>
      </c>
      <c r="C142" s="879" t="s">
        <v>12</v>
      </c>
      <c r="D142" s="879" t="s">
        <v>1525</v>
      </c>
      <c r="E142" s="875" t="s">
        <v>13</v>
      </c>
      <c r="F142" s="780">
        <v>27.7</v>
      </c>
      <c r="G142" s="982"/>
      <c r="H142" s="622"/>
      <c r="I142" s="982"/>
      <c r="J142" s="872"/>
      <c r="K142" s="1207"/>
      <c r="L142" s="622"/>
      <c r="M142" s="982"/>
      <c r="N142" s="622"/>
      <c r="O142" s="1063"/>
      <c r="P142" s="622"/>
      <c r="Q142" s="982"/>
      <c r="R142" s="1028"/>
      <c r="S142" s="959"/>
      <c r="T142" s="878"/>
      <c r="U142" s="958"/>
    </row>
    <row r="143" spans="1:21" s="224" customFormat="1" ht="15" customHeight="1" x14ac:dyDescent="0.25">
      <c r="A143" s="247">
        <v>45927</v>
      </c>
      <c r="B143" s="882" t="s">
        <v>14</v>
      </c>
      <c r="C143" s="879" t="s">
        <v>12</v>
      </c>
      <c r="D143" s="879" t="s">
        <v>1486</v>
      </c>
      <c r="E143" s="875" t="s">
        <v>13</v>
      </c>
      <c r="F143" s="780">
        <v>4.93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1110"/>
      <c r="Q143" s="1208"/>
      <c r="R143" s="1028"/>
      <c r="U143" s="958"/>
    </row>
    <row r="144" spans="1:21" s="224" customFormat="1" ht="15" customHeight="1" x14ac:dyDescent="0.25">
      <c r="A144" s="247">
        <v>45927</v>
      </c>
      <c r="B144" s="882" t="s">
        <v>2629</v>
      </c>
      <c r="C144" s="879" t="s">
        <v>12</v>
      </c>
      <c r="D144" s="879" t="s">
        <v>1489</v>
      </c>
      <c r="E144" s="875" t="s">
        <v>5470</v>
      </c>
      <c r="F144" s="780">
        <v>66</v>
      </c>
      <c r="G144" s="982"/>
      <c r="H144" s="622"/>
      <c r="I144" s="982"/>
      <c r="J144" s="872"/>
      <c r="K144" s="1207"/>
      <c r="L144" s="622"/>
      <c r="M144" s="982"/>
      <c r="N144" s="622"/>
      <c r="O144" s="1063"/>
      <c r="P144" s="622"/>
      <c r="Q144" s="982"/>
      <c r="R144" s="1028"/>
      <c r="S144" s="959"/>
      <c r="T144" s="878"/>
      <c r="U144" s="958"/>
    </row>
    <row r="145" spans="1:42" s="224" customFormat="1" ht="15" customHeight="1" x14ac:dyDescent="0.25">
      <c r="A145" s="247">
        <v>45927</v>
      </c>
      <c r="B145" s="882" t="s">
        <v>2629</v>
      </c>
      <c r="C145" s="879" t="s">
        <v>12</v>
      </c>
      <c r="D145" s="879" t="s">
        <v>1489</v>
      </c>
      <c r="E145" s="875" t="s">
        <v>13</v>
      </c>
      <c r="F145" s="780">
        <v>20.59</v>
      </c>
      <c r="G145" s="982"/>
      <c r="H145" s="622"/>
      <c r="I145" s="982"/>
      <c r="J145" s="872"/>
      <c r="K145" s="1207"/>
      <c r="L145" s="622"/>
      <c r="M145" s="982"/>
      <c r="N145" s="622"/>
      <c r="O145" s="1063"/>
      <c r="P145" s="622"/>
      <c r="Q145" s="982"/>
      <c r="R145" s="1028"/>
      <c r="S145" s="959"/>
      <c r="T145" s="878"/>
      <c r="U145" s="958"/>
    </row>
    <row r="146" spans="1:42" s="224" customFormat="1" ht="15" customHeight="1" x14ac:dyDescent="0.25">
      <c r="A146" s="247">
        <v>45927</v>
      </c>
      <c r="B146" s="882" t="s">
        <v>80</v>
      </c>
      <c r="C146" s="879" t="s">
        <v>12</v>
      </c>
      <c r="D146" s="879" t="s">
        <v>1523</v>
      </c>
      <c r="E146" s="875" t="s">
        <v>13</v>
      </c>
      <c r="F146" s="780">
        <v>29.88</v>
      </c>
      <c r="G146" s="982"/>
      <c r="H146" s="622"/>
      <c r="I146" s="982"/>
      <c r="J146" s="872"/>
      <c r="K146" s="1207"/>
      <c r="L146" s="622"/>
      <c r="M146" s="982"/>
      <c r="N146" s="622"/>
      <c r="O146" s="1063"/>
      <c r="P146" s="622"/>
      <c r="Q146" s="982"/>
      <c r="R146" s="1028"/>
      <c r="S146" s="959"/>
      <c r="T146" s="878"/>
      <c r="U146" s="958"/>
    </row>
    <row r="147" spans="1:42" s="224" customFormat="1" ht="15" customHeight="1" x14ac:dyDescent="0.25">
      <c r="A147" s="247">
        <v>45928</v>
      </c>
      <c r="B147" s="882" t="s">
        <v>14</v>
      </c>
      <c r="C147" s="879" t="s">
        <v>12</v>
      </c>
      <c r="D147" s="879" t="s">
        <v>1486</v>
      </c>
      <c r="E147" s="875" t="s">
        <v>13</v>
      </c>
      <c r="F147" s="780">
        <v>6.73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1110"/>
      <c r="Q147" s="1208"/>
      <c r="R147" s="1028"/>
      <c r="U147" s="958"/>
    </row>
    <row r="148" spans="1:42" s="224" customFormat="1" ht="15" customHeight="1" x14ac:dyDescent="0.25">
      <c r="A148" s="247">
        <v>45928</v>
      </c>
      <c r="B148" s="882" t="s">
        <v>1372</v>
      </c>
      <c r="C148" s="879" t="s">
        <v>12</v>
      </c>
      <c r="D148" s="879" t="s">
        <v>1493</v>
      </c>
      <c r="E148" s="875" t="s">
        <v>13</v>
      </c>
      <c r="F148" s="780">
        <v>4</v>
      </c>
      <c r="G148" s="982"/>
      <c r="H148" s="622"/>
      <c r="I148" s="982"/>
      <c r="J148" s="622"/>
      <c r="K148" s="982"/>
      <c r="L148" s="622"/>
      <c r="M148" s="982"/>
      <c r="N148" s="880"/>
      <c r="O148" s="1525"/>
      <c r="P148" s="613"/>
      <c r="Q148" s="162"/>
      <c r="R148" s="1956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</row>
    <row r="149" spans="1:42" s="224" customFormat="1" ht="15" customHeight="1" x14ac:dyDescent="0.25">
      <c r="A149" s="247">
        <v>45928</v>
      </c>
      <c r="B149" s="882" t="s">
        <v>443</v>
      </c>
      <c r="C149" s="879" t="s">
        <v>12</v>
      </c>
      <c r="D149" s="879" t="s">
        <v>1493</v>
      </c>
      <c r="E149" s="875" t="s">
        <v>13</v>
      </c>
      <c r="F149" s="780">
        <v>8.94</v>
      </c>
      <c r="G149" s="982"/>
      <c r="H149" s="622"/>
      <c r="I149" s="982"/>
      <c r="J149" s="622"/>
      <c r="K149" s="982"/>
      <c r="L149" s="622"/>
      <c r="M149" s="982"/>
      <c r="N149" s="880"/>
      <c r="O149" s="1525"/>
      <c r="P149" s="613"/>
      <c r="Q149" s="162"/>
      <c r="R149" s="1956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</row>
    <row r="150" spans="1:42" s="224" customFormat="1" ht="15" customHeight="1" x14ac:dyDescent="0.25">
      <c r="A150" s="247">
        <v>45929</v>
      </c>
      <c r="B150" s="364" t="s">
        <v>8296</v>
      </c>
      <c r="C150" s="350" t="s">
        <v>12</v>
      </c>
      <c r="D150" s="350" t="s">
        <v>6731</v>
      </c>
      <c r="E150" s="875" t="s">
        <v>13</v>
      </c>
      <c r="F150" s="780">
        <v>74.98</v>
      </c>
      <c r="G150" s="982"/>
      <c r="H150" s="1008"/>
      <c r="I150" s="1063"/>
      <c r="J150" s="1116"/>
      <c r="K150" s="1207"/>
      <c r="L150" s="622"/>
      <c r="M150" s="982"/>
      <c r="N150" s="622"/>
      <c r="O150" s="1063"/>
      <c r="P150" s="622"/>
      <c r="Q150" s="982"/>
      <c r="R150" s="861"/>
      <c r="T150" s="1035"/>
    </row>
    <row r="151" spans="1:42" s="224" customFormat="1" ht="15" customHeight="1" x14ac:dyDescent="0.25">
      <c r="A151" s="247">
        <v>45929</v>
      </c>
      <c r="B151" s="364" t="s">
        <v>8360</v>
      </c>
      <c r="C151" s="350" t="s">
        <v>12</v>
      </c>
      <c r="D151" s="350" t="s">
        <v>6731</v>
      </c>
      <c r="E151" s="875" t="s">
        <v>13</v>
      </c>
      <c r="F151" s="780">
        <v>60</v>
      </c>
      <c r="G151" s="982"/>
      <c r="H151" s="1008"/>
      <c r="I151" s="1063"/>
      <c r="J151" s="1116"/>
      <c r="K151" s="1207"/>
      <c r="L151" s="622"/>
      <c r="M151" s="982"/>
      <c r="N151" s="622"/>
      <c r="O151" s="1063"/>
      <c r="P151" s="622"/>
      <c r="Q151" s="982"/>
      <c r="R151" s="861"/>
      <c r="T151" s="1035"/>
    </row>
    <row r="152" spans="1:42" s="224" customFormat="1" ht="15" customHeight="1" x14ac:dyDescent="0.25">
      <c r="A152" s="247">
        <v>45929</v>
      </c>
      <c r="B152" s="1275" t="s">
        <v>32</v>
      </c>
      <c r="C152" s="1276" t="s">
        <v>12</v>
      </c>
      <c r="D152" s="1276" t="s">
        <v>1485</v>
      </c>
      <c r="E152" s="875" t="s">
        <v>13</v>
      </c>
      <c r="F152" s="780">
        <v>23</v>
      </c>
      <c r="G152" s="982"/>
      <c r="H152" s="1008"/>
      <c r="I152" s="1063"/>
      <c r="J152" s="613"/>
      <c r="K152" s="982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45929</v>
      </c>
      <c r="B153" s="1275" t="s">
        <v>8302</v>
      </c>
      <c r="C153" s="1276" t="s">
        <v>12</v>
      </c>
      <c r="D153" s="1276" t="s">
        <v>1525</v>
      </c>
      <c r="E153" s="875" t="s">
        <v>13</v>
      </c>
      <c r="F153" s="780">
        <v>31.98</v>
      </c>
      <c r="G153" s="982"/>
      <c r="H153" s="1008"/>
      <c r="I153" s="1063"/>
      <c r="J153" s="613"/>
      <c r="K153" s="982"/>
      <c r="L153" s="622"/>
      <c r="M153" s="982"/>
      <c r="N153" s="622"/>
      <c r="O153" s="1063"/>
      <c r="P153" s="622"/>
      <c r="Q153" s="982"/>
      <c r="R153" s="861"/>
    </row>
    <row r="154" spans="1:42" s="224" customFormat="1" ht="15" customHeight="1" x14ac:dyDescent="0.25">
      <c r="A154" s="247">
        <v>45929</v>
      </c>
      <c r="B154" s="882" t="s">
        <v>14</v>
      </c>
      <c r="C154" s="879" t="s">
        <v>12</v>
      </c>
      <c r="D154" s="879" t="s">
        <v>1486</v>
      </c>
      <c r="E154" s="875" t="s">
        <v>13</v>
      </c>
      <c r="F154" s="780">
        <v>4.92</v>
      </c>
      <c r="G154" s="982"/>
      <c r="H154" s="95"/>
      <c r="I154" s="1064"/>
      <c r="J154" s="613"/>
      <c r="K154" s="6"/>
      <c r="L154" s="622"/>
      <c r="M154" s="982"/>
      <c r="N154" s="622"/>
      <c r="O154" s="1063"/>
      <c r="P154" s="1110"/>
      <c r="Q154" s="1208"/>
      <c r="R154" s="1028"/>
      <c r="U154" s="958"/>
    </row>
    <row r="155" spans="1:42" s="224" customFormat="1" ht="15" customHeight="1" x14ac:dyDescent="0.25">
      <c r="A155" s="247">
        <v>45929</v>
      </c>
      <c r="B155" s="882" t="s">
        <v>8303</v>
      </c>
      <c r="C155" s="879" t="s">
        <v>12</v>
      </c>
      <c r="D155" s="879" t="s">
        <v>6731</v>
      </c>
      <c r="E155" s="875" t="s">
        <v>13</v>
      </c>
      <c r="F155" s="780">
        <v>4.8899999999999997</v>
      </c>
      <c r="G155" s="982"/>
      <c r="H155" s="95"/>
      <c r="I155" s="1064"/>
      <c r="J155" s="613"/>
      <c r="K155" s="6"/>
      <c r="L155" s="622"/>
      <c r="M155" s="982"/>
      <c r="N155" s="622"/>
      <c r="O155" s="1063"/>
      <c r="P155" s="1110"/>
      <c r="Q155" s="1208"/>
      <c r="R155" s="1028"/>
      <c r="U155" s="958"/>
    </row>
    <row r="156" spans="1:42" s="224" customFormat="1" ht="15" customHeight="1" x14ac:dyDescent="0.25">
      <c r="A156" s="247">
        <v>45930</v>
      </c>
      <c r="B156" s="882" t="s">
        <v>6329</v>
      </c>
      <c r="C156" s="879" t="s">
        <v>12</v>
      </c>
      <c r="D156" s="879"/>
      <c r="E156" s="875" t="s">
        <v>25</v>
      </c>
      <c r="F156" s="780"/>
      <c r="G156" s="982">
        <v>125</v>
      </c>
      <c r="H156" s="1008"/>
      <c r="I156" s="1063"/>
      <c r="J156" s="613"/>
      <c r="K156" s="982"/>
      <c r="L156" s="622"/>
      <c r="M156" s="982"/>
      <c r="N156" s="622"/>
      <c r="O156" s="1063"/>
      <c r="P156" s="622"/>
      <c r="Q156" s="982"/>
      <c r="R156" s="861"/>
    </row>
    <row r="157" spans="1:42" s="224" customFormat="1" ht="15" customHeight="1" x14ac:dyDescent="0.25">
      <c r="A157" s="247">
        <v>45930</v>
      </c>
      <c r="B157" s="882" t="s">
        <v>14</v>
      </c>
      <c r="C157" s="879" t="s">
        <v>12</v>
      </c>
      <c r="D157" s="879" t="s">
        <v>1486</v>
      </c>
      <c r="E157" s="875" t="s">
        <v>13</v>
      </c>
      <c r="F157" s="780">
        <v>5.0599999999999996</v>
      </c>
      <c r="G157" s="982"/>
      <c r="H157" s="622"/>
      <c r="I157" s="982"/>
      <c r="J157" s="622"/>
      <c r="K157" s="982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42" s="224" customFormat="1" ht="15" customHeight="1" thickBot="1" x14ac:dyDescent="0.3">
      <c r="A158" s="247">
        <v>45930</v>
      </c>
      <c r="B158" s="349" t="s">
        <v>6168</v>
      </c>
      <c r="C158" s="350" t="s">
        <v>12</v>
      </c>
      <c r="D158" s="350"/>
      <c r="E158" s="480" t="s">
        <v>25</v>
      </c>
      <c r="F158" s="2551"/>
      <c r="G158" s="1522"/>
      <c r="H158" s="95"/>
      <c r="I158" s="2096"/>
      <c r="J158" s="622"/>
      <c r="K158" s="2096">
        <v>3.95</v>
      </c>
      <c r="L158" s="622"/>
      <c r="M158" s="2556"/>
      <c r="N158" s="622"/>
      <c r="O158" s="2096">
        <v>47.38</v>
      </c>
      <c r="P158" s="622"/>
      <c r="Q158" s="982"/>
      <c r="R158" s="2585">
        <f>I158+K158+M158+O158</f>
        <v>51.330000000000005</v>
      </c>
      <c r="T158" s="927"/>
      <c r="U158" s="999"/>
    </row>
    <row r="159" spans="1:42" ht="25.5" customHeight="1" thickBot="1" x14ac:dyDescent="0.3">
      <c r="A159" s="3060"/>
      <c r="B159" s="3061"/>
      <c r="C159" s="3062"/>
      <c r="D159" s="3062"/>
      <c r="E159" s="3062"/>
      <c r="F159" s="1023">
        <f>SUM(F6:F158)</f>
        <v>9199.1344047619041</v>
      </c>
      <c r="G159" s="1065">
        <f>SUM(G5:G158)</f>
        <v>9911.7182976190943</v>
      </c>
      <c r="H159" s="517">
        <f>SUM(H6:H158)</f>
        <v>0</v>
      </c>
      <c r="I159" s="93">
        <f>SUM(I5:I158)</f>
        <v>0</v>
      </c>
      <c r="J159" s="517">
        <f>SUM(J6:J158)</f>
        <v>1700.4199999999998</v>
      </c>
      <c r="K159" s="93">
        <f>SUM(K5:K158)</f>
        <v>1899.9500000000032</v>
      </c>
      <c r="L159" s="1023">
        <f>SUM(L6:L158)</f>
        <v>0</v>
      </c>
      <c r="M159" s="93">
        <f>SUM(M5:M158)</f>
        <v>0</v>
      </c>
      <c r="N159" s="1023">
        <f>SUM(N6:N158)</f>
        <v>1067</v>
      </c>
      <c r="O159" s="93">
        <f>SUM(O5:O158)</f>
        <v>5116.0100000000011</v>
      </c>
      <c r="P159" s="1023">
        <f>SUM(P6:P158)</f>
        <v>0</v>
      </c>
      <c r="Q159" s="93">
        <f>SUM(Q5:Q158)</f>
        <v>37443.685984720003</v>
      </c>
      <c r="S159" s="216"/>
    </row>
    <row r="160" spans="1:42" ht="25.5" customHeight="1" thickBot="1" x14ac:dyDescent="0.3">
      <c r="A160" s="3063" t="s">
        <v>49</v>
      </c>
      <c r="B160" s="3064"/>
      <c r="C160" s="3064"/>
      <c r="D160" s="3064"/>
      <c r="E160" s="3064"/>
      <c r="F160" s="2046" t="s">
        <v>280</v>
      </c>
      <c r="G160" s="1066">
        <f>G159-F159</f>
        <v>712.58389285719022</v>
      </c>
      <c r="H160" s="1221"/>
      <c r="I160" s="772">
        <f>I159-H159</f>
        <v>0</v>
      </c>
      <c r="J160" s="1221"/>
      <c r="K160" s="772">
        <f>K159-J159</f>
        <v>199.53000000000338</v>
      </c>
      <c r="L160" s="1222"/>
      <c r="M160" s="772">
        <f>M159-L159</f>
        <v>0</v>
      </c>
      <c r="N160" s="1222"/>
      <c r="O160" s="772">
        <f>O159-N159</f>
        <v>4049.0100000000011</v>
      </c>
      <c r="P160" s="1222"/>
      <c r="Q160" s="772">
        <f>Q159-P159</f>
        <v>37443.685984720003</v>
      </c>
      <c r="R160" s="484">
        <f>M160+O160+Q160</f>
        <v>41492.695984720005</v>
      </c>
    </row>
    <row r="161" spans="1:26" x14ac:dyDescent="0.25">
      <c r="J161" s="1210"/>
      <c r="K161" s="1038"/>
      <c r="M161" s="1238">
        <f>M160/R160</f>
        <v>0</v>
      </c>
      <c r="O161" s="1238">
        <f>O160/R160</f>
        <v>9.758368078784467E-2</v>
      </c>
      <c r="P161" s="1239"/>
      <c r="Q161" s="1239">
        <f>Q160/R160</f>
        <v>0.90241631921215526</v>
      </c>
      <c r="R161" s="867"/>
      <c r="S161" s="867"/>
      <c r="T161" s="79"/>
      <c r="W161" s="518"/>
      <c r="X161" s="216"/>
      <c r="Z161" s="877"/>
    </row>
    <row r="162" spans="1:26" x14ac:dyDescent="0.25">
      <c r="B162" s="81" t="s">
        <v>3</v>
      </c>
      <c r="C162" s="193" t="s">
        <v>1484</v>
      </c>
      <c r="D162" s="970" t="s">
        <v>2378</v>
      </c>
      <c r="E162" s="193" t="s">
        <v>3216</v>
      </c>
      <c r="F162" s="1061" t="s">
        <v>3217</v>
      </c>
      <c r="G162" s="216"/>
      <c r="I162" s="216"/>
      <c r="J162" s="1038"/>
      <c r="K162" s="216"/>
      <c r="M162" s="866"/>
      <c r="O162" s="866"/>
      <c r="P162" s="1038"/>
      <c r="Q162" s="1038"/>
      <c r="R162" s="865"/>
      <c r="S162" s="867"/>
    </row>
    <row r="163" spans="1:26" x14ac:dyDescent="0.25">
      <c r="B163" s="79" t="s">
        <v>32</v>
      </c>
      <c r="C163" s="85" t="s">
        <v>1485</v>
      </c>
      <c r="D163" s="475">
        <f t="shared" ref="D163:D179" si="0">SUMIF($D$7:$D$158,C163,$F$7:$F$158)</f>
        <v>466</v>
      </c>
      <c r="E163" s="1202">
        <f>D163/$K$183</f>
        <v>15.533333333333333</v>
      </c>
      <c r="F163" s="1203">
        <f t="shared" ref="F163:F179" si="1">E163/$E$184</f>
        <v>8.7651650521959931E-2</v>
      </c>
      <c r="G163" s="800"/>
      <c r="I163" s="769"/>
      <c r="J163" s="1038"/>
      <c r="K163" s="1225"/>
      <c r="M163" s="886"/>
      <c r="O163" s="886"/>
      <c r="P163" s="886"/>
      <c r="Q163" s="1038">
        <v>24197.98</v>
      </c>
      <c r="R163" s="1038" t="s">
        <v>6378</v>
      </c>
      <c r="S163" s="1210"/>
      <c r="U163" s="1201"/>
      <c r="V163" s="877"/>
    </row>
    <row r="164" spans="1:26" x14ac:dyDescent="0.25">
      <c r="B164" s="79" t="s">
        <v>2187</v>
      </c>
      <c r="C164" s="85" t="s">
        <v>2157</v>
      </c>
      <c r="D164" s="475">
        <f t="shared" si="0"/>
        <v>0</v>
      </c>
      <c r="E164" s="1202">
        <f t="shared" ref="E164:E179" si="2">D164/$K$183</f>
        <v>0</v>
      </c>
      <c r="F164" s="1203">
        <f t="shared" si="1"/>
        <v>0</v>
      </c>
      <c r="G164" s="609"/>
      <c r="J164" s="2125"/>
      <c r="K164" s="1129"/>
      <c r="M164" s="1210"/>
      <c r="O164" s="1038"/>
      <c r="P164" s="1210"/>
      <c r="Q164" s="1210">
        <f>Q160+Q163</f>
        <v>61641.665984720006</v>
      </c>
      <c r="R164" s="1038" t="s">
        <v>6379</v>
      </c>
      <c r="U164" s="877"/>
      <c r="V164" s="877"/>
    </row>
    <row r="165" spans="1:26" s="85" customFormat="1" x14ac:dyDescent="0.25">
      <c r="A165" s="79"/>
      <c r="B165" s="79" t="s">
        <v>50</v>
      </c>
      <c r="C165" s="85" t="s">
        <v>1493</v>
      </c>
      <c r="D165" s="475">
        <f t="shared" si="0"/>
        <v>222.62999999999997</v>
      </c>
      <c r="E165" s="1202">
        <f t="shared" si="2"/>
        <v>7.4209999999999985</v>
      </c>
      <c r="F165" s="1203">
        <f t="shared" si="1"/>
        <v>4.1875293896360376E-2</v>
      </c>
      <c r="J165" s="1210"/>
      <c r="K165" s="1038"/>
      <c r="M165" s="941"/>
      <c r="N165" s="877"/>
      <c r="O165" s="863"/>
      <c r="Q165" s="79"/>
      <c r="R165" s="177"/>
      <c r="U165" s="877"/>
      <c r="V165" s="877"/>
    </row>
    <row r="166" spans="1:26" s="85" customFormat="1" x14ac:dyDescent="0.25">
      <c r="A166" s="79"/>
      <c r="B166" s="79" t="s">
        <v>14</v>
      </c>
      <c r="C166" s="85" t="s">
        <v>1486</v>
      </c>
      <c r="D166" s="475">
        <f t="shared" si="0"/>
        <v>232.17</v>
      </c>
      <c r="E166" s="1202">
        <f t="shared" si="2"/>
        <v>7.7389999999999999</v>
      </c>
      <c r="F166" s="1203">
        <f t="shared" si="1"/>
        <v>4.366970751434214E-2</v>
      </c>
      <c r="G166" s="79"/>
      <c r="H166" s="79"/>
      <c r="J166" s="1210"/>
      <c r="K166" s="1038"/>
      <c r="M166" s="1028"/>
      <c r="N166" s="877"/>
      <c r="O166" s="1038"/>
      <c r="R166" s="177"/>
      <c r="U166" s="877"/>
      <c r="V166" s="877"/>
    </row>
    <row r="167" spans="1:26" s="85" customFormat="1" x14ac:dyDescent="0.25">
      <c r="B167" s="79" t="s">
        <v>51</v>
      </c>
      <c r="C167" s="864" t="s">
        <v>1499</v>
      </c>
      <c r="D167" s="475">
        <f t="shared" si="0"/>
        <v>157.27000000000001</v>
      </c>
      <c r="E167" s="1202">
        <f t="shared" si="2"/>
        <v>5.2423333333333337</v>
      </c>
      <c r="F167" s="1203">
        <f t="shared" si="1"/>
        <v>2.9581491582808241E-2</v>
      </c>
      <c r="G167" s="79"/>
      <c r="H167" s="79"/>
      <c r="I167" s="79"/>
      <c r="J167" s="1210"/>
      <c r="K167" s="1038"/>
      <c r="M167" s="1028"/>
      <c r="N167" s="877"/>
      <c r="O167" s="1038"/>
      <c r="P167" s="1210"/>
      <c r="Q167" s="1038"/>
      <c r="R167" s="177"/>
      <c r="U167" s="877"/>
      <c r="V167" s="877"/>
    </row>
    <row r="168" spans="1:26" s="85" customFormat="1" x14ac:dyDescent="0.25">
      <c r="A168" s="79"/>
      <c r="B168" s="79" t="s">
        <v>2189</v>
      </c>
      <c r="C168" s="864" t="s">
        <v>1496</v>
      </c>
      <c r="D168" s="475">
        <f t="shared" si="0"/>
        <v>100</v>
      </c>
      <c r="E168" s="1202">
        <f t="shared" si="2"/>
        <v>3.3333333333333335</v>
      </c>
      <c r="F168" s="1203">
        <f t="shared" si="1"/>
        <v>1.8809367064798271E-2</v>
      </c>
      <c r="G168" s="79"/>
      <c r="J168" s="1210"/>
      <c r="K168" s="1038"/>
      <c r="M168" s="877"/>
      <c r="O168" s="177"/>
      <c r="R168" s="177"/>
      <c r="U168" s="877"/>
      <c r="V168" s="877"/>
    </row>
    <row r="169" spans="1:26" s="85" customFormat="1" x14ac:dyDescent="0.25">
      <c r="A169" s="79"/>
      <c r="B169" s="867" t="s">
        <v>53</v>
      </c>
      <c r="C169" s="864" t="s">
        <v>1522</v>
      </c>
      <c r="D169" s="475">
        <f t="shared" si="0"/>
        <v>692</v>
      </c>
      <c r="E169" s="1202">
        <f t="shared" si="2"/>
        <v>23.066666666666666</v>
      </c>
      <c r="F169" s="1203">
        <f t="shared" si="1"/>
        <v>0.13016082008840402</v>
      </c>
      <c r="J169" s="1210"/>
      <c r="K169" s="1038"/>
      <c r="M169" s="1959"/>
      <c r="O169" s="177"/>
      <c r="P169" s="868"/>
      <c r="Q169" s="769"/>
      <c r="R169" s="79"/>
      <c r="U169" s="877"/>
      <c r="V169" s="877"/>
    </row>
    <row r="170" spans="1:26" s="85" customFormat="1" x14ac:dyDescent="0.25">
      <c r="A170" s="79"/>
      <c r="B170" s="79" t="s">
        <v>3048</v>
      </c>
      <c r="C170" s="864" t="s">
        <v>1523</v>
      </c>
      <c r="D170" s="475">
        <f t="shared" si="0"/>
        <v>112.88</v>
      </c>
      <c r="E170" s="1202">
        <f t="shared" si="2"/>
        <v>3.7626666666666666</v>
      </c>
      <c r="F170" s="1203">
        <f t="shared" si="1"/>
        <v>2.1232013542744285E-2</v>
      </c>
      <c r="G170" s="866"/>
      <c r="J170" s="1210"/>
      <c r="K170" s="1038"/>
      <c r="M170" s="877"/>
      <c r="O170" s="177"/>
      <c r="P170" s="866"/>
      <c r="Q170" s="1210"/>
      <c r="R170" s="877"/>
      <c r="U170" s="877"/>
      <c r="V170" s="877"/>
    </row>
    <row r="171" spans="1:26" s="85" customFormat="1" x14ac:dyDescent="0.25">
      <c r="A171" s="79"/>
      <c r="B171" s="79" t="s">
        <v>1686</v>
      </c>
      <c r="C171" s="864" t="s">
        <v>1506</v>
      </c>
      <c r="D171" s="475">
        <f t="shared" si="0"/>
        <v>223.44666666666666</v>
      </c>
      <c r="E171" s="1202">
        <f t="shared" si="2"/>
        <v>7.4482222222222223</v>
      </c>
      <c r="F171" s="1203">
        <f t="shared" si="1"/>
        <v>4.2028903727389572E-2</v>
      </c>
      <c r="G171" s="868"/>
      <c r="J171" s="1210"/>
      <c r="K171" s="1038"/>
      <c r="M171" s="877"/>
      <c r="O171" s="177"/>
      <c r="P171" s="1226"/>
      <c r="Q171" s="1129"/>
      <c r="R171" s="877"/>
      <c r="U171" s="877"/>
      <c r="V171" s="877"/>
    </row>
    <row r="172" spans="1:26" x14ac:dyDescent="0.25">
      <c r="B172" s="79" t="s">
        <v>418</v>
      </c>
      <c r="C172" s="85" t="s">
        <v>1524</v>
      </c>
      <c r="D172" s="475">
        <f t="shared" si="0"/>
        <v>1700.416238095238</v>
      </c>
      <c r="E172" s="1202">
        <f t="shared" si="2"/>
        <v>56.680541269841264</v>
      </c>
      <c r="F172" s="1203">
        <f t="shared" si="1"/>
        <v>0.31983753185276742</v>
      </c>
      <c r="G172" s="85"/>
      <c r="H172" s="85"/>
      <c r="I172" s="85"/>
      <c r="J172" s="1210"/>
      <c r="K172" s="1038"/>
      <c r="L172" s="769"/>
      <c r="M172" s="877"/>
      <c r="N172" s="769"/>
      <c r="O172" s="216"/>
      <c r="P172" s="1038"/>
      <c r="Q172" s="1226"/>
      <c r="R172" s="877"/>
      <c r="U172" s="877"/>
      <c r="V172" s="877"/>
    </row>
    <row r="173" spans="1:26" x14ac:dyDescent="0.25">
      <c r="B173" s="79" t="s">
        <v>6732</v>
      </c>
      <c r="C173" s="85" t="s">
        <v>1491</v>
      </c>
      <c r="D173" s="475">
        <f t="shared" si="0"/>
        <v>1025.1133333333332</v>
      </c>
      <c r="E173" s="1202">
        <f t="shared" si="2"/>
        <v>34.170444444444442</v>
      </c>
      <c r="F173" s="1203">
        <f t="shared" si="1"/>
        <v>0.19281732969685569</v>
      </c>
      <c r="I173" s="85"/>
      <c r="J173" s="1210"/>
      <c r="K173" s="1038"/>
      <c r="N173" s="216"/>
      <c r="O173" s="216"/>
      <c r="Q173" s="484"/>
      <c r="R173" s="877"/>
      <c r="U173" s="877"/>
      <c r="V173" s="877"/>
    </row>
    <row r="174" spans="1:26" x14ac:dyDescent="0.25">
      <c r="B174" s="79" t="s">
        <v>6733</v>
      </c>
      <c r="C174" s="85" t="s">
        <v>6731</v>
      </c>
      <c r="D174" s="475">
        <f t="shared" si="0"/>
        <v>783.93</v>
      </c>
      <c r="E174" s="1202">
        <f t="shared" si="2"/>
        <v>26.130999999999997</v>
      </c>
      <c r="F174" s="1203">
        <f t="shared" si="1"/>
        <v>0.14745227123107305</v>
      </c>
      <c r="I174" s="85"/>
      <c r="J174" s="1210"/>
      <c r="K174" s="1038"/>
      <c r="N174" s="216"/>
      <c r="O174" s="216"/>
      <c r="Q174" s="484"/>
      <c r="R174" s="877"/>
      <c r="U174" s="877"/>
      <c r="V174" s="877"/>
    </row>
    <row r="175" spans="1:26" x14ac:dyDescent="0.25">
      <c r="B175" s="79" t="s">
        <v>5439</v>
      </c>
      <c r="C175" s="85" t="s">
        <v>1525</v>
      </c>
      <c r="D175" s="475">
        <f t="shared" si="0"/>
        <v>483.2448333333333</v>
      </c>
      <c r="E175" s="1202">
        <f t="shared" si="2"/>
        <v>16.108161111111109</v>
      </c>
      <c r="F175" s="1203">
        <f t="shared" si="1"/>
        <v>9.0895294523339276E-2</v>
      </c>
      <c r="J175" s="1210"/>
      <c r="K175" s="1038"/>
      <c r="O175" s="216"/>
      <c r="Q175" s="484"/>
      <c r="R175" s="1673"/>
      <c r="U175" s="877"/>
      <c r="V175" s="877"/>
    </row>
    <row r="176" spans="1:26" x14ac:dyDescent="0.25">
      <c r="B176" s="79" t="s">
        <v>1526</v>
      </c>
      <c r="C176" s="85" t="s">
        <v>1504</v>
      </c>
      <c r="D176" s="475">
        <f t="shared" si="0"/>
        <v>238.10999999999999</v>
      </c>
      <c r="E176" s="1202">
        <f t="shared" si="2"/>
        <v>7.9369999999999994</v>
      </c>
      <c r="F176" s="1203">
        <f t="shared" si="1"/>
        <v>4.4786983917991158E-2</v>
      </c>
      <c r="J176" s="1210"/>
      <c r="K176" s="1038"/>
      <c r="L176" s="769"/>
      <c r="N176" s="769"/>
      <c r="O176" s="886"/>
      <c r="P176" s="1210"/>
      <c r="Q176" s="1038"/>
      <c r="R176" s="1129"/>
      <c r="T176" s="1129"/>
      <c r="U176" s="877"/>
      <c r="V176" s="877"/>
    </row>
    <row r="177" spans="1:24" x14ac:dyDescent="0.25">
      <c r="B177" s="79" t="s">
        <v>2343</v>
      </c>
      <c r="C177" s="85" t="s">
        <v>2315</v>
      </c>
      <c r="D177" s="475">
        <f t="shared" si="0"/>
        <v>0</v>
      </c>
      <c r="E177" s="1202">
        <f t="shared" si="2"/>
        <v>0</v>
      </c>
      <c r="F177" s="1203">
        <f t="shared" si="1"/>
        <v>0</v>
      </c>
      <c r="J177" s="1210"/>
      <c r="K177" s="1038"/>
      <c r="L177" s="769"/>
      <c r="M177" s="1210"/>
      <c r="N177" s="769"/>
      <c r="O177" s="1673"/>
      <c r="P177" s="1210"/>
      <c r="Q177" s="1038"/>
      <c r="R177" s="1129"/>
      <c r="T177" s="1129"/>
      <c r="U177" s="877"/>
      <c r="V177" s="877"/>
    </row>
    <row r="178" spans="1:24" x14ac:dyDescent="0.25">
      <c r="B178" s="79" t="s">
        <v>3019</v>
      </c>
      <c r="C178" s="85" t="s">
        <v>3017</v>
      </c>
      <c r="D178" s="796">
        <f t="shared" si="0"/>
        <v>0</v>
      </c>
      <c r="E178" s="1202">
        <f t="shared" si="2"/>
        <v>0</v>
      </c>
      <c r="F178" s="1203">
        <f t="shared" si="1"/>
        <v>0</v>
      </c>
      <c r="J178" s="1210"/>
      <c r="K178" s="1038"/>
      <c r="L178" s="769"/>
      <c r="N178" s="769"/>
      <c r="P178" s="941"/>
      <c r="Q178" s="224"/>
      <c r="R178" s="1226"/>
      <c r="S178" s="1129"/>
      <c r="T178" s="1129"/>
      <c r="U178" s="877"/>
      <c r="V178" s="877"/>
    </row>
    <row r="179" spans="1:24" ht="15.75" thickBot="1" x14ac:dyDescent="0.3">
      <c r="B179" s="301" t="s">
        <v>1527</v>
      </c>
      <c r="C179" s="2400" t="s">
        <v>1489</v>
      </c>
      <c r="D179" s="2401">
        <f t="shared" si="0"/>
        <v>662.96333333333337</v>
      </c>
      <c r="E179" s="2402">
        <f t="shared" si="2"/>
        <v>22.09877777777778</v>
      </c>
      <c r="F179" s="2403">
        <f t="shared" si="1"/>
        <v>0.12469920687168878</v>
      </c>
      <c r="J179" s="1210"/>
      <c r="K179" s="1038"/>
      <c r="P179" s="1210"/>
      <c r="Q179" s="1038"/>
      <c r="R179" s="1226"/>
      <c r="S179" s="1129"/>
      <c r="T179" s="1129"/>
      <c r="U179" s="877"/>
      <c r="V179" s="877"/>
    </row>
    <row r="180" spans="1:24" x14ac:dyDescent="0.25">
      <c r="B180" s="1124" t="s">
        <v>6790</v>
      </c>
      <c r="C180" s="1124"/>
      <c r="D180" s="1125">
        <f>SUMIF($B$7:$B$158,"Crédito Gasolina",$G$7:$G$158)</f>
        <v>498.96000000000004</v>
      </c>
      <c r="E180" s="1138">
        <f>D180/K183</f>
        <v>16.632000000000001</v>
      </c>
      <c r="F180" s="1124"/>
      <c r="G180" s="1129"/>
      <c r="J180" s="2037"/>
      <c r="K180" s="629"/>
      <c r="P180" s="1210"/>
      <c r="Q180" s="1038"/>
      <c r="R180" s="1227"/>
      <c r="S180" s="1129"/>
      <c r="T180" s="1129"/>
      <c r="U180" s="877"/>
      <c r="V180" s="877"/>
    </row>
    <row r="181" spans="1:24" x14ac:dyDescent="0.25">
      <c r="B181" s="1124" t="s">
        <v>6329</v>
      </c>
      <c r="C181" s="1124"/>
      <c r="D181" s="1125">
        <f>SUMIF($B$7:$B$158,"Trabalho Art frutt",$G$7:$G$158)</f>
        <v>625</v>
      </c>
      <c r="E181" s="1138">
        <f>D181/K183</f>
        <v>20.833333333333332</v>
      </c>
      <c r="F181" s="1124"/>
      <c r="J181" s="2037"/>
      <c r="K181" s="629"/>
      <c r="P181" s="1210"/>
      <c r="Q181" s="1038"/>
      <c r="R181" s="1227"/>
      <c r="S181" s="1129"/>
      <c r="T181" s="1129"/>
      <c r="U181" s="877"/>
      <c r="V181" s="877"/>
    </row>
    <row r="182" spans="1:24" x14ac:dyDescent="0.25">
      <c r="B182" s="1124"/>
      <c r="C182" s="1124"/>
      <c r="D182" s="1125"/>
      <c r="E182" s="1138"/>
      <c r="F182" s="1124"/>
      <c r="J182" s="2037"/>
      <c r="K182" s="629"/>
      <c r="L182" s="459" t="s">
        <v>6481</v>
      </c>
      <c r="M182" s="2125" t="s">
        <v>6482</v>
      </c>
      <c r="P182" s="1210"/>
      <c r="Q182" s="1038"/>
      <c r="R182" s="1227"/>
      <c r="T182" s="1129"/>
      <c r="U182" s="877"/>
      <c r="V182" s="877"/>
    </row>
    <row r="183" spans="1:24" x14ac:dyDescent="0.25">
      <c r="C183" s="3168" t="s">
        <v>486</v>
      </c>
      <c r="D183" s="3168"/>
      <c r="E183" s="863">
        <f>J183/K183</f>
        <v>236.67248015873014</v>
      </c>
      <c r="G183" s="518" t="s">
        <v>487</v>
      </c>
      <c r="J183" s="629">
        <f>SUM(D163:D179)</f>
        <v>7100.174404761904</v>
      </c>
      <c r="K183" s="1517">
        <v>30</v>
      </c>
      <c r="M183" s="1138">
        <f>5316.5+D181-J184</f>
        <v>541.74183333333349</v>
      </c>
      <c r="N183" s="216"/>
      <c r="O183" s="1517"/>
      <c r="P183" s="1210"/>
      <c r="Q183" s="1038"/>
      <c r="R183" s="1226"/>
      <c r="S183" s="1129"/>
      <c r="T183" s="1129"/>
      <c r="U183" s="877"/>
      <c r="V183" s="877"/>
    </row>
    <row r="184" spans="1:24" ht="15.75" customHeight="1" x14ac:dyDescent="0.25">
      <c r="B184" s="3167" t="s">
        <v>7452</v>
      </c>
      <c r="C184" s="3167"/>
      <c r="D184" s="3167"/>
      <c r="E184" s="1125">
        <f>5316.5/30</f>
        <v>177.21666666666667</v>
      </c>
      <c r="G184" s="518" t="s">
        <v>6257</v>
      </c>
      <c r="J184" s="609">
        <f>J183-D172</f>
        <v>5399.7581666666665</v>
      </c>
      <c r="K184" s="629"/>
      <c r="M184" s="868"/>
      <c r="O184" s="868"/>
      <c r="P184" s="1210"/>
      <c r="Q184" s="1038"/>
      <c r="R184" s="1226"/>
      <c r="S184" s="1129"/>
      <c r="T184" s="1129"/>
      <c r="U184" s="877"/>
      <c r="V184" s="877"/>
    </row>
    <row r="185" spans="1:24" x14ac:dyDescent="0.25">
      <c r="A185" s="518"/>
      <c r="C185" s="79"/>
      <c r="D185" s="79"/>
      <c r="E185" s="769"/>
      <c r="F185" s="866"/>
      <c r="G185" s="769"/>
      <c r="H185" s="866"/>
      <c r="I185" s="1210"/>
      <c r="J185" s="867"/>
      <c r="K185" s="866"/>
      <c r="L185" s="1038"/>
      <c r="M185" s="1210"/>
      <c r="N185" s="1038"/>
      <c r="O185" s="1210"/>
      <c r="P185" s="1210"/>
      <c r="Q185" s="1038"/>
      <c r="R185" s="769"/>
      <c r="S185" s="484" t="s">
        <v>280</v>
      </c>
      <c r="T185" s="216"/>
      <c r="U185" s="866"/>
      <c r="V185" s="484"/>
      <c r="X185" s="877"/>
    </row>
    <row r="186" spans="1:24" s="518" customFormat="1" x14ac:dyDescent="0.25">
      <c r="A186" s="79"/>
      <c r="B186" s="79"/>
      <c r="C186" s="79"/>
      <c r="D186" s="79"/>
      <c r="E186" s="1126">
        <f>E184-E183</f>
        <v>-59.45581349206347</v>
      </c>
      <c r="F186" s="2980">
        <f>E183/E184</f>
        <v>1.3354978660325221</v>
      </c>
      <c r="H186" s="85"/>
      <c r="I186" s="89"/>
      <c r="J186" s="1210"/>
      <c r="K186" s="754"/>
      <c r="L186" s="79"/>
      <c r="M186" s="79"/>
      <c r="N186" s="79"/>
      <c r="O186" s="79"/>
      <c r="P186" s="1210"/>
      <c r="Q186" s="1038"/>
      <c r="R186" s="79"/>
      <c r="S186" s="79"/>
      <c r="T186" s="866"/>
      <c r="U186" s="484"/>
      <c r="V186" s="79"/>
      <c r="W186" s="877"/>
      <c r="X186" s="79"/>
    </row>
    <row r="187" spans="1:24" s="518" customFormat="1" x14ac:dyDescent="0.25">
      <c r="A187" s="79"/>
      <c r="B187" s="79"/>
      <c r="C187" s="79"/>
      <c r="D187" s="79"/>
      <c r="E187" s="85"/>
      <c r="J187" s="1038"/>
      <c r="K187" s="1225"/>
      <c r="Q187" s="1038"/>
      <c r="R187" s="484"/>
      <c r="S187" s="79"/>
      <c r="T187" s="877"/>
      <c r="U187" s="79"/>
    </row>
    <row r="188" spans="1:24" s="518" customFormat="1" x14ac:dyDescent="0.25">
      <c r="A188" s="79"/>
      <c r="B188" s="1124" t="s">
        <v>6376</v>
      </c>
      <c r="C188" s="2125"/>
      <c r="D188" s="2219">
        <f>SUMIF($E$7:$E$158,"crédito",$G$7:$G$158)</f>
        <v>5954.23</v>
      </c>
      <c r="E188" s="85"/>
      <c r="F188" s="89"/>
      <c r="G188" s="79"/>
      <c r="H188" s="79"/>
      <c r="I188" s="79"/>
      <c r="J188" s="1038"/>
      <c r="K188" s="1225"/>
      <c r="L188" s="769"/>
      <c r="M188" s="866"/>
      <c r="N188" s="769"/>
      <c r="O188" s="866"/>
      <c r="P188" s="1210"/>
      <c r="Q188" s="1038"/>
      <c r="R188" s="484"/>
      <c r="S188" s="79"/>
      <c r="T188" s="877"/>
      <c r="U188" s="79"/>
    </row>
    <row r="189" spans="1:24" s="518" customFormat="1" x14ac:dyDescent="0.25">
      <c r="A189" s="79"/>
      <c r="B189" s="518" t="s">
        <v>6496</v>
      </c>
      <c r="C189" s="459"/>
      <c r="D189" s="2218">
        <f>SUM(D163:D179)-D172</f>
        <v>5399.7581666666665</v>
      </c>
      <c r="E189" s="85"/>
      <c r="F189" s="89"/>
      <c r="G189" s="79"/>
      <c r="H189" s="79"/>
      <c r="I189" s="216"/>
      <c r="J189" s="864"/>
      <c r="K189" s="877"/>
      <c r="L189" s="769"/>
      <c r="M189" s="866"/>
      <c r="N189" s="769"/>
      <c r="O189" s="866"/>
      <c r="P189" s="1210"/>
      <c r="Q189" s="1038"/>
      <c r="R189" s="484"/>
      <c r="S189" s="79"/>
      <c r="T189" s="877"/>
      <c r="U189" s="79"/>
    </row>
    <row r="190" spans="1:24" s="518" customFormat="1" x14ac:dyDescent="0.25">
      <c r="A190" s="79"/>
      <c r="B190" s="81" t="s">
        <v>6497</v>
      </c>
      <c r="C190" s="81"/>
      <c r="D190" s="1014">
        <f>D188-D189</f>
        <v>554.47183333333305</v>
      </c>
      <c r="E190" s="79"/>
      <c r="F190" s="79"/>
      <c r="G190" s="79"/>
      <c r="H190" s="79"/>
      <c r="J190" s="1038"/>
      <c r="K190" s="877"/>
      <c r="M190" s="866"/>
      <c r="O190" s="866"/>
      <c r="P190" s="1210"/>
      <c r="Q190" s="1038"/>
      <c r="R190" s="484"/>
      <c r="S190" s="79"/>
      <c r="T190" s="877"/>
      <c r="U190" s="79"/>
    </row>
    <row r="191" spans="1:24" s="518" customFormat="1" x14ac:dyDescent="0.25">
      <c r="A191" s="79"/>
      <c r="B191" s="79"/>
      <c r="C191" s="79"/>
      <c r="D191" s="79"/>
      <c r="E191" s="79"/>
      <c r="F191" s="79"/>
      <c r="G191" s="79"/>
      <c r="H191" s="79"/>
      <c r="I191" s="216"/>
      <c r="J191" s="1038"/>
      <c r="K191" s="877"/>
      <c r="L191" s="769"/>
      <c r="M191" s="866"/>
      <c r="N191" s="769"/>
      <c r="O191" s="866"/>
      <c r="P191" s="1210"/>
      <c r="Q191" s="1038"/>
      <c r="R191" s="484"/>
      <c r="S191" s="79"/>
      <c r="T191" s="877"/>
      <c r="U191" s="79"/>
    </row>
    <row r="192" spans="1:24" s="518" customFormat="1" x14ac:dyDescent="0.25">
      <c r="A192" s="79"/>
      <c r="B192" s="79"/>
      <c r="C192" s="79"/>
      <c r="D192" s="79"/>
      <c r="E192" s="79"/>
      <c r="F192" s="79"/>
      <c r="G192" s="216"/>
      <c r="H192" s="79"/>
      <c r="I192" s="216"/>
      <c r="J192" s="1038"/>
      <c r="K192" s="877"/>
      <c r="L192" s="769"/>
      <c r="M192" s="868"/>
      <c r="N192" s="769"/>
      <c r="O192" s="868"/>
      <c r="P192" s="1210"/>
      <c r="Q192" s="1038"/>
      <c r="R192" s="484"/>
      <c r="S192" s="79"/>
      <c r="T192" s="877"/>
      <c r="U192" s="79"/>
    </row>
    <row r="193" spans="1:21" s="518" customFormat="1" x14ac:dyDescent="0.25">
      <c r="A193" s="79"/>
      <c r="B193" s="79"/>
      <c r="C193" s="79"/>
      <c r="D193" s="79"/>
      <c r="E193" s="79"/>
      <c r="F193" s="79"/>
      <c r="G193" s="216"/>
      <c r="H193" s="79"/>
      <c r="I193" s="216"/>
      <c r="J193" s="79"/>
      <c r="K193" s="877"/>
      <c r="L193" s="769"/>
      <c r="M193" s="866"/>
      <c r="N193" s="769"/>
      <c r="O193" s="866"/>
      <c r="P193" s="1210"/>
      <c r="Q193" s="1038"/>
      <c r="R193" s="484"/>
      <c r="S193" s="79"/>
      <c r="T193" s="877"/>
      <c r="U193" s="79"/>
    </row>
    <row r="194" spans="1:21" s="518" customFormat="1" x14ac:dyDescent="0.25">
      <c r="A194" s="79"/>
      <c r="B194" s="79"/>
      <c r="C194" s="79"/>
      <c r="D194" s="79"/>
      <c r="E194" s="79"/>
      <c r="F194" s="79"/>
      <c r="G194" s="216"/>
      <c r="H194" s="79"/>
      <c r="I194" s="79"/>
      <c r="J194" s="85"/>
      <c r="K194" s="877"/>
      <c r="L194" s="770"/>
      <c r="M194" s="866"/>
      <c r="N194" s="770"/>
      <c r="O194" s="866"/>
      <c r="P194" s="1210"/>
      <c r="Q194" s="1038"/>
      <c r="R194" s="484"/>
      <c r="S194" s="79"/>
      <c r="T194" s="877"/>
      <c r="U194" s="79"/>
    </row>
    <row r="195" spans="1:21" s="518" customFormat="1" x14ac:dyDescent="0.25">
      <c r="A195" s="79"/>
      <c r="B195" s="79"/>
      <c r="C195" s="79"/>
      <c r="D195" s="79"/>
      <c r="E195" s="79"/>
      <c r="F195" s="79"/>
      <c r="G195" s="79"/>
      <c r="H195" s="79"/>
      <c r="I195" s="216"/>
      <c r="J195" s="1038"/>
      <c r="K195" s="877"/>
      <c r="L195" s="769"/>
      <c r="M195" s="868"/>
      <c r="N195" s="769"/>
      <c r="O195" s="868"/>
      <c r="P195" s="1210"/>
      <c r="Q195" s="1038"/>
      <c r="R195" s="484"/>
      <c r="S195" s="79"/>
      <c r="T195" s="877"/>
      <c r="U195" s="79"/>
    </row>
    <row r="196" spans="1:21" s="518" customFormat="1" x14ac:dyDescent="0.25">
      <c r="A196" s="79"/>
      <c r="B196" s="79"/>
      <c r="C196" s="85"/>
      <c r="D196" s="85"/>
      <c r="E196" s="85"/>
      <c r="F196" s="89"/>
      <c r="G196" s="79"/>
      <c r="H196" s="79"/>
      <c r="I196" s="79"/>
      <c r="J196" s="85"/>
      <c r="K196" s="877"/>
      <c r="L196" s="769"/>
      <c r="M196" s="866"/>
      <c r="N196" s="769"/>
      <c r="O196" s="866"/>
      <c r="P196" s="1210"/>
      <c r="Q196" s="1038"/>
      <c r="R196" s="484"/>
      <c r="S196" s="79"/>
      <c r="T196" s="877"/>
      <c r="U196" s="79"/>
    </row>
    <row r="197" spans="1:21" s="518" customFormat="1" x14ac:dyDescent="0.25">
      <c r="A197" s="79"/>
      <c r="B197" s="79"/>
      <c r="C197" s="79"/>
      <c r="D197" s="79"/>
      <c r="E197" s="79"/>
      <c r="F197" s="79"/>
      <c r="G197" s="79"/>
      <c r="H197" s="79"/>
      <c r="I197" s="629"/>
      <c r="J197" s="769"/>
      <c r="K197" s="1225"/>
      <c r="L197" s="769"/>
      <c r="M197" s="866"/>
      <c r="N197" s="769"/>
      <c r="O197" s="866"/>
      <c r="P197" s="1210"/>
      <c r="Q197" s="1038"/>
      <c r="R197" s="484"/>
      <c r="S197" s="79"/>
      <c r="T197" s="877"/>
      <c r="U197" s="79"/>
    </row>
    <row r="198" spans="1:21" s="518" customFormat="1" x14ac:dyDescent="0.25">
      <c r="A198" s="79"/>
      <c r="B198" s="79"/>
      <c r="C198" s="85"/>
      <c r="D198" s="85"/>
      <c r="E198" s="85"/>
      <c r="F198" s="89"/>
      <c r="G198" s="79"/>
      <c r="H198" s="79"/>
      <c r="I198" s="79"/>
      <c r="J198" s="79"/>
      <c r="K198" s="79"/>
      <c r="L198" s="769"/>
      <c r="M198" s="866"/>
      <c r="N198" s="769"/>
      <c r="O198" s="866"/>
      <c r="P198" s="1210"/>
      <c r="Q198" s="1038"/>
      <c r="R198" s="484"/>
      <c r="S198" s="79"/>
      <c r="T198" s="877"/>
      <c r="U198" s="79"/>
    </row>
    <row r="199" spans="1:21" s="518" customFormat="1" x14ac:dyDescent="0.25">
      <c r="A199" s="79"/>
      <c r="B199" s="79"/>
      <c r="C199" s="85"/>
      <c r="D199" s="85"/>
      <c r="E199" s="85"/>
      <c r="F199" s="89"/>
      <c r="G199" s="79"/>
      <c r="H199" s="79"/>
      <c r="I199" s="79"/>
      <c r="J199" s="79"/>
      <c r="K199" s="79"/>
      <c r="L199" s="769"/>
      <c r="M199" s="866"/>
      <c r="N199" s="769"/>
      <c r="O199" s="866"/>
      <c r="P199" s="1210"/>
      <c r="Q199" s="1038"/>
      <c r="R199" s="484"/>
      <c r="S199" s="79"/>
      <c r="T199" s="877"/>
      <c r="U199" s="79"/>
    </row>
    <row r="200" spans="1:21" s="518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69"/>
      <c r="K200" s="868"/>
      <c r="L200" s="769"/>
      <c r="M200" s="866"/>
      <c r="N200" s="769"/>
      <c r="O200" s="866"/>
      <c r="P200" s="1210"/>
      <c r="Q200" s="1038"/>
      <c r="R200" s="484"/>
      <c r="S200" s="79"/>
      <c r="T200" s="877"/>
      <c r="U200" s="79"/>
    </row>
    <row r="201" spans="1:21" s="518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69"/>
      <c r="K201" s="868"/>
      <c r="L201" s="769"/>
      <c r="M201" s="866"/>
      <c r="N201" s="769"/>
      <c r="O201" s="866"/>
      <c r="P201" s="1210"/>
      <c r="Q201" s="1038"/>
      <c r="R201" s="484"/>
      <c r="S201" s="79"/>
      <c r="T201" s="877"/>
      <c r="U201" s="79"/>
    </row>
    <row r="202" spans="1:21" s="518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69"/>
      <c r="K202" s="79"/>
      <c r="L202" s="769"/>
      <c r="M202" s="866"/>
      <c r="N202" s="769"/>
      <c r="O202" s="866"/>
      <c r="P202" s="1210"/>
      <c r="Q202" s="1038"/>
      <c r="R202" s="484"/>
      <c r="S202" s="79"/>
      <c r="T202" s="877"/>
      <c r="U202" s="79"/>
    </row>
    <row r="203" spans="1:21" s="518" customFormat="1" x14ac:dyDescent="0.25">
      <c r="A203" s="79"/>
      <c r="B203" s="79"/>
      <c r="C203" s="79"/>
      <c r="D203" s="79"/>
      <c r="E203" s="79"/>
      <c r="F203" s="79"/>
      <c r="G203" s="79"/>
      <c r="H203" s="79"/>
      <c r="I203" s="216"/>
      <c r="J203" s="79"/>
      <c r="K203" s="79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1" s="518" customFormat="1" x14ac:dyDescent="0.25">
      <c r="A204" s="79"/>
      <c r="B204" s="79"/>
      <c r="C204" s="79"/>
      <c r="D204" s="79"/>
      <c r="E204" s="79"/>
      <c r="F204" s="79"/>
      <c r="G204" s="79"/>
      <c r="H204" s="79"/>
      <c r="I204" s="216"/>
      <c r="J204" s="79"/>
      <c r="K204" s="79"/>
      <c r="L204" s="769"/>
      <c r="M204" s="866"/>
      <c r="N204" s="769"/>
      <c r="O204" s="866"/>
      <c r="P204" s="1210"/>
      <c r="Q204" s="1038"/>
      <c r="R204" s="484"/>
      <c r="S204" s="79"/>
      <c r="T204" s="877"/>
      <c r="U204" s="79"/>
    </row>
    <row r="205" spans="1:21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216"/>
      <c r="J205" s="1517"/>
      <c r="K205" s="79"/>
      <c r="L205" s="769"/>
      <c r="M205" s="866"/>
      <c r="N205" s="769"/>
      <c r="O205" s="866"/>
      <c r="R205" s="484"/>
      <c r="S205" s="79"/>
      <c r="T205" s="877"/>
      <c r="U205" s="79"/>
    </row>
    <row r="206" spans="1:21" s="518" customFormat="1" x14ac:dyDescent="0.25">
      <c r="A206" s="79"/>
      <c r="B206" s="79"/>
      <c r="C206" s="79"/>
      <c r="D206" s="79"/>
      <c r="E206" s="79"/>
      <c r="F206" s="79"/>
      <c r="G206" s="79"/>
      <c r="H206" s="79"/>
      <c r="I206" s="216"/>
      <c r="J206" s="79"/>
      <c r="K206" s="868"/>
      <c r="L206" s="769"/>
      <c r="M206" s="866"/>
      <c r="N206" s="769"/>
      <c r="O206" s="866"/>
      <c r="R206" s="484"/>
      <c r="S206" s="79"/>
      <c r="T206" s="877"/>
      <c r="U206" s="79"/>
    </row>
    <row r="207" spans="1:21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216"/>
      <c r="J207" s="89"/>
      <c r="K207" s="79"/>
      <c r="L207" s="769"/>
      <c r="M207" s="868"/>
      <c r="N207" s="769"/>
      <c r="O207" s="868"/>
      <c r="P207" s="79"/>
      <c r="Q207" s="79"/>
      <c r="R207" s="484"/>
      <c r="S207" s="79"/>
      <c r="T207" s="877"/>
      <c r="U207" s="79"/>
    </row>
    <row r="208" spans="1:21" s="518" customFormat="1" x14ac:dyDescent="0.25">
      <c r="A208" s="79"/>
      <c r="B208" s="79"/>
      <c r="C208" s="79"/>
      <c r="D208" s="79"/>
      <c r="E208" s="79"/>
      <c r="F208" s="79"/>
      <c r="G208" s="79"/>
      <c r="H208" s="79"/>
      <c r="I208" s="216"/>
      <c r="J208" s="79"/>
      <c r="K208" s="79"/>
      <c r="L208" s="769"/>
      <c r="M208" s="868"/>
      <c r="N208" s="769"/>
      <c r="O208" s="868"/>
      <c r="P208" s="81"/>
      <c r="Q208" s="755"/>
      <c r="R208" s="484"/>
      <c r="S208" s="79"/>
      <c r="T208" s="877"/>
      <c r="U208" s="79"/>
    </row>
    <row r="209" spans="1:21" s="518" customFormat="1" x14ac:dyDescent="0.25">
      <c r="A209" s="79"/>
      <c r="B209" s="79"/>
      <c r="C209" s="79"/>
      <c r="D209" s="79"/>
      <c r="E209" s="79"/>
      <c r="F209" s="79"/>
      <c r="G209" s="79"/>
      <c r="H209" s="79"/>
      <c r="I209" s="216"/>
      <c r="L209" s="769"/>
      <c r="M209" s="868"/>
      <c r="N209" s="769"/>
      <c r="O209" s="868"/>
      <c r="P209" s="868"/>
      <c r="Q209" s="79"/>
      <c r="R209" s="484"/>
      <c r="S209" s="79"/>
      <c r="T209" s="877"/>
      <c r="U209" s="79"/>
    </row>
    <row r="210" spans="1:21" s="518" customFormat="1" x14ac:dyDescent="0.25">
      <c r="A210" s="79"/>
      <c r="B210" s="79"/>
      <c r="C210" s="79"/>
      <c r="D210" s="79"/>
      <c r="E210" s="79"/>
      <c r="F210" s="79"/>
      <c r="G210" s="79"/>
      <c r="H210" s="79"/>
      <c r="I210" s="216"/>
      <c r="J210" s="769"/>
      <c r="K210" s="866"/>
      <c r="L210" s="769"/>
      <c r="M210" s="868"/>
      <c r="N210" s="769"/>
      <c r="O210" s="868"/>
      <c r="P210" s="754"/>
      <c r="Q210" s="886"/>
      <c r="R210" s="484"/>
      <c r="S210" s="79"/>
      <c r="T210" s="877"/>
      <c r="U210" s="79"/>
    </row>
    <row r="211" spans="1:21" s="518" customFormat="1" x14ac:dyDescent="0.25">
      <c r="A211" s="79"/>
      <c r="B211" s="79"/>
      <c r="C211" s="79"/>
      <c r="D211" s="79"/>
      <c r="E211" s="79"/>
      <c r="F211" s="79"/>
      <c r="G211" s="79"/>
      <c r="H211" s="79"/>
      <c r="I211" s="216"/>
      <c r="J211" s="769"/>
      <c r="K211" s="866"/>
      <c r="L211" s="769"/>
      <c r="M211" s="868"/>
      <c r="N211" s="769"/>
      <c r="O211" s="868"/>
      <c r="P211" s="864"/>
      <c r="Q211" s="864"/>
      <c r="R211" s="484"/>
      <c r="S211" s="79"/>
      <c r="T211" s="877"/>
      <c r="U211" s="79"/>
    </row>
    <row r="212" spans="1:21" s="518" customFormat="1" x14ac:dyDescent="0.25">
      <c r="A212" s="79"/>
      <c r="B212" s="79"/>
      <c r="C212" s="85"/>
      <c r="D212" s="85"/>
      <c r="E212" s="85"/>
      <c r="F212" s="89"/>
      <c r="G212" s="79"/>
      <c r="H212" s="79"/>
      <c r="I212" s="79"/>
      <c r="K212" s="866"/>
      <c r="L212" s="769"/>
      <c r="M212" s="866"/>
      <c r="N212" s="769"/>
      <c r="O212" s="866"/>
      <c r="P212" s="864"/>
      <c r="Q212" s="1032"/>
      <c r="R212" s="484"/>
      <c r="S212" s="79"/>
      <c r="T212" s="877"/>
      <c r="U212" s="79"/>
    </row>
    <row r="213" spans="1:21" s="518" customFormat="1" x14ac:dyDescent="0.25">
      <c r="A213" s="79"/>
      <c r="B213" s="79"/>
      <c r="C213" s="85"/>
      <c r="D213" s="85"/>
      <c r="E213" s="85"/>
      <c r="F213" s="89"/>
      <c r="G213" s="79"/>
      <c r="H213" s="79"/>
      <c r="I213" s="79"/>
      <c r="J213" s="769"/>
      <c r="K213" s="866"/>
      <c r="L213" s="769"/>
      <c r="M213" s="866"/>
      <c r="N213" s="769"/>
      <c r="O213" s="866"/>
      <c r="P213" s="864"/>
      <c r="Q213" s="1032"/>
      <c r="R213" s="484"/>
      <c r="S213" s="79"/>
      <c r="T213" s="877"/>
      <c r="U213" s="79"/>
    </row>
    <row r="214" spans="1:21" s="518" customFormat="1" x14ac:dyDescent="0.25">
      <c r="A214" s="79"/>
      <c r="B214" s="79"/>
      <c r="C214" s="85"/>
      <c r="D214" s="85"/>
      <c r="E214" s="85"/>
      <c r="F214" s="89"/>
      <c r="G214" s="79"/>
      <c r="H214" s="79"/>
      <c r="I214" s="79"/>
      <c r="J214" s="769"/>
      <c r="K214" s="868"/>
      <c r="L214" s="769"/>
      <c r="M214" s="868"/>
      <c r="N214" s="769"/>
      <c r="O214" s="868"/>
      <c r="P214" s="85"/>
      <c r="Q214" s="795"/>
      <c r="R214" s="484"/>
      <c r="S214" s="79"/>
      <c r="T214" s="877"/>
      <c r="U214" s="79"/>
    </row>
    <row r="215" spans="1:21" s="518" customFormat="1" x14ac:dyDescent="0.25">
      <c r="A215" s="79"/>
      <c r="B215" s="79"/>
      <c r="C215" s="85"/>
      <c r="D215" s="85"/>
      <c r="E215" s="85"/>
      <c r="F215" s="89"/>
      <c r="G215" s="79"/>
      <c r="H215" s="79"/>
      <c r="I215" s="79"/>
      <c r="J215" s="769"/>
      <c r="K215" s="866"/>
      <c r="L215" s="769"/>
      <c r="M215" s="866"/>
      <c r="N215" s="769"/>
      <c r="O215" s="866"/>
      <c r="P215" s="85"/>
      <c r="Q215" s="177"/>
      <c r="R215" s="484"/>
      <c r="S215" s="79"/>
      <c r="T215" s="877"/>
      <c r="U215" s="79"/>
    </row>
    <row r="216" spans="1:21" s="518" customFormat="1" x14ac:dyDescent="0.25">
      <c r="A216" s="79"/>
      <c r="B216" s="79"/>
      <c r="C216" s="85"/>
      <c r="D216" s="85"/>
      <c r="E216" s="85"/>
      <c r="F216" s="89"/>
      <c r="G216" s="79"/>
      <c r="H216" s="79"/>
      <c r="I216" s="79"/>
      <c r="J216" s="770"/>
      <c r="K216" s="866"/>
      <c r="L216" s="769"/>
      <c r="M216" s="866"/>
      <c r="N216" s="769"/>
      <c r="O216" s="866"/>
      <c r="P216" s="85"/>
      <c r="Q216" s="177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69"/>
      <c r="K217" s="868"/>
      <c r="L217" s="769"/>
      <c r="M217" s="868"/>
      <c r="N217" s="769"/>
      <c r="O217" s="868"/>
      <c r="P217" s="85"/>
      <c r="Q217" s="177" t="s">
        <v>280</v>
      </c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79"/>
      <c r="J218" s="769"/>
      <c r="K218" s="866"/>
      <c r="L218" s="769"/>
      <c r="M218" s="868"/>
      <c r="N218" s="769"/>
      <c r="O218" s="868"/>
      <c r="P218" s="85"/>
      <c r="Q218" s="177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79"/>
      <c r="J219" s="769"/>
      <c r="K219" s="866"/>
      <c r="L219" s="769"/>
      <c r="M219" s="868"/>
      <c r="N219" s="769"/>
      <c r="O219" s="868"/>
      <c r="P219" s="85"/>
      <c r="Q219" s="866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79"/>
      <c r="J220" s="769"/>
      <c r="K220" s="866"/>
      <c r="L220" s="769"/>
      <c r="M220" s="868"/>
      <c r="N220" s="769"/>
      <c r="O220" s="868"/>
      <c r="P220" s="769"/>
      <c r="Q220" s="216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79"/>
      <c r="J221" s="769"/>
      <c r="K221" s="866"/>
      <c r="L221" s="769"/>
      <c r="M221" s="866"/>
      <c r="N221" s="769"/>
      <c r="O221" s="866"/>
      <c r="P221" s="79"/>
      <c r="Q221" s="216"/>
      <c r="R221" s="484"/>
      <c r="S221" s="79"/>
      <c r="T221" s="877"/>
      <c r="U221" s="79"/>
    </row>
    <row r="222" spans="1:21" s="518" customFormat="1" x14ac:dyDescent="0.25">
      <c r="A222" s="79"/>
      <c r="B222" s="79"/>
      <c r="C222" s="79"/>
      <c r="D222" s="79"/>
      <c r="E222" s="79"/>
      <c r="F222" s="79"/>
      <c r="G222" s="79"/>
      <c r="H222" s="79"/>
      <c r="I222" s="79"/>
      <c r="J222" s="769"/>
      <c r="K222" s="866"/>
      <c r="L222" s="223"/>
      <c r="M222" s="629"/>
      <c r="N222" s="223"/>
      <c r="O222" s="629"/>
      <c r="P222" s="769"/>
      <c r="Q222" s="868"/>
      <c r="R222" s="484"/>
      <c r="S222" s="79"/>
      <c r="T222" s="877"/>
      <c r="U222" s="79"/>
    </row>
    <row r="223" spans="1:21" s="518" customFormat="1" x14ac:dyDescent="0.25">
      <c r="A223" s="79"/>
      <c r="B223" s="79"/>
      <c r="C223" s="79"/>
      <c r="D223" s="79"/>
      <c r="E223" s="79"/>
      <c r="F223" s="79"/>
      <c r="G223" s="79"/>
      <c r="H223" s="79"/>
      <c r="I223" s="79"/>
      <c r="J223" s="769"/>
      <c r="K223" s="866"/>
      <c r="L223" s="756"/>
      <c r="M223" s="756"/>
      <c r="N223" s="756"/>
      <c r="O223" s="756"/>
      <c r="P223" s="769"/>
      <c r="Q223" s="868"/>
      <c r="R223" s="484"/>
      <c r="S223" s="79"/>
      <c r="T223" s="877"/>
      <c r="U223" s="79"/>
    </row>
    <row r="224" spans="1:21" s="518" customFormat="1" x14ac:dyDescent="0.25">
      <c r="A224" s="79"/>
      <c r="B224" s="79"/>
      <c r="C224" s="79"/>
      <c r="D224" s="79"/>
      <c r="E224" s="79"/>
      <c r="F224" s="79"/>
      <c r="G224" s="79"/>
      <c r="H224" s="79"/>
      <c r="I224" s="79"/>
      <c r="J224" s="769"/>
      <c r="K224" s="866"/>
      <c r="L224" s="79"/>
      <c r="M224" s="79"/>
      <c r="N224" s="79"/>
      <c r="O224" s="79"/>
      <c r="P224" s="769"/>
      <c r="Q224" s="86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79"/>
      <c r="D225" s="79"/>
      <c r="E225" s="79"/>
      <c r="F225" s="79"/>
      <c r="G225" s="79"/>
      <c r="H225" s="79"/>
      <c r="I225" s="79"/>
      <c r="J225" s="769"/>
      <c r="K225" s="866"/>
      <c r="L225" s="79"/>
      <c r="M225" s="79"/>
      <c r="N225" s="79"/>
      <c r="O225" s="79"/>
      <c r="P225" s="769"/>
      <c r="Q225" s="79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79"/>
      <c r="J226" s="769"/>
      <c r="K226" s="866"/>
      <c r="L226" s="79"/>
      <c r="M226" s="79"/>
      <c r="N226" s="79"/>
      <c r="O226" s="79"/>
      <c r="P226" s="79"/>
      <c r="Q226" s="79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6"/>
      <c r="L227" s="79"/>
      <c r="M227" s="79"/>
      <c r="N227" s="79"/>
      <c r="O227" s="79"/>
      <c r="P227" s="79"/>
      <c r="Q227" s="79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85"/>
      <c r="M228" s="85"/>
      <c r="N228" s="85"/>
      <c r="O228" s="85"/>
      <c r="P228" s="1517"/>
      <c r="Q228" s="79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8"/>
      <c r="L229" s="79"/>
      <c r="M229" s="79"/>
      <c r="N229" s="79"/>
      <c r="O229" s="79"/>
      <c r="P229" s="79"/>
      <c r="Q229" s="86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8"/>
      <c r="L230" s="79"/>
      <c r="M230" s="79"/>
      <c r="N230" s="79"/>
      <c r="O230" s="79"/>
      <c r="P230" s="89"/>
      <c r="Q230" s="79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8"/>
      <c r="L231" s="79"/>
      <c r="M231" s="79"/>
      <c r="N231" s="79"/>
      <c r="O231" s="79"/>
      <c r="P231" s="79"/>
      <c r="Q231" s="79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8"/>
      <c r="L232" s="79"/>
      <c r="M232" s="79"/>
      <c r="N232" s="79"/>
      <c r="O232" s="79"/>
      <c r="P232" s="769"/>
      <c r="Q232" s="866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8"/>
      <c r="L233" s="79"/>
      <c r="M233" s="79"/>
      <c r="N233" s="79"/>
      <c r="O233" s="79"/>
      <c r="P233" s="769"/>
      <c r="Q233" s="866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79"/>
      <c r="M234" s="79"/>
      <c r="N234" s="79"/>
      <c r="O234" s="79"/>
      <c r="P234" s="769"/>
      <c r="Q234" s="866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85"/>
      <c r="M235" s="85"/>
      <c r="N235" s="85"/>
      <c r="O235" s="85"/>
      <c r="Q235" s="866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8"/>
      <c r="L236" s="79"/>
      <c r="M236" s="79"/>
      <c r="N236" s="79"/>
      <c r="O236" s="79"/>
      <c r="P236" s="769"/>
      <c r="Q236" s="866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9"/>
      <c r="M237" s="79"/>
      <c r="N237" s="79"/>
      <c r="O237" s="79"/>
      <c r="P237" s="769"/>
      <c r="Q237" s="868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79"/>
      <c r="M238" s="79"/>
      <c r="N238" s="79"/>
      <c r="O238" s="79"/>
      <c r="P238" s="769"/>
      <c r="Q238" s="866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8"/>
      <c r="L239" s="79"/>
      <c r="M239" s="79"/>
      <c r="N239" s="79"/>
      <c r="O239" s="79"/>
      <c r="P239" s="770"/>
      <c r="Q239" s="866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9"/>
      <c r="M240" s="79"/>
      <c r="N240" s="79"/>
      <c r="O240" s="79"/>
      <c r="P240" s="769"/>
      <c r="Q240" s="86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9"/>
      <c r="M241" s="79"/>
      <c r="N241" s="79"/>
      <c r="O241" s="79"/>
      <c r="P241" s="769"/>
      <c r="Q241" s="866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71"/>
      <c r="N242" s="771"/>
      <c r="P242" s="769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x14ac:dyDescent="0.25">
      <c r="J244" s="223"/>
      <c r="K244" s="629"/>
      <c r="P244" s="769"/>
      <c r="Q244" s="866"/>
    </row>
    <row r="245" spans="1:21" x14ac:dyDescent="0.25">
      <c r="J245" s="756"/>
      <c r="K245" s="756"/>
      <c r="P245" s="769"/>
      <c r="Q245" s="866"/>
    </row>
    <row r="246" spans="1:21" x14ac:dyDescent="0.25">
      <c r="P246" s="769"/>
      <c r="Q246" s="866"/>
    </row>
    <row r="247" spans="1:21" x14ac:dyDescent="0.25">
      <c r="P247" s="769"/>
      <c r="Q247" s="866"/>
    </row>
    <row r="248" spans="1:21" x14ac:dyDescent="0.25">
      <c r="P248" s="769"/>
      <c r="Q248" s="866"/>
    </row>
    <row r="249" spans="1:21" x14ac:dyDescent="0.25">
      <c r="P249" s="769"/>
      <c r="Q249" s="866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85"/>
      <c r="K250" s="85"/>
      <c r="L250" s="79"/>
      <c r="M250" s="216"/>
      <c r="N250" s="79"/>
      <c r="O250" s="216"/>
      <c r="P250" s="769"/>
      <c r="Q250" s="866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216"/>
      <c r="N251" s="79"/>
      <c r="O251" s="216"/>
      <c r="P251" s="769"/>
      <c r="Q251" s="866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216"/>
      <c r="N252" s="79"/>
      <c r="O252" s="216"/>
      <c r="P252" s="769"/>
      <c r="Q252" s="868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216"/>
      <c r="N253" s="79"/>
      <c r="O253" s="216"/>
      <c r="P253" s="769"/>
      <c r="Q253" s="868"/>
      <c r="R253" s="484"/>
      <c r="S253" s="79"/>
      <c r="T253" s="877"/>
      <c r="U253" s="79"/>
    </row>
    <row r="254" spans="1:21" x14ac:dyDescent="0.25">
      <c r="P254" s="769"/>
      <c r="Q254" s="868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216"/>
      <c r="N255" s="79"/>
      <c r="O255" s="216"/>
      <c r="P255" s="769"/>
      <c r="Q255" s="868"/>
      <c r="R255" s="484"/>
      <c r="S255" s="79"/>
      <c r="T255" s="877"/>
      <c r="U255" s="79"/>
    </row>
    <row r="256" spans="1:21" x14ac:dyDescent="0.25">
      <c r="P256" s="769"/>
      <c r="Q256" s="868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85"/>
      <c r="K257" s="85"/>
      <c r="L257" s="79"/>
      <c r="M257" s="629"/>
      <c r="N257" s="79"/>
      <c r="O257" s="629"/>
      <c r="P257" s="769"/>
      <c r="Q257" s="866"/>
      <c r="R257" s="484"/>
      <c r="S257" s="79"/>
      <c r="T257" s="877"/>
      <c r="U257" s="79"/>
    </row>
    <row r="258" spans="1:21" x14ac:dyDescent="0.25">
      <c r="P258" s="769"/>
      <c r="Q258" s="866"/>
    </row>
    <row r="259" spans="1:21" x14ac:dyDescent="0.25">
      <c r="P259" s="769"/>
      <c r="Q259" s="868"/>
    </row>
    <row r="260" spans="1:21" x14ac:dyDescent="0.25">
      <c r="P260" s="769"/>
      <c r="Q260" s="866"/>
    </row>
    <row r="261" spans="1:21" x14ac:dyDescent="0.25">
      <c r="P261" s="769"/>
      <c r="Q261" s="866"/>
    </row>
    <row r="262" spans="1:21" x14ac:dyDescent="0.25">
      <c r="P262" s="769"/>
      <c r="Q262" s="868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216"/>
      <c r="N263" s="79"/>
      <c r="O263" s="216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71"/>
      <c r="L264" s="79"/>
      <c r="M264" s="216"/>
      <c r="N264" s="79"/>
      <c r="O264" s="216"/>
      <c r="P264" s="769"/>
      <c r="Q264" s="868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216"/>
      <c r="N265" s="79"/>
      <c r="O265" s="216"/>
      <c r="P265" s="769"/>
      <c r="Q265" s="868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216"/>
      <c r="N266" s="79"/>
      <c r="O266" s="216"/>
      <c r="P266" s="769"/>
      <c r="Q266" s="866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216"/>
      <c r="N267" s="79"/>
      <c r="O267" s="216"/>
      <c r="P267" s="223"/>
      <c r="Q267" s="629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216"/>
      <c r="N268" s="79"/>
      <c r="O268" s="216"/>
      <c r="P268" s="756"/>
      <c r="Q268" s="756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216"/>
      <c r="N269" s="79"/>
      <c r="O269" s="216"/>
      <c r="P269" s="79"/>
      <c r="Q269" s="79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216"/>
      <c r="N270" s="79"/>
      <c r="O270" s="216"/>
      <c r="P270" s="79"/>
      <c r="Q270" s="79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216"/>
      <c r="N271" s="79"/>
      <c r="O271" s="216"/>
      <c r="P271" s="79"/>
      <c r="Q271" s="79"/>
      <c r="R271" s="484"/>
      <c r="S271" s="79"/>
      <c r="T271" s="877"/>
      <c r="U271" s="79"/>
    </row>
    <row r="272" spans="1:21" x14ac:dyDescent="0.25">
      <c r="K272" s="216"/>
    </row>
    <row r="273" spans="1:42" x14ac:dyDescent="0.25">
      <c r="K273" s="216"/>
      <c r="P273" s="85"/>
      <c r="Q273" s="85"/>
    </row>
    <row r="274" spans="1:42" x14ac:dyDescent="0.25">
      <c r="K274" s="216"/>
    </row>
    <row r="275" spans="1:42" x14ac:dyDescent="0.25">
      <c r="K275" s="216"/>
    </row>
    <row r="277" spans="1:42" x14ac:dyDescent="0.25">
      <c r="K277" s="216"/>
    </row>
    <row r="279" spans="1:42" x14ac:dyDescent="0.25">
      <c r="K279" s="629"/>
    </row>
    <row r="280" spans="1:42" x14ac:dyDescent="0.25">
      <c r="P280" s="85"/>
      <c r="Q280" s="85"/>
    </row>
    <row r="284" spans="1:42" s="484" customFormat="1" x14ac:dyDescent="0.25">
      <c r="A284" s="79"/>
      <c r="B284" s="79"/>
      <c r="C284" s="85"/>
      <c r="D284" s="85"/>
      <c r="E284" s="85"/>
      <c r="F284" s="8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S284" s="79"/>
      <c r="T284" s="877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</row>
    <row r="285" spans="1:42" s="484" customFormat="1" x14ac:dyDescent="0.25">
      <c r="A285" s="79"/>
      <c r="B285" s="79"/>
      <c r="C285" s="85"/>
      <c r="D285" s="85"/>
      <c r="E285" s="85"/>
      <c r="F285" s="89"/>
      <c r="G285" s="79"/>
      <c r="H285" s="79"/>
      <c r="I285" s="79"/>
      <c r="J285" s="79"/>
      <c r="K285" s="216"/>
      <c r="L285" s="79"/>
      <c r="M285" s="79"/>
      <c r="N285" s="79"/>
      <c r="O285" s="79"/>
      <c r="P285" s="79"/>
      <c r="Q285" s="79"/>
      <c r="S285" s="79"/>
      <c r="T285" s="877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</row>
    <row r="286" spans="1:42" s="484" customFormat="1" x14ac:dyDescent="0.25">
      <c r="A286" s="79"/>
      <c r="B286" s="79"/>
      <c r="C286" s="85"/>
      <c r="D286" s="85"/>
      <c r="E286" s="85"/>
      <c r="F286" s="89"/>
      <c r="G286" s="79"/>
      <c r="H286" s="79"/>
      <c r="I286" s="79"/>
      <c r="J286" s="79"/>
      <c r="K286" s="216"/>
      <c r="L286" s="79"/>
      <c r="M286" s="79"/>
      <c r="N286" s="79"/>
      <c r="O286" s="79"/>
      <c r="P286" s="79"/>
      <c r="Q286" s="79"/>
      <c r="S286" s="79"/>
      <c r="T286" s="877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</row>
    <row r="287" spans="1:42" s="484" customFormat="1" x14ac:dyDescent="0.25">
      <c r="A287" s="79"/>
      <c r="B287" s="79"/>
      <c r="C287" s="85"/>
      <c r="D287" s="85"/>
      <c r="E287" s="85"/>
      <c r="F287" s="89"/>
      <c r="G287" s="79"/>
      <c r="H287" s="79"/>
      <c r="I287" s="79"/>
      <c r="J287" s="79"/>
      <c r="K287" s="216"/>
      <c r="L287" s="79"/>
      <c r="M287" s="79"/>
      <c r="N287" s="79"/>
      <c r="O287" s="79"/>
      <c r="P287" s="771"/>
      <c r="Q287" s="518"/>
      <c r="S287" s="79"/>
      <c r="T287" s="877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</row>
    <row r="288" spans="1:42" s="484" customFormat="1" x14ac:dyDescent="0.25">
      <c r="A288" s="79"/>
      <c r="B288" s="79"/>
      <c r="C288" s="85"/>
      <c r="D288" s="85"/>
      <c r="E288" s="85"/>
      <c r="F288" s="89"/>
      <c r="G288" s="79"/>
      <c r="H288" s="79"/>
      <c r="I288" s="79"/>
      <c r="J288" s="79"/>
      <c r="K288" s="216"/>
      <c r="L288" s="79"/>
      <c r="M288" s="79"/>
      <c r="N288" s="79"/>
      <c r="O288" s="79"/>
      <c r="P288" s="79"/>
      <c r="Q288" s="79"/>
      <c r="S288" s="79"/>
      <c r="T288" s="87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</row>
    <row r="289" spans="1:42" x14ac:dyDescent="0.25">
      <c r="K289" s="216"/>
    </row>
    <row r="290" spans="1:42" x14ac:dyDescent="0.25">
      <c r="K290" s="216"/>
    </row>
    <row r="291" spans="1:42" x14ac:dyDescent="0.25">
      <c r="K291" s="216"/>
    </row>
    <row r="292" spans="1:42" x14ac:dyDescent="0.25">
      <c r="K292" s="216"/>
    </row>
    <row r="293" spans="1:42" x14ac:dyDescent="0.25">
      <c r="K293" s="216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216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296" spans="1:42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216"/>
      <c r="S296" s="79"/>
      <c r="T296" s="877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</row>
    <row r="297" spans="1:42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216"/>
      <c r="S297" s="79"/>
      <c r="T297" s="877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</row>
    <row r="298" spans="1:42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216"/>
      <c r="S298" s="79"/>
      <c r="T298" s="877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</row>
    <row r="300" spans="1:42" s="484" customFormat="1" x14ac:dyDescent="0.25">
      <c r="A300" s="79"/>
      <c r="B300" s="79"/>
      <c r="C300" s="85"/>
      <c r="D300" s="85"/>
      <c r="E300" s="85"/>
      <c r="F300" s="8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216"/>
      <c r="S300" s="79"/>
      <c r="T300" s="877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</row>
    <row r="302" spans="1:42" s="484" customFormat="1" x14ac:dyDescent="0.25">
      <c r="A302" s="79"/>
      <c r="B302" s="79"/>
      <c r="C302" s="85"/>
      <c r="D302" s="85"/>
      <c r="E302" s="85"/>
      <c r="F302" s="8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629"/>
      <c r="S302" s="79"/>
      <c r="T302" s="87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216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216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216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216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216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3" spans="1:42" s="484" customFormat="1" x14ac:dyDescent="0.25">
      <c r="A313" s="79"/>
      <c r="B313" s="79"/>
      <c r="C313" s="85"/>
      <c r="D313" s="85"/>
      <c r="E313" s="85"/>
      <c r="F313" s="8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216"/>
      <c r="S313" s="79"/>
      <c r="T313" s="87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</row>
    <row r="314" spans="1:42" s="484" customFormat="1" x14ac:dyDescent="0.25">
      <c r="A314" s="79"/>
      <c r="B314" s="79"/>
      <c r="C314" s="85"/>
      <c r="D314" s="85"/>
      <c r="E314" s="85"/>
      <c r="F314" s="8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216"/>
      <c r="S314" s="79"/>
      <c r="T314" s="87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</row>
    <row r="315" spans="1:42" s="484" customFormat="1" x14ac:dyDescent="0.25">
      <c r="A315" s="79"/>
      <c r="B315" s="79"/>
      <c r="C315" s="85"/>
      <c r="D315" s="85"/>
      <c r="E315" s="85"/>
      <c r="F315" s="8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216"/>
      <c r="S315" s="79"/>
      <c r="T315" s="87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</row>
    <row r="316" spans="1:42" s="484" customFormat="1" x14ac:dyDescent="0.25">
      <c r="A316" s="79"/>
      <c r="B316" s="79"/>
      <c r="C316" s="85"/>
      <c r="D316" s="85"/>
      <c r="E316" s="85"/>
      <c r="F316" s="8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216"/>
      <c r="S316" s="79"/>
      <c r="T316" s="87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</row>
  </sheetData>
  <autoFilter ref="A2:I181" xr:uid="{00000000-0009-0000-0000-00008D000000}"/>
  <mergeCells count="17">
    <mergeCell ref="B184:D184"/>
    <mergeCell ref="L2:M3"/>
    <mergeCell ref="N2:O3"/>
    <mergeCell ref="P2:Q3"/>
    <mergeCell ref="A159:E159"/>
    <mergeCell ref="A160:E160"/>
    <mergeCell ref="C183:D183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" operator="greaterThan" id="{277B7D68-6940-493D-A24F-86AABDABD63B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D163:D179</xm:sqref>
        </x14:conditionalFormatting>
      </x14:conditionalFormattings>
    </ext>
  </extLst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23D-0A62-40A6-804E-9C6988ECC24A}">
  <dimension ref="A1:AP339"/>
  <sheetViews>
    <sheetView zoomScale="85" zoomScaleNormal="85" workbookViewId="0">
      <pane ySplit="5" topLeftCell="A196" activePane="bottomLeft" state="frozen"/>
      <selection pane="bottomLeft" activeCell="D197" sqref="D197"/>
    </sheetView>
  </sheetViews>
  <sheetFormatPr defaultColWidth="9.140625" defaultRowHeight="15" x14ac:dyDescent="0.25"/>
  <cols>
    <col min="1" max="1" width="12" style="79" bestFit="1" customWidth="1"/>
    <col min="2" max="2" width="40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8234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85" t="s">
        <v>6206</v>
      </c>
      <c r="K2" s="3086"/>
      <c r="L2" s="3085" t="s">
        <v>7163</v>
      </c>
      <c r="M2" s="3086"/>
      <c r="N2" s="3085" t="s">
        <v>8331</v>
      </c>
      <c r="O2" s="3086"/>
      <c r="P2" s="3085" t="s">
        <v>3306</v>
      </c>
      <c r="Q2" s="3086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87"/>
      <c r="K3" s="3088"/>
      <c r="L3" s="3087"/>
      <c r="M3" s="3088"/>
      <c r="N3" s="3087"/>
      <c r="O3" s="3088"/>
      <c r="P3" s="3087"/>
      <c r="Q3" s="3088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45931</v>
      </c>
      <c r="B5" s="369" t="s">
        <v>10</v>
      </c>
      <c r="C5" s="370"/>
      <c r="D5" s="370"/>
      <c r="E5" s="777"/>
      <c r="F5" s="179"/>
      <c r="G5" s="933">
        <f>'Setembro-25'!G160</f>
        <v>712.58389285719022</v>
      </c>
      <c r="H5" s="163"/>
      <c r="I5" s="1479">
        <f>'Agosto-25'!I171</f>
        <v>0</v>
      </c>
      <c r="J5" s="179"/>
      <c r="K5" s="933">
        <f>'Setembro-25'!K160</f>
        <v>199.53000000000338</v>
      </c>
      <c r="L5" s="179"/>
      <c r="M5" s="933">
        <f>'Maio-25'!M178</f>
        <v>0</v>
      </c>
      <c r="N5" s="179"/>
      <c r="O5" s="1479">
        <f>'Setembro-25'!O160</f>
        <v>4049.0100000000011</v>
      </c>
      <c r="P5" s="179"/>
      <c r="Q5" s="933">
        <f>'Setembro-25'!Q160</f>
        <v>37443.685984720003</v>
      </c>
    </row>
    <row r="6" spans="1:42" s="224" customFormat="1" x14ac:dyDescent="0.25">
      <c r="A6" s="247">
        <v>45931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x14ac:dyDescent="0.25">
      <c r="A7" s="247">
        <v>45931</v>
      </c>
      <c r="B7" s="364" t="s">
        <v>8284</v>
      </c>
      <c r="C7" s="350" t="s">
        <v>12</v>
      </c>
      <c r="D7" s="350"/>
      <c r="E7" s="875" t="s">
        <v>25</v>
      </c>
      <c r="F7" s="780"/>
      <c r="G7" s="982">
        <v>778.23</v>
      </c>
      <c r="H7" s="1008"/>
      <c r="I7" s="1063"/>
      <c r="J7" s="2013"/>
      <c r="K7" s="1207"/>
      <c r="L7" s="622"/>
      <c r="M7" s="982"/>
      <c r="N7" s="622"/>
      <c r="O7" s="1063"/>
      <c r="P7" s="622">
        <v>778.23</v>
      </c>
      <c r="Q7" s="982"/>
      <c r="R7" s="861"/>
      <c r="T7" s="878"/>
    </row>
    <row r="8" spans="1:42" s="224" customFormat="1" x14ac:dyDescent="0.25">
      <c r="A8" s="247">
        <v>45931</v>
      </c>
      <c r="B8" s="364" t="s">
        <v>8295</v>
      </c>
      <c r="C8" s="350" t="s">
        <v>12</v>
      </c>
      <c r="D8" s="350"/>
      <c r="E8" s="875"/>
      <c r="F8" s="780"/>
      <c r="G8" s="982"/>
      <c r="H8" s="1008"/>
      <c r="I8" s="1063"/>
      <c r="J8" s="2013"/>
      <c r="K8" s="1207"/>
      <c r="L8" s="622"/>
      <c r="M8" s="982"/>
      <c r="N8" s="622"/>
      <c r="O8" s="1063"/>
      <c r="P8" s="622">
        <v>5203.84</v>
      </c>
      <c r="Q8" s="982"/>
      <c r="R8" s="861"/>
      <c r="T8" s="878"/>
    </row>
    <row r="9" spans="1:42" s="224" customFormat="1" ht="15" customHeight="1" x14ac:dyDescent="0.25">
      <c r="A9" s="247">
        <v>45931</v>
      </c>
      <c r="B9" s="1275" t="s">
        <v>8304</v>
      </c>
      <c r="C9" s="1276" t="s">
        <v>12</v>
      </c>
      <c r="D9" s="1276" t="s">
        <v>6731</v>
      </c>
      <c r="E9" s="1286" t="s">
        <v>13</v>
      </c>
      <c r="F9" s="613">
        <v>20.87</v>
      </c>
      <c r="G9" s="967"/>
      <c r="H9" s="1008"/>
      <c r="I9" s="1063"/>
      <c r="J9" s="613"/>
      <c r="K9" s="6"/>
      <c r="L9" s="622"/>
      <c r="M9" s="982"/>
      <c r="N9" s="622"/>
      <c r="O9" s="1063"/>
      <c r="P9" s="613"/>
      <c r="Q9" s="64"/>
      <c r="R9" s="10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ht="15" customHeight="1" x14ac:dyDescent="0.25">
      <c r="A10" s="247">
        <v>45931</v>
      </c>
      <c r="B10" s="1275" t="s">
        <v>8305</v>
      </c>
      <c r="C10" s="1276" t="s">
        <v>12</v>
      </c>
      <c r="D10" s="1276" t="s">
        <v>1525</v>
      </c>
      <c r="E10" s="1286" t="s">
        <v>13</v>
      </c>
      <c r="F10" s="613">
        <v>12</v>
      </c>
      <c r="G10" s="967"/>
      <c r="H10" s="1008"/>
      <c r="I10" s="1063"/>
      <c r="J10" s="613"/>
      <c r="K10" s="6"/>
      <c r="L10" s="622"/>
      <c r="M10" s="982"/>
      <c r="N10" s="622"/>
      <c r="O10" s="1063"/>
      <c r="P10" s="613"/>
      <c r="Q10" s="64"/>
      <c r="R10" s="10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45931</v>
      </c>
      <c r="B11" s="1275" t="s">
        <v>2789</v>
      </c>
      <c r="C11" s="1276" t="s">
        <v>12</v>
      </c>
      <c r="D11" s="1276" t="s">
        <v>1485</v>
      </c>
      <c r="E11" s="1286" t="s">
        <v>13</v>
      </c>
      <c r="F11" s="613">
        <v>21</v>
      </c>
      <c r="G11" s="967"/>
      <c r="H11" s="1008"/>
      <c r="I11" s="1063"/>
      <c r="J11" s="613"/>
      <c r="K11" s="6"/>
      <c r="L11" s="622"/>
      <c r="M11" s="982"/>
      <c r="N11" s="622"/>
      <c r="O11" s="1063"/>
      <c r="P11" s="613"/>
      <c r="Q11" s="64"/>
      <c r="R11" s="10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ht="15" customHeight="1" x14ac:dyDescent="0.25">
      <c r="A12" s="247">
        <v>45931</v>
      </c>
      <c r="B12" s="1275" t="s">
        <v>23</v>
      </c>
      <c r="C12" s="1276" t="s">
        <v>12</v>
      </c>
      <c r="D12" s="1276" t="s">
        <v>1489</v>
      </c>
      <c r="E12" s="1286" t="s">
        <v>13</v>
      </c>
      <c r="F12" s="613">
        <v>17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64"/>
      <c r="R12" s="1024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45932</v>
      </c>
      <c r="B13" s="1275" t="s">
        <v>8306</v>
      </c>
      <c r="C13" s="1276" t="s">
        <v>12</v>
      </c>
      <c r="D13" s="1276"/>
      <c r="E13" s="1286" t="s">
        <v>13</v>
      </c>
      <c r="F13" s="613">
        <v>249.48</v>
      </c>
      <c r="G13" s="967"/>
      <c r="H13" s="1008"/>
      <c r="I13" s="1063"/>
      <c r="J13" s="613"/>
      <c r="K13" s="6"/>
      <c r="L13" s="622"/>
      <c r="M13" s="982"/>
      <c r="N13" s="622"/>
      <c r="O13" s="1063"/>
      <c r="P13" s="613"/>
      <c r="Q13" s="64"/>
      <c r="R13" s="1024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45932</v>
      </c>
      <c r="B14" s="1275" t="s">
        <v>6755</v>
      </c>
      <c r="C14" s="1276" t="s">
        <v>12</v>
      </c>
      <c r="D14" s="1276"/>
      <c r="E14" s="1286"/>
      <c r="F14" s="613"/>
      <c r="G14" s="967">
        <v>249.48</v>
      </c>
      <c r="H14" s="1008"/>
      <c r="I14" s="1063"/>
      <c r="J14" s="613"/>
      <c r="K14" s="6"/>
      <c r="L14" s="622"/>
      <c r="M14" s="982"/>
      <c r="N14" s="622"/>
      <c r="O14" s="1063"/>
      <c r="P14" s="613"/>
      <c r="Q14" s="64"/>
      <c r="R14" s="102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45932</v>
      </c>
      <c r="B15" s="882" t="s">
        <v>6130</v>
      </c>
      <c r="C15" s="1276" t="s">
        <v>12</v>
      </c>
      <c r="D15" s="879" t="s">
        <v>1491</v>
      </c>
      <c r="E15" s="875" t="s">
        <v>13</v>
      </c>
      <c r="F15" s="780">
        <v>33.979999999999997</v>
      </c>
      <c r="G15" s="982"/>
      <c r="H15" s="622"/>
      <c r="I15" s="982"/>
      <c r="J15" s="622"/>
      <c r="K15" s="982"/>
      <c r="L15" s="622"/>
      <c r="M15" s="982"/>
      <c r="N15" s="880"/>
      <c r="O15" s="1525"/>
      <c r="P15" s="613"/>
      <c r="Q15" s="162"/>
      <c r="R15" s="1956" t="s">
        <v>7137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45932</v>
      </c>
      <c r="B16" s="882" t="s">
        <v>7799</v>
      </c>
      <c r="C16" s="1276" t="s">
        <v>12</v>
      </c>
      <c r="D16" s="879" t="s">
        <v>1504</v>
      </c>
      <c r="E16" s="875" t="s">
        <v>13</v>
      </c>
      <c r="F16" s="780">
        <v>43</v>
      </c>
      <c r="G16" s="982"/>
      <c r="H16" s="622"/>
      <c r="I16" s="982"/>
      <c r="J16" s="622"/>
      <c r="K16" s="982"/>
      <c r="L16" s="622"/>
      <c r="M16" s="982"/>
      <c r="N16" s="880"/>
      <c r="O16" s="1525"/>
      <c r="P16" s="613"/>
      <c r="Q16" s="162"/>
      <c r="R16" s="1956" t="s">
        <v>7137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ht="15" customHeight="1" x14ac:dyDescent="0.25">
      <c r="A17" s="247">
        <v>45932</v>
      </c>
      <c r="B17" s="882" t="s">
        <v>7885</v>
      </c>
      <c r="C17" s="1276" t="s">
        <v>12</v>
      </c>
      <c r="D17" s="879" t="s">
        <v>1504</v>
      </c>
      <c r="E17" s="875" t="s">
        <v>13</v>
      </c>
      <c r="F17" s="780">
        <v>20.9</v>
      </c>
      <c r="G17" s="982"/>
      <c r="H17" s="622"/>
      <c r="I17" s="982"/>
      <c r="J17" s="622"/>
      <c r="K17" s="982"/>
      <c r="L17" s="622"/>
      <c r="M17" s="982"/>
      <c r="N17" s="880"/>
      <c r="O17" s="1525"/>
      <c r="P17" s="613"/>
      <c r="Q17" s="162"/>
      <c r="R17" s="1956" t="s">
        <v>7137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45932</v>
      </c>
      <c r="B18" s="882" t="s">
        <v>7892</v>
      </c>
      <c r="C18" s="1276" t="s">
        <v>12</v>
      </c>
      <c r="D18" s="879" t="s">
        <v>1504</v>
      </c>
      <c r="E18" s="875" t="s">
        <v>13</v>
      </c>
      <c r="F18" s="780">
        <v>9.99</v>
      </c>
      <c r="G18" s="982"/>
      <c r="H18" s="622"/>
      <c r="I18" s="982"/>
      <c r="J18" s="622"/>
      <c r="K18" s="982"/>
      <c r="L18" s="622"/>
      <c r="M18" s="982"/>
      <c r="N18" s="880"/>
      <c r="O18" s="1525"/>
      <c r="P18" s="613"/>
      <c r="Q18" s="162"/>
      <c r="R18" s="1956" t="s">
        <v>7137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</row>
    <row r="19" spans="1:42" s="224" customFormat="1" ht="15" customHeight="1" x14ac:dyDescent="0.25">
      <c r="A19" s="247">
        <v>45932</v>
      </c>
      <c r="B19" s="882" t="s">
        <v>8149</v>
      </c>
      <c r="C19" s="1276" t="s">
        <v>12</v>
      </c>
      <c r="D19" s="879" t="s">
        <v>1525</v>
      </c>
      <c r="E19" s="875" t="s">
        <v>13</v>
      </c>
      <c r="F19" s="780">
        <v>50.077500000000001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 t="s">
        <v>7137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45932</v>
      </c>
      <c r="B20" s="882" t="s">
        <v>8167</v>
      </c>
      <c r="C20" s="1276" t="s">
        <v>12</v>
      </c>
      <c r="D20" s="879" t="s">
        <v>1489</v>
      </c>
      <c r="E20" s="875" t="s">
        <v>13</v>
      </c>
      <c r="F20" s="780">
        <v>66.666666666666671</v>
      </c>
      <c r="G20" s="982"/>
      <c r="H20" s="622"/>
      <c r="I20" s="982"/>
      <c r="J20" s="622"/>
      <c r="K20" s="982"/>
      <c r="L20" s="622"/>
      <c r="M20" s="982"/>
      <c r="N20" s="880"/>
      <c r="O20" s="1525"/>
      <c r="P20" s="613"/>
      <c r="Q20" s="162"/>
      <c r="R20" s="1956" t="s">
        <v>7137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45932</v>
      </c>
      <c r="B21" s="882" t="s">
        <v>8197</v>
      </c>
      <c r="C21" s="1276" t="s">
        <v>12</v>
      </c>
      <c r="D21" s="879" t="s">
        <v>1489</v>
      </c>
      <c r="E21" s="875" t="s">
        <v>13</v>
      </c>
      <c r="F21" s="780">
        <v>66.666666666666671</v>
      </c>
      <c r="G21" s="982"/>
      <c r="H21" s="622"/>
      <c r="I21" s="982"/>
      <c r="J21" s="622"/>
      <c r="K21" s="982"/>
      <c r="L21" s="622"/>
      <c r="M21" s="982"/>
      <c r="N21" s="880"/>
      <c r="O21" s="1525"/>
      <c r="P21" s="613"/>
      <c r="Q21" s="162"/>
      <c r="R21" s="1956" t="s">
        <v>7137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45932</v>
      </c>
      <c r="B22" s="882" t="s">
        <v>8253</v>
      </c>
      <c r="C22" s="1276" t="s">
        <v>12</v>
      </c>
      <c r="D22" s="879" t="s">
        <v>1491</v>
      </c>
      <c r="E22" s="875" t="s">
        <v>13</v>
      </c>
      <c r="F22" s="780">
        <v>91.133333333333326</v>
      </c>
      <c r="G22" s="982"/>
      <c r="H22" s="622"/>
      <c r="I22" s="982"/>
      <c r="J22" s="622"/>
      <c r="K22" s="982"/>
      <c r="L22" s="622"/>
      <c r="M22" s="982"/>
      <c r="N22" s="880"/>
      <c r="O22" s="1525"/>
      <c r="P22" s="613"/>
      <c r="Q22" s="162"/>
      <c r="R22" s="1956" t="s">
        <v>7137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45932</v>
      </c>
      <c r="B23" s="882" t="s">
        <v>8287</v>
      </c>
      <c r="C23" s="1276" t="s">
        <v>12</v>
      </c>
      <c r="D23" s="879" t="s">
        <v>1525</v>
      </c>
      <c r="E23" s="875" t="s">
        <v>13</v>
      </c>
      <c r="F23" s="780">
        <v>53.39875</v>
      </c>
      <c r="G23" s="982"/>
      <c r="H23" s="622"/>
      <c r="I23" s="982"/>
      <c r="J23" s="622"/>
      <c r="K23" s="982"/>
      <c r="L23" s="622"/>
      <c r="M23" s="982"/>
      <c r="N23" s="880"/>
      <c r="O23" s="1525"/>
      <c r="P23" s="613"/>
      <c r="Q23" s="162"/>
      <c r="R23" s="1956" t="s">
        <v>7137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5" customHeight="1" x14ac:dyDescent="0.25">
      <c r="A24" s="247">
        <v>45932</v>
      </c>
      <c r="B24" s="882" t="s">
        <v>8308</v>
      </c>
      <c r="C24" s="1276" t="s">
        <v>12</v>
      </c>
      <c r="D24" s="879" t="s">
        <v>1506</v>
      </c>
      <c r="E24" s="875" t="s">
        <v>13</v>
      </c>
      <c r="F24" s="780">
        <v>75</v>
      </c>
      <c r="G24" s="982"/>
      <c r="H24" s="622"/>
      <c r="I24" s="982"/>
      <c r="J24" s="622"/>
      <c r="K24" s="982"/>
      <c r="L24" s="622"/>
      <c r="M24" s="982"/>
      <c r="N24" s="880"/>
      <c r="O24" s="1525"/>
      <c r="P24" s="613"/>
      <c r="Q24" s="162"/>
      <c r="R24" s="1956" t="s">
        <v>7137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ht="15" customHeight="1" x14ac:dyDescent="0.25">
      <c r="A25" s="247">
        <v>45932</v>
      </c>
      <c r="B25" s="882" t="s">
        <v>8309</v>
      </c>
      <c r="C25" s="1276" t="s">
        <v>12</v>
      </c>
      <c r="D25" s="879" t="s">
        <v>1506</v>
      </c>
      <c r="E25" s="875" t="s">
        <v>13</v>
      </c>
      <c r="F25" s="780">
        <v>70</v>
      </c>
      <c r="G25" s="982"/>
      <c r="H25" s="622"/>
      <c r="I25" s="982"/>
      <c r="J25" s="622"/>
      <c r="K25" s="982"/>
      <c r="L25" s="622"/>
      <c r="M25" s="982"/>
      <c r="N25" s="880"/>
      <c r="O25" s="1525"/>
      <c r="P25" s="613"/>
      <c r="Q25" s="162"/>
      <c r="R25" s="1956" t="s">
        <v>7137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ht="15" customHeight="1" x14ac:dyDescent="0.25">
      <c r="A26" s="247">
        <v>45932</v>
      </c>
      <c r="B26" s="882" t="s">
        <v>8148</v>
      </c>
      <c r="C26" s="1276" t="s">
        <v>12</v>
      </c>
      <c r="D26" s="879" t="s">
        <v>1525</v>
      </c>
      <c r="E26" s="875" t="s">
        <v>13</v>
      </c>
      <c r="F26" s="780">
        <v>57.61</v>
      </c>
      <c r="G26" s="982"/>
      <c r="H26" s="622"/>
      <c r="I26" s="982"/>
      <c r="J26" s="622"/>
      <c r="K26" s="982"/>
      <c r="L26" s="622"/>
      <c r="M26" s="982"/>
      <c r="N26" s="880"/>
      <c r="O26" s="1525"/>
      <c r="P26" s="613"/>
      <c r="Q26" s="162"/>
      <c r="R26" s="1956" t="s">
        <v>8275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customHeight="1" x14ac:dyDescent="0.25">
      <c r="A27" s="247">
        <v>45932</v>
      </c>
      <c r="B27" s="882" t="s">
        <v>8213</v>
      </c>
      <c r="C27" s="1276" t="s">
        <v>12</v>
      </c>
      <c r="D27" s="879" t="s">
        <v>1525</v>
      </c>
      <c r="E27" s="875" t="s">
        <v>13</v>
      </c>
      <c r="F27" s="780">
        <v>60.35</v>
      </c>
      <c r="G27" s="982"/>
      <c r="H27" s="622"/>
      <c r="I27" s="982"/>
      <c r="J27" s="622"/>
      <c r="K27" s="982"/>
      <c r="L27" s="622"/>
      <c r="M27" s="982"/>
      <c r="N27" s="880"/>
      <c r="O27" s="1525"/>
      <c r="P27" s="613"/>
      <c r="Q27" s="162"/>
      <c r="R27" s="1956" t="s">
        <v>8318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</row>
    <row r="28" spans="1:42" s="224" customFormat="1" ht="15" customHeight="1" x14ac:dyDescent="0.25">
      <c r="A28" s="247">
        <v>45932</v>
      </c>
      <c r="B28" s="882" t="s">
        <v>8319</v>
      </c>
      <c r="C28" s="1276" t="s">
        <v>12</v>
      </c>
      <c r="D28" s="879" t="s">
        <v>1525</v>
      </c>
      <c r="E28" s="875" t="s">
        <v>13</v>
      </c>
      <c r="F28" s="780">
        <v>12</v>
      </c>
      <c r="G28" s="982"/>
      <c r="H28" s="622"/>
      <c r="I28" s="982"/>
      <c r="J28" s="622"/>
      <c r="K28" s="982"/>
      <c r="L28" s="622"/>
      <c r="M28" s="982"/>
      <c r="N28" s="880"/>
      <c r="O28" s="1525"/>
      <c r="P28" s="613"/>
      <c r="Q28" s="162"/>
      <c r="R28" s="1956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ht="15.75" customHeight="1" x14ac:dyDescent="0.25">
      <c r="A29" s="247">
        <v>45932</v>
      </c>
      <c r="B29" s="882" t="s">
        <v>8320</v>
      </c>
      <c r="C29" s="1276" t="s">
        <v>12</v>
      </c>
      <c r="D29" s="879" t="s">
        <v>1523</v>
      </c>
      <c r="E29" s="875" t="s">
        <v>13</v>
      </c>
      <c r="F29" s="780">
        <v>27</v>
      </c>
      <c r="G29" s="982"/>
      <c r="H29" s="622"/>
      <c r="I29" s="982"/>
      <c r="J29" s="622"/>
      <c r="K29" s="982"/>
      <c r="L29" s="622"/>
      <c r="M29" s="982"/>
      <c r="N29" s="880"/>
      <c r="O29" s="1525"/>
      <c r="P29" s="613"/>
      <c r="Q29" s="162"/>
      <c r="R29" s="1956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45932</v>
      </c>
      <c r="B30" s="882" t="s">
        <v>14</v>
      </c>
      <c r="C30" s="1276" t="s">
        <v>12</v>
      </c>
      <c r="D30" s="879" t="s">
        <v>1486</v>
      </c>
      <c r="E30" s="875" t="s">
        <v>13</v>
      </c>
      <c r="F30" s="780">
        <v>9.6999999999999993</v>
      </c>
      <c r="G30" s="982"/>
      <c r="H30" s="622"/>
      <c r="I30" s="982"/>
      <c r="J30" s="622"/>
      <c r="K30" s="982"/>
      <c r="L30" s="622"/>
      <c r="M30" s="982"/>
      <c r="N30" s="880"/>
      <c r="O30" s="1525"/>
      <c r="P30" s="613"/>
      <c r="Q30" s="162"/>
      <c r="R30" s="1956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45933</v>
      </c>
      <c r="B31" s="882" t="s">
        <v>249</v>
      </c>
      <c r="C31" s="1276" t="s">
        <v>12</v>
      </c>
      <c r="D31" s="879" t="s">
        <v>1493</v>
      </c>
      <c r="E31" s="875" t="s">
        <v>13</v>
      </c>
      <c r="F31" s="780">
        <v>12</v>
      </c>
      <c r="G31" s="982"/>
      <c r="H31" s="622"/>
      <c r="I31" s="982"/>
      <c r="J31" s="622"/>
      <c r="K31" s="982"/>
      <c r="L31" s="622"/>
      <c r="M31" s="982"/>
      <c r="N31" s="880"/>
      <c r="O31" s="1525"/>
      <c r="P31" s="613"/>
      <c r="Q31" s="162"/>
      <c r="R31" s="1956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45933</v>
      </c>
      <c r="B32" s="882" t="s">
        <v>8323</v>
      </c>
      <c r="C32" s="1276" t="s">
        <v>12</v>
      </c>
      <c r="D32" s="879" t="s">
        <v>6731</v>
      </c>
      <c r="E32" s="875" t="s">
        <v>13</v>
      </c>
      <c r="F32" s="780">
        <v>39.299999999999997</v>
      </c>
      <c r="G32" s="982"/>
      <c r="H32" s="622"/>
      <c r="I32" s="982"/>
      <c r="J32" s="622"/>
      <c r="K32" s="982"/>
      <c r="L32" s="622"/>
      <c r="M32" s="982"/>
      <c r="N32" s="880"/>
      <c r="O32" s="1525"/>
      <c r="P32" s="613"/>
      <c r="Q32" s="162"/>
      <c r="R32" s="1956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45933</v>
      </c>
      <c r="B33" s="882" t="s">
        <v>8324</v>
      </c>
      <c r="C33" s="1276" t="s">
        <v>12</v>
      </c>
      <c r="D33" s="879" t="s">
        <v>1525</v>
      </c>
      <c r="E33" s="875" t="s">
        <v>13</v>
      </c>
      <c r="F33" s="780">
        <v>31.2</v>
      </c>
      <c r="G33" s="982"/>
      <c r="H33" s="622"/>
      <c r="I33" s="982"/>
      <c r="J33" s="622"/>
      <c r="K33" s="982"/>
      <c r="L33" s="622"/>
      <c r="M33" s="982"/>
      <c r="N33" s="880"/>
      <c r="O33" s="1525"/>
      <c r="P33" s="613"/>
      <c r="Q33" s="162"/>
      <c r="R33" s="1956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45934</v>
      </c>
      <c r="B34" s="882" t="s">
        <v>14</v>
      </c>
      <c r="C34" s="1276" t="s">
        <v>12</v>
      </c>
      <c r="D34" s="879" t="s">
        <v>1486</v>
      </c>
      <c r="E34" s="875" t="s">
        <v>13</v>
      </c>
      <c r="F34" s="780">
        <v>7.02</v>
      </c>
      <c r="G34" s="982"/>
      <c r="H34" s="622"/>
      <c r="I34" s="982"/>
      <c r="J34" s="622"/>
      <c r="K34" s="982"/>
      <c r="L34" s="622"/>
      <c r="M34" s="982"/>
      <c r="N34" s="880"/>
      <c r="O34" s="1525"/>
      <c r="P34" s="613"/>
      <c r="Q34" s="162"/>
      <c r="R34" s="1956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</row>
    <row r="35" spans="1:42" s="224" customFormat="1" ht="15" customHeight="1" x14ac:dyDescent="0.25">
      <c r="A35" s="247">
        <v>45934</v>
      </c>
      <c r="B35" s="882" t="s">
        <v>7122</v>
      </c>
      <c r="C35" s="1276" t="s">
        <v>12</v>
      </c>
      <c r="D35" s="879" t="s">
        <v>1489</v>
      </c>
      <c r="E35" s="875" t="s">
        <v>13</v>
      </c>
      <c r="F35" s="780">
        <v>15</v>
      </c>
      <c r="G35" s="982"/>
      <c r="H35" s="622"/>
      <c r="I35" s="982"/>
      <c r="J35" s="622"/>
      <c r="K35" s="982"/>
      <c r="L35" s="622"/>
      <c r="M35" s="982"/>
      <c r="N35" s="880"/>
      <c r="O35" s="1525"/>
      <c r="P35" s="613"/>
      <c r="Q35" s="162"/>
      <c r="R35" s="1956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</row>
    <row r="36" spans="1:42" s="224" customFormat="1" ht="15" customHeight="1" x14ac:dyDescent="0.25">
      <c r="A36" s="247">
        <v>45934</v>
      </c>
      <c r="B36" s="882" t="s">
        <v>8325</v>
      </c>
      <c r="C36" s="1276" t="s">
        <v>12</v>
      </c>
      <c r="D36" s="879" t="s">
        <v>6731</v>
      </c>
      <c r="E36" s="875" t="s">
        <v>13</v>
      </c>
      <c r="F36" s="780">
        <v>13.96</v>
      </c>
      <c r="G36" s="982"/>
      <c r="H36" s="622"/>
      <c r="I36" s="982"/>
      <c r="J36" s="882"/>
      <c r="K36" s="982"/>
      <c r="L36" s="622"/>
      <c r="M36" s="982"/>
      <c r="N36" s="880"/>
      <c r="O36" s="1525"/>
      <c r="P36" s="613"/>
      <c r="Q36" s="162"/>
      <c r="R36" s="195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45934</v>
      </c>
      <c r="B37" s="882" t="s">
        <v>8326</v>
      </c>
      <c r="C37" s="1276" t="s">
        <v>12</v>
      </c>
      <c r="D37" s="879" t="s">
        <v>6731</v>
      </c>
      <c r="E37" s="875" t="s">
        <v>13</v>
      </c>
      <c r="F37" s="780">
        <v>36</v>
      </c>
      <c r="G37" s="982"/>
      <c r="H37" s="622"/>
      <c r="I37" s="982"/>
      <c r="J37" s="882"/>
      <c r="K37" s="982"/>
      <c r="L37" s="622"/>
      <c r="M37" s="982"/>
      <c r="N37" s="880"/>
      <c r="O37" s="1525"/>
      <c r="P37" s="613"/>
      <c r="Q37" s="162"/>
      <c r="R37" s="1956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45935</v>
      </c>
      <c r="B38" s="882" t="s">
        <v>14</v>
      </c>
      <c r="C38" s="1276" t="s">
        <v>12</v>
      </c>
      <c r="D38" s="879" t="s">
        <v>1486</v>
      </c>
      <c r="E38" s="875" t="s">
        <v>13</v>
      </c>
      <c r="F38" s="780">
        <v>10.25</v>
      </c>
      <c r="G38" s="982"/>
      <c r="H38" s="622"/>
      <c r="I38" s="982"/>
      <c r="J38" s="622"/>
      <c r="K38" s="982"/>
      <c r="L38" s="622"/>
      <c r="M38" s="982"/>
      <c r="N38" s="880"/>
      <c r="O38" s="1525"/>
      <c r="P38" s="613"/>
      <c r="Q38" s="162"/>
      <c r="R38" s="1956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45935</v>
      </c>
      <c r="B39" s="882" t="s">
        <v>8327</v>
      </c>
      <c r="C39" s="879" t="s">
        <v>12</v>
      </c>
      <c r="D39" s="879" t="s">
        <v>1489</v>
      </c>
      <c r="E39" s="875" t="s">
        <v>13</v>
      </c>
      <c r="F39" s="780">
        <v>10.87</v>
      </c>
      <c r="G39" s="982"/>
      <c r="H39" s="622"/>
      <c r="I39" s="982"/>
      <c r="J39" s="622"/>
      <c r="K39" s="982"/>
      <c r="L39" s="853"/>
      <c r="M39" s="982"/>
      <c r="N39" s="622"/>
      <c r="O39" s="1063"/>
      <c r="P39" s="622"/>
      <c r="Q39" s="982"/>
      <c r="R39" s="927"/>
      <c r="S39" s="927"/>
      <c r="T39" s="878"/>
    </row>
    <row r="40" spans="1:42" s="224" customFormat="1" ht="15" customHeight="1" x14ac:dyDescent="0.25">
      <c r="A40" s="247">
        <v>45936</v>
      </c>
      <c r="B40" s="882" t="s">
        <v>8328</v>
      </c>
      <c r="C40" s="879" t="s">
        <v>12</v>
      </c>
      <c r="D40" s="879"/>
      <c r="E40" s="871"/>
      <c r="F40" s="780"/>
      <c r="G40" s="982">
        <v>250</v>
      </c>
      <c r="H40" s="622"/>
      <c r="I40" s="982"/>
      <c r="J40" s="872"/>
      <c r="K40" s="1207"/>
      <c r="L40" s="622"/>
      <c r="M40" s="982"/>
      <c r="N40" s="622">
        <v>250</v>
      </c>
      <c r="O40" s="1063"/>
      <c r="P40" s="622"/>
      <c r="Q40" s="982"/>
      <c r="R40" s="1028"/>
      <c r="S40" s="959"/>
      <c r="T40" s="878"/>
      <c r="U40" s="958"/>
    </row>
    <row r="41" spans="1:42" s="224" customFormat="1" ht="15" customHeight="1" x14ac:dyDescent="0.25">
      <c r="A41" s="247">
        <v>45936</v>
      </c>
      <c r="B41" s="882" t="s">
        <v>8329</v>
      </c>
      <c r="C41" s="879" t="s">
        <v>12</v>
      </c>
      <c r="D41" s="879" t="s">
        <v>6731</v>
      </c>
      <c r="E41" s="871" t="s">
        <v>13</v>
      </c>
      <c r="F41" s="780">
        <v>250</v>
      </c>
      <c r="G41" s="982"/>
      <c r="H41" s="622"/>
      <c r="I41" s="982"/>
      <c r="J41" s="872"/>
      <c r="K41" s="1207"/>
      <c r="L41" s="622"/>
      <c r="M41" s="982"/>
      <c r="N41" s="622"/>
      <c r="O41" s="1063"/>
      <c r="P41" s="622"/>
      <c r="Q41" s="982"/>
      <c r="R41" s="1028"/>
      <c r="S41" s="959"/>
      <c r="T41" s="878"/>
      <c r="U41" s="958"/>
    </row>
    <row r="42" spans="1:42" s="224" customFormat="1" ht="15" customHeight="1" x14ac:dyDescent="0.25">
      <c r="A42" s="247">
        <v>45936</v>
      </c>
      <c r="B42" s="1275" t="s">
        <v>2789</v>
      </c>
      <c r="C42" s="1276" t="s">
        <v>12</v>
      </c>
      <c r="D42" s="1276" t="s">
        <v>1485</v>
      </c>
      <c r="E42" s="1286" t="s">
        <v>13</v>
      </c>
      <c r="F42" s="613">
        <v>13</v>
      </c>
      <c r="G42" s="967"/>
      <c r="H42" s="1008"/>
      <c r="I42" s="1063"/>
      <c r="J42" s="613"/>
      <c r="K42" s="6"/>
      <c r="L42" s="622"/>
      <c r="M42" s="982"/>
      <c r="N42" s="622"/>
      <c r="O42" s="1063"/>
      <c r="P42" s="613"/>
      <c r="Q42" s="64"/>
      <c r="R42" s="1024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45936</v>
      </c>
      <c r="B43" s="882" t="s">
        <v>14</v>
      </c>
      <c r="C43" s="1276" t="s">
        <v>12</v>
      </c>
      <c r="D43" s="879" t="s">
        <v>1486</v>
      </c>
      <c r="E43" s="875" t="s">
        <v>13</v>
      </c>
      <c r="F43" s="780">
        <v>4.88</v>
      </c>
      <c r="G43" s="982"/>
      <c r="H43" s="622"/>
      <c r="I43" s="982"/>
      <c r="J43" s="622"/>
      <c r="K43" s="982"/>
      <c r="L43" s="853"/>
      <c r="M43" s="982"/>
      <c r="N43" s="622"/>
      <c r="O43" s="1063"/>
      <c r="P43" s="622"/>
      <c r="Q43" s="982"/>
      <c r="R43" s="927"/>
      <c r="S43" s="927"/>
      <c r="T43" s="878"/>
    </row>
    <row r="44" spans="1:42" s="224" customFormat="1" ht="15.75" customHeight="1" x14ac:dyDescent="0.25">
      <c r="A44" s="247">
        <v>45937</v>
      </c>
      <c r="B44" s="873" t="s">
        <v>8297</v>
      </c>
      <c r="C44" s="879" t="s">
        <v>12</v>
      </c>
      <c r="D44" s="874"/>
      <c r="E44" s="887" t="s">
        <v>25</v>
      </c>
      <c r="F44" s="1524"/>
      <c r="G44" s="1002">
        <v>2609.23</v>
      </c>
      <c r="H44" s="538"/>
      <c r="I44" s="982"/>
      <c r="J44" s="2013"/>
      <c r="K44" s="1207"/>
      <c r="L44" s="622"/>
      <c r="M44" s="982"/>
      <c r="N44" s="622"/>
      <c r="O44" s="1063"/>
      <c r="P44" s="622"/>
      <c r="Q44" s="982"/>
      <c r="R44" s="178"/>
    </row>
    <row r="45" spans="1:42" s="224" customFormat="1" ht="15" customHeight="1" x14ac:dyDescent="0.25">
      <c r="A45" s="247">
        <v>45937</v>
      </c>
      <c r="B45" s="364" t="s">
        <v>1396</v>
      </c>
      <c r="C45" s="879" t="s">
        <v>12</v>
      </c>
      <c r="D45" s="350"/>
      <c r="E45" s="919" t="s">
        <v>25</v>
      </c>
      <c r="F45" s="1116"/>
      <c r="G45" s="966">
        <v>200</v>
      </c>
      <c r="H45" s="1031"/>
      <c r="I45" s="1525"/>
      <c r="J45" s="2013"/>
      <c r="K45" s="1207"/>
      <c r="L45" s="880"/>
      <c r="M45" s="1033"/>
      <c r="N45" s="622"/>
      <c r="O45" s="1063"/>
      <c r="P45" s="1116"/>
      <c r="Q45" s="1207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47">
        <v>45937</v>
      </c>
      <c r="B46" s="364" t="s">
        <v>7219</v>
      </c>
      <c r="C46" s="879" t="s">
        <v>12</v>
      </c>
      <c r="D46" s="350" t="s">
        <v>1491</v>
      </c>
      <c r="E46" s="875" t="s">
        <v>13</v>
      </c>
      <c r="F46" s="780">
        <v>500</v>
      </c>
      <c r="G46" s="982"/>
      <c r="H46" s="622"/>
      <c r="I46" s="982"/>
      <c r="J46" s="2013"/>
      <c r="K46" s="1207"/>
      <c r="L46" s="622"/>
      <c r="M46" s="982"/>
      <c r="N46" s="622"/>
      <c r="O46" s="1063"/>
      <c r="P46" s="622"/>
      <c r="Q46" s="982"/>
      <c r="R46" s="1028"/>
      <c r="T46" s="1035"/>
    </row>
    <row r="47" spans="1:42" s="224" customFormat="1" ht="15" customHeight="1" x14ac:dyDescent="0.25">
      <c r="A47" s="247">
        <v>45937</v>
      </c>
      <c r="B47" s="882" t="s">
        <v>8298</v>
      </c>
      <c r="C47" s="879" t="s">
        <v>12</v>
      </c>
      <c r="D47" s="879" t="s">
        <v>1499</v>
      </c>
      <c r="E47" s="871" t="s">
        <v>13</v>
      </c>
      <c r="F47" s="780">
        <v>285.56</v>
      </c>
      <c r="G47" s="982"/>
      <c r="H47" s="1008"/>
      <c r="I47" s="1063"/>
      <c r="J47" s="880"/>
      <c r="K47" s="1033"/>
      <c r="L47" s="622"/>
      <c r="M47" s="982"/>
      <c r="N47" s="622"/>
      <c r="O47" s="1063"/>
      <c r="P47" s="622"/>
      <c r="Q47" s="982"/>
      <c r="R47" s="1028">
        <v>500</v>
      </c>
      <c r="S47" s="999"/>
      <c r="T47" s="878"/>
    </row>
    <row r="48" spans="1:42" x14ac:dyDescent="0.25">
      <c r="A48" s="247">
        <v>45937</v>
      </c>
      <c r="B48" s="876" t="s">
        <v>6762</v>
      </c>
      <c r="C48" s="879" t="s">
        <v>12</v>
      </c>
      <c r="D48" s="879" t="s">
        <v>1496</v>
      </c>
      <c r="E48" s="871" t="s">
        <v>13</v>
      </c>
      <c r="F48" s="780">
        <v>100</v>
      </c>
      <c r="G48" s="982"/>
      <c r="H48" s="1009"/>
      <c r="I48" s="1063"/>
      <c r="J48" s="613"/>
      <c r="K48" s="6"/>
      <c r="L48" s="622"/>
      <c r="M48" s="982"/>
      <c r="N48" s="622"/>
      <c r="O48" s="1063"/>
      <c r="P48" s="622"/>
      <c r="Q48" s="982"/>
      <c r="R48" s="1029"/>
    </row>
    <row r="49" spans="1:42" s="224" customFormat="1" ht="15" customHeight="1" x14ac:dyDescent="0.25">
      <c r="A49" s="247">
        <v>45937</v>
      </c>
      <c r="B49" s="1289" t="s">
        <v>2096</v>
      </c>
      <c r="C49" s="879" t="s">
        <v>12</v>
      </c>
      <c r="D49" s="1276" t="s">
        <v>1506</v>
      </c>
      <c r="E49" s="875" t="s">
        <v>13</v>
      </c>
      <c r="F49" s="1810">
        <v>50</v>
      </c>
      <c r="G49" s="967"/>
      <c r="H49" s="1008"/>
      <c r="I49" s="1063"/>
      <c r="J49" s="613"/>
      <c r="K49" s="6"/>
      <c r="L49" s="622"/>
      <c r="M49" s="982"/>
      <c r="N49" s="622"/>
      <c r="O49" s="1063"/>
      <c r="P49" s="613"/>
      <c r="Q49" s="64"/>
      <c r="R49" s="120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45937</v>
      </c>
      <c r="B50" s="882" t="s">
        <v>6329</v>
      </c>
      <c r="C50" s="879" t="s">
        <v>12</v>
      </c>
      <c r="D50" s="879"/>
      <c r="E50" s="875" t="s">
        <v>25</v>
      </c>
      <c r="F50" s="780"/>
      <c r="G50" s="982">
        <v>125</v>
      </c>
      <c r="H50" s="1008"/>
      <c r="I50" s="1063"/>
      <c r="J50" s="613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45937</v>
      </c>
      <c r="B51" s="1275" t="s">
        <v>32</v>
      </c>
      <c r="C51" s="1276" t="s">
        <v>12</v>
      </c>
      <c r="D51" s="1276" t="s">
        <v>1485</v>
      </c>
      <c r="E51" s="875" t="s">
        <v>13</v>
      </c>
      <c r="F51" s="780">
        <v>23</v>
      </c>
      <c r="G51" s="982"/>
      <c r="H51" s="622"/>
      <c r="I51" s="982"/>
      <c r="J51" s="622"/>
      <c r="K51" s="982"/>
      <c r="L51" s="622"/>
      <c r="M51" s="982"/>
      <c r="N51" s="880"/>
      <c r="O51" s="1525"/>
      <c r="P51" s="613"/>
      <c r="Q51" s="162"/>
      <c r="R51" s="1956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ht="15" customHeight="1" x14ac:dyDescent="0.25">
      <c r="A52" s="247">
        <v>45937</v>
      </c>
      <c r="B52" s="882" t="s">
        <v>7849</v>
      </c>
      <c r="C52" s="879" t="s">
        <v>12</v>
      </c>
      <c r="D52" s="879"/>
      <c r="E52" s="875" t="s">
        <v>13</v>
      </c>
      <c r="F52" s="780">
        <v>800</v>
      </c>
      <c r="G52" s="982"/>
      <c r="H52" s="1008"/>
      <c r="I52" s="1063"/>
      <c r="J52" s="622"/>
      <c r="K52" s="982">
        <v>800</v>
      </c>
      <c r="L52" s="622"/>
      <c r="M52" s="982"/>
      <c r="N52" s="622"/>
      <c r="O52" s="1063"/>
      <c r="P52" s="622"/>
      <c r="Q52" s="982"/>
      <c r="R52" s="861"/>
    </row>
    <row r="53" spans="1:42" s="224" customFormat="1" ht="15" customHeight="1" x14ac:dyDescent="0.25">
      <c r="A53" s="247">
        <v>45937</v>
      </c>
      <c r="B53" s="882" t="s">
        <v>14</v>
      </c>
      <c r="C53" s="1276" t="s">
        <v>12</v>
      </c>
      <c r="D53" s="879" t="s">
        <v>1486</v>
      </c>
      <c r="E53" s="875" t="s">
        <v>13</v>
      </c>
      <c r="F53" s="780">
        <v>5.44</v>
      </c>
      <c r="G53" s="982"/>
      <c r="H53" s="1008"/>
      <c r="I53" s="1063"/>
      <c r="J53" s="622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45938</v>
      </c>
      <c r="B54" s="1275" t="s">
        <v>32</v>
      </c>
      <c r="C54" s="1276" t="s">
        <v>12</v>
      </c>
      <c r="D54" s="1276" t="s">
        <v>1485</v>
      </c>
      <c r="E54" s="875" t="s">
        <v>13</v>
      </c>
      <c r="F54" s="780">
        <v>23</v>
      </c>
      <c r="G54" s="982"/>
      <c r="H54" s="622"/>
      <c r="I54" s="982"/>
      <c r="J54" s="622"/>
      <c r="K54" s="982"/>
      <c r="L54" s="622"/>
      <c r="M54" s="982"/>
      <c r="N54" s="880"/>
      <c r="O54" s="1525"/>
      <c r="P54" s="613"/>
      <c r="Q54" s="162"/>
      <c r="R54" s="195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customHeight="1" x14ac:dyDescent="0.25">
      <c r="A55" s="247">
        <v>45938</v>
      </c>
      <c r="B55" s="882" t="s">
        <v>14</v>
      </c>
      <c r="C55" s="1276" t="s">
        <v>12</v>
      </c>
      <c r="D55" s="879" t="s">
        <v>1486</v>
      </c>
      <c r="E55" s="875" t="s">
        <v>13</v>
      </c>
      <c r="F55" s="780">
        <v>10.130000000000001</v>
      </c>
      <c r="G55" s="982"/>
      <c r="H55" s="95"/>
      <c r="I55" s="1064"/>
      <c r="J55" s="622"/>
      <c r="K55" s="982"/>
      <c r="L55" s="622"/>
      <c r="M55" s="982"/>
      <c r="N55" s="622"/>
      <c r="O55" s="1063"/>
      <c r="P55" s="622"/>
      <c r="Q55" s="982"/>
      <c r="R55" s="861"/>
    </row>
    <row r="56" spans="1:42" s="224" customFormat="1" ht="15" customHeight="1" x14ac:dyDescent="0.25">
      <c r="A56" s="247">
        <v>45938</v>
      </c>
      <c r="B56" s="882" t="s">
        <v>8341</v>
      </c>
      <c r="C56" s="1276" t="s">
        <v>12</v>
      </c>
      <c r="D56" s="879"/>
      <c r="E56" s="875" t="s">
        <v>25</v>
      </c>
      <c r="F56" s="780"/>
      <c r="G56" s="982">
        <v>7.82</v>
      </c>
      <c r="H56" s="95"/>
      <c r="I56" s="1064"/>
      <c r="J56" s="622"/>
      <c r="K56" s="982"/>
      <c r="L56" s="622"/>
      <c r="M56" s="982"/>
      <c r="N56" s="622"/>
      <c r="O56" s="1063"/>
      <c r="P56" s="622"/>
      <c r="Q56" s="982"/>
      <c r="R56" s="861"/>
    </row>
    <row r="57" spans="1:42" s="224" customFormat="1" x14ac:dyDescent="0.25">
      <c r="A57" s="247">
        <v>45939</v>
      </c>
      <c r="B57" s="1275" t="s">
        <v>8336</v>
      </c>
      <c r="C57" s="879" t="s">
        <v>12</v>
      </c>
      <c r="D57" s="1276" t="s">
        <v>1496</v>
      </c>
      <c r="E57" s="1277" t="s">
        <v>13</v>
      </c>
      <c r="F57" s="1810">
        <v>84.08</v>
      </c>
      <c r="G57" s="982"/>
      <c r="H57" s="1008"/>
      <c r="I57" s="1063"/>
      <c r="J57" s="2013"/>
      <c r="K57" s="1207"/>
      <c r="L57" s="622"/>
      <c r="M57" s="982"/>
      <c r="N57" s="622"/>
      <c r="O57" s="1063"/>
      <c r="P57" s="622"/>
      <c r="Q57" s="982"/>
      <c r="R57" s="1028" t="s">
        <v>8337</v>
      </c>
      <c r="T57" s="878"/>
    </row>
    <row r="58" spans="1:42" s="224" customFormat="1" x14ac:dyDescent="0.25">
      <c r="A58" s="247">
        <v>45939</v>
      </c>
      <c r="B58" s="882" t="s">
        <v>14</v>
      </c>
      <c r="C58" s="1276" t="s">
        <v>12</v>
      </c>
      <c r="D58" s="879" t="s">
        <v>1486</v>
      </c>
      <c r="E58" s="875" t="s">
        <v>13</v>
      </c>
      <c r="F58" s="1810">
        <v>14.82</v>
      </c>
      <c r="G58" s="982"/>
      <c r="H58" s="1008"/>
      <c r="I58" s="1063"/>
      <c r="J58" s="2013"/>
      <c r="K58" s="1207"/>
      <c r="L58" s="622"/>
      <c r="M58" s="982"/>
      <c r="N58" s="622"/>
      <c r="O58" s="1063"/>
      <c r="P58" s="622"/>
      <c r="Q58" s="982"/>
      <c r="R58" s="1028"/>
      <c r="T58" s="878"/>
    </row>
    <row r="59" spans="1:42" s="224" customFormat="1" ht="15" customHeight="1" x14ac:dyDescent="0.25">
      <c r="A59" s="247">
        <v>45939</v>
      </c>
      <c r="B59" s="364" t="s">
        <v>8296</v>
      </c>
      <c r="C59" s="350" t="s">
        <v>12</v>
      </c>
      <c r="D59" s="350" t="s">
        <v>6731</v>
      </c>
      <c r="E59" s="875" t="s">
        <v>15</v>
      </c>
      <c r="F59" s="780">
        <v>74.98</v>
      </c>
      <c r="G59" s="982"/>
      <c r="H59" s="1008"/>
      <c r="I59" s="1063"/>
      <c r="J59" s="1116"/>
      <c r="K59" s="1207"/>
      <c r="L59" s="622"/>
      <c r="M59" s="982"/>
      <c r="N59" s="622"/>
      <c r="O59" s="1063"/>
      <c r="P59" s="622"/>
      <c r="Q59" s="982"/>
      <c r="R59" s="861"/>
      <c r="T59" s="1035"/>
    </row>
    <row r="60" spans="1:42" s="224" customFormat="1" ht="15" customHeight="1" x14ac:dyDescent="0.25">
      <c r="A60" s="247">
        <v>45940</v>
      </c>
      <c r="B60" s="882" t="s">
        <v>81</v>
      </c>
      <c r="C60" s="879" t="s">
        <v>12</v>
      </c>
      <c r="D60" s="879" t="s">
        <v>1493</v>
      </c>
      <c r="E60" s="875" t="s">
        <v>13</v>
      </c>
      <c r="F60" s="780">
        <v>6</v>
      </c>
      <c r="G60" s="982"/>
      <c r="H60" s="95"/>
      <c r="I60" s="1064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ht="15" customHeight="1" x14ac:dyDescent="0.25">
      <c r="A61" s="247">
        <v>45940</v>
      </c>
      <c r="B61" s="882" t="s">
        <v>8352</v>
      </c>
      <c r="C61" s="879" t="s">
        <v>12</v>
      </c>
      <c r="D61" s="879" t="s">
        <v>6731</v>
      </c>
      <c r="E61" s="875" t="s">
        <v>13</v>
      </c>
      <c r="F61" s="780">
        <v>29.48</v>
      </c>
      <c r="G61" s="982"/>
      <c r="H61" s="95"/>
      <c r="I61" s="1064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5" customHeight="1" x14ac:dyDescent="0.25">
      <c r="A62" s="247">
        <v>45940</v>
      </c>
      <c r="B62" s="882" t="s">
        <v>14</v>
      </c>
      <c r="C62" s="1276" t="s">
        <v>12</v>
      </c>
      <c r="D62" s="879" t="s">
        <v>1486</v>
      </c>
      <c r="E62" s="875" t="s">
        <v>13</v>
      </c>
      <c r="F62" s="780">
        <v>8.94</v>
      </c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861"/>
    </row>
    <row r="63" spans="1:42" s="224" customFormat="1" ht="15" customHeight="1" x14ac:dyDescent="0.25">
      <c r="A63" s="247">
        <v>45941</v>
      </c>
      <c r="B63" s="882" t="s">
        <v>14</v>
      </c>
      <c r="C63" s="1276" t="s">
        <v>12</v>
      </c>
      <c r="D63" s="879" t="s">
        <v>1486</v>
      </c>
      <c r="E63" s="875" t="s">
        <v>13</v>
      </c>
      <c r="F63" s="780">
        <v>4.5</v>
      </c>
      <c r="G63" s="982"/>
      <c r="H63" s="1008"/>
      <c r="I63" s="1063"/>
      <c r="J63" s="622"/>
      <c r="K63" s="982"/>
      <c r="L63" s="622"/>
      <c r="M63" s="982"/>
      <c r="N63" s="622"/>
      <c r="O63" s="1063"/>
      <c r="P63" s="622"/>
      <c r="Q63" s="982"/>
      <c r="R63" s="861"/>
    </row>
    <row r="64" spans="1:42" s="224" customFormat="1" ht="14.25" customHeight="1" x14ac:dyDescent="0.25">
      <c r="A64" s="247">
        <v>45941</v>
      </c>
      <c r="B64" s="882" t="s">
        <v>8353</v>
      </c>
      <c r="C64" s="879" t="s">
        <v>12</v>
      </c>
      <c r="D64" s="879" t="s">
        <v>6731</v>
      </c>
      <c r="E64" s="875" t="s">
        <v>13</v>
      </c>
      <c r="F64" s="1810">
        <v>13</v>
      </c>
      <c r="G64" s="982"/>
      <c r="H64" s="1031"/>
      <c r="I64" s="1525"/>
      <c r="J64" s="622"/>
      <c r="K64" s="982"/>
      <c r="L64" s="880"/>
      <c r="M64" s="1033"/>
      <c r="N64" s="880"/>
      <c r="O64" s="1525"/>
      <c r="P64" s="613"/>
      <c r="Q64" s="162"/>
      <c r="R64" s="1209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4.25" customHeight="1" x14ac:dyDescent="0.25">
      <c r="A65" s="247">
        <v>45941</v>
      </c>
      <c r="B65" s="882" t="s">
        <v>2629</v>
      </c>
      <c r="C65" s="879" t="s">
        <v>12</v>
      </c>
      <c r="D65" s="879" t="s">
        <v>1489</v>
      </c>
      <c r="E65" s="875" t="s">
        <v>5470</v>
      </c>
      <c r="F65" s="1810">
        <v>102.24</v>
      </c>
      <c r="G65" s="982"/>
      <c r="H65" s="1031"/>
      <c r="I65" s="1525"/>
      <c r="J65" s="622"/>
      <c r="K65" s="982"/>
      <c r="L65" s="880"/>
      <c r="M65" s="1033"/>
      <c r="N65" s="880"/>
      <c r="O65" s="1525"/>
      <c r="P65" s="613"/>
      <c r="Q65" s="162"/>
      <c r="R65" s="1209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4.25" customHeight="1" x14ac:dyDescent="0.25">
      <c r="A66" s="247">
        <v>45941</v>
      </c>
      <c r="B66" s="882" t="s">
        <v>82</v>
      </c>
      <c r="C66" s="879" t="s">
        <v>12</v>
      </c>
      <c r="D66" s="879" t="s">
        <v>1493</v>
      </c>
      <c r="E66" s="875" t="s">
        <v>13</v>
      </c>
      <c r="F66" s="1810">
        <v>37.799999999999997</v>
      </c>
      <c r="G66" s="982"/>
      <c r="H66" s="1031"/>
      <c r="I66" s="1525"/>
      <c r="J66" s="622"/>
      <c r="K66" s="982"/>
      <c r="L66" s="880"/>
      <c r="M66" s="1033"/>
      <c r="N66" s="880"/>
      <c r="O66" s="1525"/>
      <c r="P66" s="613"/>
      <c r="Q66" s="162"/>
      <c r="R66" s="120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45942</v>
      </c>
      <c r="B67" s="882" t="s">
        <v>14</v>
      </c>
      <c r="C67" s="1276" t="s">
        <v>12</v>
      </c>
      <c r="D67" s="879" t="s">
        <v>1486</v>
      </c>
      <c r="E67" s="875" t="s">
        <v>13</v>
      </c>
      <c r="F67" s="780">
        <v>9.14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861"/>
    </row>
    <row r="68" spans="1:42" s="224" customFormat="1" ht="15" customHeight="1" x14ac:dyDescent="0.25">
      <c r="A68" s="247">
        <v>45942</v>
      </c>
      <c r="B68" s="364" t="s">
        <v>8296</v>
      </c>
      <c r="C68" s="350" t="s">
        <v>12</v>
      </c>
      <c r="D68" s="350" t="s">
        <v>6731</v>
      </c>
      <c r="E68" s="875" t="s">
        <v>13</v>
      </c>
      <c r="F68" s="780">
        <v>75</v>
      </c>
      <c r="G68" s="982"/>
      <c r="H68" s="1008"/>
      <c r="I68" s="1063"/>
      <c r="J68" s="622"/>
      <c r="K68" s="982"/>
      <c r="L68" s="622"/>
      <c r="M68" s="982"/>
      <c r="N68" s="622"/>
      <c r="O68" s="1063"/>
      <c r="P68" s="622"/>
      <c r="Q68" s="982"/>
      <c r="R68" s="861"/>
    </row>
    <row r="69" spans="1:42" s="224" customFormat="1" ht="15" customHeight="1" x14ac:dyDescent="0.25">
      <c r="A69" s="247">
        <v>45942</v>
      </c>
      <c r="B69" s="882" t="s">
        <v>8354</v>
      </c>
      <c r="C69" s="879" t="s">
        <v>12</v>
      </c>
      <c r="D69" s="879" t="s">
        <v>1493</v>
      </c>
      <c r="E69" s="875" t="s">
        <v>13</v>
      </c>
      <c r="F69" s="780">
        <v>16</v>
      </c>
      <c r="G69" s="982"/>
      <c r="H69" s="1008"/>
      <c r="I69" s="1063"/>
      <c r="J69" s="613"/>
      <c r="K69" s="982"/>
      <c r="L69" s="622"/>
      <c r="M69" s="982"/>
      <c r="N69" s="622"/>
      <c r="O69" s="1063"/>
      <c r="P69" s="622"/>
      <c r="Q69" s="982"/>
      <c r="R69" s="861"/>
    </row>
    <row r="70" spans="1:42" s="224" customFormat="1" ht="15" customHeight="1" x14ac:dyDescent="0.25">
      <c r="A70" s="247">
        <v>45942</v>
      </c>
      <c r="B70" s="1275" t="s">
        <v>32</v>
      </c>
      <c r="C70" s="1276" t="s">
        <v>12</v>
      </c>
      <c r="D70" s="1276" t="s">
        <v>1485</v>
      </c>
      <c r="E70" s="875" t="s">
        <v>13</v>
      </c>
      <c r="F70" s="780">
        <v>28</v>
      </c>
      <c r="G70" s="982"/>
      <c r="H70" s="622"/>
      <c r="I70" s="982"/>
      <c r="J70" s="622"/>
      <c r="K70" s="982"/>
      <c r="L70" s="622"/>
      <c r="M70" s="982"/>
      <c r="N70" s="880"/>
      <c r="O70" s="1525"/>
      <c r="P70" s="613"/>
      <c r="Q70" s="162"/>
      <c r="R70" s="1956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45942</v>
      </c>
      <c r="B71" s="1275" t="s">
        <v>8355</v>
      </c>
      <c r="C71" s="1276" t="s">
        <v>12</v>
      </c>
      <c r="D71" s="1276" t="s">
        <v>1491</v>
      </c>
      <c r="E71" s="875" t="s">
        <v>13</v>
      </c>
      <c r="F71" s="780">
        <v>50</v>
      </c>
      <c r="G71" s="982"/>
      <c r="H71" s="622"/>
      <c r="I71" s="982"/>
      <c r="J71" s="622"/>
      <c r="K71" s="982"/>
      <c r="L71" s="622"/>
      <c r="M71" s="982"/>
      <c r="N71" s="880"/>
      <c r="O71" s="1525"/>
      <c r="P71" s="613"/>
      <c r="Q71" s="162"/>
      <c r="R71" s="1956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 spans="1:42" s="224" customFormat="1" ht="15" customHeight="1" x14ac:dyDescent="0.25">
      <c r="A72" s="247">
        <v>45942</v>
      </c>
      <c r="B72" s="1275" t="s">
        <v>8356</v>
      </c>
      <c r="C72" s="1276" t="s">
        <v>12</v>
      </c>
      <c r="D72" s="1276" t="s">
        <v>6731</v>
      </c>
      <c r="E72" s="875" t="s">
        <v>13</v>
      </c>
      <c r="F72" s="780">
        <v>30</v>
      </c>
      <c r="G72" s="982"/>
      <c r="H72" s="622"/>
      <c r="I72" s="982"/>
      <c r="J72" s="622"/>
      <c r="K72" s="982"/>
      <c r="L72" s="622"/>
      <c r="M72" s="982"/>
      <c r="N72" s="880"/>
      <c r="O72" s="1525"/>
      <c r="P72" s="613"/>
      <c r="Q72" s="162"/>
      <c r="R72" s="1956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 spans="1:42" s="224" customFormat="1" ht="15" customHeight="1" x14ac:dyDescent="0.25">
      <c r="A73" s="247">
        <v>45942</v>
      </c>
      <c r="B73" s="1275" t="s">
        <v>8357</v>
      </c>
      <c r="C73" s="1276" t="s">
        <v>12</v>
      </c>
      <c r="D73" s="1276" t="s">
        <v>1491</v>
      </c>
      <c r="E73" s="875" t="s">
        <v>13</v>
      </c>
      <c r="F73" s="780">
        <v>30</v>
      </c>
      <c r="G73" s="982"/>
      <c r="H73" s="622"/>
      <c r="I73" s="982"/>
      <c r="J73" s="622"/>
      <c r="K73" s="982"/>
      <c r="L73" s="622"/>
      <c r="M73" s="982"/>
      <c r="N73" s="880"/>
      <c r="O73" s="1525"/>
      <c r="P73" s="613"/>
      <c r="Q73" s="162"/>
      <c r="R73" s="1956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45942</v>
      </c>
      <c r="B74" s="1275" t="s">
        <v>3160</v>
      </c>
      <c r="C74" s="1276" t="s">
        <v>12</v>
      </c>
      <c r="D74" s="1276" t="s">
        <v>1493</v>
      </c>
      <c r="E74" s="875" t="s">
        <v>13</v>
      </c>
      <c r="F74" s="780">
        <v>33.6</v>
      </c>
      <c r="G74" s="982"/>
      <c r="H74" s="622"/>
      <c r="I74" s="982"/>
      <c r="J74" s="622"/>
      <c r="K74" s="982"/>
      <c r="L74" s="622"/>
      <c r="M74" s="982"/>
      <c r="N74" s="880"/>
      <c r="O74" s="1525"/>
      <c r="P74" s="613"/>
      <c r="Q74" s="162"/>
      <c r="R74" s="1956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 spans="1:42" s="224" customFormat="1" ht="15" customHeight="1" x14ac:dyDescent="0.25">
      <c r="A75" s="247">
        <v>45943</v>
      </c>
      <c r="B75" s="1275" t="s">
        <v>32</v>
      </c>
      <c r="C75" s="1276" t="s">
        <v>12</v>
      </c>
      <c r="D75" s="1276" t="s">
        <v>1485</v>
      </c>
      <c r="E75" s="875" t="s">
        <v>13</v>
      </c>
      <c r="F75" s="780">
        <v>23</v>
      </c>
      <c r="G75" s="982"/>
      <c r="H75" s="622"/>
      <c r="I75" s="982"/>
      <c r="J75" s="622"/>
      <c r="K75" s="982"/>
      <c r="L75" s="622"/>
      <c r="M75" s="982"/>
      <c r="N75" s="880"/>
      <c r="O75" s="1525"/>
      <c r="P75" s="613"/>
      <c r="Q75" s="162"/>
      <c r="R75" s="1956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ht="15" customHeight="1" x14ac:dyDescent="0.25">
      <c r="A76" s="247">
        <v>45943</v>
      </c>
      <c r="B76" s="1275" t="s">
        <v>32</v>
      </c>
      <c r="C76" s="1276" t="s">
        <v>12</v>
      </c>
      <c r="D76" s="1276" t="s">
        <v>1485</v>
      </c>
      <c r="E76" s="875" t="s">
        <v>13</v>
      </c>
      <c r="F76" s="780">
        <v>23</v>
      </c>
      <c r="G76" s="982"/>
      <c r="H76" s="622"/>
      <c r="I76" s="982"/>
      <c r="J76" s="622"/>
      <c r="K76" s="982"/>
      <c r="L76" s="622"/>
      <c r="M76" s="982"/>
      <c r="N76" s="880"/>
      <c r="O76" s="1525"/>
      <c r="P76" s="613"/>
      <c r="Q76" s="162"/>
      <c r="R76" s="195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x14ac:dyDescent="0.25">
      <c r="A77" s="247">
        <v>45943</v>
      </c>
      <c r="B77" s="1275" t="s">
        <v>8359</v>
      </c>
      <c r="C77" s="879" t="s">
        <v>12</v>
      </c>
      <c r="D77" s="1276" t="s">
        <v>6731</v>
      </c>
      <c r="E77" s="1286" t="s">
        <v>13</v>
      </c>
      <c r="F77" s="780">
        <v>65</v>
      </c>
      <c r="G77" s="982"/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1028"/>
      <c r="T77" s="878"/>
    </row>
    <row r="78" spans="1:42" s="224" customFormat="1" ht="15" customHeight="1" x14ac:dyDescent="0.25">
      <c r="A78" s="247">
        <v>45943</v>
      </c>
      <c r="B78" s="882" t="s">
        <v>14</v>
      </c>
      <c r="C78" s="1276" t="s">
        <v>12</v>
      </c>
      <c r="D78" s="879" t="s">
        <v>1486</v>
      </c>
      <c r="E78" s="875" t="s">
        <v>13</v>
      </c>
      <c r="F78" s="780">
        <v>4.13</v>
      </c>
      <c r="G78" s="982"/>
      <c r="H78" s="1008"/>
      <c r="I78" s="1063"/>
      <c r="J78" s="622"/>
      <c r="K78" s="982"/>
      <c r="L78" s="622"/>
      <c r="M78" s="982"/>
      <c r="N78" s="622"/>
      <c r="O78" s="1063"/>
      <c r="P78" s="622"/>
      <c r="Q78" s="982"/>
      <c r="R78" s="941"/>
    </row>
    <row r="79" spans="1:42" s="224" customFormat="1" ht="15" customHeight="1" x14ac:dyDescent="0.25">
      <c r="A79" s="247">
        <v>45943</v>
      </c>
      <c r="B79" s="882" t="s">
        <v>7511</v>
      </c>
      <c r="C79" s="1276" t="s">
        <v>12</v>
      </c>
      <c r="D79" s="879"/>
      <c r="E79" s="875" t="s">
        <v>13</v>
      </c>
      <c r="F79" s="780"/>
      <c r="G79" s="982">
        <v>0.62</v>
      </c>
      <c r="H79" s="1008"/>
      <c r="I79" s="1063"/>
      <c r="J79" s="622">
        <v>0.62</v>
      </c>
      <c r="K79" s="982"/>
      <c r="L79" s="622"/>
      <c r="M79" s="982"/>
      <c r="N79" s="622"/>
      <c r="O79" s="1063"/>
      <c r="P79" s="622"/>
      <c r="Q79" s="982"/>
      <c r="R79" s="941"/>
    </row>
    <row r="80" spans="1:42" s="224" customFormat="1" ht="15" customHeight="1" x14ac:dyDescent="0.25">
      <c r="A80" s="247">
        <v>45944</v>
      </c>
      <c r="B80" s="882" t="s">
        <v>6329</v>
      </c>
      <c r="C80" s="879" t="s">
        <v>12</v>
      </c>
      <c r="D80" s="879"/>
      <c r="E80" s="875" t="s">
        <v>25</v>
      </c>
      <c r="F80" s="780"/>
      <c r="G80" s="982">
        <v>125</v>
      </c>
      <c r="H80" s="1008"/>
      <c r="I80" s="1063"/>
      <c r="J80" s="613"/>
      <c r="K80" s="982"/>
      <c r="L80" s="622"/>
      <c r="M80" s="982"/>
      <c r="N80" s="622"/>
      <c r="O80" s="1063"/>
      <c r="P80" s="622"/>
      <c r="Q80" s="982"/>
      <c r="R80" s="941"/>
    </row>
    <row r="81" spans="1:42" s="224" customFormat="1" ht="15" customHeight="1" x14ac:dyDescent="0.25">
      <c r="A81" s="247">
        <v>45944</v>
      </c>
      <c r="B81" s="1275" t="s">
        <v>32</v>
      </c>
      <c r="C81" s="1276" t="s">
        <v>12</v>
      </c>
      <c r="D81" s="1276" t="s">
        <v>1485</v>
      </c>
      <c r="E81" s="875" t="s">
        <v>13</v>
      </c>
      <c r="F81" s="780">
        <v>23</v>
      </c>
      <c r="G81" s="982"/>
      <c r="H81" s="622"/>
      <c r="I81" s="982"/>
      <c r="J81" s="622"/>
      <c r="K81" s="982"/>
      <c r="L81" s="622"/>
      <c r="M81" s="982"/>
      <c r="N81" s="880"/>
      <c r="O81" s="1525"/>
      <c r="P81" s="613"/>
      <c r="Q81" s="162"/>
      <c r="R81" s="254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45944</v>
      </c>
      <c r="B82" s="882" t="s">
        <v>8376</v>
      </c>
      <c r="C82" s="1276" t="s">
        <v>12</v>
      </c>
      <c r="D82" s="879"/>
      <c r="E82" s="875" t="s">
        <v>25</v>
      </c>
      <c r="F82" s="613"/>
      <c r="G82" s="967"/>
      <c r="H82" s="1008"/>
      <c r="I82" s="1063"/>
      <c r="J82" s="622"/>
      <c r="K82" s="982">
        <v>9385.24</v>
      </c>
      <c r="L82" s="880"/>
      <c r="M82" s="1033"/>
      <c r="N82" s="880"/>
      <c r="O82" s="1525"/>
      <c r="P82" s="613">
        <v>9385.24</v>
      </c>
      <c r="Q82" s="162"/>
      <c r="R82" s="254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45944</v>
      </c>
      <c r="B83" s="882" t="s">
        <v>8440</v>
      </c>
      <c r="C83" s="879" t="s">
        <v>12</v>
      </c>
      <c r="D83" s="879"/>
      <c r="E83" s="875"/>
      <c r="F83" s="780"/>
      <c r="G83" s="982"/>
      <c r="H83" s="95"/>
      <c r="I83" s="1064"/>
      <c r="J83" s="622"/>
      <c r="K83" s="982"/>
      <c r="L83" s="622"/>
      <c r="M83" s="982"/>
      <c r="N83" s="622"/>
      <c r="O83" s="982"/>
      <c r="P83" s="622">
        <v>15025.96</v>
      </c>
      <c r="Q83" s="982"/>
      <c r="R83" s="1210"/>
      <c r="S83" s="1038"/>
      <c r="T83" s="861"/>
    </row>
    <row r="84" spans="1:42" s="224" customFormat="1" ht="15" customHeight="1" x14ac:dyDescent="0.25">
      <c r="A84" s="247">
        <v>45944</v>
      </c>
      <c r="B84" s="882" t="s">
        <v>8441</v>
      </c>
      <c r="C84" s="879" t="s">
        <v>12</v>
      </c>
      <c r="D84" s="879"/>
      <c r="E84" s="875"/>
      <c r="F84" s="780"/>
      <c r="G84" s="982"/>
      <c r="H84" s="95"/>
      <c r="I84" s="1064"/>
      <c r="J84" s="622"/>
      <c r="K84" s="982"/>
      <c r="L84" s="622"/>
      <c r="M84" s="982"/>
      <c r="N84" s="622"/>
      <c r="O84" s="982"/>
      <c r="P84" s="622">
        <v>326.94</v>
      </c>
      <c r="Q84" s="982"/>
      <c r="R84" s="1210"/>
      <c r="S84" s="1038"/>
      <c r="T84" s="861"/>
    </row>
    <row r="85" spans="1:42" s="224" customFormat="1" ht="15" customHeight="1" x14ac:dyDescent="0.25">
      <c r="A85" s="247">
        <v>45944</v>
      </c>
      <c r="B85" s="882" t="s">
        <v>14</v>
      </c>
      <c r="C85" s="1276" t="s">
        <v>12</v>
      </c>
      <c r="D85" s="879" t="s">
        <v>1486</v>
      </c>
      <c r="E85" s="875" t="s">
        <v>13</v>
      </c>
      <c r="F85" s="780">
        <v>5.3</v>
      </c>
      <c r="G85" s="982"/>
      <c r="H85" s="1008"/>
      <c r="I85" s="1063"/>
      <c r="J85" s="622"/>
      <c r="K85" s="982"/>
      <c r="L85" s="622"/>
      <c r="M85" s="982"/>
      <c r="N85" s="622"/>
      <c r="O85" s="1063"/>
      <c r="P85" s="622"/>
      <c r="Q85" s="982"/>
      <c r="R85" s="941"/>
    </row>
    <row r="86" spans="1:42" s="224" customFormat="1" ht="15" customHeight="1" x14ac:dyDescent="0.25">
      <c r="A86" s="247">
        <v>45944</v>
      </c>
      <c r="B86" s="882" t="s">
        <v>8378</v>
      </c>
      <c r="C86" s="1276" t="s">
        <v>12</v>
      </c>
      <c r="D86" s="879" t="s">
        <v>6731</v>
      </c>
      <c r="E86" s="875" t="s">
        <v>13</v>
      </c>
      <c r="F86" s="780">
        <v>5</v>
      </c>
      <c r="G86" s="982"/>
      <c r="H86" s="1008"/>
      <c r="I86" s="1063"/>
      <c r="J86" s="622"/>
      <c r="K86" s="982"/>
      <c r="L86" s="622"/>
      <c r="M86" s="982"/>
      <c r="N86" s="622"/>
      <c r="O86" s="1063"/>
      <c r="P86" s="622"/>
      <c r="Q86" s="982"/>
      <c r="R86" s="941"/>
    </row>
    <row r="87" spans="1:42" s="224" customFormat="1" ht="14.25" customHeight="1" x14ac:dyDescent="0.25">
      <c r="A87" s="247">
        <v>45945</v>
      </c>
      <c r="B87" s="1275" t="s">
        <v>32</v>
      </c>
      <c r="C87" s="1276" t="s">
        <v>12</v>
      </c>
      <c r="D87" s="1276" t="s">
        <v>1485</v>
      </c>
      <c r="E87" s="875" t="s">
        <v>13</v>
      </c>
      <c r="F87" s="780">
        <v>23</v>
      </c>
      <c r="G87" s="982"/>
      <c r="H87" s="622"/>
      <c r="I87" s="982"/>
      <c r="J87" s="622"/>
      <c r="K87" s="982"/>
      <c r="L87" s="622"/>
      <c r="M87" s="982"/>
      <c r="N87" s="880"/>
      <c r="O87" s="1525"/>
      <c r="P87" s="613"/>
      <c r="Q87" s="162"/>
      <c r="R87" s="1956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5" customHeight="1" x14ac:dyDescent="0.25">
      <c r="A88" s="247">
        <v>45945</v>
      </c>
      <c r="B88" s="882" t="s">
        <v>8401</v>
      </c>
      <c r="C88" s="879" t="s">
        <v>12</v>
      </c>
      <c r="D88" s="879" t="s">
        <v>1493</v>
      </c>
      <c r="E88" s="480" t="s">
        <v>13</v>
      </c>
      <c r="F88" s="613">
        <v>16</v>
      </c>
      <c r="G88" s="967"/>
      <c r="H88" s="1008"/>
      <c r="I88" s="1063"/>
      <c r="J88" s="622"/>
      <c r="K88" s="982"/>
      <c r="L88" s="880"/>
      <c r="M88" s="1033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45945</v>
      </c>
      <c r="B89" s="882" t="s">
        <v>14</v>
      </c>
      <c r="C89" s="1276" t="s">
        <v>12</v>
      </c>
      <c r="D89" s="879" t="s">
        <v>1486</v>
      </c>
      <c r="E89" s="875" t="s">
        <v>13</v>
      </c>
      <c r="F89" s="613">
        <v>9.93</v>
      </c>
      <c r="G89" s="967"/>
      <c r="H89" s="1008"/>
      <c r="I89" s="1063"/>
      <c r="J89" s="622"/>
      <c r="K89" s="982"/>
      <c r="L89" s="880"/>
      <c r="M89" s="1033"/>
      <c r="N89" s="880"/>
      <c r="O89" s="1525"/>
      <c r="P89" s="613"/>
      <c r="Q89" s="162"/>
      <c r="R89" s="1956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45946</v>
      </c>
      <c r="B90" s="1275" t="s">
        <v>8400</v>
      </c>
      <c r="C90" s="1276" t="s">
        <v>12</v>
      </c>
      <c r="D90" s="1276"/>
      <c r="E90" s="1286" t="s">
        <v>13</v>
      </c>
      <c r="F90" s="613">
        <v>124.74</v>
      </c>
      <c r="G90" s="967"/>
      <c r="H90" s="1008"/>
      <c r="I90" s="1063"/>
      <c r="J90" s="613"/>
      <c r="K90" s="6"/>
      <c r="L90" s="622"/>
      <c r="M90" s="982"/>
      <c r="N90" s="622"/>
      <c r="O90" s="1063"/>
      <c r="P90" s="613"/>
      <c r="Q90" s="64"/>
      <c r="R90" s="1024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45946</v>
      </c>
      <c r="B91" s="1275" t="s">
        <v>6755</v>
      </c>
      <c r="C91" s="1276" t="s">
        <v>12</v>
      </c>
      <c r="D91" s="1276"/>
      <c r="E91" s="1286"/>
      <c r="F91" s="613"/>
      <c r="G91" s="967">
        <v>124.74</v>
      </c>
      <c r="H91" s="1008"/>
      <c r="I91" s="1063"/>
      <c r="J91" s="613"/>
      <c r="K91" s="6"/>
      <c r="L91" s="622"/>
      <c r="M91" s="982"/>
      <c r="N91" s="622"/>
      <c r="O91" s="1063"/>
      <c r="P91" s="613"/>
      <c r="Q91" s="64"/>
      <c r="R91" s="1024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ht="15" customHeight="1" x14ac:dyDescent="0.25">
      <c r="A92" s="247">
        <v>45946</v>
      </c>
      <c r="B92" s="1275" t="s">
        <v>8404</v>
      </c>
      <c r="C92" s="1276" t="s">
        <v>12</v>
      </c>
      <c r="D92" s="1276" t="s">
        <v>1525</v>
      </c>
      <c r="E92" s="875" t="s">
        <v>13</v>
      </c>
      <c r="F92" s="780">
        <v>20</v>
      </c>
      <c r="G92" s="982"/>
      <c r="H92" s="622"/>
      <c r="I92" s="982"/>
      <c r="J92" s="622"/>
      <c r="K92" s="982"/>
      <c r="L92" s="622"/>
      <c r="M92" s="982"/>
      <c r="N92" s="880"/>
      <c r="O92" s="1525"/>
      <c r="P92" s="613"/>
      <c r="Q92" s="162"/>
      <c r="R92" s="1956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45947</v>
      </c>
      <c r="B93" s="1275" t="s">
        <v>32</v>
      </c>
      <c r="C93" s="1276" t="s">
        <v>12</v>
      </c>
      <c r="D93" s="1276" t="s">
        <v>1485</v>
      </c>
      <c r="E93" s="875" t="s">
        <v>13</v>
      </c>
      <c r="F93" s="780">
        <v>23</v>
      </c>
      <c r="G93" s="982"/>
      <c r="H93" s="622"/>
      <c r="I93" s="982"/>
      <c r="J93" s="622"/>
      <c r="K93" s="982"/>
      <c r="L93" s="622"/>
      <c r="M93" s="982"/>
      <c r="N93" s="880"/>
      <c r="O93" s="1525"/>
      <c r="P93" s="613"/>
      <c r="Q93" s="162"/>
      <c r="R93" s="1956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45947</v>
      </c>
      <c r="B94" s="882" t="s">
        <v>82</v>
      </c>
      <c r="C94" s="879" t="s">
        <v>12</v>
      </c>
      <c r="D94" s="879" t="s">
        <v>1493</v>
      </c>
      <c r="E94" s="871" t="s">
        <v>13</v>
      </c>
      <c r="F94" s="780">
        <v>57.8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45948</v>
      </c>
      <c r="B95" s="882" t="s">
        <v>14</v>
      </c>
      <c r="C95" s="1276" t="s">
        <v>12</v>
      </c>
      <c r="D95" s="879" t="s">
        <v>1486</v>
      </c>
      <c r="E95" s="875" t="s">
        <v>13</v>
      </c>
      <c r="F95" s="613">
        <v>6.91</v>
      </c>
      <c r="G95" s="967"/>
      <c r="H95" s="1008"/>
      <c r="I95" s="1063"/>
      <c r="J95" s="622"/>
      <c r="K95" s="982"/>
      <c r="L95" s="880"/>
      <c r="M95" s="1033"/>
      <c r="N95" s="880"/>
      <c r="O95" s="1525"/>
      <c r="P95" s="613"/>
      <c r="Q95" s="162"/>
      <c r="R95" s="1956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</row>
    <row r="96" spans="1:42" s="224" customFormat="1" ht="15" customHeight="1" x14ac:dyDescent="0.25">
      <c r="A96" s="247">
        <v>45948</v>
      </c>
      <c r="B96" s="882" t="s">
        <v>8421</v>
      </c>
      <c r="C96" s="879" t="s">
        <v>12</v>
      </c>
      <c r="D96" s="879" t="s">
        <v>1489</v>
      </c>
      <c r="E96" s="875" t="s">
        <v>13</v>
      </c>
      <c r="F96" s="780">
        <v>12.9</v>
      </c>
      <c r="G96" s="982"/>
      <c r="H96" s="622"/>
      <c r="I96" s="982"/>
      <c r="J96" s="622"/>
      <c r="K96" s="982"/>
      <c r="L96" s="622"/>
      <c r="M96" s="982"/>
      <c r="N96" s="880"/>
      <c r="O96" s="1525"/>
      <c r="P96" s="613"/>
      <c r="Q96" s="162"/>
      <c r="R96" s="195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45948</v>
      </c>
      <c r="B97" s="882" t="s">
        <v>8422</v>
      </c>
      <c r="C97" s="879" t="s">
        <v>12</v>
      </c>
      <c r="D97" s="879" t="s">
        <v>1489</v>
      </c>
      <c r="E97" s="875" t="s">
        <v>13</v>
      </c>
      <c r="F97" s="780">
        <v>23.6</v>
      </c>
      <c r="G97" s="982"/>
      <c r="H97" s="622"/>
      <c r="I97" s="982"/>
      <c r="J97" s="622"/>
      <c r="K97" s="982"/>
      <c r="L97" s="622"/>
      <c r="M97" s="982"/>
      <c r="N97" s="880"/>
      <c r="O97" s="1525"/>
      <c r="P97" s="613"/>
      <c r="Q97" s="162"/>
      <c r="R97" s="1956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</row>
    <row r="98" spans="1:42" s="224" customFormat="1" ht="15" customHeight="1" x14ac:dyDescent="0.25">
      <c r="A98" s="247">
        <v>45949</v>
      </c>
      <c r="B98" s="882" t="s">
        <v>14</v>
      </c>
      <c r="C98" s="1276" t="s">
        <v>12</v>
      </c>
      <c r="D98" s="879" t="s">
        <v>1486</v>
      </c>
      <c r="E98" s="875" t="s">
        <v>13</v>
      </c>
      <c r="F98" s="613">
        <v>8.67</v>
      </c>
      <c r="G98" s="967"/>
      <c r="H98" s="1008"/>
      <c r="I98" s="1063"/>
      <c r="J98" s="622"/>
      <c r="K98" s="982"/>
      <c r="L98" s="880"/>
      <c r="M98" s="1033"/>
      <c r="N98" s="880"/>
      <c r="O98" s="1525"/>
      <c r="P98" s="613"/>
      <c r="Q98" s="162"/>
      <c r="R98" s="1956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</row>
    <row r="99" spans="1:42" s="224" customFormat="1" ht="15" customHeight="1" x14ac:dyDescent="0.25">
      <c r="A99" s="247">
        <v>45949</v>
      </c>
      <c r="B99" s="882" t="s">
        <v>2629</v>
      </c>
      <c r="C99" s="879" t="s">
        <v>12</v>
      </c>
      <c r="D99" s="879" t="s">
        <v>1489</v>
      </c>
      <c r="E99" s="871" t="s">
        <v>13</v>
      </c>
      <c r="F99" s="780">
        <v>26.76</v>
      </c>
      <c r="G99" s="982"/>
      <c r="H99" s="622"/>
      <c r="I99" s="982"/>
      <c r="J99" s="872"/>
      <c r="K99" s="1207"/>
      <c r="L99" s="622"/>
      <c r="M99" s="982"/>
      <c r="N99" s="622"/>
      <c r="O99" s="1063"/>
      <c r="P99" s="622"/>
      <c r="Q99" s="982"/>
      <c r="R99" s="1028"/>
      <c r="S99" s="959"/>
      <c r="T99" s="878"/>
      <c r="U99" s="958"/>
    </row>
    <row r="100" spans="1:42" s="224" customFormat="1" ht="15" customHeight="1" x14ac:dyDescent="0.25">
      <c r="A100" s="247">
        <v>45949</v>
      </c>
      <c r="B100" s="882" t="s">
        <v>7122</v>
      </c>
      <c r="C100" s="879" t="s">
        <v>12</v>
      </c>
      <c r="D100" s="879" t="s">
        <v>1489</v>
      </c>
      <c r="E100" s="875" t="s">
        <v>13</v>
      </c>
      <c r="F100" s="780">
        <v>15</v>
      </c>
      <c r="G100" s="982"/>
      <c r="H100" s="622"/>
      <c r="I100" s="982"/>
      <c r="J100" s="622"/>
      <c r="K100" s="982"/>
      <c r="L100" s="622"/>
      <c r="M100" s="982"/>
      <c r="N100" s="880"/>
      <c r="O100" s="1525"/>
      <c r="P100" s="613"/>
      <c r="Q100" s="162"/>
      <c r="R100" s="1956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</row>
    <row r="101" spans="1:42" s="224" customFormat="1" ht="15" customHeight="1" x14ac:dyDescent="0.25">
      <c r="A101" s="247">
        <v>45949</v>
      </c>
      <c r="B101" s="882" t="s">
        <v>443</v>
      </c>
      <c r="C101" s="879" t="s">
        <v>12</v>
      </c>
      <c r="D101" s="879" t="s">
        <v>1493</v>
      </c>
      <c r="E101" s="875" t="s">
        <v>13</v>
      </c>
      <c r="F101" s="780">
        <v>16.39</v>
      </c>
      <c r="G101" s="982"/>
      <c r="H101" s="622"/>
      <c r="I101" s="982"/>
      <c r="J101" s="622"/>
      <c r="K101" s="982"/>
      <c r="L101" s="622"/>
      <c r="M101" s="982"/>
      <c r="N101" s="880"/>
      <c r="O101" s="1525"/>
      <c r="P101" s="613"/>
      <c r="Q101" s="162"/>
      <c r="R101" s="1956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 s="224" customFormat="1" ht="15" customHeight="1" x14ac:dyDescent="0.25">
      <c r="A102" s="247">
        <v>45950</v>
      </c>
      <c r="B102" s="882" t="s">
        <v>8299</v>
      </c>
      <c r="C102" s="350" t="s">
        <v>12</v>
      </c>
      <c r="D102" s="350"/>
      <c r="E102" s="480" t="s">
        <v>25</v>
      </c>
      <c r="F102" s="622"/>
      <c r="G102" s="982">
        <v>2520</v>
      </c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861"/>
    </row>
    <row r="103" spans="1:42" s="224" customFormat="1" ht="15" customHeight="1" x14ac:dyDescent="0.25">
      <c r="A103" s="247">
        <v>45950</v>
      </c>
      <c r="B103" s="364" t="s">
        <v>8300</v>
      </c>
      <c r="C103" s="879" t="s">
        <v>12</v>
      </c>
      <c r="D103" s="879"/>
      <c r="E103" s="983" t="s">
        <v>25</v>
      </c>
      <c r="F103" s="780"/>
      <c r="G103" s="982"/>
      <c r="H103" s="622"/>
      <c r="I103" s="982"/>
      <c r="J103" s="2013"/>
      <c r="K103" s="1207"/>
      <c r="L103" s="622"/>
      <c r="M103" s="982"/>
      <c r="N103" s="622"/>
      <c r="O103" s="1063"/>
      <c r="P103" s="622"/>
      <c r="Q103" s="982">
        <v>504</v>
      </c>
      <c r="R103" s="927"/>
      <c r="S103" s="927"/>
      <c r="T103" s="878"/>
    </row>
    <row r="104" spans="1:42" s="224" customFormat="1" ht="15" customHeight="1" x14ac:dyDescent="0.25">
      <c r="A104" s="247">
        <v>45950</v>
      </c>
      <c r="B104" s="364" t="s">
        <v>3354</v>
      </c>
      <c r="C104" s="350" t="s">
        <v>12</v>
      </c>
      <c r="D104" s="350"/>
      <c r="E104" s="145" t="s">
        <v>25</v>
      </c>
      <c r="F104" s="613"/>
      <c r="G104" s="967"/>
      <c r="H104" s="1008"/>
      <c r="I104" s="1063"/>
      <c r="J104" s="622"/>
      <c r="K104" s="982"/>
      <c r="L104" s="880"/>
      <c r="M104" s="1033"/>
      <c r="N104" s="880"/>
      <c r="O104" s="1525"/>
      <c r="P104" s="613"/>
      <c r="Q104" s="162">
        <v>234.43</v>
      </c>
      <c r="R104" s="2018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</row>
    <row r="105" spans="1:42" s="224" customFormat="1" ht="15" customHeight="1" x14ac:dyDescent="0.25">
      <c r="A105" s="247">
        <v>45950</v>
      </c>
      <c r="B105" s="862" t="s">
        <v>2867</v>
      </c>
      <c r="C105" s="350" t="s">
        <v>12</v>
      </c>
      <c r="D105" s="874" t="s">
        <v>1504</v>
      </c>
      <c r="E105" s="887" t="s">
        <v>13</v>
      </c>
      <c r="F105" s="1245">
        <v>0</v>
      </c>
      <c r="G105" s="982"/>
      <c r="H105" s="1009"/>
      <c r="I105" s="1063"/>
      <c r="J105" s="622"/>
      <c r="K105" s="982"/>
      <c r="L105" s="853"/>
      <c r="M105" s="982"/>
      <c r="N105" s="853"/>
      <c r="O105" s="1063"/>
      <c r="P105" s="622"/>
      <c r="Q105" s="982"/>
      <c r="R105" s="1690"/>
      <c r="S105" s="1690"/>
      <c r="T105" s="1690"/>
      <c r="U105" s="1690"/>
      <c r="V105" s="1690"/>
      <c r="W105" s="1690"/>
      <c r="X105" s="1690"/>
      <c r="Y105" s="1690"/>
      <c r="Z105" s="1690"/>
    </row>
    <row r="106" spans="1:42" s="224" customFormat="1" ht="15" customHeight="1" x14ac:dyDescent="0.25">
      <c r="A106" s="247">
        <v>45950</v>
      </c>
      <c r="B106" s="364" t="s">
        <v>2977</v>
      </c>
      <c r="C106" s="350" t="s">
        <v>12</v>
      </c>
      <c r="D106" s="350" t="s">
        <v>1491</v>
      </c>
      <c r="E106" s="875" t="s">
        <v>13</v>
      </c>
      <c r="F106" s="1047">
        <v>400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29"/>
      <c r="S106" s="89"/>
      <c r="T106" s="930"/>
    </row>
    <row r="107" spans="1:42" s="224" customFormat="1" ht="15" customHeight="1" x14ac:dyDescent="0.25">
      <c r="A107" s="247">
        <v>45950</v>
      </c>
      <c r="B107" s="882" t="s">
        <v>8301</v>
      </c>
      <c r="C107" s="879" t="s">
        <v>12</v>
      </c>
      <c r="D107" s="879" t="s">
        <v>1499</v>
      </c>
      <c r="E107" s="871" t="s">
        <v>13</v>
      </c>
      <c r="F107" s="780">
        <v>0</v>
      </c>
      <c r="G107" s="982"/>
      <c r="H107" s="1008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028" t="s">
        <v>7729</v>
      </c>
      <c r="T107" s="1123"/>
      <c r="U107" s="999"/>
    </row>
    <row r="108" spans="1:42" s="224" customFormat="1" ht="15" customHeight="1" x14ac:dyDescent="0.25">
      <c r="A108" s="247">
        <v>45950</v>
      </c>
      <c r="B108" s="862" t="s">
        <v>8225</v>
      </c>
      <c r="C108" s="879" t="s">
        <v>12</v>
      </c>
      <c r="D108" s="879" t="s">
        <v>1504</v>
      </c>
      <c r="E108" s="871" t="s">
        <v>13</v>
      </c>
      <c r="F108" s="780">
        <v>100</v>
      </c>
      <c r="G108" s="982"/>
      <c r="H108" s="1008"/>
      <c r="I108" s="1063"/>
      <c r="J108" s="622"/>
      <c r="K108" s="982"/>
      <c r="L108" s="622"/>
      <c r="M108" s="982"/>
      <c r="N108" s="622"/>
      <c r="O108" s="1063"/>
      <c r="P108" s="622"/>
      <c r="Q108" s="982"/>
      <c r="R108" s="1808"/>
      <c r="S108" s="1028"/>
      <c r="T108" s="1035"/>
    </row>
    <row r="109" spans="1:42" s="224" customFormat="1" ht="15" customHeight="1" x14ac:dyDescent="0.25">
      <c r="A109" s="247">
        <v>45950</v>
      </c>
      <c r="B109" s="349" t="s">
        <v>8139</v>
      </c>
      <c r="C109" s="350" t="s">
        <v>12</v>
      </c>
      <c r="D109" s="350" t="s">
        <v>1524</v>
      </c>
      <c r="E109" s="887" t="s">
        <v>13</v>
      </c>
      <c r="F109" s="613">
        <v>118.136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1080" t="s">
        <v>3044</v>
      </c>
      <c r="S109" s="999"/>
      <c r="T109" s="878"/>
    </row>
    <row r="110" spans="1:42" s="224" customFormat="1" ht="15" customHeight="1" x14ac:dyDescent="0.25">
      <c r="A110" s="247">
        <v>45950</v>
      </c>
      <c r="B110" s="349" t="s">
        <v>8140</v>
      </c>
      <c r="C110" s="350" t="s">
        <v>12</v>
      </c>
      <c r="D110" s="350" t="s">
        <v>1524</v>
      </c>
      <c r="E110" s="887" t="s">
        <v>13</v>
      </c>
      <c r="F110" s="613">
        <v>253.465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1080" t="s">
        <v>3044</v>
      </c>
      <c r="S110" s="999"/>
      <c r="T110" s="878"/>
    </row>
    <row r="111" spans="1:42" s="224" customFormat="1" ht="15" customHeight="1" x14ac:dyDescent="0.25">
      <c r="A111" s="247">
        <v>45950</v>
      </c>
      <c r="B111" s="349" t="s">
        <v>8141</v>
      </c>
      <c r="C111" s="350" t="s">
        <v>12</v>
      </c>
      <c r="D111" s="350" t="s">
        <v>1524</v>
      </c>
      <c r="E111" s="887" t="s">
        <v>13</v>
      </c>
      <c r="F111" s="613">
        <v>60.656666666666666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1080" t="s">
        <v>3044</v>
      </c>
      <c r="S111" s="999"/>
      <c r="T111" s="878"/>
    </row>
    <row r="112" spans="1:42" s="224" customFormat="1" ht="15" customHeight="1" x14ac:dyDescent="0.25">
      <c r="A112" s="247">
        <v>45950</v>
      </c>
      <c r="B112" s="349" t="s">
        <v>8142</v>
      </c>
      <c r="C112" s="350" t="s">
        <v>12</v>
      </c>
      <c r="D112" s="350" t="s">
        <v>1524</v>
      </c>
      <c r="E112" s="887" t="s">
        <v>13</v>
      </c>
      <c r="F112" s="613">
        <v>44.985000000000007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1080" t="s">
        <v>3044</v>
      </c>
      <c r="S112" s="999"/>
      <c r="T112" s="878"/>
    </row>
    <row r="113" spans="1:20" s="224" customFormat="1" ht="15" customHeight="1" x14ac:dyDescent="0.25">
      <c r="A113" s="247">
        <v>45950</v>
      </c>
      <c r="B113" s="349" t="s">
        <v>8143</v>
      </c>
      <c r="C113" s="350" t="s">
        <v>12</v>
      </c>
      <c r="D113" s="350" t="s">
        <v>1524</v>
      </c>
      <c r="E113" s="887" t="s">
        <v>13</v>
      </c>
      <c r="F113" s="613">
        <v>8.9949999999999992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1080" t="s">
        <v>3044</v>
      </c>
      <c r="S113" s="999"/>
      <c r="T113" s="878"/>
    </row>
    <row r="114" spans="1:20" s="224" customFormat="1" ht="15" customHeight="1" x14ac:dyDescent="0.25">
      <c r="A114" s="247">
        <v>45950</v>
      </c>
      <c r="B114" s="349" t="s">
        <v>8144</v>
      </c>
      <c r="C114" s="350" t="s">
        <v>12</v>
      </c>
      <c r="D114" s="350" t="s">
        <v>1524</v>
      </c>
      <c r="E114" s="887" t="s">
        <v>13</v>
      </c>
      <c r="F114" s="613">
        <v>8.3333333333333339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1080" t="s">
        <v>3044</v>
      </c>
      <c r="S114" s="999"/>
      <c r="T114" s="878"/>
    </row>
    <row r="115" spans="1:20" s="224" customFormat="1" ht="15" customHeight="1" x14ac:dyDescent="0.25">
      <c r="A115" s="247">
        <v>45950</v>
      </c>
      <c r="B115" s="349" t="s">
        <v>8145</v>
      </c>
      <c r="C115" s="350" t="s">
        <v>12</v>
      </c>
      <c r="D115" s="350" t="s">
        <v>1524</v>
      </c>
      <c r="E115" s="887" t="s">
        <v>13</v>
      </c>
      <c r="F115" s="613">
        <v>50.857142857142854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1080" t="s">
        <v>3044</v>
      </c>
      <c r="S115" s="999"/>
      <c r="T115" s="878"/>
    </row>
    <row r="116" spans="1:20" s="224" customFormat="1" ht="15" customHeight="1" x14ac:dyDescent="0.25">
      <c r="A116" s="247">
        <v>45950</v>
      </c>
      <c r="B116" s="349" t="s">
        <v>8146</v>
      </c>
      <c r="C116" s="350" t="s">
        <v>12</v>
      </c>
      <c r="D116" s="350" t="s">
        <v>1524</v>
      </c>
      <c r="E116" s="887" t="s">
        <v>13</v>
      </c>
      <c r="F116" s="613">
        <v>111.4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1080" t="s">
        <v>3044</v>
      </c>
      <c r="S116" s="999"/>
      <c r="T116" s="878"/>
    </row>
    <row r="117" spans="1:20" s="224" customFormat="1" ht="15" customHeight="1" x14ac:dyDescent="0.25">
      <c r="A117" s="247">
        <v>45950</v>
      </c>
      <c r="B117" s="349" t="s">
        <v>8147</v>
      </c>
      <c r="C117" s="350" t="s">
        <v>12</v>
      </c>
      <c r="D117" s="350" t="s">
        <v>1524</v>
      </c>
      <c r="E117" s="887" t="s">
        <v>13</v>
      </c>
      <c r="F117" s="613">
        <v>430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1080" t="s">
        <v>3044</v>
      </c>
      <c r="S117" s="999"/>
      <c r="T117" s="878"/>
    </row>
    <row r="118" spans="1:20" s="224" customFormat="1" ht="15" customHeight="1" x14ac:dyDescent="0.25">
      <c r="A118" s="247">
        <v>45950</v>
      </c>
      <c r="B118" s="349" t="s">
        <v>8150</v>
      </c>
      <c r="C118" s="350" t="s">
        <v>12</v>
      </c>
      <c r="D118" s="350" t="s">
        <v>1524</v>
      </c>
      <c r="E118" s="887" t="s">
        <v>13</v>
      </c>
      <c r="F118" s="613">
        <v>53.591428571428573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1080" t="s">
        <v>3044</v>
      </c>
      <c r="S118" s="999"/>
      <c r="T118" s="878"/>
    </row>
    <row r="119" spans="1:20" s="224" customFormat="1" ht="15" customHeight="1" x14ac:dyDescent="0.25">
      <c r="A119" s="247">
        <v>45950</v>
      </c>
      <c r="B119" s="349" t="s">
        <v>8175</v>
      </c>
      <c r="C119" s="350" t="s">
        <v>12</v>
      </c>
      <c r="D119" s="350" t="s">
        <v>1524</v>
      </c>
      <c r="E119" s="887" t="s">
        <v>13</v>
      </c>
      <c r="F119" s="613">
        <v>149.10666666666665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1080" t="s">
        <v>3044</v>
      </c>
      <c r="S119" s="999"/>
      <c r="T119" s="878"/>
    </row>
    <row r="120" spans="1:20" s="224" customFormat="1" ht="15" customHeight="1" x14ac:dyDescent="0.25">
      <c r="A120" s="247">
        <v>45950</v>
      </c>
      <c r="B120" s="349" t="s">
        <v>8277</v>
      </c>
      <c r="C120" s="350" t="s">
        <v>12</v>
      </c>
      <c r="D120" s="350" t="s">
        <v>1524</v>
      </c>
      <c r="E120" s="887" t="s">
        <v>13</v>
      </c>
      <c r="F120" s="613">
        <v>29.76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1080" t="s">
        <v>3044</v>
      </c>
      <c r="S120" s="999"/>
      <c r="T120" s="878"/>
    </row>
    <row r="121" spans="1:20" s="224" customFormat="1" ht="15" customHeight="1" x14ac:dyDescent="0.25">
      <c r="A121" s="247">
        <v>45950</v>
      </c>
      <c r="B121" s="349" t="s">
        <v>8278</v>
      </c>
      <c r="C121" s="350" t="s">
        <v>12</v>
      </c>
      <c r="D121" s="350" t="s">
        <v>1524</v>
      </c>
      <c r="E121" s="887" t="s">
        <v>13</v>
      </c>
      <c r="F121" s="613">
        <v>29.92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1080" t="s">
        <v>3044</v>
      </c>
      <c r="S121" s="999"/>
      <c r="T121" s="878"/>
    </row>
    <row r="122" spans="1:20" s="224" customFormat="1" ht="15" customHeight="1" x14ac:dyDescent="0.25">
      <c r="A122" s="247">
        <v>45950</v>
      </c>
      <c r="B122" s="349" t="s">
        <v>8279</v>
      </c>
      <c r="C122" s="350" t="s">
        <v>12</v>
      </c>
      <c r="D122" s="350" t="s">
        <v>1524</v>
      </c>
      <c r="E122" s="887" t="s">
        <v>13</v>
      </c>
      <c r="F122" s="613">
        <v>19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1080" t="s">
        <v>3044</v>
      </c>
      <c r="S122" s="999"/>
      <c r="T122" s="878"/>
    </row>
    <row r="123" spans="1:20" s="224" customFormat="1" ht="15" customHeight="1" x14ac:dyDescent="0.25">
      <c r="A123" s="247">
        <v>45950</v>
      </c>
      <c r="B123" s="349" t="s">
        <v>8280</v>
      </c>
      <c r="C123" s="350" t="s">
        <v>12</v>
      </c>
      <c r="D123" s="350" t="s">
        <v>1524</v>
      </c>
      <c r="E123" s="887" t="s">
        <v>13</v>
      </c>
      <c r="F123" s="613">
        <v>59.74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1080" t="s">
        <v>3044</v>
      </c>
      <c r="S123" s="999"/>
      <c r="T123" s="878"/>
    </row>
    <row r="124" spans="1:20" s="224" customFormat="1" ht="15" customHeight="1" x14ac:dyDescent="0.25">
      <c r="A124" s="247">
        <v>45950</v>
      </c>
      <c r="B124" s="349" t="s">
        <v>8405</v>
      </c>
      <c r="C124" s="350" t="s">
        <v>12</v>
      </c>
      <c r="D124" s="350" t="s">
        <v>1524</v>
      </c>
      <c r="E124" s="887" t="s">
        <v>13</v>
      </c>
      <c r="F124" s="613">
        <v>99.666666666666671</v>
      </c>
      <c r="G124" s="982"/>
      <c r="H124" s="872"/>
      <c r="I124" s="1063"/>
      <c r="J124" s="622"/>
      <c r="K124" s="982"/>
      <c r="L124" s="622"/>
      <c r="M124" s="982"/>
      <c r="N124" s="622"/>
      <c r="O124" s="1063"/>
      <c r="P124" s="622"/>
      <c r="Q124" s="982"/>
      <c r="R124" s="1080" t="s">
        <v>3044</v>
      </c>
      <c r="S124" s="999"/>
      <c r="T124" s="878"/>
    </row>
    <row r="125" spans="1:20" s="224" customFormat="1" ht="15" customHeight="1" x14ac:dyDescent="0.25">
      <c r="A125" s="247">
        <v>45950</v>
      </c>
      <c r="B125" s="349" t="s">
        <v>8330</v>
      </c>
      <c r="C125" s="350" t="s">
        <v>12</v>
      </c>
      <c r="D125" s="350" t="s">
        <v>1504</v>
      </c>
      <c r="E125" s="887" t="s">
        <v>13</v>
      </c>
      <c r="F125" s="613">
        <v>9.9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1080" t="s">
        <v>3044</v>
      </c>
      <c r="S125" s="999"/>
      <c r="T125" s="878"/>
    </row>
    <row r="126" spans="1:20" s="224" customFormat="1" ht="15" customHeight="1" x14ac:dyDescent="0.25">
      <c r="A126" s="247">
        <v>45950</v>
      </c>
      <c r="B126" s="349" t="s">
        <v>8151</v>
      </c>
      <c r="C126" s="350" t="s">
        <v>12</v>
      </c>
      <c r="D126" s="350" t="s">
        <v>1504</v>
      </c>
      <c r="E126" s="887" t="s">
        <v>13</v>
      </c>
      <c r="F126" s="613">
        <v>34.22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1080" t="s">
        <v>3044</v>
      </c>
      <c r="S126" s="999"/>
      <c r="T126" s="878"/>
    </row>
    <row r="127" spans="1:20" s="224" customFormat="1" ht="15" customHeight="1" x14ac:dyDescent="0.25">
      <c r="A127" s="247">
        <v>45950</v>
      </c>
      <c r="B127" s="349" t="s">
        <v>8271</v>
      </c>
      <c r="C127" s="350" t="s">
        <v>12</v>
      </c>
      <c r="D127" s="350" t="s">
        <v>6731</v>
      </c>
      <c r="E127" s="887" t="s">
        <v>13</v>
      </c>
      <c r="F127" s="613">
        <v>63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1080" t="s">
        <v>3044</v>
      </c>
      <c r="S127" s="999"/>
      <c r="T127" s="878"/>
    </row>
    <row r="128" spans="1:20" s="224" customFormat="1" ht="15" customHeight="1" x14ac:dyDescent="0.25">
      <c r="A128" s="247">
        <v>45950</v>
      </c>
      <c r="B128" s="349" t="s">
        <v>8272</v>
      </c>
      <c r="C128" s="350" t="s">
        <v>12</v>
      </c>
      <c r="D128" s="350" t="s">
        <v>6731</v>
      </c>
      <c r="E128" s="887" t="s">
        <v>13</v>
      </c>
      <c r="F128" s="613">
        <v>32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1080" t="s">
        <v>3044</v>
      </c>
      <c r="S128" s="999"/>
      <c r="T128" s="878"/>
    </row>
    <row r="129" spans="1:42" s="224" customFormat="1" ht="15" customHeight="1" x14ac:dyDescent="0.25">
      <c r="A129" s="247">
        <v>45950</v>
      </c>
      <c r="B129" s="349" t="s">
        <v>8332</v>
      </c>
      <c r="C129" s="350" t="s">
        <v>12</v>
      </c>
      <c r="D129" s="350" t="s">
        <v>1525</v>
      </c>
      <c r="E129" s="887" t="s">
        <v>13</v>
      </c>
      <c r="F129" s="613">
        <v>53.652000000000001</v>
      </c>
      <c r="G129" s="982"/>
      <c r="H129" s="872"/>
      <c r="I129" s="1063"/>
      <c r="J129" s="622"/>
      <c r="K129" s="982"/>
      <c r="L129" s="622"/>
      <c r="M129" s="982"/>
      <c r="N129" s="622"/>
      <c r="O129" s="1063"/>
      <c r="P129" s="622"/>
      <c r="Q129" s="982"/>
      <c r="R129" s="1080" t="s">
        <v>8424</v>
      </c>
      <c r="S129" s="999"/>
      <c r="T129" s="878"/>
    </row>
    <row r="130" spans="1:42" s="224" customFormat="1" ht="15" customHeight="1" x14ac:dyDescent="0.25">
      <c r="A130" s="247">
        <v>45950</v>
      </c>
      <c r="B130" s="349" t="s">
        <v>8333</v>
      </c>
      <c r="C130" s="350" t="s">
        <v>12</v>
      </c>
      <c r="D130" s="350" t="s">
        <v>1525</v>
      </c>
      <c r="E130" s="887" t="s">
        <v>13</v>
      </c>
      <c r="F130" s="613">
        <v>75.444000000000003</v>
      </c>
      <c r="G130" s="982"/>
      <c r="H130" s="872"/>
      <c r="I130" s="1063"/>
      <c r="J130" s="622"/>
      <c r="K130" s="982"/>
      <c r="L130" s="622"/>
      <c r="M130" s="982"/>
      <c r="N130" s="622"/>
      <c r="O130" s="1063"/>
      <c r="P130" s="622"/>
      <c r="Q130" s="982"/>
      <c r="R130" s="1080" t="s">
        <v>8424</v>
      </c>
      <c r="S130" s="999"/>
      <c r="T130" s="878"/>
    </row>
    <row r="131" spans="1:42" s="224" customFormat="1" ht="15" customHeight="1" x14ac:dyDescent="0.25">
      <c r="A131" s="247">
        <v>45950</v>
      </c>
      <c r="B131" s="349" t="s">
        <v>8402</v>
      </c>
      <c r="C131" s="350" t="s">
        <v>12</v>
      </c>
      <c r="D131" s="350" t="s">
        <v>1525</v>
      </c>
      <c r="E131" s="887" t="s">
        <v>13</v>
      </c>
      <c r="F131" s="613">
        <v>105.67</v>
      </c>
      <c r="G131" s="982"/>
      <c r="H131" s="872"/>
      <c r="I131" s="1063"/>
      <c r="J131" s="622"/>
      <c r="K131" s="982"/>
      <c r="L131" s="622"/>
      <c r="M131" s="982"/>
      <c r="N131" s="622"/>
      <c r="O131" s="1063"/>
      <c r="P131" s="622"/>
      <c r="Q131" s="982"/>
      <c r="R131" s="1080" t="s">
        <v>8424</v>
      </c>
      <c r="S131" s="999"/>
      <c r="T131" s="878"/>
    </row>
    <row r="132" spans="1:42" s="224" customFormat="1" ht="15" customHeight="1" x14ac:dyDescent="0.25">
      <c r="A132" s="247">
        <v>45950</v>
      </c>
      <c r="B132" s="882" t="s">
        <v>6329</v>
      </c>
      <c r="C132" s="879" t="s">
        <v>12</v>
      </c>
      <c r="D132" s="879"/>
      <c r="E132" s="875" t="s">
        <v>25</v>
      </c>
      <c r="F132" s="780"/>
      <c r="G132" s="982">
        <v>125</v>
      </c>
      <c r="H132" s="1008"/>
      <c r="I132" s="1063"/>
      <c r="J132" s="613"/>
      <c r="K132" s="982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45950</v>
      </c>
      <c r="B133" s="882" t="s">
        <v>6814</v>
      </c>
      <c r="C133" s="879" t="s">
        <v>12</v>
      </c>
      <c r="D133" s="879"/>
      <c r="E133" s="875" t="s">
        <v>13</v>
      </c>
      <c r="F133" s="780"/>
      <c r="G133" s="982">
        <v>1527.61</v>
      </c>
      <c r="H133" s="1008"/>
      <c r="I133" s="1063"/>
      <c r="J133" s="622">
        <v>1527.61</v>
      </c>
      <c r="K133" s="982"/>
      <c r="L133" s="622"/>
      <c r="M133" s="982"/>
      <c r="N133" s="622"/>
      <c r="O133" s="1063"/>
      <c r="P133" s="622"/>
      <c r="Q133" s="982"/>
      <c r="R133" s="941"/>
    </row>
    <row r="134" spans="1:42" s="224" customFormat="1" ht="15" customHeight="1" x14ac:dyDescent="0.25">
      <c r="A134" s="247">
        <v>45950</v>
      </c>
      <c r="B134" s="882" t="s">
        <v>7700</v>
      </c>
      <c r="C134" s="879" t="s">
        <v>12</v>
      </c>
      <c r="D134" s="879"/>
      <c r="E134" s="875" t="s">
        <v>13</v>
      </c>
      <c r="F134" s="780">
        <v>300</v>
      </c>
      <c r="G134" s="982"/>
      <c r="H134" s="95"/>
      <c r="I134" s="1064"/>
      <c r="J134" s="622"/>
      <c r="K134" s="982">
        <v>300</v>
      </c>
      <c r="L134" s="622"/>
      <c r="M134" s="982"/>
      <c r="N134" s="622"/>
      <c r="O134" s="982"/>
      <c r="P134" s="622"/>
      <c r="Q134" s="982"/>
      <c r="R134" s="1210"/>
      <c r="S134" s="1038"/>
      <c r="T134" s="861"/>
    </row>
    <row r="135" spans="1:42" s="224" customFormat="1" ht="15" customHeight="1" x14ac:dyDescent="0.25">
      <c r="A135" s="247">
        <v>45950</v>
      </c>
      <c r="B135" s="882" t="s">
        <v>8425</v>
      </c>
      <c r="C135" s="879" t="s">
        <v>12</v>
      </c>
      <c r="D135" s="879"/>
      <c r="E135" s="875" t="s">
        <v>13</v>
      </c>
      <c r="F135" s="780">
        <v>200</v>
      </c>
      <c r="G135" s="982"/>
      <c r="H135" s="95"/>
      <c r="I135" s="1064"/>
      <c r="J135" s="622"/>
      <c r="K135" s="982"/>
      <c r="L135" s="622"/>
      <c r="M135" s="982"/>
      <c r="N135" s="622"/>
      <c r="O135" s="982">
        <v>200</v>
      </c>
      <c r="P135" s="622"/>
      <c r="Q135" s="982"/>
      <c r="R135" s="1210"/>
      <c r="S135" s="1038"/>
      <c r="T135" s="861"/>
    </row>
    <row r="136" spans="1:42" s="224" customFormat="1" ht="14.25" customHeight="1" x14ac:dyDescent="0.25">
      <c r="A136" s="247">
        <v>45950</v>
      </c>
      <c r="B136" s="882" t="s">
        <v>14</v>
      </c>
      <c r="C136" s="1276" t="s">
        <v>12</v>
      </c>
      <c r="D136" s="879" t="s">
        <v>1486</v>
      </c>
      <c r="E136" s="875" t="s">
        <v>13</v>
      </c>
      <c r="F136" s="780">
        <v>5.0199999999999996</v>
      </c>
      <c r="G136" s="982"/>
      <c r="H136" s="95"/>
      <c r="I136" s="1064"/>
      <c r="J136" s="613"/>
      <c r="K136" s="6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45951</v>
      </c>
      <c r="B137" s="1275" t="s">
        <v>8442</v>
      </c>
      <c r="C137" s="1276" t="s">
        <v>12</v>
      </c>
      <c r="D137" s="1276"/>
      <c r="E137" s="1286" t="s">
        <v>13</v>
      </c>
      <c r="F137" s="613">
        <v>124.74</v>
      </c>
      <c r="G137" s="967"/>
      <c r="H137" s="1008"/>
      <c r="I137" s="1063"/>
      <c r="J137" s="613"/>
      <c r="K137" s="6"/>
      <c r="L137" s="622"/>
      <c r="M137" s="982"/>
      <c r="N137" s="622"/>
      <c r="O137" s="1063"/>
      <c r="P137" s="613"/>
      <c r="Q137" s="64"/>
      <c r="R137" s="1024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</row>
    <row r="138" spans="1:42" s="224" customFormat="1" ht="15" customHeight="1" x14ac:dyDescent="0.25">
      <c r="A138" s="247">
        <v>45951</v>
      </c>
      <c r="B138" s="1275" t="s">
        <v>6755</v>
      </c>
      <c r="C138" s="1276" t="s">
        <v>12</v>
      </c>
      <c r="D138" s="1276"/>
      <c r="E138" s="1286"/>
      <c r="F138" s="613"/>
      <c r="G138" s="967">
        <v>124.74</v>
      </c>
      <c r="H138" s="1008"/>
      <c r="I138" s="1063"/>
      <c r="J138" s="613"/>
      <c r="K138" s="6"/>
      <c r="L138" s="622"/>
      <c r="M138" s="982"/>
      <c r="N138" s="622"/>
      <c r="O138" s="1063"/>
      <c r="P138" s="613"/>
      <c r="Q138" s="64"/>
      <c r="R138" s="1024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</row>
    <row r="139" spans="1:42" s="224" customFormat="1" ht="15" customHeight="1" x14ac:dyDescent="0.25">
      <c r="A139" s="247">
        <v>45951</v>
      </c>
      <c r="B139" s="1275" t="s">
        <v>32</v>
      </c>
      <c r="C139" s="1276" t="s">
        <v>12</v>
      </c>
      <c r="D139" s="1276" t="s">
        <v>1485</v>
      </c>
      <c r="E139" s="875" t="s">
        <v>13</v>
      </c>
      <c r="F139" s="780">
        <v>23</v>
      </c>
      <c r="G139" s="982"/>
      <c r="H139" s="622"/>
      <c r="I139" s="982"/>
      <c r="J139" s="622"/>
      <c r="K139" s="982"/>
      <c r="L139" s="622"/>
      <c r="M139" s="982"/>
      <c r="N139" s="880"/>
      <c r="O139" s="1525"/>
      <c r="P139" s="613"/>
      <c r="Q139" s="162"/>
      <c r="R139" s="1956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</row>
    <row r="140" spans="1:42" s="224" customFormat="1" ht="15" customHeight="1" x14ac:dyDescent="0.25">
      <c r="A140" s="247">
        <v>45951</v>
      </c>
      <c r="B140" s="882" t="s">
        <v>8395</v>
      </c>
      <c r="C140" s="1276" t="s">
        <v>12</v>
      </c>
      <c r="D140" s="879" t="s">
        <v>1506</v>
      </c>
      <c r="E140" s="875" t="s">
        <v>13</v>
      </c>
      <c r="F140" s="780">
        <v>75</v>
      </c>
      <c r="G140" s="982"/>
      <c r="H140" s="622"/>
      <c r="I140" s="982"/>
      <c r="J140" s="622"/>
      <c r="K140" s="982"/>
      <c r="L140" s="622"/>
      <c r="M140" s="982"/>
      <c r="N140" s="880"/>
      <c r="O140" s="1525"/>
      <c r="P140" s="613"/>
      <c r="Q140" s="162"/>
      <c r="R140" s="1956" t="s">
        <v>7137</v>
      </c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</row>
    <row r="141" spans="1:42" s="224" customFormat="1" ht="15" customHeight="1" x14ac:dyDescent="0.25">
      <c r="A141" s="247">
        <v>45951</v>
      </c>
      <c r="B141" s="882" t="s">
        <v>8396</v>
      </c>
      <c r="C141" s="1276" t="s">
        <v>12</v>
      </c>
      <c r="D141" s="879" t="s">
        <v>1506</v>
      </c>
      <c r="E141" s="875" t="s">
        <v>13</v>
      </c>
      <c r="F141" s="780">
        <v>70</v>
      </c>
      <c r="G141" s="982"/>
      <c r="H141" s="622"/>
      <c r="I141" s="982"/>
      <c r="J141" s="622"/>
      <c r="K141" s="982"/>
      <c r="L141" s="622"/>
      <c r="M141" s="982"/>
      <c r="N141" s="880"/>
      <c r="O141" s="1525"/>
      <c r="P141" s="613"/>
      <c r="Q141" s="162"/>
      <c r="R141" s="1956" t="s">
        <v>7137</v>
      </c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</row>
    <row r="142" spans="1:42" s="224" customFormat="1" ht="14.25" customHeight="1" x14ac:dyDescent="0.25">
      <c r="A142" s="247">
        <v>45951</v>
      </c>
      <c r="B142" s="882" t="s">
        <v>14</v>
      </c>
      <c r="C142" s="1276" t="s">
        <v>12</v>
      </c>
      <c r="D142" s="879" t="s">
        <v>1486</v>
      </c>
      <c r="E142" s="875" t="s">
        <v>13</v>
      </c>
      <c r="F142" s="780">
        <v>5.26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622"/>
      <c r="Q142" s="982"/>
      <c r="R142" s="861"/>
    </row>
    <row r="143" spans="1:42" s="224" customFormat="1" ht="15" customHeight="1" x14ac:dyDescent="0.25">
      <c r="A143" s="247">
        <v>45951</v>
      </c>
      <c r="B143" s="364" t="s">
        <v>8446</v>
      </c>
      <c r="C143" s="350" t="s">
        <v>12</v>
      </c>
      <c r="D143" s="350" t="s">
        <v>6731</v>
      </c>
      <c r="E143" s="875" t="s">
        <v>15</v>
      </c>
      <c r="F143" s="780">
        <v>37</v>
      </c>
      <c r="G143" s="982"/>
      <c r="H143" s="1008"/>
      <c r="I143" s="1063"/>
      <c r="J143" s="1116"/>
      <c r="K143" s="1207"/>
      <c r="L143" s="622"/>
      <c r="M143" s="982"/>
      <c r="N143" s="622"/>
      <c r="O143" s="1063"/>
      <c r="P143" s="622"/>
      <c r="Q143" s="982"/>
      <c r="R143" s="861"/>
      <c r="T143" s="1035"/>
    </row>
    <row r="144" spans="1:42" s="224" customFormat="1" ht="15" customHeight="1" x14ac:dyDescent="0.25">
      <c r="A144" s="247">
        <v>45951</v>
      </c>
      <c r="B144" s="364" t="s">
        <v>8447</v>
      </c>
      <c r="C144" s="350" t="s">
        <v>12</v>
      </c>
      <c r="D144" s="350" t="s">
        <v>6731</v>
      </c>
      <c r="E144" s="875" t="s">
        <v>15</v>
      </c>
      <c r="F144" s="780">
        <v>7</v>
      </c>
      <c r="G144" s="982"/>
      <c r="H144" s="1008"/>
      <c r="I144" s="1063"/>
      <c r="J144" s="1116"/>
      <c r="K144" s="1207"/>
      <c r="L144" s="622"/>
      <c r="M144" s="982"/>
      <c r="N144" s="622"/>
      <c r="O144" s="1063"/>
      <c r="P144" s="622"/>
      <c r="Q144" s="982"/>
      <c r="R144" s="861"/>
      <c r="T144" s="1035"/>
    </row>
    <row r="145" spans="1:42" s="224" customFormat="1" ht="15" customHeight="1" x14ac:dyDescent="0.25">
      <c r="A145" s="247">
        <v>45951</v>
      </c>
      <c r="B145" s="882" t="s">
        <v>8026</v>
      </c>
      <c r="C145" s="1276" t="s">
        <v>12</v>
      </c>
      <c r="D145" s="879" t="s">
        <v>6731</v>
      </c>
      <c r="E145" s="875" t="s">
        <v>13</v>
      </c>
      <c r="F145" s="780">
        <v>7</v>
      </c>
      <c r="G145" s="982"/>
      <c r="H145" s="622"/>
      <c r="I145" s="982"/>
      <c r="J145" s="622"/>
      <c r="K145" s="982"/>
      <c r="L145" s="622"/>
      <c r="M145" s="982"/>
      <c r="N145" s="880"/>
      <c r="O145" s="1525"/>
      <c r="P145" s="613"/>
      <c r="Q145" s="162"/>
      <c r="R145" s="1956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</row>
    <row r="146" spans="1:42" s="224" customFormat="1" ht="15" customHeight="1" x14ac:dyDescent="0.25">
      <c r="A146" s="247">
        <v>45951</v>
      </c>
      <c r="B146" s="882" t="s">
        <v>2629</v>
      </c>
      <c r="C146" s="1276" t="s">
        <v>12</v>
      </c>
      <c r="D146" s="879" t="s">
        <v>1489</v>
      </c>
      <c r="E146" s="875" t="s">
        <v>5470</v>
      </c>
      <c r="F146" s="780">
        <v>90</v>
      </c>
      <c r="G146" s="982"/>
      <c r="H146" s="622"/>
      <c r="I146" s="982"/>
      <c r="J146" s="622"/>
      <c r="K146" s="982"/>
      <c r="L146" s="622"/>
      <c r="M146" s="982"/>
      <c r="N146" s="880"/>
      <c r="O146" s="1525"/>
      <c r="P146" s="613"/>
      <c r="Q146" s="162"/>
      <c r="R146" s="195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</row>
    <row r="147" spans="1:42" s="224" customFormat="1" ht="15" customHeight="1" x14ac:dyDescent="0.25">
      <c r="A147" s="247">
        <v>45951</v>
      </c>
      <c r="B147" s="882" t="s">
        <v>2629</v>
      </c>
      <c r="C147" s="1276" t="s">
        <v>12</v>
      </c>
      <c r="D147" s="879" t="s">
        <v>1489</v>
      </c>
      <c r="E147" s="875" t="s">
        <v>15</v>
      </c>
      <c r="F147" s="780">
        <v>50</v>
      </c>
      <c r="G147" s="982"/>
      <c r="H147" s="622"/>
      <c r="I147" s="982"/>
      <c r="J147" s="622"/>
      <c r="K147" s="982"/>
      <c r="L147" s="622"/>
      <c r="M147" s="982"/>
      <c r="N147" s="880"/>
      <c r="O147" s="1525"/>
      <c r="P147" s="613"/>
      <c r="Q147" s="162"/>
      <c r="R147" s="1956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</row>
    <row r="148" spans="1:42" s="224" customFormat="1" ht="15" customHeight="1" x14ac:dyDescent="0.25">
      <c r="A148" s="247">
        <v>45951</v>
      </c>
      <c r="B148" s="882" t="s">
        <v>2629</v>
      </c>
      <c r="C148" s="1276" t="s">
        <v>12</v>
      </c>
      <c r="D148" s="879" t="s">
        <v>1489</v>
      </c>
      <c r="E148" s="875" t="s">
        <v>13</v>
      </c>
      <c r="F148" s="780">
        <v>19.16</v>
      </c>
      <c r="G148" s="982"/>
      <c r="H148" s="622"/>
      <c r="I148" s="982"/>
      <c r="J148" s="622"/>
      <c r="K148" s="982"/>
      <c r="L148" s="622"/>
      <c r="M148" s="982"/>
      <c r="N148" s="880"/>
      <c r="O148" s="1525"/>
      <c r="P148" s="613"/>
      <c r="Q148" s="162"/>
      <c r="R148" s="1956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</row>
    <row r="149" spans="1:42" s="224" customFormat="1" ht="15" customHeight="1" x14ac:dyDescent="0.25">
      <c r="A149" s="247">
        <v>45951</v>
      </c>
      <c r="B149" s="882" t="s">
        <v>2629</v>
      </c>
      <c r="C149" s="1276" t="s">
        <v>12</v>
      </c>
      <c r="D149" s="879" t="s">
        <v>1489</v>
      </c>
      <c r="E149" s="875" t="s">
        <v>13</v>
      </c>
      <c r="F149" s="780">
        <v>18.36</v>
      </c>
      <c r="G149" s="982"/>
      <c r="H149" s="622"/>
      <c r="I149" s="982"/>
      <c r="J149" s="622"/>
      <c r="K149" s="982"/>
      <c r="L149" s="622"/>
      <c r="M149" s="982"/>
      <c r="N149" s="880"/>
      <c r="O149" s="1525"/>
      <c r="P149" s="613"/>
      <c r="Q149" s="162"/>
      <c r="R149" s="1956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</row>
    <row r="150" spans="1:42" s="224" customFormat="1" ht="15" customHeight="1" x14ac:dyDescent="0.25">
      <c r="A150" s="247">
        <v>45952</v>
      </c>
      <c r="B150" s="1275" t="s">
        <v>32</v>
      </c>
      <c r="C150" s="1276" t="s">
        <v>12</v>
      </c>
      <c r="D150" s="1276" t="s">
        <v>1485</v>
      </c>
      <c r="E150" s="875" t="s">
        <v>13</v>
      </c>
      <c r="F150" s="780">
        <v>23</v>
      </c>
      <c r="G150" s="982"/>
      <c r="H150" s="622"/>
      <c r="I150" s="982"/>
      <c r="J150" s="622"/>
      <c r="K150" s="982"/>
      <c r="L150" s="622"/>
      <c r="M150" s="982"/>
      <c r="N150" s="880"/>
      <c r="O150" s="1525"/>
      <c r="P150" s="613"/>
      <c r="Q150" s="162"/>
      <c r="R150" s="1956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</row>
    <row r="151" spans="1:42" s="224" customFormat="1" ht="15" customHeight="1" x14ac:dyDescent="0.25">
      <c r="A151" s="247">
        <v>45953</v>
      </c>
      <c r="B151" s="1275" t="s">
        <v>32</v>
      </c>
      <c r="C151" s="1276" t="s">
        <v>12</v>
      </c>
      <c r="D151" s="1276" t="s">
        <v>1485</v>
      </c>
      <c r="E151" s="875" t="s">
        <v>13</v>
      </c>
      <c r="F151" s="780">
        <v>23</v>
      </c>
      <c r="G151" s="982"/>
      <c r="H151" s="622"/>
      <c r="I151" s="982"/>
      <c r="J151" s="622"/>
      <c r="K151" s="982"/>
      <c r="L151" s="622"/>
      <c r="M151" s="982"/>
      <c r="N151" s="880"/>
      <c r="O151" s="1525"/>
      <c r="P151" s="613"/>
      <c r="Q151" s="162"/>
      <c r="R151" s="1956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</row>
    <row r="152" spans="1:42" s="224" customFormat="1" ht="15" customHeight="1" x14ac:dyDescent="0.25">
      <c r="A152" s="247">
        <v>45953</v>
      </c>
      <c r="B152" s="882" t="s">
        <v>81</v>
      </c>
      <c r="C152" s="879" t="s">
        <v>12</v>
      </c>
      <c r="D152" s="879" t="s">
        <v>1493</v>
      </c>
      <c r="E152" s="875" t="s">
        <v>13</v>
      </c>
      <c r="F152" s="780">
        <v>5</v>
      </c>
      <c r="G152" s="982"/>
      <c r="H152" s="1008"/>
      <c r="I152" s="1063"/>
      <c r="J152" s="613"/>
      <c r="K152" s="982"/>
      <c r="L152" s="622"/>
      <c r="M152" s="982"/>
      <c r="N152" s="622"/>
      <c r="O152" s="1063"/>
      <c r="P152" s="622"/>
      <c r="Q152" s="982"/>
      <c r="R152" s="861"/>
    </row>
    <row r="153" spans="1:42" s="224" customFormat="1" ht="15" customHeight="1" x14ac:dyDescent="0.25">
      <c r="A153" s="247">
        <v>45954</v>
      </c>
      <c r="B153" s="882" t="s">
        <v>8448</v>
      </c>
      <c r="C153" s="879" t="s">
        <v>12</v>
      </c>
      <c r="D153" s="879" t="s">
        <v>1489</v>
      </c>
      <c r="E153" s="871" t="s">
        <v>13</v>
      </c>
      <c r="F153" s="780">
        <v>70</v>
      </c>
      <c r="G153" s="982"/>
      <c r="H153" s="95"/>
      <c r="I153" s="1064"/>
      <c r="J153" s="613"/>
      <c r="K153" s="6"/>
      <c r="L153" s="622"/>
      <c r="M153" s="982"/>
      <c r="N153" s="622"/>
      <c r="O153" s="1063"/>
      <c r="P153" s="622"/>
      <c r="Q153" s="982"/>
      <c r="R153" s="861"/>
    </row>
    <row r="154" spans="1:42" s="224" customFormat="1" ht="15" customHeight="1" x14ac:dyDescent="0.25">
      <c r="A154" s="247">
        <v>45954</v>
      </c>
      <c r="B154" s="882" t="s">
        <v>82</v>
      </c>
      <c r="C154" s="879" t="s">
        <v>12</v>
      </c>
      <c r="D154" s="879" t="s">
        <v>1493</v>
      </c>
      <c r="E154" s="875" t="s">
        <v>13</v>
      </c>
      <c r="F154" s="780">
        <v>57.8</v>
      </c>
      <c r="G154" s="982"/>
      <c r="H154" s="95"/>
      <c r="I154" s="1064"/>
      <c r="J154" s="613"/>
      <c r="K154" s="6"/>
      <c r="L154" s="622"/>
      <c r="M154" s="982"/>
      <c r="N154" s="622"/>
      <c r="O154" s="1063"/>
      <c r="P154" s="622"/>
      <c r="Q154" s="982"/>
      <c r="R154" s="861"/>
    </row>
    <row r="155" spans="1:42" s="224" customFormat="1" ht="15" customHeight="1" x14ac:dyDescent="0.25">
      <c r="A155" s="247">
        <v>45955</v>
      </c>
      <c r="B155" s="882" t="s">
        <v>8058</v>
      </c>
      <c r="C155" s="879" t="s">
        <v>12</v>
      </c>
      <c r="D155" s="879" t="s">
        <v>6731</v>
      </c>
      <c r="E155" s="875" t="s">
        <v>13</v>
      </c>
      <c r="F155" s="780">
        <v>30</v>
      </c>
      <c r="G155" s="982"/>
      <c r="H155" s="622"/>
      <c r="I155" s="982"/>
      <c r="J155" s="1116"/>
      <c r="K155" s="1207"/>
      <c r="L155" s="622"/>
      <c r="M155" s="982"/>
      <c r="N155" s="622"/>
      <c r="O155" s="1063"/>
      <c r="P155" s="880"/>
      <c r="Q155" s="1033"/>
      <c r="R155" s="927"/>
      <c r="T155" s="878"/>
    </row>
    <row r="156" spans="1:42" s="224" customFormat="1" ht="15" customHeight="1" x14ac:dyDescent="0.25">
      <c r="A156" s="247">
        <v>45955</v>
      </c>
      <c r="B156" s="1275" t="s">
        <v>32</v>
      </c>
      <c r="C156" s="1276" t="s">
        <v>12</v>
      </c>
      <c r="D156" s="1276" t="s">
        <v>1485</v>
      </c>
      <c r="E156" s="875" t="s">
        <v>13</v>
      </c>
      <c r="F156" s="780">
        <v>20</v>
      </c>
      <c r="G156" s="982"/>
      <c r="H156" s="622"/>
      <c r="I156" s="982"/>
      <c r="J156" s="622"/>
      <c r="K156" s="982"/>
      <c r="L156" s="622"/>
      <c r="M156" s="982"/>
      <c r="N156" s="880"/>
      <c r="O156" s="1525"/>
      <c r="P156" s="613"/>
      <c r="Q156" s="162"/>
      <c r="R156" s="19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</row>
    <row r="157" spans="1:42" s="224" customFormat="1" ht="15" customHeight="1" x14ac:dyDescent="0.25">
      <c r="A157" s="247">
        <v>45955</v>
      </c>
      <c r="B157" s="882" t="s">
        <v>8193</v>
      </c>
      <c r="C157" s="879" t="s">
        <v>12</v>
      </c>
      <c r="D157" s="879" t="s">
        <v>1489</v>
      </c>
      <c r="E157" s="875" t="s">
        <v>13</v>
      </c>
      <c r="F157" s="780">
        <v>10.029999999999999</v>
      </c>
      <c r="G157" s="982"/>
      <c r="H157" s="622"/>
      <c r="I157" s="982"/>
      <c r="J157" s="1116"/>
      <c r="K157" s="1207"/>
      <c r="L157" s="622"/>
      <c r="M157" s="982"/>
      <c r="N157" s="622"/>
      <c r="O157" s="1063"/>
      <c r="P157" s="880"/>
      <c r="Q157" s="1033"/>
      <c r="R157" s="927"/>
      <c r="T157" s="878"/>
    </row>
    <row r="158" spans="1:42" s="224" customFormat="1" ht="14.25" customHeight="1" x14ac:dyDescent="0.25">
      <c r="A158" s="247">
        <v>45956</v>
      </c>
      <c r="B158" s="882" t="s">
        <v>14</v>
      </c>
      <c r="C158" s="1276" t="s">
        <v>12</v>
      </c>
      <c r="D158" s="879" t="s">
        <v>1486</v>
      </c>
      <c r="E158" s="875" t="s">
        <v>13</v>
      </c>
      <c r="F158" s="780">
        <v>6.87</v>
      </c>
      <c r="G158" s="982"/>
      <c r="H158" s="95"/>
      <c r="I158" s="1064"/>
      <c r="J158" s="613"/>
      <c r="K158" s="6"/>
      <c r="L158" s="622"/>
      <c r="M158" s="982"/>
      <c r="N158" s="622"/>
      <c r="O158" s="1063"/>
      <c r="P158" s="622"/>
      <c r="Q158" s="982"/>
      <c r="R158" s="861"/>
    </row>
    <row r="159" spans="1:42" s="224" customFormat="1" ht="15" customHeight="1" x14ac:dyDescent="0.25">
      <c r="A159" s="247">
        <v>45956</v>
      </c>
      <c r="B159" s="882" t="s">
        <v>2392</v>
      </c>
      <c r="C159" s="879" t="s">
        <v>12</v>
      </c>
      <c r="D159" s="879" t="s">
        <v>1489</v>
      </c>
      <c r="E159" s="875" t="s">
        <v>15</v>
      </c>
      <c r="F159" s="780">
        <v>20</v>
      </c>
      <c r="G159" s="982"/>
      <c r="H159" s="622"/>
      <c r="I159" s="982"/>
      <c r="J159" s="1116"/>
      <c r="K159" s="1207"/>
      <c r="L159" s="622"/>
      <c r="M159" s="982"/>
      <c r="N159" s="622"/>
      <c r="O159" s="1063"/>
      <c r="P159" s="880"/>
      <c r="Q159" s="1033"/>
      <c r="R159" s="927"/>
      <c r="T159" s="878"/>
    </row>
    <row r="160" spans="1:42" s="224" customFormat="1" ht="15" customHeight="1" x14ac:dyDescent="0.25">
      <c r="A160" s="247">
        <v>45957</v>
      </c>
      <c r="B160" s="1275" t="s">
        <v>2789</v>
      </c>
      <c r="C160" s="1276" t="s">
        <v>12</v>
      </c>
      <c r="D160" s="1276" t="s">
        <v>1485</v>
      </c>
      <c r="E160" s="871" t="s">
        <v>13</v>
      </c>
      <c r="F160" s="780">
        <v>15</v>
      </c>
      <c r="G160" s="982"/>
      <c r="H160" s="95"/>
      <c r="I160" s="1064"/>
      <c r="J160" s="613"/>
      <c r="K160" s="6"/>
      <c r="L160" s="622"/>
      <c r="M160" s="982"/>
      <c r="N160" s="622"/>
      <c r="O160" s="1063"/>
      <c r="P160" s="1110"/>
      <c r="Q160" s="1208"/>
      <c r="R160" s="1028"/>
      <c r="U160" s="958"/>
    </row>
    <row r="161" spans="1:42" s="224" customFormat="1" ht="15" customHeight="1" x14ac:dyDescent="0.25">
      <c r="A161" s="247">
        <v>45957</v>
      </c>
      <c r="B161" s="882" t="s">
        <v>8456</v>
      </c>
      <c r="C161" s="879" t="s">
        <v>12</v>
      </c>
      <c r="D161" s="879" t="s">
        <v>1489</v>
      </c>
      <c r="E161" s="871" t="s">
        <v>13</v>
      </c>
      <c r="F161" s="780">
        <v>10.34</v>
      </c>
      <c r="G161" s="982"/>
      <c r="H161" s="95"/>
      <c r="I161" s="1064"/>
      <c r="J161" s="622"/>
      <c r="K161" s="982"/>
      <c r="L161" s="622"/>
      <c r="M161" s="982"/>
      <c r="N161" s="622"/>
      <c r="O161" s="1063"/>
      <c r="P161" s="622"/>
      <c r="Q161" s="982"/>
      <c r="R161" s="1028"/>
      <c r="U161" s="958"/>
    </row>
    <row r="162" spans="1:42" s="224" customFormat="1" ht="15" customHeight="1" x14ac:dyDescent="0.25">
      <c r="A162" s="247">
        <v>45957</v>
      </c>
      <c r="B162" s="882" t="s">
        <v>8457</v>
      </c>
      <c r="C162" s="879" t="s">
        <v>12</v>
      </c>
      <c r="D162" s="879" t="s">
        <v>6731</v>
      </c>
      <c r="E162" s="871" t="s">
        <v>13</v>
      </c>
      <c r="F162" s="780">
        <v>13.84</v>
      </c>
      <c r="G162" s="982"/>
      <c r="H162" s="95"/>
      <c r="I162" s="1064"/>
      <c r="J162" s="622"/>
      <c r="K162" s="982"/>
      <c r="L162" s="622"/>
      <c r="M162" s="982"/>
      <c r="N162" s="622"/>
      <c r="O162" s="1063"/>
      <c r="P162" s="622"/>
      <c r="Q162" s="982"/>
      <c r="R162" s="1028"/>
      <c r="U162" s="958"/>
    </row>
    <row r="163" spans="1:42" s="224" customFormat="1" ht="15" customHeight="1" x14ac:dyDescent="0.25">
      <c r="A163" s="247">
        <v>45957</v>
      </c>
      <c r="B163" s="882" t="s">
        <v>14</v>
      </c>
      <c r="C163" s="1276" t="s">
        <v>12</v>
      </c>
      <c r="D163" s="879" t="s">
        <v>1486</v>
      </c>
      <c r="E163" s="875" t="s">
        <v>13</v>
      </c>
      <c r="F163" s="780">
        <v>4.2300000000000004</v>
      </c>
      <c r="G163" s="982"/>
      <c r="H163" s="95"/>
      <c r="I163" s="1064"/>
      <c r="J163" s="622"/>
      <c r="K163" s="982"/>
      <c r="L163" s="622"/>
      <c r="M163" s="982"/>
      <c r="N163" s="622"/>
      <c r="O163" s="1063"/>
      <c r="P163" s="622"/>
      <c r="Q163" s="982"/>
      <c r="R163" s="1028"/>
      <c r="U163" s="958"/>
    </row>
    <row r="164" spans="1:42" s="224" customFormat="1" ht="15" customHeight="1" x14ac:dyDescent="0.25">
      <c r="A164" s="247">
        <v>45957</v>
      </c>
      <c r="B164" s="882" t="s">
        <v>8461</v>
      </c>
      <c r="C164" s="879" t="s">
        <v>12</v>
      </c>
      <c r="D164" s="879" t="s">
        <v>6731</v>
      </c>
      <c r="E164" s="871" t="s">
        <v>13</v>
      </c>
      <c r="F164" s="780">
        <v>3</v>
      </c>
      <c r="G164" s="982"/>
      <c r="H164" s="95"/>
      <c r="I164" s="1064"/>
      <c r="J164" s="622"/>
      <c r="K164" s="982"/>
      <c r="L164" s="622"/>
      <c r="M164" s="982"/>
      <c r="N164" s="622"/>
      <c r="O164" s="1063"/>
      <c r="P164" s="622"/>
      <c r="Q164" s="982"/>
      <c r="R164" s="1028"/>
      <c r="U164" s="958"/>
    </row>
    <row r="165" spans="1:42" s="224" customFormat="1" ht="15" customHeight="1" x14ac:dyDescent="0.25">
      <c r="A165" s="247">
        <v>45958</v>
      </c>
      <c r="B165" s="1275" t="s">
        <v>32</v>
      </c>
      <c r="C165" s="1276" t="s">
        <v>12</v>
      </c>
      <c r="D165" s="1276" t="s">
        <v>1485</v>
      </c>
      <c r="E165" s="875" t="s">
        <v>13</v>
      </c>
      <c r="F165" s="780">
        <v>23</v>
      </c>
      <c r="G165" s="982"/>
      <c r="H165" s="622"/>
      <c r="I165" s="982"/>
      <c r="J165" s="622"/>
      <c r="K165" s="982"/>
      <c r="L165" s="622"/>
      <c r="M165" s="982"/>
      <c r="N165" s="880"/>
      <c r="O165" s="1525"/>
      <c r="P165" s="613"/>
      <c r="Q165" s="162"/>
      <c r="R165" s="1956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</row>
    <row r="166" spans="1:42" s="224" customFormat="1" ht="15" customHeight="1" x14ac:dyDescent="0.25">
      <c r="A166" s="247">
        <v>45958</v>
      </c>
      <c r="B166" s="882" t="s">
        <v>6329</v>
      </c>
      <c r="C166" s="879" t="s">
        <v>12</v>
      </c>
      <c r="D166" s="879"/>
      <c r="E166" s="875" t="s">
        <v>25</v>
      </c>
      <c r="F166" s="780"/>
      <c r="G166" s="982">
        <v>125</v>
      </c>
      <c r="H166" s="1008"/>
      <c r="I166" s="1063"/>
      <c r="J166" s="613"/>
      <c r="K166" s="982"/>
      <c r="L166" s="622"/>
      <c r="M166" s="982"/>
      <c r="N166" s="622"/>
      <c r="O166" s="1063"/>
      <c r="P166" s="622"/>
      <c r="Q166" s="982"/>
      <c r="R166" s="861"/>
    </row>
    <row r="167" spans="1:42" s="224" customFormat="1" ht="15" customHeight="1" x14ac:dyDescent="0.25">
      <c r="A167" s="247">
        <v>45958</v>
      </c>
      <c r="B167" s="882" t="s">
        <v>14</v>
      </c>
      <c r="C167" s="1276" t="s">
        <v>12</v>
      </c>
      <c r="D167" s="879" t="s">
        <v>1486</v>
      </c>
      <c r="E167" s="875" t="s">
        <v>13</v>
      </c>
      <c r="F167" s="780">
        <v>4.78</v>
      </c>
      <c r="G167" s="982"/>
      <c r="H167" s="95"/>
      <c r="I167" s="1064"/>
      <c r="J167" s="622"/>
      <c r="K167" s="982"/>
      <c r="L167" s="622"/>
      <c r="M167" s="982"/>
      <c r="N167" s="622"/>
      <c r="O167" s="1063"/>
      <c r="P167" s="622"/>
      <c r="Q167" s="982"/>
      <c r="R167" s="1028"/>
      <c r="U167" s="958"/>
    </row>
    <row r="168" spans="1:42" s="224" customFormat="1" ht="15" customHeight="1" x14ac:dyDescent="0.25">
      <c r="A168" s="247">
        <v>45958</v>
      </c>
      <c r="B168" s="882" t="s">
        <v>2629</v>
      </c>
      <c r="C168" s="879" t="s">
        <v>12</v>
      </c>
      <c r="D168" s="879" t="s">
        <v>1489</v>
      </c>
      <c r="E168" s="875" t="s">
        <v>15</v>
      </c>
      <c r="F168" s="780">
        <v>21.97</v>
      </c>
      <c r="G168" s="982"/>
      <c r="H168" s="622"/>
      <c r="I168" s="982"/>
      <c r="J168" s="872"/>
      <c r="K168" s="1207"/>
      <c r="L168" s="622"/>
      <c r="M168" s="982"/>
      <c r="N168" s="622"/>
      <c r="O168" s="1063"/>
      <c r="P168" s="622"/>
      <c r="Q168" s="982"/>
      <c r="R168" s="1028"/>
      <c r="S168" s="959"/>
      <c r="T168" s="878"/>
      <c r="U168" s="958"/>
    </row>
    <row r="169" spans="1:42" s="224" customFormat="1" ht="15" customHeight="1" x14ac:dyDescent="0.25">
      <c r="A169" s="247">
        <v>45958</v>
      </c>
      <c r="B169" s="882" t="s">
        <v>8463</v>
      </c>
      <c r="C169" s="879" t="s">
        <v>12</v>
      </c>
      <c r="D169" s="879" t="s">
        <v>1506</v>
      </c>
      <c r="E169" s="875" t="s">
        <v>15</v>
      </c>
      <c r="F169" s="780">
        <v>50</v>
      </c>
      <c r="G169" s="982"/>
      <c r="H169" s="622"/>
      <c r="I169" s="982"/>
      <c r="J169" s="872"/>
      <c r="K169" s="1207"/>
      <c r="L169" s="622"/>
      <c r="M169" s="982"/>
      <c r="N169" s="622"/>
      <c r="O169" s="1063"/>
      <c r="P169" s="622"/>
      <c r="Q169" s="982"/>
      <c r="R169" s="1028"/>
      <c r="S169" s="959"/>
      <c r="T169" s="878"/>
      <c r="U169" s="958"/>
    </row>
    <row r="170" spans="1:42" s="224" customFormat="1" ht="15" customHeight="1" x14ac:dyDescent="0.25">
      <c r="A170" s="247">
        <v>45958</v>
      </c>
      <c r="B170" s="882" t="s">
        <v>23</v>
      </c>
      <c r="C170" s="879" t="s">
        <v>12</v>
      </c>
      <c r="D170" s="879" t="s">
        <v>1489</v>
      </c>
      <c r="E170" s="875" t="s">
        <v>13</v>
      </c>
      <c r="F170" s="780">
        <v>17</v>
      </c>
      <c r="G170" s="982"/>
      <c r="H170" s="622"/>
      <c r="I170" s="982"/>
      <c r="J170" s="872"/>
      <c r="K170" s="1207"/>
      <c r="L170" s="622"/>
      <c r="M170" s="982"/>
      <c r="N170" s="622"/>
      <c r="O170" s="1063"/>
      <c r="P170" s="622"/>
      <c r="Q170" s="982"/>
      <c r="R170" s="1028"/>
      <c r="S170" s="959"/>
      <c r="T170" s="878"/>
      <c r="U170" s="958"/>
    </row>
    <row r="171" spans="1:42" s="224" customFormat="1" ht="15" customHeight="1" x14ac:dyDescent="0.25">
      <c r="A171" s="247">
        <v>45959</v>
      </c>
      <c r="B171" s="1275" t="s">
        <v>32</v>
      </c>
      <c r="C171" s="1276" t="s">
        <v>12</v>
      </c>
      <c r="D171" s="1276" t="s">
        <v>1485</v>
      </c>
      <c r="E171" s="875" t="s">
        <v>13</v>
      </c>
      <c r="F171" s="780">
        <v>23</v>
      </c>
      <c r="G171" s="982"/>
      <c r="H171" s="622"/>
      <c r="I171" s="982"/>
      <c r="J171" s="622"/>
      <c r="K171" s="982"/>
      <c r="L171" s="622"/>
      <c r="M171" s="982"/>
      <c r="N171" s="880"/>
      <c r="O171" s="1525"/>
      <c r="P171" s="613"/>
      <c r="Q171" s="162"/>
      <c r="R171" s="1956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</row>
    <row r="172" spans="1:42" s="224" customFormat="1" ht="15" customHeight="1" x14ac:dyDescent="0.25">
      <c r="A172" s="247">
        <v>45959</v>
      </c>
      <c r="B172" s="882" t="s">
        <v>14</v>
      </c>
      <c r="C172" s="1276" t="s">
        <v>12</v>
      </c>
      <c r="D172" s="879" t="s">
        <v>1486</v>
      </c>
      <c r="E172" s="875" t="s">
        <v>13</v>
      </c>
      <c r="F172" s="780">
        <v>4.4400000000000004</v>
      </c>
      <c r="G172" s="982"/>
      <c r="H172" s="622"/>
      <c r="I172" s="982"/>
      <c r="J172" s="622"/>
      <c r="K172" s="982"/>
      <c r="L172" s="622"/>
      <c r="M172" s="982"/>
      <c r="N172" s="880"/>
      <c r="O172" s="1525"/>
      <c r="P172" s="613"/>
      <c r="Q172" s="162"/>
      <c r="R172" s="1956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</row>
    <row r="173" spans="1:42" s="224" customFormat="1" ht="15" customHeight="1" x14ac:dyDescent="0.25">
      <c r="A173" s="247">
        <v>45959</v>
      </c>
      <c r="B173" s="882" t="s">
        <v>8378</v>
      </c>
      <c r="C173" s="1276" t="s">
        <v>12</v>
      </c>
      <c r="D173" s="879" t="s">
        <v>6731</v>
      </c>
      <c r="E173" s="875" t="s">
        <v>13</v>
      </c>
      <c r="F173" s="780">
        <v>5</v>
      </c>
      <c r="G173" s="982"/>
      <c r="H173" s="622"/>
      <c r="I173" s="982"/>
      <c r="J173" s="622"/>
      <c r="K173" s="982"/>
      <c r="L173" s="622"/>
      <c r="M173" s="982"/>
      <c r="N173" s="880"/>
      <c r="O173" s="1525"/>
      <c r="P173" s="613"/>
      <c r="Q173" s="162"/>
      <c r="R173" s="1956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</row>
    <row r="174" spans="1:42" s="224" customFormat="1" ht="15" customHeight="1" x14ac:dyDescent="0.25">
      <c r="A174" s="247">
        <v>45959</v>
      </c>
      <c r="B174" s="882" t="s">
        <v>2251</v>
      </c>
      <c r="C174" s="1276" t="s">
        <v>12</v>
      </c>
      <c r="D174" s="879" t="s">
        <v>2157</v>
      </c>
      <c r="E174" s="875" t="s">
        <v>15</v>
      </c>
      <c r="F174" s="780">
        <v>20</v>
      </c>
      <c r="G174" s="982"/>
      <c r="H174" s="622"/>
      <c r="I174" s="982"/>
      <c r="J174" s="622"/>
      <c r="K174" s="982"/>
      <c r="L174" s="622"/>
      <c r="M174" s="982"/>
      <c r="N174" s="880"/>
      <c r="O174" s="1525"/>
      <c r="P174" s="613"/>
      <c r="Q174" s="162"/>
      <c r="R174" s="1956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</row>
    <row r="175" spans="1:42" s="224" customFormat="1" ht="15" customHeight="1" x14ac:dyDescent="0.25">
      <c r="A175" s="247">
        <v>45960</v>
      </c>
      <c r="B175" s="364"/>
      <c r="C175" s="350"/>
      <c r="D175" s="350"/>
      <c r="E175" s="875"/>
      <c r="F175" s="780"/>
      <c r="G175" s="982"/>
      <c r="H175" s="1008"/>
      <c r="I175" s="1063"/>
      <c r="J175" s="1116"/>
      <c r="K175" s="1207"/>
      <c r="L175" s="622"/>
      <c r="M175" s="982"/>
      <c r="N175" s="622"/>
      <c r="O175" s="1063"/>
      <c r="P175" s="622"/>
      <c r="Q175" s="982"/>
      <c r="R175" s="861"/>
      <c r="T175" s="1035"/>
    </row>
    <row r="176" spans="1:42" s="224" customFormat="1" ht="15" customHeight="1" x14ac:dyDescent="0.25">
      <c r="A176" s="247">
        <v>45961</v>
      </c>
      <c r="B176" s="1275" t="s">
        <v>32</v>
      </c>
      <c r="C176" s="1276" t="s">
        <v>12</v>
      </c>
      <c r="D176" s="1276" t="s">
        <v>1485</v>
      </c>
      <c r="E176" s="875" t="s">
        <v>13</v>
      </c>
      <c r="F176" s="780">
        <v>23</v>
      </c>
      <c r="G176" s="982"/>
      <c r="H176" s="622"/>
      <c r="I176" s="982"/>
      <c r="J176" s="622"/>
      <c r="K176" s="982"/>
      <c r="L176" s="622"/>
      <c r="M176" s="982"/>
      <c r="N176" s="880"/>
      <c r="O176" s="1525"/>
      <c r="P176" s="613"/>
      <c r="Q176" s="162"/>
      <c r="R176" s="195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</row>
    <row r="177" spans="1:26" s="224" customFormat="1" ht="15" customHeight="1" x14ac:dyDescent="0.25">
      <c r="A177" s="247">
        <v>45961</v>
      </c>
      <c r="B177" s="882" t="s">
        <v>8471</v>
      </c>
      <c r="C177" s="879" t="s">
        <v>12</v>
      </c>
      <c r="D177" s="879" t="s">
        <v>1506</v>
      </c>
      <c r="E177" s="871" t="s">
        <v>13</v>
      </c>
      <c r="F177" s="780">
        <v>35</v>
      </c>
      <c r="G177" s="982"/>
      <c r="H177" s="622"/>
      <c r="I177" s="982"/>
      <c r="J177" s="622"/>
      <c r="K177" s="982"/>
      <c r="L177" s="622"/>
      <c r="M177" s="982"/>
      <c r="N177" s="622"/>
      <c r="O177" s="1063"/>
      <c r="P177" s="622"/>
      <c r="Q177" s="982"/>
      <c r="R177" s="1028"/>
      <c r="S177" s="959"/>
      <c r="T177" s="878"/>
      <c r="U177" s="958"/>
    </row>
    <row r="178" spans="1:26" s="224" customFormat="1" ht="15" customHeight="1" x14ac:dyDescent="0.25">
      <c r="A178" s="247">
        <v>45961</v>
      </c>
      <c r="B178" s="364" t="s">
        <v>8464</v>
      </c>
      <c r="C178" s="350" t="s">
        <v>12</v>
      </c>
      <c r="D178" s="350" t="s">
        <v>1493</v>
      </c>
      <c r="E178" s="875" t="s">
        <v>13</v>
      </c>
      <c r="F178" s="780">
        <v>59.9</v>
      </c>
      <c r="G178" s="982"/>
      <c r="H178" s="1008"/>
      <c r="I178" s="1063"/>
      <c r="J178" s="622"/>
      <c r="K178" s="982"/>
      <c r="L178" s="622"/>
      <c r="M178" s="982"/>
      <c r="N178" s="622"/>
      <c r="O178" s="1063"/>
      <c r="P178" s="622"/>
      <c r="Q178" s="982"/>
      <c r="R178" s="861"/>
      <c r="T178" s="1035"/>
    </row>
    <row r="179" spans="1:26" s="224" customFormat="1" ht="15" customHeight="1" x14ac:dyDescent="0.25">
      <c r="A179" s="247">
        <v>45961</v>
      </c>
      <c r="B179" s="364" t="s">
        <v>23</v>
      </c>
      <c r="C179" s="350" t="s">
        <v>12</v>
      </c>
      <c r="D179" s="350" t="s">
        <v>1489</v>
      </c>
      <c r="E179" s="875" t="s">
        <v>13</v>
      </c>
      <c r="F179" s="780">
        <v>17</v>
      </c>
      <c r="G179" s="982"/>
      <c r="H179" s="1008"/>
      <c r="I179" s="1063"/>
      <c r="J179" s="622"/>
      <c r="K179" s="982"/>
      <c r="L179" s="622"/>
      <c r="M179" s="982"/>
      <c r="N179" s="622"/>
      <c r="O179" s="1063"/>
      <c r="P179" s="622"/>
      <c r="Q179" s="982"/>
      <c r="R179" s="861"/>
      <c r="T179" s="1035"/>
    </row>
    <row r="180" spans="1:26" s="224" customFormat="1" ht="15" customHeight="1" x14ac:dyDescent="0.25">
      <c r="A180" s="247">
        <v>45961</v>
      </c>
      <c r="B180" s="349" t="s">
        <v>8335</v>
      </c>
      <c r="C180" s="350" t="s">
        <v>12</v>
      </c>
      <c r="D180" s="350"/>
      <c r="E180" s="480" t="s">
        <v>25</v>
      </c>
      <c r="F180" s="780"/>
      <c r="G180" s="946"/>
      <c r="H180" s="1010"/>
      <c r="I180" s="1063"/>
      <c r="J180" s="622"/>
      <c r="K180" s="2848">
        <v>60.94</v>
      </c>
      <c r="L180" s="622"/>
      <c r="M180" s="982"/>
      <c r="N180" s="622"/>
      <c r="O180" s="2848">
        <v>36.630000000000003</v>
      </c>
      <c r="P180" s="622"/>
      <c r="Q180" s="982"/>
      <c r="R180" s="2585">
        <f>I180+K180+M180+O180</f>
        <v>97.57</v>
      </c>
      <c r="T180" s="927"/>
      <c r="U180" s="999"/>
    </row>
    <row r="181" spans="1:26" s="224" customFormat="1" ht="15" customHeight="1" thickBot="1" x14ac:dyDescent="0.3">
      <c r="A181" s="247">
        <v>45961</v>
      </c>
      <c r="B181" s="349" t="s">
        <v>6168</v>
      </c>
      <c r="C181" s="350" t="s">
        <v>12</v>
      </c>
      <c r="D181" s="350"/>
      <c r="E181" s="480" t="s">
        <v>25</v>
      </c>
      <c r="F181" s="2849"/>
      <c r="G181" s="2850"/>
      <c r="H181" s="94"/>
      <c r="I181" s="1063"/>
      <c r="J181" s="622"/>
      <c r="K181" s="2096">
        <v>1.0900000000000001</v>
      </c>
      <c r="L181" s="622"/>
      <c r="M181" s="982"/>
      <c r="N181" s="622"/>
      <c r="O181" s="2096">
        <v>7.42</v>
      </c>
      <c r="P181" s="622"/>
      <c r="Q181" s="982"/>
      <c r="R181" s="2585">
        <f>I181+K181+M181+O181</f>
        <v>8.51</v>
      </c>
      <c r="T181" s="927"/>
      <c r="U181" s="999"/>
    </row>
    <row r="182" spans="1:26" ht="25.5" customHeight="1" thickBot="1" x14ac:dyDescent="0.3">
      <c r="A182" s="3060"/>
      <c r="B182" s="3061"/>
      <c r="C182" s="3062"/>
      <c r="D182" s="3062"/>
      <c r="E182" s="3062"/>
      <c r="F182" s="1023">
        <f>SUM(F6:F180)</f>
        <v>8538.3818214285729</v>
      </c>
      <c r="G182" s="1065">
        <f>SUM(G5:G181)</f>
        <v>9605.0538928571896</v>
      </c>
      <c r="H182" s="517">
        <f>SUM(H6:H181)</f>
        <v>0</v>
      </c>
      <c r="I182" s="93">
        <f>SUM(I5:I181)</f>
        <v>0</v>
      </c>
      <c r="J182" s="517">
        <f>SUM(J6:J181)</f>
        <v>1528.2299999999998</v>
      </c>
      <c r="K182" s="93">
        <f>SUM(K5:K181)</f>
        <v>10746.800000000005</v>
      </c>
      <c r="L182" s="1023">
        <f>SUM(L6:L181)</f>
        <v>0</v>
      </c>
      <c r="M182" s="93">
        <f>SUM(M5:M181)</f>
        <v>0</v>
      </c>
      <c r="N182" s="1023">
        <f>SUM(N6:N181)</f>
        <v>250</v>
      </c>
      <c r="O182" s="93">
        <f>SUM(O5:O181)</f>
        <v>4293.0600000000013</v>
      </c>
      <c r="P182" s="1023">
        <f>SUM(P6:P181)</f>
        <v>30720.209999999995</v>
      </c>
      <c r="Q182" s="93">
        <f>SUM(Q5:Q181)</f>
        <v>38182.115984720003</v>
      </c>
      <c r="S182" s="216"/>
    </row>
    <row r="183" spans="1:26" ht="25.5" customHeight="1" thickBot="1" x14ac:dyDescent="0.3">
      <c r="A183" s="3063" t="s">
        <v>49</v>
      </c>
      <c r="B183" s="3064"/>
      <c r="C183" s="3064"/>
      <c r="D183" s="3064"/>
      <c r="E183" s="3064"/>
      <c r="F183" s="2046" t="s">
        <v>280</v>
      </c>
      <c r="G183" s="1066">
        <f>G182-F182</f>
        <v>1066.6720714286166</v>
      </c>
      <c r="H183" s="1221"/>
      <c r="I183" s="772">
        <f>I182-H182</f>
        <v>0</v>
      </c>
      <c r="J183" s="1221"/>
      <c r="K183" s="772">
        <f>K182-J182</f>
        <v>9218.5700000000052</v>
      </c>
      <c r="L183" s="1222"/>
      <c r="M183" s="772">
        <f>M182-L182</f>
        <v>0</v>
      </c>
      <c r="N183" s="1222"/>
      <c r="O183" s="772">
        <f>O182-N182</f>
        <v>4043.0600000000013</v>
      </c>
      <c r="P183" s="1222"/>
      <c r="Q183" s="772">
        <f>Q182-P182</f>
        <v>7461.9059847200078</v>
      </c>
      <c r="R183" s="484">
        <f>M183+O183+Q183</f>
        <v>11504.965984720009</v>
      </c>
    </row>
    <row r="184" spans="1:26" x14ac:dyDescent="0.25">
      <c r="J184" s="1210"/>
      <c r="K184" s="1038"/>
      <c r="M184" s="1238">
        <f>M183/R183</f>
        <v>0</v>
      </c>
      <c r="O184" s="1238">
        <f>O183/R183</f>
        <v>0.35141868349456012</v>
      </c>
      <c r="P184" s="1239"/>
      <c r="Q184" s="1239">
        <f>Q183/R183</f>
        <v>0.64858131650543982</v>
      </c>
      <c r="R184" s="867"/>
      <c r="S184" s="867"/>
      <c r="T184" s="79"/>
      <c r="W184" s="518"/>
      <c r="X184" s="216"/>
      <c r="Z184" s="877"/>
    </row>
    <row r="185" spans="1:26" x14ac:dyDescent="0.25">
      <c r="B185" s="81" t="s">
        <v>3</v>
      </c>
      <c r="C185" s="193" t="s">
        <v>1484</v>
      </c>
      <c r="D185" s="970" t="s">
        <v>2378</v>
      </c>
      <c r="E185" s="193" t="s">
        <v>3216</v>
      </c>
      <c r="F185" s="1061" t="s">
        <v>3217</v>
      </c>
      <c r="G185" s="216"/>
      <c r="I185" s="216"/>
      <c r="J185" s="1038"/>
      <c r="K185" s="216"/>
      <c r="M185" s="866"/>
      <c r="O185" s="866"/>
      <c r="P185" s="1038"/>
      <c r="Q185" s="1038"/>
      <c r="R185" s="865"/>
      <c r="S185" s="867"/>
    </row>
    <row r="186" spans="1:26" x14ac:dyDescent="0.25">
      <c r="B186" s="79" t="s">
        <v>32</v>
      </c>
      <c r="C186" s="85" t="s">
        <v>1485</v>
      </c>
      <c r="D186" s="796">
        <f>SUMIF($D$7:$D$181,C186,$F$7:$F$181)</f>
        <v>396</v>
      </c>
      <c r="E186" s="1202">
        <f t="shared" ref="E186:E202" si="0">D186/$K$206</f>
        <v>13.2</v>
      </c>
      <c r="F186" s="1203">
        <f t="shared" ref="F186:F202" si="1">E186/$E$207</f>
        <v>7.4485093576601144E-2</v>
      </c>
      <c r="G186" s="800"/>
      <c r="I186" s="769"/>
      <c r="J186" s="1038" t="s">
        <v>8358</v>
      </c>
      <c r="K186" s="1225"/>
      <c r="M186" s="886"/>
      <c r="O186" s="886"/>
      <c r="P186" s="886"/>
      <c r="Q186" s="1038">
        <f>24197.98+24738.14</f>
        <v>48936.119999999995</v>
      </c>
      <c r="R186" s="1038" t="s">
        <v>6378</v>
      </c>
      <c r="S186" s="1210"/>
      <c r="U186" s="1201"/>
      <c r="V186" s="877"/>
    </row>
    <row r="187" spans="1:26" x14ac:dyDescent="0.25">
      <c r="B187" s="79" t="s">
        <v>2187</v>
      </c>
      <c r="C187" s="85" t="s">
        <v>2157</v>
      </c>
      <c r="D187" s="796">
        <f t="shared" ref="D187:D202" si="2">SUMIF($D$7:$D$181,C187,$F$7:$F$181)</f>
        <v>20</v>
      </c>
      <c r="E187" s="1202">
        <f t="shared" si="0"/>
        <v>0.66666666666666663</v>
      </c>
      <c r="F187" s="1203">
        <f t="shared" si="1"/>
        <v>3.7618734129596537E-3</v>
      </c>
      <c r="G187" s="609"/>
      <c r="J187" s="2125"/>
      <c r="K187" s="1129"/>
      <c r="M187" s="1210"/>
      <c r="O187" s="1038"/>
      <c r="P187" s="1210"/>
      <c r="Q187" s="1210">
        <f>Q183+Q186</f>
        <v>56398.025984720007</v>
      </c>
      <c r="R187" s="1038" t="s">
        <v>6379</v>
      </c>
      <c r="U187" s="877"/>
      <c r="V187" s="877"/>
    </row>
    <row r="188" spans="1:26" s="85" customFormat="1" x14ac:dyDescent="0.25">
      <c r="A188" s="79"/>
      <c r="B188" s="79" t="s">
        <v>50</v>
      </c>
      <c r="C188" s="85" t="s">
        <v>1493</v>
      </c>
      <c r="D188" s="796">
        <f t="shared" si="2"/>
        <v>318.28999999999996</v>
      </c>
      <c r="E188" s="1202">
        <f t="shared" si="0"/>
        <v>10.609666666666666</v>
      </c>
      <c r="F188" s="1203">
        <f t="shared" si="1"/>
        <v>5.9868334430546406E-2</v>
      </c>
      <c r="J188" s="1038" t="s">
        <v>3240</v>
      </c>
      <c r="K188" s="2833">
        <v>12</v>
      </c>
      <c r="L188" s="177">
        <v>45</v>
      </c>
      <c r="M188" s="941">
        <f>K188*L188</f>
        <v>540</v>
      </c>
      <c r="N188" s="877"/>
      <c r="O188" s="863"/>
      <c r="Q188" s="79"/>
      <c r="R188" s="177"/>
      <c r="U188" s="877"/>
      <c r="V188" s="877"/>
    </row>
    <row r="189" spans="1:26" s="85" customFormat="1" x14ac:dyDescent="0.25">
      <c r="A189" s="79"/>
      <c r="B189" s="79" t="s">
        <v>14</v>
      </c>
      <c r="C189" s="85" t="s">
        <v>1486</v>
      </c>
      <c r="D189" s="796">
        <f t="shared" si="2"/>
        <v>150.35999999999999</v>
      </c>
      <c r="E189" s="1202">
        <f t="shared" si="0"/>
        <v>5.0119999999999996</v>
      </c>
      <c r="F189" s="1203">
        <f t="shared" si="1"/>
        <v>2.8281764318630675E-2</v>
      </c>
      <c r="G189" s="79"/>
      <c r="H189" s="79"/>
      <c r="J189" s="1038" t="s">
        <v>8339</v>
      </c>
      <c r="K189" s="2834">
        <v>5</v>
      </c>
      <c r="L189" s="863">
        <v>25</v>
      </c>
      <c r="M189" s="941">
        <f>K189*L189</f>
        <v>125</v>
      </c>
      <c r="N189" s="877"/>
      <c r="O189" s="1038"/>
      <c r="R189" s="177"/>
      <c r="U189" s="877"/>
      <c r="V189" s="877"/>
    </row>
    <row r="190" spans="1:26" s="85" customFormat="1" x14ac:dyDescent="0.25">
      <c r="B190" s="79" t="s">
        <v>51</v>
      </c>
      <c r="C190" s="864" t="s">
        <v>1499</v>
      </c>
      <c r="D190" s="796">
        <f t="shared" si="2"/>
        <v>285.56</v>
      </c>
      <c r="E190" s="1202">
        <f t="shared" si="0"/>
        <v>9.5186666666666664</v>
      </c>
      <c r="F190" s="1203">
        <f t="shared" si="1"/>
        <v>5.3712028590237937E-2</v>
      </c>
      <c r="G190" s="79"/>
      <c r="H190" s="79"/>
      <c r="I190" s="79"/>
      <c r="J190" s="1038" t="s">
        <v>8291</v>
      </c>
      <c r="K190" s="2834">
        <v>4</v>
      </c>
      <c r="L190" s="863">
        <v>20</v>
      </c>
      <c r="M190" s="941">
        <f>K190*L190</f>
        <v>80</v>
      </c>
      <c r="N190" s="877"/>
      <c r="O190" s="1038"/>
      <c r="P190" s="1210"/>
      <c r="Q190" s="1038"/>
      <c r="R190" s="177"/>
      <c r="U190" s="877"/>
      <c r="V190" s="877"/>
    </row>
    <row r="191" spans="1:26" s="85" customFormat="1" x14ac:dyDescent="0.25">
      <c r="A191" s="79"/>
      <c r="B191" s="79" t="s">
        <v>2189</v>
      </c>
      <c r="C191" s="864" t="s">
        <v>1496</v>
      </c>
      <c r="D191" s="796">
        <f t="shared" si="2"/>
        <v>184.07999999999998</v>
      </c>
      <c r="E191" s="1202">
        <f t="shared" si="0"/>
        <v>6.1359999999999992</v>
      </c>
      <c r="F191" s="1203">
        <f t="shared" si="1"/>
        <v>3.4624282892880651E-2</v>
      </c>
      <c r="G191" s="79"/>
      <c r="J191" s="85" t="s">
        <v>8292</v>
      </c>
      <c r="K191" s="85">
        <v>4</v>
      </c>
      <c r="L191" s="177">
        <v>14.9</v>
      </c>
      <c r="M191" s="941">
        <f>K191*L191</f>
        <v>59.6</v>
      </c>
      <c r="O191" s="177"/>
      <c r="R191" s="177"/>
      <c r="U191" s="877"/>
      <c r="V191" s="877"/>
    </row>
    <row r="192" spans="1:26" s="85" customFormat="1" x14ac:dyDescent="0.25">
      <c r="A192" s="79"/>
      <c r="B192" s="867" t="s">
        <v>53</v>
      </c>
      <c r="C192" s="864" t="s">
        <v>1522</v>
      </c>
      <c r="D192" s="796">
        <f t="shared" si="2"/>
        <v>0</v>
      </c>
      <c r="E192" s="1202">
        <f t="shared" si="0"/>
        <v>0</v>
      </c>
      <c r="F192" s="1203">
        <f t="shared" si="1"/>
        <v>0</v>
      </c>
      <c r="J192" s="1038" t="s">
        <v>690</v>
      </c>
      <c r="K192" s="2834">
        <v>15</v>
      </c>
      <c r="L192" s="863">
        <v>9</v>
      </c>
      <c r="M192" s="941">
        <f>K192*L192</f>
        <v>135</v>
      </c>
      <c r="O192" s="177"/>
      <c r="P192" s="868"/>
      <c r="Q192" s="769"/>
      <c r="R192" s="79"/>
      <c r="U192" s="877"/>
      <c r="V192" s="877"/>
    </row>
    <row r="193" spans="1:24" s="85" customFormat="1" x14ac:dyDescent="0.25">
      <c r="A193" s="79"/>
      <c r="B193" s="79" t="s">
        <v>3048</v>
      </c>
      <c r="C193" s="864" t="s">
        <v>1523</v>
      </c>
      <c r="D193" s="796">
        <f t="shared" si="2"/>
        <v>27</v>
      </c>
      <c r="E193" s="1202">
        <f t="shared" si="0"/>
        <v>0.9</v>
      </c>
      <c r="F193" s="1203">
        <f t="shared" si="1"/>
        <v>5.0785291074955325E-3</v>
      </c>
      <c r="G193" s="866"/>
      <c r="J193" s="1038" t="s">
        <v>467</v>
      </c>
      <c r="K193" s="2834">
        <v>6</v>
      </c>
      <c r="L193" s="863">
        <v>3.59</v>
      </c>
      <c r="M193" s="941">
        <f t="shared" ref="M193:M194" si="3">K193*L193</f>
        <v>21.54</v>
      </c>
      <c r="O193" s="177"/>
      <c r="P193" s="866"/>
      <c r="Q193" s="1210"/>
      <c r="R193" s="877"/>
      <c r="U193" s="877"/>
      <c r="V193" s="877"/>
    </row>
    <row r="194" spans="1:24" s="85" customFormat="1" x14ac:dyDescent="0.25">
      <c r="A194" s="79"/>
      <c r="B194" s="79" t="s">
        <v>1686</v>
      </c>
      <c r="C194" s="864" t="s">
        <v>1506</v>
      </c>
      <c r="D194" s="796">
        <f t="shared" si="2"/>
        <v>425</v>
      </c>
      <c r="E194" s="1202">
        <f t="shared" si="0"/>
        <v>14.166666666666666</v>
      </c>
      <c r="F194" s="1203">
        <f t="shared" si="1"/>
        <v>7.9939810025392646E-2</v>
      </c>
      <c r="G194" s="868"/>
      <c r="J194" s="1038" t="s">
        <v>80</v>
      </c>
      <c r="K194" s="2834">
        <v>1</v>
      </c>
      <c r="L194" s="863">
        <v>31</v>
      </c>
      <c r="M194" s="941">
        <f t="shared" si="3"/>
        <v>31</v>
      </c>
      <c r="O194" s="177"/>
      <c r="P194" s="1226"/>
      <c r="Q194" s="1129"/>
      <c r="R194" s="877"/>
      <c r="U194" s="877"/>
      <c r="V194" s="877"/>
    </row>
    <row r="195" spans="1:24" x14ac:dyDescent="0.25">
      <c r="B195" s="79" t="s">
        <v>418</v>
      </c>
      <c r="C195" s="85" t="s">
        <v>1524</v>
      </c>
      <c r="D195" s="796">
        <f t="shared" si="2"/>
        <v>1527.6129047619047</v>
      </c>
      <c r="E195" s="1202">
        <f t="shared" si="0"/>
        <v>50.920430158730156</v>
      </c>
      <c r="F195" s="1203">
        <f t="shared" si="1"/>
        <v>0.28733431858589387</v>
      </c>
      <c r="G195" s="85"/>
      <c r="H195" s="85"/>
      <c r="I195" s="85"/>
      <c r="J195" s="1038" t="s">
        <v>8338</v>
      </c>
      <c r="K195" s="2834">
        <v>2</v>
      </c>
      <c r="L195" s="863">
        <v>28</v>
      </c>
      <c r="M195" s="941">
        <f>K195*L195</f>
        <v>56</v>
      </c>
      <c r="N195" s="769"/>
      <c r="O195" s="216"/>
      <c r="P195" s="1038"/>
      <c r="Q195" s="1226"/>
      <c r="R195" s="877"/>
      <c r="U195" s="877"/>
      <c r="V195" s="877"/>
    </row>
    <row r="196" spans="1:24" x14ac:dyDescent="0.25">
      <c r="B196" s="79" t="s">
        <v>6732</v>
      </c>
      <c r="C196" s="85" t="s">
        <v>1491</v>
      </c>
      <c r="D196" s="796">
        <f t="shared" si="2"/>
        <v>1105.1133333333332</v>
      </c>
      <c r="E196" s="1202">
        <f t="shared" si="0"/>
        <v>36.837111111111106</v>
      </c>
      <c r="F196" s="1203">
        <f t="shared" si="1"/>
        <v>0.2078648233486943</v>
      </c>
      <c r="I196" s="85"/>
      <c r="J196" s="1038"/>
      <c r="K196" s="1038"/>
      <c r="L196" s="866"/>
      <c r="M196" s="2835">
        <f>SUM(M188:M195)</f>
        <v>1048.1399999999999</v>
      </c>
      <c r="N196" s="216"/>
      <c r="O196" s="216"/>
      <c r="Q196" s="484"/>
      <c r="R196" s="877"/>
      <c r="U196" s="877"/>
      <c r="V196" s="877"/>
    </row>
    <row r="197" spans="1:24" x14ac:dyDescent="0.25">
      <c r="B197" s="79" t="s">
        <v>6733</v>
      </c>
      <c r="C197" s="85" t="s">
        <v>6731</v>
      </c>
      <c r="D197" s="796">
        <f>SUMIF($D$7:$D$181,C197,$F$7:$F$181)</f>
        <v>850.43000000000006</v>
      </c>
      <c r="E197" s="1202">
        <f t="shared" si="0"/>
        <v>28.347666666666669</v>
      </c>
      <c r="F197" s="1203">
        <f t="shared" si="1"/>
        <v>0.15996050032916392</v>
      </c>
      <c r="I197" s="85"/>
      <c r="J197" s="1210"/>
      <c r="K197" s="1038"/>
      <c r="N197" s="216"/>
      <c r="O197" s="216"/>
      <c r="Q197" s="484"/>
      <c r="R197" s="877"/>
      <c r="U197" s="877"/>
      <c r="V197" s="877"/>
    </row>
    <row r="198" spans="1:24" x14ac:dyDescent="0.25">
      <c r="B198" s="79" t="s">
        <v>5439</v>
      </c>
      <c r="C198" s="85" t="s">
        <v>1525</v>
      </c>
      <c r="D198" s="796">
        <f t="shared" si="2"/>
        <v>531.40224999999998</v>
      </c>
      <c r="E198" s="1202">
        <f t="shared" si="0"/>
        <v>17.713408333333334</v>
      </c>
      <c r="F198" s="1203">
        <f t="shared" si="1"/>
        <v>9.9953399793096961E-2</v>
      </c>
      <c r="J198" s="1210"/>
      <c r="K198" s="1038"/>
      <c r="O198" s="216"/>
      <c r="Q198" s="484"/>
      <c r="R198" s="1673"/>
      <c r="U198" s="877"/>
      <c r="V198" s="877"/>
    </row>
    <row r="199" spans="1:24" x14ac:dyDescent="0.25">
      <c r="B199" s="79" t="s">
        <v>1526</v>
      </c>
      <c r="C199" s="85" t="s">
        <v>1504</v>
      </c>
      <c r="D199" s="796">
        <f t="shared" si="2"/>
        <v>218.01</v>
      </c>
      <c r="E199" s="1202">
        <f t="shared" si="0"/>
        <v>7.2669999999999995</v>
      </c>
      <c r="F199" s="1203">
        <f t="shared" si="1"/>
        <v>4.1006301137966703E-2</v>
      </c>
      <c r="J199" s="1210"/>
      <c r="K199" s="1038"/>
      <c r="L199" s="769"/>
      <c r="N199" s="769"/>
      <c r="O199" s="886"/>
      <c r="P199" s="1210"/>
      <c r="Q199" s="1038"/>
      <c r="R199" s="1129"/>
      <c r="T199" s="1129"/>
      <c r="U199" s="877"/>
      <c r="V199" s="877"/>
    </row>
    <row r="200" spans="1:24" x14ac:dyDescent="0.25">
      <c r="B200" s="79" t="s">
        <v>2343</v>
      </c>
      <c r="C200" s="85" t="s">
        <v>2315</v>
      </c>
      <c r="D200" s="796">
        <f t="shared" si="2"/>
        <v>0</v>
      </c>
      <c r="E200" s="1202">
        <f t="shared" si="0"/>
        <v>0</v>
      </c>
      <c r="F200" s="1203">
        <f t="shared" si="1"/>
        <v>0</v>
      </c>
      <c r="J200" s="1210"/>
      <c r="K200" s="1038"/>
      <c r="L200" s="769"/>
      <c r="M200" s="1210"/>
      <c r="N200" s="769"/>
      <c r="O200" s="1673"/>
      <c r="P200" s="1210"/>
      <c r="Q200" s="1038"/>
      <c r="R200" s="1129"/>
      <c r="T200" s="1129"/>
      <c r="U200" s="877"/>
      <c r="V200" s="877"/>
    </row>
    <row r="201" spans="1:24" x14ac:dyDescent="0.25">
      <c r="B201" s="79" t="s">
        <v>3019</v>
      </c>
      <c r="C201" s="85" t="s">
        <v>3017</v>
      </c>
      <c r="D201" s="796">
        <f t="shared" si="2"/>
        <v>0</v>
      </c>
      <c r="E201" s="1202">
        <f t="shared" si="0"/>
        <v>0</v>
      </c>
      <c r="F201" s="1203">
        <f t="shared" si="1"/>
        <v>0</v>
      </c>
      <c r="J201" s="1210"/>
      <c r="K201" s="1038"/>
      <c r="L201" s="769"/>
      <c r="N201" s="769"/>
      <c r="P201" s="941"/>
      <c r="Q201" s="224"/>
      <c r="R201" s="1226"/>
      <c r="S201" s="1129"/>
      <c r="T201" s="1129"/>
      <c r="U201" s="877"/>
      <c r="V201" s="877"/>
    </row>
    <row r="202" spans="1:24" ht="15.75" thickBot="1" x14ac:dyDescent="0.3">
      <c r="B202" s="301" t="s">
        <v>1527</v>
      </c>
      <c r="C202" s="2400" t="s">
        <v>1489</v>
      </c>
      <c r="D202" s="2401">
        <f t="shared" si="2"/>
        <v>700.56333333333339</v>
      </c>
      <c r="E202" s="2402">
        <f t="shared" si="0"/>
        <v>23.352111111111114</v>
      </c>
      <c r="F202" s="2403">
        <f t="shared" si="1"/>
        <v>0.13177152888805294</v>
      </c>
      <c r="J202" s="1210"/>
      <c r="K202" s="1038"/>
      <c r="P202" s="1210"/>
      <c r="Q202" s="1038"/>
      <c r="R202" s="1226"/>
      <c r="S202" s="1129"/>
      <c r="T202" s="1129"/>
      <c r="U202" s="877"/>
      <c r="V202" s="877"/>
    </row>
    <row r="203" spans="1:24" x14ac:dyDescent="0.25">
      <c r="B203" s="1124" t="s">
        <v>6790</v>
      </c>
      <c r="C203" s="1124"/>
      <c r="D203" s="1125">
        <f>SUMIF($B$9:$B$150,"Crédito Gasolina",$G$9:$G$181)</f>
        <v>498.96</v>
      </c>
      <c r="E203" s="1138">
        <f>D203/K206</f>
        <v>16.631999999999998</v>
      </c>
      <c r="F203" s="1184">
        <f>SUM(F186:F202)</f>
        <v>1.2676425884376132</v>
      </c>
      <c r="G203" s="1129"/>
      <c r="J203" s="2037"/>
      <c r="K203" s="629"/>
      <c r="P203" s="1210"/>
      <c r="Q203" s="1038"/>
      <c r="R203" s="1227"/>
      <c r="S203" s="1129"/>
      <c r="T203" s="1129"/>
      <c r="U203" s="877"/>
      <c r="V203" s="877"/>
    </row>
    <row r="204" spans="1:24" x14ac:dyDescent="0.25">
      <c r="B204" s="1124" t="s">
        <v>6329</v>
      </c>
      <c r="C204" s="1124"/>
      <c r="D204" s="1125">
        <f>SUMIF($B$44:$B$150,"Trabalho Art frutt",$G$44:$G$181)</f>
        <v>375</v>
      </c>
      <c r="E204" s="1138">
        <f>D204/K206</f>
        <v>12.5</v>
      </c>
      <c r="F204" s="1124"/>
      <c r="J204" s="2037"/>
      <c r="K204" s="629"/>
      <c r="P204" s="1210"/>
      <c r="Q204" s="1038"/>
      <c r="R204" s="1227"/>
      <c r="S204" s="1129"/>
      <c r="T204" s="1129"/>
      <c r="U204" s="877"/>
      <c r="V204" s="877"/>
    </row>
    <row r="205" spans="1:24" x14ac:dyDescent="0.25">
      <c r="B205" s="1124"/>
      <c r="C205" s="1124"/>
      <c r="D205" s="1125"/>
      <c r="E205" s="1138"/>
      <c r="F205" s="1124"/>
      <c r="J205" s="2037"/>
      <c r="K205" s="629"/>
      <c r="L205" s="459" t="s">
        <v>6481</v>
      </c>
      <c r="M205" s="2125" t="s">
        <v>6482</v>
      </c>
      <c r="P205" s="1210"/>
      <c r="Q205" s="1038"/>
      <c r="R205" s="1227"/>
      <c r="T205" s="1129"/>
      <c r="U205" s="877"/>
      <c r="V205" s="877"/>
    </row>
    <row r="206" spans="1:24" x14ac:dyDescent="0.25">
      <c r="C206" s="3168" t="s">
        <v>486</v>
      </c>
      <c r="D206" s="3168"/>
      <c r="E206" s="863">
        <f>J206/K206</f>
        <v>224.64739404761906</v>
      </c>
      <c r="G206" s="518" t="s">
        <v>487</v>
      </c>
      <c r="J206" s="629">
        <f>SUM(D186:D202)</f>
        <v>6739.421821428572</v>
      </c>
      <c r="K206" s="1517">
        <v>30</v>
      </c>
      <c r="M206" s="1138">
        <f>5316.5+D204-J207</f>
        <v>479.69108333333315</v>
      </c>
      <c r="N206" s="216"/>
      <c r="O206" s="1517"/>
      <c r="P206" s="1210"/>
      <c r="Q206" s="1038"/>
      <c r="R206" s="1226"/>
      <c r="S206" s="1129"/>
      <c r="T206" s="1129"/>
      <c r="U206" s="877"/>
      <c r="V206" s="877"/>
    </row>
    <row r="207" spans="1:24" ht="15.75" customHeight="1" x14ac:dyDescent="0.25">
      <c r="B207" s="3167" t="s">
        <v>7452</v>
      </c>
      <c r="C207" s="3167"/>
      <c r="D207" s="3167"/>
      <c r="E207" s="1125">
        <f>5316.5/30</f>
        <v>177.21666666666667</v>
      </c>
      <c r="G207" s="518" t="s">
        <v>6257</v>
      </c>
      <c r="J207" s="609">
        <f>J206-D195</f>
        <v>5211.8089166666668</v>
      </c>
      <c r="K207" s="629"/>
      <c r="M207" s="868"/>
      <c r="O207" s="868"/>
      <c r="P207" s="1210"/>
      <c r="Q207" s="1038"/>
      <c r="R207" s="1226"/>
      <c r="S207" s="1129"/>
      <c r="T207" s="1129"/>
      <c r="U207" s="877"/>
      <c r="V207" s="877"/>
    </row>
    <row r="208" spans="1:24" x14ac:dyDescent="0.25">
      <c r="A208" s="518"/>
      <c r="C208" s="79"/>
      <c r="D208" s="79"/>
      <c r="E208" s="769"/>
      <c r="F208" s="866"/>
      <c r="G208" s="769"/>
      <c r="H208" s="866"/>
      <c r="I208" s="1210"/>
      <c r="J208" s="867"/>
      <c r="K208" s="866"/>
      <c r="L208" s="1038"/>
      <c r="M208" s="1210"/>
      <c r="N208" s="1038"/>
      <c r="O208" s="1210"/>
      <c r="P208" s="1210"/>
      <c r="V208" s="484"/>
      <c r="X208" s="877"/>
    </row>
    <row r="209" spans="1:24" s="518" customFormat="1" x14ac:dyDescent="0.25">
      <c r="A209" s="79"/>
      <c r="B209" s="79"/>
      <c r="C209" s="79"/>
      <c r="D209" s="79"/>
      <c r="E209" s="1126">
        <f>E207-E206</f>
        <v>-47.430727380952391</v>
      </c>
      <c r="F209" s="2980">
        <f>E206/E207</f>
        <v>1.2676425884376135</v>
      </c>
      <c r="G209" s="85"/>
      <c r="M209" s="79"/>
      <c r="N209" s="79"/>
      <c r="O209" s="79"/>
      <c r="P209" s="1210"/>
      <c r="V209" s="79"/>
      <c r="W209" s="877"/>
      <c r="X209" s="79"/>
    </row>
    <row r="210" spans="1:24" s="518" customFormat="1" x14ac:dyDescent="0.25">
      <c r="A210" s="79"/>
      <c r="B210" s="79"/>
      <c r="C210" s="79"/>
      <c r="D210" s="79"/>
      <c r="E210" s="85"/>
      <c r="J210" s="1038"/>
      <c r="K210" s="1225"/>
      <c r="Q210" s="1038"/>
      <c r="R210" s="484"/>
      <c r="S210" s="79"/>
      <c r="T210" s="877"/>
      <c r="U210" s="79"/>
    </row>
    <row r="211" spans="1:24" s="518" customFormat="1" x14ac:dyDescent="0.25">
      <c r="A211" s="79"/>
      <c r="B211" s="1124" t="s">
        <v>6376</v>
      </c>
      <c r="C211" s="2125"/>
      <c r="D211" s="2219">
        <f>SUMIF($E$7:$E$150,"crédito",$G$7:$G$181)</f>
        <v>6490.2800000000007</v>
      </c>
      <c r="E211" s="85"/>
      <c r="F211" s="89"/>
      <c r="G211" s="79"/>
      <c r="H211" s="79"/>
      <c r="I211" s="79"/>
      <c r="J211" s="1038"/>
      <c r="K211" s="1225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4" s="518" customFormat="1" x14ac:dyDescent="0.25">
      <c r="A212" s="79"/>
      <c r="B212" s="518" t="s">
        <v>6496</v>
      </c>
      <c r="C212" s="459"/>
      <c r="D212" s="2218">
        <f>SUM(D186:D202)-D195</f>
        <v>5211.8089166666668</v>
      </c>
      <c r="E212" s="85"/>
      <c r="F212" s="89"/>
      <c r="G212" s="79"/>
      <c r="H212" s="79"/>
      <c r="I212" s="216"/>
      <c r="J212" s="864"/>
      <c r="K212" s="877"/>
      <c r="L212" s="769"/>
      <c r="M212" s="866"/>
      <c r="N212" s="769"/>
      <c r="O212" s="866"/>
      <c r="P212" s="1210"/>
      <c r="Q212" s="1038"/>
      <c r="R212" s="484"/>
      <c r="S212" s="79"/>
      <c r="T212" s="877"/>
      <c r="U212" s="79"/>
    </row>
    <row r="213" spans="1:24" s="518" customFormat="1" x14ac:dyDescent="0.25">
      <c r="A213" s="79"/>
      <c r="B213" s="81" t="s">
        <v>6497</v>
      </c>
      <c r="C213" s="81"/>
      <c r="D213" s="1014">
        <f>D211-D212</f>
        <v>1278.4710833333338</v>
      </c>
      <c r="E213" s="79"/>
      <c r="F213" s="79"/>
      <c r="G213" s="79"/>
      <c r="H213" s="79"/>
      <c r="J213" s="1038"/>
      <c r="K213" s="877"/>
      <c r="M213" s="866"/>
      <c r="O213" s="866"/>
      <c r="P213" s="1210"/>
      <c r="Q213" s="1038"/>
      <c r="R213" s="484"/>
      <c r="S213" s="79"/>
      <c r="T213" s="877"/>
      <c r="U213" s="79"/>
    </row>
    <row r="214" spans="1:24" s="518" customFormat="1" x14ac:dyDescent="0.25">
      <c r="A214" s="79"/>
      <c r="B214" s="79"/>
      <c r="C214" s="79"/>
      <c r="D214" s="79"/>
      <c r="E214" s="79"/>
      <c r="F214" s="79"/>
      <c r="G214" s="79"/>
      <c r="H214" s="3208" t="s">
        <v>8322</v>
      </c>
      <c r="I214" s="3208"/>
      <c r="J214" s="3208"/>
      <c r="K214" s="3208"/>
      <c r="L214" s="3208"/>
      <c r="M214" s="866"/>
      <c r="N214" s="769"/>
      <c r="O214" s="866"/>
      <c r="P214" s="1210"/>
      <c r="Q214" s="3208" t="s">
        <v>8321</v>
      </c>
      <c r="R214" s="3208"/>
      <c r="S214" s="3208"/>
      <c r="T214" s="3208"/>
      <c r="U214" s="3208"/>
    </row>
    <row r="215" spans="1:24" s="518" customFormat="1" x14ac:dyDescent="0.25">
      <c r="A215" s="79"/>
      <c r="B215" s="79"/>
      <c r="C215" s="79"/>
      <c r="D215" s="79"/>
      <c r="E215" s="79"/>
      <c r="F215" s="79"/>
      <c r="G215" s="216"/>
      <c r="H215" s="79"/>
      <c r="I215" s="216"/>
      <c r="J215" s="1038"/>
      <c r="K215" s="877"/>
      <c r="L215" s="769"/>
      <c r="M215" s="868"/>
      <c r="N215" s="769"/>
      <c r="O215" s="868"/>
      <c r="P215" s="1210"/>
      <c r="Q215" s="1038"/>
      <c r="R215" s="484"/>
      <c r="S215" s="79"/>
      <c r="T215" s="877"/>
      <c r="U215" s="79"/>
    </row>
    <row r="216" spans="1:24" s="518" customFormat="1" x14ac:dyDescent="0.25">
      <c r="A216" s="79"/>
      <c r="B216" s="79"/>
      <c r="C216" s="79"/>
      <c r="D216" s="79"/>
      <c r="E216" s="79"/>
      <c r="F216" s="79"/>
      <c r="G216" s="216"/>
      <c r="H216" s="79"/>
      <c r="I216" s="216"/>
      <c r="J216" s="79"/>
      <c r="K216" s="877"/>
      <c r="L216" s="769"/>
      <c r="M216" s="866"/>
      <c r="N216" s="769"/>
      <c r="O216" s="866"/>
      <c r="P216" s="1210"/>
      <c r="Q216" s="1038"/>
      <c r="R216" s="484"/>
      <c r="S216" s="79"/>
      <c r="T216" s="877"/>
      <c r="U216" s="79"/>
    </row>
    <row r="217" spans="1:24" s="518" customFormat="1" x14ac:dyDescent="0.25">
      <c r="A217" s="79"/>
      <c r="B217" s="79"/>
      <c r="C217" s="79"/>
      <c r="D217" s="79"/>
      <c r="E217" s="79"/>
      <c r="F217" s="79"/>
      <c r="G217" s="216"/>
      <c r="H217" s="79"/>
      <c r="I217" s="79"/>
      <c r="J217" s="85"/>
      <c r="K217" s="877"/>
      <c r="L217" s="770"/>
      <c r="M217" s="866"/>
      <c r="N217" s="770"/>
      <c r="O217" s="866"/>
      <c r="P217" s="1210"/>
      <c r="Q217" s="1038"/>
      <c r="R217" s="484"/>
      <c r="S217" s="79"/>
      <c r="T217" s="877"/>
      <c r="U217" s="79"/>
    </row>
    <row r="218" spans="1:24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216"/>
      <c r="J218" s="1038"/>
      <c r="K218" s="877"/>
      <c r="L218" s="769"/>
      <c r="M218" s="868"/>
      <c r="N218" s="769"/>
      <c r="O218" s="868"/>
      <c r="P218" s="1210"/>
      <c r="Q218" s="1038"/>
      <c r="R218" s="484"/>
      <c r="S218" s="79"/>
      <c r="T218" s="877"/>
      <c r="U218" s="79"/>
    </row>
    <row r="219" spans="1:24" s="518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85"/>
      <c r="K219" s="877"/>
      <c r="L219" s="769"/>
      <c r="M219" s="866"/>
      <c r="N219" s="769"/>
      <c r="O219" s="866"/>
      <c r="P219" s="1210"/>
      <c r="Q219" s="1038"/>
      <c r="R219" s="484"/>
      <c r="S219" s="79"/>
      <c r="T219" s="877"/>
      <c r="U219" s="79"/>
    </row>
    <row r="220" spans="1:24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629"/>
      <c r="J220" s="769"/>
      <c r="K220" s="1225"/>
      <c r="L220" s="769"/>
      <c r="M220" s="866"/>
      <c r="N220" s="769"/>
      <c r="O220" s="866"/>
      <c r="P220" s="1210"/>
      <c r="Q220" s="1038"/>
      <c r="R220" s="484"/>
      <c r="S220" s="79"/>
      <c r="T220" s="877"/>
      <c r="U220" s="79"/>
    </row>
    <row r="221" spans="1:24" s="518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9"/>
      <c r="K221" s="79"/>
      <c r="L221" s="769"/>
      <c r="M221" s="866"/>
      <c r="N221" s="769"/>
      <c r="O221" s="866"/>
      <c r="P221" s="1210"/>
      <c r="Q221" s="1038"/>
      <c r="R221" s="484"/>
      <c r="S221" s="79"/>
      <c r="T221" s="877"/>
      <c r="U221" s="79"/>
    </row>
    <row r="222" spans="1:24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J222" s="79"/>
      <c r="K222" s="79"/>
      <c r="L222" s="769"/>
      <c r="M222" s="866"/>
      <c r="N222" s="769"/>
      <c r="O222" s="866"/>
      <c r="P222" s="1210"/>
      <c r="Q222" s="1038"/>
      <c r="R222" s="484"/>
      <c r="S222" s="79"/>
      <c r="T222" s="877"/>
      <c r="U222" s="79"/>
    </row>
    <row r="223" spans="1:24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69"/>
      <c r="K223" s="868"/>
      <c r="L223" s="769"/>
      <c r="M223" s="866"/>
      <c r="N223" s="769"/>
      <c r="O223" s="866"/>
      <c r="P223" s="1210"/>
      <c r="Q223" s="1038"/>
      <c r="R223" s="484"/>
      <c r="S223" s="79"/>
      <c r="T223" s="877"/>
      <c r="U223" s="79"/>
    </row>
    <row r="224" spans="1:24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69"/>
      <c r="K224" s="868"/>
      <c r="L224" s="769"/>
      <c r="M224" s="866"/>
      <c r="N224" s="769"/>
      <c r="O224" s="866"/>
      <c r="P224" s="1210"/>
      <c r="Q224" s="1038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79"/>
      <c r="L225" s="769"/>
      <c r="M225" s="866"/>
      <c r="N225" s="769"/>
      <c r="O225" s="866"/>
      <c r="P225" s="1210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79"/>
      <c r="D226" s="79"/>
      <c r="E226" s="79"/>
      <c r="F226" s="79"/>
      <c r="G226" s="79"/>
      <c r="H226" s="79"/>
      <c r="I226" s="216"/>
      <c r="J226" s="79"/>
      <c r="K226" s="79"/>
      <c r="L226" s="769"/>
      <c r="M226" s="866"/>
      <c r="N226" s="769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216"/>
      <c r="J227" s="79"/>
      <c r="K227" s="79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216"/>
      <c r="J228" s="1517"/>
      <c r="K228" s="79"/>
      <c r="L228" s="769"/>
      <c r="M228" s="866"/>
      <c r="N228" s="769"/>
      <c r="O228" s="866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216"/>
      <c r="J229" s="79"/>
      <c r="K229" s="868"/>
      <c r="L229" s="769"/>
      <c r="M229" s="866"/>
      <c r="N229" s="769"/>
      <c r="O229" s="866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89"/>
      <c r="K230" s="79"/>
      <c r="L230" s="769"/>
      <c r="M230" s="868"/>
      <c r="N230" s="769"/>
      <c r="O230" s="868"/>
      <c r="P230" s="79"/>
      <c r="Q230" s="79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216"/>
      <c r="J231" s="79"/>
      <c r="K231" s="79"/>
      <c r="L231" s="769"/>
      <c r="M231" s="868"/>
      <c r="N231" s="769"/>
      <c r="O231" s="868"/>
      <c r="P231" s="81"/>
      <c r="Q231" s="755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216"/>
      <c r="L232" s="769"/>
      <c r="M232" s="868"/>
      <c r="N232" s="769"/>
      <c r="O232" s="868"/>
      <c r="P232" s="868"/>
      <c r="Q232" s="79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216"/>
      <c r="J233" s="769"/>
      <c r="K233" s="866"/>
      <c r="L233" s="769"/>
      <c r="M233" s="868"/>
      <c r="N233" s="769"/>
      <c r="O233" s="868"/>
      <c r="P233" s="754"/>
      <c r="Q233" s="886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769"/>
      <c r="K234" s="866"/>
      <c r="L234" s="769"/>
      <c r="M234" s="868"/>
      <c r="N234" s="769"/>
      <c r="O234" s="868"/>
      <c r="P234" s="864"/>
      <c r="Q234" s="864"/>
      <c r="R234" s="484"/>
      <c r="S234" s="79"/>
      <c r="T234" s="877"/>
      <c r="U234" s="79"/>
    </row>
    <row r="235" spans="1:21" s="518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K235" s="866"/>
      <c r="L235" s="769"/>
      <c r="M235" s="866"/>
      <c r="N235" s="769"/>
      <c r="O235" s="866"/>
      <c r="P235" s="864"/>
      <c r="Q235" s="1032"/>
      <c r="R235" s="484"/>
      <c r="S235" s="79"/>
      <c r="T235" s="877"/>
      <c r="U235" s="79"/>
    </row>
    <row r="236" spans="1:21" s="518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769"/>
      <c r="K236" s="866"/>
      <c r="L236" s="769"/>
      <c r="M236" s="866"/>
      <c r="N236" s="769"/>
      <c r="O236" s="866"/>
      <c r="P236" s="864"/>
      <c r="Q236" s="1032"/>
      <c r="R236" s="484"/>
      <c r="S236" s="79"/>
      <c r="T236" s="877"/>
      <c r="U236" s="79"/>
    </row>
    <row r="237" spans="1:21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69"/>
      <c r="K237" s="868"/>
      <c r="L237" s="769"/>
      <c r="M237" s="868"/>
      <c r="N237" s="769"/>
      <c r="O237" s="868"/>
      <c r="P237" s="85"/>
      <c r="Q237" s="795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69"/>
      <c r="K238" s="866"/>
      <c r="L238" s="769"/>
      <c r="M238" s="866"/>
      <c r="N238" s="769"/>
      <c r="O238" s="866"/>
      <c r="P238" s="85"/>
      <c r="Q238" s="177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70"/>
      <c r="K239" s="866"/>
      <c r="L239" s="769"/>
      <c r="M239" s="866"/>
      <c r="N239" s="769"/>
      <c r="O239" s="866"/>
      <c r="P239" s="85"/>
      <c r="Q239" s="177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69"/>
      <c r="M240" s="868"/>
      <c r="N240" s="769"/>
      <c r="O240" s="868"/>
      <c r="P240" s="85"/>
      <c r="Q240" s="177" t="s">
        <v>280</v>
      </c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6"/>
      <c r="L241" s="769"/>
      <c r="M241" s="868"/>
      <c r="N241" s="769"/>
      <c r="O241" s="868"/>
      <c r="P241" s="85"/>
      <c r="Q241" s="177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6"/>
      <c r="L242" s="769"/>
      <c r="M242" s="868"/>
      <c r="N242" s="769"/>
      <c r="O242" s="868"/>
      <c r="P242" s="85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6"/>
      <c r="L243" s="769"/>
      <c r="M243" s="868"/>
      <c r="N243" s="769"/>
      <c r="O243" s="868"/>
      <c r="P243" s="769"/>
      <c r="Q243" s="21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69"/>
      <c r="M244" s="866"/>
      <c r="N244" s="769"/>
      <c r="O244" s="866"/>
      <c r="P244" s="79"/>
      <c r="Q244" s="21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223"/>
      <c r="M245" s="2845"/>
      <c r="N245" s="629"/>
      <c r="O245" s="484"/>
      <c r="P245" s="769"/>
      <c r="Q245" s="868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6"/>
      <c r="L246" s="756"/>
      <c r="M246" s="2845"/>
      <c r="N246" s="629"/>
      <c r="O246" s="484"/>
      <c r="P246" s="769"/>
      <c r="Q246" s="868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9"/>
      <c r="M247" s="79"/>
      <c r="N247" s="79"/>
      <c r="O247" s="79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79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6"/>
      <c r="L249" s="79"/>
      <c r="M249" s="79"/>
      <c r="N249" s="79"/>
      <c r="O249" s="79"/>
      <c r="P249" s="79"/>
      <c r="Q249" s="79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6"/>
      <c r="L250" s="79"/>
      <c r="M250" s="79"/>
      <c r="N250" s="79"/>
      <c r="O250" s="79"/>
      <c r="P250" s="79"/>
      <c r="Q250" s="79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6"/>
      <c r="L251" s="85"/>
      <c r="M251" s="85"/>
      <c r="N251" s="85"/>
      <c r="O251" s="85"/>
      <c r="P251" s="1517"/>
      <c r="Q251" s="79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8"/>
      <c r="L252" s="79"/>
      <c r="M252" s="79"/>
      <c r="N252" s="79"/>
      <c r="O252" s="79"/>
      <c r="P252" s="79"/>
      <c r="Q252" s="868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8"/>
      <c r="L253" s="79"/>
      <c r="M253" s="79"/>
      <c r="N253" s="79"/>
      <c r="O253" s="79"/>
      <c r="P253" s="89"/>
      <c r="Q253" s="79"/>
      <c r="R253" s="484"/>
      <c r="S253" s="79"/>
      <c r="T253" s="877"/>
      <c r="U253" s="79"/>
    </row>
    <row r="254" spans="1:21" s="518" customFormat="1" x14ac:dyDescent="0.25">
      <c r="A254" s="79"/>
      <c r="B254" s="79"/>
      <c r="C254" s="79"/>
      <c r="D254" s="79"/>
      <c r="E254" s="79"/>
      <c r="F254" s="79"/>
      <c r="G254" s="79"/>
      <c r="H254" s="79"/>
      <c r="I254" s="79"/>
      <c r="J254" s="769"/>
      <c r="K254" s="868"/>
      <c r="L254" s="79"/>
      <c r="M254" s="79"/>
      <c r="N254" s="79"/>
      <c r="O254" s="79"/>
      <c r="P254" s="79"/>
      <c r="Q254" s="79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9"/>
      <c r="M255" s="79"/>
      <c r="N255" s="79"/>
      <c r="O255" s="79"/>
      <c r="P255" s="769"/>
      <c r="Q255" s="866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9"/>
      <c r="M256" s="79"/>
      <c r="N256" s="79"/>
      <c r="O256" s="79"/>
      <c r="P256" s="769"/>
      <c r="Q256" s="866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6"/>
      <c r="L257" s="79"/>
      <c r="M257" s="79"/>
      <c r="N257" s="79"/>
      <c r="O257" s="79"/>
      <c r="P257" s="769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6"/>
      <c r="L258" s="85"/>
      <c r="M258" s="85"/>
      <c r="N258" s="85"/>
      <c r="O258" s="85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8"/>
      <c r="L259" s="79"/>
      <c r="M259" s="79"/>
      <c r="N259" s="79"/>
      <c r="O259" s="79"/>
      <c r="P259" s="769"/>
      <c r="Q259" s="86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79"/>
      <c r="M260" s="79"/>
      <c r="N260" s="79"/>
      <c r="O260" s="79"/>
      <c r="P260" s="769"/>
      <c r="Q260" s="868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79"/>
      <c r="M261" s="79"/>
      <c r="N261" s="79"/>
      <c r="O261" s="79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8"/>
      <c r="L262" s="79"/>
      <c r="M262" s="79"/>
      <c r="N262" s="79"/>
      <c r="O262" s="79"/>
      <c r="P262" s="770"/>
      <c r="Q262" s="866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8"/>
      <c r="L263" s="79"/>
      <c r="M263" s="79"/>
      <c r="N263" s="79"/>
      <c r="O263" s="79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8"/>
      <c r="L264" s="79"/>
      <c r="M264" s="79"/>
      <c r="N264" s="79"/>
      <c r="O264" s="79"/>
      <c r="P264" s="769"/>
      <c r="Q264" s="866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8"/>
      <c r="L265" s="771"/>
      <c r="N265" s="771"/>
      <c r="P265" s="769"/>
      <c r="Q265" s="866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6"/>
      <c r="L266" s="79"/>
      <c r="M266" s="79"/>
      <c r="N266" s="79"/>
      <c r="O266" s="79"/>
      <c r="P266" s="769"/>
      <c r="Q266" s="866"/>
      <c r="R266" s="484"/>
      <c r="S266" s="79"/>
      <c r="T266" s="877"/>
      <c r="U266" s="79"/>
    </row>
    <row r="267" spans="1:21" x14ac:dyDescent="0.25">
      <c r="J267" s="223"/>
      <c r="K267" s="629"/>
      <c r="P267" s="769"/>
      <c r="Q267" s="866"/>
    </row>
    <row r="268" spans="1:21" x14ac:dyDescent="0.25">
      <c r="J268" s="756"/>
      <c r="K268" s="756"/>
      <c r="P268" s="769"/>
      <c r="Q268" s="866"/>
    </row>
    <row r="269" spans="1:21" x14ac:dyDescent="0.25">
      <c r="P269" s="769"/>
      <c r="Q269" s="866"/>
    </row>
    <row r="270" spans="1:21" x14ac:dyDescent="0.25">
      <c r="P270" s="769"/>
      <c r="Q270" s="866"/>
    </row>
    <row r="271" spans="1:21" x14ac:dyDescent="0.25">
      <c r="P271" s="769"/>
      <c r="Q271" s="866"/>
    </row>
    <row r="272" spans="1:21" x14ac:dyDescent="0.25">
      <c r="P272" s="769"/>
      <c r="Q272" s="866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85"/>
      <c r="K273" s="85"/>
      <c r="L273" s="79"/>
      <c r="M273" s="216"/>
      <c r="N273" s="79"/>
      <c r="O273" s="216"/>
      <c r="P273" s="769"/>
      <c r="Q273" s="86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216"/>
      <c r="N274" s="79"/>
      <c r="O274" s="216"/>
      <c r="P274" s="769"/>
      <c r="Q274" s="86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69"/>
      <c r="Q275" s="868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8"/>
      <c r="R276" s="484"/>
      <c r="S276" s="79"/>
      <c r="T276" s="877"/>
      <c r="U276" s="79"/>
    </row>
    <row r="277" spans="1:21" x14ac:dyDescent="0.25">
      <c r="P277" s="769"/>
      <c r="Q277" s="868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69"/>
      <c r="Q278" s="868"/>
      <c r="R278" s="484"/>
      <c r="S278" s="79"/>
      <c r="T278" s="877"/>
      <c r="U278" s="79"/>
    </row>
    <row r="279" spans="1:21" x14ac:dyDescent="0.25">
      <c r="P279" s="769"/>
      <c r="Q279" s="868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85"/>
      <c r="K280" s="85"/>
      <c r="L280" s="79"/>
      <c r="M280" s="629"/>
      <c r="N280" s="79"/>
      <c r="O280" s="629"/>
      <c r="P280" s="769"/>
      <c r="Q280" s="866"/>
      <c r="R280" s="484"/>
      <c r="S280" s="79"/>
      <c r="T280" s="877"/>
      <c r="U280" s="79"/>
    </row>
    <row r="281" spans="1:21" x14ac:dyDescent="0.25">
      <c r="P281" s="769"/>
      <c r="Q281" s="866"/>
    </row>
    <row r="282" spans="1:21" x14ac:dyDescent="0.25">
      <c r="P282" s="769"/>
      <c r="Q282" s="868"/>
    </row>
    <row r="283" spans="1:21" x14ac:dyDescent="0.25">
      <c r="P283" s="769"/>
      <c r="Q283" s="866"/>
    </row>
    <row r="284" spans="1:21" x14ac:dyDescent="0.25">
      <c r="P284" s="769"/>
      <c r="Q284" s="866"/>
    </row>
    <row r="285" spans="1:21" x14ac:dyDescent="0.25">
      <c r="P285" s="769"/>
      <c r="Q285" s="868"/>
    </row>
    <row r="286" spans="1:21" s="518" customFormat="1" x14ac:dyDescent="0.25">
      <c r="A286" s="79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216"/>
      <c r="N286" s="79"/>
      <c r="O286" s="216"/>
      <c r="P286" s="769"/>
      <c r="Q286" s="868"/>
      <c r="R286" s="484"/>
      <c r="S286" s="79"/>
      <c r="T286" s="877"/>
      <c r="U286" s="79"/>
    </row>
    <row r="287" spans="1:21" s="518" customFormat="1" x14ac:dyDescent="0.25">
      <c r="A287" s="79"/>
      <c r="B287" s="79"/>
      <c r="C287" s="79"/>
      <c r="D287" s="79"/>
      <c r="E287" s="79"/>
      <c r="F287" s="79"/>
      <c r="G287" s="79"/>
      <c r="H287" s="79"/>
      <c r="I287" s="79"/>
      <c r="J287" s="771"/>
      <c r="L287" s="79"/>
      <c r="M287" s="216"/>
      <c r="N287" s="79"/>
      <c r="O287" s="216"/>
      <c r="P287" s="769"/>
      <c r="Q287" s="868"/>
      <c r="R287" s="484"/>
      <c r="S287" s="79"/>
      <c r="T287" s="877"/>
      <c r="U287" s="79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216"/>
      <c r="N288" s="79"/>
      <c r="O288" s="216"/>
      <c r="P288" s="769"/>
      <c r="Q288" s="868"/>
      <c r="R288" s="484"/>
      <c r="S288" s="79"/>
      <c r="T288" s="877"/>
      <c r="U288" s="79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69"/>
      <c r="Q289" s="866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223"/>
      <c r="Q290" s="629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56"/>
      <c r="Q291" s="756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79"/>
      <c r="Q292" s="79"/>
      <c r="R292" s="484"/>
      <c r="S292" s="79"/>
      <c r="T292" s="877"/>
      <c r="U292" s="79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9"/>
      <c r="Q293" s="79"/>
      <c r="R293" s="484"/>
      <c r="S293" s="79"/>
      <c r="T293" s="877"/>
      <c r="U293" s="79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9"/>
      <c r="Q294" s="79"/>
      <c r="R294" s="484"/>
      <c r="S294" s="79"/>
      <c r="T294" s="877"/>
      <c r="U294" s="79"/>
    </row>
    <row r="295" spans="1:21" x14ac:dyDescent="0.25">
      <c r="K295" s="216"/>
    </row>
    <row r="296" spans="1:21" x14ac:dyDescent="0.25">
      <c r="K296" s="216"/>
      <c r="P296" s="85"/>
      <c r="Q296" s="85"/>
    </row>
    <row r="297" spans="1:21" x14ac:dyDescent="0.25">
      <c r="K297" s="216"/>
    </row>
    <row r="298" spans="1:21" x14ac:dyDescent="0.25">
      <c r="K298" s="216"/>
    </row>
    <row r="300" spans="1:21" x14ac:dyDescent="0.25">
      <c r="K300" s="216"/>
    </row>
    <row r="302" spans="1:21" x14ac:dyDescent="0.25">
      <c r="K302" s="629"/>
    </row>
    <row r="303" spans="1:21" x14ac:dyDescent="0.25">
      <c r="P303" s="85"/>
      <c r="Q303" s="85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216"/>
      <c r="L308" s="79"/>
      <c r="M308" s="79"/>
      <c r="N308" s="79"/>
      <c r="O308" s="79"/>
      <c r="P308" s="79"/>
      <c r="Q308" s="79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09" spans="1:42" s="484" customFormat="1" x14ac:dyDescent="0.25">
      <c r="A309" s="79"/>
      <c r="B309" s="79"/>
      <c r="C309" s="85"/>
      <c r="D309" s="85"/>
      <c r="E309" s="85"/>
      <c r="F309" s="89"/>
      <c r="G309" s="79"/>
      <c r="H309" s="79"/>
      <c r="I309" s="79"/>
      <c r="J309" s="79"/>
      <c r="K309" s="216"/>
      <c r="L309" s="79"/>
      <c r="M309" s="79"/>
      <c r="N309" s="79"/>
      <c r="O309" s="79"/>
      <c r="P309" s="79"/>
      <c r="Q309" s="79"/>
      <c r="S309" s="79"/>
      <c r="T309" s="87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216"/>
      <c r="L310" s="79"/>
      <c r="M310" s="79"/>
      <c r="N310" s="79"/>
      <c r="O310" s="79"/>
      <c r="P310" s="771"/>
      <c r="Q310" s="518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1" spans="1:42" s="484" customFormat="1" x14ac:dyDescent="0.25">
      <c r="A311" s="79"/>
      <c r="B311" s="79"/>
      <c r="C311" s="85"/>
      <c r="D311" s="85"/>
      <c r="E311" s="85"/>
      <c r="F311" s="89"/>
      <c r="G311" s="79"/>
      <c r="H311" s="79"/>
      <c r="I311" s="79"/>
      <c r="J311" s="79"/>
      <c r="K311" s="216"/>
      <c r="L311" s="79"/>
      <c r="M311" s="79"/>
      <c r="N311" s="79"/>
      <c r="O311" s="79"/>
      <c r="P311" s="79"/>
      <c r="Q311" s="79"/>
      <c r="S311" s="79"/>
      <c r="T311" s="87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</row>
    <row r="312" spans="1:42" x14ac:dyDescent="0.25">
      <c r="K312" s="216"/>
    </row>
    <row r="313" spans="1:42" x14ac:dyDescent="0.25">
      <c r="K313" s="216"/>
    </row>
    <row r="314" spans="1:42" x14ac:dyDescent="0.25">
      <c r="K314" s="216"/>
    </row>
    <row r="315" spans="1:42" x14ac:dyDescent="0.25">
      <c r="K315" s="216"/>
    </row>
    <row r="316" spans="1:42" x14ac:dyDescent="0.25">
      <c r="K316" s="216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629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31" spans="1:42" s="484" customFormat="1" x14ac:dyDescent="0.25">
      <c r="A331" s="79"/>
      <c r="B331" s="79"/>
      <c r="C331" s="85"/>
      <c r="D331" s="85"/>
      <c r="E331" s="85"/>
      <c r="F331" s="8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216"/>
      <c r="S331" s="79"/>
      <c r="T331" s="877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</row>
    <row r="332" spans="1:42" s="484" customFormat="1" x14ac:dyDescent="0.25">
      <c r="A332" s="79"/>
      <c r="B332" s="79"/>
      <c r="C332" s="85"/>
      <c r="D332" s="85"/>
      <c r="E332" s="85"/>
      <c r="F332" s="8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216"/>
      <c r="S332" s="79"/>
      <c r="T332" s="877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</sheetData>
  <autoFilter ref="A2:I204" xr:uid="{00000000-0009-0000-0000-00008D000000}"/>
  <mergeCells count="19">
    <mergeCell ref="Q214:U214"/>
    <mergeCell ref="H214:L214"/>
    <mergeCell ref="B207:D207"/>
    <mergeCell ref="L2:M3"/>
    <mergeCell ref="N2:O3"/>
    <mergeCell ref="P2:Q3"/>
    <mergeCell ref="A182:E182"/>
    <mergeCell ref="A183:E183"/>
    <mergeCell ref="C206:D206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43" type="noConversion"/>
  <conditionalFormatting sqref="F203">
    <cfRule type="cellIs" dxfId="20" priority="1" operator="greaterThan">
      <formula>1</formula>
    </cfRule>
    <cfRule type="cellIs" dxfId="19" priority="2" operator="greaterThan">
      <formula>100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" operator="greaterThan" id="{54752DD0-8685-4D30-AC73-EF42D7C08ADC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D186:D202</xm:sqref>
        </x14:conditionalFormatting>
      </x14:conditionalFormattings>
    </ext>
  </extLst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C3D61-E713-4284-84B9-00F0EF358522}">
  <dimension ref="A1:AP326"/>
  <sheetViews>
    <sheetView zoomScale="85" zoomScaleNormal="85" workbookViewId="0">
      <pane ySplit="5" topLeftCell="A142" activePane="bottomLeft" state="frozen"/>
      <selection pane="bottomLeft" activeCell="R117" sqref="R117"/>
    </sheetView>
  </sheetViews>
  <sheetFormatPr defaultColWidth="9.140625" defaultRowHeight="15" x14ac:dyDescent="0.25"/>
  <cols>
    <col min="1" max="1" width="12" style="79" bestFit="1" customWidth="1"/>
    <col min="2" max="2" width="37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1" width="13.42578125" style="79" customWidth="1"/>
    <col min="12" max="12" width="11" style="79" customWidth="1"/>
    <col min="13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8307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6794</v>
      </c>
      <c r="I2" s="3074"/>
      <c r="J2" s="3073" t="s">
        <v>8559</v>
      </c>
      <c r="K2" s="3074"/>
      <c r="L2" s="3073" t="s">
        <v>8560</v>
      </c>
      <c r="M2" s="3074"/>
      <c r="N2" s="3073" t="s">
        <v>8556</v>
      </c>
      <c r="O2" s="3074"/>
      <c r="P2" s="3073" t="s">
        <v>3306</v>
      </c>
      <c r="Q2" s="3074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75"/>
      <c r="K3" s="3076"/>
      <c r="L3" s="3075"/>
      <c r="M3" s="3076"/>
      <c r="N3" s="3075"/>
      <c r="O3" s="3076"/>
      <c r="P3" s="3075"/>
      <c r="Q3" s="3076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45962</v>
      </c>
      <c r="B5" s="369" t="s">
        <v>10</v>
      </c>
      <c r="C5" s="370"/>
      <c r="D5" s="370"/>
      <c r="E5" s="777"/>
      <c r="F5" s="179"/>
      <c r="G5" s="933">
        <f>'Outubro-25'!G183</f>
        <v>1066.6720714286166</v>
      </c>
      <c r="H5" s="163"/>
      <c r="I5" s="1479">
        <f>'Agosto-25'!I171</f>
        <v>0</v>
      </c>
      <c r="J5" s="179"/>
      <c r="K5" s="933">
        <f>'Outubro-25'!K183</f>
        <v>9218.5700000000052</v>
      </c>
      <c r="L5" s="179"/>
      <c r="M5" s="933">
        <f>'Outubro-25'!M183</f>
        <v>0</v>
      </c>
      <c r="N5" s="179"/>
      <c r="O5" s="1479">
        <f>'Outubro-25'!O183</f>
        <v>4043.0600000000013</v>
      </c>
      <c r="P5" s="179"/>
      <c r="Q5" s="933">
        <f>'Outubro-25'!Q183</f>
        <v>7461.9059847200078</v>
      </c>
    </row>
    <row r="6" spans="1:42" s="224" customFormat="1" x14ac:dyDescent="0.25">
      <c r="A6" s="247">
        <v>45962</v>
      </c>
      <c r="B6" s="348" t="s">
        <v>11</v>
      </c>
      <c r="C6" s="351"/>
      <c r="D6" s="351"/>
      <c r="E6" s="673"/>
      <c r="F6" s="538">
        <v>20</v>
      </c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x14ac:dyDescent="0.25">
      <c r="A7" s="247">
        <v>45962</v>
      </c>
      <c r="B7" s="882" t="s">
        <v>14</v>
      </c>
      <c r="C7" s="1276" t="s">
        <v>12</v>
      </c>
      <c r="D7" s="879" t="s">
        <v>1486</v>
      </c>
      <c r="E7" s="875" t="s">
        <v>13</v>
      </c>
      <c r="F7" s="780">
        <v>7.11</v>
      </c>
      <c r="G7" s="982"/>
      <c r="H7" s="1008"/>
      <c r="I7" s="1063"/>
      <c r="J7" s="2013"/>
      <c r="K7" s="1207"/>
      <c r="L7" s="622"/>
      <c r="M7" s="982"/>
      <c r="N7" s="622"/>
      <c r="O7" s="1063"/>
      <c r="P7" s="622"/>
      <c r="Q7" s="982"/>
      <c r="R7" s="861"/>
      <c r="T7" s="878"/>
    </row>
    <row r="8" spans="1:42" s="224" customFormat="1" x14ac:dyDescent="0.25">
      <c r="A8" s="247">
        <v>45962</v>
      </c>
      <c r="B8" s="364" t="s">
        <v>7217</v>
      </c>
      <c r="C8" s="350" t="s">
        <v>12</v>
      </c>
      <c r="D8" s="350" t="s">
        <v>1489</v>
      </c>
      <c r="E8" s="875" t="s">
        <v>13</v>
      </c>
      <c r="F8" s="780">
        <v>20.170000000000002</v>
      </c>
      <c r="G8" s="982"/>
      <c r="H8" s="1008"/>
      <c r="I8" s="1063"/>
      <c r="J8" s="2013"/>
      <c r="K8" s="1207"/>
      <c r="L8" s="622"/>
      <c r="M8" s="982"/>
      <c r="N8" s="622"/>
      <c r="O8" s="1063"/>
      <c r="P8" s="622"/>
      <c r="Q8" s="982"/>
      <c r="R8" s="861"/>
      <c r="T8" s="878"/>
    </row>
    <row r="9" spans="1:42" s="224" customFormat="1" ht="15" customHeight="1" x14ac:dyDescent="0.25">
      <c r="A9" s="247">
        <v>45962</v>
      </c>
      <c r="B9" s="1275" t="s">
        <v>2251</v>
      </c>
      <c r="C9" s="1276" t="s">
        <v>12</v>
      </c>
      <c r="D9" s="1276" t="s">
        <v>2157</v>
      </c>
      <c r="E9" s="1286" t="s">
        <v>15</v>
      </c>
      <c r="F9" s="613">
        <v>20</v>
      </c>
      <c r="G9" s="967"/>
      <c r="H9" s="1008"/>
      <c r="I9" s="1063"/>
      <c r="J9" s="613"/>
      <c r="K9" s="6"/>
      <c r="L9" s="622"/>
      <c r="M9" s="982"/>
      <c r="N9" s="622"/>
      <c r="O9" s="1063"/>
      <c r="P9" s="613"/>
      <c r="Q9" s="64"/>
      <c r="R9" s="1024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</row>
    <row r="10" spans="1:42" s="224" customFormat="1" x14ac:dyDescent="0.25">
      <c r="A10" s="247">
        <v>45962</v>
      </c>
      <c r="B10" s="364" t="s">
        <v>8465</v>
      </c>
      <c r="C10" s="350" t="s">
        <v>12</v>
      </c>
      <c r="D10" s="350" t="s">
        <v>1523</v>
      </c>
      <c r="E10" s="875" t="s">
        <v>13</v>
      </c>
      <c r="F10" s="780">
        <v>38</v>
      </c>
      <c r="G10" s="982"/>
      <c r="H10" s="1008"/>
      <c r="I10" s="1063"/>
      <c r="J10" s="2013"/>
      <c r="K10" s="1207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x14ac:dyDescent="0.25">
      <c r="A11" s="247">
        <v>45963</v>
      </c>
      <c r="B11" s="882" t="s">
        <v>14</v>
      </c>
      <c r="C11" s="1276" t="s">
        <v>12</v>
      </c>
      <c r="D11" s="879" t="s">
        <v>1486</v>
      </c>
      <c r="E11" s="875" t="s">
        <v>13</v>
      </c>
      <c r="F11" s="780">
        <v>7.63</v>
      </c>
      <c r="G11" s="982"/>
      <c r="H11" s="1008"/>
      <c r="I11" s="1063"/>
      <c r="J11" s="2013"/>
      <c r="K11" s="1207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47">
        <v>45963</v>
      </c>
      <c r="B12" s="1275" t="s">
        <v>8467</v>
      </c>
      <c r="C12" s="1276" t="s">
        <v>12</v>
      </c>
      <c r="D12" s="1276" t="s">
        <v>6731</v>
      </c>
      <c r="E12" s="1286" t="s">
        <v>13</v>
      </c>
      <c r="F12" s="613">
        <v>8.5</v>
      </c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64"/>
      <c r="R12" s="1024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ht="15" customHeight="1" x14ac:dyDescent="0.25">
      <c r="A13" s="247">
        <v>45963</v>
      </c>
      <c r="B13" s="1275" t="s">
        <v>8466</v>
      </c>
      <c r="C13" s="1276" t="s">
        <v>12</v>
      </c>
      <c r="D13" s="1276" t="s">
        <v>6731</v>
      </c>
      <c r="E13" s="1286" t="s">
        <v>13</v>
      </c>
      <c r="F13" s="613">
        <v>7.72</v>
      </c>
      <c r="G13" s="967"/>
      <c r="H13" s="1008"/>
      <c r="I13" s="1063"/>
      <c r="J13" s="613"/>
      <c r="K13" s="6"/>
      <c r="L13" s="622"/>
      <c r="M13" s="982"/>
      <c r="N13" s="622"/>
      <c r="O13" s="1063"/>
      <c r="P13" s="613"/>
      <c r="Q13" s="64"/>
      <c r="R13" s="1024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</row>
    <row r="14" spans="1:42" s="224" customFormat="1" ht="15" customHeight="1" x14ac:dyDescent="0.25">
      <c r="A14" s="247">
        <v>45963</v>
      </c>
      <c r="B14" s="1275" t="s">
        <v>8468</v>
      </c>
      <c r="C14" s="1276" t="s">
        <v>12</v>
      </c>
      <c r="D14" s="1276" t="s">
        <v>1489</v>
      </c>
      <c r="E14" s="1286" t="s">
        <v>13</v>
      </c>
      <c r="F14" s="613">
        <v>9.99</v>
      </c>
      <c r="G14" s="967"/>
      <c r="H14" s="1008"/>
      <c r="I14" s="1063"/>
      <c r="J14" s="613"/>
      <c r="K14" s="6"/>
      <c r="L14" s="622"/>
      <c r="M14" s="982"/>
      <c r="N14" s="622"/>
      <c r="O14" s="1063"/>
      <c r="P14" s="613"/>
      <c r="Q14" s="64"/>
      <c r="R14" s="102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45963</v>
      </c>
      <c r="B15" s="1275" t="s">
        <v>8469</v>
      </c>
      <c r="C15" s="1276" t="s">
        <v>12</v>
      </c>
      <c r="D15" s="1276" t="s">
        <v>1489</v>
      </c>
      <c r="E15" s="1286" t="s">
        <v>13</v>
      </c>
      <c r="F15" s="613">
        <v>4.99</v>
      </c>
      <c r="G15" s="967"/>
      <c r="H15" s="1008"/>
      <c r="I15" s="1063"/>
      <c r="J15" s="613"/>
      <c r="K15" s="6"/>
      <c r="L15" s="622"/>
      <c r="M15" s="982"/>
      <c r="N15" s="622"/>
      <c r="O15" s="1063"/>
      <c r="P15" s="613"/>
      <c r="Q15" s="64"/>
      <c r="R15" s="1024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</row>
    <row r="16" spans="1:42" s="224" customFormat="1" ht="15" customHeight="1" x14ac:dyDescent="0.25">
      <c r="A16" s="247">
        <v>45963</v>
      </c>
      <c r="B16" s="1275" t="s">
        <v>2251</v>
      </c>
      <c r="C16" s="1276" t="s">
        <v>12</v>
      </c>
      <c r="D16" s="1276" t="s">
        <v>2157</v>
      </c>
      <c r="E16" s="1286" t="s">
        <v>13</v>
      </c>
      <c r="F16" s="613">
        <v>11.97</v>
      </c>
      <c r="G16" s="967"/>
      <c r="H16" s="1008"/>
      <c r="I16" s="1063"/>
      <c r="J16" s="613"/>
      <c r="K16" s="6"/>
      <c r="L16" s="622"/>
      <c r="M16" s="982"/>
      <c r="N16" s="622"/>
      <c r="O16" s="1063"/>
      <c r="P16" s="613"/>
      <c r="Q16" s="64"/>
      <c r="R16" s="1024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</row>
    <row r="17" spans="1:42" s="224" customFormat="1" x14ac:dyDescent="0.25">
      <c r="A17" s="247">
        <v>45963</v>
      </c>
      <c r="B17" s="882" t="s">
        <v>14</v>
      </c>
      <c r="C17" s="1276" t="s">
        <v>12</v>
      </c>
      <c r="D17" s="879" t="s">
        <v>1486</v>
      </c>
      <c r="E17" s="875" t="s">
        <v>13</v>
      </c>
      <c r="F17" s="780">
        <v>4.71</v>
      </c>
      <c r="G17" s="982"/>
      <c r="H17" s="1008"/>
      <c r="I17" s="1063"/>
      <c r="J17" s="2013"/>
      <c r="K17" s="1207"/>
      <c r="L17" s="622"/>
      <c r="M17" s="982"/>
      <c r="N17" s="622"/>
      <c r="O17" s="1063"/>
      <c r="P17" s="622"/>
      <c r="Q17" s="982"/>
      <c r="R17" s="861"/>
      <c r="T17" s="878"/>
    </row>
    <row r="18" spans="1:42" s="224" customFormat="1" ht="15" customHeight="1" x14ac:dyDescent="0.25">
      <c r="A18" s="247">
        <v>45964</v>
      </c>
      <c r="B18" s="349" t="s">
        <v>8311</v>
      </c>
      <c r="C18" s="350" t="s">
        <v>12</v>
      </c>
      <c r="D18" s="350" t="s">
        <v>6731</v>
      </c>
      <c r="E18" s="887" t="s">
        <v>13</v>
      </c>
      <c r="F18" s="613">
        <v>373.76</v>
      </c>
      <c r="G18" s="982"/>
      <c r="H18" s="872"/>
      <c r="I18" s="1063"/>
      <c r="J18" s="622"/>
      <c r="K18" s="982"/>
      <c r="L18" s="622"/>
      <c r="M18" s="982"/>
      <c r="N18" s="622"/>
      <c r="O18" s="1063"/>
      <c r="P18" s="622"/>
      <c r="Q18" s="982"/>
      <c r="R18" s="1080" t="s">
        <v>8423</v>
      </c>
      <c r="S18" s="999"/>
      <c r="T18" s="878"/>
    </row>
    <row r="19" spans="1:42" s="224" customFormat="1" ht="15" customHeight="1" x14ac:dyDescent="0.25">
      <c r="A19" s="247">
        <v>45964</v>
      </c>
      <c r="B19" s="1275" t="s">
        <v>32</v>
      </c>
      <c r="C19" s="1276" t="s">
        <v>12</v>
      </c>
      <c r="D19" s="1276" t="s">
        <v>1485</v>
      </c>
      <c r="E19" s="875" t="s">
        <v>13</v>
      </c>
      <c r="F19" s="780">
        <v>23</v>
      </c>
      <c r="G19" s="982"/>
      <c r="H19" s="622"/>
      <c r="I19" s="982"/>
      <c r="J19" s="622"/>
      <c r="K19" s="982"/>
      <c r="L19" s="622"/>
      <c r="M19" s="982"/>
      <c r="N19" s="880"/>
      <c r="O19" s="1525"/>
      <c r="P19" s="613"/>
      <c r="Q19" s="162"/>
      <c r="R19" s="1956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</row>
    <row r="20" spans="1:42" s="224" customFormat="1" ht="15" customHeight="1" x14ac:dyDescent="0.25">
      <c r="A20" s="247">
        <v>45964</v>
      </c>
      <c r="B20" s="882" t="s">
        <v>14</v>
      </c>
      <c r="C20" s="1276" t="s">
        <v>12</v>
      </c>
      <c r="D20" s="879" t="s">
        <v>1486</v>
      </c>
      <c r="E20" s="875" t="s">
        <v>13</v>
      </c>
      <c r="F20" s="613">
        <v>4.6399999999999997</v>
      </c>
      <c r="G20" s="967"/>
      <c r="H20" s="1008"/>
      <c r="I20" s="1063"/>
      <c r="J20" s="613"/>
      <c r="K20" s="6"/>
      <c r="L20" s="622"/>
      <c r="M20" s="982"/>
      <c r="N20" s="622"/>
      <c r="O20" s="1063"/>
      <c r="P20" s="613"/>
      <c r="Q20" s="64"/>
      <c r="R20" s="1024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</row>
    <row r="21" spans="1:42" s="224" customFormat="1" ht="15" customHeight="1" x14ac:dyDescent="0.25">
      <c r="A21" s="247">
        <v>45965</v>
      </c>
      <c r="B21" s="1275" t="s">
        <v>8472</v>
      </c>
      <c r="C21" s="1276" t="s">
        <v>12</v>
      </c>
      <c r="D21" s="1276"/>
      <c r="E21" s="1286" t="s">
        <v>13</v>
      </c>
      <c r="F21" s="613">
        <v>249.48</v>
      </c>
      <c r="G21" s="967"/>
      <c r="H21" s="1008"/>
      <c r="I21" s="1063"/>
      <c r="J21" s="613"/>
      <c r="K21" s="6"/>
      <c r="L21" s="622"/>
      <c r="M21" s="982"/>
      <c r="N21" s="622"/>
      <c r="O21" s="1063"/>
      <c r="P21" s="613"/>
      <c r="Q21" s="64"/>
      <c r="R21" s="1024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45965</v>
      </c>
      <c r="B22" s="1275" t="s">
        <v>6755</v>
      </c>
      <c r="C22" s="1276" t="s">
        <v>12</v>
      </c>
      <c r="D22" s="1276"/>
      <c r="E22" s="1286"/>
      <c r="F22" s="613"/>
      <c r="G22" s="967">
        <v>249.48</v>
      </c>
      <c r="H22" s="1008"/>
      <c r="I22" s="1063"/>
      <c r="J22" s="613"/>
      <c r="K22" s="6"/>
      <c r="L22" s="622"/>
      <c r="M22" s="982"/>
      <c r="N22" s="622"/>
      <c r="O22" s="1063"/>
      <c r="P22" s="613"/>
      <c r="Q22" s="64"/>
      <c r="R22" s="1024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45965</v>
      </c>
      <c r="B23" s="882" t="s">
        <v>6329</v>
      </c>
      <c r="C23" s="879" t="s">
        <v>12</v>
      </c>
      <c r="D23" s="879"/>
      <c r="E23" s="875" t="s">
        <v>25</v>
      </c>
      <c r="F23" s="780"/>
      <c r="G23" s="982">
        <v>125</v>
      </c>
      <c r="H23" s="1008"/>
      <c r="I23" s="1063"/>
      <c r="J23" s="613"/>
      <c r="K23" s="982"/>
      <c r="L23" s="622"/>
      <c r="M23" s="982"/>
      <c r="N23" s="622"/>
      <c r="O23" s="1063"/>
      <c r="P23" s="622"/>
      <c r="Q23" s="982"/>
      <c r="R23" s="861"/>
    </row>
    <row r="24" spans="1:42" s="224" customFormat="1" ht="15" customHeight="1" x14ac:dyDescent="0.25">
      <c r="A24" s="247">
        <v>45965</v>
      </c>
      <c r="B24" s="1275" t="s">
        <v>32</v>
      </c>
      <c r="C24" s="1276" t="s">
        <v>12</v>
      </c>
      <c r="D24" s="1276" t="s">
        <v>1485</v>
      </c>
      <c r="E24" s="875" t="s">
        <v>13</v>
      </c>
      <c r="F24" s="780">
        <v>23</v>
      </c>
      <c r="G24" s="982"/>
      <c r="H24" s="622"/>
      <c r="I24" s="982"/>
      <c r="J24" s="622"/>
      <c r="K24" s="982"/>
      <c r="L24" s="622"/>
      <c r="M24" s="982"/>
      <c r="N24" s="880"/>
      <c r="O24" s="1525"/>
      <c r="P24" s="613"/>
      <c r="Q24" s="162"/>
      <c r="R24" s="1956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x14ac:dyDescent="0.25">
      <c r="A25" s="247">
        <v>45965</v>
      </c>
      <c r="B25" s="882" t="s">
        <v>14</v>
      </c>
      <c r="C25" s="1276" t="s">
        <v>12</v>
      </c>
      <c r="D25" s="879" t="s">
        <v>1486</v>
      </c>
      <c r="E25" s="875" t="s">
        <v>13</v>
      </c>
      <c r="F25" s="780">
        <v>5.3</v>
      </c>
      <c r="G25" s="982"/>
      <c r="H25" s="1008"/>
      <c r="I25" s="1063"/>
      <c r="J25" s="2013"/>
      <c r="K25" s="1207"/>
      <c r="L25" s="622"/>
      <c r="M25" s="982"/>
      <c r="N25" s="622"/>
      <c r="O25" s="1063"/>
      <c r="P25" s="622"/>
      <c r="Q25" s="982"/>
      <c r="R25" s="861"/>
      <c r="T25" s="878"/>
    </row>
    <row r="26" spans="1:42" s="224" customFormat="1" ht="15" customHeight="1" x14ac:dyDescent="0.25">
      <c r="A26" s="247">
        <v>45965</v>
      </c>
      <c r="B26" s="1275" t="s">
        <v>8478</v>
      </c>
      <c r="C26" s="1276" t="s">
        <v>12</v>
      </c>
      <c r="D26" s="1276" t="s">
        <v>1489</v>
      </c>
      <c r="E26" s="1286" t="s">
        <v>13</v>
      </c>
      <c r="F26" s="613">
        <v>20.56</v>
      </c>
      <c r="G26" s="967"/>
      <c r="H26" s="1008"/>
      <c r="I26" s="1063"/>
      <c r="J26" s="613"/>
      <c r="K26" s="6"/>
      <c r="L26" s="622"/>
      <c r="M26" s="982"/>
      <c r="N26" s="622"/>
      <c r="O26" s="1063"/>
      <c r="P26" s="613"/>
      <c r="Q26" s="64"/>
      <c r="R26" s="1024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</row>
    <row r="27" spans="1:42" s="224" customFormat="1" ht="15" customHeight="1" x14ac:dyDescent="0.25">
      <c r="A27" s="247">
        <v>45966</v>
      </c>
      <c r="B27" s="1275" t="s">
        <v>2789</v>
      </c>
      <c r="C27" s="1276" t="s">
        <v>12</v>
      </c>
      <c r="D27" s="1276" t="s">
        <v>1485</v>
      </c>
      <c r="E27" s="875" t="s">
        <v>13</v>
      </c>
      <c r="F27" s="780">
        <v>10.74</v>
      </c>
      <c r="G27" s="982"/>
      <c r="H27" s="622"/>
      <c r="I27" s="982"/>
      <c r="J27" s="622"/>
      <c r="K27" s="982"/>
      <c r="L27" s="622"/>
      <c r="M27" s="982"/>
      <c r="N27" s="880"/>
      <c r="O27" s="1525"/>
      <c r="P27" s="613"/>
      <c r="Q27" s="162"/>
      <c r="R27" s="1956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</row>
    <row r="28" spans="1:42" s="224" customFormat="1" x14ac:dyDescent="0.25">
      <c r="A28" s="247">
        <v>45966</v>
      </c>
      <c r="B28" s="882" t="s">
        <v>14</v>
      </c>
      <c r="C28" s="1276" t="s">
        <v>12</v>
      </c>
      <c r="D28" s="879" t="s">
        <v>1486</v>
      </c>
      <c r="E28" s="875" t="s">
        <v>13</v>
      </c>
      <c r="F28" s="780">
        <v>8.1</v>
      </c>
      <c r="G28" s="982"/>
      <c r="H28" s="1008"/>
      <c r="I28" s="1063"/>
      <c r="J28" s="2013"/>
      <c r="K28" s="1207"/>
      <c r="L28" s="622"/>
      <c r="M28" s="982"/>
      <c r="N28" s="622"/>
      <c r="O28" s="1063"/>
      <c r="P28" s="622"/>
      <c r="Q28" s="982"/>
      <c r="R28" s="861"/>
      <c r="T28" s="878"/>
    </row>
    <row r="29" spans="1:42" s="224" customFormat="1" ht="15" customHeight="1" x14ac:dyDescent="0.25">
      <c r="A29" s="247">
        <v>45966</v>
      </c>
      <c r="B29" s="1275" t="s">
        <v>8494</v>
      </c>
      <c r="C29" s="1276" t="s">
        <v>12</v>
      </c>
      <c r="D29" s="1276" t="s">
        <v>1506</v>
      </c>
      <c r="E29" s="1286" t="s">
        <v>13</v>
      </c>
      <c r="F29" s="613">
        <v>32</v>
      </c>
      <c r="G29" s="967"/>
      <c r="H29" s="1008"/>
      <c r="I29" s="1063"/>
      <c r="J29" s="613"/>
      <c r="K29" s="6"/>
      <c r="L29" s="622"/>
      <c r="M29" s="982"/>
      <c r="N29" s="622"/>
      <c r="O29" s="1063"/>
      <c r="P29" s="613"/>
      <c r="Q29" s="64"/>
      <c r="R29" s="1024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</row>
    <row r="30" spans="1:42" s="224" customFormat="1" ht="15" customHeight="1" x14ac:dyDescent="0.25">
      <c r="A30" s="247">
        <v>45966</v>
      </c>
      <c r="B30" s="1275" t="s">
        <v>3130</v>
      </c>
      <c r="C30" s="1276" t="s">
        <v>12</v>
      </c>
      <c r="D30" s="1276" t="s">
        <v>1506</v>
      </c>
      <c r="E30" s="1286" t="s">
        <v>13</v>
      </c>
      <c r="F30" s="613">
        <v>26</v>
      </c>
      <c r="G30" s="967"/>
      <c r="H30" s="1008"/>
      <c r="I30" s="1063"/>
      <c r="J30" s="613"/>
      <c r="K30" s="6"/>
      <c r="L30" s="622"/>
      <c r="M30" s="982"/>
      <c r="N30" s="622"/>
      <c r="O30" s="1063"/>
      <c r="P30" s="613"/>
      <c r="Q30" s="64"/>
      <c r="R30" s="1024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.75" customHeight="1" x14ac:dyDescent="0.25">
      <c r="A31" s="247">
        <v>45967</v>
      </c>
      <c r="B31" s="873" t="s">
        <v>8362</v>
      </c>
      <c r="C31" s="879" t="s">
        <v>12</v>
      </c>
      <c r="D31" s="874"/>
      <c r="E31" s="887" t="s">
        <v>25</v>
      </c>
      <c r="F31" s="780"/>
      <c r="G31" s="1002">
        <v>2609.23</v>
      </c>
      <c r="H31" s="538"/>
      <c r="I31" s="982"/>
      <c r="J31" s="2013"/>
      <c r="K31" s="1207"/>
      <c r="L31" s="622"/>
      <c r="M31" s="982"/>
      <c r="N31" s="622"/>
      <c r="O31" s="1063"/>
      <c r="P31" s="622"/>
      <c r="Q31" s="982"/>
      <c r="R31" s="178"/>
      <c r="S31" s="2966"/>
    </row>
    <row r="32" spans="1:42" s="224" customFormat="1" ht="15" customHeight="1" x14ac:dyDescent="0.25">
      <c r="A32" s="247">
        <v>45967</v>
      </c>
      <c r="B32" s="364" t="s">
        <v>1396</v>
      </c>
      <c r="C32" s="879" t="s">
        <v>12</v>
      </c>
      <c r="D32" s="350"/>
      <c r="E32" s="919" t="s">
        <v>25</v>
      </c>
      <c r="F32" s="1116"/>
      <c r="G32" s="966">
        <v>200</v>
      </c>
      <c r="H32" s="1031"/>
      <c r="I32" s="1525"/>
      <c r="J32" s="2013"/>
      <c r="K32" s="1207"/>
      <c r="L32" s="880"/>
      <c r="M32" s="1033"/>
      <c r="N32" s="622"/>
      <c r="O32" s="1063"/>
      <c r="P32" s="1116"/>
      <c r="Q32" s="1207"/>
      <c r="R32"/>
      <c r="S32" s="1826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ht="15" customHeight="1" x14ac:dyDescent="0.25">
      <c r="A33" s="247">
        <v>45967</v>
      </c>
      <c r="B33" s="364" t="s">
        <v>7219</v>
      </c>
      <c r="C33" s="879" t="s">
        <v>12</v>
      </c>
      <c r="D33" s="350" t="s">
        <v>1491</v>
      </c>
      <c r="E33" s="875" t="s">
        <v>13</v>
      </c>
      <c r="F33" s="780">
        <v>500</v>
      </c>
      <c r="G33" s="982"/>
      <c r="H33" s="622"/>
      <c r="I33" s="982"/>
      <c r="J33" s="2013"/>
      <c r="K33" s="1207"/>
      <c r="L33" s="622"/>
      <c r="M33" s="982"/>
      <c r="N33" s="622"/>
      <c r="O33" s="1063"/>
      <c r="P33" s="622"/>
      <c r="Q33" s="982"/>
      <c r="R33" s="1028"/>
      <c r="S33" s="923"/>
      <c r="T33" s="1035"/>
    </row>
    <row r="34" spans="1:42" s="224" customFormat="1" ht="15" customHeight="1" x14ac:dyDescent="0.25">
      <c r="A34" s="247">
        <v>45967</v>
      </c>
      <c r="B34" s="882" t="s">
        <v>8363</v>
      </c>
      <c r="C34" s="879" t="s">
        <v>12</v>
      </c>
      <c r="D34" s="879" t="s">
        <v>1499</v>
      </c>
      <c r="E34" s="871" t="s">
        <v>13</v>
      </c>
      <c r="F34" s="780">
        <v>146.07</v>
      </c>
      <c r="G34" s="982"/>
      <c r="H34" s="1008"/>
      <c r="I34" s="1063"/>
      <c r="J34" s="880"/>
      <c r="K34" s="1033"/>
      <c r="L34" s="622"/>
      <c r="M34" s="982"/>
      <c r="N34" s="622"/>
      <c r="O34" s="1063"/>
      <c r="P34" s="622"/>
      <c r="Q34" s="982"/>
      <c r="R34" s="1028">
        <v>240</v>
      </c>
      <c r="S34" s="923"/>
      <c r="T34" s="878"/>
    </row>
    <row r="35" spans="1:42" x14ac:dyDescent="0.25">
      <c r="A35" s="247">
        <v>45967</v>
      </c>
      <c r="B35" s="876" t="s">
        <v>6762</v>
      </c>
      <c r="C35" s="879" t="s">
        <v>12</v>
      </c>
      <c r="D35" s="879" t="s">
        <v>1496</v>
      </c>
      <c r="E35" s="871" t="s">
        <v>13</v>
      </c>
      <c r="F35" s="780">
        <v>100</v>
      </c>
      <c r="G35" s="982"/>
      <c r="H35" s="1009"/>
      <c r="I35" s="1063"/>
      <c r="J35" s="613"/>
      <c r="K35" s="6"/>
      <c r="L35" s="622"/>
      <c r="M35" s="982"/>
      <c r="N35" s="622"/>
      <c r="O35" s="1063"/>
      <c r="P35" s="622"/>
      <c r="Q35" s="982"/>
      <c r="R35" s="1029"/>
      <c r="S35" s="929"/>
    </row>
    <row r="36" spans="1:42" s="224" customFormat="1" ht="15" customHeight="1" x14ac:dyDescent="0.25">
      <c r="A36" s="247">
        <v>45967</v>
      </c>
      <c r="B36" s="1289" t="s">
        <v>2096</v>
      </c>
      <c r="C36" s="879" t="s">
        <v>12</v>
      </c>
      <c r="D36" s="1276" t="s">
        <v>1506</v>
      </c>
      <c r="E36" s="875" t="s">
        <v>13</v>
      </c>
      <c r="F36" s="1810">
        <v>50</v>
      </c>
      <c r="G36" s="967"/>
      <c r="H36" s="1008"/>
      <c r="I36" s="1063"/>
      <c r="J36" s="613"/>
      <c r="K36" s="6"/>
      <c r="L36" s="622"/>
      <c r="M36" s="982"/>
      <c r="N36" s="622"/>
      <c r="O36" s="1063"/>
      <c r="P36" s="613"/>
      <c r="Q36" s="64"/>
      <c r="R36" s="1209"/>
      <c r="S36" s="1802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45967</v>
      </c>
      <c r="B37" s="882" t="s">
        <v>8377</v>
      </c>
      <c r="C37" s="879" t="s">
        <v>12</v>
      </c>
      <c r="D37" s="879" t="s">
        <v>1525</v>
      </c>
      <c r="E37" s="875" t="s">
        <v>13</v>
      </c>
      <c r="F37" s="780">
        <v>375.96999999999997</v>
      </c>
      <c r="G37" s="982"/>
      <c r="H37" s="622"/>
      <c r="I37" s="982"/>
      <c r="J37" s="622"/>
      <c r="K37" s="982"/>
      <c r="L37" s="622"/>
      <c r="M37" s="982"/>
      <c r="N37" s="880"/>
      <c r="O37" s="1525"/>
      <c r="P37" s="613"/>
      <c r="Q37" s="162"/>
      <c r="R37" s="1956" t="s">
        <v>7137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45967</v>
      </c>
      <c r="B38" s="882" t="s">
        <v>8444</v>
      </c>
      <c r="C38" s="879" t="s">
        <v>12</v>
      </c>
      <c r="D38" s="879" t="s">
        <v>1525</v>
      </c>
      <c r="E38" s="875" t="s">
        <v>13</v>
      </c>
      <c r="F38" s="780">
        <v>206.26</v>
      </c>
      <c r="G38" s="982"/>
      <c r="H38" s="622"/>
      <c r="I38" s="982"/>
      <c r="J38" s="622"/>
      <c r="K38" s="982"/>
      <c r="L38" s="622"/>
      <c r="M38" s="982"/>
      <c r="N38" s="880"/>
      <c r="O38" s="1525"/>
      <c r="P38" s="613"/>
      <c r="Q38" s="162"/>
      <c r="R38" s="1956" t="s">
        <v>7137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45967</v>
      </c>
      <c r="B39" s="882" t="s">
        <v>7849</v>
      </c>
      <c r="C39" s="879" t="s">
        <v>12</v>
      </c>
      <c r="D39" s="879"/>
      <c r="E39" s="875" t="s">
        <v>13</v>
      </c>
      <c r="F39" s="780">
        <v>163.43</v>
      </c>
      <c r="G39" s="982"/>
      <c r="H39" s="1008"/>
      <c r="I39" s="1063"/>
      <c r="J39" s="622"/>
      <c r="K39" s="982">
        <v>163.43</v>
      </c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45967</v>
      </c>
      <c r="B40" s="882" t="s">
        <v>8425</v>
      </c>
      <c r="C40" s="879" t="s">
        <v>12</v>
      </c>
      <c r="D40" s="879"/>
      <c r="E40" s="875" t="s">
        <v>13</v>
      </c>
      <c r="F40" s="780">
        <v>200</v>
      </c>
      <c r="G40" s="982"/>
      <c r="H40" s="95"/>
      <c r="I40" s="1064"/>
      <c r="J40" s="622"/>
      <c r="K40" s="982"/>
      <c r="L40" s="622"/>
      <c r="M40" s="982"/>
      <c r="N40" s="622"/>
      <c r="O40" s="982">
        <v>200</v>
      </c>
      <c r="P40" s="622"/>
      <c r="Q40" s="982"/>
      <c r="R40" s="1210"/>
      <c r="S40" s="1038"/>
      <c r="T40" s="861"/>
    </row>
    <row r="41" spans="1:42" s="224" customFormat="1" ht="15" customHeight="1" x14ac:dyDescent="0.25">
      <c r="A41" s="247">
        <v>45967</v>
      </c>
      <c r="B41" s="1275" t="s">
        <v>32</v>
      </c>
      <c r="C41" s="1276" t="s">
        <v>12</v>
      </c>
      <c r="D41" s="1276" t="s">
        <v>1485</v>
      </c>
      <c r="E41" s="875" t="s">
        <v>13</v>
      </c>
      <c r="F41" s="780">
        <v>23</v>
      </c>
      <c r="G41" s="982"/>
      <c r="H41" s="622"/>
      <c r="I41" s="982"/>
      <c r="J41" s="622"/>
      <c r="K41" s="982"/>
      <c r="L41" s="622"/>
      <c r="M41" s="982"/>
      <c r="N41" s="880"/>
      <c r="O41" s="1525"/>
      <c r="P41" s="613"/>
      <c r="Q41" s="162"/>
      <c r="R41" s="1956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42" s="224" customFormat="1" ht="15" customHeight="1" x14ac:dyDescent="0.25">
      <c r="A42" s="247">
        <v>45967</v>
      </c>
      <c r="B42" s="882" t="s">
        <v>8498</v>
      </c>
      <c r="C42" s="1276" t="s">
        <v>12</v>
      </c>
      <c r="D42" s="879" t="s">
        <v>6731</v>
      </c>
      <c r="E42" s="875" t="s">
        <v>13</v>
      </c>
      <c r="F42" s="780">
        <v>5.6</v>
      </c>
      <c r="G42" s="982"/>
      <c r="H42" s="622"/>
      <c r="I42" s="982"/>
      <c r="J42" s="622"/>
      <c r="K42" s="982"/>
      <c r="L42" s="622"/>
      <c r="M42" s="982"/>
      <c r="N42" s="880"/>
      <c r="O42" s="1525"/>
      <c r="P42" s="613"/>
      <c r="Q42" s="162"/>
      <c r="R42" s="1956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45967</v>
      </c>
      <c r="B43" s="882" t="s">
        <v>8499</v>
      </c>
      <c r="C43" s="1276" t="s">
        <v>12</v>
      </c>
      <c r="D43" s="879"/>
      <c r="E43" s="875" t="s">
        <v>25</v>
      </c>
      <c r="F43" s="780"/>
      <c r="G43" s="982">
        <v>200</v>
      </c>
      <c r="H43" s="622"/>
      <c r="I43" s="982"/>
      <c r="J43" s="622"/>
      <c r="K43" s="982"/>
      <c r="L43" s="622"/>
      <c r="M43" s="982"/>
      <c r="N43" s="880"/>
      <c r="O43" s="1525"/>
      <c r="P43" s="613"/>
      <c r="Q43" s="162"/>
      <c r="R43" s="1956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</row>
    <row r="44" spans="1:42" s="224" customFormat="1" ht="15" customHeight="1" x14ac:dyDescent="0.25">
      <c r="A44" s="247">
        <v>45967</v>
      </c>
      <c r="B44" s="882" t="s">
        <v>8500</v>
      </c>
      <c r="C44" s="1276" t="s">
        <v>12</v>
      </c>
      <c r="D44" s="879" t="s">
        <v>1486</v>
      </c>
      <c r="E44" s="875" t="s">
        <v>13</v>
      </c>
      <c r="F44" s="780">
        <v>22.87</v>
      </c>
      <c r="G44" s="982"/>
      <c r="H44" s="622"/>
      <c r="I44" s="982"/>
      <c r="J44" s="622"/>
      <c r="K44" s="982"/>
      <c r="L44" s="622"/>
      <c r="M44" s="982"/>
      <c r="N44" s="880"/>
      <c r="O44" s="1525"/>
      <c r="P44" s="613"/>
      <c r="Q44" s="162"/>
      <c r="R44" s="1956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</row>
    <row r="45" spans="1:42" s="224" customFormat="1" ht="15" customHeight="1" x14ac:dyDescent="0.25">
      <c r="A45" s="247">
        <v>45967</v>
      </c>
      <c r="B45" s="882" t="s">
        <v>8501</v>
      </c>
      <c r="C45" s="1276" t="s">
        <v>12</v>
      </c>
      <c r="D45" s="879" t="s">
        <v>1489</v>
      </c>
      <c r="E45" s="875" t="s">
        <v>5470</v>
      </c>
      <c r="F45" s="780">
        <v>108.68</v>
      </c>
      <c r="G45" s="982"/>
      <c r="H45" s="622"/>
      <c r="I45" s="982"/>
      <c r="J45" s="622"/>
      <c r="K45" s="982"/>
      <c r="L45" s="622"/>
      <c r="M45" s="982"/>
      <c r="N45" s="880"/>
      <c r="O45" s="1525"/>
      <c r="P45" s="613"/>
      <c r="Q45" s="162"/>
      <c r="R45" s="1956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</row>
    <row r="46" spans="1:42" s="224" customFormat="1" ht="15" customHeight="1" x14ac:dyDescent="0.25">
      <c r="A46" s="247">
        <v>45967</v>
      </c>
      <c r="B46" s="882" t="s">
        <v>8501</v>
      </c>
      <c r="C46" s="1276" t="s">
        <v>12</v>
      </c>
      <c r="D46" s="879" t="s">
        <v>1489</v>
      </c>
      <c r="E46" s="875" t="s">
        <v>15</v>
      </c>
      <c r="F46" s="780">
        <v>100</v>
      </c>
      <c r="G46" s="982"/>
      <c r="H46" s="622"/>
      <c r="I46" s="982"/>
      <c r="J46" s="622"/>
      <c r="K46" s="982"/>
      <c r="L46" s="622"/>
      <c r="M46" s="982"/>
      <c r="N46" s="880"/>
      <c r="O46" s="1525"/>
      <c r="P46" s="613"/>
      <c r="Q46" s="162"/>
      <c r="R46" s="195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</row>
    <row r="47" spans="1:42" s="224" customFormat="1" ht="15" customHeight="1" x14ac:dyDescent="0.25">
      <c r="A47" s="247">
        <v>45967</v>
      </c>
      <c r="B47" s="882" t="s">
        <v>80</v>
      </c>
      <c r="C47" s="1276" t="s">
        <v>12</v>
      </c>
      <c r="D47" s="879" t="s">
        <v>1523</v>
      </c>
      <c r="E47" s="875" t="s">
        <v>13</v>
      </c>
      <c r="F47" s="780">
        <v>17.34</v>
      </c>
      <c r="G47" s="982"/>
      <c r="H47" s="622"/>
      <c r="I47" s="982"/>
      <c r="J47" s="622"/>
      <c r="K47" s="982"/>
      <c r="L47" s="622"/>
      <c r="M47" s="982"/>
      <c r="N47" s="880"/>
      <c r="O47" s="1525"/>
      <c r="P47" s="613"/>
      <c r="Q47" s="162"/>
      <c r="R47" s="1956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 spans="1:42" s="224" customFormat="1" ht="15" customHeight="1" x14ac:dyDescent="0.25">
      <c r="A48" s="247">
        <v>45968</v>
      </c>
      <c r="B48" s="882" t="s">
        <v>8502</v>
      </c>
      <c r="C48" s="1276" t="s">
        <v>12</v>
      </c>
      <c r="D48" s="879" t="s">
        <v>6731</v>
      </c>
      <c r="E48" s="875" t="s">
        <v>15</v>
      </c>
      <c r="F48" s="780">
        <v>92.94</v>
      </c>
      <c r="G48" s="982"/>
      <c r="H48" s="622"/>
      <c r="I48" s="982"/>
      <c r="J48" s="622"/>
      <c r="K48" s="982"/>
      <c r="L48" s="622"/>
      <c r="M48" s="982"/>
      <c r="N48" s="880"/>
      <c r="O48" s="1525"/>
      <c r="P48" s="613"/>
      <c r="Q48" s="162"/>
      <c r="R48" s="1956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 spans="1:42" s="224" customFormat="1" ht="15" customHeight="1" x14ac:dyDescent="0.25">
      <c r="A49" s="247">
        <v>45968</v>
      </c>
      <c r="B49" s="882" t="s">
        <v>82</v>
      </c>
      <c r="C49" s="1276" t="s">
        <v>12</v>
      </c>
      <c r="D49" s="879" t="s">
        <v>1493</v>
      </c>
      <c r="E49" s="875" t="s">
        <v>13</v>
      </c>
      <c r="F49" s="780">
        <v>27.8</v>
      </c>
      <c r="G49" s="982"/>
      <c r="H49" s="622"/>
      <c r="I49" s="982"/>
      <c r="J49" s="622"/>
      <c r="K49" s="982"/>
      <c r="L49" s="622"/>
      <c r="M49" s="982"/>
      <c r="N49" s="880"/>
      <c r="O49" s="1525"/>
      <c r="P49" s="613"/>
      <c r="Q49" s="162"/>
      <c r="R49" s="1956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 spans="1:42" s="224" customFormat="1" ht="15" customHeight="1" x14ac:dyDescent="0.25">
      <c r="A50" s="247">
        <v>45969</v>
      </c>
      <c r="B50" s="882" t="s">
        <v>14</v>
      </c>
      <c r="C50" s="1276" t="s">
        <v>12</v>
      </c>
      <c r="D50" s="879" t="s">
        <v>1486</v>
      </c>
      <c r="E50" s="875" t="s">
        <v>13</v>
      </c>
      <c r="F50" s="780">
        <v>6.73</v>
      </c>
      <c r="G50" s="982"/>
      <c r="H50" s="622"/>
      <c r="I50" s="982"/>
      <c r="J50" s="622"/>
      <c r="K50" s="982"/>
      <c r="L50" s="622"/>
      <c r="M50" s="982"/>
      <c r="N50" s="880"/>
      <c r="O50" s="1525"/>
      <c r="P50" s="613"/>
      <c r="Q50" s="162"/>
      <c r="R50" s="1956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 spans="1:42" s="224" customFormat="1" ht="15" customHeight="1" x14ac:dyDescent="0.25">
      <c r="A51" s="247">
        <v>45969</v>
      </c>
      <c r="B51" s="882" t="s">
        <v>7122</v>
      </c>
      <c r="C51" s="1276" t="s">
        <v>12</v>
      </c>
      <c r="D51" s="879" t="s">
        <v>1489</v>
      </c>
      <c r="E51" s="875" t="s">
        <v>13</v>
      </c>
      <c r="F51" s="780">
        <v>15</v>
      </c>
      <c r="G51" s="982"/>
      <c r="H51" s="622"/>
      <c r="I51" s="982"/>
      <c r="J51" s="622"/>
      <c r="K51" s="982"/>
      <c r="L51" s="622"/>
      <c r="M51" s="982"/>
      <c r="N51" s="880"/>
      <c r="O51" s="1525"/>
      <c r="P51" s="613"/>
      <c r="Q51" s="162"/>
      <c r="R51" s="1956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 spans="1:42" s="224" customFormat="1" ht="15" customHeight="1" x14ac:dyDescent="0.25">
      <c r="A52" s="247">
        <v>45969</v>
      </c>
      <c r="B52" s="882" t="s">
        <v>14</v>
      </c>
      <c r="C52" s="1276" t="s">
        <v>12</v>
      </c>
      <c r="D52" s="879" t="s">
        <v>1486</v>
      </c>
      <c r="E52" s="875" t="s">
        <v>13</v>
      </c>
      <c r="F52" s="780">
        <v>6.69</v>
      </c>
      <c r="G52" s="982"/>
      <c r="H52" s="1008"/>
      <c r="I52" s="1063"/>
      <c r="J52" s="622"/>
      <c r="K52" s="982"/>
      <c r="L52" s="622"/>
      <c r="M52" s="982"/>
      <c r="N52" s="622"/>
      <c r="O52" s="1063"/>
      <c r="P52" s="622"/>
      <c r="Q52" s="982"/>
      <c r="R52" s="861"/>
      <c r="S52" s="2967"/>
    </row>
    <row r="53" spans="1:42" s="224" customFormat="1" ht="15" customHeight="1" x14ac:dyDescent="0.25">
      <c r="A53" s="247">
        <v>45969</v>
      </c>
      <c r="B53" s="882" t="s">
        <v>8498</v>
      </c>
      <c r="C53" s="1276" t="s">
        <v>12</v>
      </c>
      <c r="D53" s="879" t="s">
        <v>6731</v>
      </c>
      <c r="E53" s="875" t="s">
        <v>13</v>
      </c>
      <c r="F53" s="780">
        <v>5</v>
      </c>
      <c r="G53" s="982"/>
      <c r="H53" s="622"/>
      <c r="I53" s="982"/>
      <c r="J53" s="622"/>
      <c r="K53" s="982"/>
      <c r="L53" s="622"/>
      <c r="M53" s="982"/>
      <c r="N53" s="880"/>
      <c r="O53" s="1525"/>
      <c r="P53" s="613"/>
      <c r="Q53" s="162"/>
      <c r="R53" s="1956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 spans="1:42" s="224" customFormat="1" ht="15" customHeight="1" x14ac:dyDescent="0.25">
      <c r="A54" s="247">
        <v>45970</v>
      </c>
      <c r="B54" s="882" t="s">
        <v>14</v>
      </c>
      <c r="C54" s="1276" t="s">
        <v>12</v>
      </c>
      <c r="D54" s="879" t="s">
        <v>1486</v>
      </c>
      <c r="E54" s="875" t="s">
        <v>13</v>
      </c>
      <c r="F54" s="780">
        <v>5.65</v>
      </c>
      <c r="G54" s="982"/>
      <c r="H54" s="1008"/>
      <c r="I54" s="1063"/>
      <c r="J54" s="622"/>
      <c r="K54" s="982"/>
      <c r="L54" s="622"/>
      <c r="M54" s="982"/>
      <c r="N54" s="622"/>
      <c r="O54" s="1063"/>
      <c r="P54" s="622"/>
      <c r="Q54" s="982"/>
      <c r="R54" s="861"/>
      <c r="S54" s="2967"/>
    </row>
    <row r="55" spans="1:42" s="224" customFormat="1" ht="15" customHeight="1" x14ac:dyDescent="0.25">
      <c r="A55" s="247">
        <v>45970</v>
      </c>
      <c r="B55" s="882" t="s">
        <v>8504</v>
      </c>
      <c r="C55" s="1276" t="s">
        <v>12</v>
      </c>
      <c r="D55" s="879" t="s">
        <v>1491</v>
      </c>
      <c r="E55" s="875" t="s">
        <v>13</v>
      </c>
      <c r="F55" s="780">
        <v>6</v>
      </c>
      <c r="G55" s="982"/>
      <c r="H55" s="1008"/>
      <c r="I55" s="1063"/>
      <c r="J55" s="622"/>
      <c r="K55" s="982"/>
      <c r="L55" s="622"/>
      <c r="M55" s="982"/>
      <c r="N55" s="622"/>
      <c r="O55" s="1063"/>
      <c r="P55" s="622"/>
      <c r="Q55" s="982"/>
      <c r="R55" s="861"/>
      <c r="S55" s="2967"/>
    </row>
    <row r="56" spans="1:42" s="224" customFormat="1" x14ac:dyDescent="0.25">
      <c r="A56" s="247">
        <v>45970</v>
      </c>
      <c r="B56" s="1275" t="s">
        <v>8503</v>
      </c>
      <c r="C56" s="879" t="s">
        <v>12</v>
      </c>
      <c r="D56" s="1276" t="s">
        <v>1489</v>
      </c>
      <c r="E56" s="1277" t="s">
        <v>13</v>
      </c>
      <c r="F56" s="1702">
        <v>31.26</v>
      </c>
      <c r="G56" s="982"/>
      <c r="H56" s="1008"/>
      <c r="I56" s="1063"/>
      <c r="J56" s="2013"/>
      <c r="K56" s="1207"/>
      <c r="L56" s="622"/>
      <c r="M56" s="982"/>
      <c r="N56" s="622"/>
      <c r="O56" s="1063"/>
      <c r="P56" s="622"/>
      <c r="Q56" s="982"/>
      <c r="R56" s="1028"/>
      <c r="T56" s="878"/>
    </row>
    <row r="57" spans="1:42" s="224" customFormat="1" x14ac:dyDescent="0.25">
      <c r="A57" s="247">
        <v>45970</v>
      </c>
      <c r="B57" s="1275" t="s">
        <v>443</v>
      </c>
      <c r="C57" s="879" t="s">
        <v>12</v>
      </c>
      <c r="D57" s="1276" t="s">
        <v>1493</v>
      </c>
      <c r="E57" s="1277" t="s">
        <v>13</v>
      </c>
      <c r="F57" s="1702">
        <v>14.9</v>
      </c>
      <c r="G57" s="982"/>
      <c r="H57" s="1008"/>
      <c r="I57" s="1063"/>
      <c r="J57" s="2013"/>
      <c r="K57" s="1207"/>
      <c r="L57" s="622"/>
      <c r="M57" s="982"/>
      <c r="N57" s="622"/>
      <c r="O57" s="1063"/>
      <c r="P57" s="622"/>
      <c r="Q57" s="982"/>
      <c r="R57" s="1028"/>
      <c r="T57" s="878"/>
    </row>
    <row r="58" spans="1:42" s="224" customFormat="1" ht="15" customHeight="1" x14ac:dyDescent="0.25">
      <c r="A58" s="247">
        <v>45971</v>
      </c>
      <c r="B58" s="882" t="s">
        <v>81</v>
      </c>
      <c r="C58" s="879" t="s">
        <v>12</v>
      </c>
      <c r="D58" s="879" t="s">
        <v>1493</v>
      </c>
      <c r="E58" s="875" t="s">
        <v>13</v>
      </c>
      <c r="F58" s="780">
        <v>16</v>
      </c>
      <c r="G58" s="982"/>
      <c r="H58" s="95"/>
      <c r="I58" s="1064"/>
      <c r="J58" s="613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ht="15" customHeight="1" x14ac:dyDescent="0.25">
      <c r="A59" s="247">
        <v>45971</v>
      </c>
      <c r="B59" s="882" t="s">
        <v>14</v>
      </c>
      <c r="C59" s="1276" t="s">
        <v>12</v>
      </c>
      <c r="D59" s="879" t="s">
        <v>1486</v>
      </c>
      <c r="E59" s="875" t="s">
        <v>13</v>
      </c>
      <c r="F59" s="780">
        <v>4.2699999999999996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861"/>
      <c r="S59" s="2967"/>
    </row>
    <row r="60" spans="1:42" s="224" customFormat="1" ht="15" customHeight="1" x14ac:dyDescent="0.25">
      <c r="A60" s="247">
        <v>45971</v>
      </c>
      <c r="B60" s="882" t="s">
        <v>8507</v>
      </c>
      <c r="C60" s="879" t="s">
        <v>12</v>
      </c>
      <c r="D60" s="879" t="s">
        <v>1489</v>
      </c>
      <c r="E60" s="875" t="s">
        <v>13</v>
      </c>
      <c r="F60" s="780">
        <v>18.41</v>
      </c>
      <c r="G60" s="982"/>
      <c r="H60" s="95"/>
      <c r="I60" s="1064"/>
      <c r="J60" s="613"/>
      <c r="K60" s="982"/>
      <c r="L60" s="622"/>
      <c r="M60" s="982"/>
      <c r="N60" s="622"/>
      <c r="O60" s="1063"/>
      <c r="P60" s="622"/>
      <c r="Q60" s="982"/>
      <c r="R60" s="861"/>
    </row>
    <row r="61" spans="1:42" s="224" customFormat="1" ht="15" customHeight="1" x14ac:dyDescent="0.25">
      <c r="A61" s="247">
        <v>45972</v>
      </c>
      <c r="B61" s="882" t="s">
        <v>6329</v>
      </c>
      <c r="C61" s="879" t="s">
        <v>12</v>
      </c>
      <c r="D61" s="879"/>
      <c r="E61" s="875" t="s">
        <v>25</v>
      </c>
      <c r="F61" s="780"/>
      <c r="G61" s="982">
        <v>125</v>
      </c>
      <c r="H61" s="1008"/>
      <c r="I61" s="1063"/>
      <c r="J61" s="613"/>
      <c r="K61" s="982"/>
      <c r="L61" s="622"/>
      <c r="M61" s="982"/>
      <c r="N61" s="622"/>
      <c r="O61" s="1063"/>
      <c r="P61" s="622"/>
      <c r="Q61" s="982"/>
      <c r="R61" s="861"/>
    </row>
    <row r="62" spans="1:42" s="224" customFormat="1" ht="14.25" customHeight="1" x14ac:dyDescent="0.25">
      <c r="A62" s="247">
        <v>45972</v>
      </c>
      <c r="B62" s="882" t="s">
        <v>14</v>
      </c>
      <c r="C62" s="1276" t="s">
        <v>12</v>
      </c>
      <c r="D62" s="879" t="s">
        <v>1486</v>
      </c>
      <c r="E62" s="875" t="s">
        <v>13</v>
      </c>
      <c r="F62" s="1810">
        <v>4.88</v>
      </c>
      <c r="G62" s="982"/>
      <c r="H62" s="1031"/>
      <c r="I62" s="1525"/>
      <c r="J62" s="622"/>
      <c r="K62" s="982"/>
      <c r="L62" s="880"/>
      <c r="M62" s="1033"/>
      <c r="N62" s="880"/>
      <c r="O62" s="1525"/>
      <c r="P62" s="613"/>
      <c r="Q62" s="162"/>
      <c r="R62" s="1209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</row>
    <row r="63" spans="1:42" s="224" customFormat="1" ht="14.25" customHeight="1" x14ac:dyDescent="0.25">
      <c r="A63" s="247">
        <v>45972</v>
      </c>
      <c r="B63" s="882" t="s">
        <v>8509</v>
      </c>
      <c r="C63" s="879" t="s">
        <v>12</v>
      </c>
      <c r="D63" s="879" t="s">
        <v>1525</v>
      </c>
      <c r="E63" s="875" t="s">
        <v>15</v>
      </c>
      <c r="F63" s="1810">
        <v>50.96</v>
      </c>
      <c r="G63" s="982"/>
      <c r="H63" s="1031"/>
      <c r="I63" s="1525"/>
      <c r="J63" s="622"/>
      <c r="K63" s="982"/>
      <c r="L63" s="880"/>
      <c r="M63" s="1033"/>
      <c r="N63" s="880"/>
      <c r="O63" s="1525"/>
      <c r="P63" s="613"/>
      <c r="Q63" s="162"/>
      <c r="R63" s="1209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45973</v>
      </c>
      <c r="B64" s="882" t="s">
        <v>6130</v>
      </c>
      <c r="C64" s="879" t="s">
        <v>12</v>
      </c>
      <c r="D64" s="879" t="s">
        <v>1491</v>
      </c>
      <c r="E64" s="875" t="s">
        <v>13</v>
      </c>
      <c r="F64" s="780">
        <v>33.979999999999997</v>
      </c>
      <c r="G64" s="982"/>
      <c r="H64" s="622"/>
      <c r="I64" s="982"/>
      <c r="J64" s="622"/>
      <c r="K64" s="982"/>
      <c r="L64" s="622"/>
      <c r="M64" s="982"/>
      <c r="N64" s="880"/>
      <c r="O64" s="1525"/>
      <c r="P64" s="613"/>
      <c r="Q64" s="162"/>
      <c r="R64" s="1956" t="s">
        <v>7137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</row>
    <row r="65" spans="1:42" s="224" customFormat="1" ht="15" customHeight="1" x14ac:dyDescent="0.25">
      <c r="A65" s="247">
        <v>45973</v>
      </c>
      <c r="B65" s="882" t="s">
        <v>7799</v>
      </c>
      <c r="C65" s="879" t="s">
        <v>12</v>
      </c>
      <c r="D65" s="879" t="s">
        <v>1504</v>
      </c>
      <c r="E65" s="875" t="s">
        <v>13</v>
      </c>
      <c r="F65" s="780">
        <v>43</v>
      </c>
      <c r="G65" s="982"/>
      <c r="H65" s="622"/>
      <c r="I65" s="982"/>
      <c r="J65" s="622"/>
      <c r="K65" s="982"/>
      <c r="L65" s="622"/>
      <c r="M65" s="982"/>
      <c r="N65" s="880"/>
      <c r="O65" s="1525"/>
      <c r="P65" s="613"/>
      <c r="Q65" s="162"/>
      <c r="R65" s="1956" t="s">
        <v>7137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</row>
    <row r="66" spans="1:42" s="224" customFormat="1" ht="15" customHeight="1" x14ac:dyDescent="0.25">
      <c r="A66" s="247">
        <v>45973</v>
      </c>
      <c r="B66" s="882" t="s">
        <v>7885</v>
      </c>
      <c r="C66" s="879" t="s">
        <v>12</v>
      </c>
      <c r="D66" s="879" t="s">
        <v>1504</v>
      </c>
      <c r="E66" s="875" t="s">
        <v>13</v>
      </c>
      <c r="F66" s="780">
        <v>20.9</v>
      </c>
      <c r="G66" s="982"/>
      <c r="H66" s="622"/>
      <c r="I66" s="982"/>
      <c r="J66" s="622"/>
      <c r="K66" s="982"/>
      <c r="L66" s="622"/>
      <c r="M66" s="982"/>
      <c r="N66" s="880"/>
      <c r="O66" s="1525"/>
      <c r="P66" s="613"/>
      <c r="Q66" s="162"/>
      <c r="R66" s="1956" t="s">
        <v>7137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45973</v>
      </c>
      <c r="B67" s="882" t="s">
        <v>7892</v>
      </c>
      <c r="C67" s="879" t="s">
        <v>12</v>
      </c>
      <c r="D67" s="879" t="s">
        <v>1504</v>
      </c>
      <c r="E67" s="875" t="s">
        <v>13</v>
      </c>
      <c r="F67" s="780">
        <v>9.99</v>
      </c>
      <c r="G67" s="982"/>
      <c r="H67" s="622"/>
      <c r="I67" s="982"/>
      <c r="J67" s="622"/>
      <c r="K67" s="982"/>
      <c r="L67" s="622"/>
      <c r="M67" s="982"/>
      <c r="N67" s="880"/>
      <c r="O67" s="1525"/>
      <c r="P67" s="613"/>
      <c r="Q67" s="162"/>
      <c r="R67" s="1956" t="s">
        <v>7137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</row>
    <row r="68" spans="1:42" s="224" customFormat="1" ht="15" customHeight="1" x14ac:dyDescent="0.25">
      <c r="A68" s="247">
        <v>45973</v>
      </c>
      <c r="B68" s="882" t="s">
        <v>8330</v>
      </c>
      <c r="C68" s="879" t="s">
        <v>12</v>
      </c>
      <c r="D68" s="879" t="s">
        <v>1504</v>
      </c>
      <c r="E68" s="875" t="s">
        <v>13</v>
      </c>
      <c r="F68" s="780">
        <v>9.9</v>
      </c>
      <c r="G68" s="982"/>
      <c r="H68" s="622"/>
      <c r="I68" s="982"/>
      <c r="J68" s="622"/>
      <c r="K68" s="982"/>
      <c r="L68" s="622"/>
      <c r="M68" s="982"/>
      <c r="N68" s="880"/>
      <c r="O68" s="1525"/>
      <c r="P68" s="613"/>
      <c r="Q68" s="162"/>
      <c r="R68" s="1956" t="s">
        <v>7137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 spans="1:42" s="224" customFormat="1" ht="15" customHeight="1" x14ac:dyDescent="0.25">
      <c r="A69" s="247">
        <v>45973</v>
      </c>
      <c r="B69" s="882" t="s">
        <v>8391</v>
      </c>
      <c r="C69" s="879" t="s">
        <v>12</v>
      </c>
      <c r="D69" s="879" t="s">
        <v>1491</v>
      </c>
      <c r="E69" s="875" t="s">
        <v>13</v>
      </c>
      <c r="F69" s="780">
        <v>91.133333333333326</v>
      </c>
      <c r="G69" s="982"/>
      <c r="H69" s="622"/>
      <c r="I69" s="982"/>
      <c r="J69" s="622"/>
      <c r="K69" s="982"/>
      <c r="L69" s="622"/>
      <c r="M69" s="982"/>
      <c r="N69" s="880"/>
      <c r="O69" s="1525"/>
      <c r="P69" s="613"/>
      <c r="Q69" s="162"/>
      <c r="R69" s="1956" t="s">
        <v>7137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 spans="1:42" s="224" customFormat="1" ht="15" customHeight="1" x14ac:dyDescent="0.25">
      <c r="A70" s="247">
        <v>45973</v>
      </c>
      <c r="B70" s="1275" t="s">
        <v>32</v>
      </c>
      <c r="C70" s="1276" t="s">
        <v>12</v>
      </c>
      <c r="D70" s="1276" t="s">
        <v>1485</v>
      </c>
      <c r="E70" s="875" t="s">
        <v>13</v>
      </c>
      <c r="F70" s="780">
        <v>23</v>
      </c>
      <c r="G70" s="982"/>
      <c r="H70" s="622"/>
      <c r="I70" s="982"/>
      <c r="J70" s="622"/>
      <c r="K70" s="982"/>
      <c r="L70" s="622"/>
      <c r="M70" s="982"/>
      <c r="N70" s="880"/>
      <c r="O70" s="1525"/>
      <c r="P70" s="613"/>
      <c r="Q70" s="162"/>
      <c r="R70" s="1956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45973</v>
      </c>
      <c r="B71" s="882" t="s">
        <v>14</v>
      </c>
      <c r="C71" s="1276" t="s">
        <v>12</v>
      </c>
      <c r="D71" s="879" t="s">
        <v>1486</v>
      </c>
      <c r="E71" s="875" t="s">
        <v>13</v>
      </c>
      <c r="F71" s="780">
        <v>4.46</v>
      </c>
      <c r="G71" s="982"/>
      <c r="H71" s="1008"/>
      <c r="I71" s="1063"/>
      <c r="J71" s="613"/>
      <c r="K71" s="982"/>
      <c r="L71" s="622"/>
      <c r="M71" s="982"/>
      <c r="N71" s="622"/>
      <c r="O71" s="1063"/>
      <c r="P71" s="622"/>
      <c r="Q71" s="982"/>
      <c r="R71" s="861"/>
    </row>
    <row r="72" spans="1:42" s="224" customFormat="1" ht="15" customHeight="1" x14ac:dyDescent="0.25">
      <c r="A72" s="247">
        <v>45973</v>
      </c>
      <c r="B72" s="882" t="s">
        <v>443</v>
      </c>
      <c r="C72" s="1276" t="s">
        <v>12</v>
      </c>
      <c r="D72" s="879" t="s">
        <v>1493</v>
      </c>
      <c r="E72" s="875" t="s">
        <v>13</v>
      </c>
      <c r="F72" s="780">
        <v>5.96</v>
      </c>
      <c r="G72" s="982"/>
      <c r="H72" s="1008"/>
      <c r="I72" s="1063"/>
      <c r="J72" s="613"/>
      <c r="K72" s="982"/>
      <c r="L72" s="622"/>
      <c r="M72" s="982"/>
      <c r="N72" s="622"/>
      <c r="O72" s="1063"/>
      <c r="P72" s="622"/>
      <c r="Q72" s="982"/>
      <c r="R72" s="861"/>
    </row>
    <row r="73" spans="1:42" s="224" customFormat="1" ht="15" customHeight="1" x14ac:dyDescent="0.25">
      <c r="A73" s="247">
        <v>45974</v>
      </c>
      <c r="B73" s="1275" t="s">
        <v>32</v>
      </c>
      <c r="C73" s="1276" t="s">
        <v>12</v>
      </c>
      <c r="D73" s="1276" t="s">
        <v>1485</v>
      </c>
      <c r="E73" s="875" t="s">
        <v>13</v>
      </c>
      <c r="F73" s="780">
        <v>23</v>
      </c>
      <c r="G73" s="982"/>
      <c r="H73" s="622"/>
      <c r="I73" s="982"/>
      <c r="J73" s="622"/>
      <c r="K73" s="982"/>
      <c r="L73" s="622"/>
      <c r="M73" s="982"/>
      <c r="N73" s="880"/>
      <c r="O73" s="1525"/>
      <c r="P73" s="613"/>
      <c r="Q73" s="162"/>
      <c r="R73" s="1956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 spans="1:42" s="224" customFormat="1" ht="15" customHeight="1" x14ac:dyDescent="0.25">
      <c r="A74" s="247">
        <v>45974</v>
      </c>
      <c r="B74" s="882" t="s">
        <v>14</v>
      </c>
      <c r="C74" s="1276" t="s">
        <v>12</v>
      </c>
      <c r="D74" s="879" t="s">
        <v>1486</v>
      </c>
      <c r="E74" s="875" t="s">
        <v>13</v>
      </c>
      <c r="F74" s="780">
        <v>24.6</v>
      </c>
      <c r="G74" s="982"/>
      <c r="H74" s="1008"/>
      <c r="I74" s="1063"/>
      <c r="J74" s="613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45974</v>
      </c>
      <c r="B75" s="1275" t="s">
        <v>8522</v>
      </c>
      <c r="C75" s="1276" t="s">
        <v>12</v>
      </c>
      <c r="D75" s="1276"/>
      <c r="E75" s="1286" t="s">
        <v>13</v>
      </c>
      <c r="F75" s="613">
        <v>121.58</v>
      </c>
      <c r="G75" s="967"/>
      <c r="H75" s="1008"/>
      <c r="I75" s="1063"/>
      <c r="J75" s="613"/>
      <c r="K75" s="6"/>
      <c r="L75" s="622"/>
      <c r="M75" s="982"/>
      <c r="N75" s="622"/>
      <c r="O75" s="1063"/>
      <c r="P75" s="613"/>
      <c r="Q75" s="64"/>
      <c r="R75" s="1024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 spans="1:42" s="224" customFormat="1" ht="15" customHeight="1" x14ac:dyDescent="0.25">
      <c r="A76" s="247">
        <v>45974</v>
      </c>
      <c r="B76" s="1275" t="s">
        <v>6755</v>
      </c>
      <c r="C76" s="1276" t="s">
        <v>12</v>
      </c>
      <c r="D76" s="1276"/>
      <c r="E76" s="1286"/>
      <c r="F76" s="613"/>
      <c r="G76" s="967">
        <v>121.58</v>
      </c>
      <c r="H76" s="1008"/>
      <c r="I76" s="1063"/>
      <c r="J76" s="613"/>
      <c r="K76" s="6"/>
      <c r="L76" s="622"/>
      <c r="M76" s="982"/>
      <c r="N76" s="622"/>
      <c r="O76" s="1063"/>
      <c r="P76" s="613"/>
      <c r="Q76" s="64"/>
      <c r="R76" s="1024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x14ac:dyDescent="0.25">
      <c r="A77" s="247">
        <v>45974</v>
      </c>
      <c r="B77" s="1275" t="s">
        <v>8521</v>
      </c>
      <c r="C77" s="879" t="s">
        <v>12</v>
      </c>
      <c r="D77" s="1276" t="s">
        <v>1489</v>
      </c>
      <c r="E77" s="875" t="s">
        <v>5470</v>
      </c>
      <c r="F77" s="780">
        <v>87.92</v>
      </c>
      <c r="G77" s="982"/>
      <c r="H77" s="1008"/>
      <c r="I77" s="1063"/>
      <c r="J77" s="622"/>
      <c r="K77" s="982"/>
      <c r="L77" s="622"/>
      <c r="M77" s="982"/>
      <c r="N77" s="622"/>
      <c r="O77" s="1063"/>
      <c r="P77" s="622"/>
      <c r="Q77" s="982"/>
      <c r="R77" s="1028"/>
      <c r="T77" s="878"/>
    </row>
    <row r="78" spans="1:42" s="224" customFormat="1" x14ac:dyDescent="0.25">
      <c r="A78" s="247">
        <v>45974</v>
      </c>
      <c r="B78" s="1275" t="s">
        <v>8521</v>
      </c>
      <c r="C78" s="879" t="s">
        <v>12</v>
      </c>
      <c r="D78" s="1276" t="s">
        <v>1489</v>
      </c>
      <c r="E78" s="875" t="s">
        <v>15</v>
      </c>
      <c r="F78" s="780">
        <v>50</v>
      </c>
      <c r="G78" s="982"/>
      <c r="H78" s="1008"/>
      <c r="I78" s="1063"/>
      <c r="J78" s="622"/>
      <c r="K78" s="982"/>
      <c r="L78" s="622"/>
      <c r="M78" s="982"/>
      <c r="N78" s="622"/>
      <c r="O78" s="1063"/>
      <c r="P78" s="622"/>
      <c r="Q78" s="982"/>
      <c r="R78" s="1028"/>
      <c r="T78" s="878"/>
    </row>
    <row r="79" spans="1:42" s="224" customFormat="1" ht="15" customHeight="1" x14ac:dyDescent="0.25">
      <c r="A79" s="247">
        <v>45975</v>
      </c>
      <c r="B79" s="1275" t="s">
        <v>32</v>
      </c>
      <c r="C79" s="1276" t="s">
        <v>12</v>
      </c>
      <c r="D79" s="1276" t="s">
        <v>1485</v>
      </c>
      <c r="E79" s="875" t="s">
        <v>13</v>
      </c>
      <c r="F79" s="780">
        <v>23</v>
      </c>
      <c r="G79" s="982"/>
      <c r="H79" s="622"/>
      <c r="I79" s="982"/>
      <c r="J79" s="622"/>
      <c r="K79" s="982"/>
      <c r="L79" s="622"/>
      <c r="M79" s="982"/>
      <c r="N79" s="880"/>
      <c r="O79" s="1525"/>
      <c r="P79" s="613"/>
      <c r="Q79" s="162"/>
      <c r="R79" s="1956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 spans="1:42" s="224" customFormat="1" ht="15" customHeight="1" x14ac:dyDescent="0.25">
      <c r="A80" s="247">
        <v>45975</v>
      </c>
      <c r="B80" s="882" t="s">
        <v>8524</v>
      </c>
      <c r="C80" s="879" t="s">
        <v>12</v>
      </c>
      <c r="D80" s="879" t="s">
        <v>1525</v>
      </c>
      <c r="E80" s="480" t="s">
        <v>13</v>
      </c>
      <c r="F80" s="613">
        <v>3.9</v>
      </c>
      <c r="G80" s="967"/>
      <c r="H80" s="1008"/>
      <c r="I80" s="1063"/>
      <c r="J80" s="622"/>
      <c r="K80" s="982"/>
      <c r="L80" s="880"/>
      <c r="M80" s="1033"/>
      <c r="N80" s="880"/>
      <c r="O80" s="1525"/>
      <c r="P80" s="613"/>
      <c r="Q80" s="162"/>
      <c r="R80" s="1956" t="s">
        <v>8528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</row>
    <row r="81" spans="1:42" s="224" customFormat="1" ht="15" customHeight="1" x14ac:dyDescent="0.25">
      <c r="A81" s="247">
        <v>45975</v>
      </c>
      <c r="B81" s="882" t="s">
        <v>8525</v>
      </c>
      <c r="C81" s="879" t="s">
        <v>12</v>
      </c>
      <c r="D81" s="879" t="s">
        <v>1489</v>
      </c>
      <c r="E81" s="480" t="s">
        <v>13</v>
      </c>
      <c r="F81" s="613">
        <v>31.47</v>
      </c>
      <c r="G81" s="967"/>
      <c r="H81" s="1008"/>
      <c r="I81" s="1063"/>
      <c r="J81" s="622"/>
      <c r="K81" s="982"/>
      <c r="L81" s="880"/>
      <c r="M81" s="1033"/>
      <c r="N81" s="880"/>
      <c r="O81" s="1525"/>
      <c r="P81" s="613"/>
      <c r="Q81" s="162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</row>
    <row r="82" spans="1:42" s="224" customFormat="1" ht="15" customHeight="1" x14ac:dyDescent="0.25">
      <c r="A82" s="247">
        <v>45975</v>
      </c>
      <c r="B82" s="882" t="s">
        <v>8526</v>
      </c>
      <c r="C82" s="879" t="s">
        <v>12</v>
      </c>
      <c r="D82" s="879" t="s">
        <v>1525</v>
      </c>
      <c r="E82" s="480" t="s">
        <v>13</v>
      </c>
      <c r="F82" s="613">
        <v>46.42</v>
      </c>
      <c r="G82" s="967"/>
      <c r="H82" s="1008"/>
      <c r="I82" s="1063"/>
      <c r="J82" s="622"/>
      <c r="K82" s="982"/>
      <c r="L82" s="880"/>
      <c r="M82" s="1033"/>
      <c r="N82" s="880"/>
      <c r="O82" s="1525"/>
      <c r="P82" s="613"/>
      <c r="Q82" s="162"/>
      <c r="R82" s="1956" t="s">
        <v>8527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45975</v>
      </c>
      <c r="B83" s="882" t="s">
        <v>82</v>
      </c>
      <c r="C83" s="879" t="s">
        <v>12</v>
      </c>
      <c r="D83" s="879" t="s">
        <v>1493</v>
      </c>
      <c r="E83" s="480" t="s">
        <v>13</v>
      </c>
      <c r="F83" s="613">
        <v>27.8</v>
      </c>
      <c r="G83" s="967"/>
      <c r="H83" s="1008"/>
      <c r="I83" s="1063"/>
      <c r="J83" s="622"/>
      <c r="K83" s="982"/>
      <c r="L83" s="880"/>
      <c r="M83" s="1033"/>
      <c r="N83" s="880"/>
      <c r="O83" s="1525"/>
      <c r="P83" s="613"/>
      <c r="Q83" s="162"/>
      <c r="R83" s="1956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customHeight="1" x14ac:dyDescent="0.25">
      <c r="A84" s="247">
        <v>45976</v>
      </c>
      <c r="B84" s="882" t="s">
        <v>8177</v>
      </c>
      <c r="C84" s="879" t="s">
        <v>12</v>
      </c>
      <c r="D84" s="879" t="s">
        <v>6731</v>
      </c>
      <c r="E84" s="875" t="s">
        <v>13</v>
      </c>
      <c r="F84" s="780">
        <v>9.59</v>
      </c>
      <c r="G84" s="982"/>
      <c r="H84" s="622"/>
      <c r="I84" s="982"/>
      <c r="J84" s="622"/>
      <c r="K84" s="982"/>
      <c r="L84" s="622"/>
      <c r="M84" s="982"/>
      <c r="N84" s="622"/>
      <c r="O84" s="1063"/>
      <c r="P84" s="622"/>
      <c r="Q84" s="982"/>
      <c r="R84" s="1028"/>
      <c r="S84" s="959"/>
      <c r="T84" s="878"/>
      <c r="U84" s="958"/>
    </row>
    <row r="85" spans="1:42" s="224" customFormat="1" ht="15" customHeight="1" x14ac:dyDescent="0.25">
      <c r="A85" s="247">
        <v>45976</v>
      </c>
      <c r="B85" s="882" t="s">
        <v>8529</v>
      </c>
      <c r="C85" s="879" t="s">
        <v>12</v>
      </c>
      <c r="D85" s="879" t="s">
        <v>1523</v>
      </c>
      <c r="E85" s="875" t="s">
        <v>13</v>
      </c>
      <c r="F85" s="780">
        <v>42</v>
      </c>
      <c r="G85" s="982"/>
      <c r="H85" s="622"/>
      <c r="I85" s="982"/>
      <c r="J85" s="622"/>
      <c r="K85" s="982"/>
      <c r="L85" s="622"/>
      <c r="M85" s="982"/>
      <c r="N85" s="622"/>
      <c r="O85" s="1063"/>
      <c r="P85" s="622"/>
      <c r="Q85" s="982"/>
      <c r="R85" s="1028"/>
      <c r="S85" s="959"/>
      <c r="T85" s="878"/>
      <c r="U85" s="958"/>
    </row>
    <row r="86" spans="1:42" s="224" customFormat="1" ht="15" customHeight="1" x14ac:dyDescent="0.25">
      <c r="A86" s="247">
        <v>45977</v>
      </c>
      <c r="B86" s="882" t="s">
        <v>14</v>
      </c>
      <c r="C86" s="1276" t="s">
        <v>12</v>
      </c>
      <c r="D86" s="879" t="s">
        <v>1486</v>
      </c>
      <c r="E86" s="875" t="s">
        <v>13</v>
      </c>
      <c r="F86" s="780">
        <v>5.36</v>
      </c>
      <c r="G86" s="982"/>
      <c r="H86" s="1008"/>
      <c r="I86" s="1063"/>
      <c r="J86" s="613"/>
      <c r="K86" s="982"/>
      <c r="L86" s="622"/>
      <c r="M86" s="982"/>
      <c r="N86" s="622"/>
      <c r="O86" s="1063"/>
      <c r="P86" s="622"/>
      <c r="Q86" s="982"/>
      <c r="R86" s="861"/>
    </row>
    <row r="87" spans="1:42" s="224" customFormat="1" ht="15" customHeight="1" x14ac:dyDescent="0.25">
      <c r="A87" s="247">
        <v>45977</v>
      </c>
      <c r="B87" s="882" t="s">
        <v>14</v>
      </c>
      <c r="C87" s="1276" t="s">
        <v>12</v>
      </c>
      <c r="D87" s="879" t="s">
        <v>1486</v>
      </c>
      <c r="E87" s="875" t="s">
        <v>13</v>
      </c>
      <c r="F87" s="780">
        <v>4.43</v>
      </c>
      <c r="G87" s="982"/>
      <c r="H87" s="622"/>
      <c r="I87" s="982"/>
      <c r="J87" s="872"/>
      <c r="K87" s="1207"/>
      <c r="L87" s="622"/>
      <c r="M87" s="982"/>
      <c r="N87" s="622"/>
      <c r="O87" s="1063"/>
      <c r="P87" s="622"/>
      <c r="Q87" s="982"/>
      <c r="R87" s="1028"/>
      <c r="S87" s="959"/>
      <c r="T87" s="878"/>
      <c r="U87" s="958"/>
    </row>
    <row r="88" spans="1:42" s="224" customFormat="1" ht="15" customHeight="1" x14ac:dyDescent="0.25">
      <c r="A88" s="247">
        <v>45978</v>
      </c>
      <c r="B88" s="1275" t="s">
        <v>32</v>
      </c>
      <c r="C88" s="1276" t="s">
        <v>12</v>
      </c>
      <c r="D88" s="1276" t="s">
        <v>1485</v>
      </c>
      <c r="E88" s="875" t="s">
        <v>13</v>
      </c>
      <c r="F88" s="780">
        <v>23</v>
      </c>
      <c r="G88" s="982"/>
      <c r="H88" s="622"/>
      <c r="I88" s="982"/>
      <c r="J88" s="622"/>
      <c r="K88" s="982"/>
      <c r="L88" s="622"/>
      <c r="M88" s="982"/>
      <c r="N88" s="880"/>
      <c r="O88" s="1525"/>
      <c r="P88" s="613"/>
      <c r="Q88" s="162"/>
      <c r="R88" s="1956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45978</v>
      </c>
      <c r="B89" s="882" t="s">
        <v>14</v>
      </c>
      <c r="C89" s="1276" t="s">
        <v>12</v>
      </c>
      <c r="D89" s="879" t="s">
        <v>1486</v>
      </c>
      <c r="E89" s="875" t="s">
        <v>13</v>
      </c>
      <c r="F89" s="780">
        <v>4.82</v>
      </c>
      <c r="G89" s="982"/>
      <c r="H89" s="622"/>
      <c r="I89" s="982"/>
      <c r="J89" s="622"/>
      <c r="K89" s="982"/>
      <c r="L89" s="622"/>
      <c r="M89" s="982"/>
      <c r="N89" s="880"/>
      <c r="O89" s="1525"/>
      <c r="P89" s="613"/>
      <c r="Q89" s="162"/>
      <c r="R89" s="1956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45979</v>
      </c>
      <c r="B90" s="1275" t="s">
        <v>32</v>
      </c>
      <c r="C90" s="1276" t="s">
        <v>12</v>
      </c>
      <c r="D90" s="1276" t="s">
        <v>1485</v>
      </c>
      <c r="E90" s="875" t="s">
        <v>13</v>
      </c>
      <c r="F90" s="780">
        <v>23</v>
      </c>
      <c r="G90" s="982"/>
      <c r="H90" s="622"/>
      <c r="I90" s="982"/>
      <c r="J90" s="622"/>
      <c r="K90" s="982"/>
      <c r="L90" s="622"/>
      <c r="M90" s="982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45979</v>
      </c>
      <c r="B91" s="882" t="s">
        <v>6329</v>
      </c>
      <c r="C91" s="879" t="s">
        <v>12</v>
      </c>
      <c r="D91" s="879"/>
      <c r="E91" s="875" t="s">
        <v>25</v>
      </c>
      <c r="F91" s="780"/>
      <c r="G91" s="982">
        <v>125</v>
      </c>
      <c r="H91" s="1008"/>
      <c r="I91" s="1063"/>
      <c r="J91" s="613"/>
      <c r="K91" s="982"/>
      <c r="L91" s="622"/>
      <c r="M91" s="982"/>
      <c r="N91" s="622"/>
      <c r="O91" s="1063"/>
      <c r="P91" s="622"/>
      <c r="Q91" s="982"/>
      <c r="R91" s="861"/>
    </row>
    <row r="92" spans="1:42" s="224" customFormat="1" ht="15" customHeight="1" x14ac:dyDescent="0.25">
      <c r="A92" s="247">
        <v>45979</v>
      </c>
      <c r="B92" s="882" t="s">
        <v>14</v>
      </c>
      <c r="C92" s="1276" t="s">
        <v>12</v>
      </c>
      <c r="D92" s="879" t="s">
        <v>1486</v>
      </c>
      <c r="E92" s="875" t="s">
        <v>13</v>
      </c>
      <c r="F92" s="780">
        <v>5.93</v>
      </c>
      <c r="G92" s="982"/>
      <c r="H92" s="622"/>
      <c r="I92" s="982"/>
      <c r="J92" s="622"/>
      <c r="K92" s="982"/>
      <c r="L92" s="622"/>
      <c r="M92" s="982"/>
      <c r="N92" s="880"/>
      <c r="O92" s="1525"/>
      <c r="P92" s="613"/>
      <c r="Q92" s="162"/>
      <c r="R92" s="1956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45979</v>
      </c>
      <c r="B93" s="882" t="s">
        <v>8536</v>
      </c>
      <c r="C93" s="1276" t="s">
        <v>12</v>
      </c>
      <c r="D93" s="879" t="s">
        <v>1489</v>
      </c>
      <c r="E93" s="875" t="s">
        <v>13</v>
      </c>
      <c r="F93" s="780">
        <v>20</v>
      </c>
      <c r="G93" s="982"/>
      <c r="H93" s="622"/>
      <c r="I93" s="982"/>
      <c r="J93" s="622"/>
      <c r="K93" s="982"/>
      <c r="L93" s="622"/>
      <c r="M93" s="982"/>
      <c r="N93" s="880"/>
      <c r="O93" s="1525"/>
      <c r="P93" s="613"/>
      <c r="Q93" s="162"/>
      <c r="R93" s="1956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45979</v>
      </c>
      <c r="B94" s="882" t="s">
        <v>8537</v>
      </c>
      <c r="C94" s="879" t="s">
        <v>12</v>
      </c>
      <c r="D94" s="879" t="s">
        <v>1493</v>
      </c>
      <c r="E94" s="871" t="s">
        <v>15</v>
      </c>
      <c r="F94" s="780">
        <v>5</v>
      </c>
      <c r="G94" s="982"/>
      <c r="H94" s="622"/>
      <c r="I94" s="982"/>
      <c r="J94" s="872"/>
      <c r="K94" s="1207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45979</v>
      </c>
      <c r="B95" s="1275" t="s">
        <v>8538</v>
      </c>
      <c r="C95" s="1276" t="s">
        <v>12</v>
      </c>
      <c r="D95" s="1276"/>
      <c r="E95" s="1286" t="s">
        <v>13</v>
      </c>
      <c r="F95" s="613">
        <v>121.58</v>
      </c>
      <c r="G95" s="967"/>
      <c r="H95" s="1008"/>
      <c r="I95" s="1063"/>
      <c r="J95" s="613"/>
      <c r="K95" s="6"/>
      <c r="L95" s="622"/>
      <c r="M95" s="982"/>
      <c r="N95" s="622"/>
      <c r="O95" s="1063"/>
      <c r="P95" s="613"/>
      <c r="Q95" s="162"/>
      <c r="R95" s="1024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</row>
    <row r="96" spans="1:42" s="224" customFormat="1" ht="15" customHeight="1" x14ac:dyDescent="0.25">
      <c r="A96" s="247">
        <v>45979</v>
      </c>
      <c r="B96" s="1275" t="s">
        <v>6755</v>
      </c>
      <c r="C96" s="1276" t="s">
        <v>12</v>
      </c>
      <c r="D96" s="1276"/>
      <c r="E96" s="1286"/>
      <c r="F96" s="613"/>
      <c r="G96" s="967">
        <v>121.58</v>
      </c>
      <c r="H96" s="1008"/>
      <c r="I96" s="1063"/>
      <c r="J96" s="613"/>
      <c r="K96" s="6"/>
      <c r="L96" s="622"/>
      <c r="M96" s="982"/>
      <c r="N96" s="622"/>
      <c r="O96" s="1063"/>
      <c r="P96" s="613"/>
      <c r="Q96" s="162"/>
      <c r="R96" s="1024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45980</v>
      </c>
      <c r="B97" s="882" t="s">
        <v>8364</v>
      </c>
      <c r="C97" s="350" t="s">
        <v>12</v>
      </c>
      <c r="D97" s="350"/>
      <c r="E97" s="480" t="s">
        <v>25</v>
      </c>
      <c r="F97" s="622"/>
      <c r="G97" s="982">
        <v>2520</v>
      </c>
      <c r="H97" s="1008"/>
      <c r="I97" s="1063"/>
      <c r="J97" s="622"/>
      <c r="K97" s="982"/>
      <c r="L97" s="622"/>
      <c r="M97" s="982"/>
      <c r="N97" s="622"/>
      <c r="O97" s="1063"/>
      <c r="P97" s="622"/>
      <c r="Q97" s="982"/>
      <c r="R97" s="861"/>
    </row>
    <row r="98" spans="1:42" s="224" customFormat="1" ht="15" customHeight="1" x14ac:dyDescent="0.25">
      <c r="A98" s="247">
        <v>45980</v>
      </c>
      <c r="B98" s="364" t="s">
        <v>8365</v>
      </c>
      <c r="C98" s="879" t="s">
        <v>12</v>
      </c>
      <c r="D98" s="879"/>
      <c r="E98" s="983" t="s">
        <v>25</v>
      </c>
      <c r="F98" s="780"/>
      <c r="G98" s="982"/>
      <c r="H98" s="622"/>
      <c r="I98" s="982"/>
      <c r="J98" s="2013"/>
      <c r="K98" s="1207"/>
      <c r="L98" s="622"/>
      <c r="M98" s="982"/>
      <c r="N98" s="622"/>
      <c r="O98" s="1063"/>
      <c r="P98" s="622"/>
      <c r="Q98" s="982">
        <v>504</v>
      </c>
      <c r="R98" s="927"/>
      <c r="S98" s="927"/>
      <c r="T98" s="878"/>
    </row>
    <row r="99" spans="1:42" s="224" customFormat="1" ht="15" customHeight="1" x14ac:dyDescent="0.25">
      <c r="A99" s="247">
        <v>45980</v>
      </c>
      <c r="B99" s="364" t="s">
        <v>3354</v>
      </c>
      <c r="C99" s="350" t="s">
        <v>12</v>
      </c>
      <c r="D99" s="350"/>
      <c r="E99" s="145" t="s">
        <v>25</v>
      </c>
      <c r="F99" s="613"/>
      <c r="G99" s="967"/>
      <c r="H99" s="1008"/>
      <c r="I99" s="1063"/>
      <c r="J99" s="622"/>
      <c r="K99" s="982"/>
      <c r="L99" s="880"/>
      <c r="M99" s="1033"/>
      <c r="N99" s="880"/>
      <c r="O99" s="1525"/>
      <c r="P99" s="613"/>
      <c r="Q99" s="162">
        <v>238.45</v>
      </c>
      <c r="R99" s="2018"/>
      <c r="S99" s="2966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</row>
    <row r="100" spans="1:42" s="224" customFormat="1" ht="15" customHeight="1" x14ac:dyDescent="0.25">
      <c r="A100" s="247">
        <v>45980</v>
      </c>
      <c r="B100" s="862" t="s">
        <v>2867</v>
      </c>
      <c r="C100" s="350" t="s">
        <v>12</v>
      </c>
      <c r="D100" s="874" t="s">
        <v>1504</v>
      </c>
      <c r="E100" s="887" t="s">
        <v>13</v>
      </c>
      <c r="F100" s="780">
        <v>75</v>
      </c>
      <c r="G100" s="982"/>
      <c r="H100" s="1009"/>
      <c r="I100" s="1063"/>
      <c r="J100" s="622"/>
      <c r="K100" s="982"/>
      <c r="L100" s="853"/>
      <c r="M100" s="982"/>
      <c r="N100" s="853"/>
      <c r="O100" s="1063"/>
      <c r="P100" s="622"/>
      <c r="Q100" s="982"/>
      <c r="R100" s="1690" t="s">
        <v>8547</v>
      </c>
      <c r="S100" s="1826"/>
      <c r="T100" s="1690"/>
      <c r="U100" s="1690"/>
      <c r="V100" s="1690"/>
      <c r="W100" s="1690"/>
      <c r="X100" s="1690"/>
      <c r="Y100" s="1690"/>
      <c r="Z100" s="1690"/>
    </row>
    <row r="101" spans="1:42" s="224" customFormat="1" ht="14.25" customHeight="1" x14ac:dyDescent="0.25">
      <c r="A101" s="247">
        <v>45980</v>
      </c>
      <c r="B101" s="364" t="s">
        <v>2977</v>
      </c>
      <c r="C101" s="350" t="s">
        <v>12</v>
      </c>
      <c r="D101" s="350" t="s">
        <v>1491</v>
      </c>
      <c r="E101" s="875" t="s">
        <v>13</v>
      </c>
      <c r="F101" s="1047">
        <v>400</v>
      </c>
      <c r="G101" s="982"/>
      <c r="H101" s="1008"/>
      <c r="I101" s="1063"/>
      <c r="J101" s="622"/>
      <c r="K101" s="982"/>
      <c r="L101" s="622"/>
      <c r="M101" s="982"/>
      <c r="N101" s="622"/>
      <c r="O101" s="1063"/>
      <c r="P101" s="622"/>
      <c r="Q101" s="982"/>
      <c r="R101" s="1029"/>
      <c r="S101" s="923"/>
      <c r="T101" s="930"/>
    </row>
    <row r="102" spans="1:42" s="224" customFormat="1" ht="15" customHeight="1" x14ac:dyDescent="0.3">
      <c r="A102" s="247">
        <v>45980</v>
      </c>
      <c r="B102" s="882" t="s">
        <v>8366</v>
      </c>
      <c r="C102" s="879" t="s">
        <v>12</v>
      </c>
      <c r="D102" s="879" t="s">
        <v>1499</v>
      </c>
      <c r="E102" s="871" t="s">
        <v>13</v>
      </c>
      <c r="F102" s="780">
        <v>52.32</v>
      </c>
      <c r="G102" s="982"/>
      <c r="H102" s="1008"/>
      <c r="I102" s="1063"/>
      <c r="J102" s="622"/>
      <c r="K102" s="982"/>
      <c r="L102" s="622"/>
      <c r="M102" s="982"/>
      <c r="N102" s="622"/>
      <c r="O102" s="1063"/>
      <c r="P102" s="622"/>
      <c r="Q102" s="982"/>
      <c r="R102" s="2994"/>
      <c r="S102" s="1802"/>
      <c r="T102" s="1123"/>
      <c r="U102" s="999"/>
    </row>
    <row r="103" spans="1:42" s="224" customFormat="1" ht="15" customHeight="1" x14ac:dyDescent="0.25">
      <c r="A103" s="247">
        <v>45980</v>
      </c>
      <c r="B103" s="862" t="s">
        <v>8225</v>
      </c>
      <c r="C103" s="879" t="s">
        <v>12</v>
      </c>
      <c r="D103" s="879" t="s">
        <v>1504</v>
      </c>
      <c r="E103" s="871" t="s">
        <v>13</v>
      </c>
      <c r="F103" s="780">
        <v>100</v>
      </c>
      <c r="G103" s="982"/>
      <c r="H103" s="1008"/>
      <c r="I103" s="1063"/>
      <c r="J103" s="622"/>
      <c r="K103" s="982"/>
      <c r="L103" s="622"/>
      <c r="M103" s="982"/>
      <c r="N103" s="622"/>
      <c r="O103" s="1063"/>
      <c r="P103" s="622"/>
      <c r="Q103" s="982"/>
      <c r="R103" s="1808"/>
      <c r="S103" s="2967"/>
      <c r="T103" s="1035"/>
    </row>
    <row r="104" spans="1:42" s="224" customFormat="1" ht="15" customHeight="1" x14ac:dyDescent="0.25">
      <c r="A104" s="247">
        <v>45980</v>
      </c>
      <c r="B104" s="349" t="s">
        <v>8380</v>
      </c>
      <c r="C104" s="879" t="s">
        <v>12</v>
      </c>
      <c r="D104" s="350" t="s">
        <v>1524</v>
      </c>
      <c r="E104" s="887" t="s">
        <v>13</v>
      </c>
      <c r="F104" s="613">
        <v>118.136</v>
      </c>
      <c r="G104" s="982"/>
      <c r="H104" s="872"/>
      <c r="I104" s="1063"/>
      <c r="J104" s="622"/>
      <c r="K104" s="982"/>
      <c r="L104" s="622"/>
      <c r="M104" s="982"/>
      <c r="N104" s="622"/>
      <c r="O104" s="1063"/>
      <c r="P104" s="622"/>
      <c r="Q104" s="982"/>
      <c r="R104" s="1080" t="s">
        <v>3044</v>
      </c>
      <c r="S104" s="923"/>
      <c r="T104" s="878"/>
    </row>
    <row r="105" spans="1:42" s="224" customFormat="1" ht="15" customHeight="1" x14ac:dyDescent="0.25">
      <c r="A105" s="247">
        <v>45980</v>
      </c>
      <c r="B105" s="349" t="s">
        <v>8381</v>
      </c>
      <c r="C105" s="879" t="s">
        <v>12</v>
      </c>
      <c r="D105" s="350" t="s">
        <v>1524</v>
      </c>
      <c r="E105" s="887" t="s">
        <v>13</v>
      </c>
      <c r="F105" s="613">
        <v>253.465</v>
      </c>
      <c r="G105" s="982"/>
      <c r="H105" s="872"/>
      <c r="I105" s="1063"/>
      <c r="J105" s="622"/>
      <c r="K105" s="982"/>
      <c r="L105" s="622"/>
      <c r="M105" s="982"/>
      <c r="N105" s="622"/>
      <c r="O105" s="1063"/>
      <c r="P105" s="622"/>
      <c r="Q105" s="982"/>
      <c r="R105" s="1080" t="s">
        <v>3044</v>
      </c>
      <c r="S105" s="923"/>
      <c r="T105" s="878"/>
    </row>
    <row r="106" spans="1:42" s="224" customFormat="1" ht="15" customHeight="1" x14ac:dyDescent="0.25">
      <c r="A106" s="247">
        <v>45980</v>
      </c>
      <c r="B106" s="349" t="s">
        <v>8382</v>
      </c>
      <c r="C106" s="879" t="s">
        <v>12</v>
      </c>
      <c r="D106" s="350" t="s">
        <v>1524</v>
      </c>
      <c r="E106" s="887" t="s">
        <v>13</v>
      </c>
      <c r="F106" s="613">
        <v>60.656666666666666</v>
      </c>
      <c r="G106" s="982"/>
      <c r="H106" s="872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80" t="s">
        <v>3044</v>
      </c>
      <c r="S106" s="923"/>
      <c r="T106" s="878"/>
    </row>
    <row r="107" spans="1:42" s="224" customFormat="1" ht="15" customHeight="1" x14ac:dyDescent="0.25">
      <c r="A107" s="247">
        <v>45980</v>
      </c>
      <c r="B107" s="349" t="s">
        <v>8383</v>
      </c>
      <c r="C107" s="879" t="s">
        <v>12</v>
      </c>
      <c r="D107" s="350" t="s">
        <v>1524</v>
      </c>
      <c r="E107" s="887" t="s">
        <v>13</v>
      </c>
      <c r="F107" s="613">
        <v>44.985000000000007</v>
      </c>
      <c r="G107" s="982"/>
      <c r="H107" s="872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080" t="s">
        <v>3044</v>
      </c>
      <c r="S107" s="923"/>
      <c r="T107" s="878"/>
    </row>
    <row r="108" spans="1:42" s="224" customFormat="1" ht="15" customHeight="1" x14ac:dyDescent="0.25">
      <c r="A108" s="247">
        <v>45980</v>
      </c>
      <c r="B108" s="349" t="s">
        <v>8384</v>
      </c>
      <c r="C108" s="879" t="s">
        <v>12</v>
      </c>
      <c r="D108" s="350" t="s">
        <v>1524</v>
      </c>
      <c r="E108" s="887" t="s">
        <v>13</v>
      </c>
      <c r="F108" s="613">
        <v>8.9949999999999992</v>
      </c>
      <c r="G108" s="982"/>
      <c r="H108" s="872"/>
      <c r="I108" s="1063"/>
      <c r="J108" s="622"/>
      <c r="K108" s="982"/>
      <c r="L108" s="622"/>
      <c r="M108" s="982"/>
      <c r="N108" s="622"/>
      <c r="O108" s="1063"/>
      <c r="P108" s="622"/>
      <c r="Q108" s="982"/>
      <c r="R108" s="1080" t="s">
        <v>3044</v>
      </c>
      <c r="S108" s="923"/>
      <c r="T108" s="878"/>
    </row>
    <row r="109" spans="1:42" s="224" customFormat="1" ht="15" customHeight="1" x14ac:dyDescent="0.25">
      <c r="A109" s="247">
        <v>45980</v>
      </c>
      <c r="B109" s="349" t="s">
        <v>8385</v>
      </c>
      <c r="C109" s="879" t="s">
        <v>12</v>
      </c>
      <c r="D109" s="350" t="s">
        <v>1524</v>
      </c>
      <c r="E109" s="887" t="s">
        <v>13</v>
      </c>
      <c r="F109" s="613">
        <v>8.3333333333333339</v>
      </c>
      <c r="G109" s="982"/>
      <c r="H109" s="872"/>
      <c r="I109" s="1063"/>
      <c r="J109" s="622"/>
      <c r="K109" s="982"/>
      <c r="L109" s="622"/>
      <c r="M109" s="982"/>
      <c r="N109" s="622"/>
      <c r="O109" s="1063"/>
      <c r="P109" s="622"/>
      <c r="Q109" s="982"/>
      <c r="R109" s="1080" t="s">
        <v>3044</v>
      </c>
      <c r="S109" s="923"/>
      <c r="T109" s="878"/>
    </row>
    <row r="110" spans="1:42" s="224" customFormat="1" ht="15" customHeight="1" x14ac:dyDescent="0.25">
      <c r="A110" s="247">
        <v>45980</v>
      </c>
      <c r="B110" s="349" t="s">
        <v>8386</v>
      </c>
      <c r="C110" s="879" t="s">
        <v>12</v>
      </c>
      <c r="D110" s="350" t="s">
        <v>1524</v>
      </c>
      <c r="E110" s="887" t="s">
        <v>13</v>
      </c>
      <c r="F110" s="613">
        <v>50.857142857142854</v>
      </c>
      <c r="G110" s="982"/>
      <c r="H110" s="872"/>
      <c r="I110" s="1063"/>
      <c r="J110" s="622"/>
      <c r="K110" s="982"/>
      <c r="L110" s="622"/>
      <c r="M110" s="982"/>
      <c r="N110" s="622"/>
      <c r="O110" s="1063"/>
      <c r="P110" s="622"/>
      <c r="Q110" s="982"/>
      <c r="R110" s="1080" t="s">
        <v>3044</v>
      </c>
      <c r="S110" s="923"/>
      <c r="T110" s="878"/>
    </row>
    <row r="111" spans="1:42" s="224" customFormat="1" ht="15" customHeight="1" x14ac:dyDescent="0.25">
      <c r="A111" s="247">
        <v>45980</v>
      </c>
      <c r="B111" s="349" t="s">
        <v>8387</v>
      </c>
      <c r="C111" s="879" t="s">
        <v>12</v>
      </c>
      <c r="D111" s="350" t="s">
        <v>1524</v>
      </c>
      <c r="E111" s="887" t="s">
        <v>13</v>
      </c>
      <c r="F111" s="613">
        <v>430</v>
      </c>
      <c r="G111" s="982"/>
      <c r="H111" s="872"/>
      <c r="I111" s="1063"/>
      <c r="J111" s="622"/>
      <c r="K111" s="982"/>
      <c r="L111" s="622"/>
      <c r="M111" s="982"/>
      <c r="N111" s="622"/>
      <c r="O111" s="1063"/>
      <c r="P111" s="622"/>
      <c r="Q111" s="982"/>
      <c r="R111" s="1080" t="s">
        <v>3044</v>
      </c>
      <c r="S111" s="923"/>
      <c r="T111" s="878"/>
    </row>
    <row r="112" spans="1:42" s="224" customFormat="1" ht="15" customHeight="1" x14ac:dyDescent="0.25">
      <c r="A112" s="247">
        <v>45980</v>
      </c>
      <c r="B112" s="349" t="s">
        <v>8388</v>
      </c>
      <c r="C112" s="879" t="s">
        <v>12</v>
      </c>
      <c r="D112" s="350" t="s">
        <v>1524</v>
      </c>
      <c r="E112" s="887" t="s">
        <v>13</v>
      </c>
      <c r="F112" s="613">
        <v>53.591428571428573</v>
      </c>
      <c r="G112" s="982"/>
      <c r="H112" s="872"/>
      <c r="I112" s="1063"/>
      <c r="J112" s="622"/>
      <c r="K112" s="982"/>
      <c r="L112" s="622"/>
      <c r="M112" s="982"/>
      <c r="N112" s="622"/>
      <c r="O112" s="1063"/>
      <c r="P112" s="622"/>
      <c r="Q112" s="982"/>
      <c r="R112" s="1080" t="s">
        <v>3044</v>
      </c>
      <c r="S112" s="923"/>
      <c r="T112" s="878"/>
    </row>
    <row r="113" spans="1:20" s="224" customFormat="1" ht="15" customHeight="1" x14ac:dyDescent="0.25">
      <c r="A113" s="247">
        <v>45980</v>
      </c>
      <c r="B113" s="349" t="s">
        <v>8390</v>
      </c>
      <c r="C113" s="879" t="s">
        <v>12</v>
      </c>
      <c r="D113" s="350" t="s">
        <v>1524</v>
      </c>
      <c r="E113" s="887" t="s">
        <v>13</v>
      </c>
      <c r="F113" s="613">
        <v>149.10666666666665</v>
      </c>
      <c r="G113" s="982"/>
      <c r="H113" s="872"/>
      <c r="I113" s="1063"/>
      <c r="J113" s="622"/>
      <c r="K113" s="982"/>
      <c r="L113" s="622"/>
      <c r="M113" s="982"/>
      <c r="N113" s="622"/>
      <c r="O113" s="1063"/>
      <c r="P113" s="622"/>
      <c r="Q113" s="982"/>
      <c r="R113" s="1080" t="s">
        <v>3044</v>
      </c>
      <c r="S113" s="923"/>
      <c r="T113" s="878"/>
    </row>
    <row r="114" spans="1:20" s="224" customFormat="1" ht="15" customHeight="1" x14ac:dyDescent="0.25">
      <c r="A114" s="247">
        <v>45980</v>
      </c>
      <c r="B114" s="349" t="s">
        <v>8539</v>
      </c>
      <c r="C114" s="879" t="s">
        <v>12</v>
      </c>
      <c r="D114" s="350" t="s">
        <v>1524</v>
      </c>
      <c r="E114" s="887" t="s">
        <v>13</v>
      </c>
      <c r="F114" s="613">
        <v>99.666666666666671</v>
      </c>
      <c r="G114" s="982"/>
      <c r="H114" s="872"/>
      <c r="I114" s="1063"/>
      <c r="J114" s="622"/>
      <c r="K114" s="982"/>
      <c r="L114" s="622"/>
      <c r="M114" s="982"/>
      <c r="N114" s="622"/>
      <c r="O114" s="1063"/>
      <c r="P114" s="622"/>
      <c r="Q114" s="982"/>
      <c r="R114" s="1080" t="s">
        <v>3044</v>
      </c>
      <c r="S114" s="923"/>
      <c r="T114" s="878"/>
    </row>
    <row r="115" spans="1:20" s="224" customFormat="1" ht="15" customHeight="1" x14ac:dyDescent="0.25">
      <c r="A115" s="247">
        <v>45980</v>
      </c>
      <c r="B115" s="349" t="s">
        <v>8389</v>
      </c>
      <c r="C115" s="879" t="s">
        <v>12</v>
      </c>
      <c r="D115" s="350" t="s">
        <v>1504</v>
      </c>
      <c r="E115" s="887" t="s">
        <v>13</v>
      </c>
      <c r="F115" s="613">
        <v>34.22</v>
      </c>
      <c r="G115" s="982"/>
      <c r="H115" s="872"/>
      <c r="I115" s="1063"/>
      <c r="J115" s="622"/>
      <c r="K115" s="982"/>
      <c r="L115" s="622"/>
      <c r="M115" s="982"/>
      <c r="N115" s="622"/>
      <c r="O115" s="1063"/>
      <c r="P115" s="622"/>
      <c r="Q115" s="982"/>
      <c r="R115" s="1080" t="s">
        <v>3044</v>
      </c>
      <c r="S115" s="929"/>
      <c r="T115" s="878"/>
    </row>
    <row r="116" spans="1:20" s="224" customFormat="1" ht="15" customHeight="1" x14ac:dyDescent="0.25">
      <c r="A116" s="247">
        <v>45980</v>
      </c>
      <c r="B116" s="349" t="s">
        <v>8393</v>
      </c>
      <c r="C116" s="879" t="s">
        <v>12</v>
      </c>
      <c r="D116" s="350" t="s">
        <v>1525</v>
      </c>
      <c r="E116" s="887" t="s">
        <v>13</v>
      </c>
      <c r="F116" s="613">
        <v>53.39875</v>
      </c>
      <c r="G116" s="982"/>
      <c r="H116" s="872"/>
      <c r="I116" s="1063"/>
      <c r="J116" s="622"/>
      <c r="K116" s="982"/>
      <c r="L116" s="622"/>
      <c r="M116" s="982"/>
      <c r="N116" s="622"/>
      <c r="O116" s="1063"/>
      <c r="P116" s="622"/>
      <c r="Q116" s="982"/>
      <c r="R116" s="1080" t="s">
        <v>3044</v>
      </c>
      <c r="S116" s="929"/>
      <c r="T116" s="878"/>
    </row>
    <row r="117" spans="1:20" s="224" customFormat="1" ht="15" customHeight="1" x14ac:dyDescent="0.25">
      <c r="A117" s="247">
        <v>45980</v>
      </c>
      <c r="B117" s="349" t="s">
        <v>8397</v>
      </c>
      <c r="C117" s="879" t="s">
        <v>12</v>
      </c>
      <c r="D117" s="350" t="s">
        <v>1525</v>
      </c>
      <c r="E117" s="887" t="s">
        <v>13</v>
      </c>
      <c r="F117" s="613">
        <v>75.444000000000003</v>
      </c>
      <c r="G117" s="982"/>
      <c r="H117" s="872"/>
      <c r="I117" s="1063"/>
      <c r="J117" s="622"/>
      <c r="K117" s="982"/>
      <c r="L117" s="622"/>
      <c r="M117" s="982"/>
      <c r="N117" s="622"/>
      <c r="O117" s="1063"/>
      <c r="P117" s="622"/>
      <c r="Q117" s="982"/>
      <c r="R117" s="1080" t="s">
        <v>8424</v>
      </c>
      <c r="S117" s="929"/>
      <c r="T117" s="878"/>
    </row>
    <row r="118" spans="1:20" s="224" customFormat="1" ht="15" customHeight="1" x14ac:dyDescent="0.25">
      <c r="A118" s="247">
        <v>45980</v>
      </c>
      <c r="B118" s="349" t="s">
        <v>8398</v>
      </c>
      <c r="C118" s="879" t="s">
        <v>12</v>
      </c>
      <c r="D118" s="350" t="s">
        <v>1525</v>
      </c>
      <c r="E118" s="887" t="s">
        <v>13</v>
      </c>
      <c r="F118" s="613">
        <v>53.652000000000001</v>
      </c>
      <c r="G118" s="982"/>
      <c r="H118" s="872"/>
      <c r="I118" s="1063"/>
      <c r="J118" s="622"/>
      <c r="K118" s="982"/>
      <c r="L118" s="622"/>
      <c r="M118" s="982"/>
      <c r="N118" s="622"/>
      <c r="O118" s="1063"/>
      <c r="P118" s="622"/>
      <c r="Q118" s="982"/>
      <c r="R118" s="1080" t="s">
        <v>8424</v>
      </c>
      <c r="S118" s="929"/>
      <c r="T118" s="878"/>
    </row>
    <row r="119" spans="1:20" s="224" customFormat="1" ht="15" customHeight="1" x14ac:dyDescent="0.25">
      <c r="A119" s="247">
        <v>45980</v>
      </c>
      <c r="B119" s="349" t="s">
        <v>8449</v>
      </c>
      <c r="C119" s="879" t="s">
        <v>12</v>
      </c>
      <c r="D119" s="350" t="s">
        <v>6731</v>
      </c>
      <c r="E119" s="887" t="s">
        <v>13</v>
      </c>
      <c r="F119" s="613">
        <v>90.84</v>
      </c>
      <c r="G119" s="982"/>
      <c r="H119" s="872"/>
      <c r="I119" s="1063"/>
      <c r="J119" s="622"/>
      <c r="K119" s="982"/>
      <c r="L119" s="622"/>
      <c r="M119" s="982"/>
      <c r="N119" s="622"/>
      <c r="O119" s="1063"/>
      <c r="P119" s="622"/>
      <c r="Q119" s="982"/>
      <c r="R119" s="1080" t="s">
        <v>3044</v>
      </c>
      <c r="S119" s="929"/>
      <c r="T119" s="878"/>
    </row>
    <row r="120" spans="1:20" s="224" customFormat="1" ht="15" customHeight="1" x14ac:dyDescent="0.25">
      <c r="A120" s="247">
        <v>45980</v>
      </c>
      <c r="B120" s="349" t="s">
        <v>8451</v>
      </c>
      <c r="C120" s="879" t="s">
        <v>12</v>
      </c>
      <c r="D120" s="350" t="s">
        <v>6731</v>
      </c>
      <c r="E120" s="887" t="s">
        <v>13</v>
      </c>
      <c r="F120" s="613">
        <v>189.7</v>
      </c>
      <c r="G120" s="982"/>
      <c r="H120" s="872"/>
      <c r="I120" s="1063"/>
      <c r="J120" s="622"/>
      <c r="K120" s="982"/>
      <c r="L120" s="622"/>
      <c r="M120" s="982"/>
      <c r="N120" s="622"/>
      <c r="O120" s="1063"/>
      <c r="P120" s="622"/>
      <c r="Q120" s="982"/>
      <c r="R120" s="1080" t="s">
        <v>3044</v>
      </c>
      <c r="S120" s="929"/>
      <c r="T120" s="878"/>
    </row>
    <row r="121" spans="1:20" s="224" customFormat="1" ht="15" customHeight="1" x14ac:dyDescent="0.25">
      <c r="A121" s="247">
        <v>45980</v>
      </c>
      <c r="B121" s="349" t="s">
        <v>8458</v>
      </c>
      <c r="C121" s="879" t="s">
        <v>12</v>
      </c>
      <c r="D121" s="350" t="s">
        <v>1525</v>
      </c>
      <c r="E121" s="887" t="s">
        <v>13</v>
      </c>
      <c r="F121" s="613">
        <v>61.237499999999997</v>
      </c>
      <c r="G121" s="982"/>
      <c r="H121" s="872"/>
      <c r="I121" s="1063"/>
      <c r="J121" s="622"/>
      <c r="K121" s="982"/>
      <c r="L121" s="622"/>
      <c r="M121" s="982"/>
      <c r="N121" s="622"/>
      <c r="O121" s="1063"/>
      <c r="P121" s="622"/>
      <c r="Q121" s="982"/>
      <c r="R121" s="1080" t="s">
        <v>3044</v>
      </c>
      <c r="S121" s="929"/>
      <c r="T121" s="878"/>
    </row>
    <row r="122" spans="1:20" s="224" customFormat="1" ht="15" customHeight="1" x14ac:dyDescent="0.25">
      <c r="A122" s="247">
        <v>45980</v>
      </c>
      <c r="B122" s="349" t="s">
        <v>8474</v>
      </c>
      <c r="C122" s="879" t="s">
        <v>12</v>
      </c>
      <c r="D122" s="350" t="s">
        <v>1525</v>
      </c>
      <c r="E122" s="887" t="s">
        <v>13</v>
      </c>
      <c r="F122" s="613">
        <v>46.19</v>
      </c>
      <c r="G122" s="982"/>
      <c r="H122" s="872"/>
      <c r="I122" s="1063"/>
      <c r="J122" s="622"/>
      <c r="K122" s="982"/>
      <c r="L122" s="622"/>
      <c r="M122" s="982"/>
      <c r="N122" s="622"/>
      <c r="O122" s="1063"/>
      <c r="P122" s="622"/>
      <c r="Q122" s="982"/>
      <c r="R122" s="1080" t="s">
        <v>3044</v>
      </c>
      <c r="S122" s="929"/>
      <c r="T122" s="878"/>
    </row>
    <row r="123" spans="1:20" s="224" customFormat="1" ht="15" customHeight="1" x14ac:dyDescent="0.25">
      <c r="A123" s="247">
        <v>45980</v>
      </c>
      <c r="B123" s="349" t="s">
        <v>8475</v>
      </c>
      <c r="C123" s="879" t="s">
        <v>12</v>
      </c>
      <c r="D123" s="350" t="s">
        <v>1525</v>
      </c>
      <c r="E123" s="887" t="s">
        <v>13</v>
      </c>
      <c r="F123" s="613">
        <v>42.5</v>
      </c>
      <c r="G123" s="982"/>
      <c r="H123" s="872"/>
      <c r="I123" s="1063"/>
      <c r="J123" s="622"/>
      <c r="K123" s="982"/>
      <c r="L123" s="622"/>
      <c r="M123" s="982"/>
      <c r="N123" s="622"/>
      <c r="O123" s="1063"/>
      <c r="P123" s="622"/>
      <c r="Q123" s="982"/>
      <c r="R123" s="1080" t="s">
        <v>3044</v>
      </c>
      <c r="S123" s="929"/>
      <c r="T123" s="878"/>
    </row>
    <row r="124" spans="1:20" s="224" customFormat="1" ht="15" customHeight="1" x14ac:dyDescent="0.25">
      <c r="A124" s="247">
        <v>45980</v>
      </c>
      <c r="B124" s="349" t="s">
        <v>8476</v>
      </c>
      <c r="C124" s="879" t="s">
        <v>12</v>
      </c>
      <c r="D124" s="350" t="s">
        <v>1523</v>
      </c>
      <c r="E124" s="887" t="s">
        <v>13</v>
      </c>
      <c r="F124" s="613">
        <v>339.06</v>
      </c>
      <c r="G124" s="982"/>
      <c r="H124" s="872"/>
      <c r="I124" s="1063"/>
      <c r="J124" s="622"/>
      <c r="K124" s="982"/>
      <c r="L124" s="622"/>
      <c r="M124" s="982"/>
      <c r="N124" s="622"/>
      <c r="O124" s="1063"/>
      <c r="P124" s="622"/>
      <c r="Q124" s="982"/>
      <c r="R124" s="1080" t="s">
        <v>3044</v>
      </c>
      <c r="S124" s="929"/>
      <c r="T124" s="878"/>
    </row>
    <row r="125" spans="1:20" s="224" customFormat="1" ht="15" customHeight="1" x14ac:dyDescent="0.25">
      <c r="A125" s="247">
        <v>45980</v>
      </c>
      <c r="B125" s="349" t="s">
        <v>8473</v>
      </c>
      <c r="C125" s="879" t="s">
        <v>12</v>
      </c>
      <c r="D125" s="350" t="s">
        <v>1525</v>
      </c>
      <c r="E125" s="887" t="s">
        <v>13</v>
      </c>
      <c r="F125" s="613">
        <v>143.11000000000001</v>
      </c>
      <c r="G125" s="982"/>
      <c r="H125" s="872"/>
      <c r="I125" s="1063"/>
      <c r="J125" s="622"/>
      <c r="K125" s="982"/>
      <c r="L125" s="622"/>
      <c r="M125" s="982"/>
      <c r="N125" s="622"/>
      <c r="O125" s="1063"/>
      <c r="P125" s="622"/>
      <c r="Q125" s="982"/>
      <c r="R125" s="1080" t="s">
        <v>3044</v>
      </c>
      <c r="S125" s="929"/>
      <c r="T125" s="878"/>
    </row>
    <row r="126" spans="1:20" s="224" customFormat="1" ht="15" customHeight="1" x14ac:dyDescent="0.25">
      <c r="A126" s="247">
        <v>45980</v>
      </c>
      <c r="B126" s="349" t="s">
        <v>8518</v>
      </c>
      <c r="C126" s="879" t="s">
        <v>12</v>
      </c>
      <c r="D126" s="350" t="s">
        <v>1523</v>
      </c>
      <c r="E126" s="887" t="s">
        <v>13</v>
      </c>
      <c r="F126" s="613">
        <v>90.539999999999992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1080" t="s">
        <v>3044</v>
      </c>
      <c r="S126" s="929"/>
      <c r="T126" s="878"/>
    </row>
    <row r="127" spans="1:20" s="224" customFormat="1" ht="15" customHeight="1" x14ac:dyDescent="0.25">
      <c r="A127" s="247">
        <v>45980</v>
      </c>
      <c r="B127" s="349" t="s">
        <v>8505</v>
      </c>
      <c r="C127" s="879" t="s">
        <v>12</v>
      </c>
      <c r="D127" s="350" t="s">
        <v>6731</v>
      </c>
      <c r="E127" s="887" t="s">
        <v>13</v>
      </c>
      <c r="F127" s="613">
        <v>66.88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1080" t="s">
        <v>3044</v>
      </c>
      <c r="S127" s="929"/>
      <c r="T127" s="878"/>
    </row>
    <row r="128" spans="1:20" s="224" customFormat="1" ht="15" customHeight="1" x14ac:dyDescent="0.25">
      <c r="A128" s="247">
        <v>45980</v>
      </c>
      <c r="B128" s="882" t="s">
        <v>6814</v>
      </c>
      <c r="C128" s="879" t="s">
        <v>12</v>
      </c>
      <c r="D128" s="879"/>
      <c r="E128" s="875" t="s">
        <v>13</v>
      </c>
      <c r="F128" s="780"/>
      <c r="G128" s="982">
        <v>1277.79</v>
      </c>
      <c r="H128" s="1008"/>
      <c r="I128" s="1063"/>
      <c r="J128" s="622">
        <v>1277.79</v>
      </c>
      <c r="K128" s="982"/>
      <c r="L128" s="622"/>
      <c r="M128" s="982"/>
      <c r="N128" s="622"/>
      <c r="O128" s="1063"/>
      <c r="P128" s="622"/>
      <c r="Q128" s="982"/>
      <c r="R128" s="941"/>
    </row>
    <row r="129" spans="1:42" s="224" customFormat="1" ht="15" customHeight="1" x14ac:dyDescent="0.25">
      <c r="A129" s="247">
        <v>45980</v>
      </c>
      <c r="B129" s="882" t="s">
        <v>82</v>
      </c>
      <c r="C129" s="879" t="s">
        <v>12</v>
      </c>
      <c r="D129" s="879" t="s">
        <v>1493</v>
      </c>
      <c r="E129" s="871" t="s">
        <v>13</v>
      </c>
      <c r="F129" s="780">
        <v>27.8</v>
      </c>
      <c r="G129" s="982"/>
      <c r="H129" s="95"/>
      <c r="I129" s="1064"/>
      <c r="J129" s="613"/>
      <c r="K129" s="6"/>
      <c r="L129" s="622"/>
      <c r="M129" s="982"/>
      <c r="N129" s="622"/>
      <c r="O129" s="1063"/>
      <c r="P129" s="622"/>
      <c r="Q129" s="982"/>
      <c r="R129" s="861"/>
    </row>
    <row r="130" spans="1:42" s="224" customFormat="1" ht="15" customHeight="1" x14ac:dyDescent="0.25">
      <c r="A130" s="247">
        <v>45981</v>
      </c>
      <c r="B130" s="882" t="s">
        <v>7122</v>
      </c>
      <c r="C130" s="879" t="s">
        <v>12</v>
      </c>
      <c r="D130" s="879" t="s">
        <v>1489</v>
      </c>
      <c r="E130" s="871" t="s">
        <v>13</v>
      </c>
      <c r="F130" s="780">
        <v>15</v>
      </c>
      <c r="G130" s="982"/>
      <c r="H130" s="95"/>
      <c r="I130" s="1064"/>
      <c r="J130" s="613"/>
      <c r="K130" s="6"/>
      <c r="L130" s="622"/>
      <c r="M130" s="982"/>
      <c r="N130" s="622"/>
      <c r="O130" s="1063"/>
      <c r="P130" s="622"/>
      <c r="Q130" s="982"/>
      <c r="R130" s="861"/>
    </row>
    <row r="131" spans="1:42" s="224" customFormat="1" ht="15" customHeight="1" x14ac:dyDescent="0.25">
      <c r="A131" s="247">
        <v>45981</v>
      </c>
      <c r="B131" s="882" t="s">
        <v>8540</v>
      </c>
      <c r="C131" s="879" t="s">
        <v>12</v>
      </c>
      <c r="D131" s="879" t="s">
        <v>1493</v>
      </c>
      <c r="E131" s="871" t="s">
        <v>13</v>
      </c>
      <c r="F131" s="780">
        <v>20</v>
      </c>
      <c r="G131" s="982"/>
      <c r="H131" s="95"/>
      <c r="I131" s="1064"/>
      <c r="J131" s="613"/>
      <c r="K131" s="6"/>
      <c r="L131" s="622"/>
      <c r="M131" s="982"/>
      <c r="N131" s="622"/>
      <c r="O131" s="1063"/>
      <c r="P131" s="622"/>
      <c r="Q131" s="982"/>
      <c r="R131" s="861"/>
    </row>
    <row r="132" spans="1:42" s="224" customFormat="1" ht="15" customHeight="1" x14ac:dyDescent="0.25">
      <c r="A132" s="247">
        <v>45981</v>
      </c>
      <c r="B132" s="882" t="s">
        <v>8541</v>
      </c>
      <c r="C132" s="879" t="s">
        <v>12</v>
      </c>
      <c r="D132" s="879" t="s">
        <v>1485</v>
      </c>
      <c r="E132" s="871" t="s">
        <v>13</v>
      </c>
      <c r="F132" s="780">
        <v>40</v>
      </c>
      <c r="G132" s="982"/>
      <c r="H132" s="95"/>
      <c r="I132" s="1064"/>
      <c r="J132" s="613"/>
      <c r="K132" s="6"/>
      <c r="L132" s="622"/>
      <c r="M132" s="982"/>
      <c r="N132" s="622"/>
      <c r="O132" s="1063"/>
      <c r="P132" s="622"/>
      <c r="Q132" s="982"/>
      <c r="R132" s="861"/>
    </row>
    <row r="133" spans="1:42" s="224" customFormat="1" ht="15" customHeight="1" x14ac:dyDescent="0.25">
      <c r="A133" s="247">
        <v>45981</v>
      </c>
      <c r="B133" s="882" t="s">
        <v>14</v>
      </c>
      <c r="C133" s="1276" t="s">
        <v>12</v>
      </c>
      <c r="D133" s="879" t="s">
        <v>1486</v>
      </c>
      <c r="E133" s="875" t="s">
        <v>13</v>
      </c>
      <c r="F133" s="780">
        <v>4.93</v>
      </c>
      <c r="G133" s="982"/>
      <c r="H133" s="622"/>
      <c r="I133" s="982"/>
      <c r="J133" s="622"/>
      <c r="K133" s="982"/>
      <c r="L133" s="622"/>
      <c r="M133" s="982"/>
      <c r="N133" s="880"/>
      <c r="O133" s="1525"/>
      <c r="P133" s="613"/>
      <c r="Q133" s="162"/>
      <c r="R133" s="1956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</row>
    <row r="134" spans="1:42" s="224" customFormat="1" ht="15" customHeight="1" x14ac:dyDescent="0.25">
      <c r="A134" s="247">
        <v>45982</v>
      </c>
      <c r="B134" s="882" t="s">
        <v>8542</v>
      </c>
      <c r="C134" s="879" t="s">
        <v>12</v>
      </c>
      <c r="D134" s="879" t="s">
        <v>1522</v>
      </c>
      <c r="E134" s="875" t="s">
        <v>13</v>
      </c>
      <c r="F134" s="780">
        <v>167.74</v>
      </c>
      <c r="G134" s="982"/>
      <c r="H134" s="622"/>
      <c r="I134" s="982"/>
      <c r="J134" s="1116"/>
      <c r="K134" s="1207"/>
      <c r="L134" s="622"/>
      <c r="M134" s="982"/>
      <c r="N134" s="622"/>
      <c r="O134" s="1063"/>
      <c r="P134" s="880"/>
      <c r="Q134" s="1033"/>
      <c r="R134" s="927"/>
      <c r="T134" s="878"/>
    </row>
    <row r="135" spans="1:42" s="224" customFormat="1" ht="15" customHeight="1" x14ac:dyDescent="0.25">
      <c r="A135" s="247">
        <v>45982</v>
      </c>
      <c r="B135" s="1275" t="s">
        <v>32</v>
      </c>
      <c r="C135" s="1276" t="s">
        <v>12</v>
      </c>
      <c r="D135" s="1276" t="s">
        <v>1485</v>
      </c>
      <c r="E135" s="875" t="s">
        <v>13</v>
      </c>
      <c r="F135" s="780">
        <v>23</v>
      </c>
      <c r="G135" s="982"/>
      <c r="H135" s="622"/>
      <c r="I135" s="982"/>
      <c r="J135" s="622"/>
      <c r="K135" s="982"/>
      <c r="L135" s="622"/>
      <c r="M135" s="982"/>
      <c r="N135" s="880"/>
      <c r="O135" s="1525"/>
      <c r="P135" s="613"/>
      <c r="Q135" s="162"/>
      <c r="R135" s="1956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</row>
    <row r="136" spans="1:42" s="224" customFormat="1" ht="15" customHeight="1" x14ac:dyDescent="0.25">
      <c r="A136" s="247">
        <v>45982</v>
      </c>
      <c r="B136" s="882" t="s">
        <v>14</v>
      </c>
      <c r="C136" s="1276" t="s">
        <v>12</v>
      </c>
      <c r="D136" s="879" t="s">
        <v>1486</v>
      </c>
      <c r="E136" s="875" t="s">
        <v>13</v>
      </c>
      <c r="F136" s="780">
        <v>5.25</v>
      </c>
      <c r="G136" s="982"/>
      <c r="H136" s="95"/>
      <c r="I136" s="1064"/>
      <c r="J136" s="613"/>
      <c r="K136" s="6"/>
      <c r="L136" s="622"/>
      <c r="M136" s="982"/>
      <c r="N136" s="622"/>
      <c r="O136" s="1063"/>
      <c r="P136" s="622"/>
      <c r="Q136" s="982"/>
      <c r="R136" s="861"/>
    </row>
    <row r="137" spans="1:42" s="224" customFormat="1" ht="15" customHeight="1" x14ac:dyDescent="0.25">
      <c r="A137" s="247">
        <v>45983</v>
      </c>
      <c r="B137" s="882" t="s">
        <v>14</v>
      </c>
      <c r="C137" s="1276" t="s">
        <v>12</v>
      </c>
      <c r="D137" s="879" t="s">
        <v>1486</v>
      </c>
      <c r="E137" s="875" t="s">
        <v>13</v>
      </c>
      <c r="F137" s="780">
        <v>10.49</v>
      </c>
      <c r="G137" s="982"/>
      <c r="H137" s="95"/>
      <c r="I137" s="1064"/>
      <c r="J137" s="613"/>
      <c r="K137" s="6"/>
      <c r="L137" s="622"/>
      <c r="M137" s="982"/>
      <c r="N137" s="622"/>
      <c r="O137" s="1063"/>
      <c r="P137" s="622"/>
      <c r="Q137" s="982"/>
      <c r="R137" s="861"/>
    </row>
    <row r="138" spans="1:42" s="224" customFormat="1" ht="15" customHeight="1" x14ac:dyDescent="0.25">
      <c r="A138" s="247">
        <v>45983</v>
      </c>
      <c r="B138" s="1275" t="s">
        <v>8544</v>
      </c>
      <c r="C138" s="1276" t="s">
        <v>12</v>
      </c>
      <c r="D138" s="1276" t="s">
        <v>1485</v>
      </c>
      <c r="E138" s="875" t="s">
        <v>13</v>
      </c>
      <c r="F138" s="780">
        <v>50</v>
      </c>
      <c r="G138" s="982"/>
      <c r="H138" s="622"/>
      <c r="I138" s="982"/>
      <c r="J138" s="622"/>
      <c r="K138" s="982"/>
      <c r="L138" s="622"/>
      <c r="M138" s="982"/>
      <c r="N138" s="880"/>
      <c r="O138" s="1525"/>
      <c r="P138" s="613"/>
      <c r="Q138" s="162"/>
      <c r="R138" s="1956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</row>
    <row r="139" spans="1:42" s="224" customFormat="1" ht="15" customHeight="1" x14ac:dyDescent="0.25">
      <c r="A139" s="247">
        <v>45984</v>
      </c>
      <c r="B139" s="882" t="s">
        <v>14</v>
      </c>
      <c r="C139" s="1276" t="s">
        <v>12</v>
      </c>
      <c r="D139" s="879" t="s">
        <v>1486</v>
      </c>
      <c r="E139" s="875" t="s">
        <v>13</v>
      </c>
      <c r="F139" s="780">
        <v>10.27</v>
      </c>
      <c r="G139" s="982"/>
      <c r="H139" s="95"/>
      <c r="I139" s="1064"/>
      <c r="J139" s="613"/>
      <c r="K139" s="6"/>
      <c r="L139" s="622"/>
      <c r="M139" s="982"/>
      <c r="N139" s="622"/>
      <c r="O139" s="1063"/>
      <c r="P139" s="622"/>
      <c r="Q139" s="982"/>
      <c r="R139" s="861"/>
    </row>
    <row r="140" spans="1:42" s="224" customFormat="1" ht="15" customHeight="1" x14ac:dyDescent="0.25">
      <c r="A140" s="247">
        <v>45984</v>
      </c>
      <c r="B140" s="882" t="s">
        <v>2595</v>
      </c>
      <c r="C140" s="879" t="s">
        <v>12</v>
      </c>
      <c r="D140" s="879" t="s">
        <v>1506</v>
      </c>
      <c r="E140" s="871" t="s">
        <v>13</v>
      </c>
      <c r="F140" s="780">
        <v>10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861"/>
    </row>
    <row r="141" spans="1:42" s="224" customFormat="1" ht="15" customHeight="1" x14ac:dyDescent="0.25">
      <c r="A141" s="247">
        <v>45984</v>
      </c>
      <c r="B141" s="882" t="s">
        <v>8545</v>
      </c>
      <c r="C141" s="879" t="s">
        <v>12</v>
      </c>
      <c r="D141" s="879" t="s">
        <v>1525</v>
      </c>
      <c r="E141" s="871" t="s">
        <v>13</v>
      </c>
      <c r="F141" s="780">
        <v>10</v>
      </c>
      <c r="G141" s="982"/>
      <c r="H141" s="95"/>
      <c r="I141" s="1064"/>
      <c r="J141" s="613"/>
      <c r="K141" s="6"/>
      <c r="L141" s="622"/>
      <c r="M141" s="982"/>
      <c r="N141" s="622"/>
      <c r="O141" s="1063"/>
      <c r="P141" s="622"/>
      <c r="Q141" s="982"/>
      <c r="R141" s="861"/>
    </row>
    <row r="142" spans="1:42" s="224" customFormat="1" ht="15" customHeight="1" x14ac:dyDescent="0.25">
      <c r="A142" s="247">
        <v>45984</v>
      </c>
      <c r="B142" s="882" t="s">
        <v>8546</v>
      </c>
      <c r="C142" s="879" t="s">
        <v>12</v>
      </c>
      <c r="D142" s="879" t="s">
        <v>6731</v>
      </c>
      <c r="E142" s="871" t="s">
        <v>13</v>
      </c>
      <c r="F142" s="780">
        <v>25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622"/>
      <c r="Q142" s="982"/>
      <c r="R142" s="861"/>
    </row>
    <row r="143" spans="1:42" s="224" customFormat="1" ht="15" customHeight="1" x14ac:dyDescent="0.25">
      <c r="A143" s="247">
        <v>45984</v>
      </c>
      <c r="B143" s="1275" t="s">
        <v>32</v>
      </c>
      <c r="C143" s="1276" t="s">
        <v>12</v>
      </c>
      <c r="D143" s="1276" t="s">
        <v>1485</v>
      </c>
      <c r="E143" s="875" t="s">
        <v>13</v>
      </c>
      <c r="F143" s="780">
        <v>20</v>
      </c>
      <c r="G143" s="982"/>
      <c r="H143" s="622"/>
      <c r="I143" s="982"/>
      <c r="J143" s="622"/>
      <c r="K143" s="982"/>
      <c r="L143" s="622"/>
      <c r="M143" s="982"/>
      <c r="N143" s="880"/>
      <c r="O143" s="1525"/>
      <c r="P143" s="613"/>
      <c r="Q143" s="162"/>
      <c r="R143" s="1956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</row>
    <row r="144" spans="1:42" s="224" customFormat="1" ht="15" customHeight="1" x14ac:dyDescent="0.25">
      <c r="A144" s="247">
        <v>45984</v>
      </c>
      <c r="B144" s="882" t="s">
        <v>14</v>
      </c>
      <c r="C144" s="1276" t="s">
        <v>12</v>
      </c>
      <c r="D144" s="879" t="s">
        <v>1486</v>
      </c>
      <c r="E144" s="875" t="s">
        <v>13</v>
      </c>
      <c r="F144" s="780">
        <v>6.86</v>
      </c>
      <c r="G144" s="982"/>
      <c r="H144" s="95"/>
      <c r="I144" s="1064"/>
      <c r="J144" s="613"/>
      <c r="K144" s="6"/>
      <c r="L144" s="622"/>
      <c r="M144" s="982"/>
      <c r="N144" s="622"/>
      <c r="O144" s="1063"/>
      <c r="P144" s="622"/>
      <c r="Q144" s="982"/>
      <c r="R144" s="861"/>
    </row>
    <row r="145" spans="1:42" s="224" customFormat="1" ht="15" customHeight="1" x14ac:dyDescent="0.25">
      <c r="A145" s="247">
        <v>45985</v>
      </c>
      <c r="B145" s="882" t="s">
        <v>443</v>
      </c>
      <c r="C145" s="879" t="s">
        <v>12</v>
      </c>
      <c r="D145" s="879" t="s">
        <v>1493</v>
      </c>
      <c r="E145" s="875" t="s">
        <v>13</v>
      </c>
      <c r="F145" s="780">
        <v>8.94</v>
      </c>
      <c r="G145" s="982"/>
      <c r="H145" s="622"/>
      <c r="I145" s="982"/>
      <c r="J145" s="1116"/>
      <c r="K145" s="1207"/>
      <c r="L145" s="622"/>
      <c r="M145" s="982"/>
      <c r="N145" s="622"/>
      <c r="O145" s="1063"/>
      <c r="P145" s="880"/>
      <c r="Q145" s="1033"/>
      <c r="R145" s="927"/>
      <c r="T145" s="878"/>
    </row>
    <row r="146" spans="1:42" s="224" customFormat="1" ht="15" customHeight="1" x14ac:dyDescent="0.25">
      <c r="A146" s="247">
        <v>45986</v>
      </c>
      <c r="B146" s="882" t="s">
        <v>6329</v>
      </c>
      <c r="C146" s="879" t="s">
        <v>12</v>
      </c>
      <c r="D146" s="879"/>
      <c r="E146" s="875" t="s">
        <v>25</v>
      </c>
      <c r="F146" s="780"/>
      <c r="G146" s="982">
        <v>125</v>
      </c>
      <c r="H146" s="1008"/>
      <c r="I146" s="1063"/>
      <c r="J146" s="613"/>
      <c r="K146" s="982"/>
      <c r="L146" s="622"/>
      <c r="M146" s="982"/>
      <c r="N146" s="622"/>
      <c r="O146" s="1063"/>
      <c r="P146" s="622"/>
      <c r="Q146" s="982"/>
      <c r="R146" s="861"/>
    </row>
    <row r="147" spans="1:42" s="224" customFormat="1" ht="15" customHeight="1" x14ac:dyDescent="0.25">
      <c r="A147" s="247">
        <v>45986</v>
      </c>
      <c r="B147" s="882" t="s">
        <v>14</v>
      </c>
      <c r="C147" s="1276" t="s">
        <v>12</v>
      </c>
      <c r="D147" s="879" t="s">
        <v>1486</v>
      </c>
      <c r="E147" s="875" t="s">
        <v>13</v>
      </c>
      <c r="F147" s="780">
        <v>11.69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613"/>
      <c r="Q147" s="64"/>
      <c r="R147" s="1028"/>
      <c r="U147" s="958"/>
    </row>
    <row r="148" spans="1:42" s="224" customFormat="1" ht="15" customHeight="1" x14ac:dyDescent="0.25">
      <c r="A148" s="247">
        <v>45986</v>
      </c>
      <c r="B148" s="882" t="s">
        <v>8548</v>
      </c>
      <c r="C148" s="1276" t="s">
        <v>12</v>
      </c>
      <c r="D148" s="879" t="s">
        <v>1489</v>
      </c>
      <c r="E148" s="875" t="s">
        <v>13</v>
      </c>
      <c r="F148" s="780">
        <v>18.350000000000001</v>
      </c>
      <c r="G148" s="982"/>
      <c r="H148" s="95"/>
      <c r="I148" s="1064"/>
      <c r="J148" s="613"/>
      <c r="K148" s="6"/>
      <c r="L148" s="622"/>
      <c r="M148" s="982"/>
      <c r="N148" s="622"/>
      <c r="O148" s="1525"/>
      <c r="P148" s="613"/>
      <c r="Q148" s="64"/>
      <c r="R148" s="1028"/>
      <c r="U148" s="958"/>
    </row>
    <row r="149" spans="1:42" s="224" customFormat="1" ht="15" customHeight="1" x14ac:dyDescent="0.25">
      <c r="A149" s="247">
        <v>45986</v>
      </c>
      <c r="B149" s="882" t="s">
        <v>8549</v>
      </c>
      <c r="C149" s="1276" t="s">
        <v>12</v>
      </c>
      <c r="D149" s="879" t="s">
        <v>1506</v>
      </c>
      <c r="E149" s="875" t="s">
        <v>13</v>
      </c>
      <c r="F149" s="780">
        <v>17</v>
      </c>
      <c r="G149" s="982"/>
      <c r="H149" s="95"/>
      <c r="I149" s="1064"/>
      <c r="J149" s="613"/>
      <c r="K149" s="6"/>
      <c r="L149" s="622"/>
      <c r="M149" s="982"/>
      <c r="N149" s="622"/>
      <c r="O149" s="1063"/>
      <c r="P149" s="1110"/>
      <c r="Q149" s="1208"/>
      <c r="R149" s="1028"/>
      <c r="U149" s="958"/>
    </row>
    <row r="150" spans="1:42" s="224" customFormat="1" ht="15" customHeight="1" x14ac:dyDescent="0.25">
      <c r="A150" s="247">
        <v>45987</v>
      </c>
      <c r="B150" s="1275" t="s">
        <v>32</v>
      </c>
      <c r="C150" s="1276" t="s">
        <v>12</v>
      </c>
      <c r="D150" s="1276" t="s">
        <v>1485</v>
      </c>
      <c r="E150" s="875" t="s">
        <v>13</v>
      </c>
      <c r="F150" s="780">
        <v>23</v>
      </c>
      <c r="G150" s="982"/>
      <c r="H150" s="95"/>
      <c r="I150" s="1064"/>
      <c r="J150" s="622"/>
      <c r="K150" s="982"/>
      <c r="L150" s="622"/>
      <c r="M150" s="982"/>
      <c r="N150" s="622"/>
      <c r="O150" s="1063"/>
      <c r="P150" s="622"/>
      <c r="Q150" s="982"/>
      <c r="U150" s="958"/>
    </row>
    <row r="151" spans="1:42" s="224" customFormat="1" ht="15" customHeight="1" x14ac:dyDescent="0.25">
      <c r="A151" s="247">
        <v>45987</v>
      </c>
      <c r="B151" s="882" t="s">
        <v>8551</v>
      </c>
      <c r="C151" s="1276" t="s">
        <v>12</v>
      </c>
      <c r="D151" s="879" t="s">
        <v>1506</v>
      </c>
      <c r="E151" s="875" t="s">
        <v>13</v>
      </c>
      <c r="F151" s="780">
        <v>280</v>
      </c>
      <c r="G151" s="982"/>
      <c r="H151" s="95"/>
      <c r="I151" s="1064"/>
      <c r="J151" s="622"/>
      <c r="K151" s="982"/>
      <c r="L151" s="622"/>
      <c r="M151" s="982"/>
      <c r="N151" s="622"/>
      <c r="O151" s="1063"/>
      <c r="P151" s="622"/>
      <c r="Q151" s="982"/>
      <c r="R151" s="1956" t="s">
        <v>7137</v>
      </c>
      <c r="U151" s="958"/>
    </row>
    <row r="152" spans="1:42" s="224" customFormat="1" ht="15" customHeight="1" x14ac:dyDescent="0.25">
      <c r="A152" s="247">
        <v>45987</v>
      </c>
      <c r="B152" s="882" t="s">
        <v>8550</v>
      </c>
      <c r="C152" s="1276" t="s">
        <v>12</v>
      </c>
      <c r="D152" s="879" t="s">
        <v>1506</v>
      </c>
      <c r="E152" s="875" t="s">
        <v>13</v>
      </c>
      <c r="F152" s="780">
        <v>139.9</v>
      </c>
      <c r="G152" s="982"/>
      <c r="H152" s="95"/>
      <c r="I152" s="1064"/>
      <c r="J152" s="622"/>
      <c r="K152" s="982"/>
      <c r="L152" s="622"/>
      <c r="M152" s="982"/>
      <c r="N152" s="622"/>
      <c r="O152" s="1063"/>
      <c r="P152" s="622"/>
      <c r="Q152" s="982"/>
      <c r="R152" s="1956" t="s">
        <v>7137</v>
      </c>
      <c r="U152" s="958"/>
    </row>
    <row r="153" spans="1:42" s="224" customFormat="1" ht="15" customHeight="1" x14ac:dyDescent="0.25">
      <c r="A153" s="247">
        <v>45987</v>
      </c>
      <c r="B153" s="882" t="s">
        <v>14</v>
      </c>
      <c r="C153" s="1276" t="s">
        <v>12</v>
      </c>
      <c r="D153" s="879" t="s">
        <v>1486</v>
      </c>
      <c r="E153" s="875" t="s">
        <v>13</v>
      </c>
      <c r="F153" s="780">
        <v>5.32</v>
      </c>
      <c r="G153" s="982"/>
      <c r="H153" s="95"/>
      <c r="I153" s="1064"/>
      <c r="J153" s="613"/>
      <c r="K153" s="6"/>
      <c r="L153" s="622"/>
      <c r="M153" s="982"/>
      <c r="N153" s="622"/>
      <c r="O153" s="1063"/>
      <c r="P153" s="613"/>
      <c r="Q153" s="64"/>
      <c r="R153" s="1028"/>
      <c r="U153" s="958"/>
    </row>
    <row r="154" spans="1:42" s="224" customFormat="1" ht="15" customHeight="1" x14ac:dyDescent="0.25">
      <c r="A154" s="247">
        <v>45987</v>
      </c>
      <c r="B154" s="882" t="s">
        <v>8553</v>
      </c>
      <c r="C154" s="1276" t="s">
        <v>12</v>
      </c>
      <c r="D154" s="879" t="s">
        <v>1489</v>
      </c>
      <c r="E154" s="875" t="s">
        <v>13</v>
      </c>
      <c r="F154" s="780">
        <v>10</v>
      </c>
      <c r="G154" s="982"/>
      <c r="H154" s="95"/>
      <c r="I154" s="1064"/>
      <c r="J154" s="613"/>
      <c r="K154" s="6"/>
      <c r="L154" s="622"/>
      <c r="M154" s="982"/>
      <c r="N154" s="622"/>
      <c r="O154" s="1063"/>
      <c r="P154" s="613"/>
      <c r="Q154" s="64"/>
      <c r="R154" s="1028"/>
      <c r="U154" s="958"/>
    </row>
    <row r="155" spans="1:42" s="224" customFormat="1" ht="15" customHeight="1" x14ac:dyDescent="0.25">
      <c r="A155" s="247">
        <v>45987</v>
      </c>
      <c r="B155" s="882" t="s">
        <v>8554</v>
      </c>
      <c r="C155" s="879" t="s">
        <v>12</v>
      </c>
      <c r="D155" s="879" t="s">
        <v>1493</v>
      </c>
      <c r="E155" s="871" t="s">
        <v>13</v>
      </c>
      <c r="F155" s="780">
        <v>13.94</v>
      </c>
      <c r="G155" s="982"/>
      <c r="H155" s="95"/>
      <c r="I155" s="1064"/>
      <c r="J155" s="622"/>
      <c r="K155" s="982"/>
      <c r="L155" s="622"/>
      <c r="M155" s="982"/>
      <c r="N155" s="622"/>
      <c r="O155" s="1063"/>
      <c r="P155" s="622"/>
      <c r="Q155" s="982"/>
      <c r="R155" s="1956"/>
      <c r="U155" s="958"/>
    </row>
    <row r="156" spans="1:42" s="224" customFormat="1" ht="15" customHeight="1" x14ac:dyDescent="0.25">
      <c r="A156" s="247">
        <v>45988</v>
      </c>
      <c r="B156" s="882" t="s">
        <v>14</v>
      </c>
      <c r="C156" s="1276" t="s">
        <v>12</v>
      </c>
      <c r="D156" s="879" t="s">
        <v>1486</v>
      </c>
      <c r="E156" s="875" t="s">
        <v>13</v>
      </c>
      <c r="F156" s="780">
        <v>26.89</v>
      </c>
      <c r="G156" s="982"/>
      <c r="H156" s="95"/>
      <c r="I156" s="1064"/>
      <c r="J156" s="613"/>
      <c r="K156" s="6"/>
      <c r="L156" s="622"/>
      <c r="M156" s="982"/>
      <c r="N156" s="622"/>
      <c r="O156" s="1063"/>
      <c r="P156" s="613"/>
      <c r="Q156" s="64"/>
      <c r="R156" s="1028"/>
      <c r="U156" s="958"/>
    </row>
    <row r="157" spans="1:42" s="224" customFormat="1" ht="15" customHeight="1" x14ac:dyDescent="0.25">
      <c r="A157" s="247">
        <v>45988</v>
      </c>
      <c r="B157" s="882" t="s">
        <v>8555</v>
      </c>
      <c r="C157" s="879" t="s">
        <v>12</v>
      </c>
      <c r="D157" s="879" t="s">
        <v>1489</v>
      </c>
      <c r="E157" s="875" t="s">
        <v>13</v>
      </c>
      <c r="F157" s="780">
        <v>14.48</v>
      </c>
      <c r="G157" s="982"/>
      <c r="H157" s="622"/>
      <c r="I157" s="982"/>
      <c r="J157" s="872"/>
      <c r="K157" s="1207"/>
      <c r="L157" s="622"/>
      <c r="M157" s="982"/>
      <c r="N157" s="622"/>
      <c r="O157" s="1063"/>
      <c r="P157" s="622"/>
      <c r="Q157" s="982"/>
      <c r="R157" s="1956"/>
      <c r="S157" s="959"/>
      <c r="T157" s="878"/>
      <c r="U157" s="958"/>
    </row>
    <row r="158" spans="1:42" s="224" customFormat="1" ht="15" customHeight="1" x14ac:dyDescent="0.25">
      <c r="A158" s="247">
        <v>45989</v>
      </c>
      <c r="B158" s="364" t="s">
        <v>8361</v>
      </c>
      <c r="C158" s="350"/>
      <c r="D158" s="350"/>
      <c r="E158" s="875" t="s">
        <v>25</v>
      </c>
      <c r="F158" s="780"/>
      <c r="G158" s="982">
        <v>3150</v>
      </c>
      <c r="H158" s="1008"/>
      <c r="I158" s="1063"/>
      <c r="J158" s="622"/>
      <c r="K158" s="982"/>
      <c r="L158" s="622"/>
      <c r="M158" s="982"/>
      <c r="N158" s="622"/>
      <c r="O158" s="1063"/>
      <c r="P158" s="622"/>
      <c r="Q158" s="982"/>
      <c r="R158" s="2722"/>
      <c r="T158" s="1035"/>
    </row>
    <row r="159" spans="1:42" s="224" customFormat="1" ht="15" customHeight="1" x14ac:dyDescent="0.25">
      <c r="A159" s="247">
        <v>45989</v>
      </c>
      <c r="B159" s="882" t="s">
        <v>8557</v>
      </c>
      <c r="C159" s="879" t="s">
        <v>12</v>
      </c>
      <c r="D159" s="879"/>
      <c r="E159" s="875"/>
      <c r="F159" s="780">
        <v>1000</v>
      </c>
      <c r="G159" s="982"/>
      <c r="H159" s="622"/>
      <c r="I159" s="982"/>
      <c r="J159" s="622"/>
      <c r="K159" s="982"/>
      <c r="L159" s="622"/>
      <c r="M159" s="982">
        <v>1000</v>
      </c>
      <c r="N159" s="880"/>
      <c r="O159" s="1525"/>
      <c r="P159" s="613"/>
      <c r="Q159" s="162"/>
      <c r="R159" s="861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45989</v>
      </c>
      <c r="B160" s="882" t="s">
        <v>8558</v>
      </c>
      <c r="C160" s="879" t="s">
        <v>12</v>
      </c>
      <c r="D160" s="879"/>
      <c r="E160" s="875"/>
      <c r="F160" s="780">
        <v>1000</v>
      </c>
      <c r="G160" s="982"/>
      <c r="H160" s="622"/>
      <c r="I160" s="982"/>
      <c r="J160" s="622"/>
      <c r="K160" s="982"/>
      <c r="L160" s="622"/>
      <c r="M160" s="982"/>
      <c r="N160" s="880"/>
      <c r="O160" s="1525">
        <v>1000</v>
      </c>
      <c r="P160" s="613"/>
      <c r="Q160" s="162"/>
      <c r="R160" s="861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</row>
    <row r="161" spans="1:42" s="224" customFormat="1" ht="15" customHeight="1" x14ac:dyDescent="0.25">
      <c r="A161" s="247">
        <v>45989</v>
      </c>
      <c r="B161" s="1275" t="s">
        <v>32</v>
      </c>
      <c r="C161" s="1276" t="s">
        <v>12</v>
      </c>
      <c r="D161" s="1276" t="s">
        <v>1485</v>
      </c>
      <c r="E161" s="875" t="s">
        <v>13</v>
      </c>
      <c r="F161" s="780">
        <v>23</v>
      </c>
      <c r="G161" s="982"/>
      <c r="H161" s="95"/>
      <c r="I161" s="1064"/>
      <c r="J161" s="622"/>
      <c r="K161" s="982"/>
      <c r="L161" s="622"/>
      <c r="M161" s="982"/>
      <c r="N161" s="622"/>
      <c r="O161" s="1063"/>
      <c r="P161" s="622"/>
      <c r="Q161" s="982"/>
      <c r="U161" s="958"/>
    </row>
    <row r="162" spans="1:42" s="224" customFormat="1" ht="15" customHeight="1" x14ac:dyDescent="0.25">
      <c r="A162" s="247">
        <v>45989</v>
      </c>
      <c r="B162" s="882" t="s">
        <v>82</v>
      </c>
      <c r="C162" s="879" t="s">
        <v>12</v>
      </c>
      <c r="D162" s="879" t="s">
        <v>1493</v>
      </c>
      <c r="E162" s="871" t="s">
        <v>13</v>
      </c>
      <c r="F162" s="780">
        <v>27.8</v>
      </c>
      <c r="G162" s="982"/>
      <c r="H162" s="622"/>
      <c r="I162" s="982"/>
      <c r="J162" s="622"/>
      <c r="K162" s="982"/>
      <c r="L162" s="622"/>
      <c r="M162" s="982"/>
      <c r="N162" s="880"/>
      <c r="O162" s="1525"/>
      <c r="P162" s="613"/>
      <c r="Q162" s="162"/>
      <c r="R162" s="861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</row>
    <row r="163" spans="1:42" s="224" customFormat="1" ht="15" customHeight="1" x14ac:dyDescent="0.25">
      <c r="A163" s="247">
        <v>45990</v>
      </c>
      <c r="B163" s="882" t="s">
        <v>14</v>
      </c>
      <c r="C163" s="1276" t="s">
        <v>12</v>
      </c>
      <c r="D163" s="879" t="s">
        <v>1486</v>
      </c>
      <c r="E163" s="875" t="s">
        <v>13</v>
      </c>
      <c r="F163" s="780">
        <v>5.32</v>
      </c>
      <c r="G163" s="982"/>
      <c r="H163" s="95"/>
      <c r="I163" s="1064"/>
      <c r="J163" s="613"/>
      <c r="K163" s="6"/>
      <c r="L163" s="622"/>
      <c r="M163" s="982"/>
      <c r="N163" s="622"/>
      <c r="O163" s="1063"/>
      <c r="P163" s="613"/>
      <c r="Q163" s="64"/>
      <c r="R163" s="1028"/>
      <c r="U163" s="958"/>
    </row>
    <row r="164" spans="1:42" s="224" customFormat="1" ht="15" customHeight="1" x14ac:dyDescent="0.25">
      <c r="A164" s="247">
        <v>45990</v>
      </c>
      <c r="B164" s="364" t="s">
        <v>8521</v>
      </c>
      <c r="C164" s="350" t="s">
        <v>12</v>
      </c>
      <c r="D164" s="350" t="s">
        <v>1489</v>
      </c>
      <c r="E164" s="875" t="s">
        <v>13</v>
      </c>
      <c r="F164" s="780">
        <v>83.76</v>
      </c>
      <c r="G164" s="982"/>
      <c r="H164" s="1008"/>
      <c r="I164" s="1063"/>
      <c r="J164" s="1116"/>
      <c r="K164" s="1207"/>
      <c r="L164" s="622"/>
      <c r="M164" s="982"/>
      <c r="N164" s="622"/>
      <c r="O164" s="1063"/>
      <c r="P164" s="622"/>
      <c r="Q164" s="982"/>
      <c r="R164" s="861"/>
      <c r="T164" s="1035"/>
    </row>
    <row r="165" spans="1:42" s="224" customFormat="1" ht="15" customHeight="1" x14ac:dyDescent="0.25">
      <c r="A165" s="247">
        <v>45990</v>
      </c>
      <c r="B165" s="364" t="s">
        <v>8561</v>
      </c>
      <c r="C165" s="350" t="s">
        <v>12</v>
      </c>
      <c r="D165" s="350" t="s">
        <v>1485</v>
      </c>
      <c r="E165" s="875" t="s">
        <v>13</v>
      </c>
      <c r="F165" s="780">
        <v>39.799999999999997</v>
      </c>
      <c r="G165" s="982"/>
      <c r="H165" s="1008"/>
      <c r="I165" s="1063"/>
      <c r="J165" s="1116"/>
      <c r="K165" s="1207"/>
      <c r="L165" s="622"/>
      <c r="M165" s="982"/>
      <c r="N165" s="622"/>
      <c r="O165" s="1063"/>
      <c r="P165" s="622"/>
      <c r="Q165" s="982"/>
      <c r="R165" s="861"/>
      <c r="T165" s="1035"/>
    </row>
    <row r="166" spans="1:42" s="224" customFormat="1" ht="15" customHeight="1" x14ac:dyDescent="0.25">
      <c r="A166" s="247">
        <v>45991</v>
      </c>
      <c r="B166" s="882" t="s">
        <v>14</v>
      </c>
      <c r="C166" s="1276" t="s">
        <v>12</v>
      </c>
      <c r="D166" s="879" t="s">
        <v>1486</v>
      </c>
      <c r="E166" s="875" t="s">
        <v>13</v>
      </c>
      <c r="F166" s="780">
        <v>9.27</v>
      </c>
      <c r="G166" s="982"/>
      <c r="H166" s="95"/>
      <c r="I166" s="1064"/>
      <c r="J166" s="613"/>
      <c r="K166" s="6"/>
      <c r="L166" s="622"/>
      <c r="M166" s="982"/>
      <c r="N166" s="622"/>
      <c r="O166" s="1063"/>
      <c r="P166" s="613"/>
      <c r="Q166" s="64"/>
      <c r="R166" s="1028"/>
      <c r="U166" s="958"/>
    </row>
    <row r="167" spans="1:42" s="224" customFormat="1" ht="15" customHeight="1" x14ac:dyDescent="0.25">
      <c r="A167" s="247">
        <v>45991</v>
      </c>
      <c r="B167" s="882" t="s">
        <v>8562</v>
      </c>
      <c r="C167" s="879" t="s">
        <v>12</v>
      </c>
      <c r="D167" s="879" t="s">
        <v>1493</v>
      </c>
      <c r="E167" s="871" t="s">
        <v>13</v>
      </c>
      <c r="F167" s="780">
        <v>15</v>
      </c>
      <c r="G167" s="982"/>
      <c r="H167" s="622"/>
      <c r="I167" s="982"/>
      <c r="J167" s="622"/>
      <c r="K167" s="982"/>
      <c r="L167" s="622"/>
      <c r="M167" s="982"/>
      <c r="N167" s="622"/>
      <c r="O167" s="1063"/>
      <c r="P167" s="622"/>
      <c r="Q167" s="982"/>
      <c r="R167" s="1028"/>
      <c r="S167" s="959"/>
      <c r="T167" s="878"/>
      <c r="U167" s="958"/>
    </row>
    <row r="168" spans="1:42" s="224" customFormat="1" ht="15" customHeight="1" thickBot="1" x14ac:dyDescent="0.3">
      <c r="A168" s="247">
        <v>45991</v>
      </c>
      <c r="B168" s="349" t="s">
        <v>8335</v>
      </c>
      <c r="C168" s="350" t="s">
        <v>12</v>
      </c>
      <c r="D168" s="350"/>
      <c r="E168" s="480" t="s">
        <v>25</v>
      </c>
      <c r="F168" s="2551"/>
      <c r="G168" s="1522"/>
      <c r="H168" s="95"/>
      <c r="I168" s="1063"/>
      <c r="J168" s="622"/>
      <c r="K168" s="2848">
        <v>83.35</v>
      </c>
      <c r="L168" s="622"/>
      <c r="M168" s="982"/>
      <c r="N168" s="622"/>
      <c r="O168" s="2848">
        <v>39.159999999999997</v>
      </c>
      <c r="P168" s="622"/>
      <c r="Q168" s="982"/>
      <c r="R168" s="2585">
        <f>I168+K168+M168+O168</f>
        <v>122.50999999999999</v>
      </c>
      <c r="T168" s="927"/>
      <c r="U168" s="999"/>
    </row>
    <row r="169" spans="1:42" ht="25.5" customHeight="1" thickBot="1" x14ac:dyDescent="0.3">
      <c r="A169" s="3060"/>
      <c r="B169" s="3061"/>
      <c r="C169" s="3062"/>
      <c r="D169" s="3062"/>
      <c r="E169" s="3062"/>
      <c r="F169" s="1023">
        <f>SUM(F6:F168)</f>
        <v>10621.488488095238</v>
      </c>
      <c r="G169" s="1065">
        <f>SUM(G5:G168)</f>
        <v>12016.332071428616</v>
      </c>
      <c r="H169" s="517">
        <f>SUM(H6:H168)</f>
        <v>0</v>
      </c>
      <c r="I169" s="93">
        <f>SUM(I5:I168)</f>
        <v>0</v>
      </c>
      <c r="J169" s="517">
        <f>SUM(J6:J168)</f>
        <v>1277.79</v>
      </c>
      <c r="K169" s="93">
        <f>SUM(K5:K168)</f>
        <v>9465.3500000000058</v>
      </c>
      <c r="L169" s="1023">
        <f>SUM(L6:L168)</f>
        <v>0</v>
      </c>
      <c r="M169" s="93">
        <f>SUM(M5:M168)</f>
        <v>1000</v>
      </c>
      <c r="N169" s="1023">
        <f>SUM(N6:N168)</f>
        <v>0</v>
      </c>
      <c r="O169" s="93">
        <f>SUM(O5:O168)</f>
        <v>5282.2200000000012</v>
      </c>
      <c r="P169" s="1023">
        <f>SUM(P6:P168)</f>
        <v>0</v>
      </c>
      <c r="Q169" s="93">
        <f>SUM(Q5:Q168)</f>
        <v>8204.3559847200086</v>
      </c>
      <c r="S169" s="216"/>
    </row>
    <row r="170" spans="1:42" ht="25.5" customHeight="1" thickBot="1" x14ac:dyDescent="0.3">
      <c r="A170" s="3063" t="s">
        <v>49</v>
      </c>
      <c r="B170" s="3064"/>
      <c r="C170" s="3064"/>
      <c r="D170" s="3064"/>
      <c r="E170" s="3064"/>
      <c r="F170" s="2046" t="s">
        <v>280</v>
      </c>
      <c r="G170" s="1066">
        <f>G169-F169</f>
        <v>1394.8435833333788</v>
      </c>
      <c r="H170" s="1221"/>
      <c r="I170" s="772">
        <f>I169-H169</f>
        <v>0</v>
      </c>
      <c r="J170" s="1221"/>
      <c r="K170" s="772">
        <f>K169-J169</f>
        <v>8187.5600000000059</v>
      </c>
      <c r="L170" s="1222"/>
      <c r="M170" s="772">
        <f>M169-L169</f>
        <v>1000</v>
      </c>
      <c r="N170" s="1222"/>
      <c r="O170" s="772">
        <f>O169-N169</f>
        <v>5282.2200000000012</v>
      </c>
      <c r="P170" s="1222"/>
      <c r="Q170" s="772">
        <f>Q169-P169</f>
        <v>8204.3559847200086</v>
      </c>
      <c r="R170" s="484">
        <f>M170+O170+Q170</f>
        <v>14486.57598472001</v>
      </c>
    </row>
    <row r="171" spans="1:42" x14ac:dyDescent="0.25">
      <c r="J171" s="1210"/>
      <c r="K171" s="1038"/>
      <c r="M171" s="1238">
        <f>M170/R170</f>
        <v>6.9029424279054549E-2</v>
      </c>
      <c r="O171" s="1238">
        <f>O170/R170</f>
        <v>0.36462860551530762</v>
      </c>
      <c r="P171" s="1239"/>
      <c r="Q171" s="1239">
        <f>Q170/R170</f>
        <v>0.56634197020563781</v>
      </c>
      <c r="R171" s="867"/>
      <c r="S171" s="867"/>
      <c r="T171" s="79"/>
      <c r="W171" s="518"/>
      <c r="X171" s="216"/>
      <c r="Z171" s="877"/>
    </row>
    <row r="172" spans="1:42" x14ac:dyDescent="0.25">
      <c r="B172" s="81" t="s">
        <v>3</v>
      </c>
      <c r="C172" s="193" t="s">
        <v>1484</v>
      </c>
      <c r="D172" s="970" t="s">
        <v>2378</v>
      </c>
      <c r="E172" s="193" t="s">
        <v>3216</v>
      </c>
      <c r="F172" s="1061" t="s">
        <v>3217</v>
      </c>
      <c r="G172" s="216"/>
      <c r="I172" s="216"/>
      <c r="J172" s="1038"/>
      <c r="K172" s="216"/>
      <c r="M172" s="866"/>
      <c r="O172" s="866"/>
      <c r="P172" s="1038"/>
      <c r="Q172" s="1038"/>
      <c r="R172" s="865"/>
      <c r="S172" s="867"/>
    </row>
    <row r="173" spans="1:42" x14ac:dyDescent="0.25">
      <c r="B173" s="79" t="s">
        <v>32</v>
      </c>
      <c r="C173" s="85" t="s">
        <v>1485</v>
      </c>
      <c r="D173" s="796">
        <f t="shared" ref="D173:D189" si="0">SUMIF($D$7:$D$168,C173,$F$7:$F$168)</f>
        <v>413.54</v>
      </c>
      <c r="E173" s="1202">
        <f t="shared" ref="E173:E189" si="1">D173/$K$193</f>
        <v>13.784666666666668</v>
      </c>
      <c r="F173" s="1203">
        <f t="shared" ref="F173:F189" si="2">E173/$E$194</f>
        <v>7.7784256559766771E-2</v>
      </c>
      <c r="G173" s="800"/>
      <c r="I173" s="769"/>
      <c r="J173" s="1038"/>
      <c r="K173" s="1225"/>
      <c r="M173" s="886"/>
      <c r="O173" s="886"/>
      <c r="P173" s="886"/>
      <c r="Q173" s="1038">
        <v>24197.98</v>
      </c>
      <c r="R173" s="1038" t="s">
        <v>6378</v>
      </c>
      <c r="S173" s="1210"/>
      <c r="U173" s="1201"/>
      <c r="V173" s="877"/>
    </row>
    <row r="174" spans="1:42" x14ac:dyDescent="0.25">
      <c r="B174" s="79" t="s">
        <v>2187</v>
      </c>
      <c r="C174" s="85" t="s">
        <v>2157</v>
      </c>
      <c r="D174" s="796">
        <f t="shared" si="0"/>
        <v>31.97</v>
      </c>
      <c r="E174" s="1202">
        <f t="shared" si="1"/>
        <v>1.0656666666666665</v>
      </c>
      <c r="F174" s="1203">
        <f t="shared" si="2"/>
        <v>6.0133546506160058E-3</v>
      </c>
      <c r="G174" s="609"/>
      <c r="J174" s="2125"/>
      <c r="K174" s="1129"/>
      <c r="M174" s="1210"/>
      <c r="O174" s="1038"/>
      <c r="P174" s="1210"/>
      <c r="Q174" s="1210">
        <f>Q170+Q173</f>
        <v>32402.335984720008</v>
      </c>
      <c r="R174" s="1038" t="s">
        <v>6379</v>
      </c>
      <c r="U174" s="877"/>
      <c r="V174" s="877"/>
    </row>
    <row r="175" spans="1:42" s="85" customFormat="1" x14ac:dyDescent="0.25">
      <c r="A175" s="79"/>
      <c r="B175" s="79" t="s">
        <v>50</v>
      </c>
      <c r="C175" s="85" t="s">
        <v>1493</v>
      </c>
      <c r="D175" s="796">
        <f t="shared" si="0"/>
        <v>210.94</v>
      </c>
      <c r="E175" s="1202">
        <f t="shared" si="1"/>
        <v>7.0313333333333334</v>
      </c>
      <c r="F175" s="1203">
        <f t="shared" si="2"/>
        <v>3.9676478886485469E-2</v>
      </c>
      <c r="J175" s="1038"/>
      <c r="K175" s="2833"/>
      <c r="L175" s="177"/>
      <c r="M175" s="941"/>
      <c r="N175" s="877"/>
      <c r="O175" s="863"/>
      <c r="Q175" s="79"/>
      <c r="R175" s="177"/>
      <c r="U175" s="877"/>
      <c r="V175" s="877"/>
    </row>
    <row r="176" spans="1:42" s="85" customFormat="1" x14ac:dyDescent="0.25">
      <c r="A176" s="79"/>
      <c r="B176" s="79" t="s">
        <v>14</v>
      </c>
      <c r="C176" s="85" t="s">
        <v>1486</v>
      </c>
      <c r="D176" s="796">
        <f t="shared" si="0"/>
        <v>234.47</v>
      </c>
      <c r="E176" s="1202">
        <f t="shared" si="1"/>
        <v>7.815666666666667</v>
      </c>
      <c r="F176" s="1203">
        <f t="shared" si="2"/>
        <v>4.4102322956832501E-2</v>
      </c>
      <c r="G176" s="79"/>
      <c r="H176" s="79"/>
      <c r="J176" s="1038"/>
      <c r="K176" s="2834"/>
      <c r="L176" s="863"/>
      <c r="M176" s="941"/>
      <c r="N176" s="877"/>
      <c r="O176" s="1038"/>
      <c r="R176" s="177"/>
      <c r="U176" s="877"/>
      <c r="V176" s="877"/>
    </row>
    <row r="177" spans="1:22" s="85" customFormat="1" x14ac:dyDescent="0.25">
      <c r="B177" s="79" t="s">
        <v>51</v>
      </c>
      <c r="C177" s="864" t="s">
        <v>1499</v>
      </c>
      <c r="D177" s="796">
        <f t="shared" si="0"/>
        <v>198.39</v>
      </c>
      <c r="E177" s="1202">
        <f t="shared" si="1"/>
        <v>6.6129999999999995</v>
      </c>
      <c r="F177" s="1203">
        <f t="shared" si="2"/>
        <v>3.7315903319853287E-2</v>
      </c>
      <c r="G177" s="79"/>
      <c r="H177" s="79"/>
      <c r="I177" s="79"/>
      <c r="J177" s="1038"/>
      <c r="K177" s="2834"/>
      <c r="L177" s="863"/>
      <c r="M177" s="941"/>
      <c r="N177" s="877"/>
      <c r="O177" s="1038"/>
      <c r="P177" s="1210"/>
      <c r="Q177" s="1038"/>
      <c r="R177" s="177"/>
      <c r="U177" s="877"/>
      <c r="V177" s="877"/>
    </row>
    <row r="178" spans="1:22" s="85" customFormat="1" x14ac:dyDescent="0.25">
      <c r="A178" s="79"/>
      <c r="B178" s="79" t="s">
        <v>2189</v>
      </c>
      <c r="C178" s="864" t="s">
        <v>1496</v>
      </c>
      <c r="D178" s="796">
        <f t="shared" si="0"/>
        <v>100</v>
      </c>
      <c r="E178" s="1202">
        <f t="shared" si="1"/>
        <v>3.3333333333333335</v>
      </c>
      <c r="F178" s="1203">
        <f t="shared" si="2"/>
        <v>1.8809367064798271E-2</v>
      </c>
      <c r="G178" s="79"/>
      <c r="L178" s="177"/>
      <c r="M178" s="941"/>
      <c r="O178" s="177"/>
      <c r="R178" s="177"/>
      <c r="U178" s="877"/>
      <c r="V178" s="877"/>
    </row>
    <row r="179" spans="1:22" s="85" customFormat="1" x14ac:dyDescent="0.25">
      <c r="A179" s="79"/>
      <c r="B179" s="867" t="s">
        <v>53</v>
      </c>
      <c r="C179" s="864" t="s">
        <v>1522</v>
      </c>
      <c r="D179" s="796">
        <f t="shared" si="0"/>
        <v>167.74</v>
      </c>
      <c r="E179" s="1202">
        <f t="shared" si="1"/>
        <v>5.5913333333333339</v>
      </c>
      <c r="F179" s="1203">
        <f t="shared" si="2"/>
        <v>3.155083231449262E-2</v>
      </c>
      <c r="J179" s="1038"/>
      <c r="K179" s="2834"/>
      <c r="L179" s="863"/>
      <c r="M179" s="941"/>
      <c r="O179" s="177"/>
      <c r="P179" s="868"/>
      <c r="Q179" s="769"/>
      <c r="R179" s="79"/>
      <c r="U179" s="877"/>
      <c r="V179" s="877"/>
    </row>
    <row r="180" spans="1:22" s="85" customFormat="1" x14ac:dyDescent="0.25">
      <c r="A180" s="79"/>
      <c r="B180" s="79" t="s">
        <v>3048</v>
      </c>
      <c r="C180" s="864" t="s">
        <v>1523</v>
      </c>
      <c r="D180" s="796">
        <f t="shared" si="0"/>
        <v>526.93999999999994</v>
      </c>
      <c r="E180" s="1202">
        <f t="shared" si="1"/>
        <v>17.564666666666664</v>
      </c>
      <c r="F180" s="1203">
        <f t="shared" si="2"/>
        <v>9.911407881124798E-2</v>
      </c>
      <c r="G180" s="866"/>
      <c r="J180" s="1038"/>
      <c r="K180" s="2834"/>
      <c r="L180" s="863"/>
      <c r="M180" s="941"/>
      <c r="O180" s="177"/>
      <c r="P180" s="866"/>
      <c r="Q180" s="1210"/>
      <c r="R180" s="877"/>
      <c r="U180" s="877"/>
      <c r="V180" s="877"/>
    </row>
    <row r="181" spans="1:22" s="85" customFormat="1" x14ac:dyDescent="0.25">
      <c r="A181" s="79"/>
      <c r="B181" s="79" t="s">
        <v>1686</v>
      </c>
      <c r="C181" s="864" t="s">
        <v>1506</v>
      </c>
      <c r="D181" s="796">
        <f t="shared" si="0"/>
        <v>554.9</v>
      </c>
      <c r="E181" s="1202">
        <f t="shared" si="1"/>
        <v>18.496666666666666</v>
      </c>
      <c r="F181" s="1203">
        <f t="shared" si="2"/>
        <v>0.1043731778425656</v>
      </c>
      <c r="G181" s="868"/>
      <c r="J181" s="1038"/>
      <c r="K181" s="2834"/>
      <c r="L181" s="863"/>
      <c r="M181" s="941"/>
      <c r="O181" s="177"/>
      <c r="P181" s="1226"/>
      <c r="Q181" s="1129"/>
      <c r="R181" s="877"/>
      <c r="U181" s="877"/>
      <c r="V181" s="877"/>
    </row>
    <row r="182" spans="1:22" x14ac:dyDescent="0.25">
      <c r="B182" s="79" t="s">
        <v>418</v>
      </c>
      <c r="C182" s="85" t="s">
        <v>1524</v>
      </c>
      <c r="D182" s="796">
        <f t="shared" si="0"/>
        <v>1277.7929047619048</v>
      </c>
      <c r="E182" s="1202">
        <f t="shared" si="1"/>
        <v>42.593096825396827</v>
      </c>
      <c r="F182" s="1203">
        <f t="shared" si="2"/>
        <v>0.24034475778461484</v>
      </c>
      <c r="G182" s="85"/>
      <c r="H182" s="85"/>
      <c r="I182" s="85"/>
      <c r="J182" s="1038"/>
      <c r="K182" s="2834"/>
      <c r="L182" s="863"/>
      <c r="M182" s="941"/>
      <c r="N182" s="769"/>
      <c r="O182" s="216"/>
      <c r="P182" s="1038"/>
      <c r="Q182" s="1226"/>
      <c r="R182" s="877"/>
      <c r="U182" s="877"/>
      <c r="V182" s="877"/>
    </row>
    <row r="183" spans="1:22" x14ac:dyDescent="0.25">
      <c r="B183" s="79" t="s">
        <v>6732</v>
      </c>
      <c r="C183" s="85" t="s">
        <v>1491</v>
      </c>
      <c r="D183" s="796">
        <f t="shared" si="0"/>
        <v>1031.1133333333332</v>
      </c>
      <c r="E183" s="1202">
        <f t="shared" si="1"/>
        <v>34.370444444444438</v>
      </c>
      <c r="F183" s="1203">
        <f t="shared" si="2"/>
        <v>0.19394589172074356</v>
      </c>
      <c r="I183" s="85"/>
      <c r="J183" s="1038"/>
      <c r="K183" s="1038"/>
      <c r="L183" s="866"/>
      <c r="M183" s="2835"/>
      <c r="N183" s="216"/>
      <c r="O183" s="216"/>
      <c r="Q183" s="484"/>
      <c r="R183" s="877"/>
      <c r="U183" s="877"/>
      <c r="V183" s="877"/>
    </row>
    <row r="184" spans="1:22" x14ac:dyDescent="0.25">
      <c r="B184" s="79" t="s">
        <v>6733</v>
      </c>
      <c r="C184" s="85" t="s">
        <v>6731</v>
      </c>
      <c r="D184" s="796">
        <f t="shared" si="0"/>
        <v>875.53000000000009</v>
      </c>
      <c r="E184" s="1202">
        <f t="shared" si="1"/>
        <v>29.184333333333335</v>
      </c>
      <c r="F184" s="1203">
        <f t="shared" si="2"/>
        <v>0.1646816514624283</v>
      </c>
      <c r="I184" s="85"/>
      <c r="J184" s="1210"/>
      <c r="K184" s="1038"/>
      <c r="N184" s="216"/>
      <c r="O184" s="216"/>
      <c r="Q184" s="484"/>
      <c r="R184" s="877"/>
      <c r="U184" s="877"/>
      <c r="V184" s="877"/>
    </row>
    <row r="185" spans="1:22" x14ac:dyDescent="0.25">
      <c r="B185" s="79" t="s">
        <v>5439</v>
      </c>
      <c r="C185" s="85" t="s">
        <v>1525</v>
      </c>
      <c r="D185" s="796">
        <f t="shared" si="0"/>
        <v>1169.04225</v>
      </c>
      <c r="E185" s="1202">
        <f t="shared" si="1"/>
        <v>38.968074999999999</v>
      </c>
      <c r="F185" s="1203">
        <f t="shared" si="2"/>
        <v>0.21988944794507664</v>
      </c>
      <c r="J185" s="1210"/>
      <c r="K185" s="1038"/>
      <c r="O185" s="216"/>
      <c r="Q185" s="484"/>
      <c r="R185" s="1673"/>
      <c r="U185" s="877"/>
      <c r="V185" s="877"/>
    </row>
    <row r="186" spans="1:22" x14ac:dyDescent="0.25">
      <c r="B186" s="79" t="s">
        <v>1526</v>
      </c>
      <c r="C186" s="85" t="s">
        <v>1504</v>
      </c>
      <c r="D186" s="796">
        <f t="shared" si="0"/>
        <v>293.01</v>
      </c>
      <c r="E186" s="1202">
        <f t="shared" si="1"/>
        <v>9.7669999999999995</v>
      </c>
      <c r="F186" s="1203">
        <f t="shared" si="2"/>
        <v>5.5113326436565406E-2</v>
      </c>
      <c r="J186" s="1210"/>
      <c r="K186" s="1038"/>
      <c r="L186" s="769"/>
      <c r="N186" s="769"/>
      <c r="O186" s="886"/>
      <c r="P186" s="1210"/>
      <c r="Q186" s="1038"/>
      <c r="R186" s="1129"/>
      <c r="T186" s="1129"/>
      <c r="U186" s="877"/>
      <c r="V186" s="877"/>
    </row>
    <row r="187" spans="1:22" x14ac:dyDescent="0.25">
      <c r="B187" s="79" t="s">
        <v>2343</v>
      </c>
      <c r="C187" s="85" t="s">
        <v>2315</v>
      </c>
      <c r="D187" s="796">
        <f t="shared" si="0"/>
        <v>0</v>
      </c>
      <c r="E187" s="1202">
        <f t="shared" si="1"/>
        <v>0</v>
      </c>
      <c r="F187" s="1203">
        <f t="shared" si="2"/>
        <v>0</v>
      </c>
      <c r="J187" s="1210"/>
      <c r="K187" s="1038"/>
      <c r="L187" s="769"/>
      <c r="M187" s="1210"/>
      <c r="N187" s="769"/>
      <c r="O187" s="1673"/>
      <c r="P187" s="1210"/>
      <c r="Q187" s="1038"/>
      <c r="R187" s="1129"/>
      <c r="T187" s="1129"/>
      <c r="U187" s="877"/>
      <c r="V187" s="877"/>
    </row>
    <row r="188" spans="1:22" x14ac:dyDescent="0.25">
      <c r="B188" s="79" t="s">
        <v>3019</v>
      </c>
      <c r="C188" s="85" t="s">
        <v>3017</v>
      </c>
      <c r="D188" s="796">
        <f t="shared" si="0"/>
        <v>0</v>
      </c>
      <c r="E188" s="1202">
        <f t="shared" si="1"/>
        <v>0</v>
      </c>
      <c r="F188" s="1203">
        <f t="shared" si="2"/>
        <v>0</v>
      </c>
      <c r="J188" s="1210"/>
      <c r="K188" s="1038"/>
      <c r="L188" s="769"/>
      <c r="N188" s="769"/>
      <c r="P188" s="941"/>
      <c r="Q188" s="224"/>
      <c r="R188" s="1226"/>
      <c r="S188" s="1129"/>
      <c r="T188" s="1129"/>
      <c r="U188" s="877"/>
      <c r="V188" s="877"/>
    </row>
    <row r="189" spans="1:22" ht="15.75" thickBot="1" x14ac:dyDescent="0.3">
      <c r="B189" s="301" t="s">
        <v>1527</v>
      </c>
      <c r="C189" s="2400" t="s">
        <v>1489</v>
      </c>
      <c r="D189" s="2401">
        <f t="shared" si="0"/>
        <v>660.04000000000008</v>
      </c>
      <c r="E189" s="2402">
        <f t="shared" si="1"/>
        <v>22.001333333333335</v>
      </c>
      <c r="F189" s="2403">
        <f t="shared" si="2"/>
        <v>0.12414934637449451</v>
      </c>
      <c r="J189" s="1210"/>
      <c r="K189" s="1038"/>
      <c r="P189" s="1210"/>
      <c r="Q189" s="1038"/>
      <c r="R189" s="1226"/>
      <c r="S189" s="1129"/>
      <c r="T189" s="1129"/>
      <c r="U189" s="877"/>
      <c r="V189" s="877"/>
    </row>
    <row r="190" spans="1:22" x14ac:dyDescent="0.25">
      <c r="B190" s="1124" t="s">
        <v>6790</v>
      </c>
      <c r="C190" s="1124"/>
      <c r="D190" s="1125">
        <f>SUMIF($B$15:$B$168,"Crédito Gasolina",$G$15:$G$168)</f>
        <v>492.64</v>
      </c>
      <c r="E190" s="1138">
        <f>D190/K193</f>
        <v>16.421333333333333</v>
      </c>
      <c r="F190" s="2979">
        <f>SUM(F173:F189)</f>
        <v>1.4568641941305815</v>
      </c>
      <c r="G190" s="1129"/>
      <c r="J190" s="2037"/>
      <c r="K190" s="629"/>
      <c r="P190" s="1210"/>
      <c r="Q190" s="1038"/>
      <c r="R190" s="1227"/>
      <c r="S190" s="1129"/>
      <c r="T190" s="1129"/>
      <c r="U190" s="877"/>
      <c r="V190" s="877"/>
    </row>
    <row r="191" spans="1:22" x14ac:dyDescent="0.25">
      <c r="B191" s="1124" t="s">
        <v>6329</v>
      </c>
      <c r="C191" s="1124"/>
      <c r="D191" s="1125">
        <f>SUMIF($B$7:$B$168,"Trabalho Art frutt",$G$7:$G$168)</f>
        <v>500</v>
      </c>
      <c r="E191" s="1138">
        <f>D191/K193</f>
        <v>16.666666666666668</v>
      </c>
      <c r="F191" s="1124"/>
      <c r="J191" s="2037"/>
      <c r="K191" s="629"/>
      <c r="P191" s="1210"/>
      <c r="Q191" s="1038"/>
      <c r="R191" s="1227"/>
      <c r="S191" s="1129"/>
      <c r="T191" s="1129"/>
      <c r="U191" s="877"/>
      <c r="V191" s="877"/>
    </row>
    <row r="192" spans="1:22" x14ac:dyDescent="0.25">
      <c r="B192" s="1124"/>
      <c r="C192" s="1124"/>
      <c r="D192" s="1125"/>
      <c r="E192" s="1138"/>
      <c r="F192" s="1124"/>
      <c r="J192" s="2037"/>
      <c r="K192" s="629"/>
      <c r="L192" s="459" t="s">
        <v>6481</v>
      </c>
      <c r="M192" s="2125" t="s">
        <v>6482</v>
      </c>
      <c r="P192" s="1210"/>
      <c r="Q192" s="1038"/>
      <c r="R192" s="1227"/>
      <c r="T192" s="1129"/>
      <c r="U192" s="877"/>
      <c r="V192" s="877"/>
    </row>
    <row r="193" spans="1:24" x14ac:dyDescent="0.25">
      <c r="C193" s="3168" t="s">
        <v>486</v>
      </c>
      <c r="D193" s="3168"/>
      <c r="E193" s="863">
        <f>J193/K193</f>
        <v>258.18061626984121</v>
      </c>
      <c r="G193" s="518" t="s">
        <v>487</v>
      </c>
      <c r="J193" s="629">
        <f>SUM(D173:D189)</f>
        <v>7745.4184880952371</v>
      </c>
      <c r="K193" s="1517">
        <v>30</v>
      </c>
      <c r="L193" s="484">
        <f>5316.5+D191-J194</f>
        <v>-651.12558333333254</v>
      </c>
      <c r="N193" s="216"/>
      <c r="O193" s="1517"/>
      <c r="P193" s="1210"/>
      <c r="Q193" s="1038"/>
      <c r="R193" s="1226"/>
      <c r="S193" s="1129"/>
      <c r="T193" s="1129"/>
      <c r="U193" s="877"/>
      <c r="V193" s="877"/>
    </row>
    <row r="194" spans="1:24" ht="15.75" customHeight="1" x14ac:dyDescent="0.25">
      <c r="B194" s="3167" t="s">
        <v>7452</v>
      </c>
      <c r="C194" s="3167"/>
      <c r="D194" s="3167"/>
      <c r="E194" s="1125">
        <f>5316.5/30</f>
        <v>177.21666666666667</v>
      </c>
      <c r="G194" s="518" t="s">
        <v>6257</v>
      </c>
      <c r="J194" s="609">
        <f>J193-D182</f>
        <v>6467.6255833333325</v>
      </c>
      <c r="K194" s="629"/>
      <c r="M194" s="868"/>
      <c r="O194" s="868"/>
      <c r="P194" s="1210"/>
      <c r="Q194" s="1038"/>
      <c r="R194" s="1226"/>
      <c r="S194" s="1129"/>
      <c r="T194" s="1129"/>
      <c r="U194" s="877"/>
      <c r="V194" s="877"/>
    </row>
    <row r="195" spans="1:24" x14ac:dyDescent="0.25">
      <c r="A195" s="518"/>
      <c r="C195" s="79"/>
      <c r="D195" s="79"/>
      <c r="E195" s="769"/>
      <c r="F195" s="866"/>
      <c r="G195" s="769"/>
      <c r="H195" s="866"/>
      <c r="I195" s="1210"/>
      <c r="J195" s="867"/>
      <c r="K195" s="866"/>
      <c r="L195" s="1038"/>
      <c r="M195" s="1210"/>
      <c r="N195" s="1038"/>
      <c r="O195" s="1210"/>
      <c r="P195" s="1210"/>
      <c r="Q195" s="1038"/>
      <c r="R195" s="769"/>
      <c r="S195" s="484" t="s">
        <v>280</v>
      </c>
      <c r="T195" s="216"/>
      <c r="U195" s="866"/>
      <c r="V195" s="484"/>
      <c r="X195" s="877"/>
    </row>
    <row r="196" spans="1:24" s="518" customFormat="1" x14ac:dyDescent="0.25">
      <c r="A196" s="79"/>
      <c r="B196" s="79"/>
      <c r="C196" s="79"/>
      <c r="D196" s="79"/>
      <c r="E196" s="1126">
        <f>E194-E193</f>
        <v>-80.963949603174541</v>
      </c>
      <c r="F196" s="2980">
        <f>E193/E194</f>
        <v>1.4568641941305813</v>
      </c>
      <c r="G196" s="85"/>
      <c r="H196" s="85"/>
      <c r="I196" s="89"/>
      <c r="J196" s="1210"/>
      <c r="K196" s="754"/>
      <c r="L196" s="79"/>
      <c r="M196" s="79"/>
      <c r="N196" s="79"/>
      <c r="O196" s="79"/>
      <c r="P196" s="1210"/>
      <c r="Q196" s="1038"/>
      <c r="R196" s="79"/>
      <c r="S196" s="79"/>
      <c r="T196" s="866"/>
      <c r="U196" s="484"/>
      <c r="V196" s="79"/>
      <c r="W196" s="877"/>
      <c r="X196" s="79"/>
    </row>
    <row r="197" spans="1:24" s="518" customFormat="1" x14ac:dyDescent="0.25">
      <c r="A197" s="79"/>
      <c r="B197" s="79"/>
      <c r="C197" s="79"/>
      <c r="D197" s="79"/>
      <c r="E197" s="2219">
        <f>SUMIF($E$7:$E$168,"crédito",$G$7:$G$168)</f>
        <v>9179.23</v>
      </c>
      <c r="F197" s="85"/>
      <c r="G197" s="89"/>
      <c r="H197" s="79"/>
      <c r="J197" s="1038"/>
      <c r="K197" s="1225"/>
      <c r="Q197" s="1038"/>
      <c r="R197" s="484"/>
      <c r="S197" s="79"/>
      <c r="T197" s="877"/>
      <c r="U197" s="79"/>
    </row>
    <row r="198" spans="1:24" s="518" customFormat="1" x14ac:dyDescent="0.25">
      <c r="A198" s="79"/>
      <c r="B198" s="1124" t="s">
        <v>6376</v>
      </c>
      <c r="C198" s="2125"/>
      <c r="E198" s="2218">
        <f>SUM(D173:D189)-D182</f>
        <v>6467.6255833333325</v>
      </c>
      <c r="F198" s="85"/>
      <c r="G198" s="89"/>
      <c r="H198" s="79"/>
      <c r="I198" s="79"/>
      <c r="J198" s="1038"/>
      <c r="K198" s="1225"/>
      <c r="L198" s="769"/>
      <c r="M198" s="866"/>
      <c r="N198" s="769"/>
      <c r="O198" s="866"/>
      <c r="P198" s="1210"/>
      <c r="Q198" s="1038"/>
      <c r="R198" s="484"/>
      <c r="S198" s="79"/>
      <c r="T198" s="877"/>
      <c r="U198" s="79"/>
    </row>
    <row r="199" spans="1:24" s="518" customFormat="1" x14ac:dyDescent="0.25">
      <c r="A199" s="79"/>
      <c r="B199" s="518" t="s">
        <v>6496</v>
      </c>
      <c r="C199" s="459"/>
      <c r="E199" s="1014">
        <f>E197-E198</f>
        <v>2711.604416666667</v>
      </c>
      <c r="F199" s="79"/>
      <c r="G199" s="79"/>
      <c r="H199" s="79"/>
      <c r="I199" s="216"/>
      <c r="J199" s="864"/>
      <c r="K199" s="877"/>
      <c r="L199" s="769"/>
      <c r="M199" s="866"/>
      <c r="N199" s="769"/>
      <c r="O199" s="866"/>
      <c r="P199" s="1210"/>
      <c r="Q199" s="1038"/>
      <c r="R199" s="484"/>
      <c r="S199" s="79"/>
      <c r="T199" s="877"/>
      <c r="U199" s="79"/>
    </row>
    <row r="200" spans="1:24" s="518" customFormat="1" x14ac:dyDescent="0.25">
      <c r="A200" s="79"/>
      <c r="B200" s="81" t="s">
        <v>6497</v>
      </c>
      <c r="C200" s="81"/>
      <c r="H200" s="79"/>
      <c r="J200" s="1038"/>
      <c r="K200" s="877"/>
      <c r="M200" s="866"/>
      <c r="O200" s="866"/>
      <c r="P200" s="1210"/>
      <c r="Q200" s="1038"/>
      <c r="R200" s="484"/>
      <c r="S200" s="79"/>
      <c r="T200" s="877"/>
      <c r="U200" s="79"/>
    </row>
    <row r="201" spans="1:24" s="518" customFormat="1" x14ac:dyDescent="0.25">
      <c r="A201" s="79"/>
      <c r="B201" s="79"/>
      <c r="C201" s="79"/>
      <c r="D201" s="79"/>
      <c r="E201" s="79"/>
      <c r="F201" s="79"/>
      <c r="G201" s="79"/>
      <c r="H201" s="79"/>
      <c r="I201" s="216"/>
      <c r="J201" s="1038"/>
      <c r="K201" s="877"/>
      <c r="L201" s="769"/>
      <c r="M201" s="866"/>
      <c r="N201" s="769"/>
      <c r="O201" s="866"/>
      <c r="P201" s="1210"/>
      <c r="Q201" s="1038"/>
      <c r="R201" s="484"/>
      <c r="S201" s="79"/>
      <c r="T201" s="877"/>
      <c r="U201" s="79"/>
    </row>
    <row r="202" spans="1:24" s="518" customFormat="1" x14ac:dyDescent="0.25">
      <c r="A202" s="79"/>
      <c r="B202" s="79"/>
      <c r="C202" s="79"/>
      <c r="D202" s="79"/>
      <c r="E202" s="79"/>
      <c r="F202" s="79"/>
      <c r="G202" s="216"/>
      <c r="H202" s="79"/>
      <c r="I202" s="216"/>
      <c r="J202" s="1038"/>
      <c r="K202" s="877"/>
      <c r="L202" s="769"/>
      <c r="M202" s="868"/>
      <c r="N202" s="769"/>
      <c r="O202" s="868"/>
      <c r="P202" s="1210"/>
      <c r="Q202" s="1038"/>
      <c r="R202" s="484"/>
      <c r="S202" s="79"/>
      <c r="T202" s="877"/>
      <c r="U202" s="79"/>
    </row>
    <row r="203" spans="1:24" s="518" customFormat="1" x14ac:dyDescent="0.25">
      <c r="A203" s="79"/>
      <c r="B203" s="79"/>
      <c r="C203" s="79"/>
      <c r="D203" s="79"/>
      <c r="E203" s="79"/>
      <c r="F203" s="79"/>
      <c r="G203" s="216"/>
      <c r="H203" s="79"/>
      <c r="I203" s="216"/>
      <c r="J203" s="79"/>
      <c r="K203" s="877"/>
      <c r="L203" s="769"/>
      <c r="M203" s="866"/>
      <c r="N203" s="769"/>
      <c r="O203" s="866"/>
      <c r="P203" s="1210"/>
      <c r="Q203" s="1038"/>
      <c r="R203" s="484"/>
      <c r="S203" s="79"/>
      <c r="T203" s="877"/>
      <c r="U203" s="79"/>
    </row>
    <row r="204" spans="1:24" s="518" customFormat="1" x14ac:dyDescent="0.25">
      <c r="A204" s="79"/>
      <c r="B204" s="79"/>
      <c r="C204" s="79"/>
      <c r="D204" s="79"/>
      <c r="E204" s="79"/>
      <c r="F204" s="79"/>
      <c r="G204" s="216"/>
      <c r="H204" s="79"/>
      <c r="I204" s="79"/>
      <c r="J204" s="85"/>
      <c r="K204" s="877"/>
      <c r="L204" s="770"/>
      <c r="M204" s="866"/>
      <c r="N204" s="770"/>
      <c r="O204" s="866"/>
      <c r="P204" s="1210"/>
      <c r="Q204" s="1038"/>
      <c r="R204" s="484"/>
      <c r="S204" s="79"/>
      <c r="T204" s="877"/>
      <c r="U204" s="79"/>
    </row>
    <row r="205" spans="1:24" s="518" customFormat="1" x14ac:dyDescent="0.25">
      <c r="A205" s="79"/>
      <c r="B205" s="79"/>
      <c r="C205" s="79"/>
      <c r="D205" s="79"/>
      <c r="E205" s="79"/>
      <c r="F205" s="79"/>
      <c r="G205" s="79"/>
      <c r="H205" s="79"/>
      <c r="I205" s="216"/>
      <c r="J205" s="1038"/>
      <c r="K205" s="877"/>
      <c r="L205" s="769"/>
      <c r="M205" s="868"/>
      <c r="N205" s="769"/>
      <c r="O205" s="868"/>
      <c r="P205" s="1210"/>
      <c r="Q205" s="1038"/>
      <c r="R205" s="484"/>
      <c r="S205" s="79"/>
      <c r="T205" s="877"/>
      <c r="U205" s="79"/>
    </row>
    <row r="206" spans="1:24" s="518" customFormat="1" x14ac:dyDescent="0.25">
      <c r="A206" s="79"/>
      <c r="B206" s="79"/>
      <c r="C206" s="85"/>
      <c r="D206" s="85"/>
      <c r="E206" s="85"/>
      <c r="F206" s="89"/>
      <c r="G206" s="79"/>
      <c r="H206" s="79"/>
      <c r="I206" s="79"/>
      <c r="J206" s="85"/>
      <c r="K206" s="877"/>
      <c r="L206" s="769"/>
      <c r="M206" s="866"/>
      <c r="N206" s="769"/>
      <c r="O206" s="866"/>
      <c r="P206" s="1210"/>
      <c r="Q206" s="1038"/>
      <c r="R206" s="484"/>
      <c r="S206" s="79"/>
      <c r="T206" s="877"/>
      <c r="U206" s="79"/>
    </row>
    <row r="207" spans="1:24" s="518" customFormat="1" x14ac:dyDescent="0.25">
      <c r="A207" s="79"/>
      <c r="B207" s="79"/>
      <c r="C207" s="79"/>
      <c r="D207" s="79"/>
      <c r="E207" s="79"/>
      <c r="F207" s="79"/>
      <c r="G207" s="79"/>
      <c r="H207" s="79"/>
      <c r="I207" s="629"/>
      <c r="J207" s="769"/>
      <c r="K207" s="1225"/>
      <c r="L207" s="769"/>
      <c r="M207" s="866"/>
      <c r="N207" s="769"/>
      <c r="O207" s="866"/>
      <c r="P207" s="1210"/>
      <c r="Q207" s="1038"/>
      <c r="R207" s="484"/>
      <c r="S207" s="79"/>
      <c r="T207" s="877"/>
      <c r="U207" s="79"/>
    </row>
    <row r="208" spans="1:24" s="518" customFormat="1" x14ac:dyDescent="0.25">
      <c r="A208" s="79"/>
      <c r="B208" s="79"/>
      <c r="C208" s="85"/>
      <c r="D208" s="85"/>
      <c r="E208" s="85"/>
      <c r="F208" s="89"/>
      <c r="G208" s="79"/>
      <c r="H208" s="79"/>
      <c r="I208" s="79"/>
      <c r="J208" s="79"/>
      <c r="K208" s="79"/>
      <c r="L208" s="769"/>
      <c r="M208" s="866"/>
      <c r="N208" s="769"/>
      <c r="O208" s="866"/>
      <c r="P208" s="1210"/>
      <c r="Q208" s="1038"/>
      <c r="R208" s="484"/>
      <c r="S208" s="79"/>
      <c r="T208" s="877"/>
      <c r="U208" s="79"/>
    </row>
    <row r="209" spans="1:21" s="518" customFormat="1" x14ac:dyDescent="0.25">
      <c r="A209" s="79"/>
      <c r="B209" s="79"/>
      <c r="C209" s="85"/>
      <c r="D209" s="85"/>
      <c r="E209" s="85"/>
      <c r="F209" s="89"/>
      <c r="G209" s="79"/>
      <c r="H209" s="79"/>
      <c r="I209" s="79"/>
      <c r="J209" s="79"/>
      <c r="K209" s="79"/>
      <c r="L209" s="769"/>
      <c r="M209" s="866"/>
      <c r="N209" s="769"/>
      <c r="O209" s="866"/>
      <c r="P209" s="1210"/>
      <c r="Q209" s="1038"/>
      <c r="R209" s="484"/>
      <c r="S209" s="79"/>
      <c r="T209" s="877"/>
      <c r="U209" s="79"/>
    </row>
    <row r="210" spans="1:21" s="518" customFormat="1" x14ac:dyDescent="0.25">
      <c r="A210" s="79"/>
      <c r="B210" s="79"/>
      <c r="C210" s="85"/>
      <c r="D210" s="85"/>
      <c r="E210" s="85"/>
      <c r="F210" s="89"/>
      <c r="G210" s="79"/>
      <c r="H210" s="79"/>
      <c r="I210" s="79"/>
      <c r="J210" s="769"/>
      <c r="K210" s="868"/>
      <c r="L210" s="769"/>
      <c r="M210" s="866"/>
      <c r="N210" s="769"/>
      <c r="O210" s="866"/>
      <c r="P210" s="1210"/>
      <c r="Q210" s="1038"/>
      <c r="R210" s="484"/>
      <c r="S210" s="79"/>
      <c r="T210" s="877"/>
      <c r="U210" s="79"/>
    </row>
    <row r="211" spans="1:21" s="518" customFormat="1" x14ac:dyDescent="0.25">
      <c r="A211" s="79"/>
      <c r="B211" s="79"/>
      <c r="C211" s="85"/>
      <c r="D211" s="85"/>
      <c r="E211" s="85"/>
      <c r="F211" s="89"/>
      <c r="G211" s="79"/>
      <c r="H211" s="79"/>
      <c r="I211" s="79"/>
      <c r="J211" s="769"/>
      <c r="K211" s="868"/>
      <c r="L211" s="769"/>
      <c r="M211" s="866"/>
      <c r="N211" s="769"/>
      <c r="O211" s="866"/>
      <c r="P211" s="1210"/>
      <c r="Q211" s="1038"/>
      <c r="R211" s="484"/>
      <c r="S211" s="79"/>
      <c r="T211" s="877"/>
      <c r="U211" s="79"/>
    </row>
    <row r="212" spans="1:21" s="518" customFormat="1" x14ac:dyDescent="0.25">
      <c r="A212" s="79"/>
      <c r="B212" s="79"/>
      <c r="C212" s="85"/>
      <c r="D212" s="85"/>
      <c r="E212" s="85"/>
      <c r="F212" s="89"/>
      <c r="G212" s="79"/>
      <c r="H212" s="79"/>
      <c r="I212" s="79"/>
      <c r="J212" s="769"/>
      <c r="K212" s="79"/>
      <c r="L212" s="769"/>
      <c r="M212" s="866"/>
      <c r="N212" s="769"/>
      <c r="O212" s="866"/>
      <c r="P212" s="1210"/>
      <c r="Q212" s="1038"/>
      <c r="R212" s="484"/>
      <c r="S212" s="79"/>
      <c r="T212" s="877"/>
      <c r="U212" s="79"/>
    </row>
    <row r="213" spans="1:21" s="518" customFormat="1" x14ac:dyDescent="0.25">
      <c r="A213" s="79"/>
      <c r="B213" s="79"/>
      <c r="C213" s="79"/>
      <c r="D213" s="79"/>
      <c r="E213" s="79"/>
      <c r="F213" s="79"/>
      <c r="G213" s="79"/>
      <c r="H213" s="79"/>
      <c r="I213" s="216"/>
      <c r="J213" s="79"/>
      <c r="K213" s="79"/>
      <c r="L213" s="769"/>
      <c r="M213" s="866"/>
      <c r="N213" s="769"/>
      <c r="O213" s="866"/>
      <c r="P213" s="1210"/>
      <c r="Q213" s="1038"/>
      <c r="R213" s="484"/>
      <c r="S213" s="79"/>
      <c r="T213" s="877"/>
      <c r="U213" s="79"/>
    </row>
    <row r="214" spans="1:21" s="518" customFormat="1" x14ac:dyDescent="0.25">
      <c r="A214" s="79"/>
      <c r="B214" s="79"/>
      <c r="C214" s="79"/>
      <c r="D214" s="79"/>
      <c r="E214" s="79"/>
      <c r="F214" s="79"/>
      <c r="G214" s="79"/>
      <c r="H214" s="79"/>
      <c r="I214" s="216"/>
      <c r="J214" s="79"/>
      <c r="K214" s="79"/>
      <c r="L214" s="769"/>
      <c r="M214" s="866"/>
      <c r="N214" s="769"/>
      <c r="O214" s="866"/>
      <c r="P214" s="1210"/>
      <c r="Q214" s="1038"/>
      <c r="R214" s="484"/>
      <c r="S214" s="79"/>
      <c r="T214" s="877"/>
      <c r="U214" s="79"/>
    </row>
    <row r="215" spans="1:21" s="518" customFormat="1" x14ac:dyDescent="0.25">
      <c r="A215" s="79"/>
      <c r="B215" s="79"/>
      <c r="C215" s="79"/>
      <c r="D215" s="79"/>
      <c r="E215" s="79"/>
      <c r="F215" s="79"/>
      <c r="G215" s="79"/>
      <c r="H215" s="79"/>
      <c r="I215" s="216"/>
      <c r="J215" s="1517"/>
      <c r="K215" s="79"/>
      <c r="L215" s="769"/>
      <c r="M215" s="866"/>
      <c r="N215" s="769"/>
      <c r="O215" s="866"/>
      <c r="R215" s="484"/>
      <c r="S215" s="79"/>
      <c r="T215" s="877"/>
      <c r="U215" s="79"/>
    </row>
    <row r="216" spans="1:21" s="518" customFormat="1" x14ac:dyDescent="0.25">
      <c r="A216" s="79"/>
      <c r="B216" s="79"/>
      <c r="C216" s="79"/>
      <c r="D216" s="79"/>
      <c r="E216" s="79"/>
      <c r="F216" s="79"/>
      <c r="G216" s="79"/>
      <c r="H216" s="79"/>
      <c r="I216" s="216"/>
      <c r="J216" s="79"/>
      <c r="K216" s="868"/>
      <c r="L216" s="769"/>
      <c r="M216" s="866"/>
      <c r="N216" s="769"/>
      <c r="O216" s="866"/>
      <c r="R216" s="484"/>
      <c r="S216" s="79"/>
      <c r="T216" s="877"/>
      <c r="U216" s="79"/>
    </row>
    <row r="217" spans="1:21" s="518" customFormat="1" x14ac:dyDescent="0.25">
      <c r="A217" s="79"/>
      <c r="B217" s="79"/>
      <c r="C217" s="79"/>
      <c r="D217" s="79"/>
      <c r="E217" s="79"/>
      <c r="F217" s="79"/>
      <c r="G217" s="79"/>
      <c r="H217" s="79"/>
      <c r="I217" s="216"/>
      <c r="J217" s="89"/>
      <c r="K217" s="79"/>
      <c r="L217" s="769"/>
      <c r="M217" s="868"/>
      <c r="N217" s="769"/>
      <c r="O217" s="868"/>
      <c r="P217" s="79"/>
      <c r="Q217" s="79"/>
      <c r="R217" s="484"/>
      <c r="S217" s="79"/>
      <c r="T217" s="877"/>
      <c r="U217" s="79"/>
    </row>
    <row r="218" spans="1:21" s="518" customFormat="1" x14ac:dyDescent="0.25">
      <c r="A218" s="79"/>
      <c r="B218" s="79"/>
      <c r="C218" s="79"/>
      <c r="D218" s="79"/>
      <c r="E218" s="79"/>
      <c r="F218" s="79"/>
      <c r="G218" s="79"/>
      <c r="H218" s="79"/>
      <c r="I218" s="216"/>
      <c r="J218" s="79"/>
      <c r="K218" s="79"/>
      <c r="L218" s="769"/>
      <c r="M218" s="868"/>
      <c r="N218" s="769"/>
      <c r="O218" s="868"/>
      <c r="P218" s="81"/>
      <c r="Q218" s="755"/>
      <c r="R218" s="484"/>
      <c r="S218" s="79"/>
      <c r="T218" s="877"/>
      <c r="U218" s="79"/>
    </row>
    <row r="219" spans="1:21" s="518" customFormat="1" x14ac:dyDescent="0.25">
      <c r="A219" s="79"/>
      <c r="B219" s="79"/>
      <c r="C219" s="79"/>
      <c r="D219" s="79"/>
      <c r="E219" s="79"/>
      <c r="F219" s="79"/>
      <c r="G219" s="79"/>
      <c r="H219" s="79"/>
      <c r="I219" s="216"/>
      <c r="L219" s="769"/>
      <c r="M219" s="868"/>
      <c r="N219" s="769"/>
      <c r="O219" s="868"/>
      <c r="P219" s="868"/>
      <c r="Q219" s="79"/>
      <c r="R219" s="484"/>
      <c r="S219" s="79"/>
      <c r="T219" s="877"/>
      <c r="U219" s="79"/>
    </row>
    <row r="220" spans="1:21" s="518" customFormat="1" x14ac:dyDescent="0.25">
      <c r="A220" s="79"/>
      <c r="B220" s="79"/>
      <c r="C220" s="79"/>
      <c r="D220" s="79"/>
      <c r="E220" s="79"/>
      <c r="F220" s="79"/>
      <c r="G220" s="79"/>
      <c r="H220" s="79"/>
      <c r="I220" s="216"/>
      <c r="J220" s="769"/>
      <c r="K220" s="866"/>
      <c r="L220" s="769"/>
      <c r="M220" s="868"/>
      <c r="N220" s="769"/>
      <c r="O220" s="868"/>
      <c r="P220" s="754"/>
      <c r="Q220" s="886"/>
      <c r="R220" s="484"/>
      <c r="S220" s="79"/>
      <c r="T220" s="877"/>
      <c r="U220" s="79"/>
    </row>
    <row r="221" spans="1:21" s="518" customFormat="1" x14ac:dyDescent="0.25">
      <c r="A221" s="79"/>
      <c r="B221" s="79"/>
      <c r="C221" s="79"/>
      <c r="D221" s="79"/>
      <c r="E221" s="79"/>
      <c r="F221" s="79"/>
      <c r="G221" s="79"/>
      <c r="H221" s="79"/>
      <c r="I221" s="216"/>
      <c r="J221" s="769"/>
      <c r="K221" s="866"/>
      <c r="L221" s="769"/>
      <c r="M221" s="868"/>
      <c r="N221" s="769"/>
      <c r="O221" s="868"/>
      <c r="P221" s="864"/>
      <c r="Q221" s="864"/>
      <c r="R221" s="484"/>
      <c r="S221" s="79"/>
      <c r="T221" s="877"/>
      <c r="U221" s="79"/>
    </row>
    <row r="222" spans="1:21" s="518" customFormat="1" x14ac:dyDescent="0.25">
      <c r="A222" s="79"/>
      <c r="B222" s="79"/>
      <c r="C222" s="85"/>
      <c r="D222" s="85"/>
      <c r="E222" s="85"/>
      <c r="F222" s="89"/>
      <c r="G222" s="79"/>
      <c r="H222" s="79"/>
      <c r="I222" s="79"/>
      <c r="K222" s="866"/>
      <c r="L222" s="769"/>
      <c r="M222" s="866"/>
      <c r="N222" s="769"/>
      <c r="O222" s="866"/>
      <c r="P222" s="864"/>
      <c r="Q222" s="1032"/>
      <c r="R222" s="484"/>
      <c r="S222" s="79"/>
      <c r="T222" s="877"/>
      <c r="U222" s="79"/>
    </row>
    <row r="223" spans="1:21" s="518" customFormat="1" x14ac:dyDescent="0.25">
      <c r="A223" s="79"/>
      <c r="B223" s="79"/>
      <c r="C223" s="85"/>
      <c r="D223" s="85"/>
      <c r="E223" s="85"/>
      <c r="F223" s="89"/>
      <c r="G223" s="79"/>
      <c r="H223" s="79"/>
      <c r="I223" s="79"/>
      <c r="J223" s="769"/>
      <c r="K223" s="866"/>
      <c r="L223" s="769"/>
      <c r="M223" s="866"/>
      <c r="N223" s="769"/>
      <c r="O223" s="866"/>
      <c r="P223" s="864"/>
      <c r="Q223" s="1032"/>
      <c r="R223" s="484"/>
      <c r="S223" s="79"/>
      <c r="T223" s="877"/>
      <c r="U223" s="79"/>
    </row>
    <row r="224" spans="1:21" s="518" customFormat="1" x14ac:dyDescent="0.25">
      <c r="A224" s="79"/>
      <c r="B224" s="79"/>
      <c r="C224" s="85"/>
      <c r="D224" s="85"/>
      <c r="E224" s="85"/>
      <c r="F224" s="89"/>
      <c r="G224" s="79"/>
      <c r="H224" s="79"/>
      <c r="I224" s="79"/>
      <c r="J224" s="769"/>
      <c r="K224" s="868"/>
      <c r="L224" s="769"/>
      <c r="M224" s="868"/>
      <c r="N224" s="769"/>
      <c r="O224" s="868"/>
      <c r="P224" s="85"/>
      <c r="Q224" s="795"/>
      <c r="R224" s="484"/>
      <c r="S224" s="79"/>
      <c r="T224" s="877"/>
      <c r="U224" s="79"/>
    </row>
    <row r="225" spans="1:21" s="518" customFormat="1" x14ac:dyDescent="0.25">
      <c r="A225" s="79"/>
      <c r="B225" s="79"/>
      <c r="C225" s="85"/>
      <c r="D225" s="85"/>
      <c r="E225" s="85"/>
      <c r="F225" s="89"/>
      <c r="G225" s="79"/>
      <c r="H225" s="79"/>
      <c r="I225" s="79"/>
      <c r="J225" s="769"/>
      <c r="K225" s="866"/>
      <c r="L225" s="769"/>
      <c r="M225" s="866"/>
      <c r="N225" s="769"/>
      <c r="O225" s="866"/>
      <c r="P225" s="85"/>
      <c r="Q225" s="177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/>
      <c r="D226" s="85"/>
      <c r="E226" s="85"/>
      <c r="F226" s="89"/>
      <c r="G226" s="79"/>
      <c r="H226" s="79"/>
      <c r="I226" s="79"/>
      <c r="J226" s="770"/>
      <c r="K226" s="866"/>
      <c r="L226" s="769"/>
      <c r="M226" s="866"/>
      <c r="N226" s="769"/>
      <c r="O226" s="866"/>
      <c r="P226" s="85"/>
      <c r="Q226" s="177"/>
      <c r="R226" s="484"/>
      <c r="S226" s="79"/>
      <c r="T226" s="877"/>
      <c r="U226" s="79"/>
    </row>
    <row r="227" spans="1:21" s="518" customFormat="1" x14ac:dyDescent="0.25">
      <c r="A227" s="79"/>
      <c r="B227" s="79"/>
      <c r="C227" s="79"/>
      <c r="D227" s="79"/>
      <c r="E227" s="79"/>
      <c r="F227" s="79"/>
      <c r="G227" s="79"/>
      <c r="H227" s="79"/>
      <c r="I227" s="79"/>
      <c r="J227" s="769"/>
      <c r="K227" s="868"/>
      <c r="L227" s="769"/>
      <c r="M227" s="868"/>
      <c r="N227" s="769"/>
      <c r="O227" s="868"/>
      <c r="P227" s="85"/>
      <c r="Q227" s="177" t="s">
        <v>280</v>
      </c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9"/>
      <c r="F228" s="79"/>
      <c r="G228" s="79"/>
      <c r="H228" s="79"/>
      <c r="I228" s="79"/>
      <c r="J228" s="769"/>
      <c r="K228" s="866"/>
      <c r="L228" s="769"/>
      <c r="M228" s="868"/>
      <c r="N228" s="769"/>
      <c r="O228" s="868"/>
      <c r="P228" s="85"/>
      <c r="Q228" s="177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79"/>
      <c r="F229" s="79"/>
      <c r="G229" s="79"/>
      <c r="H229" s="79"/>
      <c r="I229" s="79"/>
      <c r="J229" s="769"/>
      <c r="K229" s="866"/>
      <c r="L229" s="769"/>
      <c r="M229" s="868"/>
      <c r="N229" s="769"/>
      <c r="O229" s="868"/>
      <c r="P229" s="85"/>
      <c r="Q229" s="866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79"/>
      <c r="J230" s="769"/>
      <c r="K230" s="866"/>
      <c r="L230" s="769"/>
      <c r="M230" s="868"/>
      <c r="N230" s="769"/>
      <c r="O230" s="868"/>
      <c r="P230" s="769"/>
      <c r="Q230" s="216"/>
      <c r="R230" s="484"/>
      <c r="S230" s="79"/>
      <c r="T230" s="877"/>
      <c r="U230" s="79"/>
    </row>
    <row r="231" spans="1:21" s="518" customFormat="1" x14ac:dyDescent="0.25">
      <c r="A231" s="79"/>
      <c r="B231" s="79"/>
      <c r="C231" s="79"/>
      <c r="D231" s="79"/>
      <c r="E231" s="79"/>
      <c r="F231" s="79"/>
      <c r="G231" s="79"/>
      <c r="H231" s="79"/>
      <c r="I231" s="79"/>
      <c r="J231" s="769"/>
      <c r="K231" s="866"/>
      <c r="L231" s="769"/>
      <c r="M231" s="866"/>
      <c r="N231" s="769"/>
      <c r="O231" s="866"/>
      <c r="P231" s="79"/>
      <c r="Q231" s="216"/>
      <c r="R231" s="484"/>
      <c r="S231" s="79"/>
      <c r="T231" s="877"/>
      <c r="U231" s="79"/>
    </row>
    <row r="232" spans="1:21" s="518" customFormat="1" x14ac:dyDescent="0.25">
      <c r="A232" s="79"/>
      <c r="B232" s="79"/>
      <c r="C232" s="79"/>
      <c r="D232" s="79"/>
      <c r="E232" s="79"/>
      <c r="F232" s="79"/>
      <c r="G232" s="79"/>
      <c r="H232" s="79"/>
      <c r="I232" s="79"/>
      <c r="J232" s="769"/>
      <c r="K232" s="866"/>
      <c r="L232" s="223"/>
      <c r="M232" s="629"/>
      <c r="N232" s="223"/>
      <c r="O232" s="629"/>
      <c r="P232" s="769"/>
      <c r="Q232" s="868"/>
      <c r="R232" s="484"/>
      <c r="S232" s="79"/>
      <c r="T232" s="877"/>
      <c r="U232" s="79"/>
    </row>
    <row r="233" spans="1:21" s="518" customFormat="1" x14ac:dyDescent="0.25">
      <c r="A233" s="79"/>
      <c r="B233" s="79"/>
      <c r="C233" s="79"/>
      <c r="D233" s="79"/>
      <c r="E233" s="79"/>
      <c r="F233" s="79"/>
      <c r="G233" s="79"/>
      <c r="H233" s="79"/>
      <c r="I233" s="79"/>
      <c r="J233" s="769"/>
      <c r="K233" s="866"/>
      <c r="L233" s="756"/>
      <c r="M233" s="756"/>
      <c r="N233" s="756"/>
      <c r="O233" s="756"/>
      <c r="P233" s="769"/>
      <c r="Q233" s="868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79"/>
      <c r="J234" s="769"/>
      <c r="K234" s="866"/>
      <c r="L234" s="79"/>
      <c r="M234" s="79"/>
      <c r="N234" s="79"/>
      <c r="O234" s="79"/>
      <c r="P234" s="769"/>
      <c r="Q234" s="868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79"/>
      <c r="J235" s="769"/>
      <c r="K235" s="866"/>
      <c r="L235" s="79"/>
      <c r="M235" s="79"/>
      <c r="N235" s="79"/>
      <c r="O235" s="79"/>
      <c r="P235" s="769"/>
      <c r="Q235" s="79"/>
      <c r="R235" s="484"/>
      <c r="S235" s="79"/>
      <c r="T235" s="877"/>
      <c r="U235" s="79"/>
    </row>
    <row r="236" spans="1:21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79"/>
      <c r="J236" s="769"/>
      <c r="K236" s="866"/>
      <c r="L236" s="79"/>
      <c r="M236" s="79"/>
      <c r="N236" s="79"/>
      <c r="O236" s="79"/>
      <c r="P236" s="79"/>
      <c r="Q236" s="79"/>
      <c r="R236" s="484"/>
      <c r="S236" s="79"/>
      <c r="T236" s="877"/>
      <c r="U236" s="79"/>
    </row>
    <row r="237" spans="1:21" s="518" customFormat="1" x14ac:dyDescent="0.25">
      <c r="A237" s="79"/>
      <c r="B237" s="79"/>
      <c r="C237" s="79"/>
      <c r="D237" s="79"/>
      <c r="E237" s="79"/>
      <c r="F237" s="79"/>
      <c r="G237" s="79"/>
      <c r="H237" s="79"/>
      <c r="I237" s="79"/>
      <c r="J237" s="769"/>
      <c r="K237" s="866"/>
      <c r="L237" s="79"/>
      <c r="M237" s="79"/>
      <c r="N237" s="79"/>
      <c r="O237" s="79"/>
      <c r="P237" s="79"/>
      <c r="Q237" s="79"/>
      <c r="R237" s="484"/>
      <c r="S237" s="79"/>
      <c r="T237" s="877"/>
      <c r="U237" s="79"/>
    </row>
    <row r="238" spans="1:21" s="518" customFormat="1" x14ac:dyDescent="0.25">
      <c r="A238" s="79"/>
      <c r="B238" s="79"/>
      <c r="C238" s="79"/>
      <c r="D238" s="79"/>
      <c r="E238" s="79"/>
      <c r="F238" s="79"/>
      <c r="G238" s="79"/>
      <c r="H238" s="79"/>
      <c r="I238" s="79"/>
      <c r="J238" s="769"/>
      <c r="K238" s="866"/>
      <c r="L238" s="85"/>
      <c r="M238" s="85"/>
      <c r="N238" s="85"/>
      <c r="O238" s="85"/>
      <c r="P238" s="1517"/>
      <c r="Q238" s="79"/>
      <c r="R238" s="484"/>
      <c r="S238" s="79"/>
      <c r="T238" s="877"/>
      <c r="U238" s="79"/>
    </row>
    <row r="239" spans="1:21" s="518" customFormat="1" x14ac:dyDescent="0.25">
      <c r="A239" s="79"/>
      <c r="B239" s="79"/>
      <c r="C239" s="79"/>
      <c r="D239" s="79"/>
      <c r="E239" s="79"/>
      <c r="F239" s="79"/>
      <c r="G239" s="79"/>
      <c r="H239" s="79"/>
      <c r="I239" s="79"/>
      <c r="J239" s="769"/>
      <c r="K239" s="868"/>
      <c r="L239" s="79"/>
      <c r="M239" s="79"/>
      <c r="N239" s="79"/>
      <c r="O239" s="79"/>
      <c r="P239" s="79"/>
      <c r="Q239" s="86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79"/>
      <c r="D240" s="79"/>
      <c r="E240" s="79"/>
      <c r="F240" s="79"/>
      <c r="G240" s="79"/>
      <c r="H240" s="79"/>
      <c r="I240" s="79"/>
      <c r="J240" s="769"/>
      <c r="K240" s="868"/>
      <c r="L240" s="79"/>
      <c r="M240" s="79"/>
      <c r="N240" s="79"/>
      <c r="O240" s="79"/>
      <c r="P240" s="89"/>
      <c r="Q240" s="79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79"/>
      <c r="J241" s="769"/>
      <c r="K241" s="868"/>
      <c r="L241" s="79"/>
      <c r="M241" s="79"/>
      <c r="N241" s="79"/>
      <c r="O241" s="79"/>
      <c r="P241" s="79"/>
      <c r="Q241" s="79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79"/>
      <c r="J242" s="769"/>
      <c r="K242" s="868"/>
      <c r="L242" s="79"/>
      <c r="M242" s="79"/>
      <c r="N242" s="79"/>
      <c r="O242" s="79"/>
      <c r="P242" s="769"/>
      <c r="Q242" s="866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79"/>
      <c r="J243" s="769"/>
      <c r="K243" s="868"/>
      <c r="L243" s="79"/>
      <c r="M243" s="79"/>
      <c r="N243" s="79"/>
      <c r="O243" s="79"/>
      <c r="P243" s="769"/>
      <c r="Q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79"/>
      <c r="J244" s="769"/>
      <c r="K244" s="866"/>
      <c r="L244" s="79"/>
      <c r="M244" s="79"/>
      <c r="N244" s="79"/>
      <c r="O244" s="79"/>
      <c r="P244" s="769"/>
      <c r="Q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79"/>
      <c r="J245" s="769"/>
      <c r="K245" s="866"/>
      <c r="L245" s="85"/>
      <c r="M245" s="85"/>
      <c r="N245" s="85"/>
      <c r="O245" s="85"/>
      <c r="Q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79"/>
      <c r="J246" s="769"/>
      <c r="K246" s="868"/>
      <c r="L246" s="79"/>
      <c r="M246" s="79"/>
      <c r="N246" s="79"/>
      <c r="O246" s="79"/>
      <c r="P246" s="769"/>
      <c r="Q246" s="866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79"/>
      <c r="J247" s="769"/>
      <c r="K247" s="866"/>
      <c r="L247" s="79"/>
      <c r="M247" s="79"/>
      <c r="N247" s="79"/>
      <c r="O247" s="79"/>
      <c r="P247" s="769"/>
      <c r="Q247" s="868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79"/>
      <c r="J248" s="769"/>
      <c r="K248" s="866"/>
      <c r="L248" s="79"/>
      <c r="M248" s="79"/>
      <c r="N248" s="79"/>
      <c r="O248" s="79"/>
      <c r="P248" s="769"/>
      <c r="Q248" s="86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79"/>
      <c r="J249" s="769"/>
      <c r="K249" s="868"/>
      <c r="L249" s="79"/>
      <c r="M249" s="79"/>
      <c r="N249" s="79"/>
      <c r="O249" s="79"/>
      <c r="P249" s="770"/>
      <c r="Q249" s="86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79"/>
      <c r="J250" s="769"/>
      <c r="K250" s="868"/>
      <c r="L250" s="79"/>
      <c r="M250" s="79"/>
      <c r="N250" s="79"/>
      <c r="O250" s="79"/>
      <c r="P250" s="769"/>
      <c r="Q250" s="868"/>
      <c r="R250" s="484"/>
      <c r="S250" s="79"/>
      <c r="T250" s="877"/>
      <c r="U250" s="79"/>
    </row>
    <row r="251" spans="1:21" s="518" customFormat="1" x14ac:dyDescent="0.25">
      <c r="A251" s="79"/>
      <c r="B251" s="79"/>
      <c r="C251" s="79"/>
      <c r="D251" s="79"/>
      <c r="E251" s="79"/>
      <c r="F251" s="79"/>
      <c r="G251" s="79"/>
      <c r="H251" s="79"/>
      <c r="I251" s="79"/>
      <c r="J251" s="769"/>
      <c r="K251" s="868"/>
      <c r="L251" s="79"/>
      <c r="M251" s="79"/>
      <c r="N251" s="79"/>
      <c r="O251" s="79"/>
      <c r="P251" s="769"/>
      <c r="Q251" s="866"/>
      <c r="R251" s="484"/>
      <c r="S251" s="79"/>
      <c r="T251" s="877"/>
      <c r="U251" s="79"/>
    </row>
    <row r="252" spans="1:21" s="518" customFormat="1" x14ac:dyDescent="0.25">
      <c r="A252" s="79"/>
      <c r="B252" s="79"/>
      <c r="C252" s="79"/>
      <c r="D252" s="79"/>
      <c r="E252" s="79"/>
      <c r="F252" s="79"/>
      <c r="G252" s="79"/>
      <c r="H252" s="79"/>
      <c r="I252" s="79"/>
      <c r="J252" s="769"/>
      <c r="K252" s="868"/>
      <c r="L252" s="771"/>
      <c r="N252" s="771"/>
      <c r="P252" s="769"/>
      <c r="Q252" s="866"/>
      <c r="R252" s="484"/>
      <c r="S252" s="79"/>
      <c r="T252" s="877"/>
      <c r="U252" s="79"/>
    </row>
    <row r="253" spans="1:21" s="518" customFormat="1" x14ac:dyDescent="0.25">
      <c r="A253" s="79"/>
      <c r="B253" s="79"/>
      <c r="C253" s="79"/>
      <c r="D253" s="79"/>
      <c r="E253" s="79"/>
      <c r="F253" s="79"/>
      <c r="G253" s="79"/>
      <c r="H253" s="79"/>
      <c r="I253" s="79"/>
      <c r="J253" s="769"/>
      <c r="K253" s="866"/>
      <c r="L253" s="79"/>
      <c r="M253" s="79"/>
      <c r="N253" s="79"/>
      <c r="O253" s="79"/>
      <c r="P253" s="769"/>
      <c r="Q253" s="866"/>
      <c r="R253" s="484"/>
      <c r="S253" s="79"/>
      <c r="T253" s="877"/>
      <c r="U253" s="79"/>
    </row>
    <row r="254" spans="1:21" x14ac:dyDescent="0.25">
      <c r="J254" s="223"/>
      <c r="K254" s="629"/>
      <c r="P254" s="769"/>
      <c r="Q254" s="866"/>
    </row>
    <row r="255" spans="1:21" x14ac:dyDescent="0.25">
      <c r="J255" s="756"/>
      <c r="K255" s="756"/>
      <c r="P255" s="769"/>
      <c r="Q255" s="866"/>
    </row>
    <row r="256" spans="1:21" x14ac:dyDescent="0.25">
      <c r="P256" s="769"/>
      <c r="Q256" s="866"/>
    </row>
    <row r="257" spans="1:21" x14ac:dyDescent="0.25">
      <c r="P257" s="769"/>
      <c r="Q257" s="866"/>
    </row>
    <row r="258" spans="1:21" x14ac:dyDescent="0.25">
      <c r="P258" s="769"/>
      <c r="Q258" s="866"/>
    </row>
    <row r="259" spans="1:21" x14ac:dyDescent="0.25">
      <c r="P259" s="769"/>
      <c r="Q259" s="866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85"/>
      <c r="K260" s="85"/>
      <c r="L260" s="79"/>
      <c r="M260" s="216"/>
      <c r="N260" s="79"/>
      <c r="O260" s="216"/>
      <c r="P260" s="769"/>
      <c r="Q260" s="86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216"/>
      <c r="N261" s="79"/>
      <c r="O261" s="216"/>
      <c r="P261" s="769"/>
      <c r="Q261" s="866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216"/>
      <c r="N262" s="79"/>
      <c r="O262" s="216"/>
      <c r="P262" s="769"/>
      <c r="Q262" s="868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216"/>
      <c r="N263" s="79"/>
      <c r="O263" s="216"/>
      <c r="P263" s="769"/>
      <c r="Q263" s="868"/>
      <c r="R263" s="484"/>
      <c r="S263" s="79"/>
      <c r="T263" s="877"/>
      <c r="U263" s="79"/>
    </row>
    <row r="264" spans="1:21" x14ac:dyDescent="0.25">
      <c r="P264" s="769"/>
      <c r="Q264" s="868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216"/>
      <c r="N265" s="79"/>
      <c r="O265" s="216"/>
      <c r="P265" s="769"/>
      <c r="Q265" s="868"/>
      <c r="R265" s="484"/>
      <c r="S265" s="79"/>
      <c r="T265" s="877"/>
      <c r="U265" s="79"/>
    </row>
    <row r="266" spans="1:21" x14ac:dyDescent="0.25">
      <c r="P266" s="769"/>
      <c r="Q266" s="868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85"/>
      <c r="K267" s="85"/>
      <c r="L267" s="79"/>
      <c r="M267" s="629"/>
      <c r="N267" s="79"/>
      <c r="O267" s="629"/>
      <c r="P267" s="769"/>
      <c r="Q267" s="866"/>
      <c r="R267" s="484"/>
      <c r="S267" s="79"/>
      <c r="T267" s="877"/>
      <c r="U267" s="79"/>
    </row>
    <row r="268" spans="1:21" x14ac:dyDescent="0.25">
      <c r="P268" s="769"/>
      <c r="Q268" s="866"/>
    </row>
    <row r="269" spans="1:21" x14ac:dyDescent="0.25">
      <c r="P269" s="769"/>
      <c r="Q269" s="868"/>
    </row>
    <row r="270" spans="1:21" x14ac:dyDescent="0.25">
      <c r="P270" s="769"/>
      <c r="Q270" s="866"/>
    </row>
    <row r="271" spans="1:21" x14ac:dyDescent="0.25">
      <c r="P271" s="769"/>
      <c r="Q271" s="866"/>
    </row>
    <row r="272" spans="1:21" x14ac:dyDescent="0.25">
      <c r="P272" s="769"/>
      <c r="Q272" s="868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216"/>
      <c r="N273" s="79"/>
      <c r="O273" s="216"/>
      <c r="P273" s="769"/>
      <c r="Q273" s="868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71"/>
      <c r="L274" s="79"/>
      <c r="M274" s="216"/>
      <c r="N274" s="79"/>
      <c r="O274" s="216"/>
      <c r="P274" s="769"/>
      <c r="Q274" s="868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216"/>
      <c r="N275" s="79"/>
      <c r="O275" s="216"/>
      <c r="P275" s="769"/>
      <c r="Q275" s="868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216"/>
      <c r="N276" s="79"/>
      <c r="O276" s="216"/>
      <c r="P276" s="769"/>
      <c r="Q276" s="866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9"/>
      <c r="K277" s="79"/>
      <c r="L277" s="79"/>
      <c r="M277" s="216"/>
      <c r="N277" s="79"/>
      <c r="O277" s="216"/>
      <c r="P277" s="223"/>
      <c r="Q277" s="629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216"/>
      <c r="N278" s="79"/>
      <c r="O278" s="216"/>
      <c r="P278" s="756"/>
      <c r="Q278" s="756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216"/>
      <c r="N279" s="79"/>
      <c r="O279" s="216"/>
      <c r="P279" s="79"/>
      <c r="Q279" s="79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9"/>
      <c r="K280" s="79"/>
      <c r="L280" s="79"/>
      <c r="M280" s="216"/>
      <c r="N280" s="79"/>
      <c r="O280" s="216"/>
      <c r="P280" s="79"/>
      <c r="Q280" s="79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9"/>
      <c r="K281" s="79"/>
      <c r="L281" s="79"/>
      <c r="M281" s="216"/>
      <c r="N281" s="79"/>
      <c r="O281" s="216"/>
      <c r="P281" s="79"/>
      <c r="Q281" s="79"/>
      <c r="R281" s="484"/>
      <c r="S281" s="79"/>
      <c r="T281" s="877"/>
      <c r="U281" s="79"/>
    </row>
    <row r="282" spans="1:21" x14ac:dyDescent="0.25">
      <c r="K282" s="216"/>
    </row>
    <row r="283" spans="1:21" x14ac:dyDescent="0.25">
      <c r="K283" s="216"/>
      <c r="P283" s="85"/>
      <c r="Q283" s="85"/>
    </row>
    <row r="284" spans="1:21" x14ac:dyDescent="0.25">
      <c r="K284" s="216"/>
    </row>
    <row r="285" spans="1:21" x14ac:dyDescent="0.25">
      <c r="K285" s="216"/>
    </row>
    <row r="287" spans="1:21" x14ac:dyDescent="0.25">
      <c r="K287" s="216"/>
    </row>
    <row r="289" spans="1:42" x14ac:dyDescent="0.25">
      <c r="K289" s="629"/>
    </row>
    <row r="290" spans="1:42" x14ac:dyDescent="0.25">
      <c r="P290" s="85"/>
      <c r="Q290" s="85"/>
    </row>
    <row r="294" spans="1:42" s="484" customFormat="1" x14ac:dyDescent="0.25">
      <c r="A294" s="79"/>
      <c r="B294" s="79"/>
      <c r="C294" s="85"/>
      <c r="D294" s="85"/>
      <c r="E294" s="85"/>
      <c r="F294" s="8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S294" s="79"/>
      <c r="T294" s="877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</row>
    <row r="295" spans="1:42" s="484" customFormat="1" x14ac:dyDescent="0.25">
      <c r="A295" s="79"/>
      <c r="B295" s="79"/>
      <c r="C295" s="85"/>
      <c r="D295" s="85"/>
      <c r="E295" s="85"/>
      <c r="F295" s="89"/>
      <c r="G295" s="79"/>
      <c r="H295" s="79"/>
      <c r="I295" s="79"/>
      <c r="J295" s="79"/>
      <c r="K295" s="216"/>
      <c r="L295" s="79"/>
      <c r="M295" s="79"/>
      <c r="N295" s="79"/>
      <c r="O295" s="79"/>
      <c r="P295" s="79"/>
      <c r="Q295" s="79"/>
      <c r="S295" s="79"/>
      <c r="T295" s="87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</row>
    <row r="296" spans="1:42" s="484" customFormat="1" x14ac:dyDescent="0.25">
      <c r="A296" s="79"/>
      <c r="B296" s="79"/>
      <c r="C296" s="85"/>
      <c r="D296" s="85"/>
      <c r="E296" s="85"/>
      <c r="F296" s="89"/>
      <c r="G296" s="79"/>
      <c r="H296" s="79"/>
      <c r="I296" s="79"/>
      <c r="J296" s="79"/>
      <c r="K296" s="216"/>
      <c r="L296" s="79"/>
      <c r="M296" s="79"/>
      <c r="N296" s="79"/>
      <c r="O296" s="79"/>
      <c r="P296" s="79"/>
      <c r="Q296" s="79"/>
      <c r="S296" s="79"/>
      <c r="T296" s="877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</row>
    <row r="297" spans="1:42" s="484" customFormat="1" x14ac:dyDescent="0.25">
      <c r="A297" s="79"/>
      <c r="B297" s="79"/>
      <c r="C297" s="85"/>
      <c r="D297" s="85"/>
      <c r="E297" s="85"/>
      <c r="F297" s="89"/>
      <c r="G297" s="79"/>
      <c r="H297" s="79"/>
      <c r="I297" s="79"/>
      <c r="J297" s="79"/>
      <c r="K297" s="216"/>
      <c r="L297" s="79"/>
      <c r="M297" s="79"/>
      <c r="N297" s="79"/>
      <c r="O297" s="79"/>
      <c r="P297" s="771"/>
      <c r="Q297" s="518"/>
      <c r="S297" s="79"/>
      <c r="T297" s="877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</row>
    <row r="298" spans="1:42" s="484" customFormat="1" x14ac:dyDescent="0.25">
      <c r="A298" s="79"/>
      <c r="B298" s="79"/>
      <c r="C298" s="85"/>
      <c r="D298" s="85"/>
      <c r="E298" s="85"/>
      <c r="F298" s="89"/>
      <c r="G298" s="79"/>
      <c r="H298" s="79"/>
      <c r="I298" s="79"/>
      <c r="J298" s="79"/>
      <c r="K298" s="216"/>
      <c r="L298" s="79"/>
      <c r="M298" s="79"/>
      <c r="N298" s="79"/>
      <c r="O298" s="79"/>
      <c r="P298" s="79"/>
      <c r="Q298" s="79"/>
      <c r="S298" s="79"/>
      <c r="T298" s="877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</row>
    <row r="299" spans="1:42" x14ac:dyDescent="0.25">
      <c r="K299" s="216"/>
    </row>
    <row r="300" spans="1:42" x14ac:dyDescent="0.25">
      <c r="K300" s="216"/>
    </row>
    <row r="301" spans="1:42" x14ac:dyDescent="0.25">
      <c r="K301" s="216"/>
    </row>
    <row r="302" spans="1:42" x14ac:dyDescent="0.25">
      <c r="K302" s="216"/>
    </row>
    <row r="303" spans="1:42" x14ac:dyDescent="0.25">
      <c r="K303" s="216"/>
    </row>
    <row r="305" spans="1:42" s="484" customFormat="1" x14ac:dyDescent="0.25">
      <c r="A305" s="79"/>
      <c r="B305" s="79"/>
      <c r="C305" s="85"/>
      <c r="D305" s="85"/>
      <c r="E305" s="85"/>
      <c r="F305" s="8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216"/>
      <c r="S305" s="79"/>
      <c r="T305" s="87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</row>
    <row r="306" spans="1:42" s="484" customFormat="1" x14ac:dyDescent="0.25">
      <c r="A306" s="79"/>
      <c r="B306" s="79"/>
      <c r="C306" s="85"/>
      <c r="D306" s="85"/>
      <c r="E306" s="85"/>
      <c r="F306" s="8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216"/>
      <c r="S306" s="79"/>
      <c r="T306" s="87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</row>
    <row r="307" spans="1:42" s="484" customFormat="1" x14ac:dyDescent="0.25">
      <c r="A307" s="79"/>
      <c r="B307" s="79"/>
      <c r="C307" s="85"/>
      <c r="D307" s="85"/>
      <c r="E307" s="85"/>
      <c r="F307" s="8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216"/>
      <c r="S307" s="79"/>
      <c r="T307" s="87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</row>
    <row r="308" spans="1:42" s="484" customFormat="1" x14ac:dyDescent="0.25">
      <c r="A308" s="79"/>
      <c r="B308" s="79"/>
      <c r="C308" s="85"/>
      <c r="D308" s="85"/>
      <c r="E308" s="85"/>
      <c r="F308" s="8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216"/>
      <c r="S308" s="79"/>
      <c r="T308" s="87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</row>
    <row r="310" spans="1:42" s="484" customFormat="1" x14ac:dyDescent="0.25">
      <c r="A310" s="79"/>
      <c r="B310" s="79"/>
      <c r="C310" s="85"/>
      <c r="D310" s="85"/>
      <c r="E310" s="85"/>
      <c r="F310" s="8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216"/>
      <c r="S310" s="79"/>
      <c r="T310" s="87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</row>
    <row r="312" spans="1:42" s="484" customFormat="1" x14ac:dyDescent="0.25">
      <c r="A312" s="79"/>
      <c r="B312" s="79"/>
      <c r="C312" s="85"/>
      <c r="D312" s="85"/>
      <c r="E312" s="85"/>
      <c r="F312" s="8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629"/>
      <c r="S312" s="79"/>
      <c r="T312" s="87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</row>
    <row r="318" spans="1:42" s="484" customFormat="1" x14ac:dyDescent="0.25">
      <c r="A318" s="79"/>
      <c r="B318" s="79"/>
      <c r="C318" s="85"/>
      <c r="D318" s="85"/>
      <c r="E318" s="85"/>
      <c r="F318" s="8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216"/>
      <c r="S318" s="79"/>
      <c r="T318" s="87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</row>
    <row r="319" spans="1:42" s="484" customFormat="1" x14ac:dyDescent="0.25">
      <c r="A319" s="79"/>
      <c r="B319" s="79"/>
      <c r="C319" s="85"/>
      <c r="D319" s="85"/>
      <c r="E319" s="85"/>
      <c r="F319" s="8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216"/>
      <c r="S319" s="79"/>
      <c r="T319" s="87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</row>
    <row r="320" spans="1:42" s="484" customFormat="1" x14ac:dyDescent="0.25">
      <c r="A320" s="79"/>
      <c r="B320" s="79"/>
      <c r="C320" s="85"/>
      <c r="D320" s="85"/>
      <c r="E320" s="85"/>
      <c r="F320" s="8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216"/>
      <c r="S320" s="79"/>
      <c r="T320" s="87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</row>
    <row r="321" spans="1:42" s="484" customFormat="1" x14ac:dyDescent="0.25">
      <c r="A321" s="79"/>
      <c r="B321" s="79"/>
      <c r="C321" s="85"/>
      <c r="D321" s="85"/>
      <c r="E321" s="85"/>
      <c r="F321" s="8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216"/>
      <c r="S321" s="79"/>
      <c r="T321" s="87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216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216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216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216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216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</sheetData>
  <autoFilter ref="A2:I191" xr:uid="{00000000-0009-0000-0000-00008D000000}"/>
  <mergeCells count="17">
    <mergeCell ref="B194:D194"/>
    <mergeCell ref="L2:M3"/>
    <mergeCell ref="N2:O3"/>
    <mergeCell ref="P2:Q3"/>
    <mergeCell ref="A169:E169"/>
    <mergeCell ref="A170:E170"/>
    <mergeCell ref="C193:D193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conditionalFormatting sqref="F190">
    <cfRule type="cellIs" dxfId="17" priority="1" operator="greaterThan">
      <formula>1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greaterThan" id="{B260B6F1-63CE-4480-A9ED-F8A9A5DFBCAC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D173:D189</xm:sqref>
        </x14:conditionalFormatting>
      </x14:conditionalFormattings>
    </ext>
  </extLst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379FD-B752-4BA6-B536-D4C5064EEFCB}">
  <dimension ref="A1:AP355"/>
  <sheetViews>
    <sheetView zoomScale="85" zoomScaleNormal="85" workbookViewId="0">
      <pane ySplit="5" topLeftCell="A180" activePane="bottomLeft" state="frozen"/>
      <selection pane="bottomLeft" activeCell="B201" sqref="B201:F202"/>
    </sheetView>
  </sheetViews>
  <sheetFormatPr defaultColWidth="9.140625" defaultRowHeight="15" x14ac:dyDescent="0.25"/>
  <cols>
    <col min="1" max="1" width="12" style="79" bestFit="1" customWidth="1"/>
    <col min="2" max="2" width="42.85546875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7" width="13.42578125" style="79" customWidth="1"/>
    <col min="8" max="9" width="13.5703125" style="79" customWidth="1"/>
    <col min="10" max="17" width="13.42578125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8470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8580</v>
      </c>
      <c r="I2" s="3074"/>
      <c r="J2" s="3073" t="s">
        <v>8559</v>
      </c>
      <c r="K2" s="3074"/>
      <c r="L2" s="3073" t="s">
        <v>8560</v>
      </c>
      <c r="M2" s="3074"/>
      <c r="N2" s="3073" t="s">
        <v>8556</v>
      </c>
      <c r="O2" s="3074"/>
      <c r="P2" s="3073" t="s">
        <v>3306</v>
      </c>
      <c r="Q2" s="3074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75"/>
      <c r="K3" s="3076"/>
      <c r="L3" s="3075"/>
      <c r="M3" s="3076"/>
      <c r="N3" s="3075"/>
      <c r="O3" s="3076"/>
      <c r="P3" s="3075"/>
      <c r="Q3" s="3076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45992</v>
      </c>
      <c r="B5" s="369" t="s">
        <v>10</v>
      </c>
      <c r="C5" s="370"/>
      <c r="D5" s="370"/>
      <c r="E5" s="777"/>
      <c r="F5" s="179"/>
      <c r="G5" s="933">
        <f>'Novembro-25'!G170</f>
        <v>1394.8435833333788</v>
      </c>
      <c r="H5" s="163"/>
      <c r="I5" s="1479">
        <f>'Agosto-25'!I171</f>
        <v>0</v>
      </c>
      <c r="J5" s="179"/>
      <c r="K5" s="933">
        <f>'Novembro-25'!K170</f>
        <v>8187.5600000000059</v>
      </c>
      <c r="L5" s="179"/>
      <c r="M5" s="933">
        <f>'Novembro-25'!M170</f>
        <v>1000</v>
      </c>
      <c r="N5" s="179"/>
      <c r="O5" s="1479">
        <f>'Novembro-25'!O170</f>
        <v>5282.2200000000012</v>
      </c>
      <c r="P5" s="179"/>
      <c r="Q5" s="933">
        <f>'Novembro-25'!Q5</f>
        <v>7461.9059847200078</v>
      </c>
    </row>
    <row r="6" spans="1:42" s="224" customFormat="1" x14ac:dyDescent="0.25">
      <c r="A6" s="247">
        <v>45992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45992</v>
      </c>
      <c r="B7" s="349" t="s">
        <v>8394</v>
      </c>
      <c r="C7" s="350" t="s">
        <v>12</v>
      </c>
      <c r="D7" s="350" t="s">
        <v>6731</v>
      </c>
      <c r="E7" s="887" t="s">
        <v>13</v>
      </c>
      <c r="F7" s="613">
        <v>373.76</v>
      </c>
      <c r="G7" s="982"/>
      <c r="H7" s="872"/>
      <c r="I7" s="1063"/>
      <c r="J7" s="622"/>
      <c r="K7" s="982"/>
      <c r="L7" s="622"/>
      <c r="M7" s="982"/>
      <c r="N7" s="622"/>
      <c r="O7" s="1063"/>
      <c r="P7" s="622"/>
      <c r="Q7" s="982"/>
      <c r="R7" s="1080" t="s">
        <v>8423</v>
      </c>
      <c r="S7" s="999"/>
      <c r="T7" s="878"/>
    </row>
    <row r="8" spans="1:42" s="224" customFormat="1" ht="15" customHeight="1" x14ac:dyDescent="0.25">
      <c r="A8" s="247">
        <v>45992</v>
      </c>
      <c r="B8" s="1275" t="s">
        <v>2789</v>
      </c>
      <c r="C8" s="1276" t="s">
        <v>12</v>
      </c>
      <c r="D8" s="1276" t="s">
        <v>1485</v>
      </c>
      <c r="E8" s="875" t="s">
        <v>13</v>
      </c>
      <c r="F8" s="780">
        <v>15</v>
      </c>
      <c r="G8" s="982"/>
      <c r="H8" s="622"/>
      <c r="I8" s="982"/>
      <c r="J8" s="622"/>
      <c r="K8" s="982"/>
      <c r="L8" s="622"/>
      <c r="M8" s="982"/>
      <c r="N8" s="880"/>
      <c r="O8" s="1525"/>
      <c r="P8" s="613"/>
      <c r="Q8" s="162"/>
      <c r="R8" s="1956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</row>
    <row r="9" spans="1:42" s="224" customFormat="1" x14ac:dyDescent="0.25">
      <c r="A9" s="247">
        <v>45992</v>
      </c>
      <c r="B9" s="882" t="s">
        <v>8566</v>
      </c>
      <c r="C9" s="1276" t="s">
        <v>12</v>
      </c>
      <c r="D9" s="879" t="s">
        <v>1489</v>
      </c>
      <c r="E9" s="875" t="s">
        <v>13</v>
      </c>
      <c r="F9" s="780">
        <v>18.5</v>
      </c>
      <c r="G9" s="982"/>
      <c r="H9" s="1008"/>
      <c r="I9" s="1063"/>
      <c r="J9" s="2013"/>
      <c r="K9" s="1207"/>
      <c r="L9" s="622"/>
      <c r="M9" s="982"/>
      <c r="N9" s="622"/>
      <c r="O9" s="1063"/>
      <c r="P9" s="622"/>
      <c r="Q9" s="982"/>
      <c r="R9" s="861"/>
      <c r="T9" s="878"/>
    </row>
    <row r="10" spans="1:42" s="224" customFormat="1" ht="15" customHeight="1" x14ac:dyDescent="0.25">
      <c r="A10" s="247">
        <v>45992</v>
      </c>
      <c r="B10" s="1275" t="s">
        <v>8568</v>
      </c>
      <c r="C10" s="1276" t="s">
        <v>12</v>
      </c>
      <c r="D10" s="1276"/>
      <c r="E10" s="1286" t="s">
        <v>13</v>
      </c>
      <c r="F10" s="613">
        <v>243.16</v>
      </c>
      <c r="G10" s="967"/>
      <c r="H10" s="1008"/>
      <c r="I10" s="1063"/>
      <c r="J10" s="613"/>
      <c r="K10" s="6"/>
      <c r="L10" s="622"/>
      <c r="M10" s="982"/>
      <c r="N10" s="622"/>
      <c r="O10" s="1063"/>
      <c r="P10" s="613"/>
      <c r="Q10" s="64"/>
      <c r="R10" s="1024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</row>
    <row r="11" spans="1:42" s="224" customFormat="1" ht="15" customHeight="1" x14ac:dyDescent="0.25">
      <c r="A11" s="247">
        <v>45992</v>
      </c>
      <c r="B11" s="1275" t="s">
        <v>6755</v>
      </c>
      <c r="C11" s="1276" t="s">
        <v>12</v>
      </c>
      <c r="D11" s="1276"/>
      <c r="E11" s="1286"/>
      <c r="F11" s="613"/>
      <c r="G11" s="967">
        <v>243.16</v>
      </c>
      <c r="H11" s="1008"/>
      <c r="I11" s="1063"/>
      <c r="J11" s="613"/>
      <c r="K11" s="6"/>
      <c r="L11" s="622"/>
      <c r="M11" s="982"/>
      <c r="N11" s="622"/>
      <c r="O11" s="1063"/>
      <c r="P11" s="613"/>
      <c r="Q11" s="64"/>
      <c r="R11" s="1024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</row>
    <row r="12" spans="1:42" s="224" customFormat="1" x14ac:dyDescent="0.25">
      <c r="A12" s="247">
        <v>45992</v>
      </c>
      <c r="B12" s="882" t="s">
        <v>14</v>
      </c>
      <c r="C12" s="1276" t="s">
        <v>12</v>
      </c>
      <c r="D12" s="879" t="s">
        <v>1486</v>
      </c>
      <c r="E12" s="875" t="s">
        <v>13</v>
      </c>
      <c r="F12" s="780">
        <v>4.82</v>
      </c>
      <c r="G12" s="982"/>
      <c r="H12" s="1008"/>
      <c r="I12" s="1063"/>
      <c r="J12" s="2013"/>
      <c r="K12" s="1207"/>
      <c r="L12" s="622"/>
      <c r="M12" s="982"/>
      <c r="N12" s="622"/>
      <c r="O12" s="1063"/>
      <c r="P12" s="622"/>
      <c r="Q12" s="982"/>
      <c r="R12" s="861"/>
      <c r="T12" s="878"/>
    </row>
    <row r="13" spans="1:42" s="224" customFormat="1" ht="15" customHeight="1" x14ac:dyDescent="0.25">
      <c r="A13" s="247">
        <v>45993</v>
      </c>
      <c r="B13" s="882" t="s">
        <v>6329</v>
      </c>
      <c r="C13" s="879" t="s">
        <v>12</v>
      </c>
      <c r="D13" s="879"/>
      <c r="E13" s="875" t="s">
        <v>25</v>
      </c>
      <c r="F13" s="780"/>
      <c r="G13" s="982">
        <v>125</v>
      </c>
      <c r="H13" s="1008"/>
      <c r="I13" s="1063"/>
      <c r="J13" s="613"/>
      <c r="K13" s="982"/>
      <c r="L13" s="622"/>
      <c r="M13" s="982"/>
      <c r="N13" s="622"/>
      <c r="O13" s="1063"/>
      <c r="P13" s="622"/>
      <c r="Q13" s="982"/>
      <c r="R13" s="861"/>
    </row>
    <row r="14" spans="1:42" s="224" customFormat="1" x14ac:dyDescent="0.25">
      <c r="A14" s="247">
        <v>45993</v>
      </c>
      <c r="B14" s="882" t="s">
        <v>14</v>
      </c>
      <c r="C14" s="1276" t="s">
        <v>12</v>
      </c>
      <c r="D14" s="879" t="s">
        <v>1486</v>
      </c>
      <c r="E14" s="875" t="s">
        <v>13</v>
      </c>
      <c r="F14" s="780">
        <v>5.1100000000000003</v>
      </c>
      <c r="G14" s="982"/>
      <c r="H14" s="1008"/>
      <c r="I14" s="1063"/>
      <c r="J14" s="2013"/>
      <c r="K14" s="1207"/>
      <c r="L14" s="622"/>
      <c r="M14" s="982"/>
      <c r="N14" s="622"/>
      <c r="O14" s="1063"/>
      <c r="P14" s="622"/>
      <c r="Q14" s="982"/>
      <c r="R14" s="861"/>
      <c r="T14" s="878"/>
    </row>
    <row r="15" spans="1:42" s="224" customFormat="1" x14ac:dyDescent="0.25">
      <c r="A15" s="247">
        <v>45993</v>
      </c>
      <c r="B15" s="364" t="s">
        <v>8566</v>
      </c>
      <c r="C15" s="350" t="s">
        <v>12</v>
      </c>
      <c r="D15" s="350" t="s">
        <v>1489</v>
      </c>
      <c r="E15" s="875" t="s">
        <v>13</v>
      </c>
      <c r="F15" s="780">
        <v>16.079999999999998</v>
      </c>
      <c r="G15" s="982"/>
      <c r="H15" s="1008"/>
      <c r="I15" s="1063"/>
      <c r="J15" s="2013"/>
      <c r="K15" s="1207"/>
      <c r="L15" s="622"/>
      <c r="M15" s="982"/>
      <c r="N15" s="622"/>
      <c r="O15" s="1063"/>
      <c r="P15" s="622"/>
      <c r="Q15" s="982"/>
      <c r="R15" s="861"/>
      <c r="T15" s="878"/>
    </row>
    <row r="16" spans="1:42" s="224" customFormat="1" x14ac:dyDescent="0.25">
      <c r="A16" s="247">
        <v>45994</v>
      </c>
      <c r="B16" s="364" t="s">
        <v>8569</v>
      </c>
      <c r="C16" s="350" t="s">
        <v>12</v>
      </c>
      <c r="D16" s="350" t="s">
        <v>1524</v>
      </c>
      <c r="E16" s="875" t="s">
        <v>13</v>
      </c>
      <c r="F16" s="780">
        <v>25</v>
      </c>
      <c r="G16" s="982"/>
      <c r="H16" s="1008"/>
      <c r="I16" s="1063"/>
      <c r="J16" s="2013"/>
      <c r="K16" s="1207"/>
      <c r="L16" s="622"/>
      <c r="M16" s="982"/>
      <c r="N16" s="622"/>
      <c r="O16" s="1063"/>
      <c r="P16" s="622"/>
      <c r="Q16" s="982"/>
      <c r="R16" s="1028" t="s">
        <v>8582</v>
      </c>
      <c r="T16" s="878"/>
    </row>
    <row r="17" spans="1:42" s="224" customFormat="1" ht="15" customHeight="1" x14ac:dyDescent="0.25">
      <c r="A17" s="247">
        <v>45994</v>
      </c>
      <c r="B17" s="1275" t="s">
        <v>32</v>
      </c>
      <c r="C17" s="1276" t="s">
        <v>12</v>
      </c>
      <c r="D17" s="1276" t="s">
        <v>1485</v>
      </c>
      <c r="E17" s="875" t="s">
        <v>13</v>
      </c>
      <c r="F17" s="780">
        <v>23</v>
      </c>
      <c r="G17" s="982"/>
      <c r="H17" s="622"/>
      <c r="I17" s="982"/>
      <c r="J17" s="622"/>
      <c r="K17" s="982"/>
      <c r="L17" s="622"/>
      <c r="M17" s="982"/>
      <c r="N17" s="880"/>
      <c r="O17" s="1525"/>
      <c r="P17" s="613"/>
      <c r="Q17" s="162"/>
      <c r="R17" s="1956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x14ac:dyDescent="0.25">
      <c r="A18" s="247">
        <v>45994</v>
      </c>
      <c r="B18" s="882" t="s">
        <v>14</v>
      </c>
      <c r="C18" s="1276" t="s">
        <v>12</v>
      </c>
      <c r="D18" s="879" t="s">
        <v>1486</v>
      </c>
      <c r="E18" s="875" t="s">
        <v>13</v>
      </c>
      <c r="F18" s="780">
        <v>5.21</v>
      </c>
      <c r="G18" s="982"/>
      <c r="H18" s="1008"/>
      <c r="I18" s="1063"/>
      <c r="J18" s="2013"/>
      <c r="K18" s="1207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x14ac:dyDescent="0.25">
      <c r="A19" s="247">
        <v>45994</v>
      </c>
      <c r="B19" s="882" t="s">
        <v>8566</v>
      </c>
      <c r="C19" s="1276" t="s">
        <v>12</v>
      </c>
      <c r="D19" s="879" t="s">
        <v>1489</v>
      </c>
      <c r="E19" s="875" t="s">
        <v>13</v>
      </c>
      <c r="F19" s="780">
        <v>14.95</v>
      </c>
      <c r="G19" s="982"/>
      <c r="H19" s="1008"/>
      <c r="I19" s="1063"/>
      <c r="J19" s="2013"/>
      <c r="K19" s="1207"/>
      <c r="L19" s="622"/>
      <c r="M19" s="982"/>
      <c r="N19" s="622"/>
      <c r="O19" s="1063"/>
      <c r="P19" s="622"/>
      <c r="Q19" s="982"/>
      <c r="R19" s="861"/>
      <c r="T19" s="878"/>
    </row>
    <row r="20" spans="1:42" s="224" customFormat="1" x14ac:dyDescent="0.25">
      <c r="A20" s="247">
        <v>45994</v>
      </c>
      <c r="B20" s="882" t="s">
        <v>8572</v>
      </c>
      <c r="C20" s="1276" t="s">
        <v>12</v>
      </c>
      <c r="D20" s="350" t="s">
        <v>1524</v>
      </c>
      <c r="E20" s="875" t="s">
        <v>13</v>
      </c>
      <c r="F20" s="780">
        <v>26.54</v>
      </c>
      <c r="G20" s="982"/>
      <c r="H20" s="1008"/>
      <c r="I20" s="1063"/>
      <c r="J20" s="2013"/>
      <c r="K20" s="1207"/>
      <c r="L20" s="622"/>
      <c r="M20" s="982"/>
      <c r="N20" s="622"/>
      <c r="O20" s="1063"/>
      <c r="P20" s="622"/>
      <c r="Q20" s="982"/>
      <c r="R20" s="861"/>
      <c r="T20" s="878"/>
    </row>
    <row r="21" spans="1:42" s="224" customFormat="1" x14ac:dyDescent="0.25">
      <c r="A21" s="247">
        <v>45994</v>
      </c>
      <c r="B21" s="882" t="s">
        <v>8573</v>
      </c>
      <c r="C21" s="1276" t="s">
        <v>12</v>
      </c>
      <c r="D21" s="350" t="s">
        <v>1524</v>
      </c>
      <c r="E21" s="875" t="s">
        <v>13</v>
      </c>
      <c r="F21" s="780">
        <v>42.34</v>
      </c>
      <c r="G21" s="982"/>
      <c r="H21" s="1008"/>
      <c r="I21" s="1063"/>
      <c r="J21" s="2013"/>
      <c r="K21" s="1207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x14ac:dyDescent="0.25">
      <c r="A22" s="247">
        <v>45994</v>
      </c>
      <c r="B22" s="882" t="s">
        <v>8571</v>
      </c>
      <c r="C22" s="1276" t="s">
        <v>12</v>
      </c>
      <c r="D22" s="350" t="s">
        <v>1524</v>
      </c>
      <c r="E22" s="875" t="s">
        <v>13</v>
      </c>
      <c r="F22" s="780">
        <v>9.16</v>
      </c>
      <c r="G22" s="982"/>
      <c r="H22" s="1008"/>
      <c r="I22" s="1063"/>
      <c r="J22" s="2013"/>
      <c r="K22" s="1207"/>
      <c r="L22" s="622"/>
      <c r="M22" s="982"/>
      <c r="N22" s="622"/>
      <c r="O22" s="1063"/>
      <c r="P22" s="622"/>
      <c r="Q22" s="982"/>
      <c r="R22" s="861"/>
      <c r="T22" s="878"/>
    </row>
    <row r="23" spans="1:42" s="224" customFormat="1" x14ac:dyDescent="0.25">
      <c r="A23" s="247">
        <v>45994</v>
      </c>
      <c r="B23" s="882" t="s">
        <v>8570</v>
      </c>
      <c r="C23" s="1276" t="s">
        <v>12</v>
      </c>
      <c r="D23" s="350" t="s">
        <v>1524</v>
      </c>
      <c r="E23" s="875" t="s">
        <v>13</v>
      </c>
      <c r="F23" s="780">
        <v>9.16</v>
      </c>
      <c r="G23" s="982"/>
      <c r="H23" s="1008"/>
      <c r="I23" s="1063"/>
      <c r="J23" s="2013"/>
      <c r="K23" s="1207"/>
      <c r="L23" s="622"/>
      <c r="M23" s="982"/>
      <c r="N23" s="622"/>
      <c r="O23" s="1063"/>
      <c r="P23" s="622"/>
      <c r="Q23" s="982"/>
      <c r="R23" s="861"/>
      <c r="T23" s="878"/>
    </row>
    <row r="24" spans="1:42" s="224" customFormat="1" ht="15" customHeight="1" x14ac:dyDescent="0.25">
      <c r="A24" s="247">
        <v>45995</v>
      </c>
      <c r="B24" s="1275" t="s">
        <v>32</v>
      </c>
      <c r="C24" s="1276" t="s">
        <v>12</v>
      </c>
      <c r="D24" s="1276" t="s">
        <v>1485</v>
      </c>
      <c r="E24" s="875" t="s">
        <v>13</v>
      </c>
      <c r="F24" s="780">
        <v>23</v>
      </c>
      <c r="G24" s="982"/>
      <c r="H24" s="622"/>
      <c r="I24" s="982"/>
      <c r="J24" s="622"/>
      <c r="K24" s="982"/>
      <c r="L24" s="622"/>
      <c r="M24" s="982"/>
      <c r="N24" s="880"/>
      <c r="O24" s="1525"/>
      <c r="P24" s="613"/>
      <c r="Q24" s="162"/>
      <c r="R24" s="1956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</row>
    <row r="25" spans="1:42" s="224" customFormat="1" x14ac:dyDescent="0.25">
      <c r="A25" s="247">
        <v>45995</v>
      </c>
      <c r="B25" s="882" t="s">
        <v>8574</v>
      </c>
      <c r="C25" s="1276" t="s">
        <v>12</v>
      </c>
      <c r="D25" s="350" t="s">
        <v>1524</v>
      </c>
      <c r="E25" s="875" t="s">
        <v>13</v>
      </c>
      <c r="F25" s="780">
        <v>40</v>
      </c>
      <c r="G25" s="982"/>
      <c r="H25" s="1008"/>
      <c r="I25" s="1063"/>
      <c r="J25" s="2013"/>
      <c r="K25" s="1207"/>
      <c r="L25" s="622"/>
      <c r="M25" s="982"/>
      <c r="N25" s="622"/>
      <c r="O25" s="1063"/>
      <c r="P25" s="622"/>
      <c r="Q25" s="982"/>
      <c r="R25" s="861"/>
      <c r="T25" s="878"/>
    </row>
    <row r="26" spans="1:42" s="224" customFormat="1" x14ac:dyDescent="0.25">
      <c r="A26" s="247">
        <v>45995</v>
      </c>
      <c r="B26" s="882" t="s">
        <v>8575</v>
      </c>
      <c r="C26" s="1276" t="s">
        <v>12</v>
      </c>
      <c r="D26" s="350" t="s">
        <v>1524</v>
      </c>
      <c r="E26" s="875" t="s">
        <v>13</v>
      </c>
      <c r="F26" s="780">
        <v>163.63999999999999</v>
      </c>
      <c r="G26" s="982"/>
      <c r="H26" s="1008"/>
      <c r="I26" s="1063"/>
      <c r="J26" s="2013"/>
      <c r="K26" s="1207"/>
      <c r="L26" s="622"/>
      <c r="M26" s="982"/>
      <c r="N26" s="622"/>
      <c r="O26" s="1063"/>
      <c r="P26" s="622"/>
      <c r="Q26" s="982"/>
      <c r="R26" s="861"/>
      <c r="T26" s="878"/>
    </row>
    <row r="27" spans="1:42" s="224" customFormat="1" x14ac:dyDescent="0.25">
      <c r="A27" s="247">
        <v>45995</v>
      </c>
      <c r="B27" s="882" t="s">
        <v>8576</v>
      </c>
      <c r="C27" s="1276" t="s">
        <v>12</v>
      </c>
      <c r="D27" s="350" t="s">
        <v>1524</v>
      </c>
      <c r="E27" s="875" t="s">
        <v>13</v>
      </c>
      <c r="F27" s="780">
        <v>163.63999999999999</v>
      </c>
      <c r="G27" s="982"/>
      <c r="H27" s="1008"/>
      <c r="I27" s="1063"/>
      <c r="J27" s="2013"/>
      <c r="K27" s="1207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x14ac:dyDescent="0.25">
      <c r="A28" s="247">
        <v>45995</v>
      </c>
      <c r="B28" s="882" t="s">
        <v>8577</v>
      </c>
      <c r="C28" s="1276" t="s">
        <v>12</v>
      </c>
      <c r="D28" s="350" t="s">
        <v>1524</v>
      </c>
      <c r="E28" s="875" t="s">
        <v>13</v>
      </c>
      <c r="F28" s="780">
        <v>39.79</v>
      </c>
      <c r="G28" s="982"/>
      <c r="H28" s="1008"/>
      <c r="I28" s="1063"/>
      <c r="J28" s="2013"/>
      <c r="K28" s="1207"/>
      <c r="L28" s="622"/>
      <c r="M28" s="982"/>
      <c r="N28" s="622"/>
      <c r="O28" s="1063"/>
      <c r="P28" s="622"/>
      <c r="Q28" s="982"/>
      <c r="R28" s="861"/>
      <c r="T28" s="878"/>
    </row>
    <row r="29" spans="1:42" s="224" customFormat="1" x14ac:dyDescent="0.25">
      <c r="A29" s="247">
        <v>45995</v>
      </c>
      <c r="B29" s="882" t="s">
        <v>8578</v>
      </c>
      <c r="C29" s="1276" t="s">
        <v>12</v>
      </c>
      <c r="D29" s="350" t="s">
        <v>1524</v>
      </c>
      <c r="E29" s="875" t="s">
        <v>13</v>
      </c>
      <c r="F29" s="780">
        <v>39.79</v>
      </c>
      <c r="G29" s="982"/>
      <c r="H29" s="1008"/>
      <c r="I29" s="1063"/>
      <c r="J29" s="2013"/>
      <c r="K29" s="1207"/>
      <c r="L29" s="622"/>
      <c r="M29" s="982"/>
      <c r="N29" s="622"/>
      <c r="O29" s="1063"/>
      <c r="P29" s="622"/>
      <c r="Q29" s="982"/>
      <c r="R29" s="861"/>
      <c r="T29" s="878"/>
    </row>
    <row r="30" spans="1:42" s="224" customFormat="1" ht="15" customHeight="1" x14ac:dyDescent="0.25">
      <c r="A30" s="247">
        <v>45995</v>
      </c>
      <c r="B30" s="882" t="s">
        <v>8579</v>
      </c>
      <c r="C30" s="879" t="s">
        <v>12</v>
      </c>
      <c r="D30" s="879"/>
      <c r="E30" s="875" t="s">
        <v>13</v>
      </c>
      <c r="F30" s="780"/>
      <c r="G30" s="982">
        <v>559.05999999999995</v>
      </c>
      <c r="H30" s="1008"/>
      <c r="I30" s="1063"/>
      <c r="J30" s="622">
        <v>559.05999999999995</v>
      </c>
      <c r="K30" s="982"/>
      <c r="L30" s="622"/>
      <c r="M30" s="982"/>
      <c r="N30" s="622"/>
      <c r="O30" s="1063"/>
      <c r="P30" s="622"/>
      <c r="Q30" s="982"/>
      <c r="R30" s="941"/>
    </row>
    <row r="31" spans="1:42" s="224" customFormat="1" x14ac:dyDescent="0.25">
      <c r="A31" s="247">
        <v>45995</v>
      </c>
      <c r="B31" s="882" t="s">
        <v>14</v>
      </c>
      <c r="C31" s="1276" t="s">
        <v>12</v>
      </c>
      <c r="D31" s="879" t="s">
        <v>1486</v>
      </c>
      <c r="E31" s="875" t="s">
        <v>13</v>
      </c>
      <c r="F31" s="780">
        <v>4.8499999999999996</v>
      </c>
      <c r="G31" s="982"/>
      <c r="H31" s="1008"/>
      <c r="I31" s="1063"/>
      <c r="J31" s="2013"/>
      <c r="K31" s="1207"/>
      <c r="L31" s="622"/>
      <c r="M31" s="982"/>
      <c r="N31" s="622"/>
      <c r="O31" s="1063"/>
      <c r="P31" s="622"/>
      <c r="Q31" s="982"/>
      <c r="R31" s="861"/>
      <c r="T31" s="878"/>
    </row>
    <row r="32" spans="1:42" s="224" customFormat="1" ht="15.75" customHeight="1" x14ac:dyDescent="0.25">
      <c r="A32" s="247">
        <v>45996</v>
      </c>
      <c r="B32" s="873" t="s">
        <v>8513</v>
      </c>
      <c r="C32" s="879" t="s">
        <v>12</v>
      </c>
      <c r="D32" s="874"/>
      <c r="E32" s="887" t="s">
        <v>25</v>
      </c>
      <c r="F32" s="780"/>
      <c r="G32" s="1002">
        <v>2609.23</v>
      </c>
      <c r="H32" s="538"/>
      <c r="I32" s="982"/>
      <c r="J32" s="2013"/>
      <c r="K32" s="1207"/>
      <c r="L32" s="622"/>
      <c r="M32" s="982"/>
      <c r="N32" s="622"/>
      <c r="O32" s="1063"/>
      <c r="P32" s="622"/>
      <c r="Q32" s="982"/>
      <c r="R32" s="178"/>
    </row>
    <row r="33" spans="1:42" s="224" customFormat="1" ht="15" customHeight="1" x14ac:dyDescent="0.25">
      <c r="A33" s="247">
        <v>45996</v>
      </c>
      <c r="B33" s="364" t="s">
        <v>1396</v>
      </c>
      <c r="C33" s="879" t="s">
        <v>12</v>
      </c>
      <c r="D33" s="350"/>
      <c r="E33" s="919" t="s">
        <v>25</v>
      </c>
      <c r="F33" s="1116"/>
      <c r="G33" s="966">
        <v>200</v>
      </c>
      <c r="H33" s="1031"/>
      <c r="I33" s="1525"/>
      <c r="J33" s="2013"/>
      <c r="K33" s="1207"/>
      <c r="L33" s="880"/>
      <c r="M33" s="1033"/>
      <c r="N33" s="622"/>
      <c r="O33" s="1063"/>
      <c r="P33" s="1116"/>
      <c r="Q33" s="1207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45996</v>
      </c>
      <c r="B34" s="364" t="s">
        <v>7219</v>
      </c>
      <c r="C34" s="879" t="s">
        <v>12</v>
      </c>
      <c r="D34" s="350" t="s">
        <v>1491</v>
      </c>
      <c r="E34" s="875" t="s">
        <v>13</v>
      </c>
      <c r="F34" s="780">
        <v>500</v>
      </c>
      <c r="G34" s="982"/>
      <c r="H34" s="622"/>
      <c r="I34" s="982"/>
      <c r="J34" s="2013"/>
      <c r="K34" s="1207"/>
      <c r="L34" s="622"/>
      <c r="M34" s="982"/>
      <c r="N34" s="622"/>
      <c r="O34" s="1063"/>
      <c r="P34" s="622"/>
      <c r="Q34" s="982"/>
      <c r="R34" s="1028"/>
      <c r="T34" s="1035"/>
    </row>
    <row r="35" spans="1:42" s="224" customFormat="1" ht="15" customHeight="1" x14ac:dyDescent="0.25">
      <c r="A35" s="247">
        <v>45996</v>
      </c>
      <c r="B35" s="882" t="s">
        <v>8514</v>
      </c>
      <c r="C35" s="879" t="s">
        <v>12</v>
      </c>
      <c r="D35" s="879" t="s">
        <v>1499</v>
      </c>
      <c r="E35" s="871" t="s">
        <v>13</v>
      </c>
      <c r="F35" s="1810">
        <v>204.17</v>
      </c>
      <c r="G35" s="967"/>
      <c r="H35" s="1008"/>
      <c r="I35" s="1063"/>
      <c r="J35" s="613"/>
      <c r="K35" s="6"/>
      <c r="L35" s="622"/>
      <c r="M35" s="982"/>
      <c r="N35" s="622"/>
      <c r="O35" s="1063"/>
      <c r="P35" s="613"/>
      <c r="Q35" s="64"/>
      <c r="R35" s="1802">
        <v>320</v>
      </c>
      <c r="S35" s="999"/>
      <c r="T35" s="878"/>
    </row>
    <row r="36" spans="1:42" x14ac:dyDescent="0.25">
      <c r="A36" s="247">
        <v>45996</v>
      </c>
      <c r="B36" s="876" t="s">
        <v>6762</v>
      </c>
      <c r="C36" s="879" t="s">
        <v>12</v>
      </c>
      <c r="D36" s="879" t="s">
        <v>1496</v>
      </c>
      <c r="E36" s="871" t="s">
        <v>13</v>
      </c>
      <c r="F36" s="780">
        <v>100</v>
      </c>
      <c r="G36" s="982"/>
      <c r="H36" s="1009"/>
      <c r="I36" s="1063"/>
      <c r="J36" s="613"/>
      <c r="K36" s="6"/>
      <c r="L36" s="622"/>
      <c r="M36" s="982"/>
      <c r="N36" s="622"/>
      <c r="O36" s="1063"/>
      <c r="P36" s="622"/>
      <c r="Q36" s="982"/>
      <c r="R36" s="1029"/>
    </row>
    <row r="37" spans="1:42" s="224" customFormat="1" ht="15" customHeight="1" x14ac:dyDescent="0.25">
      <c r="A37" s="247">
        <v>45996</v>
      </c>
      <c r="B37" s="1289" t="s">
        <v>2096</v>
      </c>
      <c r="C37" s="879" t="s">
        <v>12</v>
      </c>
      <c r="D37" s="1276" t="s">
        <v>1506</v>
      </c>
      <c r="E37" s="875" t="s">
        <v>13</v>
      </c>
      <c r="F37" s="1810">
        <v>0</v>
      </c>
      <c r="G37" s="967"/>
      <c r="H37" s="1008"/>
      <c r="I37" s="1063"/>
      <c r="J37" s="613"/>
      <c r="K37" s="6"/>
      <c r="L37" s="622"/>
      <c r="M37" s="982"/>
      <c r="N37" s="622"/>
      <c r="O37" s="1063"/>
      <c r="P37" s="613"/>
      <c r="Q37" s="64"/>
      <c r="R37" s="1829" t="s">
        <v>8583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45996</v>
      </c>
      <c r="B38" s="882" t="s">
        <v>8477</v>
      </c>
      <c r="C38" s="879" t="s">
        <v>12</v>
      </c>
      <c r="D38" s="879" t="s">
        <v>1489</v>
      </c>
      <c r="E38" s="875" t="s">
        <v>13</v>
      </c>
      <c r="F38" s="780">
        <v>150</v>
      </c>
      <c r="G38" s="982"/>
      <c r="H38" s="95"/>
      <c r="I38" s="1064"/>
      <c r="J38" s="622"/>
      <c r="K38" s="982"/>
      <c r="L38" s="622"/>
      <c r="M38" s="982"/>
      <c r="N38" s="622"/>
      <c r="O38" s="1063"/>
      <c r="P38" s="622"/>
      <c r="Q38" s="982"/>
      <c r="R38" s="861"/>
    </row>
    <row r="39" spans="1:42" s="224" customFormat="1" ht="15" customHeight="1" x14ac:dyDescent="0.25">
      <c r="A39" s="247">
        <v>45996</v>
      </c>
      <c r="B39" s="882" t="s">
        <v>8584</v>
      </c>
      <c r="C39" s="879" t="s">
        <v>12</v>
      </c>
      <c r="D39" s="879" t="s">
        <v>1489</v>
      </c>
      <c r="E39" s="875" t="s">
        <v>13</v>
      </c>
      <c r="F39" s="780">
        <v>100</v>
      </c>
      <c r="G39" s="982"/>
      <c r="H39" s="95"/>
      <c r="I39" s="1064"/>
      <c r="J39" s="622"/>
      <c r="K39" s="982"/>
      <c r="L39" s="622"/>
      <c r="M39" s="982"/>
      <c r="N39" s="622"/>
      <c r="O39" s="1063"/>
      <c r="P39" s="622"/>
      <c r="Q39" s="982"/>
      <c r="R39" s="861"/>
    </row>
    <row r="40" spans="1:42" s="224" customFormat="1" ht="15" customHeight="1" x14ac:dyDescent="0.25">
      <c r="A40" s="247">
        <v>45996</v>
      </c>
      <c r="B40" s="882" t="s">
        <v>8581</v>
      </c>
      <c r="C40" s="879" t="s">
        <v>12</v>
      </c>
      <c r="D40" s="879"/>
      <c r="E40" s="875"/>
      <c r="F40" s="780">
        <v>1000</v>
      </c>
      <c r="G40" s="982"/>
      <c r="H40" s="622"/>
      <c r="I40" s="982">
        <v>1000</v>
      </c>
      <c r="J40" s="622"/>
      <c r="K40" s="982"/>
      <c r="L40" s="622"/>
      <c r="M40" s="982"/>
      <c r="N40" s="880"/>
      <c r="O40" s="1525"/>
      <c r="P40" s="613"/>
      <c r="Q40" s="162"/>
      <c r="R40" s="861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</row>
    <row r="41" spans="1:42" s="224" customFormat="1" ht="15" customHeight="1" x14ac:dyDescent="0.25">
      <c r="A41" s="247">
        <v>45996</v>
      </c>
      <c r="B41" s="1275" t="s">
        <v>32</v>
      </c>
      <c r="C41" s="1276" t="s">
        <v>12</v>
      </c>
      <c r="D41" s="1276" t="s">
        <v>1485</v>
      </c>
      <c r="E41" s="875" t="s">
        <v>13</v>
      </c>
      <c r="F41" s="780">
        <v>23</v>
      </c>
      <c r="G41" s="982"/>
      <c r="H41" s="1008"/>
      <c r="I41" s="1063"/>
      <c r="J41" s="622"/>
      <c r="K41" s="982"/>
      <c r="L41" s="622"/>
      <c r="M41" s="982"/>
      <c r="N41" s="622"/>
      <c r="O41" s="1063"/>
      <c r="P41" s="622"/>
      <c r="Q41" s="982"/>
      <c r="R41" s="1956"/>
    </row>
    <row r="42" spans="1:42" s="224" customFormat="1" ht="15" customHeight="1" x14ac:dyDescent="0.25">
      <c r="A42" s="247">
        <v>45996</v>
      </c>
      <c r="B42" s="882" t="s">
        <v>82</v>
      </c>
      <c r="C42" s="879" t="s">
        <v>12</v>
      </c>
      <c r="D42" s="879" t="s">
        <v>1493</v>
      </c>
      <c r="E42" s="875" t="s">
        <v>13</v>
      </c>
      <c r="F42" s="780">
        <v>72.3</v>
      </c>
      <c r="G42" s="982"/>
      <c r="H42" s="1008"/>
      <c r="I42" s="1063"/>
      <c r="J42" s="622"/>
      <c r="K42" s="982"/>
      <c r="L42" s="622"/>
      <c r="M42" s="982"/>
      <c r="N42" s="622"/>
      <c r="O42" s="1063"/>
      <c r="P42" s="622"/>
      <c r="Q42" s="982"/>
      <c r="R42" s="1956"/>
    </row>
    <row r="43" spans="1:42" s="224" customFormat="1" ht="15" customHeight="1" x14ac:dyDescent="0.25">
      <c r="A43" s="247">
        <v>45996</v>
      </c>
      <c r="B43" s="882" t="s">
        <v>7122</v>
      </c>
      <c r="C43" s="879" t="s">
        <v>12</v>
      </c>
      <c r="D43" s="879" t="s">
        <v>1489</v>
      </c>
      <c r="E43" s="875" t="s">
        <v>13</v>
      </c>
      <c r="F43" s="780">
        <v>15</v>
      </c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956"/>
    </row>
    <row r="44" spans="1:42" s="224" customFormat="1" ht="15" customHeight="1" x14ac:dyDescent="0.25">
      <c r="A44" s="247">
        <v>45997</v>
      </c>
      <c r="B44" s="882" t="s">
        <v>14</v>
      </c>
      <c r="C44" s="1276" t="s">
        <v>12</v>
      </c>
      <c r="D44" s="879" t="s">
        <v>1486</v>
      </c>
      <c r="E44" s="875" t="s">
        <v>13</v>
      </c>
      <c r="F44" s="780">
        <v>6.62</v>
      </c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1956"/>
    </row>
    <row r="45" spans="1:42" s="224" customFormat="1" ht="15" customHeight="1" x14ac:dyDescent="0.25">
      <c r="A45" s="247">
        <v>45997</v>
      </c>
      <c r="B45" s="882" t="s">
        <v>80</v>
      </c>
      <c r="C45" s="879" t="s">
        <v>12</v>
      </c>
      <c r="D45" s="879" t="s">
        <v>1523</v>
      </c>
      <c r="E45" s="875" t="s">
        <v>13</v>
      </c>
      <c r="F45" s="780">
        <v>32.729999999999997</v>
      </c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956"/>
    </row>
    <row r="46" spans="1:42" s="224" customFormat="1" ht="15" customHeight="1" x14ac:dyDescent="0.25">
      <c r="A46" s="247">
        <v>45997</v>
      </c>
      <c r="B46" s="882" t="s">
        <v>8566</v>
      </c>
      <c r="C46" s="879" t="s">
        <v>12</v>
      </c>
      <c r="D46" s="879" t="s">
        <v>1489</v>
      </c>
      <c r="E46" s="875" t="s">
        <v>5470</v>
      </c>
      <c r="F46" s="780">
        <v>125.78</v>
      </c>
      <c r="G46" s="982"/>
      <c r="H46" s="95"/>
      <c r="I46" s="1064"/>
      <c r="J46" s="622"/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x14ac:dyDescent="0.25">
      <c r="A47" s="247">
        <v>45998</v>
      </c>
      <c r="B47" s="1275" t="s">
        <v>8585</v>
      </c>
      <c r="C47" s="879" t="s">
        <v>12</v>
      </c>
      <c r="D47" s="1276" t="s">
        <v>1489</v>
      </c>
      <c r="E47" s="1277" t="s">
        <v>13</v>
      </c>
      <c r="F47" s="1702">
        <v>5.4</v>
      </c>
      <c r="G47" s="982"/>
      <c r="H47" s="1008"/>
      <c r="I47" s="1063"/>
      <c r="J47" s="2013"/>
      <c r="K47" s="1207"/>
      <c r="L47" s="622"/>
      <c r="M47" s="982"/>
      <c r="N47" s="622"/>
      <c r="O47" s="1063"/>
      <c r="P47" s="622"/>
      <c r="Q47" s="982"/>
      <c r="R47" s="1028"/>
      <c r="T47" s="878"/>
    </row>
    <row r="48" spans="1:42" s="224" customFormat="1" x14ac:dyDescent="0.25">
      <c r="A48" s="247">
        <v>45999</v>
      </c>
      <c r="B48" s="1275" t="s">
        <v>8586</v>
      </c>
      <c r="C48" s="879" t="s">
        <v>12</v>
      </c>
      <c r="D48" s="1276" t="s">
        <v>1506</v>
      </c>
      <c r="E48" s="1277" t="s">
        <v>13</v>
      </c>
      <c r="F48" s="1702">
        <v>52.5</v>
      </c>
      <c r="G48" s="982"/>
      <c r="H48" s="1008"/>
      <c r="I48" s="1063"/>
      <c r="J48" s="2013"/>
      <c r="K48" s="1207"/>
      <c r="L48" s="622"/>
      <c r="M48" s="982"/>
      <c r="N48" s="622"/>
      <c r="O48" s="1063"/>
      <c r="P48" s="622"/>
      <c r="Q48" s="982"/>
      <c r="R48" s="1028" t="s">
        <v>8587</v>
      </c>
      <c r="T48" s="878"/>
    </row>
    <row r="49" spans="1:42" s="224" customFormat="1" ht="15" customHeight="1" x14ac:dyDescent="0.25">
      <c r="A49" s="247">
        <v>45999</v>
      </c>
      <c r="B49" s="882" t="s">
        <v>8588</v>
      </c>
      <c r="C49" s="879" t="s">
        <v>12</v>
      </c>
      <c r="D49" s="879" t="s">
        <v>6731</v>
      </c>
      <c r="E49" s="875" t="s">
        <v>13</v>
      </c>
      <c r="F49" s="780">
        <v>29.82</v>
      </c>
      <c r="G49" s="982"/>
      <c r="H49" s="95"/>
      <c r="I49" s="1064"/>
      <c r="J49" s="613"/>
      <c r="K49" s="982"/>
      <c r="L49" s="622"/>
      <c r="M49" s="982"/>
      <c r="N49" s="622"/>
      <c r="O49" s="1063"/>
      <c r="P49" s="622"/>
      <c r="Q49" s="982"/>
      <c r="R49" s="1028" t="s">
        <v>8589</v>
      </c>
    </row>
    <row r="50" spans="1:42" s="224" customFormat="1" ht="15" customHeight="1" x14ac:dyDescent="0.25">
      <c r="A50" s="247">
        <v>45999</v>
      </c>
      <c r="B50" s="882" t="s">
        <v>14</v>
      </c>
      <c r="C50" s="1276" t="s">
        <v>12</v>
      </c>
      <c r="D50" s="879" t="s">
        <v>1486</v>
      </c>
      <c r="E50" s="875" t="s">
        <v>13</v>
      </c>
      <c r="F50" s="780">
        <v>8.51</v>
      </c>
      <c r="G50" s="982"/>
      <c r="H50" s="95"/>
      <c r="I50" s="1064"/>
      <c r="J50" s="613"/>
      <c r="K50" s="982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46000</v>
      </c>
      <c r="B51" s="882" t="s">
        <v>7706</v>
      </c>
      <c r="C51" s="879" t="s">
        <v>12</v>
      </c>
      <c r="D51" s="879"/>
      <c r="E51" s="875" t="s">
        <v>13</v>
      </c>
      <c r="F51" s="780">
        <v>344.54</v>
      </c>
      <c r="G51" s="982"/>
      <c r="H51" s="95"/>
      <c r="I51" s="1064"/>
      <c r="J51" s="622"/>
      <c r="K51" s="982">
        <v>344.54</v>
      </c>
      <c r="L51" s="622"/>
      <c r="M51" s="982"/>
      <c r="N51" s="622"/>
      <c r="O51" s="982"/>
      <c r="P51" s="622"/>
      <c r="Q51" s="982"/>
      <c r="R51" s="1210"/>
      <c r="S51" s="1038"/>
      <c r="T51" s="861"/>
    </row>
    <row r="52" spans="1:42" s="224" customFormat="1" ht="15" customHeight="1" x14ac:dyDescent="0.25">
      <c r="A52" s="247">
        <v>46000</v>
      </c>
      <c r="B52" s="1275" t="s">
        <v>32</v>
      </c>
      <c r="C52" s="1276" t="s">
        <v>12</v>
      </c>
      <c r="D52" s="1276" t="s">
        <v>1485</v>
      </c>
      <c r="E52" s="875" t="s">
        <v>13</v>
      </c>
      <c r="F52" s="780">
        <v>23</v>
      </c>
      <c r="G52" s="982"/>
      <c r="H52" s="1008"/>
      <c r="I52" s="1063"/>
      <c r="J52" s="622"/>
      <c r="K52" s="982"/>
      <c r="L52" s="622"/>
      <c r="M52" s="982"/>
      <c r="N52" s="622"/>
      <c r="O52" s="1063"/>
      <c r="P52" s="622"/>
      <c r="Q52" s="982"/>
      <c r="R52" s="1956"/>
    </row>
    <row r="53" spans="1:42" s="224" customFormat="1" ht="15" customHeight="1" x14ac:dyDescent="0.25">
      <c r="A53" s="247">
        <v>46000</v>
      </c>
      <c r="B53" s="882" t="s">
        <v>6329</v>
      </c>
      <c r="C53" s="879" t="s">
        <v>12</v>
      </c>
      <c r="D53" s="879"/>
      <c r="E53" s="875" t="s">
        <v>25</v>
      </c>
      <c r="F53" s="780"/>
      <c r="G53" s="982">
        <v>125</v>
      </c>
      <c r="H53" s="1008"/>
      <c r="I53" s="1063"/>
      <c r="J53" s="613"/>
      <c r="K53" s="982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46000</v>
      </c>
      <c r="B54" s="1275" t="s">
        <v>8603</v>
      </c>
      <c r="C54" s="1276" t="s">
        <v>12</v>
      </c>
      <c r="D54" s="1276"/>
      <c r="E54" s="1286" t="s">
        <v>13</v>
      </c>
      <c r="F54" s="613">
        <v>121.58</v>
      </c>
      <c r="G54" s="967"/>
      <c r="H54" s="1008"/>
      <c r="I54" s="1063"/>
      <c r="J54" s="613"/>
      <c r="K54" s="6"/>
      <c r="L54" s="622"/>
      <c r="M54" s="982"/>
      <c r="N54" s="622"/>
      <c r="O54" s="1063"/>
      <c r="P54" s="613"/>
      <c r="Q54" s="162"/>
      <c r="R54" s="102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 spans="1:42" s="224" customFormat="1" ht="15" customHeight="1" x14ac:dyDescent="0.25">
      <c r="A55" s="247">
        <v>46000</v>
      </c>
      <c r="B55" s="1275" t="s">
        <v>6755</v>
      </c>
      <c r="C55" s="1276" t="s">
        <v>12</v>
      </c>
      <c r="D55" s="1276"/>
      <c r="E55" s="1286"/>
      <c r="F55" s="613"/>
      <c r="G55" s="967">
        <v>121.58</v>
      </c>
      <c r="H55" s="1008"/>
      <c r="I55" s="1063"/>
      <c r="J55" s="613"/>
      <c r="K55" s="6"/>
      <c r="L55" s="622"/>
      <c r="M55" s="982"/>
      <c r="N55" s="622"/>
      <c r="O55" s="1063"/>
      <c r="P55" s="613"/>
      <c r="Q55" s="162"/>
      <c r="R55" s="1024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 spans="1:42" s="224" customFormat="1" ht="14.25" customHeight="1" x14ac:dyDescent="0.25">
      <c r="A56" s="247">
        <v>46000</v>
      </c>
      <c r="B56" s="882" t="s">
        <v>14</v>
      </c>
      <c r="C56" s="1276" t="s">
        <v>12</v>
      </c>
      <c r="D56" s="879" t="s">
        <v>1486</v>
      </c>
      <c r="E56" s="875" t="s">
        <v>13</v>
      </c>
      <c r="F56" s="1810">
        <v>5.1100000000000003</v>
      </c>
      <c r="G56" s="982"/>
      <c r="H56" s="1031"/>
      <c r="I56" s="1525"/>
      <c r="J56" s="622"/>
      <c r="K56" s="982"/>
      <c r="L56" s="880"/>
      <c r="M56" s="1033"/>
      <c r="N56" s="880"/>
      <c r="O56" s="1525"/>
      <c r="P56" s="613"/>
      <c r="Q56" s="162"/>
      <c r="R56" s="1209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 spans="1:42" s="224" customFormat="1" ht="15" customHeight="1" x14ac:dyDescent="0.25">
      <c r="A57" s="247">
        <v>46001</v>
      </c>
      <c r="B57" s="1275" t="s">
        <v>32</v>
      </c>
      <c r="C57" s="1276" t="s">
        <v>12</v>
      </c>
      <c r="D57" s="1276" t="s">
        <v>1485</v>
      </c>
      <c r="E57" s="875" t="s">
        <v>13</v>
      </c>
      <c r="F57" s="780">
        <v>23</v>
      </c>
      <c r="G57" s="982"/>
      <c r="H57" s="1008"/>
      <c r="I57" s="1063"/>
      <c r="J57" s="622"/>
      <c r="K57" s="982"/>
      <c r="L57" s="622"/>
      <c r="M57" s="982"/>
      <c r="N57" s="622"/>
      <c r="O57" s="1063"/>
      <c r="P57" s="622"/>
      <c r="Q57" s="982"/>
      <c r="R57" s="1956"/>
    </row>
    <row r="58" spans="1:42" s="224" customFormat="1" ht="15" customHeight="1" x14ac:dyDescent="0.25">
      <c r="A58" s="247">
        <v>46001</v>
      </c>
      <c r="B58" s="882" t="s">
        <v>147</v>
      </c>
      <c r="C58" s="879" t="s">
        <v>12</v>
      </c>
      <c r="D58" s="879" t="s">
        <v>1506</v>
      </c>
      <c r="E58" s="875" t="s">
        <v>13</v>
      </c>
      <c r="F58" s="780">
        <v>35</v>
      </c>
      <c r="G58" s="982"/>
      <c r="H58" s="1008"/>
      <c r="I58" s="1063"/>
      <c r="J58" s="613"/>
      <c r="K58" s="982"/>
      <c r="L58" s="622"/>
      <c r="M58" s="982"/>
      <c r="N58" s="622"/>
      <c r="O58" s="1063"/>
      <c r="P58" s="622"/>
      <c r="Q58" s="982"/>
      <c r="R58" s="861"/>
    </row>
    <row r="59" spans="1:42" s="224" customFormat="1" x14ac:dyDescent="0.25">
      <c r="A59" s="247">
        <v>46002</v>
      </c>
      <c r="B59" s="1275" t="s">
        <v>134</v>
      </c>
      <c r="C59" s="879" t="s">
        <v>12</v>
      </c>
      <c r="D59" s="1276" t="s">
        <v>1493</v>
      </c>
      <c r="E59" s="1286" t="s">
        <v>5470</v>
      </c>
      <c r="F59" s="780">
        <v>50.39</v>
      </c>
      <c r="G59" s="982"/>
      <c r="H59" s="1008"/>
      <c r="I59" s="1063"/>
      <c r="J59" s="622"/>
      <c r="K59" s="982"/>
      <c r="L59" s="622"/>
      <c r="M59" s="982"/>
      <c r="N59" s="622"/>
      <c r="O59" s="1063"/>
      <c r="P59" s="622"/>
      <c r="Q59" s="982"/>
      <c r="R59" s="1028"/>
      <c r="T59" s="878"/>
    </row>
    <row r="60" spans="1:42" s="224" customFormat="1" x14ac:dyDescent="0.25">
      <c r="A60" s="247">
        <v>46002</v>
      </c>
      <c r="B60" s="1275" t="s">
        <v>8617</v>
      </c>
      <c r="C60" s="879" t="s">
        <v>12</v>
      </c>
      <c r="D60" s="1276" t="s">
        <v>1493</v>
      </c>
      <c r="E60" s="1286" t="s">
        <v>13</v>
      </c>
      <c r="F60" s="780">
        <v>12.38</v>
      </c>
      <c r="G60" s="982"/>
      <c r="H60" s="1008"/>
      <c r="I60" s="1063"/>
      <c r="J60" s="622"/>
      <c r="K60" s="982"/>
      <c r="L60" s="622"/>
      <c r="M60" s="982"/>
      <c r="N60" s="622"/>
      <c r="O60" s="1063"/>
      <c r="P60" s="622"/>
      <c r="Q60" s="982"/>
      <c r="R60" s="1028"/>
      <c r="T60" s="878"/>
    </row>
    <row r="61" spans="1:42" s="224" customFormat="1" ht="15" customHeight="1" x14ac:dyDescent="0.25">
      <c r="A61" s="247">
        <v>46003</v>
      </c>
      <c r="B61" s="882" t="s">
        <v>8567</v>
      </c>
      <c r="C61" s="350" t="s">
        <v>12</v>
      </c>
      <c r="D61" s="350"/>
      <c r="E61" s="480" t="s">
        <v>25</v>
      </c>
      <c r="F61" s="622"/>
      <c r="G61" s="982">
        <v>7539.86</v>
      </c>
      <c r="H61" s="1008"/>
      <c r="I61" s="1063"/>
      <c r="J61" s="622"/>
      <c r="K61" s="982"/>
      <c r="L61" s="622"/>
      <c r="M61" s="982"/>
      <c r="N61" s="622"/>
      <c r="O61" s="1063"/>
      <c r="P61" s="622"/>
      <c r="Q61" s="982"/>
      <c r="R61" s="1028">
        <v>7539.86</v>
      </c>
    </row>
    <row r="62" spans="1:42" s="224" customFormat="1" ht="15" customHeight="1" x14ac:dyDescent="0.25">
      <c r="A62" s="247">
        <v>46003</v>
      </c>
      <c r="B62" s="349" t="s">
        <v>8428</v>
      </c>
      <c r="C62" s="879" t="s">
        <v>12</v>
      </c>
      <c r="D62" s="350" t="s">
        <v>1524</v>
      </c>
      <c r="E62" s="887" t="s">
        <v>13</v>
      </c>
      <c r="F62" s="613">
        <v>118.136</v>
      </c>
      <c r="G62" s="982"/>
      <c r="H62" s="872"/>
      <c r="I62" s="1063"/>
      <c r="J62" s="622"/>
      <c r="K62" s="982"/>
      <c r="L62" s="622"/>
      <c r="M62" s="982"/>
      <c r="N62" s="622"/>
      <c r="O62" s="1063"/>
      <c r="P62" s="622"/>
      <c r="Q62" s="982"/>
      <c r="R62" s="927" t="s">
        <v>3044</v>
      </c>
      <c r="S62" s="999"/>
      <c r="T62" s="878"/>
    </row>
    <row r="63" spans="1:42" s="224" customFormat="1" ht="15" customHeight="1" x14ac:dyDescent="0.25">
      <c r="A63" s="247">
        <v>46003</v>
      </c>
      <c r="B63" s="349" t="s">
        <v>8429</v>
      </c>
      <c r="C63" s="879" t="s">
        <v>12</v>
      </c>
      <c r="D63" s="350" t="s">
        <v>1524</v>
      </c>
      <c r="E63" s="887" t="s">
        <v>13</v>
      </c>
      <c r="F63" s="613">
        <v>50.857142857142854</v>
      </c>
      <c r="G63" s="982"/>
      <c r="H63" s="872"/>
      <c r="I63" s="1063"/>
      <c r="J63" s="622"/>
      <c r="K63" s="982"/>
      <c r="L63" s="622"/>
      <c r="M63" s="982"/>
      <c r="N63" s="622"/>
      <c r="O63" s="1063"/>
      <c r="P63" s="622"/>
      <c r="Q63" s="982"/>
      <c r="R63" s="927" t="s">
        <v>3044</v>
      </c>
      <c r="S63" s="999"/>
      <c r="T63" s="878"/>
    </row>
    <row r="64" spans="1:42" s="224" customFormat="1" ht="15" customHeight="1" x14ac:dyDescent="0.25">
      <c r="A64" s="247">
        <v>46003</v>
      </c>
      <c r="B64" s="349" t="s">
        <v>8430</v>
      </c>
      <c r="C64" s="879" t="s">
        <v>12</v>
      </c>
      <c r="D64" s="350" t="s">
        <v>1524</v>
      </c>
      <c r="E64" s="887" t="s">
        <v>13</v>
      </c>
      <c r="F64" s="613">
        <v>430</v>
      </c>
      <c r="G64" s="982"/>
      <c r="H64" s="872"/>
      <c r="I64" s="1063"/>
      <c r="J64" s="622"/>
      <c r="K64" s="982"/>
      <c r="L64" s="622"/>
      <c r="M64" s="982"/>
      <c r="N64" s="622"/>
      <c r="O64" s="1063"/>
      <c r="P64" s="622"/>
      <c r="Q64" s="982"/>
      <c r="R64" s="927" t="s">
        <v>3044</v>
      </c>
      <c r="S64" s="999"/>
      <c r="T64" s="878"/>
    </row>
    <row r="65" spans="1:20" s="224" customFormat="1" ht="15" customHeight="1" x14ac:dyDescent="0.25">
      <c r="A65" s="247">
        <v>46003</v>
      </c>
      <c r="B65" s="349" t="s">
        <v>8431</v>
      </c>
      <c r="C65" s="879" t="s">
        <v>12</v>
      </c>
      <c r="D65" s="350" t="s">
        <v>1524</v>
      </c>
      <c r="E65" s="887" t="s">
        <v>13</v>
      </c>
      <c r="F65" s="613">
        <v>53.591428571428573</v>
      </c>
      <c r="G65" s="982"/>
      <c r="H65" s="872"/>
      <c r="I65" s="1063"/>
      <c r="J65" s="622"/>
      <c r="K65" s="982"/>
      <c r="L65" s="622"/>
      <c r="M65" s="982"/>
      <c r="N65" s="622"/>
      <c r="O65" s="1063"/>
      <c r="P65" s="622"/>
      <c r="Q65" s="982"/>
      <c r="R65" s="927" t="s">
        <v>3044</v>
      </c>
      <c r="S65" s="999"/>
      <c r="T65" s="878"/>
    </row>
    <row r="66" spans="1:20" s="224" customFormat="1" ht="15" customHeight="1" x14ac:dyDescent="0.25">
      <c r="A66" s="247">
        <v>46003</v>
      </c>
      <c r="B66" s="349" t="s">
        <v>8433</v>
      </c>
      <c r="C66" s="879" t="s">
        <v>12</v>
      </c>
      <c r="D66" s="350" t="s">
        <v>1524</v>
      </c>
      <c r="E66" s="887" t="s">
        <v>13</v>
      </c>
      <c r="F66" s="613">
        <v>149.10666666666665</v>
      </c>
      <c r="G66" s="982"/>
      <c r="H66" s="872"/>
      <c r="I66" s="1063"/>
      <c r="J66" s="622"/>
      <c r="K66" s="982"/>
      <c r="L66" s="622"/>
      <c r="M66" s="982"/>
      <c r="N66" s="622"/>
      <c r="O66" s="1063"/>
      <c r="P66" s="622"/>
      <c r="Q66" s="982"/>
      <c r="R66" s="927" t="s">
        <v>3044</v>
      </c>
      <c r="S66" s="999"/>
      <c r="T66" s="878"/>
    </row>
    <row r="67" spans="1:20" s="224" customFormat="1" ht="15" customHeight="1" x14ac:dyDescent="0.25">
      <c r="A67" s="247">
        <v>46003</v>
      </c>
      <c r="B67" s="349" t="s">
        <v>8606</v>
      </c>
      <c r="C67" s="879" t="s">
        <v>12</v>
      </c>
      <c r="D67" s="350" t="s">
        <v>1524</v>
      </c>
      <c r="E67" s="887" t="s">
        <v>13</v>
      </c>
      <c r="F67" s="613">
        <v>99.666666666666671</v>
      </c>
      <c r="G67" s="982"/>
      <c r="H67" s="872"/>
      <c r="I67" s="1063"/>
      <c r="J67" s="622"/>
      <c r="K67" s="982"/>
      <c r="L67" s="622"/>
      <c r="M67" s="982"/>
      <c r="N67" s="622"/>
      <c r="O67" s="1063"/>
      <c r="P67" s="622"/>
      <c r="Q67" s="982"/>
      <c r="R67" s="927" t="s">
        <v>3044</v>
      </c>
      <c r="S67" s="999"/>
      <c r="T67" s="878"/>
    </row>
    <row r="68" spans="1:20" s="224" customFormat="1" ht="15" customHeight="1" x14ac:dyDescent="0.25">
      <c r="A68" s="247">
        <v>46003</v>
      </c>
      <c r="B68" s="349" t="s">
        <v>8618</v>
      </c>
      <c r="C68" s="879" t="s">
        <v>12</v>
      </c>
      <c r="D68" s="350" t="s">
        <v>1524</v>
      </c>
      <c r="E68" s="887" t="s">
        <v>13</v>
      </c>
      <c r="F68" s="613">
        <v>106.35</v>
      </c>
      <c r="G68" s="982"/>
      <c r="H68" s="872"/>
      <c r="I68" s="1063"/>
      <c r="J68" s="622"/>
      <c r="K68" s="982"/>
      <c r="L68" s="622"/>
      <c r="M68" s="982"/>
      <c r="N68" s="622"/>
      <c r="O68" s="1063"/>
      <c r="P68" s="622"/>
      <c r="Q68" s="982"/>
      <c r="R68" s="927" t="s">
        <v>3044</v>
      </c>
      <c r="S68" s="999"/>
      <c r="T68" s="878"/>
    </row>
    <row r="69" spans="1:20" s="224" customFormat="1" ht="15" customHeight="1" x14ac:dyDescent="0.25">
      <c r="A69" s="247">
        <v>46003</v>
      </c>
      <c r="B69" s="349" t="s">
        <v>6130</v>
      </c>
      <c r="C69" s="879" t="s">
        <v>12</v>
      </c>
      <c r="D69" s="350" t="s">
        <v>1491</v>
      </c>
      <c r="E69" s="887" t="s">
        <v>13</v>
      </c>
      <c r="F69" s="613">
        <v>33.979999999999997</v>
      </c>
      <c r="G69" s="982"/>
      <c r="H69" s="872"/>
      <c r="I69" s="1063"/>
      <c r="J69" s="622"/>
      <c r="K69" s="982"/>
      <c r="L69" s="622"/>
      <c r="M69" s="982"/>
      <c r="N69" s="622"/>
      <c r="O69" s="1063"/>
      <c r="P69" s="622"/>
      <c r="Q69" s="982"/>
      <c r="R69" s="927" t="s">
        <v>3044</v>
      </c>
      <c r="S69" s="999"/>
      <c r="T69" s="878"/>
    </row>
    <row r="70" spans="1:20" s="224" customFormat="1" ht="15" customHeight="1" x14ac:dyDescent="0.25">
      <c r="A70" s="247">
        <v>46003</v>
      </c>
      <c r="B70" s="349" t="s">
        <v>7799</v>
      </c>
      <c r="C70" s="879" t="s">
        <v>12</v>
      </c>
      <c r="D70" s="350" t="s">
        <v>1504</v>
      </c>
      <c r="E70" s="887" t="s">
        <v>13</v>
      </c>
      <c r="F70" s="613">
        <v>43</v>
      </c>
      <c r="G70" s="982"/>
      <c r="H70" s="872"/>
      <c r="I70" s="1063"/>
      <c r="J70" s="622"/>
      <c r="K70" s="982"/>
      <c r="L70" s="622"/>
      <c r="M70" s="982"/>
      <c r="N70" s="622"/>
      <c r="O70" s="1063"/>
      <c r="P70" s="622"/>
      <c r="Q70" s="982"/>
      <c r="R70" s="927" t="s">
        <v>3044</v>
      </c>
      <c r="S70" s="999"/>
      <c r="T70" s="878"/>
    </row>
    <row r="71" spans="1:20" s="224" customFormat="1" ht="15" customHeight="1" x14ac:dyDescent="0.25">
      <c r="A71" s="247">
        <v>46003</v>
      </c>
      <c r="B71" s="349" t="s">
        <v>7885</v>
      </c>
      <c r="C71" s="879" t="s">
        <v>12</v>
      </c>
      <c r="D71" s="350" t="s">
        <v>1504</v>
      </c>
      <c r="E71" s="887" t="s">
        <v>13</v>
      </c>
      <c r="F71" s="613">
        <v>20.9</v>
      </c>
      <c r="G71" s="982"/>
      <c r="H71" s="872"/>
      <c r="I71" s="1063"/>
      <c r="J71" s="622"/>
      <c r="K71" s="982"/>
      <c r="L71" s="622"/>
      <c r="M71" s="982"/>
      <c r="N71" s="622"/>
      <c r="O71" s="1063"/>
      <c r="P71" s="622"/>
      <c r="Q71" s="982"/>
      <c r="R71" s="927" t="s">
        <v>3044</v>
      </c>
      <c r="S71" s="999"/>
      <c r="T71" s="878"/>
    </row>
    <row r="72" spans="1:20" s="224" customFormat="1" ht="15" customHeight="1" x14ac:dyDescent="0.25">
      <c r="A72" s="247">
        <v>46003</v>
      </c>
      <c r="B72" s="349" t="s">
        <v>7892</v>
      </c>
      <c r="C72" s="879" t="s">
        <v>12</v>
      </c>
      <c r="D72" s="350" t="s">
        <v>1504</v>
      </c>
      <c r="E72" s="887" t="s">
        <v>13</v>
      </c>
      <c r="F72" s="613">
        <v>9.99</v>
      </c>
      <c r="G72" s="982"/>
      <c r="H72" s="872"/>
      <c r="I72" s="1063"/>
      <c r="J72" s="622"/>
      <c r="K72" s="982"/>
      <c r="L72" s="622"/>
      <c r="M72" s="982"/>
      <c r="N72" s="622"/>
      <c r="O72" s="1063"/>
      <c r="P72" s="622"/>
      <c r="Q72" s="982"/>
      <c r="R72" s="927" t="s">
        <v>3044</v>
      </c>
      <c r="S72" s="999"/>
      <c r="T72" s="878"/>
    </row>
    <row r="73" spans="1:20" s="224" customFormat="1" ht="15" customHeight="1" x14ac:dyDescent="0.25">
      <c r="A73" s="247">
        <v>46003</v>
      </c>
      <c r="B73" s="349" t="s">
        <v>8330</v>
      </c>
      <c r="C73" s="879" t="s">
        <v>12</v>
      </c>
      <c r="D73" s="350" t="s">
        <v>1504</v>
      </c>
      <c r="E73" s="887" t="s">
        <v>13</v>
      </c>
      <c r="F73" s="613">
        <v>9.9</v>
      </c>
      <c r="G73" s="982"/>
      <c r="H73" s="872"/>
      <c r="I73" s="1063"/>
      <c r="J73" s="622"/>
      <c r="K73" s="982"/>
      <c r="L73" s="622"/>
      <c r="M73" s="982"/>
      <c r="N73" s="622"/>
      <c r="O73" s="1063"/>
      <c r="P73" s="622"/>
      <c r="Q73" s="982"/>
      <c r="R73" s="927" t="s">
        <v>3044</v>
      </c>
      <c r="S73" s="999"/>
      <c r="T73" s="878"/>
    </row>
    <row r="74" spans="1:20" s="224" customFormat="1" ht="15" customHeight="1" x14ac:dyDescent="0.25">
      <c r="A74" s="247">
        <v>46003</v>
      </c>
      <c r="B74" s="349" t="s">
        <v>8432</v>
      </c>
      <c r="C74" s="879" t="s">
        <v>12</v>
      </c>
      <c r="D74" s="350" t="s">
        <v>1504</v>
      </c>
      <c r="E74" s="887" t="s">
        <v>13</v>
      </c>
      <c r="F74" s="613">
        <v>34.22</v>
      </c>
      <c r="G74" s="982"/>
      <c r="H74" s="872"/>
      <c r="I74" s="1063"/>
      <c r="J74" s="622"/>
      <c r="K74" s="982"/>
      <c r="L74" s="622"/>
      <c r="M74" s="982"/>
      <c r="N74" s="622"/>
      <c r="O74" s="1063"/>
      <c r="P74" s="622"/>
      <c r="Q74" s="982"/>
      <c r="R74" s="927" t="s">
        <v>3044</v>
      </c>
      <c r="S74" s="999"/>
      <c r="T74" s="878"/>
    </row>
    <row r="75" spans="1:20" s="224" customFormat="1" ht="15" customHeight="1" x14ac:dyDescent="0.25">
      <c r="A75" s="247">
        <v>46003</v>
      </c>
      <c r="B75" s="349" t="s">
        <v>8435</v>
      </c>
      <c r="C75" s="879" t="s">
        <v>12</v>
      </c>
      <c r="D75" s="350" t="s">
        <v>1525</v>
      </c>
      <c r="E75" s="887" t="s">
        <v>13</v>
      </c>
      <c r="F75" s="613">
        <v>53.39875</v>
      </c>
      <c r="G75" s="982"/>
      <c r="H75" s="872"/>
      <c r="I75" s="1063"/>
      <c r="J75" s="622"/>
      <c r="K75" s="982"/>
      <c r="L75" s="622"/>
      <c r="M75" s="982"/>
      <c r="N75" s="622"/>
      <c r="O75" s="1063"/>
      <c r="P75" s="622"/>
      <c r="Q75" s="982"/>
      <c r="R75" s="927" t="s">
        <v>3044</v>
      </c>
      <c r="S75" s="999"/>
      <c r="T75" s="878"/>
    </row>
    <row r="76" spans="1:20" s="224" customFormat="1" ht="15" customHeight="1" x14ac:dyDescent="0.25">
      <c r="A76" s="247">
        <v>46003</v>
      </c>
      <c r="B76" s="349" t="s">
        <v>8531</v>
      </c>
      <c r="C76" s="879" t="s">
        <v>12</v>
      </c>
      <c r="D76" s="350" t="s">
        <v>1506</v>
      </c>
      <c r="E76" s="887" t="s">
        <v>13</v>
      </c>
      <c r="F76" s="613">
        <v>70</v>
      </c>
      <c r="G76" s="982"/>
      <c r="H76" s="872"/>
      <c r="I76" s="1063"/>
      <c r="J76" s="622"/>
      <c r="K76" s="982"/>
      <c r="L76" s="622"/>
      <c r="M76" s="982"/>
      <c r="N76" s="622"/>
      <c r="O76" s="1063"/>
      <c r="P76" s="622"/>
      <c r="Q76" s="982"/>
      <c r="R76" s="927" t="s">
        <v>3044</v>
      </c>
      <c r="S76" s="999"/>
      <c r="T76" s="878"/>
    </row>
    <row r="77" spans="1:20" s="224" customFormat="1" ht="15" customHeight="1" x14ac:dyDescent="0.25">
      <c r="A77" s="247">
        <v>46003</v>
      </c>
      <c r="B77" s="349" t="s">
        <v>8437</v>
      </c>
      <c r="C77" s="879" t="s">
        <v>12</v>
      </c>
      <c r="D77" s="350" t="s">
        <v>1525</v>
      </c>
      <c r="E77" s="887" t="s">
        <v>13</v>
      </c>
      <c r="F77" s="613">
        <v>75.444000000000003</v>
      </c>
      <c r="G77" s="982"/>
      <c r="H77" s="872"/>
      <c r="I77" s="1063"/>
      <c r="J77" s="622"/>
      <c r="K77" s="982"/>
      <c r="L77" s="622"/>
      <c r="M77" s="982"/>
      <c r="N77" s="622"/>
      <c r="O77" s="1063"/>
      <c r="P77" s="622"/>
      <c r="Q77" s="982"/>
      <c r="R77" s="1080" t="s">
        <v>8424</v>
      </c>
      <c r="S77" s="999"/>
      <c r="T77" s="878"/>
    </row>
    <row r="78" spans="1:20" s="224" customFormat="1" ht="15" customHeight="1" x14ac:dyDescent="0.25">
      <c r="A78" s="247">
        <v>46003</v>
      </c>
      <c r="B78" s="349" t="s">
        <v>8438</v>
      </c>
      <c r="C78" s="879" t="s">
        <v>12</v>
      </c>
      <c r="D78" s="350" t="s">
        <v>1525</v>
      </c>
      <c r="E78" s="887" t="s">
        <v>13</v>
      </c>
      <c r="F78" s="613">
        <v>53.652000000000001</v>
      </c>
      <c r="G78" s="982"/>
      <c r="H78" s="872"/>
      <c r="I78" s="1063"/>
      <c r="J78" s="622"/>
      <c r="K78" s="982"/>
      <c r="L78" s="622"/>
      <c r="M78" s="982"/>
      <c r="N78" s="622"/>
      <c r="O78" s="1063"/>
      <c r="P78" s="622"/>
      <c r="Q78" s="982"/>
      <c r="R78" s="1080" t="s">
        <v>8424</v>
      </c>
      <c r="S78" s="999"/>
      <c r="T78" s="878"/>
    </row>
    <row r="79" spans="1:20" s="224" customFormat="1" ht="15" customHeight="1" x14ac:dyDescent="0.25">
      <c r="A79" s="247">
        <v>46003</v>
      </c>
      <c r="B79" s="349" t="s">
        <v>8439</v>
      </c>
      <c r="C79" s="879" t="s">
        <v>12</v>
      </c>
      <c r="D79" s="350" t="s">
        <v>1525</v>
      </c>
      <c r="E79" s="887" t="s">
        <v>13</v>
      </c>
      <c r="F79" s="613">
        <v>375.96999999999997</v>
      </c>
      <c r="G79" s="982"/>
      <c r="H79" s="872"/>
      <c r="I79" s="1063"/>
      <c r="J79" s="622"/>
      <c r="K79" s="982"/>
      <c r="L79" s="622"/>
      <c r="M79" s="982"/>
      <c r="N79" s="622"/>
      <c r="O79" s="1063"/>
      <c r="P79" s="622"/>
      <c r="Q79" s="982"/>
      <c r="R79" s="927" t="s">
        <v>3044</v>
      </c>
      <c r="S79" s="999"/>
      <c r="T79" s="878"/>
    </row>
    <row r="80" spans="1:20" s="224" customFormat="1" ht="15" customHeight="1" x14ac:dyDescent="0.25">
      <c r="A80" s="247">
        <v>46003</v>
      </c>
      <c r="B80" s="349" t="s">
        <v>8460</v>
      </c>
      <c r="C80" s="879" t="s">
        <v>12</v>
      </c>
      <c r="D80" s="350" t="s">
        <v>1525</v>
      </c>
      <c r="E80" s="887" t="s">
        <v>13</v>
      </c>
      <c r="F80" s="613">
        <v>61.237499999999997</v>
      </c>
      <c r="G80" s="982"/>
      <c r="H80" s="872"/>
      <c r="I80" s="1063"/>
      <c r="J80" s="622"/>
      <c r="K80" s="982"/>
      <c r="L80" s="622"/>
      <c r="M80" s="982"/>
      <c r="N80" s="622"/>
      <c r="O80" s="1063"/>
      <c r="P80" s="622"/>
      <c r="Q80" s="982"/>
      <c r="R80" s="927" t="s">
        <v>3044</v>
      </c>
      <c r="S80" s="999"/>
      <c r="T80" s="878"/>
    </row>
    <row r="81" spans="1:42" s="224" customFormat="1" ht="15" customHeight="1" x14ac:dyDescent="0.25">
      <c r="A81" s="247">
        <v>46003</v>
      </c>
      <c r="B81" s="349" t="s">
        <v>8479</v>
      </c>
      <c r="C81" s="879" t="s">
        <v>12</v>
      </c>
      <c r="D81" s="350" t="s">
        <v>1523</v>
      </c>
      <c r="E81" s="887" t="s">
        <v>13</v>
      </c>
      <c r="F81" s="613">
        <v>339.06</v>
      </c>
      <c r="G81" s="982"/>
      <c r="H81" s="872"/>
      <c r="I81" s="1063"/>
      <c r="J81" s="622"/>
      <c r="K81" s="982"/>
      <c r="L81" s="622"/>
      <c r="M81" s="982"/>
      <c r="N81" s="622"/>
      <c r="O81" s="1063"/>
      <c r="P81" s="622"/>
      <c r="Q81" s="982"/>
      <c r="R81" s="927" t="s">
        <v>3044</v>
      </c>
      <c r="S81" s="999"/>
      <c r="T81" s="878"/>
    </row>
    <row r="82" spans="1:42" s="224" customFormat="1" ht="15" customHeight="1" x14ac:dyDescent="0.25">
      <c r="A82" s="247">
        <v>46003</v>
      </c>
      <c r="B82" s="349" t="s">
        <v>8519</v>
      </c>
      <c r="C82" s="879" t="s">
        <v>12</v>
      </c>
      <c r="D82" s="350" t="s">
        <v>1523</v>
      </c>
      <c r="E82" s="887" t="s">
        <v>13</v>
      </c>
      <c r="F82" s="613">
        <v>90.539999999999992</v>
      </c>
      <c r="G82" s="982"/>
      <c r="H82" s="872"/>
      <c r="I82" s="1063"/>
      <c r="J82" s="622"/>
      <c r="K82" s="982"/>
      <c r="L82" s="622"/>
      <c r="M82" s="982"/>
      <c r="N82" s="622"/>
      <c r="O82" s="1063"/>
      <c r="P82" s="622"/>
      <c r="Q82" s="982"/>
      <c r="R82" s="927" t="s">
        <v>3044</v>
      </c>
      <c r="S82" s="999"/>
      <c r="T82" s="878"/>
    </row>
    <row r="83" spans="1:42" s="224" customFormat="1" ht="15" customHeight="1" x14ac:dyDescent="0.25">
      <c r="A83" s="247">
        <v>46003</v>
      </c>
      <c r="B83" s="349" t="s">
        <v>8506</v>
      </c>
      <c r="C83" s="879" t="s">
        <v>12</v>
      </c>
      <c r="D83" s="350" t="s">
        <v>6731</v>
      </c>
      <c r="E83" s="887" t="s">
        <v>13</v>
      </c>
      <c r="F83" s="613">
        <v>66.88</v>
      </c>
      <c r="G83" s="982"/>
      <c r="H83" s="872"/>
      <c r="I83" s="1063"/>
      <c r="J83" s="622"/>
      <c r="K83" s="982"/>
      <c r="L83" s="622"/>
      <c r="M83" s="982"/>
      <c r="N83" s="622"/>
      <c r="O83" s="1063"/>
      <c r="P83" s="622"/>
      <c r="Q83" s="982"/>
      <c r="R83" s="927" t="s">
        <v>3044</v>
      </c>
      <c r="S83" s="999"/>
      <c r="T83" s="878"/>
    </row>
    <row r="84" spans="1:42" s="224" customFormat="1" ht="15" customHeight="1" x14ac:dyDescent="0.25">
      <c r="A84" s="247">
        <v>46003</v>
      </c>
      <c r="B84" s="349" t="s">
        <v>8533</v>
      </c>
      <c r="C84" s="879" t="s">
        <v>12</v>
      </c>
      <c r="D84" s="350" t="s">
        <v>1506</v>
      </c>
      <c r="E84" s="887" t="s">
        <v>13</v>
      </c>
      <c r="F84" s="613">
        <v>52.91</v>
      </c>
      <c r="G84" s="982"/>
      <c r="H84" s="872"/>
      <c r="I84" s="1063"/>
      <c r="J84" s="622"/>
      <c r="K84" s="982"/>
      <c r="L84" s="622"/>
      <c r="M84" s="982"/>
      <c r="N84" s="622"/>
      <c r="O84" s="1063"/>
      <c r="P84" s="622"/>
      <c r="Q84" s="982"/>
      <c r="R84" s="927" t="s">
        <v>3044</v>
      </c>
      <c r="S84" s="999"/>
      <c r="T84" s="878"/>
    </row>
    <row r="85" spans="1:42" s="224" customFormat="1" ht="15" customHeight="1" x14ac:dyDescent="0.25">
      <c r="A85" s="247">
        <v>46003</v>
      </c>
      <c r="B85" s="349" t="s">
        <v>8563</v>
      </c>
      <c r="C85" s="879" t="s">
        <v>12</v>
      </c>
      <c r="D85" s="350" t="s">
        <v>1489</v>
      </c>
      <c r="E85" s="887" t="s">
        <v>13</v>
      </c>
      <c r="F85" s="613">
        <v>22.9</v>
      </c>
      <c r="G85" s="982"/>
      <c r="H85" s="872"/>
      <c r="I85" s="1063"/>
      <c r="J85" s="622"/>
      <c r="K85" s="982"/>
      <c r="L85" s="622"/>
      <c r="M85" s="982"/>
      <c r="N85" s="622"/>
      <c r="O85" s="1063"/>
      <c r="P85" s="622"/>
      <c r="Q85" s="982"/>
      <c r="R85" s="927" t="s">
        <v>3044</v>
      </c>
      <c r="S85" s="999"/>
      <c r="T85" s="878"/>
    </row>
    <row r="86" spans="1:42" s="224" customFormat="1" ht="15" customHeight="1" x14ac:dyDescent="0.25">
      <c r="A86" s="247">
        <v>46003</v>
      </c>
      <c r="B86" s="349" t="s">
        <v>8564</v>
      </c>
      <c r="C86" s="879" t="s">
        <v>12</v>
      </c>
      <c r="D86" s="350" t="s">
        <v>6731</v>
      </c>
      <c r="E86" s="887" t="s">
        <v>13</v>
      </c>
      <c r="F86" s="613">
        <v>134.68</v>
      </c>
      <c r="G86" s="982"/>
      <c r="H86" s="872"/>
      <c r="I86" s="1063"/>
      <c r="J86" s="622"/>
      <c r="K86" s="982"/>
      <c r="L86" s="622"/>
      <c r="M86" s="982"/>
      <c r="N86" s="622"/>
      <c r="O86" s="1063"/>
      <c r="P86" s="622"/>
      <c r="Q86" s="982"/>
      <c r="R86" s="927" t="s">
        <v>3044</v>
      </c>
      <c r="S86" s="999"/>
      <c r="T86" s="878"/>
    </row>
    <row r="87" spans="1:42" s="224" customFormat="1" ht="15" customHeight="1" x14ac:dyDescent="0.25">
      <c r="A87" s="247">
        <v>46003</v>
      </c>
      <c r="B87" s="349" t="s">
        <v>8565</v>
      </c>
      <c r="C87" s="879" t="s">
        <v>12</v>
      </c>
      <c r="D87" s="350" t="s">
        <v>6731</v>
      </c>
      <c r="E87" s="887" t="s">
        <v>13</v>
      </c>
      <c r="F87" s="613">
        <v>115.18</v>
      </c>
      <c r="G87" s="982"/>
      <c r="H87" s="872"/>
      <c r="I87" s="1063"/>
      <c r="J87" s="622"/>
      <c r="K87" s="982"/>
      <c r="L87" s="622"/>
      <c r="M87" s="982"/>
      <c r="N87" s="622"/>
      <c r="O87" s="1063"/>
      <c r="P87" s="622"/>
      <c r="Q87" s="982"/>
      <c r="R87" s="1080" t="s">
        <v>8424</v>
      </c>
      <c r="S87" s="999"/>
      <c r="T87" s="878"/>
    </row>
    <row r="88" spans="1:42" s="224" customFormat="1" ht="15" customHeight="1" x14ac:dyDescent="0.25">
      <c r="A88" s="247">
        <v>46003</v>
      </c>
      <c r="B88" s="349" t="s">
        <v>8607</v>
      </c>
      <c r="C88" s="879" t="s">
        <v>12</v>
      </c>
      <c r="D88" s="350" t="s">
        <v>1523</v>
      </c>
      <c r="E88" s="887" t="s">
        <v>13</v>
      </c>
      <c r="F88" s="613">
        <v>211.03</v>
      </c>
      <c r="G88" s="982"/>
      <c r="H88" s="872"/>
      <c r="I88" s="1063"/>
      <c r="J88" s="622"/>
      <c r="K88" s="982"/>
      <c r="L88" s="622"/>
      <c r="M88" s="982"/>
      <c r="N88" s="622"/>
      <c r="O88" s="1063"/>
      <c r="P88" s="622"/>
      <c r="Q88" s="982"/>
      <c r="R88" s="1080" t="s">
        <v>8424</v>
      </c>
      <c r="S88" s="999"/>
      <c r="T88" s="878"/>
    </row>
    <row r="89" spans="1:42" s="224" customFormat="1" ht="15" customHeight="1" x14ac:dyDescent="0.25">
      <c r="A89" s="247">
        <v>46003</v>
      </c>
      <c r="B89" s="882" t="s">
        <v>6814</v>
      </c>
      <c r="C89" s="879" t="s">
        <v>12</v>
      </c>
      <c r="D89" s="879"/>
      <c r="E89" s="875" t="s">
        <v>13</v>
      </c>
      <c r="F89" s="780"/>
      <c r="G89" s="982">
        <v>1007.71</v>
      </c>
      <c r="H89" s="1008"/>
      <c r="I89" s="1063"/>
      <c r="J89" s="622">
        <v>1007.71</v>
      </c>
      <c r="K89" s="982"/>
      <c r="L89" s="622"/>
      <c r="M89" s="982"/>
      <c r="N89" s="622"/>
      <c r="O89" s="1063"/>
      <c r="P89" s="622"/>
      <c r="Q89" s="982"/>
      <c r="R89" s="941"/>
    </row>
    <row r="90" spans="1:42" s="224" customFormat="1" ht="15" customHeight="1" x14ac:dyDescent="0.25">
      <c r="A90" s="247">
        <v>46003</v>
      </c>
      <c r="B90" s="882" t="s">
        <v>8608</v>
      </c>
      <c r="C90" s="879" t="s">
        <v>12</v>
      </c>
      <c r="D90" s="879" t="s">
        <v>1523</v>
      </c>
      <c r="E90" s="480" t="s">
        <v>13</v>
      </c>
      <c r="F90" s="613">
        <v>3.5</v>
      </c>
      <c r="G90" s="967"/>
      <c r="H90" s="1008"/>
      <c r="I90" s="1063"/>
      <c r="J90" s="622"/>
      <c r="K90" s="982"/>
      <c r="L90" s="880"/>
      <c r="M90" s="1033"/>
      <c r="N90" s="880"/>
      <c r="O90" s="1525"/>
      <c r="P90" s="613"/>
      <c r="Q90" s="162"/>
      <c r="R90" s="1956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</row>
    <row r="91" spans="1:42" s="224" customFormat="1" ht="15" customHeight="1" x14ac:dyDescent="0.25">
      <c r="A91" s="247">
        <v>46003</v>
      </c>
      <c r="B91" s="882" t="s">
        <v>8611</v>
      </c>
      <c r="C91" s="879" t="s">
        <v>12</v>
      </c>
      <c r="D91" s="879" t="s">
        <v>1523</v>
      </c>
      <c r="E91" s="480" t="s">
        <v>13</v>
      </c>
      <c r="F91" s="613">
        <v>94.6</v>
      </c>
      <c r="G91" s="967"/>
      <c r="H91" s="1008"/>
      <c r="I91" s="1063"/>
      <c r="J91" s="622"/>
      <c r="K91" s="982"/>
      <c r="L91" s="880"/>
      <c r="M91" s="1033"/>
      <c r="N91" s="880"/>
      <c r="O91" s="1525"/>
      <c r="P91" s="613"/>
      <c r="Q91" s="162"/>
      <c r="R91" s="1956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</row>
    <row r="92" spans="1:42" s="224" customFormat="1" ht="15" customHeight="1" x14ac:dyDescent="0.25">
      <c r="A92" s="247">
        <v>46003</v>
      </c>
      <c r="B92" s="882" t="s">
        <v>8609</v>
      </c>
      <c r="C92" s="879" t="s">
        <v>12</v>
      </c>
      <c r="D92" s="879" t="s">
        <v>1489</v>
      </c>
      <c r="E92" s="480" t="s">
        <v>13</v>
      </c>
      <c r="F92" s="613">
        <v>38.299999999999997</v>
      </c>
      <c r="G92" s="967"/>
      <c r="H92" s="1008"/>
      <c r="I92" s="1063"/>
      <c r="J92" s="622"/>
      <c r="K92" s="982"/>
      <c r="L92" s="880"/>
      <c r="M92" s="1033"/>
      <c r="N92" s="880"/>
      <c r="O92" s="1525"/>
      <c r="P92" s="613"/>
      <c r="Q92" s="162"/>
      <c r="R92" s="1956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</row>
    <row r="93" spans="1:42" s="224" customFormat="1" ht="15" customHeight="1" x14ac:dyDescent="0.25">
      <c r="A93" s="247">
        <v>46004</v>
      </c>
      <c r="B93" s="882" t="s">
        <v>8610</v>
      </c>
      <c r="C93" s="879" t="s">
        <v>12</v>
      </c>
      <c r="D93" s="879" t="s">
        <v>1486</v>
      </c>
      <c r="E93" s="480" t="s">
        <v>13</v>
      </c>
      <c r="F93" s="613">
        <v>12</v>
      </c>
      <c r="G93" s="967"/>
      <c r="H93" s="1008"/>
      <c r="I93" s="1063"/>
      <c r="J93" s="622"/>
      <c r="K93" s="982"/>
      <c r="L93" s="880"/>
      <c r="M93" s="1033"/>
      <c r="N93" s="880"/>
      <c r="O93" s="1525"/>
      <c r="P93" s="613"/>
      <c r="Q93" s="162"/>
      <c r="R93" s="1956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</row>
    <row r="94" spans="1:42" s="224" customFormat="1" ht="15" customHeight="1" x14ac:dyDescent="0.25">
      <c r="A94" s="247">
        <v>46004</v>
      </c>
      <c r="B94" s="882" t="s">
        <v>8611</v>
      </c>
      <c r="C94" s="879" t="s">
        <v>12</v>
      </c>
      <c r="D94" s="879" t="s">
        <v>1485</v>
      </c>
      <c r="E94" s="875" t="s">
        <v>13</v>
      </c>
      <c r="F94" s="780">
        <v>62</v>
      </c>
      <c r="G94" s="982"/>
      <c r="H94" s="622"/>
      <c r="I94" s="982"/>
      <c r="J94" s="622"/>
      <c r="K94" s="982"/>
      <c r="L94" s="622"/>
      <c r="M94" s="982"/>
      <c r="N94" s="622"/>
      <c r="O94" s="1063"/>
      <c r="P94" s="622"/>
      <c r="Q94" s="982"/>
      <c r="R94" s="1028"/>
      <c r="S94" s="959"/>
      <c r="T94" s="878"/>
      <c r="U94" s="958"/>
    </row>
    <row r="95" spans="1:42" s="224" customFormat="1" ht="15" customHeight="1" x14ac:dyDescent="0.25">
      <c r="A95" s="247">
        <v>46004</v>
      </c>
      <c r="B95" s="882" t="s">
        <v>8616</v>
      </c>
      <c r="C95" s="879" t="s">
        <v>12</v>
      </c>
      <c r="D95" s="879"/>
      <c r="E95" s="875" t="s">
        <v>13</v>
      </c>
      <c r="F95" s="780">
        <v>1200</v>
      </c>
      <c r="G95" s="982"/>
      <c r="H95" s="95"/>
      <c r="I95" s="1064"/>
      <c r="J95" s="622"/>
      <c r="K95" s="982">
        <v>1200</v>
      </c>
      <c r="L95" s="622"/>
      <c r="M95" s="982"/>
      <c r="N95" s="622"/>
      <c r="O95" s="982"/>
      <c r="P95" s="622"/>
      <c r="Q95" s="982"/>
      <c r="R95" s="1210"/>
      <c r="S95" s="1038"/>
      <c r="T95" s="861"/>
    </row>
    <row r="96" spans="1:42" s="224" customFormat="1" ht="15" customHeight="1" x14ac:dyDescent="0.25">
      <c r="A96" s="247">
        <v>46004</v>
      </c>
      <c r="B96" s="882" t="s">
        <v>8557</v>
      </c>
      <c r="C96" s="879" t="s">
        <v>12</v>
      </c>
      <c r="D96" s="879"/>
      <c r="E96" s="875"/>
      <c r="F96" s="780">
        <v>1000</v>
      </c>
      <c r="G96" s="982"/>
      <c r="H96" s="622"/>
      <c r="I96" s="982"/>
      <c r="J96" s="622"/>
      <c r="K96" s="982"/>
      <c r="L96" s="622"/>
      <c r="M96" s="982">
        <v>1000</v>
      </c>
      <c r="N96" s="880"/>
      <c r="O96" s="1525"/>
      <c r="P96" s="613"/>
      <c r="Q96" s="162"/>
      <c r="R96" s="861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</row>
    <row r="97" spans="1:42" s="224" customFormat="1" ht="15" customHeight="1" x14ac:dyDescent="0.25">
      <c r="A97" s="247">
        <v>46005</v>
      </c>
      <c r="B97" s="882" t="s">
        <v>8612</v>
      </c>
      <c r="C97" s="879" t="s">
        <v>12</v>
      </c>
      <c r="D97" s="879" t="s">
        <v>1523</v>
      </c>
      <c r="E97" s="875" t="s">
        <v>13</v>
      </c>
      <c r="F97" s="780">
        <v>80</v>
      </c>
      <c r="G97" s="982"/>
      <c r="H97" s="622"/>
      <c r="I97" s="982"/>
      <c r="J97" s="622"/>
      <c r="K97" s="982"/>
      <c r="L97" s="622"/>
      <c r="M97" s="982"/>
      <c r="N97" s="622"/>
      <c r="O97" s="1063"/>
      <c r="P97" s="622"/>
      <c r="Q97" s="982"/>
      <c r="R97" s="1028"/>
      <c r="S97" s="959"/>
      <c r="T97" s="878"/>
      <c r="U97" s="958"/>
    </row>
    <row r="98" spans="1:42" s="224" customFormat="1" ht="15" customHeight="1" x14ac:dyDescent="0.25">
      <c r="A98" s="247">
        <v>46005</v>
      </c>
      <c r="B98" s="882" t="s">
        <v>8613</v>
      </c>
      <c r="C98" s="879" t="s">
        <v>12</v>
      </c>
      <c r="D98" s="879" t="s">
        <v>1523</v>
      </c>
      <c r="E98" s="875" t="s">
        <v>13</v>
      </c>
      <c r="F98" s="780">
        <v>40</v>
      </c>
      <c r="G98" s="982"/>
      <c r="H98" s="622"/>
      <c r="I98" s="982"/>
      <c r="J98" s="622"/>
      <c r="K98" s="982"/>
      <c r="L98" s="622"/>
      <c r="M98" s="982"/>
      <c r="N98" s="622"/>
      <c r="O98" s="1063"/>
      <c r="P98" s="622"/>
      <c r="Q98" s="982"/>
      <c r="R98" s="1028"/>
      <c r="S98" s="959"/>
      <c r="T98" s="878"/>
      <c r="U98" s="958"/>
    </row>
    <row r="99" spans="1:42" s="224" customFormat="1" ht="15" customHeight="1" x14ac:dyDescent="0.25">
      <c r="A99" s="247">
        <v>46005</v>
      </c>
      <c r="B99" s="882" t="s">
        <v>8614</v>
      </c>
      <c r="C99" s="879" t="s">
        <v>12</v>
      </c>
      <c r="D99" s="879" t="s">
        <v>1523</v>
      </c>
      <c r="E99" s="875" t="s">
        <v>13</v>
      </c>
      <c r="F99" s="780">
        <v>17.36</v>
      </c>
      <c r="G99" s="982"/>
      <c r="H99" s="622"/>
      <c r="I99" s="982"/>
      <c r="J99" s="622"/>
      <c r="K99" s="982"/>
      <c r="L99" s="622"/>
      <c r="M99" s="982"/>
      <c r="N99" s="622"/>
      <c r="O99" s="1063"/>
      <c r="P99" s="622"/>
      <c r="Q99" s="982"/>
      <c r="R99" s="1028"/>
      <c r="S99" s="959"/>
      <c r="T99" s="878"/>
      <c r="U99" s="958"/>
    </row>
    <row r="100" spans="1:42" s="224" customFormat="1" ht="14.25" customHeight="1" x14ac:dyDescent="0.25">
      <c r="A100" s="247">
        <v>46005</v>
      </c>
      <c r="B100" s="882" t="s">
        <v>8615</v>
      </c>
      <c r="C100" s="879" t="s">
        <v>12</v>
      </c>
      <c r="D100" s="879" t="s">
        <v>1523</v>
      </c>
      <c r="E100" s="875" t="s">
        <v>13</v>
      </c>
      <c r="F100" s="780">
        <v>74.7</v>
      </c>
      <c r="G100" s="982"/>
      <c r="H100" s="622"/>
      <c r="I100" s="982"/>
      <c r="J100" s="622"/>
      <c r="K100" s="982"/>
      <c r="L100" s="622"/>
      <c r="M100" s="982"/>
      <c r="N100" s="622"/>
      <c r="O100" s="1063"/>
      <c r="P100" s="622"/>
      <c r="Q100" s="982"/>
      <c r="R100" s="1028"/>
      <c r="S100" s="959"/>
      <c r="T100" s="878"/>
      <c r="U100" s="958"/>
    </row>
    <row r="101" spans="1:42" s="224" customFormat="1" ht="15" customHeight="1" x14ac:dyDescent="0.25">
      <c r="A101" s="247">
        <v>46006</v>
      </c>
      <c r="B101" s="882" t="s">
        <v>443</v>
      </c>
      <c r="C101" s="879" t="s">
        <v>12</v>
      </c>
      <c r="D101" s="879" t="s">
        <v>1493</v>
      </c>
      <c r="E101" s="871" t="s">
        <v>13</v>
      </c>
      <c r="F101" s="780">
        <v>31.89</v>
      </c>
      <c r="G101" s="982"/>
      <c r="H101" s="622"/>
      <c r="I101" s="982"/>
      <c r="J101" s="872"/>
      <c r="K101" s="1207"/>
      <c r="L101" s="622"/>
      <c r="M101" s="982"/>
      <c r="N101" s="622"/>
      <c r="O101" s="1063"/>
      <c r="P101" s="622"/>
      <c r="Q101" s="982"/>
      <c r="R101" s="1028"/>
      <c r="S101" s="959"/>
      <c r="T101" s="878"/>
      <c r="U101" s="958"/>
    </row>
    <row r="102" spans="1:42" s="224" customFormat="1" ht="15" customHeight="1" x14ac:dyDescent="0.25">
      <c r="A102" s="247">
        <v>46006</v>
      </c>
      <c r="B102" s="882" t="s">
        <v>8581</v>
      </c>
      <c r="C102" s="879" t="s">
        <v>12</v>
      </c>
      <c r="D102" s="879"/>
      <c r="E102" s="875"/>
      <c r="F102" s="780">
        <v>500</v>
      </c>
      <c r="G102" s="982"/>
      <c r="H102" s="622"/>
      <c r="I102" s="982">
        <v>500</v>
      </c>
      <c r="J102" s="622"/>
      <c r="K102" s="982"/>
      <c r="L102" s="622"/>
      <c r="M102" s="982"/>
      <c r="N102" s="880"/>
      <c r="O102" s="1525"/>
      <c r="P102" s="613"/>
      <c r="Q102" s="162"/>
      <c r="R102" s="861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</row>
    <row r="103" spans="1:42" s="224" customFormat="1" ht="15" customHeight="1" x14ac:dyDescent="0.25">
      <c r="A103" s="247">
        <v>46006</v>
      </c>
      <c r="B103" s="882" t="s">
        <v>8558</v>
      </c>
      <c r="C103" s="879" t="s">
        <v>12</v>
      </c>
      <c r="D103" s="879"/>
      <c r="E103" s="875"/>
      <c r="F103" s="780">
        <v>1000</v>
      </c>
      <c r="G103" s="982"/>
      <c r="H103" s="622"/>
      <c r="I103" s="982"/>
      <c r="J103" s="622"/>
      <c r="K103" s="982"/>
      <c r="L103" s="622"/>
      <c r="M103" s="982"/>
      <c r="N103" s="880"/>
      <c r="O103" s="1525">
        <v>1000</v>
      </c>
      <c r="P103" s="613"/>
      <c r="Q103" s="162"/>
      <c r="R103" s="861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</row>
    <row r="104" spans="1:42" s="224" customFormat="1" x14ac:dyDescent="0.25">
      <c r="A104" s="247">
        <v>46006</v>
      </c>
      <c r="B104" s="364" t="s">
        <v>8569</v>
      </c>
      <c r="C104" s="350" t="s">
        <v>12</v>
      </c>
      <c r="D104" s="350" t="s">
        <v>1489</v>
      </c>
      <c r="E104" s="875" t="s">
        <v>13</v>
      </c>
      <c r="F104" s="780">
        <v>5</v>
      </c>
      <c r="G104" s="982"/>
      <c r="H104" s="1008"/>
      <c r="I104" s="1063"/>
      <c r="J104" s="2013"/>
      <c r="K104" s="1207"/>
      <c r="L104" s="622"/>
      <c r="M104" s="982"/>
      <c r="N104" s="622"/>
      <c r="O104" s="1063"/>
      <c r="P104" s="622"/>
      <c r="Q104" s="982"/>
      <c r="R104" s="1028"/>
      <c r="T104" s="878"/>
    </row>
    <row r="105" spans="1:42" s="224" customFormat="1" ht="15" customHeight="1" x14ac:dyDescent="0.25">
      <c r="A105" s="247">
        <v>46007</v>
      </c>
      <c r="B105" s="882" t="s">
        <v>14</v>
      </c>
      <c r="C105" s="879" t="s">
        <v>12</v>
      </c>
      <c r="D105" s="879" t="s">
        <v>1486</v>
      </c>
      <c r="E105" s="480" t="s">
        <v>13</v>
      </c>
      <c r="F105" s="613">
        <v>5.47</v>
      </c>
      <c r="G105" s="967"/>
      <c r="H105" s="1008"/>
      <c r="I105" s="1063"/>
      <c r="J105" s="622"/>
      <c r="K105" s="982"/>
      <c r="L105" s="880"/>
      <c r="M105" s="1033"/>
      <c r="N105" s="880"/>
      <c r="O105" s="1525"/>
      <c r="P105" s="613"/>
      <c r="Q105" s="162"/>
      <c r="R105" s="1956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</row>
    <row r="106" spans="1:42" s="224" customFormat="1" ht="15" customHeight="1" x14ac:dyDescent="0.25">
      <c r="A106" s="247">
        <v>46007</v>
      </c>
      <c r="B106" s="882" t="s">
        <v>6329</v>
      </c>
      <c r="C106" s="879" t="s">
        <v>12</v>
      </c>
      <c r="D106" s="879"/>
      <c r="E106" s="875" t="s">
        <v>25</v>
      </c>
      <c r="F106" s="780"/>
      <c r="G106" s="982">
        <v>125</v>
      </c>
      <c r="H106" s="1008"/>
      <c r="I106" s="1063"/>
      <c r="J106" s="613"/>
      <c r="K106" s="982"/>
      <c r="L106" s="622"/>
      <c r="M106" s="982"/>
      <c r="N106" s="622"/>
      <c r="O106" s="1063"/>
      <c r="P106" s="622"/>
      <c r="Q106" s="982"/>
      <c r="R106" s="861"/>
    </row>
    <row r="107" spans="1:42" s="224" customFormat="1" ht="15" customHeight="1" x14ac:dyDescent="0.25">
      <c r="A107" s="247">
        <v>46007</v>
      </c>
      <c r="B107" s="1275" t="s">
        <v>32</v>
      </c>
      <c r="C107" s="1276" t="s">
        <v>12</v>
      </c>
      <c r="D107" s="1276" t="s">
        <v>1485</v>
      </c>
      <c r="E107" s="875" t="s">
        <v>13</v>
      </c>
      <c r="F107" s="780">
        <v>23</v>
      </c>
      <c r="G107" s="982"/>
      <c r="H107" s="1008"/>
      <c r="I107" s="1063"/>
      <c r="J107" s="622"/>
      <c r="K107" s="982"/>
      <c r="L107" s="622"/>
      <c r="M107" s="982"/>
      <c r="N107" s="622"/>
      <c r="O107" s="1063"/>
      <c r="P107" s="622"/>
      <c r="Q107" s="982"/>
      <c r="R107" s="1956"/>
    </row>
    <row r="108" spans="1:42" s="224" customFormat="1" ht="15" customHeight="1" x14ac:dyDescent="0.25">
      <c r="A108" s="247">
        <v>46007</v>
      </c>
      <c r="B108" s="882" t="s">
        <v>8621</v>
      </c>
      <c r="C108" s="879" t="s">
        <v>12</v>
      </c>
      <c r="D108" s="879" t="s">
        <v>1525</v>
      </c>
      <c r="E108" s="875" t="s">
        <v>13</v>
      </c>
      <c r="F108" s="780">
        <v>30.4</v>
      </c>
      <c r="G108" s="982"/>
      <c r="H108" s="622"/>
      <c r="I108" s="982"/>
      <c r="J108" s="622"/>
      <c r="K108" s="982"/>
      <c r="L108" s="622"/>
      <c r="M108" s="982"/>
      <c r="N108" s="880"/>
      <c r="O108" s="1525"/>
      <c r="P108" s="613"/>
      <c r="Q108" s="162"/>
      <c r="R108" s="1956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</row>
    <row r="109" spans="1:42" s="224" customFormat="1" ht="15" customHeight="1" x14ac:dyDescent="0.25">
      <c r="A109" s="247">
        <v>46007</v>
      </c>
      <c r="B109" s="882" t="s">
        <v>8622</v>
      </c>
      <c r="C109" s="879" t="s">
        <v>12</v>
      </c>
      <c r="D109" s="879" t="s">
        <v>1522</v>
      </c>
      <c r="E109" s="875" t="s">
        <v>13</v>
      </c>
      <c r="F109" s="780">
        <v>57.31</v>
      </c>
      <c r="G109" s="982"/>
      <c r="H109" s="622"/>
      <c r="I109" s="982"/>
      <c r="J109" s="622"/>
      <c r="K109" s="982"/>
      <c r="L109" s="622"/>
      <c r="M109" s="982"/>
      <c r="N109" s="880"/>
      <c r="O109" s="1525"/>
      <c r="P109" s="613"/>
      <c r="Q109" s="162"/>
      <c r="R109" s="1956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</row>
    <row r="110" spans="1:42" s="224" customFormat="1" ht="15" customHeight="1" x14ac:dyDescent="0.25">
      <c r="A110" s="247">
        <v>46007</v>
      </c>
      <c r="B110" s="882" t="s">
        <v>8623</v>
      </c>
      <c r="C110" s="879" t="s">
        <v>12</v>
      </c>
      <c r="D110" s="879" t="s">
        <v>6731</v>
      </c>
      <c r="E110" s="875" t="s">
        <v>13</v>
      </c>
      <c r="F110" s="780">
        <v>104.97</v>
      </c>
      <c r="G110" s="982"/>
      <c r="H110" s="622"/>
      <c r="I110" s="982"/>
      <c r="J110" s="622"/>
      <c r="K110" s="982"/>
      <c r="L110" s="622"/>
      <c r="M110" s="982"/>
      <c r="N110" s="880"/>
      <c r="O110" s="1525"/>
      <c r="P110" s="613"/>
      <c r="Q110" s="162"/>
      <c r="R110" s="1956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</row>
    <row r="111" spans="1:42" s="224" customFormat="1" ht="15" customHeight="1" x14ac:dyDescent="0.25">
      <c r="A111" s="247">
        <v>46007</v>
      </c>
      <c r="B111" s="882" t="s">
        <v>8624</v>
      </c>
      <c r="C111" s="879" t="s">
        <v>12</v>
      </c>
      <c r="D111" s="879" t="s">
        <v>1506</v>
      </c>
      <c r="E111" s="875" t="s">
        <v>13</v>
      </c>
      <c r="F111" s="780">
        <v>80</v>
      </c>
      <c r="G111" s="982"/>
      <c r="H111" s="622"/>
      <c r="I111" s="982"/>
      <c r="J111" s="622"/>
      <c r="K111" s="982"/>
      <c r="L111" s="622"/>
      <c r="M111" s="982"/>
      <c r="N111" s="880"/>
      <c r="O111" s="1525"/>
      <c r="P111" s="613"/>
      <c r="Q111" s="162"/>
      <c r="R111" s="1956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</row>
    <row r="112" spans="1:42" s="224" customFormat="1" ht="15" customHeight="1" x14ac:dyDescent="0.25">
      <c r="A112" s="247">
        <v>46007</v>
      </c>
      <c r="B112" s="882" t="s">
        <v>134</v>
      </c>
      <c r="C112" s="879" t="s">
        <v>12</v>
      </c>
      <c r="D112" s="879" t="s">
        <v>1493</v>
      </c>
      <c r="E112" s="875" t="s">
        <v>13</v>
      </c>
      <c r="F112" s="780">
        <v>11.5</v>
      </c>
      <c r="G112" s="982"/>
      <c r="H112" s="622"/>
      <c r="I112" s="982"/>
      <c r="J112" s="622"/>
      <c r="K112" s="982"/>
      <c r="L112" s="622"/>
      <c r="M112" s="982"/>
      <c r="N112" s="880"/>
      <c r="O112" s="1525"/>
      <c r="P112" s="613"/>
      <c r="Q112" s="162"/>
      <c r="R112" s="1956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</row>
    <row r="113" spans="1:42" s="224" customFormat="1" ht="15" customHeight="1" x14ac:dyDescent="0.25">
      <c r="A113" s="247">
        <v>46008</v>
      </c>
      <c r="B113" s="882" t="s">
        <v>8581</v>
      </c>
      <c r="C113" s="879" t="s">
        <v>12</v>
      </c>
      <c r="D113" s="879"/>
      <c r="E113" s="875"/>
      <c r="F113" s="780">
        <v>600</v>
      </c>
      <c r="G113" s="982"/>
      <c r="H113" s="622"/>
      <c r="I113" s="982">
        <v>600</v>
      </c>
      <c r="J113" s="622"/>
      <c r="K113" s="982"/>
      <c r="L113" s="622"/>
      <c r="M113" s="982"/>
      <c r="N113" s="880"/>
      <c r="O113" s="1525"/>
      <c r="P113" s="613"/>
      <c r="Q113" s="162"/>
      <c r="R113" s="861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</row>
    <row r="114" spans="1:42" s="224" customFormat="1" ht="15" customHeight="1" x14ac:dyDescent="0.25">
      <c r="A114" s="247">
        <v>46008</v>
      </c>
      <c r="B114" s="882" t="s">
        <v>8627</v>
      </c>
      <c r="C114" s="879" t="s">
        <v>12</v>
      </c>
      <c r="D114" s="879" t="s">
        <v>1489</v>
      </c>
      <c r="E114" s="871" t="s">
        <v>13</v>
      </c>
      <c r="F114" s="780">
        <v>12</v>
      </c>
      <c r="G114" s="982"/>
      <c r="H114" s="622"/>
      <c r="I114" s="982"/>
      <c r="J114" s="872"/>
      <c r="K114" s="1207"/>
      <c r="L114" s="622"/>
      <c r="M114" s="982"/>
      <c r="N114" s="622"/>
      <c r="O114" s="1063"/>
      <c r="P114" s="622"/>
      <c r="Q114" s="982"/>
      <c r="R114" s="1028"/>
      <c r="S114" s="959"/>
      <c r="T114" s="878"/>
      <c r="U114" s="958"/>
    </row>
    <row r="115" spans="1:42" s="224" customFormat="1" ht="15" customHeight="1" x14ac:dyDescent="0.25">
      <c r="A115" s="247">
        <v>46008</v>
      </c>
      <c r="B115" s="882" t="s">
        <v>14</v>
      </c>
      <c r="C115" s="879" t="s">
        <v>12</v>
      </c>
      <c r="D115" s="879" t="s">
        <v>1486</v>
      </c>
      <c r="E115" s="480" t="s">
        <v>13</v>
      </c>
      <c r="F115" s="613">
        <v>7.27</v>
      </c>
      <c r="G115" s="967"/>
      <c r="H115" s="1008"/>
      <c r="I115" s="1063"/>
      <c r="J115" s="622"/>
      <c r="K115" s="982"/>
      <c r="L115" s="880"/>
      <c r="M115" s="1033"/>
      <c r="N115" s="880"/>
      <c r="O115" s="1525"/>
      <c r="P115" s="613"/>
      <c r="Q115" s="162"/>
      <c r="R115" s="1956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</row>
    <row r="116" spans="1:42" s="224" customFormat="1" ht="15" customHeight="1" x14ac:dyDescent="0.25">
      <c r="A116" s="247">
        <v>46008</v>
      </c>
      <c r="B116" s="1275" t="s">
        <v>8628</v>
      </c>
      <c r="C116" s="1276" t="s">
        <v>12</v>
      </c>
      <c r="D116" s="1276"/>
      <c r="E116" s="1286" t="s">
        <v>13</v>
      </c>
      <c r="F116" s="613">
        <v>121.58</v>
      </c>
      <c r="G116" s="967"/>
      <c r="H116" s="1008"/>
      <c r="I116" s="1063"/>
      <c r="J116" s="613"/>
      <c r="K116" s="6"/>
      <c r="L116" s="622"/>
      <c r="M116" s="982"/>
      <c r="N116" s="622"/>
      <c r="O116" s="1063"/>
      <c r="P116" s="613"/>
      <c r="Q116" s="162"/>
      <c r="R116" s="1024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</row>
    <row r="117" spans="1:42" s="224" customFormat="1" ht="15" customHeight="1" x14ac:dyDescent="0.25">
      <c r="A117" s="247">
        <v>46008</v>
      </c>
      <c r="B117" s="1275" t="s">
        <v>6755</v>
      </c>
      <c r="C117" s="1276" t="s">
        <v>12</v>
      </c>
      <c r="D117" s="1276"/>
      <c r="E117" s="1286"/>
      <c r="F117" s="613"/>
      <c r="G117" s="967">
        <v>121.58</v>
      </c>
      <c r="H117" s="1008"/>
      <c r="I117" s="1063"/>
      <c r="J117" s="613"/>
      <c r="K117" s="6"/>
      <c r="L117" s="622"/>
      <c r="M117" s="982"/>
      <c r="N117" s="622"/>
      <c r="O117" s="1063"/>
      <c r="P117" s="613"/>
      <c r="Q117" s="162"/>
      <c r="R117" s="1024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</row>
    <row r="118" spans="1:42" s="224" customFormat="1" ht="15" customHeight="1" x14ac:dyDescent="0.25">
      <c r="A118" s="247">
        <v>46008</v>
      </c>
      <c r="B118" s="882" t="s">
        <v>147</v>
      </c>
      <c r="C118" s="879" t="s">
        <v>12</v>
      </c>
      <c r="D118" s="879" t="s">
        <v>1506</v>
      </c>
      <c r="E118" s="480" t="s">
        <v>13</v>
      </c>
      <c r="F118" s="780">
        <v>35</v>
      </c>
      <c r="G118" s="982"/>
      <c r="H118" s="622"/>
      <c r="I118" s="982"/>
      <c r="J118" s="1116"/>
      <c r="K118" s="1207"/>
      <c r="L118" s="622"/>
      <c r="M118" s="982"/>
      <c r="N118" s="622"/>
      <c r="O118" s="1063"/>
      <c r="P118" s="880"/>
      <c r="Q118" s="1033"/>
      <c r="R118" s="927"/>
      <c r="T118" s="878"/>
    </row>
    <row r="119" spans="1:42" s="224" customFormat="1" ht="15" customHeight="1" x14ac:dyDescent="0.25">
      <c r="A119" s="247">
        <v>46009</v>
      </c>
      <c r="B119" s="882" t="s">
        <v>14</v>
      </c>
      <c r="C119" s="879" t="s">
        <v>12</v>
      </c>
      <c r="D119" s="879" t="s">
        <v>1486</v>
      </c>
      <c r="E119" s="480" t="s">
        <v>13</v>
      </c>
      <c r="F119" s="780">
        <v>4.5</v>
      </c>
      <c r="G119" s="982"/>
      <c r="H119" s="622"/>
      <c r="I119" s="982"/>
      <c r="J119" s="872"/>
      <c r="K119" s="1207"/>
      <c r="L119" s="622"/>
      <c r="M119" s="982"/>
      <c r="N119" s="622"/>
      <c r="O119" s="1063"/>
      <c r="P119" s="622"/>
      <c r="Q119" s="982"/>
      <c r="R119" s="1028"/>
      <c r="S119" s="959"/>
      <c r="T119" s="878"/>
      <c r="U119" s="958"/>
    </row>
    <row r="120" spans="1:42" s="224" customFormat="1" ht="15" customHeight="1" x14ac:dyDescent="0.25">
      <c r="A120" s="247">
        <v>46010</v>
      </c>
      <c r="B120" s="882" t="s">
        <v>8515</v>
      </c>
      <c r="C120" s="350" t="s">
        <v>12</v>
      </c>
      <c r="D120" s="350"/>
      <c r="E120" s="480" t="s">
        <v>25</v>
      </c>
      <c r="F120" s="622">
        <v>0</v>
      </c>
      <c r="G120" s="982"/>
      <c r="H120" s="1008"/>
      <c r="I120" s="1063"/>
      <c r="J120" s="622"/>
      <c r="K120" s="982"/>
      <c r="L120" s="622"/>
      <c r="M120" s="982"/>
      <c r="N120" s="622"/>
      <c r="O120" s="1063"/>
      <c r="P120" s="622"/>
      <c r="Q120" s="982"/>
      <c r="R120" s="861"/>
    </row>
    <row r="121" spans="1:42" s="224" customFormat="1" ht="15" customHeight="1" x14ac:dyDescent="0.25">
      <c r="A121" s="247">
        <v>46010</v>
      </c>
      <c r="B121" s="364" t="s">
        <v>8512</v>
      </c>
      <c r="C121" s="350" t="s">
        <v>12</v>
      </c>
      <c r="D121" s="350"/>
      <c r="E121" s="480" t="s">
        <v>25</v>
      </c>
      <c r="F121" s="780"/>
      <c r="G121" s="982">
        <v>1981.25</v>
      </c>
      <c r="H121" s="1008"/>
      <c r="I121" s="1063"/>
      <c r="J121" s="622"/>
      <c r="K121" s="982"/>
      <c r="L121" s="622"/>
      <c r="M121" s="982"/>
      <c r="N121" s="622"/>
      <c r="O121" s="1063"/>
      <c r="P121" s="622"/>
      <c r="Q121" s="982"/>
      <c r="R121" s="2978">
        <v>1981.25</v>
      </c>
      <c r="T121" s="1035"/>
    </row>
    <row r="122" spans="1:42" s="224" customFormat="1" ht="15" customHeight="1" x14ac:dyDescent="0.25">
      <c r="A122" s="247">
        <v>46010</v>
      </c>
      <c r="B122" s="364" t="s">
        <v>8516</v>
      </c>
      <c r="C122" s="879" t="s">
        <v>12</v>
      </c>
      <c r="D122" s="879"/>
      <c r="E122" s="983" t="s">
        <v>25</v>
      </c>
      <c r="F122" s="780"/>
      <c r="G122" s="982"/>
      <c r="H122" s="622"/>
      <c r="I122" s="982"/>
      <c r="J122" s="2013"/>
      <c r="K122" s="1207"/>
      <c r="L122" s="622"/>
      <c r="M122" s="982"/>
      <c r="N122" s="622"/>
      <c r="O122" s="1063"/>
      <c r="P122" s="622"/>
      <c r="Q122" s="982">
        <v>756</v>
      </c>
      <c r="R122" s="927"/>
      <c r="S122" s="927"/>
      <c r="T122" s="878"/>
    </row>
    <row r="123" spans="1:42" s="224" customFormat="1" ht="15" customHeight="1" x14ac:dyDescent="0.25">
      <c r="A123" s="247">
        <v>46010</v>
      </c>
      <c r="B123" s="364" t="s">
        <v>3354</v>
      </c>
      <c r="C123" s="350" t="s">
        <v>12</v>
      </c>
      <c r="D123" s="350"/>
      <c r="E123" s="145" t="s">
        <v>25</v>
      </c>
      <c r="F123" s="613"/>
      <c r="G123" s="967"/>
      <c r="H123" s="1008"/>
      <c r="I123" s="1063"/>
      <c r="J123" s="622"/>
      <c r="K123" s="982"/>
      <c r="L123" s="880"/>
      <c r="M123" s="1033"/>
      <c r="N123" s="880"/>
      <c r="O123" s="1525"/>
      <c r="P123" s="613"/>
      <c r="Q123" s="162">
        <v>234.5</v>
      </c>
      <c r="R123" s="2018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</row>
    <row r="124" spans="1:42" s="224" customFormat="1" ht="15" customHeight="1" x14ac:dyDescent="0.25">
      <c r="A124" s="247">
        <v>46010</v>
      </c>
      <c r="B124" s="862" t="s">
        <v>2867</v>
      </c>
      <c r="C124" s="350" t="s">
        <v>12</v>
      </c>
      <c r="D124" s="874" t="s">
        <v>1504</v>
      </c>
      <c r="E124" s="887" t="s">
        <v>13</v>
      </c>
      <c r="F124" s="1245">
        <v>0</v>
      </c>
      <c r="G124" s="982"/>
      <c r="H124" s="1009"/>
      <c r="I124" s="1063"/>
      <c r="J124" s="622"/>
      <c r="K124" s="982"/>
      <c r="L124" s="853"/>
      <c r="M124" s="982"/>
      <c r="N124" s="853"/>
      <c r="O124" s="1063"/>
      <c r="P124" s="622"/>
      <c r="Q124" s="982"/>
      <c r="R124" s="1690" t="s">
        <v>8547</v>
      </c>
      <c r="S124" s="1690"/>
      <c r="T124" s="1690"/>
      <c r="U124" s="1690"/>
      <c r="V124" s="1690"/>
      <c r="W124" s="1690"/>
      <c r="X124" s="1690"/>
      <c r="Y124" s="1690"/>
      <c r="Z124" s="1690"/>
    </row>
    <row r="125" spans="1:42" s="224" customFormat="1" ht="14.25" customHeight="1" x14ac:dyDescent="0.25">
      <c r="A125" s="247">
        <v>46010</v>
      </c>
      <c r="B125" s="364" t="s">
        <v>2977</v>
      </c>
      <c r="C125" s="350" t="s">
        <v>12</v>
      </c>
      <c r="D125" s="350" t="s">
        <v>1491</v>
      </c>
      <c r="E125" s="875" t="s">
        <v>13</v>
      </c>
      <c r="F125" s="1047">
        <v>400</v>
      </c>
      <c r="G125" s="982"/>
      <c r="H125" s="1008"/>
      <c r="I125" s="1063"/>
      <c r="J125" s="622"/>
      <c r="K125" s="982"/>
      <c r="L125" s="622"/>
      <c r="M125" s="982"/>
      <c r="N125" s="622"/>
      <c r="O125" s="1063"/>
      <c r="P125" s="622"/>
      <c r="Q125" s="982"/>
      <c r="R125" s="1029"/>
      <c r="S125" s="89"/>
      <c r="T125" s="930"/>
    </row>
    <row r="126" spans="1:42" s="224" customFormat="1" ht="15" customHeight="1" x14ac:dyDescent="0.25">
      <c r="A126" s="247">
        <v>46010</v>
      </c>
      <c r="B126" s="862" t="s">
        <v>8629</v>
      </c>
      <c r="C126" s="879" t="s">
        <v>12</v>
      </c>
      <c r="D126" s="879" t="s">
        <v>1504</v>
      </c>
      <c r="E126" s="871" t="s">
        <v>13</v>
      </c>
      <c r="F126" s="780">
        <v>100</v>
      </c>
      <c r="G126" s="982"/>
      <c r="H126" s="1008"/>
      <c r="I126" s="1063"/>
      <c r="J126" s="622"/>
      <c r="K126" s="982"/>
      <c r="L126" s="622"/>
      <c r="M126" s="982"/>
      <c r="N126" s="622"/>
      <c r="O126" s="1063"/>
      <c r="P126" s="622"/>
      <c r="Q126" s="982"/>
      <c r="R126" s="1808"/>
      <c r="S126" s="1028"/>
      <c r="T126" s="1035"/>
    </row>
    <row r="127" spans="1:42" s="224" customFormat="1" ht="15" customHeight="1" x14ac:dyDescent="0.25">
      <c r="A127" s="247">
        <v>46010</v>
      </c>
      <c r="B127" s="882" t="s">
        <v>8517</v>
      </c>
      <c r="C127" s="879" t="s">
        <v>12</v>
      </c>
      <c r="D127" s="879" t="s">
        <v>1499</v>
      </c>
      <c r="E127" s="871" t="s">
        <v>13</v>
      </c>
      <c r="F127" s="780">
        <v>0</v>
      </c>
      <c r="G127" s="982"/>
      <c r="H127" s="1008"/>
      <c r="I127" s="1063"/>
      <c r="J127" s="622"/>
      <c r="K127" s="982"/>
      <c r="L127" s="622"/>
      <c r="M127" s="982"/>
      <c r="N127" s="622"/>
      <c r="O127" s="1063"/>
      <c r="P127" s="622"/>
      <c r="Q127" s="982"/>
      <c r="R127" s="1080" t="s">
        <v>8636</v>
      </c>
      <c r="S127" s="3009"/>
      <c r="T127" s="1123"/>
      <c r="U127" s="999"/>
    </row>
    <row r="128" spans="1:42" s="224" customFormat="1" ht="15" customHeight="1" x14ac:dyDescent="0.25">
      <c r="A128" s="247">
        <v>46010</v>
      </c>
      <c r="B128" s="882" t="s">
        <v>8619</v>
      </c>
      <c r="C128" s="879" t="s">
        <v>12</v>
      </c>
      <c r="D128" s="879" t="s">
        <v>1525</v>
      </c>
      <c r="E128" s="871" t="s">
        <v>13</v>
      </c>
      <c r="F128" s="780">
        <v>66.2</v>
      </c>
      <c r="G128" s="982"/>
      <c r="H128" s="622"/>
      <c r="I128" s="982"/>
      <c r="J128" s="1116"/>
      <c r="K128" s="1207"/>
      <c r="L128" s="622"/>
      <c r="M128" s="982"/>
      <c r="N128" s="622"/>
      <c r="O128" s="1063"/>
      <c r="P128" s="880"/>
      <c r="Q128" s="1033"/>
      <c r="R128" s="1080" t="s">
        <v>8424</v>
      </c>
      <c r="T128" s="878"/>
    </row>
    <row r="129" spans="1:21" s="224" customFormat="1" ht="15" customHeight="1" x14ac:dyDescent="0.25">
      <c r="A129" s="247">
        <v>46010</v>
      </c>
      <c r="B129" s="882" t="s">
        <v>8620</v>
      </c>
      <c r="C129" s="879" t="s">
        <v>12</v>
      </c>
      <c r="D129" s="879" t="s">
        <v>1525</v>
      </c>
      <c r="E129" s="871" t="s">
        <v>13</v>
      </c>
      <c r="F129" s="780">
        <v>66.2</v>
      </c>
      <c r="G129" s="982"/>
      <c r="H129" s="622"/>
      <c r="I129" s="982"/>
      <c r="J129" s="1116"/>
      <c r="K129" s="1207"/>
      <c r="L129" s="622"/>
      <c r="M129" s="982"/>
      <c r="N129" s="622"/>
      <c r="O129" s="1063"/>
      <c r="P129" s="880"/>
      <c r="Q129" s="1033"/>
      <c r="R129" s="1080" t="s">
        <v>8424</v>
      </c>
      <c r="T129" s="878"/>
    </row>
    <row r="130" spans="1:21" s="224" customFormat="1" ht="15" customHeight="1" x14ac:dyDescent="0.25">
      <c r="A130" s="247">
        <v>46010</v>
      </c>
      <c r="B130" s="882" t="s">
        <v>8625</v>
      </c>
      <c r="C130" s="879" t="s">
        <v>12</v>
      </c>
      <c r="D130" s="879" t="s">
        <v>6731</v>
      </c>
      <c r="E130" s="871" t="s">
        <v>13</v>
      </c>
      <c r="F130" s="780">
        <v>178.74</v>
      </c>
      <c r="G130" s="982"/>
      <c r="H130" s="622"/>
      <c r="I130" s="982"/>
      <c r="J130" s="1116"/>
      <c r="K130" s="1207"/>
      <c r="L130" s="622"/>
      <c r="M130" s="982"/>
      <c r="N130" s="622"/>
      <c r="O130" s="1063"/>
      <c r="P130" s="880"/>
      <c r="Q130" s="1033"/>
      <c r="R130" s="1080" t="s">
        <v>8424</v>
      </c>
      <c r="T130" s="878"/>
    </row>
    <row r="131" spans="1:21" s="224" customFormat="1" ht="15" customHeight="1" x14ac:dyDescent="0.25">
      <c r="A131" s="247">
        <v>46010</v>
      </c>
      <c r="B131" s="882" t="s">
        <v>8633</v>
      </c>
      <c r="C131" s="879" t="s">
        <v>12</v>
      </c>
      <c r="D131" s="879" t="s">
        <v>3017</v>
      </c>
      <c r="E131" s="875" t="s">
        <v>13</v>
      </c>
      <c r="F131" s="780">
        <v>180</v>
      </c>
      <c r="G131" s="982"/>
      <c r="H131" s="622"/>
      <c r="I131" s="982"/>
      <c r="J131" s="1116"/>
      <c r="K131" s="1207"/>
      <c r="L131" s="622"/>
      <c r="M131" s="982"/>
      <c r="N131" s="622"/>
      <c r="O131" s="1063"/>
      <c r="P131" s="880"/>
      <c r="Q131" s="1033"/>
      <c r="R131" s="927"/>
      <c r="T131" s="878"/>
    </row>
    <row r="132" spans="1:21" s="224" customFormat="1" ht="15" customHeight="1" x14ac:dyDescent="0.25">
      <c r="A132" s="247">
        <v>46011</v>
      </c>
      <c r="B132" s="882" t="s">
        <v>1906</v>
      </c>
      <c r="C132" s="879" t="s">
        <v>12</v>
      </c>
      <c r="D132" s="879" t="s">
        <v>1493</v>
      </c>
      <c r="E132" s="875" t="s">
        <v>13</v>
      </c>
      <c r="F132" s="780">
        <v>23</v>
      </c>
      <c r="G132" s="982"/>
      <c r="H132" s="622"/>
      <c r="I132" s="982"/>
      <c r="J132" s="1116"/>
      <c r="K132" s="1207"/>
      <c r="L132" s="622"/>
      <c r="M132" s="982"/>
      <c r="N132" s="622"/>
      <c r="O132" s="1063"/>
      <c r="P132" s="880"/>
      <c r="Q132" s="1033"/>
      <c r="R132" s="927"/>
      <c r="T132" s="878"/>
    </row>
    <row r="133" spans="1:21" s="224" customFormat="1" ht="15" customHeight="1" x14ac:dyDescent="0.25">
      <c r="A133" s="247">
        <v>46012</v>
      </c>
      <c r="B133" s="882" t="s">
        <v>14</v>
      </c>
      <c r="C133" s="879" t="s">
        <v>12</v>
      </c>
      <c r="D133" s="879" t="s">
        <v>1486</v>
      </c>
      <c r="E133" s="480" t="s">
        <v>13</v>
      </c>
      <c r="F133" s="780">
        <v>3.06</v>
      </c>
      <c r="G133" s="982"/>
      <c r="H133" s="622"/>
      <c r="I133" s="982"/>
      <c r="J133" s="1116"/>
      <c r="K133" s="1207"/>
      <c r="L133" s="622"/>
      <c r="M133" s="982"/>
      <c r="N133" s="622"/>
      <c r="O133" s="1063"/>
      <c r="P133" s="880"/>
      <c r="Q133" s="1033"/>
      <c r="R133" s="927"/>
      <c r="T133" s="878"/>
    </row>
    <row r="134" spans="1:21" s="224" customFormat="1" ht="15" customHeight="1" x14ac:dyDescent="0.25">
      <c r="A134" s="247">
        <v>46012</v>
      </c>
      <c r="B134" s="882" t="s">
        <v>32</v>
      </c>
      <c r="C134" s="879" t="s">
        <v>12</v>
      </c>
      <c r="D134" s="879" t="s">
        <v>1485</v>
      </c>
      <c r="E134" s="875" t="s">
        <v>13</v>
      </c>
      <c r="F134" s="780">
        <v>28</v>
      </c>
      <c r="G134" s="982"/>
      <c r="H134" s="622"/>
      <c r="I134" s="982"/>
      <c r="J134" s="1116"/>
      <c r="K134" s="1207"/>
      <c r="L134" s="622"/>
      <c r="M134" s="982"/>
      <c r="N134" s="622"/>
      <c r="O134" s="1063"/>
      <c r="P134" s="880"/>
      <c r="Q134" s="1033"/>
      <c r="R134" s="927"/>
      <c r="T134" s="878"/>
    </row>
    <row r="135" spans="1:21" s="224" customFormat="1" ht="15" customHeight="1" x14ac:dyDescent="0.25">
      <c r="A135" s="247">
        <v>46012</v>
      </c>
      <c r="B135" s="882" t="s">
        <v>8637</v>
      </c>
      <c r="C135" s="879" t="s">
        <v>12</v>
      </c>
      <c r="D135" s="879" t="s">
        <v>1491</v>
      </c>
      <c r="E135" s="875" t="s">
        <v>13</v>
      </c>
      <c r="F135" s="780">
        <v>50</v>
      </c>
      <c r="G135" s="982"/>
      <c r="H135" s="622"/>
      <c r="I135" s="982"/>
      <c r="J135" s="1116"/>
      <c r="K135" s="1207"/>
      <c r="L135" s="622"/>
      <c r="M135" s="982"/>
      <c r="N135" s="622"/>
      <c r="O135" s="1063"/>
      <c r="P135" s="880"/>
      <c r="Q135" s="1033"/>
      <c r="R135" s="927"/>
      <c r="T135" s="878"/>
    </row>
    <row r="136" spans="1:21" s="224" customFormat="1" ht="15" customHeight="1" x14ac:dyDescent="0.25">
      <c r="A136" s="247">
        <v>46012</v>
      </c>
      <c r="B136" s="882" t="s">
        <v>8638</v>
      </c>
      <c r="C136" s="879" t="s">
        <v>12</v>
      </c>
      <c r="D136" s="879" t="s">
        <v>1493</v>
      </c>
      <c r="E136" s="875" t="s">
        <v>13</v>
      </c>
      <c r="F136" s="780">
        <v>100</v>
      </c>
      <c r="G136" s="982"/>
      <c r="H136" s="622"/>
      <c r="I136" s="982"/>
      <c r="J136" s="1116"/>
      <c r="K136" s="1207"/>
      <c r="L136" s="622"/>
      <c r="M136" s="982"/>
      <c r="N136" s="622"/>
      <c r="O136" s="1063"/>
      <c r="P136" s="880"/>
      <c r="Q136" s="1033"/>
      <c r="R136" s="927"/>
      <c r="T136" s="878"/>
    </row>
    <row r="137" spans="1:21" s="224" customFormat="1" ht="15" customHeight="1" x14ac:dyDescent="0.25">
      <c r="A137" s="247">
        <v>46012</v>
      </c>
      <c r="B137" s="882" t="s">
        <v>23</v>
      </c>
      <c r="C137" s="879" t="s">
        <v>12</v>
      </c>
      <c r="D137" s="879" t="s">
        <v>1489</v>
      </c>
      <c r="E137" s="875" t="s">
        <v>13</v>
      </c>
      <c r="F137" s="780">
        <v>17</v>
      </c>
      <c r="G137" s="982"/>
      <c r="H137" s="622"/>
      <c r="I137" s="982"/>
      <c r="J137" s="1116"/>
      <c r="K137" s="1207"/>
      <c r="L137" s="622"/>
      <c r="M137" s="982"/>
      <c r="N137" s="622"/>
      <c r="O137" s="1063"/>
      <c r="P137" s="880"/>
      <c r="Q137" s="1033"/>
      <c r="R137" s="927"/>
      <c r="T137" s="878"/>
    </row>
    <row r="138" spans="1:21" s="224" customFormat="1" ht="15" customHeight="1" x14ac:dyDescent="0.25">
      <c r="A138" s="247">
        <v>46013</v>
      </c>
      <c r="B138" s="882" t="s">
        <v>8639</v>
      </c>
      <c r="C138" s="879" t="s">
        <v>12</v>
      </c>
      <c r="D138" s="879" t="s">
        <v>6731</v>
      </c>
      <c r="E138" s="871" t="s">
        <v>13</v>
      </c>
      <c r="F138" s="780">
        <v>300</v>
      </c>
      <c r="G138" s="982"/>
      <c r="H138" s="95"/>
      <c r="I138" s="1064"/>
      <c r="J138" s="613"/>
      <c r="K138" s="6"/>
      <c r="L138" s="622"/>
      <c r="M138" s="982"/>
      <c r="N138" s="622"/>
      <c r="O138" s="1063"/>
      <c r="P138" s="622"/>
      <c r="Q138" s="982"/>
      <c r="R138" s="861"/>
    </row>
    <row r="139" spans="1:21" s="224" customFormat="1" ht="15" customHeight="1" x14ac:dyDescent="0.25">
      <c r="A139" s="247">
        <v>46013</v>
      </c>
      <c r="B139" s="882" t="s">
        <v>14</v>
      </c>
      <c r="C139" s="879" t="s">
        <v>12</v>
      </c>
      <c r="D139" s="879" t="s">
        <v>1486</v>
      </c>
      <c r="E139" s="480" t="s">
        <v>13</v>
      </c>
      <c r="F139" s="780">
        <v>4.78</v>
      </c>
      <c r="G139" s="982"/>
      <c r="H139" s="622"/>
      <c r="I139" s="982"/>
      <c r="J139" s="872"/>
      <c r="K139" s="1207"/>
      <c r="L139" s="622"/>
      <c r="M139" s="982"/>
      <c r="N139" s="622"/>
      <c r="O139" s="1063"/>
      <c r="P139" s="622"/>
      <c r="Q139" s="982"/>
      <c r="R139" s="1028"/>
      <c r="S139" s="959"/>
      <c r="T139" s="878"/>
      <c r="U139" s="958"/>
    </row>
    <row r="140" spans="1:21" s="224" customFormat="1" ht="15" customHeight="1" x14ac:dyDescent="0.25">
      <c r="A140" s="247">
        <v>46013</v>
      </c>
      <c r="B140" s="882" t="s">
        <v>1906</v>
      </c>
      <c r="C140" s="879" t="s">
        <v>12</v>
      </c>
      <c r="D140" s="879" t="s">
        <v>1493</v>
      </c>
      <c r="E140" s="871" t="s">
        <v>13</v>
      </c>
      <c r="F140" s="780">
        <v>10</v>
      </c>
      <c r="G140" s="982"/>
      <c r="H140" s="95"/>
      <c r="I140" s="1064"/>
      <c r="J140" s="613"/>
      <c r="K140" s="6"/>
      <c r="L140" s="622"/>
      <c r="M140" s="982"/>
      <c r="N140" s="622"/>
      <c r="O140" s="1063"/>
      <c r="P140" s="622"/>
      <c r="Q140" s="982"/>
      <c r="R140" s="861"/>
    </row>
    <row r="141" spans="1:21" s="224" customFormat="1" ht="15" customHeight="1" x14ac:dyDescent="0.25">
      <c r="A141" s="247">
        <v>46014</v>
      </c>
      <c r="B141" s="882" t="s">
        <v>6329</v>
      </c>
      <c r="C141" s="879" t="s">
        <v>12</v>
      </c>
      <c r="D141" s="879"/>
      <c r="E141" s="875" t="s">
        <v>25</v>
      </c>
      <c r="F141" s="780"/>
      <c r="G141" s="3014"/>
      <c r="H141" s="1008"/>
      <c r="I141" s="1063"/>
      <c r="J141" s="613"/>
      <c r="K141" s="982"/>
      <c r="L141" s="622"/>
      <c r="M141" s="982"/>
      <c r="N141" s="622"/>
      <c r="O141" s="1063"/>
      <c r="P141" s="622"/>
      <c r="Q141" s="982"/>
      <c r="R141" s="861"/>
    </row>
    <row r="142" spans="1:21" s="224" customFormat="1" ht="15" customHeight="1" x14ac:dyDescent="0.25">
      <c r="A142" s="247">
        <v>46014</v>
      </c>
      <c r="B142" s="1275" t="s">
        <v>32</v>
      </c>
      <c r="C142" s="1276" t="s">
        <v>12</v>
      </c>
      <c r="D142" s="1276" t="s">
        <v>1485</v>
      </c>
      <c r="E142" s="875" t="s">
        <v>13</v>
      </c>
      <c r="F142" s="780">
        <v>23</v>
      </c>
      <c r="G142" s="982"/>
      <c r="H142" s="1008"/>
      <c r="I142" s="1063"/>
      <c r="J142" s="622"/>
      <c r="K142" s="982"/>
      <c r="L142" s="622"/>
      <c r="M142" s="982"/>
      <c r="N142" s="622"/>
      <c r="O142" s="1063"/>
      <c r="P142" s="622"/>
      <c r="Q142" s="982"/>
      <c r="R142" s="1956"/>
    </row>
    <row r="143" spans="1:21" s="224" customFormat="1" ht="15" customHeight="1" x14ac:dyDescent="0.25">
      <c r="A143" s="247">
        <v>46014</v>
      </c>
      <c r="B143" s="1275" t="s">
        <v>17</v>
      </c>
      <c r="C143" s="1276" t="s">
        <v>12</v>
      </c>
      <c r="D143" s="1276" t="s">
        <v>1493</v>
      </c>
      <c r="E143" s="875" t="s">
        <v>13</v>
      </c>
      <c r="F143" s="780">
        <v>4</v>
      </c>
      <c r="G143" s="982"/>
      <c r="H143" s="1008"/>
      <c r="I143" s="1063"/>
      <c r="J143" s="622"/>
      <c r="K143" s="982"/>
      <c r="L143" s="622"/>
      <c r="M143" s="982"/>
      <c r="N143" s="622"/>
      <c r="O143" s="1063"/>
      <c r="P143" s="622"/>
      <c r="Q143" s="982"/>
      <c r="R143" s="1956"/>
    </row>
    <row r="144" spans="1:21" s="224" customFormat="1" ht="15" customHeight="1" x14ac:dyDescent="0.25">
      <c r="A144" s="247">
        <v>46014</v>
      </c>
      <c r="B144" s="882" t="s">
        <v>8653</v>
      </c>
      <c r="C144" s="879" t="s">
        <v>12</v>
      </c>
      <c r="D144" s="879" t="s">
        <v>1489</v>
      </c>
      <c r="E144" s="871" t="s">
        <v>13</v>
      </c>
      <c r="F144" s="780">
        <v>61.92</v>
      </c>
      <c r="G144" s="982"/>
      <c r="H144" s="95"/>
      <c r="I144" s="1064"/>
      <c r="J144" s="613"/>
      <c r="K144" s="6"/>
      <c r="L144" s="622"/>
      <c r="M144" s="982"/>
      <c r="N144" s="622"/>
      <c r="O144" s="1063"/>
      <c r="P144" s="622"/>
      <c r="Q144" s="982"/>
      <c r="R144" s="861"/>
    </row>
    <row r="145" spans="1:21" s="224" customFormat="1" ht="15" customHeight="1" x14ac:dyDescent="0.25">
      <c r="A145" s="247">
        <v>46014</v>
      </c>
      <c r="B145" s="882" t="s">
        <v>8671</v>
      </c>
      <c r="C145" s="879" t="s">
        <v>12</v>
      </c>
      <c r="D145" s="879" t="s">
        <v>1506</v>
      </c>
      <c r="E145" s="871" t="s">
        <v>13</v>
      </c>
      <c r="F145" s="780">
        <v>45</v>
      </c>
      <c r="G145" s="982"/>
      <c r="H145" s="95"/>
      <c r="I145" s="1064"/>
      <c r="J145" s="613"/>
      <c r="K145" s="6"/>
      <c r="L145" s="622"/>
      <c r="M145" s="982"/>
      <c r="N145" s="622"/>
      <c r="O145" s="1063"/>
      <c r="P145" s="622"/>
      <c r="Q145" s="982"/>
      <c r="R145" s="861"/>
    </row>
    <row r="146" spans="1:21" s="224" customFormat="1" ht="15" customHeight="1" x14ac:dyDescent="0.25">
      <c r="A146" s="247">
        <v>46014</v>
      </c>
      <c r="B146" s="882" t="s">
        <v>23</v>
      </c>
      <c r="C146" s="879" t="s">
        <v>12</v>
      </c>
      <c r="D146" s="879" t="s">
        <v>1489</v>
      </c>
      <c r="E146" s="871" t="s">
        <v>13</v>
      </c>
      <c r="F146" s="780">
        <v>17</v>
      </c>
      <c r="G146" s="982"/>
      <c r="H146" s="95"/>
      <c r="I146" s="1064"/>
      <c r="J146" s="613"/>
      <c r="K146" s="6"/>
      <c r="L146" s="622"/>
      <c r="M146" s="982"/>
      <c r="N146" s="622"/>
      <c r="O146" s="1063"/>
      <c r="P146" s="622"/>
      <c r="Q146" s="982"/>
      <c r="R146" s="861"/>
    </row>
    <row r="147" spans="1:21" s="224" customFormat="1" ht="15" customHeight="1" x14ac:dyDescent="0.25">
      <c r="A147" s="247">
        <v>46014</v>
      </c>
      <c r="B147" s="882" t="s">
        <v>82</v>
      </c>
      <c r="C147" s="879" t="s">
        <v>12</v>
      </c>
      <c r="D147" s="879" t="s">
        <v>1493</v>
      </c>
      <c r="E147" s="871" t="s">
        <v>13</v>
      </c>
      <c r="F147" s="780">
        <v>59.1</v>
      </c>
      <c r="G147" s="982"/>
      <c r="H147" s="95"/>
      <c r="I147" s="1064"/>
      <c r="J147" s="613"/>
      <c r="K147" s="6"/>
      <c r="L147" s="622"/>
      <c r="M147" s="982"/>
      <c r="N147" s="622"/>
      <c r="O147" s="1063"/>
      <c r="P147" s="622"/>
      <c r="Q147" s="982"/>
      <c r="R147" s="861"/>
    </row>
    <row r="148" spans="1:21" s="224" customFormat="1" ht="15" customHeight="1" x14ac:dyDescent="0.25">
      <c r="A148" s="247">
        <v>46015</v>
      </c>
      <c r="B148" s="882" t="s">
        <v>14</v>
      </c>
      <c r="C148" s="879" t="s">
        <v>12</v>
      </c>
      <c r="D148" s="879" t="s">
        <v>1486</v>
      </c>
      <c r="E148" s="480" t="s">
        <v>13</v>
      </c>
      <c r="F148" s="780">
        <v>3.27</v>
      </c>
      <c r="G148" s="982"/>
      <c r="H148" s="622"/>
      <c r="I148" s="982"/>
      <c r="J148" s="872"/>
      <c r="K148" s="1207"/>
      <c r="L148" s="622"/>
      <c r="M148" s="982"/>
      <c r="N148" s="622"/>
      <c r="O148" s="1063"/>
      <c r="P148" s="622"/>
      <c r="Q148" s="982"/>
      <c r="R148" s="1028"/>
      <c r="S148" s="959"/>
      <c r="T148" s="878"/>
      <c r="U148" s="958"/>
    </row>
    <row r="149" spans="1:21" s="224" customFormat="1" ht="15" customHeight="1" x14ac:dyDescent="0.25">
      <c r="A149" s="247">
        <v>46015</v>
      </c>
      <c r="B149" s="882" t="s">
        <v>8654</v>
      </c>
      <c r="C149" s="879" t="s">
        <v>12</v>
      </c>
      <c r="D149" s="879" t="s">
        <v>6731</v>
      </c>
      <c r="E149" s="875" t="s">
        <v>13</v>
      </c>
      <c r="F149" s="780">
        <v>48.48</v>
      </c>
      <c r="G149" s="982"/>
      <c r="H149" s="622"/>
      <c r="I149" s="982"/>
      <c r="J149" s="1116"/>
      <c r="K149" s="1207"/>
      <c r="L149" s="622"/>
      <c r="M149" s="982"/>
      <c r="N149" s="622"/>
      <c r="O149" s="1063"/>
      <c r="P149" s="880"/>
      <c r="Q149" s="1033"/>
      <c r="R149" s="927"/>
      <c r="T149" s="878"/>
    </row>
    <row r="150" spans="1:21" s="224" customFormat="1" ht="15" customHeight="1" x14ac:dyDescent="0.25">
      <c r="A150" s="247">
        <v>46015</v>
      </c>
      <c r="B150" s="882" t="s">
        <v>8655</v>
      </c>
      <c r="C150" s="879" t="s">
        <v>12</v>
      </c>
      <c r="D150" s="879" t="s">
        <v>1523</v>
      </c>
      <c r="E150" s="480" t="s">
        <v>13</v>
      </c>
      <c r="F150" s="780">
        <v>79.489999999999995</v>
      </c>
      <c r="G150" s="982"/>
      <c r="H150" s="622"/>
      <c r="I150" s="982"/>
      <c r="J150" s="872"/>
      <c r="K150" s="1207"/>
      <c r="L150" s="622"/>
      <c r="M150" s="982"/>
      <c r="N150" s="622"/>
      <c r="O150" s="1063"/>
      <c r="P150" s="622"/>
      <c r="Q150" s="982"/>
      <c r="R150" s="1028"/>
      <c r="S150" s="959"/>
      <c r="T150" s="878"/>
      <c r="U150" s="958"/>
    </row>
    <row r="151" spans="1:21" s="224" customFormat="1" ht="15" customHeight="1" x14ac:dyDescent="0.25">
      <c r="A151" s="247">
        <v>46015</v>
      </c>
      <c r="B151" s="882" t="s">
        <v>8656</v>
      </c>
      <c r="C151" s="879" t="s">
        <v>12</v>
      </c>
      <c r="D151" s="879" t="s">
        <v>1523</v>
      </c>
      <c r="E151" s="480" t="s">
        <v>13</v>
      </c>
      <c r="F151" s="780">
        <v>62.16</v>
      </c>
      <c r="G151" s="982"/>
      <c r="H151" s="622"/>
      <c r="I151" s="982"/>
      <c r="J151" s="872"/>
      <c r="K151" s="1207"/>
      <c r="L151" s="622"/>
      <c r="M151" s="982"/>
      <c r="N151" s="622"/>
      <c r="O151" s="1063"/>
      <c r="P151" s="622"/>
      <c r="Q151" s="982"/>
      <c r="R151" s="1028"/>
      <c r="S151" s="959"/>
      <c r="T151" s="878"/>
      <c r="U151" s="958"/>
    </row>
    <row r="152" spans="1:21" s="224" customFormat="1" ht="15" customHeight="1" x14ac:dyDescent="0.25">
      <c r="A152" s="247">
        <v>46015</v>
      </c>
      <c r="B152" s="882" t="s">
        <v>8656</v>
      </c>
      <c r="C152" s="879" t="s">
        <v>12</v>
      </c>
      <c r="D152" s="879" t="s">
        <v>1523</v>
      </c>
      <c r="E152" s="480" t="s">
        <v>5470</v>
      </c>
      <c r="F152" s="780">
        <v>30</v>
      </c>
      <c r="G152" s="982"/>
      <c r="H152" s="622"/>
      <c r="I152" s="982"/>
      <c r="J152" s="1116"/>
      <c r="K152" s="1207"/>
      <c r="L152" s="622"/>
      <c r="M152" s="982"/>
      <c r="N152" s="622"/>
      <c r="O152" s="1063"/>
      <c r="P152" s="880"/>
      <c r="Q152" s="1033"/>
      <c r="R152" s="927"/>
      <c r="T152" s="878"/>
    </row>
    <row r="153" spans="1:21" s="224" customFormat="1" ht="15" customHeight="1" x14ac:dyDescent="0.25">
      <c r="A153" s="247">
        <v>46015</v>
      </c>
      <c r="B153" s="882" t="s">
        <v>8657</v>
      </c>
      <c r="C153" s="879" t="s">
        <v>12</v>
      </c>
      <c r="D153" s="879"/>
      <c r="E153" s="480"/>
      <c r="F153" s="780"/>
      <c r="G153" s="982">
        <v>400</v>
      </c>
      <c r="H153" s="622">
        <v>400</v>
      </c>
      <c r="I153" s="982"/>
      <c r="J153" s="1116"/>
      <c r="K153" s="1207"/>
      <c r="L153" s="622"/>
      <c r="M153" s="982"/>
      <c r="N153" s="622"/>
      <c r="O153" s="1063"/>
      <c r="P153" s="880"/>
      <c r="Q153" s="1033"/>
      <c r="R153" s="927"/>
      <c r="T153" s="878"/>
    </row>
    <row r="154" spans="1:21" s="224" customFormat="1" ht="15" customHeight="1" x14ac:dyDescent="0.25">
      <c r="A154" s="247">
        <v>46015</v>
      </c>
      <c r="B154" s="882" t="s">
        <v>147</v>
      </c>
      <c r="C154" s="879" t="s">
        <v>12</v>
      </c>
      <c r="D154" s="879" t="s">
        <v>1506</v>
      </c>
      <c r="E154" s="480" t="s">
        <v>13</v>
      </c>
      <c r="F154" s="780">
        <v>20</v>
      </c>
      <c r="G154" s="982"/>
      <c r="H154" s="622"/>
      <c r="I154" s="982"/>
      <c r="J154" s="1116"/>
      <c r="K154" s="1207"/>
      <c r="L154" s="622"/>
      <c r="M154" s="982"/>
      <c r="N154" s="622"/>
      <c r="O154" s="1063"/>
      <c r="P154" s="880"/>
      <c r="Q154" s="1033"/>
      <c r="R154" s="927"/>
      <c r="T154" s="878"/>
    </row>
    <row r="155" spans="1:21" s="224" customFormat="1" ht="15" customHeight="1" x14ac:dyDescent="0.25">
      <c r="A155" s="247">
        <v>46015</v>
      </c>
      <c r="B155" s="882" t="s">
        <v>7122</v>
      </c>
      <c r="C155" s="879" t="s">
        <v>12</v>
      </c>
      <c r="D155" s="879" t="s">
        <v>1489</v>
      </c>
      <c r="E155" s="480" t="s">
        <v>13</v>
      </c>
      <c r="F155" s="780">
        <v>15</v>
      </c>
      <c r="G155" s="982"/>
      <c r="H155" s="622"/>
      <c r="I155" s="982"/>
      <c r="J155" s="1116"/>
      <c r="K155" s="1207"/>
      <c r="L155" s="622"/>
      <c r="M155" s="982"/>
      <c r="N155" s="622"/>
      <c r="O155" s="1063"/>
      <c r="P155" s="880"/>
      <c r="Q155" s="1033"/>
      <c r="R155" s="927"/>
      <c r="T155" s="878"/>
    </row>
    <row r="156" spans="1:21" s="224" customFormat="1" ht="15" customHeight="1" x14ac:dyDescent="0.25">
      <c r="A156" s="247">
        <v>46015</v>
      </c>
      <c r="B156" s="882" t="s">
        <v>8673</v>
      </c>
      <c r="C156" s="879" t="s">
        <v>12</v>
      </c>
      <c r="D156" s="879"/>
      <c r="E156" s="480"/>
      <c r="F156" s="780"/>
      <c r="G156" s="982">
        <v>1795.62</v>
      </c>
      <c r="H156" s="622"/>
      <c r="I156" s="982"/>
      <c r="J156" s="1116"/>
      <c r="K156" s="1207"/>
      <c r="L156" s="622">
        <v>1795.62</v>
      </c>
      <c r="M156" s="982"/>
      <c r="N156" s="622"/>
      <c r="O156" s="1063"/>
      <c r="P156" s="880"/>
      <c r="Q156" s="1033"/>
      <c r="R156" s="927"/>
      <c r="T156" s="878"/>
    </row>
    <row r="157" spans="1:21" s="224" customFormat="1" ht="15" customHeight="1" x14ac:dyDescent="0.25">
      <c r="A157" s="247">
        <v>46016</v>
      </c>
      <c r="B157" s="882" t="s">
        <v>14</v>
      </c>
      <c r="C157" s="879" t="s">
        <v>12</v>
      </c>
      <c r="D157" s="879" t="s">
        <v>1486</v>
      </c>
      <c r="E157" s="480" t="s">
        <v>13</v>
      </c>
      <c r="F157" s="780">
        <v>2.52</v>
      </c>
      <c r="G157" s="982"/>
      <c r="H157" s="622"/>
      <c r="I157" s="982"/>
      <c r="J157" s="872"/>
      <c r="K157" s="1207"/>
      <c r="L157" s="622"/>
      <c r="M157" s="982"/>
      <c r="N157" s="622"/>
      <c r="O157" s="1063"/>
      <c r="P157" s="622"/>
      <c r="Q157" s="982"/>
      <c r="R157" s="1028"/>
      <c r="S157" s="959"/>
      <c r="T157" s="878"/>
      <c r="U157" s="958"/>
    </row>
    <row r="158" spans="1:21" s="224" customFormat="1" ht="15" customHeight="1" x14ac:dyDescent="0.25">
      <c r="A158" s="247">
        <v>46016</v>
      </c>
      <c r="B158" s="882" t="s">
        <v>6329</v>
      </c>
      <c r="C158" s="879" t="s">
        <v>12</v>
      </c>
      <c r="D158" s="879"/>
      <c r="E158" s="875" t="s">
        <v>25</v>
      </c>
      <c r="F158" s="780"/>
      <c r="G158" s="982">
        <v>125</v>
      </c>
      <c r="H158" s="1008"/>
      <c r="I158" s="1063"/>
      <c r="J158" s="613"/>
      <c r="K158" s="982"/>
      <c r="L158" s="622"/>
      <c r="M158" s="982"/>
      <c r="N158" s="622"/>
      <c r="O158" s="1063"/>
      <c r="P158" s="622"/>
      <c r="Q158" s="982"/>
      <c r="R158" s="861"/>
    </row>
    <row r="159" spans="1:21" s="224" customFormat="1" ht="15" customHeight="1" x14ac:dyDescent="0.25">
      <c r="A159" s="247">
        <v>46016</v>
      </c>
      <c r="B159" s="882" t="s">
        <v>8658</v>
      </c>
      <c r="C159" s="879" t="s">
        <v>12</v>
      </c>
      <c r="D159" s="879" t="s">
        <v>2157</v>
      </c>
      <c r="E159" s="871" t="s">
        <v>13</v>
      </c>
      <c r="F159" s="780">
        <v>150</v>
      </c>
      <c r="G159" s="982"/>
      <c r="H159" s="95"/>
      <c r="I159" s="1064"/>
      <c r="J159" s="613"/>
      <c r="K159" s="6"/>
      <c r="L159" s="622"/>
      <c r="M159" s="982"/>
      <c r="N159" s="622"/>
      <c r="O159" s="1063"/>
      <c r="P159" s="1110"/>
      <c r="Q159" s="1208"/>
      <c r="R159" s="1028"/>
      <c r="U159" s="958"/>
    </row>
    <row r="160" spans="1:21" s="224" customFormat="1" ht="15" customHeight="1" x14ac:dyDescent="0.25">
      <c r="A160" s="247">
        <v>46016</v>
      </c>
      <c r="B160" s="882" t="s">
        <v>14</v>
      </c>
      <c r="C160" s="879" t="s">
        <v>12</v>
      </c>
      <c r="D160" s="879" t="s">
        <v>1486</v>
      </c>
      <c r="E160" s="480" t="s">
        <v>13</v>
      </c>
      <c r="F160" s="780">
        <v>20.51</v>
      </c>
      <c r="G160" s="982"/>
      <c r="H160" s="622"/>
      <c r="I160" s="982"/>
      <c r="J160" s="872"/>
      <c r="K160" s="1207"/>
      <c r="L160" s="622"/>
      <c r="M160" s="982"/>
      <c r="N160" s="622"/>
      <c r="O160" s="1063"/>
      <c r="P160" s="622"/>
      <c r="Q160" s="982"/>
      <c r="R160" s="1028"/>
      <c r="S160" s="959"/>
      <c r="T160" s="878"/>
      <c r="U160" s="958"/>
    </row>
    <row r="161" spans="1:21" s="224" customFormat="1" ht="15" customHeight="1" x14ac:dyDescent="0.25">
      <c r="A161" s="247">
        <v>46017</v>
      </c>
      <c r="B161" s="882" t="s">
        <v>8659</v>
      </c>
      <c r="C161" s="879" t="s">
        <v>12</v>
      </c>
      <c r="D161" s="879" t="s">
        <v>1523</v>
      </c>
      <c r="E161" s="871" t="s">
        <v>13</v>
      </c>
      <c r="F161" s="780">
        <v>3.5</v>
      </c>
      <c r="G161" s="982"/>
      <c r="H161" s="95"/>
      <c r="I161" s="1064"/>
      <c r="J161" s="613"/>
      <c r="K161" s="6"/>
      <c r="L161" s="622"/>
      <c r="M161" s="982"/>
      <c r="N161" s="622"/>
      <c r="O161" s="1063"/>
      <c r="P161" s="622"/>
      <c r="Q161" s="982"/>
      <c r="R161" s="1028"/>
      <c r="U161" s="958"/>
    </row>
    <row r="162" spans="1:21" s="224" customFormat="1" ht="15" customHeight="1" x14ac:dyDescent="0.25">
      <c r="A162" s="247">
        <v>46017</v>
      </c>
      <c r="B162" s="882" t="s">
        <v>8659</v>
      </c>
      <c r="C162" s="879" t="s">
        <v>12</v>
      </c>
      <c r="D162" s="879" t="s">
        <v>1523</v>
      </c>
      <c r="E162" s="871" t="s">
        <v>13</v>
      </c>
      <c r="F162" s="780">
        <v>5.7</v>
      </c>
      <c r="G162" s="982"/>
      <c r="H162" s="95"/>
      <c r="I162" s="1064"/>
      <c r="J162" s="613"/>
      <c r="K162" s="6"/>
      <c r="L162" s="622"/>
      <c r="M162" s="982"/>
      <c r="N162" s="622"/>
      <c r="O162" s="1063"/>
      <c r="P162" s="622"/>
      <c r="Q162" s="982"/>
      <c r="R162" s="1028"/>
      <c r="U162" s="958"/>
    </row>
    <row r="163" spans="1:21" s="224" customFormat="1" ht="15" customHeight="1" x14ac:dyDescent="0.25">
      <c r="A163" s="247">
        <v>46017</v>
      </c>
      <c r="B163" s="882" t="s">
        <v>8659</v>
      </c>
      <c r="C163" s="879" t="s">
        <v>12</v>
      </c>
      <c r="D163" s="879" t="s">
        <v>1523</v>
      </c>
      <c r="E163" s="871" t="s">
        <v>13</v>
      </c>
      <c r="F163" s="780">
        <v>5.4</v>
      </c>
      <c r="G163" s="982"/>
      <c r="H163" s="95"/>
      <c r="I163" s="1064"/>
      <c r="J163" s="613"/>
      <c r="K163" s="6"/>
      <c r="L163" s="622"/>
      <c r="M163" s="982"/>
      <c r="N163" s="622"/>
      <c r="O163" s="1063"/>
      <c r="P163" s="622"/>
      <c r="Q163" s="982"/>
      <c r="R163" s="1028"/>
      <c r="U163" s="958"/>
    </row>
    <row r="164" spans="1:21" s="224" customFormat="1" ht="15" customHeight="1" x14ac:dyDescent="0.25">
      <c r="A164" s="247">
        <v>46017</v>
      </c>
      <c r="B164" s="882" t="s">
        <v>8659</v>
      </c>
      <c r="C164" s="879" t="s">
        <v>12</v>
      </c>
      <c r="D164" s="879" t="s">
        <v>1523</v>
      </c>
      <c r="E164" s="871" t="s">
        <v>13</v>
      </c>
      <c r="F164" s="780">
        <v>5.8</v>
      </c>
      <c r="G164" s="982"/>
      <c r="H164" s="95"/>
      <c r="I164" s="1064"/>
      <c r="J164" s="613"/>
      <c r="K164" s="6"/>
      <c r="L164" s="622"/>
      <c r="M164" s="982"/>
      <c r="N164" s="622"/>
      <c r="O164" s="1063"/>
      <c r="P164" s="622"/>
      <c r="Q164" s="982"/>
      <c r="R164" s="1028"/>
      <c r="U164" s="958"/>
    </row>
    <row r="165" spans="1:21" s="224" customFormat="1" ht="15" customHeight="1" x14ac:dyDescent="0.25">
      <c r="A165" s="247">
        <v>46017</v>
      </c>
      <c r="B165" s="882" t="s">
        <v>8659</v>
      </c>
      <c r="C165" s="879" t="s">
        <v>12</v>
      </c>
      <c r="D165" s="879" t="s">
        <v>1523</v>
      </c>
      <c r="E165" s="871" t="s">
        <v>13</v>
      </c>
      <c r="F165" s="780">
        <v>12.3</v>
      </c>
      <c r="G165" s="982"/>
      <c r="H165" s="95"/>
      <c r="I165" s="1064"/>
      <c r="J165" s="613"/>
      <c r="K165" s="6"/>
      <c r="L165" s="622"/>
      <c r="M165" s="982"/>
      <c r="N165" s="622"/>
      <c r="O165" s="1063"/>
      <c r="P165" s="622"/>
      <c r="Q165" s="982"/>
      <c r="R165" s="1028"/>
      <c r="U165" s="958"/>
    </row>
    <row r="166" spans="1:21" s="224" customFormat="1" ht="15" customHeight="1" x14ac:dyDescent="0.25">
      <c r="A166" s="247">
        <v>46017</v>
      </c>
      <c r="B166" s="882" t="s">
        <v>8660</v>
      </c>
      <c r="C166" s="879" t="s">
        <v>12</v>
      </c>
      <c r="D166" s="879" t="s">
        <v>1523</v>
      </c>
      <c r="E166" s="871" t="s">
        <v>13</v>
      </c>
      <c r="F166" s="780">
        <v>5.5</v>
      </c>
      <c r="G166" s="982"/>
      <c r="H166" s="95"/>
      <c r="I166" s="1064"/>
      <c r="J166" s="622"/>
      <c r="K166" s="982"/>
      <c r="L166" s="622"/>
      <c r="M166" s="982"/>
      <c r="N166" s="622"/>
      <c r="O166" s="1063"/>
      <c r="P166" s="622"/>
      <c r="Q166" s="982"/>
      <c r="R166" s="1028"/>
      <c r="U166" s="958"/>
    </row>
    <row r="167" spans="1:21" s="224" customFormat="1" ht="15" customHeight="1" x14ac:dyDescent="0.25">
      <c r="A167" s="247">
        <v>46017</v>
      </c>
      <c r="B167" s="882" t="s">
        <v>8661</v>
      </c>
      <c r="C167" s="879" t="s">
        <v>12</v>
      </c>
      <c r="D167" s="879" t="s">
        <v>1523</v>
      </c>
      <c r="E167" s="871" t="s">
        <v>15</v>
      </c>
      <c r="F167" s="780">
        <v>20</v>
      </c>
      <c r="G167" s="982"/>
      <c r="H167" s="95"/>
      <c r="I167" s="1064"/>
      <c r="J167" s="622"/>
      <c r="K167" s="982"/>
      <c r="L167" s="622"/>
      <c r="M167" s="982"/>
      <c r="N167" s="622"/>
      <c r="O167" s="1063"/>
      <c r="P167" s="622"/>
      <c r="Q167" s="982"/>
      <c r="R167" s="1028"/>
      <c r="U167" s="958"/>
    </row>
    <row r="168" spans="1:21" s="224" customFormat="1" ht="15" customHeight="1" x14ac:dyDescent="0.25">
      <c r="A168" s="247">
        <v>46017</v>
      </c>
      <c r="B168" s="882" t="s">
        <v>8662</v>
      </c>
      <c r="C168" s="879" t="s">
        <v>12</v>
      </c>
      <c r="D168" s="879" t="s">
        <v>1506</v>
      </c>
      <c r="E168" s="871" t="s">
        <v>13</v>
      </c>
      <c r="F168" s="780">
        <v>25</v>
      </c>
      <c r="G168" s="982"/>
      <c r="H168" s="95"/>
      <c r="I168" s="1064"/>
      <c r="J168" s="622"/>
      <c r="K168" s="982"/>
      <c r="L168" s="622"/>
      <c r="M168" s="982"/>
      <c r="N168" s="622"/>
      <c r="O168" s="1063"/>
      <c r="P168" s="622"/>
      <c r="Q168" s="982"/>
      <c r="R168" s="1028"/>
      <c r="U168" s="958"/>
    </row>
    <row r="169" spans="1:21" s="224" customFormat="1" ht="15" customHeight="1" x14ac:dyDescent="0.25">
      <c r="A169" s="247">
        <v>46017</v>
      </c>
      <c r="B169" s="882" t="s">
        <v>8663</v>
      </c>
      <c r="C169" s="879" t="s">
        <v>12</v>
      </c>
      <c r="D169" s="879" t="s">
        <v>1485</v>
      </c>
      <c r="E169" s="871" t="s">
        <v>13</v>
      </c>
      <c r="F169" s="780">
        <v>60</v>
      </c>
      <c r="G169" s="982"/>
      <c r="H169" s="95"/>
      <c r="I169" s="1064"/>
      <c r="J169" s="622"/>
      <c r="K169" s="982"/>
      <c r="L169" s="622"/>
      <c r="M169" s="982"/>
      <c r="N169" s="622"/>
      <c r="O169" s="1063"/>
      <c r="P169" s="622"/>
      <c r="Q169" s="982"/>
      <c r="R169" s="1028"/>
      <c r="U169" s="958"/>
    </row>
    <row r="170" spans="1:21" s="224" customFormat="1" ht="15" customHeight="1" x14ac:dyDescent="0.25">
      <c r="A170" s="247">
        <v>46017</v>
      </c>
      <c r="B170" s="882" t="s">
        <v>8664</v>
      </c>
      <c r="C170" s="879" t="s">
        <v>12</v>
      </c>
      <c r="D170" s="879" t="s">
        <v>1523</v>
      </c>
      <c r="E170" s="871" t="s">
        <v>13</v>
      </c>
      <c r="F170" s="780">
        <v>15</v>
      </c>
      <c r="G170" s="982"/>
      <c r="H170" s="95"/>
      <c r="I170" s="1064"/>
      <c r="J170" s="622"/>
      <c r="K170" s="982"/>
      <c r="L170" s="622"/>
      <c r="M170" s="982"/>
      <c r="N170" s="622"/>
      <c r="O170" s="1063"/>
      <c r="P170" s="622"/>
      <c r="Q170" s="982"/>
      <c r="R170" s="1028"/>
      <c r="U170" s="958"/>
    </row>
    <row r="171" spans="1:21" s="224" customFormat="1" ht="15" customHeight="1" x14ac:dyDescent="0.25">
      <c r="A171" s="247">
        <v>46017</v>
      </c>
      <c r="B171" s="882" t="s">
        <v>8658</v>
      </c>
      <c r="C171" s="879" t="s">
        <v>12</v>
      </c>
      <c r="D171" s="879" t="s">
        <v>2157</v>
      </c>
      <c r="E171" s="871" t="s">
        <v>13</v>
      </c>
      <c r="F171" s="780">
        <v>95.8</v>
      </c>
      <c r="G171" s="982"/>
      <c r="H171" s="95"/>
      <c r="I171" s="1064"/>
      <c r="J171" s="613"/>
      <c r="K171" s="6"/>
      <c r="L171" s="622"/>
      <c r="M171" s="982"/>
      <c r="N171" s="622"/>
      <c r="O171" s="1063"/>
      <c r="P171" s="613"/>
      <c r="Q171" s="64"/>
      <c r="R171" s="1028"/>
      <c r="U171" s="958"/>
    </row>
    <row r="172" spans="1:21" s="224" customFormat="1" ht="15" customHeight="1" x14ac:dyDescent="0.25">
      <c r="A172" s="247">
        <v>46017</v>
      </c>
      <c r="B172" s="882" t="s">
        <v>8665</v>
      </c>
      <c r="C172" s="879" t="s">
        <v>12</v>
      </c>
      <c r="D172" s="879" t="s">
        <v>1493</v>
      </c>
      <c r="E172" s="871" t="s">
        <v>13</v>
      </c>
      <c r="F172" s="780">
        <v>28</v>
      </c>
      <c r="G172" s="982"/>
      <c r="H172" s="95"/>
      <c r="I172" s="1064"/>
      <c r="J172" s="613"/>
      <c r="K172" s="6"/>
      <c r="L172" s="622"/>
      <c r="M172" s="982"/>
      <c r="N172" s="622"/>
      <c r="O172" s="1063"/>
      <c r="P172" s="1110"/>
      <c r="Q172" s="1208"/>
      <c r="R172" s="1028"/>
      <c r="U172" s="958"/>
    </row>
    <row r="173" spans="1:21" s="224" customFormat="1" ht="15" customHeight="1" x14ac:dyDescent="0.25">
      <c r="A173" s="247">
        <v>46018</v>
      </c>
      <c r="B173" s="882" t="s">
        <v>8664</v>
      </c>
      <c r="C173" s="879" t="s">
        <v>12</v>
      </c>
      <c r="D173" s="879" t="s">
        <v>1523</v>
      </c>
      <c r="E173" s="871" t="s">
        <v>13</v>
      </c>
      <c r="F173" s="780">
        <v>18</v>
      </c>
      <c r="G173" s="982"/>
      <c r="H173" s="95"/>
      <c r="I173" s="1064"/>
      <c r="J173" s="622"/>
      <c r="K173" s="982"/>
      <c r="L173" s="622"/>
      <c r="M173" s="982"/>
      <c r="N173" s="622"/>
      <c r="O173" s="1063"/>
      <c r="P173" s="622"/>
      <c r="Q173" s="982"/>
      <c r="R173" s="1028"/>
      <c r="U173" s="958"/>
    </row>
    <row r="174" spans="1:21" s="224" customFormat="1" ht="15" customHeight="1" x14ac:dyDescent="0.25">
      <c r="A174" s="247">
        <v>46018</v>
      </c>
      <c r="B174" s="882" t="s">
        <v>8663</v>
      </c>
      <c r="C174" s="879" t="s">
        <v>12</v>
      </c>
      <c r="D174" s="879" t="s">
        <v>1485</v>
      </c>
      <c r="E174" s="875" t="s">
        <v>13</v>
      </c>
      <c r="F174" s="780">
        <v>60</v>
      </c>
      <c r="G174" s="982"/>
      <c r="H174" s="622"/>
      <c r="I174" s="982"/>
      <c r="J174" s="872"/>
      <c r="K174" s="1207"/>
      <c r="L174" s="622"/>
      <c r="M174" s="982"/>
      <c r="N174" s="622"/>
      <c r="O174" s="1063"/>
      <c r="P174" s="622"/>
      <c r="Q174" s="982"/>
      <c r="R174" s="1028"/>
      <c r="S174" s="959"/>
      <c r="T174" s="878"/>
      <c r="U174" s="958"/>
    </row>
    <row r="175" spans="1:21" s="224" customFormat="1" ht="15" customHeight="1" x14ac:dyDescent="0.25">
      <c r="A175" s="247">
        <v>46018</v>
      </c>
      <c r="B175" s="882" t="s">
        <v>82</v>
      </c>
      <c r="C175" s="879" t="s">
        <v>12</v>
      </c>
      <c r="D175" s="879" t="s">
        <v>1493</v>
      </c>
      <c r="E175" s="875" t="s">
        <v>13</v>
      </c>
      <c r="F175" s="780">
        <v>59</v>
      </c>
      <c r="G175" s="982"/>
      <c r="H175" s="622"/>
      <c r="I175" s="982"/>
      <c r="J175" s="872"/>
      <c r="K175" s="1207"/>
      <c r="L175" s="622"/>
      <c r="M175" s="982"/>
      <c r="N175" s="622"/>
      <c r="O175" s="1063"/>
      <c r="P175" s="622"/>
      <c r="Q175" s="982"/>
      <c r="R175" s="1028"/>
      <c r="S175" s="959"/>
      <c r="T175" s="878"/>
      <c r="U175" s="958"/>
    </row>
    <row r="176" spans="1:21" s="224" customFormat="1" ht="15" customHeight="1" x14ac:dyDescent="0.25">
      <c r="A176" s="247">
        <v>46019</v>
      </c>
      <c r="B176" s="882" t="s">
        <v>8666</v>
      </c>
      <c r="C176" s="879" t="s">
        <v>12</v>
      </c>
      <c r="D176" s="879" t="s">
        <v>1523</v>
      </c>
      <c r="E176" s="875" t="s">
        <v>13</v>
      </c>
      <c r="F176" s="780">
        <v>48.98</v>
      </c>
      <c r="G176" s="982"/>
      <c r="H176" s="622"/>
      <c r="I176" s="982"/>
      <c r="J176" s="872"/>
      <c r="K176" s="1207"/>
      <c r="L176" s="622"/>
      <c r="M176" s="982"/>
      <c r="N176" s="622"/>
      <c r="O176" s="1063"/>
      <c r="P176" s="622"/>
      <c r="Q176" s="982"/>
      <c r="R176" s="1028"/>
      <c r="S176" s="959"/>
      <c r="T176" s="878"/>
      <c r="U176" s="958"/>
    </row>
    <row r="177" spans="1:42" s="224" customFormat="1" ht="15" customHeight="1" x14ac:dyDescent="0.25">
      <c r="A177" s="247">
        <v>46019</v>
      </c>
      <c r="B177" s="882" t="s">
        <v>8667</v>
      </c>
      <c r="C177" s="879" t="s">
        <v>12</v>
      </c>
      <c r="D177" s="879" t="s">
        <v>1493</v>
      </c>
      <c r="E177" s="875" t="s">
        <v>13</v>
      </c>
      <c r="F177" s="780">
        <v>55</v>
      </c>
      <c r="G177" s="982"/>
      <c r="H177" s="622"/>
      <c r="I177" s="982"/>
      <c r="J177" s="622"/>
      <c r="K177" s="982"/>
      <c r="L177" s="622"/>
      <c r="M177" s="982"/>
      <c r="N177" s="880"/>
      <c r="O177" s="1525"/>
      <c r="P177" s="613"/>
      <c r="Q177" s="162"/>
      <c r="R177" s="1956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</row>
    <row r="178" spans="1:42" s="224" customFormat="1" ht="15" customHeight="1" x14ac:dyDescent="0.25">
      <c r="A178" s="247">
        <v>46019</v>
      </c>
      <c r="B178" s="882" t="s">
        <v>8663</v>
      </c>
      <c r="C178" s="879" t="s">
        <v>12</v>
      </c>
      <c r="D178" s="879" t="s">
        <v>1485</v>
      </c>
      <c r="E178" s="875" t="s">
        <v>13</v>
      </c>
      <c r="F178" s="780">
        <v>60</v>
      </c>
      <c r="G178" s="982"/>
      <c r="H178" s="622"/>
      <c r="I178" s="982"/>
      <c r="J178" s="872"/>
      <c r="K178" s="1207"/>
      <c r="L178" s="622"/>
      <c r="M178" s="982"/>
      <c r="N178" s="622"/>
      <c r="O178" s="1063"/>
      <c r="P178" s="622"/>
      <c r="Q178" s="982"/>
      <c r="R178" s="1028"/>
      <c r="S178" s="959"/>
      <c r="T178" s="878"/>
      <c r="U178" s="958"/>
    </row>
    <row r="179" spans="1:42" s="224" customFormat="1" ht="15" customHeight="1" x14ac:dyDescent="0.25">
      <c r="A179" s="247">
        <v>46019</v>
      </c>
      <c r="B179" s="882" t="s">
        <v>8658</v>
      </c>
      <c r="C179" s="879" t="s">
        <v>12</v>
      </c>
      <c r="D179" s="879" t="s">
        <v>2157</v>
      </c>
      <c r="E179" s="871" t="s">
        <v>13</v>
      </c>
      <c r="F179" s="780">
        <v>80</v>
      </c>
      <c r="G179" s="982"/>
      <c r="H179" s="95"/>
      <c r="I179" s="1064"/>
      <c r="J179" s="613"/>
      <c r="K179" s="6"/>
      <c r="L179" s="622"/>
      <c r="M179" s="982"/>
      <c r="N179" s="622"/>
      <c r="O179" s="1063"/>
      <c r="P179" s="1110"/>
      <c r="Q179" s="1208"/>
      <c r="R179" s="1028"/>
      <c r="U179" s="958"/>
    </row>
    <row r="180" spans="1:42" s="224" customFormat="1" ht="15" customHeight="1" x14ac:dyDescent="0.25">
      <c r="A180" s="247">
        <v>46019</v>
      </c>
      <c r="B180" s="882" t="s">
        <v>8660</v>
      </c>
      <c r="C180" s="879" t="s">
        <v>12</v>
      </c>
      <c r="D180" s="879" t="s">
        <v>1523</v>
      </c>
      <c r="E180" s="871" t="s">
        <v>13</v>
      </c>
      <c r="F180" s="780">
        <v>5.5</v>
      </c>
      <c r="G180" s="982"/>
      <c r="H180" s="95"/>
      <c r="I180" s="1064"/>
      <c r="J180" s="622"/>
      <c r="K180" s="982"/>
      <c r="L180" s="622"/>
      <c r="M180" s="982"/>
      <c r="N180" s="622"/>
      <c r="O180" s="1063"/>
      <c r="P180" s="622"/>
      <c r="Q180" s="982"/>
      <c r="R180" s="1028"/>
      <c r="U180" s="958"/>
    </row>
    <row r="181" spans="1:42" s="224" customFormat="1" ht="15" customHeight="1" x14ac:dyDescent="0.25">
      <c r="A181" s="247">
        <v>46019</v>
      </c>
      <c r="B181" s="882" t="s">
        <v>8659</v>
      </c>
      <c r="C181" s="879" t="s">
        <v>12</v>
      </c>
      <c r="D181" s="879" t="s">
        <v>1523</v>
      </c>
      <c r="E181" s="871" t="s">
        <v>13</v>
      </c>
      <c r="F181" s="780">
        <v>12.3</v>
      </c>
      <c r="G181" s="982"/>
      <c r="H181" s="95"/>
      <c r="I181" s="1064"/>
      <c r="J181" s="613"/>
      <c r="K181" s="6"/>
      <c r="L181" s="622"/>
      <c r="M181" s="982"/>
      <c r="N181" s="622"/>
      <c r="O181" s="1063"/>
      <c r="P181" s="622"/>
      <c r="Q181" s="982"/>
      <c r="R181" s="1028"/>
      <c r="U181" s="958"/>
    </row>
    <row r="182" spans="1:42" s="224" customFormat="1" ht="15" customHeight="1" x14ac:dyDescent="0.25">
      <c r="A182" s="247">
        <v>46019</v>
      </c>
      <c r="B182" s="882" t="s">
        <v>8659</v>
      </c>
      <c r="C182" s="879" t="s">
        <v>12</v>
      </c>
      <c r="D182" s="879" t="s">
        <v>1523</v>
      </c>
      <c r="E182" s="871" t="s">
        <v>13</v>
      </c>
      <c r="F182" s="780">
        <v>5.8</v>
      </c>
      <c r="G182" s="982"/>
      <c r="H182" s="95"/>
      <c r="I182" s="1064"/>
      <c r="J182" s="613"/>
      <c r="K182" s="6"/>
      <c r="L182" s="622"/>
      <c r="M182" s="982"/>
      <c r="N182" s="622"/>
      <c r="O182" s="1063"/>
      <c r="P182" s="622"/>
      <c r="Q182" s="982"/>
      <c r="R182" s="1028"/>
      <c r="U182" s="958"/>
    </row>
    <row r="183" spans="1:42" s="224" customFormat="1" ht="15" customHeight="1" x14ac:dyDescent="0.25">
      <c r="A183" s="247">
        <v>46019</v>
      </c>
      <c r="B183" s="882" t="s">
        <v>8659</v>
      </c>
      <c r="C183" s="879" t="s">
        <v>12</v>
      </c>
      <c r="D183" s="879" t="s">
        <v>1523</v>
      </c>
      <c r="E183" s="871" t="s">
        <v>13</v>
      </c>
      <c r="F183" s="780">
        <v>5.4</v>
      </c>
      <c r="G183" s="982"/>
      <c r="H183" s="95"/>
      <c r="I183" s="1064"/>
      <c r="J183" s="613"/>
      <c r="K183" s="6"/>
      <c r="L183" s="622"/>
      <c r="M183" s="982"/>
      <c r="N183" s="622"/>
      <c r="O183" s="1063"/>
      <c r="P183" s="622"/>
      <c r="Q183" s="982"/>
      <c r="R183" s="1028"/>
      <c r="U183" s="958"/>
    </row>
    <row r="184" spans="1:42" s="224" customFormat="1" ht="15" customHeight="1" x14ac:dyDescent="0.25">
      <c r="A184" s="247">
        <v>46019</v>
      </c>
      <c r="B184" s="882" t="s">
        <v>8659</v>
      </c>
      <c r="C184" s="879" t="s">
        <v>12</v>
      </c>
      <c r="D184" s="879" t="s">
        <v>1523</v>
      </c>
      <c r="E184" s="871" t="s">
        <v>13</v>
      </c>
      <c r="F184" s="780">
        <v>5.4</v>
      </c>
      <c r="G184" s="982"/>
      <c r="H184" s="95"/>
      <c r="I184" s="1064"/>
      <c r="J184" s="613"/>
      <c r="K184" s="6"/>
      <c r="L184" s="622"/>
      <c r="M184" s="982"/>
      <c r="N184" s="622"/>
      <c r="O184" s="1063"/>
      <c r="P184" s="622"/>
      <c r="Q184" s="982"/>
      <c r="R184" s="1028"/>
      <c r="U184" s="958"/>
    </row>
    <row r="185" spans="1:42" s="224" customFormat="1" ht="15" customHeight="1" x14ac:dyDescent="0.25">
      <c r="A185" s="247">
        <v>46019</v>
      </c>
      <c r="B185" s="882" t="s">
        <v>8659</v>
      </c>
      <c r="C185" s="879" t="s">
        <v>12</v>
      </c>
      <c r="D185" s="879" t="s">
        <v>1523</v>
      </c>
      <c r="E185" s="871" t="s">
        <v>13</v>
      </c>
      <c r="F185" s="780">
        <v>5.7</v>
      </c>
      <c r="G185" s="982"/>
      <c r="H185" s="95"/>
      <c r="I185" s="1064"/>
      <c r="J185" s="613"/>
      <c r="K185" s="6"/>
      <c r="L185" s="622"/>
      <c r="M185" s="982"/>
      <c r="N185" s="622"/>
      <c r="O185" s="1063"/>
      <c r="P185" s="622"/>
      <c r="Q185" s="982"/>
      <c r="R185" s="1028"/>
      <c r="U185" s="958"/>
    </row>
    <row r="186" spans="1:42" s="224" customFormat="1" ht="15" customHeight="1" x14ac:dyDescent="0.25">
      <c r="A186" s="247">
        <v>46019</v>
      </c>
      <c r="B186" s="882" t="s">
        <v>443</v>
      </c>
      <c r="C186" s="879" t="s">
        <v>12</v>
      </c>
      <c r="D186" s="879" t="s">
        <v>1493</v>
      </c>
      <c r="E186" s="871" t="s">
        <v>13</v>
      </c>
      <c r="F186" s="780">
        <v>24.9</v>
      </c>
      <c r="G186" s="982"/>
      <c r="H186" s="95"/>
      <c r="I186" s="1064"/>
      <c r="J186" s="613"/>
      <c r="K186" s="6"/>
      <c r="L186" s="622"/>
      <c r="M186" s="982"/>
      <c r="N186" s="622"/>
      <c r="O186" s="1063"/>
      <c r="P186" s="622"/>
      <c r="Q186" s="982"/>
      <c r="R186" s="1028"/>
      <c r="U186" s="958"/>
    </row>
    <row r="187" spans="1:42" s="224" customFormat="1" ht="15" customHeight="1" x14ac:dyDescent="0.25">
      <c r="A187" s="247">
        <v>46020</v>
      </c>
      <c r="B187" s="882" t="s">
        <v>14</v>
      </c>
      <c r="C187" s="879" t="s">
        <v>12</v>
      </c>
      <c r="D187" s="879" t="s">
        <v>1486</v>
      </c>
      <c r="E187" s="480" t="s">
        <v>13</v>
      </c>
      <c r="F187" s="780">
        <v>3.56</v>
      </c>
      <c r="G187" s="982"/>
      <c r="H187" s="622"/>
      <c r="I187" s="982"/>
      <c r="J187" s="872"/>
      <c r="K187" s="1207"/>
      <c r="L187" s="622"/>
      <c r="M187" s="982"/>
      <c r="N187" s="622"/>
      <c r="O187" s="1063"/>
      <c r="P187" s="622"/>
      <c r="Q187" s="982"/>
      <c r="R187" s="1028"/>
      <c r="S187" s="959"/>
      <c r="T187" s="878"/>
      <c r="U187" s="958"/>
    </row>
    <row r="188" spans="1:42" s="224" customFormat="1" ht="15" customHeight="1" x14ac:dyDescent="0.25">
      <c r="A188" s="247">
        <v>46020</v>
      </c>
      <c r="B188" s="882" t="s">
        <v>8668</v>
      </c>
      <c r="C188" s="879" t="s">
        <v>12</v>
      </c>
      <c r="D188" s="879" t="s">
        <v>6731</v>
      </c>
      <c r="E188" s="875" t="s">
        <v>13</v>
      </c>
      <c r="F188" s="780">
        <v>8.51</v>
      </c>
      <c r="G188" s="982"/>
      <c r="H188" s="622"/>
      <c r="I188" s="982"/>
      <c r="J188" s="622"/>
      <c r="K188" s="982"/>
      <c r="L188" s="622"/>
      <c r="M188" s="982"/>
      <c r="N188" s="880"/>
      <c r="O188" s="1525"/>
      <c r="P188" s="613"/>
      <c r="Q188" s="162"/>
      <c r="R188" s="1956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</row>
    <row r="189" spans="1:42" s="224" customFormat="1" ht="15" customHeight="1" x14ac:dyDescent="0.25">
      <c r="A189" s="247">
        <v>46020</v>
      </c>
      <c r="B189" s="882" t="s">
        <v>32</v>
      </c>
      <c r="C189" s="879" t="s">
        <v>12</v>
      </c>
      <c r="D189" s="879" t="s">
        <v>1485</v>
      </c>
      <c r="E189" s="871" t="s">
        <v>13</v>
      </c>
      <c r="F189" s="780">
        <v>28</v>
      </c>
      <c r="G189" s="982"/>
      <c r="H189" s="95"/>
      <c r="I189" s="1064"/>
      <c r="J189" s="622"/>
      <c r="K189" s="982"/>
      <c r="L189" s="622"/>
      <c r="M189" s="982"/>
      <c r="N189" s="622"/>
      <c r="O189" s="1063"/>
      <c r="P189" s="622"/>
      <c r="Q189" s="982"/>
      <c r="R189" s="1028"/>
      <c r="U189" s="958"/>
    </row>
    <row r="190" spans="1:42" s="224" customFormat="1" ht="15" customHeight="1" x14ac:dyDescent="0.25">
      <c r="A190" s="247">
        <v>46020</v>
      </c>
      <c r="B190" s="882" t="s">
        <v>8669</v>
      </c>
      <c r="C190" s="879" t="s">
        <v>12</v>
      </c>
      <c r="D190" s="879" t="s">
        <v>2157</v>
      </c>
      <c r="E190" s="871" t="s">
        <v>13</v>
      </c>
      <c r="F190" s="780">
        <v>50</v>
      </c>
      <c r="G190" s="982"/>
      <c r="H190" s="95"/>
      <c r="I190" s="1064"/>
      <c r="J190" s="613"/>
      <c r="K190" s="6"/>
      <c r="L190" s="622"/>
      <c r="M190" s="982"/>
      <c r="N190" s="622"/>
      <c r="O190" s="1063"/>
      <c r="P190" s="1110"/>
      <c r="Q190" s="1208"/>
      <c r="R190" s="1028"/>
      <c r="U190" s="958"/>
    </row>
    <row r="191" spans="1:42" s="224" customFormat="1" ht="15" customHeight="1" x14ac:dyDescent="0.25">
      <c r="A191" s="247">
        <v>46020</v>
      </c>
      <c r="B191" s="882" t="s">
        <v>8670</v>
      </c>
      <c r="C191" s="879" t="s">
        <v>12</v>
      </c>
      <c r="D191" s="879" t="s">
        <v>1489</v>
      </c>
      <c r="E191" s="875" t="s">
        <v>13</v>
      </c>
      <c r="F191" s="780">
        <v>69.040000000000006</v>
      </c>
      <c r="G191" s="982"/>
      <c r="H191" s="622"/>
      <c r="I191" s="982"/>
      <c r="J191" s="622"/>
      <c r="K191" s="982"/>
      <c r="L191" s="622"/>
      <c r="M191" s="982"/>
      <c r="N191" s="880"/>
      <c r="O191" s="1525"/>
      <c r="P191" s="613"/>
      <c r="Q191" s="162"/>
      <c r="R191" s="1956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</row>
    <row r="192" spans="1:42" s="224" customFormat="1" ht="15" customHeight="1" x14ac:dyDescent="0.25">
      <c r="A192" s="247">
        <v>46021</v>
      </c>
      <c r="B192" s="882" t="s">
        <v>6329</v>
      </c>
      <c r="C192" s="879" t="s">
        <v>12</v>
      </c>
      <c r="D192" s="879"/>
      <c r="E192" s="875" t="s">
        <v>25</v>
      </c>
      <c r="F192" s="780"/>
      <c r="G192" s="982">
        <v>125</v>
      </c>
      <c r="H192" s="1008"/>
      <c r="I192" s="1063"/>
      <c r="J192" s="613"/>
      <c r="K192" s="982"/>
      <c r="L192" s="622"/>
      <c r="M192" s="982"/>
      <c r="N192" s="622"/>
      <c r="O192" s="1063"/>
      <c r="P192" s="622"/>
      <c r="Q192" s="982"/>
      <c r="R192" s="861"/>
    </row>
    <row r="193" spans="1:26" s="224" customFormat="1" ht="15" customHeight="1" x14ac:dyDescent="0.25">
      <c r="A193" s="247">
        <v>46021</v>
      </c>
      <c r="B193" s="882"/>
      <c r="C193" s="879"/>
      <c r="D193" s="879"/>
      <c r="E193" s="875"/>
      <c r="F193" s="780">
        <v>11</v>
      </c>
      <c r="G193" s="982"/>
      <c r="H193" s="95"/>
      <c r="I193" s="1064"/>
      <c r="J193" s="622"/>
      <c r="K193" s="982"/>
      <c r="L193" s="622"/>
      <c r="M193" s="982"/>
      <c r="N193" s="622"/>
      <c r="O193" s="1063"/>
      <c r="P193" s="622"/>
      <c r="Q193" s="982"/>
      <c r="R193" s="2988"/>
    </row>
    <row r="194" spans="1:26" s="224" customFormat="1" ht="15" customHeight="1" x14ac:dyDescent="0.25">
      <c r="A194" s="247">
        <v>46021</v>
      </c>
      <c r="B194" s="364" t="s">
        <v>3130</v>
      </c>
      <c r="C194" s="350" t="s">
        <v>12</v>
      </c>
      <c r="D194" s="350" t="s">
        <v>1506</v>
      </c>
      <c r="E194" s="875" t="s">
        <v>13</v>
      </c>
      <c r="F194" s="780">
        <v>26</v>
      </c>
      <c r="G194" s="982"/>
      <c r="H194" s="1008"/>
      <c r="I194" s="1063"/>
      <c r="J194" s="1116"/>
      <c r="K194" s="1207"/>
      <c r="L194" s="622"/>
      <c r="M194" s="982"/>
      <c r="N194" s="622"/>
      <c r="O194" s="1063"/>
      <c r="P194" s="622"/>
      <c r="Q194" s="982"/>
      <c r="R194" s="861"/>
      <c r="T194" s="1035"/>
    </row>
    <row r="195" spans="1:26" s="224" customFormat="1" ht="15" customHeight="1" x14ac:dyDescent="0.25">
      <c r="A195" s="247">
        <v>46021</v>
      </c>
      <c r="B195" s="882" t="s">
        <v>2251</v>
      </c>
      <c r="C195" s="879" t="s">
        <v>12</v>
      </c>
      <c r="D195" s="879" t="s">
        <v>2157</v>
      </c>
      <c r="E195" s="875" t="s">
        <v>13</v>
      </c>
      <c r="F195" s="780">
        <v>40</v>
      </c>
      <c r="G195" s="982"/>
      <c r="H195" s="95"/>
      <c r="I195" s="1064"/>
      <c r="J195" s="622"/>
      <c r="K195" s="982"/>
      <c r="L195" s="622"/>
      <c r="M195" s="982"/>
      <c r="N195" s="622"/>
      <c r="O195" s="1063"/>
      <c r="P195" s="622"/>
      <c r="Q195" s="982"/>
      <c r="R195" s="2988"/>
    </row>
    <row r="196" spans="1:26" s="224" customFormat="1" ht="15" customHeight="1" x14ac:dyDescent="0.25">
      <c r="A196" s="247">
        <v>46021</v>
      </c>
      <c r="B196" s="364" t="s">
        <v>147</v>
      </c>
      <c r="C196" s="350" t="s">
        <v>12</v>
      </c>
      <c r="D196" s="350" t="s">
        <v>1506</v>
      </c>
      <c r="E196" s="875" t="s">
        <v>13</v>
      </c>
      <c r="F196" s="780">
        <v>20</v>
      </c>
      <c r="G196" s="982"/>
      <c r="H196" s="1008"/>
      <c r="I196" s="1063"/>
      <c r="J196" s="1116"/>
      <c r="K196" s="1207"/>
      <c r="L196" s="622"/>
      <c r="M196" s="982"/>
      <c r="N196" s="622"/>
      <c r="O196" s="1063"/>
      <c r="P196" s="622"/>
      <c r="Q196" s="982"/>
      <c r="R196" s="861"/>
      <c r="T196" s="1035"/>
    </row>
    <row r="197" spans="1:26" s="224" customFormat="1" ht="15" customHeight="1" thickBot="1" x14ac:dyDescent="0.3">
      <c r="A197" s="247">
        <v>46022</v>
      </c>
      <c r="B197" s="349" t="s">
        <v>8335</v>
      </c>
      <c r="C197" s="350" t="s">
        <v>12</v>
      </c>
      <c r="D197" s="350"/>
      <c r="E197" s="480" t="s">
        <v>25</v>
      </c>
      <c r="F197" s="2551"/>
      <c r="G197" s="1522"/>
      <c r="H197" s="95"/>
      <c r="I197" s="2848">
        <v>11.64</v>
      </c>
      <c r="J197" s="622"/>
      <c r="K197" s="2848">
        <v>80.25</v>
      </c>
      <c r="L197" s="622"/>
      <c r="M197" s="3004">
        <v>12.61</v>
      </c>
      <c r="N197" s="622"/>
      <c r="O197" s="2848">
        <v>57.76</v>
      </c>
      <c r="P197" s="622"/>
      <c r="Q197" s="982"/>
      <c r="R197" s="2585">
        <f>I197+K197+M197+O197</f>
        <v>162.26</v>
      </c>
      <c r="S197" s="3006">
        <v>46021</v>
      </c>
      <c r="T197" s="927"/>
      <c r="U197" s="999"/>
    </row>
    <row r="198" spans="1:26" ht="25.5" customHeight="1" thickBot="1" x14ac:dyDescent="0.3">
      <c r="A198" s="3060"/>
      <c r="B198" s="3061"/>
      <c r="C198" s="3062"/>
      <c r="D198" s="3062"/>
      <c r="E198" s="3062"/>
      <c r="F198" s="1023">
        <f>SUM(F6:F197)</f>
        <v>15634.780154761906</v>
      </c>
      <c r="G198" s="1065">
        <f>SUM(G5:G197)</f>
        <v>18598.893583333378</v>
      </c>
      <c r="H198" s="517">
        <f>SUM(H6:H197)</f>
        <v>400</v>
      </c>
      <c r="I198" s="93">
        <f>SUM(I5:I197)</f>
        <v>2111.64</v>
      </c>
      <c r="J198" s="517">
        <f>SUM(J6:J197)</f>
        <v>1566.77</v>
      </c>
      <c r="K198" s="93">
        <f>SUM(K5:K197)</f>
        <v>9812.3500000000058</v>
      </c>
      <c r="L198" s="1023">
        <f>SUM(L6:L197)</f>
        <v>1795.62</v>
      </c>
      <c r="M198" s="93">
        <f>SUM(M5:M197)</f>
        <v>2012.61</v>
      </c>
      <c r="N198" s="1023">
        <f>SUM(N6:N197)</f>
        <v>0</v>
      </c>
      <c r="O198" s="93">
        <f>SUM(O5:O197)</f>
        <v>6339.9800000000014</v>
      </c>
      <c r="P198" s="1023">
        <f>SUM(P6:P197)</f>
        <v>0</v>
      </c>
      <c r="Q198" s="93">
        <f>SUM(Q5:Q197)</f>
        <v>8452.4059847200078</v>
      </c>
      <c r="S198" s="216"/>
    </row>
    <row r="199" spans="1:26" ht="25.5" customHeight="1" thickBot="1" x14ac:dyDescent="0.3">
      <c r="A199" s="3063" t="s">
        <v>49</v>
      </c>
      <c r="B199" s="3064"/>
      <c r="C199" s="3064"/>
      <c r="D199" s="3064"/>
      <c r="E199" s="3064"/>
      <c r="F199" s="2046" t="s">
        <v>280</v>
      </c>
      <c r="G199" s="1066">
        <f>G198-F198</f>
        <v>2964.1134285714725</v>
      </c>
      <c r="H199" s="1221"/>
      <c r="I199" s="772">
        <f>I198-H198</f>
        <v>1711.6399999999999</v>
      </c>
      <c r="J199" s="1221"/>
      <c r="K199" s="772">
        <f>K198-J198</f>
        <v>8245.5800000000054</v>
      </c>
      <c r="L199" s="1222"/>
      <c r="M199" s="772">
        <f>M198-L198</f>
        <v>216.99</v>
      </c>
      <c r="N199" s="1222"/>
      <c r="O199" s="772">
        <f>O198-N198</f>
        <v>6339.9800000000014</v>
      </c>
      <c r="P199" s="1222"/>
      <c r="Q199" s="772">
        <f>Q198-P198</f>
        <v>8452.4059847200078</v>
      </c>
      <c r="R199" s="484">
        <f>I199+M199+O199+Q199</f>
        <v>16721.015984720008</v>
      </c>
    </row>
    <row r="200" spans="1:26" x14ac:dyDescent="0.25">
      <c r="I200" s="1239">
        <f>I199/$R$199</f>
        <v>0.10236459324984379</v>
      </c>
      <c r="J200" s="1210"/>
      <c r="K200" s="1038"/>
      <c r="M200" s="1239">
        <f>M199/$R$199</f>
        <v>1.2977082265712186E-2</v>
      </c>
      <c r="O200" s="1239">
        <f>O199/$R$199</f>
        <v>0.37916236703520884</v>
      </c>
      <c r="P200" s="1239"/>
      <c r="Q200" s="1239">
        <f>Q199/$R$199</f>
        <v>0.50549595744923526</v>
      </c>
      <c r="R200" s="867"/>
      <c r="S200" s="867"/>
      <c r="T200" s="79"/>
      <c r="W200" s="518"/>
      <c r="X200" s="216"/>
      <c r="Z200" s="877"/>
    </row>
    <row r="201" spans="1:26" x14ac:dyDescent="0.25">
      <c r="B201" s="81" t="s">
        <v>3</v>
      </c>
      <c r="C201" s="193" t="s">
        <v>1484</v>
      </c>
      <c r="D201" s="970" t="s">
        <v>2378</v>
      </c>
      <c r="E201" s="193" t="s">
        <v>3216</v>
      </c>
      <c r="F201" s="1061" t="s">
        <v>3217</v>
      </c>
      <c r="G201" s="216"/>
      <c r="I201" s="216"/>
      <c r="J201" s="1038"/>
      <c r="K201" s="216"/>
      <c r="M201" s="866"/>
      <c r="O201" s="866"/>
      <c r="P201" s="1038"/>
      <c r="Q201" s="1038"/>
      <c r="R201" s="865"/>
      <c r="S201" s="867"/>
    </row>
    <row r="202" spans="1:26" x14ac:dyDescent="0.25">
      <c r="B202" s="79" t="s">
        <v>32</v>
      </c>
      <c r="C202" s="85" t="s">
        <v>1485</v>
      </c>
      <c r="D202" s="796">
        <f t="shared" ref="D202:D218" si="0">SUMIF($D$7:$D$197,C202,$F$7:$F$197)</f>
        <v>474</v>
      </c>
      <c r="E202" s="1202">
        <f t="shared" ref="E202:E218" si="1">D202/$K$222</f>
        <v>15.290322580645162</v>
      </c>
      <c r="F202" s="1203">
        <f t="shared" ref="F202:F218" si="2">E202/$E$223</f>
        <v>8.6280386987558522E-2</v>
      </c>
      <c r="G202" s="800"/>
      <c r="I202" s="769"/>
      <c r="J202" s="1038"/>
      <c r="K202" s="1225"/>
      <c r="M202" s="886"/>
      <c r="O202" s="886"/>
      <c r="P202" s="886"/>
      <c r="Q202" s="1038">
        <v>24197.98</v>
      </c>
      <c r="R202" s="1038" t="s">
        <v>6378</v>
      </c>
      <c r="S202" s="1210"/>
      <c r="U202" s="1201"/>
      <c r="V202" s="877"/>
    </row>
    <row r="203" spans="1:26" x14ac:dyDescent="0.25">
      <c r="B203" s="79" t="s">
        <v>2187</v>
      </c>
      <c r="C203" s="85" t="s">
        <v>2157</v>
      </c>
      <c r="D203" s="796">
        <f t="shared" si="0"/>
        <v>415.8</v>
      </c>
      <c r="E203" s="1202">
        <f>D203/$K$222</f>
        <v>13.412903225806453</v>
      </c>
      <c r="F203" s="1203">
        <f t="shared" si="2"/>
        <v>7.5686466053643112E-2</v>
      </c>
      <c r="G203" s="609"/>
      <c r="J203" s="2125"/>
      <c r="K203" s="1129"/>
      <c r="M203" s="1210"/>
      <c r="O203" s="1038"/>
      <c r="P203" s="1210"/>
      <c r="Q203" s="1210">
        <f>Q199+Q202</f>
        <v>32650.385984720007</v>
      </c>
      <c r="R203" s="1038" t="s">
        <v>6379</v>
      </c>
      <c r="U203" s="877"/>
      <c r="V203" s="877"/>
    </row>
    <row r="204" spans="1:26" s="85" customFormat="1" x14ac:dyDescent="0.25">
      <c r="A204" s="79"/>
      <c r="B204" s="79" t="s">
        <v>50</v>
      </c>
      <c r="C204" s="85" t="s">
        <v>1493</v>
      </c>
      <c r="D204" s="796">
        <f t="shared" si="0"/>
        <v>541.45999999999992</v>
      </c>
      <c r="E204" s="1202">
        <f t="shared" si="1"/>
        <v>17.466451612903224</v>
      </c>
      <c r="F204" s="1203">
        <f t="shared" si="2"/>
        <v>9.8559869911990353E-2</v>
      </c>
      <c r="J204" s="1038"/>
      <c r="K204" s="2833"/>
      <c r="L204" s="177"/>
      <c r="M204" s="941"/>
      <c r="N204" s="877"/>
      <c r="O204" s="863"/>
      <c r="Q204" s="79"/>
      <c r="R204" s="177"/>
      <c r="U204" s="877"/>
      <c r="V204" s="877"/>
    </row>
    <row r="205" spans="1:26" s="85" customFormat="1" x14ac:dyDescent="0.25">
      <c r="A205" s="79"/>
      <c r="B205" s="79" t="s">
        <v>14</v>
      </c>
      <c r="C205" s="85" t="s">
        <v>1486</v>
      </c>
      <c r="D205" s="796">
        <f t="shared" si="0"/>
        <v>107.17</v>
      </c>
      <c r="E205" s="1202">
        <f t="shared" si="1"/>
        <v>3.4570967741935483</v>
      </c>
      <c r="F205" s="1203">
        <f t="shared" si="2"/>
        <v>1.950774066130094E-2</v>
      </c>
      <c r="G205" s="79"/>
      <c r="H205" s="79"/>
      <c r="J205" s="1038"/>
      <c r="K205" s="2834"/>
      <c r="L205" s="863"/>
      <c r="M205" s="941"/>
      <c r="N205" s="877"/>
      <c r="O205" s="1038"/>
      <c r="R205" s="177"/>
      <c r="U205" s="877"/>
      <c r="V205" s="877"/>
    </row>
    <row r="206" spans="1:26" s="85" customFormat="1" x14ac:dyDescent="0.25">
      <c r="B206" s="79" t="s">
        <v>51</v>
      </c>
      <c r="C206" s="864" t="s">
        <v>1499</v>
      </c>
      <c r="D206" s="796">
        <f t="shared" si="0"/>
        <v>204.17</v>
      </c>
      <c r="E206" s="1202">
        <f t="shared" si="1"/>
        <v>6.5861290322580643</v>
      </c>
      <c r="F206" s="1203">
        <f t="shared" si="2"/>
        <v>3.7164275551159962E-2</v>
      </c>
      <c r="G206" s="79"/>
      <c r="H206" s="79"/>
      <c r="I206" s="79"/>
      <c r="J206" s="2834"/>
      <c r="K206" s="863"/>
      <c r="L206" s="941"/>
      <c r="M206" s="877"/>
      <c r="N206" s="1038"/>
      <c r="O206" s="1210"/>
      <c r="P206" s="1038"/>
      <c r="Q206" s="177"/>
      <c r="U206" s="877"/>
      <c r="V206" s="877"/>
    </row>
    <row r="207" spans="1:26" s="85" customFormat="1" x14ac:dyDescent="0.25">
      <c r="A207" s="79"/>
      <c r="B207" s="79" t="s">
        <v>2189</v>
      </c>
      <c r="C207" s="864" t="s">
        <v>1496</v>
      </c>
      <c r="D207" s="796">
        <f t="shared" si="0"/>
        <v>100</v>
      </c>
      <c r="E207" s="1202">
        <f t="shared" si="1"/>
        <v>3.225806451612903</v>
      </c>
      <c r="F207" s="1203">
        <f t="shared" si="2"/>
        <v>1.8202613288514451E-2</v>
      </c>
      <c r="G207" s="79"/>
      <c r="K207" s="177"/>
      <c r="L207" s="941"/>
      <c r="N207" s="177"/>
      <c r="Q207" s="177"/>
      <c r="U207" s="877"/>
      <c r="V207" s="877"/>
    </row>
    <row r="208" spans="1:26" s="85" customFormat="1" x14ac:dyDescent="0.25">
      <c r="A208" s="79"/>
      <c r="B208" s="867" t="s">
        <v>53</v>
      </c>
      <c r="C208" s="864" t="s">
        <v>1522</v>
      </c>
      <c r="D208" s="796">
        <f t="shared" si="0"/>
        <v>57.31</v>
      </c>
      <c r="E208" s="1202">
        <f t="shared" si="1"/>
        <v>1.848709677419355</v>
      </c>
      <c r="F208" s="1203">
        <f t="shared" si="2"/>
        <v>1.0431917675647634E-2</v>
      </c>
      <c r="K208" s="863"/>
      <c r="L208" s="941"/>
      <c r="N208" s="177"/>
      <c r="O208" s="868"/>
      <c r="P208" s="769"/>
      <c r="Q208" s="79"/>
      <c r="U208" s="877"/>
      <c r="V208" s="877"/>
    </row>
    <row r="209" spans="1:24" s="85" customFormat="1" x14ac:dyDescent="0.25">
      <c r="A209" s="79"/>
      <c r="B209" s="79" t="s">
        <v>3048</v>
      </c>
      <c r="C209" s="864" t="s">
        <v>1523</v>
      </c>
      <c r="D209" s="796">
        <f t="shared" si="0"/>
        <v>1335.4500000000003</v>
      </c>
      <c r="E209" s="1202">
        <f t="shared" si="1"/>
        <v>43.079032258064522</v>
      </c>
      <c r="F209" s="1203">
        <f t="shared" si="2"/>
        <v>0.2430867991614663</v>
      </c>
      <c r="G209" s="866"/>
      <c r="K209" s="863"/>
      <c r="L209" s="941"/>
      <c r="N209" s="177"/>
      <c r="O209" s="866"/>
      <c r="P209" s="1210"/>
      <c r="Q209" s="877"/>
      <c r="U209" s="877"/>
      <c r="V209" s="877"/>
    </row>
    <row r="210" spans="1:24" s="85" customFormat="1" x14ac:dyDescent="0.25">
      <c r="A210" s="79"/>
      <c r="B210" s="79" t="s">
        <v>1686</v>
      </c>
      <c r="C210" s="864" t="s">
        <v>1506</v>
      </c>
      <c r="D210" s="796">
        <f t="shared" si="0"/>
        <v>461.40999999999997</v>
      </c>
      <c r="E210" s="1202">
        <f t="shared" si="1"/>
        <v>14.884193548387096</v>
      </c>
      <c r="F210" s="1203">
        <f t="shared" si="2"/>
        <v>8.3988677974534534E-2</v>
      </c>
      <c r="G210" s="868"/>
      <c r="K210" s="863"/>
      <c r="L210" s="941"/>
      <c r="N210" s="177"/>
      <c r="O210" s="1226"/>
      <c r="P210" s="1129"/>
      <c r="Q210" s="877"/>
      <c r="U210" s="877"/>
      <c r="V210" s="877"/>
    </row>
    <row r="211" spans="1:24" x14ac:dyDescent="0.25">
      <c r="B211" s="79" t="s">
        <v>418</v>
      </c>
      <c r="C211" s="85" t="s">
        <v>1524</v>
      </c>
      <c r="D211" s="796">
        <f t="shared" si="0"/>
        <v>1566.7679047619047</v>
      </c>
      <c r="E211" s="1202">
        <f t="shared" si="1"/>
        <v>50.540900153609826</v>
      </c>
      <c r="F211" s="1203">
        <f t="shared" si="2"/>
        <v>0.28519270283236992</v>
      </c>
      <c r="G211" s="85"/>
      <c r="K211" s="863"/>
      <c r="L211" s="85"/>
      <c r="M211" s="85"/>
      <c r="N211" s="2834"/>
      <c r="O211" s="1038"/>
      <c r="P211" s="1226"/>
      <c r="Q211" s="877"/>
      <c r="U211" s="877"/>
      <c r="V211" s="877"/>
    </row>
    <row r="212" spans="1:24" x14ac:dyDescent="0.25">
      <c r="B212" s="79" t="s">
        <v>6732</v>
      </c>
      <c r="C212" s="85" t="s">
        <v>1491</v>
      </c>
      <c r="D212" s="796">
        <f t="shared" si="0"/>
        <v>983.98</v>
      </c>
      <c r="E212" s="1202">
        <f t="shared" si="1"/>
        <v>31.741290322580646</v>
      </c>
      <c r="F212" s="1203">
        <f t="shared" si="2"/>
        <v>0.17911007423632452</v>
      </c>
      <c r="K212" s="866"/>
      <c r="L212" s="85"/>
      <c r="M212" s="85"/>
      <c r="N212" s="2834"/>
      <c r="P212" s="484"/>
      <c r="Q212" s="877"/>
      <c r="U212" s="877"/>
      <c r="V212" s="877"/>
    </row>
    <row r="213" spans="1:24" x14ac:dyDescent="0.25">
      <c r="B213" s="79" t="s">
        <v>6733</v>
      </c>
      <c r="C213" s="85" t="s">
        <v>6731</v>
      </c>
      <c r="D213" s="796">
        <f t="shared" si="0"/>
        <v>1361.02</v>
      </c>
      <c r="E213" s="1202">
        <f t="shared" si="1"/>
        <v>43.903870967741938</v>
      </c>
      <c r="F213" s="1203">
        <f t="shared" si="2"/>
        <v>0.24774120737933944</v>
      </c>
      <c r="I213" s="85"/>
      <c r="J213" s="1210"/>
      <c r="K213" s="1038"/>
      <c r="L213" s="85"/>
      <c r="M213" s="85"/>
      <c r="N213" s="2834"/>
      <c r="O213" s="216"/>
      <c r="Q213" s="484"/>
      <c r="R213" s="877"/>
      <c r="U213" s="877"/>
      <c r="V213" s="877"/>
    </row>
    <row r="214" spans="1:24" x14ac:dyDescent="0.25">
      <c r="B214" s="79" t="s">
        <v>5439</v>
      </c>
      <c r="C214" s="85" t="s">
        <v>1525</v>
      </c>
      <c r="D214" s="796">
        <f t="shared" si="0"/>
        <v>782.50225</v>
      </c>
      <c r="E214" s="1202">
        <f t="shared" si="1"/>
        <v>25.242008064516128</v>
      </c>
      <c r="F214" s="1203">
        <f t="shared" si="2"/>
        <v>0.1424358585414246</v>
      </c>
      <c r="J214" s="1210"/>
      <c r="K214" s="1038"/>
      <c r="L214" s="85"/>
      <c r="M214" s="85"/>
      <c r="N214" s="2834"/>
      <c r="O214" s="216"/>
      <c r="Q214" s="484"/>
      <c r="R214" s="1673"/>
      <c r="U214" s="877"/>
      <c r="V214" s="877"/>
    </row>
    <row r="215" spans="1:24" x14ac:dyDescent="0.25">
      <c r="B215" s="79" t="s">
        <v>1526</v>
      </c>
      <c r="C215" s="85" t="s">
        <v>1504</v>
      </c>
      <c r="D215" s="796">
        <f t="shared" si="0"/>
        <v>218.01</v>
      </c>
      <c r="E215" s="1202">
        <f t="shared" si="1"/>
        <v>7.03258064516129</v>
      </c>
      <c r="F215" s="1203">
        <f t="shared" si="2"/>
        <v>3.9683517230290358E-2</v>
      </c>
      <c r="J215" s="1210"/>
      <c r="K215" s="1038"/>
      <c r="M215" s="85"/>
      <c r="N215" s="1038"/>
      <c r="O215" s="886"/>
      <c r="P215" s="1210"/>
      <c r="Q215" s="1038"/>
      <c r="R215" s="1129"/>
      <c r="T215" s="1129"/>
      <c r="U215" s="877"/>
      <c r="V215" s="877"/>
    </row>
    <row r="216" spans="1:24" x14ac:dyDescent="0.25">
      <c r="B216" s="79" t="s">
        <v>2343</v>
      </c>
      <c r="C216" s="85" t="s">
        <v>2315</v>
      </c>
      <c r="D216" s="796">
        <f t="shared" si="0"/>
        <v>0</v>
      </c>
      <c r="E216" s="1202">
        <f t="shared" si="1"/>
        <v>0</v>
      </c>
      <c r="F216" s="1203">
        <f t="shared" si="2"/>
        <v>0</v>
      </c>
      <c r="J216" s="1210"/>
      <c r="K216" s="1038"/>
      <c r="L216" s="769"/>
      <c r="M216" s="1210"/>
      <c r="N216" s="769"/>
      <c r="O216" s="1673"/>
      <c r="P216" s="1210"/>
      <c r="Q216" s="1038"/>
      <c r="R216" s="1129"/>
      <c r="T216" s="1129"/>
      <c r="U216" s="877"/>
      <c r="V216" s="877"/>
    </row>
    <row r="217" spans="1:24" x14ac:dyDescent="0.25">
      <c r="B217" s="79" t="s">
        <v>3019</v>
      </c>
      <c r="C217" s="85" t="s">
        <v>3017</v>
      </c>
      <c r="D217" s="796">
        <f t="shared" si="0"/>
        <v>180</v>
      </c>
      <c r="E217" s="1202">
        <f t="shared" si="1"/>
        <v>5.806451612903226</v>
      </c>
      <c r="F217" s="1203">
        <f t="shared" si="2"/>
        <v>3.2764703919326017E-2</v>
      </c>
      <c r="J217" s="1210"/>
      <c r="K217" s="1038"/>
      <c r="L217" s="769"/>
      <c r="N217" s="769"/>
      <c r="P217" s="941"/>
      <c r="Q217" s="224"/>
      <c r="R217" s="1226"/>
      <c r="S217" s="1129"/>
      <c r="T217" s="1129"/>
      <c r="U217" s="877"/>
      <c r="V217" s="877"/>
    </row>
    <row r="218" spans="1:24" ht="15.75" thickBot="1" x14ac:dyDescent="0.3">
      <c r="B218" s="301" t="s">
        <v>1527</v>
      </c>
      <c r="C218" s="2400" t="s">
        <v>1489</v>
      </c>
      <c r="D218" s="2401">
        <f t="shared" si="0"/>
        <v>703.86999999999978</v>
      </c>
      <c r="E218" s="2402">
        <f t="shared" si="1"/>
        <v>22.705483870967736</v>
      </c>
      <c r="F218" s="2403">
        <f t="shared" si="2"/>
        <v>0.12812273415386666</v>
      </c>
      <c r="J218" s="1210"/>
      <c r="K218" s="1038"/>
      <c r="P218" s="1210"/>
      <c r="Q218" s="1038"/>
      <c r="R218" s="1226"/>
      <c r="S218" s="1129"/>
      <c r="T218" s="1129"/>
      <c r="U218" s="877"/>
      <c r="V218" s="877"/>
    </row>
    <row r="219" spans="1:24" x14ac:dyDescent="0.25">
      <c r="B219" s="1124" t="s">
        <v>6790</v>
      </c>
      <c r="C219" s="1124"/>
      <c r="D219" s="1125">
        <f>SUMIF($B$7:$B$197,"Crédito Gasolina",$G$7:$G$197)</f>
        <v>486.32</v>
      </c>
      <c r="E219" s="1138">
        <f>D219/K222</f>
        <v>15.687741935483871</v>
      </c>
      <c r="F219" s="2979">
        <f>SUM(F202:F218)</f>
        <v>1.7279595455587571</v>
      </c>
      <c r="G219" s="1129"/>
      <c r="J219" s="2037"/>
      <c r="K219" s="629"/>
      <c r="P219" s="1210"/>
      <c r="Q219" s="1038"/>
      <c r="R219" s="1227"/>
      <c r="S219" s="1129"/>
      <c r="T219" s="1129"/>
      <c r="U219" s="877"/>
      <c r="V219" s="877"/>
    </row>
    <row r="220" spans="1:24" x14ac:dyDescent="0.25">
      <c r="B220" s="1124" t="s">
        <v>6329</v>
      </c>
      <c r="C220" s="1124"/>
      <c r="D220" s="1125">
        <f>SUMIF($B$6:$B$197,"Trabalho Art frutt",$G$6:$G$197)</f>
        <v>625</v>
      </c>
      <c r="E220" s="1138">
        <f>D220/K222</f>
        <v>20.161290322580644</v>
      </c>
      <c r="F220" s="1124"/>
      <c r="J220" s="2037"/>
      <c r="K220" s="629"/>
      <c r="P220" s="1210"/>
      <c r="Q220" s="1038"/>
      <c r="R220" s="1227"/>
      <c r="S220" s="1129"/>
      <c r="T220" s="1129"/>
      <c r="U220" s="877"/>
      <c r="V220" s="877"/>
    </row>
    <row r="221" spans="1:24" x14ac:dyDescent="0.25">
      <c r="B221" s="1124"/>
      <c r="C221" s="1124"/>
      <c r="D221" s="1125"/>
      <c r="E221" s="1138"/>
      <c r="F221" s="1124"/>
      <c r="J221" s="2037"/>
      <c r="K221" s="629"/>
      <c r="L221" s="459" t="s">
        <v>6481</v>
      </c>
      <c r="M221" s="2125" t="s">
        <v>6482</v>
      </c>
      <c r="P221" s="1210"/>
      <c r="Q221" s="1038"/>
      <c r="R221" s="1227"/>
      <c r="T221" s="1129"/>
      <c r="U221" s="877"/>
      <c r="V221" s="877"/>
    </row>
    <row r="222" spans="1:24" x14ac:dyDescent="0.25">
      <c r="C222" s="3168" t="s">
        <v>486</v>
      </c>
      <c r="D222" s="3168"/>
      <c r="E222" s="863">
        <f>J222/K222</f>
        <v>306.22323079877106</v>
      </c>
      <c r="G222" s="518" t="s">
        <v>487</v>
      </c>
      <c r="J222" s="629">
        <f>SUM(D202:D218)</f>
        <v>9492.9201547619032</v>
      </c>
      <c r="K222" s="1517">
        <v>31</v>
      </c>
      <c r="L222" s="484">
        <f>5316.5+D220-J223</f>
        <v>-1984.6522499999983</v>
      </c>
      <c r="N222" s="216"/>
      <c r="O222" s="1517"/>
      <c r="P222" s="1210"/>
      <c r="Q222" s="1038"/>
      <c r="R222" s="1226"/>
      <c r="S222" s="1129"/>
      <c r="T222" s="1129"/>
      <c r="U222" s="877"/>
      <c r="V222" s="877"/>
    </row>
    <row r="223" spans="1:24" ht="15.75" customHeight="1" x14ac:dyDescent="0.25">
      <c r="B223" s="3167" t="s">
        <v>7452</v>
      </c>
      <c r="C223" s="3167"/>
      <c r="D223" s="3167"/>
      <c r="E223" s="1125">
        <f>5316.5/30</f>
        <v>177.21666666666667</v>
      </c>
      <c r="G223" s="518" t="s">
        <v>6257</v>
      </c>
      <c r="J223" s="609">
        <f>J222-D211</f>
        <v>7926.1522499999983</v>
      </c>
      <c r="K223" s="629"/>
      <c r="M223" s="868"/>
      <c r="O223" s="868"/>
      <c r="P223" s="1210"/>
      <c r="Q223" s="1038"/>
      <c r="R223" s="1226"/>
      <c r="S223" s="1129"/>
      <c r="T223" s="1129"/>
      <c r="U223" s="877"/>
      <c r="V223" s="877"/>
    </row>
    <row r="224" spans="1:24" x14ac:dyDescent="0.25">
      <c r="A224" s="518"/>
      <c r="C224" s="79"/>
      <c r="D224" s="79"/>
      <c r="E224" s="769"/>
      <c r="F224" s="866"/>
      <c r="G224" s="769"/>
      <c r="H224" s="866"/>
      <c r="I224" s="1210"/>
      <c r="J224" s="867"/>
      <c r="K224" s="866"/>
      <c r="L224" s="1038"/>
      <c r="M224" s="1210"/>
      <c r="N224" s="1038"/>
      <c r="O224" s="1210"/>
      <c r="P224" s="1210"/>
      <c r="Q224" s="1038"/>
      <c r="R224" s="769"/>
      <c r="S224" s="484" t="s">
        <v>280</v>
      </c>
      <c r="T224" s="216"/>
      <c r="U224" s="866"/>
      <c r="V224" s="484"/>
      <c r="X224" s="877"/>
    </row>
    <row r="225" spans="1:24" s="518" customFormat="1" x14ac:dyDescent="0.25">
      <c r="A225" s="79"/>
      <c r="B225" s="79"/>
      <c r="C225" s="79"/>
      <c r="D225" s="79"/>
      <c r="E225" s="1126">
        <f>E223-E222</f>
        <v>-129.00656413210439</v>
      </c>
      <c r="F225" s="2980">
        <f>E222/E223</f>
        <v>1.7279595455587571</v>
      </c>
      <c r="G225" s="85"/>
      <c r="H225" s="85"/>
      <c r="I225" s="89"/>
      <c r="J225" s="1210"/>
      <c r="K225" s="754"/>
      <c r="L225" s="79"/>
      <c r="M225" s="79"/>
      <c r="N225" s="79"/>
      <c r="O225" s="79"/>
      <c r="P225" s="1210"/>
      <c r="Q225" s="1038"/>
      <c r="R225" s="79"/>
      <c r="S225" s="79"/>
      <c r="T225" s="866"/>
      <c r="U225" s="484"/>
      <c r="V225" s="79"/>
      <c r="W225" s="877"/>
      <c r="X225" s="79"/>
    </row>
    <row r="226" spans="1:24" s="518" customFormat="1" x14ac:dyDescent="0.25">
      <c r="A226" s="79"/>
      <c r="B226" s="79"/>
      <c r="C226" s="79"/>
      <c r="D226" s="79"/>
      <c r="E226" s="85"/>
      <c r="J226" s="1038"/>
      <c r="K226" s="1225"/>
      <c r="Q226" s="1038"/>
      <c r="R226" s="484"/>
      <c r="S226" s="79"/>
      <c r="T226" s="877"/>
      <c r="U226" s="79"/>
    </row>
    <row r="227" spans="1:24" s="518" customFormat="1" x14ac:dyDescent="0.25">
      <c r="A227" s="79"/>
      <c r="B227" s="1124" t="s">
        <v>6376</v>
      </c>
      <c r="C227" s="2125"/>
      <c r="D227" s="2219">
        <f>SUMIF($E$9:$E$197,"crédito",$G$9:$G$197)</f>
        <v>12955.34</v>
      </c>
      <c r="E227" s="85"/>
      <c r="F227" s="89"/>
      <c r="G227" s="79"/>
      <c r="H227" s="79"/>
      <c r="I227" s="79"/>
      <c r="J227" s="1038"/>
      <c r="K227" s="1225"/>
      <c r="L227" s="769"/>
      <c r="M227" s="866"/>
      <c r="N227" s="769"/>
      <c r="O227" s="866"/>
      <c r="P227" s="1210"/>
      <c r="Q227" s="1038"/>
      <c r="R227" s="484"/>
      <c r="S227" s="79"/>
      <c r="T227" s="877"/>
      <c r="U227" s="79"/>
    </row>
    <row r="228" spans="1:24" s="518" customFormat="1" x14ac:dyDescent="0.25">
      <c r="A228" s="79"/>
      <c r="B228" s="518" t="s">
        <v>6496</v>
      </c>
      <c r="C228" s="459"/>
      <c r="D228" s="2218">
        <f>SUM(D202:D218)-D211</f>
        <v>7926.1522499999983</v>
      </c>
      <c r="E228" s="85"/>
      <c r="F228" s="89"/>
      <c r="G228" s="79"/>
      <c r="H228" s="79"/>
      <c r="I228" s="216"/>
      <c r="J228" s="864"/>
      <c r="K228" s="877"/>
      <c r="L228" s="769"/>
      <c r="M228" s="866"/>
      <c r="N228" s="769"/>
      <c r="O228" s="866"/>
      <c r="P228" s="1210"/>
      <c r="Q228" s="1038"/>
      <c r="R228" s="484"/>
      <c r="S228" s="79"/>
      <c r="T228" s="877"/>
      <c r="U228" s="79"/>
    </row>
    <row r="229" spans="1:24" s="518" customFormat="1" x14ac:dyDescent="0.25">
      <c r="A229" s="79"/>
      <c r="B229" s="81" t="s">
        <v>6497</v>
      </c>
      <c r="C229" s="81"/>
      <c r="D229" s="1014">
        <f>D227-D228</f>
        <v>5029.1877500000019</v>
      </c>
      <c r="E229" s="79"/>
      <c r="F229" s="79"/>
      <c r="G229" s="79"/>
      <c r="H229" s="79"/>
      <c r="J229" s="1038"/>
      <c r="K229" s="877"/>
      <c r="M229" s="866"/>
      <c r="O229" s="866"/>
      <c r="P229" s="1210"/>
      <c r="Q229" s="1038"/>
      <c r="R229" s="484"/>
      <c r="S229" s="79"/>
      <c r="T229" s="877"/>
      <c r="U229" s="79"/>
    </row>
    <row r="230" spans="1:24" s="518" customFormat="1" x14ac:dyDescent="0.25">
      <c r="A230" s="79"/>
      <c r="B230" s="79"/>
      <c r="C230" s="79"/>
      <c r="D230" s="79"/>
      <c r="E230" s="79"/>
      <c r="F230" s="79"/>
      <c r="G230" s="79"/>
      <c r="H230" s="79"/>
      <c r="I230" s="216"/>
      <c r="J230" s="1038"/>
      <c r="K230" s="877"/>
      <c r="L230" s="769"/>
      <c r="M230" s="866"/>
      <c r="N230" s="769"/>
      <c r="O230" s="866"/>
      <c r="P230" s="1210"/>
      <c r="Q230" s="1038"/>
      <c r="R230" s="484"/>
      <c r="S230" s="79"/>
      <c r="T230" s="877"/>
      <c r="U230" s="79"/>
    </row>
    <row r="231" spans="1:24" s="518" customFormat="1" x14ac:dyDescent="0.25">
      <c r="A231" s="79"/>
      <c r="B231" s="79"/>
      <c r="C231" s="79"/>
      <c r="D231" s="79"/>
      <c r="E231" s="79"/>
      <c r="F231" s="79"/>
      <c r="G231" s="216"/>
      <c r="H231" s="79"/>
      <c r="I231" s="216"/>
      <c r="J231" s="1038"/>
      <c r="K231" s="877"/>
      <c r="L231" s="769"/>
      <c r="M231" s="868"/>
      <c r="N231" s="769"/>
      <c r="O231" s="868"/>
      <c r="P231" s="1210"/>
      <c r="Q231" s="1038"/>
      <c r="R231" s="484"/>
      <c r="S231" s="79"/>
      <c r="T231" s="877"/>
      <c r="U231" s="79"/>
    </row>
    <row r="232" spans="1:24" s="518" customFormat="1" x14ac:dyDescent="0.25">
      <c r="A232" s="79"/>
      <c r="B232" s="79"/>
      <c r="C232" s="79"/>
      <c r="D232" s="79"/>
      <c r="E232" s="79"/>
      <c r="F232" s="79"/>
      <c r="G232" s="216"/>
      <c r="H232" s="79"/>
      <c r="I232" s="216"/>
      <c r="J232" s="79"/>
      <c r="K232" s="877"/>
      <c r="L232" s="769"/>
      <c r="M232" s="866"/>
      <c r="N232" s="769"/>
      <c r="O232" s="866"/>
      <c r="P232" s="1210"/>
      <c r="Q232" s="1038"/>
      <c r="R232" s="484"/>
      <c r="S232" s="79"/>
      <c r="T232" s="877"/>
      <c r="U232" s="79"/>
    </row>
    <row r="233" spans="1:24" s="518" customFormat="1" x14ac:dyDescent="0.25">
      <c r="A233" s="79"/>
      <c r="B233" s="79"/>
      <c r="C233" s="79"/>
      <c r="D233" s="79"/>
      <c r="E233" s="79"/>
      <c r="F233" s="79"/>
      <c r="G233" s="216"/>
      <c r="H233" s="79"/>
      <c r="I233" s="79"/>
      <c r="J233" s="85"/>
      <c r="K233" s="877"/>
      <c r="L233" s="770"/>
      <c r="M233" s="866"/>
      <c r="N233" s="770"/>
      <c r="O233" s="866"/>
      <c r="P233" s="1210"/>
      <c r="Q233" s="1038"/>
      <c r="R233" s="484"/>
      <c r="S233" s="79"/>
      <c r="T233" s="877"/>
      <c r="U233" s="79"/>
    </row>
    <row r="234" spans="1:24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1038"/>
      <c r="K234" s="877"/>
      <c r="L234" s="769"/>
      <c r="M234" s="868"/>
      <c r="N234" s="769"/>
      <c r="O234" s="868"/>
      <c r="P234" s="1210"/>
      <c r="Q234" s="1038"/>
      <c r="R234" s="484"/>
      <c r="S234" s="79"/>
      <c r="T234" s="877"/>
      <c r="U234" s="79"/>
    </row>
    <row r="235" spans="1:24" s="518" customFormat="1" x14ac:dyDescent="0.25">
      <c r="A235" s="79"/>
      <c r="B235" s="79"/>
      <c r="C235" s="85"/>
      <c r="D235" s="85"/>
      <c r="E235" s="85"/>
      <c r="F235" s="89"/>
      <c r="G235" s="79"/>
      <c r="H235" s="79"/>
      <c r="I235" s="79"/>
      <c r="J235" s="85"/>
      <c r="K235" s="877"/>
      <c r="L235" s="769"/>
      <c r="M235" s="866"/>
      <c r="N235" s="769"/>
      <c r="O235" s="866"/>
      <c r="P235" s="1210"/>
      <c r="Q235" s="1038"/>
      <c r="R235" s="484"/>
      <c r="S235" s="79"/>
      <c r="T235" s="877"/>
      <c r="U235" s="79"/>
    </row>
    <row r="236" spans="1:24" s="518" customFormat="1" x14ac:dyDescent="0.25">
      <c r="A236" s="79"/>
      <c r="B236" s="79"/>
      <c r="C236" s="79"/>
      <c r="D236" s="79"/>
      <c r="E236" s="79"/>
      <c r="F236" s="79"/>
      <c r="G236" s="79"/>
      <c r="H236" s="79"/>
      <c r="I236" s="629"/>
      <c r="J236" s="769"/>
      <c r="K236" s="1225"/>
      <c r="L236" s="769"/>
      <c r="M236" s="866"/>
      <c r="N236" s="769"/>
      <c r="O236" s="866"/>
      <c r="P236" s="1210"/>
      <c r="Q236" s="1038"/>
      <c r="R236" s="484"/>
      <c r="S236" s="79"/>
      <c r="T236" s="877"/>
      <c r="U236" s="79"/>
    </row>
    <row r="237" spans="1:24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69"/>
      <c r="M237" s="866"/>
      <c r="N237" s="769"/>
      <c r="O237" s="866"/>
      <c r="P237" s="1210"/>
      <c r="Q237" s="1038"/>
      <c r="R237" s="484"/>
      <c r="S237" s="79"/>
      <c r="T237" s="877"/>
      <c r="U237" s="79"/>
    </row>
    <row r="238" spans="1:24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9"/>
      <c r="K238" s="79"/>
      <c r="L238" s="769"/>
      <c r="M238" s="866"/>
      <c r="N238" s="769"/>
      <c r="O238" s="866"/>
      <c r="P238" s="1210"/>
      <c r="Q238" s="1038"/>
      <c r="R238" s="484"/>
      <c r="S238" s="79"/>
      <c r="T238" s="877"/>
      <c r="U238" s="79"/>
    </row>
    <row r="239" spans="1:24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8"/>
      <c r="L239" s="769"/>
      <c r="M239" s="866"/>
      <c r="N239" s="769"/>
      <c r="O239" s="866"/>
      <c r="P239" s="1210"/>
      <c r="Q239" s="1038"/>
      <c r="R239" s="484"/>
      <c r="S239" s="79"/>
      <c r="T239" s="877"/>
      <c r="U239" s="79"/>
    </row>
    <row r="240" spans="1:24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69"/>
      <c r="K240" s="868"/>
      <c r="L240" s="769"/>
      <c r="M240" s="866"/>
      <c r="N240" s="769"/>
      <c r="O240" s="866"/>
      <c r="P240" s="1210"/>
      <c r="Q240" s="103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85"/>
      <c r="D241" s="85"/>
      <c r="E241" s="85"/>
      <c r="F241" s="89"/>
      <c r="G241" s="79"/>
      <c r="H241" s="79"/>
      <c r="I241" s="79"/>
      <c r="J241" s="769"/>
      <c r="K241" s="79"/>
      <c r="L241" s="769"/>
      <c r="M241" s="866"/>
      <c r="N241" s="769"/>
      <c r="O241" s="866"/>
      <c r="P241" s="1210"/>
      <c r="Q241" s="1038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216"/>
      <c r="J242" s="79"/>
      <c r="K242" s="79"/>
      <c r="L242" s="769"/>
      <c r="M242" s="866"/>
      <c r="N242" s="769"/>
      <c r="O242" s="866"/>
      <c r="P242" s="1210"/>
      <c r="Q242" s="1038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216"/>
      <c r="J243" s="79"/>
      <c r="K243" s="79"/>
      <c r="L243" s="769"/>
      <c r="M243" s="866"/>
      <c r="N243" s="769"/>
      <c r="O243" s="866"/>
      <c r="P243" s="1210"/>
      <c r="Q243" s="1038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216"/>
      <c r="J244" s="1517"/>
      <c r="K244" s="79"/>
      <c r="L244" s="769"/>
      <c r="M244" s="866"/>
      <c r="N244" s="769"/>
      <c r="O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216"/>
      <c r="J245" s="79"/>
      <c r="K245" s="868"/>
      <c r="L245" s="769"/>
      <c r="M245" s="866"/>
      <c r="N245" s="769"/>
      <c r="O245" s="866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216"/>
      <c r="J246" s="89"/>
      <c r="K246" s="79"/>
      <c r="L246" s="769"/>
      <c r="M246" s="868"/>
      <c r="N246" s="769"/>
      <c r="O246" s="868"/>
      <c r="P246" s="79"/>
      <c r="Q246" s="79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216"/>
      <c r="J247" s="79"/>
      <c r="K247" s="79"/>
      <c r="L247" s="769"/>
      <c r="M247" s="868"/>
      <c r="N247" s="769"/>
      <c r="O247" s="868"/>
      <c r="P247" s="81"/>
      <c r="Q247" s="755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216"/>
      <c r="L248" s="769"/>
      <c r="M248" s="868"/>
      <c r="N248" s="769"/>
      <c r="O248" s="868"/>
      <c r="P248" s="868"/>
      <c r="Q248" s="79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216"/>
      <c r="J249" s="769"/>
      <c r="K249" s="866"/>
      <c r="L249" s="769"/>
      <c r="M249" s="868"/>
      <c r="N249" s="769"/>
      <c r="O249" s="868"/>
      <c r="P249" s="754"/>
      <c r="Q249" s="886"/>
      <c r="R249" s="484"/>
      <c r="S249" s="79"/>
      <c r="T249" s="877"/>
      <c r="U249" s="79"/>
    </row>
    <row r="250" spans="1:21" s="518" customFormat="1" x14ac:dyDescent="0.25">
      <c r="A250" s="79"/>
      <c r="B250" s="79"/>
      <c r="C250" s="79"/>
      <c r="D250" s="79"/>
      <c r="E250" s="79"/>
      <c r="F250" s="79"/>
      <c r="G250" s="79"/>
      <c r="H250" s="79"/>
      <c r="I250" s="216"/>
      <c r="J250" s="769"/>
      <c r="K250" s="866"/>
      <c r="L250" s="769"/>
      <c r="M250" s="868"/>
      <c r="N250" s="769"/>
      <c r="O250" s="868"/>
      <c r="P250" s="864"/>
      <c r="Q250" s="864"/>
      <c r="R250" s="484"/>
      <c r="S250" s="79"/>
      <c r="T250" s="877"/>
      <c r="U250" s="79"/>
    </row>
    <row r="251" spans="1:21" s="518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K251" s="866"/>
      <c r="L251" s="769"/>
      <c r="M251" s="866"/>
      <c r="N251" s="769"/>
      <c r="O251" s="866"/>
      <c r="P251" s="864"/>
      <c r="Q251" s="1032"/>
      <c r="R251" s="484"/>
      <c r="S251" s="79"/>
      <c r="T251" s="877"/>
      <c r="U251" s="79"/>
    </row>
    <row r="252" spans="1:21" s="518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69"/>
      <c r="K252" s="866"/>
      <c r="L252" s="769"/>
      <c r="M252" s="866"/>
      <c r="N252" s="769"/>
      <c r="O252" s="866"/>
      <c r="P252" s="864"/>
      <c r="Q252" s="1032"/>
      <c r="R252" s="484"/>
      <c r="S252" s="79"/>
      <c r="T252" s="877"/>
      <c r="U252" s="79"/>
    </row>
    <row r="253" spans="1:21" s="518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69"/>
      <c r="K253" s="868"/>
      <c r="L253" s="769"/>
      <c r="M253" s="868"/>
      <c r="N253" s="769"/>
      <c r="O253" s="868"/>
      <c r="P253" s="85"/>
      <c r="Q253" s="795"/>
      <c r="R253" s="484"/>
      <c r="S253" s="79"/>
      <c r="T253" s="877"/>
      <c r="U253" s="79"/>
    </row>
    <row r="254" spans="1:21" s="518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69"/>
      <c r="K254" s="866"/>
      <c r="L254" s="769"/>
      <c r="M254" s="866"/>
      <c r="N254" s="769"/>
      <c r="O254" s="866"/>
      <c r="P254" s="85"/>
      <c r="Q254" s="177"/>
      <c r="R254" s="484"/>
      <c r="S254" s="79"/>
      <c r="T254" s="877"/>
      <c r="U254" s="79"/>
    </row>
    <row r="255" spans="1:21" s="518" customFormat="1" x14ac:dyDescent="0.25">
      <c r="A255" s="79"/>
      <c r="B255" s="79"/>
      <c r="C255" s="85"/>
      <c r="D255" s="85"/>
      <c r="E255" s="85"/>
      <c r="F255" s="89"/>
      <c r="G255" s="79"/>
      <c r="H255" s="79"/>
      <c r="I255" s="79"/>
      <c r="J255" s="770"/>
      <c r="K255" s="866"/>
      <c r="L255" s="769"/>
      <c r="M255" s="866"/>
      <c r="N255" s="769"/>
      <c r="O255" s="866"/>
      <c r="P255" s="85"/>
      <c r="Q255" s="177"/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8"/>
      <c r="L256" s="769"/>
      <c r="M256" s="868"/>
      <c r="N256" s="769"/>
      <c r="O256" s="868"/>
      <c r="P256" s="85"/>
      <c r="Q256" s="177" t="s">
        <v>280</v>
      </c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6"/>
      <c r="L257" s="769"/>
      <c r="M257" s="868"/>
      <c r="N257" s="769"/>
      <c r="O257" s="868"/>
      <c r="P257" s="85"/>
      <c r="Q257" s="177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6"/>
      <c r="L258" s="769"/>
      <c r="M258" s="868"/>
      <c r="N258" s="769"/>
      <c r="O258" s="868"/>
      <c r="P258" s="85"/>
      <c r="Q258" s="86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6"/>
      <c r="L259" s="769"/>
      <c r="M259" s="868"/>
      <c r="N259" s="769"/>
      <c r="O259" s="868"/>
      <c r="P259" s="769"/>
      <c r="Q259" s="21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769"/>
      <c r="M260" s="866"/>
      <c r="N260" s="769"/>
      <c r="O260" s="866"/>
      <c r="P260" s="79"/>
      <c r="Q260" s="216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223"/>
      <c r="M261" s="629"/>
      <c r="N261" s="223"/>
      <c r="O261" s="629"/>
      <c r="P261" s="769"/>
      <c r="Q261" s="868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56"/>
      <c r="M262" s="756"/>
      <c r="N262" s="756"/>
      <c r="O262" s="756"/>
      <c r="P262" s="769"/>
      <c r="Q262" s="868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79"/>
      <c r="M263" s="79"/>
      <c r="N263" s="79"/>
      <c r="O263" s="79"/>
      <c r="P263" s="769"/>
      <c r="Q263" s="868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6"/>
      <c r="L264" s="79"/>
      <c r="M264" s="79"/>
      <c r="N264" s="79"/>
      <c r="O264" s="79"/>
      <c r="P264" s="769"/>
      <c r="Q264" s="79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6"/>
      <c r="L265" s="79"/>
      <c r="M265" s="79"/>
      <c r="N265" s="79"/>
      <c r="O265" s="79"/>
      <c r="P265" s="79"/>
      <c r="Q265" s="79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6"/>
      <c r="L266" s="79"/>
      <c r="M266" s="79"/>
      <c r="N266" s="79"/>
      <c r="O266" s="79"/>
      <c r="P266" s="79"/>
      <c r="Q266" s="79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6"/>
      <c r="L267" s="85"/>
      <c r="M267" s="85"/>
      <c r="N267" s="85"/>
      <c r="O267" s="85"/>
      <c r="P267" s="1517"/>
      <c r="Q267" s="79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8"/>
      <c r="L268" s="79"/>
      <c r="M268" s="79"/>
      <c r="N268" s="79"/>
      <c r="O268" s="79"/>
      <c r="P268" s="79"/>
      <c r="Q268" s="868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69"/>
      <c r="K269" s="868"/>
      <c r="L269" s="79"/>
      <c r="M269" s="79"/>
      <c r="N269" s="79"/>
      <c r="O269" s="79"/>
      <c r="P269" s="89"/>
      <c r="Q269" s="79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69"/>
      <c r="K270" s="868"/>
      <c r="L270" s="79"/>
      <c r="M270" s="79"/>
      <c r="N270" s="79"/>
      <c r="O270" s="79"/>
      <c r="P270" s="79"/>
      <c r="Q270" s="79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69"/>
      <c r="K271" s="868"/>
      <c r="L271" s="79"/>
      <c r="M271" s="79"/>
      <c r="N271" s="79"/>
      <c r="O271" s="79"/>
      <c r="P271" s="769"/>
      <c r="Q271" s="866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69"/>
      <c r="K272" s="868"/>
      <c r="L272" s="79"/>
      <c r="M272" s="79"/>
      <c r="N272" s="79"/>
      <c r="O272" s="79"/>
      <c r="P272" s="769"/>
      <c r="Q272" s="866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69"/>
      <c r="K273" s="866"/>
      <c r="L273" s="79"/>
      <c r="M273" s="79"/>
      <c r="N273" s="79"/>
      <c r="O273" s="79"/>
      <c r="P273" s="769"/>
      <c r="Q273" s="86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69"/>
      <c r="K274" s="866"/>
      <c r="L274" s="85"/>
      <c r="M274" s="85"/>
      <c r="N274" s="85"/>
      <c r="O274" s="85"/>
      <c r="Q274" s="86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69"/>
      <c r="K275" s="868"/>
      <c r="L275" s="79"/>
      <c r="M275" s="79"/>
      <c r="N275" s="79"/>
      <c r="O275" s="79"/>
      <c r="P275" s="769"/>
      <c r="Q275" s="866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69"/>
      <c r="K276" s="866"/>
      <c r="L276" s="79"/>
      <c r="M276" s="79"/>
      <c r="N276" s="79"/>
      <c r="O276" s="79"/>
      <c r="P276" s="769"/>
      <c r="Q276" s="868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69"/>
      <c r="K277" s="866"/>
      <c r="L277" s="79"/>
      <c r="M277" s="79"/>
      <c r="N277" s="79"/>
      <c r="O277" s="79"/>
      <c r="P277" s="769"/>
      <c r="Q277" s="866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69"/>
      <c r="K278" s="868"/>
      <c r="L278" s="79"/>
      <c r="M278" s="79"/>
      <c r="N278" s="79"/>
      <c r="O278" s="79"/>
      <c r="P278" s="770"/>
      <c r="Q278" s="866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69"/>
      <c r="K279" s="868"/>
      <c r="L279" s="79"/>
      <c r="M279" s="79"/>
      <c r="N279" s="79"/>
      <c r="O279" s="79"/>
      <c r="P279" s="769"/>
      <c r="Q279" s="868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69"/>
      <c r="K280" s="868"/>
      <c r="L280" s="79"/>
      <c r="M280" s="79"/>
      <c r="N280" s="79"/>
      <c r="O280" s="79"/>
      <c r="P280" s="769"/>
      <c r="Q280" s="866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69"/>
      <c r="K281" s="868"/>
      <c r="L281" s="771"/>
      <c r="N281" s="771"/>
      <c r="P281" s="769"/>
      <c r="Q281" s="866"/>
      <c r="R281" s="484"/>
      <c r="S281" s="79"/>
      <c r="T281" s="877"/>
      <c r="U281" s="79"/>
    </row>
    <row r="282" spans="1:21" s="518" customFormat="1" x14ac:dyDescent="0.25">
      <c r="A282" s="79"/>
      <c r="B282" s="79"/>
      <c r="C282" s="79"/>
      <c r="D282" s="79"/>
      <c r="E282" s="79"/>
      <c r="F282" s="79"/>
      <c r="G282" s="79"/>
      <c r="H282" s="79"/>
      <c r="I282" s="79"/>
      <c r="J282" s="769"/>
      <c r="K282" s="866"/>
      <c r="L282" s="79"/>
      <c r="M282" s="79"/>
      <c r="N282" s="79"/>
      <c r="O282" s="79"/>
      <c r="P282" s="769"/>
      <c r="Q282" s="866"/>
      <c r="R282" s="484"/>
      <c r="S282" s="79"/>
      <c r="T282" s="877"/>
      <c r="U282" s="79"/>
    </row>
    <row r="283" spans="1:21" x14ac:dyDescent="0.25">
      <c r="J283" s="223"/>
      <c r="K283" s="629"/>
      <c r="P283" s="769"/>
      <c r="Q283" s="866"/>
    </row>
    <row r="284" spans="1:21" x14ac:dyDescent="0.25">
      <c r="J284" s="756"/>
      <c r="K284" s="756"/>
      <c r="P284" s="769"/>
      <c r="Q284" s="866"/>
    </row>
    <row r="285" spans="1:21" x14ac:dyDescent="0.25">
      <c r="P285" s="769"/>
      <c r="Q285" s="866"/>
    </row>
    <row r="286" spans="1:21" x14ac:dyDescent="0.25">
      <c r="P286" s="769"/>
      <c r="Q286" s="866"/>
    </row>
    <row r="287" spans="1:21" x14ac:dyDescent="0.25">
      <c r="P287" s="769"/>
      <c r="Q287" s="866"/>
    </row>
    <row r="288" spans="1:21" x14ac:dyDescent="0.25">
      <c r="P288" s="769"/>
      <c r="Q288" s="866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85"/>
      <c r="K289" s="85"/>
      <c r="L289" s="79"/>
      <c r="M289" s="216"/>
      <c r="N289" s="79"/>
      <c r="O289" s="216"/>
      <c r="P289" s="769"/>
      <c r="Q289" s="866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769"/>
      <c r="Q290" s="866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8"/>
      <c r="R291" s="484"/>
      <c r="S291" s="79"/>
      <c r="T291" s="877"/>
      <c r="U291" s="79"/>
    </row>
    <row r="292" spans="1:21" s="518" customFormat="1" x14ac:dyDescent="0.25">
      <c r="A292" s="79"/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216"/>
      <c r="N292" s="79"/>
      <c r="O292" s="216"/>
      <c r="P292" s="769"/>
      <c r="Q292" s="868"/>
      <c r="R292" s="484"/>
      <c r="S292" s="79"/>
      <c r="T292" s="877"/>
      <c r="U292" s="79"/>
    </row>
    <row r="293" spans="1:21" x14ac:dyDescent="0.25">
      <c r="P293" s="769"/>
      <c r="Q293" s="868"/>
    </row>
    <row r="294" spans="1:21" s="518" customFormat="1" x14ac:dyDescent="0.25">
      <c r="A294" s="79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216"/>
      <c r="N294" s="79"/>
      <c r="O294" s="216"/>
      <c r="P294" s="769"/>
      <c r="Q294" s="868"/>
      <c r="R294" s="484"/>
      <c r="S294" s="79"/>
      <c r="T294" s="877"/>
      <c r="U294" s="79"/>
    </row>
    <row r="295" spans="1:21" x14ac:dyDescent="0.25">
      <c r="P295" s="769"/>
      <c r="Q295" s="868"/>
    </row>
    <row r="296" spans="1:21" s="518" customFormat="1" x14ac:dyDescent="0.25">
      <c r="A296" s="79"/>
      <c r="B296" s="79"/>
      <c r="C296" s="79"/>
      <c r="D296" s="79"/>
      <c r="E296" s="79"/>
      <c r="F296" s="79"/>
      <c r="G296" s="79"/>
      <c r="H296" s="79"/>
      <c r="I296" s="79"/>
      <c r="J296" s="85"/>
      <c r="K296" s="85"/>
      <c r="L296" s="79"/>
      <c r="M296" s="629"/>
      <c r="N296" s="79"/>
      <c r="O296" s="629"/>
      <c r="P296" s="769"/>
      <c r="Q296" s="866"/>
      <c r="R296" s="484"/>
      <c r="S296" s="79"/>
      <c r="T296" s="877"/>
      <c r="U296" s="79"/>
    </row>
    <row r="297" spans="1:21" x14ac:dyDescent="0.25">
      <c r="P297" s="769"/>
      <c r="Q297" s="866"/>
    </row>
    <row r="298" spans="1:21" x14ac:dyDescent="0.25">
      <c r="P298" s="769"/>
      <c r="Q298" s="868"/>
    </row>
    <row r="299" spans="1:21" x14ac:dyDescent="0.25">
      <c r="P299" s="769"/>
      <c r="Q299" s="866"/>
    </row>
    <row r="300" spans="1:21" x14ac:dyDescent="0.25">
      <c r="P300" s="769"/>
      <c r="Q300" s="866"/>
    </row>
    <row r="301" spans="1:21" x14ac:dyDescent="0.25">
      <c r="P301" s="769"/>
      <c r="Q301" s="868"/>
    </row>
    <row r="302" spans="1:21" s="518" customFormat="1" x14ac:dyDescent="0.25">
      <c r="A302" s="79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216"/>
      <c r="N302" s="79"/>
      <c r="O302" s="216"/>
      <c r="P302" s="769"/>
      <c r="Q302" s="868"/>
      <c r="R302" s="484"/>
      <c r="S302" s="79"/>
      <c r="T302" s="877"/>
      <c r="U302" s="79"/>
    </row>
    <row r="303" spans="1:21" s="518" customFormat="1" x14ac:dyDescent="0.25">
      <c r="A303" s="79"/>
      <c r="B303" s="79"/>
      <c r="C303" s="79"/>
      <c r="D303" s="79"/>
      <c r="E303" s="79"/>
      <c r="F303" s="79"/>
      <c r="G303" s="79"/>
      <c r="H303" s="79"/>
      <c r="I303" s="79"/>
      <c r="J303" s="771"/>
      <c r="L303" s="79"/>
      <c r="M303" s="216"/>
      <c r="N303" s="79"/>
      <c r="O303" s="216"/>
      <c r="P303" s="769"/>
      <c r="Q303" s="868"/>
      <c r="R303" s="484"/>
      <c r="S303" s="79"/>
      <c r="T303" s="877"/>
      <c r="U303" s="79"/>
    </row>
    <row r="304" spans="1:21" s="518" customFormat="1" x14ac:dyDescent="0.25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216"/>
      <c r="N304" s="79"/>
      <c r="O304" s="216"/>
      <c r="P304" s="769"/>
      <c r="Q304" s="868"/>
      <c r="R304" s="484"/>
      <c r="S304" s="79"/>
      <c r="T304" s="877"/>
      <c r="U304" s="79"/>
    </row>
    <row r="305" spans="1:21" s="518" customFormat="1" x14ac:dyDescent="0.25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216"/>
      <c r="N305" s="79"/>
      <c r="O305" s="216"/>
      <c r="P305" s="769"/>
      <c r="Q305" s="866"/>
      <c r="R305" s="484"/>
      <c r="S305" s="79"/>
      <c r="T305" s="877"/>
      <c r="U305" s="79"/>
    </row>
    <row r="306" spans="1:21" s="518" customFormat="1" x14ac:dyDescent="0.25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216"/>
      <c r="N306" s="79"/>
      <c r="O306" s="216"/>
      <c r="P306" s="223"/>
      <c r="Q306" s="629"/>
      <c r="R306" s="484"/>
      <c r="S306" s="79"/>
      <c r="T306" s="877"/>
      <c r="U306" s="79"/>
    </row>
    <row r="307" spans="1:21" s="518" customFormat="1" x14ac:dyDescent="0.25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216"/>
      <c r="N307" s="79"/>
      <c r="O307" s="216"/>
      <c r="P307" s="756"/>
      <c r="Q307" s="756"/>
      <c r="R307" s="484"/>
      <c r="S307" s="79"/>
      <c r="T307" s="877"/>
      <c r="U307" s="79"/>
    </row>
    <row r="308" spans="1:21" s="518" customFormat="1" x14ac:dyDescent="0.25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216"/>
      <c r="N308" s="79"/>
      <c r="O308" s="216"/>
      <c r="P308" s="79"/>
      <c r="Q308" s="79"/>
      <c r="R308" s="484"/>
      <c r="S308" s="79"/>
      <c r="T308" s="877"/>
      <c r="U308" s="79"/>
    </row>
    <row r="309" spans="1:21" s="518" customFormat="1" x14ac:dyDescent="0.25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216"/>
      <c r="N309" s="79"/>
      <c r="O309" s="216"/>
      <c r="P309" s="79"/>
      <c r="Q309" s="79"/>
      <c r="R309" s="484"/>
      <c r="S309" s="79"/>
      <c r="T309" s="877"/>
      <c r="U309" s="79"/>
    </row>
    <row r="310" spans="1:21" s="518" customFormat="1" x14ac:dyDescent="0.25">
      <c r="A310" s="79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216"/>
      <c r="N310" s="79"/>
      <c r="O310" s="216"/>
      <c r="P310" s="79"/>
      <c r="Q310" s="79"/>
      <c r="R310" s="484"/>
      <c r="S310" s="79"/>
      <c r="T310" s="877"/>
      <c r="U310" s="79"/>
    </row>
    <row r="311" spans="1:21" x14ac:dyDescent="0.25">
      <c r="K311" s="216"/>
    </row>
    <row r="312" spans="1:21" x14ac:dyDescent="0.25">
      <c r="K312" s="216"/>
      <c r="P312" s="85"/>
      <c r="Q312" s="85"/>
    </row>
    <row r="313" spans="1:21" x14ac:dyDescent="0.25">
      <c r="K313" s="216"/>
    </row>
    <row r="314" spans="1:21" x14ac:dyDescent="0.25">
      <c r="K314" s="216"/>
    </row>
    <row r="316" spans="1:21" x14ac:dyDescent="0.25">
      <c r="K316" s="216"/>
    </row>
    <row r="318" spans="1:21" x14ac:dyDescent="0.25">
      <c r="K318" s="629"/>
    </row>
    <row r="319" spans="1:21" x14ac:dyDescent="0.25">
      <c r="P319" s="85"/>
      <c r="Q319" s="85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216"/>
      <c r="L324" s="79"/>
      <c r="M324" s="79"/>
      <c r="N324" s="79"/>
      <c r="O324" s="79"/>
      <c r="P324" s="79"/>
      <c r="Q324" s="79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216"/>
      <c r="L325" s="79"/>
      <c r="M325" s="79"/>
      <c r="N325" s="79"/>
      <c r="O325" s="79"/>
      <c r="P325" s="79"/>
      <c r="Q325" s="79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216"/>
      <c r="L326" s="79"/>
      <c r="M326" s="79"/>
      <c r="N326" s="79"/>
      <c r="O326" s="79"/>
      <c r="P326" s="771"/>
      <c r="Q326" s="518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s="484" customFormat="1" x14ac:dyDescent="0.25">
      <c r="A327" s="79"/>
      <c r="B327" s="79"/>
      <c r="C327" s="85"/>
      <c r="D327" s="85"/>
      <c r="E327" s="85"/>
      <c r="F327" s="89"/>
      <c r="G327" s="79"/>
      <c r="H327" s="79"/>
      <c r="I327" s="79"/>
      <c r="J327" s="79"/>
      <c r="K327" s="216"/>
      <c r="L327" s="79"/>
      <c r="M327" s="79"/>
      <c r="N327" s="79"/>
      <c r="O327" s="79"/>
      <c r="P327" s="79"/>
      <c r="Q327" s="79"/>
      <c r="S327" s="79"/>
      <c r="T327" s="87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</row>
    <row r="328" spans="1:42" x14ac:dyDescent="0.25">
      <c r="K328" s="216"/>
    </row>
    <row r="329" spans="1:42" x14ac:dyDescent="0.25">
      <c r="K329" s="216"/>
    </row>
    <row r="330" spans="1:42" x14ac:dyDescent="0.25">
      <c r="K330" s="216"/>
    </row>
    <row r="331" spans="1:42" x14ac:dyDescent="0.25">
      <c r="K331" s="216"/>
    </row>
    <row r="332" spans="1:42" x14ac:dyDescent="0.25">
      <c r="K332" s="216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7" spans="1:42" s="484" customFormat="1" x14ac:dyDescent="0.25">
      <c r="A337" s="79"/>
      <c r="B337" s="79"/>
      <c r="C337" s="85"/>
      <c r="D337" s="85"/>
      <c r="E337" s="85"/>
      <c r="F337" s="8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216"/>
      <c r="S337" s="79"/>
      <c r="T337" s="87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</row>
    <row r="339" spans="1:42" s="484" customFormat="1" x14ac:dyDescent="0.25">
      <c r="A339" s="79"/>
      <c r="B339" s="79"/>
      <c r="C339" s="85"/>
      <c r="D339" s="85"/>
      <c r="E339" s="85"/>
      <c r="F339" s="8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216"/>
      <c r="S339" s="79"/>
      <c r="T339" s="87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</row>
    <row r="341" spans="1:42" s="484" customFormat="1" x14ac:dyDescent="0.25">
      <c r="A341" s="79"/>
      <c r="B341" s="79"/>
      <c r="C341" s="85"/>
      <c r="D341" s="85"/>
      <c r="E341" s="85"/>
      <c r="F341" s="8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629"/>
      <c r="S341" s="79"/>
      <c r="T341" s="877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</row>
    <row r="347" spans="1:42" s="484" customFormat="1" x14ac:dyDescent="0.25">
      <c r="A347" s="79"/>
      <c r="B347" s="79"/>
      <c r="C347" s="85"/>
      <c r="D347" s="85"/>
      <c r="E347" s="85"/>
      <c r="F347" s="8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216"/>
      <c r="S347" s="79"/>
      <c r="T347" s="877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</row>
    <row r="348" spans="1:42" s="484" customFormat="1" x14ac:dyDescent="0.25">
      <c r="A348" s="79"/>
      <c r="B348" s="79"/>
      <c r="C348" s="85"/>
      <c r="D348" s="85"/>
      <c r="E348" s="85"/>
      <c r="F348" s="8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216"/>
      <c r="S348" s="79"/>
      <c r="T348" s="877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</row>
    <row r="349" spans="1:42" s="484" customFormat="1" x14ac:dyDescent="0.25">
      <c r="A349" s="79"/>
      <c r="B349" s="79"/>
      <c r="C349" s="85"/>
      <c r="D349" s="85"/>
      <c r="E349" s="85"/>
      <c r="F349" s="8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216"/>
      <c r="S349" s="79"/>
      <c r="T349" s="877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</row>
    <row r="350" spans="1:42" s="484" customFormat="1" x14ac:dyDescent="0.25">
      <c r="A350" s="79"/>
      <c r="B350" s="79"/>
      <c r="C350" s="85"/>
      <c r="D350" s="85"/>
      <c r="E350" s="85"/>
      <c r="F350" s="8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216"/>
      <c r="S350" s="79"/>
      <c r="T350" s="877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</row>
    <row r="351" spans="1:42" s="484" customFormat="1" x14ac:dyDescent="0.25">
      <c r="A351" s="79"/>
      <c r="B351" s="79"/>
      <c r="C351" s="85"/>
      <c r="D351" s="85"/>
      <c r="E351" s="85"/>
      <c r="F351" s="8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216"/>
      <c r="S351" s="79"/>
      <c r="T351" s="877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</row>
    <row r="352" spans="1:42" s="484" customFormat="1" x14ac:dyDescent="0.25">
      <c r="A352" s="79"/>
      <c r="B352" s="79"/>
      <c r="C352" s="85"/>
      <c r="D352" s="85"/>
      <c r="E352" s="85"/>
      <c r="F352" s="8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216"/>
      <c r="S352" s="79"/>
      <c r="T352" s="877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</row>
    <row r="353" spans="1:42" s="484" customFormat="1" x14ac:dyDescent="0.25">
      <c r="A353" s="79"/>
      <c r="B353" s="79"/>
      <c r="C353" s="85"/>
      <c r="D353" s="85"/>
      <c r="E353" s="85"/>
      <c r="F353" s="8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216"/>
      <c r="S353" s="79"/>
      <c r="T353" s="877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</row>
    <row r="354" spans="1:42" s="484" customFormat="1" x14ac:dyDescent="0.25">
      <c r="A354" s="79"/>
      <c r="B354" s="79"/>
      <c r="C354" s="85"/>
      <c r="D354" s="85"/>
      <c r="E354" s="85"/>
      <c r="F354" s="8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216"/>
      <c r="S354" s="79"/>
      <c r="T354" s="877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</row>
    <row r="355" spans="1:42" s="484" customFormat="1" x14ac:dyDescent="0.25">
      <c r="A355" s="79"/>
      <c r="B355" s="79"/>
      <c r="C355" s="85"/>
      <c r="D355" s="85"/>
      <c r="E355" s="85"/>
      <c r="F355" s="8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216"/>
      <c r="S355" s="79"/>
      <c r="T355" s="877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</row>
  </sheetData>
  <autoFilter ref="A2:I220" xr:uid="{00000000-0009-0000-0000-00008D000000}"/>
  <mergeCells count="17">
    <mergeCell ref="B223:D223"/>
    <mergeCell ref="L2:M3"/>
    <mergeCell ref="N2:O3"/>
    <mergeCell ref="P2:Q3"/>
    <mergeCell ref="A198:E198"/>
    <mergeCell ref="A199:E199"/>
    <mergeCell ref="C222:D222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phoneticPr fontId="43" type="noConversion"/>
  <conditionalFormatting sqref="F219">
    <cfRule type="cellIs" dxfId="15" priority="1" operator="greaterThan">
      <formula>1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greaterThan" id="{BA2E36F1-3D02-4D43-A406-FD6302799456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D202:D218</xm:sqref>
        </x14:conditionalFormatting>
      </x14:conditionalFormattings>
    </ext>
  </extLst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3EDC1-5D36-4F05-B1FB-89D416100B08}">
  <sheetPr>
    <tabColor rgb="FFFF0000"/>
  </sheetPr>
  <dimension ref="A1:AP354"/>
  <sheetViews>
    <sheetView tabSelected="1" zoomScale="85" zoomScaleNormal="85" workbookViewId="0">
      <pane ySplit="5" topLeftCell="A166" activePane="bottomLeft" state="frozen"/>
      <selection pane="bottomLeft" activeCell="B178" sqref="B178"/>
    </sheetView>
  </sheetViews>
  <sheetFormatPr defaultColWidth="9.140625" defaultRowHeight="15" x14ac:dyDescent="0.25"/>
  <cols>
    <col min="1" max="1" width="12" style="79" bestFit="1" customWidth="1"/>
    <col min="2" max="2" width="46.140625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6" width="13.42578125" style="79" customWidth="1"/>
    <col min="17" max="17" width="14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21" ht="27" customHeight="1" thickBot="1" x14ac:dyDescent="0.3">
      <c r="A1" s="3053" t="s">
        <v>0</v>
      </c>
      <c r="B1" s="3054"/>
      <c r="C1" s="3055"/>
      <c r="D1" s="3055"/>
      <c r="E1" s="3056"/>
      <c r="F1" s="3057" t="s">
        <v>8626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21" ht="13.5" customHeight="1" x14ac:dyDescent="0.25">
      <c r="A2" s="3065"/>
      <c r="B2" s="3065"/>
      <c r="C2" s="3065"/>
      <c r="D2" s="3065"/>
      <c r="E2" s="3066"/>
      <c r="F2" s="3069" t="s">
        <v>6</v>
      </c>
      <c r="G2" s="3070"/>
      <c r="H2" s="3073" t="s">
        <v>8580</v>
      </c>
      <c r="I2" s="3074"/>
      <c r="J2" s="3073" t="s">
        <v>8559</v>
      </c>
      <c r="K2" s="3074"/>
      <c r="L2" s="3073" t="s">
        <v>8560</v>
      </c>
      <c r="M2" s="3074"/>
      <c r="N2" s="3073" t="s">
        <v>8556</v>
      </c>
      <c r="O2" s="3074"/>
      <c r="P2" s="3073" t="s">
        <v>3306</v>
      </c>
      <c r="Q2" s="3074"/>
    </row>
    <row r="3" spans="1:21" ht="13.5" customHeight="1" thickBot="1" x14ac:dyDescent="0.3">
      <c r="A3" s="3067"/>
      <c r="B3" s="3067"/>
      <c r="C3" s="3067"/>
      <c r="D3" s="3067"/>
      <c r="E3" s="3068"/>
      <c r="F3" s="3071"/>
      <c r="G3" s="3072"/>
      <c r="H3" s="3075"/>
      <c r="I3" s="3076"/>
      <c r="J3" s="3075"/>
      <c r="K3" s="3076"/>
      <c r="L3" s="3075"/>
      <c r="M3" s="3076"/>
      <c r="N3" s="3075"/>
      <c r="O3" s="3076"/>
      <c r="P3" s="3075"/>
      <c r="Q3" s="3076"/>
      <c r="U3" s="948"/>
    </row>
    <row r="4" spans="1:21" ht="30.75" customHeight="1" thickBot="1" x14ac:dyDescent="0.3">
      <c r="A4" s="3051" t="s">
        <v>2</v>
      </c>
      <c r="B4" s="3051" t="s">
        <v>3</v>
      </c>
      <c r="C4" s="3052" t="s">
        <v>4</v>
      </c>
      <c r="D4" s="3051" t="s">
        <v>1484</v>
      </c>
      <c r="E4" s="3051" t="s">
        <v>5</v>
      </c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21" x14ac:dyDescent="0.25">
      <c r="A5" s="281">
        <v>46023</v>
      </c>
      <c r="B5" s="369" t="s">
        <v>10</v>
      </c>
      <c r="C5" s="370"/>
      <c r="D5" s="370"/>
      <c r="E5" s="777"/>
      <c r="F5" s="179"/>
      <c r="G5" s="933">
        <f>'Dezembro-25'!G199</f>
        <v>2964.1134285714725</v>
      </c>
      <c r="H5" s="163"/>
      <c r="I5" s="1479">
        <f>'Dezembro-25'!I199</f>
        <v>1711.6399999999999</v>
      </c>
      <c r="J5" s="179"/>
      <c r="K5" s="933">
        <f>'Dezembro-25'!K199</f>
        <v>8245.5800000000054</v>
      </c>
      <c r="L5" s="179"/>
      <c r="M5" s="933">
        <f>'Dezembro-25'!M199</f>
        <v>216.99</v>
      </c>
      <c r="N5" s="179"/>
      <c r="O5" s="1479">
        <f>'Dezembro-25'!O199</f>
        <v>6339.9800000000014</v>
      </c>
      <c r="P5" s="179"/>
      <c r="Q5" s="933">
        <f>'Dezembro-25'!Q199</f>
        <v>8452.4059847200078</v>
      </c>
    </row>
    <row r="6" spans="1:21" s="224" customFormat="1" x14ac:dyDescent="0.25">
      <c r="A6" s="247">
        <v>46023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21" s="224" customFormat="1" ht="15" customHeight="1" x14ac:dyDescent="0.25">
      <c r="A7" s="247">
        <v>46023</v>
      </c>
      <c r="B7" s="882" t="s">
        <v>8672</v>
      </c>
      <c r="C7" s="879" t="s">
        <v>12</v>
      </c>
      <c r="D7" s="879" t="s">
        <v>1522</v>
      </c>
      <c r="E7" s="480" t="s">
        <v>13</v>
      </c>
      <c r="F7" s="780">
        <v>1795.62</v>
      </c>
      <c r="G7" s="982"/>
      <c r="H7" s="622"/>
      <c r="I7" s="982"/>
      <c r="J7" s="1116"/>
      <c r="K7" s="1207"/>
      <c r="L7" s="622"/>
      <c r="M7" s="982"/>
      <c r="N7" s="622"/>
      <c r="O7" s="1063"/>
      <c r="P7" s="880"/>
      <c r="Q7" s="1033"/>
      <c r="R7" s="1080" t="s">
        <v>8680</v>
      </c>
      <c r="T7" s="878"/>
    </row>
    <row r="8" spans="1:21" s="224" customFormat="1" ht="15" customHeight="1" x14ac:dyDescent="0.25">
      <c r="A8" s="247">
        <v>46023</v>
      </c>
      <c r="B8" s="882" t="s">
        <v>8682</v>
      </c>
      <c r="C8" s="879" t="s">
        <v>12</v>
      </c>
      <c r="D8" s="879" t="s">
        <v>1523</v>
      </c>
      <c r="E8" s="871" t="s">
        <v>13</v>
      </c>
      <c r="F8" s="780">
        <v>64</v>
      </c>
      <c r="G8" s="982"/>
      <c r="H8" s="622"/>
      <c r="I8" s="982"/>
      <c r="J8" s="622"/>
      <c r="K8" s="982"/>
      <c r="L8" s="622"/>
      <c r="M8" s="982"/>
      <c r="N8" s="622"/>
      <c r="O8" s="1063"/>
      <c r="P8" s="622"/>
      <c r="Q8" s="982"/>
      <c r="R8" s="1028"/>
      <c r="S8" s="959"/>
      <c r="T8" s="878"/>
      <c r="U8" s="958"/>
    </row>
    <row r="9" spans="1:21" s="224" customFormat="1" ht="15" customHeight="1" x14ac:dyDescent="0.25">
      <c r="A9" s="247">
        <v>46023</v>
      </c>
      <c r="B9" s="882" t="s">
        <v>8683</v>
      </c>
      <c r="C9" s="879" t="s">
        <v>12</v>
      </c>
      <c r="D9" s="879" t="s">
        <v>1523</v>
      </c>
      <c r="E9" s="871" t="s">
        <v>13</v>
      </c>
      <c r="F9" s="780">
        <v>176</v>
      </c>
      <c r="G9" s="982"/>
      <c r="H9" s="622"/>
      <c r="I9" s="982"/>
      <c r="J9" s="622"/>
      <c r="K9" s="982"/>
      <c r="L9" s="622"/>
      <c r="M9" s="982"/>
      <c r="N9" s="622"/>
      <c r="O9" s="1063"/>
      <c r="P9" s="622"/>
      <c r="Q9" s="982"/>
      <c r="R9" s="1028"/>
      <c r="S9" s="959"/>
      <c r="T9" s="878"/>
      <c r="U9" s="958"/>
    </row>
    <row r="10" spans="1:21" s="224" customFormat="1" ht="15" customHeight="1" x14ac:dyDescent="0.25">
      <c r="A10" s="247">
        <v>46023</v>
      </c>
      <c r="B10" s="882" t="s">
        <v>14</v>
      </c>
      <c r="C10" s="879" t="s">
        <v>12</v>
      </c>
      <c r="D10" s="879" t="s">
        <v>1486</v>
      </c>
      <c r="E10" s="480" t="s">
        <v>13</v>
      </c>
      <c r="F10" s="780">
        <v>10.29</v>
      </c>
      <c r="G10" s="982"/>
      <c r="H10" s="622"/>
      <c r="I10" s="982"/>
      <c r="J10" s="872"/>
      <c r="K10" s="1207"/>
      <c r="L10" s="622"/>
      <c r="M10" s="982"/>
      <c r="N10" s="622"/>
      <c r="O10" s="1063"/>
      <c r="P10" s="622"/>
      <c r="Q10" s="982"/>
      <c r="R10" s="1028"/>
      <c r="S10" s="959"/>
      <c r="T10" s="878"/>
      <c r="U10" s="958"/>
    </row>
    <row r="11" spans="1:21" s="224" customFormat="1" x14ac:dyDescent="0.25">
      <c r="A11" s="247">
        <v>46023</v>
      </c>
      <c r="B11" s="882" t="s">
        <v>101</v>
      </c>
      <c r="C11" s="1276" t="s">
        <v>12</v>
      </c>
      <c r="D11" s="879" t="s">
        <v>1493</v>
      </c>
      <c r="E11" s="875" t="s">
        <v>13</v>
      </c>
      <c r="F11" s="780">
        <v>19.23</v>
      </c>
      <c r="G11" s="982"/>
      <c r="H11" s="1008"/>
      <c r="I11" s="1063"/>
      <c r="J11" s="2013"/>
      <c r="K11" s="1207"/>
      <c r="L11" s="622"/>
      <c r="M11" s="982"/>
      <c r="N11" s="622"/>
      <c r="O11" s="1063"/>
      <c r="P11" s="622"/>
      <c r="Q11" s="982"/>
      <c r="R11" s="861"/>
      <c r="T11" s="878"/>
    </row>
    <row r="12" spans="1:21" s="224" customFormat="1" ht="15" customHeight="1" x14ac:dyDescent="0.25">
      <c r="A12" s="247">
        <v>46023</v>
      </c>
      <c r="B12" s="349" t="s">
        <v>8436</v>
      </c>
      <c r="C12" s="350" t="s">
        <v>12</v>
      </c>
      <c r="D12" s="350" t="s">
        <v>6731</v>
      </c>
      <c r="E12" s="887" t="s">
        <v>13</v>
      </c>
      <c r="F12" s="613">
        <v>374.26</v>
      </c>
      <c r="G12" s="982"/>
      <c r="H12" s="872"/>
      <c r="I12" s="1063"/>
      <c r="J12" s="622"/>
      <c r="K12" s="982"/>
      <c r="L12" s="622"/>
      <c r="M12" s="982"/>
      <c r="N12" s="622"/>
      <c r="O12" s="1063"/>
      <c r="P12" s="622"/>
      <c r="Q12" s="982"/>
      <c r="R12" s="1080" t="s">
        <v>8423</v>
      </c>
      <c r="S12" s="999"/>
      <c r="T12" s="878"/>
    </row>
    <row r="13" spans="1:21" s="224" customFormat="1" ht="15" customHeight="1" x14ac:dyDescent="0.25">
      <c r="A13" s="247">
        <v>46024</v>
      </c>
      <c r="B13" s="882" t="s">
        <v>14</v>
      </c>
      <c r="C13" s="879" t="s">
        <v>12</v>
      </c>
      <c r="D13" s="879" t="s">
        <v>1486</v>
      </c>
      <c r="E13" s="480" t="s">
        <v>13</v>
      </c>
      <c r="F13" s="780">
        <v>5.52</v>
      </c>
      <c r="G13" s="982"/>
      <c r="H13" s="622"/>
      <c r="I13" s="982"/>
      <c r="J13" s="872"/>
      <c r="K13" s="1207"/>
      <c r="L13" s="622"/>
      <c r="M13" s="982"/>
      <c r="N13" s="622"/>
      <c r="O13" s="1063"/>
      <c r="P13" s="622"/>
      <c r="Q13" s="982"/>
      <c r="R13" s="1028"/>
      <c r="S13" s="959"/>
      <c r="T13" s="878"/>
      <c r="U13" s="958"/>
    </row>
    <row r="14" spans="1:21" s="224" customFormat="1" x14ac:dyDescent="0.25">
      <c r="A14" s="247">
        <v>46024</v>
      </c>
      <c r="B14" s="364" t="s">
        <v>7122</v>
      </c>
      <c r="C14" s="350" t="s">
        <v>12</v>
      </c>
      <c r="D14" s="350" t="s">
        <v>1489</v>
      </c>
      <c r="E14" s="875" t="s">
        <v>13</v>
      </c>
      <c r="F14" s="780">
        <v>15</v>
      </c>
      <c r="G14" s="982"/>
      <c r="H14" s="1008"/>
      <c r="I14" s="1063"/>
      <c r="J14" s="2013"/>
      <c r="K14" s="1207"/>
      <c r="L14" s="622"/>
      <c r="M14" s="982"/>
      <c r="N14" s="622"/>
      <c r="O14" s="1063"/>
      <c r="P14" s="622"/>
      <c r="Q14" s="982"/>
      <c r="R14" s="861"/>
      <c r="T14" s="878"/>
    </row>
    <row r="15" spans="1:21" s="224" customFormat="1" x14ac:dyDescent="0.25">
      <c r="A15" s="247">
        <v>46024</v>
      </c>
      <c r="B15" s="364" t="s">
        <v>32</v>
      </c>
      <c r="C15" s="350" t="s">
        <v>12</v>
      </c>
      <c r="D15" s="350" t="s">
        <v>1485</v>
      </c>
      <c r="E15" s="875" t="s">
        <v>13</v>
      </c>
      <c r="F15" s="780">
        <v>28</v>
      </c>
      <c r="G15" s="982"/>
      <c r="H15" s="1008"/>
      <c r="I15" s="1063"/>
      <c r="J15" s="2013"/>
      <c r="K15" s="1207"/>
      <c r="L15" s="622"/>
      <c r="M15" s="982"/>
      <c r="N15" s="622"/>
      <c r="O15" s="1063"/>
      <c r="P15" s="622"/>
      <c r="Q15" s="982"/>
      <c r="R15" s="861"/>
      <c r="T15" s="878"/>
    </row>
    <row r="16" spans="1:21" s="224" customFormat="1" x14ac:dyDescent="0.25">
      <c r="A16" s="247">
        <v>46024</v>
      </c>
      <c r="B16" s="364" t="s">
        <v>8681</v>
      </c>
      <c r="C16" s="350" t="s">
        <v>12</v>
      </c>
      <c r="D16" s="350" t="s">
        <v>1489</v>
      </c>
      <c r="E16" s="875" t="s">
        <v>13</v>
      </c>
      <c r="F16" s="780">
        <v>19.920000000000002</v>
      </c>
      <c r="G16" s="982"/>
      <c r="H16" s="1008"/>
      <c r="I16" s="1063"/>
      <c r="J16" s="2013"/>
      <c r="K16" s="1207"/>
      <c r="L16" s="622"/>
      <c r="M16" s="982"/>
      <c r="N16" s="622"/>
      <c r="O16" s="1063"/>
      <c r="P16" s="622"/>
      <c r="Q16" s="982"/>
      <c r="R16" s="861"/>
      <c r="T16" s="878"/>
    </row>
    <row r="17" spans="1:42" s="224" customFormat="1" x14ac:dyDescent="0.25">
      <c r="A17" s="247">
        <v>46024</v>
      </c>
      <c r="B17" s="882" t="s">
        <v>14</v>
      </c>
      <c r="C17" s="879" t="s">
        <v>12</v>
      </c>
      <c r="D17" s="879" t="s">
        <v>1486</v>
      </c>
      <c r="E17" s="480" t="s">
        <v>13</v>
      </c>
      <c r="F17" s="780">
        <v>4.71</v>
      </c>
      <c r="G17" s="982"/>
      <c r="H17" s="1008"/>
      <c r="I17" s="1063"/>
      <c r="J17" s="2013"/>
      <c r="K17" s="1207"/>
      <c r="L17" s="622"/>
      <c r="M17" s="982"/>
      <c r="N17" s="622"/>
      <c r="O17" s="1063"/>
      <c r="P17" s="622"/>
      <c r="Q17" s="982"/>
      <c r="R17" s="861"/>
      <c r="T17" s="878"/>
    </row>
    <row r="18" spans="1:42" s="224" customFormat="1" x14ac:dyDescent="0.25">
      <c r="A18" s="247">
        <v>46025</v>
      </c>
      <c r="B18" s="882" t="s">
        <v>14</v>
      </c>
      <c r="C18" s="879" t="s">
        <v>12</v>
      </c>
      <c r="D18" s="879" t="s">
        <v>1486</v>
      </c>
      <c r="E18" s="480" t="s">
        <v>13</v>
      </c>
      <c r="F18" s="780">
        <v>5.16</v>
      </c>
      <c r="G18" s="982"/>
      <c r="H18" s="1008"/>
      <c r="I18" s="1063"/>
      <c r="J18" s="2013"/>
      <c r="K18" s="1207"/>
      <c r="L18" s="622"/>
      <c r="M18" s="982"/>
      <c r="N18" s="622"/>
      <c r="O18" s="1063"/>
      <c r="P18" s="622"/>
      <c r="Q18" s="982"/>
      <c r="R18" s="861"/>
      <c r="T18" s="878"/>
    </row>
    <row r="19" spans="1:42" s="224" customFormat="1" x14ac:dyDescent="0.25">
      <c r="A19" s="247">
        <v>46025</v>
      </c>
      <c r="B19" s="882" t="s">
        <v>8668</v>
      </c>
      <c r="C19" s="1276" t="s">
        <v>12</v>
      </c>
      <c r="D19" s="879" t="s">
        <v>6731</v>
      </c>
      <c r="E19" s="875" t="s">
        <v>13</v>
      </c>
      <c r="F19" s="780">
        <v>11.04</v>
      </c>
      <c r="G19" s="982"/>
      <c r="H19" s="1008"/>
      <c r="I19" s="1063"/>
      <c r="J19" s="2013"/>
      <c r="K19" s="1207"/>
      <c r="L19" s="622"/>
      <c r="M19" s="982"/>
      <c r="N19" s="622"/>
      <c r="O19" s="1063"/>
      <c r="P19" s="622"/>
      <c r="Q19" s="982"/>
      <c r="R19" s="861"/>
      <c r="T19" s="878"/>
    </row>
    <row r="20" spans="1:42" s="224" customFormat="1" x14ac:dyDescent="0.25">
      <c r="A20" s="247">
        <v>46025</v>
      </c>
      <c r="B20" s="882" t="s">
        <v>17</v>
      </c>
      <c r="C20" s="879" t="s">
        <v>12</v>
      </c>
      <c r="D20" s="879" t="s">
        <v>1493</v>
      </c>
      <c r="E20" s="480" t="s">
        <v>13</v>
      </c>
      <c r="F20" s="780">
        <v>12</v>
      </c>
      <c r="G20" s="982"/>
      <c r="H20" s="1008"/>
      <c r="I20" s="1063"/>
      <c r="J20" s="2013"/>
      <c r="K20" s="1207"/>
      <c r="L20" s="622"/>
      <c r="M20" s="982"/>
      <c r="N20" s="622"/>
      <c r="O20" s="1063"/>
      <c r="P20" s="622"/>
      <c r="Q20" s="982"/>
      <c r="R20" s="861"/>
      <c r="T20" s="878"/>
    </row>
    <row r="21" spans="1:42" s="224" customFormat="1" x14ac:dyDescent="0.25">
      <c r="A21" s="247">
        <v>46025</v>
      </c>
      <c r="B21" s="882" t="s">
        <v>7460</v>
      </c>
      <c r="C21" s="1276" t="s">
        <v>12</v>
      </c>
      <c r="D21" s="879" t="s">
        <v>1489</v>
      </c>
      <c r="E21" s="875" t="s">
        <v>13</v>
      </c>
      <c r="F21" s="780">
        <v>10</v>
      </c>
      <c r="G21" s="982"/>
      <c r="H21" s="1008"/>
      <c r="I21" s="1063"/>
      <c r="J21" s="2013"/>
      <c r="K21" s="1207"/>
      <c r="L21" s="622"/>
      <c r="M21" s="982"/>
      <c r="N21" s="622"/>
      <c r="O21" s="1063"/>
      <c r="P21" s="622"/>
      <c r="Q21" s="982"/>
      <c r="R21" s="861"/>
      <c r="T21" s="878"/>
    </row>
    <row r="22" spans="1:42" s="224" customFormat="1" x14ac:dyDescent="0.25">
      <c r="A22" s="247">
        <v>46025</v>
      </c>
      <c r="B22" s="364" t="s">
        <v>32</v>
      </c>
      <c r="C22" s="350" t="s">
        <v>12</v>
      </c>
      <c r="D22" s="350" t="s">
        <v>1485</v>
      </c>
      <c r="E22" s="875" t="s">
        <v>13</v>
      </c>
      <c r="F22" s="780">
        <v>28</v>
      </c>
      <c r="G22" s="982"/>
      <c r="H22" s="1008"/>
      <c r="I22" s="1063"/>
      <c r="J22" s="2013"/>
      <c r="K22" s="1207"/>
      <c r="L22" s="622"/>
      <c r="M22" s="982"/>
      <c r="N22" s="622"/>
      <c r="O22" s="1063"/>
      <c r="P22" s="622"/>
      <c r="Q22" s="982"/>
      <c r="R22" s="861"/>
      <c r="T22" s="878"/>
    </row>
    <row r="23" spans="1:42" s="224" customFormat="1" x14ac:dyDescent="0.25">
      <c r="A23" s="247">
        <v>46025</v>
      </c>
      <c r="B23" s="364" t="s">
        <v>443</v>
      </c>
      <c r="C23" s="350" t="s">
        <v>12</v>
      </c>
      <c r="D23" s="350" t="s">
        <v>1493</v>
      </c>
      <c r="E23" s="875" t="s">
        <v>13</v>
      </c>
      <c r="F23" s="780">
        <v>41.58</v>
      </c>
      <c r="G23" s="982"/>
      <c r="H23" s="1008"/>
      <c r="I23" s="1063"/>
      <c r="J23" s="2013"/>
      <c r="K23" s="1207"/>
      <c r="L23" s="622"/>
      <c r="M23" s="982"/>
      <c r="N23" s="622"/>
      <c r="O23" s="1063"/>
      <c r="P23" s="622"/>
      <c r="Q23" s="982"/>
      <c r="R23" s="861"/>
      <c r="T23" s="878"/>
    </row>
    <row r="24" spans="1:42" s="224" customFormat="1" x14ac:dyDescent="0.25">
      <c r="A24" s="247">
        <v>46026</v>
      </c>
      <c r="B24" s="882" t="s">
        <v>14</v>
      </c>
      <c r="C24" s="879" t="s">
        <v>12</v>
      </c>
      <c r="D24" s="879" t="s">
        <v>1486</v>
      </c>
      <c r="E24" s="480" t="s">
        <v>13</v>
      </c>
      <c r="F24" s="780">
        <v>13.5</v>
      </c>
      <c r="G24" s="982"/>
      <c r="H24" s="1008"/>
      <c r="I24" s="1063"/>
      <c r="J24" s="2013"/>
      <c r="K24" s="1207"/>
      <c r="L24" s="622"/>
      <c r="M24" s="982"/>
      <c r="N24" s="622"/>
      <c r="O24" s="1063"/>
      <c r="P24" s="622"/>
      <c r="Q24" s="982"/>
      <c r="R24" s="861"/>
      <c r="T24" s="878"/>
    </row>
    <row r="25" spans="1:42" s="224" customFormat="1" ht="15" customHeight="1" x14ac:dyDescent="0.25">
      <c r="A25" s="247">
        <v>46026</v>
      </c>
      <c r="B25" s="1275" t="s">
        <v>2096</v>
      </c>
      <c r="C25" s="1276" t="s">
        <v>12</v>
      </c>
      <c r="D25" s="1276" t="s">
        <v>1506</v>
      </c>
      <c r="E25" s="1286" t="s">
        <v>13</v>
      </c>
      <c r="F25" s="613">
        <v>60</v>
      </c>
      <c r="G25" s="967"/>
      <c r="H25" s="1008"/>
      <c r="I25" s="1063"/>
      <c r="J25" s="613"/>
      <c r="K25" s="6"/>
      <c r="L25" s="622"/>
      <c r="M25" s="982"/>
      <c r="N25" s="622"/>
      <c r="O25" s="1063"/>
      <c r="P25" s="613"/>
      <c r="Q25" s="64"/>
      <c r="R25" s="1024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</row>
    <row r="26" spans="1:42" s="224" customFormat="1" x14ac:dyDescent="0.25">
      <c r="A26" s="247">
        <v>46026</v>
      </c>
      <c r="B26" s="364" t="s">
        <v>32</v>
      </c>
      <c r="C26" s="350" t="s">
        <v>12</v>
      </c>
      <c r="D26" s="350" t="s">
        <v>1485</v>
      </c>
      <c r="E26" s="875" t="s">
        <v>13</v>
      </c>
      <c r="F26" s="780">
        <v>19.899999999999999</v>
      </c>
      <c r="G26" s="982"/>
      <c r="H26" s="1008"/>
      <c r="I26" s="1063"/>
      <c r="J26" s="2013"/>
      <c r="K26" s="1207"/>
      <c r="L26" s="622"/>
      <c r="M26" s="982"/>
      <c r="N26" s="622"/>
      <c r="O26" s="1063"/>
      <c r="P26" s="622"/>
      <c r="Q26" s="982"/>
      <c r="R26" s="861"/>
      <c r="T26" s="878"/>
    </row>
    <row r="27" spans="1:42" s="224" customFormat="1" x14ac:dyDescent="0.25">
      <c r="A27" s="247">
        <v>46026</v>
      </c>
      <c r="B27" s="882" t="s">
        <v>2251</v>
      </c>
      <c r="C27" s="879" t="s">
        <v>12</v>
      </c>
      <c r="D27" s="879" t="s">
        <v>2157</v>
      </c>
      <c r="E27" s="875" t="s">
        <v>13</v>
      </c>
      <c r="F27" s="780">
        <v>50</v>
      </c>
      <c r="G27" s="982"/>
      <c r="H27" s="1008"/>
      <c r="I27" s="1063"/>
      <c r="J27" s="2013"/>
      <c r="K27" s="1207"/>
      <c r="L27" s="622"/>
      <c r="M27" s="982"/>
      <c r="N27" s="622"/>
      <c r="O27" s="1063"/>
      <c r="P27" s="622"/>
      <c r="Q27" s="982"/>
      <c r="R27" s="861"/>
      <c r="T27" s="878"/>
    </row>
    <row r="28" spans="1:42" s="224" customFormat="1" ht="15" customHeight="1" x14ac:dyDescent="0.25">
      <c r="A28" s="247">
        <v>46026</v>
      </c>
      <c r="B28" s="1275" t="s">
        <v>2631</v>
      </c>
      <c r="C28" s="1276" t="s">
        <v>12</v>
      </c>
      <c r="D28" s="1276" t="s">
        <v>1489</v>
      </c>
      <c r="E28" s="1286" t="s">
        <v>13</v>
      </c>
      <c r="F28" s="613">
        <v>5.4</v>
      </c>
      <c r="G28" s="967"/>
      <c r="H28" s="1008"/>
      <c r="I28" s="1063"/>
      <c r="J28" s="613"/>
      <c r="K28" s="6"/>
      <c r="L28" s="622"/>
      <c r="M28" s="982"/>
      <c r="N28" s="622"/>
      <c r="O28" s="1063"/>
      <c r="P28" s="613"/>
      <c r="Q28" s="64"/>
      <c r="R28" s="1024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</row>
    <row r="29" spans="1:42" s="224" customFormat="1" x14ac:dyDescent="0.25">
      <c r="A29" s="247">
        <v>46027</v>
      </c>
      <c r="B29" s="882" t="s">
        <v>14</v>
      </c>
      <c r="C29" s="879" t="s">
        <v>12</v>
      </c>
      <c r="D29" s="879" t="s">
        <v>1486</v>
      </c>
      <c r="E29" s="480" t="s">
        <v>13</v>
      </c>
      <c r="F29" s="780">
        <v>4.79</v>
      </c>
      <c r="G29" s="982"/>
      <c r="H29" s="1008"/>
      <c r="I29" s="1063"/>
      <c r="J29" s="2013"/>
      <c r="K29" s="1207"/>
      <c r="L29" s="622"/>
      <c r="M29" s="982"/>
      <c r="N29" s="622"/>
      <c r="O29" s="1063"/>
      <c r="P29" s="622"/>
      <c r="Q29" s="982"/>
      <c r="R29" s="861"/>
      <c r="T29" s="878"/>
    </row>
    <row r="30" spans="1:42" s="224" customFormat="1" ht="15" customHeight="1" x14ac:dyDescent="0.25">
      <c r="A30" s="247">
        <v>46027</v>
      </c>
      <c r="B30" s="882" t="s">
        <v>32</v>
      </c>
      <c r="C30" s="879" t="s">
        <v>12</v>
      </c>
      <c r="D30" s="879" t="s">
        <v>1485</v>
      </c>
      <c r="E30" s="871" t="s">
        <v>13</v>
      </c>
      <c r="F30" s="780">
        <v>23</v>
      </c>
      <c r="G30" s="982"/>
      <c r="H30" s="1008"/>
      <c r="I30" s="1064"/>
      <c r="J30" s="622"/>
      <c r="K30" s="982"/>
      <c r="L30" s="622"/>
      <c r="M30" s="982"/>
      <c r="N30" s="622"/>
      <c r="O30" s="1063"/>
      <c r="P30" s="622"/>
      <c r="Q30" s="982"/>
      <c r="R30" s="1028"/>
      <c r="U30" s="958"/>
    </row>
    <row r="31" spans="1:42" s="224" customFormat="1" ht="15" customHeight="1" x14ac:dyDescent="0.25">
      <c r="A31" s="247">
        <v>46027</v>
      </c>
      <c r="B31" s="1275" t="s">
        <v>8690</v>
      </c>
      <c r="C31" s="1276" t="s">
        <v>12</v>
      </c>
      <c r="D31" s="1276"/>
      <c r="E31" s="1286" t="s">
        <v>13</v>
      </c>
      <c r="F31" s="613">
        <v>184.14</v>
      </c>
      <c r="G31" s="967"/>
      <c r="H31" s="1008"/>
      <c r="I31" s="1063"/>
      <c r="J31" s="613"/>
      <c r="K31" s="6"/>
      <c r="L31" s="622"/>
      <c r="M31" s="982"/>
      <c r="N31" s="622"/>
      <c r="O31" s="1063"/>
      <c r="P31" s="613"/>
      <c r="Q31" s="162"/>
      <c r="R31" s="1024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</row>
    <row r="32" spans="1:42" s="224" customFormat="1" ht="15" customHeight="1" x14ac:dyDescent="0.25">
      <c r="A32" s="247">
        <v>46027</v>
      </c>
      <c r="B32" s="1275" t="s">
        <v>6755</v>
      </c>
      <c r="C32" s="1276" t="s">
        <v>12</v>
      </c>
      <c r="D32" s="1276"/>
      <c r="E32" s="1286"/>
      <c r="F32" s="613"/>
      <c r="G32" s="967">
        <v>184.14</v>
      </c>
      <c r="H32" s="1008"/>
      <c r="I32" s="1063"/>
      <c r="J32" s="613"/>
      <c r="K32" s="6"/>
      <c r="L32" s="622"/>
      <c r="M32" s="982"/>
      <c r="N32" s="622"/>
      <c r="O32" s="1063"/>
      <c r="P32" s="613"/>
      <c r="Q32" s="162"/>
      <c r="R32" s="1024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</row>
    <row r="33" spans="1:42" s="224" customFormat="1" x14ac:dyDescent="0.25">
      <c r="A33" s="247">
        <v>46027</v>
      </c>
      <c r="B33" s="882" t="s">
        <v>14</v>
      </c>
      <c r="C33" s="879" t="s">
        <v>12</v>
      </c>
      <c r="D33" s="879" t="s">
        <v>1486</v>
      </c>
      <c r="E33" s="480" t="s">
        <v>13</v>
      </c>
      <c r="F33" s="780">
        <v>4.17</v>
      </c>
      <c r="G33" s="982"/>
      <c r="H33" s="1008"/>
      <c r="I33" s="1063"/>
      <c r="J33" s="2013"/>
      <c r="K33" s="1207"/>
      <c r="L33" s="622"/>
      <c r="M33" s="982"/>
      <c r="N33" s="622"/>
      <c r="O33" s="1063"/>
      <c r="P33" s="622"/>
      <c r="Q33" s="982"/>
      <c r="R33" s="861"/>
      <c r="T33" s="878"/>
    </row>
    <row r="34" spans="1:42" s="224" customFormat="1" x14ac:dyDescent="0.25">
      <c r="A34" s="247">
        <v>46028</v>
      </c>
      <c r="B34" s="364" t="s">
        <v>2789</v>
      </c>
      <c r="C34" s="350" t="s">
        <v>12</v>
      </c>
      <c r="D34" s="350" t="s">
        <v>1485</v>
      </c>
      <c r="E34" s="875" t="s">
        <v>13</v>
      </c>
      <c r="F34" s="780">
        <v>11</v>
      </c>
      <c r="G34" s="982"/>
      <c r="H34" s="1008"/>
      <c r="I34" s="1063"/>
      <c r="J34" s="2013"/>
      <c r="K34" s="1207"/>
      <c r="L34" s="622"/>
      <c r="M34" s="982"/>
      <c r="N34" s="622"/>
      <c r="O34" s="1063"/>
      <c r="P34" s="622"/>
      <c r="Q34" s="982"/>
      <c r="R34" s="861"/>
      <c r="T34" s="878"/>
    </row>
    <row r="35" spans="1:42" s="224" customFormat="1" ht="15" customHeight="1" x14ac:dyDescent="0.25">
      <c r="A35" s="247">
        <v>46028</v>
      </c>
      <c r="B35" s="882" t="s">
        <v>6329</v>
      </c>
      <c r="C35" s="879" t="s">
        <v>12</v>
      </c>
      <c r="D35" s="879"/>
      <c r="E35" s="875" t="s">
        <v>25</v>
      </c>
      <c r="F35" s="780"/>
      <c r="G35" s="982">
        <v>125</v>
      </c>
      <c r="H35" s="1008"/>
      <c r="I35" s="1063"/>
      <c r="J35" s="613"/>
      <c r="K35" s="982"/>
      <c r="L35" s="622"/>
      <c r="M35" s="982"/>
      <c r="N35" s="622"/>
      <c r="O35" s="1063"/>
      <c r="P35" s="622"/>
      <c r="Q35" s="982"/>
      <c r="R35" s="861"/>
    </row>
    <row r="36" spans="1:42" s="224" customFormat="1" ht="15" customHeight="1" x14ac:dyDescent="0.25">
      <c r="A36" s="247">
        <v>46028</v>
      </c>
      <c r="B36" s="1275" t="s">
        <v>8693</v>
      </c>
      <c r="C36" s="1276" t="s">
        <v>12</v>
      </c>
      <c r="D36" s="1276"/>
      <c r="E36" s="1286"/>
      <c r="F36" s="613"/>
      <c r="G36" s="967">
        <v>1000</v>
      </c>
      <c r="H36" s="1008"/>
      <c r="I36" s="1063"/>
      <c r="J36" s="613">
        <v>1000</v>
      </c>
      <c r="K36" s="6"/>
      <c r="L36" s="622"/>
      <c r="M36" s="982"/>
      <c r="N36" s="622"/>
      <c r="O36" s="1063"/>
      <c r="P36" s="613"/>
      <c r="Q36" s="64"/>
      <c r="R36" s="1024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</row>
    <row r="37" spans="1:42" s="224" customFormat="1" ht="15" customHeight="1" x14ac:dyDescent="0.25">
      <c r="A37" s="247">
        <v>46028</v>
      </c>
      <c r="B37" s="1275" t="s">
        <v>8694</v>
      </c>
      <c r="C37" s="1276" t="s">
        <v>12</v>
      </c>
      <c r="D37" s="1276"/>
      <c r="E37" s="1286"/>
      <c r="F37" s="613"/>
      <c r="G37" s="967">
        <v>500</v>
      </c>
      <c r="H37" s="1008">
        <v>500</v>
      </c>
      <c r="I37" s="1063"/>
      <c r="J37" s="613"/>
      <c r="K37" s="6"/>
      <c r="L37" s="622"/>
      <c r="M37" s="982"/>
      <c r="N37" s="622"/>
      <c r="O37" s="1063"/>
      <c r="P37" s="613"/>
      <c r="Q37" s="64"/>
      <c r="R37" s="1024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46028</v>
      </c>
      <c r="B38" s="1275" t="s">
        <v>8701</v>
      </c>
      <c r="C38" s="1276" t="s">
        <v>12</v>
      </c>
      <c r="D38" s="1276" t="s">
        <v>3017</v>
      </c>
      <c r="E38" s="1286" t="s">
        <v>13</v>
      </c>
      <c r="F38" s="613">
        <v>1500</v>
      </c>
      <c r="G38" s="967"/>
      <c r="H38" s="1008"/>
      <c r="I38" s="1063"/>
      <c r="J38" s="613"/>
      <c r="K38" s="6"/>
      <c r="L38" s="622"/>
      <c r="M38" s="982"/>
      <c r="N38" s="622"/>
      <c r="O38" s="1063"/>
      <c r="P38" s="613"/>
      <c r="Q38" s="64"/>
      <c r="R38" s="1024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</row>
    <row r="39" spans="1:42" s="224" customFormat="1" ht="15" customHeight="1" x14ac:dyDescent="0.25">
      <c r="A39" s="247">
        <v>46028</v>
      </c>
      <c r="B39" s="882" t="s">
        <v>14</v>
      </c>
      <c r="C39" s="879" t="s">
        <v>12</v>
      </c>
      <c r="D39" s="879" t="s">
        <v>1486</v>
      </c>
      <c r="E39" s="480" t="s">
        <v>13</v>
      </c>
      <c r="F39" s="613">
        <v>18.47</v>
      </c>
      <c r="G39" s="967"/>
      <c r="H39" s="1008"/>
      <c r="I39" s="1063"/>
      <c r="J39" s="613"/>
      <c r="K39" s="6"/>
      <c r="L39" s="622"/>
      <c r="M39" s="982"/>
      <c r="N39" s="622"/>
      <c r="O39" s="1063"/>
      <c r="P39" s="613"/>
      <c r="Q39" s="64"/>
      <c r="R39" s="1024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</row>
    <row r="40" spans="1:42" s="224" customFormat="1" ht="15.75" customHeight="1" x14ac:dyDescent="0.25">
      <c r="A40" s="247">
        <v>46029</v>
      </c>
      <c r="B40" s="873" t="s">
        <v>8684</v>
      </c>
      <c r="C40" s="879" t="s">
        <v>12</v>
      </c>
      <c r="D40" s="874"/>
      <c r="E40" s="887" t="s">
        <v>25</v>
      </c>
      <c r="F40" s="1524"/>
      <c r="G40" s="1002">
        <v>1470</v>
      </c>
      <c r="H40" s="538"/>
      <c r="I40" s="982"/>
      <c r="J40" s="2013"/>
      <c r="K40" s="1207"/>
      <c r="L40" s="622"/>
      <c r="M40" s="982"/>
      <c r="N40" s="622"/>
      <c r="O40" s="1063"/>
      <c r="P40" s="622"/>
      <c r="Q40" s="982"/>
      <c r="R40" s="178">
        <v>1470</v>
      </c>
    </row>
    <row r="41" spans="1:42" s="224" customFormat="1" ht="15.75" customHeight="1" x14ac:dyDescent="0.25">
      <c r="A41" s="247">
        <v>46029</v>
      </c>
      <c r="B41" s="873" t="s">
        <v>8685</v>
      </c>
      <c r="C41" s="879" t="s">
        <v>12</v>
      </c>
      <c r="D41" s="874"/>
      <c r="E41" s="887" t="s">
        <v>25</v>
      </c>
      <c r="F41" s="1524"/>
      <c r="G41" s="1002">
        <v>2526.38</v>
      </c>
      <c r="H41" s="538"/>
      <c r="I41" s="982"/>
      <c r="J41" s="2013"/>
      <c r="K41" s="1207"/>
      <c r="L41" s="622"/>
      <c r="M41" s="982"/>
      <c r="N41" s="622"/>
      <c r="O41" s="1063"/>
      <c r="P41" s="622"/>
      <c r="Q41" s="982"/>
      <c r="R41" s="178">
        <v>2526.38</v>
      </c>
    </row>
    <row r="42" spans="1:42" s="224" customFormat="1" ht="15" customHeight="1" x14ac:dyDescent="0.25">
      <c r="A42" s="247">
        <v>46029</v>
      </c>
      <c r="B42" s="364" t="s">
        <v>1396</v>
      </c>
      <c r="C42" s="879" t="s">
        <v>12</v>
      </c>
      <c r="D42" s="350"/>
      <c r="E42" s="919" t="s">
        <v>25</v>
      </c>
      <c r="F42" s="1116"/>
      <c r="G42" s="966">
        <v>200</v>
      </c>
      <c r="H42" s="1031"/>
      <c r="I42" s="1525"/>
      <c r="J42" s="2013"/>
      <c r="K42" s="1207"/>
      <c r="L42" s="880"/>
      <c r="M42" s="1033"/>
      <c r="N42" s="622"/>
      <c r="O42" s="1063"/>
      <c r="P42" s="1116"/>
      <c r="Q42" s="1207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</row>
    <row r="43" spans="1:42" s="224" customFormat="1" ht="15" customHeight="1" x14ac:dyDescent="0.25">
      <c r="A43" s="247">
        <v>46029</v>
      </c>
      <c r="B43" s="364" t="s">
        <v>7219</v>
      </c>
      <c r="C43" s="879" t="s">
        <v>12</v>
      </c>
      <c r="D43" s="350" t="s">
        <v>1491</v>
      </c>
      <c r="E43" s="875" t="s">
        <v>13</v>
      </c>
      <c r="F43" s="780">
        <v>500</v>
      </c>
      <c r="G43" s="982"/>
      <c r="H43" s="622"/>
      <c r="I43" s="982"/>
      <c r="J43" s="2013"/>
      <c r="K43" s="1207"/>
      <c r="L43" s="622"/>
      <c r="M43" s="982"/>
      <c r="N43" s="622"/>
      <c r="O43" s="1063"/>
      <c r="P43" s="622"/>
      <c r="Q43" s="982"/>
      <c r="R43" s="1028"/>
      <c r="T43" s="1035"/>
    </row>
    <row r="44" spans="1:42" s="224" customFormat="1" ht="15" customHeight="1" x14ac:dyDescent="0.25">
      <c r="A44" s="247">
        <v>46029</v>
      </c>
      <c r="B44" s="882" t="s">
        <v>8675</v>
      </c>
      <c r="C44" s="879" t="s">
        <v>12</v>
      </c>
      <c r="D44" s="879" t="s">
        <v>1499</v>
      </c>
      <c r="E44" s="871" t="s">
        <v>13</v>
      </c>
      <c r="F44" s="780">
        <v>30.56</v>
      </c>
      <c r="G44" s="1002"/>
      <c r="H44" s="538"/>
      <c r="I44" s="982"/>
      <c r="J44" s="2013"/>
      <c r="K44" s="1207"/>
      <c r="L44" s="622"/>
      <c r="M44" s="982"/>
      <c r="N44" s="622"/>
      <c r="O44" s="1063"/>
      <c r="P44" s="622"/>
      <c r="Q44" s="982"/>
      <c r="R44" s="178">
        <v>120</v>
      </c>
      <c r="S44" s="999"/>
      <c r="T44" s="878"/>
    </row>
    <row r="45" spans="1:42" x14ac:dyDescent="0.25">
      <c r="A45" s="247">
        <v>46029</v>
      </c>
      <c r="B45" s="876" t="s">
        <v>6762</v>
      </c>
      <c r="C45" s="879" t="s">
        <v>12</v>
      </c>
      <c r="D45" s="879" t="s">
        <v>1496</v>
      </c>
      <c r="E45" s="871" t="s">
        <v>15</v>
      </c>
      <c r="F45" s="780">
        <v>100</v>
      </c>
      <c r="G45" s="982"/>
      <c r="H45" s="1009"/>
      <c r="I45" s="1063"/>
      <c r="J45" s="613"/>
      <c r="K45" s="6"/>
      <c r="L45" s="622"/>
      <c r="M45" s="982"/>
      <c r="N45" s="622"/>
      <c r="O45" s="1063"/>
      <c r="P45" s="622"/>
      <c r="Q45" s="982"/>
      <c r="R45" s="1029"/>
    </row>
    <row r="46" spans="1:42" s="224" customFormat="1" ht="15" customHeight="1" x14ac:dyDescent="0.25">
      <c r="A46" s="247">
        <v>46029</v>
      </c>
      <c r="B46" s="882" t="s">
        <v>8493</v>
      </c>
      <c r="C46" s="879" t="s">
        <v>12</v>
      </c>
      <c r="D46" s="879" t="s">
        <v>1489</v>
      </c>
      <c r="E46" s="875" t="s">
        <v>13</v>
      </c>
      <c r="F46" s="780">
        <v>150</v>
      </c>
      <c r="G46" s="982"/>
      <c r="H46" s="95"/>
      <c r="I46" s="1064"/>
      <c r="J46" s="622"/>
      <c r="K46" s="982"/>
      <c r="L46" s="622"/>
      <c r="M46" s="982"/>
      <c r="N46" s="622"/>
      <c r="O46" s="1063"/>
      <c r="P46" s="622"/>
      <c r="Q46" s="982"/>
      <c r="R46" s="861"/>
    </row>
    <row r="47" spans="1:42" s="224" customFormat="1" ht="15" customHeight="1" x14ac:dyDescent="0.25">
      <c r="A47" s="247">
        <v>46029</v>
      </c>
      <c r="B47" s="882" t="s">
        <v>6130</v>
      </c>
      <c r="C47" s="879" t="s">
        <v>12</v>
      </c>
      <c r="D47" s="879" t="s">
        <v>1491</v>
      </c>
      <c r="E47" s="875" t="s">
        <v>13</v>
      </c>
      <c r="F47" s="780">
        <v>33.979999999999997</v>
      </c>
      <c r="G47" s="982"/>
      <c r="H47" s="1008"/>
      <c r="I47" s="1064"/>
      <c r="J47" s="622"/>
      <c r="K47" s="982"/>
      <c r="L47" s="622"/>
      <c r="M47" s="982"/>
      <c r="N47" s="622"/>
      <c r="O47" s="1063"/>
      <c r="P47" s="622"/>
      <c r="Q47" s="982"/>
      <c r="R47" s="1956" t="s">
        <v>7137</v>
      </c>
    </row>
    <row r="48" spans="1:42" s="224" customFormat="1" ht="15" customHeight="1" x14ac:dyDescent="0.25">
      <c r="A48" s="247">
        <v>46029</v>
      </c>
      <c r="B48" s="882" t="s">
        <v>7799</v>
      </c>
      <c r="C48" s="879" t="s">
        <v>12</v>
      </c>
      <c r="D48" s="879" t="s">
        <v>1504</v>
      </c>
      <c r="E48" s="875" t="s">
        <v>13</v>
      </c>
      <c r="F48" s="780">
        <v>43</v>
      </c>
      <c r="G48" s="982"/>
      <c r="H48" s="1008"/>
      <c r="I48" s="1064"/>
      <c r="J48" s="622"/>
      <c r="K48" s="982"/>
      <c r="L48" s="622"/>
      <c r="M48" s="982"/>
      <c r="N48" s="622"/>
      <c r="O48" s="1063"/>
      <c r="P48" s="622"/>
      <c r="Q48" s="982"/>
      <c r="R48" s="1956" t="s">
        <v>7137</v>
      </c>
    </row>
    <row r="49" spans="1:42" s="224" customFormat="1" ht="15" customHeight="1" x14ac:dyDescent="0.25">
      <c r="A49" s="247">
        <v>46029</v>
      </c>
      <c r="B49" s="882" t="s">
        <v>7885</v>
      </c>
      <c r="C49" s="879" t="s">
        <v>12</v>
      </c>
      <c r="D49" s="879" t="s">
        <v>1504</v>
      </c>
      <c r="E49" s="875" t="s">
        <v>13</v>
      </c>
      <c r="F49" s="780">
        <v>20.9</v>
      </c>
      <c r="G49" s="982"/>
      <c r="H49" s="1008"/>
      <c r="I49" s="1064"/>
      <c r="J49" s="622"/>
      <c r="K49" s="982"/>
      <c r="L49" s="622"/>
      <c r="M49" s="982"/>
      <c r="N49" s="622"/>
      <c r="O49" s="1063"/>
      <c r="P49" s="622"/>
      <c r="Q49" s="982"/>
      <c r="R49" s="1956" t="s">
        <v>7137</v>
      </c>
    </row>
    <row r="50" spans="1:42" s="224" customFormat="1" ht="15" customHeight="1" x14ac:dyDescent="0.25">
      <c r="A50" s="247">
        <v>46029</v>
      </c>
      <c r="B50" s="882" t="s">
        <v>7892</v>
      </c>
      <c r="C50" s="879" t="s">
        <v>12</v>
      </c>
      <c r="D50" s="879" t="s">
        <v>1504</v>
      </c>
      <c r="E50" s="875" t="s">
        <v>13</v>
      </c>
      <c r="F50" s="780">
        <v>9.99</v>
      </c>
      <c r="G50" s="982"/>
      <c r="H50" s="1008"/>
      <c r="I50" s="1064"/>
      <c r="J50" s="622"/>
      <c r="K50" s="982"/>
      <c r="L50" s="622"/>
      <c r="M50" s="982"/>
      <c r="N50" s="622"/>
      <c r="O50" s="1063"/>
      <c r="P50" s="622"/>
      <c r="Q50" s="982"/>
      <c r="R50" s="1956" t="s">
        <v>7137</v>
      </c>
    </row>
    <row r="51" spans="1:42" s="224" customFormat="1" ht="15" customHeight="1" x14ac:dyDescent="0.25">
      <c r="A51" s="247">
        <v>46029</v>
      </c>
      <c r="B51" s="882" t="s">
        <v>8330</v>
      </c>
      <c r="C51" s="879" t="s">
        <v>12</v>
      </c>
      <c r="D51" s="879" t="s">
        <v>1504</v>
      </c>
      <c r="E51" s="875" t="s">
        <v>13</v>
      </c>
      <c r="F51" s="780">
        <v>9.9</v>
      </c>
      <c r="G51" s="982"/>
      <c r="H51" s="1008"/>
      <c r="I51" s="1064"/>
      <c r="J51" s="622"/>
      <c r="K51" s="982"/>
      <c r="L51" s="622"/>
      <c r="M51" s="982"/>
      <c r="N51" s="622"/>
      <c r="O51" s="1063"/>
      <c r="P51" s="622"/>
      <c r="Q51" s="982"/>
      <c r="R51" s="1956" t="s">
        <v>7137</v>
      </c>
    </row>
    <row r="52" spans="1:42" s="224" customFormat="1" ht="15" customHeight="1" x14ac:dyDescent="0.25">
      <c r="A52" s="247">
        <v>46029</v>
      </c>
      <c r="B52" s="882" t="s">
        <v>8488</v>
      </c>
      <c r="C52" s="879" t="s">
        <v>12</v>
      </c>
      <c r="D52" s="879" t="s">
        <v>1525</v>
      </c>
      <c r="E52" s="875" t="s">
        <v>13</v>
      </c>
      <c r="F52" s="780">
        <v>53.39875</v>
      </c>
      <c r="G52" s="982"/>
      <c r="H52" s="1008"/>
      <c r="I52" s="1064"/>
      <c r="J52" s="622"/>
      <c r="K52" s="982"/>
      <c r="L52" s="622"/>
      <c r="M52" s="982"/>
      <c r="N52" s="622"/>
      <c r="O52" s="1063"/>
      <c r="P52" s="622"/>
      <c r="Q52" s="982"/>
      <c r="R52" s="1956" t="s">
        <v>7137</v>
      </c>
    </row>
    <row r="53" spans="1:42" s="224" customFormat="1" ht="15" customHeight="1" x14ac:dyDescent="0.25">
      <c r="A53" s="247">
        <v>46029</v>
      </c>
      <c r="B53" s="882" t="s">
        <v>8532</v>
      </c>
      <c r="C53" s="879" t="s">
        <v>12</v>
      </c>
      <c r="D53" s="879" t="s">
        <v>1506</v>
      </c>
      <c r="E53" s="875" t="s">
        <v>13</v>
      </c>
      <c r="F53" s="780">
        <v>70</v>
      </c>
      <c r="G53" s="982"/>
      <c r="H53" s="1008"/>
      <c r="I53" s="1064"/>
      <c r="J53" s="622"/>
      <c r="K53" s="982"/>
      <c r="L53" s="622"/>
      <c r="M53" s="982"/>
      <c r="N53" s="622"/>
      <c r="O53" s="1063"/>
      <c r="P53" s="622"/>
      <c r="Q53" s="982"/>
      <c r="R53" s="1956" t="s">
        <v>7137</v>
      </c>
    </row>
    <row r="54" spans="1:42" s="224" customFormat="1" ht="15" customHeight="1" x14ac:dyDescent="0.25">
      <c r="A54" s="247">
        <v>46029</v>
      </c>
      <c r="B54" s="882" t="s">
        <v>8597</v>
      </c>
      <c r="C54" s="879" t="s">
        <v>12</v>
      </c>
      <c r="D54" s="879" t="s">
        <v>1525</v>
      </c>
      <c r="E54" s="875" t="s">
        <v>13</v>
      </c>
      <c r="F54" s="780">
        <v>375.96999999999997</v>
      </c>
      <c r="G54" s="982"/>
      <c r="H54" s="1008"/>
      <c r="I54" s="1064"/>
      <c r="J54" s="622"/>
      <c r="K54" s="982"/>
      <c r="L54" s="622"/>
      <c r="M54" s="982"/>
      <c r="N54" s="622"/>
      <c r="O54" s="1063"/>
      <c r="P54" s="622"/>
      <c r="Q54" s="982"/>
      <c r="R54" s="1956" t="s">
        <v>7137</v>
      </c>
    </row>
    <row r="55" spans="1:42" s="224" customFormat="1" ht="15" customHeight="1" x14ac:dyDescent="0.25">
      <c r="A55" s="247">
        <v>46029</v>
      </c>
      <c r="B55" s="882" t="s">
        <v>8520</v>
      </c>
      <c r="C55" s="879" t="s">
        <v>12</v>
      </c>
      <c r="D55" s="879" t="s">
        <v>1523</v>
      </c>
      <c r="E55" s="875" t="s">
        <v>13</v>
      </c>
      <c r="F55" s="780">
        <v>90.539999999999992</v>
      </c>
      <c r="G55" s="982"/>
      <c r="H55" s="1008"/>
      <c r="I55" s="1064"/>
      <c r="J55" s="622"/>
      <c r="K55" s="982"/>
      <c r="L55" s="622"/>
      <c r="M55" s="982"/>
      <c r="N55" s="622"/>
      <c r="O55" s="1063"/>
      <c r="P55" s="622"/>
      <c r="Q55" s="982"/>
      <c r="R55" s="1956" t="s">
        <v>7137</v>
      </c>
    </row>
    <row r="56" spans="1:42" s="224" customFormat="1" ht="15" customHeight="1" x14ac:dyDescent="0.25">
      <c r="A56" s="247">
        <v>46029</v>
      </c>
      <c r="B56" s="882" t="s">
        <v>8632</v>
      </c>
      <c r="C56" s="879" t="s">
        <v>12</v>
      </c>
      <c r="D56" s="879" t="s">
        <v>1523</v>
      </c>
      <c r="E56" s="875" t="s">
        <v>13</v>
      </c>
      <c r="F56" s="780">
        <v>211.02500000000001</v>
      </c>
      <c r="G56" s="982"/>
      <c r="H56" s="1008"/>
      <c r="I56" s="1064"/>
      <c r="J56" s="622"/>
      <c r="K56" s="982"/>
      <c r="L56" s="622"/>
      <c r="M56" s="982"/>
      <c r="N56" s="622"/>
      <c r="O56" s="1063"/>
      <c r="P56" s="622"/>
      <c r="Q56" s="982"/>
      <c r="R56" s="1956" t="s">
        <v>7137</v>
      </c>
    </row>
    <row r="57" spans="1:42" s="224" customFormat="1" ht="15" customHeight="1" x14ac:dyDescent="0.25">
      <c r="A57" s="247">
        <v>46029</v>
      </c>
      <c r="B57" s="882" t="s">
        <v>8630</v>
      </c>
      <c r="C57" s="879" t="s">
        <v>12</v>
      </c>
      <c r="D57" s="879" t="s">
        <v>1506</v>
      </c>
      <c r="E57" s="875" t="s">
        <v>13</v>
      </c>
      <c r="F57" s="780">
        <v>50</v>
      </c>
      <c r="G57" s="982"/>
      <c r="H57" s="1008"/>
      <c r="I57" s="1064"/>
      <c r="J57" s="622"/>
      <c r="K57" s="982"/>
      <c r="L57" s="622"/>
      <c r="M57" s="982"/>
      <c r="N57" s="622"/>
      <c r="O57" s="1063"/>
      <c r="P57" s="622"/>
      <c r="Q57" s="982"/>
      <c r="R57" s="1956" t="s">
        <v>7137</v>
      </c>
    </row>
    <row r="58" spans="1:42" s="224" customFormat="1" ht="15" customHeight="1" x14ac:dyDescent="0.25">
      <c r="A58" s="247">
        <v>46029</v>
      </c>
      <c r="B58" s="882" t="s">
        <v>8631</v>
      </c>
      <c r="C58" s="879" t="s">
        <v>12</v>
      </c>
      <c r="D58" s="879" t="s">
        <v>1491</v>
      </c>
      <c r="E58" s="875" t="s">
        <v>13</v>
      </c>
      <c r="F58" s="780">
        <v>65</v>
      </c>
      <c r="G58" s="982"/>
      <c r="H58" s="1008"/>
      <c r="I58" s="1064"/>
      <c r="J58" s="622"/>
      <c r="K58" s="982"/>
      <c r="L58" s="622"/>
      <c r="M58" s="982"/>
      <c r="N58" s="622"/>
      <c r="O58" s="1063"/>
      <c r="P58" s="622"/>
      <c r="Q58" s="982"/>
      <c r="R58" s="1956" t="s">
        <v>7137</v>
      </c>
    </row>
    <row r="59" spans="1:42" s="224" customFormat="1" ht="15" customHeight="1" x14ac:dyDescent="0.25">
      <c r="A59" s="247">
        <v>46029</v>
      </c>
      <c r="B59" s="882" t="s">
        <v>8640</v>
      </c>
      <c r="C59" s="879" t="s">
        <v>12</v>
      </c>
      <c r="D59" s="879" t="s">
        <v>1523</v>
      </c>
      <c r="E59" s="875" t="s">
        <v>13</v>
      </c>
      <c r="F59" s="780">
        <v>197.31800000000001</v>
      </c>
      <c r="G59" s="982"/>
      <c r="H59" s="1008"/>
      <c r="I59" s="1064"/>
      <c r="J59" s="622"/>
      <c r="K59" s="982"/>
      <c r="L59" s="622"/>
      <c r="M59" s="982"/>
      <c r="N59" s="622"/>
      <c r="O59" s="1063"/>
      <c r="P59" s="622"/>
      <c r="Q59" s="982"/>
      <c r="R59" s="1956" t="s">
        <v>7137</v>
      </c>
    </row>
    <row r="60" spans="1:42" s="224" customFormat="1" ht="15" customHeight="1" x14ac:dyDescent="0.25">
      <c r="A60" s="247">
        <v>46029</v>
      </c>
      <c r="B60" s="882" t="s">
        <v>8732</v>
      </c>
      <c r="C60" s="879" t="s">
        <v>12</v>
      </c>
      <c r="D60" s="879" t="s">
        <v>1491</v>
      </c>
      <c r="E60" s="875" t="s">
        <v>13</v>
      </c>
      <c r="F60" s="780">
        <v>11.9</v>
      </c>
      <c r="G60" s="982"/>
      <c r="H60" s="1008"/>
      <c r="I60" s="1064"/>
      <c r="J60" s="622"/>
      <c r="K60" s="982"/>
      <c r="L60" s="622"/>
      <c r="M60" s="982"/>
      <c r="N60" s="622"/>
      <c r="O60" s="1063"/>
      <c r="P60" s="622"/>
      <c r="Q60" s="982"/>
      <c r="R60" s="1956" t="s">
        <v>7137</v>
      </c>
    </row>
    <row r="61" spans="1:42" s="224" customFormat="1" ht="15" customHeight="1" x14ac:dyDescent="0.25">
      <c r="A61" s="247">
        <v>46029</v>
      </c>
      <c r="B61" s="882" t="s">
        <v>8688</v>
      </c>
      <c r="C61" s="879" t="s">
        <v>12</v>
      </c>
      <c r="D61" s="879" t="s">
        <v>1489</v>
      </c>
      <c r="E61" s="875" t="s">
        <v>13</v>
      </c>
      <c r="F61" s="780">
        <v>5.4</v>
      </c>
      <c r="G61" s="982"/>
      <c r="H61" s="1008"/>
      <c r="I61" s="1064"/>
      <c r="J61" s="622"/>
      <c r="K61" s="982"/>
      <c r="L61" s="622"/>
      <c r="M61" s="982"/>
      <c r="N61" s="622"/>
      <c r="O61" s="1063"/>
      <c r="P61" s="622"/>
      <c r="Q61" s="982"/>
      <c r="R61" s="1956" t="s">
        <v>7137</v>
      </c>
    </row>
    <row r="62" spans="1:42" s="224" customFormat="1" ht="15" customHeight="1" x14ac:dyDescent="0.25">
      <c r="A62" s="247">
        <v>46029</v>
      </c>
      <c r="B62" s="882" t="s">
        <v>32</v>
      </c>
      <c r="C62" s="879" t="s">
        <v>12</v>
      </c>
      <c r="D62" s="879" t="s">
        <v>1485</v>
      </c>
      <c r="E62" s="871" t="s">
        <v>13</v>
      </c>
      <c r="F62" s="780">
        <v>23</v>
      </c>
      <c r="G62" s="982"/>
      <c r="H62" s="1008"/>
      <c r="I62" s="1064"/>
      <c r="J62" s="622"/>
      <c r="K62" s="982"/>
      <c r="L62" s="622"/>
      <c r="M62" s="982"/>
      <c r="N62" s="622"/>
      <c r="O62" s="1063"/>
      <c r="P62" s="622"/>
      <c r="Q62" s="982"/>
      <c r="R62" s="1028"/>
      <c r="U62" s="958"/>
    </row>
    <row r="63" spans="1:42" s="224" customFormat="1" ht="15" customHeight="1" x14ac:dyDescent="0.25">
      <c r="A63" s="247">
        <v>46029</v>
      </c>
      <c r="B63" s="882" t="s">
        <v>14</v>
      </c>
      <c r="C63" s="879" t="s">
        <v>12</v>
      </c>
      <c r="D63" s="879" t="s">
        <v>1486</v>
      </c>
      <c r="E63" s="480" t="s">
        <v>13</v>
      </c>
      <c r="F63" s="613">
        <v>4.71</v>
      </c>
      <c r="G63" s="967"/>
      <c r="H63" s="1008"/>
      <c r="I63" s="1063"/>
      <c r="J63" s="613"/>
      <c r="K63" s="6"/>
      <c r="L63" s="622"/>
      <c r="M63" s="982"/>
      <c r="N63" s="622"/>
      <c r="O63" s="1063"/>
      <c r="P63" s="613"/>
      <c r="Q63" s="64"/>
      <c r="R63" s="1024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</row>
    <row r="64" spans="1:42" s="224" customFormat="1" ht="15" customHeight="1" x14ac:dyDescent="0.25">
      <c r="A64" s="247">
        <v>46029</v>
      </c>
      <c r="B64" s="882" t="s">
        <v>8681</v>
      </c>
      <c r="C64" s="879" t="s">
        <v>12</v>
      </c>
      <c r="D64" s="879" t="s">
        <v>1489</v>
      </c>
      <c r="E64" s="875" t="s">
        <v>5470</v>
      </c>
      <c r="F64" s="780">
        <v>169.11</v>
      </c>
      <c r="G64" s="982"/>
      <c r="H64" s="1008"/>
      <c r="I64" s="1064"/>
      <c r="J64" s="622"/>
      <c r="K64" s="982"/>
      <c r="L64" s="622"/>
      <c r="M64" s="982"/>
      <c r="N64" s="622"/>
      <c r="O64" s="1063"/>
      <c r="P64" s="622"/>
      <c r="Q64" s="982"/>
      <c r="R64" s="1956"/>
    </row>
    <row r="65" spans="1:42" s="224" customFormat="1" ht="15" customHeight="1" x14ac:dyDescent="0.25">
      <c r="A65" s="247">
        <v>46029</v>
      </c>
      <c r="B65" s="882" t="s">
        <v>80</v>
      </c>
      <c r="C65" s="879" t="s">
        <v>12</v>
      </c>
      <c r="D65" s="879" t="s">
        <v>1523</v>
      </c>
      <c r="E65" s="875" t="s">
        <v>13</v>
      </c>
      <c r="F65" s="780">
        <v>23.92</v>
      </c>
      <c r="G65" s="982"/>
      <c r="H65" s="1008"/>
      <c r="I65" s="1064"/>
      <c r="J65" s="622"/>
      <c r="K65" s="982"/>
      <c r="L65" s="622"/>
      <c r="M65" s="982"/>
      <c r="N65" s="622"/>
      <c r="O65" s="1063"/>
      <c r="P65" s="622"/>
      <c r="Q65" s="982"/>
      <c r="R65" s="1956"/>
    </row>
    <row r="66" spans="1:42" s="224" customFormat="1" ht="15" customHeight="1" x14ac:dyDescent="0.25">
      <c r="A66" s="247">
        <v>46030</v>
      </c>
      <c r="B66" s="882" t="s">
        <v>8581</v>
      </c>
      <c r="C66" s="879" t="s">
        <v>12</v>
      </c>
      <c r="D66" s="879"/>
      <c r="E66" s="875"/>
      <c r="F66" s="780">
        <v>790</v>
      </c>
      <c r="G66" s="982"/>
      <c r="H66" s="622"/>
      <c r="I66" s="982">
        <v>790</v>
      </c>
      <c r="J66" s="622"/>
      <c r="K66" s="982"/>
      <c r="L66" s="622"/>
      <c r="M66" s="982"/>
      <c r="N66" s="880"/>
      <c r="O66" s="1525"/>
      <c r="P66" s="613"/>
      <c r="Q66" s="162"/>
      <c r="R66" s="861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 spans="1:42" s="224" customFormat="1" ht="15" customHeight="1" x14ac:dyDescent="0.25">
      <c r="A67" s="247">
        <v>46030</v>
      </c>
      <c r="B67" s="882" t="s">
        <v>8706</v>
      </c>
      <c r="C67" s="879" t="s">
        <v>12</v>
      </c>
      <c r="D67" s="879" t="s">
        <v>3017</v>
      </c>
      <c r="E67" s="875" t="s">
        <v>13</v>
      </c>
      <c r="F67" s="780">
        <v>19.100000000000001</v>
      </c>
      <c r="G67" s="982"/>
      <c r="H67" s="1008"/>
      <c r="I67" s="1063"/>
      <c r="J67" s="622"/>
      <c r="K67" s="982"/>
      <c r="L67" s="622"/>
      <c r="M67" s="982"/>
      <c r="N67" s="622"/>
      <c r="O67" s="1063"/>
      <c r="P67" s="622"/>
      <c r="Q67" s="982"/>
      <c r="R67" s="1956"/>
    </row>
    <row r="68" spans="1:42" s="224" customFormat="1" ht="15" customHeight="1" x14ac:dyDescent="0.25">
      <c r="A68" s="247">
        <v>46030</v>
      </c>
      <c r="B68" s="882" t="s">
        <v>32</v>
      </c>
      <c r="C68" s="879" t="s">
        <v>12</v>
      </c>
      <c r="D68" s="879" t="s">
        <v>1485</v>
      </c>
      <c r="E68" s="871" t="s">
        <v>13</v>
      </c>
      <c r="F68" s="780">
        <v>23</v>
      </c>
      <c r="G68" s="982"/>
      <c r="H68" s="1008"/>
      <c r="I68" s="1064"/>
      <c r="J68" s="622"/>
      <c r="K68" s="982"/>
      <c r="L68" s="622"/>
      <c r="M68" s="982"/>
      <c r="N68" s="622"/>
      <c r="O68" s="1063"/>
      <c r="P68" s="622"/>
      <c r="Q68" s="982"/>
      <c r="R68" s="1028"/>
      <c r="U68" s="958"/>
    </row>
    <row r="69" spans="1:42" s="224" customFormat="1" ht="15" customHeight="1" x14ac:dyDescent="0.25">
      <c r="A69" s="247">
        <v>46030</v>
      </c>
      <c r="B69" s="882" t="s">
        <v>17</v>
      </c>
      <c r="C69" s="879" t="s">
        <v>12</v>
      </c>
      <c r="D69" s="879" t="s">
        <v>1493</v>
      </c>
      <c r="E69" s="875" t="s">
        <v>13</v>
      </c>
      <c r="F69" s="780">
        <v>4</v>
      </c>
      <c r="G69" s="982"/>
      <c r="H69" s="1008"/>
      <c r="I69" s="1063"/>
      <c r="J69" s="622"/>
      <c r="K69" s="982"/>
      <c r="L69" s="622"/>
      <c r="M69" s="982"/>
      <c r="N69" s="622"/>
      <c r="O69" s="1063"/>
      <c r="P69" s="622"/>
      <c r="Q69" s="982"/>
      <c r="R69" s="1956"/>
    </row>
    <row r="70" spans="1:42" s="224" customFormat="1" ht="15" customHeight="1" x14ac:dyDescent="0.25">
      <c r="A70" s="247">
        <v>46030</v>
      </c>
      <c r="B70" s="882" t="s">
        <v>14</v>
      </c>
      <c r="C70" s="879" t="s">
        <v>12</v>
      </c>
      <c r="D70" s="879" t="s">
        <v>1486</v>
      </c>
      <c r="E70" s="480" t="s">
        <v>13</v>
      </c>
      <c r="F70" s="613">
        <v>4.46</v>
      </c>
      <c r="G70" s="967"/>
      <c r="H70" s="1008"/>
      <c r="I70" s="1063"/>
      <c r="J70" s="613"/>
      <c r="K70" s="6"/>
      <c r="L70" s="622"/>
      <c r="M70" s="982"/>
      <c r="N70" s="622"/>
      <c r="O70" s="1063"/>
      <c r="P70" s="613"/>
      <c r="Q70" s="64"/>
      <c r="R70" s="1024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 spans="1:42" s="224" customFormat="1" ht="15" customHeight="1" x14ac:dyDescent="0.25">
      <c r="A71" s="247">
        <v>46030</v>
      </c>
      <c r="B71" s="882" t="s">
        <v>8707</v>
      </c>
      <c r="C71" s="879" t="s">
        <v>12</v>
      </c>
      <c r="D71" s="879" t="s">
        <v>6731</v>
      </c>
      <c r="E71" s="875" t="s">
        <v>13</v>
      </c>
      <c r="F71" s="780">
        <v>9</v>
      </c>
      <c r="G71" s="982"/>
      <c r="H71" s="1008"/>
      <c r="I71" s="1063"/>
      <c r="J71" s="622"/>
      <c r="K71" s="982"/>
      <c r="L71" s="622"/>
      <c r="M71" s="982"/>
      <c r="N71" s="622"/>
      <c r="O71" s="1063"/>
      <c r="P71" s="622"/>
      <c r="Q71" s="982"/>
      <c r="R71" s="1956"/>
    </row>
    <row r="72" spans="1:42" s="224" customFormat="1" ht="15" customHeight="1" x14ac:dyDescent="0.25">
      <c r="A72" s="247">
        <v>46031</v>
      </c>
      <c r="B72" s="882" t="s">
        <v>32</v>
      </c>
      <c r="C72" s="879" t="s">
        <v>12</v>
      </c>
      <c r="D72" s="879" t="s">
        <v>1485</v>
      </c>
      <c r="E72" s="871" t="s">
        <v>13</v>
      </c>
      <c r="F72" s="780">
        <v>23</v>
      </c>
      <c r="G72" s="982"/>
      <c r="H72" s="1008"/>
      <c r="I72" s="1064"/>
      <c r="J72" s="622"/>
      <c r="K72" s="982"/>
      <c r="L72" s="622"/>
      <c r="M72" s="982"/>
      <c r="N72" s="622"/>
      <c r="O72" s="1063"/>
      <c r="P72" s="622"/>
      <c r="Q72" s="982"/>
      <c r="R72" s="1028"/>
      <c r="U72" s="958"/>
    </row>
    <row r="73" spans="1:42" s="224" customFormat="1" ht="15" customHeight="1" x14ac:dyDescent="0.25">
      <c r="A73" s="247">
        <v>46031</v>
      </c>
      <c r="B73" s="882" t="s">
        <v>17</v>
      </c>
      <c r="C73" s="879" t="s">
        <v>12</v>
      </c>
      <c r="D73" s="879" t="s">
        <v>1493</v>
      </c>
      <c r="E73" s="875" t="s">
        <v>13</v>
      </c>
      <c r="F73" s="780">
        <v>4</v>
      </c>
      <c r="G73" s="982"/>
      <c r="H73" s="1008"/>
      <c r="I73" s="1063"/>
      <c r="J73" s="622"/>
      <c r="K73" s="982"/>
      <c r="L73" s="622"/>
      <c r="M73" s="982"/>
      <c r="N73" s="622"/>
      <c r="O73" s="1063"/>
      <c r="P73" s="622"/>
      <c r="Q73" s="982"/>
      <c r="R73" s="1956"/>
    </row>
    <row r="74" spans="1:42" s="224" customFormat="1" ht="15" customHeight="1" x14ac:dyDescent="0.25">
      <c r="A74" s="247">
        <v>46031</v>
      </c>
      <c r="B74" s="882" t="s">
        <v>7884</v>
      </c>
      <c r="C74" s="879" t="s">
        <v>12</v>
      </c>
      <c r="D74" s="879" t="s">
        <v>6731</v>
      </c>
      <c r="E74" s="875" t="s">
        <v>13</v>
      </c>
      <c r="F74" s="780">
        <v>13</v>
      </c>
      <c r="G74" s="982"/>
      <c r="H74" s="95"/>
      <c r="I74" s="1064"/>
      <c r="J74" s="622"/>
      <c r="K74" s="982"/>
      <c r="L74" s="622"/>
      <c r="M74" s="982"/>
      <c r="N74" s="622"/>
      <c r="O74" s="1063"/>
      <c r="P74" s="622"/>
      <c r="Q74" s="982"/>
      <c r="R74" s="861"/>
    </row>
    <row r="75" spans="1:42" s="224" customFormat="1" ht="15" customHeight="1" x14ac:dyDescent="0.25">
      <c r="A75" s="247">
        <v>46031</v>
      </c>
      <c r="B75" s="882" t="s">
        <v>82</v>
      </c>
      <c r="C75" s="879" t="s">
        <v>12</v>
      </c>
      <c r="D75" s="879" t="s">
        <v>1493</v>
      </c>
      <c r="E75" s="875" t="s">
        <v>13</v>
      </c>
      <c r="F75" s="780">
        <v>59.1</v>
      </c>
      <c r="G75" s="982"/>
      <c r="H75" s="95"/>
      <c r="I75" s="1064"/>
      <c r="J75" s="622"/>
      <c r="K75" s="982"/>
      <c r="L75" s="622"/>
      <c r="M75" s="982"/>
      <c r="N75" s="622"/>
      <c r="O75" s="1063"/>
      <c r="P75" s="622"/>
      <c r="Q75" s="982"/>
      <c r="R75" s="861"/>
    </row>
    <row r="76" spans="1:42" s="224" customFormat="1" ht="15" customHeight="1" x14ac:dyDescent="0.25">
      <c r="A76" s="247">
        <v>46032</v>
      </c>
      <c r="B76" s="882" t="s">
        <v>14</v>
      </c>
      <c r="C76" s="879" t="s">
        <v>12</v>
      </c>
      <c r="D76" s="879" t="s">
        <v>1486</v>
      </c>
      <c r="E76" s="480" t="s">
        <v>13</v>
      </c>
      <c r="F76" s="613">
        <v>8.34</v>
      </c>
      <c r="G76" s="967"/>
      <c r="H76" s="1008"/>
      <c r="I76" s="1063"/>
      <c r="J76" s="613"/>
      <c r="K76" s="6"/>
      <c r="L76" s="622"/>
      <c r="M76" s="982"/>
      <c r="N76" s="622"/>
      <c r="O76" s="1063"/>
      <c r="P76" s="613"/>
      <c r="Q76" s="64"/>
      <c r="R76" s="1024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 spans="1:42" s="224" customFormat="1" x14ac:dyDescent="0.25">
      <c r="A77" s="247">
        <v>46032</v>
      </c>
      <c r="B77" s="364" t="s">
        <v>7122</v>
      </c>
      <c r="C77" s="350" t="s">
        <v>12</v>
      </c>
      <c r="D77" s="350" t="s">
        <v>1489</v>
      </c>
      <c r="E77" s="875" t="s">
        <v>13</v>
      </c>
      <c r="F77" s="780">
        <v>15</v>
      </c>
      <c r="G77" s="982"/>
      <c r="H77" s="1008"/>
      <c r="I77" s="1063"/>
      <c r="J77" s="2013"/>
      <c r="K77" s="1207"/>
      <c r="L77" s="622"/>
      <c r="M77" s="982"/>
      <c r="N77" s="622"/>
      <c r="O77" s="1063"/>
      <c r="P77" s="622"/>
      <c r="Q77" s="982"/>
      <c r="R77" s="861"/>
      <c r="T77" s="878"/>
    </row>
    <row r="78" spans="1:42" s="224" customFormat="1" x14ac:dyDescent="0.25">
      <c r="A78" s="247">
        <v>46032</v>
      </c>
      <c r="B78" s="1275" t="s">
        <v>8720</v>
      </c>
      <c r="C78" s="879" t="s">
        <v>12</v>
      </c>
      <c r="D78" s="1276" t="s">
        <v>1523</v>
      </c>
      <c r="E78" s="1277" t="s">
        <v>13</v>
      </c>
      <c r="F78" s="1702">
        <v>18</v>
      </c>
      <c r="G78" s="982"/>
      <c r="H78" s="1008"/>
      <c r="I78" s="1063"/>
      <c r="J78" s="2013"/>
      <c r="K78" s="1207"/>
      <c r="L78" s="622"/>
      <c r="M78" s="982"/>
      <c r="N78" s="622"/>
      <c r="O78" s="1063"/>
      <c r="P78" s="622"/>
      <c r="Q78" s="982"/>
      <c r="R78" s="1028"/>
      <c r="T78" s="878"/>
    </row>
    <row r="79" spans="1:42" s="224" customFormat="1" x14ac:dyDescent="0.25">
      <c r="A79" s="247">
        <v>46032</v>
      </c>
      <c r="B79" s="1275" t="s">
        <v>32</v>
      </c>
      <c r="C79" s="879" t="s">
        <v>12</v>
      </c>
      <c r="D79" s="1276" t="s">
        <v>1485</v>
      </c>
      <c r="E79" s="1277" t="s">
        <v>13</v>
      </c>
      <c r="F79" s="1702">
        <v>39</v>
      </c>
      <c r="G79" s="982"/>
      <c r="H79" s="1008"/>
      <c r="I79" s="1063"/>
      <c r="J79" s="2013"/>
      <c r="K79" s="1207"/>
      <c r="L79" s="622"/>
      <c r="M79" s="982"/>
      <c r="N79" s="622"/>
      <c r="O79" s="1063"/>
      <c r="P79" s="622"/>
      <c r="Q79" s="982"/>
      <c r="R79" s="1028"/>
      <c r="T79" s="878"/>
    </row>
    <row r="80" spans="1:42" s="224" customFormat="1" x14ac:dyDescent="0.25">
      <c r="A80" s="247">
        <v>46032</v>
      </c>
      <c r="B80" s="1275" t="s">
        <v>8723</v>
      </c>
      <c r="C80" s="879" t="s">
        <v>12</v>
      </c>
      <c r="D80" s="1276" t="s">
        <v>1525</v>
      </c>
      <c r="E80" s="1277" t="s">
        <v>13</v>
      </c>
      <c r="F80" s="1702">
        <v>11.31</v>
      </c>
      <c r="G80" s="982"/>
      <c r="H80" s="1008"/>
      <c r="I80" s="1063"/>
      <c r="J80" s="2013"/>
      <c r="K80" s="1207"/>
      <c r="L80" s="622"/>
      <c r="M80" s="982"/>
      <c r="N80" s="622"/>
      <c r="O80" s="1063"/>
      <c r="P80" s="622"/>
      <c r="Q80" s="982"/>
      <c r="R80" s="1028"/>
      <c r="T80" s="878"/>
    </row>
    <row r="81" spans="1:42" s="224" customFormat="1" x14ac:dyDescent="0.25">
      <c r="A81" s="247">
        <v>46032</v>
      </c>
      <c r="B81" s="1275" t="s">
        <v>8721</v>
      </c>
      <c r="C81" s="879" t="s">
        <v>12</v>
      </c>
      <c r="D81" s="1276" t="s">
        <v>1489</v>
      </c>
      <c r="E81" s="1277" t="s">
        <v>13</v>
      </c>
      <c r="F81" s="1702">
        <v>17.97</v>
      </c>
      <c r="G81" s="982"/>
      <c r="H81" s="1008"/>
      <c r="I81" s="1063"/>
      <c r="J81" s="2013"/>
      <c r="K81" s="1207"/>
      <c r="L81" s="622"/>
      <c r="M81" s="982"/>
      <c r="N81" s="622"/>
      <c r="O81" s="1063"/>
      <c r="P81" s="622"/>
      <c r="Q81" s="982"/>
      <c r="R81" s="1028"/>
      <c r="T81" s="878"/>
    </row>
    <row r="82" spans="1:42" s="224" customFormat="1" ht="15" customHeight="1" x14ac:dyDescent="0.25">
      <c r="A82" s="247">
        <v>46032</v>
      </c>
      <c r="B82" s="882" t="s">
        <v>14</v>
      </c>
      <c r="C82" s="879" t="s">
        <v>12</v>
      </c>
      <c r="D82" s="879" t="s">
        <v>1486</v>
      </c>
      <c r="E82" s="480" t="s">
        <v>13</v>
      </c>
      <c r="F82" s="613">
        <v>5.61</v>
      </c>
      <c r="G82" s="967"/>
      <c r="H82" s="1008"/>
      <c r="I82" s="1063"/>
      <c r="J82" s="613"/>
      <c r="K82" s="6"/>
      <c r="L82" s="622"/>
      <c r="M82" s="982"/>
      <c r="N82" s="622"/>
      <c r="O82" s="1063"/>
      <c r="P82" s="613"/>
      <c r="Q82" s="64"/>
      <c r="R82" s="1024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</row>
    <row r="83" spans="1:42" s="224" customFormat="1" ht="15" customHeight="1" x14ac:dyDescent="0.25">
      <c r="A83" s="247">
        <v>46033</v>
      </c>
      <c r="B83" s="882" t="s">
        <v>14</v>
      </c>
      <c r="C83" s="879" t="s">
        <v>12</v>
      </c>
      <c r="D83" s="879" t="s">
        <v>1486</v>
      </c>
      <c r="E83" s="480" t="s">
        <v>13</v>
      </c>
      <c r="F83" s="613">
        <v>9</v>
      </c>
      <c r="G83" s="967"/>
      <c r="H83" s="1008"/>
      <c r="I83" s="1063"/>
      <c r="J83" s="613"/>
      <c r="K83" s="6"/>
      <c r="L83" s="622"/>
      <c r="M83" s="982"/>
      <c r="N83" s="622"/>
      <c r="O83" s="1063"/>
      <c r="P83" s="613"/>
      <c r="Q83" s="64"/>
      <c r="R83" s="1024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</row>
    <row r="84" spans="1:42" s="224" customFormat="1" ht="15" customHeight="1" x14ac:dyDescent="0.25">
      <c r="A84" s="247">
        <v>46033</v>
      </c>
      <c r="B84" s="882" t="s">
        <v>8668</v>
      </c>
      <c r="C84" s="879" t="s">
        <v>12</v>
      </c>
      <c r="D84" s="879" t="s">
        <v>6731</v>
      </c>
      <c r="E84" s="480" t="s">
        <v>13</v>
      </c>
      <c r="F84" s="613">
        <v>10</v>
      </c>
      <c r="G84" s="967"/>
      <c r="H84" s="1008"/>
      <c r="I84" s="1063"/>
      <c r="J84" s="613"/>
      <c r="K84" s="6"/>
      <c r="L84" s="622"/>
      <c r="M84" s="982"/>
      <c r="N84" s="622"/>
      <c r="O84" s="1063"/>
      <c r="P84" s="613"/>
      <c r="Q84" s="64"/>
      <c r="R84" s="102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</row>
    <row r="85" spans="1:42" s="224" customFormat="1" ht="15" customHeight="1" x14ac:dyDescent="0.25">
      <c r="A85" s="247">
        <v>46033</v>
      </c>
      <c r="B85" s="882" t="s">
        <v>8722</v>
      </c>
      <c r="C85" s="879" t="s">
        <v>12</v>
      </c>
      <c r="D85" s="879" t="s">
        <v>1493</v>
      </c>
      <c r="E85" s="480" t="s">
        <v>13</v>
      </c>
      <c r="F85" s="613">
        <v>51</v>
      </c>
      <c r="G85" s="967"/>
      <c r="H85" s="1008"/>
      <c r="I85" s="1063"/>
      <c r="J85" s="613"/>
      <c r="K85" s="6"/>
      <c r="L85" s="622"/>
      <c r="M85" s="982"/>
      <c r="N85" s="622"/>
      <c r="O85" s="1063"/>
      <c r="P85" s="613"/>
      <c r="Q85" s="64"/>
      <c r="R85" s="1024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</row>
    <row r="86" spans="1:42" s="224" customFormat="1" ht="15" customHeight="1" x14ac:dyDescent="0.25">
      <c r="A86" s="247">
        <v>46033</v>
      </c>
      <c r="B86" s="882" t="s">
        <v>8733</v>
      </c>
      <c r="C86" s="879" t="s">
        <v>12</v>
      </c>
      <c r="D86" s="879" t="s">
        <v>1493</v>
      </c>
      <c r="E86" s="480" t="s">
        <v>13</v>
      </c>
      <c r="F86" s="613">
        <v>60</v>
      </c>
      <c r="G86" s="967"/>
      <c r="H86" s="1008"/>
      <c r="I86" s="1063"/>
      <c r="J86" s="613"/>
      <c r="K86" s="6"/>
      <c r="L86" s="622"/>
      <c r="M86" s="982"/>
      <c r="N86" s="622"/>
      <c r="O86" s="1063"/>
      <c r="P86" s="613"/>
      <c r="Q86" s="64"/>
      <c r="R86" s="1024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</row>
    <row r="87" spans="1:42" s="224" customFormat="1" ht="15" customHeight="1" x14ac:dyDescent="0.25">
      <c r="A87" s="247">
        <v>46033</v>
      </c>
      <c r="B87" s="882" t="s">
        <v>32</v>
      </c>
      <c r="C87" s="879" t="s">
        <v>12</v>
      </c>
      <c r="D87" s="879" t="s">
        <v>1485</v>
      </c>
      <c r="E87" s="480" t="s">
        <v>13</v>
      </c>
      <c r="F87" s="613">
        <v>32.72</v>
      </c>
      <c r="G87" s="967"/>
      <c r="H87" s="1008"/>
      <c r="I87" s="1063"/>
      <c r="J87" s="613"/>
      <c r="K87" s="6"/>
      <c r="L87" s="622"/>
      <c r="M87" s="982"/>
      <c r="N87" s="622"/>
      <c r="O87" s="1063"/>
      <c r="P87" s="613"/>
      <c r="Q87" s="64"/>
      <c r="R87" s="1024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 spans="1:42" s="224" customFormat="1" ht="14.25" customHeight="1" x14ac:dyDescent="0.25">
      <c r="A88" s="247">
        <v>46033</v>
      </c>
      <c r="B88" s="882" t="s">
        <v>1369</v>
      </c>
      <c r="C88" s="879" t="s">
        <v>12</v>
      </c>
      <c r="D88" s="879" t="s">
        <v>1489</v>
      </c>
      <c r="E88" s="875" t="s">
        <v>13</v>
      </c>
      <c r="F88" s="1810">
        <v>13.4</v>
      </c>
      <c r="G88" s="982"/>
      <c r="H88" s="1031"/>
      <c r="I88" s="1525"/>
      <c r="J88" s="622"/>
      <c r="K88" s="982"/>
      <c r="L88" s="880"/>
      <c r="M88" s="1033"/>
      <c r="N88" s="880"/>
      <c r="O88" s="1525"/>
      <c r="P88" s="613"/>
      <c r="Q88" s="162"/>
      <c r="R88" s="1209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</row>
    <row r="89" spans="1:42" s="224" customFormat="1" ht="15" customHeight="1" x14ac:dyDescent="0.25">
      <c r="A89" s="247">
        <v>46033</v>
      </c>
      <c r="B89" s="882" t="s">
        <v>14</v>
      </c>
      <c r="C89" s="879" t="s">
        <v>12</v>
      </c>
      <c r="D89" s="879" t="s">
        <v>1486</v>
      </c>
      <c r="E89" s="480" t="s">
        <v>13</v>
      </c>
      <c r="F89" s="613">
        <v>4.8899999999999997</v>
      </c>
      <c r="G89" s="967"/>
      <c r="H89" s="1008"/>
      <c r="I89" s="1063"/>
      <c r="J89" s="613"/>
      <c r="K89" s="6"/>
      <c r="L89" s="622"/>
      <c r="M89" s="982"/>
      <c r="N89" s="622"/>
      <c r="O89" s="1063"/>
      <c r="P89" s="613"/>
      <c r="Q89" s="64"/>
      <c r="R89" s="1024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</row>
    <row r="90" spans="1:42" s="224" customFormat="1" ht="15" customHeight="1" x14ac:dyDescent="0.25">
      <c r="A90" s="247">
        <v>46034</v>
      </c>
      <c r="B90" s="882" t="s">
        <v>32</v>
      </c>
      <c r="C90" s="879" t="s">
        <v>12</v>
      </c>
      <c r="D90" s="879" t="s">
        <v>1485</v>
      </c>
      <c r="E90" s="871" t="s">
        <v>13</v>
      </c>
      <c r="F90" s="780">
        <v>23</v>
      </c>
      <c r="G90" s="982"/>
      <c r="H90" s="1008"/>
      <c r="I90" s="1064"/>
      <c r="J90" s="622"/>
      <c r="K90" s="982"/>
      <c r="L90" s="622"/>
      <c r="M90" s="982"/>
      <c r="N90" s="622"/>
      <c r="O90" s="1063"/>
      <c r="P90" s="622"/>
      <c r="Q90" s="982"/>
      <c r="R90" s="1028"/>
      <c r="U90" s="958"/>
    </row>
    <row r="91" spans="1:42" s="224" customFormat="1" ht="15" customHeight="1" x14ac:dyDescent="0.25">
      <c r="A91" s="247">
        <v>46034</v>
      </c>
      <c r="B91" s="882" t="s">
        <v>8724</v>
      </c>
      <c r="C91" s="879" t="s">
        <v>12</v>
      </c>
      <c r="D91" s="879" t="s">
        <v>1525</v>
      </c>
      <c r="E91" s="871" t="s">
        <v>13</v>
      </c>
      <c r="F91" s="780">
        <v>15</v>
      </c>
      <c r="G91" s="982"/>
      <c r="H91" s="1008"/>
      <c r="I91" s="1064"/>
      <c r="J91" s="622"/>
      <c r="K91" s="982"/>
      <c r="L91" s="622"/>
      <c r="M91" s="982"/>
      <c r="N91" s="622"/>
      <c r="O91" s="1063"/>
      <c r="P91" s="622"/>
      <c r="Q91" s="982"/>
      <c r="R91" s="1028"/>
      <c r="U91" s="958"/>
    </row>
    <row r="92" spans="1:42" s="224" customFormat="1" ht="15" customHeight="1" x14ac:dyDescent="0.25">
      <c r="A92" s="247">
        <v>46034</v>
      </c>
      <c r="B92" s="882" t="s">
        <v>8725</v>
      </c>
      <c r="C92" s="879" t="s">
        <v>12</v>
      </c>
      <c r="D92" s="879" t="s">
        <v>1525</v>
      </c>
      <c r="E92" s="871" t="s">
        <v>13</v>
      </c>
      <c r="F92" s="780">
        <v>15</v>
      </c>
      <c r="G92" s="982"/>
      <c r="H92" s="1008"/>
      <c r="I92" s="1064"/>
      <c r="J92" s="622"/>
      <c r="K92" s="982"/>
      <c r="L92" s="622"/>
      <c r="M92" s="982"/>
      <c r="N92" s="622"/>
      <c r="O92" s="1063"/>
      <c r="P92" s="622"/>
      <c r="Q92" s="982"/>
      <c r="R92" s="1028"/>
      <c r="U92" s="958"/>
    </row>
    <row r="93" spans="1:42" s="224" customFormat="1" ht="15" customHeight="1" x14ac:dyDescent="0.25">
      <c r="A93" s="247">
        <v>46034</v>
      </c>
      <c r="B93" s="882" t="s">
        <v>14</v>
      </c>
      <c r="C93" s="879" t="s">
        <v>12</v>
      </c>
      <c r="D93" s="879" t="s">
        <v>1486</v>
      </c>
      <c r="E93" s="871" t="s">
        <v>13</v>
      </c>
      <c r="F93" s="780">
        <v>5.61</v>
      </c>
      <c r="G93" s="982"/>
      <c r="H93" s="1008"/>
      <c r="I93" s="1064"/>
      <c r="J93" s="622"/>
      <c r="K93" s="982"/>
      <c r="L93" s="622"/>
      <c r="M93" s="982"/>
      <c r="N93" s="622"/>
      <c r="O93" s="1063"/>
      <c r="P93" s="622"/>
      <c r="Q93" s="982"/>
      <c r="R93" s="1028"/>
      <c r="U93" s="958"/>
    </row>
    <row r="94" spans="1:42" s="224" customFormat="1" ht="15" customHeight="1" x14ac:dyDescent="0.25">
      <c r="A94" s="247">
        <v>46035</v>
      </c>
      <c r="B94" s="882" t="s">
        <v>6329</v>
      </c>
      <c r="C94" s="879" t="s">
        <v>12</v>
      </c>
      <c r="D94" s="879"/>
      <c r="E94" s="875" t="s">
        <v>25</v>
      </c>
      <c r="F94" s="780"/>
      <c r="G94" s="982">
        <v>125</v>
      </c>
      <c r="H94" s="1008"/>
      <c r="I94" s="1063"/>
      <c r="J94" s="613"/>
      <c r="K94" s="982"/>
      <c r="L94" s="622"/>
      <c r="M94" s="982"/>
      <c r="N94" s="622"/>
      <c r="O94" s="1063"/>
      <c r="P94" s="622"/>
      <c r="Q94" s="982"/>
      <c r="R94" s="861"/>
    </row>
    <row r="95" spans="1:42" s="224" customFormat="1" ht="15" customHeight="1" x14ac:dyDescent="0.25">
      <c r="A95" s="247">
        <v>46035</v>
      </c>
      <c r="B95" s="882" t="s">
        <v>14</v>
      </c>
      <c r="C95" s="879" t="s">
        <v>12</v>
      </c>
      <c r="D95" s="879" t="s">
        <v>1486</v>
      </c>
      <c r="E95" s="871" t="s">
        <v>13</v>
      </c>
      <c r="F95" s="780">
        <v>18.23</v>
      </c>
      <c r="G95" s="982"/>
      <c r="H95" s="95"/>
      <c r="I95" s="1064"/>
      <c r="J95" s="613"/>
      <c r="K95" s="982"/>
      <c r="L95" s="622"/>
      <c r="M95" s="982"/>
      <c r="N95" s="622"/>
      <c r="O95" s="1063"/>
      <c r="P95" s="622"/>
      <c r="Q95" s="982"/>
      <c r="R95" s="861"/>
    </row>
    <row r="96" spans="1:42" s="224" customFormat="1" ht="15" customHeight="1" x14ac:dyDescent="0.25">
      <c r="A96" s="247">
        <v>46035</v>
      </c>
      <c r="B96" s="882" t="s">
        <v>17</v>
      </c>
      <c r="C96" s="879" t="s">
        <v>12</v>
      </c>
      <c r="D96" s="879" t="s">
        <v>1493</v>
      </c>
      <c r="E96" s="871" t="s">
        <v>13</v>
      </c>
      <c r="F96" s="780">
        <v>8</v>
      </c>
      <c r="G96" s="982"/>
      <c r="H96" s="95"/>
      <c r="I96" s="1064"/>
      <c r="J96" s="613"/>
      <c r="K96" s="982"/>
      <c r="L96" s="622"/>
      <c r="M96" s="982"/>
      <c r="N96" s="622"/>
      <c r="O96" s="1063"/>
      <c r="P96" s="622"/>
      <c r="Q96" s="982"/>
      <c r="R96" s="861"/>
    </row>
    <row r="97" spans="1:42" s="224" customFormat="1" ht="15" customHeight="1" x14ac:dyDescent="0.25">
      <c r="A97" s="247">
        <v>46035</v>
      </c>
      <c r="B97" s="882" t="s">
        <v>8681</v>
      </c>
      <c r="C97" s="879" t="s">
        <v>12</v>
      </c>
      <c r="D97" s="879" t="s">
        <v>1489</v>
      </c>
      <c r="E97" s="871" t="s">
        <v>13</v>
      </c>
      <c r="F97" s="780">
        <v>55.56</v>
      </c>
      <c r="G97" s="982"/>
      <c r="H97" s="95"/>
      <c r="I97" s="1064"/>
      <c r="J97" s="613"/>
      <c r="K97" s="982"/>
      <c r="L97" s="622"/>
      <c r="M97" s="982"/>
      <c r="N97" s="622"/>
      <c r="O97" s="1063"/>
      <c r="P97" s="622"/>
      <c r="Q97" s="982"/>
      <c r="R97" s="861"/>
    </row>
    <row r="98" spans="1:42" s="224" customFormat="1" ht="15" customHeight="1" x14ac:dyDescent="0.25">
      <c r="A98" s="247">
        <v>46036</v>
      </c>
      <c r="B98" s="882" t="s">
        <v>32</v>
      </c>
      <c r="C98" s="879" t="s">
        <v>12</v>
      </c>
      <c r="D98" s="879" t="s">
        <v>1485</v>
      </c>
      <c r="E98" s="871" t="s">
        <v>15</v>
      </c>
      <c r="F98" s="780">
        <v>45</v>
      </c>
      <c r="G98" s="982"/>
      <c r="H98" s="1008"/>
      <c r="I98" s="1064"/>
      <c r="J98" s="622"/>
      <c r="K98" s="982"/>
      <c r="L98" s="622"/>
      <c r="M98" s="982"/>
      <c r="N98" s="622"/>
      <c r="O98" s="1063"/>
      <c r="P98" s="622"/>
      <c r="Q98" s="982"/>
      <c r="R98" s="1028"/>
      <c r="U98" s="958"/>
    </row>
    <row r="99" spans="1:42" s="224" customFormat="1" ht="15" customHeight="1" x14ac:dyDescent="0.25">
      <c r="A99" s="247">
        <v>46036</v>
      </c>
      <c r="B99" s="882" t="s">
        <v>14</v>
      </c>
      <c r="C99" s="879" t="s">
        <v>12</v>
      </c>
      <c r="D99" s="879" t="s">
        <v>1486</v>
      </c>
      <c r="E99" s="871" t="s">
        <v>13</v>
      </c>
      <c r="F99" s="780">
        <v>5.32</v>
      </c>
      <c r="G99" s="982"/>
      <c r="H99" s="95"/>
      <c r="I99" s="1064"/>
      <c r="J99" s="613"/>
      <c r="K99" s="982"/>
      <c r="L99" s="622"/>
      <c r="M99" s="982"/>
      <c r="N99" s="622"/>
      <c r="O99" s="1063"/>
      <c r="P99" s="622"/>
      <c r="Q99" s="982"/>
      <c r="R99" s="861"/>
    </row>
    <row r="100" spans="1:42" s="224" customFormat="1" ht="15" customHeight="1" x14ac:dyDescent="0.25">
      <c r="A100" s="247">
        <v>46037</v>
      </c>
      <c r="B100" s="1275" t="s">
        <v>8690</v>
      </c>
      <c r="C100" s="1276" t="s">
        <v>12</v>
      </c>
      <c r="D100" s="1276"/>
      <c r="E100" s="1286" t="s">
        <v>13</v>
      </c>
      <c r="F100" s="613">
        <v>184.14</v>
      </c>
      <c r="G100" s="967"/>
      <c r="H100" s="1008"/>
      <c r="I100" s="1063"/>
      <c r="J100" s="613"/>
      <c r="K100" s="6"/>
      <c r="L100" s="622"/>
      <c r="M100" s="982"/>
      <c r="N100" s="622"/>
      <c r="O100" s="1063"/>
      <c r="P100" s="613"/>
      <c r="Q100" s="162"/>
      <c r="R100" s="1024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</row>
    <row r="101" spans="1:42" s="224" customFormat="1" ht="15" customHeight="1" x14ac:dyDescent="0.25">
      <c r="A101" s="247">
        <v>46037</v>
      </c>
      <c r="B101" s="1275" t="s">
        <v>6755</v>
      </c>
      <c r="C101" s="1276" t="s">
        <v>12</v>
      </c>
      <c r="D101" s="1276"/>
      <c r="E101" s="1286"/>
      <c r="F101" s="613"/>
      <c r="G101" s="967">
        <v>184.14</v>
      </c>
      <c r="H101" s="1008"/>
      <c r="I101" s="1063"/>
      <c r="J101" s="613"/>
      <c r="K101" s="6"/>
      <c r="L101" s="622"/>
      <c r="M101" s="982"/>
      <c r="N101" s="622"/>
      <c r="O101" s="1063"/>
      <c r="P101" s="613"/>
      <c r="Q101" s="162"/>
      <c r="R101" s="1024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</row>
    <row r="102" spans="1:42" s="224" customFormat="1" ht="15" customHeight="1" x14ac:dyDescent="0.25">
      <c r="A102" s="247">
        <v>46037</v>
      </c>
      <c r="B102" s="882" t="s">
        <v>32</v>
      </c>
      <c r="C102" s="879" t="s">
        <v>12</v>
      </c>
      <c r="D102" s="879" t="s">
        <v>1485</v>
      </c>
      <c r="E102" s="871" t="s">
        <v>13</v>
      </c>
      <c r="F102" s="780">
        <v>23</v>
      </c>
      <c r="G102" s="982"/>
      <c r="H102" s="1008"/>
      <c r="I102" s="1064"/>
      <c r="J102" s="622"/>
      <c r="K102" s="982"/>
      <c r="L102" s="622"/>
      <c r="M102" s="982"/>
      <c r="N102" s="622"/>
      <c r="O102" s="1063"/>
      <c r="P102" s="622"/>
      <c r="Q102" s="982"/>
      <c r="R102" s="1028"/>
      <c r="U102" s="958"/>
    </row>
    <row r="103" spans="1:42" s="224" customFormat="1" ht="15" customHeight="1" x14ac:dyDescent="0.25">
      <c r="A103" s="247">
        <v>46037</v>
      </c>
      <c r="B103" s="882" t="s">
        <v>17</v>
      </c>
      <c r="C103" s="879" t="s">
        <v>12</v>
      </c>
      <c r="D103" s="879" t="s">
        <v>1493</v>
      </c>
      <c r="E103" s="871" t="s">
        <v>13</v>
      </c>
      <c r="F103" s="780">
        <v>4</v>
      </c>
      <c r="G103" s="982"/>
      <c r="H103" s="95"/>
      <c r="I103" s="1064"/>
      <c r="J103" s="613"/>
      <c r="K103" s="982"/>
      <c r="L103" s="622"/>
      <c r="M103" s="982"/>
      <c r="N103" s="622"/>
      <c r="O103" s="1063"/>
      <c r="P103" s="622"/>
      <c r="Q103" s="982"/>
      <c r="R103" s="861"/>
    </row>
    <row r="104" spans="1:42" s="224" customFormat="1" ht="15" customHeight="1" x14ac:dyDescent="0.25">
      <c r="A104" s="247">
        <v>46037</v>
      </c>
      <c r="B104" s="882" t="s">
        <v>8728</v>
      </c>
      <c r="C104" s="879" t="s">
        <v>12</v>
      </c>
      <c r="D104" s="879" t="s">
        <v>1489</v>
      </c>
      <c r="E104" s="875" t="s">
        <v>13</v>
      </c>
      <c r="F104" s="780">
        <v>7.67</v>
      </c>
      <c r="G104" s="982"/>
      <c r="H104" s="1008"/>
      <c r="I104" s="1063"/>
      <c r="J104" s="613"/>
      <c r="K104" s="982"/>
      <c r="L104" s="622"/>
      <c r="M104" s="982"/>
      <c r="N104" s="622"/>
      <c r="O104" s="1063"/>
      <c r="P104" s="622"/>
      <c r="Q104" s="982"/>
      <c r="R104" s="861"/>
    </row>
    <row r="105" spans="1:42" s="224" customFormat="1" ht="15" customHeight="1" x14ac:dyDescent="0.25">
      <c r="A105" s="247">
        <v>46038</v>
      </c>
      <c r="B105" s="882" t="s">
        <v>32</v>
      </c>
      <c r="C105" s="879" t="s">
        <v>12</v>
      </c>
      <c r="D105" s="879" t="s">
        <v>1485</v>
      </c>
      <c r="E105" s="871" t="s">
        <v>13</v>
      </c>
      <c r="F105" s="780">
        <v>23</v>
      </c>
      <c r="G105" s="982"/>
      <c r="H105" s="1008"/>
      <c r="I105" s="1064"/>
      <c r="J105" s="622"/>
      <c r="K105" s="982"/>
      <c r="L105" s="622"/>
      <c r="M105" s="982"/>
      <c r="N105" s="622"/>
      <c r="O105" s="1063"/>
      <c r="P105" s="622"/>
      <c r="Q105" s="982"/>
      <c r="R105" s="1028"/>
      <c r="U105" s="958"/>
    </row>
    <row r="106" spans="1:42" s="224" customFormat="1" x14ac:dyDescent="0.25">
      <c r="A106" s="247">
        <v>46038</v>
      </c>
      <c r="B106" s="1275" t="s">
        <v>81</v>
      </c>
      <c r="C106" s="879" t="s">
        <v>12</v>
      </c>
      <c r="D106" s="1276" t="s">
        <v>1493</v>
      </c>
      <c r="E106" s="1286" t="s">
        <v>13</v>
      </c>
      <c r="F106" s="780">
        <v>7.4</v>
      </c>
      <c r="G106" s="982"/>
      <c r="H106" s="1008"/>
      <c r="I106" s="1063"/>
      <c r="J106" s="622"/>
      <c r="K106" s="982"/>
      <c r="L106" s="622"/>
      <c r="M106" s="982"/>
      <c r="N106" s="622"/>
      <c r="O106" s="1063"/>
      <c r="P106" s="622"/>
      <c r="Q106" s="982"/>
      <c r="R106" s="1028"/>
      <c r="T106" s="878"/>
    </row>
    <row r="107" spans="1:42" s="224" customFormat="1" ht="15" customHeight="1" x14ac:dyDescent="0.25">
      <c r="A107" s="247">
        <v>46039</v>
      </c>
      <c r="B107" s="882" t="s">
        <v>14</v>
      </c>
      <c r="C107" s="879" t="s">
        <v>12</v>
      </c>
      <c r="D107" s="879" t="s">
        <v>1486</v>
      </c>
      <c r="E107" s="871" t="s">
        <v>13</v>
      </c>
      <c r="F107" s="780">
        <v>6.7</v>
      </c>
      <c r="G107" s="982"/>
      <c r="H107" s="95"/>
      <c r="I107" s="1064"/>
      <c r="J107" s="613"/>
      <c r="K107" s="982"/>
      <c r="L107" s="622"/>
      <c r="M107" s="982"/>
      <c r="N107" s="622"/>
      <c r="O107" s="1063"/>
      <c r="P107" s="622"/>
      <c r="Q107" s="982"/>
      <c r="R107" s="861"/>
    </row>
    <row r="108" spans="1:42" s="224" customFormat="1" ht="15" customHeight="1" x14ac:dyDescent="0.25">
      <c r="A108" s="247">
        <v>46039</v>
      </c>
      <c r="B108" s="882" t="s">
        <v>2595</v>
      </c>
      <c r="C108" s="879" t="s">
        <v>12</v>
      </c>
      <c r="D108" s="879" t="s">
        <v>1506</v>
      </c>
      <c r="E108" s="480" t="s">
        <v>13</v>
      </c>
      <c r="F108" s="613">
        <v>10</v>
      </c>
      <c r="G108" s="967"/>
      <c r="H108" s="1008"/>
      <c r="I108" s="1063"/>
      <c r="J108" s="622"/>
      <c r="K108" s="982"/>
      <c r="L108" s="880"/>
      <c r="M108" s="1033"/>
      <c r="N108" s="880"/>
      <c r="O108" s="1525"/>
      <c r="P108" s="613"/>
      <c r="Q108" s="162"/>
      <c r="R108" s="1956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</row>
    <row r="109" spans="1:42" s="224" customFormat="1" ht="15" customHeight="1" x14ac:dyDescent="0.25">
      <c r="A109" s="247">
        <v>46039</v>
      </c>
      <c r="B109" s="882" t="s">
        <v>32</v>
      </c>
      <c r="C109" s="879" t="s">
        <v>12</v>
      </c>
      <c r="D109" s="879" t="s">
        <v>1485</v>
      </c>
      <c r="E109" s="871" t="s">
        <v>13</v>
      </c>
      <c r="F109" s="780">
        <v>28</v>
      </c>
      <c r="G109" s="982"/>
      <c r="H109" s="622"/>
      <c r="I109" s="982"/>
      <c r="J109" s="622"/>
      <c r="K109" s="982"/>
      <c r="L109" s="622"/>
      <c r="M109" s="982"/>
      <c r="N109" s="622"/>
      <c r="O109" s="1063"/>
      <c r="P109" s="622"/>
      <c r="Q109" s="982"/>
      <c r="R109" s="1028"/>
      <c r="S109" s="959"/>
      <c r="T109" s="878"/>
      <c r="U109" s="958"/>
    </row>
    <row r="110" spans="1:42" s="224" customFormat="1" ht="15" customHeight="1" x14ac:dyDescent="0.25">
      <c r="A110" s="247">
        <v>46039</v>
      </c>
      <c r="B110" s="882" t="s">
        <v>8681</v>
      </c>
      <c r="C110" s="879" t="s">
        <v>12</v>
      </c>
      <c r="D110" s="879" t="s">
        <v>1489</v>
      </c>
      <c r="E110" s="875" t="s">
        <v>5470</v>
      </c>
      <c r="F110" s="780">
        <v>34</v>
      </c>
      <c r="G110" s="982"/>
      <c r="H110" s="622"/>
      <c r="I110" s="982"/>
      <c r="J110" s="622"/>
      <c r="K110" s="982"/>
      <c r="L110" s="622"/>
      <c r="M110" s="982"/>
      <c r="N110" s="622"/>
      <c r="O110" s="1063"/>
      <c r="P110" s="622"/>
      <c r="Q110" s="982"/>
      <c r="R110" s="1028"/>
      <c r="S110" s="959"/>
      <c r="T110" s="878"/>
      <c r="U110" s="958"/>
    </row>
    <row r="111" spans="1:42" s="224" customFormat="1" ht="15" customHeight="1" x14ac:dyDescent="0.25">
      <c r="A111" s="247">
        <v>46039</v>
      </c>
      <c r="B111" s="882" t="s">
        <v>8681</v>
      </c>
      <c r="C111" s="879" t="s">
        <v>12</v>
      </c>
      <c r="D111" s="879" t="s">
        <v>1489</v>
      </c>
      <c r="E111" s="875" t="s">
        <v>13</v>
      </c>
      <c r="F111" s="780">
        <v>66.75</v>
      </c>
      <c r="G111" s="982"/>
      <c r="H111" s="622"/>
      <c r="I111" s="982"/>
      <c r="J111" s="622"/>
      <c r="K111" s="982"/>
      <c r="L111" s="622"/>
      <c r="M111" s="982"/>
      <c r="N111" s="622"/>
      <c r="O111" s="1063"/>
      <c r="P111" s="622"/>
      <c r="Q111" s="982"/>
      <c r="R111" s="1028"/>
      <c r="S111" s="959"/>
      <c r="T111" s="878"/>
      <c r="U111" s="958"/>
    </row>
    <row r="112" spans="1:42" s="224" customFormat="1" ht="15" customHeight="1" x14ac:dyDescent="0.25">
      <c r="A112" s="247">
        <v>46039</v>
      </c>
      <c r="B112" s="3046" t="s">
        <v>8729</v>
      </c>
      <c r="C112" s="3047" t="s">
        <v>12</v>
      </c>
      <c r="D112" s="3047" t="s">
        <v>1491</v>
      </c>
      <c r="E112" s="3048" t="s">
        <v>13</v>
      </c>
      <c r="F112" s="3049">
        <v>6</v>
      </c>
      <c r="G112" s="982"/>
      <c r="H112" s="622"/>
      <c r="I112" s="982"/>
      <c r="J112" s="622"/>
      <c r="K112" s="982"/>
      <c r="L112" s="622"/>
      <c r="M112" s="982"/>
      <c r="N112" s="622"/>
      <c r="O112" s="1063"/>
      <c r="P112" s="622"/>
      <c r="Q112" s="982"/>
      <c r="R112" s="1028"/>
      <c r="S112" s="959"/>
      <c r="T112" s="878"/>
      <c r="U112" s="958"/>
    </row>
    <row r="113" spans="1:42" s="224" customFormat="1" ht="15" customHeight="1" x14ac:dyDescent="0.25">
      <c r="A113" s="247">
        <v>46039</v>
      </c>
      <c r="B113" s="882" t="s">
        <v>82</v>
      </c>
      <c r="C113" s="879" t="s">
        <v>12</v>
      </c>
      <c r="D113" s="879" t="s">
        <v>1493</v>
      </c>
      <c r="E113" s="875" t="s">
        <v>13</v>
      </c>
      <c r="F113" s="780">
        <v>64.900000000000006</v>
      </c>
      <c r="G113" s="982"/>
      <c r="H113" s="622"/>
      <c r="I113" s="982"/>
      <c r="J113" s="622"/>
      <c r="K113" s="982"/>
      <c r="L113" s="622"/>
      <c r="M113" s="982"/>
      <c r="N113" s="622"/>
      <c r="O113" s="1063"/>
      <c r="P113" s="622"/>
      <c r="Q113" s="982"/>
      <c r="R113" s="1028"/>
      <c r="S113" s="959"/>
      <c r="T113" s="878"/>
      <c r="U113" s="958"/>
    </row>
    <row r="114" spans="1:42" s="224" customFormat="1" ht="15" customHeight="1" x14ac:dyDescent="0.25">
      <c r="A114" s="247">
        <v>46040</v>
      </c>
      <c r="B114" s="882" t="s">
        <v>14</v>
      </c>
      <c r="C114" s="879" t="s">
        <v>12</v>
      </c>
      <c r="D114" s="879" t="s">
        <v>1486</v>
      </c>
      <c r="E114" s="871" t="s">
        <v>13</v>
      </c>
      <c r="F114" s="780">
        <v>7.92</v>
      </c>
      <c r="G114" s="982"/>
      <c r="H114" s="95"/>
      <c r="I114" s="1064"/>
      <c r="J114" s="613"/>
      <c r="K114" s="982"/>
      <c r="L114" s="622"/>
      <c r="M114" s="982"/>
      <c r="N114" s="622"/>
      <c r="O114" s="1063"/>
      <c r="P114" s="622"/>
      <c r="Q114" s="982"/>
      <c r="R114" s="861"/>
    </row>
    <row r="115" spans="1:42" s="224" customFormat="1" x14ac:dyDescent="0.25">
      <c r="A115" s="247">
        <v>46040</v>
      </c>
      <c r="B115" s="364" t="s">
        <v>7122</v>
      </c>
      <c r="C115" s="350" t="s">
        <v>12</v>
      </c>
      <c r="D115" s="350" t="s">
        <v>1489</v>
      </c>
      <c r="E115" s="875" t="s">
        <v>13</v>
      </c>
      <c r="F115" s="780">
        <v>15</v>
      </c>
      <c r="G115" s="982"/>
      <c r="H115" s="1008"/>
      <c r="I115" s="1063"/>
      <c r="J115" s="2013"/>
      <c r="K115" s="1207"/>
      <c r="L115" s="622"/>
      <c r="M115" s="982"/>
      <c r="N115" s="622"/>
      <c r="O115" s="1063"/>
      <c r="P115" s="622"/>
      <c r="Q115" s="982"/>
      <c r="R115" s="861"/>
      <c r="T115" s="878"/>
    </row>
    <row r="116" spans="1:42" s="224" customFormat="1" ht="15" customHeight="1" x14ac:dyDescent="0.25">
      <c r="A116" s="247">
        <v>46040</v>
      </c>
      <c r="B116" s="882" t="s">
        <v>8562</v>
      </c>
      <c r="C116" s="879" t="s">
        <v>12</v>
      </c>
      <c r="D116" s="879" t="s">
        <v>1493</v>
      </c>
      <c r="E116" s="871" t="s">
        <v>13</v>
      </c>
      <c r="F116" s="780">
        <v>17</v>
      </c>
      <c r="G116" s="982"/>
      <c r="H116" s="622"/>
      <c r="I116" s="982"/>
      <c r="J116" s="872"/>
      <c r="K116" s="1207"/>
      <c r="L116" s="622"/>
      <c r="M116" s="982"/>
      <c r="N116" s="622"/>
      <c r="O116" s="1063"/>
      <c r="P116" s="622"/>
      <c r="Q116" s="982"/>
      <c r="R116" s="1028"/>
      <c r="S116" s="959"/>
      <c r="T116" s="878"/>
      <c r="U116" s="958"/>
    </row>
    <row r="117" spans="1:42" s="224" customFormat="1" ht="15" customHeight="1" x14ac:dyDescent="0.25">
      <c r="A117" s="247">
        <v>46041</v>
      </c>
      <c r="B117" s="882" t="s">
        <v>2789</v>
      </c>
      <c r="C117" s="879" t="s">
        <v>12</v>
      </c>
      <c r="D117" s="879" t="s">
        <v>1485</v>
      </c>
      <c r="E117" s="871" t="s">
        <v>13</v>
      </c>
      <c r="F117" s="780">
        <v>11</v>
      </c>
      <c r="G117" s="982"/>
      <c r="H117" s="622"/>
      <c r="I117" s="982"/>
      <c r="J117" s="622"/>
      <c r="K117" s="982"/>
      <c r="L117" s="622"/>
      <c r="M117" s="982"/>
      <c r="N117" s="622"/>
      <c r="O117" s="1063"/>
      <c r="P117" s="622"/>
      <c r="Q117" s="982"/>
      <c r="R117" s="1028"/>
      <c r="S117" s="959"/>
      <c r="T117" s="878"/>
      <c r="U117" s="958"/>
    </row>
    <row r="118" spans="1:42" s="224" customFormat="1" ht="15" customHeight="1" x14ac:dyDescent="0.25">
      <c r="A118" s="247">
        <v>46041</v>
      </c>
      <c r="B118" s="882" t="s">
        <v>14</v>
      </c>
      <c r="C118" s="879" t="s">
        <v>12</v>
      </c>
      <c r="D118" s="879" t="s">
        <v>1486</v>
      </c>
      <c r="E118" s="871" t="s">
        <v>13</v>
      </c>
      <c r="F118" s="780">
        <v>5.29</v>
      </c>
      <c r="G118" s="982"/>
      <c r="H118" s="622"/>
      <c r="I118" s="982"/>
      <c r="J118" s="622"/>
      <c r="K118" s="982"/>
      <c r="L118" s="622"/>
      <c r="M118" s="982"/>
      <c r="N118" s="880"/>
      <c r="O118" s="1525"/>
      <c r="P118" s="613"/>
      <c r="Q118" s="162"/>
      <c r="R118" s="1956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</row>
    <row r="119" spans="1:42" s="224" customFormat="1" ht="15" customHeight="1" x14ac:dyDescent="0.25">
      <c r="A119" s="247">
        <v>46042</v>
      </c>
      <c r="B119" s="882" t="s">
        <v>8734</v>
      </c>
      <c r="C119" s="350" t="s">
        <v>12</v>
      </c>
      <c r="D119" s="350"/>
      <c r="E119" s="480" t="s">
        <v>25</v>
      </c>
      <c r="F119" s="622"/>
      <c r="G119" s="982">
        <v>2184</v>
      </c>
      <c r="H119" s="1008"/>
      <c r="I119" s="1063"/>
      <c r="J119" s="622"/>
      <c r="K119" s="982"/>
      <c r="L119" s="622"/>
      <c r="M119" s="982"/>
      <c r="N119" s="622"/>
      <c r="O119" s="1063"/>
      <c r="P119" s="622"/>
      <c r="Q119" s="982"/>
      <c r="R119" s="861"/>
    </row>
    <row r="120" spans="1:42" s="224" customFormat="1" ht="15" customHeight="1" x14ac:dyDescent="0.25">
      <c r="A120" s="247">
        <v>46042</v>
      </c>
      <c r="B120" s="364" t="s">
        <v>8677</v>
      </c>
      <c r="C120" s="879" t="s">
        <v>12</v>
      </c>
      <c r="D120" s="879"/>
      <c r="E120" s="983" t="s">
        <v>25</v>
      </c>
      <c r="F120" s="780"/>
      <c r="G120" s="982"/>
      <c r="H120" s="622"/>
      <c r="I120" s="982"/>
      <c r="J120" s="2013"/>
      <c r="K120" s="1207"/>
      <c r="L120" s="622"/>
      <c r="M120" s="982"/>
      <c r="N120" s="622"/>
      <c r="O120" s="1063"/>
      <c r="P120" s="622"/>
      <c r="Q120" s="982">
        <v>845.6</v>
      </c>
      <c r="R120" s="927"/>
      <c r="S120" s="927"/>
      <c r="T120" s="878"/>
    </row>
    <row r="121" spans="1:42" s="224" customFormat="1" ht="15" customHeight="1" x14ac:dyDescent="0.25">
      <c r="A121" s="247">
        <v>46042</v>
      </c>
      <c r="B121" s="364" t="s">
        <v>3354</v>
      </c>
      <c r="C121" s="350" t="s">
        <v>12</v>
      </c>
      <c r="D121" s="350"/>
      <c r="E121" s="145" t="s">
        <v>25</v>
      </c>
      <c r="F121" s="613"/>
      <c r="G121" s="967"/>
      <c r="H121" s="1008"/>
      <c r="I121" s="1063"/>
      <c r="J121" s="622"/>
      <c r="K121" s="982"/>
      <c r="L121" s="880"/>
      <c r="M121" s="1033"/>
      <c r="N121" s="880"/>
      <c r="O121" s="1525"/>
      <c r="P121" s="613"/>
      <c r="Q121" s="162">
        <v>244.84</v>
      </c>
      <c r="R121" s="2018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</row>
    <row r="122" spans="1:42" s="224" customFormat="1" ht="15" customHeight="1" x14ac:dyDescent="0.25">
      <c r="A122" s="247">
        <v>46042</v>
      </c>
      <c r="B122" s="862" t="s">
        <v>2867</v>
      </c>
      <c r="C122" s="350" t="s">
        <v>12</v>
      </c>
      <c r="D122" s="874" t="s">
        <v>1504</v>
      </c>
      <c r="E122" s="887" t="s">
        <v>13</v>
      </c>
      <c r="F122" s="1245">
        <v>0</v>
      </c>
      <c r="G122" s="982"/>
      <c r="H122" s="1009"/>
      <c r="I122" s="1063"/>
      <c r="J122" s="622"/>
      <c r="K122" s="982"/>
      <c r="L122" s="853"/>
      <c r="M122" s="982"/>
      <c r="N122" s="853"/>
      <c r="O122" s="1063"/>
      <c r="P122" s="622"/>
      <c r="Q122" s="982"/>
      <c r="R122" s="1690" t="s">
        <v>8547</v>
      </c>
      <c r="S122" s="1690"/>
      <c r="T122" s="1690"/>
      <c r="U122" s="1690"/>
      <c r="V122" s="1690"/>
      <c r="W122" s="1690"/>
      <c r="X122" s="1690"/>
      <c r="Y122" s="1690"/>
      <c r="Z122" s="1690"/>
    </row>
    <row r="123" spans="1:42" s="224" customFormat="1" ht="14.25" customHeight="1" x14ac:dyDescent="0.25">
      <c r="A123" s="247">
        <v>46042</v>
      </c>
      <c r="B123" s="364" t="s">
        <v>2977</v>
      </c>
      <c r="C123" s="350" t="s">
        <v>12</v>
      </c>
      <c r="D123" s="350" t="s">
        <v>1491</v>
      </c>
      <c r="E123" s="875" t="s">
        <v>13</v>
      </c>
      <c r="F123" s="1047">
        <v>400</v>
      </c>
      <c r="G123" s="982"/>
      <c r="H123" s="1008"/>
      <c r="I123" s="1063"/>
      <c r="J123" s="622"/>
      <c r="K123" s="982"/>
      <c r="L123" s="622"/>
      <c r="M123" s="982"/>
      <c r="N123" s="622"/>
      <c r="O123" s="1063"/>
      <c r="P123" s="622"/>
      <c r="Q123" s="982"/>
      <c r="R123" s="1029"/>
      <c r="S123" s="89"/>
      <c r="T123" s="930"/>
    </row>
    <row r="124" spans="1:42" s="224" customFormat="1" ht="15" customHeight="1" x14ac:dyDescent="0.25">
      <c r="A124" s="247">
        <v>46042</v>
      </c>
      <c r="B124" s="882" t="s">
        <v>8678</v>
      </c>
      <c r="C124" s="879" t="s">
        <v>12</v>
      </c>
      <c r="D124" s="879" t="s">
        <v>1499</v>
      </c>
      <c r="E124" s="871" t="s">
        <v>13</v>
      </c>
      <c r="F124" s="780">
        <v>43.78</v>
      </c>
      <c r="G124" s="982"/>
      <c r="H124" s="1008"/>
      <c r="I124" s="1063"/>
      <c r="J124" s="622"/>
      <c r="K124" s="982"/>
      <c r="L124" s="622"/>
      <c r="M124" s="982"/>
      <c r="N124" s="622"/>
      <c r="O124" s="1063"/>
      <c r="P124" s="622"/>
      <c r="Q124" s="982"/>
      <c r="R124" s="1028"/>
      <c r="T124" s="1123"/>
      <c r="U124" s="999"/>
    </row>
    <row r="125" spans="1:42" s="224" customFormat="1" ht="15" customHeight="1" x14ac:dyDescent="0.25">
      <c r="A125" s="247">
        <v>46042</v>
      </c>
      <c r="B125" s="862" t="s">
        <v>8225</v>
      </c>
      <c r="C125" s="879" t="s">
        <v>12</v>
      </c>
      <c r="D125" s="879" t="s">
        <v>1504</v>
      </c>
      <c r="E125" s="871" t="s">
        <v>13</v>
      </c>
      <c r="F125" s="780">
        <v>100</v>
      </c>
      <c r="G125" s="982"/>
      <c r="H125" s="1008"/>
      <c r="I125" s="1063"/>
      <c r="J125" s="622"/>
      <c r="K125" s="982"/>
      <c r="L125" s="622"/>
      <c r="M125" s="982"/>
      <c r="N125" s="622"/>
      <c r="O125" s="1063"/>
      <c r="P125" s="622"/>
      <c r="Q125" s="982"/>
      <c r="R125" s="1808"/>
      <c r="S125" s="1028"/>
      <c r="T125" s="1035"/>
    </row>
    <row r="126" spans="1:42" s="224" customFormat="1" ht="15" customHeight="1" x14ac:dyDescent="0.25">
      <c r="A126" s="247">
        <v>46042</v>
      </c>
      <c r="B126" s="349" t="s">
        <v>8483</v>
      </c>
      <c r="C126" s="887" t="s">
        <v>12</v>
      </c>
      <c r="D126" s="350" t="s">
        <v>1524</v>
      </c>
      <c r="E126" s="887" t="s">
        <v>13</v>
      </c>
      <c r="F126" s="613">
        <v>118.136</v>
      </c>
      <c r="G126" s="982"/>
      <c r="H126" s="872"/>
      <c r="I126" s="1063"/>
      <c r="J126" s="622"/>
      <c r="K126" s="982"/>
      <c r="L126" s="622"/>
      <c r="M126" s="982"/>
      <c r="N126" s="622"/>
      <c r="O126" s="1063"/>
      <c r="P126" s="622"/>
      <c r="Q126" s="982"/>
      <c r="R126" s="927" t="s">
        <v>3044</v>
      </c>
      <c r="S126" s="999"/>
      <c r="T126" s="878"/>
    </row>
    <row r="127" spans="1:42" s="224" customFormat="1" ht="15" customHeight="1" x14ac:dyDescent="0.25">
      <c r="A127" s="247">
        <v>46042</v>
      </c>
      <c r="B127" s="349" t="s">
        <v>8484</v>
      </c>
      <c r="C127" s="887" t="s">
        <v>12</v>
      </c>
      <c r="D127" s="350" t="s">
        <v>1524</v>
      </c>
      <c r="E127" s="887" t="s">
        <v>13</v>
      </c>
      <c r="F127" s="613">
        <v>430</v>
      </c>
      <c r="G127" s="982"/>
      <c r="H127" s="872"/>
      <c r="I127" s="1063"/>
      <c r="J127" s="622"/>
      <c r="K127" s="982"/>
      <c r="L127" s="622"/>
      <c r="M127" s="982"/>
      <c r="N127" s="622"/>
      <c r="O127" s="1063"/>
      <c r="P127" s="622"/>
      <c r="Q127" s="982"/>
      <c r="R127" s="927" t="s">
        <v>3044</v>
      </c>
      <c r="S127" s="999"/>
      <c r="T127" s="878"/>
    </row>
    <row r="128" spans="1:42" s="224" customFormat="1" ht="15" customHeight="1" x14ac:dyDescent="0.25">
      <c r="A128" s="247">
        <v>46042</v>
      </c>
      <c r="B128" s="349" t="s">
        <v>8485</v>
      </c>
      <c r="C128" s="887" t="s">
        <v>12</v>
      </c>
      <c r="D128" s="350" t="s">
        <v>1524</v>
      </c>
      <c r="E128" s="887" t="s">
        <v>13</v>
      </c>
      <c r="F128" s="613">
        <v>53.591428571428573</v>
      </c>
      <c r="G128" s="982"/>
      <c r="H128" s="872"/>
      <c r="I128" s="1063"/>
      <c r="J128" s="622"/>
      <c r="K128" s="982"/>
      <c r="L128" s="622"/>
      <c r="M128" s="982"/>
      <c r="N128" s="622"/>
      <c r="O128" s="1063"/>
      <c r="P128" s="622"/>
      <c r="Q128" s="982"/>
      <c r="R128" s="927" t="s">
        <v>3044</v>
      </c>
      <c r="S128" s="999"/>
      <c r="T128" s="878"/>
    </row>
    <row r="129" spans="1:20" s="224" customFormat="1" ht="15" customHeight="1" x14ac:dyDescent="0.25">
      <c r="A129" s="247">
        <v>46042</v>
      </c>
      <c r="B129" s="349" t="s">
        <v>8487</v>
      </c>
      <c r="C129" s="887" t="s">
        <v>12</v>
      </c>
      <c r="D129" s="350" t="s">
        <v>1524</v>
      </c>
      <c r="E129" s="887" t="s">
        <v>13</v>
      </c>
      <c r="F129" s="613">
        <v>149.10666666666665</v>
      </c>
      <c r="G129" s="982"/>
      <c r="H129" s="872"/>
      <c r="I129" s="1063"/>
      <c r="J129" s="622"/>
      <c r="K129" s="982"/>
      <c r="L129" s="622"/>
      <c r="M129" s="982"/>
      <c r="N129" s="622"/>
      <c r="O129" s="1063"/>
      <c r="P129" s="622"/>
      <c r="Q129" s="982"/>
      <c r="R129" s="927" t="s">
        <v>3044</v>
      </c>
      <c r="S129" s="999"/>
      <c r="T129" s="878"/>
    </row>
    <row r="130" spans="1:20" s="224" customFormat="1" ht="15" customHeight="1" x14ac:dyDescent="0.25">
      <c r="A130" s="247">
        <v>46042</v>
      </c>
      <c r="B130" s="349" t="s">
        <v>8727</v>
      </c>
      <c r="C130" s="887" t="s">
        <v>12</v>
      </c>
      <c r="D130" s="350" t="s">
        <v>1504</v>
      </c>
      <c r="E130" s="887" t="s">
        <v>13</v>
      </c>
      <c r="F130" s="613">
        <v>15</v>
      </c>
      <c r="G130" s="982"/>
      <c r="H130" s="872"/>
      <c r="I130" s="1063"/>
      <c r="J130" s="622"/>
      <c r="K130" s="982"/>
      <c r="L130" s="622"/>
      <c r="M130" s="982"/>
      <c r="N130" s="622"/>
      <c r="O130" s="1063"/>
      <c r="P130" s="622"/>
      <c r="Q130" s="982"/>
      <c r="R130" s="927" t="s">
        <v>3044</v>
      </c>
      <c r="S130" s="999"/>
      <c r="T130" s="878"/>
    </row>
    <row r="131" spans="1:20" s="224" customFormat="1" ht="15" customHeight="1" x14ac:dyDescent="0.25">
      <c r="A131" s="247">
        <v>46042</v>
      </c>
      <c r="B131" s="349" t="s">
        <v>8486</v>
      </c>
      <c r="C131" s="887" t="s">
        <v>12</v>
      </c>
      <c r="D131" s="350" t="s">
        <v>1504</v>
      </c>
      <c r="E131" s="887" t="s">
        <v>13</v>
      </c>
      <c r="F131" s="613">
        <v>34.22</v>
      </c>
      <c r="G131" s="982"/>
      <c r="H131" s="872"/>
      <c r="I131" s="1063"/>
      <c r="J131" s="622"/>
      <c r="K131" s="982"/>
      <c r="L131" s="622"/>
      <c r="M131" s="982"/>
      <c r="N131" s="622"/>
      <c r="O131" s="1063"/>
      <c r="P131" s="622"/>
      <c r="Q131" s="982"/>
      <c r="R131" s="927" t="s">
        <v>3044</v>
      </c>
      <c r="S131" s="999"/>
      <c r="T131" s="878"/>
    </row>
    <row r="132" spans="1:20" s="224" customFormat="1" ht="15" customHeight="1" x14ac:dyDescent="0.25">
      <c r="A132" s="247">
        <v>46042</v>
      </c>
      <c r="B132" s="349" t="s">
        <v>8489</v>
      </c>
      <c r="C132" s="887" t="s">
        <v>12</v>
      </c>
      <c r="D132" s="350" t="s">
        <v>1525</v>
      </c>
      <c r="E132" s="887" t="s">
        <v>13</v>
      </c>
      <c r="F132" s="613">
        <v>75.444000000000003</v>
      </c>
      <c r="G132" s="982"/>
      <c r="H132" s="872"/>
      <c r="I132" s="1063"/>
      <c r="J132" s="622"/>
      <c r="K132" s="982"/>
      <c r="L132" s="622"/>
      <c r="M132" s="982"/>
      <c r="N132" s="622"/>
      <c r="O132" s="1063"/>
      <c r="P132" s="622"/>
      <c r="Q132" s="982"/>
      <c r="R132" s="1080" t="s">
        <v>8424</v>
      </c>
      <c r="S132" s="999"/>
      <c r="T132" s="878"/>
    </row>
    <row r="133" spans="1:20" s="224" customFormat="1" ht="15" customHeight="1" x14ac:dyDescent="0.25">
      <c r="A133" s="247">
        <v>46042</v>
      </c>
      <c r="B133" s="349" t="s">
        <v>8490</v>
      </c>
      <c r="C133" s="887" t="s">
        <v>12</v>
      </c>
      <c r="D133" s="350" t="s">
        <v>1525</v>
      </c>
      <c r="E133" s="887" t="s">
        <v>13</v>
      </c>
      <c r="F133" s="613">
        <v>53.652000000000001</v>
      </c>
      <c r="G133" s="982"/>
      <c r="H133" s="872"/>
      <c r="I133" s="1063"/>
      <c r="J133" s="622"/>
      <c r="K133" s="982"/>
      <c r="L133" s="622"/>
      <c r="M133" s="982"/>
      <c r="N133" s="622"/>
      <c r="O133" s="1063"/>
      <c r="P133" s="622"/>
      <c r="Q133" s="982"/>
      <c r="R133" s="1080" t="s">
        <v>8424</v>
      </c>
      <c r="S133" s="999"/>
      <c r="T133" s="878"/>
    </row>
    <row r="134" spans="1:20" s="224" customFormat="1" ht="15" customHeight="1" x14ac:dyDescent="0.25">
      <c r="A134" s="247">
        <v>46042</v>
      </c>
      <c r="B134" s="349" t="s">
        <v>8491</v>
      </c>
      <c r="C134" s="887" t="s">
        <v>12</v>
      </c>
      <c r="D134" s="350" t="s">
        <v>1525</v>
      </c>
      <c r="E134" s="887" t="s">
        <v>13</v>
      </c>
      <c r="F134" s="613">
        <v>61.237499999999997</v>
      </c>
      <c r="G134" s="982"/>
      <c r="H134" s="872"/>
      <c r="I134" s="1063"/>
      <c r="J134" s="622"/>
      <c r="K134" s="982"/>
      <c r="L134" s="622"/>
      <c r="M134" s="982"/>
      <c r="N134" s="622"/>
      <c r="O134" s="1063"/>
      <c r="P134" s="622"/>
      <c r="Q134" s="982"/>
      <c r="R134" s="927" t="s">
        <v>3044</v>
      </c>
      <c r="S134" s="999"/>
      <c r="T134" s="878"/>
    </row>
    <row r="135" spans="1:20" s="224" customFormat="1" ht="15" customHeight="1" x14ac:dyDescent="0.25">
      <c r="A135" s="247">
        <v>46042</v>
      </c>
      <c r="B135" s="349" t="s">
        <v>8492</v>
      </c>
      <c r="C135" s="887" t="s">
        <v>12</v>
      </c>
      <c r="D135" s="350" t="s">
        <v>1523</v>
      </c>
      <c r="E135" s="887" t="s">
        <v>13</v>
      </c>
      <c r="F135" s="613">
        <v>339.06</v>
      </c>
      <c r="G135" s="982"/>
      <c r="H135" s="872"/>
      <c r="I135" s="1063"/>
      <c r="J135" s="622"/>
      <c r="K135" s="982"/>
      <c r="L135" s="622"/>
      <c r="M135" s="982"/>
      <c r="N135" s="622"/>
      <c r="O135" s="1063"/>
      <c r="P135" s="622"/>
      <c r="Q135" s="982"/>
      <c r="R135" s="927" t="s">
        <v>3044</v>
      </c>
      <c r="S135" s="999"/>
      <c r="T135" s="878"/>
    </row>
    <row r="136" spans="1:20" s="224" customFormat="1" ht="15" customHeight="1" x14ac:dyDescent="0.25">
      <c r="A136" s="247">
        <v>46042</v>
      </c>
      <c r="B136" s="349" t="s">
        <v>8543</v>
      </c>
      <c r="C136" s="887" t="s">
        <v>12</v>
      </c>
      <c r="D136" s="350" t="s">
        <v>6731</v>
      </c>
      <c r="E136" s="887" t="s">
        <v>13</v>
      </c>
      <c r="F136" s="613">
        <v>66.88</v>
      </c>
      <c r="G136" s="982"/>
      <c r="H136" s="872"/>
      <c r="I136" s="1063"/>
      <c r="J136" s="622"/>
      <c r="K136" s="982"/>
      <c r="L136" s="622"/>
      <c r="M136" s="982"/>
      <c r="N136" s="622"/>
      <c r="O136" s="1063"/>
      <c r="P136" s="622"/>
      <c r="Q136" s="982"/>
      <c r="R136" s="927" t="s">
        <v>3044</v>
      </c>
      <c r="S136" s="999"/>
      <c r="T136" s="878"/>
    </row>
    <row r="137" spans="1:20" s="224" customFormat="1" ht="15" customHeight="1" x14ac:dyDescent="0.25">
      <c r="A137" s="247">
        <v>46042</v>
      </c>
      <c r="B137" s="349" t="s">
        <v>8535</v>
      </c>
      <c r="C137" s="887" t="s">
        <v>12</v>
      </c>
      <c r="D137" s="350" t="s">
        <v>1506</v>
      </c>
      <c r="E137" s="887" t="s">
        <v>13</v>
      </c>
      <c r="F137" s="613">
        <v>52.91</v>
      </c>
      <c r="G137" s="982"/>
      <c r="H137" s="872"/>
      <c r="I137" s="1063"/>
      <c r="J137" s="622"/>
      <c r="K137" s="982"/>
      <c r="L137" s="622"/>
      <c r="M137" s="982"/>
      <c r="N137" s="622"/>
      <c r="O137" s="1063"/>
      <c r="P137" s="622"/>
      <c r="Q137" s="982"/>
      <c r="R137" s="927" t="s">
        <v>3044</v>
      </c>
      <c r="S137" s="999"/>
      <c r="T137" s="878"/>
    </row>
    <row r="138" spans="1:20" s="224" customFormat="1" ht="15" customHeight="1" x14ac:dyDescent="0.25">
      <c r="A138" s="247">
        <v>46042</v>
      </c>
      <c r="B138" s="349" t="s">
        <v>8689</v>
      </c>
      <c r="C138" s="887" t="s">
        <v>12</v>
      </c>
      <c r="D138" s="350" t="s">
        <v>1525</v>
      </c>
      <c r="E138" s="887" t="s">
        <v>13</v>
      </c>
      <c r="F138" s="613">
        <v>168.84200000000001</v>
      </c>
      <c r="G138" s="982"/>
      <c r="H138" s="872"/>
      <c r="I138" s="1063"/>
      <c r="J138" s="622"/>
      <c r="K138" s="982"/>
      <c r="L138" s="622"/>
      <c r="M138" s="982"/>
      <c r="N138" s="622"/>
      <c r="O138" s="1063"/>
      <c r="P138" s="622"/>
      <c r="Q138" s="982"/>
      <c r="R138" s="1080" t="s">
        <v>8424</v>
      </c>
      <c r="S138" s="999"/>
      <c r="T138" s="878"/>
    </row>
    <row r="139" spans="1:20" s="224" customFormat="1" ht="15" customHeight="1" x14ac:dyDescent="0.25">
      <c r="A139" s="247">
        <v>46042</v>
      </c>
      <c r="B139" s="882" t="s">
        <v>8639</v>
      </c>
      <c r="C139" s="879" t="s">
        <v>12</v>
      </c>
      <c r="D139" s="879" t="s">
        <v>6731</v>
      </c>
      <c r="E139" s="871" t="s">
        <v>13</v>
      </c>
      <c r="F139" s="780">
        <v>318.47000000000003</v>
      </c>
      <c r="G139" s="982"/>
      <c r="H139" s="95"/>
      <c r="I139" s="1064"/>
      <c r="J139" s="613"/>
      <c r="K139" s="6"/>
      <c r="L139" s="622"/>
      <c r="M139" s="982"/>
      <c r="N139" s="622"/>
      <c r="O139" s="1063"/>
      <c r="P139" s="622"/>
      <c r="Q139" s="982"/>
      <c r="R139" s="861">
        <v>318</v>
      </c>
    </row>
    <row r="140" spans="1:20" s="224" customFormat="1" ht="15" customHeight="1" x14ac:dyDescent="0.25">
      <c r="A140" s="247">
        <v>46042</v>
      </c>
      <c r="B140" s="882" t="s">
        <v>6329</v>
      </c>
      <c r="C140" s="879" t="s">
        <v>12</v>
      </c>
      <c r="D140" s="879"/>
      <c r="E140" s="875" t="s">
        <v>25</v>
      </c>
      <c r="F140" s="780"/>
      <c r="G140" s="982">
        <v>125</v>
      </c>
      <c r="H140" s="1008"/>
      <c r="I140" s="1063"/>
      <c r="J140" s="613"/>
      <c r="K140" s="982"/>
      <c r="L140" s="622"/>
      <c r="M140" s="982"/>
      <c r="N140" s="622"/>
      <c r="O140" s="1063"/>
      <c r="P140" s="622"/>
      <c r="Q140" s="982"/>
      <c r="R140" s="861"/>
    </row>
    <row r="141" spans="1:20" s="224" customFormat="1" ht="15" customHeight="1" x14ac:dyDescent="0.25">
      <c r="A141" s="247">
        <v>46042</v>
      </c>
      <c r="B141" s="882" t="s">
        <v>8058</v>
      </c>
      <c r="C141" s="879" t="s">
        <v>12</v>
      </c>
      <c r="D141" s="879" t="s">
        <v>6731</v>
      </c>
      <c r="E141" s="871" t="s">
        <v>13</v>
      </c>
      <c r="F141" s="780">
        <v>38</v>
      </c>
      <c r="G141" s="982"/>
      <c r="H141" s="95"/>
      <c r="I141" s="1064"/>
      <c r="J141" s="613"/>
      <c r="K141" s="6"/>
      <c r="L141" s="622"/>
      <c r="M141" s="982"/>
      <c r="N141" s="622"/>
      <c r="O141" s="1063"/>
      <c r="P141" s="622"/>
      <c r="Q141" s="982"/>
      <c r="R141" s="861"/>
    </row>
    <row r="142" spans="1:20" s="224" customFormat="1" ht="15" customHeight="1" x14ac:dyDescent="0.25">
      <c r="A142" s="247">
        <v>46042</v>
      </c>
      <c r="B142" s="882" t="s">
        <v>8741</v>
      </c>
      <c r="C142" s="879" t="s">
        <v>12</v>
      </c>
      <c r="D142" s="879" t="s">
        <v>6731</v>
      </c>
      <c r="E142" s="871" t="s">
        <v>13</v>
      </c>
      <c r="F142" s="780">
        <v>26.98</v>
      </c>
      <c r="G142" s="982"/>
      <c r="H142" s="95"/>
      <c r="I142" s="1064"/>
      <c r="J142" s="613"/>
      <c r="K142" s="6"/>
      <c r="L142" s="622"/>
      <c r="M142" s="982"/>
      <c r="N142" s="622"/>
      <c r="O142" s="1063"/>
      <c r="P142" s="622"/>
      <c r="Q142" s="982"/>
      <c r="R142" s="861"/>
    </row>
    <row r="143" spans="1:20" s="224" customFormat="1" ht="15" customHeight="1" x14ac:dyDescent="0.25">
      <c r="A143" s="247">
        <v>46042</v>
      </c>
      <c r="B143" s="882" t="s">
        <v>461</v>
      </c>
      <c r="C143" s="879" t="s">
        <v>12</v>
      </c>
      <c r="D143" s="879" t="s">
        <v>1506</v>
      </c>
      <c r="E143" s="871" t="s">
        <v>13</v>
      </c>
      <c r="F143" s="780">
        <v>18</v>
      </c>
      <c r="G143" s="982"/>
      <c r="H143" s="95"/>
      <c r="I143" s="1064"/>
      <c r="J143" s="613"/>
      <c r="K143" s="6"/>
      <c r="L143" s="622"/>
      <c r="M143" s="982"/>
      <c r="N143" s="622"/>
      <c r="O143" s="1063"/>
      <c r="P143" s="622"/>
      <c r="Q143" s="982"/>
      <c r="R143" s="861"/>
    </row>
    <row r="144" spans="1:20" s="224" customFormat="1" ht="15" customHeight="1" x14ac:dyDescent="0.25">
      <c r="A144" s="247">
        <v>46042</v>
      </c>
      <c r="B144" s="882" t="s">
        <v>6814</v>
      </c>
      <c r="C144" s="879" t="s">
        <v>12</v>
      </c>
      <c r="D144" s="879"/>
      <c r="E144" s="875" t="s">
        <v>13</v>
      </c>
      <c r="F144" s="780"/>
      <c r="G144" s="982">
        <v>750.83</v>
      </c>
      <c r="H144" s="1008"/>
      <c r="I144" s="1063"/>
      <c r="J144" s="622">
        <v>750.83</v>
      </c>
      <c r="K144" s="982"/>
      <c r="L144" s="622"/>
      <c r="M144" s="982"/>
      <c r="N144" s="622"/>
      <c r="O144" s="1063"/>
      <c r="P144" s="622"/>
      <c r="Q144" s="982"/>
      <c r="R144" s="941"/>
    </row>
    <row r="145" spans="1:42" s="224" customFormat="1" ht="15" customHeight="1" x14ac:dyDescent="0.25">
      <c r="A145" s="247">
        <v>46042</v>
      </c>
      <c r="B145" s="882" t="s">
        <v>14</v>
      </c>
      <c r="C145" s="879" t="s">
        <v>12</v>
      </c>
      <c r="D145" s="879" t="s">
        <v>1486</v>
      </c>
      <c r="E145" s="871" t="s">
        <v>13</v>
      </c>
      <c r="F145" s="780">
        <v>5.75</v>
      </c>
      <c r="G145" s="982"/>
      <c r="H145" s="622"/>
      <c r="I145" s="982"/>
      <c r="J145" s="622"/>
      <c r="K145" s="982"/>
      <c r="L145" s="622"/>
      <c r="M145" s="982"/>
      <c r="N145" s="880"/>
      <c r="O145" s="1525"/>
      <c r="P145" s="613"/>
      <c r="Q145" s="162"/>
      <c r="R145" s="1956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</row>
    <row r="146" spans="1:42" s="224" customFormat="1" ht="15" customHeight="1" x14ac:dyDescent="0.25">
      <c r="A146" s="247">
        <v>46043</v>
      </c>
      <c r="B146" s="882" t="s">
        <v>32</v>
      </c>
      <c r="C146" s="879" t="s">
        <v>12</v>
      </c>
      <c r="D146" s="879" t="s">
        <v>1485</v>
      </c>
      <c r="E146" s="871" t="s">
        <v>13</v>
      </c>
      <c r="F146" s="780">
        <v>23</v>
      </c>
      <c r="G146" s="982"/>
      <c r="H146" s="1008"/>
      <c r="I146" s="1064"/>
      <c r="J146" s="622"/>
      <c r="K146" s="982"/>
      <c r="L146" s="622"/>
      <c r="M146" s="982"/>
      <c r="N146" s="622"/>
      <c r="O146" s="1063"/>
      <c r="P146" s="622"/>
      <c r="Q146" s="982"/>
      <c r="R146" s="1028"/>
      <c r="U146" s="958"/>
    </row>
    <row r="147" spans="1:42" s="224" customFormat="1" ht="15" customHeight="1" x14ac:dyDescent="0.25">
      <c r="A147" s="247">
        <v>46043</v>
      </c>
      <c r="B147" s="882" t="s">
        <v>8736</v>
      </c>
      <c r="C147" s="879" t="s">
        <v>12</v>
      </c>
      <c r="D147" s="879" t="s">
        <v>1493</v>
      </c>
      <c r="E147" s="871" t="s">
        <v>13</v>
      </c>
      <c r="F147" s="780">
        <v>57.8</v>
      </c>
      <c r="G147" s="982"/>
      <c r="H147" s="1008"/>
      <c r="I147" s="1064"/>
      <c r="J147" s="622"/>
      <c r="K147" s="982"/>
      <c r="L147" s="622"/>
      <c r="M147" s="982"/>
      <c r="N147" s="622"/>
      <c r="O147" s="1063"/>
      <c r="P147" s="622"/>
      <c r="Q147" s="982"/>
      <c r="R147" s="1028"/>
      <c r="U147" s="958"/>
    </row>
    <row r="148" spans="1:42" s="224" customFormat="1" ht="15" customHeight="1" x14ac:dyDescent="0.25">
      <c r="A148" s="247">
        <v>46043</v>
      </c>
      <c r="B148" s="882" t="s">
        <v>103</v>
      </c>
      <c r="C148" s="879" t="s">
        <v>12</v>
      </c>
      <c r="D148" s="879" t="s">
        <v>1489</v>
      </c>
      <c r="E148" s="871" t="s">
        <v>13</v>
      </c>
      <c r="F148" s="780">
        <v>17</v>
      </c>
      <c r="G148" s="982"/>
      <c r="H148" s="95"/>
      <c r="I148" s="1064"/>
      <c r="J148" s="613"/>
      <c r="K148" s="6"/>
      <c r="L148" s="622"/>
      <c r="M148" s="982"/>
      <c r="N148" s="622"/>
      <c r="O148" s="1063"/>
      <c r="P148" s="622"/>
      <c r="Q148" s="982"/>
      <c r="R148" s="861"/>
    </row>
    <row r="149" spans="1:42" s="224" customFormat="1" ht="15" customHeight="1" x14ac:dyDescent="0.25">
      <c r="A149" s="247">
        <v>46044</v>
      </c>
      <c r="B149" s="882" t="s">
        <v>14</v>
      </c>
      <c r="C149" s="879" t="s">
        <v>12</v>
      </c>
      <c r="D149" s="879" t="s">
        <v>1486</v>
      </c>
      <c r="E149" s="871" t="s">
        <v>13</v>
      </c>
      <c r="F149" s="780">
        <v>4.96</v>
      </c>
      <c r="G149" s="982"/>
      <c r="H149" s="622"/>
      <c r="I149" s="982"/>
      <c r="J149" s="622"/>
      <c r="K149" s="982"/>
      <c r="L149" s="622"/>
      <c r="M149" s="982"/>
      <c r="N149" s="880"/>
      <c r="O149" s="1525"/>
      <c r="P149" s="613"/>
      <c r="Q149" s="162"/>
      <c r="R149" s="1956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</row>
    <row r="150" spans="1:42" s="224" customFormat="1" ht="15" customHeight="1" x14ac:dyDescent="0.25">
      <c r="A150" s="247">
        <v>46044</v>
      </c>
      <c r="B150" s="882" t="s">
        <v>8738</v>
      </c>
      <c r="C150" s="879" t="s">
        <v>12</v>
      </c>
      <c r="D150" s="879" t="s">
        <v>1489</v>
      </c>
      <c r="E150" s="871" t="s">
        <v>13</v>
      </c>
      <c r="F150" s="780">
        <v>23</v>
      </c>
      <c r="G150" s="982"/>
      <c r="H150" s="95"/>
      <c r="I150" s="1064"/>
      <c r="J150" s="613"/>
      <c r="K150" s="6"/>
      <c r="L150" s="622"/>
      <c r="M150" s="982"/>
      <c r="N150" s="622"/>
      <c r="O150" s="1063"/>
      <c r="P150" s="622"/>
      <c r="Q150" s="982"/>
      <c r="R150" s="861"/>
    </row>
    <row r="151" spans="1:42" s="224" customFormat="1" ht="15" customHeight="1" x14ac:dyDescent="0.25">
      <c r="A151" s="247">
        <v>46045</v>
      </c>
      <c r="B151" s="882" t="s">
        <v>8668</v>
      </c>
      <c r="C151" s="879" t="s">
        <v>12</v>
      </c>
      <c r="D151" s="879" t="s">
        <v>6731</v>
      </c>
      <c r="E151" s="871" t="s">
        <v>13</v>
      </c>
      <c r="F151" s="780">
        <v>10.38</v>
      </c>
      <c r="G151" s="982"/>
      <c r="H151" s="95"/>
      <c r="I151" s="1064"/>
      <c r="J151" s="613"/>
      <c r="K151" s="6"/>
      <c r="L151" s="622"/>
      <c r="M151" s="982"/>
      <c r="N151" s="622"/>
      <c r="O151" s="1063"/>
      <c r="P151" s="622"/>
      <c r="Q151" s="982"/>
      <c r="R151" s="861"/>
    </row>
    <row r="152" spans="1:42" s="224" customFormat="1" ht="15" customHeight="1" x14ac:dyDescent="0.25">
      <c r="A152" s="247">
        <v>46045</v>
      </c>
      <c r="B152" s="882" t="s">
        <v>32</v>
      </c>
      <c r="C152" s="879" t="s">
        <v>12</v>
      </c>
      <c r="D152" s="879" t="s">
        <v>1485</v>
      </c>
      <c r="E152" s="871" t="s">
        <v>13</v>
      </c>
      <c r="F152" s="780">
        <v>23</v>
      </c>
      <c r="G152" s="982"/>
      <c r="H152" s="1008"/>
      <c r="I152" s="1064"/>
      <c r="J152" s="622"/>
      <c r="K152" s="982"/>
      <c r="L152" s="622"/>
      <c r="M152" s="982"/>
      <c r="N152" s="622"/>
      <c r="O152" s="1063"/>
      <c r="P152" s="622"/>
      <c r="Q152" s="982"/>
      <c r="R152" s="1028"/>
      <c r="U152" s="958"/>
    </row>
    <row r="153" spans="1:42" s="224" customFormat="1" ht="15" customHeight="1" x14ac:dyDescent="0.25">
      <c r="A153" s="247">
        <v>46045</v>
      </c>
      <c r="B153" s="882" t="s">
        <v>14</v>
      </c>
      <c r="C153" s="879" t="s">
        <v>12</v>
      </c>
      <c r="D153" s="879" t="s">
        <v>1486</v>
      </c>
      <c r="E153" s="871" t="s">
        <v>13</v>
      </c>
      <c r="F153" s="613">
        <v>15.77</v>
      </c>
      <c r="G153" s="967"/>
      <c r="H153" s="1008"/>
      <c r="I153" s="1063"/>
      <c r="J153" s="613"/>
      <c r="K153" s="6"/>
      <c r="L153" s="622"/>
      <c r="M153" s="982"/>
      <c r="N153" s="622"/>
      <c r="O153" s="1063"/>
      <c r="P153" s="613"/>
      <c r="Q153" s="64"/>
      <c r="R153" s="1024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</row>
    <row r="154" spans="1:42" s="224" customFormat="1" ht="15" customHeight="1" x14ac:dyDescent="0.25">
      <c r="A154" s="247">
        <v>46046</v>
      </c>
      <c r="B154" s="882" t="s">
        <v>14</v>
      </c>
      <c r="C154" s="879" t="s">
        <v>12</v>
      </c>
      <c r="D154" s="879" t="s">
        <v>1486</v>
      </c>
      <c r="E154" s="871" t="s">
        <v>13</v>
      </c>
      <c r="F154" s="613">
        <v>10.64</v>
      </c>
      <c r="G154" s="967"/>
      <c r="H154" s="1008"/>
      <c r="I154" s="1063"/>
      <c r="J154" s="613"/>
      <c r="K154" s="6"/>
      <c r="L154" s="622"/>
      <c r="M154" s="982"/>
      <c r="N154" s="622"/>
      <c r="O154" s="1063"/>
      <c r="P154" s="613"/>
      <c r="Q154" s="64"/>
      <c r="R154" s="102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</row>
    <row r="155" spans="1:42" s="224" customFormat="1" ht="15" customHeight="1" x14ac:dyDescent="0.25">
      <c r="A155" s="247">
        <v>46046</v>
      </c>
      <c r="B155" s="882" t="s">
        <v>8741</v>
      </c>
      <c r="C155" s="879" t="s">
        <v>12</v>
      </c>
      <c r="D155" s="879" t="s">
        <v>6731</v>
      </c>
      <c r="E155" s="871" t="s">
        <v>13</v>
      </c>
      <c r="F155" s="780">
        <v>40</v>
      </c>
      <c r="G155" s="982"/>
      <c r="H155" s="95"/>
      <c r="I155" s="1064"/>
      <c r="J155" s="613"/>
      <c r="K155" s="6"/>
      <c r="L155" s="622"/>
      <c r="M155" s="982"/>
      <c r="N155" s="622"/>
      <c r="O155" s="1063"/>
      <c r="P155" s="622"/>
      <c r="Q155" s="982"/>
      <c r="R155" s="861"/>
    </row>
    <row r="156" spans="1:42" s="224" customFormat="1" ht="15" customHeight="1" x14ac:dyDescent="0.25">
      <c r="A156" s="247">
        <v>46046</v>
      </c>
      <c r="B156" s="882" t="s">
        <v>32</v>
      </c>
      <c r="C156" s="879" t="s">
        <v>12</v>
      </c>
      <c r="D156" s="879" t="s">
        <v>1485</v>
      </c>
      <c r="E156" s="871" t="s">
        <v>13</v>
      </c>
      <c r="F156" s="780">
        <v>28</v>
      </c>
      <c r="G156" s="982"/>
      <c r="H156" s="1008"/>
      <c r="I156" s="1064"/>
      <c r="J156" s="622"/>
      <c r="K156" s="982"/>
      <c r="L156" s="622"/>
      <c r="M156" s="982"/>
      <c r="N156" s="622"/>
      <c r="O156" s="1063"/>
      <c r="P156" s="622"/>
      <c r="Q156" s="982"/>
      <c r="R156" s="1028"/>
      <c r="U156" s="958"/>
    </row>
    <row r="157" spans="1:42" s="224" customFormat="1" ht="15" customHeight="1" x14ac:dyDescent="0.25">
      <c r="A157" s="247">
        <v>46046</v>
      </c>
      <c r="B157" s="882" t="s">
        <v>8681</v>
      </c>
      <c r="C157" s="879" t="s">
        <v>12</v>
      </c>
      <c r="D157" s="879" t="s">
        <v>1489</v>
      </c>
      <c r="E157" s="875" t="s">
        <v>13</v>
      </c>
      <c r="F157" s="780">
        <v>73.239999999999995</v>
      </c>
      <c r="G157" s="982"/>
      <c r="H157" s="622"/>
      <c r="I157" s="982"/>
      <c r="J157" s="1116"/>
      <c r="K157" s="1207"/>
      <c r="L157" s="622"/>
      <c r="M157" s="982"/>
      <c r="N157" s="622"/>
      <c r="O157" s="1063"/>
      <c r="P157" s="880"/>
      <c r="Q157" s="1033"/>
      <c r="R157" s="927"/>
      <c r="T157" s="878"/>
    </row>
    <row r="158" spans="1:42" s="224" customFormat="1" ht="15" customHeight="1" x14ac:dyDescent="0.25">
      <c r="A158" s="247">
        <v>46046</v>
      </c>
      <c r="B158" s="882" t="s">
        <v>14</v>
      </c>
      <c r="C158" s="879" t="s">
        <v>12</v>
      </c>
      <c r="D158" s="879" t="s">
        <v>1486</v>
      </c>
      <c r="E158" s="871" t="s">
        <v>13</v>
      </c>
      <c r="F158" s="613">
        <v>24.25</v>
      </c>
      <c r="G158" s="967"/>
      <c r="H158" s="1008"/>
      <c r="I158" s="1063"/>
      <c r="J158" s="613"/>
      <c r="K158" s="6"/>
      <c r="L158" s="622"/>
      <c r="M158" s="982"/>
      <c r="N158" s="622"/>
      <c r="O158" s="1063"/>
      <c r="P158" s="613"/>
      <c r="Q158" s="64"/>
      <c r="R158" s="1024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</row>
    <row r="159" spans="1:42" s="224" customFormat="1" ht="15" customHeight="1" x14ac:dyDescent="0.25">
      <c r="A159" s="247">
        <v>46047</v>
      </c>
      <c r="B159" s="882" t="s">
        <v>14</v>
      </c>
      <c r="C159" s="879" t="s">
        <v>12</v>
      </c>
      <c r="D159" s="879" t="s">
        <v>1486</v>
      </c>
      <c r="E159" s="871" t="s">
        <v>13</v>
      </c>
      <c r="F159" s="613">
        <v>12.49</v>
      </c>
      <c r="G159" s="967"/>
      <c r="H159" s="1008"/>
      <c r="I159" s="1063"/>
      <c r="J159" s="613"/>
      <c r="K159" s="6"/>
      <c r="L159" s="622"/>
      <c r="M159" s="982"/>
      <c r="N159" s="622"/>
      <c r="O159" s="1063"/>
      <c r="P159" s="613"/>
      <c r="Q159" s="64"/>
      <c r="R159" s="1024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</row>
    <row r="160" spans="1:42" s="224" customFormat="1" ht="15" customHeight="1" x14ac:dyDescent="0.25">
      <c r="A160" s="247">
        <v>46047</v>
      </c>
      <c r="B160" s="882" t="s">
        <v>32</v>
      </c>
      <c r="C160" s="879" t="s">
        <v>12</v>
      </c>
      <c r="D160" s="879" t="s">
        <v>1485</v>
      </c>
      <c r="E160" s="871" t="s">
        <v>13</v>
      </c>
      <c r="F160" s="780">
        <v>30</v>
      </c>
      <c r="G160" s="982"/>
      <c r="H160" s="1008"/>
      <c r="I160" s="1064"/>
      <c r="J160" s="622"/>
      <c r="K160" s="982"/>
      <c r="L160" s="622"/>
      <c r="M160" s="982"/>
      <c r="N160" s="622"/>
      <c r="O160" s="1063"/>
      <c r="P160" s="622"/>
      <c r="Q160" s="982"/>
      <c r="R160" s="1028"/>
      <c r="U160" s="958"/>
    </row>
    <row r="161" spans="1:42" s="224" customFormat="1" ht="15" customHeight="1" x14ac:dyDescent="0.25">
      <c r="A161" s="247">
        <v>46047</v>
      </c>
      <c r="B161" s="882" t="s">
        <v>443</v>
      </c>
      <c r="C161" s="879" t="s">
        <v>12</v>
      </c>
      <c r="D161" s="879" t="s">
        <v>1493</v>
      </c>
      <c r="E161" s="871" t="s">
        <v>13</v>
      </c>
      <c r="F161" s="780">
        <v>18.899999999999999</v>
      </c>
      <c r="G161" s="982"/>
      <c r="H161" s="95"/>
      <c r="I161" s="1064"/>
      <c r="J161" s="613"/>
      <c r="K161" s="6"/>
      <c r="L161" s="622"/>
      <c r="M161" s="982"/>
      <c r="N161" s="622"/>
      <c r="O161" s="1063"/>
      <c r="P161" s="1110"/>
      <c r="Q161" s="1208"/>
      <c r="R161" s="1028"/>
      <c r="U161" s="958"/>
    </row>
    <row r="162" spans="1:42" s="224" customFormat="1" ht="15" customHeight="1" x14ac:dyDescent="0.25">
      <c r="A162" s="247">
        <v>46048</v>
      </c>
      <c r="B162" s="882" t="s">
        <v>8742</v>
      </c>
      <c r="C162" s="879" t="s">
        <v>12</v>
      </c>
      <c r="D162" s="879" t="s">
        <v>1493</v>
      </c>
      <c r="E162" s="871" t="s">
        <v>13</v>
      </c>
      <c r="F162" s="780">
        <v>4</v>
      </c>
      <c r="G162" s="982"/>
      <c r="H162" s="95"/>
      <c r="I162" s="1064"/>
      <c r="J162" s="622"/>
      <c r="K162" s="982"/>
      <c r="L162" s="622"/>
      <c r="M162" s="982"/>
      <c r="N162" s="622"/>
      <c r="O162" s="1063"/>
      <c r="P162" s="622"/>
      <c r="Q162" s="982"/>
      <c r="R162" s="1028"/>
      <c r="U162" s="958"/>
    </row>
    <row r="163" spans="1:42" s="224" customFormat="1" ht="15" customHeight="1" x14ac:dyDescent="0.25">
      <c r="A163" s="247">
        <v>46048</v>
      </c>
      <c r="B163" s="882" t="s">
        <v>8744</v>
      </c>
      <c r="C163" s="879" t="s">
        <v>12</v>
      </c>
      <c r="D163" s="879" t="s">
        <v>1491</v>
      </c>
      <c r="E163" s="871" t="s">
        <v>13</v>
      </c>
      <c r="F163" s="780">
        <v>9</v>
      </c>
      <c r="G163" s="982"/>
      <c r="H163" s="95"/>
      <c r="I163" s="1064"/>
      <c r="J163" s="622"/>
      <c r="K163" s="982"/>
      <c r="L163" s="622"/>
      <c r="M163" s="982"/>
      <c r="N163" s="622"/>
      <c r="O163" s="1063"/>
      <c r="P163" s="622"/>
      <c r="Q163" s="982"/>
      <c r="R163" s="1028"/>
      <c r="U163" s="958"/>
    </row>
    <row r="164" spans="1:42" s="224" customFormat="1" ht="15" customHeight="1" x14ac:dyDescent="0.25">
      <c r="A164" s="247">
        <v>46048</v>
      </c>
      <c r="B164" s="882" t="s">
        <v>8745</v>
      </c>
      <c r="C164" s="879" t="s">
        <v>12</v>
      </c>
      <c r="D164" s="879" t="s">
        <v>1491</v>
      </c>
      <c r="E164" s="871" t="s">
        <v>13</v>
      </c>
      <c r="F164" s="780">
        <v>0.59</v>
      </c>
      <c r="G164" s="982"/>
      <c r="H164" s="95"/>
      <c r="I164" s="1064"/>
      <c r="J164" s="622"/>
      <c r="K164" s="982"/>
      <c r="L164" s="622"/>
      <c r="M164" s="982"/>
      <c r="N164" s="622"/>
      <c r="O164" s="1063"/>
      <c r="P164" s="622"/>
      <c r="Q164" s="982"/>
      <c r="R164" s="1028"/>
      <c r="U164" s="958"/>
    </row>
    <row r="165" spans="1:42" s="224" customFormat="1" ht="15" customHeight="1" x14ac:dyDescent="0.25">
      <c r="A165" s="247">
        <v>46048</v>
      </c>
      <c r="B165" s="882" t="s">
        <v>8746</v>
      </c>
      <c r="C165" s="879" t="s">
        <v>12</v>
      </c>
      <c r="D165" s="879"/>
      <c r="E165" s="875" t="s">
        <v>13</v>
      </c>
      <c r="F165" s="780"/>
      <c r="G165" s="982">
        <v>218.81</v>
      </c>
      <c r="H165" s="1008"/>
      <c r="I165" s="1063"/>
      <c r="J165" s="622"/>
      <c r="K165" s="982"/>
      <c r="L165" s="622">
        <v>218.81</v>
      </c>
      <c r="M165" s="982"/>
      <c r="N165" s="622"/>
      <c r="O165" s="1063"/>
      <c r="P165" s="622"/>
      <c r="Q165" s="982"/>
      <c r="R165" s="941"/>
    </row>
    <row r="166" spans="1:42" s="224" customFormat="1" ht="15" customHeight="1" x14ac:dyDescent="0.25">
      <c r="A166" s="247">
        <v>46048</v>
      </c>
      <c r="B166" s="882" t="s">
        <v>8747</v>
      </c>
      <c r="C166" s="879" t="s">
        <v>12</v>
      </c>
      <c r="D166" s="879" t="s">
        <v>1522</v>
      </c>
      <c r="E166" s="871" t="s">
        <v>13</v>
      </c>
      <c r="F166" s="780">
        <v>104.12</v>
      </c>
      <c r="G166" s="982"/>
      <c r="H166" s="95"/>
      <c r="I166" s="1064"/>
      <c r="J166" s="622"/>
      <c r="K166" s="982"/>
      <c r="L166" s="622"/>
      <c r="M166" s="982"/>
      <c r="N166" s="622"/>
      <c r="O166" s="1063"/>
      <c r="P166" s="622"/>
      <c r="Q166" s="982"/>
      <c r="R166" s="1028"/>
      <c r="U166" s="958"/>
    </row>
    <row r="167" spans="1:42" s="224" customFormat="1" ht="15" customHeight="1" x14ac:dyDescent="0.25">
      <c r="A167" s="247">
        <v>46048</v>
      </c>
      <c r="B167" s="882" t="s">
        <v>14</v>
      </c>
      <c r="C167" s="879" t="s">
        <v>12</v>
      </c>
      <c r="D167" s="879" t="s">
        <v>1486</v>
      </c>
      <c r="E167" s="871" t="s">
        <v>13</v>
      </c>
      <c r="F167" s="613">
        <v>5.36</v>
      </c>
      <c r="G167" s="967"/>
      <c r="H167" s="1008"/>
      <c r="I167" s="1063"/>
      <c r="J167" s="613"/>
      <c r="K167" s="6"/>
      <c r="L167" s="622"/>
      <c r="M167" s="982"/>
      <c r="N167" s="622"/>
      <c r="O167" s="1063"/>
      <c r="P167" s="613"/>
      <c r="Q167" s="64"/>
      <c r="R167" s="1024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</row>
    <row r="168" spans="1:42" s="224" customFormat="1" ht="15" customHeight="1" x14ac:dyDescent="0.25">
      <c r="A168" s="247">
        <v>46048</v>
      </c>
      <c r="B168" s="882" t="s">
        <v>8749</v>
      </c>
      <c r="C168" s="879" t="s">
        <v>12</v>
      </c>
      <c r="D168" s="879" t="s">
        <v>1489</v>
      </c>
      <c r="E168" s="871" t="s">
        <v>13</v>
      </c>
      <c r="F168" s="613">
        <v>10.01</v>
      </c>
      <c r="G168" s="967"/>
      <c r="H168" s="1008"/>
      <c r="I168" s="1063"/>
      <c r="J168" s="613"/>
      <c r="K168" s="6"/>
      <c r="L168" s="622"/>
      <c r="M168" s="982"/>
      <c r="N168" s="622"/>
      <c r="O168" s="1063"/>
      <c r="P168" s="613"/>
      <c r="Q168" s="64"/>
      <c r="R168" s="1024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</row>
    <row r="169" spans="1:42" s="224" customFormat="1" ht="15" customHeight="1" x14ac:dyDescent="0.25">
      <c r="A169" s="247">
        <v>46048</v>
      </c>
      <c r="B169" s="882" t="s">
        <v>8741</v>
      </c>
      <c r="C169" s="879" t="s">
        <v>12</v>
      </c>
      <c r="D169" s="879" t="s">
        <v>6731</v>
      </c>
      <c r="E169" s="871" t="s">
        <v>13</v>
      </c>
      <c r="F169" s="780">
        <v>36.99</v>
      </c>
      <c r="G169" s="982"/>
      <c r="H169" s="95"/>
      <c r="I169" s="1064"/>
      <c r="J169" s="613"/>
      <c r="K169" s="6"/>
      <c r="L169" s="622"/>
      <c r="M169" s="982"/>
      <c r="N169" s="622"/>
      <c r="O169" s="1063"/>
      <c r="P169" s="622"/>
      <c r="Q169" s="982"/>
      <c r="R169" s="861"/>
    </row>
    <row r="170" spans="1:42" s="224" customFormat="1" ht="15" customHeight="1" x14ac:dyDescent="0.25">
      <c r="A170" s="247">
        <v>46048</v>
      </c>
      <c r="B170" s="1275" t="s">
        <v>8748</v>
      </c>
      <c r="C170" s="1276" t="s">
        <v>12</v>
      </c>
      <c r="D170" s="1276"/>
      <c r="E170" s="1286" t="s">
        <v>13</v>
      </c>
      <c r="F170" s="613">
        <v>122.32</v>
      </c>
      <c r="G170" s="967"/>
      <c r="H170" s="1008"/>
      <c r="I170" s="1063"/>
      <c r="J170" s="613"/>
      <c r="K170" s="6"/>
      <c r="L170" s="622"/>
      <c r="M170" s="982"/>
      <c r="N170" s="622"/>
      <c r="O170" s="1063"/>
      <c r="P170" s="613"/>
      <c r="Q170" s="162"/>
      <c r="R170" s="1024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</row>
    <row r="171" spans="1:42" s="224" customFormat="1" ht="15" customHeight="1" x14ac:dyDescent="0.25">
      <c r="A171" s="247">
        <v>46048</v>
      </c>
      <c r="B171" s="1275" t="s">
        <v>6755</v>
      </c>
      <c r="C171" s="1276" t="s">
        <v>12</v>
      </c>
      <c r="D171" s="1276"/>
      <c r="E171" s="1286"/>
      <c r="F171" s="613"/>
      <c r="G171" s="967">
        <v>122.32</v>
      </c>
      <c r="H171" s="1008"/>
      <c r="I171" s="1063"/>
      <c r="J171" s="613"/>
      <c r="K171" s="6"/>
      <c r="L171" s="622"/>
      <c r="M171" s="982"/>
      <c r="N171" s="622"/>
      <c r="O171" s="1063"/>
      <c r="P171" s="613"/>
      <c r="Q171" s="162"/>
      <c r="R171" s="1024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</row>
    <row r="172" spans="1:42" s="224" customFormat="1" ht="15" customHeight="1" x14ac:dyDescent="0.25">
      <c r="A172" s="247">
        <v>46049</v>
      </c>
      <c r="B172" s="882" t="s">
        <v>6329</v>
      </c>
      <c r="C172" s="879" t="s">
        <v>12</v>
      </c>
      <c r="D172" s="879"/>
      <c r="E172" s="875" t="s">
        <v>25</v>
      </c>
      <c r="F172" s="780"/>
      <c r="G172" s="982">
        <v>125</v>
      </c>
      <c r="H172" s="1008"/>
      <c r="I172" s="1063"/>
      <c r="J172" s="613"/>
      <c r="K172" s="982"/>
      <c r="L172" s="622"/>
      <c r="M172" s="982"/>
      <c r="N172" s="622"/>
      <c r="O172" s="1063"/>
      <c r="P172" s="622"/>
      <c r="Q172" s="982"/>
      <c r="R172" s="861"/>
    </row>
    <row r="173" spans="1:42" s="224" customFormat="1" ht="15" customHeight="1" x14ac:dyDescent="0.25">
      <c r="A173" s="247">
        <v>46049</v>
      </c>
      <c r="B173" s="882" t="s">
        <v>32</v>
      </c>
      <c r="C173" s="879" t="s">
        <v>12</v>
      </c>
      <c r="D173" s="879" t="s">
        <v>1485</v>
      </c>
      <c r="E173" s="871" t="s">
        <v>13</v>
      </c>
      <c r="F173" s="780">
        <v>23</v>
      </c>
      <c r="G173" s="982"/>
      <c r="H173" s="1008"/>
      <c r="I173" s="1064"/>
      <c r="J173" s="622"/>
      <c r="K173" s="982"/>
      <c r="L173" s="622"/>
      <c r="M173" s="982"/>
      <c r="N173" s="622"/>
      <c r="O173" s="1063"/>
      <c r="P173" s="622"/>
      <c r="Q173" s="982"/>
      <c r="R173" s="1028"/>
      <c r="U173" s="958"/>
    </row>
    <row r="174" spans="1:42" s="224" customFormat="1" ht="15" customHeight="1" x14ac:dyDescent="0.25">
      <c r="A174" s="247">
        <v>46049</v>
      </c>
      <c r="B174" s="882" t="s">
        <v>17</v>
      </c>
      <c r="C174" s="879" t="s">
        <v>12</v>
      </c>
      <c r="D174" s="879" t="s">
        <v>1493</v>
      </c>
      <c r="E174" s="875" t="s">
        <v>13</v>
      </c>
      <c r="F174" s="780">
        <v>4</v>
      </c>
      <c r="G174" s="982"/>
      <c r="H174" s="622"/>
      <c r="I174" s="982"/>
      <c r="J174" s="872"/>
      <c r="K174" s="1207"/>
      <c r="L174" s="622"/>
      <c r="M174" s="982"/>
      <c r="N174" s="622"/>
      <c r="O174" s="1063"/>
      <c r="P174" s="622"/>
      <c r="Q174" s="982"/>
      <c r="R174" s="1028"/>
      <c r="S174" s="959"/>
      <c r="T174" s="878"/>
      <c r="U174" s="958"/>
    </row>
    <row r="175" spans="1:42" s="224" customFormat="1" ht="15" customHeight="1" x14ac:dyDescent="0.25">
      <c r="A175" s="247">
        <v>46049</v>
      </c>
      <c r="B175" s="882" t="s">
        <v>8668</v>
      </c>
      <c r="C175" s="879" t="s">
        <v>12</v>
      </c>
      <c r="D175" s="879" t="s">
        <v>6731</v>
      </c>
      <c r="E175" s="871" t="s">
        <v>13</v>
      </c>
      <c r="F175" s="780">
        <v>7</v>
      </c>
      <c r="G175" s="982"/>
      <c r="H175" s="95"/>
      <c r="I175" s="1064"/>
      <c r="J175" s="622"/>
      <c r="K175" s="982"/>
      <c r="L175" s="622"/>
      <c r="M175" s="982"/>
      <c r="N175" s="622"/>
      <c r="O175" s="1063"/>
      <c r="P175" s="622"/>
      <c r="Q175" s="982"/>
      <c r="R175" s="1028"/>
      <c r="U175" s="958"/>
    </row>
    <row r="176" spans="1:42" s="224" customFormat="1" ht="15" customHeight="1" x14ac:dyDescent="0.25">
      <c r="A176" s="247">
        <v>46049</v>
      </c>
      <c r="B176" s="882" t="s">
        <v>14</v>
      </c>
      <c r="C176" s="879" t="s">
        <v>12</v>
      </c>
      <c r="D176" s="879" t="s">
        <v>1486</v>
      </c>
      <c r="E176" s="871" t="s">
        <v>13</v>
      </c>
      <c r="F176" s="613">
        <v>8.4499999999999993</v>
      </c>
      <c r="G176" s="967"/>
      <c r="H176" s="1008"/>
      <c r="I176" s="1063"/>
      <c r="J176" s="613"/>
      <c r="K176" s="6"/>
      <c r="L176" s="622"/>
      <c r="M176" s="982"/>
      <c r="N176" s="622"/>
      <c r="O176" s="1063"/>
      <c r="P176" s="613"/>
      <c r="Q176" s="64"/>
      <c r="R176" s="1024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</row>
    <row r="177" spans="1:42" s="224" customFormat="1" ht="15" customHeight="1" x14ac:dyDescent="0.25">
      <c r="A177" s="247"/>
      <c r="B177" s="882"/>
      <c r="C177" s="879"/>
      <c r="D177" s="879"/>
      <c r="E177" s="875"/>
      <c r="F177" s="780"/>
      <c r="G177" s="982"/>
      <c r="H177" s="622"/>
      <c r="I177" s="982"/>
      <c r="J177" s="872"/>
      <c r="K177" s="1207"/>
      <c r="L177" s="622"/>
      <c r="M177" s="982"/>
      <c r="N177" s="622"/>
      <c r="O177" s="1063"/>
      <c r="P177" s="622"/>
      <c r="Q177" s="982"/>
      <c r="R177" s="1028"/>
      <c r="S177" s="959"/>
      <c r="T177" s="878"/>
      <c r="U177" s="958"/>
    </row>
    <row r="178" spans="1:42" s="224" customFormat="1" ht="15" customHeight="1" x14ac:dyDescent="0.25">
      <c r="A178" s="247"/>
      <c r="B178" s="882"/>
      <c r="C178" s="879"/>
      <c r="D178" s="879"/>
      <c r="E178" s="875"/>
      <c r="F178" s="780"/>
      <c r="G178" s="982"/>
      <c r="H178" s="622"/>
      <c r="I178" s="982"/>
      <c r="J178" s="622"/>
      <c r="K178" s="982"/>
      <c r="L178" s="622"/>
      <c r="M178" s="982"/>
      <c r="N178" s="880"/>
      <c r="O178" s="1525"/>
      <c r="P178" s="613"/>
      <c r="Q178" s="162"/>
      <c r="R178" s="1956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</row>
    <row r="179" spans="1:42" s="224" customFormat="1" ht="15" customHeight="1" x14ac:dyDescent="0.25">
      <c r="A179" s="247"/>
      <c r="B179" s="882"/>
      <c r="C179" s="879"/>
      <c r="D179" s="879"/>
      <c r="E179" s="875"/>
      <c r="F179" s="780"/>
      <c r="G179" s="982"/>
      <c r="H179" s="622"/>
      <c r="I179" s="982"/>
      <c r="J179" s="622"/>
      <c r="K179" s="982"/>
      <c r="L179" s="622"/>
      <c r="M179" s="982"/>
      <c r="N179" s="880"/>
      <c r="O179" s="1525"/>
      <c r="P179" s="613"/>
      <c r="Q179" s="162"/>
      <c r="R179" s="1956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</row>
    <row r="180" spans="1:42" s="224" customFormat="1" ht="15" customHeight="1" x14ac:dyDescent="0.25">
      <c r="A180" s="247"/>
      <c r="B180" s="364"/>
      <c r="C180" s="350"/>
      <c r="D180" s="350"/>
      <c r="E180" s="875"/>
      <c r="F180" s="780"/>
      <c r="G180" s="982"/>
      <c r="H180" s="1008"/>
      <c r="I180" s="1063"/>
      <c r="J180" s="1116"/>
      <c r="K180" s="1207"/>
      <c r="L180" s="622"/>
      <c r="M180" s="982"/>
      <c r="N180" s="622"/>
      <c r="O180" s="1063"/>
      <c r="P180" s="622"/>
      <c r="Q180" s="982"/>
      <c r="R180" s="861"/>
      <c r="T180" s="1035"/>
    </row>
    <row r="181" spans="1:42" s="224" customFormat="1" ht="15" customHeight="1" x14ac:dyDescent="0.25">
      <c r="A181" s="247"/>
      <c r="B181" s="882"/>
      <c r="C181" s="879"/>
      <c r="D181" s="879"/>
      <c r="E181" s="875"/>
      <c r="F181" s="780"/>
      <c r="G181" s="982"/>
      <c r="H181" s="622"/>
      <c r="I181" s="982"/>
      <c r="J181" s="872"/>
      <c r="K181" s="1207"/>
      <c r="L181" s="622"/>
      <c r="M181" s="982"/>
      <c r="N181" s="622"/>
      <c r="O181" s="1063"/>
      <c r="P181" s="622"/>
      <c r="Q181" s="982"/>
      <c r="R181" s="1028"/>
      <c r="S181" s="959"/>
      <c r="T181" s="878"/>
      <c r="U181" s="958"/>
    </row>
    <row r="182" spans="1:42" s="224" customFormat="1" ht="15" customHeight="1" x14ac:dyDescent="0.25">
      <c r="A182" s="247"/>
      <c r="B182" s="882"/>
      <c r="C182" s="879"/>
      <c r="D182" s="879"/>
      <c r="E182" s="875"/>
      <c r="F182" s="780"/>
      <c r="G182" s="982"/>
      <c r="H182" s="622"/>
      <c r="I182" s="982"/>
      <c r="J182" s="622"/>
      <c r="K182" s="982"/>
      <c r="L182" s="622"/>
      <c r="M182" s="982"/>
      <c r="N182" s="880"/>
      <c r="O182" s="1525"/>
      <c r="P182" s="613"/>
      <c r="Q182" s="162"/>
      <c r="R182" s="1956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</row>
    <row r="183" spans="1:42" s="224" customFormat="1" ht="15" customHeight="1" x14ac:dyDescent="0.25">
      <c r="A183" s="247"/>
      <c r="B183" s="882"/>
      <c r="C183" s="879"/>
      <c r="D183" s="879"/>
      <c r="E183" s="875"/>
      <c r="F183" s="780"/>
      <c r="G183" s="982"/>
      <c r="H183" s="622"/>
      <c r="I183" s="982"/>
      <c r="J183" s="622"/>
      <c r="K183" s="982"/>
      <c r="L183" s="622"/>
      <c r="M183" s="982"/>
      <c r="N183" s="880"/>
      <c r="O183" s="1525"/>
      <c r="P183" s="613"/>
      <c r="Q183" s="162"/>
      <c r="R183" s="1956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</row>
    <row r="184" spans="1:42" s="224" customFormat="1" ht="15" customHeight="1" x14ac:dyDescent="0.25">
      <c r="A184" s="247"/>
      <c r="B184" s="364"/>
      <c r="C184" s="350"/>
      <c r="D184" s="350"/>
      <c r="E184" s="875"/>
      <c r="F184" s="780"/>
      <c r="G184" s="982"/>
      <c r="H184" s="1008"/>
      <c r="I184" s="1063"/>
      <c r="J184" s="1116"/>
      <c r="K184" s="1207"/>
      <c r="L184" s="622"/>
      <c r="M184" s="982"/>
      <c r="N184" s="622"/>
      <c r="O184" s="1063"/>
      <c r="P184" s="622"/>
      <c r="Q184" s="982"/>
      <c r="R184" s="861"/>
      <c r="T184" s="1035"/>
    </row>
    <row r="185" spans="1:42" s="224" customFormat="1" ht="15" customHeight="1" x14ac:dyDescent="0.25">
      <c r="A185" s="247"/>
      <c r="B185" s="882"/>
      <c r="C185" s="879"/>
      <c r="D185" s="879"/>
      <c r="E185" s="871"/>
      <c r="F185" s="780"/>
      <c r="G185" s="982"/>
      <c r="H185" s="622"/>
      <c r="I185" s="982"/>
      <c r="J185" s="622"/>
      <c r="K185" s="982"/>
      <c r="L185" s="622"/>
      <c r="M185" s="982"/>
      <c r="N185" s="622"/>
      <c r="O185" s="1063"/>
      <c r="P185" s="622"/>
      <c r="Q185" s="982"/>
      <c r="R185" s="1028"/>
      <c r="S185" s="959"/>
      <c r="T185" s="878"/>
      <c r="U185" s="958"/>
    </row>
    <row r="186" spans="1:42" s="224" customFormat="1" ht="15" customHeight="1" x14ac:dyDescent="0.25">
      <c r="A186" s="247"/>
      <c r="B186" s="882"/>
      <c r="C186" s="879"/>
      <c r="D186" s="879"/>
      <c r="E186" s="875"/>
      <c r="F186" s="780"/>
      <c r="G186" s="982"/>
      <c r="H186" s="622"/>
      <c r="I186" s="982"/>
      <c r="J186" s="872"/>
      <c r="K186" s="1207"/>
      <c r="L186" s="622"/>
      <c r="M186" s="982"/>
      <c r="N186" s="622"/>
      <c r="O186" s="1063"/>
      <c r="P186" s="622"/>
      <c r="Q186" s="982"/>
      <c r="R186" s="1028"/>
      <c r="S186" s="959"/>
      <c r="T186" s="878"/>
      <c r="U186" s="958"/>
    </row>
    <row r="187" spans="1:42" s="224" customFormat="1" ht="15" customHeight="1" x14ac:dyDescent="0.25">
      <c r="A187" s="247"/>
      <c r="B187" s="882"/>
      <c r="C187" s="879"/>
      <c r="D187" s="879"/>
      <c r="E187" s="875"/>
      <c r="F187" s="780"/>
      <c r="G187" s="982"/>
      <c r="H187" s="622"/>
      <c r="I187" s="982"/>
      <c r="J187" s="622"/>
      <c r="K187" s="982"/>
      <c r="L187" s="622"/>
      <c r="M187" s="982"/>
      <c r="N187" s="880"/>
      <c r="O187" s="1525"/>
      <c r="P187" s="613"/>
      <c r="Q187" s="162"/>
      <c r="R187" s="1956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</row>
    <row r="188" spans="1:42" s="224" customFormat="1" ht="15" customHeight="1" x14ac:dyDescent="0.25">
      <c r="A188" s="247"/>
      <c r="B188" s="882"/>
      <c r="C188" s="879"/>
      <c r="D188" s="879"/>
      <c r="E188" s="875"/>
      <c r="F188" s="780"/>
      <c r="G188" s="982"/>
      <c r="H188" s="622"/>
      <c r="I188" s="982"/>
      <c r="J188" s="622"/>
      <c r="K188" s="982"/>
      <c r="L188" s="622"/>
      <c r="M188" s="982"/>
      <c r="N188" s="880"/>
      <c r="O188" s="1525"/>
      <c r="P188" s="613"/>
      <c r="Q188" s="162"/>
      <c r="R188" s="1956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</row>
    <row r="189" spans="1:42" s="224" customFormat="1" ht="15" customHeight="1" x14ac:dyDescent="0.25">
      <c r="A189" s="247"/>
      <c r="B189" s="364"/>
      <c r="C189" s="350"/>
      <c r="D189" s="350"/>
      <c r="E189" s="875"/>
      <c r="F189" s="780"/>
      <c r="G189" s="982"/>
      <c r="H189" s="1008"/>
      <c r="I189" s="1063"/>
      <c r="J189" s="1116"/>
      <c r="K189" s="1207"/>
      <c r="L189" s="622"/>
      <c r="M189" s="982"/>
      <c r="N189" s="622"/>
      <c r="O189" s="1063"/>
      <c r="P189" s="622"/>
      <c r="Q189" s="982"/>
      <c r="R189" s="861"/>
      <c r="T189" s="1035"/>
    </row>
    <row r="190" spans="1:42" s="224" customFormat="1" ht="15" customHeight="1" x14ac:dyDescent="0.25">
      <c r="A190" s="247"/>
      <c r="B190" s="882"/>
      <c r="C190" s="879"/>
      <c r="D190" s="879"/>
      <c r="E190" s="875"/>
      <c r="F190" s="780"/>
      <c r="G190" s="982"/>
      <c r="H190" s="622"/>
      <c r="I190" s="982"/>
      <c r="J190" s="872"/>
      <c r="K190" s="1207"/>
      <c r="L190" s="622"/>
      <c r="M190" s="982"/>
      <c r="N190" s="622"/>
      <c r="O190" s="1063"/>
      <c r="P190" s="622"/>
      <c r="Q190" s="982"/>
      <c r="R190" s="1028"/>
      <c r="S190" s="959"/>
      <c r="T190" s="878"/>
      <c r="U190" s="958"/>
    </row>
    <row r="191" spans="1:42" s="224" customFormat="1" ht="15" customHeight="1" x14ac:dyDescent="0.25">
      <c r="A191" s="247"/>
      <c r="B191" s="882"/>
      <c r="C191" s="879"/>
      <c r="D191" s="879"/>
      <c r="E191" s="875"/>
      <c r="F191" s="780"/>
      <c r="G191" s="982"/>
      <c r="H191" s="622"/>
      <c r="I191" s="982"/>
      <c r="J191" s="622"/>
      <c r="K191" s="982"/>
      <c r="L191" s="622"/>
      <c r="M191" s="982"/>
      <c r="N191" s="880"/>
      <c r="O191" s="1525"/>
      <c r="P191" s="613"/>
      <c r="Q191" s="162"/>
      <c r="R191" s="1956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</row>
    <row r="192" spans="1:42" s="224" customFormat="1" ht="15" customHeight="1" x14ac:dyDescent="0.25">
      <c r="A192" s="247"/>
      <c r="B192" s="882"/>
      <c r="C192" s="879"/>
      <c r="D192" s="879"/>
      <c r="E192" s="875"/>
      <c r="F192" s="780"/>
      <c r="G192" s="982"/>
      <c r="H192" s="622"/>
      <c r="I192" s="982"/>
      <c r="J192" s="622"/>
      <c r="K192" s="982"/>
      <c r="L192" s="622"/>
      <c r="M192" s="982"/>
      <c r="N192" s="880"/>
      <c r="O192" s="1525"/>
      <c r="P192" s="613"/>
      <c r="Q192" s="162"/>
      <c r="R192" s="1956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</row>
    <row r="193" spans="1:26" s="224" customFormat="1" ht="15" customHeight="1" x14ac:dyDescent="0.25">
      <c r="A193" s="247"/>
      <c r="B193" s="364"/>
      <c r="C193" s="350"/>
      <c r="D193" s="350"/>
      <c r="E193" s="875"/>
      <c r="F193" s="780"/>
      <c r="G193" s="982"/>
      <c r="H193" s="1008"/>
      <c r="I193" s="1063"/>
      <c r="J193" s="1116"/>
      <c r="K193" s="1207"/>
      <c r="L193" s="622"/>
      <c r="M193" s="982"/>
      <c r="N193" s="622"/>
      <c r="O193" s="1063"/>
      <c r="P193" s="622"/>
      <c r="Q193" s="982"/>
      <c r="R193" s="861"/>
      <c r="T193" s="1035"/>
    </row>
    <row r="194" spans="1:26" s="224" customFormat="1" ht="15" customHeight="1" x14ac:dyDescent="0.25">
      <c r="A194" s="247"/>
      <c r="B194" s="882"/>
      <c r="C194" s="879"/>
      <c r="D194" s="879"/>
      <c r="E194" s="871"/>
      <c r="F194" s="780"/>
      <c r="G194" s="982"/>
      <c r="H194" s="622"/>
      <c r="I194" s="982"/>
      <c r="J194" s="622"/>
      <c r="K194" s="982"/>
      <c r="L194" s="622"/>
      <c r="M194" s="982"/>
      <c r="N194" s="622"/>
      <c r="O194" s="1063"/>
      <c r="P194" s="622"/>
      <c r="Q194" s="982"/>
      <c r="R194" s="1028"/>
      <c r="S194" s="959"/>
      <c r="T194" s="878"/>
      <c r="U194" s="958"/>
    </row>
    <row r="195" spans="1:26" s="224" customFormat="1" ht="15" customHeight="1" x14ac:dyDescent="0.25">
      <c r="A195" s="247"/>
      <c r="B195" s="364"/>
      <c r="C195" s="350"/>
      <c r="D195" s="350"/>
      <c r="E195" s="875"/>
      <c r="F195" s="780"/>
      <c r="G195" s="982"/>
      <c r="H195" s="1008"/>
      <c r="I195" s="1063"/>
      <c r="J195" s="622"/>
      <c r="K195" s="982"/>
      <c r="L195" s="622"/>
      <c r="M195" s="982"/>
      <c r="N195" s="622"/>
      <c r="O195" s="1063"/>
      <c r="P195" s="622"/>
      <c r="Q195" s="982"/>
      <c r="R195" s="2722"/>
      <c r="T195" s="1035"/>
    </row>
    <row r="196" spans="1:26" s="224" customFormat="1" ht="15" customHeight="1" thickBot="1" x14ac:dyDescent="0.3">
      <c r="A196" s="247"/>
      <c r="B196" s="349" t="s">
        <v>8335</v>
      </c>
      <c r="C196" s="350" t="s">
        <v>12</v>
      </c>
      <c r="D196" s="350"/>
      <c r="E196" s="480" t="s">
        <v>25</v>
      </c>
      <c r="F196" s="2551"/>
      <c r="G196" s="1522"/>
      <c r="H196" s="95"/>
      <c r="I196" s="2848">
        <v>16.100000000000001</v>
      </c>
      <c r="J196" s="622"/>
      <c r="K196" s="2848">
        <v>63.44</v>
      </c>
      <c r="L196" s="622"/>
      <c r="M196" s="3004">
        <v>1.82</v>
      </c>
      <c r="N196" s="622"/>
      <c r="O196" s="2848">
        <v>55.05</v>
      </c>
      <c r="P196" s="622"/>
      <c r="Q196" s="982"/>
      <c r="R196" s="2585">
        <f>I196+K196+M196+O196</f>
        <v>136.40999999999997</v>
      </c>
      <c r="S196" s="3006">
        <v>46044</v>
      </c>
      <c r="T196" s="927"/>
      <c r="U196" s="999"/>
    </row>
    <row r="197" spans="1:26" ht="25.5" customHeight="1" thickBot="1" x14ac:dyDescent="0.3">
      <c r="A197" s="3060"/>
      <c r="B197" s="3061"/>
      <c r="C197" s="3062"/>
      <c r="D197" s="3062"/>
      <c r="E197" s="3062"/>
      <c r="F197" s="1023">
        <f>SUM(F6:F196)</f>
        <v>12038.041345238089</v>
      </c>
      <c r="G197" s="1065">
        <f>SUM(G5:G196)</f>
        <v>12804.733428571471</v>
      </c>
      <c r="H197" s="517">
        <f>SUM(H6:H196)</f>
        <v>500</v>
      </c>
      <c r="I197" s="93">
        <f>SUM(I5:I196)</f>
        <v>2517.7399999999998</v>
      </c>
      <c r="J197" s="517">
        <f>SUM(J6:J196)</f>
        <v>1750.83</v>
      </c>
      <c r="K197" s="93">
        <f>SUM(K5:K196)</f>
        <v>8309.0200000000059</v>
      </c>
      <c r="L197" s="1023">
        <f>SUM(L6:L196)</f>
        <v>218.81</v>
      </c>
      <c r="M197" s="93">
        <f>SUM(M5:M196)</f>
        <v>218.81</v>
      </c>
      <c r="N197" s="1023">
        <f>SUM(N6:N196)</f>
        <v>0</v>
      </c>
      <c r="O197" s="93">
        <f>SUM(O5:O196)</f>
        <v>6395.0300000000016</v>
      </c>
      <c r="P197" s="1023">
        <f>SUM(P6:P196)</f>
        <v>0</v>
      </c>
      <c r="Q197" s="93">
        <f>SUM(Q5:Q196)</f>
        <v>9542.8459847200083</v>
      </c>
      <c r="S197" s="216"/>
    </row>
    <row r="198" spans="1:26" ht="25.5" customHeight="1" thickBot="1" x14ac:dyDescent="0.3">
      <c r="A198" s="3063" t="s">
        <v>49</v>
      </c>
      <c r="B198" s="3064"/>
      <c r="C198" s="3064"/>
      <c r="D198" s="3064"/>
      <c r="E198" s="3064"/>
      <c r="F198" s="2046" t="s">
        <v>280</v>
      </c>
      <c r="G198" s="1066">
        <f>G197-F197</f>
        <v>766.69208333338247</v>
      </c>
      <c r="H198" s="1221"/>
      <c r="I198" s="772">
        <f>I197-H197</f>
        <v>2017.7399999999998</v>
      </c>
      <c r="J198" s="1221"/>
      <c r="K198" s="772">
        <f>K197-J197</f>
        <v>6558.190000000006</v>
      </c>
      <c r="L198" s="1222"/>
      <c r="M198" s="772">
        <f>M197-L197</f>
        <v>0</v>
      </c>
      <c r="N198" s="1222"/>
      <c r="O198" s="772">
        <f>O197-N197</f>
        <v>6395.0300000000016</v>
      </c>
      <c r="P198" s="1222"/>
      <c r="Q198" s="772">
        <f>Q197-P197</f>
        <v>9542.8459847200083</v>
      </c>
      <c r="R198" s="484">
        <f>M198+O198+Q198+I198</f>
        <v>17955.615984720011</v>
      </c>
    </row>
    <row r="199" spans="1:26" x14ac:dyDescent="0.25">
      <c r="I199" s="1239"/>
      <c r="J199" s="1210"/>
      <c r="K199" s="1038"/>
      <c r="M199" s="1239"/>
      <c r="O199" s="1239"/>
      <c r="P199" s="1239"/>
      <c r="Q199" s="1239"/>
      <c r="R199" s="867"/>
      <c r="S199" s="867"/>
      <c r="T199" s="79"/>
      <c r="W199" s="518"/>
      <c r="X199" s="216"/>
      <c r="Z199" s="877"/>
    </row>
    <row r="200" spans="1:26" x14ac:dyDescent="0.25">
      <c r="B200" s="81"/>
      <c r="C200" s="193"/>
      <c r="D200" s="970"/>
      <c r="E200" s="193"/>
      <c r="F200" s="1061"/>
      <c r="G200" s="216"/>
      <c r="I200" s="216"/>
      <c r="J200" s="1038"/>
      <c r="K200" s="216"/>
      <c r="M200" s="866"/>
      <c r="O200" s="866"/>
      <c r="P200" s="1038"/>
      <c r="Q200" s="1038"/>
      <c r="R200" s="865"/>
      <c r="S200" s="867"/>
    </row>
    <row r="201" spans="1:26" x14ac:dyDescent="0.25">
      <c r="D201" s="796"/>
      <c r="E201" s="1202"/>
      <c r="F201" s="1203"/>
      <c r="G201" s="800"/>
      <c r="I201" s="769"/>
      <c r="J201" s="1038"/>
      <c r="K201" s="1225"/>
      <c r="M201" s="886"/>
      <c r="O201" s="886"/>
      <c r="P201" s="886"/>
      <c r="Q201" s="1038">
        <v>24197.98</v>
      </c>
      <c r="R201" s="1038" t="s">
        <v>6378</v>
      </c>
      <c r="S201" s="1210"/>
      <c r="U201" s="1201"/>
      <c r="V201" s="877"/>
    </row>
    <row r="202" spans="1:26" x14ac:dyDescent="0.25">
      <c r="O202" s="1038"/>
      <c r="P202" s="1210"/>
      <c r="Q202" s="1210">
        <f>Q198+Q201</f>
        <v>33740.82598472001</v>
      </c>
      <c r="R202" s="1038" t="s">
        <v>6379</v>
      </c>
      <c r="U202" s="877"/>
      <c r="V202" s="877"/>
    </row>
    <row r="203" spans="1:26" s="85" customFormat="1" x14ac:dyDescent="0.25">
      <c r="O203" s="863"/>
      <c r="Q203" s="79"/>
      <c r="R203" s="177"/>
      <c r="U203" s="877"/>
      <c r="V203" s="877"/>
    </row>
    <row r="204" spans="1:26" s="85" customFormat="1" x14ac:dyDescent="0.25">
      <c r="A204" s="79"/>
      <c r="B204" s="79"/>
      <c r="F204" s="89"/>
      <c r="G204" s="79"/>
      <c r="H204" s="79"/>
      <c r="I204" s="79"/>
      <c r="J204" s="79"/>
      <c r="K204" s="79"/>
      <c r="L204" s="79"/>
      <c r="M204" s="79"/>
      <c r="O204" s="1038"/>
      <c r="R204" s="177"/>
      <c r="U204" s="877"/>
      <c r="V204" s="877"/>
    </row>
    <row r="205" spans="1:26" s="85" customFormat="1" x14ac:dyDescent="0.25">
      <c r="A205" s="79"/>
      <c r="B205" s="1061" t="s">
        <v>3</v>
      </c>
      <c r="C205" s="195" t="s">
        <v>1484</v>
      </c>
      <c r="D205" s="195" t="s">
        <v>2378</v>
      </c>
      <c r="E205" s="195" t="s">
        <v>3216</v>
      </c>
      <c r="F205" s="1061" t="s">
        <v>3217</v>
      </c>
      <c r="G205" s="864"/>
      <c r="H205" s="864"/>
      <c r="N205" s="79"/>
      <c r="O205" s="1038"/>
      <c r="P205" s="1210"/>
      <c r="Q205" s="1038"/>
      <c r="R205" s="177"/>
      <c r="U205" s="877"/>
      <c r="V205" s="877"/>
    </row>
    <row r="206" spans="1:26" s="85" customFormat="1" x14ac:dyDescent="0.25">
      <c r="A206" s="79"/>
      <c r="B206" s="79" t="s">
        <v>32</v>
      </c>
      <c r="C206" s="85" t="s">
        <v>1485</v>
      </c>
      <c r="D206" s="796">
        <f>SUMIF($D$7:$D$197,C206,$F$7:$F$197)</f>
        <v>530.62</v>
      </c>
      <c r="E206" s="1202">
        <f t="shared" ref="E206:E222" si="0">D206/$K$226</f>
        <v>19.652592592592594</v>
      </c>
      <c r="F206" s="1203">
        <f t="shared" ref="F206:F222" si="1">E206/$E$227</f>
        <v>0.11089584835470287</v>
      </c>
      <c r="N206" s="877"/>
      <c r="O206" s="177"/>
      <c r="R206" s="177"/>
      <c r="U206" s="877"/>
      <c r="V206" s="877"/>
    </row>
    <row r="207" spans="1:26" s="85" customFormat="1" x14ac:dyDescent="0.25">
      <c r="B207" s="79" t="s">
        <v>2187</v>
      </c>
      <c r="C207" s="85" t="s">
        <v>2157</v>
      </c>
      <c r="D207" s="796">
        <f t="shared" ref="D207:D222" si="2">SUMIF($D$7:$D$196,C207,$F$7:$F$196)</f>
        <v>50</v>
      </c>
      <c r="E207" s="1202">
        <f t="shared" si="0"/>
        <v>1.8518518518518519</v>
      </c>
      <c r="F207" s="1203">
        <f t="shared" si="1"/>
        <v>1.0449648369332373E-2</v>
      </c>
      <c r="G207" s="609"/>
      <c r="H207" s="79"/>
      <c r="I207" s="79"/>
      <c r="J207" s="2125"/>
      <c r="K207" s="1129"/>
      <c r="L207" s="79"/>
      <c r="M207" s="1210"/>
      <c r="N207" s="877"/>
      <c r="O207" s="177"/>
      <c r="P207" s="868"/>
      <c r="Q207" s="769"/>
      <c r="R207" s="79"/>
      <c r="U207" s="877"/>
      <c r="V207" s="877"/>
    </row>
    <row r="208" spans="1:26" s="85" customFormat="1" x14ac:dyDescent="0.25">
      <c r="A208" s="79"/>
      <c r="B208" s="79" t="s">
        <v>50</v>
      </c>
      <c r="C208" s="85" t="s">
        <v>1493</v>
      </c>
      <c r="D208" s="796">
        <f t="shared" si="2"/>
        <v>436.90999999999991</v>
      </c>
      <c r="E208" s="1202">
        <f t="shared" si="0"/>
        <v>16.181851851851849</v>
      </c>
      <c r="F208" s="1203">
        <f t="shared" si="1"/>
        <v>9.1311117380900114E-2</v>
      </c>
      <c r="J208" s="1038"/>
      <c r="K208" s="2833"/>
      <c r="L208" s="177"/>
      <c r="M208" s="941"/>
      <c r="N208" s="877"/>
      <c r="O208" s="177"/>
      <c r="P208" s="866"/>
      <c r="Q208" s="1210"/>
      <c r="R208" s="877"/>
      <c r="U208" s="877"/>
      <c r="V208" s="877"/>
    </row>
    <row r="209" spans="1:24" s="85" customFormat="1" x14ac:dyDescent="0.25">
      <c r="A209" s="79"/>
      <c r="B209" s="79" t="s">
        <v>14</v>
      </c>
      <c r="C209" s="85" t="s">
        <v>1486</v>
      </c>
      <c r="D209" s="796">
        <f t="shared" si="2"/>
        <v>240.36</v>
      </c>
      <c r="E209" s="1202">
        <f t="shared" si="0"/>
        <v>8.9022222222222229</v>
      </c>
      <c r="F209" s="1203">
        <f t="shared" si="1"/>
        <v>5.023354964105458E-2</v>
      </c>
      <c r="G209" s="79"/>
      <c r="H209" s="79"/>
      <c r="J209" s="1038"/>
      <c r="K209" s="2834"/>
      <c r="L209" s="863"/>
      <c r="M209" s="941"/>
      <c r="O209" s="177"/>
      <c r="P209" s="1226"/>
      <c r="Q209" s="1129"/>
      <c r="R209" s="877"/>
      <c r="U209" s="877"/>
      <c r="V209" s="877"/>
    </row>
    <row r="210" spans="1:24" x14ac:dyDescent="0.25">
      <c r="B210" s="79" t="s">
        <v>51</v>
      </c>
      <c r="C210" s="864" t="s">
        <v>1499</v>
      </c>
      <c r="D210" s="796">
        <f t="shared" si="2"/>
        <v>74.34</v>
      </c>
      <c r="E210" s="1202">
        <f t="shared" si="0"/>
        <v>2.7533333333333334</v>
      </c>
      <c r="F210" s="1203">
        <f t="shared" si="1"/>
        <v>1.5536537195523371E-2</v>
      </c>
      <c r="J210" s="1038"/>
      <c r="K210" s="2834"/>
      <c r="L210" s="863"/>
      <c r="M210" s="941"/>
      <c r="N210" s="85"/>
      <c r="O210" s="216"/>
      <c r="P210" s="1038"/>
      <c r="Q210" s="1226"/>
      <c r="R210" s="877"/>
      <c r="U210" s="877"/>
      <c r="V210" s="877"/>
    </row>
    <row r="211" spans="1:24" x14ac:dyDescent="0.25">
      <c r="B211" s="79" t="s">
        <v>2189</v>
      </c>
      <c r="C211" s="864" t="s">
        <v>1496</v>
      </c>
      <c r="D211" s="796">
        <f t="shared" si="2"/>
        <v>100</v>
      </c>
      <c r="E211" s="1202">
        <f t="shared" si="0"/>
        <v>3.7037037037037037</v>
      </c>
      <c r="F211" s="1203">
        <f t="shared" si="1"/>
        <v>2.0899296738664745E-2</v>
      </c>
      <c r="H211" s="85"/>
      <c r="I211" s="85"/>
      <c r="J211" s="85"/>
      <c r="K211" s="85"/>
      <c r="L211" s="177"/>
      <c r="M211" s="941"/>
      <c r="N211" s="85"/>
      <c r="O211" s="216"/>
      <c r="Q211" s="484"/>
      <c r="R211" s="877"/>
      <c r="U211" s="877"/>
      <c r="V211" s="877"/>
    </row>
    <row r="212" spans="1:24" x14ac:dyDescent="0.25">
      <c r="B212" s="867" t="s">
        <v>53</v>
      </c>
      <c r="C212" s="864" t="s">
        <v>1522</v>
      </c>
      <c r="D212" s="796">
        <f t="shared" si="2"/>
        <v>1899.7399999999998</v>
      </c>
      <c r="E212" s="1202">
        <f t="shared" si="0"/>
        <v>70.360740740740738</v>
      </c>
      <c r="F212" s="1203">
        <f t="shared" si="1"/>
        <v>0.39703229986310956</v>
      </c>
      <c r="G212" s="85"/>
      <c r="H212" s="85"/>
      <c r="I212" s="85"/>
      <c r="J212" s="1038"/>
      <c r="K212" s="2834"/>
      <c r="L212" s="863"/>
      <c r="M212" s="941"/>
      <c r="N212" s="85"/>
      <c r="O212" s="216"/>
      <c r="Q212" s="484"/>
      <c r="R212" s="877"/>
      <c r="U212" s="877"/>
      <c r="V212" s="877"/>
    </row>
    <row r="213" spans="1:24" x14ac:dyDescent="0.25">
      <c r="B213" s="79" t="s">
        <v>3048</v>
      </c>
      <c r="C213" s="864" t="s">
        <v>1523</v>
      </c>
      <c r="D213" s="796">
        <f t="shared" si="2"/>
        <v>1119.8629999999998</v>
      </c>
      <c r="E213" s="1202">
        <f t="shared" si="0"/>
        <v>41.4764074074074</v>
      </c>
      <c r="F213" s="1203">
        <f t="shared" si="1"/>
        <v>0.23404349143651312</v>
      </c>
      <c r="G213" s="866"/>
      <c r="H213" s="85"/>
      <c r="I213" s="85"/>
      <c r="J213" s="1038"/>
      <c r="K213" s="2834"/>
      <c r="L213" s="863"/>
      <c r="M213" s="941"/>
      <c r="N213" s="769"/>
      <c r="O213" s="216"/>
      <c r="Q213" s="484"/>
      <c r="R213" s="1673"/>
      <c r="U213" s="877"/>
      <c r="V213" s="877"/>
    </row>
    <row r="214" spans="1:24" x14ac:dyDescent="0.25">
      <c r="B214" s="79" t="s">
        <v>1686</v>
      </c>
      <c r="C214" s="864" t="s">
        <v>1506</v>
      </c>
      <c r="D214" s="796">
        <f t="shared" si="2"/>
        <v>260.90999999999997</v>
      </c>
      <c r="E214" s="1202">
        <f t="shared" si="0"/>
        <v>9.6633333333333322</v>
      </c>
      <c r="F214" s="1203">
        <f t="shared" si="1"/>
        <v>5.4528355120850178E-2</v>
      </c>
      <c r="G214" s="868"/>
      <c r="H214" s="85"/>
      <c r="I214" s="85"/>
      <c r="J214" s="1038"/>
      <c r="K214" s="2834"/>
      <c r="L214" s="863"/>
      <c r="M214" s="941"/>
      <c r="N214" s="216"/>
      <c r="O214" s="886"/>
      <c r="P214" s="1210"/>
      <c r="Q214" s="1038"/>
      <c r="R214" s="1129"/>
      <c r="T214" s="1129"/>
      <c r="U214" s="877"/>
      <c r="V214" s="877"/>
    </row>
    <row r="215" spans="1:24" x14ac:dyDescent="0.25">
      <c r="B215" s="79" t="s">
        <v>418</v>
      </c>
      <c r="C215" s="85" t="s">
        <v>1524</v>
      </c>
      <c r="D215" s="796">
        <f t="shared" si="2"/>
        <v>750.83409523809519</v>
      </c>
      <c r="E215" s="1202">
        <f t="shared" si="0"/>
        <v>27.808670194003525</v>
      </c>
      <c r="F215" s="1203">
        <f t="shared" si="1"/>
        <v>0.15691904557887817</v>
      </c>
      <c r="G215" s="85"/>
      <c r="H215" s="85"/>
      <c r="I215" s="85"/>
      <c r="J215" s="1038"/>
      <c r="K215" s="2834"/>
      <c r="L215" s="863"/>
      <c r="M215" s="941"/>
      <c r="N215" s="216"/>
      <c r="O215" s="1673"/>
      <c r="P215" s="1210"/>
      <c r="Q215" s="1038"/>
      <c r="R215" s="1129"/>
      <c r="T215" s="1129"/>
      <c r="U215" s="877"/>
      <c r="V215" s="877"/>
    </row>
    <row r="216" spans="1:24" x14ac:dyDescent="0.25">
      <c r="B216" s="79" t="s">
        <v>6732</v>
      </c>
      <c r="C216" s="85" t="s">
        <v>1491</v>
      </c>
      <c r="D216" s="796">
        <f t="shared" si="2"/>
        <v>1026.47</v>
      </c>
      <c r="E216" s="1202">
        <f t="shared" si="0"/>
        <v>38.017407407407411</v>
      </c>
      <c r="F216" s="1203">
        <f t="shared" si="1"/>
        <v>0.214525011233372</v>
      </c>
      <c r="I216" s="85"/>
      <c r="J216" s="1038"/>
      <c r="K216" s="1038"/>
      <c r="L216" s="866"/>
      <c r="M216" s="2835"/>
      <c r="P216" s="941"/>
      <c r="Q216" s="224"/>
      <c r="R216" s="1226"/>
      <c r="S216" s="1129"/>
      <c r="T216" s="1129"/>
      <c r="U216" s="877"/>
      <c r="V216" s="877"/>
    </row>
    <row r="217" spans="1:24" x14ac:dyDescent="0.25">
      <c r="B217" s="79" t="s">
        <v>6733</v>
      </c>
      <c r="C217" s="85" t="s">
        <v>6731</v>
      </c>
      <c r="D217" s="796">
        <f t="shared" si="2"/>
        <v>962.00000000000011</v>
      </c>
      <c r="E217" s="1202">
        <f t="shared" si="0"/>
        <v>35.629629629629633</v>
      </c>
      <c r="F217" s="1203">
        <f t="shared" si="1"/>
        <v>0.20105123462595487</v>
      </c>
      <c r="I217" s="85"/>
      <c r="J217" s="1210"/>
      <c r="K217" s="1038"/>
      <c r="N217" s="769"/>
      <c r="P217" s="1210"/>
      <c r="Q217" s="1038"/>
      <c r="R217" s="1226"/>
      <c r="S217" s="1129"/>
      <c r="T217" s="1129"/>
      <c r="U217" s="877"/>
      <c r="V217" s="877"/>
    </row>
    <row r="218" spans="1:24" x14ac:dyDescent="0.25">
      <c r="B218" s="79" t="s">
        <v>5439</v>
      </c>
      <c r="C218" s="85" t="s">
        <v>1525</v>
      </c>
      <c r="D218" s="796">
        <f t="shared" si="2"/>
        <v>829.85424999999998</v>
      </c>
      <c r="E218" s="1202">
        <f t="shared" si="0"/>
        <v>30.735342592592591</v>
      </c>
      <c r="F218" s="1203">
        <f t="shared" si="1"/>
        <v>0.17343370220592075</v>
      </c>
      <c r="J218" s="1210"/>
      <c r="K218" s="1038"/>
      <c r="N218" s="769"/>
      <c r="P218" s="1210"/>
      <c r="Q218" s="1038"/>
      <c r="R218" s="1227"/>
      <c r="S218" s="1129"/>
      <c r="T218" s="1129"/>
      <c r="U218" s="877"/>
      <c r="V218" s="877"/>
    </row>
    <row r="219" spans="1:24" x14ac:dyDescent="0.25">
      <c r="B219" s="79" t="s">
        <v>1526</v>
      </c>
      <c r="C219" s="85" t="s">
        <v>1504</v>
      </c>
      <c r="D219" s="796">
        <f t="shared" si="2"/>
        <v>233.01000000000002</v>
      </c>
      <c r="E219" s="1202">
        <f t="shared" si="0"/>
        <v>8.6300000000000008</v>
      </c>
      <c r="F219" s="1203">
        <f t="shared" si="1"/>
        <v>4.8697451330762725E-2</v>
      </c>
      <c r="J219" s="1210"/>
      <c r="K219" s="1038"/>
      <c r="L219" s="769"/>
      <c r="N219" s="769"/>
      <c r="P219" s="1210"/>
      <c r="Q219" s="1038"/>
      <c r="R219" s="1227"/>
      <c r="S219" s="1129"/>
      <c r="T219" s="1129"/>
      <c r="U219" s="877"/>
      <c r="V219" s="877"/>
    </row>
    <row r="220" spans="1:24" x14ac:dyDescent="0.25">
      <c r="B220" s="79" t="s">
        <v>2343</v>
      </c>
      <c r="C220" s="85" t="s">
        <v>2315</v>
      </c>
      <c r="D220" s="796">
        <f t="shared" si="2"/>
        <v>0</v>
      </c>
      <c r="E220" s="1202">
        <f t="shared" si="0"/>
        <v>0</v>
      </c>
      <c r="F220" s="1203">
        <f t="shared" si="1"/>
        <v>0</v>
      </c>
      <c r="J220" s="1210"/>
      <c r="K220" s="1038"/>
      <c r="L220" s="769"/>
      <c r="M220" s="1210"/>
      <c r="P220" s="1210"/>
      <c r="Q220" s="1038"/>
      <c r="R220" s="1227"/>
      <c r="T220" s="1129"/>
      <c r="U220" s="877"/>
      <c r="V220" s="877"/>
    </row>
    <row r="221" spans="1:24" x14ac:dyDescent="0.25">
      <c r="B221" s="79" t="s">
        <v>3019</v>
      </c>
      <c r="C221" s="85" t="s">
        <v>3017</v>
      </c>
      <c r="D221" s="796">
        <f t="shared" si="2"/>
        <v>1519.1</v>
      </c>
      <c r="E221" s="1202">
        <f t="shared" si="0"/>
        <v>56.262962962962959</v>
      </c>
      <c r="F221" s="1203">
        <f t="shared" si="1"/>
        <v>0.3174812167570561</v>
      </c>
      <c r="J221" s="1210"/>
      <c r="K221" s="1038"/>
      <c r="L221" s="769"/>
      <c r="O221" s="1517"/>
      <c r="P221" s="1210"/>
      <c r="Q221" s="1038"/>
      <c r="R221" s="1226"/>
      <c r="S221" s="1129"/>
      <c r="T221" s="1129"/>
      <c r="U221" s="877"/>
      <c r="V221" s="877"/>
    </row>
    <row r="222" spans="1:24" ht="15.75" customHeight="1" thickBot="1" x14ac:dyDescent="0.3">
      <c r="B222" s="301" t="s">
        <v>1527</v>
      </c>
      <c r="C222" s="2400" t="s">
        <v>1489</v>
      </c>
      <c r="D222" s="2401">
        <f t="shared" si="2"/>
        <v>723.43000000000006</v>
      </c>
      <c r="E222" s="2402">
        <f t="shared" si="0"/>
        <v>26.793703703703706</v>
      </c>
      <c r="F222" s="2403">
        <f t="shared" si="1"/>
        <v>0.15119178239652237</v>
      </c>
      <c r="J222" s="1210"/>
      <c r="K222" s="1038"/>
      <c r="O222" s="868"/>
      <c r="P222" s="1210"/>
      <c r="Q222" s="1038"/>
      <c r="R222" s="1226"/>
      <c r="S222" s="1129"/>
      <c r="T222" s="1129"/>
      <c r="U222" s="877"/>
      <c r="V222" s="877"/>
    </row>
    <row r="223" spans="1:24" x14ac:dyDescent="0.25">
      <c r="B223" s="1124" t="s">
        <v>6790</v>
      </c>
      <c r="C223" s="1124"/>
      <c r="D223" s="1125">
        <f>SUMIF($B$7:$B$196,"Crédito Gasolina",$G$7:$G$196)</f>
        <v>490.59999999999997</v>
      </c>
      <c r="E223" s="1138">
        <f>D223/K226</f>
        <v>18.170370370370367</v>
      </c>
      <c r="F223" s="2979">
        <f>SUM(F201:F222)</f>
        <v>2.2482295882291181</v>
      </c>
      <c r="G223" s="1129"/>
      <c r="J223" s="2037"/>
      <c r="K223" s="629"/>
      <c r="O223" s="1210"/>
      <c r="P223" s="1210"/>
      <c r="Q223" s="1038"/>
      <c r="R223" s="769"/>
      <c r="S223" s="484" t="s">
        <v>280</v>
      </c>
      <c r="T223" s="216"/>
      <c r="U223" s="866"/>
      <c r="V223" s="484"/>
      <c r="X223" s="877"/>
    </row>
    <row r="224" spans="1:24" s="518" customFormat="1" x14ac:dyDescent="0.25">
      <c r="A224" s="79"/>
      <c r="B224" s="1124" t="s">
        <v>6329</v>
      </c>
      <c r="C224" s="1124"/>
      <c r="D224" s="1125">
        <f>SUMIF($B$7:$B$196,"Trabalho Art frutt",$G$7:$G$196)</f>
        <v>500</v>
      </c>
      <c r="E224" s="1138">
        <f>D224/K226</f>
        <v>18.518518518518519</v>
      </c>
      <c r="F224" s="1124"/>
      <c r="G224" s="79"/>
      <c r="H224" s="79"/>
      <c r="I224" s="79"/>
      <c r="J224" s="2037"/>
      <c r="K224" s="629"/>
      <c r="L224" s="79"/>
      <c r="M224" s="79"/>
      <c r="N224" s="216"/>
      <c r="O224" s="79"/>
      <c r="P224" s="1210"/>
      <c r="Q224" s="1038"/>
      <c r="R224" s="79"/>
      <c r="S224" s="79"/>
      <c r="T224" s="866"/>
      <c r="U224" s="484"/>
      <c r="V224" s="79"/>
      <c r="W224" s="877"/>
      <c r="X224" s="79"/>
    </row>
    <row r="225" spans="1:21" s="518" customFormat="1" x14ac:dyDescent="0.25">
      <c r="B225" s="1124"/>
      <c r="C225" s="1124"/>
      <c r="D225" s="1125"/>
      <c r="E225" s="1138"/>
      <c r="F225" s="1124"/>
      <c r="G225" s="79"/>
      <c r="H225" s="79"/>
      <c r="I225" s="79"/>
      <c r="J225" s="2037"/>
      <c r="K225" s="629"/>
      <c r="L225" s="459" t="s">
        <v>6481</v>
      </c>
      <c r="M225" s="2125" t="s">
        <v>6482</v>
      </c>
      <c r="N225" s="79"/>
      <c r="Q225" s="1038"/>
      <c r="R225" s="484"/>
      <c r="S225" s="79"/>
      <c r="T225" s="877"/>
      <c r="U225" s="79"/>
    </row>
    <row r="226" spans="1:21" s="518" customFormat="1" x14ac:dyDescent="0.25">
      <c r="A226" s="79"/>
      <c r="B226" s="79"/>
      <c r="C226" s="85" t="s">
        <v>486</v>
      </c>
      <c r="D226" s="85"/>
      <c r="E226" s="863">
        <f>J226/K226</f>
        <v>398.42375352733683</v>
      </c>
      <c r="F226" s="89"/>
      <c r="G226" s="518" t="s">
        <v>487</v>
      </c>
      <c r="H226" s="79"/>
      <c r="I226" s="79"/>
      <c r="J226" s="629">
        <f>SUM(D201:D222)</f>
        <v>10757.441345238094</v>
      </c>
      <c r="K226" s="1517">
        <v>27</v>
      </c>
      <c r="L226" s="484">
        <f>5316.5+D224-J227</f>
        <v>-4190.1072499999991</v>
      </c>
      <c r="M226" s="79"/>
      <c r="N226" s="1038"/>
      <c r="O226" s="866"/>
      <c r="P226" s="1210"/>
      <c r="Q226" s="1038"/>
      <c r="R226" s="484"/>
      <c r="S226" s="79"/>
      <c r="T226" s="877"/>
      <c r="U226" s="79"/>
    </row>
    <row r="227" spans="1:21" s="518" customFormat="1" x14ac:dyDescent="0.25">
      <c r="A227" s="79"/>
      <c r="B227" s="2956" t="s">
        <v>7452</v>
      </c>
      <c r="C227" s="2956"/>
      <c r="D227" s="2956"/>
      <c r="E227" s="1125">
        <f>5316.5/30</f>
        <v>177.21666666666667</v>
      </c>
      <c r="F227" s="89"/>
      <c r="G227" s="518" t="s">
        <v>6257</v>
      </c>
      <c r="H227" s="79"/>
      <c r="I227" s="79"/>
      <c r="J227" s="609">
        <f>J226-D215</f>
        <v>10006.607249999999</v>
      </c>
      <c r="K227" s="629"/>
      <c r="L227" s="79"/>
      <c r="M227" s="868"/>
      <c r="N227" s="79"/>
      <c r="O227" s="866"/>
      <c r="P227" s="1210"/>
      <c r="Q227" s="1038"/>
      <c r="R227" s="484"/>
      <c r="S227" s="79"/>
      <c r="T227" s="877"/>
      <c r="U227" s="79"/>
    </row>
    <row r="228" spans="1:21" s="518" customFormat="1" x14ac:dyDescent="0.25">
      <c r="A228" s="79"/>
      <c r="B228" s="79"/>
      <c r="C228" s="79"/>
      <c r="D228" s="79"/>
      <c r="E228" s="769"/>
      <c r="F228" s="866"/>
      <c r="G228" s="769"/>
      <c r="H228" s="866"/>
      <c r="I228" s="1210"/>
      <c r="J228" s="867"/>
      <c r="K228" s="866"/>
      <c r="L228" s="1038"/>
      <c r="M228" s="1210"/>
      <c r="O228" s="866"/>
      <c r="P228" s="1210"/>
      <c r="Q228" s="1038"/>
      <c r="R228" s="484"/>
      <c r="S228" s="79"/>
      <c r="T228" s="877"/>
      <c r="U228" s="79"/>
    </row>
    <row r="229" spans="1:21" s="518" customFormat="1" x14ac:dyDescent="0.25">
      <c r="A229" s="79"/>
      <c r="B229" s="79"/>
      <c r="C229" s="79"/>
      <c r="D229" s="79"/>
      <c r="E229" s="1126">
        <f>E227-E226</f>
        <v>-221.20708686067016</v>
      </c>
      <c r="F229" s="2980">
        <f>E226/E227</f>
        <v>2.2482295882291177</v>
      </c>
      <c r="G229" s="85"/>
      <c r="H229" s="85"/>
      <c r="I229" s="89"/>
      <c r="J229" s="1210"/>
      <c r="K229" s="754"/>
      <c r="L229" s="79"/>
      <c r="M229" s="79"/>
      <c r="N229" s="769"/>
      <c r="O229" s="866"/>
      <c r="P229" s="1210"/>
      <c r="Q229" s="1038"/>
      <c r="R229" s="484"/>
      <c r="S229" s="79"/>
      <c r="T229" s="877"/>
      <c r="U229" s="79"/>
    </row>
    <row r="230" spans="1:21" s="518" customFormat="1" x14ac:dyDescent="0.25">
      <c r="A230" s="79"/>
      <c r="B230" s="79"/>
      <c r="C230" s="79"/>
      <c r="D230" s="79"/>
      <c r="E230" s="85"/>
      <c r="J230" s="1038"/>
      <c r="K230" s="1225"/>
      <c r="N230" s="769"/>
      <c r="O230" s="868"/>
      <c r="P230" s="1210"/>
      <c r="Q230" s="1038"/>
      <c r="R230" s="484"/>
      <c r="S230" s="79"/>
      <c r="T230" s="877"/>
      <c r="U230" s="79"/>
    </row>
    <row r="231" spans="1:21" s="518" customFormat="1" x14ac:dyDescent="0.25">
      <c r="A231" s="79"/>
      <c r="B231" s="1124" t="s">
        <v>6376</v>
      </c>
      <c r="C231" s="2125"/>
      <c r="D231" s="2219">
        <f>SUMIF($E$11:$E$196,"crédito",$G$11:$G$196)</f>
        <v>6880.38</v>
      </c>
      <c r="E231" s="85"/>
      <c r="F231" s="89"/>
      <c r="G231" s="79"/>
      <c r="H231" s="79"/>
      <c r="I231" s="79"/>
      <c r="J231" s="1038"/>
      <c r="K231" s="1225"/>
      <c r="L231" s="769"/>
      <c r="M231" s="866"/>
      <c r="O231" s="866"/>
      <c r="P231" s="1210"/>
      <c r="Q231" s="1038"/>
      <c r="R231" s="484"/>
      <c r="S231" s="79"/>
      <c r="T231" s="877"/>
      <c r="U231" s="79"/>
    </row>
    <row r="232" spans="1:21" s="518" customFormat="1" x14ac:dyDescent="0.25">
      <c r="A232" s="79"/>
      <c r="B232" s="518" t="s">
        <v>6496</v>
      </c>
      <c r="C232" s="459"/>
      <c r="D232" s="2218">
        <f>SUM(D201:D222)-D215</f>
        <v>10006.607249999999</v>
      </c>
      <c r="E232" s="85"/>
      <c r="F232" s="89"/>
      <c r="G232" s="79"/>
      <c r="H232" s="79"/>
      <c r="I232" s="216"/>
      <c r="J232" s="864"/>
      <c r="K232" s="877"/>
      <c r="L232" s="769"/>
      <c r="M232" s="866"/>
      <c r="N232" s="769"/>
      <c r="O232" s="866"/>
      <c r="P232" s="1210"/>
      <c r="Q232" s="1038"/>
      <c r="R232" s="484"/>
      <c r="S232" s="79"/>
      <c r="T232" s="877"/>
      <c r="U232" s="79"/>
    </row>
    <row r="233" spans="1:21" s="518" customFormat="1" x14ac:dyDescent="0.25">
      <c r="A233" s="79"/>
      <c r="B233" s="81" t="s">
        <v>6497</v>
      </c>
      <c r="C233" s="81"/>
      <c r="D233" s="1014">
        <f>D231-D232</f>
        <v>-3126.227249999999</v>
      </c>
      <c r="E233" s="79"/>
      <c r="F233" s="79"/>
      <c r="G233" s="79"/>
      <c r="H233" s="79"/>
      <c r="J233" s="1038"/>
      <c r="K233" s="877"/>
      <c r="M233" s="866"/>
      <c r="N233" s="769"/>
      <c r="O233" s="868"/>
      <c r="P233" s="1210"/>
      <c r="Q233" s="1038"/>
      <c r="R233" s="484"/>
      <c r="S233" s="79"/>
      <c r="T233" s="877"/>
      <c r="U233" s="79"/>
    </row>
    <row r="234" spans="1:21" s="518" customFormat="1" x14ac:dyDescent="0.25">
      <c r="A234" s="79"/>
      <c r="B234" s="79"/>
      <c r="C234" s="79"/>
      <c r="D234" s="79"/>
      <c r="E234" s="79"/>
      <c r="F234" s="79"/>
      <c r="G234" s="79"/>
      <c r="H234" s="79"/>
      <c r="I234" s="216"/>
      <c r="J234" s="1038"/>
      <c r="K234" s="877"/>
      <c r="L234" s="769"/>
      <c r="M234" s="866"/>
      <c r="N234" s="769"/>
      <c r="O234" s="866"/>
      <c r="P234" s="1210"/>
      <c r="Q234" s="1038"/>
      <c r="R234" s="484"/>
      <c r="S234" s="79"/>
      <c r="T234" s="877"/>
      <c r="U234" s="79"/>
    </row>
    <row r="235" spans="1:21" s="518" customFormat="1" x14ac:dyDescent="0.25">
      <c r="A235" s="79"/>
      <c r="B235" s="79"/>
      <c r="C235" s="79"/>
      <c r="D235" s="79"/>
      <c r="E235" s="79"/>
      <c r="F235" s="79"/>
      <c r="G235" s="79"/>
      <c r="H235" s="79"/>
      <c r="I235" s="216"/>
      <c r="J235" s="1038"/>
      <c r="K235" s="877"/>
      <c r="L235" s="769"/>
      <c r="M235" s="868"/>
      <c r="N235" s="769"/>
      <c r="O235" s="866"/>
      <c r="P235" s="1210"/>
      <c r="Q235" s="1038"/>
      <c r="R235" s="484"/>
      <c r="S235" s="79"/>
      <c r="T235" s="877"/>
      <c r="U235" s="79"/>
    </row>
    <row r="236" spans="1:21" s="518" customFormat="1" x14ac:dyDescent="0.25">
      <c r="A236" s="79"/>
      <c r="B236" s="79"/>
      <c r="C236" s="85"/>
      <c r="D236" s="85"/>
      <c r="E236" s="85"/>
      <c r="F236" s="89"/>
      <c r="G236" s="79"/>
      <c r="H236" s="79"/>
      <c r="I236" s="79"/>
      <c r="J236" s="85"/>
      <c r="K236" s="877"/>
      <c r="L236" s="769"/>
      <c r="M236" s="866"/>
      <c r="N236" s="769"/>
      <c r="O236" s="866"/>
      <c r="P236" s="1210"/>
      <c r="Q236" s="1038"/>
      <c r="R236" s="484"/>
      <c r="S236" s="79"/>
      <c r="T236" s="877"/>
      <c r="U236" s="79"/>
    </row>
    <row r="237" spans="1:21" s="518" customFormat="1" x14ac:dyDescent="0.25">
      <c r="A237" s="79"/>
      <c r="B237" s="79"/>
      <c r="C237" s="85"/>
      <c r="D237" s="85"/>
      <c r="E237" s="85"/>
      <c r="F237" s="89"/>
      <c r="G237" s="79"/>
      <c r="H237" s="79"/>
      <c r="I237" s="79"/>
      <c r="J237" s="79"/>
      <c r="K237" s="79"/>
      <c r="L237" s="769"/>
      <c r="M237" s="866"/>
      <c r="N237" s="769"/>
      <c r="O237" s="866"/>
      <c r="P237" s="1210"/>
      <c r="Q237" s="1038"/>
      <c r="R237" s="484"/>
      <c r="S237" s="79"/>
      <c r="T237" s="877"/>
      <c r="U237" s="79"/>
    </row>
    <row r="238" spans="1:21" s="518" customFormat="1" x14ac:dyDescent="0.25">
      <c r="A238" s="79"/>
      <c r="B238" s="79"/>
      <c r="C238" s="85"/>
      <c r="D238" s="85"/>
      <c r="E238" s="85"/>
      <c r="F238" s="89"/>
      <c r="G238" s="79"/>
      <c r="H238" s="79"/>
      <c r="I238" s="79"/>
      <c r="J238" s="769"/>
      <c r="K238" s="868"/>
      <c r="L238" s="769"/>
      <c r="M238" s="866"/>
      <c r="N238" s="769"/>
      <c r="O238" s="866"/>
      <c r="P238" s="1210"/>
      <c r="Q238" s="1038"/>
      <c r="R238" s="484"/>
      <c r="S238" s="79"/>
      <c r="T238" s="877"/>
      <c r="U238" s="79"/>
    </row>
    <row r="239" spans="1:21" s="518" customFormat="1" x14ac:dyDescent="0.25">
      <c r="A239" s="79"/>
      <c r="B239" s="79"/>
      <c r="C239" s="85"/>
      <c r="D239" s="85"/>
      <c r="E239" s="85"/>
      <c r="F239" s="89"/>
      <c r="G239" s="79"/>
      <c r="H239" s="79"/>
      <c r="I239" s="79"/>
      <c r="J239" s="769"/>
      <c r="K239" s="868"/>
      <c r="L239" s="769"/>
      <c r="M239" s="866"/>
      <c r="N239" s="769"/>
      <c r="O239" s="866"/>
      <c r="P239" s="1210"/>
      <c r="Q239" s="1038"/>
      <c r="R239" s="484"/>
      <c r="S239" s="79"/>
      <c r="T239" s="877"/>
      <c r="U239" s="79"/>
    </row>
    <row r="240" spans="1:21" s="518" customFormat="1" x14ac:dyDescent="0.25">
      <c r="A240" s="79"/>
      <c r="B240" s="79"/>
      <c r="C240" s="85"/>
      <c r="D240" s="85"/>
      <c r="E240" s="85"/>
      <c r="F240" s="89"/>
      <c r="G240" s="79"/>
      <c r="H240" s="79"/>
      <c r="I240" s="79"/>
      <c r="J240" s="769"/>
      <c r="K240" s="79"/>
      <c r="L240" s="769"/>
      <c r="M240" s="866"/>
      <c r="N240" s="769"/>
      <c r="O240" s="866"/>
      <c r="P240" s="1210"/>
      <c r="Q240" s="1038"/>
      <c r="R240" s="484"/>
      <c r="S240" s="79"/>
      <c r="T240" s="877"/>
      <c r="U240" s="79"/>
    </row>
    <row r="241" spans="1:21" s="518" customFormat="1" x14ac:dyDescent="0.25">
      <c r="A241" s="79"/>
      <c r="B241" s="79"/>
      <c r="C241" s="79"/>
      <c r="D241" s="79"/>
      <c r="E241" s="79"/>
      <c r="F241" s="79"/>
      <c r="G241" s="79"/>
      <c r="H241" s="79"/>
      <c r="I241" s="216"/>
      <c r="J241" s="79"/>
      <c r="K241" s="79"/>
      <c r="L241" s="769"/>
      <c r="M241" s="866"/>
      <c r="N241" s="769"/>
      <c r="O241" s="866"/>
      <c r="P241" s="1210"/>
      <c r="Q241" s="1038"/>
      <c r="R241" s="484"/>
      <c r="S241" s="79"/>
      <c r="T241" s="877"/>
      <c r="U241" s="79"/>
    </row>
    <row r="242" spans="1:21" s="518" customFormat="1" x14ac:dyDescent="0.25">
      <c r="A242" s="79"/>
      <c r="B242" s="79"/>
      <c r="C242" s="79"/>
      <c r="D242" s="79"/>
      <c r="E242" s="79"/>
      <c r="F242" s="79"/>
      <c r="G242" s="79"/>
      <c r="H242" s="79"/>
      <c r="I242" s="216"/>
      <c r="J242" s="79"/>
      <c r="K242" s="79"/>
      <c r="L242" s="769"/>
      <c r="M242" s="866"/>
      <c r="N242" s="769"/>
      <c r="O242" s="866"/>
      <c r="P242" s="1210"/>
      <c r="Q242" s="1038"/>
      <c r="R242" s="484"/>
      <c r="S242" s="79"/>
      <c r="T242" s="877"/>
      <c r="U242" s="79"/>
    </row>
    <row r="243" spans="1:21" s="518" customFormat="1" x14ac:dyDescent="0.25">
      <c r="A243" s="79"/>
      <c r="B243" s="79"/>
      <c r="C243" s="79"/>
      <c r="D243" s="79"/>
      <c r="E243" s="79"/>
      <c r="F243" s="79"/>
      <c r="G243" s="79"/>
      <c r="H243" s="79"/>
      <c r="I243" s="216"/>
      <c r="J243" s="1517"/>
      <c r="K243" s="79"/>
      <c r="L243" s="769"/>
      <c r="M243" s="866"/>
      <c r="N243" s="769"/>
      <c r="O243" s="866"/>
      <c r="R243" s="484"/>
      <c r="S243" s="79"/>
      <c r="T243" s="877"/>
      <c r="U243" s="79"/>
    </row>
    <row r="244" spans="1:21" s="518" customFormat="1" x14ac:dyDescent="0.25">
      <c r="A244" s="79"/>
      <c r="B244" s="79"/>
      <c r="C244" s="79"/>
      <c r="D244" s="79"/>
      <c r="E244" s="79"/>
      <c r="F244" s="79"/>
      <c r="G244" s="79"/>
      <c r="H244" s="79"/>
      <c r="I244" s="216"/>
      <c r="J244" s="79"/>
      <c r="K244" s="868"/>
      <c r="L244" s="769"/>
      <c r="M244" s="866"/>
      <c r="N244" s="769"/>
      <c r="O244" s="866"/>
      <c r="R244" s="484"/>
      <c r="S244" s="79"/>
      <c r="T244" s="877"/>
      <c r="U244" s="79"/>
    </row>
    <row r="245" spans="1:21" s="518" customFormat="1" x14ac:dyDescent="0.25">
      <c r="A245" s="79"/>
      <c r="B245" s="79"/>
      <c r="C245" s="79"/>
      <c r="D245" s="79"/>
      <c r="E245" s="79"/>
      <c r="F245" s="79"/>
      <c r="G245" s="79"/>
      <c r="H245" s="79"/>
      <c r="I245" s="216"/>
      <c r="J245" s="89"/>
      <c r="K245" s="79"/>
      <c r="L245" s="769"/>
      <c r="M245" s="868"/>
      <c r="N245" s="769"/>
      <c r="O245" s="868"/>
      <c r="P245" s="79"/>
      <c r="Q245" s="79"/>
      <c r="R245" s="484"/>
      <c r="S245" s="79"/>
      <c r="T245" s="877"/>
      <c r="U245" s="79"/>
    </row>
    <row r="246" spans="1:21" s="518" customFormat="1" x14ac:dyDescent="0.25">
      <c r="A246" s="79"/>
      <c r="B246" s="79"/>
      <c r="C246" s="79"/>
      <c r="D246" s="79"/>
      <c r="E246" s="79"/>
      <c r="F246" s="79"/>
      <c r="G246" s="79"/>
      <c r="H246" s="79"/>
      <c r="I246" s="216"/>
      <c r="J246" s="79"/>
      <c r="K246" s="79"/>
      <c r="L246" s="769"/>
      <c r="M246" s="868"/>
      <c r="N246" s="769"/>
      <c r="O246" s="868"/>
      <c r="P246" s="81"/>
      <c r="Q246" s="755"/>
      <c r="R246" s="484"/>
      <c r="S246" s="79"/>
      <c r="T246" s="877"/>
      <c r="U246" s="79"/>
    </row>
    <row r="247" spans="1:21" s="518" customFormat="1" x14ac:dyDescent="0.25">
      <c r="A247" s="79"/>
      <c r="B247" s="79"/>
      <c r="C247" s="79"/>
      <c r="D247" s="79"/>
      <c r="E247" s="79"/>
      <c r="F247" s="79"/>
      <c r="G247" s="79"/>
      <c r="H247" s="79"/>
      <c r="I247" s="216"/>
      <c r="L247" s="769"/>
      <c r="M247" s="868"/>
      <c r="N247" s="769"/>
      <c r="O247" s="868"/>
      <c r="P247" s="868"/>
      <c r="Q247" s="79"/>
      <c r="R247" s="484"/>
      <c r="S247" s="79"/>
      <c r="T247" s="877"/>
      <c r="U247" s="79"/>
    </row>
    <row r="248" spans="1:21" s="518" customFormat="1" x14ac:dyDescent="0.25">
      <c r="A248" s="79"/>
      <c r="B248" s="79"/>
      <c r="C248" s="79"/>
      <c r="D248" s="79"/>
      <c r="E248" s="79"/>
      <c r="F248" s="79"/>
      <c r="G248" s="79"/>
      <c r="H248" s="79"/>
      <c r="I248" s="216"/>
      <c r="J248" s="769"/>
      <c r="K248" s="866"/>
      <c r="L248" s="769"/>
      <c r="M248" s="868"/>
      <c r="N248" s="769"/>
      <c r="O248" s="868"/>
      <c r="P248" s="754"/>
      <c r="Q248" s="886"/>
      <c r="R248" s="484"/>
      <c r="S248" s="79"/>
      <c r="T248" s="877"/>
      <c r="U248" s="79"/>
    </row>
    <row r="249" spans="1:21" s="518" customFormat="1" x14ac:dyDescent="0.25">
      <c r="A249" s="79"/>
      <c r="B249" s="79"/>
      <c r="C249" s="79"/>
      <c r="D249" s="79"/>
      <c r="E249" s="79"/>
      <c r="F249" s="79"/>
      <c r="G249" s="79"/>
      <c r="H249" s="79"/>
      <c r="I249" s="216"/>
      <c r="J249" s="769"/>
      <c r="K249" s="866"/>
      <c r="L249" s="769"/>
      <c r="M249" s="868"/>
      <c r="N249" s="769"/>
      <c r="O249" s="868"/>
      <c r="P249" s="864"/>
      <c r="Q249" s="864"/>
      <c r="R249" s="484"/>
      <c r="S249" s="79"/>
      <c r="T249" s="877"/>
      <c r="U249" s="79"/>
    </row>
    <row r="250" spans="1:21" s="518" customFormat="1" x14ac:dyDescent="0.25">
      <c r="A250" s="79"/>
      <c r="B250" s="79"/>
      <c r="C250" s="85"/>
      <c r="D250" s="85"/>
      <c r="E250" s="85"/>
      <c r="F250" s="89"/>
      <c r="G250" s="79"/>
      <c r="H250" s="79"/>
      <c r="I250" s="79"/>
      <c r="K250" s="866"/>
      <c r="L250" s="769"/>
      <c r="M250" s="866"/>
      <c r="N250" s="769"/>
      <c r="O250" s="866"/>
      <c r="P250" s="864"/>
      <c r="Q250" s="1032"/>
      <c r="R250" s="484"/>
      <c r="S250" s="79"/>
      <c r="T250" s="877"/>
      <c r="U250" s="79"/>
    </row>
    <row r="251" spans="1:21" s="518" customFormat="1" x14ac:dyDescent="0.25">
      <c r="A251" s="79"/>
      <c r="B251" s="79"/>
      <c r="C251" s="85"/>
      <c r="D251" s="85"/>
      <c r="E251" s="85"/>
      <c r="F251" s="89"/>
      <c r="G251" s="79"/>
      <c r="H251" s="79"/>
      <c r="I251" s="79"/>
      <c r="J251" s="769"/>
      <c r="K251" s="866"/>
      <c r="L251" s="769"/>
      <c r="M251" s="866"/>
      <c r="N251" s="769"/>
      <c r="O251" s="866"/>
      <c r="P251" s="864"/>
      <c r="Q251" s="1032"/>
      <c r="R251" s="484"/>
      <c r="S251" s="79"/>
      <c r="T251" s="877"/>
      <c r="U251" s="79"/>
    </row>
    <row r="252" spans="1:21" s="518" customFormat="1" x14ac:dyDescent="0.25">
      <c r="A252" s="79"/>
      <c r="B252" s="79"/>
      <c r="C252" s="85"/>
      <c r="D252" s="85"/>
      <c r="E252" s="85"/>
      <c r="F252" s="89"/>
      <c r="G252" s="79"/>
      <c r="H252" s="79"/>
      <c r="I252" s="79"/>
      <c r="J252" s="769"/>
      <c r="K252" s="868"/>
      <c r="L252" s="769"/>
      <c r="M252" s="868"/>
      <c r="N252" s="769"/>
      <c r="O252" s="868"/>
      <c r="P252" s="85"/>
      <c r="Q252" s="795"/>
      <c r="R252" s="484"/>
      <c r="S252" s="79"/>
      <c r="T252" s="877"/>
      <c r="U252" s="79"/>
    </row>
    <row r="253" spans="1:21" s="518" customFormat="1" x14ac:dyDescent="0.25">
      <c r="A253" s="79"/>
      <c r="B253" s="79"/>
      <c r="C253" s="85"/>
      <c r="D253" s="85"/>
      <c r="E253" s="85"/>
      <c r="F253" s="89"/>
      <c r="G253" s="79"/>
      <c r="H253" s="79"/>
      <c r="I253" s="79"/>
      <c r="J253" s="769"/>
      <c r="K253" s="866"/>
      <c r="L253" s="769"/>
      <c r="M253" s="866"/>
      <c r="N253" s="769"/>
      <c r="O253" s="866"/>
      <c r="P253" s="85"/>
      <c r="Q253" s="177"/>
      <c r="R253" s="484"/>
      <c r="S253" s="79"/>
      <c r="T253" s="877"/>
      <c r="U253" s="79"/>
    </row>
    <row r="254" spans="1:21" s="518" customFormat="1" x14ac:dyDescent="0.25">
      <c r="A254" s="79"/>
      <c r="B254" s="79"/>
      <c r="C254" s="85"/>
      <c r="D254" s="85"/>
      <c r="E254" s="85"/>
      <c r="F254" s="89"/>
      <c r="G254" s="79"/>
      <c r="H254" s="79"/>
      <c r="I254" s="79"/>
      <c r="J254" s="770"/>
      <c r="K254" s="866"/>
      <c r="L254" s="769"/>
      <c r="M254" s="866"/>
      <c r="N254" s="769"/>
      <c r="O254" s="866"/>
      <c r="P254" s="85"/>
      <c r="Q254" s="177"/>
      <c r="R254" s="484"/>
      <c r="S254" s="79"/>
      <c r="T254" s="877"/>
      <c r="U254" s="79"/>
    </row>
    <row r="255" spans="1:21" s="518" customFormat="1" x14ac:dyDescent="0.25">
      <c r="A255" s="79"/>
      <c r="B255" s="79"/>
      <c r="C255" s="79"/>
      <c r="D255" s="79"/>
      <c r="E255" s="79"/>
      <c r="F255" s="79"/>
      <c r="G255" s="79"/>
      <c r="H255" s="79"/>
      <c r="I255" s="79"/>
      <c r="J255" s="769"/>
      <c r="K255" s="868"/>
      <c r="L255" s="769"/>
      <c r="M255" s="868"/>
      <c r="N255" s="769"/>
      <c r="O255" s="868"/>
      <c r="P255" s="85"/>
      <c r="Q255" s="177" t="s">
        <v>280</v>
      </c>
      <c r="R255" s="484"/>
      <c r="S255" s="79"/>
      <c r="T255" s="877"/>
      <c r="U255" s="79"/>
    </row>
    <row r="256" spans="1:21" s="518" customFormat="1" x14ac:dyDescent="0.25">
      <c r="A256" s="79"/>
      <c r="B256" s="79"/>
      <c r="C256" s="79"/>
      <c r="D256" s="79"/>
      <c r="E256" s="79"/>
      <c r="F256" s="79"/>
      <c r="G256" s="79"/>
      <c r="H256" s="79"/>
      <c r="I256" s="79"/>
      <c r="J256" s="769"/>
      <c r="K256" s="866"/>
      <c r="L256" s="769"/>
      <c r="M256" s="868"/>
      <c r="N256" s="769"/>
      <c r="O256" s="868"/>
      <c r="P256" s="85"/>
      <c r="Q256" s="177"/>
      <c r="R256" s="484"/>
      <c r="S256" s="79"/>
      <c r="T256" s="877"/>
      <c r="U256" s="79"/>
    </row>
    <row r="257" spans="1:21" s="518" customFormat="1" x14ac:dyDescent="0.25">
      <c r="A257" s="79"/>
      <c r="B257" s="79"/>
      <c r="C257" s="79"/>
      <c r="D257" s="79"/>
      <c r="E257" s="79"/>
      <c r="F257" s="79"/>
      <c r="G257" s="79"/>
      <c r="H257" s="79"/>
      <c r="I257" s="79"/>
      <c r="J257" s="769"/>
      <c r="K257" s="866"/>
      <c r="L257" s="769"/>
      <c r="M257" s="868"/>
      <c r="N257" s="769"/>
      <c r="O257" s="868"/>
      <c r="P257" s="85"/>
      <c r="Q257" s="866"/>
      <c r="R257" s="484"/>
      <c r="S257" s="79"/>
      <c r="T257" s="877"/>
      <c r="U257" s="79"/>
    </row>
    <row r="258" spans="1:21" s="518" customFormat="1" x14ac:dyDescent="0.25">
      <c r="A258" s="79"/>
      <c r="B258" s="79"/>
      <c r="C258" s="79"/>
      <c r="D258" s="79"/>
      <c r="E258" s="79"/>
      <c r="F258" s="79"/>
      <c r="G258" s="79"/>
      <c r="H258" s="79"/>
      <c r="I258" s="79"/>
      <c r="J258" s="769"/>
      <c r="K258" s="866"/>
      <c r="L258" s="769"/>
      <c r="M258" s="868"/>
      <c r="N258" s="769"/>
      <c r="O258" s="868"/>
      <c r="P258" s="769"/>
      <c r="Q258" s="216"/>
      <c r="R258" s="484"/>
      <c r="S258" s="79"/>
      <c r="T258" s="877"/>
      <c r="U258" s="79"/>
    </row>
    <row r="259" spans="1:21" s="518" customFormat="1" x14ac:dyDescent="0.25">
      <c r="A259" s="79"/>
      <c r="B259" s="79"/>
      <c r="C259" s="79"/>
      <c r="D259" s="79"/>
      <c r="E259" s="79"/>
      <c r="F259" s="79"/>
      <c r="G259" s="79"/>
      <c r="H259" s="79"/>
      <c r="I259" s="79"/>
      <c r="J259" s="769"/>
      <c r="K259" s="866"/>
      <c r="L259" s="769"/>
      <c r="M259" s="866"/>
      <c r="N259" s="769"/>
      <c r="O259" s="866"/>
      <c r="P259" s="79"/>
      <c r="Q259" s="216"/>
      <c r="R259" s="484"/>
      <c r="S259" s="79"/>
      <c r="T259" s="877"/>
      <c r="U259" s="79"/>
    </row>
    <row r="260" spans="1:21" s="518" customFormat="1" x14ac:dyDescent="0.25">
      <c r="A260" s="79"/>
      <c r="B260" s="79"/>
      <c r="C260" s="79"/>
      <c r="D260" s="79"/>
      <c r="E260" s="79"/>
      <c r="F260" s="79"/>
      <c r="G260" s="79"/>
      <c r="H260" s="79"/>
      <c r="I260" s="79"/>
      <c r="J260" s="769"/>
      <c r="K260" s="866"/>
      <c r="L260" s="223"/>
      <c r="M260" s="629"/>
      <c r="N260" s="223"/>
      <c r="O260" s="629"/>
      <c r="P260" s="769"/>
      <c r="Q260" s="868"/>
      <c r="R260" s="484"/>
      <c r="S260" s="79"/>
      <c r="T260" s="877"/>
      <c r="U260" s="79"/>
    </row>
    <row r="261" spans="1:21" s="518" customFormat="1" x14ac:dyDescent="0.25">
      <c r="A261" s="79"/>
      <c r="B261" s="79"/>
      <c r="C261" s="79"/>
      <c r="D261" s="79"/>
      <c r="E261" s="79"/>
      <c r="F261" s="79"/>
      <c r="G261" s="79"/>
      <c r="H261" s="79"/>
      <c r="I261" s="79"/>
      <c r="J261" s="769"/>
      <c r="K261" s="866"/>
      <c r="L261" s="756"/>
      <c r="M261" s="756"/>
      <c r="N261" s="756"/>
      <c r="O261" s="756"/>
      <c r="P261" s="769"/>
      <c r="Q261" s="868"/>
      <c r="R261" s="484"/>
      <c r="S261" s="79"/>
      <c r="T261" s="877"/>
      <c r="U261" s="79"/>
    </row>
    <row r="262" spans="1:21" s="518" customFormat="1" x14ac:dyDescent="0.25">
      <c r="A262" s="79"/>
      <c r="B262" s="79"/>
      <c r="C262" s="79"/>
      <c r="D262" s="79"/>
      <c r="E262" s="79"/>
      <c r="F262" s="79"/>
      <c r="G262" s="79"/>
      <c r="H262" s="79"/>
      <c r="I262" s="79"/>
      <c r="J262" s="769"/>
      <c r="K262" s="866"/>
      <c r="L262" s="79"/>
      <c r="M262" s="79"/>
      <c r="N262" s="79"/>
      <c r="O262" s="79"/>
      <c r="P262" s="769"/>
      <c r="Q262" s="868"/>
      <c r="R262" s="484"/>
      <c r="S262" s="79"/>
      <c r="T262" s="877"/>
      <c r="U262" s="79"/>
    </row>
    <row r="263" spans="1:21" s="518" customFormat="1" x14ac:dyDescent="0.25">
      <c r="A263" s="79"/>
      <c r="B263" s="79"/>
      <c r="C263" s="79"/>
      <c r="D263" s="79"/>
      <c r="E263" s="79"/>
      <c r="F263" s="79"/>
      <c r="G263" s="79"/>
      <c r="H263" s="79"/>
      <c r="I263" s="79"/>
      <c r="J263" s="769"/>
      <c r="K263" s="866"/>
      <c r="L263" s="79"/>
      <c r="M263" s="79"/>
      <c r="N263" s="79"/>
      <c r="O263" s="79"/>
      <c r="P263" s="769"/>
      <c r="Q263" s="79"/>
      <c r="R263" s="484"/>
      <c r="S263" s="79"/>
      <c r="T263" s="877"/>
      <c r="U263" s="79"/>
    </row>
    <row r="264" spans="1:21" s="518" customFormat="1" x14ac:dyDescent="0.25">
      <c r="A264" s="79"/>
      <c r="B264" s="79"/>
      <c r="C264" s="79"/>
      <c r="D264" s="79"/>
      <c r="E264" s="79"/>
      <c r="F264" s="79"/>
      <c r="G264" s="79"/>
      <c r="H264" s="79"/>
      <c r="I264" s="79"/>
      <c r="J264" s="769"/>
      <c r="K264" s="866"/>
      <c r="L264" s="79"/>
      <c r="M264" s="79"/>
      <c r="N264" s="79"/>
      <c r="O264" s="79"/>
      <c r="P264" s="79"/>
      <c r="Q264" s="79"/>
      <c r="R264" s="484"/>
      <c r="S264" s="79"/>
      <c r="T264" s="877"/>
      <c r="U264" s="79"/>
    </row>
    <row r="265" spans="1:21" s="518" customFormat="1" x14ac:dyDescent="0.25">
      <c r="A265" s="79"/>
      <c r="B265" s="79"/>
      <c r="C265" s="79"/>
      <c r="D265" s="79"/>
      <c r="E265" s="79"/>
      <c r="F265" s="79"/>
      <c r="G265" s="79"/>
      <c r="H265" s="79"/>
      <c r="I265" s="79"/>
      <c r="J265" s="769"/>
      <c r="K265" s="866"/>
      <c r="L265" s="79"/>
      <c r="M265" s="79"/>
      <c r="N265" s="79"/>
      <c r="O265" s="79"/>
      <c r="P265" s="79"/>
      <c r="Q265" s="79"/>
      <c r="R265" s="484"/>
      <c r="S265" s="79"/>
      <c r="T265" s="877"/>
      <c r="U265" s="79"/>
    </row>
    <row r="266" spans="1:21" s="518" customFormat="1" x14ac:dyDescent="0.25">
      <c r="A266" s="79"/>
      <c r="B266" s="79"/>
      <c r="C266" s="79"/>
      <c r="D266" s="79"/>
      <c r="E266" s="79"/>
      <c r="F266" s="79"/>
      <c r="G266" s="79"/>
      <c r="H266" s="79"/>
      <c r="I266" s="79"/>
      <c r="J266" s="769"/>
      <c r="K266" s="866"/>
      <c r="L266" s="85"/>
      <c r="M266" s="85"/>
      <c r="N266" s="85"/>
      <c r="O266" s="85"/>
      <c r="P266" s="1517"/>
      <c r="Q266" s="79"/>
      <c r="R266" s="484"/>
      <c r="S266" s="79"/>
      <c r="T266" s="877"/>
      <c r="U266" s="79"/>
    </row>
    <row r="267" spans="1:21" s="518" customFormat="1" x14ac:dyDescent="0.25">
      <c r="A267" s="79"/>
      <c r="B267" s="79"/>
      <c r="C267" s="79"/>
      <c r="D267" s="79"/>
      <c r="E267" s="79"/>
      <c r="F267" s="79"/>
      <c r="G267" s="79"/>
      <c r="H267" s="79"/>
      <c r="I267" s="79"/>
      <c r="J267" s="769"/>
      <c r="K267" s="868"/>
      <c r="L267" s="79"/>
      <c r="M267" s="79"/>
      <c r="N267" s="79"/>
      <c r="O267" s="79"/>
      <c r="P267" s="79"/>
      <c r="Q267" s="868"/>
      <c r="R267" s="484"/>
      <c r="S267" s="79"/>
      <c r="T267" s="877"/>
      <c r="U267" s="79"/>
    </row>
    <row r="268" spans="1:21" s="518" customFormat="1" x14ac:dyDescent="0.25">
      <c r="A268" s="79"/>
      <c r="B268" s="79"/>
      <c r="C268" s="79"/>
      <c r="D268" s="79"/>
      <c r="E268" s="79"/>
      <c r="F268" s="79"/>
      <c r="G268" s="79"/>
      <c r="H268" s="79"/>
      <c r="I268" s="79"/>
      <c r="J268" s="769"/>
      <c r="K268" s="868"/>
      <c r="L268" s="79"/>
      <c r="M268" s="79"/>
      <c r="N268" s="79"/>
      <c r="O268" s="79"/>
      <c r="P268" s="89"/>
      <c r="Q268" s="79"/>
      <c r="R268" s="484"/>
      <c r="S268" s="79"/>
      <c r="T268" s="877"/>
      <c r="U268" s="79"/>
    </row>
    <row r="269" spans="1:21" s="518" customFormat="1" x14ac:dyDescent="0.25">
      <c r="A269" s="79"/>
      <c r="B269" s="79"/>
      <c r="C269" s="79"/>
      <c r="D269" s="79"/>
      <c r="E269" s="79"/>
      <c r="F269" s="79"/>
      <c r="G269" s="79"/>
      <c r="H269" s="79"/>
      <c r="I269" s="79"/>
      <c r="J269" s="769"/>
      <c r="K269" s="868"/>
      <c r="L269" s="79"/>
      <c r="M269" s="79"/>
      <c r="N269" s="79"/>
      <c r="O269" s="79"/>
      <c r="P269" s="79"/>
      <c r="Q269" s="79"/>
      <c r="R269" s="484"/>
      <c r="S269" s="79"/>
      <c r="T269" s="877"/>
      <c r="U269" s="79"/>
    </row>
    <row r="270" spans="1:21" s="518" customFormat="1" x14ac:dyDescent="0.25">
      <c r="A270" s="79"/>
      <c r="B270" s="79"/>
      <c r="C270" s="79"/>
      <c r="D270" s="79"/>
      <c r="E270" s="79"/>
      <c r="F270" s="79"/>
      <c r="G270" s="79"/>
      <c r="H270" s="79"/>
      <c r="I270" s="79"/>
      <c r="J270" s="769"/>
      <c r="K270" s="868"/>
      <c r="L270" s="79"/>
      <c r="M270" s="79"/>
      <c r="N270" s="79"/>
      <c r="O270" s="79"/>
      <c r="P270" s="769"/>
      <c r="Q270" s="866"/>
      <c r="R270" s="484"/>
      <c r="S270" s="79"/>
      <c r="T270" s="877"/>
      <c r="U270" s="79"/>
    </row>
    <row r="271" spans="1:21" s="518" customFormat="1" x14ac:dyDescent="0.25">
      <c r="A271" s="79"/>
      <c r="B271" s="79"/>
      <c r="C271" s="79"/>
      <c r="D271" s="79"/>
      <c r="E271" s="79"/>
      <c r="F271" s="79"/>
      <c r="G271" s="79"/>
      <c r="H271" s="79"/>
      <c r="I271" s="79"/>
      <c r="J271" s="769"/>
      <c r="K271" s="868"/>
      <c r="L271" s="79"/>
      <c r="M271" s="79"/>
      <c r="N271" s="79"/>
      <c r="O271" s="79"/>
      <c r="P271" s="769"/>
      <c r="Q271" s="866"/>
      <c r="R271" s="484"/>
      <c r="S271" s="79"/>
      <c r="T271" s="877"/>
      <c r="U271" s="79"/>
    </row>
    <row r="272" spans="1:21" s="518" customFormat="1" x14ac:dyDescent="0.25">
      <c r="A272" s="79"/>
      <c r="B272" s="79"/>
      <c r="C272" s="79"/>
      <c r="D272" s="79"/>
      <c r="E272" s="79"/>
      <c r="F272" s="79"/>
      <c r="G272" s="79"/>
      <c r="H272" s="79"/>
      <c r="I272" s="79"/>
      <c r="J272" s="769"/>
      <c r="K272" s="866"/>
      <c r="L272" s="79"/>
      <c r="M272" s="79"/>
      <c r="N272" s="79"/>
      <c r="O272" s="79"/>
      <c r="P272" s="769"/>
      <c r="Q272" s="866"/>
      <c r="R272" s="484"/>
      <c r="S272" s="79"/>
      <c r="T272" s="877"/>
      <c r="U272" s="79"/>
    </row>
    <row r="273" spans="1:21" s="518" customFormat="1" x14ac:dyDescent="0.25">
      <c r="A273" s="79"/>
      <c r="B273" s="79"/>
      <c r="C273" s="79"/>
      <c r="D273" s="79"/>
      <c r="E273" s="79"/>
      <c r="F273" s="79"/>
      <c r="G273" s="79"/>
      <c r="H273" s="79"/>
      <c r="I273" s="79"/>
      <c r="J273" s="769"/>
      <c r="K273" s="866"/>
      <c r="L273" s="85"/>
      <c r="M273" s="85"/>
      <c r="N273" s="85"/>
      <c r="O273" s="85"/>
      <c r="Q273" s="866"/>
      <c r="R273" s="484"/>
      <c r="S273" s="79"/>
      <c r="T273" s="877"/>
      <c r="U273" s="79"/>
    </row>
    <row r="274" spans="1:21" s="518" customFormat="1" x14ac:dyDescent="0.25">
      <c r="A274" s="79"/>
      <c r="B274" s="79"/>
      <c r="C274" s="79"/>
      <c r="D274" s="79"/>
      <c r="E274" s="79"/>
      <c r="F274" s="79"/>
      <c r="G274" s="79"/>
      <c r="H274" s="79"/>
      <c r="I274" s="79"/>
      <c r="J274" s="769"/>
      <c r="K274" s="868"/>
      <c r="L274" s="79"/>
      <c r="M274" s="79"/>
      <c r="N274" s="79"/>
      <c r="O274" s="79"/>
      <c r="P274" s="769"/>
      <c r="Q274" s="866"/>
      <c r="R274" s="484"/>
      <c r="S274" s="79"/>
      <c r="T274" s="877"/>
      <c r="U274" s="79"/>
    </row>
    <row r="275" spans="1:21" s="518" customFormat="1" x14ac:dyDescent="0.25">
      <c r="A275" s="79"/>
      <c r="B275" s="79"/>
      <c r="C275" s="79"/>
      <c r="D275" s="79"/>
      <c r="E275" s="79"/>
      <c r="F275" s="79"/>
      <c r="G275" s="79"/>
      <c r="H275" s="79"/>
      <c r="I275" s="79"/>
      <c r="J275" s="769"/>
      <c r="K275" s="866"/>
      <c r="L275" s="79"/>
      <c r="M275" s="79"/>
      <c r="N275" s="79"/>
      <c r="O275" s="79"/>
      <c r="P275" s="769"/>
      <c r="Q275" s="868"/>
      <c r="R275" s="484"/>
      <c r="S275" s="79"/>
      <c r="T275" s="877"/>
      <c r="U275" s="79"/>
    </row>
    <row r="276" spans="1:21" s="518" customFormat="1" x14ac:dyDescent="0.25">
      <c r="A276" s="79"/>
      <c r="B276" s="79"/>
      <c r="C276" s="79"/>
      <c r="D276" s="79"/>
      <c r="E276" s="79"/>
      <c r="F276" s="79"/>
      <c r="G276" s="79"/>
      <c r="H276" s="79"/>
      <c r="I276" s="79"/>
      <c r="J276" s="769"/>
      <c r="K276" s="866"/>
      <c r="L276" s="79"/>
      <c r="M276" s="79"/>
      <c r="N276" s="79"/>
      <c r="O276" s="79"/>
      <c r="P276" s="769"/>
      <c r="Q276" s="866"/>
      <c r="R276" s="484"/>
      <c r="S276" s="79"/>
      <c r="T276" s="877"/>
      <c r="U276" s="79"/>
    </row>
    <row r="277" spans="1:21" s="518" customFormat="1" x14ac:dyDescent="0.25">
      <c r="A277" s="79"/>
      <c r="B277" s="79"/>
      <c r="C277" s="79"/>
      <c r="D277" s="79"/>
      <c r="E277" s="79"/>
      <c r="F277" s="79"/>
      <c r="G277" s="79"/>
      <c r="H277" s="79"/>
      <c r="I277" s="79"/>
      <c r="J277" s="769"/>
      <c r="K277" s="868"/>
      <c r="L277" s="79"/>
      <c r="M277" s="79"/>
      <c r="N277" s="79"/>
      <c r="O277" s="79"/>
      <c r="P277" s="770"/>
      <c r="Q277" s="866"/>
      <c r="R277" s="484"/>
      <c r="S277" s="79"/>
      <c r="T277" s="877"/>
      <c r="U277" s="79"/>
    </row>
    <row r="278" spans="1:21" s="518" customFormat="1" x14ac:dyDescent="0.25">
      <c r="A278" s="79"/>
      <c r="B278" s="79"/>
      <c r="C278" s="79"/>
      <c r="D278" s="79"/>
      <c r="E278" s="79"/>
      <c r="F278" s="79"/>
      <c r="G278" s="79"/>
      <c r="H278" s="79"/>
      <c r="I278" s="79"/>
      <c r="J278" s="769"/>
      <c r="K278" s="868"/>
      <c r="L278" s="79"/>
      <c r="M278" s="79"/>
      <c r="N278" s="79"/>
      <c r="O278" s="79"/>
      <c r="P278" s="769"/>
      <c r="Q278" s="868"/>
      <c r="R278" s="484"/>
      <c r="S278" s="79"/>
      <c r="T278" s="877"/>
      <c r="U278" s="79"/>
    </row>
    <row r="279" spans="1:21" s="518" customFormat="1" x14ac:dyDescent="0.25">
      <c r="A279" s="79"/>
      <c r="B279" s="79"/>
      <c r="C279" s="79"/>
      <c r="D279" s="79"/>
      <c r="E279" s="79"/>
      <c r="F279" s="79"/>
      <c r="G279" s="79"/>
      <c r="H279" s="79"/>
      <c r="I279" s="79"/>
      <c r="J279" s="769"/>
      <c r="K279" s="868"/>
      <c r="L279" s="79"/>
      <c r="M279" s="79"/>
      <c r="N279" s="79"/>
      <c r="O279" s="79"/>
      <c r="P279" s="769"/>
      <c r="Q279" s="866"/>
      <c r="R279" s="484"/>
      <c r="S279" s="79"/>
      <c r="T279" s="877"/>
      <c r="U279" s="79"/>
    </row>
    <row r="280" spans="1:21" s="518" customFormat="1" x14ac:dyDescent="0.25">
      <c r="A280" s="79"/>
      <c r="B280" s="79"/>
      <c r="C280" s="79"/>
      <c r="D280" s="79"/>
      <c r="E280" s="79"/>
      <c r="F280" s="79"/>
      <c r="G280" s="79"/>
      <c r="H280" s="79"/>
      <c r="I280" s="79"/>
      <c r="J280" s="769"/>
      <c r="K280" s="868"/>
      <c r="L280" s="771"/>
      <c r="N280" s="771"/>
      <c r="P280" s="769"/>
      <c r="Q280" s="866"/>
      <c r="R280" s="484"/>
      <c r="S280" s="79"/>
      <c r="T280" s="877"/>
      <c r="U280" s="79"/>
    </row>
    <row r="281" spans="1:21" s="518" customFormat="1" x14ac:dyDescent="0.25">
      <c r="A281" s="79"/>
      <c r="B281" s="79"/>
      <c r="C281" s="79"/>
      <c r="D281" s="79"/>
      <c r="E281" s="79"/>
      <c r="F281" s="79"/>
      <c r="G281" s="79"/>
      <c r="H281" s="79"/>
      <c r="I281" s="79"/>
      <c r="J281" s="769"/>
      <c r="K281" s="866"/>
      <c r="L281" s="79"/>
      <c r="M281" s="79"/>
      <c r="N281" s="79"/>
      <c r="O281" s="79"/>
      <c r="P281" s="769"/>
      <c r="Q281" s="866"/>
      <c r="R281" s="484"/>
      <c r="S281" s="79"/>
      <c r="T281" s="877"/>
      <c r="U281" s="79"/>
    </row>
    <row r="282" spans="1:21" x14ac:dyDescent="0.25">
      <c r="J282" s="223"/>
      <c r="K282" s="629"/>
      <c r="P282" s="769"/>
      <c r="Q282" s="866"/>
    </row>
    <row r="283" spans="1:21" x14ac:dyDescent="0.25">
      <c r="J283" s="756"/>
      <c r="K283" s="756"/>
      <c r="P283" s="769"/>
      <c r="Q283" s="866"/>
    </row>
    <row r="284" spans="1:21" x14ac:dyDescent="0.25">
      <c r="P284" s="769"/>
      <c r="Q284" s="866"/>
    </row>
    <row r="285" spans="1:21" x14ac:dyDescent="0.25">
      <c r="P285" s="769"/>
      <c r="Q285" s="866"/>
    </row>
    <row r="286" spans="1:21" x14ac:dyDescent="0.25">
      <c r="P286" s="769"/>
      <c r="Q286" s="866"/>
    </row>
    <row r="287" spans="1:21" x14ac:dyDescent="0.25">
      <c r="P287" s="769"/>
      <c r="Q287" s="866"/>
    </row>
    <row r="288" spans="1:21" s="518" customFormat="1" x14ac:dyDescent="0.25">
      <c r="A288" s="79"/>
      <c r="B288" s="79"/>
      <c r="C288" s="79"/>
      <c r="D288" s="79"/>
      <c r="E288" s="79"/>
      <c r="F288" s="79"/>
      <c r="G288" s="79"/>
      <c r="H288" s="79"/>
      <c r="I288" s="79"/>
      <c r="J288" s="85"/>
      <c r="K288" s="85"/>
      <c r="L288" s="79"/>
      <c r="M288" s="216"/>
      <c r="N288" s="79"/>
      <c r="O288" s="216"/>
      <c r="P288" s="769"/>
      <c r="Q288" s="866"/>
      <c r="R288" s="484"/>
      <c r="S288" s="79"/>
      <c r="T288" s="877"/>
      <c r="U288" s="79"/>
    </row>
    <row r="289" spans="1:21" s="518" customFormat="1" x14ac:dyDescent="0.25">
      <c r="A289" s="79"/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216"/>
      <c r="N289" s="79"/>
      <c r="O289" s="216"/>
      <c r="P289" s="769"/>
      <c r="Q289" s="866"/>
      <c r="R289" s="484"/>
      <c r="S289" s="79"/>
      <c r="T289" s="877"/>
      <c r="U289" s="79"/>
    </row>
    <row r="290" spans="1:21" s="518" customFormat="1" x14ac:dyDescent="0.25">
      <c r="A290" s="79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216"/>
      <c r="N290" s="79"/>
      <c r="O290" s="216"/>
      <c r="P290" s="769"/>
      <c r="Q290" s="868"/>
      <c r="R290" s="484"/>
      <c r="S290" s="79"/>
      <c r="T290" s="877"/>
      <c r="U290" s="79"/>
    </row>
    <row r="291" spans="1:21" s="518" customFormat="1" x14ac:dyDescent="0.25">
      <c r="A291" s="79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216"/>
      <c r="N291" s="79"/>
      <c r="O291" s="216"/>
      <c r="P291" s="769"/>
      <c r="Q291" s="868"/>
      <c r="R291" s="484"/>
      <c r="S291" s="79"/>
      <c r="T291" s="877"/>
      <c r="U291" s="79"/>
    </row>
    <row r="292" spans="1:21" x14ac:dyDescent="0.25">
      <c r="P292" s="769"/>
      <c r="Q292" s="868"/>
    </row>
    <row r="293" spans="1:21" s="518" customFormat="1" x14ac:dyDescent="0.25">
      <c r="A293" s="79"/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216"/>
      <c r="N293" s="79"/>
      <c r="O293" s="216"/>
      <c r="P293" s="769"/>
      <c r="Q293" s="868"/>
      <c r="R293" s="484"/>
      <c r="S293" s="79"/>
      <c r="T293" s="877"/>
      <c r="U293" s="79"/>
    </row>
    <row r="294" spans="1:21" x14ac:dyDescent="0.25">
      <c r="P294" s="769"/>
      <c r="Q294" s="868"/>
    </row>
    <row r="295" spans="1:21" s="518" customFormat="1" x14ac:dyDescent="0.25">
      <c r="A295" s="79"/>
      <c r="B295" s="79"/>
      <c r="C295" s="79"/>
      <c r="D295" s="79"/>
      <c r="E295" s="79"/>
      <c r="F295" s="79"/>
      <c r="G295" s="79"/>
      <c r="H295" s="79"/>
      <c r="I295" s="79"/>
      <c r="J295" s="85"/>
      <c r="K295" s="85"/>
      <c r="L295" s="79"/>
      <c r="M295" s="629"/>
      <c r="N295" s="79"/>
      <c r="O295" s="629"/>
      <c r="P295" s="769"/>
      <c r="Q295" s="866"/>
      <c r="R295" s="484"/>
      <c r="S295" s="79"/>
      <c r="T295" s="877"/>
      <c r="U295" s="79"/>
    </row>
    <row r="296" spans="1:21" x14ac:dyDescent="0.25">
      <c r="P296" s="769"/>
      <c r="Q296" s="866"/>
    </row>
    <row r="297" spans="1:21" x14ac:dyDescent="0.25">
      <c r="P297" s="769"/>
      <c r="Q297" s="868"/>
    </row>
    <row r="298" spans="1:21" x14ac:dyDescent="0.25">
      <c r="P298" s="769"/>
      <c r="Q298" s="866"/>
    </row>
    <row r="299" spans="1:21" x14ac:dyDescent="0.25">
      <c r="P299" s="769"/>
      <c r="Q299" s="866"/>
    </row>
    <row r="300" spans="1:21" x14ac:dyDescent="0.25">
      <c r="P300" s="769"/>
      <c r="Q300" s="868"/>
    </row>
    <row r="301" spans="1:21" s="518" customFormat="1" x14ac:dyDescent="0.25">
      <c r="A301" s="79"/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216"/>
      <c r="N301" s="79"/>
      <c r="O301" s="216"/>
      <c r="P301" s="769"/>
      <c r="Q301" s="868"/>
      <c r="R301" s="484"/>
      <c r="S301" s="79"/>
      <c r="T301" s="877"/>
      <c r="U301" s="79"/>
    </row>
    <row r="302" spans="1:21" s="518" customFormat="1" x14ac:dyDescent="0.25">
      <c r="A302" s="79"/>
      <c r="B302" s="79"/>
      <c r="C302" s="79"/>
      <c r="D302" s="79"/>
      <c r="E302" s="79"/>
      <c r="F302" s="79"/>
      <c r="G302" s="79"/>
      <c r="H302" s="79"/>
      <c r="I302" s="79"/>
      <c r="J302" s="771"/>
      <c r="L302" s="79"/>
      <c r="M302" s="216"/>
      <c r="N302" s="79"/>
      <c r="O302" s="216"/>
      <c r="P302" s="769"/>
      <c r="Q302" s="868"/>
      <c r="R302" s="484"/>
      <c r="S302" s="79"/>
      <c r="T302" s="877"/>
      <c r="U302" s="79"/>
    </row>
    <row r="303" spans="1:21" s="518" customFormat="1" x14ac:dyDescent="0.25">
      <c r="A303" s="79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216"/>
      <c r="N303" s="79"/>
      <c r="O303" s="216"/>
      <c r="P303" s="769"/>
      <c r="Q303" s="868"/>
      <c r="R303" s="484"/>
      <c r="S303" s="79"/>
      <c r="T303" s="877"/>
      <c r="U303" s="79"/>
    </row>
    <row r="304" spans="1:21" s="518" customFormat="1" x14ac:dyDescent="0.25">
      <c r="A304" s="79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216"/>
      <c r="N304" s="79"/>
      <c r="O304" s="216"/>
      <c r="P304" s="769"/>
      <c r="Q304" s="866"/>
      <c r="R304" s="484"/>
      <c r="S304" s="79"/>
      <c r="T304" s="877"/>
      <c r="U304" s="79"/>
    </row>
    <row r="305" spans="1:21" s="518" customFormat="1" x14ac:dyDescent="0.25">
      <c r="A305" s="79"/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216"/>
      <c r="N305" s="79"/>
      <c r="O305" s="216"/>
      <c r="P305" s="223"/>
      <c r="Q305" s="629"/>
      <c r="R305" s="484"/>
      <c r="S305" s="79"/>
      <c r="T305" s="877"/>
      <c r="U305" s="79"/>
    </row>
    <row r="306" spans="1:21" s="518" customFormat="1" x14ac:dyDescent="0.25">
      <c r="A306" s="79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216"/>
      <c r="N306" s="79"/>
      <c r="O306" s="216"/>
      <c r="P306" s="756"/>
      <c r="Q306" s="756"/>
      <c r="R306" s="484"/>
      <c r="S306" s="79"/>
      <c r="T306" s="877"/>
      <c r="U306" s="79"/>
    </row>
    <row r="307" spans="1:21" s="518" customFormat="1" x14ac:dyDescent="0.25">
      <c r="A307" s="79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216"/>
      <c r="N307" s="79"/>
      <c r="O307" s="216"/>
      <c r="P307" s="79"/>
      <c r="Q307" s="79"/>
      <c r="R307" s="484"/>
      <c r="S307" s="79"/>
      <c r="T307" s="877"/>
      <c r="U307" s="79"/>
    </row>
    <row r="308" spans="1:21" s="518" customFormat="1" x14ac:dyDescent="0.25">
      <c r="A308" s="79"/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216"/>
      <c r="N308" s="79"/>
      <c r="O308" s="216"/>
      <c r="P308" s="79"/>
      <c r="Q308" s="79"/>
      <c r="R308" s="484"/>
      <c r="S308" s="79"/>
      <c r="T308" s="877"/>
      <c r="U308" s="79"/>
    </row>
    <row r="309" spans="1:21" s="518" customFormat="1" x14ac:dyDescent="0.25">
      <c r="A309" s="79"/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216"/>
      <c r="N309" s="79"/>
      <c r="O309" s="216"/>
      <c r="P309" s="79"/>
      <c r="Q309" s="79"/>
      <c r="R309" s="484"/>
      <c r="S309" s="79"/>
      <c r="T309" s="877"/>
      <c r="U309" s="79"/>
    </row>
    <row r="310" spans="1:21" x14ac:dyDescent="0.25">
      <c r="K310" s="216"/>
    </row>
    <row r="311" spans="1:21" x14ac:dyDescent="0.25">
      <c r="K311" s="216"/>
      <c r="P311" s="85"/>
      <c r="Q311" s="85"/>
    </row>
    <row r="312" spans="1:21" x14ac:dyDescent="0.25">
      <c r="K312" s="216"/>
    </row>
    <row r="313" spans="1:21" x14ac:dyDescent="0.25">
      <c r="K313" s="216"/>
    </row>
    <row r="315" spans="1:21" x14ac:dyDescent="0.25">
      <c r="K315" s="216"/>
    </row>
    <row r="317" spans="1:21" x14ac:dyDescent="0.25">
      <c r="K317" s="629"/>
    </row>
    <row r="318" spans="1:21" x14ac:dyDescent="0.25">
      <c r="P318" s="85"/>
      <c r="Q318" s="85"/>
    </row>
    <row r="322" spans="1:42" s="484" customFormat="1" x14ac:dyDescent="0.25">
      <c r="A322" s="79"/>
      <c r="B322" s="79"/>
      <c r="C322" s="85"/>
      <c r="D322" s="85"/>
      <c r="E322" s="85"/>
      <c r="F322" s="8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S322" s="79"/>
      <c r="T322" s="87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</row>
    <row r="323" spans="1:42" s="484" customFormat="1" x14ac:dyDescent="0.25">
      <c r="A323" s="79"/>
      <c r="B323" s="79"/>
      <c r="C323" s="85"/>
      <c r="D323" s="85"/>
      <c r="E323" s="85"/>
      <c r="F323" s="89"/>
      <c r="G323" s="79"/>
      <c r="H323" s="79"/>
      <c r="I323" s="79"/>
      <c r="J323" s="79"/>
      <c r="K323" s="216"/>
      <c r="L323" s="79"/>
      <c r="M323" s="79"/>
      <c r="N323" s="79"/>
      <c r="O323" s="79"/>
      <c r="P323" s="79"/>
      <c r="Q323" s="79"/>
      <c r="S323" s="79"/>
      <c r="T323" s="87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</row>
    <row r="324" spans="1:42" s="484" customFormat="1" x14ac:dyDescent="0.25">
      <c r="A324" s="79"/>
      <c r="B324" s="79"/>
      <c r="C324" s="85"/>
      <c r="D324" s="85"/>
      <c r="E324" s="85"/>
      <c r="F324" s="89"/>
      <c r="G324" s="79"/>
      <c r="H324" s="79"/>
      <c r="I324" s="79"/>
      <c r="J324" s="79"/>
      <c r="K324" s="216"/>
      <c r="L324" s="79"/>
      <c r="M324" s="79"/>
      <c r="N324" s="79"/>
      <c r="O324" s="79"/>
      <c r="P324" s="79"/>
      <c r="Q324" s="79"/>
      <c r="S324" s="79"/>
      <c r="T324" s="87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</row>
    <row r="325" spans="1:42" s="484" customFormat="1" x14ac:dyDescent="0.25">
      <c r="A325" s="79"/>
      <c r="B325" s="79"/>
      <c r="C325" s="85"/>
      <c r="D325" s="85"/>
      <c r="E325" s="85"/>
      <c r="F325" s="89"/>
      <c r="G325" s="79"/>
      <c r="H325" s="79"/>
      <c r="I325" s="79"/>
      <c r="J325" s="79"/>
      <c r="K325" s="216"/>
      <c r="L325" s="79"/>
      <c r="M325" s="79"/>
      <c r="N325" s="79"/>
      <c r="O325" s="79"/>
      <c r="P325" s="771"/>
      <c r="Q325" s="518"/>
      <c r="S325" s="79"/>
      <c r="T325" s="87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</row>
    <row r="326" spans="1:42" s="484" customFormat="1" x14ac:dyDescent="0.25">
      <c r="A326" s="79"/>
      <c r="B326" s="79"/>
      <c r="C326" s="85"/>
      <c r="D326" s="85"/>
      <c r="E326" s="85"/>
      <c r="F326" s="89"/>
      <c r="G326" s="79"/>
      <c r="H326" s="79"/>
      <c r="I326" s="79"/>
      <c r="J326" s="79"/>
      <c r="K326" s="216"/>
      <c r="L326" s="79"/>
      <c r="M326" s="79"/>
      <c r="N326" s="79"/>
      <c r="O326" s="79"/>
      <c r="P326" s="79"/>
      <c r="Q326" s="79"/>
      <c r="S326" s="79"/>
      <c r="T326" s="87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</row>
    <row r="327" spans="1:42" x14ac:dyDescent="0.25">
      <c r="K327" s="216"/>
    </row>
    <row r="328" spans="1:42" x14ac:dyDescent="0.25">
      <c r="K328" s="216"/>
    </row>
    <row r="329" spans="1:42" x14ac:dyDescent="0.25">
      <c r="K329" s="216"/>
    </row>
    <row r="330" spans="1:42" x14ac:dyDescent="0.25">
      <c r="K330" s="216"/>
    </row>
    <row r="331" spans="1:42" x14ac:dyDescent="0.25">
      <c r="K331" s="216"/>
    </row>
    <row r="333" spans="1:42" s="484" customFormat="1" x14ac:dyDescent="0.25">
      <c r="A333" s="79"/>
      <c r="B333" s="79"/>
      <c r="C333" s="85"/>
      <c r="D333" s="85"/>
      <c r="E333" s="85"/>
      <c r="F333" s="8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216"/>
      <c r="S333" s="79"/>
      <c r="T333" s="87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</row>
    <row r="334" spans="1:42" s="484" customFormat="1" x14ac:dyDescent="0.25">
      <c r="A334" s="79"/>
      <c r="B334" s="79"/>
      <c r="C334" s="85"/>
      <c r="D334" s="85"/>
      <c r="E334" s="85"/>
      <c r="F334" s="8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216"/>
      <c r="S334" s="79"/>
      <c r="T334" s="87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</row>
    <row r="335" spans="1:42" s="484" customFormat="1" x14ac:dyDescent="0.25">
      <c r="A335" s="79"/>
      <c r="B335" s="79"/>
      <c r="C335" s="85"/>
      <c r="D335" s="85"/>
      <c r="E335" s="85"/>
      <c r="F335" s="8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216"/>
      <c r="S335" s="79"/>
      <c r="T335" s="87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</row>
    <row r="336" spans="1:42" s="484" customFormat="1" x14ac:dyDescent="0.25">
      <c r="A336" s="79"/>
      <c r="B336" s="79"/>
      <c r="C336" s="85"/>
      <c r="D336" s="85"/>
      <c r="E336" s="85"/>
      <c r="F336" s="8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216"/>
      <c r="S336" s="79"/>
      <c r="T336" s="87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</row>
    <row r="338" spans="1:42" s="484" customFormat="1" x14ac:dyDescent="0.25">
      <c r="A338" s="79"/>
      <c r="B338" s="79"/>
      <c r="C338" s="85"/>
      <c r="D338" s="85"/>
      <c r="E338" s="85"/>
      <c r="F338" s="8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216"/>
      <c r="S338" s="79"/>
      <c r="T338" s="87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</row>
    <row r="340" spans="1:42" s="484" customFormat="1" x14ac:dyDescent="0.25">
      <c r="A340" s="79"/>
      <c r="B340" s="79"/>
      <c r="C340" s="85"/>
      <c r="D340" s="85"/>
      <c r="E340" s="85"/>
      <c r="F340" s="8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629"/>
      <c r="S340" s="79"/>
      <c r="T340" s="87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</row>
    <row r="346" spans="1:42" s="484" customFormat="1" x14ac:dyDescent="0.25">
      <c r="A346" s="79"/>
      <c r="B346" s="79"/>
      <c r="C346" s="85"/>
      <c r="D346" s="85"/>
      <c r="E346" s="85"/>
      <c r="F346" s="8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216"/>
      <c r="S346" s="79"/>
      <c r="T346" s="877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</row>
    <row r="347" spans="1:42" s="484" customFormat="1" x14ac:dyDescent="0.25">
      <c r="A347" s="79"/>
      <c r="B347" s="79"/>
      <c r="C347" s="85"/>
      <c r="D347" s="85"/>
      <c r="E347" s="85"/>
      <c r="F347" s="8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216"/>
      <c r="S347" s="79"/>
      <c r="T347" s="877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</row>
    <row r="348" spans="1:42" s="484" customFormat="1" x14ac:dyDescent="0.25">
      <c r="A348" s="79"/>
      <c r="B348" s="79"/>
      <c r="C348" s="85"/>
      <c r="D348" s="85"/>
      <c r="E348" s="85"/>
      <c r="F348" s="8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216"/>
      <c r="S348" s="79"/>
      <c r="T348" s="877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</row>
    <row r="349" spans="1:42" s="484" customFormat="1" x14ac:dyDescent="0.25">
      <c r="A349" s="79"/>
      <c r="B349" s="79"/>
      <c r="C349" s="85"/>
      <c r="D349" s="85"/>
      <c r="E349" s="85"/>
      <c r="F349" s="8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216"/>
      <c r="S349" s="79"/>
      <c r="T349" s="877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</row>
    <row r="350" spans="1:42" s="484" customFormat="1" x14ac:dyDescent="0.25">
      <c r="A350" s="79"/>
      <c r="B350" s="79"/>
      <c r="C350" s="85"/>
      <c r="D350" s="85"/>
      <c r="E350" s="85"/>
      <c r="F350" s="8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216"/>
      <c r="S350" s="79"/>
      <c r="T350" s="877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</row>
    <row r="351" spans="1:42" s="484" customFormat="1" x14ac:dyDescent="0.25">
      <c r="A351" s="79"/>
      <c r="B351" s="79"/>
      <c r="C351" s="85"/>
      <c r="D351" s="85"/>
      <c r="E351" s="85"/>
      <c r="F351" s="8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216"/>
      <c r="S351" s="79"/>
      <c r="T351" s="877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</row>
    <row r="352" spans="1:42" s="484" customFormat="1" x14ac:dyDescent="0.25">
      <c r="A352" s="79"/>
      <c r="B352" s="79"/>
      <c r="C352" s="85"/>
      <c r="D352" s="85"/>
      <c r="E352" s="85"/>
      <c r="F352" s="8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216"/>
      <c r="S352" s="79"/>
      <c r="T352" s="877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</row>
    <row r="353" spans="1:42" s="484" customFormat="1" x14ac:dyDescent="0.25">
      <c r="A353" s="79"/>
      <c r="B353" s="79"/>
      <c r="C353" s="85"/>
      <c r="D353" s="85"/>
      <c r="E353" s="85"/>
      <c r="F353" s="8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216"/>
      <c r="S353" s="79"/>
      <c r="T353" s="877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</row>
    <row r="354" spans="1:42" s="484" customFormat="1" x14ac:dyDescent="0.25">
      <c r="A354" s="79"/>
      <c r="B354" s="79"/>
      <c r="C354" s="85"/>
      <c r="D354" s="85"/>
      <c r="E354" s="85"/>
      <c r="F354" s="8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216"/>
      <c r="S354" s="79"/>
      <c r="T354" s="877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</row>
  </sheetData>
  <autoFilter ref="A4:Q224" xr:uid="{A823EDC1-5D36-4F05-B1FB-89D416100B08}"/>
  <mergeCells count="11">
    <mergeCell ref="A1:E1"/>
    <mergeCell ref="F1:Q1"/>
    <mergeCell ref="A197:E197"/>
    <mergeCell ref="A198:E198"/>
    <mergeCell ref="A2:E3"/>
    <mergeCell ref="F2:G3"/>
    <mergeCell ref="P2:Q3"/>
    <mergeCell ref="N2:O3"/>
    <mergeCell ref="L2:M3"/>
    <mergeCell ref="J2:K3"/>
    <mergeCell ref="H2:I3"/>
  </mergeCells>
  <conditionalFormatting sqref="F223">
    <cfRule type="cellIs" dxfId="11" priority="2" operator="greaterThan">
      <formula>1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" operator="greaterThan" id="{44DE69AA-CB21-475B-8525-BB4D7AC0FD78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D201</xm:sqref>
        </x14:conditionalFormatting>
        <x14:conditionalFormatting xmlns:xm="http://schemas.microsoft.com/office/excel/2006/main">
          <x14:cfRule type="cellIs" priority="1" operator="greaterThan" id="{53B27197-19CB-49A1-81A8-BEE7DE58553E}">
            <xm:f>'Acumulado 2025'!B5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D206</xm:sqref>
        </x14:conditionalFormatting>
        <x14:conditionalFormatting xmlns:xm="http://schemas.microsoft.com/office/excel/2006/main">
          <x14:cfRule type="cellIs" priority="239" operator="greaterThan" id="{44DE69AA-CB21-475B-8525-BB4D7AC0FD78}">
            <xm:f>'Acumulado 2025'!B4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D207:D222</xm:sqref>
        </x14:conditionalFormatting>
      </x14:conditionalFormattings>
    </ext>
  </extLst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0F94F-4817-4393-B96C-DF3D62664F83}">
  <dimension ref="A1:AP221"/>
  <sheetViews>
    <sheetView zoomScale="85" zoomScaleNormal="85" workbookViewId="0">
      <pane ySplit="5" topLeftCell="A9" activePane="bottomLeft" state="frozen"/>
      <selection pane="bottomLeft" activeCell="B23" sqref="B23"/>
    </sheetView>
  </sheetViews>
  <sheetFormatPr defaultColWidth="9.140625" defaultRowHeight="15" x14ac:dyDescent="0.25"/>
  <cols>
    <col min="1" max="1" width="12" style="79" bestFit="1" customWidth="1"/>
    <col min="2" max="2" width="51.85546875" style="79" customWidth="1"/>
    <col min="3" max="3" width="10.42578125" style="85" customWidth="1"/>
    <col min="4" max="4" width="13.85546875" style="85" customWidth="1"/>
    <col min="5" max="5" width="13.7109375" style="85" customWidth="1"/>
    <col min="6" max="6" width="13.42578125" style="89" customWidth="1"/>
    <col min="7" max="16" width="13.42578125" style="79" customWidth="1"/>
    <col min="17" max="17" width="14" style="79" customWidth="1"/>
    <col min="18" max="18" width="14.85546875" style="484" customWidth="1"/>
    <col min="19" max="19" width="11.7109375" style="79" bestFit="1" customWidth="1"/>
    <col min="20" max="20" width="12" style="877" customWidth="1"/>
    <col min="21" max="21" width="19.140625" style="79" bestFit="1" customWidth="1"/>
    <col min="22" max="16384" width="9.140625" style="79"/>
  </cols>
  <sheetData>
    <row r="1" spans="1:42" ht="27" customHeight="1" thickBot="1" x14ac:dyDescent="0.3">
      <c r="A1" s="3053" t="s">
        <v>0</v>
      </c>
      <c r="B1" s="3054"/>
      <c r="C1" s="3055"/>
      <c r="D1" s="3055"/>
      <c r="E1" s="3056"/>
      <c r="F1" s="3057" t="s">
        <v>8626</v>
      </c>
      <c r="G1" s="3058"/>
      <c r="H1" s="3058"/>
      <c r="I1" s="3058"/>
      <c r="J1" s="3058"/>
      <c r="K1" s="3058"/>
      <c r="L1" s="3058"/>
      <c r="M1" s="3058"/>
      <c r="N1" s="3058"/>
      <c r="O1" s="3058"/>
      <c r="P1" s="3058"/>
      <c r="Q1" s="3059"/>
    </row>
    <row r="2" spans="1:42" ht="13.5" customHeight="1" x14ac:dyDescent="0.25">
      <c r="A2" s="3082" t="s">
        <v>2</v>
      </c>
      <c r="B2" s="3082" t="s">
        <v>3</v>
      </c>
      <c r="C2" s="3089" t="s">
        <v>4</v>
      </c>
      <c r="D2" s="3082" t="s">
        <v>1484</v>
      </c>
      <c r="E2" s="3082" t="s">
        <v>5</v>
      </c>
      <c r="F2" s="3069" t="s">
        <v>6</v>
      </c>
      <c r="G2" s="3070"/>
      <c r="H2" s="3073" t="s">
        <v>8580</v>
      </c>
      <c r="I2" s="3074"/>
      <c r="J2" s="3073" t="s">
        <v>8559</v>
      </c>
      <c r="K2" s="3074"/>
      <c r="L2" s="3073" t="s">
        <v>8560</v>
      </c>
      <c r="M2" s="3074"/>
      <c r="N2" s="3073" t="s">
        <v>8556</v>
      </c>
      <c r="O2" s="3074"/>
      <c r="P2" s="3073" t="s">
        <v>3306</v>
      </c>
      <c r="Q2" s="3074"/>
    </row>
    <row r="3" spans="1:42" ht="13.5" customHeight="1" thickBot="1" x14ac:dyDescent="0.3">
      <c r="A3" s="3083"/>
      <c r="B3" s="3083"/>
      <c r="C3" s="3090"/>
      <c r="D3" s="3083"/>
      <c r="E3" s="3083"/>
      <c r="F3" s="3071"/>
      <c r="G3" s="3072"/>
      <c r="H3" s="3075"/>
      <c r="I3" s="3076"/>
      <c r="J3" s="3075"/>
      <c r="K3" s="3076"/>
      <c r="L3" s="3075"/>
      <c r="M3" s="3076"/>
      <c r="N3" s="3075"/>
      <c r="O3" s="3076"/>
      <c r="P3" s="3075"/>
      <c r="Q3" s="3076"/>
      <c r="U3" s="948"/>
    </row>
    <row r="4" spans="1:42" ht="13.5" customHeight="1" thickBot="1" x14ac:dyDescent="0.3">
      <c r="A4" s="3084"/>
      <c r="B4" s="3084"/>
      <c r="C4" s="3091"/>
      <c r="D4" s="3084"/>
      <c r="E4" s="3129"/>
      <c r="F4" s="1244" t="s">
        <v>8</v>
      </c>
      <c r="G4" s="143" t="s">
        <v>9</v>
      </c>
      <c r="H4" s="1007" t="s">
        <v>8</v>
      </c>
      <c r="I4" s="1013" t="s">
        <v>9</v>
      </c>
      <c r="J4" s="147" t="s">
        <v>8</v>
      </c>
      <c r="K4" s="148" t="s">
        <v>9</v>
      </c>
      <c r="L4" s="147" t="s">
        <v>8</v>
      </c>
      <c r="M4" s="148" t="s">
        <v>9</v>
      </c>
      <c r="N4" s="147" t="s">
        <v>8</v>
      </c>
      <c r="O4" s="148" t="s">
        <v>9</v>
      </c>
      <c r="P4" s="147" t="s">
        <v>8</v>
      </c>
      <c r="Q4" s="148" t="s">
        <v>9</v>
      </c>
      <c r="U4" s="948"/>
    </row>
    <row r="5" spans="1:42" x14ac:dyDescent="0.25">
      <c r="A5" s="281">
        <v>46023</v>
      </c>
      <c r="B5" s="369" t="s">
        <v>10</v>
      </c>
      <c r="C5" s="370"/>
      <c r="D5" s="370"/>
      <c r="E5" s="777"/>
      <c r="F5" s="179"/>
      <c r="G5" s="933">
        <f>'Dezembro-25'!G199</f>
        <v>2964.1134285714725</v>
      </c>
      <c r="H5" s="163"/>
      <c r="I5" s="1479">
        <f>'Dezembro-25'!I199</f>
        <v>1711.6399999999999</v>
      </c>
      <c r="J5" s="179"/>
      <c r="K5" s="933">
        <f>'Dezembro-25'!K199</f>
        <v>8245.5800000000054</v>
      </c>
      <c r="L5" s="179"/>
      <c r="M5" s="933">
        <f>'Dezembro-25'!M199</f>
        <v>216.99</v>
      </c>
      <c r="N5" s="179"/>
      <c r="O5" s="1479">
        <f>'Dezembro-25'!O199</f>
        <v>6339.9800000000014</v>
      </c>
      <c r="P5" s="179"/>
      <c r="Q5" s="933">
        <f>'Dezembro-25'!Q199</f>
        <v>8452.4059847200078</v>
      </c>
    </row>
    <row r="6" spans="1:42" s="224" customFormat="1" x14ac:dyDescent="0.25">
      <c r="A6" s="247">
        <v>46023</v>
      </c>
      <c r="B6" s="348" t="s">
        <v>11</v>
      </c>
      <c r="C6" s="351"/>
      <c r="D6" s="351"/>
      <c r="E6" s="673"/>
      <c r="F6" s="538"/>
      <c r="G6" s="1002"/>
      <c r="H6" s="539"/>
      <c r="I6" s="1537"/>
      <c r="J6" s="538"/>
      <c r="K6" s="1002"/>
      <c r="L6" s="538"/>
      <c r="M6" s="1002"/>
      <c r="N6" s="538"/>
      <c r="O6" s="1537"/>
      <c r="P6" s="538"/>
      <c r="Q6" s="1002"/>
      <c r="R6" s="1037"/>
      <c r="S6" s="89"/>
      <c r="T6" s="878"/>
    </row>
    <row r="7" spans="1:42" s="224" customFormat="1" ht="15" customHeight="1" x14ac:dyDescent="0.25">
      <c r="A7" s="247">
        <v>46023</v>
      </c>
      <c r="B7" s="882" t="s">
        <v>8672</v>
      </c>
      <c r="C7" s="879" t="s">
        <v>12</v>
      </c>
      <c r="D7" s="879" t="s">
        <v>1522</v>
      </c>
      <c r="E7" s="480" t="s">
        <v>13</v>
      </c>
      <c r="F7" s="780">
        <v>1795.62</v>
      </c>
      <c r="G7" s="982"/>
      <c r="H7" s="622"/>
      <c r="I7" s="982"/>
      <c r="J7" s="1116"/>
      <c r="K7" s="1207"/>
      <c r="L7" s="622"/>
      <c r="M7" s="982"/>
      <c r="N7" s="622"/>
      <c r="O7" s="1063"/>
      <c r="P7" s="880"/>
      <c r="Q7" s="1033"/>
      <c r="R7" s="1080" t="s">
        <v>8680</v>
      </c>
      <c r="T7" s="878"/>
    </row>
    <row r="8" spans="1:42" s="224" customFormat="1" x14ac:dyDescent="0.25">
      <c r="A8" s="247">
        <v>46023</v>
      </c>
      <c r="B8" s="882"/>
      <c r="C8" s="1276"/>
      <c r="D8" s="879"/>
      <c r="E8" s="875"/>
      <c r="F8" s="780"/>
      <c r="G8" s="982"/>
      <c r="H8" s="1008"/>
      <c r="I8" s="1063"/>
      <c r="J8" s="2013"/>
      <c r="K8" s="1207"/>
      <c r="L8" s="622"/>
      <c r="M8" s="982"/>
      <c r="N8" s="622"/>
      <c r="O8" s="1063"/>
      <c r="P8" s="622"/>
      <c r="Q8" s="982"/>
      <c r="R8" s="861"/>
      <c r="T8" s="878"/>
    </row>
    <row r="9" spans="1:42" s="224" customFormat="1" x14ac:dyDescent="0.25">
      <c r="A9" s="247">
        <v>46023</v>
      </c>
      <c r="B9" s="364"/>
      <c r="C9" s="350"/>
      <c r="D9" s="350"/>
      <c r="E9" s="875"/>
      <c r="F9" s="780"/>
      <c r="G9" s="982"/>
      <c r="H9" s="1008"/>
      <c r="I9" s="1063"/>
      <c r="J9" s="2013"/>
      <c r="K9" s="1207"/>
      <c r="L9" s="622"/>
      <c r="M9" s="982"/>
      <c r="N9" s="622"/>
      <c r="O9" s="1063"/>
      <c r="P9" s="622"/>
      <c r="Q9" s="982"/>
      <c r="R9" s="861"/>
      <c r="T9" s="878"/>
    </row>
    <row r="10" spans="1:42" s="224" customFormat="1" x14ac:dyDescent="0.25">
      <c r="A10" s="247">
        <v>46024</v>
      </c>
      <c r="B10" s="364"/>
      <c r="C10" s="350"/>
      <c r="D10" s="350"/>
      <c r="E10" s="875"/>
      <c r="F10" s="780"/>
      <c r="G10" s="982"/>
      <c r="H10" s="1008"/>
      <c r="I10" s="1063"/>
      <c r="J10" s="2013"/>
      <c r="K10" s="1207"/>
      <c r="L10" s="622"/>
      <c r="M10" s="982"/>
      <c r="N10" s="622"/>
      <c r="O10" s="1063"/>
      <c r="P10" s="622"/>
      <c r="Q10" s="982"/>
      <c r="R10" s="861"/>
      <c r="T10" s="878"/>
    </row>
    <row r="11" spans="1:42" s="224" customFormat="1" x14ac:dyDescent="0.25">
      <c r="A11" s="247">
        <v>46025</v>
      </c>
      <c r="B11" s="882"/>
      <c r="C11" s="1276"/>
      <c r="D11" s="879"/>
      <c r="E11" s="875"/>
      <c r="F11" s="780"/>
      <c r="G11" s="982"/>
      <c r="H11" s="1008"/>
      <c r="I11" s="1063"/>
      <c r="J11" s="2013"/>
      <c r="K11" s="1207"/>
      <c r="L11" s="622"/>
      <c r="M11" s="982"/>
      <c r="N11" s="622"/>
      <c r="O11" s="1063"/>
      <c r="P11" s="622"/>
      <c r="Q11" s="982"/>
      <c r="R11" s="861"/>
      <c r="T11" s="878"/>
    </row>
    <row r="12" spans="1:42" s="224" customFormat="1" ht="15" customHeight="1" x14ac:dyDescent="0.25">
      <c r="A12" s="247">
        <v>46026</v>
      </c>
      <c r="B12" s="1275"/>
      <c r="C12" s="1276"/>
      <c r="D12" s="1276"/>
      <c r="E12" s="1286"/>
      <c r="F12" s="613"/>
      <c r="G12" s="967"/>
      <c r="H12" s="1008"/>
      <c r="I12" s="1063"/>
      <c r="J12" s="613"/>
      <c r="K12" s="6"/>
      <c r="L12" s="622"/>
      <c r="M12" s="982"/>
      <c r="N12" s="622"/>
      <c r="O12" s="1063"/>
      <c r="P12" s="613"/>
      <c r="Q12" s="64"/>
      <c r="R12" s="1024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</row>
    <row r="13" spans="1:42" s="224" customFormat="1" x14ac:dyDescent="0.25">
      <c r="A13" s="247">
        <v>46027</v>
      </c>
      <c r="B13" s="882"/>
      <c r="C13" s="1276"/>
      <c r="D13" s="879"/>
      <c r="E13" s="875"/>
      <c r="F13" s="780"/>
      <c r="G13" s="982"/>
      <c r="H13" s="1008"/>
      <c r="I13" s="1063"/>
      <c r="J13" s="2013"/>
      <c r="K13" s="1207"/>
      <c r="L13" s="622"/>
      <c r="M13" s="982"/>
      <c r="N13" s="622"/>
      <c r="O13" s="1063"/>
      <c r="P13" s="622"/>
      <c r="Q13" s="982"/>
      <c r="R13" s="861"/>
      <c r="T13" s="878"/>
    </row>
    <row r="14" spans="1:42" s="224" customFormat="1" ht="15" customHeight="1" x14ac:dyDescent="0.25">
      <c r="A14" s="247">
        <v>46028</v>
      </c>
      <c r="B14" s="1275"/>
      <c r="C14" s="1276"/>
      <c r="D14" s="1276"/>
      <c r="E14" s="1286"/>
      <c r="F14" s="613"/>
      <c r="G14" s="967"/>
      <c r="H14" s="1008"/>
      <c r="I14" s="1063"/>
      <c r="J14" s="613"/>
      <c r="K14" s="6"/>
      <c r="L14" s="622"/>
      <c r="M14" s="982"/>
      <c r="N14" s="622"/>
      <c r="O14" s="1063"/>
      <c r="P14" s="613"/>
      <c r="Q14" s="64"/>
      <c r="R14" s="102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</row>
    <row r="15" spans="1:42" s="224" customFormat="1" ht="15" customHeight="1" x14ac:dyDescent="0.25">
      <c r="A15" s="247">
        <v>46029</v>
      </c>
      <c r="B15" s="349" t="s">
        <v>8436</v>
      </c>
      <c r="C15" s="350" t="s">
        <v>12</v>
      </c>
      <c r="D15" s="350" t="s">
        <v>6731</v>
      </c>
      <c r="E15" s="887" t="s">
        <v>13</v>
      </c>
      <c r="F15" s="613"/>
      <c r="G15" s="982"/>
      <c r="H15" s="872"/>
      <c r="I15" s="1063"/>
      <c r="J15" s="622"/>
      <c r="K15" s="982"/>
      <c r="L15" s="622"/>
      <c r="M15" s="982"/>
      <c r="N15" s="622"/>
      <c r="O15" s="1063"/>
      <c r="P15" s="622"/>
      <c r="Q15" s="982"/>
      <c r="R15" s="1080" t="s">
        <v>8423</v>
      </c>
      <c r="S15" s="999"/>
      <c r="T15" s="878"/>
    </row>
    <row r="16" spans="1:42" s="224" customFormat="1" ht="15.75" customHeight="1" x14ac:dyDescent="0.25">
      <c r="A16" s="247">
        <v>46029</v>
      </c>
      <c r="B16" s="873" t="s">
        <v>8674</v>
      </c>
      <c r="C16" s="879" t="s">
        <v>12</v>
      </c>
      <c r="D16" s="874"/>
      <c r="E16" s="887" t="s">
        <v>25</v>
      </c>
      <c r="F16" s="1524"/>
      <c r="G16" s="1002"/>
      <c r="H16" s="538"/>
      <c r="I16" s="982"/>
      <c r="J16" s="2013"/>
      <c r="K16" s="1207"/>
      <c r="L16" s="622"/>
      <c r="M16" s="982"/>
      <c r="N16" s="622"/>
      <c r="O16" s="1063"/>
      <c r="P16" s="622"/>
      <c r="Q16" s="982"/>
      <c r="R16" s="178"/>
    </row>
    <row r="17" spans="1:42" s="224" customFormat="1" ht="15" customHeight="1" x14ac:dyDescent="0.25">
      <c r="A17" s="247">
        <v>46029</v>
      </c>
      <c r="B17" s="364" t="s">
        <v>1396</v>
      </c>
      <c r="C17" s="879" t="s">
        <v>12</v>
      </c>
      <c r="D17" s="350"/>
      <c r="E17" s="919" t="s">
        <v>25</v>
      </c>
      <c r="F17" s="1116"/>
      <c r="G17" s="966"/>
      <c r="H17" s="1031"/>
      <c r="I17" s="1525"/>
      <c r="J17" s="2013"/>
      <c r="K17" s="1207"/>
      <c r="L17" s="880"/>
      <c r="M17" s="1033"/>
      <c r="N17" s="622"/>
      <c r="O17" s="1063"/>
      <c r="P17" s="1116"/>
      <c r="Q17" s="120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</row>
    <row r="18" spans="1:42" s="224" customFormat="1" ht="15" customHeight="1" x14ac:dyDescent="0.25">
      <c r="A18" s="247">
        <v>46029</v>
      </c>
      <c r="B18" s="364" t="s">
        <v>7219</v>
      </c>
      <c r="C18" s="879" t="s">
        <v>12</v>
      </c>
      <c r="D18" s="350" t="s">
        <v>1491</v>
      </c>
      <c r="E18" s="875" t="s">
        <v>13</v>
      </c>
      <c r="F18" s="1524"/>
      <c r="G18" s="982"/>
      <c r="H18" s="622"/>
      <c r="I18" s="982"/>
      <c r="J18" s="2013"/>
      <c r="K18" s="1207"/>
      <c r="L18" s="622"/>
      <c r="M18" s="982"/>
      <c r="N18" s="622"/>
      <c r="O18" s="1063"/>
      <c r="P18" s="622"/>
      <c r="Q18" s="982"/>
      <c r="R18" s="1028"/>
      <c r="T18" s="1035"/>
    </row>
    <row r="19" spans="1:42" s="224" customFormat="1" ht="15" customHeight="1" x14ac:dyDescent="0.25">
      <c r="A19" s="247">
        <v>46029</v>
      </c>
      <c r="B19" s="882" t="s">
        <v>8675</v>
      </c>
      <c r="C19" s="879" t="s">
        <v>12</v>
      </c>
      <c r="D19" s="879" t="s">
        <v>1499</v>
      </c>
      <c r="E19" s="871" t="s">
        <v>13</v>
      </c>
      <c r="F19" s="780"/>
      <c r="G19" s="982"/>
      <c r="H19" s="1008"/>
      <c r="I19" s="1063"/>
      <c r="J19" s="880"/>
      <c r="K19" s="1033"/>
      <c r="L19" s="622"/>
      <c r="M19" s="982"/>
      <c r="N19" s="622"/>
      <c r="O19" s="1063"/>
      <c r="P19" s="622"/>
      <c r="Q19" s="982"/>
      <c r="R19" s="1028"/>
      <c r="S19" s="999"/>
      <c r="T19" s="878"/>
    </row>
    <row r="20" spans="1:42" x14ac:dyDescent="0.25">
      <c r="A20" s="247">
        <v>46029</v>
      </c>
      <c r="B20" s="876" t="s">
        <v>6762</v>
      </c>
      <c r="C20" s="879" t="s">
        <v>12</v>
      </c>
      <c r="D20" s="879" t="s">
        <v>1496</v>
      </c>
      <c r="E20" s="871" t="s">
        <v>13</v>
      </c>
      <c r="F20" s="780"/>
      <c r="G20" s="982"/>
      <c r="H20" s="1009"/>
      <c r="I20" s="1063"/>
      <c r="J20" s="613"/>
      <c r="K20" s="6"/>
      <c r="L20" s="622"/>
      <c r="M20" s="982"/>
      <c r="N20" s="622"/>
      <c r="O20" s="1063"/>
      <c r="P20" s="622"/>
      <c r="Q20" s="982"/>
      <c r="R20" s="1029"/>
    </row>
    <row r="21" spans="1:42" s="224" customFormat="1" ht="15" customHeight="1" x14ac:dyDescent="0.25">
      <c r="A21" s="247">
        <v>46029</v>
      </c>
      <c r="B21" s="1289" t="s">
        <v>2096</v>
      </c>
      <c r="C21" s="879" t="s">
        <v>12</v>
      </c>
      <c r="D21" s="1276" t="s">
        <v>1506</v>
      </c>
      <c r="E21" s="875" t="s">
        <v>13</v>
      </c>
      <c r="F21" s="1810"/>
      <c r="G21" s="967"/>
      <c r="H21" s="1008"/>
      <c r="I21" s="1063"/>
      <c r="J21" s="613"/>
      <c r="K21" s="6"/>
      <c r="L21" s="622"/>
      <c r="M21" s="982"/>
      <c r="N21" s="622"/>
      <c r="O21" s="1063"/>
      <c r="P21" s="613"/>
      <c r="Q21" s="64"/>
      <c r="R21" s="1209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</row>
    <row r="22" spans="1:42" s="224" customFormat="1" ht="15" customHeight="1" x14ac:dyDescent="0.25">
      <c r="A22" s="247">
        <v>46028</v>
      </c>
      <c r="B22" s="1275" t="s">
        <v>8702</v>
      </c>
      <c r="C22" s="1276" t="s">
        <v>12</v>
      </c>
      <c r="D22" s="1276" t="s">
        <v>3017</v>
      </c>
      <c r="E22" s="1286" t="s">
        <v>13</v>
      </c>
      <c r="F22" s="613"/>
      <c r="G22" s="967"/>
      <c r="H22" s="1008"/>
      <c r="I22" s="1063"/>
      <c r="J22" s="613"/>
      <c r="K22" s="6"/>
      <c r="L22" s="622"/>
      <c r="M22" s="982"/>
      <c r="N22" s="622"/>
      <c r="O22" s="1063"/>
      <c r="P22" s="613"/>
      <c r="Q22" s="64"/>
      <c r="R22" s="1024">
        <v>400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</row>
    <row r="23" spans="1:42" s="224" customFormat="1" ht="15" customHeight="1" x14ac:dyDescent="0.25">
      <c r="A23" s="247">
        <v>46029</v>
      </c>
      <c r="B23" s="2987" t="s">
        <v>8523</v>
      </c>
      <c r="C23" s="1276"/>
      <c r="D23" s="1276"/>
      <c r="E23" s="1286"/>
      <c r="F23" s="613"/>
      <c r="G23" s="967"/>
      <c r="H23" s="1008"/>
      <c r="I23" s="1063"/>
      <c r="J23" s="613"/>
      <c r="K23" s="6"/>
      <c r="L23" s="622"/>
      <c r="M23" s="982"/>
      <c r="N23" s="622"/>
      <c r="O23" s="1063"/>
      <c r="P23" s="613"/>
      <c r="Q23" s="64"/>
      <c r="R23" s="1024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</row>
    <row r="24" spans="1:42" s="224" customFormat="1" ht="15" customHeight="1" x14ac:dyDescent="0.25">
      <c r="A24" s="247">
        <v>46029</v>
      </c>
      <c r="B24" s="882" t="s">
        <v>8737</v>
      </c>
      <c r="C24" s="879" t="s">
        <v>12</v>
      </c>
      <c r="D24" s="879" t="s">
        <v>1493</v>
      </c>
      <c r="E24" s="875" t="s">
        <v>13</v>
      </c>
      <c r="F24" s="780"/>
      <c r="G24" s="982"/>
      <c r="H24" s="1008"/>
      <c r="I24" s="1064"/>
      <c r="J24" s="622"/>
      <c r="K24" s="982"/>
      <c r="L24" s="622"/>
      <c r="M24" s="982"/>
      <c r="N24" s="622"/>
      <c r="O24" s="1063"/>
      <c r="P24" s="622"/>
      <c r="Q24" s="982"/>
      <c r="R24" s="861">
        <v>70</v>
      </c>
    </row>
    <row r="25" spans="1:42" s="224" customFormat="1" ht="15" customHeight="1" x14ac:dyDescent="0.25">
      <c r="A25" s="247">
        <v>46029</v>
      </c>
      <c r="B25" s="882"/>
      <c r="C25" s="879"/>
      <c r="D25" s="879"/>
      <c r="E25" s="875"/>
      <c r="F25" s="780"/>
      <c r="G25" s="982"/>
      <c r="H25" s="1008"/>
      <c r="I25" s="1064"/>
      <c r="J25" s="622"/>
      <c r="K25" s="982"/>
      <c r="L25" s="622"/>
      <c r="M25" s="982"/>
      <c r="N25" s="622"/>
      <c r="O25" s="1063"/>
      <c r="P25" s="622"/>
      <c r="Q25" s="982"/>
      <c r="R25" s="861"/>
    </row>
    <row r="26" spans="1:42" s="224" customFormat="1" ht="15" customHeight="1" x14ac:dyDescent="0.25">
      <c r="A26" s="247">
        <v>46030</v>
      </c>
      <c r="B26" s="882"/>
      <c r="C26" s="879"/>
      <c r="D26" s="879"/>
      <c r="E26" s="875"/>
      <c r="F26" s="780"/>
      <c r="G26" s="982"/>
      <c r="H26" s="1008"/>
      <c r="I26" s="1063"/>
      <c r="J26" s="622"/>
      <c r="K26" s="982"/>
      <c r="L26" s="622"/>
      <c r="M26" s="982"/>
      <c r="N26" s="622"/>
      <c r="O26" s="1063"/>
      <c r="P26" s="622"/>
      <c r="Q26" s="982"/>
      <c r="R26" s="861"/>
    </row>
    <row r="27" spans="1:42" s="224" customFormat="1" ht="15" customHeight="1" x14ac:dyDescent="0.25">
      <c r="A27" s="247">
        <v>46031</v>
      </c>
      <c r="B27" s="882"/>
      <c r="C27" s="879"/>
      <c r="D27" s="879"/>
      <c r="E27" s="875"/>
      <c r="F27" s="780"/>
      <c r="G27" s="982"/>
      <c r="H27" s="95"/>
      <c r="I27" s="1064"/>
      <c r="J27" s="622"/>
      <c r="K27" s="982"/>
      <c r="L27" s="622"/>
      <c r="M27" s="982"/>
      <c r="N27" s="622"/>
      <c r="O27" s="1063"/>
      <c r="P27" s="622"/>
      <c r="Q27" s="982"/>
      <c r="R27" s="861"/>
    </row>
    <row r="28" spans="1:42" s="224" customFormat="1" x14ac:dyDescent="0.25">
      <c r="A28" s="247">
        <v>46032</v>
      </c>
      <c r="B28" s="1275"/>
      <c r="C28" s="879"/>
      <c r="D28" s="1276"/>
      <c r="E28" s="1277"/>
      <c r="F28" s="1702"/>
      <c r="G28" s="982"/>
      <c r="H28" s="1008"/>
      <c r="I28" s="1063"/>
      <c r="J28" s="2013"/>
      <c r="K28" s="1207"/>
      <c r="L28" s="622"/>
      <c r="M28" s="982"/>
      <c r="N28" s="622"/>
      <c r="O28" s="1063"/>
      <c r="P28" s="622"/>
      <c r="Q28" s="982"/>
      <c r="R28" s="1028"/>
      <c r="T28" s="878"/>
    </row>
    <row r="29" spans="1:42" s="224" customFormat="1" ht="15" customHeight="1" x14ac:dyDescent="0.25">
      <c r="A29" s="247">
        <v>46033</v>
      </c>
      <c r="B29" s="882"/>
      <c r="C29" s="879"/>
      <c r="D29" s="879"/>
      <c r="E29" s="875"/>
      <c r="F29" s="780"/>
      <c r="G29" s="982"/>
      <c r="H29" s="95"/>
      <c r="I29" s="1064"/>
      <c r="J29" s="613"/>
      <c r="K29" s="982"/>
      <c r="L29" s="622"/>
      <c r="M29" s="982"/>
      <c r="N29" s="622"/>
      <c r="O29" s="1063"/>
      <c r="P29" s="622"/>
      <c r="Q29" s="982"/>
      <c r="R29" s="861"/>
    </row>
    <row r="30" spans="1:42" s="224" customFormat="1" ht="14.25" customHeight="1" x14ac:dyDescent="0.25">
      <c r="A30" s="247">
        <v>46034</v>
      </c>
      <c r="B30" s="882"/>
      <c r="C30" s="879"/>
      <c r="D30" s="879"/>
      <c r="E30" s="875"/>
      <c r="F30" s="1810"/>
      <c r="G30" s="982"/>
      <c r="H30" s="1031"/>
      <c r="I30" s="1525"/>
      <c r="J30" s="622"/>
      <c r="K30" s="982"/>
      <c r="L30" s="880"/>
      <c r="M30" s="1033"/>
      <c r="N30" s="880"/>
      <c r="O30" s="1525"/>
      <c r="P30" s="613"/>
      <c r="Q30" s="162"/>
      <c r="R30" s="1209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 s="224" customFormat="1" ht="15" customHeight="1" x14ac:dyDescent="0.25">
      <c r="A31" s="247">
        <v>46035</v>
      </c>
      <c r="B31" s="882"/>
      <c r="C31" s="879"/>
      <c r="D31" s="879"/>
      <c r="E31" s="875"/>
      <c r="F31" s="780"/>
      <c r="G31" s="982"/>
      <c r="H31" s="1008"/>
      <c r="I31" s="1063"/>
      <c r="J31" s="613"/>
      <c r="K31" s="982"/>
      <c r="L31" s="622"/>
      <c r="M31" s="982"/>
      <c r="N31" s="622"/>
      <c r="O31" s="1063"/>
      <c r="P31" s="622"/>
      <c r="Q31" s="982"/>
      <c r="R31" s="861"/>
    </row>
    <row r="32" spans="1:42" s="224" customFormat="1" x14ac:dyDescent="0.25">
      <c r="A32" s="247">
        <v>46036</v>
      </c>
      <c r="B32" s="1275"/>
      <c r="C32" s="879"/>
      <c r="D32" s="1276"/>
      <c r="E32" s="1286"/>
      <c r="F32" s="780"/>
      <c r="G32" s="982"/>
      <c r="H32" s="1008"/>
      <c r="I32" s="1063"/>
      <c r="J32" s="622"/>
      <c r="K32" s="982"/>
      <c r="L32" s="622"/>
      <c r="M32" s="982"/>
      <c r="N32" s="622"/>
      <c r="O32" s="1063"/>
      <c r="P32" s="622"/>
      <c r="Q32" s="982"/>
      <c r="R32" s="1028"/>
      <c r="T32" s="878"/>
    </row>
    <row r="33" spans="1:42" s="224" customFormat="1" ht="15" customHeight="1" x14ac:dyDescent="0.25">
      <c r="A33" s="247">
        <v>46037</v>
      </c>
      <c r="B33" s="882"/>
      <c r="C33" s="879"/>
      <c r="D33" s="879"/>
      <c r="E33" s="480"/>
      <c r="F33" s="613"/>
      <c r="G33" s="967"/>
      <c r="H33" s="1008"/>
      <c r="I33" s="1063"/>
      <c r="J33" s="622"/>
      <c r="K33" s="982"/>
      <c r="L33" s="880"/>
      <c r="M33" s="1033"/>
      <c r="N33" s="880"/>
      <c r="O33" s="1525"/>
      <c r="P33" s="613"/>
      <c r="Q33" s="162"/>
      <c r="R33" s="1956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</row>
    <row r="34" spans="1:42" s="224" customFormat="1" ht="15" customHeight="1" x14ac:dyDescent="0.25">
      <c r="A34" s="247">
        <v>46038</v>
      </c>
      <c r="B34" s="882"/>
      <c r="C34" s="879"/>
      <c r="D34" s="879"/>
      <c r="E34" s="875"/>
      <c r="F34" s="780"/>
      <c r="G34" s="982"/>
      <c r="H34" s="622"/>
      <c r="I34" s="982"/>
      <c r="J34" s="622"/>
      <c r="K34" s="982"/>
      <c r="L34" s="622"/>
      <c r="M34" s="982"/>
      <c r="N34" s="622"/>
      <c r="O34" s="1063"/>
      <c r="P34" s="622"/>
      <c r="Q34" s="982"/>
      <c r="R34" s="1028"/>
      <c r="S34" s="959"/>
      <c r="T34" s="878"/>
      <c r="U34" s="958"/>
    </row>
    <row r="35" spans="1:42" s="224" customFormat="1" ht="15" customHeight="1" x14ac:dyDescent="0.25">
      <c r="A35" s="247">
        <v>46039</v>
      </c>
      <c r="B35" s="882"/>
      <c r="C35" s="879"/>
      <c r="D35" s="879"/>
      <c r="E35" s="875"/>
      <c r="F35" s="780"/>
      <c r="G35" s="982"/>
      <c r="H35" s="622"/>
      <c r="I35" s="982"/>
      <c r="J35" s="622"/>
      <c r="K35" s="982"/>
      <c r="L35" s="622"/>
      <c r="M35" s="982"/>
      <c r="N35" s="622"/>
      <c r="O35" s="1063"/>
      <c r="P35" s="622"/>
      <c r="Q35" s="982"/>
      <c r="R35" s="1028"/>
      <c r="S35" s="959"/>
      <c r="T35" s="878"/>
      <c r="U35" s="958"/>
    </row>
    <row r="36" spans="1:42" s="224" customFormat="1" ht="15" customHeight="1" x14ac:dyDescent="0.25">
      <c r="A36" s="247">
        <v>46040</v>
      </c>
      <c r="B36" s="882"/>
      <c r="C36" s="879"/>
      <c r="D36" s="879"/>
      <c r="E36" s="871"/>
      <c r="F36" s="780"/>
      <c r="G36" s="982"/>
      <c r="H36" s="622"/>
      <c r="I36" s="982"/>
      <c r="J36" s="872"/>
      <c r="K36" s="1207"/>
      <c r="L36" s="622"/>
      <c r="M36" s="982"/>
      <c r="N36" s="622"/>
      <c r="O36" s="1063"/>
      <c r="P36" s="622"/>
      <c r="Q36" s="982"/>
      <c r="R36" s="1028"/>
      <c r="S36" s="959"/>
      <c r="T36" s="878"/>
      <c r="U36" s="958"/>
    </row>
    <row r="37" spans="1:42" s="224" customFormat="1" ht="15" customHeight="1" x14ac:dyDescent="0.25">
      <c r="A37" s="247">
        <v>46041</v>
      </c>
      <c r="B37" s="882"/>
      <c r="C37" s="879"/>
      <c r="D37" s="879"/>
      <c r="E37" s="875"/>
      <c r="F37" s="780"/>
      <c r="G37" s="982"/>
      <c r="H37" s="622"/>
      <c r="I37" s="982"/>
      <c r="J37" s="622"/>
      <c r="K37" s="982"/>
      <c r="L37" s="622"/>
      <c r="M37" s="982"/>
      <c r="N37" s="880"/>
      <c r="O37" s="1525"/>
      <c r="P37" s="613"/>
      <c r="Q37" s="162"/>
      <c r="R37" s="1956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</row>
    <row r="38" spans="1:42" s="224" customFormat="1" ht="15" customHeight="1" x14ac:dyDescent="0.25">
      <c r="A38" s="247">
        <v>46042</v>
      </c>
      <c r="B38" s="882" t="s">
        <v>8676</v>
      </c>
      <c r="C38" s="350" t="s">
        <v>12</v>
      </c>
      <c r="D38" s="350"/>
      <c r="E38" s="480" t="s">
        <v>25</v>
      </c>
      <c r="F38" s="622"/>
      <c r="G38" s="982"/>
      <c r="H38" s="1008"/>
      <c r="I38" s="1063"/>
      <c r="J38" s="622"/>
      <c r="K38" s="982"/>
      <c r="L38" s="622"/>
      <c r="M38" s="982"/>
      <c r="N38" s="622"/>
      <c r="O38" s="1063"/>
      <c r="P38" s="622"/>
      <c r="Q38" s="982"/>
      <c r="R38" s="861"/>
    </row>
    <row r="39" spans="1:42" s="224" customFormat="1" ht="15" customHeight="1" x14ac:dyDescent="0.25">
      <c r="A39" s="247">
        <v>46042</v>
      </c>
      <c r="B39" s="364" t="s">
        <v>8512</v>
      </c>
      <c r="C39" s="350" t="s">
        <v>12</v>
      </c>
      <c r="D39" s="350"/>
      <c r="E39" s="480" t="s">
        <v>25</v>
      </c>
      <c r="F39" s="780"/>
      <c r="G39" s="982"/>
      <c r="H39" s="1008"/>
      <c r="I39" s="1063"/>
      <c r="J39" s="622"/>
      <c r="K39" s="982"/>
      <c r="L39" s="622"/>
      <c r="M39" s="982"/>
      <c r="N39" s="622"/>
      <c r="O39" s="1063"/>
      <c r="P39" s="622"/>
      <c r="Q39" s="982"/>
      <c r="R39" s="2722"/>
      <c r="T39" s="1035"/>
    </row>
    <row r="40" spans="1:42" s="224" customFormat="1" ht="15" customHeight="1" x14ac:dyDescent="0.25">
      <c r="A40" s="247">
        <v>46042</v>
      </c>
      <c r="B40" s="364" t="s">
        <v>8677</v>
      </c>
      <c r="C40" s="879" t="s">
        <v>12</v>
      </c>
      <c r="D40" s="879"/>
      <c r="E40" s="983" t="s">
        <v>25</v>
      </c>
      <c r="F40" s="780"/>
      <c r="G40" s="982"/>
      <c r="H40" s="622"/>
      <c r="I40" s="982"/>
      <c r="J40" s="2013"/>
      <c r="K40" s="1207"/>
      <c r="L40" s="622"/>
      <c r="M40" s="982"/>
      <c r="N40" s="622"/>
      <c r="O40" s="1063"/>
      <c r="P40" s="622"/>
      <c r="Q40" s="2134"/>
      <c r="R40" s="927"/>
      <c r="S40" s="927"/>
      <c r="T40" s="878"/>
    </row>
    <row r="41" spans="1:42" s="224" customFormat="1" ht="15" customHeight="1" x14ac:dyDescent="0.25">
      <c r="A41" s="247">
        <v>46042</v>
      </c>
      <c r="B41" s="364" t="s">
        <v>3354</v>
      </c>
      <c r="C41" s="350" t="s">
        <v>12</v>
      </c>
      <c r="D41" s="350"/>
      <c r="E41" s="145" t="s">
        <v>25</v>
      </c>
      <c r="F41" s="613"/>
      <c r="G41" s="967"/>
      <c r="H41" s="1008"/>
      <c r="I41" s="1063"/>
      <c r="J41" s="622"/>
      <c r="K41" s="982"/>
      <c r="L41" s="880"/>
      <c r="M41" s="1033"/>
      <c r="N41" s="880"/>
      <c r="O41" s="1525"/>
      <c r="P41" s="613"/>
      <c r="Q41" s="2135"/>
      <c r="R41" s="2018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</row>
    <row r="42" spans="1:42" s="224" customFormat="1" ht="15" customHeight="1" x14ac:dyDescent="0.25">
      <c r="A42" s="247">
        <v>46042</v>
      </c>
      <c r="B42" s="862" t="s">
        <v>2867</v>
      </c>
      <c r="C42" s="350" t="s">
        <v>12</v>
      </c>
      <c r="D42" s="874" t="s">
        <v>1504</v>
      </c>
      <c r="E42" s="887" t="s">
        <v>13</v>
      </c>
      <c r="F42" s="1245">
        <v>0</v>
      </c>
      <c r="G42" s="982"/>
      <c r="H42" s="1009"/>
      <c r="I42" s="1063"/>
      <c r="J42" s="622"/>
      <c r="K42" s="982"/>
      <c r="L42" s="853"/>
      <c r="M42" s="982"/>
      <c r="N42" s="853"/>
      <c r="O42" s="1063"/>
      <c r="P42" s="622"/>
      <c r="Q42" s="982"/>
      <c r="R42" s="1690" t="s">
        <v>8547</v>
      </c>
      <c r="S42" s="1690"/>
      <c r="T42" s="1690"/>
      <c r="U42" s="1690"/>
      <c r="V42" s="1690"/>
      <c r="W42" s="1690"/>
      <c r="X42" s="1690"/>
      <c r="Y42" s="1690"/>
      <c r="Z42" s="1690"/>
    </row>
    <row r="43" spans="1:42" s="224" customFormat="1" ht="14.25" customHeight="1" x14ac:dyDescent="0.25">
      <c r="A43" s="247">
        <v>46042</v>
      </c>
      <c r="B43" s="364" t="s">
        <v>2977</v>
      </c>
      <c r="C43" s="350" t="s">
        <v>12</v>
      </c>
      <c r="D43" s="350" t="s">
        <v>1491</v>
      </c>
      <c r="E43" s="875" t="s">
        <v>13</v>
      </c>
      <c r="F43" s="1047"/>
      <c r="G43" s="982"/>
      <c r="H43" s="1008"/>
      <c r="I43" s="1063"/>
      <c r="J43" s="622"/>
      <c r="K43" s="982"/>
      <c r="L43" s="622"/>
      <c r="M43" s="982"/>
      <c r="N43" s="622"/>
      <c r="O43" s="1063"/>
      <c r="P43" s="622"/>
      <c r="Q43" s="982"/>
      <c r="R43" s="1029"/>
      <c r="S43" s="89"/>
      <c r="T43" s="930"/>
    </row>
    <row r="44" spans="1:42" s="224" customFormat="1" ht="15" customHeight="1" x14ac:dyDescent="0.25">
      <c r="A44" s="247">
        <v>46042</v>
      </c>
      <c r="B44" s="882" t="s">
        <v>8678</v>
      </c>
      <c r="C44" s="879" t="s">
        <v>12</v>
      </c>
      <c r="D44" s="879" t="s">
        <v>1499</v>
      </c>
      <c r="E44" s="871" t="s">
        <v>13</v>
      </c>
      <c r="F44" s="780"/>
      <c r="G44" s="982"/>
      <c r="H44" s="1008"/>
      <c r="I44" s="1063"/>
      <c r="J44" s="622"/>
      <c r="K44" s="982"/>
      <c r="L44" s="622"/>
      <c r="M44" s="982"/>
      <c r="N44" s="622"/>
      <c r="O44" s="1063"/>
      <c r="P44" s="622"/>
      <c r="Q44" s="982"/>
      <c r="R44" s="1028" t="s">
        <v>7729</v>
      </c>
      <c r="T44" s="1123"/>
      <c r="U44" s="999"/>
    </row>
    <row r="45" spans="1:42" s="224" customFormat="1" ht="15" customHeight="1" x14ac:dyDescent="0.25">
      <c r="A45" s="247">
        <v>46042</v>
      </c>
      <c r="B45" s="862" t="s">
        <v>8225</v>
      </c>
      <c r="C45" s="879" t="s">
        <v>12</v>
      </c>
      <c r="D45" s="879" t="s">
        <v>1504</v>
      </c>
      <c r="E45" s="871" t="s">
        <v>13</v>
      </c>
      <c r="F45" s="780"/>
      <c r="G45" s="982"/>
      <c r="H45" s="1008"/>
      <c r="I45" s="1063"/>
      <c r="J45" s="622"/>
      <c r="K45" s="982"/>
      <c r="L45" s="622"/>
      <c r="M45" s="982"/>
      <c r="N45" s="622"/>
      <c r="O45" s="1063"/>
      <c r="P45" s="622"/>
      <c r="Q45" s="982"/>
      <c r="R45" s="1808"/>
      <c r="S45" s="1028"/>
      <c r="T45" s="1035"/>
    </row>
    <row r="46" spans="1:42" s="224" customFormat="1" ht="15" customHeight="1" x14ac:dyDescent="0.25">
      <c r="A46" s="247">
        <v>46042</v>
      </c>
      <c r="B46" s="349" t="s">
        <v>8679</v>
      </c>
      <c r="C46" s="887" t="s">
        <v>12</v>
      </c>
      <c r="D46" s="350" t="s">
        <v>1524</v>
      </c>
      <c r="E46" s="887" t="s">
        <v>13</v>
      </c>
      <c r="F46" s="613"/>
      <c r="G46" s="982"/>
      <c r="H46" s="872"/>
      <c r="I46" s="1063"/>
      <c r="J46" s="622"/>
      <c r="K46" s="982"/>
      <c r="L46" s="622"/>
      <c r="M46" s="982"/>
      <c r="N46" s="622"/>
      <c r="O46" s="1063"/>
      <c r="P46" s="622"/>
      <c r="Q46" s="982"/>
      <c r="R46" s="927"/>
      <c r="S46" s="999"/>
      <c r="T46" s="878"/>
    </row>
    <row r="47" spans="1:42" s="224" customFormat="1" ht="15" customHeight="1" x14ac:dyDescent="0.25">
      <c r="A47" s="247">
        <v>46042</v>
      </c>
      <c r="B47" s="349" t="s">
        <v>8679</v>
      </c>
      <c r="C47" s="887" t="s">
        <v>12</v>
      </c>
      <c r="D47" s="350"/>
      <c r="E47" s="887" t="s">
        <v>13</v>
      </c>
      <c r="F47" s="613"/>
      <c r="G47" s="982"/>
      <c r="H47" s="872"/>
      <c r="I47" s="1063"/>
      <c r="J47" s="622"/>
      <c r="K47" s="982"/>
      <c r="L47" s="622"/>
      <c r="M47" s="982"/>
      <c r="N47" s="622"/>
      <c r="O47" s="1063"/>
      <c r="P47" s="622"/>
      <c r="Q47" s="982"/>
      <c r="R47" s="927"/>
      <c r="S47" s="999"/>
      <c r="T47" s="878"/>
    </row>
    <row r="48" spans="1:42" s="224" customFormat="1" ht="15" customHeight="1" x14ac:dyDescent="0.3">
      <c r="A48" s="247">
        <v>46042</v>
      </c>
      <c r="B48" s="882" t="s">
        <v>8678</v>
      </c>
      <c r="C48" s="879" t="s">
        <v>12</v>
      </c>
      <c r="D48" s="879" t="s">
        <v>1499</v>
      </c>
      <c r="E48" s="871" t="s">
        <v>13</v>
      </c>
      <c r="F48" s="2992"/>
      <c r="G48" s="982"/>
      <c r="H48" s="1008"/>
      <c r="I48" s="1063"/>
      <c r="J48" s="622"/>
      <c r="K48" s="982"/>
      <c r="L48" s="622"/>
      <c r="M48" s="982"/>
      <c r="N48" s="622"/>
      <c r="O48" s="1063"/>
      <c r="P48" s="622"/>
      <c r="Q48" s="982"/>
      <c r="R48" s="2994"/>
      <c r="S48" s="3009"/>
      <c r="T48" s="1123"/>
      <c r="U48" s="999"/>
    </row>
    <row r="49" spans="1:42" s="224" customFormat="1" ht="15" customHeight="1" x14ac:dyDescent="0.25">
      <c r="A49" s="247">
        <v>46042</v>
      </c>
      <c r="B49" s="882" t="s">
        <v>8639</v>
      </c>
      <c r="C49" s="879" t="s">
        <v>12</v>
      </c>
      <c r="D49" s="879" t="s">
        <v>6731</v>
      </c>
      <c r="E49" s="871" t="s">
        <v>13</v>
      </c>
      <c r="F49" s="1004"/>
      <c r="G49" s="982"/>
      <c r="H49" s="95"/>
      <c r="I49" s="1064"/>
      <c r="J49" s="613"/>
      <c r="K49" s="6"/>
      <c r="L49" s="622"/>
      <c r="M49" s="982"/>
      <c r="N49" s="622"/>
      <c r="O49" s="1063"/>
      <c r="P49" s="622"/>
      <c r="Q49" s="982"/>
      <c r="R49" s="861">
        <v>318</v>
      </c>
    </row>
    <row r="50" spans="1:42" s="224" customFormat="1" ht="15" customHeight="1" x14ac:dyDescent="0.25">
      <c r="A50" s="247">
        <v>46043</v>
      </c>
      <c r="B50" s="882"/>
      <c r="C50" s="879"/>
      <c r="D50" s="879"/>
      <c r="E50" s="871"/>
      <c r="F50" s="780"/>
      <c r="G50" s="982"/>
      <c r="H50" s="95"/>
      <c r="I50" s="1064"/>
      <c r="J50" s="613"/>
      <c r="K50" s="6"/>
      <c r="L50" s="622"/>
      <c r="M50" s="982"/>
      <c r="N50" s="622"/>
      <c r="O50" s="1063"/>
      <c r="P50" s="622"/>
      <c r="Q50" s="982"/>
      <c r="R50" s="861"/>
    </row>
    <row r="51" spans="1:42" s="224" customFormat="1" ht="15" customHeight="1" x14ac:dyDescent="0.25">
      <c r="A51" s="247">
        <v>46044</v>
      </c>
      <c r="B51" s="882"/>
      <c r="C51" s="879"/>
      <c r="D51" s="879"/>
      <c r="E51" s="871"/>
      <c r="F51" s="780"/>
      <c r="G51" s="982"/>
      <c r="H51" s="95"/>
      <c r="I51" s="1064"/>
      <c r="J51" s="613"/>
      <c r="K51" s="6"/>
      <c r="L51" s="622"/>
      <c r="M51" s="982"/>
      <c r="N51" s="622"/>
      <c r="O51" s="1063"/>
      <c r="P51" s="622"/>
      <c r="Q51" s="982"/>
      <c r="R51" s="861"/>
    </row>
    <row r="52" spans="1:42" s="224" customFormat="1" ht="15" customHeight="1" x14ac:dyDescent="0.25">
      <c r="A52" s="247">
        <v>46045</v>
      </c>
      <c r="B52" s="882"/>
      <c r="C52" s="879"/>
      <c r="D52" s="879"/>
      <c r="E52" s="871"/>
      <c r="F52" s="780"/>
      <c r="G52" s="982"/>
      <c r="H52" s="95"/>
      <c r="I52" s="1064"/>
      <c r="J52" s="613"/>
      <c r="K52" s="6"/>
      <c r="L52" s="622"/>
      <c r="M52" s="982"/>
      <c r="N52" s="622"/>
      <c r="O52" s="1063"/>
      <c r="P52" s="622"/>
      <c r="Q52" s="982"/>
      <c r="R52" s="861"/>
    </row>
    <row r="53" spans="1:42" s="224" customFormat="1" ht="15" customHeight="1" x14ac:dyDescent="0.25">
      <c r="A53" s="247">
        <v>46046</v>
      </c>
      <c r="B53" s="882"/>
      <c r="C53" s="879"/>
      <c r="D53" s="879"/>
      <c r="E53" s="871"/>
      <c r="F53" s="780"/>
      <c r="G53" s="982"/>
      <c r="H53" s="95"/>
      <c r="I53" s="1064"/>
      <c r="J53" s="613"/>
      <c r="K53" s="6"/>
      <c r="L53" s="622"/>
      <c r="M53" s="982"/>
      <c r="N53" s="622"/>
      <c r="O53" s="1063"/>
      <c r="P53" s="622"/>
      <c r="Q53" s="982"/>
      <c r="R53" s="861"/>
    </row>
    <row r="54" spans="1:42" s="224" customFormat="1" ht="15" customHeight="1" x14ac:dyDescent="0.25">
      <c r="A54" s="247">
        <v>46047</v>
      </c>
      <c r="B54" s="882"/>
      <c r="C54" s="879"/>
      <c r="D54" s="879"/>
      <c r="E54" s="875"/>
      <c r="F54" s="780"/>
      <c r="G54" s="982"/>
      <c r="H54" s="622"/>
      <c r="I54" s="982"/>
      <c r="J54" s="1116"/>
      <c r="K54" s="1207"/>
      <c r="L54" s="622"/>
      <c r="M54" s="982"/>
      <c r="N54" s="622"/>
      <c r="O54" s="1063"/>
      <c r="P54" s="880"/>
      <c r="Q54" s="1033"/>
      <c r="R54" s="927"/>
      <c r="T54" s="878"/>
    </row>
    <row r="55" spans="1:42" s="224" customFormat="1" ht="15" customHeight="1" x14ac:dyDescent="0.25">
      <c r="A55" s="247">
        <v>46048</v>
      </c>
      <c r="B55" s="882"/>
      <c r="C55" s="879"/>
      <c r="D55" s="879"/>
      <c r="E55" s="871"/>
      <c r="F55" s="780"/>
      <c r="G55" s="982"/>
      <c r="H55" s="95"/>
      <c r="I55" s="1064"/>
      <c r="J55" s="613"/>
      <c r="K55" s="6"/>
      <c r="L55" s="622"/>
      <c r="M55" s="982"/>
      <c r="N55" s="622"/>
      <c r="O55" s="1063"/>
      <c r="P55" s="1110"/>
      <c r="Q55" s="1208"/>
      <c r="R55" s="1028"/>
      <c r="U55" s="958"/>
    </row>
    <row r="56" spans="1:42" s="224" customFormat="1" ht="15" customHeight="1" x14ac:dyDescent="0.25">
      <c r="A56" s="247">
        <v>46049</v>
      </c>
      <c r="B56" s="882"/>
      <c r="C56" s="879"/>
      <c r="D56" s="879"/>
      <c r="E56" s="871"/>
      <c r="F56" s="780"/>
      <c r="G56" s="982"/>
      <c r="H56" s="95"/>
      <c r="I56" s="1064"/>
      <c r="J56" s="622"/>
      <c r="K56" s="982"/>
      <c r="L56" s="622"/>
      <c r="M56" s="982"/>
      <c r="N56" s="622"/>
      <c r="O56" s="1063"/>
      <c r="P56" s="622"/>
      <c r="Q56" s="982"/>
      <c r="R56" s="1028"/>
      <c r="U56" s="958"/>
    </row>
    <row r="57" spans="1:42" s="224" customFormat="1" ht="15" customHeight="1" x14ac:dyDescent="0.25">
      <c r="A57" s="247">
        <v>46050</v>
      </c>
      <c r="B57" s="882"/>
      <c r="C57" s="879"/>
      <c r="D57" s="879"/>
      <c r="E57" s="875"/>
      <c r="F57" s="780"/>
      <c r="G57" s="982"/>
      <c r="H57" s="622"/>
      <c r="I57" s="982"/>
      <c r="J57" s="872"/>
      <c r="K57" s="1207"/>
      <c r="L57" s="622"/>
      <c r="M57" s="982"/>
      <c r="N57" s="622"/>
      <c r="O57" s="1063"/>
      <c r="P57" s="622"/>
      <c r="Q57" s="982"/>
      <c r="R57" s="1028"/>
      <c r="S57" s="959"/>
      <c r="T57" s="878"/>
      <c r="U57" s="958"/>
    </row>
    <row r="58" spans="1:42" s="224" customFormat="1" ht="15" customHeight="1" x14ac:dyDescent="0.25">
      <c r="A58" s="247">
        <v>46051</v>
      </c>
      <c r="B58" s="882"/>
      <c r="C58" s="879"/>
      <c r="D58" s="879"/>
      <c r="E58" s="875"/>
      <c r="F58" s="780"/>
      <c r="G58" s="982"/>
      <c r="H58" s="622"/>
      <c r="I58" s="982"/>
      <c r="J58" s="622"/>
      <c r="K58" s="982"/>
      <c r="L58" s="622"/>
      <c r="M58" s="982"/>
      <c r="N58" s="880"/>
      <c r="O58" s="1525"/>
      <c r="P58" s="613"/>
      <c r="Q58" s="162"/>
      <c r="R58" s="1956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</row>
    <row r="59" spans="1:42" s="224" customFormat="1" ht="15" customHeight="1" x14ac:dyDescent="0.25">
      <c r="A59" s="247">
        <v>46052</v>
      </c>
      <c r="B59" s="882"/>
      <c r="C59" s="879"/>
      <c r="D59" s="879"/>
      <c r="E59" s="875"/>
      <c r="F59" s="780"/>
      <c r="G59" s="982"/>
      <c r="H59" s="622"/>
      <c r="I59" s="982"/>
      <c r="J59" s="622"/>
      <c r="K59" s="982"/>
      <c r="L59" s="622"/>
      <c r="M59" s="982"/>
      <c r="N59" s="880"/>
      <c r="O59" s="1525"/>
      <c r="P59" s="613"/>
      <c r="Q59" s="162"/>
      <c r="R59" s="1956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</row>
    <row r="60" spans="1:42" s="224" customFormat="1" ht="15" customHeight="1" x14ac:dyDescent="0.25">
      <c r="A60" s="247">
        <v>46053</v>
      </c>
      <c r="B60" s="364"/>
      <c r="C60" s="350"/>
      <c r="D60" s="350"/>
      <c r="E60" s="875"/>
      <c r="F60" s="780"/>
      <c r="G60" s="982"/>
      <c r="H60" s="1008"/>
      <c r="I60" s="1063"/>
      <c r="J60" s="1116"/>
      <c r="K60" s="1207"/>
      <c r="L60" s="622"/>
      <c r="M60" s="982"/>
      <c r="N60" s="622"/>
      <c r="O60" s="1063"/>
      <c r="P60" s="622"/>
      <c r="Q60" s="982"/>
      <c r="R60" s="861"/>
      <c r="T60" s="1035"/>
    </row>
    <row r="61" spans="1:42" s="224" customFormat="1" ht="15" customHeight="1" x14ac:dyDescent="0.25">
      <c r="A61" s="247">
        <v>46053</v>
      </c>
      <c r="B61" s="882"/>
      <c r="C61" s="879"/>
      <c r="D61" s="879"/>
      <c r="E61" s="871"/>
      <c r="F61" s="780"/>
      <c r="G61" s="982"/>
      <c r="H61" s="622"/>
      <c r="I61" s="982"/>
      <c r="J61" s="622"/>
      <c r="K61" s="982"/>
      <c r="L61" s="622"/>
      <c r="M61" s="982"/>
      <c r="N61" s="622"/>
      <c r="O61" s="1063"/>
      <c r="P61" s="622"/>
      <c r="Q61" s="982"/>
      <c r="R61" s="1028"/>
      <c r="S61" s="959"/>
      <c r="T61" s="878"/>
      <c r="U61" s="958"/>
    </row>
    <row r="62" spans="1:42" s="224" customFormat="1" ht="15" customHeight="1" x14ac:dyDescent="0.25">
      <c r="A62" s="247">
        <v>46053</v>
      </c>
      <c r="B62" s="364"/>
      <c r="C62" s="350"/>
      <c r="D62" s="350"/>
      <c r="E62" s="875"/>
      <c r="F62" s="780"/>
      <c r="G62" s="982"/>
      <c r="H62" s="1008"/>
      <c r="I62" s="1063"/>
      <c r="J62" s="622"/>
      <c r="K62" s="982"/>
      <c r="L62" s="622"/>
      <c r="M62" s="982"/>
      <c r="N62" s="622"/>
      <c r="O62" s="1063"/>
      <c r="P62" s="622"/>
      <c r="Q62" s="982"/>
      <c r="R62" s="2722"/>
      <c r="T62" s="1035"/>
    </row>
    <row r="63" spans="1:42" s="224" customFormat="1" ht="15" customHeight="1" thickBot="1" x14ac:dyDescent="0.3">
      <c r="A63" s="247">
        <v>46053</v>
      </c>
      <c r="B63" s="349" t="s">
        <v>8335</v>
      </c>
      <c r="C63" s="350" t="s">
        <v>12</v>
      </c>
      <c r="D63" s="350"/>
      <c r="E63" s="480" t="s">
        <v>25</v>
      </c>
      <c r="F63" s="2551"/>
      <c r="G63" s="1522"/>
      <c r="H63" s="95"/>
      <c r="I63" s="1063"/>
      <c r="J63" s="622"/>
      <c r="K63" s="2848"/>
      <c r="L63" s="622"/>
      <c r="M63" s="982"/>
      <c r="N63" s="622"/>
      <c r="O63" s="2848"/>
      <c r="P63" s="622"/>
      <c r="Q63" s="982"/>
      <c r="R63" s="2585">
        <f>I63+K63+M63+O63</f>
        <v>0</v>
      </c>
      <c r="S63" s="3006">
        <v>46021</v>
      </c>
      <c r="T63" s="927"/>
      <c r="U63" s="999"/>
    </row>
    <row r="64" spans="1:42" ht="25.5" customHeight="1" thickBot="1" x14ac:dyDescent="0.3">
      <c r="A64" s="3060"/>
      <c r="B64" s="3061"/>
      <c r="C64" s="3062"/>
      <c r="D64" s="3062"/>
      <c r="E64" s="3062"/>
      <c r="F64" s="1023">
        <f>SUM(F6:F63)</f>
        <v>1795.62</v>
      </c>
      <c r="G64" s="1065">
        <f>SUM(G5:G63)</f>
        <v>2964.1134285714725</v>
      </c>
      <c r="H64" s="517">
        <f>SUM(H6:H63)</f>
        <v>0</v>
      </c>
      <c r="I64" s="93">
        <f>SUM(I5:I63)</f>
        <v>1711.6399999999999</v>
      </c>
      <c r="J64" s="517">
        <f>SUM(J6:J63)</f>
        <v>0</v>
      </c>
      <c r="K64" s="93">
        <f>SUM(K5:K63)</f>
        <v>8245.5800000000054</v>
      </c>
      <c r="L64" s="1023">
        <f>SUM(L6:L63)</f>
        <v>0</v>
      </c>
      <c r="M64" s="93">
        <f>SUM(M5:M63)</f>
        <v>216.99</v>
      </c>
      <c r="N64" s="1023">
        <f>SUM(N6:N63)</f>
        <v>0</v>
      </c>
      <c r="O64" s="93">
        <f>SUM(O5:O63)</f>
        <v>6339.9800000000014</v>
      </c>
      <c r="P64" s="1023">
        <f>SUM(P6:P63)</f>
        <v>0</v>
      </c>
      <c r="Q64" s="93">
        <f>SUM(Q5:Q63)</f>
        <v>8452.4059847200078</v>
      </c>
      <c r="S64" s="216"/>
    </row>
    <row r="65" spans="1:26" ht="25.5" customHeight="1" thickBot="1" x14ac:dyDescent="0.3">
      <c r="A65" s="3063" t="s">
        <v>49</v>
      </c>
      <c r="B65" s="3064"/>
      <c r="C65" s="3064"/>
      <c r="D65" s="3064"/>
      <c r="E65" s="3064"/>
      <c r="F65" s="2046" t="s">
        <v>280</v>
      </c>
      <c r="G65" s="1066">
        <f>G64-F64</f>
        <v>1168.4934285714726</v>
      </c>
      <c r="H65" s="1221"/>
      <c r="I65" s="772">
        <f>I64-H64</f>
        <v>1711.6399999999999</v>
      </c>
      <c r="J65" s="1221"/>
      <c r="K65" s="772">
        <f>K64-J64</f>
        <v>8245.5800000000054</v>
      </c>
      <c r="L65" s="1222"/>
      <c r="M65" s="772">
        <f>M64-L64</f>
        <v>216.99</v>
      </c>
      <c r="N65" s="1222"/>
      <c r="O65" s="772">
        <f>O64-N64</f>
        <v>6339.9800000000014</v>
      </c>
      <c r="P65" s="1222"/>
      <c r="Q65" s="772">
        <f>Q64-P64</f>
        <v>8452.4059847200078</v>
      </c>
      <c r="R65" s="484">
        <f>M65+O65+Q65</f>
        <v>15009.375984720009</v>
      </c>
    </row>
    <row r="66" spans="1:26" x14ac:dyDescent="0.25">
      <c r="J66" s="1210"/>
      <c r="K66" s="1038"/>
      <c r="M66" s="1238">
        <f>M65/R65</f>
        <v>1.4456963448773771E-2</v>
      </c>
      <c r="O66" s="1238">
        <f>O65/R65</f>
        <v>0.42240130478803978</v>
      </c>
      <c r="P66" s="1239"/>
      <c r="Q66" s="1239">
        <f>Q65/R65</f>
        <v>0.56314173176318649</v>
      </c>
      <c r="R66" s="867"/>
      <c r="S66" s="867"/>
      <c r="T66" s="79"/>
      <c r="W66" s="518"/>
      <c r="X66" s="216"/>
      <c r="Z66" s="877"/>
    </row>
    <row r="67" spans="1:26" x14ac:dyDescent="0.25">
      <c r="B67" s="81" t="s">
        <v>3</v>
      </c>
      <c r="C67" s="193" t="s">
        <v>1484</v>
      </c>
      <c r="D67" s="970" t="s">
        <v>2378</v>
      </c>
      <c r="E67" s="193" t="s">
        <v>3216</v>
      </c>
      <c r="F67" s="1061" t="s">
        <v>3217</v>
      </c>
      <c r="G67" s="216"/>
      <c r="I67" s="216"/>
      <c r="J67" s="1038"/>
      <c r="K67" s="216"/>
      <c r="M67" s="866"/>
      <c r="O67" s="866"/>
      <c r="P67" s="1038"/>
      <c r="Q67" s="1038"/>
      <c r="R67" s="865"/>
      <c r="S67" s="867"/>
    </row>
    <row r="68" spans="1:26" x14ac:dyDescent="0.25">
      <c r="B68" s="79" t="s">
        <v>32</v>
      </c>
      <c r="C68" s="85" t="s">
        <v>1485</v>
      </c>
      <c r="D68" s="796">
        <f t="shared" ref="D68:D84" si="0">SUMIF($D$8:$D$63,C68,$F$8:$F$63)</f>
        <v>0</v>
      </c>
      <c r="E68" s="1202">
        <f t="shared" ref="E68:E84" si="1">D68/$K$88</f>
        <v>0</v>
      </c>
      <c r="F68" s="1203">
        <f t="shared" ref="F68:F84" si="2">E68/$E$89</f>
        <v>0</v>
      </c>
      <c r="G68" s="800"/>
      <c r="I68" s="769"/>
      <c r="J68" s="1038"/>
      <c r="K68" s="1225"/>
      <c r="M68" s="886"/>
      <c r="O68" s="886"/>
      <c r="P68" s="886"/>
      <c r="Q68" s="1038">
        <v>24197.98</v>
      </c>
      <c r="R68" s="1038" t="s">
        <v>6378</v>
      </c>
      <c r="S68" s="1210"/>
      <c r="U68" s="1201"/>
      <c r="V68" s="877"/>
    </row>
    <row r="69" spans="1:26" x14ac:dyDescent="0.25">
      <c r="B69" s="79" t="s">
        <v>2187</v>
      </c>
      <c r="C69" s="85" t="s">
        <v>2157</v>
      </c>
      <c r="D69" s="796">
        <f t="shared" si="0"/>
        <v>0</v>
      </c>
      <c r="E69" s="1202">
        <f>D69/$K$88</f>
        <v>0</v>
      </c>
      <c r="F69" s="1203">
        <f t="shared" si="2"/>
        <v>0</v>
      </c>
      <c r="G69" s="609"/>
      <c r="J69" s="2125"/>
      <c r="K69" s="1129"/>
      <c r="M69" s="1210"/>
      <c r="O69" s="1038"/>
      <c r="P69" s="1210"/>
      <c r="Q69" s="1210">
        <f>Q65+Q68</f>
        <v>32650.385984720007</v>
      </c>
      <c r="R69" s="1038" t="s">
        <v>6379</v>
      </c>
      <c r="U69" s="877"/>
      <c r="V69" s="877"/>
    </row>
    <row r="70" spans="1:26" s="85" customFormat="1" x14ac:dyDescent="0.25">
      <c r="A70" s="79"/>
      <c r="B70" s="79" t="s">
        <v>50</v>
      </c>
      <c r="C70" s="85" t="s">
        <v>1493</v>
      </c>
      <c r="D70" s="796">
        <f t="shared" si="0"/>
        <v>0</v>
      </c>
      <c r="E70" s="1202">
        <f t="shared" si="1"/>
        <v>0</v>
      </c>
      <c r="F70" s="1203">
        <f t="shared" si="2"/>
        <v>0</v>
      </c>
      <c r="J70" s="1038"/>
      <c r="K70" s="2833"/>
      <c r="L70" s="177"/>
      <c r="M70" s="941"/>
      <c r="N70" s="877"/>
      <c r="O70" s="863"/>
      <c r="Q70" s="79"/>
      <c r="R70" s="177"/>
      <c r="U70" s="877"/>
      <c r="V70" s="877"/>
    </row>
    <row r="71" spans="1:26" s="85" customFormat="1" x14ac:dyDescent="0.25">
      <c r="A71" s="79"/>
      <c r="B71" s="79" t="s">
        <v>14</v>
      </c>
      <c r="C71" s="85" t="s">
        <v>1486</v>
      </c>
      <c r="D71" s="796">
        <f t="shared" si="0"/>
        <v>0</v>
      </c>
      <c r="E71" s="1202">
        <f t="shared" si="1"/>
        <v>0</v>
      </c>
      <c r="F71" s="1203">
        <f t="shared" si="2"/>
        <v>0</v>
      </c>
      <c r="G71" s="79"/>
      <c r="H71" s="79"/>
      <c r="J71" s="1038"/>
      <c r="K71" s="2834"/>
      <c r="L71" s="863"/>
      <c r="M71" s="941"/>
      <c r="N71" s="877"/>
      <c r="O71" s="1038"/>
      <c r="R71" s="177"/>
      <c r="U71" s="877"/>
      <c r="V71" s="877"/>
    </row>
    <row r="72" spans="1:26" s="85" customFormat="1" x14ac:dyDescent="0.25">
      <c r="B72" s="79" t="s">
        <v>51</v>
      </c>
      <c r="C72" s="864" t="s">
        <v>1499</v>
      </c>
      <c r="D72" s="796">
        <f t="shared" si="0"/>
        <v>0</v>
      </c>
      <c r="E72" s="1202">
        <f t="shared" si="1"/>
        <v>0</v>
      </c>
      <c r="F72" s="1203">
        <f t="shared" si="2"/>
        <v>0</v>
      </c>
      <c r="G72" s="79"/>
      <c r="H72" s="79"/>
      <c r="I72" s="79"/>
      <c r="J72" s="1038"/>
      <c r="K72" s="2834"/>
      <c r="L72" s="863"/>
      <c r="M72" s="941"/>
      <c r="N72" s="877"/>
      <c r="O72" s="1038"/>
      <c r="P72" s="1210"/>
      <c r="Q72" s="1038"/>
      <c r="R72" s="177"/>
      <c r="U72" s="877"/>
      <c r="V72" s="877"/>
    </row>
    <row r="73" spans="1:26" s="85" customFormat="1" x14ac:dyDescent="0.25">
      <c r="A73" s="79"/>
      <c r="B73" s="79" t="s">
        <v>2189</v>
      </c>
      <c r="C73" s="864" t="s">
        <v>1496</v>
      </c>
      <c r="D73" s="796">
        <f t="shared" si="0"/>
        <v>0</v>
      </c>
      <c r="E73" s="1202">
        <f t="shared" si="1"/>
        <v>0</v>
      </c>
      <c r="F73" s="1203">
        <f t="shared" si="2"/>
        <v>0</v>
      </c>
      <c r="G73" s="79"/>
      <c r="L73" s="177"/>
      <c r="M73" s="941"/>
      <c r="O73" s="177"/>
      <c r="R73" s="177"/>
      <c r="U73" s="877"/>
      <c r="V73" s="877"/>
    </row>
    <row r="74" spans="1:26" s="85" customFormat="1" x14ac:dyDescent="0.25">
      <c r="A74" s="79"/>
      <c r="B74" s="867" t="s">
        <v>53</v>
      </c>
      <c r="C74" s="864" t="s">
        <v>1522</v>
      </c>
      <c r="D74" s="796">
        <f t="shared" si="0"/>
        <v>0</v>
      </c>
      <c r="E74" s="1202">
        <f t="shared" si="1"/>
        <v>0</v>
      </c>
      <c r="F74" s="1203">
        <f t="shared" si="2"/>
        <v>0</v>
      </c>
      <c r="J74" s="1038"/>
      <c r="K74" s="2834"/>
      <c r="L74" s="863"/>
      <c r="M74" s="941"/>
      <c r="O74" s="177"/>
      <c r="P74" s="868"/>
      <c r="Q74" s="769"/>
      <c r="R74" s="79"/>
      <c r="U74" s="877"/>
      <c r="V74" s="877"/>
    </row>
    <row r="75" spans="1:26" s="85" customFormat="1" x14ac:dyDescent="0.25">
      <c r="A75" s="79"/>
      <c r="B75" s="79" t="s">
        <v>3048</v>
      </c>
      <c r="C75" s="864" t="s">
        <v>1523</v>
      </c>
      <c r="D75" s="796">
        <f t="shared" si="0"/>
        <v>0</v>
      </c>
      <c r="E75" s="1202">
        <f t="shared" si="1"/>
        <v>0</v>
      </c>
      <c r="F75" s="1203">
        <f t="shared" si="2"/>
        <v>0</v>
      </c>
      <c r="G75" s="866"/>
      <c r="J75" s="1038"/>
      <c r="K75" s="2834"/>
      <c r="L75" s="863"/>
      <c r="M75" s="941"/>
      <c r="O75" s="177"/>
      <c r="P75" s="866"/>
      <c r="Q75" s="1210"/>
      <c r="R75" s="877"/>
      <c r="U75" s="877"/>
      <c r="V75" s="877"/>
    </row>
    <row r="76" spans="1:26" s="85" customFormat="1" x14ac:dyDescent="0.25">
      <c r="A76" s="79"/>
      <c r="B76" s="79" t="s">
        <v>1686</v>
      </c>
      <c r="C76" s="864" t="s">
        <v>1506</v>
      </c>
      <c r="D76" s="796">
        <f t="shared" si="0"/>
        <v>0</v>
      </c>
      <c r="E76" s="1202">
        <f t="shared" si="1"/>
        <v>0</v>
      </c>
      <c r="F76" s="1203">
        <f t="shared" si="2"/>
        <v>0</v>
      </c>
      <c r="G76" s="868"/>
      <c r="J76" s="1038"/>
      <c r="K76" s="2834"/>
      <c r="L76" s="863"/>
      <c r="M76" s="941"/>
      <c r="O76" s="177"/>
      <c r="P76" s="1226"/>
      <c r="Q76" s="1129"/>
      <c r="R76" s="877"/>
      <c r="U76" s="877"/>
      <c r="V76" s="877"/>
    </row>
    <row r="77" spans="1:26" x14ac:dyDescent="0.25">
      <c r="B77" s="79" t="s">
        <v>418</v>
      </c>
      <c r="C77" s="85" t="s">
        <v>1524</v>
      </c>
      <c r="D77" s="796">
        <f t="shared" si="0"/>
        <v>0</v>
      </c>
      <c r="E77" s="1202">
        <f t="shared" si="1"/>
        <v>0</v>
      </c>
      <c r="F77" s="1203">
        <f t="shared" si="2"/>
        <v>0</v>
      </c>
      <c r="G77" s="85"/>
      <c r="H77" s="85"/>
      <c r="I77" s="85"/>
      <c r="J77" s="1038"/>
      <c r="K77" s="2834"/>
      <c r="L77" s="863"/>
      <c r="M77" s="941"/>
      <c r="N77" s="769"/>
      <c r="O77" s="216"/>
      <c r="P77" s="1038"/>
      <c r="Q77" s="1226"/>
      <c r="R77" s="877"/>
      <c r="U77" s="877"/>
      <c r="V77" s="877"/>
    </row>
    <row r="78" spans="1:26" x14ac:dyDescent="0.25">
      <c r="B78" s="79" t="s">
        <v>6732</v>
      </c>
      <c r="C78" s="85" t="s">
        <v>1491</v>
      </c>
      <c r="D78" s="796">
        <f t="shared" si="0"/>
        <v>0</v>
      </c>
      <c r="E78" s="1202">
        <f t="shared" si="1"/>
        <v>0</v>
      </c>
      <c r="F78" s="1203">
        <f t="shared" si="2"/>
        <v>0</v>
      </c>
      <c r="I78" s="85"/>
      <c r="J78" s="1038"/>
      <c r="K78" s="1038"/>
      <c r="L78" s="866"/>
      <c r="M78" s="2835"/>
      <c r="N78" s="216"/>
      <c r="O78" s="216"/>
      <c r="Q78" s="484"/>
      <c r="R78" s="877"/>
      <c r="U78" s="877"/>
      <c r="V78" s="877"/>
    </row>
    <row r="79" spans="1:26" x14ac:dyDescent="0.25">
      <c r="B79" s="79" t="s">
        <v>6733</v>
      </c>
      <c r="C79" s="85" t="s">
        <v>6731</v>
      </c>
      <c r="D79" s="796">
        <f t="shared" si="0"/>
        <v>0</v>
      </c>
      <c r="E79" s="1202">
        <f t="shared" si="1"/>
        <v>0</v>
      </c>
      <c r="F79" s="1203">
        <f t="shared" si="2"/>
        <v>0</v>
      </c>
      <c r="I79" s="85"/>
      <c r="J79" s="1210"/>
      <c r="K79" s="1038"/>
      <c r="N79" s="216"/>
      <c r="O79" s="216"/>
      <c r="Q79" s="484"/>
      <c r="R79" s="877"/>
      <c r="U79" s="877"/>
      <c r="V79" s="877"/>
    </row>
    <row r="80" spans="1:26" x14ac:dyDescent="0.25">
      <c r="B80" s="79" t="s">
        <v>5439</v>
      </c>
      <c r="C80" s="85" t="s">
        <v>1525</v>
      </c>
      <c r="D80" s="796">
        <f t="shared" si="0"/>
        <v>0</v>
      </c>
      <c r="E80" s="1202">
        <f t="shared" si="1"/>
        <v>0</v>
      </c>
      <c r="F80" s="1203">
        <f t="shared" si="2"/>
        <v>0</v>
      </c>
      <c r="J80" s="1210"/>
      <c r="K80" s="1038"/>
      <c r="O80" s="216"/>
      <c r="Q80" s="484"/>
      <c r="R80" s="1673"/>
      <c r="U80" s="877"/>
      <c r="V80" s="877"/>
    </row>
    <row r="81" spans="1:24" x14ac:dyDescent="0.25">
      <c r="B81" s="79" t="s">
        <v>1526</v>
      </c>
      <c r="C81" s="85" t="s">
        <v>1504</v>
      </c>
      <c r="D81" s="796">
        <f t="shared" si="0"/>
        <v>0</v>
      </c>
      <c r="E81" s="1202">
        <f t="shared" si="1"/>
        <v>0</v>
      </c>
      <c r="F81" s="1203">
        <f t="shared" si="2"/>
        <v>0</v>
      </c>
      <c r="J81" s="1210"/>
      <c r="K81" s="1038"/>
      <c r="L81" s="769"/>
      <c r="N81" s="769"/>
      <c r="O81" s="886"/>
      <c r="P81" s="1210"/>
      <c r="Q81" s="1038"/>
      <c r="R81" s="1129"/>
      <c r="T81" s="1129"/>
      <c r="U81" s="877"/>
      <c r="V81" s="877"/>
    </row>
    <row r="82" spans="1:24" x14ac:dyDescent="0.25">
      <c r="B82" s="79" t="s">
        <v>2343</v>
      </c>
      <c r="C82" s="85" t="s">
        <v>2315</v>
      </c>
      <c r="D82" s="796">
        <f t="shared" si="0"/>
        <v>0</v>
      </c>
      <c r="E82" s="1202">
        <f t="shared" si="1"/>
        <v>0</v>
      </c>
      <c r="F82" s="1203">
        <f t="shared" si="2"/>
        <v>0</v>
      </c>
      <c r="J82" s="1210"/>
      <c r="K82" s="1038"/>
      <c r="L82" s="769"/>
      <c r="M82" s="1210"/>
      <c r="N82" s="769"/>
      <c r="O82" s="1673"/>
      <c r="P82" s="1210"/>
      <c r="Q82" s="1038"/>
      <c r="R82" s="1129"/>
      <c r="T82" s="1129"/>
      <c r="U82" s="877"/>
      <c r="V82" s="877"/>
    </row>
    <row r="83" spans="1:24" x14ac:dyDescent="0.25">
      <c r="B83" s="79" t="s">
        <v>3019</v>
      </c>
      <c r="C83" s="85" t="s">
        <v>3017</v>
      </c>
      <c r="D83" s="796">
        <f t="shared" si="0"/>
        <v>0</v>
      </c>
      <c r="E83" s="1202">
        <f t="shared" si="1"/>
        <v>0</v>
      </c>
      <c r="F83" s="1203">
        <f t="shared" si="2"/>
        <v>0</v>
      </c>
      <c r="J83" s="1210"/>
      <c r="K83" s="1038"/>
      <c r="L83" s="769"/>
      <c r="N83" s="769"/>
      <c r="P83" s="941"/>
      <c r="Q83" s="224"/>
      <c r="R83" s="1226"/>
      <c r="S83" s="1129"/>
      <c r="T83" s="1129"/>
      <c r="U83" s="877"/>
      <c r="V83" s="877"/>
    </row>
    <row r="84" spans="1:24" ht="15.75" thickBot="1" x14ac:dyDescent="0.3">
      <c r="B84" s="301" t="s">
        <v>1527</v>
      </c>
      <c r="C84" s="2400" t="s">
        <v>1489</v>
      </c>
      <c r="D84" s="2401">
        <f t="shared" si="0"/>
        <v>0</v>
      </c>
      <c r="E84" s="2402">
        <f t="shared" si="1"/>
        <v>0</v>
      </c>
      <c r="F84" s="2403">
        <f t="shared" si="2"/>
        <v>0</v>
      </c>
      <c r="J84" s="1210"/>
      <c r="K84" s="1038"/>
      <c r="P84" s="1210"/>
      <c r="Q84" s="1038"/>
      <c r="R84" s="1226"/>
      <c r="S84" s="1129"/>
      <c r="T84" s="1129"/>
      <c r="U84" s="877"/>
      <c r="V84" s="877"/>
    </row>
    <row r="85" spans="1:24" x14ac:dyDescent="0.25">
      <c r="B85" s="1124" t="s">
        <v>6790</v>
      </c>
      <c r="C85" s="1124"/>
      <c r="D85" s="1125">
        <f>SUMIF($B$15:$B$63,"Crédito Gasolina",$G$15:$G$63)</f>
        <v>0</v>
      </c>
      <c r="E85" s="1138">
        <f>D85/K88</f>
        <v>0</v>
      </c>
      <c r="F85" s="2979">
        <f>SUM(F68:F84)</f>
        <v>0</v>
      </c>
      <c r="G85" s="1129"/>
      <c r="J85" s="2037"/>
      <c r="K85" s="629"/>
      <c r="P85" s="1210"/>
      <c r="Q85" s="1038"/>
      <c r="R85" s="1227"/>
      <c r="S85" s="1129"/>
      <c r="T85" s="1129"/>
      <c r="U85" s="877"/>
      <c r="V85" s="877"/>
    </row>
    <row r="86" spans="1:24" x14ac:dyDescent="0.25">
      <c r="B86" s="1124" t="s">
        <v>6329</v>
      </c>
      <c r="C86" s="1124"/>
      <c r="D86" s="1125">
        <f>SUMIF($B$16:$B$63,"Trabalho Art frutt",$G$16:$G$63)</f>
        <v>0</v>
      </c>
      <c r="E86" s="1138">
        <f>D86/K88</f>
        <v>0</v>
      </c>
      <c r="F86" s="1124"/>
      <c r="J86" s="2037"/>
      <c r="K86" s="629"/>
      <c r="P86" s="1210"/>
      <c r="Q86" s="1038"/>
      <c r="R86" s="1227"/>
      <c r="S86" s="1129"/>
      <c r="T86" s="1129"/>
      <c r="U86" s="877"/>
      <c r="V86" s="877"/>
    </row>
    <row r="87" spans="1:24" x14ac:dyDescent="0.25">
      <c r="B87" s="1124"/>
      <c r="C87" s="1124"/>
      <c r="D87" s="1125"/>
      <c r="E87" s="1138"/>
      <c r="F87" s="1124"/>
      <c r="J87" s="2037"/>
      <c r="K87" s="629"/>
      <c r="L87" s="459" t="s">
        <v>6481</v>
      </c>
      <c r="M87" s="2125" t="s">
        <v>6482</v>
      </c>
      <c r="P87" s="1210"/>
      <c r="Q87" s="1038"/>
      <c r="R87" s="1227"/>
      <c r="T87" s="1129"/>
      <c r="U87" s="877"/>
      <c r="V87" s="877"/>
    </row>
    <row r="88" spans="1:24" x14ac:dyDescent="0.25">
      <c r="C88" s="3168" t="s">
        <v>486</v>
      </c>
      <c r="D88" s="3168"/>
      <c r="E88" s="863">
        <f>J88/K88</f>
        <v>0</v>
      </c>
      <c r="G88" s="518" t="s">
        <v>487</v>
      </c>
      <c r="J88" s="629">
        <f>SUM(D68:D84)</f>
        <v>0</v>
      </c>
      <c r="K88" s="1517">
        <v>1</v>
      </c>
      <c r="M88" s="1138">
        <f>5316.5+D86-J89</f>
        <v>5316.5</v>
      </c>
      <c r="N88" s="216"/>
      <c r="O88" s="1517"/>
      <c r="P88" s="1210"/>
      <c r="Q88" s="1038"/>
      <c r="R88" s="1226"/>
      <c r="S88" s="1129"/>
      <c r="T88" s="1129"/>
      <c r="U88" s="877"/>
      <c r="V88" s="877"/>
    </row>
    <row r="89" spans="1:24" ht="15.75" customHeight="1" x14ac:dyDescent="0.25">
      <c r="B89" s="3167" t="s">
        <v>7452</v>
      </c>
      <c r="C89" s="3167"/>
      <c r="D89" s="3167"/>
      <c r="E89" s="1125">
        <f>5316.5/30</f>
        <v>177.21666666666667</v>
      </c>
      <c r="G89" s="518" t="s">
        <v>6257</v>
      </c>
      <c r="J89" s="609">
        <f>J88-D77</f>
        <v>0</v>
      </c>
      <c r="K89" s="629"/>
      <c r="M89" s="868"/>
      <c r="O89" s="868"/>
      <c r="P89" s="1210"/>
      <c r="Q89" s="1038"/>
      <c r="R89" s="1226"/>
      <c r="S89" s="1129"/>
      <c r="T89" s="1129"/>
      <c r="U89" s="877"/>
      <c r="V89" s="877"/>
    </row>
    <row r="90" spans="1:24" x14ac:dyDescent="0.25">
      <c r="A90" s="518"/>
      <c r="C90" s="79"/>
      <c r="D90" s="79"/>
      <c r="E90" s="769"/>
      <c r="F90" s="866"/>
      <c r="G90" s="769"/>
      <c r="H90" s="866"/>
      <c r="I90" s="1210"/>
      <c r="J90" s="867"/>
      <c r="K90" s="866"/>
      <c r="L90" s="1038"/>
      <c r="M90" s="1210"/>
      <c r="N90" s="1038"/>
      <c r="O90" s="1210"/>
      <c r="P90" s="1210"/>
      <c r="Q90" s="1038"/>
      <c r="R90" s="769"/>
      <c r="S90" s="484" t="s">
        <v>280</v>
      </c>
      <c r="T90" s="216"/>
      <c r="U90" s="866"/>
      <c r="V90" s="484"/>
      <c r="X90" s="877"/>
    </row>
    <row r="91" spans="1:24" s="518" customFormat="1" x14ac:dyDescent="0.25">
      <c r="A91" s="79"/>
      <c r="B91" s="79"/>
      <c r="C91" s="79"/>
      <c r="D91" s="79"/>
      <c r="E91" s="1126">
        <f>E89-E88</f>
        <v>177.21666666666667</v>
      </c>
      <c r="F91" s="2980">
        <f>E88/E89</f>
        <v>0</v>
      </c>
      <c r="G91" s="85"/>
      <c r="H91" s="85"/>
      <c r="I91" s="89"/>
      <c r="J91" s="1210"/>
      <c r="K91" s="754"/>
      <c r="L91" s="79"/>
      <c r="M91" s="79"/>
      <c r="N91" s="79"/>
      <c r="O91" s="79"/>
      <c r="P91" s="1210"/>
      <c r="Q91" s="1038"/>
      <c r="R91" s="79"/>
      <c r="S91" s="79"/>
      <c r="T91" s="866"/>
      <c r="U91" s="484"/>
      <c r="V91" s="79"/>
      <c r="W91" s="877"/>
      <c r="X91" s="79"/>
    </row>
    <row r="92" spans="1:24" s="518" customFormat="1" x14ac:dyDescent="0.25">
      <c r="A92" s="79"/>
      <c r="B92" s="79"/>
      <c r="C92" s="79"/>
      <c r="D92" s="79"/>
      <c r="E92" s="85"/>
      <c r="J92" s="1038"/>
      <c r="K92" s="1225"/>
      <c r="Q92" s="1038"/>
      <c r="R92" s="484"/>
      <c r="S92" s="79"/>
      <c r="T92" s="877"/>
      <c r="U92" s="79"/>
    </row>
    <row r="93" spans="1:24" s="518" customFormat="1" x14ac:dyDescent="0.25">
      <c r="A93" s="79"/>
      <c r="B93" s="1124" t="s">
        <v>6376</v>
      </c>
      <c r="C93" s="2125"/>
      <c r="D93" s="2219">
        <f>SUMIF($E$8:$E$63,"crédito",$G$8:$G$63)</f>
        <v>0</v>
      </c>
      <c r="E93" s="85"/>
      <c r="F93" s="89"/>
      <c r="G93" s="79"/>
      <c r="H93" s="79"/>
      <c r="I93" s="79"/>
      <c r="J93" s="1038"/>
      <c r="K93" s="1225"/>
      <c r="L93" s="769"/>
      <c r="M93" s="866"/>
      <c r="N93" s="769"/>
      <c r="O93" s="866"/>
      <c r="P93" s="1210"/>
      <c r="Q93" s="1038"/>
      <c r="R93" s="484"/>
      <c r="S93" s="79"/>
      <c r="T93" s="877"/>
      <c r="U93" s="79"/>
    </row>
    <row r="94" spans="1:24" s="518" customFormat="1" x14ac:dyDescent="0.25">
      <c r="A94" s="79"/>
      <c r="B94" s="518" t="s">
        <v>6496</v>
      </c>
      <c r="C94" s="459"/>
      <c r="D94" s="2218">
        <f>SUM(D68:D84)-D77</f>
        <v>0</v>
      </c>
      <c r="E94" s="85"/>
      <c r="F94" s="89"/>
      <c r="G94" s="79"/>
      <c r="H94" s="79"/>
      <c r="I94" s="216"/>
      <c r="J94" s="864"/>
      <c r="K94" s="877"/>
      <c r="L94" s="769"/>
      <c r="M94" s="866"/>
      <c r="N94" s="769"/>
      <c r="O94" s="866"/>
      <c r="P94" s="1210"/>
      <c r="Q94" s="1038"/>
      <c r="R94" s="484"/>
      <c r="S94" s="79"/>
      <c r="T94" s="877"/>
      <c r="U94" s="79"/>
    </row>
    <row r="95" spans="1:24" s="518" customFormat="1" x14ac:dyDescent="0.25">
      <c r="A95" s="79"/>
      <c r="B95" s="81" t="s">
        <v>6497</v>
      </c>
      <c r="C95" s="81"/>
      <c r="D95" s="1014">
        <f>D93-D94</f>
        <v>0</v>
      </c>
      <c r="E95" s="79"/>
      <c r="F95" s="79"/>
      <c r="G95" s="79"/>
      <c r="H95" s="79"/>
      <c r="J95" s="1038"/>
      <c r="K95" s="877"/>
      <c r="M95" s="866"/>
      <c r="O95" s="866"/>
      <c r="P95" s="1210"/>
      <c r="Q95" s="1038"/>
      <c r="R95" s="484"/>
      <c r="S95" s="79"/>
      <c r="T95" s="877"/>
      <c r="U95" s="79"/>
    </row>
    <row r="96" spans="1:24" s="518" customFormat="1" x14ac:dyDescent="0.25">
      <c r="A96" s="79"/>
      <c r="B96" s="79"/>
      <c r="C96" s="79"/>
      <c r="D96" s="79"/>
      <c r="E96" s="79"/>
      <c r="F96" s="79"/>
      <c r="G96" s="79"/>
      <c r="H96" s="79"/>
      <c r="I96" s="216"/>
      <c r="J96" s="1038"/>
      <c r="K96" s="877"/>
      <c r="L96" s="769"/>
      <c r="M96" s="866"/>
      <c r="N96" s="769"/>
      <c r="O96" s="866"/>
      <c r="P96" s="1210"/>
      <c r="Q96" s="1038"/>
      <c r="R96" s="484"/>
      <c r="S96" s="79"/>
      <c r="T96" s="877"/>
      <c r="U96" s="79"/>
    </row>
    <row r="97" spans="1:21" s="518" customFormat="1" x14ac:dyDescent="0.25">
      <c r="A97" s="79"/>
      <c r="B97" s="79"/>
      <c r="C97" s="79"/>
      <c r="D97" s="79"/>
      <c r="E97" s="79"/>
      <c r="F97" s="79"/>
      <c r="G97" s="216"/>
      <c r="H97" s="79"/>
      <c r="I97" s="216"/>
      <c r="J97" s="1038"/>
      <c r="K97" s="877"/>
      <c r="L97" s="769"/>
      <c r="M97" s="868"/>
      <c r="N97" s="769"/>
      <c r="O97" s="868"/>
      <c r="P97" s="1210"/>
      <c r="Q97" s="1038"/>
      <c r="R97" s="484"/>
      <c r="S97" s="79"/>
      <c r="T97" s="877"/>
      <c r="U97" s="79"/>
    </row>
    <row r="98" spans="1:21" s="518" customFormat="1" x14ac:dyDescent="0.25">
      <c r="A98" s="79"/>
      <c r="B98" s="79"/>
      <c r="C98" s="79"/>
      <c r="D98" s="79"/>
      <c r="E98" s="79"/>
      <c r="F98" s="79"/>
      <c r="G98" s="216"/>
      <c r="H98" s="79"/>
      <c r="I98" s="216"/>
      <c r="J98" s="79"/>
      <c r="K98" s="877"/>
      <c r="L98" s="769"/>
      <c r="M98" s="866"/>
      <c r="N98" s="769"/>
      <c r="O98" s="866"/>
      <c r="P98" s="1210"/>
      <c r="Q98" s="1038"/>
      <c r="R98" s="484"/>
      <c r="S98" s="79"/>
      <c r="T98" s="877"/>
      <c r="U98" s="79"/>
    </row>
    <row r="99" spans="1:21" s="518" customFormat="1" x14ac:dyDescent="0.25">
      <c r="A99" s="79"/>
      <c r="B99" s="79"/>
      <c r="C99" s="79"/>
      <c r="D99" s="79"/>
      <c r="E99" s="79"/>
      <c r="F99" s="79"/>
      <c r="G99" s="216"/>
      <c r="H99" s="79"/>
      <c r="I99" s="79"/>
      <c r="J99" s="85"/>
      <c r="K99" s="877"/>
      <c r="L99" s="770"/>
      <c r="M99" s="866"/>
      <c r="N99" s="770"/>
      <c r="O99" s="866"/>
      <c r="P99" s="1210"/>
      <c r="Q99" s="1038"/>
      <c r="R99" s="484"/>
      <c r="S99" s="79"/>
      <c r="T99" s="877"/>
      <c r="U99" s="79"/>
    </row>
    <row r="100" spans="1:21" s="518" customFormat="1" x14ac:dyDescent="0.25">
      <c r="A100" s="79"/>
      <c r="B100" s="79"/>
      <c r="C100" s="79"/>
      <c r="D100" s="79"/>
      <c r="E100" s="79"/>
      <c r="F100" s="79"/>
      <c r="G100" s="79"/>
      <c r="H100" s="79"/>
      <c r="I100" s="216"/>
      <c r="J100" s="1038"/>
      <c r="K100" s="877"/>
      <c r="L100" s="769"/>
      <c r="M100" s="868"/>
      <c r="N100" s="769"/>
      <c r="O100" s="868"/>
      <c r="P100" s="1210"/>
      <c r="Q100" s="1038"/>
      <c r="R100" s="484"/>
      <c r="S100" s="79"/>
      <c r="T100" s="877"/>
      <c r="U100" s="79"/>
    </row>
    <row r="101" spans="1:21" s="518" customFormat="1" x14ac:dyDescent="0.25">
      <c r="A101" s="79"/>
      <c r="B101" s="79"/>
      <c r="C101" s="85"/>
      <c r="D101" s="85"/>
      <c r="E101" s="85"/>
      <c r="F101" s="89"/>
      <c r="G101" s="79"/>
      <c r="H101" s="79"/>
      <c r="I101" s="79"/>
      <c r="J101" s="85"/>
      <c r="K101" s="877"/>
      <c r="L101" s="769"/>
      <c r="M101" s="866"/>
      <c r="N101" s="769"/>
      <c r="O101" s="866"/>
      <c r="P101" s="1210"/>
      <c r="Q101" s="1038"/>
      <c r="R101" s="484"/>
      <c r="S101" s="79"/>
      <c r="T101" s="877"/>
      <c r="U101" s="79"/>
    </row>
    <row r="102" spans="1:21" s="518" customFormat="1" x14ac:dyDescent="0.25">
      <c r="A102" s="79"/>
      <c r="B102" s="79"/>
      <c r="C102" s="79"/>
      <c r="D102" s="79"/>
      <c r="E102" s="79"/>
      <c r="F102" s="79"/>
      <c r="G102" s="79"/>
      <c r="H102" s="79"/>
      <c r="I102" s="629"/>
      <c r="J102" s="769"/>
      <c r="K102" s="1225"/>
      <c r="L102" s="769"/>
      <c r="M102" s="866"/>
      <c r="N102" s="769"/>
      <c r="O102" s="866"/>
      <c r="P102" s="1210"/>
      <c r="Q102" s="1038"/>
      <c r="R102" s="484"/>
      <c r="S102" s="79"/>
      <c r="T102" s="877"/>
      <c r="U102" s="79"/>
    </row>
    <row r="103" spans="1:21" s="518" customFormat="1" x14ac:dyDescent="0.25">
      <c r="A103" s="79"/>
      <c r="B103" s="79"/>
      <c r="C103" s="85"/>
      <c r="D103" s="85"/>
      <c r="E103" s="85"/>
      <c r="F103" s="89"/>
      <c r="G103" s="79"/>
      <c r="H103" s="79"/>
      <c r="I103" s="79"/>
      <c r="J103" s="79"/>
      <c r="K103" s="79"/>
      <c r="L103" s="769"/>
      <c r="M103" s="866"/>
      <c r="N103" s="769"/>
      <c r="O103" s="866"/>
      <c r="P103" s="1210"/>
      <c r="Q103" s="1038"/>
      <c r="R103" s="484"/>
      <c r="S103" s="79"/>
      <c r="T103" s="877"/>
      <c r="U103" s="79"/>
    </row>
    <row r="104" spans="1:21" s="518" customFormat="1" x14ac:dyDescent="0.25">
      <c r="A104" s="79"/>
      <c r="B104" s="79"/>
      <c r="C104" s="85"/>
      <c r="D104" s="85"/>
      <c r="E104" s="85"/>
      <c r="F104" s="89"/>
      <c r="G104" s="79"/>
      <c r="H104" s="79"/>
      <c r="I104" s="79"/>
      <c r="J104" s="79"/>
      <c r="K104" s="79"/>
      <c r="L104" s="769"/>
      <c r="M104" s="866"/>
      <c r="N104" s="769"/>
      <c r="O104" s="866"/>
      <c r="P104" s="1210"/>
      <c r="Q104" s="1038"/>
      <c r="R104" s="484"/>
      <c r="S104" s="79"/>
      <c r="T104" s="877"/>
      <c r="U104" s="79"/>
    </row>
    <row r="105" spans="1:21" s="518" customFormat="1" x14ac:dyDescent="0.25">
      <c r="A105" s="79"/>
      <c r="B105" s="79"/>
      <c r="C105" s="85"/>
      <c r="D105" s="85"/>
      <c r="E105" s="85"/>
      <c r="F105" s="89"/>
      <c r="G105" s="79"/>
      <c r="H105" s="79"/>
      <c r="I105" s="79"/>
      <c r="J105" s="769"/>
      <c r="K105" s="868"/>
      <c r="L105" s="769"/>
      <c r="M105" s="866"/>
      <c r="N105" s="769"/>
      <c r="O105" s="866"/>
      <c r="P105" s="1210"/>
      <c r="Q105" s="1038"/>
      <c r="R105" s="484"/>
      <c r="S105" s="79"/>
      <c r="T105" s="877"/>
      <c r="U105" s="79"/>
    </row>
    <row r="106" spans="1:21" s="518" customFormat="1" x14ac:dyDescent="0.25">
      <c r="A106" s="79"/>
      <c r="B106" s="79"/>
      <c r="C106" s="85"/>
      <c r="D106" s="85"/>
      <c r="E106" s="85"/>
      <c r="F106" s="89"/>
      <c r="G106" s="79"/>
      <c r="H106" s="79"/>
      <c r="I106" s="79"/>
      <c r="J106" s="769"/>
      <c r="K106" s="868"/>
      <c r="L106" s="769"/>
      <c r="M106" s="866"/>
      <c r="N106" s="769"/>
      <c r="O106" s="866"/>
      <c r="P106" s="1210"/>
      <c r="Q106" s="1038"/>
      <c r="R106" s="484"/>
      <c r="S106" s="79"/>
      <c r="T106" s="877"/>
      <c r="U106" s="79"/>
    </row>
    <row r="107" spans="1:21" s="518" customFormat="1" x14ac:dyDescent="0.25">
      <c r="A107" s="79"/>
      <c r="B107" s="79"/>
      <c r="C107" s="85"/>
      <c r="D107" s="85"/>
      <c r="E107" s="85"/>
      <c r="F107" s="89"/>
      <c r="G107" s="79"/>
      <c r="H107" s="79"/>
      <c r="I107" s="79"/>
      <c r="J107" s="769"/>
      <c r="K107" s="79"/>
      <c r="L107" s="769"/>
      <c r="M107" s="866"/>
      <c r="N107" s="769"/>
      <c r="O107" s="866"/>
      <c r="P107" s="1210"/>
      <c r="Q107" s="1038"/>
      <c r="R107" s="484"/>
      <c r="S107" s="79"/>
      <c r="T107" s="877"/>
      <c r="U107" s="79"/>
    </row>
    <row r="108" spans="1:21" s="518" customFormat="1" x14ac:dyDescent="0.25">
      <c r="A108" s="79"/>
      <c r="B108" s="79"/>
      <c r="C108" s="79"/>
      <c r="D108" s="79"/>
      <c r="E108" s="79"/>
      <c r="F108" s="79"/>
      <c r="G108" s="79"/>
      <c r="H108" s="79"/>
      <c r="I108" s="216"/>
      <c r="J108" s="79"/>
      <c r="K108" s="79"/>
      <c r="L108" s="769"/>
      <c r="M108" s="866"/>
      <c r="N108" s="769"/>
      <c r="O108" s="866"/>
      <c r="P108" s="1210"/>
      <c r="Q108" s="1038"/>
      <c r="R108" s="484"/>
      <c r="S108" s="79"/>
      <c r="T108" s="877"/>
      <c r="U108" s="79"/>
    </row>
    <row r="109" spans="1:21" s="518" customFormat="1" x14ac:dyDescent="0.25">
      <c r="A109" s="79"/>
      <c r="B109" s="79"/>
      <c r="C109" s="79"/>
      <c r="D109" s="79"/>
      <c r="E109" s="79"/>
      <c r="F109" s="79"/>
      <c r="G109" s="79"/>
      <c r="H109" s="79"/>
      <c r="I109" s="216"/>
      <c r="J109" s="79"/>
      <c r="K109" s="79"/>
      <c r="L109" s="769"/>
      <c r="M109" s="866"/>
      <c r="N109" s="769"/>
      <c r="O109" s="866"/>
      <c r="P109" s="1210"/>
      <c r="Q109" s="1038"/>
      <c r="R109" s="484"/>
      <c r="S109" s="79"/>
      <c r="T109" s="877"/>
      <c r="U109" s="79"/>
    </row>
    <row r="110" spans="1:21" s="518" customFormat="1" x14ac:dyDescent="0.25">
      <c r="A110" s="79"/>
      <c r="B110" s="79"/>
      <c r="C110" s="79"/>
      <c r="D110" s="79"/>
      <c r="E110" s="79"/>
      <c r="F110" s="79"/>
      <c r="G110" s="79"/>
      <c r="H110" s="79"/>
      <c r="I110" s="216"/>
      <c r="J110" s="1517"/>
      <c r="K110" s="79"/>
      <c r="L110" s="769"/>
      <c r="M110" s="866"/>
      <c r="N110" s="769"/>
      <c r="O110" s="866"/>
      <c r="R110" s="484"/>
      <c r="S110" s="79"/>
      <c r="T110" s="877"/>
      <c r="U110" s="79"/>
    </row>
    <row r="111" spans="1:21" s="518" customFormat="1" x14ac:dyDescent="0.25">
      <c r="A111" s="79"/>
      <c r="B111" s="79"/>
      <c r="C111" s="79"/>
      <c r="D111" s="79"/>
      <c r="E111" s="79"/>
      <c r="F111" s="79"/>
      <c r="G111" s="79"/>
      <c r="H111" s="79"/>
      <c r="I111" s="216"/>
      <c r="J111" s="79"/>
      <c r="K111" s="868"/>
      <c r="L111" s="769"/>
      <c r="M111" s="866"/>
      <c r="N111" s="769"/>
      <c r="O111" s="866"/>
      <c r="R111" s="484"/>
      <c r="S111" s="79"/>
      <c r="T111" s="877"/>
      <c r="U111" s="79"/>
    </row>
    <row r="112" spans="1:21" s="518" customFormat="1" x14ac:dyDescent="0.25">
      <c r="A112" s="79"/>
      <c r="B112" s="79"/>
      <c r="C112" s="79"/>
      <c r="D112" s="79"/>
      <c r="E112" s="79"/>
      <c r="F112" s="79"/>
      <c r="G112" s="79"/>
      <c r="H112" s="79"/>
      <c r="I112" s="216"/>
      <c r="J112" s="89"/>
      <c r="K112" s="79"/>
      <c r="L112" s="769"/>
      <c r="M112" s="868"/>
      <c r="N112" s="769"/>
      <c r="O112" s="868"/>
      <c r="P112" s="79"/>
      <c r="Q112" s="79"/>
      <c r="R112" s="484"/>
      <c r="S112" s="79"/>
      <c r="T112" s="877"/>
      <c r="U112" s="79"/>
    </row>
    <row r="113" spans="1:21" s="518" customFormat="1" x14ac:dyDescent="0.25">
      <c r="A113" s="79"/>
      <c r="B113" s="79"/>
      <c r="C113" s="79"/>
      <c r="D113" s="79"/>
      <c r="E113" s="79"/>
      <c r="F113" s="79"/>
      <c r="G113" s="79"/>
      <c r="H113" s="79"/>
      <c r="I113" s="216"/>
      <c r="J113" s="79"/>
      <c r="K113" s="79"/>
      <c r="L113" s="769"/>
      <c r="M113" s="868"/>
      <c r="N113" s="769"/>
      <c r="O113" s="868"/>
      <c r="P113" s="81"/>
      <c r="Q113" s="755"/>
      <c r="R113" s="484"/>
      <c r="S113" s="79"/>
      <c r="T113" s="877"/>
      <c r="U113" s="79"/>
    </row>
    <row r="114" spans="1:21" s="518" customFormat="1" x14ac:dyDescent="0.25">
      <c r="A114" s="79"/>
      <c r="B114" s="79"/>
      <c r="C114" s="79"/>
      <c r="D114" s="79"/>
      <c r="E114" s="79"/>
      <c r="F114" s="79"/>
      <c r="G114" s="79"/>
      <c r="H114" s="79"/>
      <c r="I114" s="216"/>
      <c r="L114" s="769"/>
      <c r="M114" s="868"/>
      <c r="N114" s="769"/>
      <c r="O114" s="868"/>
      <c r="P114" s="868"/>
      <c r="Q114" s="79"/>
      <c r="R114" s="484"/>
      <c r="S114" s="79"/>
      <c r="T114" s="877"/>
      <c r="U114" s="79"/>
    </row>
    <row r="115" spans="1:21" s="518" customFormat="1" x14ac:dyDescent="0.25">
      <c r="A115" s="79"/>
      <c r="B115" s="79"/>
      <c r="C115" s="79"/>
      <c r="D115" s="79"/>
      <c r="E115" s="79"/>
      <c r="F115" s="79"/>
      <c r="G115" s="79"/>
      <c r="H115" s="79"/>
      <c r="I115" s="216"/>
      <c r="J115" s="769"/>
      <c r="K115" s="866"/>
      <c r="L115" s="769"/>
      <c r="M115" s="868"/>
      <c r="N115" s="769"/>
      <c r="O115" s="868"/>
      <c r="P115" s="754"/>
      <c r="Q115" s="886"/>
      <c r="R115" s="484"/>
      <c r="S115" s="79"/>
      <c r="T115" s="877"/>
      <c r="U115" s="79"/>
    </row>
    <row r="116" spans="1:21" s="518" customFormat="1" x14ac:dyDescent="0.25">
      <c r="A116" s="79"/>
      <c r="B116" s="79"/>
      <c r="C116" s="79"/>
      <c r="D116" s="79"/>
      <c r="E116" s="79"/>
      <c r="F116" s="79"/>
      <c r="G116" s="79"/>
      <c r="H116" s="79"/>
      <c r="I116" s="216"/>
      <c r="J116" s="769"/>
      <c r="K116" s="866"/>
      <c r="L116" s="769"/>
      <c r="M116" s="868"/>
      <c r="N116" s="769"/>
      <c r="O116" s="868"/>
      <c r="P116" s="864"/>
      <c r="Q116" s="864"/>
      <c r="R116" s="484"/>
      <c r="S116" s="79"/>
      <c r="T116" s="877"/>
      <c r="U116" s="79"/>
    </row>
    <row r="117" spans="1:21" s="518" customFormat="1" x14ac:dyDescent="0.25">
      <c r="A117" s="79"/>
      <c r="B117" s="79"/>
      <c r="C117" s="85"/>
      <c r="D117" s="85"/>
      <c r="E117" s="85"/>
      <c r="F117" s="89"/>
      <c r="G117" s="79"/>
      <c r="H117" s="79"/>
      <c r="I117" s="79"/>
      <c r="K117" s="866"/>
      <c r="L117" s="769"/>
      <c r="M117" s="866"/>
      <c r="N117" s="769"/>
      <c r="O117" s="866"/>
      <c r="P117" s="864"/>
      <c r="Q117" s="1032"/>
      <c r="R117" s="484"/>
      <c r="S117" s="79"/>
      <c r="T117" s="877"/>
      <c r="U117" s="79"/>
    </row>
    <row r="118" spans="1:21" s="518" customFormat="1" x14ac:dyDescent="0.25">
      <c r="A118" s="79"/>
      <c r="B118" s="79"/>
      <c r="C118" s="85"/>
      <c r="D118" s="85"/>
      <c r="E118" s="85"/>
      <c r="F118" s="89"/>
      <c r="G118" s="79"/>
      <c r="H118" s="79"/>
      <c r="I118" s="79"/>
      <c r="J118" s="769"/>
      <c r="K118" s="866"/>
      <c r="L118" s="769"/>
      <c r="M118" s="866"/>
      <c r="N118" s="769"/>
      <c r="O118" s="866"/>
      <c r="P118" s="864"/>
      <c r="Q118" s="1032"/>
      <c r="R118" s="484"/>
      <c r="S118" s="79"/>
      <c r="T118" s="877"/>
      <c r="U118" s="79"/>
    </row>
    <row r="119" spans="1:21" s="518" customFormat="1" x14ac:dyDescent="0.25">
      <c r="A119" s="79"/>
      <c r="B119" s="79"/>
      <c r="C119" s="85"/>
      <c r="D119" s="85"/>
      <c r="E119" s="85"/>
      <c r="F119" s="89"/>
      <c r="G119" s="79"/>
      <c r="H119" s="79"/>
      <c r="I119" s="79"/>
      <c r="J119" s="769"/>
      <c r="K119" s="868"/>
      <c r="L119" s="769"/>
      <c r="M119" s="868"/>
      <c r="N119" s="769"/>
      <c r="O119" s="868"/>
      <c r="P119" s="85"/>
      <c r="Q119" s="795"/>
      <c r="R119" s="484"/>
      <c r="S119" s="79"/>
      <c r="T119" s="877"/>
      <c r="U119" s="79"/>
    </row>
    <row r="120" spans="1:21" s="518" customFormat="1" x14ac:dyDescent="0.25">
      <c r="A120" s="79"/>
      <c r="B120" s="79"/>
      <c r="C120" s="85"/>
      <c r="D120" s="85"/>
      <c r="E120" s="85"/>
      <c r="F120" s="89"/>
      <c r="G120" s="79"/>
      <c r="H120" s="79"/>
      <c r="I120" s="79"/>
      <c r="J120" s="769"/>
      <c r="K120" s="866"/>
      <c r="L120" s="769"/>
      <c r="M120" s="866"/>
      <c r="N120" s="769"/>
      <c r="O120" s="866"/>
      <c r="P120" s="85"/>
      <c r="Q120" s="177"/>
      <c r="R120" s="484"/>
      <c r="S120" s="79"/>
      <c r="T120" s="877"/>
      <c r="U120" s="79"/>
    </row>
    <row r="121" spans="1:21" s="518" customFormat="1" x14ac:dyDescent="0.25">
      <c r="A121" s="79"/>
      <c r="B121" s="79"/>
      <c r="C121" s="85"/>
      <c r="D121" s="85"/>
      <c r="E121" s="85"/>
      <c r="F121" s="89"/>
      <c r="G121" s="79"/>
      <c r="H121" s="79"/>
      <c r="I121" s="79"/>
      <c r="J121" s="770"/>
      <c r="K121" s="866"/>
      <c r="L121" s="769"/>
      <c r="M121" s="866"/>
      <c r="N121" s="769"/>
      <c r="O121" s="866"/>
      <c r="P121" s="85"/>
      <c r="Q121" s="177"/>
      <c r="R121" s="484"/>
      <c r="S121" s="79"/>
      <c r="T121" s="877"/>
      <c r="U121" s="79"/>
    </row>
    <row r="122" spans="1:21" s="518" customFormat="1" x14ac:dyDescent="0.25">
      <c r="A122" s="79"/>
      <c r="B122" s="79"/>
      <c r="C122" s="79"/>
      <c r="D122" s="79"/>
      <c r="E122" s="79"/>
      <c r="F122" s="79"/>
      <c r="G122" s="79"/>
      <c r="H122" s="79"/>
      <c r="I122" s="79"/>
      <c r="J122" s="769"/>
      <c r="K122" s="868"/>
      <c r="L122" s="769"/>
      <c r="M122" s="868"/>
      <c r="N122" s="769"/>
      <c r="O122" s="868"/>
      <c r="P122" s="85"/>
      <c r="Q122" s="177" t="s">
        <v>280</v>
      </c>
      <c r="R122" s="484"/>
      <c r="S122" s="79"/>
      <c r="T122" s="877"/>
      <c r="U122" s="79"/>
    </row>
    <row r="123" spans="1:21" s="518" customFormat="1" x14ac:dyDescent="0.25">
      <c r="A123" s="79"/>
      <c r="B123" s="79"/>
      <c r="C123" s="79"/>
      <c r="D123" s="79"/>
      <c r="E123" s="79"/>
      <c r="F123" s="79"/>
      <c r="G123" s="79"/>
      <c r="H123" s="79"/>
      <c r="I123" s="79"/>
      <c r="J123" s="769"/>
      <c r="K123" s="866"/>
      <c r="L123" s="769"/>
      <c r="M123" s="868"/>
      <c r="N123" s="769"/>
      <c r="O123" s="868"/>
      <c r="P123" s="85"/>
      <c r="Q123" s="177"/>
      <c r="R123" s="484"/>
      <c r="S123" s="79"/>
      <c r="T123" s="877"/>
      <c r="U123" s="79"/>
    </row>
    <row r="124" spans="1:21" s="518" customFormat="1" x14ac:dyDescent="0.25">
      <c r="A124" s="79"/>
      <c r="B124" s="79"/>
      <c r="C124" s="79"/>
      <c r="D124" s="79"/>
      <c r="E124" s="79"/>
      <c r="F124" s="79"/>
      <c r="G124" s="79"/>
      <c r="H124" s="79"/>
      <c r="I124" s="79"/>
      <c r="J124" s="769"/>
      <c r="K124" s="866"/>
      <c r="L124" s="769"/>
      <c r="M124" s="868"/>
      <c r="N124" s="769"/>
      <c r="O124" s="868"/>
      <c r="P124" s="85"/>
      <c r="Q124" s="866"/>
      <c r="R124" s="484"/>
      <c r="S124" s="79"/>
      <c r="T124" s="877"/>
      <c r="U124" s="79"/>
    </row>
    <row r="125" spans="1:21" s="518" customFormat="1" x14ac:dyDescent="0.25">
      <c r="A125" s="79"/>
      <c r="B125" s="79"/>
      <c r="C125" s="79"/>
      <c r="D125" s="79"/>
      <c r="E125" s="79"/>
      <c r="F125" s="79"/>
      <c r="G125" s="79"/>
      <c r="H125" s="79"/>
      <c r="I125" s="79"/>
      <c r="J125" s="769"/>
      <c r="K125" s="866"/>
      <c r="L125" s="769"/>
      <c r="M125" s="868"/>
      <c r="N125" s="769"/>
      <c r="O125" s="868"/>
      <c r="P125" s="769"/>
      <c r="Q125" s="216"/>
      <c r="R125" s="484"/>
      <c r="S125" s="79"/>
      <c r="T125" s="877"/>
      <c r="U125" s="79"/>
    </row>
    <row r="126" spans="1:21" s="518" customFormat="1" x14ac:dyDescent="0.25">
      <c r="A126" s="79"/>
      <c r="B126" s="79"/>
      <c r="C126" s="79"/>
      <c r="D126" s="79"/>
      <c r="E126" s="79"/>
      <c r="F126" s="79"/>
      <c r="G126" s="79"/>
      <c r="H126" s="79"/>
      <c r="I126" s="79"/>
      <c r="J126" s="769"/>
      <c r="K126" s="866"/>
      <c r="L126" s="769"/>
      <c r="M126" s="866"/>
      <c r="N126" s="769"/>
      <c r="O126" s="866"/>
      <c r="P126" s="79"/>
      <c r="Q126" s="216"/>
      <c r="R126" s="484"/>
      <c r="S126" s="79"/>
      <c r="T126" s="877"/>
      <c r="U126" s="79"/>
    </row>
    <row r="127" spans="1:21" s="518" customFormat="1" x14ac:dyDescent="0.25">
      <c r="A127" s="79"/>
      <c r="B127" s="79"/>
      <c r="C127" s="79"/>
      <c r="D127" s="79"/>
      <c r="E127" s="79"/>
      <c r="F127" s="79"/>
      <c r="G127" s="79"/>
      <c r="H127" s="79"/>
      <c r="I127" s="79"/>
      <c r="J127" s="769"/>
      <c r="K127" s="866"/>
      <c r="L127" s="223"/>
      <c r="M127" s="629"/>
      <c r="N127" s="223"/>
      <c r="O127" s="629"/>
      <c r="P127" s="769"/>
      <c r="Q127" s="868"/>
      <c r="R127" s="484"/>
      <c r="S127" s="79"/>
      <c r="T127" s="877"/>
      <c r="U127" s="79"/>
    </row>
    <row r="128" spans="1:21" s="518" customFormat="1" x14ac:dyDescent="0.25">
      <c r="A128" s="79"/>
      <c r="B128" s="79"/>
      <c r="C128" s="79"/>
      <c r="D128" s="79"/>
      <c r="E128" s="79"/>
      <c r="F128" s="79"/>
      <c r="G128" s="79"/>
      <c r="H128" s="79"/>
      <c r="I128" s="79"/>
      <c r="J128" s="769"/>
      <c r="K128" s="866"/>
      <c r="L128" s="756"/>
      <c r="M128" s="756"/>
      <c r="N128" s="756"/>
      <c r="O128" s="756"/>
      <c r="P128" s="769"/>
      <c r="Q128" s="868"/>
      <c r="R128" s="484"/>
      <c r="S128" s="79"/>
      <c r="T128" s="877"/>
      <c r="U128" s="79"/>
    </row>
    <row r="129" spans="1:21" s="518" customFormat="1" x14ac:dyDescent="0.25">
      <c r="A129" s="79"/>
      <c r="B129" s="79"/>
      <c r="C129" s="79"/>
      <c r="D129" s="79"/>
      <c r="E129" s="79"/>
      <c r="F129" s="79"/>
      <c r="G129" s="79"/>
      <c r="H129" s="79"/>
      <c r="I129" s="79"/>
      <c r="J129" s="769"/>
      <c r="K129" s="866"/>
      <c r="L129" s="79"/>
      <c r="M129" s="79"/>
      <c r="N129" s="79"/>
      <c r="O129" s="79"/>
      <c r="P129" s="769"/>
      <c r="Q129" s="868"/>
      <c r="R129" s="484"/>
      <c r="S129" s="79"/>
      <c r="T129" s="877"/>
      <c r="U129" s="79"/>
    </row>
    <row r="130" spans="1:21" s="518" customFormat="1" x14ac:dyDescent="0.25">
      <c r="A130" s="79"/>
      <c r="B130" s="79"/>
      <c r="C130" s="79"/>
      <c r="D130" s="79"/>
      <c r="E130" s="79"/>
      <c r="F130" s="79"/>
      <c r="G130" s="79"/>
      <c r="H130" s="79"/>
      <c r="I130" s="79"/>
      <c r="J130" s="769"/>
      <c r="K130" s="866"/>
      <c r="L130" s="79"/>
      <c r="M130" s="79"/>
      <c r="N130" s="79"/>
      <c r="O130" s="79"/>
      <c r="P130" s="769"/>
      <c r="Q130" s="79"/>
      <c r="R130" s="484"/>
      <c r="S130" s="79"/>
      <c r="T130" s="877"/>
      <c r="U130" s="79"/>
    </row>
    <row r="131" spans="1:21" s="518" customFormat="1" x14ac:dyDescent="0.25">
      <c r="A131" s="79"/>
      <c r="B131" s="79"/>
      <c r="C131" s="79"/>
      <c r="D131" s="79"/>
      <c r="E131" s="79"/>
      <c r="F131" s="79"/>
      <c r="G131" s="79"/>
      <c r="H131" s="79"/>
      <c r="I131" s="79"/>
      <c r="J131" s="769"/>
      <c r="K131" s="866"/>
      <c r="L131" s="79"/>
      <c r="M131" s="79"/>
      <c r="N131" s="79"/>
      <c r="O131" s="79"/>
      <c r="P131" s="79"/>
      <c r="Q131" s="79"/>
      <c r="R131" s="484"/>
      <c r="S131" s="79"/>
      <c r="T131" s="877"/>
      <c r="U131" s="79"/>
    </row>
    <row r="132" spans="1:21" s="518" customFormat="1" x14ac:dyDescent="0.25">
      <c r="A132" s="79"/>
      <c r="B132" s="79"/>
      <c r="C132" s="79"/>
      <c r="D132" s="79"/>
      <c r="E132" s="79"/>
      <c r="F132" s="79"/>
      <c r="G132" s="79"/>
      <c r="H132" s="79"/>
      <c r="I132" s="79"/>
      <c r="J132" s="769"/>
      <c r="K132" s="866"/>
      <c r="L132" s="79"/>
      <c r="M132" s="79"/>
      <c r="N132" s="79"/>
      <c r="O132" s="79"/>
      <c r="P132" s="79"/>
      <c r="Q132" s="79"/>
      <c r="R132" s="484"/>
      <c r="S132" s="79"/>
      <c r="T132" s="877"/>
      <c r="U132" s="79"/>
    </row>
    <row r="133" spans="1:21" s="518" customFormat="1" x14ac:dyDescent="0.25">
      <c r="A133" s="79"/>
      <c r="B133" s="79"/>
      <c r="C133" s="79"/>
      <c r="D133" s="79"/>
      <c r="E133" s="79"/>
      <c r="F133" s="79"/>
      <c r="G133" s="79"/>
      <c r="H133" s="79"/>
      <c r="I133" s="79"/>
      <c r="J133" s="769"/>
      <c r="K133" s="866"/>
      <c r="L133" s="85"/>
      <c r="M133" s="85"/>
      <c r="N133" s="85"/>
      <c r="O133" s="85"/>
      <c r="P133" s="1517"/>
      <c r="Q133" s="79"/>
      <c r="R133" s="484"/>
      <c r="S133" s="79"/>
      <c r="T133" s="877"/>
      <c r="U133" s="79"/>
    </row>
    <row r="134" spans="1:21" s="518" customFormat="1" x14ac:dyDescent="0.25">
      <c r="A134" s="79"/>
      <c r="B134" s="79"/>
      <c r="C134" s="79"/>
      <c r="D134" s="79"/>
      <c r="E134" s="79"/>
      <c r="F134" s="79"/>
      <c r="G134" s="79"/>
      <c r="H134" s="79"/>
      <c r="I134" s="79"/>
      <c r="J134" s="769"/>
      <c r="K134" s="868"/>
      <c r="L134" s="79"/>
      <c r="M134" s="79"/>
      <c r="N134" s="79"/>
      <c r="O134" s="79"/>
      <c r="P134" s="79"/>
      <c r="Q134" s="868"/>
      <c r="R134" s="484"/>
      <c r="S134" s="79"/>
      <c r="T134" s="877"/>
      <c r="U134" s="79"/>
    </row>
    <row r="135" spans="1:21" s="518" customFormat="1" x14ac:dyDescent="0.25">
      <c r="A135" s="79"/>
      <c r="B135" s="79"/>
      <c r="C135" s="79"/>
      <c r="D135" s="79"/>
      <c r="E135" s="79"/>
      <c r="F135" s="79"/>
      <c r="G135" s="79"/>
      <c r="H135" s="79"/>
      <c r="I135" s="79"/>
      <c r="J135" s="769"/>
      <c r="K135" s="868"/>
      <c r="L135" s="79"/>
      <c r="M135" s="79"/>
      <c r="N135" s="79"/>
      <c r="O135" s="79"/>
      <c r="P135" s="89"/>
      <c r="Q135" s="79"/>
      <c r="R135" s="484"/>
      <c r="S135" s="79"/>
      <c r="T135" s="877"/>
      <c r="U135" s="79"/>
    </row>
    <row r="136" spans="1:21" s="518" customFormat="1" x14ac:dyDescent="0.25">
      <c r="A136" s="79"/>
      <c r="B136" s="79"/>
      <c r="C136" s="79"/>
      <c r="D136" s="79"/>
      <c r="E136" s="79"/>
      <c r="F136" s="79"/>
      <c r="G136" s="79"/>
      <c r="H136" s="79"/>
      <c r="I136" s="79"/>
      <c r="J136" s="769"/>
      <c r="K136" s="868"/>
      <c r="L136" s="79"/>
      <c r="M136" s="79"/>
      <c r="N136" s="79"/>
      <c r="O136" s="79"/>
      <c r="P136" s="79"/>
      <c r="Q136" s="79"/>
      <c r="R136" s="484"/>
      <c r="S136" s="79"/>
      <c r="T136" s="877"/>
      <c r="U136" s="79"/>
    </row>
    <row r="137" spans="1:21" s="518" customFormat="1" x14ac:dyDescent="0.25">
      <c r="A137" s="79"/>
      <c r="B137" s="79"/>
      <c r="C137" s="79"/>
      <c r="D137" s="79"/>
      <c r="E137" s="79"/>
      <c r="F137" s="79"/>
      <c r="G137" s="79"/>
      <c r="H137" s="79"/>
      <c r="I137" s="79"/>
      <c r="J137" s="769"/>
      <c r="K137" s="868"/>
      <c r="L137" s="79"/>
      <c r="M137" s="79"/>
      <c r="N137" s="79"/>
      <c r="O137" s="79"/>
      <c r="P137" s="769"/>
      <c r="Q137" s="866"/>
      <c r="R137" s="484"/>
      <c r="S137" s="79"/>
      <c r="T137" s="877"/>
      <c r="U137" s="79"/>
    </row>
    <row r="138" spans="1:21" s="518" customFormat="1" x14ac:dyDescent="0.25">
      <c r="A138" s="79"/>
      <c r="B138" s="79"/>
      <c r="C138" s="79"/>
      <c r="D138" s="79"/>
      <c r="E138" s="79"/>
      <c r="F138" s="79"/>
      <c r="G138" s="79"/>
      <c r="H138" s="79"/>
      <c r="I138" s="79"/>
      <c r="J138" s="769"/>
      <c r="K138" s="868"/>
      <c r="L138" s="79"/>
      <c r="M138" s="79"/>
      <c r="N138" s="79"/>
      <c r="O138" s="79"/>
      <c r="P138" s="769"/>
      <c r="Q138" s="866"/>
      <c r="R138" s="484"/>
      <c r="S138" s="79"/>
      <c r="T138" s="877"/>
      <c r="U138" s="79"/>
    </row>
    <row r="139" spans="1:21" s="518" customFormat="1" x14ac:dyDescent="0.25">
      <c r="A139" s="79"/>
      <c r="B139" s="79"/>
      <c r="C139" s="79"/>
      <c r="D139" s="79"/>
      <c r="E139" s="79"/>
      <c r="F139" s="79"/>
      <c r="G139" s="79"/>
      <c r="H139" s="79"/>
      <c r="I139" s="79"/>
      <c r="J139" s="769"/>
      <c r="K139" s="866"/>
      <c r="L139" s="79"/>
      <c r="M139" s="79"/>
      <c r="N139" s="79"/>
      <c r="O139" s="79"/>
      <c r="P139" s="769"/>
      <c r="Q139" s="866"/>
      <c r="R139" s="484"/>
      <c r="S139" s="79"/>
      <c r="T139" s="877"/>
      <c r="U139" s="79"/>
    </row>
    <row r="140" spans="1:21" s="518" customFormat="1" x14ac:dyDescent="0.25">
      <c r="A140" s="79"/>
      <c r="B140" s="79"/>
      <c r="C140" s="79"/>
      <c r="D140" s="79"/>
      <c r="E140" s="79"/>
      <c r="F140" s="79"/>
      <c r="G140" s="79"/>
      <c r="H140" s="79"/>
      <c r="I140" s="79"/>
      <c r="J140" s="769"/>
      <c r="K140" s="866"/>
      <c r="L140" s="85"/>
      <c r="M140" s="85"/>
      <c r="N140" s="85"/>
      <c r="O140" s="85"/>
      <c r="Q140" s="866"/>
      <c r="R140" s="484"/>
      <c r="S140" s="79"/>
      <c r="T140" s="877"/>
      <c r="U140" s="79"/>
    </row>
    <row r="141" spans="1:21" s="518" customFormat="1" x14ac:dyDescent="0.25">
      <c r="A141" s="79"/>
      <c r="B141" s="79"/>
      <c r="C141" s="79"/>
      <c r="D141" s="79"/>
      <c r="E141" s="79"/>
      <c r="F141" s="79"/>
      <c r="G141" s="79"/>
      <c r="H141" s="79"/>
      <c r="I141" s="79"/>
      <c r="J141" s="769"/>
      <c r="K141" s="868"/>
      <c r="L141" s="79"/>
      <c r="M141" s="79"/>
      <c r="N141" s="79"/>
      <c r="O141" s="79"/>
      <c r="P141" s="769"/>
      <c r="Q141" s="866"/>
      <c r="R141" s="484"/>
      <c r="S141" s="79"/>
      <c r="T141" s="877"/>
      <c r="U141" s="79"/>
    </row>
    <row r="142" spans="1:21" s="518" customFormat="1" x14ac:dyDescent="0.25">
      <c r="A142" s="79"/>
      <c r="B142" s="79"/>
      <c r="C142" s="79"/>
      <c r="D142" s="79"/>
      <c r="E142" s="79"/>
      <c r="F142" s="79"/>
      <c r="G142" s="79"/>
      <c r="H142" s="79"/>
      <c r="I142" s="79"/>
      <c r="J142" s="769"/>
      <c r="K142" s="866"/>
      <c r="L142" s="79"/>
      <c r="M142" s="79"/>
      <c r="N142" s="79"/>
      <c r="O142" s="79"/>
      <c r="P142" s="769"/>
      <c r="Q142" s="868"/>
      <c r="R142" s="484"/>
      <c r="S142" s="79"/>
      <c r="T142" s="877"/>
      <c r="U142" s="79"/>
    </row>
    <row r="143" spans="1:21" s="518" customFormat="1" x14ac:dyDescent="0.25">
      <c r="A143" s="79"/>
      <c r="B143" s="79"/>
      <c r="C143" s="79"/>
      <c r="D143" s="79"/>
      <c r="E143" s="79"/>
      <c r="F143" s="79"/>
      <c r="G143" s="79"/>
      <c r="H143" s="79"/>
      <c r="I143" s="79"/>
      <c r="J143" s="769"/>
      <c r="K143" s="866"/>
      <c r="L143" s="79"/>
      <c r="M143" s="79"/>
      <c r="N143" s="79"/>
      <c r="O143" s="79"/>
      <c r="P143" s="769"/>
      <c r="Q143" s="866"/>
      <c r="R143" s="484"/>
      <c r="S143" s="79"/>
      <c r="T143" s="877"/>
      <c r="U143" s="79"/>
    </row>
    <row r="144" spans="1:21" s="518" customFormat="1" x14ac:dyDescent="0.25">
      <c r="A144" s="79"/>
      <c r="B144" s="79"/>
      <c r="C144" s="79"/>
      <c r="D144" s="79"/>
      <c r="E144" s="79"/>
      <c r="F144" s="79"/>
      <c r="G144" s="79"/>
      <c r="H144" s="79"/>
      <c r="I144" s="79"/>
      <c r="J144" s="769"/>
      <c r="K144" s="868"/>
      <c r="L144" s="79"/>
      <c r="M144" s="79"/>
      <c r="N144" s="79"/>
      <c r="O144" s="79"/>
      <c r="P144" s="770"/>
      <c r="Q144" s="866"/>
      <c r="R144" s="484"/>
      <c r="S144" s="79"/>
      <c r="T144" s="877"/>
      <c r="U144" s="79"/>
    </row>
    <row r="145" spans="1:21" s="518" customFormat="1" x14ac:dyDescent="0.25">
      <c r="A145" s="79"/>
      <c r="B145" s="79"/>
      <c r="C145" s="79"/>
      <c r="D145" s="79"/>
      <c r="E145" s="79"/>
      <c r="F145" s="79"/>
      <c r="G145" s="79"/>
      <c r="H145" s="79"/>
      <c r="I145" s="79"/>
      <c r="J145" s="769"/>
      <c r="K145" s="868"/>
      <c r="L145" s="79"/>
      <c r="M145" s="79"/>
      <c r="N145" s="79"/>
      <c r="O145" s="79"/>
      <c r="P145" s="769"/>
      <c r="Q145" s="868"/>
      <c r="R145" s="484"/>
      <c r="S145" s="79"/>
      <c r="T145" s="877"/>
      <c r="U145" s="79"/>
    </row>
    <row r="146" spans="1:21" s="518" customFormat="1" x14ac:dyDescent="0.25">
      <c r="A146" s="79"/>
      <c r="B146" s="79"/>
      <c r="C146" s="79"/>
      <c r="D146" s="79"/>
      <c r="E146" s="79"/>
      <c r="F146" s="79"/>
      <c r="G146" s="79"/>
      <c r="H146" s="79"/>
      <c r="I146" s="79"/>
      <c r="J146" s="769"/>
      <c r="K146" s="868"/>
      <c r="L146" s="79"/>
      <c r="M146" s="79"/>
      <c r="N146" s="79"/>
      <c r="O146" s="79"/>
      <c r="P146" s="769"/>
      <c r="Q146" s="866"/>
      <c r="R146" s="484"/>
      <c r="S146" s="79"/>
      <c r="T146" s="877"/>
      <c r="U146" s="79"/>
    </row>
    <row r="147" spans="1:21" s="518" customFormat="1" x14ac:dyDescent="0.25">
      <c r="A147" s="79"/>
      <c r="B147" s="79"/>
      <c r="C147" s="79"/>
      <c r="D147" s="79"/>
      <c r="E147" s="79"/>
      <c r="F147" s="79"/>
      <c r="G147" s="79"/>
      <c r="H147" s="79"/>
      <c r="I147" s="79"/>
      <c r="J147" s="769"/>
      <c r="K147" s="868"/>
      <c r="L147" s="771"/>
      <c r="N147" s="771"/>
      <c r="P147" s="769"/>
      <c r="Q147" s="866"/>
      <c r="R147" s="484"/>
      <c r="S147" s="79"/>
      <c r="T147" s="877"/>
      <c r="U147" s="79"/>
    </row>
    <row r="148" spans="1:21" s="518" customFormat="1" x14ac:dyDescent="0.25">
      <c r="A148" s="79"/>
      <c r="B148" s="79"/>
      <c r="C148" s="79"/>
      <c r="D148" s="79"/>
      <c r="E148" s="79"/>
      <c r="F148" s="79"/>
      <c r="G148" s="79"/>
      <c r="H148" s="79"/>
      <c r="I148" s="79"/>
      <c r="J148" s="769"/>
      <c r="K148" s="866"/>
      <c r="L148" s="79"/>
      <c r="M148" s="79"/>
      <c r="N148" s="79"/>
      <c r="O148" s="79"/>
      <c r="P148" s="769"/>
      <c r="Q148" s="866"/>
      <c r="R148" s="484"/>
      <c r="S148" s="79"/>
      <c r="T148" s="877"/>
      <c r="U148" s="79"/>
    </row>
    <row r="149" spans="1:21" x14ac:dyDescent="0.25">
      <c r="J149" s="223"/>
      <c r="K149" s="629"/>
      <c r="P149" s="769"/>
      <c r="Q149" s="866"/>
    </row>
    <row r="150" spans="1:21" x14ac:dyDescent="0.25">
      <c r="J150" s="756"/>
      <c r="K150" s="756"/>
      <c r="P150" s="769"/>
      <c r="Q150" s="866"/>
    </row>
    <row r="151" spans="1:21" x14ac:dyDescent="0.25">
      <c r="P151" s="769"/>
      <c r="Q151" s="866"/>
    </row>
    <row r="152" spans="1:21" x14ac:dyDescent="0.25">
      <c r="P152" s="769"/>
      <c r="Q152" s="866"/>
    </row>
    <row r="153" spans="1:21" x14ac:dyDescent="0.25">
      <c r="P153" s="769"/>
      <c r="Q153" s="866"/>
    </row>
    <row r="154" spans="1:21" x14ac:dyDescent="0.25">
      <c r="P154" s="769"/>
      <c r="Q154" s="866"/>
    </row>
    <row r="155" spans="1:21" s="518" customFormat="1" x14ac:dyDescent="0.25">
      <c r="A155" s="79"/>
      <c r="B155" s="79"/>
      <c r="C155" s="79"/>
      <c r="D155" s="79"/>
      <c r="E155" s="79"/>
      <c r="F155" s="79"/>
      <c r="G155" s="79"/>
      <c r="H155" s="79"/>
      <c r="I155" s="79"/>
      <c r="J155" s="85"/>
      <c r="K155" s="85"/>
      <c r="L155" s="79"/>
      <c r="M155" s="216"/>
      <c r="N155" s="79"/>
      <c r="O155" s="216"/>
      <c r="P155" s="769"/>
      <c r="Q155" s="866"/>
      <c r="R155" s="484"/>
      <c r="S155" s="79"/>
      <c r="T155" s="877"/>
      <c r="U155" s="79"/>
    </row>
    <row r="156" spans="1:21" s="518" customFormat="1" x14ac:dyDescent="0.25">
      <c r="A156" s="79"/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216"/>
      <c r="N156" s="79"/>
      <c r="O156" s="216"/>
      <c r="P156" s="769"/>
      <c r="Q156" s="866"/>
      <c r="R156" s="484"/>
      <c r="S156" s="79"/>
      <c r="T156" s="877"/>
      <c r="U156" s="79"/>
    </row>
    <row r="157" spans="1:21" s="518" customFormat="1" x14ac:dyDescent="0.25">
      <c r="A157" s="79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216"/>
      <c r="N157" s="79"/>
      <c r="O157" s="216"/>
      <c r="P157" s="769"/>
      <c r="Q157" s="868"/>
      <c r="R157" s="484"/>
      <c r="S157" s="79"/>
      <c r="T157" s="877"/>
      <c r="U157" s="79"/>
    </row>
    <row r="158" spans="1:21" s="518" customFormat="1" x14ac:dyDescent="0.25">
      <c r="A158" s="79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216"/>
      <c r="N158" s="79"/>
      <c r="O158" s="216"/>
      <c r="P158" s="769"/>
      <c r="Q158" s="868"/>
      <c r="R158" s="484"/>
      <c r="S158" s="79"/>
      <c r="T158" s="877"/>
      <c r="U158" s="79"/>
    </row>
    <row r="159" spans="1:21" x14ac:dyDescent="0.25">
      <c r="P159" s="769"/>
      <c r="Q159" s="868"/>
    </row>
    <row r="160" spans="1:21" s="518" customFormat="1" x14ac:dyDescent="0.25">
      <c r="A160" s="79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216"/>
      <c r="N160" s="79"/>
      <c r="O160" s="216"/>
      <c r="P160" s="769"/>
      <c r="Q160" s="868"/>
      <c r="R160" s="484"/>
      <c r="S160" s="79"/>
      <c r="T160" s="877"/>
      <c r="U160" s="79"/>
    </row>
    <row r="161" spans="1:21" x14ac:dyDescent="0.25">
      <c r="P161" s="769"/>
      <c r="Q161" s="868"/>
    </row>
    <row r="162" spans="1:21" s="518" customFormat="1" x14ac:dyDescent="0.25">
      <c r="A162" s="79"/>
      <c r="B162" s="79"/>
      <c r="C162" s="79"/>
      <c r="D162" s="79"/>
      <c r="E162" s="79"/>
      <c r="F162" s="79"/>
      <c r="G162" s="79"/>
      <c r="H162" s="79"/>
      <c r="I162" s="79"/>
      <c r="J162" s="85"/>
      <c r="K162" s="85"/>
      <c r="L162" s="79"/>
      <c r="M162" s="629"/>
      <c r="N162" s="79"/>
      <c r="O162" s="629"/>
      <c r="P162" s="769"/>
      <c r="Q162" s="866"/>
      <c r="R162" s="484"/>
      <c r="S162" s="79"/>
      <c r="T162" s="877"/>
      <c r="U162" s="79"/>
    </row>
    <row r="163" spans="1:21" x14ac:dyDescent="0.25">
      <c r="P163" s="769"/>
      <c r="Q163" s="866"/>
    </row>
    <row r="164" spans="1:21" x14ac:dyDescent="0.25">
      <c r="P164" s="769"/>
      <c r="Q164" s="868"/>
    </row>
    <row r="165" spans="1:21" x14ac:dyDescent="0.25">
      <c r="P165" s="769"/>
      <c r="Q165" s="866"/>
    </row>
    <row r="166" spans="1:21" x14ac:dyDescent="0.25">
      <c r="P166" s="769"/>
      <c r="Q166" s="866"/>
    </row>
    <row r="167" spans="1:21" x14ac:dyDescent="0.25">
      <c r="P167" s="769"/>
      <c r="Q167" s="868"/>
    </row>
    <row r="168" spans="1:21" s="518" customFormat="1" x14ac:dyDescent="0.25">
      <c r="A168" s="79"/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216"/>
      <c r="N168" s="79"/>
      <c r="O168" s="216"/>
      <c r="P168" s="769"/>
      <c r="Q168" s="868"/>
      <c r="R168" s="484"/>
      <c r="S168" s="79"/>
      <c r="T168" s="877"/>
      <c r="U168" s="79"/>
    </row>
    <row r="169" spans="1:21" s="518" customFormat="1" x14ac:dyDescent="0.25">
      <c r="A169" s="79"/>
      <c r="B169" s="79"/>
      <c r="C169" s="79"/>
      <c r="D169" s="79"/>
      <c r="E169" s="79"/>
      <c r="F169" s="79"/>
      <c r="G169" s="79"/>
      <c r="H169" s="79"/>
      <c r="I169" s="79"/>
      <c r="J169" s="771"/>
      <c r="L169" s="79"/>
      <c r="M169" s="216"/>
      <c r="N169" s="79"/>
      <c r="O169" s="216"/>
      <c r="P169" s="769"/>
      <c r="Q169" s="868"/>
      <c r="R169" s="484"/>
      <c r="S169" s="79"/>
      <c r="T169" s="877"/>
      <c r="U169" s="79"/>
    </row>
    <row r="170" spans="1:21" s="518" customFormat="1" x14ac:dyDescent="0.25">
      <c r="A170" s="79"/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216"/>
      <c r="N170" s="79"/>
      <c r="O170" s="216"/>
      <c r="P170" s="769"/>
      <c r="Q170" s="868"/>
      <c r="R170" s="484"/>
      <c r="S170" s="79"/>
      <c r="T170" s="877"/>
      <c r="U170" s="79"/>
    </row>
    <row r="171" spans="1:21" s="518" customFormat="1" x14ac:dyDescent="0.25">
      <c r="A171" s="79"/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216"/>
      <c r="N171" s="79"/>
      <c r="O171" s="216"/>
      <c r="P171" s="769"/>
      <c r="Q171" s="866"/>
      <c r="R171" s="484"/>
      <c r="S171" s="79"/>
      <c r="T171" s="877"/>
      <c r="U171" s="79"/>
    </row>
    <row r="172" spans="1:21" s="518" customFormat="1" x14ac:dyDescent="0.25">
      <c r="A172" s="79"/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216"/>
      <c r="N172" s="79"/>
      <c r="O172" s="216"/>
      <c r="P172" s="223"/>
      <c r="Q172" s="629"/>
      <c r="R172" s="484"/>
      <c r="S172" s="79"/>
      <c r="T172" s="877"/>
      <c r="U172" s="79"/>
    </row>
    <row r="173" spans="1:21" s="518" customFormat="1" x14ac:dyDescent="0.25">
      <c r="A173" s="79"/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216"/>
      <c r="N173" s="79"/>
      <c r="O173" s="216"/>
      <c r="P173" s="756"/>
      <c r="Q173" s="756"/>
      <c r="R173" s="484"/>
      <c r="S173" s="79"/>
      <c r="T173" s="877"/>
      <c r="U173" s="79"/>
    </row>
    <row r="174" spans="1:21" s="518" customFormat="1" x14ac:dyDescent="0.25">
      <c r="A174" s="79"/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216"/>
      <c r="N174" s="79"/>
      <c r="O174" s="216"/>
      <c r="P174" s="79"/>
      <c r="Q174" s="79"/>
      <c r="R174" s="484"/>
      <c r="S174" s="79"/>
      <c r="T174" s="877"/>
      <c r="U174" s="79"/>
    </row>
    <row r="175" spans="1:21" s="518" customFormat="1" x14ac:dyDescent="0.25">
      <c r="A175" s="79"/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216"/>
      <c r="N175" s="79"/>
      <c r="O175" s="216"/>
      <c r="P175" s="79"/>
      <c r="Q175" s="79"/>
      <c r="R175" s="484"/>
      <c r="S175" s="79"/>
      <c r="T175" s="877"/>
      <c r="U175" s="79"/>
    </row>
    <row r="176" spans="1:21" s="518" customFormat="1" x14ac:dyDescent="0.25">
      <c r="A176" s="79"/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216"/>
      <c r="N176" s="79"/>
      <c r="O176" s="216"/>
      <c r="P176" s="79"/>
      <c r="Q176" s="79"/>
      <c r="R176" s="484"/>
      <c r="S176" s="79"/>
      <c r="T176" s="877"/>
      <c r="U176" s="79"/>
    </row>
    <row r="177" spans="1:42" x14ac:dyDescent="0.25">
      <c r="K177" s="216"/>
    </row>
    <row r="178" spans="1:42" x14ac:dyDescent="0.25">
      <c r="K178" s="216"/>
      <c r="P178" s="85"/>
      <c r="Q178" s="85"/>
    </row>
    <row r="179" spans="1:42" x14ac:dyDescent="0.25">
      <c r="K179" s="216"/>
    </row>
    <row r="180" spans="1:42" x14ac:dyDescent="0.25">
      <c r="K180" s="216"/>
    </row>
    <row r="182" spans="1:42" x14ac:dyDescent="0.25">
      <c r="K182" s="216"/>
    </row>
    <row r="184" spans="1:42" x14ac:dyDescent="0.25">
      <c r="K184" s="629"/>
    </row>
    <row r="185" spans="1:42" x14ac:dyDescent="0.25">
      <c r="P185" s="85"/>
      <c r="Q185" s="85"/>
    </row>
    <row r="189" spans="1:42" s="484" customFormat="1" x14ac:dyDescent="0.25">
      <c r="A189" s="79"/>
      <c r="B189" s="79"/>
      <c r="C189" s="85"/>
      <c r="D189" s="85"/>
      <c r="E189" s="85"/>
      <c r="F189" s="8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S189" s="79"/>
      <c r="T189" s="877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</row>
    <row r="190" spans="1:42" s="484" customFormat="1" x14ac:dyDescent="0.25">
      <c r="A190" s="79"/>
      <c r="B190" s="79"/>
      <c r="C190" s="85"/>
      <c r="D190" s="85"/>
      <c r="E190" s="85"/>
      <c r="F190" s="89"/>
      <c r="G190" s="79"/>
      <c r="H190" s="79"/>
      <c r="I190" s="79"/>
      <c r="J190" s="79"/>
      <c r="K190" s="216"/>
      <c r="L190" s="79"/>
      <c r="M190" s="79"/>
      <c r="N190" s="79"/>
      <c r="O190" s="79"/>
      <c r="P190" s="79"/>
      <c r="Q190" s="79"/>
      <c r="S190" s="79"/>
      <c r="T190" s="877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</row>
    <row r="191" spans="1:42" s="484" customFormat="1" x14ac:dyDescent="0.25">
      <c r="A191" s="79"/>
      <c r="B191" s="79"/>
      <c r="C191" s="85"/>
      <c r="D191" s="85"/>
      <c r="E191" s="85"/>
      <c r="F191" s="89"/>
      <c r="G191" s="79"/>
      <c r="H191" s="79"/>
      <c r="I191" s="79"/>
      <c r="J191" s="79"/>
      <c r="K191" s="216"/>
      <c r="L191" s="79"/>
      <c r="M191" s="79"/>
      <c r="N191" s="79"/>
      <c r="O191" s="79"/>
      <c r="P191" s="79"/>
      <c r="Q191" s="79"/>
      <c r="S191" s="79"/>
      <c r="T191" s="877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</row>
    <row r="192" spans="1:42" s="484" customFormat="1" x14ac:dyDescent="0.25">
      <c r="A192" s="79"/>
      <c r="B192" s="79"/>
      <c r="C192" s="85"/>
      <c r="D192" s="85"/>
      <c r="E192" s="85"/>
      <c r="F192" s="89"/>
      <c r="G192" s="79"/>
      <c r="H192" s="79"/>
      <c r="I192" s="79"/>
      <c r="J192" s="79"/>
      <c r="K192" s="216"/>
      <c r="L192" s="79"/>
      <c r="M192" s="79"/>
      <c r="N192" s="79"/>
      <c r="O192" s="79"/>
      <c r="P192" s="771"/>
      <c r="Q192" s="518"/>
      <c r="S192" s="79"/>
      <c r="T192" s="877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</row>
    <row r="193" spans="1:42" s="484" customFormat="1" x14ac:dyDescent="0.25">
      <c r="A193" s="79"/>
      <c r="B193" s="79"/>
      <c r="C193" s="85"/>
      <c r="D193" s="85"/>
      <c r="E193" s="85"/>
      <c r="F193" s="89"/>
      <c r="G193" s="79"/>
      <c r="H193" s="79"/>
      <c r="I193" s="79"/>
      <c r="J193" s="79"/>
      <c r="K193" s="216"/>
      <c r="L193" s="79"/>
      <c r="M193" s="79"/>
      <c r="N193" s="79"/>
      <c r="O193" s="79"/>
      <c r="P193" s="79"/>
      <c r="Q193" s="79"/>
      <c r="S193" s="79"/>
      <c r="T193" s="877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</row>
    <row r="194" spans="1:42" x14ac:dyDescent="0.25">
      <c r="K194" s="216"/>
    </row>
    <row r="195" spans="1:42" x14ac:dyDescent="0.25">
      <c r="K195" s="216"/>
    </row>
    <row r="196" spans="1:42" x14ac:dyDescent="0.25">
      <c r="K196" s="216"/>
    </row>
    <row r="197" spans="1:42" x14ac:dyDescent="0.25">
      <c r="K197" s="216"/>
    </row>
    <row r="198" spans="1:42" x14ac:dyDescent="0.25">
      <c r="K198" s="216"/>
    </row>
    <row r="200" spans="1:42" s="484" customFormat="1" x14ac:dyDescent="0.25">
      <c r="A200" s="79"/>
      <c r="B200" s="79"/>
      <c r="C200" s="85"/>
      <c r="D200" s="85"/>
      <c r="E200" s="85"/>
      <c r="F200" s="8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216"/>
      <c r="S200" s="79"/>
      <c r="T200" s="877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</row>
    <row r="201" spans="1:42" s="484" customFormat="1" x14ac:dyDescent="0.25">
      <c r="A201" s="79"/>
      <c r="B201" s="79"/>
      <c r="C201" s="85"/>
      <c r="D201" s="85"/>
      <c r="E201" s="85"/>
      <c r="F201" s="8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216"/>
      <c r="S201" s="79"/>
      <c r="T201" s="877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</row>
    <row r="202" spans="1:42" s="484" customFormat="1" x14ac:dyDescent="0.25">
      <c r="A202" s="79"/>
      <c r="B202" s="79"/>
      <c r="C202" s="85"/>
      <c r="D202" s="85"/>
      <c r="E202" s="85"/>
      <c r="F202" s="8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216"/>
      <c r="S202" s="79"/>
      <c r="T202" s="877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</row>
    <row r="203" spans="1:42" s="484" customFormat="1" x14ac:dyDescent="0.25">
      <c r="A203" s="79"/>
      <c r="B203" s="79"/>
      <c r="C203" s="85"/>
      <c r="D203" s="85"/>
      <c r="E203" s="85"/>
      <c r="F203" s="8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216"/>
      <c r="S203" s="79"/>
      <c r="T203" s="877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</row>
    <row r="205" spans="1:42" s="484" customFormat="1" x14ac:dyDescent="0.25">
      <c r="A205" s="79"/>
      <c r="B205" s="79"/>
      <c r="C205" s="85"/>
      <c r="D205" s="85"/>
      <c r="E205" s="85"/>
      <c r="F205" s="8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216"/>
      <c r="S205" s="79"/>
      <c r="T205" s="877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</row>
    <row r="207" spans="1:42" s="484" customFormat="1" x14ac:dyDescent="0.25">
      <c r="A207" s="79"/>
      <c r="B207" s="79"/>
      <c r="C207" s="85"/>
      <c r="D207" s="85"/>
      <c r="E207" s="85"/>
      <c r="F207" s="8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629"/>
      <c r="S207" s="79"/>
      <c r="T207" s="877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</row>
    <row r="213" spans="1:42" s="484" customFormat="1" x14ac:dyDescent="0.25">
      <c r="A213" s="79"/>
      <c r="B213" s="79"/>
      <c r="C213" s="85"/>
      <c r="D213" s="85"/>
      <c r="E213" s="85"/>
      <c r="F213" s="8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216"/>
      <c r="S213" s="79"/>
      <c r="T213" s="877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</row>
    <row r="214" spans="1:42" s="484" customFormat="1" x14ac:dyDescent="0.25">
      <c r="A214" s="79"/>
      <c r="B214" s="79"/>
      <c r="C214" s="85"/>
      <c r="D214" s="85"/>
      <c r="E214" s="85"/>
      <c r="F214" s="8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216"/>
      <c r="S214" s="79"/>
      <c r="T214" s="877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</row>
    <row r="215" spans="1:42" s="484" customFormat="1" x14ac:dyDescent="0.25">
      <c r="A215" s="79"/>
      <c r="B215" s="79"/>
      <c r="C215" s="85"/>
      <c r="D215" s="85"/>
      <c r="E215" s="85"/>
      <c r="F215" s="8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216"/>
      <c r="S215" s="79"/>
      <c r="T215" s="877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</row>
    <row r="216" spans="1:42" s="484" customFormat="1" x14ac:dyDescent="0.25">
      <c r="A216" s="79"/>
      <c r="B216" s="79"/>
      <c r="C216" s="85"/>
      <c r="D216" s="85"/>
      <c r="E216" s="85"/>
      <c r="F216" s="8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216"/>
      <c r="S216" s="79"/>
      <c r="T216" s="877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</row>
    <row r="217" spans="1:42" s="484" customFormat="1" x14ac:dyDescent="0.25">
      <c r="A217" s="79"/>
      <c r="B217" s="79"/>
      <c r="C217" s="85"/>
      <c r="D217" s="85"/>
      <c r="E217" s="85"/>
      <c r="F217" s="8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216"/>
      <c r="S217" s="79"/>
      <c r="T217" s="877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</row>
    <row r="218" spans="1:42" s="484" customFormat="1" x14ac:dyDescent="0.25">
      <c r="A218" s="79"/>
      <c r="B218" s="79"/>
      <c r="C218" s="85"/>
      <c r="D218" s="85"/>
      <c r="E218" s="85"/>
      <c r="F218" s="8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216"/>
      <c r="S218" s="79"/>
      <c r="T218" s="877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</row>
    <row r="219" spans="1:42" s="484" customFormat="1" x14ac:dyDescent="0.25">
      <c r="A219" s="79"/>
      <c r="B219" s="79"/>
      <c r="C219" s="85"/>
      <c r="D219" s="85"/>
      <c r="E219" s="85"/>
      <c r="F219" s="8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216"/>
      <c r="S219" s="79"/>
      <c r="T219" s="877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</row>
    <row r="220" spans="1:42" s="484" customFormat="1" x14ac:dyDescent="0.25">
      <c r="A220" s="79"/>
      <c r="B220" s="79"/>
      <c r="C220" s="85"/>
      <c r="D220" s="85"/>
      <c r="E220" s="85"/>
      <c r="F220" s="8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216"/>
      <c r="S220" s="79"/>
      <c r="T220" s="877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</row>
    <row r="221" spans="1:42" s="484" customFormat="1" x14ac:dyDescent="0.25">
      <c r="A221" s="79"/>
      <c r="B221" s="79"/>
      <c r="C221" s="85"/>
      <c r="D221" s="85"/>
      <c r="E221" s="85"/>
      <c r="F221" s="8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216"/>
      <c r="S221" s="79"/>
      <c r="T221" s="877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</row>
  </sheetData>
  <autoFilter ref="A2:I84" xr:uid="{00000000-0009-0000-0000-00008D000000}"/>
  <mergeCells count="17">
    <mergeCell ref="B89:D89"/>
    <mergeCell ref="L2:M3"/>
    <mergeCell ref="N2:O3"/>
    <mergeCell ref="P2:Q3"/>
    <mergeCell ref="A64:E64"/>
    <mergeCell ref="A65:E65"/>
    <mergeCell ref="C88:D88"/>
    <mergeCell ref="A1:E1"/>
    <mergeCell ref="F1:Q1"/>
    <mergeCell ref="A2:A4"/>
    <mergeCell ref="B2:B4"/>
    <mergeCell ref="C2:C4"/>
    <mergeCell ref="D2:D4"/>
    <mergeCell ref="E2:E4"/>
    <mergeCell ref="F2:G3"/>
    <mergeCell ref="H2:I3"/>
    <mergeCell ref="J2:K3"/>
  </mergeCells>
  <conditionalFormatting sqref="F85">
    <cfRule type="cellIs" dxfId="9" priority="1" operator="greaterThan">
      <formula>1</formula>
    </cfRule>
  </conditionalFormatting>
  <pageMargins left="0.19685039370078741" right="0.47244094488188981" top="0.15748031496062992" bottom="0.15748031496062992" header="0.15748031496062992" footer="0.11811023622047245"/>
  <pageSetup paperSize="9" scale="85" orientation="landscape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greaterThan" id="{92DA8668-CF55-4B07-8213-8A4AD7A2BF6A}">
            <xm:f>'Acumulado 2025'!B3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D68:D84</xm:sqref>
        </x14:conditionalFormatting>
      </x14:conditionalFormattings>
    </ext>
  </extLst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Plan44"/>
  <dimension ref="A1:W384"/>
  <sheetViews>
    <sheetView zoomScale="90" zoomScaleNormal="90" workbookViewId="0">
      <selection activeCell="Q22" sqref="Q22"/>
    </sheetView>
  </sheetViews>
  <sheetFormatPr defaultColWidth="9.140625" defaultRowHeight="15" x14ac:dyDescent="0.25"/>
  <cols>
    <col min="1" max="1" width="29.5703125" style="79" customWidth="1"/>
    <col min="2" max="2" width="15.28515625" style="79" bestFit="1" customWidth="1"/>
    <col min="3" max="3" width="16" style="79" customWidth="1"/>
    <col min="4" max="4" width="26.42578125" style="79" customWidth="1"/>
    <col min="5" max="5" width="14.140625" style="79" bestFit="1" customWidth="1"/>
    <col min="6" max="6" width="16" style="79" customWidth="1"/>
    <col min="7" max="7" width="13.42578125" style="79" customWidth="1"/>
    <col min="8" max="8" width="12.28515625" style="79" bestFit="1" customWidth="1"/>
    <col min="9" max="9" width="14.42578125" style="79" customWidth="1"/>
    <col min="10" max="10" width="17" style="79" customWidth="1"/>
    <col min="11" max="11" width="14.28515625" style="79" customWidth="1"/>
    <col min="12" max="12" width="14.42578125" style="79" customWidth="1"/>
    <col min="13" max="13" width="13.5703125" style="79" customWidth="1"/>
    <col min="14" max="14" width="9.28515625" style="79" customWidth="1"/>
    <col min="15" max="16" width="14.140625" style="79" customWidth="1"/>
    <col min="17" max="17" width="14.7109375" style="79" customWidth="1"/>
    <col min="18" max="18" width="18.42578125" style="79" customWidth="1"/>
    <col min="19" max="19" width="14.28515625" style="79" customWidth="1"/>
    <col min="20" max="20" width="13.42578125" style="79" customWidth="1"/>
    <col min="21" max="21" width="11.140625" style="79" bestFit="1" customWidth="1"/>
    <col min="22" max="22" width="10.7109375" style="79" bestFit="1" customWidth="1"/>
    <col min="23" max="16384" width="9.140625" style="79"/>
  </cols>
  <sheetData>
    <row r="1" spans="1:23" ht="15.75" thickBot="1" x14ac:dyDescent="0.3">
      <c r="C1" s="80"/>
    </row>
    <row r="2" spans="1:23" ht="18.75" customHeight="1" thickBot="1" x14ac:dyDescent="0.35">
      <c r="A2" s="3230" t="s">
        <v>7445</v>
      </c>
      <c r="B2" s="3231"/>
      <c r="C2" s="3232"/>
      <c r="D2" s="3230" t="s">
        <v>5294</v>
      </c>
      <c r="E2" s="3231"/>
      <c r="F2" s="3231"/>
      <c r="G2" s="3232"/>
      <c r="I2" s="81" t="s">
        <v>8709</v>
      </c>
      <c r="J2" s="838"/>
      <c r="K2" s="81" t="s">
        <v>5353</v>
      </c>
      <c r="L2" s="81"/>
      <c r="O2" s="81"/>
      <c r="Q2" s="985"/>
      <c r="R2" s="81" t="s">
        <v>1479</v>
      </c>
      <c r="S2" s="985"/>
      <c r="T2" s="81"/>
      <c r="U2" s="220"/>
    </row>
    <row r="3" spans="1:23" ht="16.5" thickBot="1" x14ac:dyDescent="0.3">
      <c r="A3" s="181" t="s">
        <v>5295</v>
      </c>
      <c r="B3" s="140" t="s">
        <v>5296</v>
      </c>
      <c r="C3" s="1878" t="s">
        <v>5297</v>
      </c>
      <c r="D3" s="139" t="s">
        <v>381</v>
      </c>
      <c r="E3" s="590" t="s">
        <v>5298</v>
      </c>
      <c r="F3" s="637" t="s">
        <v>382</v>
      </c>
      <c r="G3" s="143" t="s">
        <v>5299</v>
      </c>
      <c r="I3" s="216">
        <v>6300</v>
      </c>
      <c r="J3" s="839"/>
      <c r="P3" s="216"/>
      <c r="Q3" s="867" t="s">
        <v>6784</v>
      </c>
      <c r="R3" s="867" t="s">
        <v>6785</v>
      </c>
      <c r="S3" s="2037" t="s">
        <v>6786</v>
      </c>
      <c r="T3" s="3025" t="s">
        <v>5190</v>
      </c>
      <c r="U3" s="867"/>
      <c r="V3" s="867"/>
      <c r="W3" s="867"/>
    </row>
    <row r="4" spans="1:23" ht="15.75" x14ac:dyDescent="0.25">
      <c r="A4" s="2700" t="s">
        <v>5300</v>
      </c>
      <c r="B4" s="2701">
        <f>I3</f>
        <v>6300</v>
      </c>
      <c r="C4" s="2702">
        <f>B4/30</f>
        <v>210</v>
      </c>
      <c r="D4" s="1874" t="s">
        <v>52</v>
      </c>
      <c r="E4" s="1067">
        <v>20</v>
      </c>
      <c r="F4" s="1068">
        <v>130</v>
      </c>
      <c r="G4" s="1072" t="s">
        <v>5307</v>
      </c>
      <c r="H4" s="225">
        <f t="shared" ref="H4:H15" si="0">F4/$F$19</f>
        <v>2.3973111757852397E-2</v>
      </c>
      <c r="J4" s="840"/>
      <c r="L4" s="79" t="s">
        <v>8708</v>
      </c>
      <c r="O4" s="985" t="s">
        <v>6781</v>
      </c>
      <c r="P4" s="484">
        <v>189.59</v>
      </c>
      <c r="Q4" s="225">
        <v>7.4999999999999997E-2</v>
      </c>
      <c r="R4" s="609">
        <f>$P$8*Q4</f>
        <v>392.79824999999994</v>
      </c>
      <c r="S4" s="484">
        <v>182.16</v>
      </c>
      <c r="T4" s="3026"/>
      <c r="U4" s="867"/>
      <c r="V4" s="867"/>
      <c r="W4" s="867"/>
    </row>
    <row r="5" spans="1:23" ht="15.75" x14ac:dyDescent="0.25">
      <c r="A5" s="2703" t="s">
        <v>2506</v>
      </c>
      <c r="B5" s="2704">
        <v>200</v>
      </c>
      <c r="C5" s="2705">
        <f t="shared" ref="C5" si="1">B5/30</f>
        <v>6.666666666666667</v>
      </c>
      <c r="D5" s="1875" t="s">
        <v>32</v>
      </c>
      <c r="E5" s="1070">
        <v>20</v>
      </c>
      <c r="F5" s="1071">
        <v>480</v>
      </c>
      <c r="G5" s="1072" t="s">
        <v>5307</v>
      </c>
      <c r="H5" s="225">
        <f t="shared" si="0"/>
        <v>8.8516104952070379E-2</v>
      </c>
      <c r="I5" s="216">
        <v>1621</v>
      </c>
      <c r="J5" s="216"/>
      <c r="K5" s="991">
        <v>7.4999999999999997E-2</v>
      </c>
      <c r="L5" s="216">
        <v>0</v>
      </c>
      <c r="M5" s="3019" t="str">
        <f>IF($I$3&lt;=J5,$I$3*K5,"-")</f>
        <v>-</v>
      </c>
      <c r="O5" s="985" t="s">
        <v>6782</v>
      </c>
      <c r="P5" s="484">
        <v>189.59</v>
      </c>
      <c r="Q5" s="225">
        <v>0.15</v>
      </c>
      <c r="R5" s="609">
        <f>$P$8*Q5</f>
        <v>785.59649999999988</v>
      </c>
      <c r="S5" s="484">
        <v>384.16</v>
      </c>
      <c r="T5" s="3026"/>
      <c r="U5" s="867"/>
      <c r="V5" s="867"/>
      <c r="W5" s="867"/>
    </row>
    <row r="6" spans="1:23" ht="15.75" x14ac:dyDescent="0.25">
      <c r="A6" s="137" t="s">
        <v>5302</v>
      </c>
      <c r="B6" s="2034">
        <f>M9</f>
        <v>683.5100000000001</v>
      </c>
      <c r="C6" s="1881">
        <f>B6/30</f>
        <v>22.783666666666669</v>
      </c>
      <c r="D6" s="1876" t="s">
        <v>7570</v>
      </c>
      <c r="E6" s="1073">
        <v>20</v>
      </c>
      <c r="F6" s="1071">
        <v>50</v>
      </c>
      <c r="G6" s="1072" t="s">
        <v>5307</v>
      </c>
      <c r="H6" s="225">
        <f t="shared" si="0"/>
        <v>9.2204275991739984E-3</v>
      </c>
      <c r="I6" s="216">
        <v>1621.01</v>
      </c>
      <c r="J6" s="216">
        <v>2902.84</v>
      </c>
      <c r="K6" s="991">
        <v>0.09</v>
      </c>
      <c r="L6" s="216">
        <v>24.32</v>
      </c>
      <c r="M6" s="85" t="str">
        <f>IF($I$3&lt;=J6,$I$3*K6,"-")</f>
        <v>-</v>
      </c>
      <c r="O6" s="985"/>
      <c r="P6" s="484"/>
      <c r="Q6" s="225">
        <v>0.22500000000000001</v>
      </c>
      <c r="R6" s="609">
        <f>$P$8*Q6</f>
        <v>1178.3947499999999</v>
      </c>
      <c r="S6" s="484">
        <v>675.49</v>
      </c>
      <c r="T6" s="3026"/>
      <c r="U6" s="3027"/>
      <c r="V6" s="3027"/>
      <c r="W6" s="867"/>
    </row>
    <row r="7" spans="1:23" ht="15.75" x14ac:dyDescent="0.25">
      <c r="A7" s="137" t="s">
        <v>5458</v>
      </c>
      <c r="B7" s="2034">
        <f>T9</f>
        <v>391.72800000000007</v>
      </c>
      <c r="C7" s="1881">
        <f t="shared" ref="C7:C9" si="2">B7/30</f>
        <v>13.057600000000003</v>
      </c>
      <c r="D7" s="1876" t="s">
        <v>7571</v>
      </c>
      <c r="E7" s="1073">
        <v>20</v>
      </c>
      <c r="F7" s="1083">
        <v>110</v>
      </c>
      <c r="G7" s="1072" t="s">
        <v>5307</v>
      </c>
      <c r="H7" s="225">
        <f t="shared" si="0"/>
        <v>2.0284940718182796E-2</v>
      </c>
      <c r="I7" s="216">
        <v>2902.85</v>
      </c>
      <c r="J7" s="216">
        <v>4354.2700000000004</v>
      </c>
      <c r="K7" s="991">
        <v>0.12</v>
      </c>
      <c r="L7" s="216">
        <v>111.4</v>
      </c>
      <c r="M7" s="85" t="str">
        <f>IF($I$3&lt;=J7,$I$3*K7,"-")</f>
        <v>-</v>
      </c>
      <c r="O7" s="985"/>
      <c r="P7" s="484"/>
      <c r="Q7" s="225">
        <v>0.27500000000000002</v>
      </c>
      <c r="R7" s="609">
        <f>$P$8*Q7</f>
        <v>1440.26025</v>
      </c>
      <c r="S7" s="484">
        <v>908.73</v>
      </c>
      <c r="T7" s="3029">
        <f>R7-S7</f>
        <v>531.53025000000002</v>
      </c>
      <c r="U7" s="3030">
        <f>T7/I3</f>
        <v>8.436988095238096E-2</v>
      </c>
      <c r="V7" s="3027" t="s">
        <v>8717</v>
      </c>
      <c r="W7" s="867"/>
    </row>
    <row r="8" spans="1:23" ht="15.75" x14ac:dyDescent="0.25">
      <c r="A8" s="995" t="s">
        <v>5304</v>
      </c>
      <c r="B8" s="1049">
        <v>0</v>
      </c>
      <c r="C8" s="1881">
        <f t="shared" si="2"/>
        <v>0</v>
      </c>
      <c r="D8" s="1877" t="s">
        <v>53</v>
      </c>
      <c r="E8" s="1073">
        <v>20</v>
      </c>
      <c r="F8" s="1083">
        <v>350</v>
      </c>
      <c r="G8" s="1072" t="s">
        <v>5307</v>
      </c>
      <c r="H8" s="225">
        <f t="shared" si="0"/>
        <v>6.4542993194217996E-2</v>
      </c>
      <c r="I8" s="216">
        <v>4354.28</v>
      </c>
      <c r="J8" s="216">
        <v>8475.5499999999993</v>
      </c>
      <c r="K8" s="991">
        <v>0.14000000000000001</v>
      </c>
      <c r="L8" s="216">
        <v>198.49</v>
      </c>
      <c r="M8" s="609">
        <f>IF($I$3&lt;=J8,$I$3*K8,"-")-L8</f>
        <v>683.5100000000001</v>
      </c>
      <c r="O8" s="2392" t="s">
        <v>6783</v>
      </c>
      <c r="P8" s="2393">
        <f>I3-P4-P5-M9</f>
        <v>5237.3099999999995</v>
      </c>
      <c r="T8" s="3031">
        <f>7350*0.133145-I3*0.133145</f>
        <v>139.80224999999996</v>
      </c>
      <c r="U8" s="3032">
        <f>T8/I3</f>
        <v>2.2190833333333326E-2</v>
      </c>
      <c r="V8" s="3028" t="s">
        <v>8719</v>
      </c>
    </row>
    <row r="9" spans="1:23" ht="16.5" thickBot="1" x14ac:dyDescent="0.3">
      <c r="A9" s="2582" t="s">
        <v>7299</v>
      </c>
      <c r="B9" s="2581">
        <v>2.02</v>
      </c>
      <c r="C9" s="1881">
        <f t="shared" si="2"/>
        <v>6.7333333333333328E-2</v>
      </c>
      <c r="D9" s="1875" t="s">
        <v>5306</v>
      </c>
      <c r="E9" s="1070">
        <v>20</v>
      </c>
      <c r="F9" s="1071">
        <v>10</v>
      </c>
      <c r="G9" s="1072" t="s">
        <v>5307</v>
      </c>
      <c r="H9" s="225">
        <f>F9/$F$19</f>
        <v>1.8440855198347996E-3</v>
      </c>
      <c r="I9" s="216"/>
      <c r="J9" s="216"/>
      <c r="M9" s="2395">
        <f>SUM(M8)</f>
        <v>683.5100000000001</v>
      </c>
      <c r="S9" s="225"/>
      <c r="T9" s="3033">
        <f>T7-T8</f>
        <v>391.72800000000007</v>
      </c>
      <c r="U9" s="3024">
        <f>T9/I3</f>
        <v>6.2179047619047627E-2</v>
      </c>
      <c r="V9" s="3034" t="s">
        <v>8718</v>
      </c>
      <c r="W9" s="3035"/>
    </row>
    <row r="10" spans="1:23" ht="16.5" thickBot="1" x14ac:dyDescent="0.3">
      <c r="A10" s="139" t="s">
        <v>5305</v>
      </c>
      <c r="B10" s="140">
        <f>B4+B5-B6-B7-B8-B9</f>
        <v>5422.7419999999993</v>
      </c>
      <c r="C10" s="556">
        <f>SUM(C4:C9)</f>
        <v>252.57526666666666</v>
      </c>
      <c r="D10" s="1076" t="s">
        <v>7181</v>
      </c>
      <c r="E10" s="1077">
        <v>7</v>
      </c>
      <c r="F10" s="1075">
        <v>1000</v>
      </c>
      <c r="G10" s="1072" t="s">
        <v>5369</v>
      </c>
      <c r="H10" s="225">
        <f t="shared" si="0"/>
        <v>0.18440855198347997</v>
      </c>
      <c r="I10" s="216"/>
      <c r="M10" s="2394">
        <f>M9/I3</f>
        <v>0.10849365079365081</v>
      </c>
    </row>
    <row r="11" spans="1:23" x14ac:dyDescent="0.25">
      <c r="D11" s="1076" t="s">
        <v>7569</v>
      </c>
      <c r="E11" s="1077">
        <v>7</v>
      </c>
      <c r="F11" s="1075">
        <v>600</v>
      </c>
      <c r="G11" s="1072" t="s">
        <v>5369</v>
      </c>
      <c r="H11" s="225">
        <f>F11/$F$19</f>
        <v>0.11064513119008798</v>
      </c>
      <c r="J11" s="843"/>
    </row>
    <row r="12" spans="1:23" ht="15.75" thickBot="1" x14ac:dyDescent="0.3">
      <c r="A12" s="79" t="s">
        <v>7466</v>
      </c>
      <c r="B12" s="629">
        <f>B67</f>
        <v>5079.95</v>
      </c>
      <c r="C12" s="2354">
        <f>B10/B12-1</f>
        <v>6.7479404324845671E-2</v>
      </c>
      <c r="D12" s="1669" t="s">
        <v>5308</v>
      </c>
      <c r="E12" s="1073">
        <v>7</v>
      </c>
      <c r="F12" s="1071">
        <v>100</v>
      </c>
      <c r="G12" s="1072" t="s">
        <v>5369</v>
      </c>
      <c r="H12" s="225">
        <f t="shared" si="0"/>
        <v>1.8440855198347997E-2</v>
      </c>
      <c r="J12" s="841"/>
      <c r="K12" s="51"/>
      <c r="M12" s="821">
        <f>M9-B6</f>
        <v>0</v>
      </c>
      <c r="T12" s="609"/>
    </row>
    <row r="13" spans="1:23" ht="15.75" thickBot="1" x14ac:dyDescent="0.3">
      <c r="B13" s="609">
        <f>B10-B12</f>
        <v>342.79199999999946</v>
      </c>
      <c r="D13" s="1670" t="s">
        <v>5309</v>
      </c>
      <c r="E13" s="1074">
        <v>7</v>
      </c>
      <c r="F13" s="1075">
        <v>45</v>
      </c>
      <c r="G13" s="1072" t="s">
        <v>5369</v>
      </c>
      <c r="H13" s="225">
        <f t="shared" si="0"/>
        <v>8.2983848392565989E-3</v>
      </c>
      <c r="K13" s="841"/>
      <c r="L13" s="81"/>
      <c r="M13" s="81"/>
      <c r="N13" s="193"/>
      <c r="P13" s="3209" t="s">
        <v>7298</v>
      </c>
      <c r="Q13" s="3210"/>
      <c r="R13" s="3211"/>
    </row>
    <row r="14" spans="1:23" ht="15.75" thickBot="1" x14ac:dyDescent="0.3">
      <c r="A14" s="79" t="s">
        <v>6779</v>
      </c>
      <c r="D14" s="1069" t="s">
        <v>5312</v>
      </c>
      <c r="E14" s="1077">
        <v>7</v>
      </c>
      <c r="F14" s="1075">
        <v>30</v>
      </c>
      <c r="G14" s="1072" t="s">
        <v>5369</v>
      </c>
      <c r="H14" s="225">
        <f t="shared" si="0"/>
        <v>5.5322565595043987E-3</v>
      </c>
      <c r="L14" s="193"/>
      <c r="N14" s="795"/>
      <c r="P14" s="181" t="s">
        <v>5295</v>
      </c>
      <c r="Q14" s="140" t="s">
        <v>5296</v>
      </c>
      <c r="R14" s="2464" t="s">
        <v>5297</v>
      </c>
      <c r="T14" s="79" t="s">
        <v>8710</v>
      </c>
      <c r="V14" s="79" t="s">
        <v>6784</v>
      </c>
      <c r="W14" s="79" t="s">
        <v>8711</v>
      </c>
    </row>
    <row r="15" spans="1:23" ht="15.75" thickBot="1" x14ac:dyDescent="0.3">
      <c r="A15" s="79" t="s">
        <v>6753</v>
      </c>
      <c r="D15" s="1194" t="s">
        <v>1710</v>
      </c>
      <c r="E15" s="1195">
        <v>7</v>
      </c>
      <c r="F15" s="1196">
        <v>22</v>
      </c>
      <c r="G15" s="1072" t="s">
        <v>5369</v>
      </c>
      <c r="H15" s="225">
        <f t="shared" si="0"/>
        <v>4.0569881436365593E-3</v>
      </c>
      <c r="N15" s="795"/>
      <c r="P15" s="596" t="s">
        <v>5300</v>
      </c>
      <c r="Q15" s="1048">
        <f>I3</f>
        <v>6300</v>
      </c>
      <c r="R15" s="1880">
        <f>Q15/30</f>
        <v>210</v>
      </c>
      <c r="T15" s="79" t="s">
        <v>8712</v>
      </c>
      <c r="U15" s="3020">
        <v>2428.8000000000002</v>
      </c>
      <c r="V15" s="608">
        <v>0</v>
      </c>
      <c r="W15" s="79">
        <v>0</v>
      </c>
    </row>
    <row r="16" spans="1:23" ht="15.75" thickBot="1" x14ac:dyDescent="0.3">
      <c r="D16" s="589" t="s">
        <v>5314</v>
      </c>
      <c r="E16" s="2172" t="s">
        <v>381</v>
      </c>
      <c r="F16" s="2171" t="s">
        <v>5295</v>
      </c>
      <c r="G16" s="2562" t="s">
        <v>5315</v>
      </c>
      <c r="H16" s="225">
        <f>SUM(H4:H15)</f>
        <v>0.5397638316556459</v>
      </c>
      <c r="N16" s="795"/>
      <c r="P16" s="1530" t="s">
        <v>2506</v>
      </c>
      <c r="Q16" s="1064">
        <v>200</v>
      </c>
      <c r="R16" s="1881">
        <f t="shared" ref="R16" si="3">Q16/30</f>
        <v>6.666666666666667</v>
      </c>
      <c r="T16" s="79" t="s">
        <v>8713</v>
      </c>
      <c r="U16" s="79">
        <v>397.85</v>
      </c>
      <c r="V16" s="608">
        <v>7.4999999999999997E-2</v>
      </c>
      <c r="W16" s="3021">
        <f>U16*V16</f>
        <v>29.838750000000001</v>
      </c>
    </row>
    <row r="17" spans="1:23" x14ac:dyDescent="0.25">
      <c r="D17" s="1540" t="s">
        <v>5316</v>
      </c>
      <c r="E17" s="2560">
        <f>SUMIF(E4:E15,7,F4:F15)</f>
        <v>1797</v>
      </c>
      <c r="F17" s="2557">
        <f>B10-F18</f>
        <v>2902.7419999999993</v>
      </c>
      <c r="G17" s="2563">
        <f>F17-E17</f>
        <v>1105.7419999999993</v>
      </c>
      <c r="K17" s="79" t="s">
        <v>8739</v>
      </c>
      <c r="L17" s="1985"/>
      <c r="N17" s="795"/>
      <c r="P17" s="137" t="s">
        <v>5302</v>
      </c>
      <c r="Q17" s="2034">
        <f>M9</f>
        <v>683.5100000000001</v>
      </c>
      <c r="R17" s="1881">
        <f>Q17/30</f>
        <v>22.783666666666669</v>
      </c>
      <c r="T17" s="79" t="s">
        <v>8714</v>
      </c>
      <c r="U17" s="79">
        <v>924.4</v>
      </c>
      <c r="V17" s="608">
        <v>0.15</v>
      </c>
      <c r="W17" s="3021">
        <f t="shared" ref="W17:W19" si="4">U17*V17</f>
        <v>138.66</v>
      </c>
    </row>
    <row r="18" spans="1:23" ht="16.5" customHeight="1" thickBot="1" x14ac:dyDescent="0.3">
      <c r="D18" s="1541" t="s">
        <v>5317</v>
      </c>
      <c r="E18" s="2560">
        <f>SUMIF(E4:E15,20,F4:F15)</f>
        <v>1130</v>
      </c>
      <c r="F18" s="2558">
        <f>B4*40%</f>
        <v>2520</v>
      </c>
      <c r="G18" s="2564">
        <f>F18-E18</f>
        <v>1390</v>
      </c>
      <c r="K18" s="79" t="s">
        <v>8740</v>
      </c>
      <c r="L18" s="1985"/>
      <c r="N18" s="795"/>
      <c r="P18" s="137" t="s">
        <v>5458</v>
      </c>
      <c r="Q18" s="2034">
        <f>T9</f>
        <v>391.72800000000007</v>
      </c>
      <c r="R18" s="1881">
        <f t="shared" ref="R18:R19" si="5">Q18/30</f>
        <v>13.057600000000003</v>
      </c>
      <c r="T18" s="79" t="s">
        <v>8715</v>
      </c>
      <c r="U18" s="79">
        <v>913.63</v>
      </c>
      <c r="V18" s="608">
        <v>0.22500000000000001</v>
      </c>
      <c r="W18" s="3021">
        <f t="shared" si="4"/>
        <v>205.56675000000001</v>
      </c>
    </row>
    <row r="19" spans="1:23" ht="16.5" customHeight="1" thickBot="1" x14ac:dyDescent="0.3">
      <c r="D19" s="144" t="s">
        <v>5318</v>
      </c>
      <c r="E19" s="2561">
        <f>SUM(E17:E18)</f>
        <v>2927</v>
      </c>
      <c r="F19" s="2559">
        <f>SUM(F17:F18)</f>
        <v>5422.7419999999993</v>
      </c>
      <c r="G19" s="519">
        <f>SUM(G17:G18)</f>
        <v>2495.7419999999993</v>
      </c>
      <c r="H19" s="225">
        <f>G19/$F$19</f>
        <v>0.46023616834435416</v>
      </c>
      <c r="L19" s="1985"/>
      <c r="N19" s="795"/>
      <c r="P19" s="995" t="s">
        <v>5304</v>
      </c>
      <c r="Q19" s="1049">
        <v>0</v>
      </c>
      <c r="R19" s="1881">
        <f t="shared" si="5"/>
        <v>0</v>
      </c>
      <c r="T19" s="79" t="s">
        <v>8716</v>
      </c>
      <c r="U19" s="79">
        <v>564.54</v>
      </c>
      <c r="V19" s="608">
        <v>0.27500000000000002</v>
      </c>
      <c r="W19" s="3021">
        <f t="shared" si="4"/>
        <v>155.24850000000001</v>
      </c>
    </row>
    <row r="20" spans="1:23" ht="16.5" customHeight="1" thickBot="1" x14ac:dyDescent="0.3">
      <c r="L20" s="1985"/>
      <c r="N20" s="795"/>
      <c r="P20" s="2582" t="s">
        <v>7299</v>
      </c>
      <c r="Q20" s="2581">
        <v>2.02</v>
      </c>
      <c r="R20" s="1881">
        <f>Q20/30</f>
        <v>6.7333333333333328E-2</v>
      </c>
      <c r="T20" s="81" t="s">
        <v>361</v>
      </c>
      <c r="U20" s="3023">
        <f>SUM(U15:U19)</f>
        <v>5229.22</v>
      </c>
      <c r="W20" s="3022">
        <f>SUM(W16:W19)</f>
        <v>529.31400000000008</v>
      </c>
    </row>
    <row r="21" spans="1:23" ht="16.5" customHeight="1" thickBot="1" x14ac:dyDescent="0.3">
      <c r="B21" s="1079">
        <v>45901</v>
      </c>
      <c r="C21" s="193" t="s">
        <v>5319</v>
      </c>
      <c r="D21" s="193" t="s">
        <v>5320</v>
      </c>
      <c r="E21" s="193"/>
      <c r="F21" s="3225" t="s">
        <v>5321</v>
      </c>
      <c r="G21" s="3226"/>
      <c r="H21" s="3226"/>
      <c r="I21" s="3227"/>
      <c r="L21" s="1985"/>
      <c r="N21" s="795"/>
      <c r="P21" s="139" t="s">
        <v>5305</v>
      </c>
      <c r="Q21" s="140">
        <f>Q15+Q16-Q17-Q18-Q19-Q20</f>
        <v>5422.7419999999993</v>
      </c>
      <c r="R21" s="556">
        <f>SUM(R15:R20)</f>
        <v>252.57526666666666</v>
      </c>
    </row>
    <row r="22" spans="1:23" ht="16.5" customHeight="1" x14ac:dyDescent="0.25">
      <c r="B22" s="545"/>
      <c r="C22" s="177">
        <v>80977.02</v>
      </c>
      <c r="D22" s="177">
        <v>55659.41</v>
      </c>
      <c r="E22" s="216"/>
      <c r="F22" s="2509">
        <v>500</v>
      </c>
      <c r="G22" s="2510" t="s">
        <v>5323</v>
      </c>
      <c r="H22" s="2511"/>
      <c r="I22" s="2512"/>
      <c r="L22" s="1985"/>
      <c r="N22" s="795"/>
      <c r="P22" s="79" t="s">
        <v>7423</v>
      </c>
      <c r="Q22" s="629">
        <v>5329.21</v>
      </c>
    </row>
    <row r="23" spans="1:23" ht="16.5" customHeight="1" x14ac:dyDescent="0.25">
      <c r="B23" s="545"/>
      <c r="C23" s="1961">
        <f>C22*40%</f>
        <v>32390.808000000005</v>
      </c>
      <c r="D23" s="216"/>
      <c r="E23" s="216"/>
      <c r="F23" s="2513">
        <v>1045</v>
      </c>
      <c r="G23" s="518" t="s">
        <v>5324</v>
      </c>
      <c r="I23" s="298"/>
      <c r="L23" s="1985"/>
      <c r="N23" s="795"/>
      <c r="P23" s="79" t="s">
        <v>7424</v>
      </c>
      <c r="Q23" s="609">
        <f>Q21-Q22</f>
        <v>93.531999999999243</v>
      </c>
      <c r="R23" s="225">
        <f>Q21/Q22-1</f>
        <v>1.7550818976921345E-2</v>
      </c>
    </row>
    <row r="24" spans="1:23" ht="16.5" customHeight="1" x14ac:dyDescent="0.25">
      <c r="F24" s="2513">
        <v>5359.18</v>
      </c>
      <c r="G24" s="518" t="s">
        <v>5325</v>
      </c>
      <c r="I24" s="298"/>
      <c r="L24" s="1985"/>
      <c r="N24" s="795"/>
    </row>
    <row r="25" spans="1:23" ht="16.5" customHeight="1" x14ac:dyDescent="0.25">
      <c r="F25" s="2514">
        <v>1000</v>
      </c>
      <c r="G25" s="518" t="s">
        <v>5328</v>
      </c>
      <c r="I25" s="298"/>
      <c r="L25" s="1985"/>
      <c r="N25" s="3228" t="s">
        <v>7974</v>
      </c>
      <c r="O25" s="3228"/>
      <c r="P25" s="3228"/>
      <c r="Q25" s="2753">
        <f>Q17+Q18</f>
        <v>1075.2380000000003</v>
      </c>
      <c r="R25" s="2754">
        <f>Q25/B4</f>
        <v>0.17067269841269847</v>
      </c>
    </row>
    <row r="26" spans="1:23" ht="16.5" customHeight="1" x14ac:dyDescent="0.25">
      <c r="E26" s="216"/>
      <c r="F26" s="2513">
        <v>4994.26</v>
      </c>
      <c r="G26" s="518" t="s">
        <v>5330</v>
      </c>
      <c r="I26" s="298"/>
      <c r="L26" s="1985"/>
    </row>
    <row r="27" spans="1:23" ht="16.5" customHeight="1" thickBot="1" x14ac:dyDescent="0.3">
      <c r="F27" s="2515">
        <v>5582.25</v>
      </c>
      <c r="G27" s="2516" t="s">
        <v>5332</v>
      </c>
      <c r="H27" s="301"/>
      <c r="I27" s="302"/>
      <c r="L27" s="1985"/>
      <c r="M27" s="800"/>
      <c r="N27" s="917"/>
    </row>
    <row r="28" spans="1:23" ht="16.5" customHeight="1" x14ac:dyDescent="0.3">
      <c r="F28" s="2500">
        <v>5477.73</v>
      </c>
      <c r="G28" s="2508" t="s">
        <v>6917</v>
      </c>
      <c r="H28" s="2501"/>
      <c r="I28" s="2502"/>
      <c r="K28" s="3229" t="s">
        <v>8035</v>
      </c>
      <c r="L28" s="3229"/>
      <c r="M28" s="3229"/>
      <c r="N28" s="3229"/>
      <c r="O28" s="3229"/>
      <c r="P28" s="3229"/>
      <c r="Q28" s="3229"/>
    </row>
    <row r="29" spans="1:23" ht="16.5" customHeight="1" x14ac:dyDescent="0.25">
      <c r="F29" s="2837">
        <v>5982.07</v>
      </c>
      <c r="G29" s="2838" t="s">
        <v>8726</v>
      </c>
      <c r="H29" s="2839"/>
      <c r="I29" s="2504"/>
      <c r="K29" s="2777" t="s">
        <v>6832</v>
      </c>
      <c r="L29" s="2777" t="s">
        <v>8036</v>
      </c>
      <c r="M29" s="2777" t="s">
        <v>5541</v>
      </c>
      <c r="N29" s="2777" t="s">
        <v>7414</v>
      </c>
      <c r="O29" s="2778" t="s">
        <v>361</v>
      </c>
      <c r="P29" s="2777" t="s">
        <v>8038</v>
      </c>
      <c r="Q29" s="2777" t="s">
        <v>383</v>
      </c>
    </row>
    <row r="30" spans="1:23" ht="16.5" customHeight="1" x14ac:dyDescent="0.25">
      <c r="B30" s="660" t="s">
        <v>8169</v>
      </c>
      <c r="C30" s="934"/>
      <c r="D30" s="1061" t="s">
        <v>8170</v>
      </c>
      <c r="F30" s="2503"/>
      <c r="G30" s="2839"/>
      <c r="H30" s="2839"/>
      <c r="I30" s="2504"/>
      <c r="K30" s="193">
        <v>2025</v>
      </c>
      <c r="L30" s="177">
        <v>5329.213925</v>
      </c>
      <c r="M30" s="216">
        <v>487</v>
      </c>
      <c r="N30" s="216">
        <v>500</v>
      </c>
      <c r="O30" s="632">
        <f>SUM(L30:N30)</f>
        <v>6316.213925</v>
      </c>
      <c r="P30" s="609">
        <f>O30-O31</f>
        <v>356.2639250000002</v>
      </c>
      <c r="Q30" s="2775">
        <f t="shared" ref="Q30:Q42" si="6">O30/O31-1</f>
        <v>5.9776327821542186E-2</v>
      </c>
    </row>
    <row r="31" spans="1:23" ht="16.5" customHeight="1" thickBot="1" x14ac:dyDescent="0.3">
      <c r="B31" s="79" t="s">
        <v>5329</v>
      </c>
      <c r="C31" s="881">
        <f>D31*5%</f>
        <v>3082.0740000000005</v>
      </c>
      <c r="D31" s="881">
        <v>61641.48</v>
      </c>
      <c r="F31" s="2505"/>
      <c r="G31" s="2506"/>
      <c r="H31" s="2506"/>
      <c r="I31" s="2507"/>
      <c r="K31" s="2033">
        <v>2024</v>
      </c>
      <c r="L31" s="1125">
        <v>5079.95</v>
      </c>
      <c r="M31" s="1138">
        <v>480</v>
      </c>
      <c r="N31" s="1138">
        <v>400</v>
      </c>
      <c r="O31" s="633">
        <f t="shared" ref="O31:O43" si="7">SUM(L31:N31)</f>
        <v>5959.95</v>
      </c>
      <c r="P31" s="2393">
        <f t="shared" ref="P31:P42" si="8">O31-O32</f>
        <v>1632.3199999999997</v>
      </c>
      <c r="Q31" s="2775">
        <f t="shared" si="6"/>
        <v>0.3771856651331098</v>
      </c>
    </row>
    <row r="32" spans="1:23" ht="16.5" customHeight="1" thickBot="1" x14ac:dyDescent="0.3">
      <c r="A32" s="1092" t="s">
        <v>5331</v>
      </c>
      <c r="B32" s="1092"/>
      <c r="C32" s="881">
        <v>2900</v>
      </c>
      <c r="D32" s="881"/>
      <c r="F32" s="1062">
        <f>SUM(F22:F31)</f>
        <v>29940.49</v>
      </c>
      <c r="G32" s="3223" t="s">
        <v>5334</v>
      </c>
      <c r="H32" s="3223"/>
      <c r="I32" s="3224"/>
      <c r="K32" s="193">
        <v>2023</v>
      </c>
      <c r="L32" s="177">
        <v>4327.63</v>
      </c>
      <c r="M32" s="216">
        <v>0</v>
      </c>
      <c r="N32" s="216">
        <v>0</v>
      </c>
      <c r="O32" s="632">
        <f t="shared" si="7"/>
        <v>4327.63</v>
      </c>
      <c r="P32" s="609">
        <f t="shared" si="8"/>
        <v>102.77999999999975</v>
      </c>
      <c r="Q32" s="2775">
        <f t="shared" si="6"/>
        <v>2.4327490916837169E-2</v>
      </c>
    </row>
    <row r="33" spans="1:17" x14ac:dyDescent="0.25">
      <c r="B33" s="81" t="s">
        <v>772</v>
      </c>
      <c r="C33" s="2836">
        <f>SUM(C31:C32)</f>
        <v>5982.0740000000005</v>
      </c>
      <c r="D33" s="881"/>
      <c r="K33" s="193">
        <v>2022</v>
      </c>
      <c r="L33" s="177">
        <v>4224.8500000000004</v>
      </c>
      <c r="M33" s="216">
        <v>0</v>
      </c>
      <c r="N33" s="216">
        <v>0</v>
      </c>
      <c r="O33" s="632">
        <f t="shared" si="7"/>
        <v>4224.8500000000004</v>
      </c>
      <c r="P33" s="609">
        <f t="shared" si="8"/>
        <v>301.51000000000022</v>
      </c>
      <c r="Q33" s="2775">
        <f t="shared" si="6"/>
        <v>7.6850336702911415E-2</v>
      </c>
    </row>
    <row r="34" spans="1:17" x14ac:dyDescent="0.25">
      <c r="A34" s="518" t="s">
        <v>8229</v>
      </c>
      <c r="C34" s="2836">
        <v>5203.84</v>
      </c>
      <c r="G34" s="81" t="s">
        <v>5322</v>
      </c>
      <c r="K34" s="193">
        <v>2021</v>
      </c>
      <c r="L34" s="177">
        <v>3923.34</v>
      </c>
      <c r="M34" s="216">
        <v>0</v>
      </c>
      <c r="N34" s="216">
        <v>0</v>
      </c>
      <c r="O34" s="632">
        <f t="shared" si="7"/>
        <v>3923.34</v>
      </c>
      <c r="P34" s="609">
        <f t="shared" si="8"/>
        <v>335.99000000000024</v>
      </c>
      <c r="Q34" s="2775">
        <f t="shared" si="6"/>
        <v>9.3659665212482812E-2</v>
      </c>
    </row>
    <row r="35" spans="1:17" x14ac:dyDescent="0.25">
      <c r="A35" s="660" t="s">
        <v>5333</v>
      </c>
      <c r="B35" s="81"/>
      <c r="C35" s="1014">
        <f>C33-C34</f>
        <v>778.23400000000038</v>
      </c>
      <c r="F35" s="79">
        <v>2016</v>
      </c>
      <c r="G35" s="216">
        <v>326.3</v>
      </c>
      <c r="K35" s="193">
        <v>2020</v>
      </c>
      <c r="L35" s="177">
        <v>3587.35</v>
      </c>
      <c r="M35" s="216">
        <v>0</v>
      </c>
      <c r="N35" s="216">
        <v>0</v>
      </c>
      <c r="O35" s="632">
        <f t="shared" si="7"/>
        <v>3587.35</v>
      </c>
      <c r="P35" s="609">
        <f t="shared" si="8"/>
        <v>0</v>
      </c>
      <c r="Q35" s="2775">
        <f t="shared" si="6"/>
        <v>0</v>
      </c>
    </row>
    <row r="36" spans="1:17" x14ac:dyDescent="0.25">
      <c r="F36" s="79">
        <v>2017</v>
      </c>
      <c r="G36" s="216">
        <v>376.32</v>
      </c>
      <c r="K36" s="193">
        <v>2019</v>
      </c>
      <c r="L36" s="177">
        <v>3587.35</v>
      </c>
      <c r="M36" s="216">
        <v>0</v>
      </c>
      <c r="N36" s="216">
        <v>0</v>
      </c>
      <c r="O36" s="632">
        <f t="shared" si="7"/>
        <v>3587.35</v>
      </c>
      <c r="P36" s="609">
        <f t="shared" si="8"/>
        <v>109.67000000000007</v>
      </c>
      <c r="Q36" s="2775">
        <f t="shared" si="6"/>
        <v>3.1535391410365543E-2</v>
      </c>
    </row>
    <row r="37" spans="1:17" ht="18.75" x14ac:dyDescent="0.3">
      <c r="B37" s="660" t="s">
        <v>6139</v>
      </c>
      <c r="C37" s="934"/>
      <c r="D37" s="1061" t="s">
        <v>6140</v>
      </c>
      <c r="F37" s="79">
        <v>2018</v>
      </c>
      <c r="G37" s="216">
        <v>837.63</v>
      </c>
      <c r="I37" s="200"/>
      <c r="J37" s="200"/>
      <c r="K37" s="193">
        <v>2018</v>
      </c>
      <c r="L37" s="177">
        <v>3477.68</v>
      </c>
      <c r="M37" s="216">
        <v>0</v>
      </c>
      <c r="N37" s="216">
        <v>0</v>
      </c>
      <c r="O37" s="632">
        <f t="shared" si="7"/>
        <v>3477.68</v>
      </c>
      <c r="P37" s="609">
        <f t="shared" si="8"/>
        <v>198.05579999999964</v>
      </c>
      <c r="Q37" s="2775">
        <f t="shared" si="6"/>
        <v>6.0389784902794563E-2</v>
      </c>
    </row>
    <row r="38" spans="1:17" x14ac:dyDescent="0.25">
      <c r="B38" s="79" t="s">
        <v>5329</v>
      </c>
      <c r="C38" s="216">
        <f>D38*5%</f>
        <v>2862.2020000000002</v>
      </c>
      <c r="D38" s="216">
        <v>57244.04</v>
      </c>
      <c r="F38" s="79">
        <v>2019</v>
      </c>
      <c r="G38" s="216">
        <v>716.59</v>
      </c>
      <c r="I38" s="81"/>
      <c r="J38" s="2353"/>
      <c r="K38" s="193">
        <v>2017</v>
      </c>
      <c r="L38" s="216">
        <v>3279.6242000000002</v>
      </c>
      <c r="M38" s="216">
        <v>0</v>
      </c>
      <c r="N38" s="216">
        <v>0</v>
      </c>
      <c r="O38" s="632">
        <f t="shared" si="7"/>
        <v>3279.6242000000002</v>
      </c>
      <c r="P38" s="609">
        <f t="shared" si="8"/>
        <v>210.80420000000004</v>
      </c>
      <c r="Q38" s="2775">
        <f t="shared" si="6"/>
        <v>6.8692266082728937E-2</v>
      </c>
    </row>
    <row r="39" spans="1:17" x14ac:dyDescent="0.25">
      <c r="A39" s="1092" t="s">
        <v>5331</v>
      </c>
      <c r="B39" s="1092"/>
      <c r="C39" s="216">
        <v>2900</v>
      </c>
      <c r="D39" s="216"/>
      <c r="F39" s="79">
        <v>2020</v>
      </c>
      <c r="G39" s="216">
        <v>819.36</v>
      </c>
      <c r="I39" s="1113"/>
      <c r="J39" s="1113"/>
      <c r="K39" s="193">
        <v>2016</v>
      </c>
      <c r="L39" s="216">
        <v>3068.82</v>
      </c>
      <c r="M39" s="216">
        <v>0</v>
      </c>
      <c r="N39" s="216">
        <v>0</v>
      </c>
      <c r="O39" s="632">
        <f t="shared" si="7"/>
        <v>3068.82</v>
      </c>
      <c r="P39" s="609">
        <f t="shared" si="8"/>
        <v>286.86999999999989</v>
      </c>
      <c r="Q39" s="2775">
        <f t="shared" si="6"/>
        <v>0.10311831628893398</v>
      </c>
    </row>
    <row r="40" spans="1:17" x14ac:dyDescent="0.25">
      <c r="B40" s="81" t="s">
        <v>772</v>
      </c>
      <c r="C40" s="631">
        <f>SUM(C38:C39)</f>
        <v>5762.2020000000002</v>
      </c>
      <c r="D40" s="216"/>
      <c r="F40" s="79">
        <v>2021</v>
      </c>
      <c r="G40" s="216">
        <v>1249.04</v>
      </c>
      <c r="I40" s="1038"/>
      <c r="J40" s="1038"/>
      <c r="K40" s="2033">
        <v>2015</v>
      </c>
      <c r="L40" s="1138">
        <v>2781.9500000000003</v>
      </c>
      <c r="M40" s="1138">
        <v>0</v>
      </c>
      <c r="N40" s="1138">
        <v>0</v>
      </c>
      <c r="O40" s="633">
        <f t="shared" si="7"/>
        <v>2781.9500000000003</v>
      </c>
      <c r="P40" s="2393">
        <f t="shared" si="8"/>
        <v>1139.7700000000002</v>
      </c>
      <c r="Q40" s="2775">
        <f t="shared" si="6"/>
        <v>0.6940591165402088</v>
      </c>
    </row>
    <row r="41" spans="1:17" x14ac:dyDescent="0.25">
      <c r="A41" s="518" t="s">
        <v>8171</v>
      </c>
      <c r="B41" s="518"/>
      <c r="C41" s="1001">
        <v>5477.73</v>
      </c>
      <c r="F41" s="79">
        <v>2022</v>
      </c>
      <c r="G41" s="216">
        <v>930.11</v>
      </c>
      <c r="I41" s="1210"/>
      <c r="J41" s="1210"/>
      <c r="K41" s="193">
        <v>2014</v>
      </c>
      <c r="L41" s="216">
        <v>1642.18</v>
      </c>
      <c r="M41" s="216">
        <v>0</v>
      </c>
      <c r="N41" s="216">
        <v>0</v>
      </c>
      <c r="O41" s="632">
        <f t="shared" si="7"/>
        <v>1642.18</v>
      </c>
      <c r="P41" s="609">
        <f t="shared" si="8"/>
        <v>149.27999999999997</v>
      </c>
      <c r="Q41" s="2775">
        <f t="shared" si="6"/>
        <v>9.9993301627704367E-2</v>
      </c>
    </row>
    <row r="42" spans="1:17" x14ac:dyDescent="0.25">
      <c r="A42" s="660" t="s">
        <v>5333</v>
      </c>
      <c r="B42" s="660"/>
      <c r="C42" s="632">
        <f>C40-C41</f>
        <v>284.47200000000066</v>
      </c>
      <c r="F42" s="79">
        <v>2023</v>
      </c>
      <c r="G42" s="216">
        <v>1347.62</v>
      </c>
      <c r="I42" s="1210"/>
      <c r="J42" s="1210"/>
      <c r="K42" s="193">
        <v>2013</v>
      </c>
      <c r="L42" s="216">
        <v>1492.9</v>
      </c>
      <c r="M42" s="216">
        <v>0</v>
      </c>
      <c r="N42" s="216">
        <v>0</v>
      </c>
      <c r="O42" s="632">
        <f t="shared" si="7"/>
        <v>1492.9</v>
      </c>
      <c r="P42" s="609">
        <f t="shared" si="8"/>
        <v>192.19200000000001</v>
      </c>
      <c r="Q42" s="2775">
        <f t="shared" si="6"/>
        <v>0.14775952788788871</v>
      </c>
    </row>
    <row r="43" spans="1:17" x14ac:dyDescent="0.25">
      <c r="F43" s="79">
        <v>2024</v>
      </c>
      <c r="G43" s="216">
        <v>1096.3800000000001</v>
      </c>
      <c r="I43" s="518"/>
      <c r="J43" s="958"/>
      <c r="K43" s="193">
        <v>2012</v>
      </c>
      <c r="L43" s="216">
        <v>1300.7080000000001</v>
      </c>
      <c r="M43" s="216">
        <v>0</v>
      </c>
      <c r="N43" s="216">
        <v>0</v>
      </c>
      <c r="O43" s="632">
        <f t="shared" si="7"/>
        <v>1300.7080000000001</v>
      </c>
      <c r="P43" s="609">
        <f>O43-O44</f>
        <v>-7.2919999999999163</v>
      </c>
      <c r="Q43" s="2775">
        <f>O43/O44-1</f>
        <v>-5.5749235474005232E-3</v>
      </c>
    </row>
    <row r="44" spans="1:17" x14ac:dyDescent="0.25">
      <c r="B44" s="660" t="s">
        <v>5337</v>
      </c>
      <c r="C44" s="934"/>
      <c r="D44" s="1061" t="s">
        <v>5338</v>
      </c>
      <c r="G44" s="631">
        <f>SUM(G35:G43)</f>
        <v>7699.3499999999995</v>
      </c>
      <c r="I44" s="518"/>
      <c r="J44" s="958"/>
      <c r="K44" s="193">
        <v>2011</v>
      </c>
      <c r="L44" s="177">
        <v>1308</v>
      </c>
      <c r="M44" s="216">
        <v>0</v>
      </c>
      <c r="N44" s="216">
        <v>0</v>
      </c>
      <c r="O44" s="632">
        <f>SUM(L44:N44)</f>
        <v>1308</v>
      </c>
      <c r="Q44" s="2775"/>
    </row>
    <row r="45" spans="1:17" x14ac:dyDescent="0.25">
      <c r="B45" s="79" t="s">
        <v>5329</v>
      </c>
      <c r="C45" s="216">
        <f>D45*5%</f>
        <v>2682.2540000000004</v>
      </c>
      <c r="D45" s="216">
        <v>53645.08</v>
      </c>
      <c r="G45" s="216"/>
      <c r="I45" s="518"/>
      <c r="J45" s="958"/>
      <c r="K45" s="193"/>
      <c r="L45" s="177"/>
      <c r="M45" s="216"/>
      <c r="N45" s="216"/>
      <c r="O45" s="632"/>
      <c r="Q45" s="2775"/>
    </row>
    <row r="46" spans="1:17" x14ac:dyDescent="0.25">
      <c r="A46" s="1092" t="s">
        <v>5331</v>
      </c>
      <c r="B46" s="1092"/>
      <c r="C46" s="216">
        <v>2900</v>
      </c>
      <c r="D46" s="216"/>
      <c r="G46" s="216"/>
      <c r="I46" s="518"/>
      <c r="J46" s="958"/>
      <c r="K46" s="193"/>
      <c r="L46" s="177"/>
      <c r="M46" s="216"/>
      <c r="N46" s="216"/>
      <c r="O46" s="632"/>
      <c r="Q46" s="2775"/>
    </row>
    <row r="47" spans="1:17" x14ac:dyDescent="0.25">
      <c r="A47" s="660" t="s">
        <v>5333</v>
      </c>
      <c r="B47" s="660"/>
      <c r="C47" s="632">
        <f>SUM(C45:C46)</f>
        <v>5582.2540000000008</v>
      </c>
      <c r="D47" s="216"/>
      <c r="G47" s="216"/>
      <c r="I47" s="518"/>
      <c r="J47" s="958"/>
      <c r="K47" s="193"/>
      <c r="L47" s="177"/>
      <c r="M47" s="216"/>
      <c r="N47" s="216"/>
      <c r="O47" s="632"/>
      <c r="Q47" s="2775"/>
    </row>
    <row r="48" spans="1:17" x14ac:dyDescent="0.25">
      <c r="C48" s="216"/>
      <c r="D48" s="79" t="s">
        <v>280</v>
      </c>
      <c r="G48" s="216"/>
      <c r="I48" s="518"/>
      <c r="J48" s="958"/>
      <c r="K48" s="193"/>
      <c r="L48" s="177"/>
      <c r="M48" s="216"/>
      <c r="N48" s="216"/>
      <c r="O48" s="632"/>
      <c r="Q48" s="2775"/>
    </row>
    <row r="49" spans="1:17" x14ac:dyDescent="0.25">
      <c r="B49" s="660" t="s">
        <v>5335</v>
      </c>
      <c r="C49" s="934"/>
      <c r="D49" s="1061" t="s">
        <v>5336</v>
      </c>
      <c r="G49" s="216"/>
      <c r="I49" s="518"/>
      <c r="J49" s="958"/>
      <c r="K49" s="193"/>
      <c r="L49" s="177"/>
      <c r="M49" s="216"/>
      <c r="N49" s="216"/>
      <c r="O49" s="632"/>
      <c r="Q49" s="2775"/>
    </row>
    <row r="50" spans="1:17" x14ac:dyDescent="0.25">
      <c r="B50" s="79" t="s">
        <v>5329</v>
      </c>
      <c r="C50" s="216">
        <f>D50*5%</f>
        <v>2044.2580000000003</v>
      </c>
      <c r="D50" s="216">
        <v>40885.160000000003</v>
      </c>
      <c r="G50" s="216"/>
      <c r="I50" s="518"/>
      <c r="J50" s="958"/>
      <c r="K50" s="193"/>
      <c r="L50" s="177"/>
      <c r="M50" s="216"/>
      <c r="N50" s="216"/>
      <c r="O50" s="632"/>
      <c r="Q50" s="2775"/>
    </row>
    <row r="51" spans="1:17" x14ac:dyDescent="0.25">
      <c r="A51" s="1092" t="s">
        <v>5331</v>
      </c>
      <c r="B51" s="1092"/>
      <c r="C51" s="216">
        <v>2900</v>
      </c>
      <c r="D51" s="216"/>
      <c r="G51" s="216"/>
      <c r="I51" s="518"/>
      <c r="J51" s="958"/>
      <c r="K51" s="193"/>
      <c r="L51" s="177"/>
      <c r="M51" s="216"/>
      <c r="N51" s="216"/>
      <c r="O51" s="632"/>
      <c r="Q51" s="2775"/>
    </row>
    <row r="52" spans="1:17" x14ac:dyDescent="0.25">
      <c r="A52" s="660" t="s">
        <v>5333</v>
      </c>
      <c r="B52" s="660"/>
      <c r="C52" s="632">
        <f>SUM(C50:C51)</f>
        <v>4944.2579999999998</v>
      </c>
      <c r="D52" s="216"/>
      <c r="G52" s="216"/>
      <c r="I52" s="518"/>
      <c r="J52" s="958"/>
      <c r="K52" s="193"/>
      <c r="L52" s="177"/>
      <c r="M52" s="216"/>
      <c r="N52" s="216"/>
      <c r="O52" s="632"/>
      <c r="Q52" s="2775"/>
    </row>
    <row r="53" spans="1:17" x14ac:dyDescent="0.25">
      <c r="G53" s="216"/>
      <c r="I53" s="518"/>
      <c r="J53" s="958"/>
      <c r="K53" s="193"/>
      <c r="L53" s="177"/>
      <c r="M53" s="216"/>
      <c r="N53" s="216"/>
      <c r="O53" s="632"/>
      <c r="Q53" s="2775"/>
    </row>
    <row r="54" spans="1:17" x14ac:dyDescent="0.25">
      <c r="B54" s="660" t="s">
        <v>5326</v>
      </c>
      <c r="C54" s="81"/>
      <c r="D54" s="81" t="s">
        <v>5327</v>
      </c>
      <c r="G54" s="216"/>
      <c r="I54" s="518"/>
      <c r="J54" s="958"/>
      <c r="K54" s="193"/>
      <c r="L54" s="177"/>
      <c r="M54" s="216"/>
      <c r="N54" s="216"/>
      <c r="O54" s="632"/>
      <c r="Q54" s="2775"/>
    </row>
    <row r="55" spans="1:17" x14ac:dyDescent="0.25">
      <c r="B55" s="1092" t="s">
        <v>5329</v>
      </c>
      <c r="C55" s="216">
        <f>D55*5%</f>
        <v>2459.1835000000001</v>
      </c>
      <c r="D55" s="216">
        <v>49183.67</v>
      </c>
      <c r="G55" s="216"/>
      <c r="I55" s="518"/>
      <c r="J55" s="958"/>
      <c r="K55" s="193"/>
      <c r="L55" s="177"/>
      <c r="M55" s="216"/>
      <c r="N55" s="216"/>
      <c r="O55" s="632"/>
      <c r="Q55" s="2775"/>
    </row>
    <row r="56" spans="1:17" x14ac:dyDescent="0.25">
      <c r="B56" s="1092" t="s">
        <v>5331</v>
      </c>
      <c r="C56" s="216">
        <v>2900</v>
      </c>
      <c r="G56" s="216"/>
      <c r="I56" s="518"/>
      <c r="J56" s="958"/>
      <c r="K56" s="193"/>
      <c r="L56" s="177"/>
      <c r="M56" s="216"/>
      <c r="N56" s="216"/>
      <c r="O56" s="632"/>
      <c r="Q56" s="2775"/>
    </row>
    <row r="57" spans="1:17" x14ac:dyDescent="0.25">
      <c r="B57" s="660" t="s">
        <v>5333</v>
      </c>
      <c r="C57" s="632">
        <f>SUM(C55:C56)</f>
        <v>5359.1835000000001</v>
      </c>
      <c r="G57" s="216"/>
      <c r="I57" s="518"/>
      <c r="J57" s="958"/>
      <c r="K57" s="193"/>
      <c r="L57" s="177"/>
      <c r="M57" s="216"/>
      <c r="N57" s="216"/>
      <c r="O57" s="632"/>
      <c r="Q57" s="2775"/>
    </row>
    <row r="58" spans="1:17" ht="15.75" thickBot="1" x14ac:dyDescent="0.3">
      <c r="G58" s="216"/>
      <c r="I58" s="518"/>
      <c r="J58" s="958"/>
    </row>
    <row r="59" spans="1:17" ht="19.5" thickBot="1" x14ac:dyDescent="0.35">
      <c r="A59" s="3230" t="s">
        <v>7444</v>
      </c>
      <c r="B59" s="3231"/>
      <c r="C59" s="3232"/>
    </row>
    <row r="60" spans="1:17" ht="15.75" thickBot="1" x14ac:dyDescent="0.3">
      <c r="A60" s="181" t="s">
        <v>5295</v>
      </c>
      <c r="B60" s="140" t="s">
        <v>5296</v>
      </c>
      <c r="C60" s="2464" t="s">
        <v>5297</v>
      </c>
    </row>
    <row r="61" spans="1:17" x14ac:dyDescent="0.25">
      <c r="A61" s="596" t="s">
        <v>5300</v>
      </c>
      <c r="B61" s="1048">
        <v>6000</v>
      </c>
      <c r="C61" s="1880">
        <f>B61/30</f>
        <v>200</v>
      </c>
    </row>
    <row r="62" spans="1:17" x14ac:dyDescent="0.25">
      <c r="A62" s="1530" t="s">
        <v>2506</v>
      </c>
      <c r="B62" s="1064">
        <v>150</v>
      </c>
      <c r="C62" s="1881">
        <f t="shared" ref="C62" si="9">B62/30</f>
        <v>5</v>
      </c>
    </row>
    <row r="63" spans="1:17" x14ac:dyDescent="0.25">
      <c r="A63" s="137" t="s">
        <v>5302</v>
      </c>
      <c r="B63" s="2034">
        <v>649.6</v>
      </c>
      <c r="C63" s="1881">
        <f>B63/30</f>
        <v>21.653333333333332</v>
      </c>
    </row>
    <row r="64" spans="1:17" x14ac:dyDescent="0.25">
      <c r="A64" s="137" t="s">
        <v>5458</v>
      </c>
      <c r="B64" s="2034">
        <v>418.95</v>
      </c>
      <c r="C64" s="1881">
        <f t="shared" ref="C64:C66" si="10">B64/30</f>
        <v>13.965</v>
      </c>
    </row>
    <row r="65" spans="1:15" x14ac:dyDescent="0.25">
      <c r="A65" s="995" t="s">
        <v>5304</v>
      </c>
      <c r="B65" s="1049">
        <v>0</v>
      </c>
      <c r="C65" s="1881">
        <f t="shared" si="10"/>
        <v>0</v>
      </c>
      <c r="E65" s="1197" t="s">
        <v>5310</v>
      </c>
      <c r="F65" s="842" t="s">
        <v>5311</v>
      </c>
    </row>
    <row r="66" spans="1:15" ht="15.75" thickBot="1" x14ac:dyDescent="0.3">
      <c r="A66" s="92" t="s">
        <v>7299</v>
      </c>
      <c r="B66" s="2601">
        <v>1.5</v>
      </c>
      <c r="C66" s="99">
        <f t="shared" si="10"/>
        <v>0.05</v>
      </c>
      <c r="E66" s="1198">
        <v>433235020002</v>
      </c>
      <c r="F66" s="1199" t="s">
        <v>5313</v>
      </c>
    </row>
    <row r="67" spans="1:15" ht="15.75" thickBot="1" x14ac:dyDescent="0.3">
      <c r="A67" s="139" t="s">
        <v>5305</v>
      </c>
      <c r="B67" s="140">
        <f>B61+B62-B63-B64-B65-B66</f>
        <v>5079.95</v>
      </c>
      <c r="C67" s="556">
        <f>SUM(C61:C66)</f>
        <v>240.66833333333335</v>
      </c>
    </row>
    <row r="68" spans="1:15" ht="15.75" thickBot="1" x14ac:dyDescent="0.3">
      <c r="M68" s="625"/>
    </row>
    <row r="69" spans="1:15" ht="19.5" thickBot="1" x14ac:dyDescent="0.35">
      <c r="A69" s="3230" t="s">
        <v>6751</v>
      </c>
      <c r="B69" s="3231"/>
      <c r="C69" s="3232"/>
    </row>
    <row r="70" spans="1:15" ht="15.75" thickBot="1" x14ac:dyDescent="0.3">
      <c r="A70" s="181" t="s">
        <v>5295</v>
      </c>
      <c r="B70" s="140" t="s">
        <v>5296</v>
      </c>
      <c r="C70" s="2464" t="s">
        <v>5297</v>
      </c>
    </row>
    <row r="71" spans="1:15" x14ac:dyDescent="0.25">
      <c r="A71" s="596" t="s">
        <v>5300</v>
      </c>
      <c r="B71" s="1048">
        <v>5591.25</v>
      </c>
      <c r="C71" s="1880">
        <f>B71/30</f>
        <v>186.375</v>
      </c>
    </row>
    <row r="72" spans="1:15" x14ac:dyDescent="0.25">
      <c r="A72" s="1530" t="s">
        <v>2506</v>
      </c>
      <c r="B72" s="1064">
        <v>150</v>
      </c>
      <c r="C72" s="1881">
        <f t="shared" ref="C72" si="11">B72/30</f>
        <v>5</v>
      </c>
      <c r="M72" s="661"/>
    </row>
    <row r="73" spans="1:15" x14ac:dyDescent="0.25">
      <c r="A73" s="137" t="s">
        <v>5302</v>
      </c>
      <c r="B73" s="2034">
        <v>-601.59</v>
      </c>
      <c r="C73" s="1881">
        <f>B73/30</f>
        <v>-20.053000000000001</v>
      </c>
    </row>
    <row r="74" spans="1:15" x14ac:dyDescent="0.25">
      <c r="A74" s="137" t="s">
        <v>5459</v>
      </c>
      <c r="B74" s="2034">
        <v>-374.59</v>
      </c>
      <c r="C74" s="1881">
        <f>B74/30</f>
        <v>-12.486333333333333</v>
      </c>
      <c r="L74" s="625" t="s">
        <v>6142</v>
      </c>
    </row>
    <row r="75" spans="1:15" x14ac:dyDescent="0.25">
      <c r="A75" s="995" t="s">
        <v>5304</v>
      </c>
      <c r="B75" s="1049">
        <v>0</v>
      </c>
      <c r="C75" s="1881">
        <f>B75/30</f>
        <v>0</v>
      </c>
      <c r="L75" s="79" t="s">
        <v>5341</v>
      </c>
    </row>
    <row r="76" spans="1:15" ht="15.75" thickBot="1" x14ac:dyDescent="0.3">
      <c r="A76" s="92"/>
      <c r="B76" s="1879"/>
      <c r="C76" s="636"/>
      <c r="E76" s="216"/>
      <c r="G76" s="216"/>
      <c r="H76" s="900"/>
      <c r="L76" s="79" t="s">
        <v>5342</v>
      </c>
    </row>
    <row r="77" spans="1:15" ht="15.75" thickBot="1" x14ac:dyDescent="0.3">
      <c r="A77" s="139" t="s">
        <v>5305</v>
      </c>
      <c r="B77" s="140">
        <f>SUM(B71:B76)</f>
        <v>4765.07</v>
      </c>
      <c r="C77" s="556">
        <f>SUM(C71:C76)</f>
        <v>158.83566666666667</v>
      </c>
      <c r="E77" s="484"/>
      <c r="H77" s="900"/>
      <c r="L77" s="79" t="s">
        <v>5343</v>
      </c>
    </row>
    <row r="78" spans="1:15" ht="15.75" thickBot="1" x14ac:dyDescent="0.3">
      <c r="H78" s="31"/>
      <c r="K78" s="1542"/>
      <c r="N78" s="2038"/>
      <c r="O78" s="1202"/>
    </row>
    <row r="79" spans="1:15" ht="19.5" thickBot="1" x14ac:dyDescent="0.35">
      <c r="A79" s="3230" t="s">
        <v>6167</v>
      </c>
      <c r="B79" s="3231"/>
      <c r="C79" s="3232"/>
      <c r="E79" s="609"/>
      <c r="H79" s="620"/>
      <c r="K79" s="660"/>
      <c r="L79" s="79" t="s">
        <v>8159</v>
      </c>
      <c r="N79" s="660"/>
      <c r="O79" s="661"/>
    </row>
    <row r="80" spans="1:15" ht="15.75" thickBot="1" x14ac:dyDescent="0.3">
      <c r="A80" s="181" t="s">
        <v>5295</v>
      </c>
      <c r="B80" s="140" t="s">
        <v>5296</v>
      </c>
      <c r="C80" s="2039" t="s">
        <v>5297</v>
      </c>
      <c r="I80" s="293"/>
      <c r="J80" s="294"/>
      <c r="L80" s="79" t="s">
        <v>8160</v>
      </c>
    </row>
    <row r="81" spans="1:19" x14ac:dyDescent="0.25">
      <c r="A81" s="596" t="s">
        <v>5300</v>
      </c>
      <c r="B81" s="1048">
        <v>5250</v>
      </c>
      <c r="C81" s="1880">
        <f>B81/30</f>
        <v>175</v>
      </c>
      <c r="I81" s="293"/>
      <c r="J81" s="232">
        <f>B4-B6-B7</f>
        <v>5224.7619999999997</v>
      </c>
      <c r="K81" s="1137">
        <f>900/J81</f>
        <v>0.17225665015937569</v>
      </c>
      <c r="L81" s="79" t="s">
        <v>8161</v>
      </c>
    </row>
    <row r="82" spans="1:19" x14ac:dyDescent="0.25">
      <c r="A82" s="1530" t="s">
        <v>2506</v>
      </c>
      <c r="B82" s="1064">
        <v>100</v>
      </c>
      <c r="C82" s="1881">
        <f t="shared" ref="C82" si="12">B82/30</f>
        <v>3.3333333333333335</v>
      </c>
      <c r="I82" s="293"/>
      <c r="J82" s="232">
        <f>K82*J81</f>
        <v>783.71429999999998</v>
      </c>
      <c r="K82" s="671">
        <v>0.15</v>
      </c>
      <c r="M82" s="917"/>
    </row>
    <row r="83" spans="1:19" x14ac:dyDescent="0.25">
      <c r="A83" s="137" t="s">
        <v>5302</v>
      </c>
      <c r="B83" s="2034">
        <v>-553.82000000000005</v>
      </c>
      <c r="C83" s="1881">
        <f>B83/30</f>
        <v>-18.460666666666668</v>
      </c>
      <c r="I83" s="293"/>
      <c r="J83" s="232">
        <f>J81*K83</f>
        <v>1044.9523999999999</v>
      </c>
      <c r="K83" s="671">
        <v>0.2</v>
      </c>
    </row>
    <row r="84" spans="1:19" x14ac:dyDescent="0.25">
      <c r="A84" s="137" t="s">
        <v>5303</v>
      </c>
      <c r="B84" s="2034">
        <v>-308.55</v>
      </c>
      <c r="C84" s="1881">
        <f>B84/30</f>
        <v>-10.285</v>
      </c>
      <c r="I84" s="293"/>
      <c r="J84" s="232">
        <f>J81*K84</f>
        <v>1306.1904999999999</v>
      </c>
      <c r="K84" s="671">
        <v>0.25</v>
      </c>
    </row>
    <row r="85" spans="1:19" x14ac:dyDescent="0.25">
      <c r="A85" s="995" t="s">
        <v>5304</v>
      </c>
      <c r="B85" s="1049">
        <v>-160</v>
      </c>
      <c r="C85" s="1881">
        <f>B85/30</f>
        <v>-5.333333333333333</v>
      </c>
      <c r="I85" s="293"/>
      <c r="J85" s="232">
        <f>J81*K85</f>
        <v>1567.4286</v>
      </c>
      <c r="K85" s="671">
        <v>0.3</v>
      </c>
    </row>
    <row r="86" spans="1:19" ht="15.75" thickBot="1" x14ac:dyDescent="0.3">
      <c r="A86" s="92"/>
      <c r="B86" s="1879"/>
      <c r="C86" s="636"/>
      <c r="I86" s="293"/>
      <c r="J86" s="294"/>
      <c r="K86" s="232"/>
    </row>
    <row r="87" spans="1:19" ht="15.75" thickBot="1" x14ac:dyDescent="0.3">
      <c r="A87" s="139" t="s">
        <v>5305</v>
      </c>
      <c r="B87" s="140">
        <f>SUM(B81:B86)</f>
        <v>4327.63</v>
      </c>
      <c r="C87" s="556">
        <f>SUM(C81:C86)</f>
        <v>144.25433333333334</v>
      </c>
      <c r="I87" s="2026" t="s">
        <v>5344</v>
      </c>
      <c r="J87" s="294" t="s">
        <v>5345</v>
      </c>
      <c r="K87" s="81" t="s">
        <v>5346</v>
      </c>
      <c r="L87" s="81" t="s">
        <v>5347</v>
      </c>
      <c r="M87" s="81" t="s">
        <v>382</v>
      </c>
      <c r="N87" s="294" t="s">
        <v>5348</v>
      </c>
      <c r="O87" s="1061" t="s">
        <v>5349</v>
      </c>
      <c r="P87" s="195" t="s">
        <v>5350</v>
      </c>
      <c r="R87" s="81" t="s">
        <v>5351</v>
      </c>
    </row>
    <row r="88" spans="1:19" ht="15.75" thickBot="1" x14ac:dyDescent="0.3">
      <c r="I88" s="85">
        <v>2015</v>
      </c>
      <c r="J88" s="225">
        <v>0.1033</v>
      </c>
      <c r="K88" s="225">
        <f t="shared" ref="K88:K94" si="13">P88/O88-1</f>
        <v>0.109375</v>
      </c>
      <c r="L88" s="1183">
        <f t="shared" ref="L88:L96" si="14">K88-J88</f>
        <v>6.0749999999999971E-3</v>
      </c>
      <c r="M88" s="609">
        <f t="shared" ref="M88:M97" si="15">P88-O88</f>
        <v>350</v>
      </c>
      <c r="N88" s="85">
        <v>2016</v>
      </c>
      <c r="O88" s="216">
        <v>3200</v>
      </c>
      <c r="P88" s="216">
        <v>3550</v>
      </c>
      <c r="Q88" s="225"/>
      <c r="R88" s="609">
        <f t="shared" ref="R88:R95" si="16">O88*J88+O88</f>
        <v>3530.56</v>
      </c>
    </row>
    <row r="89" spans="1:19" ht="19.5" thickBot="1" x14ac:dyDescent="0.35">
      <c r="A89" s="3236" t="s">
        <v>5339</v>
      </c>
      <c r="B89" s="3237"/>
      <c r="D89" s="81"/>
      <c r="I89" s="85">
        <v>2016</v>
      </c>
      <c r="J89" s="225">
        <v>8.5000000000000006E-2</v>
      </c>
      <c r="K89" s="225">
        <f t="shared" si="13"/>
        <v>6.3600000000000101E-2</v>
      </c>
      <c r="L89" s="1989">
        <f t="shared" si="14"/>
        <v>-2.1399999999999905E-2</v>
      </c>
      <c r="M89" s="609">
        <f t="shared" si="15"/>
        <v>225.7800000000002</v>
      </c>
      <c r="N89" s="85">
        <v>2017</v>
      </c>
      <c r="O89" s="216">
        <v>3550</v>
      </c>
      <c r="P89" s="216">
        <v>3775.78</v>
      </c>
      <c r="Q89" s="225"/>
      <c r="R89" s="609">
        <f t="shared" si="16"/>
        <v>3851.75</v>
      </c>
    </row>
    <row r="90" spans="1:19" ht="15.75" thickBot="1" x14ac:dyDescent="0.3">
      <c r="A90" s="181" t="s">
        <v>5295</v>
      </c>
      <c r="B90" s="556" t="s">
        <v>382</v>
      </c>
      <c r="D90" s="216"/>
      <c r="I90" s="85">
        <v>2017</v>
      </c>
      <c r="J90" s="225">
        <v>1.83E-2</v>
      </c>
      <c r="K90" s="225">
        <f t="shared" si="13"/>
        <v>5.9383756468861959E-2</v>
      </c>
      <c r="L90" s="1183">
        <f t="shared" si="14"/>
        <v>4.1083756468861962E-2</v>
      </c>
      <c r="M90" s="609">
        <f t="shared" si="15"/>
        <v>224.2199999999998</v>
      </c>
      <c r="N90" s="85">
        <v>2018</v>
      </c>
      <c r="O90" s="216">
        <v>3775.78</v>
      </c>
      <c r="P90" s="216">
        <v>4000</v>
      </c>
      <c r="Q90" s="225"/>
      <c r="R90" s="609">
        <f t="shared" si="16"/>
        <v>3844.8767740000003</v>
      </c>
    </row>
    <row r="91" spans="1:19" x14ac:dyDescent="0.25">
      <c r="A91" s="596" t="s">
        <v>5300</v>
      </c>
      <c r="B91" s="98">
        <v>5000</v>
      </c>
      <c r="D91" s="216"/>
      <c r="I91" s="85">
        <v>2018</v>
      </c>
      <c r="J91" s="1181">
        <v>0.04</v>
      </c>
      <c r="K91" s="225">
        <f t="shared" si="13"/>
        <v>3.7500000000000089E-2</v>
      </c>
      <c r="L91" s="1989">
        <f t="shared" si="14"/>
        <v>-2.499999999999912E-3</v>
      </c>
      <c r="M91" s="609">
        <f t="shared" si="15"/>
        <v>150</v>
      </c>
      <c r="N91" s="85">
        <v>2019</v>
      </c>
      <c r="O91" s="216">
        <v>4000</v>
      </c>
      <c r="P91" s="216">
        <v>4150</v>
      </c>
      <c r="Q91" s="225"/>
      <c r="R91" s="609">
        <f t="shared" si="16"/>
        <v>4160</v>
      </c>
    </row>
    <row r="92" spans="1:19" x14ac:dyDescent="0.25">
      <c r="A92" s="1530" t="s">
        <v>2506</v>
      </c>
      <c r="B92" s="946">
        <v>100</v>
      </c>
      <c r="D92" s="216"/>
      <c r="I92" s="85">
        <v>2019</v>
      </c>
      <c r="J92" s="225">
        <v>2.5499999999999998E-2</v>
      </c>
      <c r="K92" s="225">
        <f t="shared" si="13"/>
        <v>0</v>
      </c>
      <c r="L92" s="1989">
        <f t="shared" si="14"/>
        <v>-2.5499999999999998E-2</v>
      </c>
      <c r="M92" s="609">
        <f t="shared" si="15"/>
        <v>0</v>
      </c>
      <c r="N92" s="85">
        <v>2020</v>
      </c>
      <c r="O92" s="216">
        <v>4150</v>
      </c>
      <c r="P92" s="216">
        <v>4150</v>
      </c>
      <c r="Q92" s="225"/>
      <c r="R92" s="609">
        <f t="shared" si="16"/>
        <v>4255.8249999999998</v>
      </c>
    </row>
    <row r="93" spans="1:19" x14ac:dyDescent="0.25">
      <c r="A93" s="137" t="s">
        <v>5302</v>
      </c>
      <c r="B93" s="249">
        <v>-526.16999999999996</v>
      </c>
      <c r="I93" s="85">
        <v>2020</v>
      </c>
      <c r="J93" s="225">
        <v>4.7699999999999999E-2</v>
      </c>
      <c r="K93" s="225">
        <f t="shared" si="13"/>
        <v>0.10843373493975905</v>
      </c>
      <c r="L93" s="1183">
        <f>K93-J93</f>
        <v>6.0733734939759053E-2</v>
      </c>
      <c r="M93" s="609">
        <f t="shared" si="15"/>
        <v>450</v>
      </c>
      <c r="N93" s="85">
        <v>2021</v>
      </c>
      <c r="O93" s="216">
        <v>4150</v>
      </c>
      <c r="P93" s="216">
        <v>4600</v>
      </c>
      <c r="Q93" s="225"/>
      <c r="R93" s="609">
        <f t="shared" si="16"/>
        <v>4347.9549999999999</v>
      </c>
    </row>
    <row r="94" spans="1:19" x14ac:dyDescent="0.25">
      <c r="A94" s="137" t="s">
        <v>5303</v>
      </c>
      <c r="B94" s="249">
        <v>-285.16000000000003</v>
      </c>
      <c r="I94" s="85">
        <v>2021</v>
      </c>
      <c r="J94" s="225">
        <v>0.1108</v>
      </c>
      <c r="K94" s="225">
        <f t="shared" si="13"/>
        <v>8.6956521739130377E-2</v>
      </c>
      <c r="L94" s="1989">
        <f t="shared" si="14"/>
        <v>-2.3843478260869619E-2</v>
      </c>
      <c r="M94" s="609">
        <f t="shared" si="15"/>
        <v>400</v>
      </c>
      <c r="N94" s="85">
        <v>2022</v>
      </c>
      <c r="O94" s="216">
        <v>4600</v>
      </c>
      <c r="P94" s="216">
        <v>5000</v>
      </c>
      <c r="Q94" s="225"/>
      <c r="R94" s="609">
        <f t="shared" si="16"/>
        <v>5109.68</v>
      </c>
      <c r="S94" s="225"/>
    </row>
    <row r="95" spans="1:19" x14ac:dyDescent="0.25">
      <c r="A95" s="995" t="s">
        <v>5304</v>
      </c>
      <c r="B95" s="524">
        <v>-63.82</v>
      </c>
      <c r="I95" s="51">
        <v>2022</v>
      </c>
      <c r="J95" s="1988">
        <v>6.4600000000000005E-2</v>
      </c>
      <c r="K95" s="1988">
        <v>0.05</v>
      </c>
      <c r="L95" s="1989">
        <f t="shared" si="14"/>
        <v>-1.4600000000000002E-2</v>
      </c>
      <c r="M95" s="609">
        <f t="shared" si="15"/>
        <v>250</v>
      </c>
      <c r="N95" s="85">
        <v>2023</v>
      </c>
      <c r="O95" s="881">
        <v>5000</v>
      </c>
      <c r="P95" s="881">
        <v>5250</v>
      </c>
      <c r="Q95" s="225"/>
      <c r="R95" s="609">
        <f t="shared" si="16"/>
        <v>5323</v>
      </c>
      <c r="S95" s="225"/>
    </row>
    <row r="96" spans="1:19" ht="15.75" thickBot="1" x14ac:dyDescent="0.3">
      <c r="A96" s="994"/>
      <c r="B96" s="1078"/>
      <c r="I96" s="51">
        <v>2023</v>
      </c>
      <c r="J96" s="1988">
        <v>4.1399999999999999E-2</v>
      </c>
      <c r="K96" s="2517">
        <v>6.5000000000000002E-2</v>
      </c>
      <c r="L96" s="2518">
        <f t="shared" si="14"/>
        <v>2.3600000000000003E-2</v>
      </c>
      <c r="M96" s="609">
        <f t="shared" si="15"/>
        <v>341.25</v>
      </c>
      <c r="N96" s="85">
        <v>2024</v>
      </c>
      <c r="O96" s="216">
        <v>5250</v>
      </c>
      <c r="P96" s="881">
        <v>5591.25</v>
      </c>
      <c r="R96" s="609">
        <f>O96*J96+O96</f>
        <v>5467.35</v>
      </c>
      <c r="S96" s="225"/>
    </row>
    <row r="97" spans="1:19" ht="15.75" thickBot="1" x14ac:dyDescent="0.3">
      <c r="A97" s="992" t="s">
        <v>5305</v>
      </c>
      <c r="B97" s="772">
        <f>SUM(B91:B96)</f>
        <v>4224.8500000000004</v>
      </c>
      <c r="D97" s="518"/>
      <c r="I97" s="51">
        <v>2024</v>
      </c>
      <c r="J97" s="1182"/>
      <c r="K97" s="225">
        <v>7.3099999999999998E-2</v>
      </c>
      <c r="L97" s="2518">
        <f>K97-J97</f>
        <v>7.3099999999999998E-2</v>
      </c>
      <c r="M97" s="841">
        <f t="shared" si="15"/>
        <v>408.75</v>
      </c>
      <c r="N97" s="85">
        <v>2024</v>
      </c>
      <c r="O97" s="216">
        <v>5591.25</v>
      </c>
      <c r="P97" s="216">
        <v>6000</v>
      </c>
      <c r="R97" s="609">
        <f>O97*J97+O97</f>
        <v>5591.25</v>
      </c>
      <c r="S97" s="225"/>
    </row>
    <row r="98" spans="1:19" ht="15.75" thickBot="1" x14ac:dyDescent="0.3">
      <c r="I98" s="51">
        <v>2025</v>
      </c>
      <c r="J98" s="216"/>
      <c r="S98" s="225"/>
    </row>
    <row r="99" spans="1:19" ht="19.5" thickBot="1" x14ac:dyDescent="0.35">
      <c r="A99" s="3236" t="s">
        <v>5340</v>
      </c>
      <c r="B99" s="3237"/>
      <c r="S99" s="225"/>
    </row>
    <row r="100" spans="1:19" ht="15.75" thickBot="1" x14ac:dyDescent="0.3">
      <c r="A100" s="181" t="s">
        <v>5295</v>
      </c>
      <c r="B100" s="556" t="s">
        <v>382</v>
      </c>
      <c r="H100" s="1543"/>
      <c r="S100" s="225"/>
    </row>
    <row r="101" spans="1:19" x14ac:dyDescent="0.25">
      <c r="A101" s="596" t="s">
        <v>5300</v>
      </c>
      <c r="B101" s="98">
        <v>4600</v>
      </c>
      <c r="H101" s="1543"/>
      <c r="L101" s="609"/>
      <c r="S101" s="225"/>
    </row>
    <row r="102" spans="1:19" x14ac:dyDescent="0.25">
      <c r="A102" s="1530" t="s">
        <v>2506</v>
      </c>
      <c r="B102" s="946">
        <v>70</v>
      </c>
      <c r="D102" s="81"/>
      <c r="H102" s="1543"/>
      <c r="L102" s="609"/>
    </row>
    <row r="103" spans="1:19" x14ac:dyDescent="0.25">
      <c r="A103" s="137" t="s">
        <v>5302</v>
      </c>
      <c r="B103" s="249">
        <v>480.17</v>
      </c>
      <c r="E103" s="216"/>
      <c r="H103" s="1543"/>
    </row>
    <row r="104" spans="1:19" x14ac:dyDescent="0.25">
      <c r="A104" s="137" t="s">
        <v>5303</v>
      </c>
      <c r="B104" s="249">
        <v>206.29</v>
      </c>
      <c r="E104" s="216"/>
      <c r="H104" s="1543"/>
    </row>
    <row r="105" spans="1:19" x14ac:dyDescent="0.25">
      <c r="A105" s="995" t="s">
        <v>5304</v>
      </c>
      <c r="B105" s="524">
        <v>60.2</v>
      </c>
      <c r="D105" s="518"/>
      <c r="E105" s="484"/>
      <c r="H105" s="1543"/>
    </row>
    <row r="106" spans="1:19" ht="15.75" thickBot="1" x14ac:dyDescent="0.3">
      <c r="A106" s="994"/>
      <c r="B106" s="1078"/>
      <c r="D106" s="608"/>
      <c r="E106" s="216"/>
      <c r="H106" s="1543"/>
    </row>
    <row r="107" spans="1:19" ht="15.75" thickBot="1" x14ac:dyDescent="0.3">
      <c r="A107" s="992" t="s">
        <v>5305</v>
      </c>
      <c r="B107" s="772">
        <f>B101+B102-B103-B104-B105</f>
        <v>3923.34</v>
      </c>
      <c r="E107" s="216"/>
      <c r="G107" s="918"/>
      <c r="H107" s="1543"/>
    </row>
    <row r="108" spans="1:19" ht="15.75" thickBot="1" x14ac:dyDescent="0.3">
      <c r="D108" s="518"/>
      <c r="E108" s="610"/>
      <c r="H108" s="1093"/>
    </row>
    <row r="109" spans="1:19" ht="19.5" thickBot="1" x14ac:dyDescent="0.35">
      <c r="A109" s="1180" t="s">
        <v>5352</v>
      </c>
      <c r="B109" s="836"/>
      <c r="D109" s="518"/>
      <c r="E109" s="610"/>
      <c r="H109" s="293"/>
    </row>
    <row r="110" spans="1:19" ht="15.75" thickBot="1" x14ac:dyDescent="0.3">
      <c r="A110" s="181" t="s">
        <v>5295</v>
      </c>
      <c r="B110" s="556" t="s">
        <v>382</v>
      </c>
      <c r="D110" s="518"/>
      <c r="E110" s="484"/>
      <c r="H110" s="293"/>
    </row>
    <row r="111" spans="1:19" x14ac:dyDescent="0.25">
      <c r="A111" s="596" t="s">
        <v>5300</v>
      </c>
      <c r="B111" s="98">
        <v>4150</v>
      </c>
      <c r="H111" s="293"/>
    </row>
    <row r="112" spans="1:19" x14ac:dyDescent="0.25">
      <c r="A112" s="1530" t="s">
        <v>2506</v>
      </c>
      <c r="B112" s="946">
        <v>70</v>
      </c>
      <c r="D112" s="1092"/>
      <c r="E112" s="609"/>
      <c r="H112" s="293"/>
    </row>
    <row r="113" spans="1:13" x14ac:dyDescent="0.25">
      <c r="A113" s="137" t="s">
        <v>5302</v>
      </c>
      <c r="B113" s="249">
        <v>432.27</v>
      </c>
      <c r="D113" s="1542"/>
      <c r="E113" s="1202"/>
    </row>
    <row r="114" spans="1:13" x14ac:dyDescent="0.25">
      <c r="A114" s="137" t="s">
        <v>5303</v>
      </c>
      <c r="B114" s="249">
        <v>145.97999999999999</v>
      </c>
      <c r="D114" s="660"/>
      <c r="E114" s="661"/>
    </row>
    <row r="115" spans="1:13" x14ac:dyDescent="0.25">
      <c r="A115" s="995" t="s">
        <v>5304</v>
      </c>
      <c r="B115" s="524">
        <v>54.4</v>
      </c>
    </row>
    <row r="116" spans="1:13" ht="15.75" thickBot="1" x14ac:dyDescent="0.3">
      <c r="A116" s="994"/>
      <c r="B116" s="1078"/>
      <c r="D116" s="1092"/>
    </row>
    <row r="117" spans="1:13" ht="15.75" thickBot="1" x14ac:dyDescent="0.3">
      <c r="A117" s="992" t="s">
        <v>5305</v>
      </c>
      <c r="B117" s="772">
        <f>B111+B112-B113-B114-B115</f>
        <v>3587.35</v>
      </c>
    </row>
    <row r="118" spans="1:13" ht="15.75" thickBot="1" x14ac:dyDescent="0.3">
      <c r="C118" s="294"/>
      <c r="D118" s="660"/>
      <c r="E118" s="1014"/>
    </row>
    <row r="119" spans="1:13" ht="30.75" customHeight="1" thickBot="1" x14ac:dyDescent="0.35">
      <c r="A119" s="1180" t="s">
        <v>5354</v>
      </c>
      <c r="B119" s="836"/>
    </row>
    <row r="120" spans="1:13" ht="25.5" customHeight="1" thickBot="1" x14ac:dyDescent="0.3">
      <c r="A120" s="181" t="s">
        <v>5295</v>
      </c>
      <c r="B120" s="556" t="s">
        <v>382</v>
      </c>
      <c r="D120" s="1015"/>
      <c r="E120" s="610"/>
    </row>
    <row r="121" spans="1:13" x14ac:dyDescent="0.25">
      <c r="A121" s="596" t="s">
        <v>5300</v>
      </c>
      <c r="B121" s="98">
        <v>4000</v>
      </c>
    </row>
    <row r="122" spans="1:13" x14ac:dyDescent="0.25">
      <c r="A122" s="1530" t="s">
        <v>2506</v>
      </c>
      <c r="B122" s="946">
        <v>40</v>
      </c>
    </row>
    <row r="123" spans="1:13" x14ac:dyDescent="0.25">
      <c r="A123" s="137" t="s">
        <v>5302</v>
      </c>
      <c r="B123" s="249">
        <f>B121*11%</f>
        <v>440</v>
      </c>
    </row>
    <row r="124" spans="1:13" x14ac:dyDescent="0.25">
      <c r="A124" s="137" t="s">
        <v>5303</v>
      </c>
      <c r="B124" s="249">
        <v>122.32</v>
      </c>
    </row>
    <row r="125" spans="1:13" ht="15.75" thickBot="1" x14ac:dyDescent="0.3">
      <c r="A125" s="92"/>
      <c r="B125" s="636"/>
    </row>
    <row r="126" spans="1:13" ht="15.75" thickBot="1" x14ac:dyDescent="0.3">
      <c r="A126" s="139" t="s">
        <v>5305</v>
      </c>
      <c r="B126" s="556">
        <f>B121+B122-B123-B124</f>
        <v>3477.68</v>
      </c>
    </row>
    <row r="128" spans="1:13" ht="15.75" thickBot="1" x14ac:dyDescent="0.3">
      <c r="L128" s="31"/>
      <c r="M128" s="621"/>
    </row>
    <row r="129" spans="1:13" ht="19.5" thickBot="1" x14ac:dyDescent="0.35">
      <c r="A129" s="1178" t="s">
        <v>5355</v>
      </c>
      <c r="B129" s="1179"/>
      <c r="L129" s="31"/>
      <c r="M129" s="621"/>
    </row>
    <row r="130" spans="1:13" ht="15.75" thickBot="1" x14ac:dyDescent="0.3">
      <c r="A130" s="181" t="s">
        <v>5295</v>
      </c>
      <c r="B130" s="556" t="s">
        <v>382</v>
      </c>
      <c r="L130" s="31"/>
      <c r="M130" s="621"/>
    </row>
    <row r="131" spans="1:13" x14ac:dyDescent="0.25">
      <c r="A131" s="596" t="s">
        <v>5300</v>
      </c>
      <c r="B131" s="98">
        <v>3775.78</v>
      </c>
      <c r="L131" s="31"/>
      <c r="M131" s="621"/>
    </row>
    <row r="132" spans="1:13" x14ac:dyDescent="0.25">
      <c r="A132" s="1530" t="s">
        <v>2506</v>
      </c>
      <c r="B132" s="946">
        <v>40</v>
      </c>
      <c r="L132" s="31"/>
      <c r="M132" s="621"/>
    </row>
    <row r="133" spans="1:13" x14ac:dyDescent="0.25">
      <c r="A133" s="137" t="s">
        <v>5302</v>
      </c>
      <c r="B133" s="249">
        <f>B131*11%</f>
        <v>415.33580000000001</v>
      </c>
      <c r="L133" s="31"/>
      <c r="M133" s="621"/>
    </row>
    <row r="134" spans="1:13" x14ac:dyDescent="0.25">
      <c r="A134" s="137" t="s">
        <v>5303</v>
      </c>
      <c r="B134" s="249">
        <v>120.82</v>
      </c>
      <c r="L134" s="31"/>
      <c r="M134" s="621"/>
    </row>
    <row r="135" spans="1:13" ht="15.75" thickBot="1" x14ac:dyDescent="0.3">
      <c r="A135" s="92"/>
      <c r="B135" s="636"/>
      <c r="L135" s="31"/>
      <c r="M135" s="621"/>
    </row>
    <row r="136" spans="1:13" ht="15.75" thickBot="1" x14ac:dyDescent="0.3">
      <c r="A136" s="139" t="s">
        <v>5305</v>
      </c>
      <c r="B136" s="556">
        <f>B131+B132-B133-B134</f>
        <v>3279.6242000000002</v>
      </c>
      <c r="L136" s="31"/>
      <c r="M136" s="621"/>
    </row>
    <row r="137" spans="1:13" ht="15.75" thickBot="1" x14ac:dyDescent="0.3">
      <c r="L137" s="31"/>
      <c r="M137" s="621"/>
    </row>
    <row r="138" spans="1:13" ht="19.5" thickBot="1" x14ac:dyDescent="0.35">
      <c r="A138" s="1178" t="s">
        <v>5356</v>
      </c>
      <c r="B138" s="1179"/>
      <c r="L138" s="31"/>
      <c r="M138" s="621"/>
    </row>
    <row r="139" spans="1:13" ht="15.75" thickBot="1" x14ac:dyDescent="0.3">
      <c r="A139" s="181" t="s">
        <v>5295</v>
      </c>
      <c r="B139" s="556" t="s">
        <v>382</v>
      </c>
      <c r="L139" s="31"/>
      <c r="M139" s="621"/>
    </row>
    <row r="140" spans="1:13" x14ac:dyDescent="0.25">
      <c r="A140" s="596" t="s">
        <v>5300</v>
      </c>
      <c r="B140" s="98">
        <v>3550</v>
      </c>
      <c r="L140" s="31"/>
      <c r="M140" s="621"/>
    </row>
    <row r="141" spans="1:13" x14ac:dyDescent="0.25">
      <c r="A141" s="137" t="s">
        <v>5302</v>
      </c>
      <c r="B141" s="249">
        <f>B140*11%</f>
        <v>390.5</v>
      </c>
      <c r="L141" s="31"/>
      <c r="M141" s="621"/>
    </row>
    <row r="142" spans="1:13" x14ac:dyDescent="0.25">
      <c r="A142" s="137" t="s">
        <v>5303</v>
      </c>
      <c r="B142" s="249">
        <v>90.68</v>
      </c>
      <c r="L142" s="31"/>
      <c r="M142" s="621"/>
    </row>
    <row r="143" spans="1:13" x14ac:dyDescent="0.25">
      <c r="A143" s="137" t="s">
        <v>5357</v>
      </c>
      <c r="B143" s="249"/>
      <c r="L143" s="31"/>
      <c r="M143" s="621"/>
    </row>
    <row r="144" spans="1:13" ht="15.75" thickBot="1" x14ac:dyDescent="0.3">
      <c r="A144" s="92"/>
      <c r="B144" s="636"/>
      <c r="L144" s="31"/>
      <c r="M144" s="621"/>
    </row>
    <row r="145" spans="1:13" ht="15.75" thickBot="1" x14ac:dyDescent="0.3">
      <c r="A145" s="139" t="s">
        <v>5305</v>
      </c>
      <c r="B145" s="556">
        <f>B140-B141-B142-B143</f>
        <v>3068.82</v>
      </c>
      <c r="L145" s="31"/>
      <c r="M145" s="621"/>
    </row>
    <row r="146" spans="1:13" ht="15.75" thickBot="1" x14ac:dyDescent="0.3">
      <c r="L146" s="31"/>
      <c r="M146" s="621"/>
    </row>
    <row r="147" spans="1:13" ht="19.5" thickBot="1" x14ac:dyDescent="0.35">
      <c r="A147" s="1180" t="s">
        <v>5358</v>
      </c>
      <c r="B147" s="836"/>
      <c r="L147" s="31"/>
      <c r="M147" s="621"/>
    </row>
    <row r="148" spans="1:13" ht="15.75" thickBot="1" x14ac:dyDescent="0.3">
      <c r="A148" s="181" t="s">
        <v>5295</v>
      </c>
      <c r="B148" s="556" t="s">
        <v>382</v>
      </c>
      <c r="L148" s="31"/>
      <c r="M148" s="621"/>
    </row>
    <row r="149" spans="1:13" x14ac:dyDescent="0.25">
      <c r="A149" s="596" t="s">
        <v>5300</v>
      </c>
      <c r="B149" s="98">
        <v>3200</v>
      </c>
      <c r="L149" s="31"/>
      <c r="M149" s="621"/>
    </row>
    <row r="150" spans="1:13" x14ac:dyDescent="0.25">
      <c r="A150" s="137" t="s">
        <v>5302</v>
      </c>
      <c r="B150" s="249">
        <f>B149*11%</f>
        <v>352</v>
      </c>
      <c r="L150" s="31"/>
      <c r="M150" s="621"/>
    </row>
    <row r="151" spans="1:13" x14ac:dyDescent="0.25">
      <c r="A151" s="137" t="s">
        <v>5359</v>
      </c>
      <c r="B151" s="249">
        <v>56.58</v>
      </c>
      <c r="L151" s="31"/>
      <c r="M151" s="621"/>
    </row>
    <row r="152" spans="1:13" x14ac:dyDescent="0.25">
      <c r="A152" s="137" t="s">
        <v>5357</v>
      </c>
      <c r="B152" s="249">
        <v>9.4700000000000006</v>
      </c>
      <c r="L152" s="31"/>
      <c r="M152" s="621"/>
    </row>
    <row r="153" spans="1:13" ht="15.75" thickBot="1" x14ac:dyDescent="0.3">
      <c r="A153" s="92"/>
      <c r="B153" s="636"/>
      <c r="L153" s="31"/>
      <c r="M153" s="621"/>
    </row>
    <row r="154" spans="1:13" ht="15.75" thickBot="1" x14ac:dyDescent="0.3">
      <c r="A154" s="139" t="s">
        <v>5305</v>
      </c>
      <c r="B154" s="556">
        <f>B149-B150-B151-B152</f>
        <v>2781.9500000000003</v>
      </c>
      <c r="L154" s="31"/>
      <c r="M154" s="621"/>
    </row>
    <row r="155" spans="1:13" ht="15.75" thickBot="1" x14ac:dyDescent="0.3">
      <c r="L155" s="31"/>
      <c r="M155" s="621"/>
    </row>
    <row r="156" spans="1:13" ht="19.5" thickBot="1" x14ac:dyDescent="0.35">
      <c r="A156" s="1180" t="s">
        <v>5360</v>
      </c>
      <c r="B156" s="836"/>
      <c r="L156" s="31"/>
      <c r="M156" s="621"/>
    </row>
    <row r="157" spans="1:13" ht="15.75" thickBot="1" x14ac:dyDescent="0.3">
      <c r="A157" s="181" t="s">
        <v>5295</v>
      </c>
      <c r="B157" s="556" t="s">
        <v>382</v>
      </c>
      <c r="L157" s="31"/>
      <c r="M157" s="621"/>
    </row>
    <row r="158" spans="1:13" x14ac:dyDescent="0.25">
      <c r="A158" s="180" t="s">
        <v>5300</v>
      </c>
      <c r="B158" s="90">
        <v>1815</v>
      </c>
      <c r="L158" s="31"/>
      <c r="M158" s="621"/>
    </row>
    <row r="159" spans="1:13" x14ac:dyDescent="0.25">
      <c r="A159" s="137" t="s">
        <v>5361</v>
      </c>
      <c r="B159" s="249">
        <f>B158*9%</f>
        <v>163.35</v>
      </c>
      <c r="L159" s="31"/>
      <c r="M159" s="621"/>
    </row>
    <row r="160" spans="1:13" x14ac:dyDescent="0.25">
      <c r="A160" s="137" t="s">
        <v>5357</v>
      </c>
      <c r="B160" s="249">
        <v>9.4700000000000006</v>
      </c>
      <c r="L160" s="31"/>
      <c r="M160" s="621"/>
    </row>
    <row r="161" spans="1:13" ht="15.75" thickBot="1" x14ac:dyDescent="0.3">
      <c r="A161" s="138"/>
      <c r="B161" s="99"/>
      <c r="L161" s="31"/>
      <c r="M161" s="621"/>
    </row>
    <row r="162" spans="1:13" ht="15.75" thickBot="1" x14ac:dyDescent="0.3">
      <c r="A162" s="139" t="s">
        <v>5305</v>
      </c>
      <c r="B162" s="556">
        <f>B158-B159-B160</f>
        <v>1642.18</v>
      </c>
      <c r="L162" s="31"/>
      <c r="M162" s="621"/>
    </row>
    <row r="163" spans="1:13" ht="15.75" thickBot="1" x14ac:dyDescent="0.3">
      <c r="L163" s="31"/>
      <c r="M163" s="621"/>
    </row>
    <row r="164" spans="1:13" ht="19.5" thickBot="1" x14ac:dyDescent="0.35">
      <c r="A164" s="1178" t="s">
        <v>5362</v>
      </c>
      <c r="B164" s="1179"/>
      <c r="L164" s="31"/>
      <c r="M164" s="621"/>
    </row>
    <row r="165" spans="1:13" ht="15.75" thickBot="1" x14ac:dyDescent="0.3">
      <c r="A165" s="181" t="s">
        <v>5295</v>
      </c>
      <c r="B165" s="556" t="s">
        <v>382</v>
      </c>
      <c r="L165" s="31"/>
      <c r="M165" s="621"/>
    </row>
    <row r="166" spans="1:13" x14ac:dyDescent="0.25">
      <c r="A166" s="180" t="s">
        <v>5300</v>
      </c>
      <c r="B166" s="90">
        <v>1650</v>
      </c>
      <c r="L166" s="31"/>
      <c r="M166" s="621"/>
    </row>
    <row r="167" spans="1:13" x14ac:dyDescent="0.25">
      <c r="A167" s="137" t="s">
        <v>5361</v>
      </c>
      <c r="B167" s="249">
        <f>B166*9%</f>
        <v>148.5</v>
      </c>
      <c r="L167" s="31"/>
      <c r="M167" s="621"/>
    </row>
    <row r="168" spans="1:13" x14ac:dyDescent="0.25">
      <c r="A168" s="137" t="s">
        <v>5357</v>
      </c>
      <c r="B168" s="249">
        <v>8.6</v>
      </c>
      <c r="L168" s="31"/>
      <c r="M168" s="621"/>
    </row>
    <row r="169" spans="1:13" ht="15.75" thickBot="1" x14ac:dyDescent="0.3">
      <c r="A169" s="138"/>
      <c r="B169" s="99"/>
      <c r="L169" s="31"/>
      <c r="M169" s="621"/>
    </row>
    <row r="170" spans="1:13" ht="15.75" thickBot="1" x14ac:dyDescent="0.3">
      <c r="A170" s="139" t="s">
        <v>5305</v>
      </c>
      <c r="B170" s="556">
        <f>B166-B167-B168</f>
        <v>1492.9</v>
      </c>
      <c r="L170" s="31"/>
      <c r="M170" s="621"/>
    </row>
    <row r="171" spans="1:13" ht="15.75" thickBot="1" x14ac:dyDescent="0.3">
      <c r="L171" s="31"/>
      <c r="M171" s="621"/>
    </row>
    <row r="172" spans="1:13" ht="19.5" thickBot="1" x14ac:dyDescent="0.35">
      <c r="A172" s="1178" t="s">
        <v>5363</v>
      </c>
      <c r="B172" s="1179"/>
      <c r="L172" s="31"/>
      <c r="M172" s="621"/>
    </row>
    <row r="173" spans="1:13" ht="15.75" thickBot="1" x14ac:dyDescent="0.3">
      <c r="A173" s="181" t="s">
        <v>5295</v>
      </c>
      <c r="B173" s="556" t="s">
        <v>382</v>
      </c>
      <c r="L173" s="31"/>
      <c r="M173" s="621"/>
    </row>
    <row r="174" spans="1:13" x14ac:dyDescent="0.25">
      <c r="A174" s="180" t="s">
        <v>5300</v>
      </c>
      <c r="B174" s="90">
        <v>1438.8</v>
      </c>
      <c r="L174" s="31"/>
      <c r="M174" s="621"/>
    </row>
    <row r="175" spans="1:13" x14ac:dyDescent="0.25">
      <c r="A175" s="137" t="s">
        <v>5361</v>
      </c>
      <c r="B175" s="249">
        <f>B174*9%</f>
        <v>129.49199999999999</v>
      </c>
      <c r="L175" s="31"/>
      <c r="M175" s="621"/>
    </row>
    <row r="176" spans="1:13" x14ac:dyDescent="0.25">
      <c r="A176" s="137" t="s">
        <v>5357</v>
      </c>
      <c r="B176" s="249">
        <v>8.6</v>
      </c>
      <c r="L176" s="31"/>
      <c r="M176" s="621"/>
    </row>
    <row r="177" spans="1:13" ht="15.75" thickBot="1" x14ac:dyDescent="0.3">
      <c r="A177" s="138"/>
      <c r="B177" s="99"/>
      <c r="L177" s="31"/>
      <c r="M177" s="621"/>
    </row>
    <row r="178" spans="1:13" ht="15.75" thickBot="1" x14ac:dyDescent="0.3">
      <c r="A178" s="139" t="s">
        <v>5305</v>
      </c>
      <c r="B178" s="556">
        <f>B174-B175-B176</f>
        <v>1300.7080000000001</v>
      </c>
      <c r="L178" s="31"/>
      <c r="M178" s="621"/>
    </row>
    <row r="179" spans="1:13" ht="15.75" thickBot="1" x14ac:dyDescent="0.3">
      <c r="L179" s="31"/>
      <c r="M179" s="621"/>
    </row>
    <row r="180" spans="1:13" ht="19.5" thickBot="1" x14ac:dyDescent="0.35">
      <c r="A180" s="1178" t="s">
        <v>5364</v>
      </c>
      <c r="B180" s="1179"/>
      <c r="L180" s="31"/>
      <c r="M180" s="621"/>
    </row>
    <row r="181" spans="1:13" ht="15.75" thickBot="1" x14ac:dyDescent="0.3">
      <c r="A181" s="181" t="s">
        <v>5295</v>
      </c>
      <c r="B181" s="556" t="s">
        <v>382</v>
      </c>
      <c r="L181" s="31"/>
      <c r="M181" s="621"/>
    </row>
    <row r="182" spans="1:13" x14ac:dyDescent="0.25">
      <c r="A182" s="180" t="s">
        <v>5300</v>
      </c>
      <c r="B182" s="90">
        <v>1308</v>
      </c>
      <c r="L182" s="31"/>
      <c r="M182" s="621"/>
    </row>
    <row r="183" spans="1:13" x14ac:dyDescent="0.25">
      <c r="A183" s="800"/>
      <c r="B183" s="800"/>
      <c r="L183" s="31"/>
      <c r="M183" s="621"/>
    </row>
    <row r="184" spans="1:13" x14ac:dyDescent="0.25">
      <c r="A184" s="800"/>
      <c r="B184" s="800"/>
      <c r="L184" s="31"/>
      <c r="M184" s="621"/>
    </row>
    <row r="185" spans="1:13" x14ac:dyDescent="0.25">
      <c r="A185" s="800"/>
      <c r="B185" s="800"/>
      <c r="L185" s="31"/>
      <c r="M185" s="621"/>
    </row>
    <row r="186" spans="1:13" x14ac:dyDescent="0.25">
      <c r="L186" s="31"/>
      <c r="M186" s="621"/>
    </row>
    <row r="187" spans="1:13" ht="15.75" thickBot="1" x14ac:dyDescent="0.3">
      <c r="L187" s="31"/>
      <c r="M187" s="621"/>
    </row>
    <row r="188" spans="1:13" ht="34.5" thickBot="1" x14ac:dyDescent="0.55000000000000004">
      <c r="A188" s="3214" t="s">
        <v>5365</v>
      </c>
      <c r="B188" s="3215"/>
      <c r="C188" s="3215"/>
      <c r="D188" s="3215"/>
      <c r="E188" s="3215"/>
      <c r="F188" s="3215"/>
      <c r="G188" s="3215"/>
      <c r="H188" s="3215"/>
      <c r="I188" s="3215"/>
      <c r="J188" s="3216"/>
      <c r="L188" s="31"/>
      <c r="M188" s="621"/>
    </row>
    <row r="189" spans="1:13" ht="19.5" thickBot="1" x14ac:dyDescent="0.35">
      <c r="A189" s="3217" t="s">
        <v>5366</v>
      </c>
      <c r="B189" s="3218"/>
      <c r="C189" s="3218"/>
      <c r="D189" s="3218"/>
      <c r="E189" s="3218"/>
      <c r="F189" s="3219"/>
      <c r="G189" s="83" t="s">
        <v>5367</v>
      </c>
      <c r="H189" s="15" t="s">
        <v>5368</v>
      </c>
      <c r="I189" s="15" t="s">
        <v>5369</v>
      </c>
      <c r="J189" s="16" t="s">
        <v>5370</v>
      </c>
      <c r="L189" s="31"/>
      <c r="M189" s="621"/>
    </row>
    <row r="190" spans="1:13" ht="15.75" thickBot="1" x14ac:dyDescent="0.3">
      <c r="A190" s="121"/>
      <c r="B190" s="122"/>
      <c r="C190" s="123" t="s">
        <v>5371</v>
      </c>
      <c r="D190" s="124" t="s">
        <v>5372</v>
      </c>
      <c r="E190" s="123" t="s">
        <v>5191</v>
      </c>
      <c r="F190" s="88"/>
      <c r="G190" s="263">
        <v>40653</v>
      </c>
      <c r="H190" s="264">
        <v>1</v>
      </c>
      <c r="I190" s="153">
        <v>281.39</v>
      </c>
      <c r="J190" s="265">
        <f>F194-I191</f>
        <v>3939.4599999999996</v>
      </c>
      <c r="L190" s="31"/>
      <c r="M190" s="621"/>
    </row>
    <row r="191" spans="1:13" x14ac:dyDescent="0.25">
      <c r="A191" s="125" t="s">
        <v>4071</v>
      </c>
      <c r="B191" s="126" t="s">
        <v>1945</v>
      </c>
      <c r="C191" s="127">
        <v>3.6999999999999998E-2</v>
      </c>
      <c r="D191" s="127">
        <v>0.31780000000000003</v>
      </c>
      <c r="E191" s="128">
        <v>44.8</v>
      </c>
      <c r="F191" s="129"/>
      <c r="G191" s="266">
        <v>40683</v>
      </c>
      <c r="H191" s="208">
        <f>H190+1</f>
        <v>2</v>
      </c>
      <c r="I191" s="157">
        <v>281.39</v>
      </c>
      <c r="J191" s="191">
        <f t="shared" ref="J191:J204" si="17">J190-I191</f>
        <v>3658.0699999999997</v>
      </c>
      <c r="L191" s="31"/>
      <c r="M191" s="621"/>
    </row>
    <row r="192" spans="1:13" x14ac:dyDescent="0.25">
      <c r="A192" s="130">
        <v>1200</v>
      </c>
      <c r="B192" s="106">
        <v>1926.58</v>
      </c>
      <c r="C192" s="106"/>
      <c r="D192" s="106"/>
      <c r="E192" s="106"/>
      <c r="F192" s="113"/>
      <c r="G192" s="267">
        <v>40714</v>
      </c>
      <c r="H192" s="208">
        <f t="shared" ref="H192:H204" si="18">H191+1</f>
        <v>3</v>
      </c>
      <c r="I192" s="157">
        <v>281.39</v>
      </c>
      <c r="J192" s="191">
        <f t="shared" si="17"/>
        <v>3376.68</v>
      </c>
      <c r="L192" s="31"/>
      <c r="M192" s="621"/>
    </row>
    <row r="193" spans="1:13" x14ac:dyDescent="0.25">
      <c r="A193" s="131"/>
      <c r="B193" s="107"/>
      <c r="C193" s="107" t="s">
        <v>5373</v>
      </c>
      <c r="D193" s="108" t="s">
        <v>4191</v>
      </c>
      <c r="E193" s="108" t="s">
        <v>5374</v>
      </c>
      <c r="F193" s="132" t="s">
        <v>5375</v>
      </c>
      <c r="G193" s="267">
        <v>40744</v>
      </c>
      <c r="H193" s="208">
        <f t="shared" si="18"/>
        <v>4</v>
      </c>
      <c r="I193" s="157">
        <v>281.39</v>
      </c>
      <c r="J193" s="191">
        <f t="shared" si="17"/>
        <v>3095.29</v>
      </c>
      <c r="L193" s="31"/>
      <c r="M193" s="621"/>
    </row>
    <row r="194" spans="1:13" x14ac:dyDescent="0.25">
      <c r="A194" s="131" t="s">
        <v>5376</v>
      </c>
      <c r="B194" s="108">
        <f>A192+B192</f>
        <v>3126.58</v>
      </c>
      <c r="C194" s="106">
        <f>B194</f>
        <v>3126.58</v>
      </c>
      <c r="D194" s="109">
        <v>281.39</v>
      </c>
      <c r="E194" s="110">
        <v>15</v>
      </c>
      <c r="F194" s="132">
        <f>E194*D194</f>
        <v>4220.8499999999995</v>
      </c>
      <c r="G194" s="267">
        <v>40775</v>
      </c>
      <c r="H194" s="208">
        <f t="shared" si="18"/>
        <v>5</v>
      </c>
      <c r="I194" s="157">
        <v>281.39</v>
      </c>
      <c r="J194" s="191">
        <f t="shared" si="17"/>
        <v>2813.9</v>
      </c>
      <c r="L194" s="31"/>
      <c r="M194" s="621"/>
    </row>
    <row r="195" spans="1:13" x14ac:dyDescent="0.25">
      <c r="A195" s="130"/>
      <c r="B195" s="106"/>
      <c r="C195" s="106"/>
      <c r="D195" s="106"/>
      <c r="E195" s="106"/>
      <c r="F195" s="113"/>
      <c r="G195" s="267">
        <v>40806</v>
      </c>
      <c r="H195" s="208">
        <f t="shared" si="18"/>
        <v>6</v>
      </c>
      <c r="I195" s="157">
        <v>281.39</v>
      </c>
      <c r="J195" s="191">
        <f t="shared" si="17"/>
        <v>2532.5100000000002</v>
      </c>
      <c r="L195" s="31"/>
      <c r="M195" s="621"/>
    </row>
    <row r="196" spans="1:13" x14ac:dyDescent="0.25">
      <c r="A196" s="87"/>
      <c r="B196" s="86"/>
      <c r="C196" s="108" t="s">
        <v>5377</v>
      </c>
      <c r="D196" s="106">
        <f>F194-C194-E191</f>
        <v>1049.4699999999996</v>
      </c>
      <c r="E196" s="106"/>
      <c r="F196" s="113"/>
      <c r="G196" s="267">
        <v>40836</v>
      </c>
      <c r="H196" s="208">
        <f t="shared" si="18"/>
        <v>7</v>
      </c>
      <c r="I196" s="157">
        <v>281.39</v>
      </c>
      <c r="J196" s="191">
        <f t="shared" si="17"/>
        <v>2251.1200000000003</v>
      </c>
      <c r="L196" s="31"/>
      <c r="M196" s="621"/>
    </row>
    <row r="197" spans="1:13" ht="15.75" thickBot="1" x14ac:dyDescent="0.3">
      <c r="A197" s="133"/>
      <c r="B197" s="134"/>
      <c r="C197" s="135" t="s">
        <v>5378</v>
      </c>
      <c r="D197" s="134">
        <f>D196/15</f>
        <v>69.964666666666645</v>
      </c>
      <c r="E197" s="134"/>
      <c r="F197" s="136"/>
      <c r="G197" s="267">
        <v>40867</v>
      </c>
      <c r="H197" s="208">
        <f t="shared" si="18"/>
        <v>8</v>
      </c>
      <c r="I197" s="157">
        <v>281.39</v>
      </c>
      <c r="J197" s="191">
        <f t="shared" si="17"/>
        <v>1969.7300000000005</v>
      </c>
      <c r="K197" s="82"/>
      <c r="L197" s="31"/>
      <c r="M197" s="621"/>
    </row>
    <row r="198" spans="1:13" ht="15.75" thickBot="1" x14ac:dyDescent="0.3">
      <c r="A198" s="295" t="s">
        <v>280</v>
      </c>
      <c r="B198" s="296"/>
      <c r="C198" s="296"/>
      <c r="E198" s="297"/>
      <c r="F198" s="296"/>
      <c r="G198" s="267">
        <v>40897</v>
      </c>
      <c r="H198" s="208">
        <f t="shared" si="18"/>
        <v>9</v>
      </c>
      <c r="I198" s="157">
        <v>281.39</v>
      </c>
      <c r="J198" s="191">
        <f t="shared" si="17"/>
        <v>1688.3400000000006</v>
      </c>
      <c r="L198" s="31"/>
      <c r="M198" s="621"/>
    </row>
    <row r="199" spans="1:13" ht="19.5" thickBot="1" x14ac:dyDescent="0.35">
      <c r="A199" s="729" t="s">
        <v>5379</v>
      </c>
      <c r="B199" s="738"/>
      <c r="C199" s="738"/>
      <c r="D199" s="739"/>
      <c r="E199" s="296"/>
      <c r="G199" s="267">
        <v>40928</v>
      </c>
      <c r="H199" s="208">
        <f t="shared" si="18"/>
        <v>10</v>
      </c>
      <c r="I199" s="157">
        <v>281.39</v>
      </c>
      <c r="J199" s="191">
        <f t="shared" si="17"/>
        <v>1406.9500000000007</v>
      </c>
      <c r="L199" s="31"/>
      <c r="M199" s="621"/>
    </row>
    <row r="200" spans="1:13" ht="15.75" thickBot="1" x14ac:dyDescent="0.3">
      <c r="A200" s="114"/>
      <c r="B200" s="116" t="s">
        <v>382</v>
      </c>
      <c r="C200" s="256" t="s">
        <v>5380</v>
      </c>
      <c r="D200" s="257" t="s">
        <v>382</v>
      </c>
      <c r="E200" s="296"/>
      <c r="G200" s="267">
        <v>40959</v>
      </c>
      <c r="H200" s="208">
        <f t="shared" si="18"/>
        <v>11</v>
      </c>
      <c r="I200" s="157">
        <v>281.39</v>
      </c>
      <c r="J200" s="191">
        <f t="shared" si="17"/>
        <v>1125.5600000000009</v>
      </c>
      <c r="L200" s="31"/>
      <c r="M200" s="621"/>
    </row>
    <row r="201" spans="1:13" x14ac:dyDescent="0.25">
      <c r="A201" s="117" t="s">
        <v>5381</v>
      </c>
      <c r="B201" s="115">
        <v>1589.96</v>
      </c>
      <c r="C201" s="211"/>
      <c r="D201" s="258"/>
      <c r="E201" s="296"/>
      <c r="G201" s="267">
        <v>40988</v>
      </c>
      <c r="H201" s="208">
        <f t="shared" si="18"/>
        <v>12</v>
      </c>
      <c r="I201" s="157">
        <v>281.39</v>
      </c>
      <c r="J201" s="191">
        <f t="shared" si="17"/>
        <v>844.17000000000087</v>
      </c>
      <c r="L201" s="31"/>
      <c r="M201" s="621"/>
    </row>
    <row r="202" spans="1:13" ht="15.75" thickBot="1" x14ac:dyDescent="0.3">
      <c r="A202" s="112" t="s">
        <v>5382</v>
      </c>
      <c r="B202" s="106">
        <v>13.8</v>
      </c>
      <c r="C202" s="259" t="s">
        <v>5383</v>
      </c>
      <c r="D202" s="253">
        <v>16.5</v>
      </c>
      <c r="E202" s="296"/>
      <c r="G202" s="303">
        <v>41019</v>
      </c>
      <c r="H202" s="304">
        <f t="shared" si="18"/>
        <v>13</v>
      </c>
      <c r="I202" s="305">
        <v>281.39</v>
      </c>
      <c r="J202" s="306">
        <f t="shared" si="17"/>
        <v>562.78000000000088</v>
      </c>
      <c r="L202" s="31"/>
      <c r="M202" s="621"/>
    </row>
    <row r="203" spans="1:13" x14ac:dyDescent="0.25">
      <c r="A203" s="112" t="s">
        <v>5382</v>
      </c>
      <c r="B203" s="106">
        <v>13.8</v>
      </c>
      <c r="C203" s="259" t="s">
        <v>5384</v>
      </c>
      <c r="D203" s="253">
        <v>138</v>
      </c>
      <c r="E203" s="1544" t="s">
        <v>5385</v>
      </c>
      <c r="F203" s="1545"/>
      <c r="G203" s="307">
        <v>41049</v>
      </c>
      <c r="H203" s="308">
        <f t="shared" si="18"/>
        <v>14</v>
      </c>
      <c r="I203" s="309">
        <v>281.39</v>
      </c>
      <c r="J203" s="310">
        <f t="shared" si="17"/>
        <v>281.3900000000009</v>
      </c>
      <c r="L203" s="31"/>
      <c r="M203" s="621"/>
    </row>
    <row r="204" spans="1:13" ht="15.75" thickBot="1" x14ac:dyDescent="0.3">
      <c r="A204" s="112" t="s">
        <v>5382</v>
      </c>
      <c r="B204" s="106">
        <v>13.8</v>
      </c>
      <c r="C204" s="259"/>
      <c r="D204" s="253"/>
      <c r="E204" s="1546"/>
      <c r="F204" s="1547"/>
      <c r="G204" s="311">
        <v>41080</v>
      </c>
      <c r="H204" s="312">
        <f t="shared" si="18"/>
        <v>15</v>
      </c>
      <c r="I204" s="313">
        <v>281.39</v>
      </c>
      <c r="J204" s="314">
        <f t="shared" si="17"/>
        <v>9.0949470177292824E-13</v>
      </c>
      <c r="L204" s="31"/>
      <c r="M204" s="621"/>
    </row>
    <row r="205" spans="1:13" customFormat="1" ht="15.75" thickBot="1" x14ac:dyDescent="0.3">
      <c r="A205" s="112" t="s">
        <v>5382</v>
      </c>
      <c r="B205" s="106">
        <v>13.8</v>
      </c>
      <c r="C205" s="259"/>
      <c r="D205" s="253"/>
      <c r="E205" s="296"/>
      <c r="F205" s="79"/>
      <c r="G205" s="740" t="s">
        <v>361</v>
      </c>
      <c r="H205" s="741"/>
      <c r="I205" s="728">
        <f>SUM(I190:I204)</f>
        <v>4220.8499999999985</v>
      </c>
      <c r="J205" s="218">
        <f>J204</f>
        <v>9.0949470177292824E-13</v>
      </c>
      <c r="L205" s="31"/>
      <c r="M205" s="621"/>
    </row>
    <row r="206" spans="1:13" customFormat="1" x14ac:dyDescent="0.25">
      <c r="A206" s="172" t="s">
        <v>5382</v>
      </c>
      <c r="B206" s="106">
        <v>13.8</v>
      </c>
      <c r="C206" s="259"/>
      <c r="D206" s="253"/>
      <c r="E206" s="296"/>
      <c r="F206" s="79"/>
      <c r="G206" s="79"/>
      <c r="H206" s="79"/>
      <c r="I206" s="79"/>
      <c r="J206" s="298"/>
      <c r="L206" s="31"/>
      <c r="M206" s="621"/>
    </row>
    <row r="207" spans="1:13" customFormat="1" x14ac:dyDescent="0.25">
      <c r="A207" s="112" t="s">
        <v>5386</v>
      </c>
      <c r="B207" s="106">
        <v>117.44</v>
      </c>
      <c r="C207" s="259"/>
      <c r="D207" s="260"/>
      <c r="E207" s="296"/>
      <c r="F207" s="296"/>
      <c r="G207" s="357" t="s">
        <v>5387</v>
      </c>
      <c r="H207" s="357"/>
      <c r="I207" s="299">
        <v>41025</v>
      </c>
      <c r="J207" s="45">
        <f>J205-J208</f>
        <v>9.0949470177292824E-13</v>
      </c>
      <c r="L207" s="31"/>
      <c r="M207" s="621"/>
    </row>
    <row r="208" spans="1:13" customFormat="1" x14ac:dyDescent="0.25">
      <c r="A208" s="112" t="s">
        <v>5386</v>
      </c>
      <c r="B208" s="106">
        <v>117.44</v>
      </c>
      <c r="C208" s="261"/>
      <c r="D208" s="253"/>
      <c r="E208" s="79"/>
      <c r="F208" s="79"/>
      <c r="G208" s="358" t="s">
        <v>5388</v>
      </c>
      <c r="H208" s="358"/>
      <c r="I208" s="230">
        <v>41025</v>
      </c>
      <c r="J208" s="300">
        <v>0</v>
      </c>
      <c r="L208" s="31"/>
      <c r="M208" s="621"/>
    </row>
    <row r="209" spans="1:13" customFormat="1" x14ac:dyDescent="0.25">
      <c r="A209" s="112" t="s">
        <v>5386</v>
      </c>
      <c r="B209" s="106">
        <v>117.44</v>
      </c>
      <c r="C209" s="261"/>
      <c r="D209" s="253"/>
      <c r="E209" s="79"/>
      <c r="F209" s="79"/>
      <c r="G209" s="79"/>
      <c r="H209" s="79"/>
      <c r="I209" s="79"/>
      <c r="J209" s="298"/>
      <c r="L209" s="31"/>
      <c r="M209" s="621"/>
    </row>
    <row r="210" spans="1:13" customFormat="1" x14ac:dyDescent="0.25">
      <c r="A210" s="87"/>
      <c r="B210" s="111">
        <f>SUM(B201:B209)</f>
        <v>2011.28</v>
      </c>
      <c r="C210" s="262"/>
      <c r="D210" s="254">
        <f>SUM(D202:D204)</f>
        <v>154.5</v>
      </c>
      <c r="E210" s="79"/>
      <c r="F210" s="79"/>
      <c r="G210" s="79"/>
      <c r="H210" s="79"/>
      <c r="I210" s="79"/>
      <c r="J210" s="298"/>
      <c r="L210" s="31"/>
      <c r="M210" s="621"/>
    </row>
    <row r="211" spans="1:13" customFormat="1" ht="15.75" thickBot="1" x14ac:dyDescent="0.3">
      <c r="A211" s="92"/>
      <c r="B211" s="118"/>
      <c r="C211" s="118"/>
      <c r="D211" s="255"/>
      <c r="E211" s="79"/>
      <c r="F211" s="79"/>
      <c r="G211" s="79"/>
      <c r="H211" s="79"/>
      <c r="I211" s="79"/>
      <c r="J211" s="298"/>
      <c r="L211" s="31"/>
      <c r="M211" s="621"/>
    </row>
    <row r="212" spans="1:13" customFormat="1" ht="15.75" thickBot="1" x14ac:dyDescent="0.3">
      <c r="A212" s="119" t="s">
        <v>5389</v>
      </c>
      <c r="B212" s="120">
        <f>B210-D210</f>
        <v>1856.78</v>
      </c>
      <c r="C212" s="742"/>
      <c r="D212" s="743"/>
      <c r="E212" s="301"/>
      <c r="F212" s="301"/>
      <c r="G212" s="301"/>
      <c r="H212" s="301"/>
      <c r="I212" s="301"/>
      <c r="J212" s="302"/>
      <c r="L212" s="31"/>
      <c r="M212" s="621"/>
    </row>
    <row r="213" spans="1:13" customFormat="1" ht="15.75" thickBot="1" x14ac:dyDescent="0.3">
      <c r="A213" s="79"/>
      <c r="B213" s="79"/>
      <c r="C213" s="79"/>
      <c r="D213" s="79"/>
      <c r="E213" s="79"/>
      <c r="F213" s="79"/>
      <c r="G213" s="79"/>
      <c r="H213" s="79"/>
      <c r="I213" s="79"/>
      <c r="J213" s="79"/>
      <c r="L213" s="31"/>
      <c r="M213" s="621"/>
    </row>
    <row r="214" spans="1:13" customFormat="1" ht="13.5" thickBot="1" x14ac:dyDescent="0.25">
      <c r="A214" s="8" t="s">
        <v>5390</v>
      </c>
      <c r="B214" s="164"/>
      <c r="E214" s="24"/>
      <c r="L214" s="31"/>
      <c r="M214" s="621"/>
    </row>
    <row r="215" spans="1:13" customFormat="1" ht="13.5" thickBot="1" x14ac:dyDescent="0.25">
      <c r="A215" s="54" t="s">
        <v>5391</v>
      </c>
      <c r="B215" s="219" t="s">
        <v>5392</v>
      </c>
      <c r="E215" s="24"/>
      <c r="L215" s="31"/>
      <c r="M215" s="621"/>
    </row>
    <row r="216" spans="1:13" customFormat="1" ht="13.5" thickBot="1" x14ac:dyDescent="0.25">
      <c r="A216" s="413" t="s">
        <v>4206</v>
      </c>
      <c r="B216" s="414" t="s">
        <v>5393</v>
      </c>
      <c r="C216" s="415" t="s">
        <v>382</v>
      </c>
      <c r="E216" s="24"/>
      <c r="L216" s="31"/>
      <c r="M216" s="621"/>
    </row>
    <row r="217" spans="1:13" customFormat="1" ht="12.75" x14ac:dyDescent="0.2">
      <c r="A217" s="406">
        <v>40520</v>
      </c>
      <c r="B217" s="152">
        <v>1</v>
      </c>
      <c r="C217" s="407">
        <v>60</v>
      </c>
      <c r="E217" s="24"/>
      <c r="L217" s="31"/>
      <c r="M217" s="621"/>
    </row>
    <row r="218" spans="1:13" customFormat="1" ht="12.75" x14ac:dyDescent="0.2">
      <c r="A218" s="408">
        <v>40897</v>
      </c>
      <c r="B218" s="156">
        <v>2</v>
      </c>
      <c r="C218" s="409">
        <v>60</v>
      </c>
      <c r="E218" s="24"/>
      <c r="L218" s="31"/>
      <c r="M218" s="621"/>
    </row>
    <row r="219" spans="1:13" customFormat="1" ht="12.75" x14ac:dyDescent="0.2">
      <c r="A219" s="408">
        <v>40551</v>
      </c>
      <c r="B219" s="156">
        <v>3</v>
      </c>
      <c r="C219" s="409">
        <v>60</v>
      </c>
      <c r="E219" s="24"/>
      <c r="L219" s="31"/>
      <c r="M219" s="621"/>
    </row>
    <row r="220" spans="1:13" customFormat="1" ht="13.5" thickBot="1" x14ac:dyDescent="0.25">
      <c r="A220" s="410">
        <v>40563</v>
      </c>
      <c r="B220" s="411">
        <v>4</v>
      </c>
      <c r="C220" s="412">
        <v>70</v>
      </c>
      <c r="E220" s="24"/>
      <c r="L220" s="31"/>
      <c r="M220" s="621"/>
    </row>
    <row r="221" spans="1:13" customFormat="1" ht="15.75" thickBot="1" x14ac:dyDescent="0.3">
      <c r="A221" s="736" t="s">
        <v>772</v>
      </c>
      <c r="B221" s="737"/>
      <c r="C221" s="595">
        <f>C217+C218+C219+C220</f>
        <v>250</v>
      </c>
      <c r="E221" s="24"/>
      <c r="L221" s="31"/>
      <c r="M221" s="621"/>
    </row>
    <row r="222" spans="1:13" customFormat="1" ht="15.75" thickBot="1" x14ac:dyDescent="0.3">
      <c r="A222" s="744"/>
      <c r="B222" s="744"/>
      <c r="C222" s="362"/>
      <c r="E222" s="24"/>
      <c r="L222" s="293"/>
      <c r="M222" s="294"/>
    </row>
    <row r="223" spans="1:13" customFormat="1" ht="13.5" thickBot="1" x14ac:dyDescent="0.25">
      <c r="A223" s="8" t="s">
        <v>5394</v>
      </c>
      <c r="B223" s="727"/>
      <c r="C223" s="164"/>
      <c r="D223" s="219" t="s">
        <v>5392</v>
      </c>
      <c r="E223" s="24"/>
    </row>
    <row r="224" spans="1:13" ht="15" customHeight="1" thickBot="1" x14ac:dyDescent="0.3">
      <c r="A224" s="319" t="s">
        <v>4206</v>
      </c>
      <c r="B224" s="320" t="s">
        <v>5393</v>
      </c>
      <c r="C224" s="321" t="s">
        <v>5395</v>
      </c>
      <c r="D224" s="174" t="s">
        <v>5370</v>
      </c>
      <c r="E224" s="24"/>
      <c r="F224"/>
      <c r="G224"/>
      <c r="H224"/>
      <c r="I224"/>
      <c r="J224"/>
    </row>
    <row r="225" spans="1:10" x14ac:dyDescent="0.25">
      <c r="A225" s="322">
        <v>40761</v>
      </c>
      <c r="B225" s="323" t="s">
        <v>5396</v>
      </c>
      <c r="C225" s="265"/>
      <c r="D225" s="392">
        <v>279</v>
      </c>
      <c r="E225" s="24"/>
      <c r="F225"/>
      <c r="G225"/>
      <c r="H225"/>
      <c r="I225"/>
      <c r="J225"/>
    </row>
    <row r="226" spans="1:10" x14ac:dyDescent="0.25">
      <c r="A226" s="402">
        <v>40792</v>
      </c>
      <c r="B226" s="203">
        <v>1</v>
      </c>
      <c r="C226" s="289">
        <f>279/5</f>
        <v>55.8</v>
      </c>
      <c r="D226" s="291">
        <f>D225-C226</f>
        <v>223.2</v>
      </c>
      <c r="E226" s="24"/>
      <c r="F226"/>
      <c r="G226"/>
      <c r="H226"/>
      <c r="I226"/>
      <c r="J226"/>
    </row>
    <row r="227" spans="1:10" x14ac:dyDescent="0.25">
      <c r="A227" s="402">
        <v>40822</v>
      </c>
      <c r="B227" s="208">
        <v>2</v>
      </c>
      <c r="C227" s="290">
        <v>55.8</v>
      </c>
      <c r="D227" s="291">
        <f>D226-C227</f>
        <v>167.39999999999998</v>
      </c>
      <c r="E227" s="24"/>
      <c r="F227"/>
      <c r="G227"/>
      <c r="H227"/>
      <c r="I227"/>
      <c r="J227"/>
    </row>
    <row r="228" spans="1:10" x14ac:dyDescent="0.25">
      <c r="A228" s="402">
        <v>40853</v>
      </c>
      <c r="B228" s="208">
        <v>3</v>
      </c>
      <c r="C228" s="290">
        <v>55.8</v>
      </c>
      <c r="D228" s="291">
        <f>D227-C228</f>
        <v>111.59999999999998</v>
      </c>
      <c r="E228" s="24"/>
      <c r="F228"/>
      <c r="G228"/>
      <c r="H228"/>
      <c r="I228"/>
      <c r="J228"/>
    </row>
    <row r="229" spans="1:10" x14ac:dyDescent="0.25">
      <c r="A229" s="402">
        <v>40883</v>
      </c>
      <c r="B229" s="208">
        <v>4</v>
      </c>
      <c r="C229" s="290">
        <v>55.8</v>
      </c>
      <c r="D229" s="291">
        <f>D228-C229</f>
        <v>55.799999999999983</v>
      </c>
      <c r="E229" s="24"/>
      <c r="F229"/>
      <c r="G229"/>
      <c r="H229"/>
      <c r="I229"/>
      <c r="J229"/>
    </row>
    <row r="230" spans="1:10" ht="15.75" thickBot="1" x14ac:dyDescent="0.3">
      <c r="A230" s="403">
        <v>40914</v>
      </c>
      <c r="B230" s="404">
        <v>5</v>
      </c>
      <c r="C230" s="405">
        <v>55.8</v>
      </c>
      <c r="D230" s="45">
        <f>D229-C230</f>
        <v>0</v>
      </c>
      <c r="E230" s="24"/>
      <c r="F230"/>
      <c r="G230"/>
      <c r="H230"/>
      <c r="I230"/>
      <c r="J230"/>
    </row>
    <row r="231" spans="1:10" ht="15.75" thickBot="1" x14ac:dyDescent="0.3">
      <c r="A231" s="732" t="s">
        <v>361</v>
      </c>
      <c r="B231" s="733"/>
      <c r="C231" s="343">
        <f>SUM(C226:C230)</f>
        <v>279</v>
      </c>
      <c r="D231" s="218">
        <f>D225-C226-C227-C228-C228-C230</f>
        <v>0</v>
      </c>
      <c r="E231" s="24"/>
      <c r="F231"/>
      <c r="G231"/>
      <c r="H231"/>
      <c r="I231"/>
      <c r="J231"/>
    </row>
    <row r="232" spans="1:10" ht="15.75" thickBot="1" x14ac:dyDescent="0.3">
      <c r="A232" s="359"/>
      <c r="B232" s="359"/>
      <c r="C232" s="360"/>
      <c r="D232" s="361"/>
      <c r="E232" s="24"/>
      <c r="F232"/>
      <c r="G232"/>
      <c r="H232"/>
      <c r="I232"/>
      <c r="J232"/>
    </row>
    <row r="233" spans="1:10" ht="37.5" customHeight="1" thickBot="1" x14ac:dyDescent="0.3">
      <c r="A233" s="3220" t="s">
        <v>5397</v>
      </c>
      <c r="B233" s="3221"/>
      <c r="C233" s="3221"/>
      <c r="D233" s="3222"/>
    </row>
    <row r="234" spans="1:10" ht="15.75" thickBot="1" x14ac:dyDescent="0.3">
      <c r="A234" s="319" t="s">
        <v>4206</v>
      </c>
      <c r="B234" s="320" t="s">
        <v>5393</v>
      </c>
      <c r="C234" s="321" t="s">
        <v>5395</v>
      </c>
      <c r="D234" s="174" t="s">
        <v>5370</v>
      </c>
    </row>
    <row r="235" spans="1:10" x14ac:dyDescent="0.25">
      <c r="A235" s="322">
        <v>41066</v>
      </c>
      <c r="B235" s="323" t="s">
        <v>5398</v>
      </c>
      <c r="C235" s="265"/>
      <c r="D235" s="392">
        <v>490</v>
      </c>
    </row>
    <row r="236" spans="1:10" x14ac:dyDescent="0.25">
      <c r="A236" s="288">
        <v>41066</v>
      </c>
      <c r="B236" s="203" t="s">
        <v>3877</v>
      </c>
      <c r="C236" s="289">
        <v>100</v>
      </c>
      <c r="D236" s="291">
        <f>D235-C236</f>
        <v>390</v>
      </c>
    </row>
    <row r="237" spans="1:10" x14ac:dyDescent="0.25">
      <c r="A237" s="288">
        <v>41080</v>
      </c>
      <c r="B237" s="203">
        <v>2</v>
      </c>
      <c r="C237" s="289">
        <v>130</v>
      </c>
      <c r="D237" s="291">
        <f>D236-C237</f>
        <v>260</v>
      </c>
    </row>
    <row r="238" spans="1:10" x14ac:dyDescent="0.25">
      <c r="A238" s="288">
        <v>41110</v>
      </c>
      <c r="B238" s="203">
        <v>3</v>
      </c>
      <c r="C238" s="289">
        <v>130</v>
      </c>
      <c r="D238" s="291">
        <f>D237-C238</f>
        <v>130</v>
      </c>
    </row>
    <row r="239" spans="1:10" ht="15.75" thickBot="1" x14ac:dyDescent="0.3">
      <c r="A239" s="366">
        <v>41141</v>
      </c>
      <c r="B239" s="367">
        <v>4</v>
      </c>
      <c r="C239" s="368">
        <v>130</v>
      </c>
      <c r="D239" s="45">
        <f>D238-C239</f>
        <v>0</v>
      </c>
    </row>
    <row r="240" spans="1:10" ht="15.75" thickBot="1" x14ac:dyDescent="0.3">
      <c r="A240" s="732" t="s">
        <v>361</v>
      </c>
      <c r="B240" s="733"/>
      <c r="C240" s="343">
        <f>SUM(C236:C239)</f>
        <v>490</v>
      </c>
      <c r="D240" s="292">
        <f>D239</f>
        <v>0</v>
      </c>
    </row>
    <row r="241" spans="1:4" ht="15.75" thickBot="1" x14ac:dyDescent="0.3"/>
    <row r="242" spans="1:4" ht="39" customHeight="1" thickBot="1" x14ac:dyDescent="0.3">
      <c r="A242" s="3220" t="s">
        <v>5399</v>
      </c>
      <c r="B242" s="3221"/>
      <c r="C242" s="3221"/>
      <c r="D242" s="3222"/>
    </row>
    <row r="243" spans="1:4" ht="15.75" thickBot="1" x14ac:dyDescent="0.3">
      <c r="A243" s="319" t="s">
        <v>4206</v>
      </c>
      <c r="B243" s="320" t="s">
        <v>5393</v>
      </c>
      <c r="C243" s="321" t="s">
        <v>5395</v>
      </c>
      <c r="D243" s="174" t="s">
        <v>5400</v>
      </c>
    </row>
    <row r="244" spans="1:4" x14ac:dyDescent="0.25">
      <c r="A244" s="322">
        <v>41050</v>
      </c>
      <c r="B244" s="323" t="s">
        <v>5398</v>
      </c>
      <c r="C244" s="265"/>
      <c r="D244" s="392">
        <v>400</v>
      </c>
    </row>
    <row r="245" spans="1:4" x14ac:dyDescent="0.25">
      <c r="A245" s="288">
        <v>41080</v>
      </c>
      <c r="B245" s="203">
        <v>1</v>
      </c>
      <c r="C245" s="289">
        <v>100</v>
      </c>
      <c r="D245" s="291">
        <f>D244-C245</f>
        <v>300</v>
      </c>
    </row>
    <row r="246" spans="1:4" x14ac:dyDescent="0.25">
      <c r="A246" s="288">
        <v>41110</v>
      </c>
      <c r="B246" s="203">
        <v>2</v>
      </c>
      <c r="C246" s="289">
        <v>100</v>
      </c>
      <c r="D246" s="291">
        <f>D245-C246</f>
        <v>200</v>
      </c>
    </row>
    <row r="247" spans="1:4" x14ac:dyDescent="0.25">
      <c r="A247" s="288">
        <v>41141</v>
      </c>
      <c r="B247" s="203">
        <v>3</v>
      </c>
      <c r="C247" s="289">
        <v>100</v>
      </c>
      <c r="D247" s="291">
        <f>D246-C247</f>
        <v>100</v>
      </c>
    </row>
    <row r="248" spans="1:4" ht="15.75" thickBot="1" x14ac:dyDescent="0.3">
      <c r="A248" s="366">
        <v>41172</v>
      </c>
      <c r="B248" s="367">
        <v>4</v>
      </c>
      <c r="C248" s="368">
        <v>100</v>
      </c>
      <c r="D248" s="56">
        <f>D247-C248</f>
        <v>0</v>
      </c>
    </row>
    <row r="249" spans="1:4" ht="15.75" thickBot="1" x14ac:dyDescent="0.3">
      <c r="A249" s="732" t="s">
        <v>361</v>
      </c>
      <c r="B249" s="733"/>
      <c r="C249" s="343">
        <f>SUM(C245:C248)</f>
        <v>400</v>
      </c>
      <c r="D249" s="292">
        <f>D247</f>
        <v>100</v>
      </c>
    </row>
    <row r="250" spans="1:4" ht="15.75" thickBot="1" x14ac:dyDescent="0.3"/>
    <row r="251" spans="1:4" ht="15.75" thickBot="1" x14ac:dyDescent="0.3">
      <c r="A251" s="8" t="s">
        <v>5401</v>
      </c>
      <c r="B251" s="727"/>
      <c r="C251" s="727"/>
      <c r="D251" s="164"/>
    </row>
    <row r="252" spans="1:4" ht="15.75" thickBot="1" x14ac:dyDescent="0.3">
      <c r="A252" s="319" t="s">
        <v>4206</v>
      </c>
      <c r="B252" s="320" t="s">
        <v>5393</v>
      </c>
      <c r="C252" s="321" t="s">
        <v>5395</v>
      </c>
      <c r="D252" s="174" t="s">
        <v>5370</v>
      </c>
    </row>
    <row r="253" spans="1:4" x14ac:dyDescent="0.25">
      <c r="A253" s="322">
        <v>40932</v>
      </c>
      <c r="B253" s="323" t="s">
        <v>5402</v>
      </c>
      <c r="C253" s="265"/>
      <c r="D253" s="392">
        <v>279</v>
      </c>
    </row>
    <row r="254" spans="1:4" x14ac:dyDescent="0.25">
      <c r="A254" s="288">
        <v>40945</v>
      </c>
      <c r="B254" s="203">
        <v>1</v>
      </c>
      <c r="C254" s="289">
        <v>31</v>
      </c>
      <c r="D254" s="291">
        <f t="shared" ref="D254:D262" si="19">D253-C254</f>
        <v>248</v>
      </c>
    </row>
    <row r="255" spans="1:4" x14ac:dyDescent="0.25">
      <c r="A255" s="288">
        <v>40974</v>
      </c>
      <c r="B255" s="208">
        <v>2</v>
      </c>
      <c r="C255" s="290">
        <v>31</v>
      </c>
      <c r="D255" s="291">
        <f t="shared" si="19"/>
        <v>217</v>
      </c>
    </row>
    <row r="256" spans="1:4" ht="15" customHeight="1" x14ac:dyDescent="0.25">
      <c r="A256" s="288">
        <v>41005</v>
      </c>
      <c r="B256" s="208">
        <v>3</v>
      </c>
      <c r="C256" s="290">
        <v>31</v>
      </c>
      <c r="D256" s="291">
        <f t="shared" si="19"/>
        <v>186</v>
      </c>
    </row>
    <row r="257" spans="1:4" x14ac:dyDescent="0.25">
      <c r="A257" s="288">
        <v>41035</v>
      </c>
      <c r="B257" s="208">
        <v>4</v>
      </c>
      <c r="C257" s="290">
        <v>31</v>
      </c>
      <c r="D257" s="291">
        <f t="shared" si="19"/>
        <v>155</v>
      </c>
    </row>
    <row r="258" spans="1:4" x14ac:dyDescent="0.25">
      <c r="A258" s="288">
        <v>41066</v>
      </c>
      <c r="B258" s="208">
        <v>5</v>
      </c>
      <c r="C258" s="290">
        <v>31</v>
      </c>
      <c r="D258" s="56">
        <f t="shared" si="19"/>
        <v>124</v>
      </c>
    </row>
    <row r="259" spans="1:4" x14ac:dyDescent="0.25">
      <c r="A259" s="288">
        <v>41096</v>
      </c>
      <c r="B259" s="208">
        <v>6</v>
      </c>
      <c r="C259" s="290">
        <v>31</v>
      </c>
      <c r="D259" s="191">
        <f t="shared" si="19"/>
        <v>93</v>
      </c>
    </row>
    <row r="260" spans="1:4" x14ac:dyDescent="0.25">
      <c r="A260" s="288">
        <v>41127</v>
      </c>
      <c r="B260" s="208">
        <v>7</v>
      </c>
      <c r="C260" s="290">
        <v>31</v>
      </c>
      <c r="D260" s="56">
        <f t="shared" si="19"/>
        <v>62</v>
      </c>
    </row>
    <row r="261" spans="1:4" x14ac:dyDescent="0.25">
      <c r="A261" s="288">
        <v>41158</v>
      </c>
      <c r="B261" s="208">
        <v>8</v>
      </c>
      <c r="C261" s="290">
        <v>31</v>
      </c>
      <c r="D261" s="191">
        <f t="shared" si="19"/>
        <v>31</v>
      </c>
    </row>
    <row r="262" spans="1:4" ht="15.75" thickBot="1" x14ac:dyDescent="0.3">
      <c r="A262" s="288">
        <v>41188</v>
      </c>
      <c r="B262" s="208">
        <v>9</v>
      </c>
      <c r="C262" s="290">
        <v>31</v>
      </c>
      <c r="D262" s="45">
        <f t="shared" si="19"/>
        <v>0</v>
      </c>
    </row>
    <row r="263" spans="1:4" ht="15.75" thickBot="1" x14ac:dyDescent="0.3">
      <c r="A263" s="732" t="s">
        <v>361</v>
      </c>
      <c r="B263" s="733"/>
      <c r="C263" s="343">
        <f>SUM(C254:C262)</f>
        <v>279</v>
      </c>
      <c r="D263" s="292">
        <f>D262</f>
        <v>0</v>
      </c>
    </row>
    <row r="264" spans="1:4" ht="15.75" thickBot="1" x14ac:dyDescent="0.3"/>
    <row r="265" spans="1:4" ht="31.5" customHeight="1" thickBot="1" x14ac:dyDescent="0.3">
      <c r="A265" s="3220" t="s">
        <v>5403</v>
      </c>
      <c r="B265" s="3221"/>
      <c r="C265" s="3221"/>
      <c r="D265" s="3222"/>
    </row>
    <row r="266" spans="1:4" ht="15.75" thickBot="1" x14ac:dyDescent="0.3">
      <c r="A266" s="319" t="s">
        <v>4206</v>
      </c>
      <c r="B266" s="320" t="s">
        <v>5393</v>
      </c>
      <c r="C266" s="321" t="s">
        <v>5395</v>
      </c>
      <c r="D266" s="174" t="s">
        <v>5370</v>
      </c>
    </row>
    <row r="267" spans="1:4" x14ac:dyDescent="0.25">
      <c r="A267" s="322">
        <v>41145</v>
      </c>
      <c r="B267" s="323" t="s">
        <v>5404</v>
      </c>
      <c r="C267" s="265"/>
      <c r="D267" s="392">
        <v>744</v>
      </c>
    </row>
    <row r="268" spans="1:4" x14ac:dyDescent="0.25">
      <c r="A268" s="288">
        <v>41172</v>
      </c>
      <c r="B268" s="203">
        <v>1</v>
      </c>
      <c r="C268" s="289">
        <v>248</v>
      </c>
      <c r="D268" s="291">
        <f>D267-C268</f>
        <v>496</v>
      </c>
    </row>
    <row r="269" spans="1:4" x14ac:dyDescent="0.25">
      <c r="A269" s="288">
        <v>41202</v>
      </c>
      <c r="B269" s="203">
        <v>2</v>
      </c>
      <c r="C269" s="289">
        <v>248</v>
      </c>
      <c r="D269" s="291">
        <f>D268-C269</f>
        <v>248</v>
      </c>
    </row>
    <row r="270" spans="1:4" ht="15.75" thickBot="1" x14ac:dyDescent="0.3">
      <c r="A270" s="366">
        <v>41233</v>
      </c>
      <c r="B270" s="367">
        <v>3</v>
      </c>
      <c r="C270" s="368">
        <v>248</v>
      </c>
      <c r="D270" s="56">
        <f>D269-C270</f>
        <v>0</v>
      </c>
    </row>
    <row r="271" spans="1:4" ht="15.75" thickBot="1" x14ac:dyDescent="0.3">
      <c r="A271" s="732" t="s">
        <v>361</v>
      </c>
      <c r="B271" s="733"/>
      <c r="C271" s="343">
        <f>SUM(C268:C270)</f>
        <v>744</v>
      </c>
      <c r="D271" s="292">
        <f>D270</f>
        <v>0</v>
      </c>
    </row>
    <row r="272" spans="1:4" ht="15.75" thickBot="1" x14ac:dyDescent="0.3"/>
    <row r="273" spans="1:4" ht="27" customHeight="1" thickBot="1" x14ac:dyDescent="0.3">
      <c r="A273" s="3220" t="s">
        <v>5405</v>
      </c>
      <c r="B273" s="3221"/>
      <c r="C273" s="3221"/>
      <c r="D273" s="3222"/>
    </row>
    <row r="274" spans="1:4" ht="15.75" thickBot="1" x14ac:dyDescent="0.3">
      <c r="A274" s="14" t="s">
        <v>4206</v>
      </c>
      <c r="B274" s="11" t="s">
        <v>5393</v>
      </c>
      <c r="C274" s="164" t="s">
        <v>5395</v>
      </c>
      <c r="D274" s="175" t="s">
        <v>5370</v>
      </c>
    </row>
    <row r="275" spans="1:4" x14ac:dyDescent="0.25">
      <c r="A275" s="317">
        <v>41036</v>
      </c>
      <c r="B275" s="318" t="s">
        <v>5406</v>
      </c>
      <c r="C275" s="217"/>
      <c r="D275" s="392">
        <v>1399</v>
      </c>
    </row>
    <row r="276" spans="1:4" x14ac:dyDescent="0.25">
      <c r="A276" s="288">
        <v>41066</v>
      </c>
      <c r="B276" s="203">
        <v>1</v>
      </c>
      <c r="C276" s="289">
        <v>139.9</v>
      </c>
      <c r="D276" s="291">
        <f t="shared" ref="D276:D285" si="20">D275-C276</f>
        <v>1259.0999999999999</v>
      </c>
    </row>
    <row r="277" spans="1:4" x14ac:dyDescent="0.25">
      <c r="A277" s="288">
        <v>41096</v>
      </c>
      <c r="B277" s="203">
        <v>2</v>
      </c>
      <c r="C277" s="289">
        <v>139.9</v>
      </c>
      <c r="D277" s="291">
        <f t="shared" si="20"/>
        <v>1119.1999999999998</v>
      </c>
    </row>
    <row r="278" spans="1:4" x14ac:dyDescent="0.25">
      <c r="A278" s="288">
        <v>41127</v>
      </c>
      <c r="B278" s="203">
        <v>3</v>
      </c>
      <c r="C278" s="289">
        <v>139.9</v>
      </c>
      <c r="D278" s="291">
        <f t="shared" si="20"/>
        <v>979.29999999999984</v>
      </c>
    </row>
    <row r="279" spans="1:4" ht="15" customHeight="1" x14ac:dyDescent="0.25">
      <c r="A279" s="288">
        <v>41158</v>
      </c>
      <c r="B279" s="203">
        <v>4</v>
      </c>
      <c r="C279" s="289">
        <v>139.9</v>
      </c>
      <c r="D279" s="291">
        <f t="shared" si="20"/>
        <v>839.39999999999986</v>
      </c>
    </row>
    <row r="280" spans="1:4" x14ac:dyDescent="0.25">
      <c r="A280" s="288">
        <v>41188</v>
      </c>
      <c r="B280" s="203">
        <v>5</v>
      </c>
      <c r="C280" s="289">
        <v>139.9</v>
      </c>
      <c r="D280" s="56">
        <f t="shared" si="20"/>
        <v>699.49999999999989</v>
      </c>
    </row>
    <row r="281" spans="1:4" x14ac:dyDescent="0.25">
      <c r="A281" s="288">
        <v>41219</v>
      </c>
      <c r="B281" s="203">
        <v>6</v>
      </c>
      <c r="C281" s="289">
        <v>139.9</v>
      </c>
      <c r="D281" s="191">
        <f t="shared" si="20"/>
        <v>559.59999999999991</v>
      </c>
    </row>
    <row r="282" spans="1:4" x14ac:dyDescent="0.25">
      <c r="A282" s="288">
        <v>41249</v>
      </c>
      <c r="B282" s="203">
        <v>7</v>
      </c>
      <c r="C282" s="289">
        <v>139.9</v>
      </c>
      <c r="D282" s="56">
        <f t="shared" si="20"/>
        <v>419.69999999999993</v>
      </c>
    </row>
    <row r="283" spans="1:4" x14ac:dyDescent="0.25">
      <c r="A283" s="288">
        <v>41280</v>
      </c>
      <c r="B283" s="203">
        <v>8</v>
      </c>
      <c r="C283" s="289">
        <v>139.9</v>
      </c>
      <c r="D283" s="191">
        <f>D282-C283</f>
        <v>279.79999999999995</v>
      </c>
    </row>
    <row r="284" spans="1:4" x14ac:dyDescent="0.25">
      <c r="A284" s="402">
        <v>41311</v>
      </c>
      <c r="B284" s="208">
        <v>9</v>
      </c>
      <c r="C284" s="289">
        <v>139.9</v>
      </c>
      <c r="D284" s="418">
        <f>D283-C284</f>
        <v>139.89999999999995</v>
      </c>
    </row>
    <row r="285" spans="1:4" ht="15.75" thickBot="1" x14ac:dyDescent="0.3">
      <c r="A285" s="288">
        <v>41339</v>
      </c>
      <c r="B285" s="203">
        <v>10</v>
      </c>
      <c r="C285" s="289">
        <v>139.9</v>
      </c>
      <c r="D285" s="56">
        <f t="shared" si="20"/>
        <v>0</v>
      </c>
    </row>
    <row r="286" spans="1:4" ht="15.75" thickBot="1" x14ac:dyDescent="0.3">
      <c r="A286" s="734" t="s">
        <v>361</v>
      </c>
      <c r="B286" s="735"/>
      <c r="C286" s="282">
        <f>SUM(C276:C285)</f>
        <v>1399.0000000000002</v>
      </c>
      <c r="D286" s="292">
        <f>D285</f>
        <v>0</v>
      </c>
    </row>
    <row r="287" spans="1:4" ht="15.75" thickBot="1" x14ac:dyDescent="0.3"/>
    <row r="288" spans="1:4" ht="21" customHeight="1" thickBot="1" x14ac:dyDescent="0.3">
      <c r="A288" s="3220" t="s">
        <v>5407</v>
      </c>
      <c r="B288" s="3221"/>
      <c r="C288" s="3221"/>
      <c r="D288" s="3222"/>
    </row>
    <row r="289" spans="1:4" ht="15.75" thickBot="1" x14ac:dyDescent="0.3">
      <c r="A289" s="14" t="s">
        <v>4206</v>
      </c>
      <c r="B289" s="11" t="s">
        <v>5393</v>
      </c>
      <c r="C289" s="164" t="s">
        <v>5395</v>
      </c>
      <c r="D289" s="175" t="s">
        <v>5370</v>
      </c>
    </row>
    <row r="290" spans="1:4" x14ac:dyDescent="0.25">
      <c r="A290" s="283">
        <v>41251</v>
      </c>
      <c r="B290" s="284" t="s">
        <v>5408</v>
      </c>
      <c r="C290" s="285"/>
      <c r="D290" s="392">
        <v>610</v>
      </c>
    </row>
    <row r="291" spans="1:4" x14ac:dyDescent="0.25">
      <c r="A291" s="288">
        <v>41284</v>
      </c>
      <c r="B291" s="203">
        <v>1</v>
      </c>
      <c r="C291" s="289">
        <v>203.33</v>
      </c>
      <c r="D291" s="291">
        <f>D290-C291</f>
        <v>406.66999999999996</v>
      </c>
    </row>
    <row r="292" spans="1:4" x14ac:dyDescent="0.25">
      <c r="A292" s="288">
        <v>41315</v>
      </c>
      <c r="B292" s="208">
        <v>2</v>
      </c>
      <c r="C292" s="290">
        <v>203.333</v>
      </c>
      <c r="D292" s="291">
        <f>D291-C292</f>
        <v>203.33699999999996</v>
      </c>
    </row>
    <row r="293" spans="1:4" ht="15.75" thickBot="1" x14ac:dyDescent="0.3">
      <c r="A293" s="366">
        <v>41343</v>
      </c>
      <c r="B293" s="304">
        <v>3</v>
      </c>
      <c r="C293" s="419">
        <v>203.33</v>
      </c>
      <c r="D293" s="56">
        <v>0</v>
      </c>
    </row>
    <row r="294" spans="1:4" ht="15.75" thickBot="1" x14ac:dyDescent="0.3">
      <c r="A294" s="734" t="s">
        <v>361</v>
      </c>
      <c r="B294" s="735"/>
      <c r="C294" s="343">
        <f>SUM(C291:C293)</f>
        <v>609.99300000000005</v>
      </c>
      <c r="D294" s="292">
        <f>D293</f>
        <v>0</v>
      </c>
    </row>
    <row r="295" spans="1:4" ht="15.75" thickBot="1" x14ac:dyDescent="0.3"/>
    <row r="296" spans="1:4" ht="15.75" thickBot="1" x14ac:dyDescent="0.3">
      <c r="A296" s="8" t="s">
        <v>5409</v>
      </c>
      <c r="B296" s="727"/>
      <c r="C296" s="727"/>
      <c r="D296" s="164"/>
    </row>
    <row r="297" spans="1:4" ht="15.75" thickBot="1" x14ac:dyDescent="0.3">
      <c r="A297" s="14" t="s">
        <v>4206</v>
      </c>
      <c r="B297" s="11" t="s">
        <v>5393</v>
      </c>
      <c r="C297" s="164" t="s">
        <v>5395</v>
      </c>
      <c r="D297" s="175" t="s">
        <v>5370</v>
      </c>
    </row>
    <row r="298" spans="1:4" x14ac:dyDescent="0.25">
      <c r="A298" s="421">
        <v>40670</v>
      </c>
      <c r="B298" s="422" t="s">
        <v>5396</v>
      </c>
      <c r="C298" s="265"/>
      <c r="D298" s="392">
        <v>250</v>
      </c>
    </row>
    <row r="299" spans="1:4" x14ac:dyDescent="0.25">
      <c r="A299" s="423">
        <v>40700</v>
      </c>
      <c r="B299" s="203">
        <v>1</v>
      </c>
      <c r="C299" s="190">
        <v>50</v>
      </c>
      <c r="D299" s="291">
        <f t="shared" ref="D299:D304" si="21">D298-C299</f>
        <v>200</v>
      </c>
    </row>
    <row r="300" spans="1:4" x14ac:dyDescent="0.25">
      <c r="A300" s="424">
        <v>40730</v>
      </c>
      <c r="B300" s="208">
        <v>2</v>
      </c>
      <c r="C300" s="289">
        <v>50</v>
      </c>
      <c r="D300" s="291">
        <f t="shared" si="21"/>
        <v>150</v>
      </c>
    </row>
    <row r="301" spans="1:4" x14ac:dyDescent="0.25">
      <c r="A301" s="424">
        <v>40761</v>
      </c>
      <c r="B301" s="208">
        <v>3</v>
      </c>
      <c r="C301" s="290">
        <v>50</v>
      </c>
      <c r="D301" s="291">
        <f t="shared" si="21"/>
        <v>100</v>
      </c>
    </row>
    <row r="302" spans="1:4" x14ac:dyDescent="0.25">
      <c r="A302" s="424">
        <v>40792</v>
      </c>
      <c r="B302" s="208">
        <v>4</v>
      </c>
      <c r="C302" s="290">
        <v>50</v>
      </c>
      <c r="D302" s="291">
        <f t="shared" si="21"/>
        <v>50</v>
      </c>
    </row>
    <row r="303" spans="1:4" ht="15.75" thickBot="1" x14ac:dyDescent="0.3">
      <c r="A303" s="425">
        <v>40822</v>
      </c>
      <c r="B303" s="304">
        <v>5</v>
      </c>
      <c r="C303" s="419">
        <v>50</v>
      </c>
      <c r="D303" s="426">
        <f t="shared" si="21"/>
        <v>0</v>
      </c>
    </row>
    <row r="304" spans="1:4" ht="15.75" thickBot="1" x14ac:dyDescent="0.3">
      <c r="A304" s="427">
        <v>41351</v>
      </c>
      <c r="B304" s="428" t="s">
        <v>5410</v>
      </c>
      <c r="C304" s="429">
        <v>193.14</v>
      </c>
      <c r="D304" s="430">
        <f t="shared" si="21"/>
        <v>-193.14</v>
      </c>
    </row>
    <row r="305" spans="1:4" ht="15.75" thickBot="1" x14ac:dyDescent="0.3">
      <c r="A305" s="736" t="s">
        <v>772</v>
      </c>
      <c r="B305" s="737"/>
      <c r="C305" s="431">
        <f>SUM(C299:C303)</f>
        <v>250</v>
      </c>
      <c r="D305" s="233">
        <v>0</v>
      </c>
    </row>
    <row r="306" spans="1:4" ht="15.75" thickBot="1" x14ac:dyDescent="0.3"/>
    <row r="307" spans="1:4" ht="15.75" thickBot="1" x14ac:dyDescent="0.3">
      <c r="A307" s="8" t="s">
        <v>5411</v>
      </c>
      <c r="B307" s="727"/>
      <c r="C307" s="727"/>
      <c r="D307" s="164"/>
    </row>
    <row r="308" spans="1:4" ht="15.75" thickBot="1" x14ac:dyDescent="0.3">
      <c r="A308" s="8" t="s">
        <v>4206</v>
      </c>
      <c r="B308" s="11" t="s">
        <v>5393</v>
      </c>
      <c r="C308" s="727" t="s">
        <v>5395</v>
      </c>
      <c r="D308" s="175" t="s">
        <v>5370</v>
      </c>
    </row>
    <row r="309" spans="1:4" x14ac:dyDescent="0.25">
      <c r="A309" s="317">
        <v>41379</v>
      </c>
      <c r="B309" s="245" t="s">
        <v>5412</v>
      </c>
      <c r="C309" s="246"/>
      <c r="D309" s="1548">
        <v>200</v>
      </c>
    </row>
    <row r="310" spans="1:4" x14ac:dyDescent="0.25">
      <c r="A310" s="423">
        <v>41379</v>
      </c>
      <c r="B310" s="443">
        <v>1</v>
      </c>
      <c r="C310" s="444">
        <v>100</v>
      </c>
      <c r="D310" s="447">
        <f>D309-C310</f>
        <v>100</v>
      </c>
    </row>
    <row r="311" spans="1:4" ht="15.75" thickBot="1" x14ac:dyDescent="0.3">
      <c r="A311" s="1499"/>
      <c r="B311" s="445">
        <v>2</v>
      </c>
      <c r="C311" s="446">
        <v>100</v>
      </c>
      <c r="D311" s="1548">
        <f>D310-C311</f>
        <v>0</v>
      </c>
    </row>
    <row r="312" spans="1:4" ht="15.75" thickBot="1" x14ac:dyDescent="0.3">
      <c r="A312" s="730" t="s">
        <v>361</v>
      </c>
      <c r="B312" s="436"/>
      <c r="C312" s="184">
        <f>SUM(C310:C311)</f>
        <v>200</v>
      </c>
      <c r="D312" s="233">
        <f>D310-C311</f>
        <v>0</v>
      </c>
    </row>
    <row r="313" spans="1:4" ht="15.75" thickBot="1" x14ac:dyDescent="0.3"/>
    <row r="314" spans="1:4" ht="15.75" thickBot="1" x14ac:dyDescent="0.3">
      <c r="A314" s="8" t="s">
        <v>5413</v>
      </c>
      <c r="B314" s="727"/>
      <c r="C314" s="727"/>
      <c r="D314" s="164"/>
    </row>
    <row r="315" spans="1:4" ht="15.75" thickBot="1" x14ac:dyDescent="0.3">
      <c r="A315" s="14" t="s">
        <v>4206</v>
      </c>
      <c r="B315" s="15" t="s">
        <v>5393</v>
      </c>
      <c r="C315" s="242" t="s">
        <v>5395</v>
      </c>
      <c r="D315" s="68" t="s">
        <v>5370</v>
      </c>
    </row>
    <row r="316" spans="1:4" x14ac:dyDescent="0.25">
      <c r="A316" s="269"/>
      <c r="B316" s="270"/>
      <c r="C316" s="271"/>
      <c r="D316" s="474">
        <v>1000</v>
      </c>
    </row>
    <row r="317" spans="1:4" x14ac:dyDescent="0.25">
      <c r="A317" s="437">
        <v>40883</v>
      </c>
      <c r="B317" s="438">
        <v>1</v>
      </c>
      <c r="C317" s="158">
        <v>200</v>
      </c>
      <c r="D317" s="191">
        <f>D316-C317</f>
        <v>800</v>
      </c>
    </row>
    <row r="318" spans="1:4" x14ac:dyDescent="0.25">
      <c r="A318" s="439">
        <v>41370</v>
      </c>
      <c r="B318" s="440">
        <v>2</v>
      </c>
      <c r="C318" s="441">
        <v>200</v>
      </c>
      <c r="D318" s="447">
        <f>D317-C318</f>
        <v>600</v>
      </c>
    </row>
    <row r="319" spans="1:4" x14ac:dyDescent="0.25">
      <c r="A319" s="471">
        <v>41400</v>
      </c>
      <c r="B319" s="470">
        <v>3</v>
      </c>
      <c r="C319" s="464">
        <v>200</v>
      </c>
      <c r="D319" s="482">
        <f>D318-C319</f>
        <v>400</v>
      </c>
    </row>
    <row r="320" spans="1:4" x14ac:dyDescent="0.25">
      <c r="A320" s="471">
        <v>41414</v>
      </c>
      <c r="B320" s="470">
        <v>5</v>
      </c>
      <c r="C320" s="464">
        <v>200</v>
      </c>
      <c r="D320" s="472">
        <f>D319-C320</f>
        <v>200</v>
      </c>
    </row>
    <row r="321" spans="1:5" ht="15.75" thickBot="1" x14ac:dyDescent="0.3">
      <c r="A321" s="1549">
        <v>41431</v>
      </c>
      <c r="B321" s="1550">
        <v>6</v>
      </c>
      <c r="C321" s="1551"/>
      <c r="D321" s="1552"/>
      <c r="E321" s="79" t="s">
        <v>5414</v>
      </c>
    </row>
    <row r="322" spans="1:5" ht="15.75" thickBot="1" x14ac:dyDescent="0.3">
      <c r="A322" s="730" t="s">
        <v>361</v>
      </c>
      <c r="B322" s="731"/>
      <c r="C322" s="243">
        <f>SUM(C317:C321)</f>
        <v>800</v>
      </c>
      <c r="D322" s="244">
        <v>0</v>
      </c>
    </row>
    <row r="323" spans="1:5" ht="15.75" thickBot="1" x14ac:dyDescent="0.3"/>
    <row r="324" spans="1:5" ht="15.75" thickBot="1" x14ac:dyDescent="0.3">
      <c r="A324" s="8" t="s">
        <v>5415</v>
      </c>
      <c r="B324" s="727"/>
      <c r="C324" s="727"/>
      <c r="D324" s="164"/>
    </row>
    <row r="325" spans="1:5" ht="15.75" thickBot="1" x14ac:dyDescent="0.3">
      <c r="A325" s="8" t="s">
        <v>4206</v>
      </c>
      <c r="B325" s="11" t="s">
        <v>5393</v>
      </c>
      <c r="C325" s="727" t="s">
        <v>5395</v>
      </c>
      <c r="D325" s="175" t="s">
        <v>5370</v>
      </c>
    </row>
    <row r="326" spans="1:5" x14ac:dyDescent="0.25">
      <c r="A326" s="317">
        <v>41371</v>
      </c>
      <c r="B326" s="245" t="s">
        <v>5408</v>
      </c>
      <c r="C326" s="246"/>
      <c r="D326" s="473">
        <v>326.25</v>
      </c>
    </row>
    <row r="327" spans="1:5" x14ac:dyDescent="0.25">
      <c r="A327" s="476">
        <v>41401</v>
      </c>
      <c r="B327" s="477">
        <v>1</v>
      </c>
      <c r="C327" s="478">
        <v>108.75</v>
      </c>
      <c r="D327" s="473">
        <f>D326-C327</f>
        <v>217.5</v>
      </c>
    </row>
    <row r="328" spans="1:5" x14ac:dyDescent="0.25">
      <c r="A328" s="483">
        <v>41432</v>
      </c>
      <c r="B328" s="445">
        <v>2</v>
      </c>
      <c r="C328" s="446">
        <v>108.75</v>
      </c>
      <c r="D328" s="473">
        <f>D327-C328</f>
        <v>108.75</v>
      </c>
    </row>
    <row r="329" spans="1:5" ht="15.75" thickBot="1" x14ac:dyDescent="0.3">
      <c r="A329" s="483">
        <v>41462</v>
      </c>
      <c r="B329" s="445">
        <v>3</v>
      </c>
      <c r="C329" s="446">
        <v>108.75</v>
      </c>
      <c r="D329" s="485">
        <f>D328-C329</f>
        <v>0</v>
      </c>
    </row>
    <row r="330" spans="1:5" ht="15.75" thickBot="1" x14ac:dyDescent="0.3">
      <c r="A330" s="730" t="s">
        <v>361</v>
      </c>
      <c r="B330" s="436"/>
      <c r="C330" s="184">
        <f>SUM(C327:C329)</f>
        <v>326.25</v>
      </c>
      <c r="D330" s="233">
        <f>D329</f>
        <v>0</v>
      </c>
    </row>
    <row r="331" spans="1:5" ht="15.75" thickBot="1" x14ac:dyDescent="0.3"/>
    <row r="332" spans="1:5" ht="15.75" thickBot="1" x14ac:dyDescent="0.3">
      <c r="A332" s="8" t="s">
        <v>5416</v>
      </c>
      <c r="B332" s="727"/>
      <c r="C332" s="727"/>
      <c r="D332" s="164"/>
    </row>
    <row r="333" spans="1:5" ht="15.75" thickBot="1" x14ac:dyDescent="0.3">
      <c r="A333" s="8" t="s">
        <v>4206</v>
      </c>
      <c r="B333" s="11" t="s">
        <v>5393</v>
      </c>
      <c r="C333" s="727" t="s">
        <v>5395</v>
      </c>
      <c r="D333" s="175" t="s">
        <v>5370</v>
      </c>
    </row>
    <row r="334" spans="1:5" x14ac:dyDescent="0.25">
      <c r="A334" s="317">
        <v>41579</v>
      </c>
      <c r="B334" s="245" t="s">
        <v>5417</v>
      </c>
      <c r="C334" s="246"/>
      <c r="D334" s="473">
        <v>715</v>
      </c>
    </row>
    <row r="335" spans="1:5" x14ac:dyDescent="0.25">
      <c r="A335" s="529">
        <v>41579</v>
      </c>
      <c r="B335" s="530">
        <v>1</v>
      </c>
      <c r="C335" s="478">
        <v>300</v>
      </c>
      <c r="D335" s="473">
        <f>D334-C335</f>
        <v>415</v>
      </c>
    </row>
    <row r="336" spans="1:5" x14ac:dyDescent="0.25">
      <c r="A336" s="543">
        <v>41609</v>
      </c>
      <c r="B336" s="544">
        <v>2</v>
      </c>
      <c r="C336" s="446">
        <v>215</v>
      </c>
      <c r="D336" s="473">
        <f>D335-C336</f>
        <v>200</v>
      </c>
    </row>
    <row r="337" spans="1:4" ht="15.75" thickBot="1" x14ac:dyDescent="0.3">
      <c r="A337" s="543">
        <v>41640</v>
      </c>
      <c r="B337" s="544">
        <v>3</v>
      </c>
      <c r="C337" s="446">
        <v>200</v>
      </c>
      <c r="D337" s="473">
        <f>D336-C337</f>
        <v>0</v>
      </c>
    </row>
    <row r="338" spans="1:4" ht="15.75" thickBot="1" x14ac:dyDescent="0.3">
      <c r="A338" s="730" t="s">
        <v>361</v>
      </c>
      <c r="B338" s="731"/>
      <c r="C338" s="184">
        <f>SUM(C335:C337)</f>
        <v>715</v>
      </c>
      <c r="D338" s="218">
        <f>D337</f>
        <v>0</v>
      </c>
    </row>
    <row r="339" spans="1:4" ht="15.75" thickBot="1" x14ac:dyDescent="0.3">
      <c r="C339" s="81"/>
    </row>
    <row r="340" spans="1:4" ht="15.75" thickBot="1" x14ac:dyDescent="0.3">
      <c r="A340" s="8" t="s">
        <v>5418</v>
      </c>
      <c r="B340" s="727"/>
      <c r="C340" s="727"/>
      <c r="D340" s="164"/>
    </row>
    <row r="341" spans="1:4" ht="15.75" thickBot="1" x14ac:dyDescent="0.3">
      <c r="A341" s="8" t="s">
        <v>4206</v>
      </c>
      <c r="B341" s="11" t="s">
        <v>5393</v>
      </c>
      <c r="C341" s="727" t="s">
        <v>5395</v>
      </c>
      <c r="D341" s="175" t="s">
        <v>5370</v>
      </c>
    </row>
    <row r="342" spans="1:4" x14ac:dyDescent="0.25">
      <c r="A342" s="317">
        <v>41682</v>
      </c>
      <c r="B342" s="245" t="s">
        <v>5419</v>
      </c>
      <c r="C342" s="246"/>
      <c r="D342" s="546">
        <v>3150</v>
      </c>
    </row>
    <row r="343" spans="1:4" x14ac:dyDescent="0.25">
      <c r="A343" s="476">
        <v>41690</v>
      </c>
      <c r="B343" s="477">
        <v>1</v>
      </c>
      <c r="C343" s="478">
        <v>225</v>
      </c>
      <c r="D343" s="447">
        <f t="shared" ref="D343:D349" si="22">D342-C343</f>
        <v>2925</v>
      </c>
    </row>
    <row r="344" spans="1:4" x14ac:dyDescent="0.25">
      <c r="A344" s="476">
        <v>41718</v>
      </c>
      <c r="B344" s="445">
        <v>2</v>
      </c>
      <c r="C344" s="478">
        <v>225</v>
      </c>
      <c r="D344" s="447">
        <f t="shared" si="22"/>
        <v>2700</v>
      </c>
    </row>
    <row r="345" spans="1:4" x14ac:dyDescent="0.25">
      <c r="A345" s="476">
        <v>41749</v>
      </c>
      <c r="B345" s="445">
        <v>3</v>
      </c>
      <c r="C345" s="478">
        <v>225</v>
      </c>
      <c r="D345" s="447">
        <f t="shared" si="22"/>
        <v>2475</v>
      </c>
    </row>
    <row r="346" spans="1:4" x14ac:dyDescent="0.25">
      <c r="A346" s="476">
        <v>41779</v>
      </c>
      <c r="B346" s="445">
        <v>4</v>
      </c>
      <c r="C346" s="478">
        <v>225</v>
      </c>
      <c r="D346" s="447">
        <f t="shared" si="22"/>
        <v>2250</v>
      </c>
    </row>
    <row r="347" spans="1:4" x14ac:dyDescent="0.25">
      <c r="A347" s="476">
        <v>41810</v>
      </c>
      <c r="B347" s="445">
        <v>5</v>
      </c>
      <c r="C347" s="478">
        <v>225</v>
      </c>
      <c r="D347" s="447">
        <f t="shared" si="22"/>
        <v>2025</v>
      </c>
    </row>
    <row r="348" spans="1:4" x14ac:dyDescent="0.25">
      <c r="A348" s="476">
        <v>41840</v>
      </c>
      <c r="B348" s="445">
        <v>6</v>
      </c>
      <c r="C348" s="478">
        <v>225</v>
      </c>
      <c r="D348" s="447">
        <f t="shared" si="22"/>
        <v>1800</v>
      </c>
    </row>
    <row r="349" spans="1:4" x14ac:dyDescent="0.25">
      <c r="A349" s="476">
        <v>41871</v>
      </c>
      <c r="B349" s="445">
        <v>7</v>
      </c>
      <c r="C349" s="478">
        <v>225</v>
      </c>
      <c r="D349" s="447">
        <f t="shared" si="22"/>
        <v>1575</v>
      </c>
    </row>
    <row r="350" spans="1:4" x14ac:dyDescent="0.25">
      <c r="A350" s="476">
        <v>41902</v>
      </c>
      <c r="B350" s="445">
        <v>8</v>
      </c>
      <c r="C350" s="478">
        <v>225</v>
      </c>
      <c r="D350" s="482">
        <f t="shared" ref="D350:D356" si="23">D349-C350</f>
        <v>1350</v>
      </c>
    </row>
    <row r="351" spans="1:4" x14ac:dyDescent="0.25">
      <c r="A351" s="476">
        <v>41932</v>
      </c>
      <c r="B351" s="445">
        <v>9</v>
      </c>
      <c r="C351" s="478">
        <v>225</v>
      </c>
      <c r="D351" s="482">
        <f t="shared" si="23"/>
        <v>1125</v>
      </c>
    </row>
    <row r="352" spans="1:4" x14ac:dyDescent="0.25">
      <c r="A352" s="476">
        <v>41963</v>
      </c>
      <c r="B352" s="445">
        <v>10</v>
      </c>
      <c r="C352" s="478">
        <v>225</v>
      </c>
      <c r="D352" s="482">
        <f t="shared" si="23"/>
        <v>900</v>
      </c>
    </row>
    <row r="353" spans="1:4" x14ac:dyDescent="0.25">
      <c r="A353" s="476">
        <v>41993</v>
      </c>
      <c r="B353" s="445">
        <v>11</v>
      </c>
      <c r="C353" s="478">
        <v>225</v>
      </c>
      <c r="D353" s="482">
        <f t="shared" si="23"/>
        <v>675</v>
      </c>
    </row>
    <row r="354" spans="1:4" x14ac:dyDescent="0.25">
      <c r="A354" s="476">
        <v>42024</v>
      </c>
      <c r="B354" s="445">
        <v>12</v>
      </c>
      <c r="C354" s="478">
        <v>225</v>
      </c>
      <c r="D354" s="482">
        <f t="shared" si="23"/>
        <v>450</v>
      </c>
    </row>
    <row r="355" spans="1:4" x14ac:dyDescent="0.25">
      <c r="A355" s="476">
        <v>42055</v>
      </c>
      <c r="B355" s="445">
        <v>13</v>
      </c>
      <c r="C355" s="478">
        <v>225</v>
      </c>
      <c r="D355" s="482">
        <f t="shared" si="23"/>
        <v>225</v>
      </c>
    </row>
    <row r="356" spans="1:4" ht="15.75" thickBot="1" x14ac:dyDescent="0.3">
      <c r="A356" s="476">
        <v>42083</v>
      </c>
      <c r="B356" s="445">
        <v>14</v>
      </c>
      <c r="C356" s="478">
        <v>225</v>
      </c>
      <c r="D356" s="482">
        <f t="shared" si="23"/>
        <v>0</v>
      </c>
    </row>
    <row r="357" spans="1:4" ht="15.75" thickBot="1" x14ac:dyDescent="0.3">
      <c r="A357" s="730" t="s">
        <v>361</v>
      </c>
      <c r="B357" s="731"/>
      <c r="C357" s="184">
        <f>SUM(C343:C356)</f>
        <v>3150</v>
      </c>
      <c r="D357" s="233">
        <f>D356</f>
        <v>0</v>
      </c>
    </row>
    <row r="360" spans="1:4" ht="15.75" thickBot="1" x14ac:dyDescent="0.3"/>
    <row r="361" spans="1:4" ht="19.5" thickBot="1" x14ac:dyDescent="0.35">
      <c r="A361" s="3233" t="s">
        <v>5420</v>
      </c>
      <c r="B361" s="3234"/>
      <c r="C361" s="3234"/>
      <c r="D361" s="3235"/>
    </row>
    <row r="362" spans="1:4" ht="15.75" thickBot="1" x14ac:dyDescent="0.3">
      <c r="A362" s="639" t="s">
        <v>4206</v>
      </c>
      <c r="B362" s="640" t="s">
        <v>5393</v>
      </c>
      <c r="C362" s="641" t="s">
        <v>5395</v>
      </c>
      <c r="D362" s="642" t="s">
        <v>5370</v>
      </c>
    </row>
    <row r="363" spans="1:4" x14ac:dyDescent="0.25">
      <c r="A363" s="643">
        <v>40732</v>
      </c>
      <c r="B363" s="644" t="s">
        <v>5421</v>
      </c>
      <c r="C363" s="645"/>
      <c r="D363" s="646">
        <v>400</v>
      </c>
    </row>
    <row r="364" spans="1:4" x14ac:dyDescent="0.25">
      <c r="A364" s="647">
        <v>40761</v>
      </c>
      <c r="B364" s="648">
        <v>1</v>
      </c>
      <c r="C364" s="649">
        <v>50</v>
      </c>
      <c r="D364" s="650">
        <f>D363-C364</f>
        <v>350</v>
      </c>
    </row>
    <row r="365" spans="1:4" x14ac:dyDescent="0.25">
      <c r="A365" s="651">
        <v>40792</v>
      </c>
      <c r="B365" s="652">
        <v>2</v>
      </c>
      <c r="C365" s="653">
        <v>50</v>
      </c>
      <c r="D365" s="650">
        <f t="shared" ref="D365:D371" si="24">D364-C365</f>
        <v>300</v>
      </c>
    </row>
    <row r="366" spans="1:4" x14ac:dyDescent="0.25">
      <c r="A366" s="651">
        <v>40822</v>
      </c>
      <c r="B366" s="652">
        <v>3</v>
      </c>
      <c r="C366" s="653">
        <v>50</v>
      </c>
      <c r="D366" s="650">
        <f t="shared" si="24"/>
        <v>250</v>
      </c>
    </row>
    <row r="367" spans="1:4" x14ac:dyDescent="0.25">
      <c r="A367" s="651">
        <v>40853</v>
      </c>
      <c r="B367" s="652">
        <v>4</v>
      </c>
      <c r="C367" s="653">
        <v>50</v>
      </c>
      <c r="D367" s="650">
        <f t="shared" si="24"/>
        <v>200</v>
      </c>
    </row>
    <row r="368" spans="1:4" x14ac:dyDescent="0.25">
      <c r="A368" s="651">
        <v>40883</v>
      </c>
      <c r="B368" s="652">
        <v>5</v>
      </c>
      <c r="C368" s="649">
        <v>50</v>
      </c>
      <c r="D368" s="650">
        <f t="shared" si="24"/>
        <v>150</v>
      </c>
    </row>
    <row r="369" spans="1:4" x14ac:dyDescent="0.25">
      <c r="A369" s="651">
        <v>40914</v>
      </c>
      <c r="B369" s="652">
        <v>6</v>
      </c>
      <c r="C369" s="653">
        <v>50</v>
      </c>
      <c r="D369" s="650">
        <f t="shared" si="24"/>
        <v>100</v>
      </c>
    </row>
    <row r="370" spans="1:4" x14ac:dyDescent="0.25">
      <c r="A370" s="651">
        <v>40945</v>
      </c>
      <c r="B370" s="652">
        <v>7</v>
      </c>
      <c r="C370" s="653">
        <v>50</v>
      </c>
      <c r="D370" s="650">
        <f t="shared" si="24"/>
        <v>50</v>
      </c>
    </row>
    <row r="371" spans="1:4" ht="15.75" thickBot="1" x14ac:dyDescent="0.3">
      <c r="A371" s="654">
        <v>40974</v>
      </c>
      <c r="B371" s="655">
        <v>8</v>
      </c>
      <c r="C371" s="656">
        <v>50</v>
      </c>
      <c r="D371" s="657">
        <f t="shared" si="24"/>
        <v>0</v>
      </c>
    </row>
    <row r="372" spans="1:4" ht="15.75" thickBot="1" x14ac:dyDescent="0.3">
      <c r="A372" s="3212" t="s">
        <v>361</v>
      </c>
      <c r="B372" s="3213"/>
      <c r="C372" s="658">
        <f>SUM(C364:C371)</f>
        <v>400</v>
      </c>
      <c r="D372" s="659">
        <f>D363</f>
        <v>400</v>
      </c>
    </row>
    <row r="375" spans="1:4" x14ac:dyDescent="0.25">
      <c r="A375" s="822" t="s">
        <v>5422</v>
      </c>
      <c r="B375" s="823">
        <v>2100</v>
      </c>
      <c r="C375" s="86"/>
    </row>
    <row r="376" spans="1:4" x14ac:dyDescent="0.25">
      <c r="A376" s="824" t="s">
        <v>5423</v>
      </c>
      <c r="B376" s="825">
        <v>900</v>
      </c>
      <c r="C376" s="86"/>
    </row>
    <row r="377" spans="1:4" x14ac:dyDescent="0.25">
      <c r="A377" s="824" t="s">
        <v>5424</v>
      </c>
      <c r="B377" s="825">
        <f>B375-B376</f>
        <v>1200</v>
      </c>
      <c r="C377" s="86"/>
    </row>
    <row r="378" spans="1:4" x14ac:dyDescent="0.25">
      <c r="A378" s="824" t="s">
        <v>5425</v>
      </c>
      <c r="B378" s="825">
        <f>B377/4</f>
        <v>300</v>
      </c>
      <c r="C378" s="86"/>
    </row>
    <row r="379" spans="1:4" x14ac:dyDescent="0.25">
      <c r="A379" s="1553"/>
      <c r="B379" s="1135"/>
      <c r="C379" s="86"/>
    </row>
    <row r="380" spans="1:4" x14ac:dyDescent="0.25">
      <c r="A380" s="826" t="s">
        <v>5426</v>
      </c>
      <c r="B380" s="826" t="s">
        <v>721</v>
      </c>
      <c r="C380" s="826" t="s">
        <v>5427</v>
      </c>
    </row>
    <row r="381" spans="1:4" x14ac:dyDescent="0.25">
      <c r="A381" s="849" t="s">
        <v>5428</v>
      </c>
      <c r="B381" s="847">
        <v>43200</v>
      </c>
      <c r="C381" s="848">
        <f>B378</f>
        <v>300</v>
      </c>
    </row>
    <row r="382" spans="1:4" x14ac:dyDescent="0.25">
      <c r="A382" s="849" t="s">
        <v>5429</v>
      </c>
      <c r="B382" s="847">
        <v>43230</v>
      </c>
      <c r="C382" s="848">
        <f>B378</f>
        <v>300</v>
      </c>
    </row>
    <row r="383" spans="1:4" x14ac:dyDescent="0.25">
      <c r="A383" s="849" t="s">
        <v>5430</v>
      </c>
      <c r="B383" s="847">
        <v>43261</v>
      </c>
      <c r="C383" s="848">
        <f>B378</f>
        <v>300</v>
      </c>
    </row>
    <row r="384" spans="1:4" x14ac:dyDescent="0.25">
      <c r="A384" s="849" t="s">
        <v>5431</v>
      </c>
      <c r="B384" s="847">
        <v>43291</v>
      </c>
      <c r="C384" s="848">
        <f>B378</f>
        <v>300</v>
      </c>
    </row>
  </sheetData>
  <sortState xmlns:xlrd2="http://schemas.microsoft.com/office/spreadsheetml/2017/richdata2" ref="D4:G15">
    <sortCondition ref="E4:E15"/>
  </sortState>
  <mergeCells count="21">
    <mergeCell ref="D2:G2"/>
    <mergeCell ref="A2:C2"/>
    <mergeCell ref="A361:D361"/>
    <mergeCell ref="A99:B99"/>
    <mergeCell ref="A89:B89"/>
    <mergeCell ref="A79:C79"/>
    <mergeCell ref="A69:C69"/>
    <mergeCell ref="A59:C59"/>
    <mergeCell ref="P13:R13"/>
    <mergeCell ref="A372:B372"/>
    <mergeCell ref="A188:J188"/>
    <mergeCell ref="A189:F189"/>
    <mergeCell ref="A288:D288"/>
    <mergeCell ref="A242:D242"/>
    <mergeCell ref="A233:D233"/>
    <mergeCell ref="A265:D265"/>
    <mergeCell ref="A273:D273"/>
    <mergeCell ref="G32:I32"/>
    <mergeCell ref="F21:I21"/>
    <mergeCell ref="N25:P25"/>
    <mergeCell ref="K28:Q28"/>
  </mergeCells>
  <phoneticPr fontId="16" type="noConversion"/>
  <pageMargins left="1.6" right="0.47244094488188981" top="0.95" bottom="0.15748031496062992" header="0.15748031496062992" footer="0.11811023622047245"/>
  <pageSetup paperSize="9" scale="110" orientation="portrait" r:id="rId1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Planilha24"/>
  <dimension ref="A1:T2950"/>
  <sheetViews>
    <sheetView topLeftCell="A19" workbookViewId="0">
      <selection activeCell="D37" sqref="D37"/>
    </sheetView>
  </sheetViews>
  <sheetFormatPr defaultColWidth="9.140625" defaultRowHeight="15" x14ac:dyDescent="0.25"/>
  <cols>
    <col min="1" max="1" width="11.28515625" style="1247" customWidth="1"/>
    <col min="2" max="2" width="12.42578125" style="1247" customWidth="1"/>
    <col min="3" max="3" width="15.28515625" style="1247" customWidth="1"/>
    <col min="4" max="4" width="49.28515625" style="1247" customWidth="1"/>
    <col min="5" max="5" width="12.140625" style="1247" customWidth="1"/>
    <col min="6" max="6" width="9.5703125" style="1247" customWidth="1"/>
    <col min="7" max="7" width="10.28515625" style="1336" customWidth="1"/>
    <col min="8" max="8" width="10.5703125" style="1247" customWidth="1"/>
    <col min="9" max="9" width="13.28515625" style="1336" customWidth="1"/>
    <col min="10" max="10" width="12.140625" style="1247" customWidth="1"/>
    <col min="11" max="11" width="17.28515625" style="1247" customWidth="1"/>
    <col min="12" max="12" width="21" style="1247" customWidth="1"/>
    <col min="13" max="13" width="23" style="1336" customWidth="1"/>
    <col min="14" max="14" width="4.5703125" style="1247" customWidth="1"/>
    <col min="15" max="15" width="23" style="1336" customWidth="1"/>
    <col min="16" max="16" width="15.42578125" style="1247" customWidth="1"/>
    <col min="17" max="17" width="3.140625" style="1247" customWidth="1"/>
    <col min="18" max="18" width="12.42578125" style="1247" customWidth="1"/>
    <col min="19" max="20" width="12.5703125" style="1247" bestFit="1" customWidth="1"/>
    <col min="21" max="16384" width="9.140625" style="1247"/>
  </cols>
  <sheetData>
    <row r="1" spans="1:16" ht="21.75" thickBot="1" x14ac:dyDescent="0.4">
      <c r="A1" s="3248" t="s">
        <v>8641</v>
      </c>
      <c r="B1" s="3249"/>
      <c r="C1" s="3249"/>
      <c r="D1" s="3249"/>
      <c r="E1" s="3249"/>
      <c r="F1" s="3249"/>
      <c r="G1" s="3249"/>
      <c r="H1" s="3249"/>
      <c r="I1" s="3249"/>
      <c r="J1" s="3249"/>
      <c r="K1" s="3250"/>
      <c r="L1" s="2933"/>
      <c r="M1" s="1944"/>
      <c r="N1" s="1667"/>
      <c r="O1" s="1944"/>
      <c r="P1" s="1667"/>
    </row>
    <row r="2" spans="1:16" s="2858" customFormat="1" ht="33" thickBot="1" x14ac:dyDescent="0.35">
      <c r="A2" s="2855" t="s">
        <v>4206</v>
      </c>
      <c r="B2" s="2856" t="s">
        <v>1945</v>
      </c>
      <c r="C2" s="3251" t="s">
        <v>8343</v>
      </c>
      <c r="D2" s="3252"/>
      <c r="E2" s="2856" t="s">
        <v>7632</v>
      </c>
      <c r="F2" s="2856" t="s">
        <v>8345</v>
      </c>
      <c r="G2" s="2946" t="s">
        <v>8344</v>
      </c>
      <c r="H2" s="2947" t="s">
        <v>8346</v>
      </c>
      <c r="I2" s="2947" t="s">
        <v>8347</v>
      </c>
      <c r="J2" s="2948" t="s">
        <v>8367</v>
      </c>
      <c r="K2" s="2948" t="s">
        <v>5395</v>
      </c>
      <c r="L2" s="2939"/>
      <c r="N2" s="2859"/>
      <c r="O2" s="2860"/>
      <c r="P2" s="2861"/>
    </row>
    <row r="3" spans="1:16" ht="16.5" thickBot="1" x14ac:dyDescent="0.3">
      <c r="A3" s="2465">
        <v>45328</v>
      </c>
      <c r="B3" s="2465" t="s">
        <v>6210</v>
      </c>
      <c r="C3" s="3253" t="s">
        <v>6130</v>
      </c>
      <c r="D3" s="3254"/>
      <c r="E3" s="2466">
        <v>33.979999999999997</v>
      </c>
      <c r="F3" s="2867">
        <v>1</v>
      </c>
      <c r="G3" s="2943">
        <v>1</v>
      </c>
      <c r="H3" s="2944">
        <v>1</v>
      </c>
      <c r="I3" s="2945">
        <f>E3/F3*H3</f>
        <v>33.979999999999997</v>
      </c>
      <c r="J3" s="2934">
        <f>SUM(E3-I3)/E3</f>
        <v>0</v>
      </c>
      <c r="K3" s="2468">
        <f t="shared" ref="K3:K7" si="0">E3/F3</f>
        <v>33.979999999999997</v>
      </c>
      <c r="L3" s="1686" t="s">
        <v>1491</v>
      </c>
      <c r="M3" s="2893" t="s">
        <v>8349</v>
      </c>
      <c r="N3" s="1360"/>
      <c r="O3" s="2894" t="s">
        <v>8348</v>
      </c>
      <c r="P3" s="1336"/>
    </row>
    <row r="4" spans="1:16" ht="15.75" thickBot="1" x14ac:dyDescent="0.3">
      <c r="A4" s="2291">
        <v>45505</v>
      </c>
      <c r="B4" s="2292" t="s">
        <v>6210</v>
      </c>
      <c r="C4" s="3255" t="s">
        <v>7799</v>
      </c>
      <c r="D4" s="3256"/>
      <c r="E4" s="2293">
        <v>43</v>
      </c>
      <c r="F4" s="2868">
        <v>1</v>
      </c>
      <c r="G4" s="2907">
        <v>1</v>
      </c>
      <c r="H4" s="2903">
        <v>1</v>
      </c>
      <c r="I4" s="2927">
        <f>E4/F4*H4</f>
        <v>43</v>
      </c>
      <c r="J4" s="2934">
        <f>SUM(E4-I4)/E4</f>
        <v>0</v>
      </c>
      <c r="K4" s="2714">
        <f t="shared" si="0"/>
        <v>43</v>
      </c>
      <c r="L4" s="1686" t="s">
        <v>1504</v>
      </c>
      <c r="M4" s="2844"/>
      <c r="N4" s="2043"/>
      <c r="O4" s="2008"/>
      <c r="P4" s="1336"/>
    </row>
    <row r="5" spans="1:16" ht="15.75" thickBot="1" x14ac:dyDescent="0.3">
      <c r="A5" s="2291">
        <v>45505</v>
      </c>
      <c r="B5" s="2292" t="s">
        <v>6210</v>
      </c>
      <c r="C5" s="3257" t="s">
        <v>7885</v>
      </c>
      <c r="D5" s="3258"/>
      <c r="E5" s="2293">
        <v>20.9</v>
      </c>
      <c r="F5" s="2868">
        <v>1</v>
      </c>
      <c r="G5" s="2907">
        <v>1</v>
      </c>
      <c r="H5" s="2903">
        <v>1</v>
      </c>
      <c r="I5" s="2927">
        <f t="shared" ref="I5:I7" si="1">E5/F5*H5</f>
        <v>20.9</v>
      </c>
      <c r="J5" s="2934">
        <f t="shared" ref="J5:J7" si="2">SUM(E5-I5)/E5</f>
        <v>0</v>
      </c>
      <c r="K5" s="2714">
        <f t="shared" si="0"/>
        <v>20.9</v>
      </c>
      <c r="L5" s="1686" t="s">
        <v>1504</v>
      </c>
      <c r="M5" s="2892" t="s">
        <v>1524</v>
      </c>
      <c r="N5" s="1360"/>
      <c r="O5" s="2892" t="s">
        <v>1524</v>
      </c>
      <c r="P5" s="1336"/>
    </row>
    <row r="6" spans="1:16" ht="15" customHeight="1" x14ac:dyDescent="0.25">
      <c r="A6" s="2291">
        <v>46035</v>
      </c>
      <c r="B6" s="2292" t="s">
        <v>6210</v>
      </c>
      <c r="C6" s="3257" t="s">
        <v>8727</v>
      </c>
      <c r="D6" s="3258"/>
      <c r="E6" s="2293">
        <v>15</v>
      </c>
      <c r="F6" s="2868">
        <v>1</v>
      </c>
      <c r="G6" s="2907">
        <v>1</v>
      </c>
      <c r="H6" s="2903">
        <v>1</v>
      </c>
      <c r="I6" s="2927">
        <f t="shared" si="1"/>
        <v>15</v>
      </c>
      <c r="J6" s="2934">
        <f t="shared" si="2"/>
        <v>0</v>
      </c>
      <c r="K6" s="2714">
        <f>E6/F6</f>
        <v>15</v>
      </c>
      <c r="L6" s="1686" t="s">
        <v>1504</v>
      </c>
      <c r="M6" s="3259">
        <f>SUMIF(L3:L25,M5,K3:K25)</f>
        <v>430</v>
      </c>
      <c r="O6" s="3259">
        <f>SUMIF(L3:L25,O5,I3:I25)</f>
        <v>860</v>
      </c>
      <c r="P6" s="1336"/>
    </row>
    <row r="7" spans="1:16" ht="15" customHeight="1" thickBot="1" x14ac:dyDescent="0.3">
      <c r="A7" s="2291">
        <v>45936</v>
      </c>
      <c r="B7" s="2292" t="s">
        <v>6210</v>
      </c>
      <c r="C7" s="3261" t="s">
        <v>8330</v>
      </c>
      <c r="D7" s="3262"/>
      <c r="E7" s="2293">
        <v>9.9</v>
      </c>
      <c r="F7" s="2868">
        <v>1</v>
      </c>
      <c r="G7" s="2907">
        <v>1</v>
      </c>
      <c r="H7" s="2903">
        <v>1</v>
      </c>
      <c r="I7" s="2927">
        <f t="shared" si="1"/>
        <v>9.9</v>
      </c>
      <c r="J7" s="2934">
        <f t="shared" si="2"/>
        <v>0</v>
      </c>
      <c r="K7" s="2714">
        <f t="shared" si="0"/>
        <v>9.9</v>
      </c>
      <c r="L7" s="1686" t="s">
        <v>1504</v>
      </c>
      <c r="M7" s="3260"/>
      <c r="N7" s="1360"/>
      <c r="O7" s="3260"/>
      <c r="P7" s="1336"/>
    </row>
    <row r="8" spans="1:16" ht="15" customHeight="1" thickBot="1" x14ac:dyDescent="0.3">
      <c r="A8" s="2711">
        <v>45822</v>
      </c>
      <c r="B8" s="2626" t="s">
        <v>6210</v>
      </c>
      <c r="C8" s="3010" t="s">
        <v>8643</v>
      </c>
      <c r="D8" s="3011"/>
      <c r="E8" s="2712">
        <v>4300</v>
      </c>
      <c r="F8" s="2869">
        <v>10</v>
      </c>
      <c r="G8" s="2907">
        <v>8</v>
      </c>
      <c r="H8" s="2903">
        <f t="shared" ref="H8:H16" si="3">F8-G8</f>
        <v>2</v>
      </c>
      <c r="I8" s="2927">
        <f t="shared" ref="I8:I16" si="4">E8/F8*H8</f>
        <v>860</v>
      </c>
      <c r="J8" s="2934">
        <f t="shared" ref="J8:J15" si="5">SUM(E8-I8)/E8</f>
        <v>0.8</v>
      </c>
      <c r="K8" s="2714">
        <f t="shared" ref="K8:K16" si="6">E8/F8</f>
        <v>430</v>
      </c>
      <c r="L8" s="1247" t="s">
        <v>1524</v>
      </c>
      <c r="M8" s="2890"/>
      <c r="N8" s="2043"/>
      <c r="O8" s="2890"/>
      <c r="P8" s="1336"/>
    </row>
    <row r="9" spans="1:16" ht="15.75" customHeight="1" thickBot="1" x14ac:dyDescent="0.3">
      <c r="A9" s="2974">
        <v>45922</v>
      </c>
      <c r="B9" s="2975" t="s">
        <v>6210</v>
      </c>
      <c r="C9" s="3012" t="s">
        <v>8644</v>
      </c>
      <c r="D9" s="3013"/>
      <c r="E9" s="2976">
        <v>427.19</v>
      </c>
      <c r="F9" s="2977">
        <v>8</v>
      </c>
      <c r="G9" s="2907">
        <v>5</v>
      </c>
      <c r="H9" s="2903">
        <f t="shared" si="3"/>
        <v>3</v>
      </c>
      <c r="I9" s="2927">
        <f t="shared" si="4"/>
        <v>160.19624999999999</v>
      </c>
      <c r="J9" s="2923">
        <f t="shared" si="5"/>
        <v>0.625</v>
      </c>
      <c r="K9" s="2714">
        <f t="shared" si="6"/>
        <v>53.39875</v>
      </c>
      <c r="L9" s="1686" t="s">
        <v>1525</v>
      </c>
      <c r="M9" s="2891" t="s">
        <v>7817</v>
      </c>
      <c r="N9" s="2898"/>
      <c r="O9" s="2891" t="s">
        <v>7817</v>
      </c>
    </row>
    <row r="10" spans="1:16" ht="15" customHeight="1" x14ac:dyDescent="0.25">
      <c r="A10" s="2404">
        <v>45937</v>
      </c>
      <c r="B10" s="2846" t="s">
        <v>8334</v>
      </c>
      <c r="C10" s="2972" t="s">
        <v>8645</v>
      </c>
      <c r="D10" s="2973"/>
      <c r="E10" s="2406">
        <v>754.44</v>
      </c>
      <c r="F10" s="2875">
        <v>10</v>
      </c>
      <c r="G10" s="2910">
        <v>5</v>
      </c>
      <c r="H10" s="2906">
        <f t="shared" si="3"/>
        <v>5</v>
      </c>
      <c r="I10" s="2931">
        <f t="shared" si="4"/>
        <v>377.22</v>
      </c>
      <c r="J10" s="2923">
        <f t="shared" si="5"/>
        <v>0.5</v>
      </c>
      <c r="K10" s="2885">
        <f t="shared" si="6"/>
        <v>75.444000000000003</v>
      </c>
      <c r="L10" s="1247" t="s">
        <v>1525</v>
      </c>
      <c r="M10" s="3238">
        <f>M14-M6</f>
        <v>1591.1522499999999</v>
      </c>
      <c r="N10" s="1336"/>
      <c r="O10" s="3238">
        <f>O14-O6</f>
        <v>5944.9662499999995</v>
      </c>
    </row>
    <row r="11" spans="1:16" ht="15" customHeight="1" thickBot="1" x14ac:dyDescent="0.3">
      <c r="A11" s="2404">
        <v>45937</v>
      </c>
      <c r="B11" s="2846" t="s">
        <v>8334</v>
      </c>
      <c r="C11" s="2972" t="s">
        <v>8646</v>
      </c>
      <c r="D11" s="2973"/>
      <c r="E11" s="2406">
        <v>536.52</v>
      </c>
      <c r="F11" s="2875">
        <v>10</v>
      </c>
      <c r="G11" s="2910">
        <v>5</v>
      </c>
      <c r="H11" s="2906">
        <f t="shared" si="3"/>
        <v>5</v>
      </c>
      <c r="I11" s="2931">
        <f t="shared" si="4"/>
        <v>268.26</v>
      </c>
      <c r="J11" s="2923">
        <f t="shared" si="5"/>
        <v>0.5</v>
      </c>
      <c r="K11" s="2885">
        <f t="shared" si="6"/>
        <v>53.652000000000001</v>
      </c>
      <c r="L11" s="1686" t="s">
        <v>1525</v>
      </c>
      <c r="M11" s="3239"/>
      <c r="N11" s="2889"/>
      <c r="O11" s="3239"/>
    </row>
    <row r="12" spans="1:16" ht="15" customHeight="1" thickBot="1" x14ac:dyDescent="0.3">
      <c r="A12" s="2291">
        <v>45945</v>
      </c>
      <c r="B12" s="2627" t="s">
        <v>6210</v>
      </c>
      <c r="C12" s="2970" t="s">
        <v>8647</v>
      </c>
      <c r="D12" s="2971"/>
      <c r="E12" s="2293">
        <v>3759.7</v>
      </c>
      <c r="F12" s="2868">
        <v>10</v>
      </c>
      <c r="G12" s="2907">
        <v>4</v>
      </c>
      <c r="H12" s="2903">
        <f t="shared" si="3"/>
        <v>6</v>
      </c>
      <c r="I12" s="2927">
        <f t="shared" si="4"/>
        <v>2255.8199999999997</v>
      </c>
      <c r="J12" s="2923">
        <f t="shared" si="5"/>
        <v>0.4</v>
      </c>
      <c r="K12" s="2714">
        <f t="shared" si="6"/>
        <v>375.96999999999997</v>
      </c>
      <c r="L12" s="1686" t="s">
        <v>1525</v>
      </c>
    </row>
    <row r="13" spans="1:16" ht="15" customHeight="1" thickBot="1" x14ac:dyDescent="0.3">
      <c r="A13" s="2284">
        <v>45957</v>
      </c>
      <c r="B13" s="2715" t="s">
        <v>6209</v>
      </c>
      <c r="C13" s="2968" t="s">
        <v>8648</v>
      </c>
      <c r="D13" s="2969"/>
      <c r="E13" s="2286">
        <v>489.9</v>
      </c>
      <c r="F13" s="2873">
        <v>8</v>
      </c>
      <c r="G13" s="2908">
        <v>4</v>
      </c>
      <c r="H13" s="2904">
        <f t="shared" si="3"/>
        <v>4</v>
      </c>
      <c r="I13" s="2928">
        <f t="shared" si="4"/>
        <v>244.95</v>
      </c>
      <c r="J13" s="2955">
        <f t="shared" si="5"/>
        <v>0.5</v>
      </c>
      <c r="K13" s="2725">
        <f t="shared" si="6"/>
        <v>61.237499999999997</v>
      </c>
      <c r="L13" s="1247" t="s">
        <v>1525</v>
      </c>
      <c r="M13" s="2896" t="s">
        <v>8350</v>
      </c>
      <c r="N13" s="2890"/>
      <c r="O13" s="2896" t="s">
        <v>8342</v>
      </c>
    </row>
    <row r="14" spans="1:16" ht="15" customHeight="1" x14ac:dyDescent="0.25">
      <c r="A14" s="2284">
        <v>45965</v>
      </c>
      <c r="B14" s="2715" t="s">
        <v>6209</v>
      </c>
      <c r="C14" s="2968" t="s">
        <v>8649</v>
      </c>
      <c r="D14" s="2969"/>
      <c r="E14" s="2286">
        <v>1695.3</v>
      </c>
      <c r="F14" s="2873">
        <v>5</v>
      </c>
      <c r="G14" s="2908">
        <v>4</v>
      </c>
      <c r="H14" s="2904">
        <f t="shared" si="3"/>
        <v>1</v>
      </c>
      <c r="I14" s="2928">
        <f t="shared" si="4"/>
        <v>339.06</v>
      </c>
      <c r="J14" s="2955">
        <f t="shared" si="5"/>
        <v>0.8</v>
      </c>
      <c r="K14" s="2725">
        <f t="shared" si="6"/>
        <v>339.06</v>
      </c>
      <c r="L14" s="1247" t="s">
        <v>1523</v>
      </c>
      <c r="M14" s="3240">
        <f>SUM(K3:K25)</f>
        <v>2021.1522499999999</v>
      </c>
      <c r="N14" s="1336"/>
      <c r="O14" s="3240">
        <f>SUM(I3:I25)</f>
        <v>6804.9662499999995</v>
      </c>
    </row>
    <row r="15" spans="1:16" ht="15" customHeight="1" thickBot="1" x14ac:dyDescent="0.3">
      <c r="A15" s="2291">
        <v>45968</v>
      </c>
      <c r="B15" s="2627" t="s">
        <v>6210</v>
      </c>
      <c r="C15" s="2970" t="s">
        <v>8650</v>
      </c>
      <c r="D15" s="2971"/>
      <c r="E15" s="2293">
        <v>452.7</v>
      </c>
      <c r="F15" s="2868">
        <v>5</v>
      </c>
      <c r="G15" s="2907">
        <v>3</v>
      </c>
      <c r="H15" s="2903">
        <f t="shared" si="3"/>
        <v>2</v>
      </c>
      <c r="I15" s="2927">
        <f t="shared" si="4"/>
        <v>181.07999999999998</v>
      </c>
      <c r="J15" s="2923">
        <f t="shared" si="5"/>
        <v>0.6</v>
      </c>
      <c r="K15" s="2714">
        <f t="shared" si="6"/>
        <v>90.539999999999992</v>
      </c>
      <c r="L15" s="1247" t="s">
        <v>1523</v>
      </c>
      <c r="M15" s="3241"/>
      <c r="N15" s="1360"/>
      <c r="O15" s="3241"/>
    </row>
    <row r="16" spans="1:16" ht="15" customHeight="1" x14ac:dyDescent="0.25">
      <c r="A16" s="2284">
        <v>45979</v>
      </c>
      <c r="B16" s="2715" t="s">
        <v>6209</v>
      </c>
      <c r="C16" s="2968" t="s">
        <v>8651</v>
      </c>
      <c r="D16" s="2969"/>
      <c r="E16" s="2286">
        <v>211.64</v>
      </c>
      <c r="F16" s="2873">
        <v>4</v>
      </c>
      <c r="G16" s="2908">
        <v>3</v>
      </c>
      <c r="H16" s="2904">
        <f t="shared" si="3"/>
        <v>1</v>
      </c>
      <c r="I16" s="2928">
        <f t="shared" si="4"/>
        <v>52.91</v>
      </c>
      <c r="J16" s="2955">
        <f t="shared" ref="J16" si="7">SUM(E16-I16)/E16</f>
        <v>0.75</v>
      </c>
      <c r="K16" s="2725">
        <f t="shared" si="6"/>
        <v>52.91</v>
      </c>
      <c r="L16" s="1247" t="s">
        <v>1506</v>
      </c>
      <c r="M16" s="2890"/>
      <c r="N16" s="2890"/>
      <c r="O16" s="2890"/>
    </row>
    <row r="17" spans="1:16" ht="15.75" customHeight="1" thickBot="1" x14ac:dyDescent="0.3">
      <c r="A17" s="2291">
        <v>46014</v>
      </c>
      <c r="B17" s="2627" t="s">
        <v>6210</v>
      </c>
      <c r="C17" s="3257" t="s">
        <v>8652</v>
      </c>
      <c r="D17" s="3258"/>
      <c r="E17" s="2293">
        <v>986.59</v>
      </c>
      <c r="F17" s="2868">
        <v>5</v>
      </c>
      <c r="G17" s="2907">
        <v>2</v>
      </c>
      <c r="H17" s="2903">
        <f t="shared" ref="H17:H18" si="8">F17-G17</f>
        <v>3</v>
      </c>
      <c r="I17" s="2927">
        <f t="shared" ref="I17:I18" si="9">E17/F17*H17</f>
        <v>591.95400000000006</v>
      </c>
      <c r="J17" s="2923">
        <f>SUM(E17-I17)/E17</f>
        <v>0.39999999999999997</v>
      </c>
      <c r="K17" s="2714">
        <f t="shared" ref="K17:K18" si="10">E17/F17</f>
        <v>197.31800000000001</v>
      </c>
      <c r="L17" s="1247" t="s">
        <v>1523</v>
      </c>
      <c r="M17" s="2938"/>
    </row>
    <row r="18" spans="1:16" ht="15" customHeight="1" thickBot="1" x14ac:dyDescent="0.3">
      <c r="A18" s="2404">
        <v>46027</v>
      </c>
      <c r="B18" s="3015" t="s">
        <v>8334</v>
      </c>
      <c r="C18" s="3246" t="s">
        <v>8692</v>
      </c>
      <c r="D18" s="3247"/>
      <c r="E18" s="2406">
        <v>1688.42</v>
      </c>
      <c r="F18" s="2875">
        <v>10</v>
      </c>
      <c r="G18" s="2910">
        <v>2</v>
      </c>
      <c r="H18" s="2906">
        <f t="shared" si="8"/>
        <v>8</v>
      </c>
      <c r="I18" s="2931">
        <f t="shared" si="9"/>
        <v>1350.7360000000001</v>
      </c>
      <c r="J18" s="2923">
        <f t="shared" ref="J18" si="11">SUM(E18-I18)/E18</f>
        <v>0.19999999999999998</v>
      </c>
      <c r="K18" s="2885">
        <f t="shared" si="10"/>
        <v>168.84200000000001</v>
      </c>
      <c r="L18" s="1247" t="s">
        <v>1525</v>
      </c>
      <c r="M18" s="2899" t="s">
        <v>6210</v>
      </c>
      <c r="N18" s="2011"/>
      <c r="O18" s="2900" t="s">
        <v>6209</v>
      </c>
    </row>
    <row r="19" spans="1:16" ht="15" customHeight="1" x14ac:dyDescent="0.25">
      <c r="A19" s="2291"/>
      <c r="B19" s="2627"/>
      <c r="C19" s="3257"/>
      <c r="D19" s="3258"/>
      <c r="E19" s="2293"/>
      <c r="F19" s="2868"/>
      <c r="G19" s="2907"/>
      <c r="H19" s="2903"/>
      <c r="I19" s="2927"/>
      <c r="J19" s="2923"/>
      <c r="K19" s="2714"/>
      <c r="M19" s="3265">
        <f>SUMIF(B3:B25,M18,K3:K25)</f>
        <v>1270.0067499999998</v>
      </c>
      <c r="N19" s="2897"/>
      <c r="O19" s="3267">
        <f>SUMIF(B3:B25,O18,K3:K25)</f>
        <v>453.20749999999998</v>
      </c>
    </row>
    <row r="20" spans="1:16" ht="15" customHeight="1" thickBot="1" x14ac:dyDescent="0.3">
      <c r="A20" s="2291"/>
      <c r="B20" s="2627"/>
      <c r="C20" s="3257"/>
      <c r="D20" s="3258"/>
      <c r="E20" s="2293"/>
      <c r="F20" s="2868"/>
      <c r="G20" s="2907"/>
      <c r="H20" s="2903"/>
      <c r="I20" s="2927"/>
      <c r="J20" s="2923"/>
      <c r="K20" s="2714"/>
      <c r="M20" s="3266"/>
      <c r="N20" s="2897"/>
      <c r="O20" s="3268"/>
      <c r="P20" s="1336"/>
    </row>
    <row r="21" spans="1:16" ht="15" customHeight="1" thickBot="1" x14ac:dyDescent="0.3">
      <c r="A21" s="2291"/>
      <c r="B21" s="2627"/>
      <c r="C21" s="3257"/>
      <c r="D21" s="3258"/>
      <c r="E21" s="2293"/>
      <c r="F21" s="2868"/>
      <c r="G21" s="2907"/>
      <c r="H21" s="2903"/>
      <c r="I21" s="2927"/>
      <c r="J21" s="2923"/>
      <c r="K21" s="2714"/>
      <c r="M21" s="2890"/>
      <c r="N21" s="2895"/>
      <c r="P21" s="1336"/>
    </row>
    <row r="22" spans="1:16" ht="15" customHeight="1" thickBot="1" x14ac:dyDescent="0.3">
      <c r="A22" s="2291"/>
      <c r="B22" s="2627"/>
      <c r="C22" s="3257"/>
      <c r="D22" s="3258"/>
      <c r="E22" s="2293"/>
      <c r="F22" s="2868"/>
      <c r="G22" s="2907"/>
      <c r="H22" s="2903"/>
      <c r="I22" s="2927"/>
      <c r="J22" s="2923"/>
      <c r="K22" s="2714"/>
      <c r="M22" s="2901" t="s">
        <v>8334</v>
      </c>
      <c r="N22" s="2887"/>
      <c r="O22" s="2902" t="s">
        <v>8310</v>
      </c>
      <c r="P22" s="1336"/>
    </row>
    <row r="23" spans="1:16" ht="15" customHeight="1" x14ac:dyDescent="0.25">
      <c r="A23" s="2291"/>
      <c r="B23" s="2627"/>
      <c r="C23" s="3257"/>
      <c r="D23" s="3258"/>
      <c r="E23" s="2293"/>
      <c r="F23" s="2868"/>
      <c r="G23" s="2907"/>
      <c r="H23" s="2903"/>
      <c r="I23" s="2927"/>
      <c r="J23" s="2923"/>
      <c r="K23" s="2714"/>
      <c r="M23" s="3269">
        <f>SUMIF(B3:B25,M22,K3:K25)</f>
        <v>297.93799999999999</v>
      </c>
      <c r="N23" s="2887"/>
      <c r="O23" s="3271">
        <f>SUMIF(B3:B25,O22,K3:K25)</f>
        <v>0</v>
      </c>
      <c r="P23" s="1336"/>
    </row>
    <row r="24" spans="1:16" ht="15.75" customHeight="1" thickBot="1" x14ac:dyDescent="0.3">
      <c r="A24" s="2291"/>
      <c r="B24" s="2627"/>
      <c r="C24" s="3257"/>
      <c r="D24" s="3258"/>
      <c r="E24" s="2293"/>
      <c r="F24" s="2868"/>
      <c r="G24" s="2907"/>
      <c r="H24" s="2903"/>
      <c r="I24" s="2927"/>
      <c r="J24" s="2923"/>
      <c r="K24" s="2714"/>
      <c r="M24" s="3270"/>
      <c r="N24" s="2887"/>
      <c r="O24" s="3272"/>
      <c r="P24" s="1336"/>
    </row>
    <row r="25" spans="1:16" ht="15" customHeight="1" x14ac:dyDescent="0.25">
      <c r="M25" s="2938"/>
      <c r="N25" s="2887"/>
      <c r="O25" s="2888"/>
      <c r="P25" s="1336"/>
    </row>
    <row r="26" spans="1:16" ht="15.75" thickBot="1" x14ac:dyDescent="0.3">
      <c r="L26" s="2932"/>
      <c r="M26" s="2316"/>
      <c r="N26" s="2043"/>
      <c r="P26" s="1336"/>
    </row>
    <row r="27" spans="1:16" ht="21.75" thickBot="1" x14ac:dyDescent="0.4">
      <c r="A27" s="3248" t="s">
        <v>8590</v>
      </c>
      <c r="B27" s="3249"/>
      <c r="C27" s="3249"/>
      <c r="D27" s="3249"/>
      <c r="E27" s="3249"/>
      <c r="F27" s="3249"/>
      <c r="G27" s="3249"/>
      <c r="H27" s="3249"/>
      <c r="I27" s="3249"/>
      <c r="J27" s="3249"/>
      <c r="K27" s="3250"/>
      <c r="L27" s="2933"/>
      <c r="M27" s="1944"/>
      <c r="N27" s="1667"/>
      <c r="O27" s="1944"/>
      <c r="P27" s="1667"/>
    </row>
    <row r="28" spans="1:16" s="2858" customFormat="1" ht="33" thickBot="1" x14ac:dyDescent="0.35">
      <c r="A28" s="2855" t="s">
        <v>4206</v>
      </c>
      <c r="B28" s="2856" t="s">
        <v>1945</v>
      </c>
      <c r="C28" s="3251" t="s">
        <v>8343</v>
      </c>
      <c r="D28" s="3252"/>
      <c r="E28" s="2856" t="s">
        <v>7632</v>
      </c>
      <c r="F28" s="2856" t="s">
        <v>8345</v>
      </c>
      <c r="G28" s="2946" t="s">
        <v>8344</v>
      </c>
      <c r="H28" s="2947" t="s">
        <v>8346</v>
      </c>
      <c r="I28" s="2947" t="s">
        <v>8347</v>
      </c>
      <c r="J28" s="2948" t="s">
        <v>8367</v>
      </c>
      <c r="K28" s="2948" t="s">
        <v>5395</v>
      </c>
      <c r="L28" s="2939"/>
      <c r="N28" s="2859"/>
      <c r="O28" s="2860"/>
      <c r="P28" s="2861"/>
    </row>
    <row r="29" spans="1:16" ht="16.5" thickBot="1" x14ac:dyDescent="0.3">
      <c r="A29" s="2465">
        <v>45328</v>
      </c>
      <c r="B29" s="2465" t="s">
        <v>6210</v>
      </c>
      <c r="C29" s="3253" t="s">
        <v>6130</v>
      </c>
      <c r="D29" s="3254"/>
      <c r="E29" s="2466">
        <v>33.979999999999997</v>
      </c>
      <c r="F29" s="2867">
        <v>1</v>
      </c>
      <c r="G29" s="2943">
        <v>1</v>
      </c>
      <c r="H29" s="2944">
        <v>1</v>
      </c>
      <c r="I29" s="2945">
        <f>E29/F29*H29</f>
        <v>33.979999999999997</v>
      </c>
      <c r="J29" s="2934">
        <f>SUM(E29-I29)/E29</f>
        <v>0</v>
      </c>
      <c r="K29" s="2468">
        <f t="shared" ref="K29:K35" si="12">E29/F29</f>
        <v>33.979999999999997</v>
      </c>
      <c r="L29" s="1686" t="s">
        <v>1491</v>
      </c>
      <c r="M29" s="2893" t="s">
        <v>8349</v>
      </c>
      <c r="N29" s="1360"/>
      <c r="O29" s="2894" t="s">
        <v>8348</v>
      </c>
      <c r="P29" s="1336"/>
    </row>
    <row r="30" spans="1:16" ht="15.75" thickBot="1" x14ac:dyDescent="0.3">
      <c r="A30" s="2291">
        <v>45505</v>
      </c>
      <c r="B30" s="2292" t="s">
        <v>6210</v>
      </c>
      <c r="C30" s="3255" t="s">
        <v>7799</v>
      </c>
      <c r="D30" s="3256"/>
      <c r="E30" s="2293">
        <v>43</v>
      </c>
      <c r="F30" s="2868">
        <v>1</v>
      </c>
      <c r="G30" s="2907">
        <v>1</v>
      </c>
      <c r="H30" s="2903">
        <v>1</v>
      </c>
      <c r="I30" s="2927">
        <f>E30/F30*H30</f>
        <v>43</v>
      </c>
      <c r="J30" s="2934">
        <f>SUM(E30-I30)/E30</f>
        <v>0</v>
      </c>
      <c r="K30" s="2714">
        <f t="shared" si="12"/>
        <v>43</v>
      </c>
      <c r="L30" s="1686" t="s">
        <v>1504</v>
      </c>
      <c r="M30" s="2844"/>
      <c r="N30" s="2043"/>
      <c r="O30" s="2008"/>
      <c r="P30" s="1336"/>
    </row>
    <row r="31" spans="1:16" ht="15.75" thickBot="1" x14ac:dyDescent="0.3">
      <c r="A31" s="2291">
        <v>45505</v>
      </c>
      <c r="B31" s="2292" t="s">
        <v>6210</v>
      </c>
      <c r="C31" s="3257" t="s">
        <v>7885</v>
      </c>
      <c r="D31" s="3258"/>
      <c r="E31" s="2293">
        <v>20.9</v>
      </c>
      <c r="F31" s="2868">
        <v>1</v>
      </c>
      <c r="G31" s="2907">
        <v>1</v>
      </c>
      <c r="H31" s="2903">
        <v>1</v>
      </c>
      <c r="I31" s="2927">
        <f t="shared" ref="I31:I35" si="13">E31/F31*H31</f>
        <v>20.9</v>
      </c>
      <c r="J31" s="2934">
        <f t="shared" ref="J31:J34" si="14">SUM(E31-I31)/E31</f>
        <v>0</v>
      </c>
      <c r="K31" s="2714">
        <f t="shared" si="12"/>
        <v>20.9</v>
      </c>
      <c r="L31" s="1686" t="s">
        <v>1504</v>
      </c>
      <c r="M31" s="2892" t="s">
        <v>1524</v>
      </c>
      <c r="N31" s="1360"/>
      <c r="O31" s="2892" t="s">
        <v>1524</v>
      </c>
      <c r="P31" s="1336"/>
    </row>
    <row r="32" spans="1:16" ht="15" customHeight="1" x14ac:dyDescent="0.25">
      <c r="A32" s="2291">
        <v>46035</v>
      </c>
      <c r="B32" s="2292" t="s">
        <v>6210</v>
      </c>
      <c r="C32" s="3257" t="s">
        <v>8727</v>
      </c>
      <c r="D32" s="3258"/>
      <c r="E32" s="2293">
        <v>15</v>
      </c>
      <c r="F32" s="2868">
        <v>1</v>
      </c>
      <c r="G32" s="2907">
        <v>1</v>
      </c>
      <c r="H32" s="2903">
        <v>1</v>
      </c>
      <c r="I32" s="2927">
        <f t="shared" si="13"/>
        <v>15</v>
      </c>
      <c r="J32" s="2934">
        <f t="shared" si="14"/>
        <v>0</v>
      </c>
      <c r="K32" s="2714">
        <f>E32/F32</f>
        <v>15</v>
      </c>
      <c r="L32" s="1686" t="s">
        <v>1504</v>
      </c>
      <c r="M32" s="3259">
        <f>SUMIF(L29:L51,M31,K29:K51)</f>
        <v>548.13599999999997</v>
      </c>
      <c r="O32" s="3259">
        <f>SUMIF(L29:L51,O31,I29:I51)</f>
        <v>1408.136</v>
      </c>
      <c r="P32" s="1336"/>
    </row>
    <row r="33" spans="1:16" ht="15" customHeight="1" thickBot="1" x14ac:dyDescent="0.3">
      <c r="A33" s="2291">
        <v>45936</v>
      </c>
      <c r="B33" s="2292" t="s">
        <v>6210</v>
      </c>
      <c r="C33" s="3261" t="s">
        <v>8330</v>
      </c>
      <c r="D33" s="3262"/>
      <c r="E33" s="2293">
        <v>9.9</v>
      </c>
      <c r="F33" s="2868">
        <v>1</v>
      </c>
      <c r="G33" s="2907">
        <v>1</v>
      </c>
      <c r="H33" s="2903">
        <v>1</v>
      </c>
      <c r="I33" s="2927">
        <f t="shared" si="13"/>
        <v>9.9</v>
      </c>
      <c r="J33" s="2934">
        <f t="shared" si="14"/>
        <v>0</v>
      </c>
      <c r="K33" s="2714">
        <f t="shared" si="12"/>
        <v>9.9</v>
      </c>
      <c r="L33" s="1686" t="s">
        <v>1504</v>
      </c>
      <c r="M33" s="3260"/>
      <c r="N33" s="1360"/>
      <c r="O33" s="3260"/>
      <c r="P33" s="1336"/>
    </row>
    <row r="34" spans="1:16" ht="15" customHeight="1" thickBot="1" x14ac:dyDescent="0.3">
      <c r="A34" s="2711">
        <v>45789</v>
      </c>
      <c r="B34" s="2626" t="s">
        <v>6210</v>
      </c>
      <c r="C34" s="3242" t="s">
        <v>8591</v>
      </c>
      <c r="D34" s="3243"/>
      <c r="E34" s="2712">
        <v>1181.3599999999999</v>
      </c>
      <c r="F34" s="2869">
        <v>10</v>
      </c>
      <c r="G34" s="2907">
        <v>9</v>
      </c>
      <c r="H34" s="2903">
        <f t="shared" ref="H34:H35" si="15">F34-G34</f>
        <v>1</v>
      </c>
      <c r="I34" s="2927">
        <f t="shared" si="13"/>
        <v>118.136</v>
      </c>
      <c r="J34" s="2934">
        <f t="shared" si="14"/>
        <v>0.9</v>
      </c>
      <c r="K34" s="2714">
        <f t="shared" si="12"/>
        <v>118.136</v>
      </c>
      <c r="L34" s="1247" t="s">
        <v>1524</v>
      </c>
      <c r="M34" s="2890"/>
      <c r="N34" s="2043"/>
      <c r="O34" s="2890"/>
      <c r="P34" s="1336"/>
    </row>
    <row r="35" spans="1:16" ht="15.75" customHeight="1" thickBot="1" x14ac:dyDescent="0.3">
      <c r="A35" s="2711">
        <v>45822</v>
      </c>
      <c r="B35" s="2626" t="s">
        <v>6210</v>
      </c>
      <c r="C35" s="3242" t="s">
        <v>8592</v>
      </c>
      <c r="D35" s="3243"/>
      <c r="E35" s="2712">
        <v>4300</v>
      </c>
      <c r="F35" s="2869">
        <v>10</v>
      </c>
      <c r="G35" s="2907">
        <v>7</v>
      </c>
      <c r="H35" s="2903">
        <f t="shared" si="15"/>
        <v>3</v>
      </c>
      <c r="I35" s="2927">
        <f t="shared" si="13"/>
        <v>1290</v>
      </c>
      <c r="J35" s="2934">
        <f t="shared" ref="J35:J43" si="16">SUM(E35-I35)/E35</f>
        <v>0.7</v>
      </c>
      <c r="K35" s="2714">
        <f t="shared" si="12"/>
        <v>430</v>
      </c>
      <c r="L35" s="1247" t="s">
        <v>1524</v>
      </c>
      <c r="M35" s="2891" t="s">
        <v>7817</v>
      </c>
      <c r="N35" s="2898"/>
      <c r="O35" s="2891" t="s">
        <v>7817</v>
      </c>
    </row>
    <row r="36" spans="1:16" ht="15" customHeight="1" x14ac:dyDescent="0.25">
      <c r="A36" s="2974">
        <v>45922</v>
      </c>
      <c r="B36" s="2975" t="s">
        <v>6210</v>
      </c>
      <c r="C36" s="3263" t="s">
        <v>8593</v>
      </c>
      <c r="D36" s="3264"/>
      <c r="E36" s="2976">
        <v>427.19</v>
      </c>
      <c r="F36" s="2977">
        <v>8</v>
      </c>
      <c r="G36" s="2907">
        <v>4</v>
      </c>
      <c r="H36" s="2903">
        <f t="shared" ref="H36:H44" si="17">F36-G36</f>
        <v>4</v>
      </c>
      <c r="I36" s="2927">
        <f t="shared" ref="I36:I44" si="18">E36/F36*H36</f>
        <v>213.595</v>
      </c>
      <c r="J36" s="2923">
        <f t="shared" si="16"/>
        <v>0.5</v>
      </c>
      <c r="K36" s="2714">
        <f t="shared" ref="K36:K44" si="19">E36/F36</f>
        <v>53.39875</v>
      </c>
      <c r="L36" s="1686" t="s">
        <v>1525</v>
      </c>
      <c r="M36" s="3238">
        <f>M40-M32</f>
        <v>1969.1622499999999</v>
      </c>
      <c r="N36" s="1336"/>
      <c r="O36" s="3238">
        <f>O40-O32</f>
        <v>7700.8084999999992</v>
      </c>
    </row>
    <row r="37" spans="1:16" ht="15" customHeight="1" thickBot="1" x14ac:dyDescent="0.3">
      <c r="A37" s="2404">
        <v>45937</v>
      </c>
      <c r="B37" s="2846" t="s">
        <v>8334</v>
      </c>
      <c r="C37" s="2972" t="s">
        <v>8594</v>
      </c>
      <c r="D37" s="2973"/>
      <c r="E37" s="2406">
        <v>754.44</v>
      </c>
      <c r="F37" s="2875">
        <v>10</v>
      </c>
      <c r="G37" s="2910">
        <v>4</v>
      </c>
      <c r="H37" s="2906">
        <f t="shared" si="17"/>
        <v>6</v>
      </c>
      <c r="I37" s="2931">
        <f t="shared" si="18"/>
        <v>452.66399999999999</v>
      </c>
      <c r="J37" s="2923">
        <f t="shared" si="16"/>
        <v>0.40000000000000008</v>
      </c>
      <c r="K37" s="2885">
        <f t="shared" si="19"/>
        <v>75.444000000000003</v>
      </c>
      <c r="L37" s="1247" t="s">
        <v>1525</v>
      </c>
      <c r="M37" s="3239"/>
      <c r="N37" s="2889"/>
      <c r="O37" s="3239"/>
    </row>
    <row r="38" spans="1:16" ht="15" customHeight="1" thickBot="1" x14ac:dyDescent="0.3">
      <c r="A38" s="2404">
        <v>45937</v>
      </c>
      <c r="B38" s="2846" t="s">
        <v>8334</v>
      </c>
      <c r="C38" s="2972" t="s">
        <v>8595</v>
      </c>
      <c r="D38" s="2973"/>
      <c r="E38" s="2406">
        <v>536.52</v>
      </c>
      <c r="F38" s="2875">
        <v>10</v>
      </c>
      <c r="G38" s="2910">
        <v>4</v>
      </c>
      <c r="H38" s="2906">
        <f t="shared" si="17"/>
        <v>6</v>
      </c>
      <c r="I38" s="2931">
        <f t="shared" si="18"/>
        <v>321.91200000000003</v>
      </c>
      <c r="J38" s="2923">
        <f t="shared" si="16"/>
        <v>0.39999999999999991</v>
      </c>
      <c r="K38" s="2885">
        <f t="shared" si="19"/>
        <v>53.652000000000001</v>
      </c>
      <c r="L38" s="1686" t="s">
        <v>1525</v>
      </c>
    </row>
    <row r="39" spans="1:16" ht="15" customHeight="1" thickBot="1" x14ac:dyDescent="0.3">
      <c r="A39" s="2291">
        <v>45945</v>
      </c>
      <c r="B39" s="2627" t="s">
        <v>6210</v>
      </c>
      <c r="C39" s="2970" t="s">
        <v>8596</v>
      </c>
      <c r="D39" s="2971"/>
      <c r="E39" s="2293">
        <v>3759.7</v>
      </c>
      <c r="F39" s="2868">
        <v>10</v>
      </c>
      <c r="G39" s="2907">
        <v>3</v>
      </c>
      <c r="H39" s="2903">
        <f t="shared" si="17"/>
        <v>7</v>
      </c>
      <c r="I39" s="2927">
        <f t="shared" si="18"/>
        <v>2631.79</v>
      </c>
      <c r="J39" s="2923">
        <f t="shared" si="16"/>
        <v>0.3</v>
      </c>
      <c r="K39" s="2714">
        <f t="shared" si="19"/>
        <v>375.96999999999997</v>
      </c>
      <c r="L39" s="1686" t="s">
        <v>1525</v>
      </c>
      <c r="M39" s="2896" t="s">
        <v>8350</v>
      </c>
      <c r="N39" s="2890"/>
      <c r="O39" s="2896" t="s">
        <v>8342</v>
      </c>
    </row>
    <row r="40" spans="1:16" ht="15" customHeight="1" x14ac:dyDescent="0.25">
      <c r="A40" s="2284">
        <v>45957</v>
      </c>
      <c r="B40" s="2715" t="s">
        <v>6209</v>
      </c>
      <c r="C40" s="2968" t="s">
        <v>8598</v>
      </c>
      <c r="D40" s="2969"/>
      <c r="E40" s="2286">
        <v>489.9</v>
      </c>
      <c r="F40" s="2873">
        <v>8</v>
      </c>
      <c r="G40" s="2908">
        <v>3</v>
      </c>
      <c r="H40" s="2904">
        <f t="shared" si="17"/>
        <v>5</v>
      </c>
      <c r="I40" s="2928">
        <f t="shared" si="18"/>
        <v>306.1875</v>
      </c>
      <c r="J40" s="2955">
        <f t="shared" si="16"/>
        <v>0.37499999999999994</v>
      </c>
      <c r="K40" s="2725">
        <f t="shared" si="19"/>
        <v>61.237499999999997</v>
      </c>
      <c r="L40" s="1247" t="s">
        <v>1525</v>
      </c>
      <c r="M40" s="3240">
        <f>SUM(K29:K51)</f>
        <v>2517.2982499999998</v>
      </c>
      <c r="N40" s="1336"/>
      <c r="O40" s="3240">
        <f>SUM(I29:I51)</f>
        <v>9108.9444999999996</v>
      </c>
    </row>
    <row r="41" spans="1:16" ht="15" customHeight="1" thickBot="1" x14ac:dyDescent="0.3">
      <c r="A41" s="2284">
        <v>45965</v>
      </c>
      <c r="B41" s="2715" t="s">
        <v>6209</v>
      </c>
      <c r="C41" s="3244" t="s">
        <v>8599</v>
      </c>
      <c r="D41" s="3245"/>
      <c r="E41" s="2286">
        <v>1695.3</v>
      </c>
      <c r="F41" s="2873">
        <v>5</v>
      </c>
      <c r="G41" s="2908">
        <v>3</v>
      </c>
      <c r="H41" s="2904">
        <f t="shared" si="17"/>
        <v>2</v>
      </c>
      <c r="I41" s="2928">
        <f t="shared" si="18"/>
        <v>678.12</v>
      </c>
      <c r="J41" s="2955">
        <f t="shared" si="16"/>
        <v>0.6</v>
      </c>
      <c r="K41" s="2725">
        <f t="shared" si="19"/>
        <v>339.06</v>
      </c>
      <c r="L41" s="1247" t="s">
        <v>1523</v>
      </c>
      <c r="M41" s="3241"/>
      <c r="N41" s="1360"/>
      <c r="O41" s="3241"/>
    </row>
    <row r="42" spans="1:16" ht="15" customHeight="1" x14ac:dyDescent="0.25">
      <c r="A42" s="2291">
        <v>45968</v>
      </c>
      <c r="B42" s="2627" t="s">
        <v>6210</v>
      </c>
      <c r="C42" s="3257" t="s">
        <v>8600</v>
      </c>
      <c r="D42" s="3258"/>
      <c r="E42" s="2293">
        <v>452.7</v>
      </c>
      <c r="F42" s="2868">
        <v>5</v>
      </c>
      <c r="G42" s="2907">
        <v>3</v>
      </c>
      <c r="H42" s="2903">
        <f t="shared" si="17"/>
        <v>2</v>
      </c>
      <c r="I42" s="2927">
        <f t="shared" si="18"/>
        <v>181.07999999999998</v>
      </c>
      <c r="J42" s="2923">
        <f t="shared" si="16"/>
        <v>0.6</v>
      </c>
      <c r="K42" s="2714">
        <f t="shared" si="19"/>
        <v>90.539999999999992</v>
      </c>
      <c r="L42" s="1247" t="s">
        <v>1523</v>
      </c>
      <c r="M42" s="2890"/>
      <c r="N42" s="2890"/>
      <c r="O42" s="2890"/>
    </row>
    <row r="43" spans="1:16" ht="15.75" customHeight="1" thickBot="1" x14ac:dyDescent="0.3">
      <c r="A43" s="2284">
        <v>45972</v>
      </c>
      <c r="B43" s="2715" t="s">
        <v>6209</v>
      </c>
      <c r="C43" s="3244" t="s">
        <v>8601</v>
      </c>
      <c r="D43" s="3245"/>
      <c r="E43" s="2286">
        <v>267.52</v>
      </c>
      <c r="F43" s="2873">
        <v>4</v>
      </c>
      <c r="G43" s="2908">
        <v>3</v>
      </c>
      <c r="H43" s="2904">
        <f t="shared" si="17"/>
        <v>1</v>
      </c>
      <c r="I43" s="2928">
        <f t="shared" si="18"/>
        <v>66.88</v>
      </c>
      <c r="J43" s="2955">
        <f t="shared" si="16"/>
        <v>0.75</v>
      </c>
      <c r="K43" s="2725">
        <f t="shared" si="19"/>
        <v>66.88</v>
      </c>
      <c r="L43" s="1247" t="s">
        <v>6731</v>
      </c>
      <c r="M43" s="2938"/>
    </row>
    <row r="44" spans="1:16" ht="15" customHeight="1" thickBot="1" x14ac:dyDescent="0.3">
      <c r="A44" s="2284">
        <v>45979</v>
      </c>
      <c r="B44" s="2715" t="s">
        <v>6209</v>
      </c>
      <c r="C44" s="3244" t="s">
        <v>8602</v>
      </c>
      <c r="D44" s="3245"/>
      <c r="E44" s="2286">
        <v>211.64</v>
      </c>
      <c r="F44" s="2873">
        <v>4</v>
      </c>
      <c r="G44" s="2908">
        <v>2</v>
      </c>
      <c r="H44" s="2904">
        <f t="shared" si="17"/>
        <v>2</v>
      </c>
      <c r="I44" s="2928">
        <f t="shared" si="18"/>
        <v>105.82</v>
      </c>
      <c r="J44" s="2955">
        <f t="shared" ref="J44" si="20">SUM(E44-I44)/E44</f>
        <v>0.5</v>
      </c>
      <c r="K44" s="2725">
        <f t="shared" si="19"/>
        <v>52.91</v>
      </c>
      <c r="L44" s="1247" t="s">
        <v>1506</v>
      </c>
      <c r="M44" s="2899" t="s">
        <v>6210</v>
      </c>
      <c r="N44" s="2011"/>
      <c r="O44" s="2900" t="s">
        <v>6209</v>
      </c>
    </row>
    <row r="45" spans="1:16" ht="15" customHeight="1" x14ac:dyDescent="0.25">
      <c r="A45" s="2291">
        <v>46007</v>
      </c>
      <c r="B45" s="2627" t="s">
        <v>6210</v>
      </c>
      <c r="C45" s="2970" t="s">
        <v>8634</v>
      </c>
      <c r="D45" s="2971"/>
      <c r="E45" s="2293">
        <v>100</v>
      </c>
      <c r="F45" s="2868">
        <v>2</v>
      </c>
      <c r="G45" s="2907">
        <v>1</v>
      </c>
      <c r="H45" s="2903">
        <f>F45-G45</f>
        <v>1</v>
      </c>
      <c r="I45" s="2927">
        <f>E45/F45*H45</f>
        <v>50</v>
      </c>
      <c r="J45" s="2923">
        <f>SUM(E45-I45)/E45</f>
        <v>0.5</v>
      </c>
      <c r="K45" s="2714">
        <f>E45/F45</f>
        <v>50</v>
      </c>
      <c r="L45" s="1247" t="s">
        <v>1506</v>
      </c>
      <c r="M45" s="3265">
        <f>SUMIF(B29:B51,M44,K29:K51)</f>
        <v>1503.1427499999998</v>
      </c>
      <c r="N45" s="2897"/>
      <c r="O45" s="3267">
        <f>SUMIF(B29:B51,O44,K29:K51)</f>
        <v>520.08749999999998</v>
      </c>
    </row>
    <row r="46" spans="1:16" ht="15" customHeight="1" thickBot="1" x14ac:dyDescent="0.3">
      <c r="A46" s="2291">
        <v>46007</v>
      </c>
      <c r="B46" s="2627" t="s">
        <v>6210</v>
      </c>
      <c r="C46" s="2970" t="s">
        <v>8635</v>
      </c>
      <c r="D46" s="2971"/>
      <c r="E46" s="2293">
        <v>130</v>
      </c>
      <c r="F46" s="2868">
        <v>2</v>
      </c>
      <c r="G46" s="2907">
        <v>1</v>
      </c>
      <c r="H46" s="2903">
        <f>F46-G46</f>
        <v>1</v>
      </c>
      <c r="I46" s="2927">
        <f>E46/F46*H46</f>
        <v>65</v>
      </c>
      <c r="J46" s="2923">
        <f>SUM(E46-I46)/E46</f>
        <v>0.5</v>
      </c>
      <c r="K46" s="2714">
        <f>E46/F46</f>
        <v>65</v>
      </c>
      <c r="L46" s="1247" t="s">
        <v>1491</v>
      </c>
      <c r="M46" s="3266"/>
      <c r="N46" s="2897"/>
      <c r="O46" s="3268"/>
      <c r="P46" s="1336"/>
    </row>
    <row r="47" spans="1:16" ht="15" customHeight="1" thickBot="1" x14ac:dyDescent="0.3">
      <c r="A47" s="2291">
        <v>46014</v>
      </c>
      <c r="B47" s="2627" t="s">
        <v>6210</v>
      </c>
      <c r="C47" s="2970" t="s">
        <v>8642</v>
      </c>
      <c r="D47" s="2971"/>
      <c r="E47" s="2293">
        <v>986.59</v>
      </c>
      <c r="F47" s="2868">
        <v>5</v>
      </c>
      <c r="G47" s="2907">
        <v>1</v>
      </c>
      <c r="H47" s="2903">
        <f t="shared" ref="H47:H48" si="21">F47-G47</f>
        <v>4</v>
      </c>
      <c r="I47" s="2927">
        <f t="shared" ref="I47:I48" si="22">E47/F47*H47</f>
        <v>789.27200000000005</v>
      </c>
      <c r="J47" s="2923">
        <f>SUM(E47-I47)/E47</f>
        <v>0.19999999999999998</v>
      </c>
      <c r="K47" s="2714">
        <f t="shared" ref="K47:K49" si="23">E47/F47</f>
        <v>197.31800000000001</v>
      </c>
      <c r="L47" s="1247" t="s">
        <v>1523</v>
      </c>
      <c r="M47" s="2890"/>
      <c r="N47" s="2895"/>
      <c r="P47" s="1336"/>
    </row>
    <row r="48" spans="1:16" ht="15" customHeight="1" thickBot="1" x14ac:dyDescent="0.3">
      <c r="A48" s="2404">
        <v>46027</v>
      </c>
      <c r="B48" s="3015" t="s">
        <v>8334</v>
      </c>
      <c r="C48" s="2972" t="s">
        <v>8691</v>
      </c>
      <c r="D48" s="2973"/>
      <c r="E48" s="2406">
        <v>1688.42</v>
      </c>
      <c r="F48" s="2875">
        <v>10</v>
      </c>
      <c r="G48" s="2910">
        <v>1</v>
      </c>
      <c r="H48" s="2906">
        <f t="shared" si="21"/>
        <v>9</v>
      </c>
      <c r="I48" s="2931">
        <f t="shared" si="22"/>
        <v>1519.5780000000002</v>
      </c>
      <c r="J48" s="2923">
        <f t="shared" ref="J48" si="24">SUM(E48-I48)/E48</f>
        <v>9.9999999999999922E-2</v>
      </c>
      <c r="K48" s="2885">
        <f t="shared" si="23"/>
        <v>168.84200000000001</v>
      </c>
      <c r="L48" s="1247" t="s">
        <v>1525</v>
      </c>
      <c r="M48" s="2901" t="s">
        <v>8334</v>
      </c>
      <c r="N48" s="2887"/>
      <c r="O48" s="2902" t="s">
        <v>8310</v>
      </c>
      <c r="P48" s="1336"/>
    </row>
    <row r="49" spans="1:16" ht="15" customHeight="1" x14ac:dyDescent="0.25">
      <c r="A49" s="2404">
        <v>46048</v>
      </c>
      <c r="B49" s="3015" t="s">
        <v>8334</v>
      </c>
      <c r="C49" s="3246" t="s">
        <v>8743</v>
      </c>
      <c r="D49" s="3247"/>
      <c r="E49" s="2406">
        <v>196.13</v>
      </c>
      <c r="F49" s="2875">
        <v>1</v>
      </c>
      <c r="G49" s="2910">
        <v>0</v>
      </c>
      <c r="H49" s="2906">
        <f t="shared" ref="H49" si="25">F49-G49</f>
        <v>1</v>
      </c>
      <c r="I49" s="2931">
        <f t="shared" ref="I49" si="26">E49/F49*H49</f>
        <v>196.13</v>
      </c>
      <c r="J49" s="3050">
        <f>SUM(E49-I49)/E49</f>
        <v>0</v>
      </c>
      <c r="K49" s="2885">
        <f t="shared" si="23"/>
        <v>196.13</v>
      </c>
      <c r="L49" s="1248" t="s">
        <v>6731</v>
      </c>
      <c r="M49" s="3269">
        <f>SUMIF(B29:B51,M48,K29:K51)</f>
        <v>494.06799999999998</v>
      </c>
      <c r="N49" s="2887"/>
      <c r="O49" s="3271">
        <f>SUMIF(B29:B51,O48,K29:K51)</f>
        <v>0</v>
      </c>
      <c r="P49" s="1336"/>
    </row>
    <row r="50" spans="1:16" ht="15.75" customHeight="1" thickBot="1" x14ac:dyDescent="0.3">
      <c r="A50" s="2291"/>
      <c r="B50" s="2627"/>
      <c r="C50" s="3257"/>
      <c r="D50" s="3258"/>
      <c r="E50" s="2293"/>
      <c r="F50" s="2868"/>
      <c r="G50" s="2907"/>
      <c r="H50" s="2903"/>
      <c r="I50" s="2927"/>
      <c r="J50" s="2923"/>
      <c r="K50" s="2714"/>
      <c r="M50" s="3270"/>
      <c r="N50" s="2887"/>
      <c r="O50" s="3272"/>
      <c r="P50" s="1336"/>
    </row>
    <row r="51" spans="1:16" ht="15" customHeight="1" x14ac:dyDescent="0.25">
      <c r="M51" s="2938"/>
      <c r="N51" s="2887"/>
      <c r="O51" s="2888"/>
      <c r="P51" s="1336"/>
    </row>
    <row r="52" spans="1:16" ht="15.75" thickBot="1" x14ac:dyDescent="0.3">
      <c r="L52" s="2932"/>
      <c r="M52" s="2316"/>
      <c r="N52" s="2043"/>
      <c r="P52" s="1336"/>
    </row>
    <row r="53" spans="1:16" ht="21.75" thickBot="1" x14ac:dyDescent="0.4">
      <c r="A53" s="3248" t="s">
        <v>8482</v>
      </c>
      <c r="B53" s="3249"/>
      <c r="C53" s="3249"/>
      <c r="D53" s="3249"/>
      <c r="E53" s="3249"/>
      <c r="F53" s="3249"/>
      <c r="G53" s="3249"/>
      <c r="H53" s="3249"/>
      <c r="I53" s="3249"/>
      <c r="J53" s="3249"/>
      <c r="K53" s="3250"/>
      <c r="L53" s="3008"/>
      <c r="M53" s="1944"/>
      <c r="N53" s="1667"/>
      <c r="O53" s="1944"/>
      <c r="P53" s="1667"/>
    </row>
    <row r="54" spans="1:16" s="2858" customFormat="1" ht="33" thickBot="1" x14ac:dyDescent="0.35">
      <c r="A54" s="2855" t="s">
        <v>4206</v>
      </c>
      <c r="B54" s="2856" t="s">
        <v>1945</v>
      </c>
      <c r="C54" s="3251" t="s">
        <v>8343</v>
      </c>
      <c r="D54" s="3252"/>
      <c r="E54" s="2856" t="s">
        <v>7632</v>
      </c>
      <c r="F54" s="2856" t="s">
        <v>8345</v>
      </c>
      <c r="G54" s="2946" t="s">
        <v>8344</v>
      </c>
      <c r="H54" s="2947" t="s">
        <v>8346</v>
      </c>
      <c r="I54" s="2947" t="s">
        <v>8347</v>
      </c>
      <c r="J54" s="2948" t="s">
        <v>8367</v>
      </c>
      <c r="K54" s="2948" t="s">
        <v>5395</v>
      </c>
      <c r="L54" s="2939"/>
      <c r="N54" s="2859"/>
      <c r="O54" s="2860"/>
      <c r="P54" s="2861"/>
    </row>
    <row r="55" spans="1:16" ht="16.5" thickBot="1" x14ac:dyDescent="0.3">
      <c r="A55" s="2465">
        <v>45328</v>
      </c>
      <c r="B55" s="2465" t="s">
        <v>6210</v>
      </c>
      <c r="C55" s="3253" t="s">
        <v>6130</v>
      </c>
      <c r="D55" s="3254"/>
      <c r="E55" s="2466">
        <v>33.979999999999997</v>
      </c>
      <c r="F55" s="2867">
        <v>1</v>
      </c>
      <c r="G55" s="2943">
        <v>1</v>
      </c>
      <c r="H55" s="2944">
        <v>1</v>
      </c>
      <c r="I55" s="2945">
        <f>E55/F55*H55</f>
        <v>33.979999999999997</v>
      </c>
      <c r="J55" s="2934">
        <f>SUM(E55-I55)/E55</f>
        <v>0</v>
      </c>
      <c r="K55" s="2468">
        <v>0</v>
      </c>
      <c r="L55" s="1272" t="s">
        <v>8695</v>
      </c>
      <c r="M55" s="2893" t="s">
        <v>8349</v>
      </c>
      <c r="N55" s="1360"/>
      <c r="O55" s="2894" t="s">
        <v>8348</v>
      </c>
      <c r="P55" s="1336"/>
    </row>
    <row r="56" spans="1:16" ht="15.75" thickBot="1" x14ac:dyDescent="0.3">
      <c r="A56" s="2291">
        <v>45505</v>
      </c>
      <c r="B56" s="2292" t="s">
        <v>6210</v>
      </c>
      <c r="C56" s="3255" t="s">
        <v>7799</v>
      </c>
      <c r="D56" s="3256"/>
      <c r="E56" s="2293">
        <v>43</v>
      </c>
      <c r="F56" s="2868">
        <v>1</v>
      </c>
      <c r="G56" s="2907">
        <v>1</v>
      </c>
      <c r="H56" s="2903">
        <v>1</v>
      </c>
      <c r="I56" s="2927">
        <f>E56/F56*H56</f>
        <v>43</v>
      </c>
      <c r="J56" s="2934">
        <f>SUM(E56-I56)/E56</f>
        <v>0</v>
      </c>
      <c r="K56" s="2714">
        <v>0</v>
      </c>
      <c r="L56" s="1272" t="s">
        <v>8696</v>
      </c>
      <c r="M56" s="2844"/>
      <c r="N56" s="2043"/>
      <c r="O56" s="2008"/>
      <c r="P56" s="1336"/>
    </row>
    <row r="57" spans="1:16" ht="15.75" thickBot="1" x14ac:dyDescent="0.3">
      <c r="A57" s="2291">
        <v>45505</v>
      </c>
      <c r="B57" s="2292" t="s">
        <v>6210</v>
      </c>
      <c r="C57" s="3257" t="s">
        <v>7885</v>
      </c>
      <c r="D57" s="3258"/>
      <c r="E57" s="2293">
        <v>20.9</v>
      </c>
      <c r="F57" s="2868">
        <v>1</v>
      </c>
      <c r="G57" s="2907">
        <v>1</v>
      </c>
      <c r="H57" s="2903">
        <v>1</v>
      </c>
      <c r="I57" s="2927">
        <f t="shared" ref="I57:I58" si="27">E57/F57*H57</f>
        <v>20.9</v>
      </c>
      <c r="J57" s="2934">
        <f t="shared" ref="J57:J58" si="28">SUM(E57-I57)/E57</f>
        <v>0</v>
      </c>
      <c r="K57" s="2714">
        <v>0</v>
      </c>
      <c r="L57" s="1272" t="s">
        <v>8696</v>
      </c>
      <c r="M57" s="2892" t="s">
        <v>1524</v>
      </c>
      <c r="N57" s="1360"/>
      <c r="O57" s="2892" t="s">
        <v>1524</v>
      </c>
      <c r="P57" s="1336"/>
    </row>
    <row r="58" spans="1:16" ht="15" customHeight="1" x14ac:dyDescent="0.25">
      <c r="A58" s="2291">
        <v>45643</v>
      </c>
      <c r="B58" s="2292" t="s">
        <v>6210</v>
      </c>
      <c r="C58" s="3257" t="s">
        <v>7892</v>
      </c>
      <c r="D58" s="3258"/>
      <c r="E58" s="2293">
        <v>9.99</v>
      </c>
      <c r="F58" s="2868">
        <v>1</v>
      </c>
      <c r="G58" s="2907">
        <v>1</v>
      </c>
      <c r="H58" s="2903">
        <v>1</v>
      </c>
      <c r="I58" s="2927">
        <f t="shared" si="27"/>
        <v>9.99</v>
      </c>
      <c r="J58" s="2934">
        <f t="shared" si="28"/>
        <v>0</v>
      </c>
      <c r="K58" s="2714">
        <v>0</v>
      </c>
      <c r="L58" s="1272" t="s">
        <v>8696</v>
      </c>
      <c r="M58" s="3259">
        <f>SUMIF(L55:L84,M57,K55:K84)</f>
        <v>750.83409523809519</v>
      </c>
      <c r="O58" s="3259">
        <f>SUMIF(L55:L84,O57,I55:I84)</f>
        <v>2158.9700952380954</v>
      </c>
      <c r="P58" s="1336"/>
    </row>
    <row r="59" spans="1:16" ht="15" customHeight="1" thickBot="1" x14ac:dyDescent="0.3">
      <c r="A59" s="2291">
        <v>46035</v>
      </c>
      <c r="B59" s="2292" t="s">
        <v>6210</v>
      </c>
      <c r="C59" s="2970" t="s">
        <v>8727</v>
      </c>
      <c r="D59" s="2971"/>
      <c r="E59" s="2293">
        <v>15</v>
      </c>
      <c r="F59" s="2868">
        <v>1</v>
      </c>
      <c r="G59" s="2907">
        <v>1</v>
      </c>
      <c r="H59" s="2903">
        <v>1</v>
      </c>
      <c r="I59" s="2927">
        <f t="shared" ref="I59" si="29">E59/F59*H59</f>
        <v>15</v>
      </c>
      <c r="J59" s="2934">
        <f t="shared" ref="J59" si="30">SUM(E59-I59)/E59</f>
        <v>0</v>
      </c>
      <c r="K59" s="2714">
        <f>E59/F59</f>
        <v>15</v>
      </c>
      <c r="L59" s="1686" t="s">
        <v>1504</v>
      </c>
      <c r="M59" s="3260"/>
      <c r="N59" s="1360"/>
      <c r="O59" s="3260"/>
      <c r="P59" s="1336"/>
    </row>
    <row r="60" spans="1:16" ht="15" customHeight="1" thickBot="1" x14ac:dyDescent="0.3">
      <c r="A60" s="2291">
        <v>45936</v>
      </c>
      <c r="B60" s="2292" t="s">
        <v>6210</v>
      </c>
      <c r="C60" s="3044" t="s">
        <v>8330</v>
      </c>
      <c r="D60" s="3045"/>
      <c r="E60" s="2293">
        <v>9.9</v>
      </c>
      <c r="F60" s="2868">
        <v>1</v>
      </c>
      <c r="G60" s="2907">
        <v>1</v>
      </c>
      <c r="H60" s="2903">
        <v>1</v>
      </c>
      <c r="I60" s="2927">
        <f>E60/F60*H60</f>
        <v>9.9</v>
      </c>
      <c r="J60" s="2934">
        <f>SUM(E60-I60)/E60</f>
        <v>0</v>
      </c>
      <c r="K60" s="2714">
        <v>0</v>
      </c>
      <c r="L60" s="1272" t="s">
        <v>8696</v>
      </c>
      <c r="M60" s="2890"/>
      <c r="N60" s="2043"/>
      <c r="O60" s="2890"/>
      <c r="P60" s="1336"/>
    </row>
    <row r="61" spans="1:16" ht="15.75" customHeight="1" thickBot="1" x14ac:dyDescent="0.3">
      <c r="A61" s="2711">
        <v>45789</v>
      </c>
      <c r="B61" s="2626" t="s">
        <v>6210</v>
      </c>
      <c r="C61" s="3010" t="s">
        <v>8483</v>
      </c>
      <c r="D61" s="3011"/>
      <c r="E61" s="2712">
        <v>1181.3599999999999</v>
      </c>
      <c r="F61" s="2869">
        <v>10</v>
      </c>
      <c r="G61" s="2907">
        <v>8</v>
      </c>
      <c r="H61" s="2903">
        <f t="shared" ref="H61" si="31">F61-G61</f>
        <v>2</v>
      </c>
      <c r="I61" s="2927">
        <f>E61/F61*H61</f>
        <v>236.27199999999999</v>
      </c>
      <c r="J61" s="2934">
        <f>SUM(E61-I61)/E61</f>
        <v>0.8</v>
      </c>
      <c r="K61" s="2714">
        <f>E61/F61</f>
        <v>118.136</v>
      </c>
      <c r="L61" s="1247" t="s">
        <v>1524</v>
      </c>
      <c r="M61" s="2891" t="s">
        <v>7817</v>
      </c>
      <c r="N61" s="2898"/>
      <c r="O61" s="2891" t="s">
        <v>7817</v>
      </c>
    </row>
    <row r="62" spans="1:16" ht="15" customHeight="1" x14ac:dyDescent="0.25">
      <c r="A62" s="2711">
        <v>45822</v>
      </c>
      <c r="B62" s="2626" t="s">
        <v>6210</v>
      </c>
      <c r="C62" s="3010" t="s">
        <v>8484</v>
      </c>
      <c r="D62" s="3011"/>
      <c r="E62" s="2712">
        <v>4300</v>
      </c>
      <c r="F62" s="2869">
        <v>10</v>
      </c>
      <c r="G62" s="2907">
        <v>6</v>
      </c>
      <c r="H62" s="2903">
        <f t="shared" ref="H62:H72" si="32">F62-G62</f>
        <v>4</v>
      </c>
      <c r="I62" s="2927">
        <f t="shared" ref="I62:I72" si="33">E62/F62*H62</f>
        <v>1720</v>
      </c>
      <c r="J62" s="2934">
        <f>SUM(E62-I62)/E62</f>
        <v>0.6</v>
      </c>
      <c r="K62" s="2714">
        <f t="shared" ref="K62:K72" si="34">E62/F62</f>
        <v>430</v>
      </c>
      <c r="L62" s="1247" t="s">
        <v>1524</v>
      </c>
      <c r="M62" s="3238">
        <f>M66-M58</f>
        <v>867.24549999999999</v>
      </c>
      <c r="N62" s="1336"/>
      <c r="O62" s="3238">
        <f>O66-O58</f>
        <v>9497.4657499999994</v>
      </c>
    </row>
    <row r="63" spans="1:16" ht="15" customHeight="1" thickBot="1" x14ac:dyDescent="0.3">
      <c r="A63" s="2711">
        <v>45845</v>
      </c>
      <c r="B63" s="2626" t="s">
        <v>6210</v>
      </c>
      <c r="C63" s="3039" t="s">
        <v>8485</v>
      </c>
      <c r="D63" s="3040"/>
      <c r="E63" s="2712">
        <v>375.14</v>
      </c>
      <c r="F63" s="2869">
        <v>7</v>
      </c>
      <c r="G63" s="2907">
        <v>6</v>
      </c>
      <c r="H63" s="2903">
        <f t="shared" si="32"/>
        <v>1</v>
      </c>
      <c r="I63" s="2927">
        <f t="shared" si="33"/>
        <v>53.591428571428573</v>
      </c>
      <c r="J63" s="2923">
        <f t="shared" ref="J63:J64" si="35">SUM(E63-I63)/E63</f>
        <v>0.8571428571428571</v>
      </c>
      <c r="K63" s="2714">
        <f t="shared" si="34"/>
        <v>53.591428571428573</v>
      </c>
      <c r="L63" s="1247" t="s">
        <v>1524</v>
      </c>
      <c r="M63" s="3239"/>
      <c r="N63" s="2889"/>
      <c r="O63" s="3239"/>
    </row>
    <row r="64" spans="1:16" ht="15" customHeight="1" thickBot="1" x14ac:dyDescent="0.3">
      <c r="A64" s="2284">
        <v>45853</v>
      </c>
      <c r="B64" s="2285" t="s">
        <v>6209</v>
      </c>
      <c r="C64" s="2968" t="s">
        <v>8486</v>
      </c>
      <c r="D64" s="2969"/>
      <c r="E64" s="2286">
        <v>205.32</v>
      </c>
      <c r="F64" s="2873">
        <v>6</v>
      </c>
      <c r="G64" s="2908">
        <v>5</v>
      </c>
      <c r="H64" s="2904">
        <f t="shared" si="32"/>
        <v>1</v>
      </c>
      <c r="I64" s="2928">
        <f t="shared" si="33"/>
        <v>34.22</v>
      </c>
      <c r="J64" s="2923">
        <f t="shared" si="35"/>
        <v>0.83333333333333337</v>
      </c>
      <c r="K64" s="2725">
        <f t="shared" si="34"/>
        <v>34.22</v>
      </c>
      <c r="L64" s="1247" t="s">
        <v>1504</v>
      </c>
    </row>
    <row r="65" spans="1:16" ht="15" customHeight="1" thickBot="1" x14ac:dyDescent="0.3">
      <c r="A65" s="2284">
        <v>45869</v>
      </c>
      <c r="B65" s="2715" t="s">
        <v>6209</v>
      </c>
      <c r="C65" s="2968" t="s">
        <v>8487</v>
      </c>
      <c r="D65" s="2969"/>
      <c r="E65" s="2286">
        <v>894.64</v>
      </c>
      <c r="F65" s="2873">
        <v>6</v>
      </c>
      <c r="G65" s="2908">
        <v>5</v>
      </c>
      <c r="H65" s="2904">
        <f t="shared" si="32"/>
        <v>1</v>
      </c>
      <c r="I65" s="2928">
        <f t="shared" si="33"/>
        <v>149.10666666666665</v>
      </c>
      <c r="J65" s="2923">
        <f t="shared" ref="J65:J72" si="36">SUM(E65-I65)/E65</f>
        <v>0.83333333333333326</v>
      </c>
      <c r="K65" s="2725">
        <f t="shared" si="34"/>
        <v>149.10666666666665</v>
      </c>
      <c r="L65" s="1247" t="s">
        <v>1524</v>
      </c>
      <c r="M65" s="2896" t="s">
        <v>8350</v>
      </c>
      <c r="N65" s="2890"/>
      <c r="O65" s="2896" t="s">
        <v>8342</v>
      </c>
    </row>
    <row r="66" spans="1:16" ht="15" customHeight="1" x14ac:dyDescent="0.25">
      <c r="A66" s="2974">
        <v>45922</v>
      </c>
      <c r="B66" s="2975" t="s">
        <v>6210</v>
      </c>
      <c r="C66" s="3012" t="s">
        <v>8488</v>
      </c>
      <c r="D66" s="3013"/>
      <c r="E66" s="2976">
        <v>427.19</v>
      </c>
      <c r="F66" s="2977">
        <v>8</v>
      </c>
      <c r="G66" s="2907">
        <v>3</v>
      </c>
      <c r="H66" s="2903">
        <f t="shared" si="32"/>
        <v>5</v>
      </c>
      <c r="I66" s="2927">
        <f t="shared" si="33"/>
        <v>266.99374999999998</v>
      </c>
      <c r="J66" s="2923">
        <f t="shared" si="36"/>
        <v>0.37500000000000006</v>
      </c>
      <c r="K66" s="2714">
        <v>0</v>
      </c>
      <c r="L66" s="1272" t="s">
        <v>8697</v>
      </c>
      <c r="M66" s="3240">
        <f>SUM(K55:K84)</f>
        <v>1618.0795952380952</v>
      </c>
      <c r="N66" s="1336"/>
      <c r="O66" s="3240">
        <f>SUM(I55:I84)</f>
        <v>11656.435845238095</v>
      </c>
    </row>
    <row r="67" spans="1:16" ht="15" customHeight="1" thickBot="1" x14ac:dyDescent="0.3">
      <c r="A67" s="2291">
        <v>45931</v>
      </c>
      <c r="B67" s="2627" t="s">
        <v>6210</v>
      </c>
      <c r="C67" s="2970" t="s">
        <v>8532</v>
      </c>
      <c r="D67" s="2971"/>
      <c r="E67" s="2293">
        <v>280</v>
      </c>
      <c r="F67" s="2868">
        <v>4</v>
      </c>
      <c r="G67" s="2907">
        <v>3</v>
      </c>
      <c r="H67" s="2903">
        <f t="shared" si="32"/>
        <v>1</v>
      </c>
      <c r="I67" s="2927">
        <f t="shared" si="33"/>
        <v>70</v>
      </c>
      <c r="J67" s="2923">
        <f t="shared" si="36"/>
        <v>0.75</v>
      </c>
      <c r="K67" s="2714">
        <v>0</v>
      </c>
      <c r="L67" s="1272" t="s">
        <v>8698</v>
      </c>
      <c r="M67" s="3241"/>
      <c r="N67" s="1360"/>
      <c r="O67" s="3241"/>
    </row>
    <row r="68" spans="1:16" ht="15" customHeight="1" x14ac:dyDescent="0.25">
      <c r="A68" s="2404">
        <v>45937</v>
      </c>
      <c r="B68" s="2846" t="s">
        <v>8334</v>
      </c>
      <c r="C68" s="2972" t="s">
        <v>8489</v>
      </c>
      <c r="D68" s="2973"/>
      <c r="E68" s="2406">
        <v>754.44</v>
      </c>
      <c r="F68" s="2875">
        <v>10</v>
      </c>
      <c r="G68" s="2910">
        <v>3</v>
      </c>
      <c r="H68" s="2906">
        <f t="shared" si="32"/>
        <v>7</v>
      </c>
      <c r="I68" s="2931">
        <f t="shared" si="33"/>
        <v>528.10800000000006</v>
      </c>
      <c r="J68" s="2923">
        <f t="shared" si="36"/>
        <v>0.3</v>
      </c>
      <c r="K68" s="2885">
        <f t="shared" si="34"/>
        <v>75.444000000000003</v>
      </c>
      <c r="L68" s="1247" t="s">
        <v>1525</v>
      </c>
      <c r="M68" s="2890"/>
      <c r="N68" s="2890"/>
      <c r="O68" s="2890"/>
    </row>
    <row r="69" spans="1:16" ht="15.75" customHeight="1" x14ac:dyDescent="0.25">
      <c r="A69" s="2404">
        <v>45937</v>
      </c>
      <c r="B69" s="2846" t="s">
        <v>8334</v>
      </c>
      <c r="C69" s="2972" t="s">
        <v>8490</v>
      </c>
      <c r="D69" s="2973"/>
      <c r="E69" s="2406">
        <v>536.52</v>
      </c>
      <c r="F69" s="2875">
        <v>10</v>
      </c>
      <c r="G69" s="2910">
        <v>3</v>
      </c>
      <c r="H69" s="2906">
        <f t="shared" si="32"/>
        <v>7</v>
      </c>
      <c r="I69" s="2931">
        <f t="shared" si="33"/>
        <v>375.56400000000002</v>
      </c>
      <c r="J69" s="2923">
        <f t="shared" si="36"/>
        <v>0.29999999999999993</v>
      </c>
      <c r="K69" s="2885">
        <f t="shared" si="34"/>
        <v>53.652000000000001</v>
      </c>
      <c r="L69" s="1686" t="s">
        <v>1525</v>
      </c>
      <c r="M69" s="2938" t="s">
        <v>8426</v>
      </c>
    </row>
    <row r="70" spans="1:16" ht="15" customHeight="1" x14ac:dyDescent="0.25">
      <c r="A70" s="2291">
        <v>45945</v>
      </c>
      <c r="B70" s="2627" t="s">
        <v>6210</v>
      </c>
      <c r="C70" s="2970" t="s">
        <v>8597</v>
      </c>
      <c r="D70" s="2971"/>
      <c r="E70" s="2293">
        <v>3759.7</v>
      </c>
      <c r="F70" s="2868">
        <v>10</v>
      </c>
      <c r="G70" s="2907">
        <v>2</v>
      </c>
      <c r="H70" s="2903">
        <f t="shared" si="32"/>
        <v>8</v>
      </c>
      <c r="I70" s="2927">
        <f t="shared" si="33"/>
        <v>3007.7599999999998</v>
      </c>
      <c r="J70" s="2923">
        <f t="shared" si="36"/>
        <v>0.2</v>
      </c>
      <c r="K70" s="2714">
        <v>0</v>
      </c>
      <c r="L70" s="1272" t="s">
        <v>8697</v>
      </c>
      <c r="M70" s="2938" t="s">
        <v>8459</v>
      </c>
    </row>
    <row r="71" spans="1:16" ht="15" customHeight="1" x14ac:dyDescent="0.25">
      <c r="A71" s="2284">
        <v>45957</v>
      </c>
      <c r="B71" s="2715" t="s">
        <v>6209</v>
      </c>
      <c r="C71" s="2968" t="s">
        <v>8491</v>
      </c>
      <c r="D71" s="2969"/>
      <c r="E71" s="2286">
        <v>489.9</v>
      </c>
      <c r="F71" s="2873">
        <v>8</v>
      </c>
      <c r="G71" s="2908">
        <v>2</v>
      </c>
      <c r="H71" s="2904">
        <f t="shared" si="32"/>
        <v>6</v>
      </c>
      <c r="I71" s="2928">
        <f t="shared" si="33"/>
        <v>367.42499999999995</v>
      </c>
      <c r="J71" s="2955">
        <f t="shared" si="36"/>
        <v>0.25000000000000006</v>
      </c>
      <c r="K71" s="2725">
        <f t="shared" si="34"/>
        <v>61.237499999999997</v>
      </c>
      <c r="L71" s="1247" t="s">
        <v>1525</v>
      </c>
    </row>
    <row r="72" spans="1:16" ht="15" customHeight="1" x14ac:dyDescent="0.25">
      <c r="A72" s="2284">
        <v>45965</v>
      </c>
      <c r="B72" s="2715" t="s">
        <v>6209</v>
      </c>
      <c r="C72" s="2968" t="s">
        <v>8492</v>
      </c>
      <c r="D72" s="2969"/>
      <c r="E72" s="2286">
        <v>1695.3</v>
      </c>
      <c r="F72" s="2873">
        <v>5</v>
      </c>
      <c r="G72" s="2908">
        <v>2</v>
      </c>
      <c r="H72" s="2904">
        <f t="shared" si="32"/>
        <v>3</v>
      </c>
      <c r="I72" s="2928">
        <f t="shared" si="33"/>
        <v>1017.1800000000001</v>
      </c>
      <c r="J72" s="2955">
        <f t="shared" si="36"/>
        <v>0.39999999999999997</v>
      </c>
      <c r="K72" s="2725">
        <f t="shared" si="34"/>
        <v>339.06</v>
      </c>
      <c r="L72" s="1247" t="s">
        <v>1523</v>
      </c>
      <c r="M72" s="2938"/>
      <c r="N72" s="2888"/>
      <c r="O72" s="2887"/>
      <c r="P72" s="1336"/>
    </row>
    <row r="73" spans="1:16" ht="15" customHeight="1" x14ac:dyDescent="0.25">
      <c r="A73" s="2291">
        <v>45968</v>
      </c>
      <c r="B73" s="2627" t="s">
        <v>6210</v>
      </c>
      <c r="C73" s="2970" t="s">
        <v>8520</v>
      </c>
      <c r="D73" s="2971"/>
      <c r="E73" s="2293">
        <v>452.7</v>
      </c>
      <c r="F73" s="2868">
        <v>5</v>
      </c>
      <c r="G73" s="2907">
        <v>2</v>
      </c>
      <c r="H73" s="2903">
        <f t="shared" ref="H73:H78" si="37">F73-G73</f>
        <v>3</v>
      </c>
      <c r="I73" s="2927">
        <f t="shared" ref="I73:I78" si="38">E73/F73*H73</f>
        <v>271.62</v>
      </c>
      <c r="J73" s="2923">
        <f>SUM(E73-I73)/E73</f>
        <v>0.39999999999999997</v>
      </c>
      <c r="K73" s="2714">
        <v>0</v>
      </c>
      <c r="L73" s="1272" t="s">
        <v>8699</v>
      </c>
      <c r="M73" s="2938" t="s">
        <v>8508</v>
      </c>
      <c r="P73" s="1336"/>
    </row>
    <row r="74" spans="1:16" ht="15" customHeight="1" x14ac:dyDescent="0.25">
      <c r="A74" s="2284">
        <v>45972</v>
      </c>
      <c r="B74" s="2715" t="s">
        <v>6209</v>
      </c>
      <c r="C74" s="2968" t="s">
        <v>8543</v>
      </c>
      <c r="D74" s="2969"/>
      <c r="E74" s="2286">
        <v>267.52</v>
      </c>
      <c r="F74" s="2873">
        <v>4</v>
      </c>
      <c r="G74" s="2908">
        <v>2</v>
      </c>
      <c r="H74" s="2904">
        <f t="shared" si="37"/>
        <v>2</v>
      </c>
      <c r="I74" s="2928">
        <f t="shared" si="38"/>
        <v>133.76</v>
      </c>
      <c r="J74" s="2955">
        <f>SUM(E74-I74)/E74</f>
        <v>0.5</v>
      </c>
      <c r="K74" s="2725">
        <f t="shared" ref="K74:K75" si="39">E74/F74</f>
        <v>66.88</v>
      </c>
      <c r="L74" s="1247" t="s">
        <v>6731</v>
      </c>
      <c r="M74" s="2938" t="s">
        <v>8534</v>
      </c>
      <c r="P74" s="1336"/>
    </row>
    <row r="75" spans="1:16" ht="15" customHeight="1" thickBot="1" x14ac:dyDescent="0.3">
      <c r="A75" s="2284">
        <v>45979</v>
      </c>
      <c r="B75" s="2715" t="s">
        <v>6209</v>
      </c>
      <c r="C75" s="2968" t="s">
        <v>8535</v>
      </c>
      <c r="D75" s="2969"/>
      <c r="E75" s="2286">
        <v>211.64</v>
      </c>
      <c r="F75" s="2873">
        <v>4</v>
      </c>
      <c r="G75" s="2908">
        <v>1</v>
      </c>
      <c r="H75" s="2904">
        <f t="shared" si="37"/>
        <v>3</v>
      </c>
      <c r="I75" s="2928">
        <f t="shared" si="38"/>
        <v>158.72999999999999</v>
      </c>
      <c r="J75" s="2955">
        <f t="shared" ref="J75" si="40">SUM(E75-I75)/E75</f>
        <v>0.25</v>
      </c>
      <c r="K75" s="2725">
        <f t="shared" si="39"/>
        <v>52.91</v>
      </c>
      <c r="L75" s="1247" t="s">
        <v>1506</v>
      </c>
      <c r="M75" s="2938"/>
      <c r="N75" s="2888"/>
      <c r="O75" s="2887"/>
      <c r="P75" s="1336"/>
    </row>
    <row r="76" spans="1:16" ht="15" customHeight="1" thickBot="1" x14ac:dyDescent="0.3">
      <c r="A76" s="2291">
        <v>46003</v>
      </c>
      <c r="B76" s="2627" t="s">
        <v>6210</v>
      </c>
      <c r="C76" s="3257" t="s">
        <v>8735</v>
      </c>
      <c r="D76" s="3258"/>
      <c r="E76" s="2293">
        <v>422.05</v>
      </c>
      <c r="F76" s="2868">
        <v>2</v>
      </c>
      <c r="G76" s="2907">
        <v>1</v>
      </c>
      <c r="H76" s="2903">
        <f t="shared" si="37"/>
        <v>1</v>
      </c>
      <c r="I76" s="2927">
        <f t="shared" si="38"/>
        <v>211.02500000000001</v>
      </c>
      <c r="J76" s="2923">
        <f t="shared" ref="J76:J82" si="41">SUM(E76-I76)/E76</f>
        <v>0.5</v>
      </c>
      <c r="K76" s="2714">
        <v>0</v>
      </c>
      <c r="L76" s="1272" t="s">
        <v>8699</v>
      </c>
      <c r="M76" s="2899" t="s">
        <v>6210</v>
      </c>
      <c r="N76" s="2011"/>
      <c r="O76" s="2900" t="s">
        <v>6209</v>
      </c>
      <c r="P76" s="1336"/>
    </row>
    <row r="77" spans="1:16" ht="15" customHeight="1" x14ac:dyDescent="0.25">
      <c r="A77" s="2291">
        <v>46007</v>
      </c>
      <c r="B77" s="2627" t="s">
        <v>6210</v>
      </c>
      <c r="C77" s="2970" t="s">
        <v>8630</v>
      </c>
      <c r="D77" s="2971"/>
      <c r="E77" s="2293">
        <v>100</v>
      </c>
      <c r="F77" s="2868">
        <v>2</v>
      </c>
      <c r="G77" s="2907">
        <v>0</v>
      </c>
      <c r="H77" s="2903">
        <f t="shared" si="37"/>
        <v>2</v>
      </c>
      <c r="I77" s="2927">
        <f t="shared" si="38"/>
        <v>100</v>
      </c>
      <c r="J77" s="2923">
        <f t="shared" si="41"/>
        <v>0</v>
      </c>
      <c r="K77" s="2714">
        <v>0</v>
      </c>
      <c r="L77" s="1272" t="s">
        <v>8698</v>
      </c>
      <c r="M77" s="3265">
        <f>SUMIF(B55:B84,M76,K55:K84)</f>
        <v>616.7274285714285</v>
      </c>
      <c r="N77" s="2897"/>
      <c r="O77" s="3267">
        <f>SUMIF(B55:B84,O76,K55:K84)</f>
        <v>703.41416666666669</v>
      </c>
      <c r="P77" s="1336"/>
    </row>
    <row r="78" spans="1:16" ht="15" customHeight="1" thickBot="1" x14ac:dyDescent="0.3">
      <c r="A78" s="2291">
        <v>46007</v>
      </c>
      <c r="B78" s="2627" t="s">
        <v>6210</v>
      </c>
      <c r="C78" s="2970" t="s">
        <v>8631</v>
      </c>
      <c r="D78" s="2971"/>
      <c r="E78" s="2293">
        <v>130</v>
      </c>
      <c r="F78" s="2868">
        <v>2</v>
      </c>
      <c r="G78" s="2907">
        <v>0</v>
      </c>
      <c r="H78" s="2903">
        <f t="shared" si="37"/>
        <v>2</v>
      </c>
      <c r="I78" s="2927">
        <f t="shared" si="38"/>
        <v>130</v>
      </c>
      <c r="J78" s="2923">
        <f t="shared" si="41"/>
        <v>0</v>
      </c>
      <c r="K78" s="2714">
        <v>0</v>
      </c>
      <c r="L78" s="1272" t="s">
        <v>8695</v>
      </c>
      <c r="M78" s="3266"/>
      <c r="N78" s="2897"/>
      <c r="O78" s="3268"/>
      <c r="P78" s="1336"/>
    </row>
    <row r="79" spans="1:16" ht="15" customHeight="1" thickBot="1" x14ac:dyDescent="0.3">
      <c r="A79" s="2291">
        <v>46014</v>
      </c>
      <c r="B79" s="2627" t="s">
        <v>6210</v>
      </c>
      <c r="C79" s="2970" t="s">
        <v>8640</v>
      </c>
      <c r="D79" s="2971"/>
      <c r="E79" s="2293">
        <v>986.59</v>
      </c>
      <c r="F79" s="2868">
        <v>5</v>
      </c>
      <c r="G79" s="2907">
        <v>0</v>
      </c>
      <c r="H79" s="2903">
        <f t="shared" ref="H79" si="42">F79-G79</f>
        <v>5</v>
      </c>
      <c r="I79" s="2927">
        <f t="shared" ref="I79" si="43">E79/F79*H79</f>
        <v>986.59</v>
      </c>
      <c r="J79" s="2923">
        <f t="shared" si="41"/>
        <v>0</v>
      </c>
      <c r="K79" s="2714">
        <v>0</v>
      </c>
      <c r="L79" s="1272" t="s">
        <v>8699</v>
      </c>
      <c r="M79" s="2890"/>
      <c r="N79" s="2895"/>
      <c r="P79" s="1336"/>
    </row>
    <row r="80" spans="1:16" ht="15" customHeight="1" thickBot="1" x14ac:dyDescent="0.3">
      <c r="A80" s="2291">
        <v>46015</v>
      </c>
      <c r="B80" s="2627" t="s">
        <v>6210</v>
      </c>
      <c r="C80" s="2970" t="s">
        <v>8687</v>
      </c>
      <c r="D80" s="2971"/>
      <c r="E80" s="2293">
        <v>11.9</v>
      </c>
      <c r="F80" s="2868">
        <v>1</v>
      </c>
      <c r="G80" s="2907">
        <v>0</v>
      </c>
      <c r="H80" s="2903">
        <f t="shared" ref="H80" si="44">F80-G80</f>
        <v>1</v>
      </c>
      <c r="I80" s="2927">
        <f t="shared" ref="I80" si="45">E80/F80*H80</f>
        <v>11.9</v>
      </c>
      <c r="J80" s="2923">
        <f t="shared" si="41"/>
        <v>0</v>
      </c>
      <c r="K80" s="2714">
        <v>0</v>
      </c>
      <c r="L80" s="1272" t="s">
        <v>8695</v>
      </c>
      <c r="M80" s="2901" t="s">
        <v>8334</v>
      </c>
      <c r="N80" s="2887"/>
      <c r="O80" s="2902" t="s">
        <v>8310</v>
      </c>
      <c r="P80" s="1336"/>
    </row>
    <row r="81" spans="1:16" ht="15" customHeight="1" x14ac:dyDescent="0.25">
      <c r="A81" s="2291">
        <v>46017</v>
      </c>
      <c r="B81" s="2627" t="s">
        <v>6210</v>
      </c>
      <c r="C81" s="2970" t="s">
        <v>8688</v>
      </c>
      <c r="D81" s="2971"/>
      <c r="E81" s="2293">
        <v>5.4</v>
      </c>
      <c r="F81" s="2868">
        <v>1</v>
      </c>
      <c r="G81" s="2907">
        <v>0</v>
      </c>
      <c r="H81" s="2903">
        <f t="shared" ref="H81" si="46">F81-G81</f>
        <v>1</v>
      </c>
      <c r="I81" s="2927">
        <f t="shared" ref="I81" si="47">E81/F81*H81</f>
        <v>5.4</v>
      </c>
      <c r="J81" s="2923">
        <f t="shared" si="41"/>
        <v>0</v>
      </c>
      <c r="K81" s="2714">
        <v>0</v>
      </c>
      <c r="L81" s="1272" t="s">
        <v>8700</v>
      </c>
      <c r="M81" s="3269">
        <f>SUMIF(B55:B84,M80,K55:K84)</f>
        <v>297.93799999999999</v>
      </c>
      <c r="N81" s="2887"/>
      <c r="O81" s="3271">
        <f>SUMIF(B55:B84,O80,K55:K84)</f>
        <v>0</v>
      </c>
      <c r="P81" s="1336"/>
    </row>
    <row r="82" spans="1:16" ht="15" customHeight="1" thickBot="1" x14ac:dyDescent="0.3">
      <c r="A82" s="2404">
        <v>46027</v>
      </c>
      <c r="B82" s="3015" t="s">
        <v>8334</v>
      </c>
      <c r="C82" s="2972" t="s">
        <v>8689</v>
      </c>
      <c r="D82" s="2973"/>
      <c r="E82" s="2406">
        <v>1688.42</v>
      </c>
      <c r="F82" s="2875">
        <v>10</v>
      </c>
      <c r="G82" s="2910">
        <v>0</v>
      </c>
      <c r="H82" s="2906">
        <f t="shared" ref="H82" si="48">F82-G82</f>
        <v>10</v>
      </c>
      <c r="I82" s="2931">
        <f t="shared" ref="I82" si="49">E82/F82*H82</f>
        <v>1688.42</v>
      </c>
      <c r="J82" s="2923">
        <f t="shared" si="41"/>
        <v>0</v>
      </c>
      <c r="K82" s="2885">
        <f t="shared" ref="K82" si="50">E82/F82</f>
        <v>168.84200000000001</v>
      </c>
      <c r="L82" s="1247" t="s">
        <v>1525</v>
      </c>
      <c r="M82" s="3270"/>
      <c r="N82" s="2887"/>
      <c r="O82" s="3272"/>
      <c r="P82" s="1336"/>
    </row>
    <row r="83" spans="1:16" ht="15" customHeight="1" x14ac:dyDescent="0.25">
      <c r="A83" s="2291"/>
      <c r="B83" s="2627"/>
      <c r="C83" s="3257"/>
      <c r="D83" s="3258"/>
      <c r="E83" s="2293"/>
      <c r="F83" s="2868"/>
      <c r="G83" s="2907"/>
      <c r="H83" s="2903"/>
      <c r="I83" s="2927"/>
      <c r="J83" s="2923"/>
      <c r="K83" s="2714"/>
      <c r="M83" s="2897"/>
      <c r="N83" s="2887"/>
      <c r="O83" s="2897"/>
      <c r="P83" s="1336"/>
    </row>
    <row r="84" spans="1:16" ht="15" customHeight="1" x14ac:dyDescent="0.25">
      <c r="M84" s="2938"/>
      <c r="N84" s="2887"/>
      <c r="O84" s="2888"/>
      <c r="P84" s="1336"/>
    </row>
    <row r="85" spans="1:16" ht="15.75" thickBot="1" x14ac:dyDescent="0.3">
      <c r="L85" s="2932"/>
      <c r="M85" s="2316"/>
      <c r="N85" s="2043"/>
      <c r="P85" s="1336"/>
    </row>
    <row r="86" spans="1:16" ht="21.75" thickBot="1" x14ac:dyDescent="0.4">
      <c r="A86" s="3248" t="s">
        <v>8427</v>
      </c>
      <c r="B86" s="3249"/>
      <c r="C86" s="3249"/>
      <c r="D86" s="3249"/>
      <c r="E86" s="3249"/>
      <c r="F86" s="3249"/>
      <c r="G86" s="3249"/>
      <c r="H86" s="3249"/>
      <c r="I86" s="3249"/>
      <c r="J86" s="3249"/>
      <c r="K86" s="3250"/>
      <c r="L86" s="2933"/>
      <c r="M86" s="1944"/>
      <c r="N86" s="1667"/>
      <c r="O86" s="1944"/>
      <c r="P86" s="1667"/>
    </row>
    <row r="87" spans="1:16" s="2858" customFormat="1" ht="33" thickBot="1" x14ac:dyDescent="0.35">
      <c r="A87" s="2855" t="s">
        <v>4206</v>
      </c>
      <c r="B87" s="2856" t="s">
        <v>1945</v>
      </c>
      <c r="C87" s="3251" t="s">
        <v>8343</v>
      </c>
      <c r="D87" s="3252"/>
      <c r="E87" s="2856" t="s">
        <v>7632</v>
      </c>
      <c r="F87" s="2856" t="s">
        <v>8345</v>
      </c>
      <c r="G87" s="2946" t="s">
        <v>8344</v>
      </c>
      <c r="H87" s="2947" t="s">
        <v>8346</v>
      </c>
      <c r="I87" s="2947" t="s">
        <v>8347</v>
      </c>
      <c r="J87" s="2948" t="s">
        <v>8367</v>
      </c>
      <c r="K87" s="2948" t="s">
        <v>5395</v>
      </c>
      <c r="L87" s="2939"/>
      <c r="N87" s="2859"/>
      <c r="O87" s="2860"/>
      <c r="P87" s="2861"/>
    </row>
    <row r="88" spans="1:16" ht="16.5" thickBot="1" x14ac:dyDescent="0.3">
      <c r="A88" s="2465">
        <v>45328</v>
      </c>
      <c r="B88" s="2465" t="s">
        <v>6210</v>
      </c>
      <c r="C88" s="3279" t="s">
        <v>6130</v>
      </c>
      <c r="D88" s="3280"/>
      <c r="E88" s="2466">
        <v>33.979999999999997</v>
      </c>
      <c r="F88" s="2867">
        <v>1</v>
      </c>
      <c r="G88" s="2943">
        <v>1</v>
      </c>
      <c r="H88" s="2944">
        <v>1</v>
      </c>
      <c r="I88" s="2945">
        <f>E88/F88*H88</f>
        <v>33.979999999999997</v>
      </c>
      <c r="J88" s="2934">
        <f>SUM(E88-I88)/E88</f>
        <v>0</v>
      </c>
      <c r="K88" s="2468">
        <f t="shared" ref="K88:K93" si="51">E88/F88</f>
        <v>33.979999999999997</v>
      </c>
      <c r="L88" s="1686" t="s">
        <v>1491</v>
      </c>
      <c r="M88" s="2893" t="s">
        <v>8349</v>
      </c>
      <c r="N88" s="1360"/>
      <c r="O88" s="2894" t="s">
        <v>8348</v>
      </c>
      <c r="P88" s="1336"/>
    </row>
    <row r="89" spans="1:16" ht="15.75" thickBot="1" x14ac:dyDescent="0.3">
      <c r="A89" s="2291">
        <v>45505</v>
      </c>
      <c r="B89" s="2292" t="s">
        <v>6210</v>
      </c>
      <c r="C89" s="3255" t="s">
        <v>7799</v>
      </c>
      <c r="D89" s="3256"/>
      <c r="E89" s="2293">
        <v>43</v>
      </c>
      <c r="F89" s="2868">
        <v>1</v>
      </c>
      <c r="G89" s="2907">
        <v>1</v>
      </c>
      <c r="H89" s="2903">
        <v>1</v>
      </c>
      <c r="I89" s="2927">
        <f>E89/F89*H89</f>
        <v>43</v>
      </c>
      <c r="J89" s="2934">
        <f>SUM(E89-I89)/E89</f>
        <v>0</v>
      </c>
      <c r="K89" s="2714">
        <f t="shared" si="51"/>
        <v>43</v>
      </c>
      <c r="L89" s="1686" t="s">
        <v>1504</v>
      </c>
      <c r="M89" s="2844"/>
      <c r="N89" s="2043"/>
      <c r="O89" s="2008"/>
      <c r="P89" s="1336"/>
    </row>
    <row r="90" spans="1:16" ht="15.75" thickBot="1" x14ac:dyDescent="0.3">
      <c r="A90" s="2291">
        <v>45505</v>
      </c>
      <c r="B90" s="2292" t="s">
        <v>6210</v>
      </c>
      <c r="C90" s="3257" t="s">
        <v>7885</v>
      </c>
      <c r="D90" s="3258"/>
      <c r="E90" s="2293">
        <v>20.9</v>
      </c>
      <c r="F90" s="2868">
        <v>1</v>
      </c>
      <c r="G90" s="2907">
        <v>1</v>
      </c>
      <c r="H90" s="2903">
        <v>1</v>
      </c>
      <c r="I90" s="2927">
        <f t="shared" ref="I90:I93" si="52">E90/F90*H90</f>
        <v>20.9</v>
      </c>
      <c r="J90" s="2934">
        <f t="shared" ref="J90:J93" si="53">SUM(E90-I90)/E90</f>
        <v>0</v>
      </c>
      <c r="K90" s="2714">
        <f t="shared" si="51"/>
        <v>20.9</v>
      </c>
      <c r="L90" s="1686" t="s">
        <v>1504</v>
      </c>
      <c r="M90" s="2892" t="s">
        <v>1524</v>
      </c>
      <c r="N90" s="1360"/>
      <c r="O90" s="2892" t="s">
        <v>1524</v>
      </c>
      <c r="P90" s="1336"/>
    </row>
    <row r="91" spans="1:16" ht="15" customHeight="1" x14ac:dyDescent="0.25">
      <c r="A91" s="2291">
        <v>45643</v>
      </c>
      <c r="B91" s="2292" t="s">
        <v>6210</v>
      </c>
      <c r="C91" s="3257" t="s">
        <v>7892</v>
      </c>
      <c r="D91" s="3258"/>
      <c r="E91" s="2293">
        <v>9.99</v>
      </c>
      <c r="F91" s="2868">
        <v>1</v>
      </c>
      <c r="G91" s="2907">
        <v>1</v>
      </c>
      <c r="H91" s="2903">
        <v>1</v>
      </c>
      <c r="I91" s="2927">
        <f t="shared" si="52"/>
        <v>9.99</v>
      </c>
      <c r="J91" s="2934">
        <f t="shared" si="53"/>
        <v>0</v>
      </c>
      <c r="K91" s="2714">
        <f t="shared" si="51"/>
        <v>9.99</v>
      </c>
      <c r="L91" s="1686" t="s">
        <v>1504</v>
      </c>
      <c r="M91" s="3259">
        <f>SUMIF(L88:L123,M90,K88:K123)</f>
        <v>1007.7079047619047</v>
      </c>
      <c r="O91" s="3259">
        <f>SUMIF(L88:L123,O90,I88:I123)</f>
        <v>3166.6779999999999</v>
      </c>
      <c r="P91" s="1336"/>
    </row>
    <row r="92" spans="1:16" ht="15" customHeight="1" thickBot="1" x14ac:dyDescent="0.3">
      <c r="A92" s="2291">
        <v>45936</v>
      </c>
      <c r="B92" s="2292" t="s">
        <v>6210</v>
      </c>
      <c r="C92" s="3257" t="s">
        <v>8330</v>
      </c>
      <c r="D92" s="3258"/>
      <c r="E92" s="2293">
        <v>9.9</v>
      </c>
      <c r="F92" s="2868">
        <v>1</v>
      </c>
      <c r="G92" s="2907">
        <v>1</v>
      </c>
      <c r="H92" s="2903">
        <v>1</v>
      </c>
      <c r="I92" s="2927">
        <f t="shared" si="52"/>
        <v>9.9</v>
      </c>
      <c r="J92" s="2934">
        <f t="shared" si="53"/>
        <v>0</v>
      </c>
      <c r="K92" s="2714">
        <f t="shared" si="51"/>
        <v>9.9</v>
      </c>
      <c r="L92" s="1686" t="s">
        <v>1504</v>
      </c>
      <c r="M92" s="3260"/>
      <c r="N92" s="1360"/>
      <c r="O92" s="3260"/>
      <c r="P92" s="1336"/>
    </row>
    <row r="93" spans="1:16" ht="15" customHeight="1" thickBot="1" x14ac:dyDescent="0.3">
      <c r="A93" s="2711">
        <v>45789</v>
      </c>
      <c r="B93" s="2626" t="s">
        <v>6210</v>
      </c>
      <c r="C93" s="3242" t="s">
        <v>8428</v>
      </c>
      <c r="D93" s="3243"/>
      <c r="E93" s="2712">
        <v>1181.3599999999999</v>
      </c>
      <c r="F93" s="2869">
        <v>10</v>
      </c>
      <c r="G93" s="2907">
        <v>7</v>
      </c>
      <c r="H93" s="2903">
        <f t="shared" ref="H93:H107" si="54">F93-G93</f>
        <v>3</v>
      </c>
      <c r="I93" s="2927">
        <f t="shared" si="52"/>
        <v>354.40800000000002</v>
      </c>
      <c r="J93" s="2934">
        <f t="shared" si="53"/>
        <v>0.7</v>
      </c>
      <c r="K93" s="2714">
        <f t="shared" si="51"/>
        <v>118.136</v>
      </c>
      <c r="L93" s="1247" t="s">
        <v>1524</v>
      </c>
      <c r="M93" s="2890"/>
      <c r="N93" s="2043"/>
      <c r="O93" s="2890"/>
      <c r="P93" s="1336"/>
    </row>
    <row r="94" spans="1:16" ht="15.75" customHeight="1" thickBot="1" x14ac:dyDescent="0.3">
      <c r="A94" s="2711">
        <v>45810</v>
      </c>
      <c r="B94" s="2626" t="s">
        <v>6210</v>
      </c>
      <c r="C94" s="3277" t="s">
        <v>8429</v>
      </c>
      <c r="D94" s="3278"/>
      <c r="E94" s="2712">
        <v>356</v>
      </c>
      <c r="F94" s="2869">
        <v>7</v>
      </c>
      <c r="G94" s="2907">
        <v>6</v>
      </c>
      <c r="H94" s="2903">
        <f t="shared" si="54"/>
        <v>1</v>
      </c>
      <c r="I94" s="2927">
        <f t="shared" ref="I94:I105" si="55">E94/F94*H94</f>
        <v>50.857142857142854</v>
      </c>
      <c r="J94" s="2934">
        <f>SUM(E94-I94)/E94</f>
        <v>0.85714285714285721</v>
      </c>
      <c r="K94" s="2714">
        <f t="shared" ref="K94:K105" si="56">E94/F94</f>
        <v>50.857142857142854</v>
      </c>
      <c r="L94" s="1247" t="s">
        <v>1524</v>
      </c>
      <c r="M94" s="2891" t="s">
        <v>7817</v>
      </c>
      <c r="N94" s="2898"/>
      <c r="O94" s="2891" t="s">
        <v>7817</v>
      </c>
    </row>
    <row r="95" spans="1:16" ht="15" customHeight="1" x14ac:dyDescent="0.25">
      <c r="A95" s="2711">
        <v>45822</v>
      </c>
      <c r="B95" s="2626" t="s">
        <v>6210</v>
      </c>
      <c r="C95" s="3255" t="s">
        <v>8430</v>
      </c>
      <c r="D95" s="3256"/>
      <c r="E95" s="2712">
        <v>4300</v>
      </c>
      <c r="F95" s="2869">
        <v>10</v>
      </c>
      <c r="G95" s="2907">
        <v>5</v>
      </c>
      <c r="H95" s="2903">
        <f t="shared" si="54"/>
        <v>5</v>
      </c>
      <c r="I95" s="2927">
        <f t="shared" si="55"/>
        <v>2150</v>
      </c>
      <c r="J95" s="2934">
        <f>SUM(E95-I95)/E95</f>
        <v>0.5</v>
      </c>
      <c r="K95" s="2714">
        <f t="shared" si="56"/>
        <v>430</v>
      </c>
      <c r="L95" s="1247" t="s">
        <v>1524</v>
      </c>
      <c r="M95" s="3238">
        <f>M99-M91</f>
        <v>2559.77225</v>
      </c>
      <c r="N95" s="1336"/>
      <c r="O95" s="3238">
        <f>O99-O91</f>
        <v>9422.2363333333324</v>
      </c>
    </row>
    <row r="96" spans="1:16" ht="15" customHeight="1" thickBot="1" x14ac:dyDescent="0.3">
      <c r="A96" s="2711">
        <v>45845</v>
      </c>
      <c r="B96" s="2626" t="s">
        <v>6210</v>
      </c>
      <c r="C96" s="3255" t="s">
        <v>8431</v>
      </c>
      <c r="D96" s="3256"/>
      <c r="E96" s="2712">
        <v>375.14</v>
      </c>
      <c r="F96" s="2869">
        <v>7</v>
      </c>
      <c r="G96" s="2907">
        <v>5</v>
      </c>
      <c r="H96" s="2903">
        <f t="shared" si="54"/>
        <v>2</v>
      </c>
      <c r="I96" s="2927">
        <f t="shared" si="55"/>
        <v>107.18285714285715</v>
      </c>
      <c r="J96" s="2923">
        <f t="shared" ref="J96:J97" si="57">SUM(E96-I96)/E96</f>
        <v>0.7142857142857143</v>
      </c>
      <c r="K96" s="2714">
        <f t="shared" si="56"/>
        <v>53.591428571428573</v>
      </c>
      <c r="L96" s="1247" t="s">
        <v>1524</v>
      </c>
      <c r="M96" s="3239"/>
      <c r="N96" s="2889"/>
      <c r="O96" s="3239"/>
    </row>
    <row r="97" spans="1:16" ht="15" customHeight="1" thickBot="1" x14ac:dyDescent="0.3">
      <c r="A97" s="2284">
        <v>45853</v>
      </c>
      <c r="B97" s="2285" t="s">
        <v>6209</v>
      </c>
      <c r="C97" s="3244" t="s">
        <v>8432</v>
      </c>
      <c r="D97" s="3245"/>
      <c r="E97" s="2286">
        <v>205.32</v>
      </c>
      <c r="F97" s="2873">
        <v>6</v>
      </c>
      <c r="G97" s="2908">
        <v>4</v>
      </c>
      <c r="H97" s="2904">
        <f t="shared" si="54"/>
        <v>2</v>
      </c>
      <c r="I97" s="2928">
        <f t="shared" si="55"/>
        <v>68.44</v>
      </c>
      <c r="J97" s="2923">
        <f t="shared" si="57"/>
        <v>0.66666666666666663</v>
      </c>
      <c r="K97" s="2725">
        <f t="shared" si="56"/>
        <v>34.22</v>
      </c>
      <c r="L97" s="1247" t="s">
        <v>1504</v>
      </c>
    </row>
    <row r="98" spans="1:16" ht="15" customHeight="1" thickBot="1" x14ac:dyDescent="0.3">
      <c r="A98" s="2284">
        <v>45869</v>
      </c>
      <c r="B98" s="2715" t="s">
        <v>6209</v>
      </c>
      <c r="C98" s="3244" t="s">
        <v>8433</v>
      </c>
      <c r="D98" s="3245"/>
      <c r="E98" s="2286">
        <v>894.64</v>
      </c>
      <c r="F98" s="2873">
        <v>6</v>
      </c>
      <c r="G98" s="2908">
        <v>4</v>
      </c>
      <c r="H98" s="2904">
        <f t="shared" si="54"/>
        <v>2</v>
      </c>
      <c r="I98" s="2928">
        <f t="shared" si="55"/>
        <v>298.21333333333331</v>
      </c>
      <c r="J98" s="2923">
        <f t="shared" ref="J98:J103" si="58">SUM(E98-I98)/E98</f>
        <v>0.66666666666666674</v>
      </c>
      <c r="K98" s="2725">
        <f t="shared" si="56"/>
        <v>149.10666666666665</v>
      </c>
      <c r="L98" s="1247" t="s">
        <v>1524</v>
      </c>
      <c r="M98" s="2896" t="s">
        <v>8350</v>
      </c>
      <c r="N98" s="2890"/>
      <c r="O98" s="2896" t="s">
        <v>8342</v>
      </c>
    </row>
    <row r="99" spans="1:16" ht="15" customHeight="1" x14ac:dyDescent="0.25">
      <c r="A99" s="2291">
        <v>45919</v>
      </c>
      <c r="B99" s="2627" t="s">
        <v>6210</v>
      </c>
      <c r="C99" s="3257" t="s">
        <v>8434</v>
      </c>
      <c r="D99" s="3258"/>
      <c r="E99" s="2293">
        <v>299</v>
      </c>
      <c r="F99" s="2868">
        <v>3</v>
      </c>
      <c r="G99" s="2907">
        <v>2</v>
      </c>
      <c r="H99" s="2903">
        <f t="shared" si="54"/>
        <v>1</v>
      </c>
      <c r="I99" s="2927">
        <f t="shared" si="55"/>
        <v>99.666666666666671</v>
      </c>
      <c r="J99" s="2923">
        <f t="shared" si="58"/>
        <v>0.66666666666666663</v>
      </c>
      <c r="K99" s="2714">
        <f t="shared" si="56"/>
        <v>99.666666666666671</v>
      </c>
      <c r="L99" s="1247" t="s">
        <v>1524</v>
      </c>
      <c r="M99" s="3240">
        <f>SUM(K88:K123)</f>
        <v>3567.4801547619045</v>
      </c>
      <c r="N99" s="1336"/>
      <c r="O99" s="3240">
        <f>SUM(I88:I123)</f>
        <v>12588.914333333332</v>
      </c>
    </row>
    <row r="100" spans="1:16" ht="15" customHeight="1" thickBot="1" x14ac:dyDescent="0.3">
      <c r="A100" s="2779">
        <v>45922</v>
      </c>
      <c r="B100" s="2784" t="s">
        <v>6210</v>
      </c>
      <c r="C100" s="3273" t="s">
        <v>8435</v>
      </c>
      <c r="D100" s="3274"/>
      <c r="E100" s="2781">
        <v>427.19</v>
      </c>
      <c r="F100" s="2872">
        <v>8</v>
      </c>
      <c r="G100" s="2907">
        <v>2</v>
      </c>
      <c r="H100" s="2903">
        <f t="shared" si="54"/>
        <v>6</v>
      </c>
      <c r="I100" s="2927">
        <f t="shared" si="55"/>
        <v>320.39249999999998</v>
      </c>
      <c r="J100" s="2923">
        <f t="shared" si="58"/>
        <v>0.25000000000000006</v>
      </c>
      <c r="K100" s="2714">
        <f t="shared" si="56"/>
        <v>53.39875</v>
      </c>
      <c r="L100" s="1686" t="s">
        <v>1525</v>
      </c>
      <c r="M100" s="3241"/>
      <c r="N100" s="1360"/>
      <c r="O100" s="3241"/>
    </row>
    <row r="101" spans="1:16" ht="15" customHeight="1" x14ac:dyDescent="0.25">
      <c r="A101" s="2996">
        <v>45931</v>
      </c>
      <c r="B101" s="2997" t="s">
        <v>8310</v>
      </c>
      <c r="C101" s="3275" t="s">
        <v>8436</v>
      </c>
      <c r="D101" s="3276"/>
      <c r="E101" s="2998">
        <v>1121.8</v>
      </c>
      <c r="F101" s="2999">
        <v>3</v>
      </c>
      <c r="G101" s="3000">
        <v>2</v>
      </c>
      <c r="H101" s="3001">
        <f t="shared" si="54"/>
        <v>1</v>
      </c>
      <c r="I101" s="3002">
        <f t="shared" si="55"/>
        <v>373.93333333333334</v>
      </c>
      <c r="J101" s="2923">
        <f t="shared" si="58"/>
        <v>0.66666666666666663</v>
      </c>
      <c r="K101" s="2995">
        <v>373.76</v>
      </c>
      <c r="L101" s="2843" t="s">
        <v>8481</v>
      </c>
      <c r="M101" s="2890"/>
      <c r="N101" s="2890"/>
      <c r="O101" s="2890"/>
    </row>
    <row r="102" spans="1:16" ht="15.75" customHeight="1" thickBot="1" x14ac:dyDescent="0.3">
      <c r="A102" s="2291">
        <v>45931</v>
      </c>
      <c r="B102" s="2627" t="s">
        <v>6210</v>
      </c>
      <c r="C102" s="3257" t="s">
        <v>8531</v>
      </c>
      <c r="D102" s="3258"/>
      <c r="E102" s="2293">
        <v>280</v>
      </c>
      <c r="F102" s="2868">
        <v>4</v>
      </c>
      <c r="G102" s="2907">
        <v>2</v>
      </c>
      <c r="H102" s="2903">
        <f t="shared" si="54"/>
        <v>2</v>
      </c>
      <c r="I102" s="2927">
        <f t="shared" si="55"/>
        <v>140</v>
      </c>
      <c r="J102" s="2923">
        <f t="shared" si="58"/>
        <v>0.5</v>
      </c>
      <c r="K102" s="2714">
        <f t="shared" si="56"/>
        <v>70</v>
      </c>
      <c r="L102" s="1686" t="s">
        <v>1506</v>
      </c>
    </row>
    <row r="103" spans="1:16" ht="15" customHeight="1" thickBot="1" x14ac:dyDescent="0.3">
      <c r="A103" s="2404">
        <v>45937</v>
      </c>
      <c r="B103" s="2846" t="s">
        <v>8334</v>
      </c>
      <c r="C103" s="3246" t="s">
        <v>8437</v>
      </c>
      <c r="D103" s="3247"/>
      <c r="E103" s="2406">
        <v>754.44</v>
      </c>
      <c r="F103" s="2875">
        <v>10</v>
      </c>
      <c r="G103" s="2910">
        <v>2</v>
      </c>
      <c r="H103" s="2906">
        <f t="shared" si="54"/>
        <v>8</v>
      </c>
      <c r="I103" s="2931">
        <f t="shared" si="55"/>
        <v>603.55200000000002</v>
      </c>
      <c r="J103" s="2923">
        <f t="shared" si="58"/>
        <v>0.20000000000000004</v>
      </c>
      <c r="K103" s="2885">
        <f t="shared" si="56"/>
        <v>75.444000000000003</v>
      </c>
      <c r="L103" s="1247" t="s">
        <v>1525</v>
      </c>
      <c r="M103" s="2899" t="s">
        <v>6210</v>
      </c>
      <c r="N103" s="2011"/>
      <c r="O103" s="2900" t="s">
        <v>6209</v>
      </c>
    </row>
    <row r="104" spans="1:16" ht="15" customHeight="1" x14ac:dyDescent="0.25">
      <c r="A104" s="2404">
        <v>45937</v>
      </c>
      <c r="B104" s="2846" t="s">
        <v>8334</v>
      </c>
      <c r="C104" s="3246" t="s">
        <v>8438</v>
      </c>
      <c r="D104" s="3247"/>
      <c r="E104" s="2406">
        <v>536.52</v>
      </c>
      <c r="F104" s="2875">
        <v>10</v>
      </c>
      <c r="G104" s="2910">
        <v>2</v>
      </c>
      <c r="H104" s="2906">
        <f t="shared" si="54"/>
        <v>8</v>
      </c>
      <c r="I104" s="2931">
        <f t="shared" si="55"/>
        <v>429.21600000000001</v>
      </c>
      <c r="J104" s="2923">
        <f t="shared" ref="J104:J110" si="59">SUM(E104-I104)/E104</f>
        <v>0.19999999999999996</v>
      </c>
      <c r="K104" s="2885">
        <f t="shared" si="56"/>
        <v>53.652000000000001</v>
      </c>
      <c r="L104" s="1686" t="s">
        <v>1525</v>
      </c>
      <c r="M104" s="3265">
        <f>SUMIF(B88:B123,M103,K88:K123)</f>
        <v>1943.719988095238</v>
      </c>
      <c r="N104" s="2897"/>
      <c r="O104" s="3267">
        <f>SUMIF(B88:B123,O103,K88:K123)</f>
        <v>703.41416666666669</v>
      </c>
    </row>
    <row r="105" spans="1:16" ht="15" customHeight="1" thickBot="1" x14ac:dyDescent="0.3">
      <c r="A105" s="2291">
        <v>45945</v>
      </c>
      <c r="B105" s="2627" t="s">
        <v>6210</v>
      </c>
      <c r="C105" s="3257" t="s">
        <v>8439</v>
      </c>
      <c r="D105" s="3258"/>
      <c r="E105" s="2293">
        <v>3759.7</v>
      </c>
      <c r="F105" s="2868">
        <v>10</v>
      </c>
      <c r="G105" s="2907">
        <v>1</v>
      </c>
      <c r="H105" s="2903">
        <f t="shared" si="54"/>
        <v>9</v>
      </c>
      <c r="I105" s="2927">
        <f t="shared" si="55"/>
        <v>3383.7299999999996</v>
      </c>
      <c r="J105" s="2923">
        <f t="shared" si="59"/>
        <v>0.10000000000000007</v>
      </c>
      <c r="K105" s="2714">
        <f t="shared" si="56"/>
        <v>375.96999999999997</v>
      </c>
      <c r="L105" s="1686" t="s">
        <v>1525</v>
      </c>
      <c r="M105" s="3266"/>
      <c r="N105" s="2897"/>
      <c r="O105" s="3268"/>
      <c r="P105" s="1336"/>
    </row>
    <row r="106" spans="1:16" ht="15" customHeight="1" thickBot="1" x14ac:dyDescent="0.3">
      <c r="A106" s="2284">
        <v>45957</v>
      </c>
      <c r="B106" s="2715" t="s">
        <v>6209</v>
      </c>
      <c r="C106" s="3244" t="s">
        <v>8460</v>
      </c>
      <c r="D106" s="3245"/>
      <c r="E106" s="2286">
        <v>489.9</v>
      </c>
      <c r="F106" s="2873">
        <v>8</v>
      </c>
      <c r="G106" s="2908">
        <v>1</v>
      </c>
      <c r="H106" s="2904">
        <f t="shared" si="54"/>
        <v>7</v>
      </c>
      <c r="I106" s="2928">
        <f t="shared" ref="I106:I112" si="60">E106/F106*H106</f>
        <v>428.66249999999997</v>
      </c>
      <c r="J106" s="2955">
        <f t="shared" si="59"/>
        <v>0.12500000000000003</v>
      </c>
      <c r="K106" s="2725">
        <f t="shared" ref="K106:K109" si="61">E106/F106</f>
        <v>61.237499999999997</v>
      </c>
      <c r="L106" s="1247" t="s">
        <v>1525</v>
      </c>
      <c r="M106" s="2890"/>
      <c r="N106" s="2895"/>
      <c r="P106" s="1336"/>
    </row>
    <row r="107" spans="1:16" ht="15" customHeight="1" thickBot="1" x14ac:dyDescent="0.3">
      <c r="A107" s="2284">
        <v>45965</v>
      </c>
      <c r="B107" s="2715" t="s">
        <v>6209</v>
      </c>
      <c r="C107" s="3244" t="s">
        <v>8479</v>
      </c>
      <c r="D107" s="3245"/>
      <c r="E107" s="2286">
        <v>1695.3</v>
      </c>
      <c r="F107" s="2873">
        <v>5</v>
      </c>
      <c r="G107" s="2908">
        <v>1</v>
      </c>
      <c r="H107" s="2904">
        <f t="shared" si="54"/>
        <v>4</v>
      </c>
      <c r="I107" s="2928">
        <f t="shared" si="60"/>
        <v>1356.24</v>
      </c>
      <c r="J107" s="2955">
        <f t="shared" si="59"/>
        <v>0.19999999999999998</v>
      </c>
      <c r="K107" s="2725">
        <f t="shared" si="61"/>
        <v>339.06</v>
      </c>
      <c r="L107" s="1247" t="s">
        <v>1523</v>
      </c>
      <c r="M107" s="2901" t="s">
        <v>8334</v>
      </c>
      <c r="N107" s="2887"/>
      <c r="O107" s="2902" t="s">
        <v>8310</v>
      </c>
      <c r="P107" s="1336"/>
    </row>
    <row r="108" spans="1:16" ht="15" customHeight="1" x14ac:dyDescent="0.25">
      <c r="A108" s="2291">
        <v>45968</v>
      </c>
      <c r="B108" s="2627" t="s">
        <v>6210</v>
      </c>
      <c r="C108" s="3257" t="s">
        <v>8519</v>
      </c>
      <c r="D108" s="3258"/>
      <c r="E108" s="2293">
        <v>452.7</v>
      </c>
      <c r="F108" s="2868">
        <v>5</v>
      </c>
      <c r="G108" s="2907">
        <v>1</v>
      </c>
      <c r="H108" s="2903">
        <f>F108-G108</f>
        <v>4</v>
      </c>
      <c r="I108" s="2927">
        <f t="shared" si="60"/>
        <v>362.15999999999997</v>
      </c>
      <c r="J108" s="2923">
        <f t="shared" si="59"/>
        <v>0.20000000000000004</v>
      </c>
      <c r="K108" s="2714">
        <f t="shared" si="61"/>
        <v>90.539999999999992</v>
      </c>
      <c r="L108" s="1247" t="s">
        <v>1523</v>
      </c>
      <c r="M108" s="3269">
        <f>SUMIF(B88:B123,M107,K88:K123)</f>
        <v>546.58600000000001</v>
      </c>
      <c r="N108" s="2887"/>
      <c r="O108" s="3271">
        <f>SUMIF(B88:B123,O107,K88:K123)</f>
        <v>373.76</v>
      </c>
      <c r="P108" s="1336"/>
    </row>
    <row r="109" spans="1:16" ht="15.75" customHeight="1" thickBot="1" x14ac:dyDescent="0.3">
      <c r="A109" s="2284">
        <v>45972</v>
      </c>
      <c r="B109" s="2715" t="s">
        <v>6209</v>
      </c>
      <c r="C109" s="3244" t="s">
        <v>8506</v>
      </c>
      <c r="D109" s="3245"/>
      <c r="E109" s="2286">
        <v>267.52</v>
      </c>
      <c r="F109" s="2873">
        <v>4</v>
      </c>
      <c r="G109" s="2908">
        <v>1</v>
      </c>
      <c r="H109" s="2904">
        <f>F109-G109</f>
        <v>3</v>
      </c>
      <c r="I109" s="2928">
        <f t="shared" si="60"/>
        <v>200.64</v>
      </c>
      <c r="J109" s="2955">
        <f t="shared" si="59"/>
        <v>0.25</v>
      </c>
      <c r="K109" s="2725">
        <f t="shared" si="61"/>
        <v>66.88</v>
      </c>
      <c r="L109" s="1247" t="s">
        <v>6731</v>
      </c>
      <c r="M109" s="3270"/>
      <c r="N109" s="2887"/>
      <c r="O109" s="3272"/>
      <c r="P109" s="1336"/>
    </row>
    <row r="110" spans="1:16" ht="15.75" customHeight="1" x14ac:dyDescent="0.25">
      <c r="A110" s="2284">
        <v>45979</v>
      </c>
      <c r="B110" s="2715" t="s">
        <v>6209</v>
      </c>
      <c r="C110" s="3244" t="s">
        <v>8533</v>
      </c>
      <c r="D110" s="3245"/>
      <c r="E110" s="2286">
        <v>211.64</v>
      </c>
      <c r="F110" s="2873">
        <v>4</v>
      </c>
      <c r="G110" s="2908">
        <v>0</v>
      </c>
      <c r="H110" s="2904">
        <f>F110-G110</f>
        <v>4</v>
      </c>
      <c r="I110" s="2928">
        <f t="shared" si="60"/>
        <v>211.64</v>
      </c>
      <c r="J110" s="2955">
        <f t="shared" si="59"/>
        <v>0</v>
      </c>
      <c r="K110" s="2725">
        <f>E110/F110</f>
        <v>52.91</v>
      </c>
      <c r="L110" s="1247" t="s">
        <v>1506</v>
      </c>
      <c r="M110" s="2938"/>
      <c r="P110" s="1336"/>
    </row>
    <row r="111" spans="1:16" ht="15" customHeight="1" x14ac:dyDescent="0.25">
      <c r="A111" s="2291">
        <v>45983</v>
      </c>
      <c r="B111" s="2627" t="s">
        <v>6210</v>
      </c>
      <c r="C111" s="3257" t="s">
        <v>8551</v>
      </c>
      <c r="D111" s="3258"/>
      <c r="E111" s="2293">
        <v>280</v>
      </c>
      <c r="F111" s="2868">
        <v>1</v>
      </c>
      <c r="G111" s="2907">
        <v>0</v>
      </c>
      <c r="H111" s="2903">
        <f>F111-G111</f>
        <v>1</v>
      </c>
      <c r="I111" s="2927">
        <f t="shared" si="60"/>
        <v>280</v>
      </c>
      <c r="J111" s="2923">
        <f t="shared" ref="J111:J112" si="62">SUM(E111-I111)/E111</f>
        <v>0</v>
      </c>
      <c r="K111" s="2714">
        <v>0</v>
      </c>
      <c r="L111" s="1272" t="s">
        <v>8552</v>
      </c>
      <c r="P111" s="1336"/>
    </row>
    <row r="112" spans="1:16" ht="15" customHeight="1" x14ac:dyDescent="0.25">
      <c r="A112" s="2291">
        <v>45986</v>
      </c>
      <c r="B112" s="2627" t="s">
        <v>6210</v>
      </c>
      <c r="C112" s="3257" t="s">
        <v>8550</v>
      </c>
      <c r="D112" s="3258"/>
      <c r="E112" s="2293">
        <v>139.9</v>
      </c>
      <c r="F112" s="2868">
        <v>1</v>
      </c>
      <c r="G112" s="2907">
        <v>0</v>
      </c>
      <c r="H112" s="2903">
        <f>F112-G112</f>
        <v>1</v>
      </c>
      <c r="I112" s="2927">
        <f t="shared" si="60"/>
        <v>139.9</v>
      </c>
      <c r="J112" s="2923">
        <f t="shared" si="62"/>
        <v>0</v>
      </c>
      <c r="K112" s="2714">
        <v>0</v>
      </c>
      <c r="L112" s="1272" t="s">
        <v>8552</v>
      </c>
      <c r="P112" s="1336"/>
    </row>
    <row r="113" spans="1:16" ht="15" customHeight="1" x14ac:dyDescent="0.25">
      <c r="A113" s="2291">
        <v>45990</v>
      </c>
      <c r="B113" s="2627" t="s">
        <v>6210</v>
      </c>
      <c r="C113" s="3257" t="s">
        <v>8563</v>
      </c>
      <c r="D113" s="3258"/>
      <c r="E113" s="2293">
        <v>22.9</v>
      </c>
      <c r="F113" s="2868">
        <v>1</v>
      </c>
      <c r="G113" s="2907">
        <v>0</v>
      </c>
      <c r="H113" s="2903">
        <f t="shared" ref="H113:H116" si="63">F113-G113</f>
        <v>1</v>
      </c>
      <c r="I113" s="2927">
        <f t="shared" ref="I113:I117" si="64">E113/F113*H113</f>
        <v>22.9</v>
      </c>
      <c r="J113" s="2923">
        <f t="shared" ref="J113:J117" si="65">SUM(E113-I113)/E113</f>
        <v>0</v>
      </c>
      <c r="K113" s="2714">
        <f t="shared" ref="K113:K117" si="66">E113/F113</f>
        <v>22.9</v>
      </c>
      <c r="L113" s="1247" t="s">
        <v>1489</v>
      </c>
      <c r="P113" s="1336"/>
    </row>
    <row r="114" spans="1:16" ht="15" customHeight="1" x14ac:dyDescent="0.25">
      <c r="A114" s="2291">
        <v>45990</v>
      </c>
      <c r="B114" s="2627" t="s">
        <v>6210</v>
      </c>
      <c r="C114" s="3257" t="s">
        <v>8564</v>
      </c>
      <c r="D114" s="3258"/>
      <c r="E114" s="2293">
        <v>134.68</v>
      </c>
      <c r="F114" s="2868">
        <v>1</v>
      </c>
      <c r="G114" s="2907">
        <v>0</v>
      </c>
      <c r="H114" s="2903">
        <f t="shared" si="63"/>
        <v>1</v>
      </c>
      <c r="I114" s="2927">
        <f t="shared" si="64"/>
        <v>134.68</v>
      </c>
      <c r="J114" s="2923">
        <f t="shared" si="65"/>
        <v>0</v>
      </c>
      <c r="K114" s="2714">
        <f t="shared" si="66"/>
        <v>134.68</v>
      </c>
      <c r="L114" s="1247" t="s">
        <v>6731</v>
      </c>
      <c r="P114" s="1336"/>
    </row>
    <row r="115" spans="1:16" ht="15" customHeight="1" x14ac:dyDescent="0.25">
      <c r="A115" s="2291">
        <v>45990</v>
      </c>
      <c r="B115" s="2627" t="s">
        <v>6210</v>
      </c>
      <c r="C115" s="3257" t="s">
        <v>8565</v>
      </c>
      <c r="D115" s="3258"/>
      <c r="E115" s="2293">
        <v>115.18</v>
      </c>
      <c r="F115" s="2868">
        <v>1</v>
      </c>
      <c r="G115" s="2907">
        <v>0</v>
      </c>
      <c r="H115" s="2903">
        <f t="shared" si="63"/>
        <v>1</v>
      </c>
      <c r="I115" s="2927">
        <f t="shared" si="64"/>
        <v>115.18</v>
      </c>
      <c r="J115" s="2923">
        <f t="shared" si="65"/>
        <v>0</v>
      </c>
      <c r="K115" s="2714">
        <f t="shared" si="66"/>
        <v>115.18</v>
      </c>
      <c r="L115" s="1247" t="s">
        <v>6731</v>
      </c>
      <c r="P115" s="1336"/>
    </row>
    <row r="116" spans="1:16" ht="15" customHeight="1" x14ac:dyDescent="0.25">
      <c r="A116" s="2404">
        <v>46001</v>
      </c>
      <c r="B116" s="3007" t="s">
        <v>8334</v>
      </c>
      <c r="C116" s="3246" t="s">
        <v>8618</v>
      </c>
      <c r="D116" s="3247"/>
      <c r="E116" s="2406">
        <v>106.35</v>
      </c>
      <c r="F116" s="2875">
        <v>1</v>
      </c>
      <c r="G116" s="2910">
        <v>0</v>
      </c>
      <c r="H116" s="2906">
        <f t="shared" si="63"/>
        <v>1</v>
      </c>
      <c r="I116" s="2931">
        <f t="shared" si="64"/>
        <v>106.35</v>
      </c>
      <c r="J116" s="2923">
        <f t="shared" si="65"/>
        <v>0</v>
      </c>
      <c r="K116" s="2885">
        <f t="shared" si="66"/>
        <v>106.35</v>
      </c>
      <c r="L116" s="1247" t="s">
        <v>1524</v>
      </c>
      <c r="M116" s="2938" t="s">
        <v>8605</v>
      </c>
      <c r="N116" s="2888"/>
      <c r="O116" s="2887"/>
      <c r="P116" s="1336"/>
    </row>
    <row r="117" spans="1:16" ht="15" customHeight="1" x14ac:dyDescent="0.25">
      <c r="A117" s="2291">
        <v>46003</v>
      </c>
      <c r="B117" s="2627" t="s">
        <v>6210</v>
      </c>
      <c r="C117" s="3257" t="s">
        <v>8607</v>
      </c>
      <c r="D117" s="3258"/>
      <c r="E117" s="2293">
        <v>422.06</v>
      </c>
      <c r="F117" s="2868">
        <v>2</v>
      </c>
      <c r="G117" s="2907">
        <v>0</v>
      </c>
      <c r="H117" s="2903">
        <f t="shared" ref="H117" si="67">F117-G117</f>
        <v>2</v>
      </c>
      <c r="I117" s="2927">
        <f t="shared" si="64"/>
        <v>422.06</v>
      </c>
      <c r="J117" s="2923">
        <f t="shared" si="65"/>
        <v>0</v>
      </c>
      <c r="K117" s="2714">
        <f t="shared" si="66"/>
        <v>211.03</v>
      </c>
      <c r="L117" s="1247" t="s">
        <v>1523</v>
      </c>
      <c r="P117" s="1336"/>
    </row>
    <row r="118" spans="1:16" ht="15" customHeight="1" x14ac:dyDescent="0.25">
      <c r="A118" s="2404">
        <v>46007</v>
      </c>
      <c r="B118" s="2846" t="s">
        <v>8334</v>
      </c>
      <c r="C118" s="3246" t="s">
        <v>8619</v>
      </c>
      <c r="D118" s="3247"/>
      <c r="E118" s="2406">
        <v>66.2</v>
      </c>
      <c r="F118" s="2875">
        <v>1</v>
      </c>
      <c r="G118" s="2910">
        <v>0</v>
      </c>
      <c r="H118" s="2906">
        <f>F118-G118</f>
        <v>1</v>
      </c>
      <c r="I118" s="2931">
        <f>E118/F118*H118</f>
        <v>66.2</v>
      </c>
      <c r="J118" s="2923">
        <f>SUM(E118-I118)/E118</f>
        <v>0</v>
      </c>
      <c r="K118" s="2885">
        <f>E118/F118</f>
        <v>66.2</v>
      </c>
      <c r="L118" s="1247" t="s">
        <v>1525</v>
      </c>
      <c r="M118" s="2938"/>
      <c r="N118" s="2888"/>
      <c r="O118" s="2887"/>
      <c r="P118" s="1336"/>
    </row>
    <row r="119" spans="1:16" ht="15.75" customHeight="1" x14ac:dyDescent="0.25">
      <c r="A119" s="2404">
        <v>46007</v>
      </c>
      <c r="B119" s="2846" t="s">
        <v>8334</v>
      </c>
      <c r="C119" s="3246" t="s">
        <v>8620</v>
      </c>
      <c r="D119" s="3247"/>
      <c r="E119" s="2406">
        <v>66.2</v>
      </c>
      <c r="F119" s="2875">
        <v>1</v>
      </c>
      <c r="G119" s="2910">
        <v>0</v>
      </c>
      <c r="H119" s="2906">
        <f>F119-G119</f>
        <v>1</v>
      </c>
      <c r="I119" s="2931">
        <f>E119/F119*H119</f>
        <v>66.2</v>
      </c>
      <c r="J119" s="2923">
        <f>SUM(E119-I119)/E119</f>
        <v>0</v>
      </c>
      <c r="K119" s="2885">
        <f>E119/F119</f>
        <v>66.2</v>
      </c>
      <c r="L119" s="1686" t="s">
        <v>1525</v>
      </c>
      <c r="P119" s="1336"/>
    </row>
    <row r="120" spans="1:16" ht="15.75" customHeight="1" x14ac:dyDescent="0.25">
      <c r="A120" s="2404">
        <v>46007</v>
      </c>
      <c r="B120" s="2846" t="s">
        <v>8334</v>
      </c>
      <c r="C120" s="3246" t="s">
        <v>8625</v>
      </c>
      <c r="D120" s="3247"/>
      <c r="E120" s="2406">
        <v>178.74</v>
      </c>
      <c r="F120" s="2875">
        <v>1</v>
      </c>
      <c r="G120" s="2910">
        <v>0</v>
      </c>
      <c r="H120" s="2906">
        <f>F120-G120</f>
        <v>1</v>
      </c>
      <c r="I120" s="2931">
        <f>E120/F120*H120</f>
        <v>178.74</v>
      </c>
      <c r="J120" s="2923">
        <f>SUM(E120-I120)/E120</f>
        <v>0</v>
      </c>
      <c r="K120" s="2885">
        <f>E120/F120</f>
        <v>178.74</v>
      </c>
      <c r="L120" s="1247" t="s">
        <v>6731</v>
      </c>
      <c r="P120" s="1336"/>
    </row>
    <row r="121" spans="1:16" ht="15" customHeight="1" x14ac:dyDescent="0.25">
      <c r="A121" s="2291"/>
      <c r="B121" s="2627"/>
      <c r="C121" s="3257"/>
      <c r="D121" s="3258"/>
      <c r="E121" s="2293"/>
      <c r="F121" s="2868"/>
      <c r="G121" s="2907"/>
      <c r="H121" s="2903"/>
      <c r="I121" s="2927"/>
      <c r="J121" s="2923"/>
      <c r="K121" s="2714"/>
      <c r="P121" s="1336"/>
    </row>
    <row r="122" spans="1:16" ht="15" customHeight="1" x14ac:dyDescent="0.25">
      <c r="P122" s="1336"/>
    </row>
    <row r="123" spans="1:16" ht="15" customHeight="1" thickBot="1" x14ac:dyDescent="0.3">
      <c r="M123" s="2938"/>
      <c r="N123" s="2887"/>
      <c r="O123" s="2888"/>
      <c r="P123" s="1336"/>
    </row>
    <row r="124" spans="1:16" ht="21.75" thickBot="1" x14ac:dyDescent="0.4">
      <c r="A124" s="3248" t="s">
        <v>8379</v>
      </c>
      <c r="B124" s="3249"/>
      <c r="C124" s="3249"/>
      <c r="D124" s="3249"/>
      <c r="E124" s="3249"/>
      <c r="F124" s="3249"/>
      <c r="G124" s="3249"/>
      <c r="H124" s="3249"/>
      <c r="I124" s="3249"/>
      <c r="J124" s="3249"/>
      <c r="K124" s="3250"/>
      <c r="L124" s="2933"/>
      <c r="M124" s="1944"/>
      <c r="N124" s="1667"/>
      <c r="O124" s="1944"/>
      <c r="P124" s="1667"/>
    </row>
    <row r="125" spans="1:16" s="2858" customFormat="1" ht="33" thickBot="1" x14ac:dyDescent="0.35">
      <c r="A125" s="2855" t="s">
        <v>4206</v>
      </c>
      <c r="B125" s="2856" t="s">
        <v>1945</v>
      </c>
      <c r="C125" s="3251" t="s">
        <v>8343</v>
      </c>
      <c r="D125" s="3252"/>
      <c r="E125" s="2856" t="s">
        <v>7632</v>
      </c>
      <c r="F125" s="2856" t="s">
        <v>8345</v>
      </c>
      <c r="G125" s="2946" t="s">
        <v>8344</v>
      </c>
      <c r="H125" s="2947" t="s">
        <v>8346</v>
      </c>
      <c r="I125" s="2947" t="s">
        <v>8347</v>
      </c>
      <c r="J125" s="2948" t="s">
        <v>8367</v>
      </c>
      <c r="K125" s="2948" t="s">
        <v>5395</v>
      </c>
      <c r="L125" s="2939"/>
      <c r="N125" s="2859"/>
      <c r="O125" s="2860"/>
      <c r="P125" s="2861"/>
    </row>
    <row r="126" spans="1:16" ht="16.5" thickBot="1" x14ac:dyDescent="0.3">
      <c r="A126" s="2465">
        <v>45328</v>
      </c>
      <c r="B126" s="2465" t="s">
        <v>6210</v>
      </c>
      <c r="C126" s="3253" t="s">
        <v>6130</v>
      </c>
      <c r="D126" s="3254"/>
      <c r="E126" s="2466">
        <v>33.979999999999997</v>
      </c>
      <c r="F126" s="2867">
        <v>1</v>
      </c>
      <c r="G126" s="2943">
        <v>1</v>
      </c>
      <c r="H126" s="2944">
        <v>1</v>
      </c>
      <c r="I126" s="2945">
        <f>E126/F126*H126</f>
        <v>33.979999999999997</v>
      </c>
      <c r="J126" s="2934">
        <f>SUM(E126-I126)/E126</f>
        <v>0</v>
      </c>
      <c r="K126" s="2468">
        <v>0</v>
      </c>
      <c r="L126" s="1272" t="s">
        <v>8510</v>
      </c>
      <c r="M126" s="2893" t="s">
        <v>8349</v>
      </c>
      <c r="N126" s="1360"/>
      <c r="O126" s="2894" t="s">
        <v>8348</v>
      </c>
      <c r="P126" s="1336"/>
    </row>
    <row r="127" spans="1:16" ht="15.75" thickBot="1" x14ac:dyDescent="0.3">
      <c r="A127" s="2291">
        <v>45505</v>
      </c>
      <c r="B127" s="2292" t="s">
        <v>6210</v>
      </c>
      <c r="C127" s="3255" t="s">
        <v>7799</v>
      </c>
      <c r="D127" s="3256"/>
      <c r="E127" s="2293">
        <v>43</v>
      </c>
      <c r="F127" s="2868">
        <v>1</v>
      </c>
      <c r="G127" s="2907">
        <v>1</v>
      </c>
      <c r="H127" s="2903">
        <v>1</v>
      </c>
      <c r="I127" s="2927">
        <f>E127/F127*H127</f>
        <v>43</v>
      </c>
      <c r="J127" s="2934">
        <f>SUM(E127-I127)/E127</f>
        <v>0</v>
      </c>
      <c r="K127" s="2714">
        <v>0</v>
      </c>
      <c r="L127" s="1272" t="s">
        <v>8511</v>
      </c>
      <c r="M127" s="2844"/>
      <c r="N127" s="2043"/>
      <c r="O127" s="2008"/>
      <c r="P127" s="1336"/>
    </row>
    <row r="128" spans="1:16" ht="15.75" thickBot="1" x14ac:dyDescent="0.3">
      <c r="A128" s="2291">
        <v>45505</v>
      </c>
      <c r="B128" s="2292" t="s">
        <v>6210</v>
      </c>
      <c r="C128" s="3257" t="s">
        <v>7885</v>
      </c>
      <c r="D128" s="3258"/>
      <c r="E128" s="2293">
        <v>20.9</v>
      </c>
      <c r="F128" s="2868">
        <v>1</v>
      </c>
      <c r="G128" s="2907">
        <v>1</v>
      </c>
      <c r="H128" s="2903">
        <v>1</v>
      </c>
      <c r="I128" s="2927">
        <f t="shared" ref="I128:I137" si="68">E128/F128*H128</f>
        <v>20.9</v>
      </c>
      <c r="J128" s="2934">
        <f t="shared" ref="J128:J137" si="69">SUM(E128-I128)/E128</f>
        <v>0</v>
      </c>
      <c r="K128" s="2714">
        <v>0</v>
      </c>
      <c r="L128" s="1272" t="s">
        <v>8511</v>
      </c>
      <c r="M128" s="2892" t="s">
        <v>1524</v>
      </c>
      <c r="N128" s="1360"/>
      <c r="O128" s="2892" t="s">
        <v>1524</v>
      </c>
      <c r="P128" s="1336"/>
    </row>
    <row r="129" spans="1:16" ht="15" customHeight="1" x14ac:dyDescent="0.25">
      <c r="A129" s="2291">
        <v>45643</v>
      </c>
      <c r="B129" s="2292" t="s">
        <v>6210</v>
      </c>
      <c r="C129" s="3257" t="s">
        <v>7892</v>
      </c>
      <c r="D129" s="3258"/>
      <c r="E129" s="2293">
        <v>9.99</v>
      </c>
      <c r="F129" s="2868">
        <v>1</v>
      </c>
      <c r="G129" s="2907">
        <v>1</v>
      </c>
      <c r="H129" s="2903">
        <v>1</v>
      </c>
      <c r="I129" s="2927">
        <f t="shared" si="68"/>
        <v>9.99</v>
      </c>
      <c r="J129" s="2934">
        <f t="shared" si="69"/>
        <v>0</v>
      </c>
      <c r="K129" s="2714">
        <v>0</v>
      </c>
      <c r="L129" s="1272" t="s">
        <v>8511</v>
      </c>
      <c r="M129" s="3259">
        <f ca="1">SUMIF(L126:L169,M128,K126:K166)</f>
        <v>1277.7929047619048</v>
      </c>
      <c r="O129" s="3259">
        <f>SUMIF(L126:L166,O128,I126:I166)</f>
        <v>4338.1209047619041</v>
      </c>
      <c r="P129" s="1336"/>
    </row>
    <row r="130" spans="1:16" ht="15" customHeight="1" thickBot="1" x14ac:dyDescent="0.3">
      <c r="A130" s="2291">
        <v>45936</v>
      </c>
      <c r="B130" s="2292" t="s">
        <v>6210</v>
      </c>
      <c r="C130" s="3261" t="s">
        <v>8330</v>
      </c>
      <c r="D130" s="3262"/>
      <c r="E130" s="2293">
        <v>9.9</v>
      </c>
      <c r="F130" s="2868">
        <v>1</v>
      </c>
      <c r="G130" s="2907">
        <v>1</v>
      </c>
      <c r="H130" s="2903">
        <v>1</v>
      </c>
      <c r="I130" s="2927">
        <f t="shared" si="68"/>
        <v>9.9</v>
      </c>
      <c r="J130" s="2934">
        <f t="shared" si="69"/>
        <v>0</v>
      </c>
      <c r="K130" s="2714">
        <v>0</v>
      </c>
      <c r="L130" s="1272" t="s">
        <v>8511</v>
      </c>
      <c r="M130" s="3260"/>
      <c r="N130" s="1360"/>
      <c r="O130" s="3260"/>
      <c r="P130" s="1336"/>
    </row>
    <row r="131" spans="1:16" ht="15" customHeight="1" thickBot="1" x14ac:dyDescent="0.3">
      <c r="A131" s="2711">
        <v>45789</v>
      </c>
      <c r="B131" s="2626" t="s">
        <v>6210</v>
      </c>
      <c r="C131" s="3242" t="s">
        <v>8380</v>
      </c>
      <c r="D131" s="3243"/>
      <c r="E131" s="2712">
        <v>1181.3599999999999</v>
      </c>
      <c r="F131" s="2869">
        <v>10</v>
      </c>
      <c r="G131" s="2907">
        <v>6</v>
      </c>
      <c r="H131" s="2903">
        <f>F131-G131</f>
        <v>4</v>
      </c>
      <c r="I131" s="2927">
        <f t="shared" si="68"/>
        <v>472.54399999999998</v>
      </c>
      <c r="J131" s="2934">
        <f t="shared" si="69"/>
        <v>0.6</v>
      </c>
      <c r="K131" s="2714">
        <f t="shared" ref="K131:K137" si="70">E131/F131</f>
        <v>118.136</v>
      </c>
      <c r="L131" s="1247" t="s">
        <v>1524</v>
      </c>
      <c r="M131" s="2890"/>
      <c r="N131" s="2043"/>
      <c r="O131" s="2890"/>
      <c r="P131" s="1336"/>
    </row>
    <row r="132" spans="1:16" ht="15.75" customHeight="1" thickBot="1" x14ac:dyDescent="0.3">
      <c r="A132" s="2733">
        <v>45803</v>
      </c>
      <c r="B132" s="2734" t="s">
        <v>6209</v>
      </c>
      <c r="C132" s="3283" t="s">
        <v>8381</v>
      </c>
      <c r="D132" s="3284"/>
      <c r="E132" s="2735">
        <v>1520.79</v>
      </c>
      <c r="F132" s="2870">
        <v>6</v>
      </c>
      <c r="G132" s="2908">
        <v>5</v>
      </c>
      <c r="H132" s="2904">
        <f t="shared" ref="H132:H137" si="71">F132-G132</f>
        <v>1</v>
      </c>
      <c r="I132" s="2928">
        <f t="shared" si="68"/>
        <v>253.465</v>
      </c>
      <c r="J132" s="2934">
        <f t="shared" si="69"/>
        <v>0.83333333333333337</v>
      </c>
      <c r="K132" s="2725">
        <f t="shared" si="70"/>
        <v>253.465</v>
      </c>
      <c r="L132" s="1247" t="s">
        <v>1524</v>
      </c>
      <c r="M132" s="2891" t="s">
        <v>7817</v>
      </c>
      <c r="N132" s="2898"/>
      <c r="O132" s="2891" t="s">
        <v>7817</v>
      </c>
    </row>
    <row r="133" spans="1:16" ht="15" customHeight="1" x14ac:dyDescent="0.25">
      <c r="A133" s="2733">
        <v>45803</v>
      </c>
      <c r="B133" s="2734" t="s">
        <v>6209</v>
      </c>
      <c r="C133" s="3283" t="s">
        <v>8382</v>
      </c>
      <c r="D133" s="3284"/>
      <c r="E133" s="2735">
        <v>363.94</v>
      </c>
      <c r="F133" s="2870">
        <v>6</v>
      </c>
      <c r="G133" s="2908">
        <v>5</v>
      </c>
      <c r="H133" s="2904">
        <f t="shared" si="71"/>
        <v>1</v>
      </c>
      <c r="I133" s="2928">
        <f t="shared" si="68"/>
        <v>60.656666666666666</v>
      </c>
      <c r="J133" s="2934">
        <f t="shared" si="69"/>
        <v>0.83333333333333326</v>
      </c>
      <c r="K133" s="2725">
        <f t="shared" si="70"/>
        <v>60.656666666666666</v>
      </c>
      <c r="L133" s="1247" t="s">
        <v>1524</v>
      </c>
      <c r="M133" s="3238">
        <f ca="1">M137-M129</f>
        <v>1660.5322500000004</v>
      </c>
      <c r="N133" s="1336"/>
      <c r="O133" s="3238">
        <f>O137-O129</f>
        <v>10263.458583333337</v>
      </c>
    </row>
    <row r="134" spans="1:16" ht="15" customHeight="1" thickBot="1" x14ac:dyDescent="0.3">
      <c r="A134" s="2733">
        <v>45803</v>
      </c>
      <c r="B134" s="2734" t="s">
        <v>6209</v>
      </c>
      <c r="C134" s="3283" t="s">
        <v>8383</v>
      </c>
      <c r="D134" s="3284"/>
      <c r="E134" s="2735">
        <v>269.91000000000003</v>
      </c>
      <c r="F134" s="2870">
        <v>6</v>
      </c>
      <c r="G134" s="2908">
        <v>5</v>
      </c>
      <c r="H134" s="2904">
        <f t="shared" si="71"/>
        <v>1</v>
      </c>
      <c r="I134" s="2928">
        <f t="shared" si="68"/>
        <v>44.985000000000007</v>
      </c>
      <c r="J134" s="2934">
        <f t="shared" si="69"/>
        <v>0.83333333333333326</v>
      </c>
      <c r="K134" s="2725">
        <f t="shared" si="70"/>
        <v>44.985000000000007</v>
      </c>
      <c r="L134" s="1247" t="s">
        <v>1524</v>
      </c>
      <c r="M134" s="3239"/>
      <c r="N134" s="2889"/>
      <c r="O134" s="3239"/>
    </row>
    <row r="135" spans="1:16" ht="15" customHeight="1" thickBot="1" x14ac:dyDescent="0.3">
      <c r="A135" s="2733">
        <v>45803</v>
      </c>
      <c r="B135" s="2734" t="s">
        <v>6209</v>
      </c>
      <c r="C135" s="3283" t="s">
        <v>8384</v>
      </c>
      <c r="D135" s="3284"/>
      <c r="E135" s="2735">
        <v>53.97</v>
      </c>
      <c r="F135" s="2870">
        <v>6</v>
      </c>
      <c r="G135" s="2908">
        <v>5</v>
      </c>
      <c r="H135" s="2904">
        <f t="shared" si="71"/>
        <v>1</v>
      </c>
      <c r="I135" s="2928">
        <f t="shared" si="68"/>
        <v>8.9949999999999992</v>
      </c>
      <c r="J135" s="2934">
        <f t="shared" si="69"/>
        <v>0.83333333333333337</v>
      </c>
      <c r="K135" s="2725">
        <f t="shared" si="70"/>
        <v>8.9949999999999992</v>
      </c>
      <c r="L135" s="1247" t="s">
        <v>1524</v>
      </c>
    </row>
    <row r="136" spans="1:16" ht="15" customHeight="1" thickBot="1" x14ac:dyDescent="0.3">
      <c r="A136" s="2733">
        <v>45803</v>
      </c>
      <c r="B136" s="2734" t="s">
        <v>6209</v>
      </c>
      <c r="C136" s="3283" t="s">
        <v>8385</v>
      </c>
      <c r="D136" s="3284"/>
      <c r="E136" s="2735">
        <v>50</v>
      </c>
      <c r="F136" s="2870">
        <v>6</v>
      </c>
      <c r="G136" s="2908">
        <v>5</v>
      </c>
      <c r="H136" s="2904">
        <f t="shared" si="71"/>
        <v>1</v>
      </c>
      <c r="I136" s="2928">
        <f t="shared" si="68"/>
        <v>8.3333333333333339</v>
      </c>
      <c r="J136" s="2934">
        <f t="shared" si="69"/>
        <v>0.83333333333333326</v>
      </c>
      <c r="K136" s="2725">
        <f t="shared" si="70"/>
        <v>8.3333333333333339</v>
      </c>
      <c r="L136" s="1247" t="s">
        <v>1524</v>
      </c>
      <c r="M136" s="2896" t="s">
        <v>8350</v>
      </c>
      <c r="N136" s="2890"/>
      <c r="O136" s="2896" t="s">
        <v>8342</v>
      </c>
    </row>
    <row r="137" spans="1:16" ht="15" customHeight="1" x14ac:dyDescent="0.25">
      <c r="A137" s="2711">
        <v>45810</v>
      </c>
      <c r="B137" s="2626" t="s">
        <v>6210</v>
      </c>
      <c r="C137" s="3277" t="s">
        <v>8386</v>
      </c>
      <c r="D137" s="3278"/>
      <c r="E137" s="2712">
        <v>356</v>
      </c>
      <c r="F137" s="2869">
        <v>7</v>
      </c>
      <c r="G137" s="2907">
        <v>5</v>
      </c>
      <c r="H137" s="2903">
        <f t="shared" si="71"/>
        <v>2</v>
      </c>
      <c r="I137" s="2927">
        <f t="shared" si="68"/>
        <v>101.71428571428571</v>
      </c>
      <c r="J137" s="2934">
        <f t="shared" si="69"/>
        <v>0.7142857142857143</v>
      </c>
      <c r="K137" s="2714">
        <f t="shared" si="70"/>
        <v>50.857142857142854</v>
      </c>
      <c r="L137" s="1247" t="s">
        <v>1524</v>
      </c>
      <c r="M137" s="3240">
        <f>SUM(K126:K166)</f>
        <v>2938.3251547619052</v>
      </c>
      <c r="N137" s="1336"/>
      <c r="O137" s="3240">
        <f>SUM(I126:I166)</f>
        <v>14601.57948809524</v>
      </c>
    </row>
    <row r="138" spans="1:16" ht="15" customHeight="1" thickBot="1" x14ac:dyDescent="0.3">
      <c r="A138" s="2711">
        <v>45822</v>
      </c>
      <c r="B138" s="2626" t="s">
        <v>6210</v>
      </c>
      <c r="C138" s="3255" t="s">
        <v>8387</v>
      </c>
      <c r="D138" s="3256"/>
      <c r="E138" s="2712">
        <v>4300</v>
      </c>
      <c r="F138" s="2869">
        <v>10</v>
      </c>
      <c r="G138" s="2907">
        <v>4</v>
      </c>
      <c r="H138" s="2903">
        <f t="shared" ref="H138:H151" si="72">F138-G138</f>
        <v>6</v>
      </c>
      <c r="I138" s="2927">
        <f t="shared" ref="I138:I151" si="73">E138/F138*H138</f>
        <v>2580</v>
      </c>
      <c r="J138" s="2934">
        <f>SUM(E138-I138)/E138</f>
        <v>0.4</v>
      </c>
      <c r="K138" s="2714">
        <f>E138/F138</f>
        <v>430</v>
      </c>
      <c r="L138" s="1247" t="s">
        <v>1524</v>
      </c>
      <c r="M138" s="3241"/>
      <c r="N138" s="1360"/>
      <c r="O138" s="3241"/>
    </row>
    <row r="139" spans="1:16" ht="15" customHeight="1" x14ac:dyDescent="0.25">
      <c r="A139" s="2790">
        <v>45841</v>
      </c>
      <c r="B139" s="2794" t="s">
        <v>7493</v>
      </c>
      <c r="C139" s="3285" t="s">
        <v>8213</v>
      </c>
      <c r="D139" s="3286"/>
      <c r="E139" s="2791">
        <v>318.52</v>
      </c>
      <c r="F139" s="2871">
        <v>5</v>
      </c>
      <c r="G139" s="2911">
        <v>5</v>
      </c>
      <c r="H139" s="2912">
        <f t="shared" si="72"/>
        <v>0</v>
      </c>
      <c r="I139" s="2929">
        <f t="shared" si="73"/>
        <v>0</v>
      </c>
      <c r="J139" s="2925">
        <f>SUM(E139-I139)/E139</f>
        <v>1</v>
      </c>
      <c r="K139" s="2883">
        <v>0</v>
      </c>
      <c r="L139" s="1272" t="s">
        <v>8314</v>
      </c>
      <c r="M139" s="2890"/>
      <c r="N139" s="2890"/>
      <c r="O139" s="2890"/>
    </row>
    <row r="140" spans="1:16" ht="15.75" customHeight="1" x14ac:dyDescent="0.25">
      <c r="A140" s="2711">
        <v>45845</v>
      </c>
      <c r="B140" s="2626" t="s">
        <v>6210</v>
      </c>
      <c r="C140" s="3255" t="s">
        <v>8388</v>
      </c>
      <c r="D140" s="3256"/>
      <c r="E140" s="2712">
        <v>375.14</v>
      </c>
      <c r="F140" s="2869">
        <v>7</v>
      </c>
      <c r="G140" s="2907">
        <v>4</v>
      </c>
      <c r="H140" s="2903">
        <f t="shared" si="72"/>
        <v>3</v>
      </c>
      <c r="I140" s="2927">
        <f t="shared" si="73"/>
        <v>160.77428571428572</v>
      </c>
      <c r="J140" s="2923">
        <f t="shared" ref="J140:J141" si="74">SUM(E140-I140)/E140</f>
        <v>0.5714285714285714</v>
      </c>
      <c r="K140" s="2714">
        <f t="shared" ref="K140:K146" si="75">E140/F140</f>
        <v>53.591428571428573</v>
      </c>
      <c r="L140" s="1247" t="s">
        <v>1524</v>
      </c>
    </row>
    <row r="141" spans="1:16" ht="15" customHeight="1" thickBot="1" x14ac:dyDescent="0.3">
      <c r="A141" s="2284">
        <v>45853</v>
      </c>
      <c r="B141" s="2285" t="s">
        <v>6209</v>
      </c>
      <c r="C141" s="3244" t="s">
        <v>8389</v>
      </c>
      <c r="D141" s="3245"/>
      <c r="E141" s="2286">
        <v>205.32</v>
      </c>
      <c r="F141" s="2873">
        <v>6</v>
      </c>
      <c r="G141" s="2908">
        <v>3</v>
      </c>
      <c r="H141" s="2904">
        <f t="shared" si="72"/>
        <v>3</v>
      </c>
      <c r="I141" s="2928">
        <f t="shared" si="73"/>
        <v>102.66</v>
      </c>
      <c r="J141" s="2923">
        <f t="shared" si="74"/>
        <v>0.5</v>
      </c>
      <c r="K141" s="2725">
        <f t="shared" si="75"/>
        <v>34.22</v>
      </c>
      <c r="L141" s="1247" t="s">
        <v>1504</v>
      </c>
    </row>
    <row r="142" spans="1:16" ht="15" customHeight="1" thickBot="1" x14ac:dyDescent="0.3">
      <c r="A142" s="2284">
        <v>45869</v>
      </c>
      <c r="B142" s="2715" t="s">
        <v>6209</v>
      </c>
      <c r="C142" s="3244" t="s">
        <v>8390</v>
      </c>
      <c r="D142" s="3245"/>
      <c r="E142" s="2286">
        <v>894.64</v>
      </c>
      <c r="F142" s="2873">
        <v>6</v>
      </c>
      <c r="G142" s="2908">
        <v>3</v>
      </c>
      <c r="H142" s="2904">
        <f t="shared" si="72"/>
        <v>3</v>
      </c>
      <c r="I142" s="2928">
        <f t="shared" si="73"/>
        <v>447.31999999999994</v>
      </c>
      <c r="J142" s="2923">
        <f t="shared" ref="J142:J150" si="76">SUM(E142-I142)/E142</f>
        <v>0.50000000000000011</v>
      </c>
      <c r="K142" s="2725">
        <f t="shared" si="75"/>
        <v>149.10666666666665</v>
      </c>
      <c r="L142" s="1247" t="s">
        <v>1524</v>
      </c>
      <c r="M142" s="2899" t="s">
        <v>6210</v>
      </c>
      <c r="N142" s="2011"/>
      <c r="O142" s="2900" t="s">
        <v>6209</v>
      </c>
    </row>
    <row r="143" spans="1:16" ht="15" customHeight="1" x14ac:dyDescent="0.25">
      <c r="A143" s="2291">
        <v>45911</v>
      </c>
      <c r="B143" s="2627" t="s">
        <v>6210</v>
      </c>
      <c r="C143" s="3257" t="s">
        <v>8391</v>
      </c>
      <c r="D143" s="3258"/>
      <c r="E143" s="2293">
        <v>273.39999999999998</v>
      </c>
      <c r="F143" s="2868">
        <v>3</v>
      </c>
      <c r="G143" s="2907">
        <v>2</v>
      </c>
      <c r="H143" s="2903">
        <f t="shared" si="72"/>
        <v>1</v>
      </c>
      <c r="I143" s="2927">
        <f t="shared" si="73"/>
        <v>91.133333333333326</v>
      </c>
      <c r="J143" s="2923">
        <f t="shared" si="76"/>
        <v>0.66666666666666663</v>
      </c>
      <c r="K143" s="2714">
        <v>0</v>
      </c>
      <c r="L143" s="1272" t="s">
        <v>8510</v>
      </c>
      <c r="M143" s="3265">
        <f>SUMIF(B126:B166,M142,K126:K166)</f>
        <v>1408.529988095238</v>
      </c>
      <c r="N143" s="2897"/>
      <c r="O143" s="3267">
        <f>SUMIF(B126:B166,O142,K126:K166)</f>
        <v>1026.9391666666666</v>
      </c>
      <c r="P143" s="1336"/>
    </row>
    <row r="144" spans="1:16" ht="15" customHeight="1" thickBot="1" x14ac:dyDescent="0.3">
      <c r="A144" s="2291">
        <v>45919</v>
      </c>
      <c r="B144" s="2627" t="s">
        <v>6210</v>
      </c>
      <c r="C144" s="3257" t="s">
        <v>8392</v>
      </c>
      <c r="D144" s="3258"/>
      <c r="E144" s="2293">
        <v>299</v>
      </c>
      <c r="F144" s="2868">
        <v>3</v>
      </c>
      <c r="G144" s="2907">
        <v>1</v>
      </c>
      <c r="H144" s="2903">
        <f t="shared" si="72"/>
        <v>2</v>
      </c>
      <c r="I144" s="2927">
        <f t="shared" si="73"/>
        <v>199.33333333333334</v>
      </c>
      <c r="J144" s="2923">
        <f t="shared" si="76"/>
        <v>0.33333333333333331</v>
      </c>
      <c r="K144" s="2714">
        <f t="shared" si="75"/>
        <v>99.666666666666671</v>
      </c>
      <c r="L144" s="1247" t="s">
        <v>1524</v>
      </c>
      <c r="M144" s="3266"/>
      <c r="N144" s="2897"/>
      <c r="O144" s="3268"/>
      <c r="P144" s="1336"/>
    </row>
    <row r="145" spans="1:16" ht="15.75" customHeight="1" thickBot="1" x14ac:dyDescent="0.3">
      <c r="A145" s="2779">
        <v>45922</v>
      </c>
      <c r="B145" s="2784" t="s">
        <v>6210</v>
      </c>
      <c r="C145" s="3273" t="s">
        <v>8393</v>
      </c>
      <c r="D145" s="3274"/>
      <c r="E145" s="2781">
        <v>427.19</v>
      </c>
      <c r="F145" s="2872">
        <v>8</v>
      </c>
      <c r="G145" s="2907">
        <v>1</v>
      </c>
      <c r="H145" s="2903">
        <f t="shared" si="72"/>
        <v>7</v>
      </c>
      <c r="I145" s="2927">
        <f t="shared" si="73"/>
        <v>373.79124999999999</v>
      </c>
      <c r="J145" s="2923">
        <f t="shared" si="76"/>
        <v>0.12500000000000003</v>
      </c>
      <c r="K145" s="2714">
        <f t="shared" si="75"/>
        <v>53.39875</v>
      </c>
      <c r="L145" s="1272" t="s">
        <v>1525</v>
      </c>
      <c r="M145" s="2890"/>
      <c r="N145" s="2895"/>
      <c r="P145" s="1336"/>
    </row>
    <row r="146" spans="1:16" ht="15.75" customHeight="1" thickBot="1" x14ac:dyDescent="0.3">
      <c r="A146" s="2840">
        <v>45931</v>
      </c>
      <c r="B146" s="2841" t="s">
        <v>8310</v>
      </c>
      <c r="C146" s="3483" t="s">
        <v>8394</v>
      </c>
      <c r="D146" s="3484"/>
      <c r="E146" s="2842">
        <v>1121.28</v>
      </c>
      <c r="F146" s="2874">
        <v>3</v>
      </c>
      <c r="G146" s="2909">
        <v>1</v>
      </c>
      <c r="H146" s="2905">
        <f t="shared" si="72"/>
        <v>2</v>
      </c>
      <c r="I146" s="2930">
        <f t="shared" si="73"/>
        <v>747.52</v>
      </c>
      <c r="J146" s="2923">
        <f t="shared" si="76"/>
        <v>0.33333333333333331</v>
      </c>
      <c r="K146" s="2884">
        <f t="shared" si="75"/>
        <v>373.76</v>
      </c>
      <c r="L146" s="2843" t="s">
        <v>8480</v>
      </c>
      <c r="M146" s="2901" t="s">
        <v>8334</v>
      </c>
      <c r="N146" s="2887"/>
      <c r="O146" s="2902" t="s">
        <v>8310</v>
      </c>
      <c r="P146" s="1336"/>
    </row>
    <row r="147" spans="1:16" ht="15" customHeight="1" x14ac:dyDescent="0.25">
      <c r="A147" s="2291">
        <v>45931</v>
      </c>
      <c r="B147" s="2627" t="s">
        <v>6210</v>
      </c>
      <c r="C147" s="3257" t="s">
        <v>8395</v>
      </c>
      <c r="D147" s="3258"/>
      <c r="E147" s="2293">
        <v>150</v>
      </c>
      <c r="F147" s="2868">
        <v>2</v>
      </c>
      <c r="G147" s="2907">
        <v>1</v>
      </c>
      <c r="H147" s="2903">
        <f t="shared" si="72"/>
        <v>1</v>
      </c>
      <c r="I147" s="2927">
        <f t="shared" si="73"/>
        <v>75</v>
      </c>
      <c r="J147" s="2923">
        <f t="shared" si="76"/>
        <v>0.5</v>
      </c>
      <c r="K147" s="2714">
        <v>0</v>
      </c>
      <c r="L147" s="1272" t="s">
        <v>8445</v>
      </c>
      <c r="M147" s="3269">
        <f>SUMIF(B126:B166,M146,K126:K166)</f>
        <v>129.096</v>
      </c>
      <c r="N147" s="2887"/>
      <c r="O147" s="3271">
        <f>SUMIF(B126:B166,O146,K126:K166)</f>
        <v>373.76</v>
      </c>
      <c r="P147" s="1336"/>
    </row>
    <row r="148" spans="1:16" ht="15" customHeight="1" thickBot="1" x14ac:dyDescent="0.3">
      <c r="A148" s="2291">
        <v>45931</v>
      </c>
      <c r="B148" s="2627" t="s">
        <v>6210</v>
      </c>
      <c r="C148" s="3257" t="s">
        <v>8530</v>
      </c>
      <c r="D148" s="3258"/>
      <c r="E148" s="2293">
        <v>280</v>
      </c>
      <c r="F148" s="2868">
        <v>4</v>
      </c>
      <c r="G148" s="2907">
        <v>1</v>
      </c>
      <c r="H148" s="2903">
        <f t="shared" si="72"/>
        <v>3</v>
      </c>
      <c r="I148" s="2927">
        <f t="shared" si="73"/>
        <v>210</v>
      </c>
      <c r="J148" s="2923">
        <f t="shared" si="76"/>
        <v>0.25</v>
      </c>
      <c r="K148" s="2714">
        <v>0</v>
      </c>
      <c r="L148" s="1272" t="s">
        <v>8445</v>
      </c>
      <c r="M148" s="3270"/>
      <c r="N148" s="2887"/>
      <c r="O148" s="3272"/>
      <c r="P148" s="1336"/>
    </row>
    <row r="149" spans="1:16" ht="15" customHeight="1" x14ac:dyDescent="0.25">
      <c r="A149" s="2404">
        <v>45937</v>
      </c>
      <c r="B149" s="2846" t="s">
        <v>8334</v>
      </c>
      <c r="C149" s="3246" t="s">
        <v>8397</v>
      </c>
      <c r="D149" s="3247"/>
      <c r="E149" s="2406">
        <v>754.44</v>
      </c>
      <c r="F149" s="2875">
        <v>10</v>
      </c>
      <c r="G149" s="2910">
        <v>1</v>
      </c>
      <c r="H149" s="2906">
        <f t="shared" si="72"/>
        <v>9</v>
      </c>
      <c r="I149" s="2931">
        <f t="shared" si="73"/>
        <v>678.99599999999998</v>
      </c>
      <c r="J149" s="2923">
        <f t="shared" si="76"/>
        <v>0.10000000000000009</v>
      </c>
      <c r="K149" s="2885">
        <f t="shared" ref="K149:K153" si="77">E149/F149</f>
        <v>75.444000000000003</v>
      </c>
      <c r="L149" s="1247" t="s">
        <v>1525</v>
      </c>
      <c r="P149" s="1336"/>
    </row>
    <row r="150" spans="1:16" ht="15" customHeight="1" x14ac:dyDescent="0.25">
      <c r="A150" s="2404">
        <v>45937</v>
      </c>
      <c r="B150" s="2846" t="s">
        <v>8334</v>
      </c>
      <c r="C150" s="3246" t="s">
        <v>8398</v>
      </c>
      <c r="D150" s="3247"/>
      <c r="E150" s="2406">
        <v>536.52</v>
      </c>
      <c r="F150" s="2875">
        <v>10</v>
      </c>
      <c r="G150" s="2910">
        <v>1</v>
      </c>
      <c r="H150" s="2906">
        <f t="shared" si="72"/>
        <v>9</v>
      </c>
      <c r="I150" s="2931">
        <f t="shared" si="73"/>
        <v>482.86799999999999</v>
      </c>
      <c r="J150" s="2923">
        <f t="shared" si="76"/>
        <v>9.9999999999999978E-2</v>
      </c>
      <c r="K150" s="2885">
        <f t="shared" si="77"/>
        <v>53.652000000000001</v>
      </c>
      <c r="L150" s="1686" t="s">
        <v>1525</v>
      </c>
      <c r="P150" s="1336"/>
    </row>
    <row r="151" spans="1:16" ht="15" customHeight="1" x14ac:dyDescent="0.25">
      <c r="A151" s="2291">
        <v>45945</v>
      </c>
      <c r="B151" s="2627" t="s">
        <v>6210</v>
      </c>
      <c r="C151" s="3257" t="s">
        <v>8377</v>
      </c>
      <c r="D151" s="3258"/>
      <c r="E151" s="2293">
        <v>3759.7</v>
      </c>
      <c r="F151" s="2868">
        <v>10</v>
      </c>
      <c r="G151" s="2907">
        <v>0</v>
      </c>
      <c r="H151" s="2903">
        <f t="shared" si="72"/>
        <v>10</v>
      </c>
      <c r="I151" s="2927">
        <f t="shared" si="73"/>
        <v>3759.7</v>
      </c>
      <c r="J151" s="2923">
        <f t="shared" ref="J151" si="78">SUM(E151-I151)/E151</f>
        <v>0</v>
      </c>
      <c r="K151" s="2714">
        <v>0</v>
      </c>
      <c r="L151" s="1272" t="s">
        <v>8495</v>
      </c>
      <c r="M151" s="2938" t="s">
        <v>8426</v>
      </c>
      <c r="N151" s="2887"/>
      <c r="O151" s="2888"/>
      <c r="P151" s="1336"/>
    </row>
    <row r="152" spans="1:16" ht="15" customHeight="1" x14ac:dyDescent="0.25">
      <c r="A152" s="2291">
        <v>45951</v>
      </c>
      <c r="B152" s="2627" t="s">
        <v>6210</v>
      </c>
      <c r="C152" s="3257" t="s">
        <v>8444</v>
      </c>
      <c r="D152" s="3258"/>
      <c r="E152" s="2293">
        <v>206.26</v>
      </c>
      <c r="F152" s="2868">
        <v>1</v>
      </c>
      <c r="G152" s="2907">
        <v>0</v>
      </c>
      <c r="H152" s="2903">
        <f t="shared" ref="H152:H155" si="79">F152-G152</f>
        <v>1</v>
      </c>
      <c r="I152" s="2927">
        <f t="shared" ref="I152:I153" si="80">E152/F152*H152</f>
        <v>206.26</v>
      </c>
      <c r="J152" s="2923">
        <f t="shared" ref="J152:J153" si="81">SUM(E152-I152)/E152</f>
        <v>0</v>
      </c>
      <c r="K152" s="2714">
        <v>0</v>
      </c>
      <c r="L152" s="1272" t="s">
        <v>8495</v>
      </c>
      <c r="M152" s="2938" t="s">
        <v>8443</v>
      </c>
      <c r="N152" s="2887"/>
      <c r="O152" s="2888"/>
      <c r="P152" s="1336"/>
    </row>
    <row r="153" spans="1:16" ht="15" customHeight="1" x14ac:dyDescent="0.25">
      <c r="A153" s="2291">
        <v>45953</v>
      </c>
      <c r="B153" s="2627" t="s">
        <v>6210</v>
      </c>
      <c r="C153" s="3257" t="s">
        <v>8449</v>
      </c>
      <c r="D153" s="3258"/>
      <c r="E153" s="2293">
        <v>90.84</v>
      </c>
      <c r="F153" s="2868">
        <v>1</v>
      </c>
      <c r="G153" s="2878">
        <v>0</v>
      </c>
      <c r="H153" s="2903">
        <f t="shared" si="79"/>
        <v>1</v>
      </c>
      <c r="I153" s="2927">
        <f t="shared" si="80"/>
        <v>90.84</v>
      </c>
      <c r="J153" s="2923">
        <f t="shared" si="81"/>
        <v>0</v>
      </c>
      <c r="K153" s="2714">
        <f t="shared" si="77"/>
        <v>90.84</v>
      </c>
      <c r="L153" s="1247" t="s">
        <v>6731</v>
      </c>
      <c r="M153" s="3003" t="s">
        <v>8450</v>
      </c>
      <c r="N153" s="2888"/>
      <c r="O153" s="2887"/>
      <c r="P153" s="1336"/>
    </row>
    <row r="154" spans="1:16" ht="15" customHeight="1" x14ac:dyDescent="0.25">
      <c r="A154" s="2291">
        <v>45954</v>
      </c>
      <c r="B154" s="2627" t="s">
        <v>6210</v>
      </c>
      <c r="C154" s="3257" t="s">
        <v>8451</v>
      </c>
      <c r="D154" s="3258"/>
      <c r="E154" s="2293">
        <v>189.7</v>
      </c>
      <c r="F154" s="2868">
        <v>1</v>
      </c>
      <c r="G154" s="2878">
        <v>0</v>
      </c>
      <c r="H154" s="2903">
        <f t="shared" si="79"/>
        <v>1</v>
      </c>
      <c r="I154" s="2927">
        <f>E154/F154*H154</f>
        <v>189.7</v>
      </c>
      <c r="J154" s="2923">
        <f>SUM(E154-I154)/E154</f>
        <v>0</v>
      </c>
      <c r="K154" s="2714">
        <f>E154/F154</f>
        <v>189.7</v>
      </c>
      <c r="L154" s="1247" t="s">
        <v>6731</v>
      </c>
      <c r="M154" s="3003" t="s">
        <v>8452</v>
      </c>
      <c r="N154" s="2888"/>
      <c r="O154" s="2887"/>
      <c r="P154" s="1336"/>
    </row>
    <row r="155" spans="1:16" ht="15" customHeight="1" x14ac:dyDescent="0.25">
      <c r="A155" s="2284">
        <v>45957</v>
      </c>
      <c r="B155" s="2715" t="s">
        <v>6209</v>
      </c>
      <c r="C155" s="3244" t="s">
        <v>8458</v>
      </c>
      <c r="D155" s="3245"/>
      <c r="E155" s="2286">
        <v>489.9</v>
      </c>
      <c r="F155" s="2873">
        <v>8</v>
      </c>
      <c r="G155" s="2954">
        <v>0</v>
      </c>
      <c r="H155" s="2904">
        <f t="shared" si="79"/>
        <v>8</v>
      </c>
      <c r="I155" s="2928">
        <f>E155/F155*H155</f>
        <v>489.9</v>
      </c>
      <c r="J155" s="2955">
        <f>SUM(E155-I155)/E155</f>
        <v>0</v>
      </c>
      <c r="K155" s="2725">
        <f>E155/F155</f>
        <v>61.237499999999997</v>
      </c>
      <c r="L155" s="1247" t="s">
        <v>1525</v>
      </c>
      <c r="M155" s="2938" t="s">
        <v>8459</v>
      </c>
      <c r="N155" s="2888"/>
      <c r="O155" s="2887"/>
      <c r="P155" s="1336"/>
    </row>
    <row r="156" spans="1:16" ht="15" customHeight="1" x14ac:dyDescent="0.25">
      <c r="A156" s="2291">
        <v>45965</v>
      </c>
      <c r="B156" s="2627" t="s">
        <v>6210</v>
      </c>
      <c r="C156" s="3257" t="s">
        <v>8474</v>
      </c>
      <c r="D156" s="3258"/>
      <c r="E156" s="2293">
        <v>46.19</v>
      </c>
      <c r="F156" s="2868">
        <v>1</v>
      </c>
      <c r="G156" s="2878">
        <v>0</v>
      </c>
      <c r="H156" s="2903">
        <f t="shared" ref="H156:H158" si="82">F156-G156</f>
        <v>1</v>
      </c>
      <c r="I156" s="2927">
        <f t="shared" ref="I156:I157" si="83">E156/F156*H156</f>
        <v>46.19</v>
      </c>
      <c r="J156" s="2923">
        <f t="shared" ref="J156:J157" si="84">SUM(E156-I156)/E156</f>
        <v>0</v>
      </c>
      <c r="K156" s="2714">
        <f t="shared" ref="K156:K157" si="85">E156/F156</f>
        <v>46.19</v>
      </c>
      <c r="L156" s="1247" t="s">
        <v>1525</v>
      </c>
      <c r="M156" s="2938"/>
      <c r="N156" s="2888"/>
      <c r="O156" s="2887"/>
      <c r="P156" s="1336"/>
    </row>
    <row r="157" spans="1:16" ht="15" customHeight="1" x14ac:dyDescent="0.25">
      <c r="A157" s="2291">
        <v>45965</v>
      </c>
      <c r="B157" s="2627" t="s">
        <v>6210</v>
      </c>
      <c r="C157" s="3257" t="s">
        <v>8475</v>
      </c>
      <c r="D157" s="3258"/>
      <c r="E157" s="2293">
        <v>42.5</v>
      </c>
      <c r="F157" s="2868">
        <v>1</v>
      </c>
      <c r="G157" s="2878">
        <v>0</v>
      </c>
      <c r="H157" s="2903">
        <f t="shared" si="82"/>
        <v>1</v>
      </c>
      <c r="I157" s="2927">
        <f t="shared" si="83"/>
        <v>42.5</v>
      </c>
      <c r="J157" s="2923">
        <f t="shared" si="84"/>
        <v>0</v>
      </c>
      <c r="K157" s="2714">
        <f t="shared" si="85"/>
        <v>42.5</v>
      </c>
      <c r="L157" s="1247" t="s">
        <v>1525</v>
      </c>
      <c r="M157" s="2938"/>
      <c r="N157" s="2888"/>
      <c r="O157" s="2887"/>
      <c r="P157" s="1336"/>
    </row>
    <row r="158" spans="1:16" ht="15" customHeight="1" x14ac:dyDescent="0.25">
      <c r="A158" s="2284">
        <v>45965</v>
      </c>
      <c r="B158" s="2715" t="s">
        <v>6209</v>
      </c>
      <c r="C158" s="3244" t="s">
        <v>8476</v>
      </c>
      <c r="D158" s="3245"/>
      <c r="E158" s="2286">
        <v>1695.3</v>
      </c>
      <c r="F158" s="2873">
        <v>5</v>
      </c>
      <c r="G158" s="2954">
        <v>0</v>
      </c>
      <c r="H158" s="2904">
        <f t="shared" si="82"/>
        <v>5</v>
      </c>
      <c r="I158" s="2928">
        <f>E158/F158*H158</f>
        <v>1695.3</v>
      </c>
      <c r="J158" s="2955">
        <f>SUM(E158-I158)/E158</f>
        <v>0</v>
      </c>
      <c r="K158" s="2725">
        <f>E158/F158</f>
        <v>339.06</v>
      </c>
      <c r="L158" s="1247" t="s">
        <v>1523</v>
      </c>
      <c r="M158" s="2938"/>
      <c r="N158" s="2888"/>
      <c r="O158" s="2887"/>
      <c r="P158" s="1336"/>
    </row>
    <row r="159" spans="1:16" ht="15" customHeight="1" x14ac:dyDescent="0.25">
      <c r="A159" s="2291">
        <v>45968</v>
      </c>
      <c r="B159" s="2627" t="s">
        <v>6210</v>
      </c>
      <c r="C159" s="3257" t="s">
        <v>8473</v>
      </c>
      <c r="D159" s="3258"/>
      <c r="E159" s="2293">
        <v>143.11000000000001</v>
      </c>
      <c r="F159" s="2868">
        <v>1</v>
      </c>
      <c r="G159" s="2878">
        <v>0</v>
      </c>
      <c r="H159" s="2903">
        <f>F159-G159</f>
        <v>1</v>
      </c>
      <c r="I159" s="2927">
        <f>E159/F159*H159</f>
        <v>143.11000000000001</v>
      </c>
      <c r="J159" s="2923">
        <f>SUM(E159-I159)/E159</f>
        <v>0</v>
      </c>
      <c r="K159" s="2714">
        <f>E159/F159</f>
        <v>143.11000000000001</v>
      </c>
      <c r="L159" s="1247" t="s">
        <v>1525</v>
      </c>
      <c r="M159" s="2938"/>
      <c r="N159" s="2888"/>
      <c r="O159" s="2887"/>
      <c r="P159" s="1336"/>
    </row>
    <row r="160" spans="1:16" ht="15" customHeight="1" x14ac:dyDescent="0.25">
      <c r="A160" s="2291">
        <v>45968</v>
      </c>
      <c r="B160" s="2627" t="s">
        <v>6210</v>
      </c>
      <c r="C160" s="3257" t="s">
        <v>8518</v>
      </c>
      <c r="D160" s="3258"/>
      <c r="E160" s="2293">
        <v>452.7</v>
      </c>
      <c r="F160" s="2868">
        <v>5</v>
      </c>
      <c r="G160" s="2878">
        <v>0</v>
      </c>
      <c r="H160" s="2903">
        <f>F160-G160</f>
        <v>5</v>
      </c>
      <c r="I160" s="2927">
        <f>E160/F160*H160</f>
        <v>452.69999999999993</v>
      </c>
      <c r="J160" s="2923">
        <f>SUM(E160-I160)/E160</f>
        <v>1.255653166794964E-16</v>
      </c>
      <c r="K160" s="2714">
        <f>E160/F160</f>
        <v>90.539999999999992</v>
      </c>
      <c r="L160" s="1247" t="s">
        <v>1523</v>
      </c>
      <c r="M160" s="2938"/>
      <c r="N160" s="2888"/>
      <c r="O160" s="2887"/>
      <c r="P160" s="1336"/>
    </row>
    <row r="161" spans="1:16" ht="15" customHeight="1" x14ac:dyDescent="0.25">
      <c r="A161" s="2284">
        <v>45972</v>
      </c>
      <c r="B161" s="2715" t="s">
        <v>6209</v>
      </c>
      <c r="C161" s="3244" t="s">
        <v>8505</v>
      </c>
      <c r="D161" s="3245"/>
      <c r="E161" s="2286">
        <v>267.52</v>
      </c>
      <c r="F161" s="2873">
        <v>4</v>
      </c>
      <c r="G161" s="2954">
        <v>0</v>
      </c>
      <c r="H161" s="2904">
        <f>F161-G161</f>
        <v>4</v>
      </c>
      <c r="I161" s="2928">
        <f>E161/F161*H161</f>
        <v>267.52</v>
      </c>
      <c r="J161" s="2955">
        <f>SUM(E161-I161)/E161</f>
        <v>0</v>
      </c>
      <c r="K161" s="2725">
        <f>E161/F161</f>
        <v>66.88</v>
      </c>
      <c r="L161" s="1247" t="s">
        <v>6731</v>
      </c>
      <c r="M161" s="2938" t="s">
        <v>8508</v>
      </c>
      <c r="N161" s="2888"/>
      <c r="O161" s="2887"/>
      <c r="P161" s="1336"/>
    </row>
    <row r="162" spans="1:16" ht="15" customHeight="1" x14ac:dyDescent="0.25">
      <c r="A162" s="2291"/>
      <c r="B162" s="2627"/>
      <c r="C162" s="3257"/>
      <c r="D162" s="3258"/>
      <c r="E162" s="2293"/>
      <c r="F162" s="2868"/>
      <c r="G162" s="2878"/>
      <c r="H162" s="2903"/>
      <c r="I162" s="2927"/>
      <c r="J162" s="2923"/>
      <c r="K162" s="2714"/>
      <c r="M162" s="2938"/>
      <c r="N162" s="2888"/>
      <c r="O162" s="2887"/>
      <c r="P162" s="1336"/>
    </row>
    <row r="163" spans="1:16" ht="15" customHeight="1" x14ac:dyDescent="0.25">
      <c r="A163" s="2291"/>
      <c r="B163" s="2627"/>
      <c r="C163" s="3257"/>
      <c r="D163" s="3258"/>
      <c r="E163" s="2293"/>
      <c r="F163" s="2868"/>
      <c r="G163" s="2878"/>
      <c r="H163" s="2903"/>
      <c r="I163" s="2927"/>
      <c r="J163" s="2923"/>
      <c r="K163" s="2714"/>
      <c r="M163" s="2938"/>
      <c r="N163" s="2888"/>
      <c r="O163" s="2887"/>
      <c r="P163" s="1336"/>
    </row>
    <row r="164" spans="1:16" ht="15" customHeight="1" x14ac:dyDescent="0.25">
      <c r="A164" s="2291"/>
      <c r="B164" s="2627"/>
      <c r="C164" s="3257"/>
      <c r="D164" s="3258"/>
      <c r="E164" s="2293"/>
      <c r="F164" s="2868"/>
      <c r="G164" s="2878"/>
      <c r="H164" s="2903"/>
      <c r="I164" s="2927"/>
      <c r="J164" s="2923"/>
      <c r="K164" s="2714"/>
      <c r="M164" s="2938"/>
      <c r="N164" s="2888"/>
      <c r="O164" s="2887"/>
      <c r="P164" s="1336"/>
    </row>
    <row r="165" spans="1:16" ht="15" customHeight="1" x14ac:dyDescent="0.25">
      <c r="A165" s="2291"/>
      <c r="B165" s="2627"/>
      <c r="C165" s="3257"/>
      <c r="D165" s="3258"/>
      <c r="E165" s="2293"/>
      <c r="F165" s="2868"/>
      <c r="G165" s="2878"/>
      <c r="H165" s="2903"/>
      <c r="I165" s="2927"/>
      <c r="J165" s="2923"/>
      <c r="K165" s="2714"/>
      <c r="M165" s="2938"/>
      <c r="N165" s="2888"/>
      <c r="O165" s="2887"/>
      <c r="P165" s="1336"/>
    </row>
    <row r="166" spans="1:16" ht="15" customHeight="1" thickBot="1" x14ac:dyDescent="0.3">
      <c r="A166" s="2307"/>
      <c r="B166" s="2628"/>
      <c r="C166" s="3309"/>
      <c r="D166" s="3310"/>
      <c r="E166" s="2309"/>
      <c r="F166" s="2876"/>
      <c r="G166" s="2879"/>
      <c r="H166" s="2880"/>
      <c r="I166" s="2886"/>
      <c r="J166" s="2922"/>
      <c r="K166" s="2767"/>
      <c r="P166" s="1336"/>
    </row>
    <row r="167" spans="1:16" ht="15" customHeight="1" x14ac:dyDescent="0.25">
      <c r="P167" s="1336"/>
    </row>
    <row r="168" spans="1:16" ht="15" customHeight="1" x14ac:dyDescent="0.25">
      <c r="P168" s="1336"/>
    </row>
    <row r="169" spans="1:16" ht="15.75" customHeight="1" thickBot="1" x14ac:dyDescent="0.3">
      <c r="P169" s="1336"/>
    </row>
    <row r="170" spans="1:16" ht="21.75" thickBot="1" x14ac:dyDescent="0.4">
      <c r="A170" s="3248" t="s">
        <v>8138</v>
      </c>
      <c r="B170" s="3249"/>
      <c r="C170" s="3249"/>
      <c r="D170" s="3249"/>
      <c r="E170" s="3249"/>
      <c r="F170" s="3249"/>
      <c r="G170" s="3249"/>
      <c r="H170" s="3249"/>
      <c r="I170" s="3249"/>
      <c r="J170" s="3249"/>
      <c r="K170" s="3250"/>
      <c r="L170" s="2933"/>
      <c r="M170" s="1944"/>
      <c r="N170" s="1667"/>
      <c r="O170" s="1944"/>
      <c r="P170" s="1667"/>
    </row>
    <row r="171" spans="1:16" s="2858" customFormat="1" ht="33" thickBot="1" x14ac:dyDescent="0.35">
      <c r="A171" s="2855" t="s">
        <v>4206</v>
      </c>
      <c r="B171" s="2856" t="s">
        <v>1945</v>
      </c>
      <c r="C171" s="3301" t="s">
        <v>8343</v>
      </c>
      <c r="D171" s="3252"/>
      <c r="E171" s="2856" t="s">
        <v>7632</v>
      </c>
      <c r="F171" s="2856" t="s">
        <v>8345</v>
      </c>
      <c r="G171" s="2915" t="s">
        <v>8344</v>
      </c>
      <c r="H171" s="2913" t="s">
        <v>8346</v>
      </c>
      <c r="I171" s="2913" t="s">
        <v>8347</v>
      </c>
      <c r="J171" s="2877" t="s">
        <v>8367</v>
      </c>
      <c r="K171" s="2877" t="s">
        <v>5395</v>
      </c>
      <c r="L171" s="2857"/>
      <c r="N171" s="2859"/>
      <c r="O171" s="2860"/>
      <c r="P171" s="2861"/>
    </row>
    <row r="172" spans="1:16" ht="16.5" thickBot="1" x14ac:dyDescent="0.3">
      <c r="A172" s="2465">
        <v>45328</v>
      </c>
      <c r="B172" s="2465" t="s">
        <v>6210</v>
      </c>
      <c r="C172" s="3279" t="s">
        <v>6130</v>
      </c>
      <c r="D172" s="3280"/>
      <c r="E172" s="2466">
        <v>33.979999999999997</v>
      </c>
      <c r="F172" s="2867">
        <v>1</v>
      </c>
      <c r="G172" s="2916">
        <v>1</v>
      </c>
      <c r="H172" s="2914">
        <v>1</v>
      </c>
      <c r="I172" s="2926">
        <f>E172/F172*H172</f>
        <v>33.979999999999997</v>
      </c>
      <c r="J172" s="2924">
        <f>SUM(E172-I172)/E172</f>
        <v>0</v>
      </c>
      <c r="K172" s="2881">
        <v>0</v>
      </c>
      <c r="L172" s="1272" t="s">
        <v>8312</v>
      </c>
      <c r="M172" s="2893" t="s">
        <v>8349</v>
      </c>
      <c r="N172" s="1360"/>
      <c r="O172" s="2894" t="s">
        <v>8348</v>
      </c>
      <c r="P172" s="1336"/>
    </row>
    <row r="173" spans="1:16" ht="15.75" thickBot="1" x14ac:dyDescent="0.3">
      <c r="A173" s="2291">
        <v>45505</v>
      </c>
      <c r="B173" s="2292" t="s">
        <v>6210</v>
      </c>
      <c r="C173" s="3255" t="s">
        <v>7799</v>
      </c>
      <c r="D173" s="3256"/>
      <c r="E173" s="2293">
        <v>43</v>
      </c>
      <c r="F173" s="2868">
        <v>1</v>
      </c>
      <c r="G173" s="2907">
        <v>1</v>
      </c>
      <c r="H173" s="2903">
        <v>1</v>
      </c>
      <c r="I173" s="2927">
        <f>E173/F173*H173</f>
        <v>43</v>
      </c>
      <c r="J173" s="2934">
        <f>SUM(E173-I173)/E173</f>
        <v>0</v>
      </c>
      <c r="K173" s="2882">
        <v>0</v>
      </c>
      <c r="L173" s="1272" t="s">
        <v>8313</v>
      </c>
      <c r="M173" s="2844"/>
      <c r="N173" s="2043"/>
      <c r="O173" s="2008"/>
      <c r="P173" s="1336"/>
    </row>
    <row r="174" spans="1:16" ht="15.75" thickBot="1" x14ac:dyDescent="0.3">
      <c r="A174" s="2291">
        <v>45505</v>
      </c>
      <c r="B174" s="2292" t="s">
        <v>6210</v>
      </c>
      <c r="C174" s="3257" t="s">
        <v>7885</v>
      </c>
      <c r="D174" s="3258"/>
      <c r="E174" s="2293">
        <v>20.9</v>
      </c>
      <c r="F174" s="2868">
        <v>1</v>
      </c>
      <c r="G174" s="2907">
        <v>1</v>
      </c>
      <c r="H174" s="2903">
        <v>1</v>
      </c>
      <c r="I174" s="2927">
        <f t="shared" ref="I174:I206" si="86">E174/F174*H174</f>
        <v>20.9</v>
      </c>
      <c r="J174" s="2934">
        <f t="shared" ref="J174:J185" si="87">SUM(E174-I174)/E174</f>
        <v>0</v>
      </c>
      <c r="K174" s="2882">
        <v>0</v>
      </c>
      <c r="L174" s="1272" t="s">
        <v>8313</v>
      </c>
      <c r="M174" s="2892" t="s">
        <v>1524</v>
      </c>
      <c r="N174" s="1360"/>
      <c r="O174" s="2892" t="s">
        <v>1524</v>
      </c>
      <c r="P174" s="1336"/>
    </row>
    <row r="175" spans="1:16" ht="15" customHeight="1" x14ac:dyDescent="0.25">
      <c r="A175" s="2291">
        <v>45643</v>
      </c>
      <c r="B175" s="2292" t="s">
        <v>6210</v>
      </c>
      <c r="C175" s="3257" t="s">
        <v>7892</v>
      </c>
      <c r="D175" s="3258"/>
      <c r="E175" s="2293">
        <v>9.99</v>
      </c>
      <c r="F175" s="2868">
        <v>1</v>
      </c>
      <c r="G175" s="2907">
        <v>1</v>
      </c>
      <c r="H175" s="2903">
        <v>1</v>
      </c>
      <c r="I175" s="2927">
        <f t="shared" si="86"/>
        <v>9.99</v>
      </c>
      <c r="J175" s="2934">
        <f t="shared" si="87"/>
        <v>0</v>
      </c>
      <c r="K175" s="2882">
        <v>0</v>
      </c>
      <c r="L175" s="1272" t="s">
        <v>8313</v>
      </c>
      <c r="M175" s="3259">
        <f ca="1">SUMIF(L172:L209,M174,K172:K208)</f>
        <v>1527.6129047619047</v>
      </c>
      <c r="O175" s="3259">
        <f>SUMIF(L172:L208,O174,I172:I208)</f>
        <v>5865.7338095238092</v>
      </c>
      <c r="P175" s="1336"/>
    </row>
    <row r="176" spans="1:16" ht="15" customHeight="1" thickBot="1" x14ac:dyDescent="0.3">
      <c r="A176" s="2291">
        <v>45936</v>
      </c>
      <c r="B176" s="2292" t="s">
        <v>6210</v>
      </c>
      <c r="C176" s="3257" t="s">
        <v>8330</v>
      </c>
      <c r="D176" s="3258"/>
      <c r="E176" s="2293">
        <v>9.9</v>
      </c>
      <c r="F176" s="2868">
        <v>1</v>
      </c>
      <c r="G176" s="2907">
        <v>1</v>
      </c>
      <c r="H176" s="2903">
        <v>1</v>
      </c>
      <c r="I176" s="2927">
        <f t="shared" si="86"/>
        <v>9.9</v>
      </c>
      <c r="J176" s="2934">
        <f t="shared" si="87"/>
        <v>0</v>
      </c>
      <c r="K176" s="2714">
        <f t="shared" ref="K176:K185" si="88">E176/F176</f>
        <v>9.9</v>
      </c>
      <c r="L176" s="1686" t="s">
        <v>1504</v>
      </c>
      <c r="M176" s="3260"/>
      <c r="N176" s="1360"/>
      <c r="O176" s="3260"/>
      <c r="P176" s="1336"/>
    </row>
    <row r="177" spans="1:16" ht="15" customHeight="1" thickBot="1" x14ac:dyDescent="0.3">
      <c r="A177" s="2711">
        <v>45789</v>
      </c>
      <c r="B177" s="2626" t="s">
        <v>6210</v>
      </c>
      <c r="C177" s="3242" t="s">
        <v>8139</v>
      </c>
      <c r="D177" s="3243"/>
      <c r="E177" s="2712">
        <v>1181.3599999999999</v>
      </c>
      <c r="F177" s="2869">
        <v>10</v>
      </c>
      <c r="G177" s="2907">
        <v>5</v>
      </c>
      <c r="H177" s="2903">
        <f>F177-G177</f>
        <v>5</v>
      </c>
      <c r="I177" s="2927">
        <f t="shared" si="86"/>
        <v>590.67999999999995</v>
      </c>
      <c r="J177" s="2934">
        <f t="shared" si="87"/>
        <v>0.5</v>
      </c>
      <c r="K177" s="2714">
        <f t="shared" si="88"/>
        <v>118.136</v>
      </c>
      <c r="L177" s="1247" t="s">
        <v>1524</v>
      </c>
      <c r="M177" s="2890"/>
      <c r="N177" s="2043"/>
      <c r="O177" s="2890"/>
      <c r="P177" s="1336"/>
    </row>
    <row r="178" spans="1:16" ht="15.75" customHeight="1" thickBot="1" x14ac:dyDescent="0.3">
      <c r="A178" s="2733">
        <v>45803</v>
      </c>
      <c r="B178" s="2734" t="s">
        <v>6209</v>
      </c>
      <c r="C178" s="3283" t="s">
        <v>8140</v>
      </c>
      <c r="D178" s="3284"/>
      <c r="E178" s="2735">
        <v>1520.79</v>
      </c>
      <c r="F178" s="2870">
        <v>6</v>
      </c>
      <c r="G178" s="2908">
        <v>4</v>
      </c>
      <c r="H178" s="2904">
        <f t="shared" ref="H178:H206" si="89">F178-G178</f>
        <v>2</v>
      </c>
      <c r="I178" s="2928">
        <f t="shared" si="86"/>
        <v>506.93</v>
      </c>
      <c r="J178" s="2934">
        <f t="shared" si="87"/>
        <v>0.66666666666666663</v>
      </c>
      <c r="K178" s="2725">
        <f t="shared" si="88"/>
        <v>253.465</v>
      </c>
      <c r="L178" s="1247" t="s">
        <v>1524</v>
      </c>
      <c r="M178" s="2891" t="s">
        <v>7817</v>
      </c>
      <c r="N178" s="2898"/>
      <c r="O178" s="2891" t="s">
        <v>7817</v>
      </c>
    </row>
    <row r="179" spans="1:16" ht="15" customHeight="1" x14ac:dyDescent="0.25">
      <c r="A179" s="2733">
        <v>45803</v>
      </c>
      <c r="B179" s="2734" t="s">
        <v>6209</v>
      </c>
      <c r="C179" s="3283" t="s">
        <v>8141</v>
      </c>
      <c r="D179" s="3284"/>
      <c r="E179" s="2735">
        <v>363.94</v>
      </c>
      <c r="F179" s="2870">
        <v>6</v>
      </c>
      <c r="G179" s="2908">
        <v>4</v>
      </c>
      <c r="H179" s="2904">
        <f t="shared" si="89"/>
        <v>2</v>
      </c>
      <c r="I179" s="2928">
        <f t="shared" si="86"/>
        <v>121.31333333333333</v>
      </c>
      <c r="J179" s="2934">
        <f t="shared" si="87"/>
        <v>0.66666666666666663</v>
      </c>
      <c r="K179" s="2725">
        <f t="shared" si="88"/>
        <v>60.656666666666666</v>
      </c>
      <c r="L179" s="1247" t="s">
        <v>1524</v>
      </c>
      <c r="M179" s="3238">
        <f ca="1">M183-M175</f>
        <v>736.68600000000015</v>
      </c>
      <c r="N179" s="1336"/>
      <c r="O179" s="3238">
        <f>O183-O175</f>
        <v>3675.7379166666678</v>
      </c>
    </row>
    <row r="180" spans="1:16" ht="15" customHeight="1" thickBot="1" x14ac:dyDescent="0.3">
      <c r="A180" s="2733">
        <v>45803</v>
      </c>
      <c r="B180" s="2734" t="s">
        <v>6209</v>
      </c>
      <c r="C180" s="3283" t="s">
        <v>8142</v>
      </c>
      <c r="D180" s="3284"/>
      <c r="E180" s="2735">
        <v>269.91000000000003</v>
      </c>
      <c r="F180" s="2870">
        <v>6</v>
      </c>
      <c r="G180" s="2908">
        <v>4</v>
      </c>
      <c r="H180" s="2904">
        <f t="shared" si="89"/>
        <v>2</v>
      </c>
      <c r="I180" s="2928">
        <f t="shared" si="86"/>
        <v>89.970000000000013</v>
      </c>
      <c r="J180" s="2934">
        <f t="shared" si="87"/>
        <v>0.66666666666666663</v>
      </c>
      <c r="K180" s="2725">
        <f t="shared" si="88"/>
        <v>44.985000000000007</v>
      </c>
      <c r="L180" s="1247" t="s">
        <v>1524</v>
      </c>
      <c r="M180" s="3239"/>
      <c r="N180" s="2889"/>
      <c r="O180" s="3239"/>
    </row>
    <row r="181" spans="1:16" ht="15" customHeight="1" thickBot="1" x14ac:dyDescent="0.3">
      <c r="A181" s="2733">
        <v>45803</v>
      </c>
      <c r="B181" s="2734" t="s">
        <v>6209</v>
      </c>
      <c r="C181" s="3283" t="s">
        <v>8143</v>
      </c>
      <c r="D181" s="3284"/>
      <c r="E181" s="2735">
        <v>53.97</v>
      </c>
      <c r="F181" s="2870">
        <v>6</v>
      </c>
      <c r="G181" s="2908">
        <v>4</v>
      </c>
      <c r="H181" s="2904">
        <f t="shared" si="89"/>
        <v>2</v>
      </c>
      <c r="I181" s="2928">
        <f t="shared" si="86"/>
        <v>17.989999999999998</v>
      </c>
      <c r="J181" s="2934">
        <f t="shared" si="87"/>
        <v>0.66666666666666674</v>
      </c>
      <c r="K181" s="2725">
        <f t="shared" si="88"/>
        <v>8.9949999999999992</v>
      </c>
      <c r="L181" s="1247" t="s">
        <v>1524</v>
      </c>
    </row>
    <row r="182" spans="1:16" ht="15" customHeight="1" thickBot="1" x14ac:dyDescent="0.3">
      <c r="A182" s="2733">
        <v>45803</v>
      </c>
      <c r="B182" s="2734" t="s">
        <v>6209</v>
      </c>
      <c r="C182" s="3283" t="s">
        <v>8144</v>
      </c>
      <c r="D182" s="3284"/>
      <c r="E182" s="2735">
        <v>50</v>
      </c>
      <c r="F182" s="2870">
        <v>6</v>
      </c>
      <c r="G182" s="2908">
        <v>4</v>
      </c>
      <c r="H182" s="2904">
        <f t="shared" si="89"/>
        <v>2</v>
      </c>
      <c r="I182" s="2928">
        <f t="shared" si="86"/>
        <v>16.666666666666668</v>
      </c>
      <c r="J182" s="2934">
        <f t="shared" si="87"/>
        <v>0.66666666666666652</v>
      </c>
      <c r="K182" s="2725">
        <f t="shared" si="88"/>
        <v>8.3333333333333339</v>
      </c>
      <c r="L182" s="1247" t="s">
        <v>1524</v>
      </c>
      <c r="M182" s="2896" t="s">
        <v>8399</v>
      </c>
      <c r="N182" s="2890"/>
      <c r="O182" s="2896" t="s">
        <v>8342</v>
      </c>
    </row>
    <row r="183" spans="1:16" ht="15" customHeight="1" x14ac:dyDescent="0.25">
      <c r="A183" s="2711">
        <v>45810</v>
      </c>
      <c r="B183" s="2626" t="s">
        <v>6210</v>
      </c>
      <c r="C183" s="3277" t="s">
        <v>8145</v>
      </c>
      <c r="D183" s="3243"/>
      <c r="E183" s="2712">
        <v>356</v>
      </c>
      <c r="F183" s="2869">
        <v>7</v>
      </c>
      <c r="G183" s="2907">
        <v>4</v>
      </c>
      <c r="H183" s="2903">
        <f t="shared" si="89"/>
        <v>3</v>
      </c>
      <c r="I183" s="2927">
        <f t="shared" si="86"/>
        <v>152.57142857142856</v>
      </c>
      <c r="J183" s="2934">
        <f t="shared" si="87"/>
        <v>0.57142857142857151</v>
      </c>
      <c r="K183" s="2714">
        <f t="shared" si="88"/>
        <v>50.857142857142854</v>
      </c>
      <c r="L183" s="1247" t="s">
        <v>1524</v>
      </c>
      <c r="M183" s="3481">
        <f>SUM(K172:K208)</f>
        <v>2264.2989047619049</v>
      </c>
      <c r="N183" s="1336"/>
      <c r="O183" s="3481">
        <f>SUM(I172:I208)</f>
        <v>9541.4717261904771</v>
      </c>
    </row>
    <row r="184" spans="1:16" ht="15" customHeight="1" thickBot="1" x14ac:dyDescent="0.3">
      <c r="A184" s="2711">
        <v>45813</v>
      </c>
      <c r="B184" s="2626" t="s">
        <v>6210</v>
      </c>
      <c r="C184" s="3242" t="s">
        <v>8146</v>
      </c>
      <c r="D184" s="3243"/>
      <c r="E184" s="2712">
        <v>557</v>
      </c>
      <c r="F184" s="2869">
        <v>5</v>
      </c>
      <c r="G184" s="2907">
        <v>4</v>
      </c>
      <c r="H184" s="2903">
        <f t="shared" si="89"/>
        <v>1</v>
      </c>
      <c r="I184" s="2927">
        <f t="shared" si="86"/>
        <v>111.4</v>
      </c>
      <c r="J184" s="2934">
        <f t="shared" si="87"/>
        <v>0.8</v>
      </c>
      <c r="K184" s="2714">
        <f t="shared" si="88"/>
        <v>111.4</v>
      </c>
      <c r="L184" s="1247" t="s">
        <v>1524</v>
      </c>
      <c r="M184" s="3482"/>
      <c r="N184" s="1360"/>
      <c r="O184" s="3482"/>
    </row>
    <row r="185" spans="1:16" ht="15" customHeight="1" x14ac:dyDescent="0.25">
      <c r="A185" s="2711">
        <v>45822</v>
      </c>
      <c r="B185" s="2626" t="s">
        <v>6210</v>
      </c>
      <c r="C185" s="3242" t="s">
        <v>8147</v>
      </c>
      <c r="D185" s="3243"/>
      <c r="E185" s="2712">
        <v>4300</v>
      </c>
      <c r="F185" s="2869">
        <v>10</v>
      </c>
      <c r="G185" s="2907">
        <v>3</v>
      </c>
      <c r="H185" s="2903">
        <f t="shared" si="89"/>
        <v>7</v>
      </c>
      <c r="I185" s="2927">
        <f t="shared" si="86"/>
        <v>3010</v>
      </c>
      <c r="J185" s="2934">
        <f t="shared" si="87"/>
        <v>0.3</v>
      </c>
      <c r="K185" s="2714">
        <f t="shared" si="88"/>
        <v>430</v>
      </c>
      <c r="L185" s="1247" t="s">
        <v>1524</v>
      </c>
      <c r="M185" s="2890"/>
      <c r="N185" s="2890"/>
      <c r="O185" s="2890"/>
    </row>
    <row r="186" spans="1:16" ht="15.75" customHeight="1" x14ac:dyDescent="0.25">
      <c r="A186" s="2790">
        <v>45841</v>
      </c>
      <c r="B186" s="2794" t="s">
        <v>7493</v>
      </c>
      <c r="C186" s="3297" t="s">
        <v>8148</v>
      </c>
      <c r="D186" s="3298"/>
      <c r="E186" s="2791">
        <v>318.52</v>
      </c>
      <c r="F186" s="2871">
        <v>5</v>
      </c>
      <c r="G186" s="2911">
        <v>5</v>
      </c>
      <c r="H186" s="2912">
        <f t="shared" si="89"/>
        <v>0</v>
      </c>
      <c r="I186" s="2929">
        <f>E186/F186*H186</f>
        <v>0</v>
      </c>
      <c r="J186" s="2925">
        <f>SUM(E186-I186)/E186</f>
        <v>1</v>
      </c>
      <c r="K186" s="2883">
        <v>0</v>
      </c>
      <c r="L186" s="1272" t="s">
        <v>8314</v>
      </c>
    </row>
    <row r="187" spans="1:16" ht="15" customHeight="1" thickBot="1" x14ac:dyDescent="0.3">
      <c r="A187" s="2779">
        <v>45845</v>
      </c>
      <c r="B187" s="2784" t="s">
        <v>6210</v>
      </c>
      <c r="C187" s="3273" t="s">
        <v>8149</v>
      </c>
      <c r="D187" s="3274"/>
      <c r="E187" s="2781">
        <v>200.31</v>
      </c>
      <c r="F187" s="2872">
        <v>4</v>
      </c>
      <c r="G187" s="2907">
        <v>4</v>
      </c>
      <c r="H187" s="2903">
        <f t="shared" si="89"/>
        <v>0</v>
      </c>
      <c r="I187" s="2927">
        <f t="shared" si="86"/>
        <v>0</v>
      </c>
      <c r="J187" s="2923">
        <f>SUM(E187-I187)/E187</f>
        <v>1</v>
      </c>
      <c r="K187" s="2882">
        <v>0</v>
      </c>
      <c r="L187" s="1272" t="s">
        <v>8314</v>
      </c>
    </row>
    <row r="188" spans="1:16" ht="15" customHeight="1" thickBot="1" x14ac:dyDescent="0.3">
      <c r="A188" s="2711">
        <v>45845</v>
      </c>
      <c r="B188" s="2626" t="s">
        <v>6210</v>
      </c>
      <c r="C188" s="3242" t="s">
        <v>8150</v>
      </c>
      <c r="D188" s="3243"/>
      <c r="E188" s="2712">
        <v>375.14</v>
      </c>
      <c r="F188" s="2869">
        <v>7</v>
      </c>
      <c r="G188" s="2907">
        <v>3</v>
      </c>
      <c r="H188" s="2903">
        <f t="shared" si="89"/>
        <v>4</v>
      </c>
      <c r="I188" s="2927">
        <f t="shared" si="86"/>
        <v>214.36571428571429</v>
      </c>
      <c r="J188" s="2923">
        <f t="shared" ref="J188:J205" si="90">SUM(E188-I188)/E188</f>
        <v>0.42857142857142855</v>
      </c>
      <c r="K188" s="2714">
        <f>E188/F188</f>
        <v>53.591428571428573</v>
      </c>
      <c r="L188" s="1247" t="s">
        <v>1524</v>
      </c>
      <c r="M188" s="2899" t="s">
        <v>6210</v>
      </c>
      <c r="N188" s="2011"/>
      <c r="O188" s="2900" t="s">
        <v>6209</v>
      </c>
    </row>
    <row r="189" spans="1:16" ht="15" customHeight="1" x14ac:dyDescent="0.25">
      <c r="A189" s="2284">
        <v>45853</v>
      </c>
      <c r="B189" s="2285" t="s">
        <v>6209</v>
      </c>
      <c r="C189" s="3244" t="s">
        <v>8151</v>
      </c>
      <c r="D189" s="3245"/>
      <c r="E189" s="2286">
        <v>205.32</v>
      </c>
      <c r="F189" s="2873">
        <v>6</v>
      </c>
      <c r="G189" s="2908">
        <v>2</v>
      </c>
      <c r="H189" s="2904">
        <f t="shared" si="89"/>
        <v>4</v>
      </c>
      <c r="I189" s="2928">
        <f t="shared" si="86"/>
        <v>136.88</v>
      </c>
      <c r="J189" s="2923">
        <f t="shared" si="90"/>
        <v>0.33333333333333331</v>
      </c>
      <c r="K189" s="2725">
        <f>E189/F189</f>
        <v>34.22</v>
      </c>
      <c r="L189" s="1247" t="s">
        <v>1504</v>
      </c>
      <c r="M189" s="3265">
        <f>SUMIF(B172:B208,M188,K172:K208)</f>
        <v>1011.9712380952379</v>
      </c>
      <c r="N189" s="2897"/>
      <c r="O189" s="3267">
        <f>SUMIF(B172:B208,O188,K172:K208)</f>
        <v>654.76166666666666</v>
      </c>
      <c r="P189" s="1336"/>
    </row>
    <row r="190" spans="1:16" ht="15" customHeight="1" thickBot="1" x14ac:dyDescent="0.3">
      <c r="A190" s="2291">
        <v>45836</v>
      </c>
      <c r="B190" s="2627" t="s">
        <v>6210</v>
      </c>
      <c r="C190" s="3257" t="s">
        <v>8167</v>
      </c>
      <c r="D190" s="3258"/>
      <c r="E190" s="2293">
        <v>200</v>
      </c>
      <c r="F190" s="2868">
        <v>3</v>
      </c>
      <c r="G190" s="2907">
        <v>3</v>
      </c>
      <c r="H190" s="2903">
        <f t="shared" si="89"/>
        <v>0</v>
      </c>
      <c r="I190" s="2927">
        <f t="shared" si="86"/>
        <v>0</v>
      </c>
      <c r="J190" s="2923">
        <f t="shared" si="90"/>
        <v>1</v>
      </c>
      <c r="K190" s="2882">
        <v>0</v>
      </c>
      <c r="L190" s="1272" t="s">
        <v>8315</v>
      </c>
      <c r="M190" s="3266"/>
      <c r="N190" s="2897"/>
      <c r="O190" s="3268"/>
      <c r="P190" s="1336"/>
    </row>
    <row r="191" spans="1:16" ht="15.75" customHeight="1" thickBot="1" x14ac:dyDescent="0.3">
      <c r="A191" s="2284">
        <v>45869</v>
      </c>
      <c r="B191" s="2715" t="s">
        <v>6209</v>
      </c>
      <c r="C191" s="3244" t="s">
        <v>8175</v>
      </c>
      <c r="D191" s="3245"/>
      <c r="E191" s="2286">
        <v>894.64</v>
      </c>
      <c r="F191" s="2873">
        <v>6</v>
      </c>
      <c r="G191" s="2908">
        <v>2</v>
      </c>
      <c r="H191" s="2904">
        <f t="shared" si="89"/>
        <v>4</v>
      </c>
      <c r="I191" s="2928">
        <f t="shared" si="86"/>
        <v>596.42666666666662</v>
      </c>
      <c r="J191" s="2923">
        <f t="shared" si="90"/>
        <v>0.33333333333333337</v>
      </c>
      <c r="K191" s="2725">
        <f>E191/F191</f>
        <v>149.10666666666665</v>
      </c>
      <c r="L191" s="1247" t="s">
        <v>1524</v>
      </c>
      <c r="M191" s="2890"/>
      <c r="N191" s="2895"/>
      <c r="P191" s="1336"/>
    </row>
    <row r="192" spans="1:16" ht="15.75" customHeight="1" thickBot="1" x14ac:dyDescent="0.3">
      <c r="A192" s="2291">
        <v>45880</v>
      </c>
      <c r="B192" s="2627" t="s">
        <v>6210</v>
      </c>
      <c r="C192" s="3257" t="s">
        <v>8197</v>
      </c>
      <c r="D192" s="3258"/>
      <c r="E192" s="2293">
        <v>200</v>
      </c>
      <c r="F192" s="2868">
        <v>3</v>
      </c>
      <c r="G192" s="2907">
        <v>3</v>
      </c>
      <c r="H192" s="2903">
        <f t="shared" si="89"/>
        <v>0</v>
      </c>
      <c r="I192" s="2927">
        <f t="shared" si="86"/>
        <v>0</v>
      </c>
      <c r="J192" s="2923">
        <f t="shared" si="90"/>
        <v>1</v>
      </c>
      <c r="K192" s="2882">
        <v>0</v>
      </c>
      <c r="L192" s="1272" t="s">
        <v>8315</v>
      </c>
      <c r="M192" s="2901" t="s">
        <v>8334</v>
      </c>
      <c r="N192" s="2887"/>
      <c r="O192" s="2902" t="s">
        <v>8310</v>
      </c>
      <c r="P192" s="1336"/>
    </row>
    <row r="193" spans="1:16" ht="15" customHeight="1" x14ac:dyDescent="0.25">
      <c r="A193" s="2284">
        <v>45908</v>
      </c>
      <c r="B193" s="2715" t="s">
        <v>6209</v>
      </c>
      <c r="C193" s="3244" t="s">
        <v>8271</v>
      </c>
      <c r="D193" s="3245"/>
      <c r="E193" s="2286">
        <v>126</v>
      </c>
      <c r="F193" s="2873">
        <v>2</v>
      </c>
      <c r="G193" s="2908">
        <v>1</v>
      </c>
      <c r="H193" s="2904">
        <f t="shared" si="89"/>
        <v>1</v>
      </c>
      <c r="I193" s="2928">
        <f t="shared" si="86"/>
        <v>63</v>
      </c>
      <c r="J193" s="2923">
        <f t="shared" si="90"/>
        <v>0.5</v>
      </c>
      <c r="K193" s="2725">
        <f>E193/F193</f>
        <v>63</v>
      </c>
      <c r="L193" s="1247" t="s">
        <v>6731</v>
      </c>
      <c r="M193" s="3269">
        <f>SUMIF(B172:B208,M192,K172:K208)</f>
        <v>234.76600000000002</v>
      </c>
      <c r="N193" s="2887"/>
      <c r="O193" s="3271">
        <f>SUMIF(B172:B208,O192,K172:K208)</f>
        <v>362.8</v>
      </c>
      <c r="P193" s="1336"/>
    </row>
    <row r="194" spans="1:16" ht="15" customHeight="1" thickBot="1" x14ac:dyDescent="0.3">
      <c r="A194" s="2284">
        <v>45908</v>
      </c>
      <c r="B194" s="2715" t="s">
        <v>6209</v>
      </c>
      <c r="C194" s="3244" t="s">
        <v>8272</v>
      </c>
      <c r="D194" s="3245"/>
      <c r="E194" s="2286">
        <v>64</v>
      </c>
      <c r="F194" s="2873">
        <v>2</v>
      </c>
      <c r="G194" s="2908">
        <v>1</v>
      </c>
      <c r="H194" s="2904">
        <f t="shared" si="89"/>
        <v>1</v>
      </c>
      <c r="I194" s="2928">
        <f t="shared" si="86"/>
        <v>32</v>
      </c>
      <c r="J194" s="2923">
        <f t="shared" si="90"/>
        <v>0.5</v>
      </c>
      <c r="K194" s="2725">
        <f>E194/F194</f>
        <v>32</v>
      </c>
      <c r="L194" s="1247" t="s">
        <v>6731</v>
      </c>
      <c r="M194" s="3270"/>
      <c r="N194" s="2887"/>
      <c r="O194" s="3272"/>
      <c r="P194" s="1336"/>
    </row>
    <row r="195" spans="1:16" ht="15" customHeight="1" x14ac:dyDescent="0.25">
      <c r="A195" s="2291">
        <v>45911</v>
      </c>
      <c r="B195" s="2627" t="s">
        <v>6210</v>
      </c>
      <c r="C195" s="3257" t="s">
        <v>8253</v>
      </c>
      <c r="D195" s="3258"/>
      <c r="E195" s="2293">
        <v>273.39999999999998</v>
      </c>
      <c r="F195" s="2868">
        <v>3</v>
      </c>
      <c r="G195" s="2907">
        <v>1</v>
      </c>
      <c r="H195" s="2903">
        <f t="shared" si="89"/>
        <v>2</v>
      </c>
      <c r="I195" s="2927">
        <f t="shared" si="86"/>
        <v>182.26666666666665</v>
      </c>
      <c r="J195" s="2923">
        <f>SUM(E195-I195)/E195</f>
        <v>0.33333333333333331</v>
      </c>
      <c r="K195" s="2882">
        <v>0</v>
      </c>
      <c r="L195" s="1272" t="s">
        <v>8312</v>
      </c>
      <c r="P195" s="1336"/>
    </row>
    <row r="196" spans="1:16" ht="15" customHeight="1" x14ac:dyDescent="0.25">
      <c r="A196" s="2291">
        <v>45919</v>
      </c>
      <c r="B196" s="2627" t="s">
        <v>6210</v>
      </c>
      <c r="C196" s="3257" t="s">
        <v>8277</v>
      </c>
      <c r="D196" s="3258"/>
      <c r="E196" s="2293">
        <v>29.76</v>
      </c>
      <c r="F196" s="2868">
        <v>1</v>
      </c>
      <c r="G196" s="2907">
        <v>0</v>
      </c>
      <c r="H196" s="2903">
        <f t="shared" si="89"/>
        <v>1</v>
      </c>
      <c r="I196" s="2927">
        <f t="shared" si="86"/>
        <v>29.76</v>
      </c>
      <c r="J196" s="2923">
        <f t="shared" si="90"/>
        <v>0</v>
      </c>
      <c r="K196" s="2714">
        <f>E196/F196</f>
        <v>29.76</v>
      </c>
      <c r="L196" s="1247" t="s">
        <v>1524</v>
      </c>
      <c r="P196" s="1336"/>
    </row>
    <row r="197" spans="1:16" ht="15" customHeight="1" x14ac:dyDescent="0.25">
      <c r="A197" s="2291">
        <v>45919</v>
      </c>
      <c r="B197" s="2627" t="s">
        <v>6210</v>
      </c>
      <c r="C197" s="3257" t="s">
        <v>8278</v>
      </c>
      <c r="D197" s="3258"/>
      <c r="E197" s="2293">
        <v>29.92</v>
      </c>
      <c r="F197" s="2868">
        <v>1</v>
      </c>
      <c r="G197" s="2907">
        <v>0</v>
      </c>
      <c r="H197" s="2903">
        <f t="shared" si="89"/>
        <v>1</v>
      </c>
      <c r="I197" s="2927">
        <f t="shared" si="86"/>
        <v>29.92</v>
      </c>
      <c r="J197" s="2923">
        <f t="shared" si="90"/>
        <v>0</v>
      </c>
      <c r="K197" s="2714">
        <f>E197/F197</f>
        <v>29.92</v>
      </c>
      <c r="L197" s="1247" t="s">
        <v>1524</v>
      </c>
      <c r="M197" s="2888"/>
      <c r="N197" s="2897"/>
      <c r="O197" s="2888"/>
      <c r="P197" s="1336"/>
    </row>
    <row r="198" spans="1:16" ht="15" customHeight="1" x14ac:dyDescent="0.25">
      <c r="A198" s="2291">
        <v>45919</v>
      </c>
      <c r="B198" s="2627" t="s">
        <v>6210</v>
      </c>
      <c r="C198" s="3257" t="s">
        <v>8279</v>
      </c>
      <c r="D198" s="3258"/>
      <c r="E198" s="2293">
        <v>19</v>
      </c>
      <c r="F198" s="2868">
        <v>1</v>
      </c>
      <c r="G198" s="2907">
        <v>0</v>
      </c>
      <c r="H198" s="2903">
        <f t="shared" si="89"/>
        <v>1</v>
      </c>
      <c r="I198" s="2927">
        <f t="shared" si="86"/>
        <v>19</v>
      </c>
      <c r="J198" s="2923">
        <f t="shared" si="90"/>
        <v>0</v>
      </c>
      <c r="K198" s="2714">
        <f>E198/F198</f>
        <v>19</v>
      </c>
      <c r="L198" s="1247" t="s">
        <v>1524</v>
      </c>
      <c r="M198" s="2888"/>
      <c r="N198" s="2897"/>
      <c r="O198" s="2888"/>
      <c r="P198" s="1336"/>
    </row>
    <row r="199" spans="1:16" ht="15" customHeight="1" x14ac:dyDescent="0.25">
      <c r="A199" s="2291">
        <v>45919</v>
      </c>
      <c r="B199" s="2627" t="s">
        <v>6210</v>
      </c>
      <c r="C199" s="3257" t="s">
        <v>8280</v>
      </c>
      <c r="D199" s="3258"/>
      <c r="E199" s="2293">
        <v>59.74</v>
      </c>
      <c r="F199" s="2868">
        <v>1</v>
      </c>
      <c r="G199" s="2907">
        <v>0</v>
      </c>
      <c r="H199" s="2903">
        <f t="shared" si="89"/>
        <v>1</v>
      </c>
      <c r="I199" s="2927">
        <f t="shared" si="86"/>
        <v>59.74</v>
      </c>
      <c r="J199" s="2923">
        <f t="shared" si="90"/>
        <v>0</v>
      </c>
      <c r="K199" s="2714">
        <f>E199/F199</f>
        <v>59.74</v>
      </c>
      <c r="L199" s="1247" t="s">
        <v>1524</v>
      </c>
      <c r="M199" s="2888"/>
      <c r="N199" s="2888"/>
      <c r="O199" s="2887"/>
      <c r="P199" s="1336"/>
    </row>
    <row r="200" spans="1:16" ht="15" customHeight="1" x14ac:dyDescent="0.25">
      <c r="A200" s="2291">
        <v>45919</v>
      </c>
      <c r="B200" s="2627" t="s">
        <v>6210</v>
      </c>
      <c r="C200" s="3257" t="s">
        <v>8281</v>
      </c>
      <c r="D200" s="3258"/>
      <c r="E200" s="2293">
        <v>299</v>
      </c>
      <c r="F200" s="2868">
        <v>3</v>
      </c>
      <c r="G200" s="2907">
        <v>0</v>
      </c>
      <c r="H200" s="2903">
        <f t="shared" si="89"/>
        <v>3</v>
      </c>
      <c r="I200" s="2927">
        <f t="shared" si="86"/>
        <v>299</v>
      </c>
      <c r="J200" s="2923">
        <f t="shared" si="90"/>
        <v>0</v>
      </c>
      <c r="K200" s="2714">
        <f>E200/F200</f>
        <v>99.666666666666671</v>
      </c>
      <c r="L200" s="1247" t="s">
        <v>1524</v>
      </c>
      <c r="P200" s="1336"/>
    </row>
    <row r="201" spans="1:16" ht="15" customHeight="1" x14ac:dyDescent="0.25">
      <c r="A201" s="2779">
        <v>45922</v>
      </c>
      <c r="B201" s="2784" t="s">
        <v>6210</v>
      </c>
      <c r="C201" s="3273" t="s">
        <v>8287</v>
      </c>
      <c r="D201" s="3274"/>
      <c r="E201" s="2781">
        <v>427.19</v>
      </c>
      <c r="F201" s="2872">
        <v>8</v>
      </c>
      <c r="G201" s="2907">
        <v>1</v>
      </c>
      <c r="H201" s="2903">
        <f t="shared" si="89"/>
        <v>7</v>
      </c>
      <c r="I201" s="2927">
        <f t="shared" si="86"/>
        <v>373.79124999999999</v>
      </c>
      <c r="J201" s="2923">
        <f t="shared" si="90"/>
        <v>0.12500000000000003</v>
      </c>
      <c r="K201" s="2882">
        <v>0</v>
      </c>
      <c r="L201" s="1272" t="s">
        <v>8314</v>
      </c>
      <c r="P201" s="1336"/>
    </row>
    <row r="202" spans="1:16" ht="15" customHeight="1" x14ac:dyDescent="0.25">
      <c r="A202" s="2840">
        <v>45931</v>
      </c>
      <c r="B202" s="2841" t="s">
        <v>8310</v>
      </c>
      <c r="C202" s="3483" t="s">
        <v>8311</v>
      </c>
      <c r="D202" s="3484"/>
      <c r="E202" s="2842">
        <v>1088.4000000000001</v>
      </c>
      <c r="F202" s="2874">
        <v>3</v>
      </c>
      <c r="G202" s="2909">
        <v>0</v>
      </c>
      <c r="H202" s="2905">
        <f t="shared" si="89"/>
        <v>3</v>
      </c>
      <c r="I202" s="2930">
        <f t="shared" si="86"/>
        <v>1088.4000000000001</v>
      </c>
      <c r="J202" s="2923">
        <f t="shared" si="90"/>
        <v>0</v>
      </c>
      <c r="K202" s="2884">
        <f>E202/F202</f>
        <v>362.8</v>
      </c>
      <c r="L202" s="2843" t="s">
        <v>8317</v>
      </c>
      <c r="P202" s="1336"/>
    </row>
    <row r="203" spans="1:16" ht="15.75" customHeight="1" x14ac:dyDescent="0.25">
      <c r="A203" s="2291">
        <v>45931</v>
      </c>
      <c r="B203" s="2627" t="s">
        <v>6210</v>
      </c>
      <c r="C203" s="3257" t="s">
        <v>8308</v>
      </c>
      <c r="D203" s="3258"/>
      <c r="E203" s="2293">
        <v>150</v>
      </c>
      <c r="F203" s="2868">
        <v>2</v>
      </c>
      <c r="G203" s="2907">
        <v>1</v>
      </c>
      <c r="H203" s="2903">
        <f t="shared" si="89"/>
        <v>1</v>
      </c>
      <c r="I203" s="2927">
        <f t="shared" si="86"/>
        <v>75</v>
      </c>
      <c r="J203" s="2923">
        <f t="shared" si="90"/>
        <v>0.5</v>
      </c>
      <c r="K203" s="2882">
        <v>0</v>
      </c>
      <c r="L203" s="1272" t="s">
        <v>8316</v>
      </c>
      <c r="P203" s="1336"/>
    </row>
    <row r="204" spans="1:16" ht="15" customHeight="1" x14ac:dyDescent="0.25">
      <c r="A204" s="2291">
        <v>45931</v>
      </c>
      <c r="B204" s="2627" t="s">
        <v>6210</v>
      </c>
      <c r="C204" s="3257" t="s">
        <v>8351</v>
      </c>
      <c r="D204" s="3258"/>
      <c r="E204" s="2293">
        <v>280</v>
      </c>
      <c r="F204" s="2868">
        <v>4</v>
      </c>
      <c r="G204" s="2907">
        <v>1</v>
      </c>
      <c r="H204" s="2903">
        <f t="shared" si="89"/>
        <v>3</v>
      </c>
      <c r="I204" s="2927">
        <f t="shared" si="86"/>
        <v>210</v>
      </c>
      <c r="J204" s="2923">
        <f t="shared" si="90"/>
        <v>0.25</v>
      </c>
      <c r="K204" s="2882">
        <v>0</v>
      </c>
      <c r="L204" s="1272" t="s">
        <v>8316</v>
      </c>
      <c r="M204" s="2888"/>
      <c r="N204" s="2887"/>
      <c r="O204" s="2888"/>
      <c r="P204" s="1336"/>
    </row>
    <row r="205" spans="1:16" ht="15" customHeight="1" x14ac:dyDescent="0.25">
      <c r="A205" s="2404">
        <v>45937</v>
      </c>
      <c r="B205" s="2846" t="s">
        <v>8334</v>
      </c>
      <c r="C205" s="3246" t="s">
        <v>8332</v>
      </c>
      <c r="D205" s="3247"/>
      <c r="E205" s="2406">
        <v>754.44</v>
      </c>
      <c r="F205" s="2875">
        <v>10</v>
      </c>
      <c r="G205" s="2910">
        <v>0</v>
      </c>
      <c r="H205" s="2906">
        <f t="shared" si="89"/>
        <v>10</v>
      </c>
      <c r="I205" s="2931">
        <f t="shared" si="86"/>
        <v>754.44</v>
      </c>
      <c r="J205" s="2923">
        <f t="shared" si="90"/>
        <v>0</v>
      </c>
      <c r="K205" s="2885">
        <f>E205/F205</f>
        <v>75.444000000000003</v>
      </c>
      <c r="L205" s="1247" t="s">
        <v>1525</v>
      </c>
      <c r="M205" s="2888"/>
      <c r="N205" s="2887"/>
      <c r="O205" s="2888"/>
      <c r="P205" s="1336"/>
    </row>
    <row r="206" spans="1:16" x14ac:dyDescent="0.25">
      <c r="A206" s="2404">
        <v>45937</v>
      </c>
      <c r="B206" s="2846" t="s">
        <v>8334</v>
      </c>
      <c r="C206" s="3246" t="s">
        <v>8333</v>
      </c>
      <c r="D206" s="3247"/>
      <c r="E206" s="2406">
        <v>536.52</v>
      </c>
      <c r="F206" s="2875">
        <v>10</v>
      </c>
      <c r="G206" s="2910">
        <v>0</v>
      </c>
      <c r="H206" s="2906">
        <f t="shared" si="89"/>
        <v>10</v>
      </c>
      <c r="I206" s="2931">
        <f t="shared" si="86"/>
        <v>536.52</v>
      </c>
      <c r="J206" s="2923">
        <f>SUM(E206-I206)/E206</f>
        <v>0</v>
      </c>
      <c r="K206" s="2885">
        <f>E206/F206</f>
        <v>53.652000000000001</v>
      </c>
      <c r="L206" s="1247" t="s">
        <v>1525</v>
      </c>
      <c r="M206" s="1247"/>
      <c r="O206" s="1247"/>
      <c r="P206" s="1336"/>
    </row>
    <row r="207" spans="1:16" ht="15" customHeight="1" x14ac:dyDescent="0.25">
      <c r="A207" s="2404">
        <v>45946</v>
      </c>
      <c r="B207" s="2846" t="s">
        <v>8334</v>
      </c>
      <c r="C207" s="3485" t="s">
        <v>8402</v>
      </c>
      <c r="D207" s="3486"/>
      <c r="E207" s="2406">
        <v>105.67</v>
      </c>
      <c r="F207" s="2875">
        <v>1</v>
      </c>
      <c r="G207" s="2941">
        <v>0</v>
      </c>
      <c r="H207" s="2942">
        <f>F207-G207</f>
        <v>1</v>
      </c>
      <c r="I207" s="2950">
        <f>E207/F207*H207</f>
        <v>105.67</v>
      </c>
      <c r="J207" s="2923">
        <f>SUM(E207-I207)/E207</f>
        <v>0</v>
      </c>
      <c r="K207" s="2885">
        <f>E207/F207</f>
        <v>105.67</v>
      </c>
      <c r="L207" s="1686" t="s">
        <v>1525</v>
      </c>
      <c r="M207" s="2938" t="s">
        <v>8403</v>
      </c>
      <c r="N207" s="2897"/>
      <c r="O207" s="2888"/>
      <c r="P207" s="1336"/>
    </row>
    <row r="208" spans="1:16" x14ac:dyDescent="0.25">
      <c r="A208" s="2307"/>
      <c r="B208" s="2628"/>
      <c r="C208" s="3309"/>
      <c r="D208" s="3310"/>
      <c r="E208" s="2309"/>
      <c r="F208" s="2876"/>
      <c r="G208" s="2879"/>
      <c r="H208" s="2880"/>
      <c r="I208" s="2886"/>
      <c r="J208" s="2922"/>
      <c r="K208" s="2767"/>
      <c r="M208" s="2316"/>
      <c r="N208" s="2043"/>
      <c r="P208" s="1336"/>
    </row>
    <row r="209" spans="1:16" ht="16.5" customHeight="1" x14ac:dyDescent="0.25">
      <c r="M209" s="1247"/>
      <c r="O209" s="1247"/>
    </row>
    <row r="210" spans="1:16" ht="16.5" customHeight="1" thickBot="1" x14ac:dyDescent="0.3">
      <c r="M210" s="1247"/>
      <c r="O210" s="1247"/>
    </row>
    <row r="211" spans="1:16" ht="19.5" thickBot="1" x14ac:dyDescent="0.35">
      <c r="A211" s="3287" t="s">
        <v>8008</v>
      </c>
      <c r="B211" s="3288"/>
      <c r="C211" s="3288"/>
      <c r="D211" s="3288"/>
      <c r="E211" s="3288"/>
      <c r="F211" s="3288"/>
      <c r="G211" s="3289"/>
      <c r="J211" s="1354"/>
      <c r="K211" s="1667"/>
      <c r="L211" s="1667"/>
      <c r="M211" s="1944"/>
      <c r="N211" s="1667"/>
      <c r="O211" s="1944"/>
      <c r="P211" s="1667"/>
    </row>
    <row r="212" spans="1:16" x14ac:dyDescent="0.25">
      <c r="A212" s="2288">
        <v>45328</v>
      </c>
      <c r="B212" s="2288" t="s">
        <v>6210</v>
      </c>
      <c r="C212" s="3253" t="s">
        <v>6130</v>
      </c>
      <c r="D212" s="3254"/>
      <c r="E212" s="2289">
        <v>33.979999999999997</v>
      </c>
      <c r="F212" s="2290">
        <v>1</v>
      </c>
      <c r="G212" s="2818">
        <v>0</v>
      </c>
      <c r="H212" s="1272" t="s">
        <v>8235</v>
      </c>
      <c r="I212" s="2151"/>
      <c r="J212" s="1360"/>
      <c r="K212" s="1657"/>
      <c r="L212" s="1657"/>
      <c r="M212" s="2008"/>
      <c r="N212" s="2010"/>
      <c r="O212" s="2011"/>
      <c r="P212" s="1336"/>
    </row>
    <row r="213" spans="1:16" x14ac:dyDescent="0.25">
      <c r="A213" s="2291">
        <v>45505</v>
      </c>
      <c r="B213" s="2292" t="s">
        <v>6210</v>
      </c>
      <c r="C213" s="3255" t="s">
        <v>7799</v>
      </c>
      <c r="D213" s="3256"/>
      <c r="E213" s="2293">
        <v>43</v>
      </c>
      <c r="F213" s="2294">
        <v>1</v>
      </c>
      <c r="G213" s="2819">
        <v>0</v>
      </c>
      <c r="H213" s="1272" t="s">
        <v>8236</v>
      </c>
      <c r="I213" s="2316"/>
      <c r="J213" s="2043"/>
      <c r="K213" s="2317"/>
      <c r="L213" s="2317"/>
      <c r="M213" s="2008"/>
      <c r="N213" s="2010"/>
      <c r="O213" s="2011"/>
      <c r="P213" s="1336"/>
    </row>
    <row r="214" spans="1:16" x14ac:dyDescent="0.25">
      <c r="A214" s="2291">
        <v>45505</v>
      </c>
      <c r="B214" s="2292" t="s">
        <v>6210</v>
      </c>
      <c r="C214" s="3257" t="s">
        <v>7885</v>
      </c>
      <c r="D214" s="3258"/>
      <c r="E214" s="2293">
        <v>20.9</v>
      </c>
      <c r="F214" s="2294">
        <v>1</v>
      </c>
      <c r="G214" s="2819">
        <v>0</v>
      </c>
      <c r="H214" s="1272" t="s">
        <v>8236</v>
      </c>
      <c r="I214" s="1345"/>
      <c r="J214" s="1360"/>
      <c r="K214" s="1657"/>
      <c r="L214" s="1657"/>
      <c r="M214" s="2008"/>
      <c r="N214" s="2010"/>
      <c r="O214" s="2011"/>
      <c r="P214" s="1336"/>
    </row>
    <row r="215" spans="1:16" x14ac:dyDescent="0.25">
      <c r="A215" s="2291">
        <v>45643</v>
      </c>
      <c r="B215" s="2292" t="s">
        <v>6210</v>
      </c>
      <c r="C215" s="3257" t="s">
        <v>7892</v>
      </c>
      <c r="D215" s="3258"/>
      <c r="E215" s="2293">
        <v>9.99</v>
      </c>
      <c r="F215" s="2294">
        <v>1</v>
      </c>
      <c r="G215" s="2819">
        <v>0</v>
      </c>
      <c r="H215" s="1272" t="s">
        <v>8236</v>
      </c>
      <c r="K215" s="2317"/>
      <c r="L215" s="2317"/>
      <c r="M215" s="2008"/>
      <c r="N215" s="2010"/>
      <c r="O215" s="2011"/>
      <c r="P215" s="1336"/>
    </row>
    <row r="216" spans="1:16" x14ac:dyDescent="0.25">
      <c r="A216" s="2711">
        <v>45789</v>
      </c>
      <c r="B216" s="2626" t="s">
        <v>6210</v>
      </c>
      <c r="C216" s="3242" t="s">
        <v>8009</v>
      </c>
      <c r="D216" s="3243"/>
      <c r="E216" s="2712">
        <v>1181.3599999999999</v>
      </c>
      <c r="F216" s="2713">
        <v>10</v>
      </c>
      <c r="G216" s="2714">
        <f t="shared" ref="G216:G224" si="91">E216/F216</f>
        <v>118.136</v>
      </c>
      <c r="H216" s="1247" t="s">
        <v>1524</v>
      </c>
      <c r="I216" s="2316"/>
      <c r="J216" s="2043"/>
      <c r="K216" s="2317"/>
      <c r="L216" s="2317"/>
      <c r="N216" s="2010"/>
      <c r="O216" s="2011"/>
      <c r="P216" s="1336"/>
    </row>
    <row r="217" spans="1:16" x14ac:dyDescent="0.25">
      <c r="A217" s="2733">
        <v>45803</v>
      </c>
      <c r="B217" s="2734" t="s">
        <v>6209</v>
      </c>
      <c r="C217" s="3283" t="s">
        <v>8010</v>
      </c>
      <c r="D217" s="3284"/>
      <c r="E217" s="2735">
        <v>1520.79</v>
      </c>
      <c r="F217" s="2736">
        <v>6</v>
      </c>
      <c r="G217" s="2725">
        <f t="shared" si="91"/>
        <v>253.465</v>
      </c>
      <c r="H217" s="1247" t="s">
        <v>1524</v>
      </c>
      <c r="I217" s="2316">
        <f>SUMIF(H212:H243,"COM",G212:G243)</f>
        <v>1542.1162380952378</v>
      </c>
      <c r="J217" s="2043" t="s">
        <v>1524</v>
      </c>
      <c r="K217" s="2317"/>
      <c r="L217" s="2317"/>
      <c r="N217" s="2010"/>
      <c r="O217" s="2011"/>
      <c r="P217" s="1336"/>
    </row>
    <row r="218" spans="1:16" x14ac:dyDescent="0.25">
      <c r="A218" s="2733">
        <v>45803</v>
      </c>
      <c r="B218" s="2734" t="s">
        <v>6209</v>
      </c>
      <c r="C218" s="3283" t="s">
        <v>8011</v>
      </c>
      <c r="D218" s="3284"/>
      <c r="E218" s="2735">
        <v>363.94</v>
      </c>
      <c r="F218" s="2736">
        <v>6</v>
      </c>
      <c r="G218" s="2725">
        <f t="shared" si="91"/>
        <v>60.656666666666666</v>
      </c>
      <c r="H218" s="1247" t="s">
        <v>1524</v>
      </c>
      <c r="I218" s="2316">
        <f>F244-I217</f>
        <v>664.57816666666758</v>
      </c>
      <c r="J218" s="2043" t="s">
        <v>7817</v>
      </c>
      <c r="K218" s="2317"/>
      <c r="L218" s="2317"/>
      <c r="N218" s="2010"/>
      <c r="O218" s="2011"/>
      <c r="P218" s="1336"/>
    </row>
    <row r="219" spans="1:16" x14ac:dyDescent="0.25">
      <c r="A219" s="2733">
        <v>45803</v>
      </c>
      <c r="B219" s="2734" t="s">
        <v>6209</v>
      </c>
      <c r="C219" s="3283" t="s">
        <v>8012</v>
      </c>
      <c r="D219" s="3284"/>
      <c r="E219" s="2735">
        <v>269.91000000000003</v>
      </c>
      <c r="F219" s="2736">
        <v>6</v>
      </c>
      <c r="G219" s="2725">
        <f t="shared" si="91"/>
        <v>44.985000000000007</v>
      </c>
      <c r="H219" s="1247" t="s">
        <v>1524</v>
      </c>
      <c r="I219" s="2316"/>
      <c r="J219" s="2043"/>
      <c r="K219" s="2317"/>
      <c r="L219" s="2317"/>
      <c r="N219" s="2010"/>
      <c r="O219" s="2011"/>
      <c r="P219" s="1336"/>
    </row>
    <row r="220" spans="1:16" x14ac:dyDescent="0.25">
      <c r="A220" s="2733">
        <v>45803</v>
      </c>
      <c r="B220" s="2734" t="s">
        <v>6209</v>
      </c>
      <c r="C220" s="3283" t="s">
        <v>8013</v>
      </c>
      <c r="D220" s="3284"/>
      <c r="E220" s="2735">
        <v>53.97</v>
      </c>
      <c r="F220" s="2736">
        <v>6</v>
      </c>
      <c r="G220" s="2725">
        <f t="shared" si="91"/>
        <v>8.9949999999999992</v>
      </c>
      <c r="H220" s="1247" t="s">
        <v>1524</v>
      </c>
      <c r="I220" s="2316"/>
      <c r="J220" s="2043"/>
      <c r="K220" s="2317"/>
      <c r="L220" s="2317"/>
      <c r="N220" s="2010"/>
      <c r="O220" s="2011"/>
      <c r="P220" s="1336"/>
    </row>
    <row r="221" spans="1:16" x14ac:dyDescent="0.25">
      <c r="A221" s="2733">
        <v>45803</v>
      </c>
      <c r="B221" s="2734" t="s">
        <v>6209</v>
      </c>
      <c r="C221" s="3283" t="s">
        <v>8014</v>
      </c>
      <c r="D221" s="3284"/>
      <c r="E221" s="2735">
        <v>50</v>
      </c>
      <c r="F221" s="2736">
        <v>6</v>
      </c>
      <c r="G221" s="2725">
        <f t="shared" si="91"/>
        <v>8.3333333333333339</v>
      </c>
      <c r="H221" s="1247" t="s">
        <v>1524</v>
      </c>
      <c r="I221" s="2316"/>
      <c r="J221" s="2043"/>
      <c r="K221" s="2317"/>
      <c r="L221" s="2317"/>
      <c r="N221" s="2010"/>
      <c r="O221" s="2011"/>
      <c r="P221" s="1336"/>
    </row>
    <row r="222" spans="1:16" x14ac:dyDescent="0.25">
      <c r="A222" s="2711">
        <v>45810</v>
      </c>
      <c r="B222" s="2626" t="s">
        <v>6210</v>
      </c>
      <c r="C222" s="3277" t="s">
        <v>8015</v>
      </c>
      <c r="D222" s="3243"/>
      <c r="E222" s="2712">
        <v>356</v>
      </c>
      <c r="F222" s="2713">
        <v>7</v>
      </c>
      <c r="G222" s="2714">
        <f t="shared" si="91"/>
        <v>50.857142857142854</v>
      </c>
      <c r="H222" s="1247" t="s">
        <v>1524</v>
      </c>
      <c r="I222" s="2316"/>
      <c r="J222" s="2043"/>
      <c r="K222" s="2317"/>
      <c r="L222" s="2317"/>
      <c r="N222" s="2010"/>
      <c r="O222" s="2011"/>
      <c r="P222" s="1336"/>
    </row>
    <row r="223" spans="1:16" x14ac:dyDescent="0.25">
      <c r="A223" s="2711">
        <v>45813</v>
      </c>
      <c r="B223" s="2626" t="s">
        <v>6210</v>
      </c>
      <c r="C223" s="3242" t="s">
        <v>8016</v>
      </c>
      <c r="D223" s="3243"/>
      <c r="E223" s="2712">
        <v>557</v>
      </c>
      <c r="F223" s="2713">
        <v>5</v>
      </c>
      <c r="G223" s="2714">
        <f t="shared" si="91"/>
        <v>111.4</v>
      </c>
      <c r="H223" s="1247" t="s">
        <v>1524</v>
      </c>
      <c r="I223" s="2316"/>
      <c r="J223" s="2043"/>
      <c r="K223" s="2317"/>
      <c r="L223" s="2317"/>
      <c r="N223" s="2010"/>
      <c r="O223" s="2011"/>
      <c r="P223" s="1336"/>
    </row>
    <row r="224" spans="1:16" x14ac:dyDescent="0.25">
      <c r="A224" s="2711">
        <v>45822</v>
      </c>
      <c r="B224" s="2626" t="s">
        <v>6210</v>
      </c>
      <c r="C224" s="3242" t="s">
        <v>8131</v>
      </c>
      <c r="D224" s="3243"/>
      <c r="E224" s="2712">
        <v>4300</v>
      </c>
      <c r="F224" s="2713">
        <v>10</v>
      </c>
      <c r="G224" s="2714">
        <f t="shared" si="91"/>
        <v>430</v>
      </c>
      <c r="H224" s="1247" t="s">
        <v>1524</v>
      </c>
      <c r="I224" s="2316"/>
      <c r="J224" s="2043"/>
      <c r="K224" s="2317"/>
      <c r="L224" s="2317"/>
      <c r="N224" s="2010"/>
      <c r="O224" s="2011"/>
      <c r="P224" s="1336"/>
    </row>
    <row r="225" spans="1:16" x14ac:dyDescent="0.25">
      <c r="A225" s="2291">
        <v>45838</v>
      </c>
      <c r="B225" s="2626" t="s">
        <v>6210</v>
      </c>
      <c r="C225" s="3257" t="s">
        <v>8052</v>
      </c>
      <c r="D225" s="3258"/>
      <c r="E225" s="2293">
        <v>252.98</v>
      </c>
      <c r="F225" s="2294">
        <v>3</v>
      </c>
      <c r="G225" s="2714">
        <f>E225/F225</f>
        <v>84.326666666666668</v>
      </c>
      <c r="H225" s="1686" t="s">
        <v>1506</v>
      </c>
      <c r="I225" s="2316"/>
      <c r="J225" s="2043"/>
      <c r="K225" s="2317"/>
      <c r="L225" s="2317"/>
      <c r="N225" s="2010"/>
      <c r="O225" s="2011"/>
      <c r="P225" s="1336"/>
    </row>
    <row r="226" spans="1:16" x14ac:dyDescent="0.25">
      <c r="A226" s="2711">
        <v>45839</v>
      </c>
      <c r="B226" s="2626" t="s">
        <v>6210</v>
      </c>
      <c r="C226" s="3242" t="s">
        <v>8053</v>
      </c>
      <c r="D226" s="3243"/>
      <c r="E226" s="2712">
        <v>757.77</v>
      </c>
      <c r="F226" s="2713">
        <v>3</v>
      </c>
      <c r="G226" s="2714">
        <f t="shared" ref="G226:G229" si="92">E226/F226</f>
        <v>252.59</v>
      </c>
      <c r="H226" s="1247" t="s">
        <v>1524</v>
      </c>
      <c r="I226" s="2316"/>
      <c r="J226" s="2043"/>
      <c r="K226" s="2317"/>
      <c r="L226" s="2317"/>
      <c r="N226" s="2010"/>
      <c r="O226" s="2011"/>
      <c r="P226" s="1336"/>
    </row>
    <row r="227" spans="1:16" x14ac:dyDescent="0.25">
      <c r="A227" s="2785">
        <v>45840</v>
      </c>
      <c r="B227" s="2786" t="s">
        <v>7493</v>
      </c>
      <c r="C227" s="3316" t="s">
        <v>8056</v>
      </c>
      <c r="D227" s="3317"/>
      <c r="E227" s="2787">
        <v>343</v>
      </c>
      <c r="F227" s="2788">
        <v>3</v>
      </c>
      <c r="G227" s="2789">
        <f t="shared" si="92"/>
        <v>114.33333333333333</v>
      </c>
      <c r="H227" s="1247" t="s">
        <v>1525</v>
      </c>
      <c r="I227" s="2316"/>
      <c r="J227" s="2043"/>
      <c r="K227" s="2317"/>
      <c r="L227" s="2317"/>
      <c r="N227" s="2010"/>
      <c r="O227" s="2011"/>
      <c r="P227" s="1336"/>
    </row>
    <row r="228" spans="1:16" x14ac:dyDescent="0.25">
      <c r="A228" s="2790">
        <v>45841</v>
      </c>
      <c r="B228" s="2794" t="s">
        <v>7493</v>
      </c>
      <c r="C228" s="3297" t="s">
        <v>8076</v>
      </c>
      <c r="D228" s="3298"/>
      <c r="E228" s="2791">
        <v>318.52</v>
      </c>
      <c r="F228" s="2792">
        <v>5</v>
      </c>
      <c r="G228" s="2793">
        <f t="shared" si="92"/>
        <v>63.703999999999994</v>
      </c>
      <c r="H228" s="1247" t="s">
        <v>1525</v>
      </c>
      <c r="I228" s="2316"/>
      <c r="J228" s="2043"/>
      <c r="K228" s="2317"/>
      <c r="L228" s="2317"/>
      <c r="N228" s="2010"/>
      <c r="O228" s="2011"/>
      <c r="P228" s="1336"/>
    </row>
    <row r="229" spans="1:16" x14ac:dyDescent="0.25">
      <c r="A229" s="2779">
        <v>45845</v>
      </c>
      <c r="B229" s="2784" t="s">
        <v>6210</v>
      </c>
      <c r="C229" s="3273" t="s">
        <v>8081</v>
      </c>
      <c r="D229" s="3274"/>
      <c r="E229" s="2781">
        <v>200.31</v>
      </c>
      <c r="F229" s="2782">
        <v>4</v>
      </c>
      <c r="G229" s="2783">
        <f t="shared" si="92"/>
        <v>50.077500000000001</v>
      </c>
      <c r="H229" s="1247" t="s">
        <v>1525</v>
      </c>
      <c r="I229" s="2316"/>
      <c r="J229" s="2043"/>
      <c r="K229" s="2317"/>
      <c r="L229" s="2317"/>
      <c r="N229" s="2010"/>
      <c r="O229" s="2011"/>
      <c r="P229" s="1336"/>
    </row>
    <row r="230" spans="1:16" x14ac:dyDescent="0.25">
      <c r="A230" s="2711">
        <v>45845</v>
      </c>
      <c r="B230" s="2626" t="s">
        <v>6210</v>
      </c>
      <c r="C230" s="3242" t="s">
        <v>8113</v>
      </c>
      <c r="D230" s="3243"/>
      <c r="E230" s="2712">
        <v>375.14</v>
      </c>
      <c r="F230" s="2713">
        <v>7</v>
      </c>
      <c r="G230" s="2714">
        <f>E230/F230</f>
        <v>53.591428571428573</v>
      </c>
      <c r="H230" s="1247" t="s">
        <v>1524</v>
      </c>
      <c r="I230" s="2316"/>
      <c r="J230" s="2043"/>
      <c r="K230" s="2317"/>
      <c r="L230" s="2317"/>
      <c r="N230" s="2010"/>
      <c r="O230" s="2011"/>
      <c r="P230" s="1336"/>
    </row>
    <row r="231" spans="1:16" x14ac:dyDescent="0.25">
      <c r="A231" s="2284">
        <v>45853</v>
      </c>
      <c r="B231" s="2285" t="s">
        <v>6209</v>
      </c>
      <c r="C231" s="3244" t="s">
        <v>8152</v>
      </c>
      <c r="D231" s="3245"/>
      <c r="E231" s="2286">
        <v>205.32</v>
      </c>
      <c r="F231" s="2287">
        <v>6</v>
      </c>
      <c r="G231" s="2297">
        <f>E231/F231</f>
        <v>34.22</v>
      </c>
      <c r="H231" s="1247" t="s">
        <v>1504</v>
      </c>
      <c r="I231" s="2316"/>
      <c r="J231" s="2043"/>
      <c r="K231" s="1657"/>
      <c r="L231" s="1657"/>
      <c r="N231" s="2010"/>
      <c r="O231" s="2011"/>
      <c r="P231" s="1336"/>
    </row>
    <row r="232" spans="1:16" x14ac:dyDescent="0.25">
      <c r="A232" s="2291">
        <v>45836</v>
      </c>
      <c r="B232" s="2627" t="s">
        <v>6210</v>
      </c>
      <c r="C232" s="3257" t="s">
        <v>8166</v>
      </c>
      <c r="D232" s="3258"/>
      <c r="E232" s="2293">
        <v>200</v>
      </c>
      <c r="F232" s="2294">
        <v>3</v>
      </c>
      <c r="G232" s="2298">
        <v>0</v>
      </c>
      <c r="H232" s="1272" t="s">
        <v>8256</v>
      </c>
      <c r="I232" s="2316"/>
      <c r="J232" s="2043"/>
      <c r="K232" s="2317"/>
      <c r="L232" s="2317"/>
      <c r="N232" s="2010"/>
      <c r="O232" s="2011"/>
      <c r="P232" s="1336"/>
    </row>
    <row r="233" spans="1:16" x14ac:dyDescent="0.25">
      <c r="A233" s="2284">
        <v>45869</v>
      </c>
      <c r="B233" s="2715" t="s">
        <v>6209</v>
      </c>
      <c r="C233" s="3244" t="s">
        <v>8174</v>
      </c>
      <c r="D233" s="3245"/>
      <c r="E233" s="2286">
        <v>894.64</v>
      </c>
      <c r="F233" s="2287">
        <v>6</v>
      </c>
      <c r="G233" s="2297">
        <f>E233/F233</f>
        <v>149.10666666666665</v>
      </c>
      <c r="H233" s="1247" t="s">
        <v>1524</v>
      </c>
      <c r="I233" s="2316"/>
      <c r="J233" s="2043"/>
      <c r="K233" s="2317"/>
      <c r="L233" s="2317"/>
      <c r="N233" s="2010"/>
      <c r="O233" s="2011"/>
      <c r="P233" s="1336"/>
    </row>
    <row r="234" spans="1:16" x14ac:dyDescent="0.25">
      <c r="A234" s="2291">
        <v>45875</v>
      </c>
      <c r="B234" s="2627" t="s">
        <v>6210</v>
      </c>
      <c r="C234" s="3257" t="s">
        <v>8189</v>
      </c>
      <c r="D234" s="3258"/>
      <c r="E234" s="2293">
        <v>126.79</v>
      </c>
      <c r="F234" s="2294">
        <v>2</v>
      </c>
      <c r="G234" s="2820">
        <v>0</v>
      </c>
      <c r="H234" s="1272" t="s">
        <v>8237</v>
      </c>
      <c r="I234" s="2316"/>
      <c r="J234" s="2043"/>
      <c r="K234" s="2317"/>
      <c r="L234" s="2317"/>
      <c r="N234" s="2010"/>
      <c r="O234" s="2011"/>
      <c r="P234" s="1336"/>
    </row>
    <row r="235" spans="1:16" x14ac:dyDescent="0.25">
      <c r="A235" s="2291">
        <v>45880</v>
      </c>
      <c r="B235" s="2627" t="s">
        <v>6210</v>
      </c>
      <c r="C235" s="3257" t="s">
        <v>8196</v>
      </c>
      <c r="D235" s="3258"/>
      <c r="E235" s="2293">
        <v>200</v>
      </c>
      <c r="F235" s="2294">
        <v>3</v>
      </c>
      <c r="G235" s="2783">
        <f t="shared" ref="G235" si="93">E235/F235</f>
        <v>66.666666666666671</v>
      </c>
      <c r="H235" s="1686" t="s">
        <v>1489</v>
      </c>
      <c r="I235" s="2316"/>
      <c r="J235" s="2043"/>
      <c r="K235" s="2317"/>
      <c r="L235" s="2317"/>
      <c r="N235" s="2010"/>
      <c r="O235" s="2011"/>
      <c r="P235" s="1336"/>
    </row>
    <row r="236" spans="1:16" x14ac:dyDescent="0.25">
      <c r="A236" s="2284">
        <v>45883</v>
      </c>
      <c r="B236" s="2715" t="s">
        <v>6209</v>
      </c>
      <c r="C236" s="3244" t="s">
        <v>8208</v>
      </c>
      <c r="D236" s="3245"/>
      <c r="E236" s="2286">
        <v>78</v>
      </c>
      <c r="F236" s="2287">
        <v>1</v>
      </c>
      <c r="G236" s="2297">
        <f t="shared" ref="G236:G240" si="94">E236/F236</f>
        <v>78</v>
      </c>
      <c r="H236" s="1247" t="s">
        <v>6731</v>
      </c>
      <c r="I236" s="2316"/>
      <c r="J236" s="2043"/>
      <c r="K236" s="2317"/>
      <c r="L236" s="2317"/>
      <c r="N236" s="2010"/>
      <c r="O236" s="2011"/>
      <c r="P236" s="1336"/>
    </row>
    <row r="237" spans="1:16" x14ac:dyDescent="0.25">
      <c r="A237" s="2284">
        <v>45883</v>
      </c>
      <c r="B237" s="2715" t="s">
        <v>6209</v>
      </c>
      <c r="C237" s="3244" t="s">
        <v>8209</v>
      </c>
      <c r="D237" s="3245"/>
      <c r="E237" s="2286">
        <v>19.13</v>
      </c>
      <c r="F237" s="2287">
        <v>1</v>
      </c>
      <c r="G237" s="2297">
        <f t="shared" si="94"/>
        <v>19.13</v>
      </c>
      <c r="H237" s="1247" t="s">
        <v>1489</v>
      </c>
      <c r="I237" s="2316"/>
      <c r="J237" s="2043"/>
      <c r="K237" s="2317"/>
      <c r="L237" s="2317"/>
      <c r="N237" s="2010"/>
      <c r="O237" s="2011"/>
      <c r="P237" s="1336"/>
    </row>
    <row r="238" spans="1:16" x14ac:dyDescent="0.25">
      <c r="A238" s="2284">
        <v>45908</v>
      </c>
      <c r="B238" s="2715" t="s">
        <v>6209</v>
      </c>
      <c r="C238" s="3244" t="s">
        <v>8239</v>
      </c>
      <c r="D238" s="3245"/>
      <c r="E238" s="2286">
        <v>126</v>
      </c>
      <c r="F238" s="2287">
        <v>2</v>
      </c>
      <c r="G238" s="2297">
        <f t="shared" si="94"/>
        <v>63</v>
      </c>
      <c r="H238" s="1247" t="s">
        <v>6731</v>
      </c>
      <c r="I238" s="2316"/>
      <c r="J238" s="2043"/>
      <c r="K238" s="2317"/>
      <c r="L238" s="2317"/>
      <c r="N238" s="2010"/>
      <c r="O238" s="2011"/>
      <c r="P238" s="1336"/>
    </row>
    <row r="239" spans="1:16" x14ac:dyDescent="0.25">
      <c r="A239" s="2284">
        <v>45908</v>
      </c>
      <c r="B239" s="2715" t="s">
        <v>6209</v>
      </c>
      <c r="C239" s="3244" t="s">
        <v>8240</v>
      </c>
      <c r="D239" s="3245"/>
      <c r="E239" s="2286">
        <v>64</v>
      </c>
      <c r="F239" s="2287">
        <v>2</v>
      </c>
      <c r="G239" s="2297">
        <f t="shared" si="94"/>
        <v>32</v>
      </c>
      <c r="H239" s="1247" t="s">
        <v>6731</v>
      </c>
      <c r="I239" s="2316"/>
      <c r="J239" s="2043"/>
      <c r="K239" s="2317"/>
      <c r="L239" s="2317"/>
      <c r="N239" s="2010"/>
      <c r="O239" s="2011"/>
      <c r="P239" s="1336"/>
    </row>
    <row r="240" spans="1:16" x14ac:dyDescent="0.25">
      <c r="A240" s="2284">
        <v>45908</v>
      </c>
      <c r="B240" s="2715" t="s">
        <v>6209</v>
      </c>
      <c r="C240" s="3244" t="s">
        <v>8255</v>
      </c>
      <c r="D240" s="3245"/>
      <c r="E240" s="2286">
        <v>59.12</v>
      </c>
      <c r="F240" s="2287">
        <v>1</v>
      </c>
      <c r="G240" s="2297">
        <f t="shared" si="94"/>
        <v>59.12</v>
      </c>
      <c r="H240" s="1247" t="s">
        <v>1506</v>
      </c>
      <c r="I240" s="2316"/>
      <c r="J240" s="2043"/>
      <c r="K240" s="2317"/>
      <c r="L240" s="2317"/>
      <c r="N240" s="2010"/>
      <c r="O240" s="2011"/>
      <c r="P240" s="1336"/>
    </row>
    <row r="241" spans="1:16" x14ac:dyDescent="0.25">
      <c r="A241" s="2291">
        <v>45911</v>
      </c>
      <c r="B241" s="2627" t="s">
        <v>6210</v>
      </c>
      <c r="C241" s="3257" t="s">
        <v>8252</v>
      </c>
      <c r="D241" s="3258"/>
      <c r="E241" s="2293">
        <v>273.39999999999998</v>
      </c>
      <c r="F241" s="2294">
        <v>3</v>
      </c>
      <c r="G241" s="2298">
        <v>0</v>
      </c>
      <c r="H241" s="1272" t="s">
        <v>8257</v>
      </c>
      <c r="I241" s="2316"/>
      <c r="J241" s="2043"/>
      <c r="K241" s="2317"/>
      <c r="L241" s="2317"/>
      <c r="N241" s="2010"/>
      <c r="O241" s="2011"/>
      <c r="P241" s="1336"/>
    </row>
    <row r="242" spans="1:16" x14ac:dyDescent="0.25">
      <c r="A242" s="2291"/>
      <c r="B242" s="2627"/>
      <c r="C242" s="3257"/>
      <c r="D242" s="3258"/>
      <c r="E242" s="2293"/>
      <c r="F242" s="2294"/>
      <c r="G242" s="2298"/>
      <c r="I242" s="2316"/>
      <c r="J242" s="2043"/>
      <c r="K242" s="2317"/>
      <c r="L242" s="2317"/>
      <c r="N242" s="2010"/>
      <c r="O242" s="2011"/>
      <c r="P242" s="1336"/>
    </row>
    <row r="243" spans="1:16" x14ac:dyDescent="0.25">
      <c r="A243" s="2307"/>
      <c r="B243" s="2628"/>
      <c r="C243" s="3309"/>
      <c r="D243" s="3310"/>
      <c r="E243" s="2309"/>
      <c r="F243" s="2310"/>
      <c r="G243" s="2311"/>
      <c r="I243" s="2316"/>
      <c r="J243" s="2043"/>
      <c r="K243" s="2317"/>
      <c r="L243" s="2317"/>
      <c r="N243" s="2010"/>
      <c r="O243" s="2011"/>
      <c r="P243" s="1336"/>
    </row>
    <row r="244" spans="1:16" ht="15.75" x14ac:dyDescent="0.25">
      <c r="A244" s="3281" t="s">
        <v>6284</v>
      </c>
      <c r="B244" s="3282"/>
      <c r="C244" s="3282"/>
      <c r="D244" s="3282"/>
      <c r="E244" s="2295">
        <v>5600</v>
      </c>
      <c r="F244" s="3311">
        <f>SUM(H250:H251)+G227+G228</f>
        <v>2206.6944047619054</v>
      </c>
      <c r="G244" s="3312" t="e">
        <f>SUM(#REF!)</f>
        <v>#REF!</v>
      </c>
      <c r="H244" s="3296" t="s">
        <v>6301</v>
      </c>
      <c r="J244" s="1382"/>
      <c r="N244" s="1336"/>
      <c r="O244" s="2012"/>
      <c r="P244" s="1336"/>
    </row>
    <row r="245" spans="1:16" ht="15.75" x14ac:dyDescent="0.25">
      <c r="A245" s="3290" t="s">
        <v>6285</v>
      </c>
      <c r="B245" s="3291"/>
      <c r="C245" s="3291"/>
      <c r="D245" s="3291"/>
      <c r="E245" s="2302">
        <v>15650</v>
      </c>
      <c r="F245" s="3313">
        <f>SUM(F244:F244)</f>
        <v>2206.6944047619054</v>
      </c>
      <c r="G245" s="3312" t="e">
        <f>SUM(G244:G244)</f>
        <v>#REF!</v>
      </c>
      <c r="H245" s="3296"/>
      <c r="J245" s="1382"/>
      <c r="N245" s="1336"/>
      <c r="O245" s="2012"/>
      <c r="P245" s="1336"/>
    </row>
    <row r="246" spans="1:16" ht="15.75" x14ac:dyDescent="0.25">
      <c r="A246" s="3292" t="s">
        <v>6286</v>
      </c>
      <c r="B246" s="3293"/>
      <c r="C246" s="3293"/>
      <c r="D246" s="3293"/>
      <c r="E246" s="2303">
        <v>0</v>
      </c>
      <c r="F246" s="3313">
        <f t="shared" ref="F246:G246" si="95">SUM(F244:F245)</f>
        <v>4413.3888095238108</v>
      </c>
      <c r="G246" s="3312" t="e">
        <f t="shared" si="95"/>
        <v>#REF!</v>
      </c>
      <c r="H246" s="3296"/>
    </row>
    <row r="247" spans="1:16" ht="15.75" x14ac:dyDescent="0.25">
      <c r="A247" s="3294" t="s">
        <v>6287</v>
      </c>
      <c r="B247" s="3295"/>
      <c r="C247" s="3295"/>
      <c r="D247" s="3295"/>
      <c r="E247" s="2304">
        <v>4151.87</v>
      </c>
      <c r="F247" s="3313">
        <f t="shared" ref="F247:G247" si="96">SUM(F245:F246)</f>
        <v>6620.0832142857162</v>
      </c>
      <c r="G247" s="3312" t="e">
        <f t="shared" si="96"/>
        <v>#REF!</v>
      </c>
      <c r="H247" s="3296"/>
    </row>
    <row r="248" spans="1:16" ht="17.25" customHeight="1" thickBot="1" x14ac:dyDescent="0.3">
      <c r="A248" s="3281" t="s">
        <v>6288</v>
      </c>
      <c r="B248" s="3282"/>
      <c r="C248" s="3282"/>
      <c r="D248" s="3282"/>
      <c r="E248" s="2295">
        <f>E244-E246</f>
        <v>5600</v>
      </c>
      <c r="F248" s="3313">
        <f t="shared" ref="F248:G248" si="97">SUM(F246:F247)</f>
        <v>11033.472023809527</v>
      </c>
      <c r="G248" s="3312" t="e">
        <f t="shared" si="97"/>
        <v>#REF!</v>
      </c>
      <c r="H248" s="3296"/>
    </row>
    <row r="249" spans="1:16" ht="17.25" customHeight="1" thickBot="1" x14ac:dyDescent="0.3">
      <c r="A249" s="3299" t="s">
        <v>6289</v>
      </c>
      <c r="B249" s="3300"/>
      <c r="C249" s="3300"/>
      <c r="D249" s="3300"/>
      <c r="E249" s="2092">
        <f>E245-E247</f>
        <v>11498.130000000001</v>
      </c>
      <c r="F249" s="3314">
        <f t="shared" ref="F249:G249" si="98">SUM(F247:F248)</f>
        <v>17653.555238095243</v>
      </c>
      <c r="G249" s="3315" t="e">
        <f t="shared" si="98"/>
        <v>#REF!</v>
      </c>
      <c r="H249" s="3296"/>
    </row>
    <row r="250" spans="1:16" ht="16.5" thickBot="1" x14ac:dyDescent="0.3">
      <c r="A250" s="3302" t="s">
        <v>6290</v>
      </c>
      <c r="B250" s="3303"/>
      <c r="C250" s="3303"/>
      <c r="D250" s="3303"/>
      <c r="E250" s="3303"/>
      <c r="F250" s="3304"/>
      <c r="G250" s="2299">
        <f>SUMIF(B212:B243,"SANTANDER",G212:G243)</f>
        <v>811.01166666666666</v>
      </c>
      <c r="H250" s="2007">
        <f>G250</f>
        <v>811.01166666666666</v>
      </c>
      <c r="I250" s="2862" t="s">
        <v>6213</v>
      </c>
    </row>
    <row r="251" spans="1:16" ht="16.5" thickBot="1" x14ac:dyDescent="0.3">
      <c r="A251" s="3294" t="s">
        <v>6291</v>
      </c>
      <c r="B251" s="3295"/>
      <c r="C251" s="3295"/>
      <c r="D251" s="3295"/>
      <c r="E251" s="3295"/>
      <c r="F251" s="3305"/>
      <c r="G251" s="2300">
        <f>SUMIF(B212:B243,"NUBANK",G212:G243)</f>
        <v>1217.645404761905</v>
      </c>
      <c r="H251" s="2007">
        <f>G251</f>
        <v>1217.645404761905</v>
      </c>
      <c r="I251" s="2862" t="s">
        <v>6213</v>
      </c>
    </row>
    <row r="252" spans="1:16" ht="16.5" customHeight="1" thickBot="1" x14ac:dyDescent="0.35">
      <c r="A252" s="3306" t="s">
        <v>6292</v>
      </c>
      <c r="B252" s="3307"/>
      <c r="C252" s="3307"/>
      <c r="D252" s="3307"/>
      <c r="E252" s="3307"/>
      <c r="F252" s="3308"/>
      <c r="G252" s="2093">
        <f>G250+G251</f>
        <v>2028.6570714285717</v>
      </c>
      <c r="H252" s="2094"/>
      <c r="I252" s="2863"/>
    </row>
    <row r="253" spans="1:16" ht="16.5" customHeight="1" thickBot="1" x14ac:dyDescent="0.3">
      <c r="M253" s="1247"/>
      <c r="O253" s="1247"/>
    </row>
    <row r="254" spans="1:16" ht="19.5" thickBot="1" x14ac:dyDescent="0.35">
      <c r="A254" s="3287" t="s">
        <v>8007</v>
      </c>
      <c r="B254" s="3288"/>
      <c r="C254" s="3288"/>
      <c r="D254" s="3288"/>
      <c r="E254" s="3288"/>
      <c r="F254" s="3288"/>
      <c r="G254" s="3289"/>
      <c r="J254" s="1354"/>
      <c r="K254" s="1667"/>
      <c r="L254" s="1667"/>
      <c r="M254" s="1944"/>
      <c r="N254" s="1667"/>
      <c r="O254" s="1944"/>
      <c r="P254" s="1667"/>
    </row>
    <row r="255" spans="1:16" x14ac:dyDescent="0.25">
      <c r="A255" s="2288">
        <v>45328</v>
      </c>
      <c r="B255" s="2288" t="s">
        <v>6210</v>
      </c>
      <c r="C255" s="3253" t="s">
        <v>6130</v>
      </c>
      <c r="D255" s="3254"/>
      <c r="E255" s="2289">
        <v>33.979999999999997</v>
      </c>
      <c r="F255" s="2290">
        <v>1</v>
      </c>
      <c r="G255" s="2603">
        <v>0</v>
      </c>
      <c r="H255" s="1272" t="s">
        <v>8183</v>
      </c>
      <c r="I255" s="2151"/>
      <c r="J255" s="1360"/>
      <c r="K255" s="1657"/>
      <c r="L255" s="1657"/>
      <c r="M255" s="2008"/>
      <c r="N255" s="2010"/>
      <c r="O255" s="2011"/>
      <c r="P255" s="1336"/>
    </row>
    <row r="256" spans="1:16" x14ac:dyDescent="0.25">
      <c r="A256" s="2291">
        <v>45505</v>
      </c>
      <c r="B256" s="2292" t="s">
        <v>6210</v>
      </c>
      <c r="C256" s="3255" t="s">
        <v>7799</v>
      </c>
      <c r="D256" s="3256"/>
      <c r="E256" s="2293">
        <v>43</v>
      </c>
      <c r="F256" s="2294">
        <v>1</v>
      </c>
      <c r="G256" s="2298">
        <v>0</v>
      </c>
      <c r="H256" s="1272" t="s">
        <v>8184</v>
      </c>
      <c r="I256" s="2316"/>
      <c r="J256" s="2043"/>
      <c r="K256" s="2317"/>
      <c r="L256" s="2317"/>
      <c r="M256" s="2008"/>
      <c r="N256" s="2010"/>
      <c r="O256" s="2011"/>
      <c r="P256" s="1336"/>
    </row>
    <row r="257" spans="1:16" x14ac:dyDescent="0.25">
      <c r="A257" s="2291">
        <v>45505</v>
      </c>
      <c r="B257" s="2292" t="s">
        <v>6210</v>
      </c>
      <c r="C257" s="3257" t="s">
        <v>7885</v>
      </c>
      <c r="D257" s="3258"/>
      <c r="E257" s="2293">
        <v>20.9</v>
      </c>
      <c r="F257" s="2294">
        <v>1</v>
      </c>
      <c r="G257" s="2298">
        <v>0</v>
      </c>
      <c r="H257" s="1272" t="s">
        <v>8184</v>
      </c>
      <c r="I257" s="2316">
        <f>SUMIF(H255:H281,"COM",G255:G281)</f>
        <v>1571.5562380952379</v>
      </c>
      <c r="J257" s="2043" t="s">
        <v>1524</v>
      </c>
      <c r="K257" s="1657"/>
      <c r="L257" s="1657"/>
      <c r="M257" s="2008"/>
      <c r="N257" s="2010"/>
      <c r="O257" s="2011"/>
      <c r="P257" s="1336"/>
    </row>
    <row r="258" spans="1:16" x14ac:dyDescent="0.25">
      <c r="A258" s="2291">
        <v>45643</v>
      </c>
      <c r="B258" s="2292" t="s">
        <v>6210</v>
      </c>
      <c r="C258" s="3257" t="s">
        <v>7892</v>
      </c>
      <c r="D258" s="3258"/>
      <c r="E258" s="2293">
        <v>9.99</v>
      </c>
      <c r="F258" s="2294">
        <v>1</v>
      </c>
      <c r="G258" s="2298">
        <v>0</v>
      </c>
      <c r="H258" s="1272" t="s">
        <v>8184</v>
      </c>
      <c r="I258" s="2316">
        <f>F282-I257</f>
        <v>743.38983333333408</v>
      </c>
      <c r="J258" s="2043" t="s">
        <v>7817</v>
      </c>
      <c r="K258" s="2317"/>
      <c r="L258" s="2317"/>
      <c r="M258" s="2008"/>
      <c r="N258" s="2010"/>
      <c r="O258" s="2011"/>
      <c r="P258" s="1336"/>
    </row>
    <row r="259" spans="1:16" x14ac:dyDescent="0.25">
      <c r="A259" s="2711">
        <v>45789</v>
      </c>
      <c r="B259" s="2626" t="s">
        <v>6210</v>
      </c>
      <c r="C259" s="3242" t="s">
        <v>7889</v>
      </c>
      <c r="D259" s="3243"/>
      <c r="E259" s="2712">
        <v>1181.3599999999999</v>
      </c>
      <c r="F259" s="2713">
        <v>10</v>
      </c>
      <c r="G259" s="2714">
        <f t="shared" ref="G259:G268" si="99">E259/F259</f>
        <v>118.136</v>
      </c>
      <c r="H259" s="1247" t="s">
        <v>1524</v>
      </c>
      <c r="I259" s="2316"/>
      <c r="J259" s="2043"/>
      <c r="K259" s="2317"/>
      <c r="L259" s="2317"/>
      <c r="M259" s="2008"/>
      <c r="N259" s="2010"/>
      <c r="O259" s="2011"/>
      <c r="P259" s="1336"/>
    </row>
    <row r="260" spans="1:16" x14ac:dyDescent="0.25">
      <c r="A260" s="2291">
        <v>45796</v>
      </c>
      <c r="B260" s="2627" t="s">
        <v>6210</v>
      </c>
      <c r="C260" s="3257" t="s">
        <v>7908</v>
      </c>
      <c r="D260" s="3258"/>
      <c r="E260" s="2293">
        <v>800</v>
      </c>
      <c r="F260" s="2294">
        <v>3</v>
      </c>
      <c r="G260" s="2298">
        <f t="shared" si="99"/>
        <v>266.66666666666669</v>
      </c>
      <c r="H260" s="1247" t="s">
        <v>1522</v>
      </c>
      <c r="I260" s="2316"/>
      <c r="J260" s="2043"/>
      <c r="K260" s="2317"/>
      <c r="L260" s="2317"/>
      <c r="M260" s="2008"/>
      <c r="N260" s="2010"/>
      <c r="O260" s="2011"/>
      <c r="P260" s="1336"/>
    </row>
    <row r="261" spans="1:16" x14ac:dyDescent="0.25">
      <c r="A261" s="2733">
        <v>45803</v>
      </c>
      <c r="B261" s="2734" t="s">
        <v>6209</v>
      </c>
      <c r="C261" s="3283" t="s">
        <v>7920</v>
      </c>
      <c r="D261" s="3284"/>
      <c r="E261" s="2735">
        <v>1520.79</v>
      </c>
      <c r="F261" s="2736">
        <v>6</v>
      </c>
      <c r="G261" s="2725">
        <f t="shared" si="99"/>
        <v>253.465</v>
      </c>
      <c r="H261" s="1247" t="s">
        <v>1524</v>
      </c>
      <c r="I261" s="2316"/>
      <c r="J261" s="2043"/>
      <c r="K261" s="2317"/>
      <c r="L261" s="2317"/>
      <c r="M261" s="2008"/>
      <c r="N261" s="2010"/>
      <c r="O261" s="2011"/>
      <c r="P261" s="1336"/>
    </row>
    <row r="262" spans="1:16" x14ac:dyDescent="0.25">
      <c r="A262" s="2733">
        <v>45803</v>
      </c>
      <c r="B262" s="2734" t="s">
        <v>6209</v>
      </c>
      <c r="C262" s="3283" t="s">
        <v>7921</v>
      </c>
      <c r="D262" s="3284"/>
      <c r="E262" s="2735">
        <v>363.94</v>
      </c>
      <c r="F262" s="2736">
        <v>6</v>
      </c>
      <c r="G262" s="2725">
        <f t="shared" si="99"/>
        <v>60.656666666666666</v>
      </c>
      <c r="H262" s="1247" t="s">
        <v>1524</v>
      </c>
      <c r="I262" s="2316"/>
      <c r="J262" s="2043"/>
      <c r="K262" s="2317"/>
      <c r="L262" s="2317"/>
      <c r="M262" s="2008"/>
      <c r="N262" s="2010"/>
      <c r="O262" s="2011"/>
      <c r="P262" s="1336"/>
    </row>
    <row r="263" spans="1:16" x14ac:dyDescent="0.25">
      <c r="A263" s="2733">
        <v>45803</v>
      </c>
      <c r="B263" s="2734" t="s">
        <v>6209</v>
      </c>
      <c r="C263" s="3283" t="s">
        <v>7922</v>
      </c>
      <c r="D263" s="3284"/>
      <c r="E263" s="2735">
        <v>269.91000000000003</v>
      </c>
      <c r="F263" s="2736">
        <v>6</v>
      </c>
      <c r="G263" s="2725">
        <f t="shared" si="99"/>
        <v>44.985000000000007</v>
      </c>
      <c r="H263" s="1247" t="s">
        <v>1524</v>
      </c>
      <c r="I263" s="2316"/>
      <c r="J263" s="2043"/>
      <c r="K263" s="2317"/>
      <c r="L263" s="2317"/>
      <c r="M263" s="2008"/>
      <c r="N263" s="2010"/>
      <c r="O263" s="2011"/>
      <c r="P263" s="1336"/>
    </row>
    <row r="264" spans="1:16" x14ac:dyDescent="0.25">
      <c r="A264" s="2733">
        <v>45803</v>
      </c>
      <c r="B264" s="2734" t="s">
        <v>6209</v>
      </c>
      <c r="C264" s="3283" t="s">
        <v>7923</v>
      </c>
      <c r="D264" s="3284"/>
      <c r="E264" s="2735">
        <v>53.97</v>
      </c>
      <c r="F264" s="2736">
        <v>6</v>
      </c>
      <c r="G264" s="2725">
        <f t="shared" si="99"/>
        <v>8.9949999999999992</v>
      </c>
      <c r="H264" s="1247" t="s">
        <v>1524</v>
      </c>
      <c r="I264" s="2316"/>
      <c r="J264" s="2043"/>
      <c r="K264" s="2317"/>
      <c r="L264" s="2317"/>
      <c r="M264" s="2008"/>
      <c r="N264" s="2010"/>
      <c r="O264" s="2011"/>
      <c r="P264" s="1336"/>
    </row>
    <row r="265" spans="1:16" x14ac:dyDescent="0.25">
      <c r="A265" s="2733">
        <v>45803</v>
      </c>
      <c r="B265" s="2734" t="s">
        <v>6209</v>
      </c>
      <c r="C265" s="3283" t="s">
        <v>7933</v>
      </c>
      <c r="D265" s="3284"/>
      <c r="E265" s="2735">
        <v>50</v>
      </c>
      <c r="F265" s="2736">
        <v>6</v>
      </c>
      <c r="G265" s="2725">
        <f t="shared" si="99"/>
        <v>8.3333333333333339</v>
      </c>
      <c r="H265" s="1247" t="s">
        <v>1524</v>
      </c>
      <c r="I265" s="2316"/>
      <c r="J265" s="2043"/>
      <c r="K265" s="2317"/>
      <c r="L265" s="2317"/>
      <c r="M265" s="2008"/>
      <c r="N265" s="2010"/>
      <c r="O265" s="2011"/>
      <c r="P265" s="1336"/>
    </row>
    <row r="266" spans="1:16" x14ac:dyDescent="0.25">
      <c r="A266" s="2711">
        <v>45810</v>
      </c>
      <c r="B266" s="2626" t="s">
        <v>6210</v>
      </c>
      <c r="C266" s="3277" t="s">
        <v>7957</v>
      </c>
      <c r="D266" s="3243"/>
      <c r="E266" s="2712">
        <v>356</v>
      </c>
      <c r="F266" s="2713">
        <v>7</v>
      </c>
      <c r="G266" s="2714">
        <f t="shared" si="99"/>
        <v>50.857142857142854</v>
      </c>
      <c r="H266" s="1247" t="s">
        <v>1524</v>
      </c>
      <c r="I266" s="2316"/>
      <c r="J266" s="2043"/>
      <c r="K266" s="2317"/>
      <c r="L266" s="2317"/>
      <c r="M266" s="2008"/>
      <c r="N266" s="2010"/>
      <c r="O266" s="2011"/>
      <c r="P266" s="1336"/>
    </row>
    <row r="267" spans="1:16" x14ac:dyDescent="0.25">
      <c r="A267" s="2711">
        <v>45813</v>
      </c>
      <c r="B267" s="2626" t="s">
        <v>6210</v>
      </c>
      <c r="C267" s="3242" t="s">
        <v>7965</v>
      </c>
      <c r="D267" s="3243"/>
      <c r="E267" s="2712">
        <v>557</v>
      </c>
      <c r="F267" s="2713">
        <v>5</v>
      </c>
      <c r="G267" s="2714">
        <f t="shared" si="99"/>
        <v>111.4</v>
      </c>
      <c r="H267" s="1247" t="s">
        <v>1524</v>
      </c>
      <c r="I267" s="2316"/>
      <c r="J267" s="2043"/>
      <c r="K267" s="2317"/>
      <c r="L267" s="2317"/>
      <c r="M267" s="2008"/>
      <c r="N267" s="2010"/>
      <c r="O267" s="2011"/>
      <c r="P267" s="1336"/>
    </row>
    <row r="268" spans="1:16" x14ac:dyDescent="0.25">
      <c r="A268" s="2711">
        <v>45822</v>
      </c>
      <c r="B268" s="2626" t="s">
        <v>6210</v>
      </c>
      <c r="C268" s="3242" t="s">
        <v>8130</v>
      </c>
      <c r="D268" s="3243"/>
      <c r="E268" s="2712">
        <v>4300</v>
      </c>
      <c r="F268" s="2713">
        <v>10</v>
      </c>
      <c r="G268" s="2714">
        <f t="shared" si="99"/>
        <v>430</v>
      </c>
      <c r="H268" s="1247" t="s">
        <v>1524</v>
      </c>
      <c r="I268" s="2316"/>
      <c r="J268" s="2043"/>
      <c r="K268" s="2317"/>
      <c r="L268" s="2317"/>
      <c r="M268" s="2008"/>
      <c r="N268" s="2010"/>
      <c r="O268" s="2011"/>
      <c r="P268" s="1336"/>
    </row>
    <row r="269" spans="1:16" x14ac:dyDescent="0.25">
      <c r="A269" s="2291">
        <v>45838</v>
      </c>
      <c r="B269" s="2626" t="s">
        <v>6210</v>
      </c>
      <c r="C269" s="3257" t="s">
        <v>8050</v>
      </c>
      <c r="D269" s="3258"/>
      <c r="E269" s="2293">
        <v>252.98</v>
      </c>
      <c r="F269" s="2294">
        <v>3</v>
      </c>
      <c r="G269" s="2714">
        <f>E269/F269</f>
        <v>84.326666666666668</v>
      </c>
      <c r="H269" s="1686" t="s">
        <v>1506</v>
      </c>
      <c r="I269" s="2316"/>
      <c r="J269" s="2043"/>
      <c r="K269" s="2317"/>
      <c r="L269" s="2317"/>
      <c r="M269" s="2008"/>
      <c r="N269" s="2010"/>
      <c r="O269" s="2011"/>
      <c r="P269" s="1336"/>
    </row>
    <row r="270" spans="1:16" x14ac:dyDescent="0.25">
      <c r="A270" s="2711">
        <v>45839</v>
      </c>
      <c r="B270" s="2626" t="s">
        <v>6210</v>
      </c>
      <c r="C270" s="3242" t="s">
        <v>8051</v>
      </c>
      <c r="D270" s="3243"/>
      <c r="E270" s="2712">
        <v>757.77</v>
      </c>
      <c r="F270" s="2713">
        <v>3</v>
      </c>
      <c r="G270" s="2714">
        <f t="shared" ref="G270:G275" si="100">E270/F270</f>
        <v>252.59</v>
      </c>
      <c r="H270" s="1247" t="s">
        <v>1524</v>
      </c>
      <c r="I270" s="2316"/>
      <c r="J270" s="2043"/>
      <c r="K270" s="2317"/>
      <c r="L270" s="2317"/>
      <c r="M270" s="2008"/>
      <c r="N270" s="2010"/>
      <c r="O270" s="2011"/>
      <c r="P270" s="1336"/>
    </row>
    <row r="271" spans="1:16" x14ac:dyDescent="0.25">
      <c r="A271" s="2785">
        <v>45840</v>
      </c>
      <c r="B271" s="2786" t="s">
        <v>7493</v>
      </c>
      <c r="C271" s="3316" t="s">
        <v>8055</v>
      </c>
      <c r="D271" s="3317"/>
      <c r="E271" s="2787">
        <v>343</v>
      </c>
      <c r="F271" s="2788">
        <v>3</v>
      </c>
      <c r="G271" s="2789">
        <f t="shared" si="100"/>
        <v>114.33333333333333</v>
      </c>
      <c r="H271" s="1247" t="s">
        <v>1525</v>
      </c>
      <c r="I271" s="2316"/>
      <c r="J271" s="2043"/>
      <c r="K271" s="2317"/>
      <c r="L271" s="2317"/>
      <c r="M271" s="2008"/>
      <c r="N271" s="2010"/>
      <c r="O271" s="2011"/>
      <c r="P271" s="1336"/>
    </row>
    <row r="272" spans="1:16" x14ac:dyDescent="0.25">
      <c r="A272" s="2790">
        <v>45841</v>
      </c>
      <c r="B272" s="2794" t="s">
        <v>7493</v>
      </c>
      <c r="C272" s="3297" t="s">
        <v>8075</v>
      </c>
      <c r="D272" s="3298"/>
      <c r="E272" s="2791">
        <v>318.52</v>
      </c>
      <c r="F272" s="2792">
        <v>5</v>
      </c>
      <c r="G272" s="2793">
        <f t="shared" si="100"/>
        <v>63.703999999999994</v>
      </c>
      <c r="H272" s="1247" t="s">
        <v>1525</v>
      </c>
      <c r="I272" s="2316"/>
      <c r="J272" s="2043"/>
      <c r="K272" s="2317"/>
      <c r="L272" s="2317"/>
      <c r="M272" s="2008"/>
      <c r="N272" s="2010"/>
      <c r="O272" s="2011"/>
      <c r="P272" s="1336"/>
    </row>
    <row r="273" spans="1:16" x14ac:dyDescent="0.25">
      <c r="A273" s="2779">
        <v>45845</v>
      </c>
      <c r="B273" s="2784" t="s">
        <v>6210</v>
      </c>
      <c r="C273" s="3273" t="s">
        <v>8080</v>
      </c>
      <c r="D273" s="3274"/>
      <c r="E273" s="2781">
        <v>200.31</v>
      </c>
      <c r="F273" s="2782">
        <v>4</v>
      </c>
      <c r="G273" s="2783">
        <f t="shared" si="100"/>
        <v>50.077500000000001</v>
      </c>
      <c r="H273" s="1247" t="s">
        <v>1525</v>
      </c>
      <c r="I273" s="2316"/>
      <c r="J273" s="2043"/>
      <c r="K273" s="2317"/>
      <c r="L273" s="2317"/>
      <c r="M273" s="2008"/>
      <c r="N273" s="2010"/>
      <c r="O273" s="2011"/>
      <c r="P273" s="1336"/>
    </row>
    <row r="274" spans="1:16" x14ac:dyDescent="0.25">
      <c r="A274" s="2711">
        <v>45845</v>
      </c>
      <c r="B274" s="2626" t="s">
        <v>6210</v>
      </c>
      <c r="C274" s="3242" t="s">
        <v>8112</v>
      </c>
      <c r="D274" s="3243"/>
      <c r="E274" s="2712">
        <v>375.14</v>
      </c>
      <c r="F274" s="2713">
        <v>7</v>
      </c>
      <c r="G274" s="2714">
        <f>E274/F274</f>
        <v>53.591428571428573</v>
      </c>
      <c r="H274" s="1247" t="s">
        <v>1524</v>
      </c>
      <c r="I274" s="2316"/>
      <c r="J274" s="2043"/>
      <c r="K274" s="2317"/>
      <c r="L274" s="2317"/>
      <c r="M274" s="2008"/>
      <c r="N274" s="2010"/>
      <c r="O274" s="2011"/>
      <c r="P274" s="1336"/>
    </row>
    <row r="275" spans="1:16" x14ac:dyDescent="0.25">
      <c r="A275" s="2711">
        <v>45846</v>
      </c>
      <c r="B275" s="2626" t="s">
        <v>6210</v>
      </c>
      <c r="C275" s="3273" t="s">
        <v>8085</v>
      </c>
      <c r="D275" s="3274"/>
      <c r="E275" s="2781">
        <v>58.88</v>
      </c>
      <c r="F275" s="2782">
        <v>2</v>
      </c>
      <c r="G275" s="2783">
        <f t="shared" si="100"/>
        <v>29.44</v>
      </c>
      <c r="H275" s="1247" t="s">
        <v>1524</v>
      </c>
      <c r="I275" s="2316"/>
      <c r="J275" s="2043"/>
      <c r="K275" s="2317"/>
      <c r="L275" s="2317"/>
      <c r="M275" s="2008"/>
      <c r="N275" s="2010"/>
      <c r="O275" s="2011"/>
      <c r="P275" s="1336"/>
    </row>
    <row r="276" spans="1:16" x14ac:dyDescent="0.25">
      <c r="A276" s="2284">
        <v>45853</v>
      </c>
      <c r="B276" s="2285" t="s">
        <v>6209</v>
      </c>
      <c r="C276" s="3244" t="s">
        <v>8205</v>
      </c>
      <c r="D276" s="3245"/>
      <c r="E276" s="2286">
        <v>205.32</v>
      </c>
      <c r="F276" s="2287">
        <v>6</v>
      </c>
      <c r="G276" s="2297">
        <f>E276/F276</f>
        <v>34.22</v>
      </c>
      <c r="H276" s="1247" t="s">
        <v>1504</v>
      </c>
      <c r="I276" s="2316"/>
      <c r="J276" s="2043"/>
      <c r="K276" s="1657"/>
      <c r="L276" s="1657"/>
      <c r="M276" s="2008"/>
      <c r="N276" s="2010"/>
      <c r="O276" s="2011"/>
      <c r="P276" s="1336"/>
    </row>
    <row r="277" spans="1:16" x14ac:dyDescent="0.25">
      <c r="A277" s="2291">
        <v>45836</v>
      </c>
      <c r="B277" s="2627" t="s">
        <v>6210</v>
      </c>
      <c r="C277" s="3257" t="s">
        <v>8165</v>
      </c>
      <c r="D277" s="3258"/>
      <c r="E277" s="2293">
        <v>200</v>
      </c>
      <c r="F277" s="2294">
        <v>3</v>
      </c>
      <c r="G277" s="2298">
        <v>0</v>
      </c>
      <c r="H277" s="1272" t="s">
        <v>8185</v>
      </c>
      <c r="I277" s="2316"/>
      <c r="J277" s="2043"/>
      <c r="K277" s="2317"/>
      <c r="L277" s="2317"/>
      <c r="M277" s="2008"/>
      <c r="N277" s="2010"/>
      <c r="O277" s="2011"/>
      <c r="P277" s="1336"/>
    </row>
    <row r="278" spans="1:16" x14ac:dyDescent="0.25">
      <c r="A278" s="2284">
        <v>45869</v>
      </c>
      <c r="B278" s="2715" t="s">
        <v>6209</v>
      </c>
      <c r="C278" s="3244" t="s">
        <v>8173</v>
      </c>
      <c r="D278" s="3245"/>
      <c r="E278" s="2286">
        <v>894.64</v>
      </c>
      <c r="F278" s="2287">
        <v>6</v>
      </c>
      <c r="G278" s="2297">
        <f>E278/F278</f>
        <v>149.10666666666665</v>
      </c>
      <c r="H278" s="1247" t="s">
        <v>1524</v>
      </c>
      <c r="I278" s="2316"/>
      <c r="J278" s="2043"/>
      <c r="K278" s="2317"/>
      <c r="L278" s="2317"/>
      <c r="M278" s="2008"/>
      <c r="N278" s="2010"/>
      <c r="O278" s="2011"/>
      <c r="P278" s="1336"/>
    </row>
    <row r="279" spans="1:16" x14ac:dyDescent="0.25">
      <c r="A279" s="2291">
        <v>45875</v>
      </c>
      <c r="B279" s="2627" t="s">
        <v>6210</v>
      </c>
      <c r="C279" s="3257" t="s">
        <v>8188</v>
      </c>
      <c r="D279" s="3258"/>
      <c r="E279" s="2293">
        <v>126.79</v>
      </c>
      <c r="F279" s="2294">
        <v>2</v>
      </c>
      <c r="G279" s="2783">
        <f t="shared" ref="G279:G280" si="101">E279/F279</f>
        <v>63.395000000000003</v>
      </c>
      <c r="H279" s="2814" t="s">
        <v>6731</v>
      </c>
      <c r="I279" s="2316"/>
      <c r="J279" s="2043"/>
      <c r="K279" s="2317"/>
      <c r="L279" s="2317"/>
      <c r="M279" s="2008"/>
      <c r="N279" s="2010"/>
      <c r="O279" s="2011"/>
      <c r="P279" s="1336"/>
    </row>
    <row r="280" spans="1:16" x14ac:dyDescent="0.25">
      <c r="A280" s="2291">
        <v>45880</v>
      </c>
      <c r="B280" s="2627" t="s">
        <v>6210</v>
      </c>
      <c r="C280" s="3257" t="s">
        <v>8195</v>
      </c>
      <c r="D280" s="3258"/>
      <c r="E280" s="2293">
        <v>200</v>
      </c>
      <c r="F280" s="2294">
        <v>3</v>
      </c>
      <c r="G280" s="2783">
        <f t="shared" si="101"/>
        <v>66.666666666666671</v>
      </c>
      <c r="H280" s="1686" t="s">
        <v>1489</v>
      </c>
      <c r="I280" s="2316"/>
      <c r="J280" s="2043"/>
      <c r="K280" s="2317"/>
      <c r="L280" s="2317"/>
      <c r="M280" s="2008"/>
      <c r="N280" s="2010"/>
      <c r="O280" s="2011"/>
      <c r="P280" s="1336"/>
    </row>
    <row r="281" spans="1:16" x14ac:dyDescent="0.25">
      <c r="A281" s="2307"/>
      <c r="B281" s="2628"/>
      <c r="C281" s="3309"/>
      <c r="D281" s="3310"/>
      <c r="E281" s="2309"/>
      <c r="F281" s="2310"/>
      <c r="G281" s="2311"/>
      <c r="I281" s="2316"/>
      <c r="J281" s="2043"/>
      <c r="K281" s="2317"/>
      <c r="L281" s="2317"/>
      <c r="M281" s="2803"/>
      <c r="N281" s="2010"/>
      <c r="O281" s="2011"/>
      <c r="P281" s="1336"/>
    </row>
    <row r="282" spans="1:16" ht="15.75" x14ac:dyDescent="0.25">
      <c r="A282" s="3281" t="s">
        <v>6284</v>
      </c>
      <c r="B282" s="3282"/>
      <c r="C282" s="3282"/>
      <c r="D282" s="3282"/>
      <c r="E282" s="2295">
        <v>5600</v>
      </c>
      <c r="F282" s="3320">
        <f>SUM(H288:H289)+G271+G272</f>
        <v>2314.9460714285719</v>
      </c>
      <c r="G282" s="3312" t="e">
        <f>SUM(#REF!)</f>
        <v>#REF!</v>
      </c>
      <c r="H282" s="3296" t="s">
        <v>6301</v>
      </c>
      <c r="J282" s="1382"/>
      <c r="N282" s="1336"/>
      <c r="O282" s="2012"/>
      <c r="P282" s="1336"/>
    </row>
    <row r="283" spans="1:16" ht="15.75" x14ac:dyDescent="0.25">
      <c r="A283" s="3290" t="s">
        <v>6285</v>
      </c>
      <c r="B283" s="3291"/>
      <c r="C283" s="3291"/>
      <c r="D283" s="3291"/>
      <c r="E283" s="2302">
        <v>15650</v>
      </c>
      <c r="F283" s="3313">
        <f>SUM(F282:F282)</f>
        <v>2314.9460714285719</v>
      </c>
      <c r="G283" s="3312" t="e">
        <f>SUM(G282:G282)</f>
        <v>#REF!</v>
      </c>
      <c r="H283" s="3296"/>
      <c r="J283" s="1382"/>
      <c r="M283" s="2008"/>
      <c r="N283" s="1336"/>
      <c r="O283" s="2012"/>
      <c r="P283" s="1336"/>
    </row>
    <row r="284" spans="1:16" ht="15.75" x14ac:dyDescent="0.25">
      <c r="A284" s="3292" t="s">
        <v>6286</v>
      </c>
      <c r="B284" s="3293"/>
      <c r="C284" s="3293"/>
      <c r="D284" s="3293"/>
      <c r="E284" s="2303">
        <v>0</v>
      </c>
      <c r="F284" s="3313">
        <f t="shared" ref="F284:G284" si="102">SUM(F282:F283)</f>
        <v>4629.8921428571439</v>
      </c>
      <c r="G284" s="3312" t="e">
        <f t="shared" si="102"/>
        <v>#REF!</v>
      </c>
      <c r="H284" s="3296"/>
      <c r="M284" s="2008"/>
    </row>
    <row r="285" spans="1:16" ht="15.75" x14ac:dyDescent="0.25">
      <c r="A285" s="3294" t="s">
        <v>6287</v>
      </c>
      <c r="B285" s="3295"/>
      <c r="C285" s="3295"/>
      <c r="D285" s="3295"/>
      <c r="E285" s="2304">
        <v>4151.87</v>
      </c>
      <c r="F285" s="3313">
        <f t="shared" ref="F285:G285" si="103">SUM(F283:F284)</f>
        <v>6944.8382142857154</v>
      </c>
      <c r="G285" s="3312" t="e">
        <f t="shared" si="103"/>
        <v>#REF!</v>
      </c>
      <c r="H285" s="3296"/>
      <c r="M285" s="2008"/>
    </row>
    <row r="286" spans="1:16" ht="17.25" customHeight="1" thickBot="1" x14ac:dyDescent="0.3">
      <c r="A286" s="3281" t="s">
        <v>6288</v>
      </c>
      <c r="B286" s="3282"/>
      <c r="C286" s="3282"/>
      <c r="D286" s="3282"/>
      <c r="E286" s="2295">
        <f>E282-E284</f>
        <v>5600</v>
      </c>
      <c r="F286" s="3313">
        <f t="shared" ref="F286:G286" si="104">SUM(F284:F285)</f>
        <v>11574.73035714286</v>
      </c>
      <c r="G286" s="3312" t="e">
        <f t="shared" si="104"/>
        <v>#REF!</v>
      </c>
      <c r="H286" s="3296"/>
      <c r="M286" s="2008"/>
    </row>
    <row r="287" spans="1:16" ht="17.25" customHeight="1" thickBot="1" x14ac:dyDescent="0.3">
      <c r="A287" s="3299" t="s">
        <v>6289</v>
      </c>
      <c r="B287" s="3300"/>
      <c r="C287" s="3300"/>
      <c r="D287" s="3300"/>
      <c r="E287" s="2092">
        <f>E283-E285</f>
        <v>11498.130000000001</v>
      </c>
      <c r="F287" s="3314">
        <f t="shared" ref="F287:G287" si="105">SUM(F285:F286)</f>
        <v>18519.568571428576</v>
      </c>
      <c r="G287" s="3315" t="e">
        <f t="shared" si="105"/>
        <v>#REF!</v>
      </c>
      <c r="H287" s="3296"/>
      <c r="M287" s="2008"/>
    </row>
    <row r="288" spans="1:16" ht="16.5" thickBot="1" x14ac:dyDescent="0.3">
      <c r="A288" s="3302" t="s">
        <v>6290</v>
      </c>
      <c r="B288" s="3303"/>
      <c r="C288" s="3303"/>
      <c r="D288" s="3303"/>
      <c r="E288" s="3303"/>
      <c r="F288" s="3304"/>
      <c r="G288" s="2299">
        <f>SUMIF(B255:B281,"SANTANDER",G255:G281)</f>
        <v>559.76166666666666</v>
      </c>
      <c r="H288" s="2007">
        <f>G288</f>
        <v>559.76166666666666</v>
      </c>
      <c r="I288" s="2862" t="s">
        <v>6213</v>
      </c>
      <c r="M288" s="2008"/>
    </row>
    <row r="289" spans="1:16" ht="16.5" thickBot="1" x14ac:dyDescent="0.3">
      <c r="A289" s="3294" t="s">
        <v>6291</v>
      </c>
      <c r="B289" s="3295"/>
      <c r="C289" s="3295"/>
      <c r="D289" s="3295"/>
      <c r="E289" s="3295"/>
      <c r="F289" s="3305"/>
      <c r="G289" s="2300">
        <f>SUMIF(B255:B281,"NUBANK",G255:G281)</f>
        <v>1577.1470714285717</v>
      </c>
      <c r="H289" s="2007">
        <f>G289</f>
        <v>1577.1470714285717</v>
      </c>
      <c r="I289" s="2862" t="s">
        <v>6213</v>
      </c>
    </row>
    <row r="290" spans="1:16" ht="16.5" customHeight="1" thickBot="1" x14ac:dyDescent="0.35">
      <c r="A290" s="3306" t="s">
        <v>6292</v>
      </c>
      <c r="B290" s="3307"/>
      <c r="C290" s="3307"/>
      <c r="D290" s="3307"/>
      <c r="E290" s="3307"/>
      <c r="F290" s="3308"/>
      <c r="G290" s="2093">
        <f>G288+G289</f>
        <v>2136.9087380952383</v>
      </c>
      <c r="H290" s="2094"/>
      <c r="I290" s="2863"/>
    </row>
    <row r="291" spans="1:16" ht="16.5" customHeight="1" thickBot="1" x14ac:dyDescent="0.3">
      <c r="O291" s="1247"/>
    </row>
    <row r="292" spans="1:16" ht="19.5" thickBot="1" x14ac:dyDescent="0.35">
      <c r="A292" s="3287" t="s">
        <v>7768</v>
      </c>
      <c r="B292" s="3288"/>
      <c r="C292" s="3288"/>
      <c r="D292" s="3288"/>
      <c r="E292" s="3288"/>
      <c r="F292" s="3288"/>
      <c r="G292" s="3289"/>
      <c r="J292" s="1354"/>
      <c r="K292" s="1667"/>
      <c r="L292" s="1667"/>
      <c r="N292" s="1667"/>
      <c r="O292" s="1944"/>
      <c r="P292" s="1667"/>
    </row>
    <row r="293" spans="1:16" x14ac:dyDescent="0.25">
      <c r="A293" s="2288">
        <v>45328</v>
      </c>
      <c r="B293" s="2288" t="s">
        <v>6210</v>
      </c>
      <c r="C293" s="3253" t="s">
        <v>6130</v>
      </c>
      <c r="D293" s="3254"/>
      <c r="E293" s="2289">
        <v>33.979999999999997</v>
      </c>
      <c r="F293" s="2290">
        <v>1</v>
      </c>
      <c r="G293" s="2603">
        <v>0</v>
      </c>
      <c r="H293" s="1272" t="s">
        <v>8127</v>
      </c>
      <c r="I293" s="2151"/>
      <c r="J293" s="1360"/>
      <c r="K293" s="1657"/>
      <c r="L293" s="1657"/>
      <c r="N293" s="2010"/>
      <c r="O293" s="2011"/>
      <c r="P293" s="1336"/>
    </row>
    <row r="294" spans="1:16" x14ac:dyDescent="0.25">
      <c r="A294" s="2291">
        <v>45505</v>
      </c>
      <c r="B294" s="2292" t="s">
        <v>6210</v>
      </c>
      <c r="C294" s="3255" t="s">
        <v>7799</v>
      </c>
      <c r="D294" s="3256"/>
      <c r="E294" s="2293">
        <v>43</v>
      </c>
      <c r="F294" s="2294">
        <v>1</v>
      </c>
      <c r="G294" s="2298">
        <v>0</v>
      </c>
      <c r="H294" s="1272" t="s">
        <v>8128</v>
      </c>
      <c r="I294" s="2316"/>
      <c r="J294" s="2043"/>
      <c r="K294" s="2317"/>
      <c r="L294" s="2317"/>
      <c r="N294" s="2010"/>
      <c r="O294" s="2011"/>
      <c r="P294" s="1336"/>
    </row>
    <row r="295" spans="1:16" x14ac:dyDescent="0.25">
      <c r="A295" s="2291">
        <v>45505</v>
      </c>
      <c r="B295" s="2292" t="s">
        <v>6210</v>
      </c>
      <c r="C295" s="3257" t="s">
        <v>7885</v>
      </c>
      <c r="D295" s="3258"/>
      <c r="E295" s="2293">
        <v>20.9</v>
      </c>
      <c r="F295" s="2294">
        <v>1</v>
      </c>
      <c r="G295" s="2298">
        <v>0</v>
      </c>
      <c r="H295" s="1272" t="s">
        <v>8128</v>
      </c>
      <c r="I295" s="1345"/>
      <c r="J295" s="1360"/>
      <c r="K295" s="1657"/>
      <c r="L295" s="1657"/>
      <c r="N295" s="2010"/>
      <c r="O295" s="2011"/>
      <c r="P295" s="1336"/>
    </row>
    <row r="296" spans="1:16" x14ac:dyDescent="0.25">
      <c r="A296" s="2291">
        <v>45643</v>
      </c>
      <c r="B296" s="2292" t="s">
        <v>6210</v>
      </c>
      <c r="C296" s="3257" t="s">
        <v>7892</v>
      </c>
      <c r="D296" s="3258"/>
      <c r="E296" s="2293">
        <v>9.99</v>
      </c>
      <c r="F296" s="2294">
        <v>1</v>
      </c>
      <c r="G296" s="2298">
        <v>0</v>
      </c>
      <c r="H296" s="1272" t="s">
        <v>8128</v>
      </c>
      <c r="K296" s="2317"/>
      <c r="L296" s="2317"/>
      <c r="N296" s="2010"/>
      <c r="O296" s="2011"/>
      <c r="P296" s="1336"/>
    </row>
    <row r="297" spans="1:16" x14ac:dyDescent="0.25">
      <c r="A297" s="2291">
        <v>45488</v>
      </c>
      <c r="B297" s="2292" t="s">
        <v>6210</v>
      </c>
      <c r="C297" s="3257" t="s">
        <v>7887</v>
      </c>
      <c r="D297" s="3258"/>
      <c r="E297" s="2293">
        <v>357.68</v>
      </c>
      <c r="F297" s="2294">
        <v>12</v>
      </c>
      <c r="G297" s="2298">
        <v>0</v>
      </c>
      <c r="H297" s="1272" t="s">
        <v>8128</v>
      </c>
      <c r="I297" s="2316">
        <f>SUMIF(H293:H331,"COM",G293:G331)</f>
        <v>4694.5320714285717</v>
      </c>
      <c r="J297" s="2043" t="s">
        <v>1524</v>
      </c>
      <c r="K297" s="1657"/>
      <c r="L297" s="1657"/>
      <c r="N297" s="2010"/>
      <c r="O297" s="2011"/>
      <c r="P297" s="1336"/>
    </row>
    <row r="298" spans="1:16" x14ac:dyDescent="0.25">
      <c r="A298" s="2291">
        <v>45731</v>
      </c>
      <c r="B298" s="2292" t="s">
        <v>6210</v>
      </c>
      <c r="C298" s="3257" t="s">
        <v>7776</v>
      </c>
      <c r="D298" s="3258"/>
      <c r="E298" s="2293">
        <v>589.99</v>
      </c>
      <c r="F298" s="2294">
        <v>4</v>
      </c>
      <c r="G298" s="2298">
        <f t="shared" ref="G298:G320" si="106">E298/F298</f>
        <v>147.4975</v>
      </c>
      <c r="H298" s="1247" t="s">
        <v>1524</v>
      </c>
      <c r="I298" s="2316">
        <f>F332-I297</f>
        <v>486.28816666666626</v>
      </c>
      <c r="J298" s="2043" t="s">
        <v>7817</v>
      </c>
      <c r="K298" s="2317"/>
      <c r="L298" s="2317"/>
      <c r="N298" s="2010"/>
      <c r="O298" s="2011"/>
      <c r="P298" s="1336"/>
    </row>
    <row r="299" spans="1:16" x14ac:dyDescent="0.25">
      <c r="A299" s="2291">
        <v>45731</v>
      </c>
      <c r="B299" s="2292" t="s">
        <v>6210</v>
      </c>
      <c r="C299" s="3257" t="s">
        <v>7769</v>
      </c>
      <c r="D299" s="3258"/>
      <c r="E299" s="2293">
        <v>589.99</v>
      </c>
      <c r="F299" s="2294">
        <v>4</v>
      </c>
      <c r="G299" s="2298">
        <f t="shared" si="106"/>
        <v>147.4975</v>
      </c>
      <c r="H299" s="1247" t="s">
        <v>1524</v>
      </c>
      <c r="I299" s="2316"/>
      <c r="J299" s="2043"/>
      <c r="K299" s="2317"/>
      <c r="L299" s="2317"/>
      <c r="N299" s="2010"/>
      <c r="O299" s="2011"/>
      <c r="P299" s="1336"/>
    </row>
    <row r="300" spans="1:16" ht="14.25" customHeight="1" x14ac:dyDescent="0.25">
      <c r="A300" s="2291">
        <v>45731</v>
      </c>
      <c r="B300" s="2292" t="s">
        <v>6210</v>
      </c>
      <c r="C300" s="3257" t="s">
        <v>7770</v>
      </c>
      <c r="D300" s="3258"/>
      <c r="E300" s="2293">
        <v>1899.99</v>
      </c>
      <c r="F300" s="2294">
        <v>4</v>
      </c>
      <c r="G300" s="2298">
        <f t="shared" si="106"/>
        <v>474.9975</v>
      </c>
      <c r="H300" s="1247" t="s">
        <v>1524</v>
      </c>
      <c r="I300" s="2316"/>
      <c r="J300" s="2043"/>
      <c r="K300" s="2317"/>
      <c r="L300" s="2317"/>
      <c r="N300" s="2010"/>
      <c r="O300" s="2011"/>
      <c r="P300" s="1336"/>
    </row>
    <row r="301" spans="1:16" x14ac:dyDescent="0.25">
      <c r="A301" s="2291">
        <v>45731</v>
      </c>
      <c r="B301" s="2292" t="s">
        <v>6210</v>
      </c>
      <c r="C301" s="3257" t="s">
        <v>7771</v>
      </c>
      <c r="D301" s="3258"/>
      <c r="E301" s="2293">
        <v>699.99</v>
      </c>
      <c r="F301" s="2294">
        <v>4</v>
      </c>
      <c r="G301" s="2298">
        <f t="shared" si="106"/>
        <v>174.9975</v>
      </c>
      <c r="H301" s="1247" t="s">
        <v>1524</v>
      </c>
      <c r="I301" s="2316"/>
      <c r="J301" s="2043"/>
      <c r="K301" s="2317"/>
      <c r="L301" s="2317"/>
      <c r="N301" s="2010"/>
      <c r="O301" s="2011"/>
      <c r="P301" s="1336"/>
    </row>
    <row r="302" spans="1:16" x14ac:dyDescent="0.25">
      <c r="A302" s="2291">
        <v>45731</v>
      </c>
      <c r="B302" s="2292" t="s">
        <v>6210</v>
      </c>
      <c r="C302" s="3257" t="s">
        <v>7772</v>
      </c>
      <c r="D302" s="3258"/>
      <c r="E302" s="2293">
        <v>629.99</v>
      </c>
      <c r="F302" s="2294">
        <v>4</v>
      </c>
      <c r="G302" s="2298">
        <f t="shared" si="106"/>
        <v>157.4975</v>
      </c>
      <c r="H302" s="1247" t="s">
        <v>1524</v>
      </c>
      <c r="I302" s="2316"/>
      <c r="J302" s="2043"/>
      <c r="K302" s="2317"/>
      <c r="L302" s="2317"/>
      <c r="N302" s="2010"/>
      <c r="O302" s="2011"/>
      <c r="P302" s="1336"/>
    </row>
    <row r="303" spans="1:16" x14ac:dyDescent="0.25">
      <c r="A303" s="2291">
        <v>45731</v>
      </c>
      <c r="B303" s="2292" t="s">
        <v>6210</v>
      </c>
      <c r="C303" s="3257" t="s">
        <v>7773</v>
      </c>
      <c r="D303" s="3258"/>
      <c r="E303" s="2293">
        <v>1099.99</v>
      </c>
      <c r="F303" s="2294">
        <v>4</v>
      </c>
      <c r="G303" s="2298">
        <f t="shared" si="106"/>
        <v>274.9975</v>
      </c>
      <c r="H303" s="1247" t="s">
        <v>1524</v>
      </c>
      <c r="I303" s="2316"/>
      <c r="J303" s="2043"/>
      <c r="K303" s="2317"/>
      <c r="L303" s="2317"/>
      <c r="N303" s="2010"/>
      <c r="O303" s="2011"/>
      <c r="P303" s="1336"/>
    </row>
    <row r="304" spans="1:16" x14ac:dyDescent="0.25">
      <c r="A304" s="2291">
        <v>45731</v>
      </c>
      <c r="B304" s="2292" t="s">
        <v>6210</v>
      </c>
      <c r="C304" s="3257" t="s">
        <v>7774</v>
      </c>
      <c r="D304" s="3258"/>
      <c r="E304" s="2293">
        <v>599.99</v>
      </c>
      <c r="F304" s="2294">
        <v>4</v>
      </c>
      <c r="G304" s="2298">
        <f t="shared" si="106"/>
        <v>149.9975</v>
      </c>
      <c r="H304" s="1247" t="s">
        <v>1524</v>
      </c>
      <c r="I304" s="2316"/>
      <c r="J304" s="2043"/>
      <c r="K304" s="2317"/>
      <c r="L304" s="2317"/>
      <c r="N304" s="2010"/>
      <c r="O304" s="2011"/>
      <c r="P304" s="1336"/>
    </row>
    <row r="305" spans="1:16" x14ac:dyDescent="0.25">
      <c r="A305" s="2291">
        <v>45731</v>
      </c>
      <c r="B305" s="2625" t="s">
        <v>6210</v>
      </c>
      <c r="C305" s="3257" t="s">
        <v>7775</v>
      </c>
      <c r="D305" s="3258"/>
      <c r="E305" s="2293">
        <v>60</v>
      </c>
      <c r="F305" s="2294">
        <v>4</v>
      </c>
      <c r="G305" s="2298">
        <f t="shared" si="106"/>
        <v>15</v>
      </c>
      <c r="H305" s="1247" t="s">
        <v>1524</v>
      </c>
      <c r="I305" s="2316"/>
      <c r="J305" s="2043"/>
      <c r="K305" s="2317"/>
      <c r="L305" s="2317"/>
      <c r="N305" s="2010"/>
      <c r="O305" s="2011"/>
      <c r="P305" s="1336"/>
    </row>
    <row r="306" spans="1:16" x14ac:dyDescent="0.25">
      <c r="A306" s="2284">
        <v>45765</v>
      </c>
      <c r="B306" s="2285" t="s">
        <v>6209</v>
      </c>
      <c r="C306" s="3244" t="s">
        <v>7888</v>
      </c>
      <c r="D306" s="3245"/>
      <c r="E306" s="2286">
        <v>4500</v>
      </c>
      <c r="F306" s="2287">
        <v>3</v>
      </c>
      <c r="G306" s="2297">
        <f t="shared" si="106"/>
        <v>1500</v>
      </c>
      <c r="H306" s="1247" t="s">
        <v>1524</v>
      </c>
      <c r="I306" s="2316"/>
      <c r="J306" s="2043"/>
      <c r="K306" s="2317"/>
      <c r="L306" s="2317"/>
      <c r="N306" s="2010"/>
      <c r="O306" s="2011"/>
      <c r="P306" s="1336"/>
    </row>
    <row r="307" spans="1:16" x14ac:dyDescent="0.25">
      <c r="A307" s="2711">
        <v>45786</v>
      </c>
      <c r="B307" s="2626" t="s">
        <v>6210</v>
      </c>
      <c r="C307" s="3277" t="s">
        <v>7895</v>
      </c>
      <c r="D307" s="3243"/>
      <c r="E307" s="2712">
        <v>40</v>
      </c>
      <c r="F307" s="2713">
        <v>3</v>
      </c>
      <c r="G307" s="2714">
        <v>0</v>
      </c>
      <c r="H307" s="1272" t="s">
        <v>8129</v>
      </c>
      <c r="I307" s="2316"/>
      <c r="J307" s="2043"/>
      <c r="K307" s="2317"/>
      <c r="L307" s="2317"/>
      <c r="N307" s="2010"/>
      <c r="O307" s="2011"/>
      <c r="P307" s="1336"/>
    </row>
    <row r="308" spans="1:16" x14ac:dyDescent="0.25">
      <c r="A308" s="2711">
        <v>45786</v>
      </c>
      <c r="B308" s="2626" t="s">
        <v>6210</v>
      </c>
      <c r="C308" s="3242" t="s">
        <v>7868</v>
      </c>
      <c r="D308" s="3243"/>
      <c r="E308" s="2712">
        <v>299.8</v>
      </c>
      <c r="F308" s="2713">
        <v>3</v>
      </c>
      <c r="G308" s="2714">
        <f t="shared" si="106"/>
        <v>99.933333333333337</v>
      </c>
      <c r="H308" s="1247" t="s">
        <v>6731</v>
      </c>
      <c r="I308" s="2316"/>
      <c r="J308" s="2043"/>
      <c r="K308" s="2317"/>
      <c r="L308" s="2317"/>
      <c r="N308" s="2010"/>
      <c r="O308" s="2011"/>
      <c r="P308" s="1336"/>
    </row>
    <row r="309" spans="1:16" x14ac:dyDescent="0.25">
      <c r="A309" s="2711">
        <v>45789</v>
      </c>
      <c r="B309" s="2626" t="s">
        <v>6210</v>
      </c>
      <c r="C309" s="3242" t="s">
        <v>7869</v>
      </c>
      <c r="D309" s="3243"/>
      <c r="E309" s="2712">
        <v>1181.3599999999999</v>
      </c>
      <c r="F309" s="2713">
        <v>10</v>
      </c>
      <c r="G309" s="2714">
        <f t="shared" si="106"/>
        <v>118.136</v>
      </c>
      <c r="H309" s="1247" t="s">
        <v>1524</v>
      </c>
      <c r="I309" s="2316"/>
      <c r="J309" s="2043"/>
      <c r="K309" s="2317"/>
      <c r="L309" s="2317"/>
      <c r="N309" s="2010"/>
      <c r="O309" s="2011"/>
      <c r="P309" s="1336"/>
    </row>
    <row r="310" spans="1:16" x14ac:dyDescent="0.25">
      <c r="A310" s="2291">
        <v>45796</v>
      </c>
      <c r="B310" s="2627" t="s">
        <v>6210</v>
      </c>
      <c r="C310" s="3257" t="s">
        <v>7890</v>
      </c>
      <c r="D310" s="3258"/>
      <c r="E310" s="2293">
        <v>800</v>
      </c>
      <c r="F310" s="2294">
        <v>3</v>
      </c>
      <c r="G310" s="2298">
        <v>0</v>
      </c>
      <c r="H310" s="2776" t="s">
        <v>8045</v>
      </c>
      <c r="I310" s="2316"/>
      <c r="J310" s="2043"/>
      <c r="K310" s="2317"/>
      <c r="L310" s="2317"/>
      <c r="N310" s="2010"/>
      <c r="O310" s="2011"/>
      <c r="P310" s="1336"/>
    </row>
    <row r="311" spans="1:16" x14ac:dyDescent="0.25">
      <c r="A311" s="2733">
        <v>45803</v>
      </c>
      <c r="B311" s="2734" t="s">
        <v>6209</v>
      </c>
      <c r="C311" s="3283" t="s">
        <v>7916</v>
      </c>
      <c r="D311" s="3284"/>
      <c r="E311" s="2735">
        <v>1520.79</v>
      </c>
      <c r="F311" s="2736">
        <v>6</v>
      </c>
      <c r="G311" s="2725">
        <f t="shared" si="106"/>
        <v>253.465</v>
      </c>
      <c r="H311" s="1247" t="s">
        <v>1524</v>
      </c>
      <c r="I311" s="2316"/>
      <c r="J311" s="2043"/>
      <c r="K311" s="2317"/>
      <c r="L311" s="2317"/>
      <c r="N311" s="2010"/>
      <c r="O311" s="2011"/>
      <c r="P311" s="1336"/>
    </row>
    <row r="312" spans="1:16" x14ac:dyDescent="0.25">
      <c r="A312" s="2733">
        <v>45803</v>
      </c>
      <c r="B312" s="2734" t="s">
        <v>6209</v>
      </c>
      <c r="C312" s="3283" t="s">
        <v>7917</v>
      </c>
      <c r="D312" s="3284"/>
      <c r="E312" s="2735">
        <v>363.94</v>
      </c>
      <c r="F312" s="2736">
        <v>6</v>
      </c>
      <c r="G312" s="2725">
        <f t="shared" si="106"/>
        <v>60.656666666666666</v>
      </c>
      <c r="H312" s="1247" t="s">
        <v>1524</v>
      </c>
      <c r="I312" s="2316"/>
      <c r="J312" s="2043"/>
      <c r="K312" s="2317"/>
      <c r="L312" s="2317"/>
      <c r="N312" s="2010"/>
      <c r="O312" s="2011"/>
      <c r="P312" s="1336"/>
    </row>
    <row r="313" spans="1:16" x14ac:dyDescent="0.25">
      <c r="A313" s="2733">
        <v>45803</v>
      </c>
      <c r="B313" s="2734" t="s">
        <v>6209</v>
      </c>
      <c r="C313" s="3283" t="s">
        <v>7918</v>
      </c>
      <c r="D313" s="3284"/>
      <c r="E313" s="2735">
        <v>269.91000000000003</v>
      </c>
      <c r="F313" s="2736">
        <v>6</v>
      </c>
      <c r="G313" s="2725">
        <f t="shared" si="106"/>
        <v>44.985000000000007</v>
      </c>
      <c r="H313" s="1247" t="s">
        <v>1524</v>
      </c>
      <c r="I313" s="2316"/>
      <c r="J313" s="2043"/>
      <c r="K313" s="2317"/>
      <c r="L313" s="2317"/>
      <c r="N313" s="2010"/>
      <c r="O313" s="2011"/>
      <c r="P313" s="1336"/>
    </row>
    <row r="314" spans="1:16" x14ac:dyDescent="0.25">
      <c r="A314" s="2733">
        <v>45803</v>
      </c>
      <c r="B314" s="2734" t="s">
        <v>6209</v>
      </c>
      <c r="C314" s="3283" t="s">
        <v>7919</v>
      </c>
      <c r="D314" s="3284"/>
      <c r="E314" s="2735">
        <v>53.97</v>
      </c>
      <c r="F314" s="2736">
        <v>6</v>
      </c>
      <c r="G314" s="2725">
        <f t="shared" si="106"/>
        <v>8.9949999999999992</v>
      </c>
      <c r="H314" s="1247" t="s">
        <v>1524</v>
      </c>
      <c r="I314" s="2316"/>
      <c r="J314" s="2043"/>
      <c r="K314" s="2317"/>
      <c r="L314" s="2317"/>
      <c r="N314" s="2010"/>
      <c r="O314" s="2011"/>
      <c r="P314" s="1336"/>
    </row>
    <row r="315" spans="1:16" x14ac:dyDescent="0.25">
      <c r="A315" s="2733">
        <v>45803</v>
      </c>
      <c r="B315" s="2734" t="s">
        <v>6209</v>
      </c>
      <c r="C315" s="3283" t="s">
        <v>7932</v>
      </c>
      <c r="D315" s="3284"/>
      <c r="E315" s="2735">
        <v>50</v>
      </c>
      <c r="F315" s="2736">
        <v>6</v>
      </c>
      <c r="G315" s="2725">
        <f t="shared" si="106"/>
        <v>8.3333333333333339</v>
      </c>
      <c r="H315" s="1247" t="s">
        <v>1524</v>
      </c>
      <c r="I315" s="2316"/>
      <c r="J315" s="2043"/>
      <c r="K315" s="2317"/>
      <c r="L315" s="2317"/>
      <c r="N315" s="2010"/>
      <c r="O315" s="2011"/>
      <c r="P315" s="1336"/>
    </row>
    <row r="316" spans="1:16" x14ac:dyDescent="0.25">
      <c r="A316" s="2711">
        <v>45810</v>
      </c>
      <c r="B316" s="2626" t="s">
        <v>6210</v>
      </c>
      <c r="C316" s="3277" t="s">
        <v>7956</v>
      </c>
      <c r="D316" s="3243"/>
      <c r="E316" s="2712">
        <v>356</v>
      </c>
      <c r="F316" s="2713">
        <v>7</v>
      </c>
      <c r="G316" s="2714">
        <f t="shared" si="106"/>
        <v>50.857142857142854</v>
      </c>
      <c r="H316" s="1247" t="s">
        <v>1524</v>
      </c>
      <c r="I316" s="2316"/>
      <c r="J316" s="2043"/>
      <c r="K316" s="2317"/>
      <c r="L316" s="2317"/>
      <c r="N316" s="2010"/>
      <c r="O316" s="2011"/>
      <c r="P316" s="1336"/>
    </row>
    <row r="317" spans="1:16" x14ac:dyDescent="0.25">
      <c r="A317" s="2711">
        <v>45812</v>
      </c>
      <c r="B317" s="2626" t="s">
        <v>6210</v>
      </c>
      <c r="C317" s="3277" t="s">
        <v>7954</v>
      </c>
      <c r="D317" s="3243"/>
      <c r="E317" s="2712">
        <v>139.5</v>
      </c>
      <c r="F317" s="2713">
        <v>2</v>
      </c>
      <c r="G317" s="2714">
        <v>0</v>
      </c>
      <c r="H317" s="2776" t="s">
        <v>8065</v>
      </c>
      <c r="I317" s="2316"/>
      <c r="J317" s="2043"/>
      <c r="K317" s="2317"/>
      <c r="L317" s="2317"/>
      <c r="N317" s="2010"/>
      <c r="O317" s="2011"/>
      <c r="P317" s="1336"/>
    </row>
    <row r="318" spans="1:16" x14ac:dyDescent="0.25">
      <c r="A318" s="2711">
        <v>45813</v>
      </c>
      <c r="B318" s="2626" t="s">
        <v>6210</v>
      </c>
      <c r="C318" s="3242" t="s">
        <v>7964</v>
      </c>
      <c r="D318" s="3243"/>
      <c r="E318" s="2712">
        <v>557</v>
      </c>
      <c r="F318" s="2713">
        <v>5</v>
      </c>
      <c r="G318" s="2714">
        <f t="shared" si="106"/>
        <v>111.4</v>
      </c>
      <c r="H318" s="1247" t="s">
        <v>1524</v>
      </c>
      <c r="I318" s="2316"/>
      <c r="J318" s="2043"/>
      <c r="K318" s="2317"/>
      <c r="L318" s="2317"/>
      <c r="N318" s="2010"/>
      <c r="O318" s="2011"/>
      <c r="P318" s="1336"/>
    </row>
    <row r="319" spans="1:16" x14ac:dyDescent="0.25">
      <c r="A319" s="2711">
        <v>45822</v>
      </c>
      <c r="B319" s="2626" t="s">
        <v>6210</v>
      </c>
      <c r="C319" s="3242" t="s">
        <v>8041</v>
      </c>
      <c r="D319" s="3243"/>
      <c r="E319" s="2712">
        <v>4300</v>
      </c>
      <c r="F319" s="2713">
        <v>10</v>
      </c>
      <c r="G319" s="2714">
        <f t="shared" si="106"/>
        <v>430</v>
      </c>
      <c r="H319" s="1247" t="s">
        <v>1524</v>
      </c>
      <c r="I319" s="2316"/>
      <c r="J319" s="2043"/>
      <c r="K319" s="2317"/>
      <c r="L319" s="2317"/>
      <c r="N319" s="2010"/>
      <c r="O319" s="2011"/>
      <c r="P319" s="1336"/>
    </row>
    <row r="320" spans="1:16" x14ac:dyDescent="0.25">
      <c r="A320" s="2733">
        <v>45821</v>
      </c>
      <c r="B320" s="2762" t="s">
        <v>6209</v>
      </c>
      <c r="C320" s="3283" t="s">
        <v>7975</v>
      </c>
      <c r="D320" s="3284"/>
      <c r="E320" s="2735">
        <v>110.26</v>
      </c>
      <c r="F320" s="2736">
        <v>1</v>
      </c>
      <c r="G320" s="2725">
        <f t="shared" si="106"/>
        <v>110.26</v>
      </c>
      <c r="H320" s="1247" t="s">
        <v>1524</v>
      </c>
      <c r="I320" s="2316"/>
      <c r="J320" s="2043"/>
      <c r="K320" s="2317"/>
      <c r="L320" s="2317"/>
      <c r="N320" s="2010"/>
      <c r="O320" s="2011"/>
      <c r="P320" s="1336"/>
    </row>
    <row r="321" spans="1:16" x14ac:dyDescent="0.25">
      <c r="A321" s="2711">
        <v>45826</v>
      </c>
      <c r="B321" s="2626" t="s">
        <v>6210</v>
      </c>
      <c r="C321" s="3242" t="s">
        <v>8023</v>
      </c>
      <c r="D321" s="3243"/>
      <c r="E321" s="2712">
        <v>148.78</v>
      </c>
      <c r="F321" s="2713">
        <v>1</v>
      </c>
      <c r="G321" s="2714">
        <f t="shared" ref="G321:G327" si="107">E321/F321</f>
        <v>148.78</v>
      </c>
      <c r="H321" s="1247" t="s">
        <v>1524</v>
      </c>
      <c r="I321" s="2316"/>
      <c r="J321" s="2043"/>
      <c r="K321" s="2317"/>
      <c r="L321" s="2317"/>
      <c r="N321" s="2010"/>
      <c r="O321" s="2011"/>
      <c r="P321" s="1336"/>
    </row>
    <row r="322" spans="1:16" x14ac:dyDescent="0.25">
      <c r="A322" s="2291">
        <v>45838</v>
      </c>
      <c r="B322" s="2626" t="s">
        <v>6210</v>
      </c>
      <c r="C322" s="3257" t="s">
        <v>8040</v>
      </c>
      <c r="D322" s="3258"/>
      <c r="E322" s="2293">
        <v>252.98</v>
      </c>
      <c r="F322" s="2294">
        <v>3</v>
      </c>
      <c r="G322" s="2298">
        <v>0</v>
      </c>
      <c r="H322" s="2776" t="s">
        <v>8046</v>
      </c>
      <c r="I322" s="2316"/>
      <c r="J322" s="2043"/>
      <c r="K322" s="2317"/>
      <c r="L322" s="2317"/>
      <c r="N322" s="2010"/>
      <c r="O322" s="2011"/>
      <c r="P322" s="1336"/>
    </row>
    <row r="323" spans="1:16" x14ac:dyDescent="0.25">
      <c r="A323" s="2711">
        <v>45839</v>
      </c>
      <c r="B323" s="2626" t="s">
        <v>6210</v>
      </c>
      <c r="C323" s="3242" t="s">
        <v>8042</v>
      </c>
      <c r="D323" s="3243"/>
      <c r="E323" s="2712">
        <v>757.77</v>
      </c>
      <c r="F323" s="2713">
        <v>3</v>
      </c>
      <c r="G323" s="2714">
        <f t="shared" si="107"/>
        <v>252.59</v>
      </c>
      <c r="H323" s="1247" t="s">
        <v>1524</v>
      </c>
      <c r="I323" s="2316"/>
      <c r="J323" s="2043"/>
      <c r="K323" s="2317"/>
      <c r="L323" s="2317"/>
      <c r="N323" s="2010"/>
      <c r="O323" s="2011"/>
      <c r="P323" s="1336"/>
    </row>
    <row r="324" spans="1:16" x14ac:dyDescent="0.25">
      <c r="A324" s="2785">
        <v>45840</v>
      </c>
      <c r="B324" s="2786" t="s">
        <v>7493</v>
      </c>
      <c r="C324" s="3316" t="s">
        <v>8054</v>
      </c>
      <c r="D324" s="3317"/>
      <c r="E324" s="2787">
        <v>343</v>
      </c>
      <c r="F324" s="2788">
        <v>3</v>
      </c>
      <c r="G324" s="2789">
        <f t="shared" si="107"/>
        <v>114.33333333333333</v>
      </c>
      <c r="H324" s="1247" t="s">
        <v>1525</v>
      </c>
      <c r="I324" s="2316"/>
      <c r="J324" s="2043"/>
      <c r="K324" s="2317"/>
      <c r="L324" s="2317"/>
      <c r="N324" s="2010"/>
      <c r="O324" s="2011"/>
      <c r="P324" s="1336"/>
    </row>
    <row r="325" spans="1:16" x14ac:dyDescent="0.25">
      <c r="A325" s="2779">
        <v>45841</v>
      </c>
      <c r="B325" s="2784" t="s">
        <v>6210</v>
      </c>
      <c r="C325" s="3257" t="s">
        <v>8066</v>
      </c>
      <c r="D325" s="3258"/>
      <c r="E325" s="2781">
        <v>128.80000000000001</v>
      </c>
      <c r="F325" s="2782">
        <v>1</v>
      </c>
      <c r="G325" s="2783">
        <f t="shared" si="107"/>
        <v>128.80000000000001</v>
      </c>
      <c r="H325" s="1247" t="s">
        <v>6731</v>
      </c>
      <c r="I325" s="2316"/>
      <c r="J325" s="2043"/>
      <c r="K325" s="2317"/>
      <c r="L325" s="2317"/>
      <c r="N325" s="2010"/>
      <c r="O325" s="2011"/>
      <c r="P325" s="1336"/>
    </row>
    <row r="326" spans="1:16" x14ac:dyDescent="0.25">
      <c r="A326" s="2790">
        <v>45841</v>
      </c>
      <c r="B326" s="2794" t="s">
        <v>7493</v>
      </c>
      <c r="C326" s="3297" t="s">
        <v>8067</v>
      </c>
      <c r="D326" s="3298"/>
      <c r="E326" s="2791">
        <v>318.52</v>
      </c>
      <c r="F326" s="2792">
        <v>5</v>
      </c>
      <c r="G326" s="2793">
        <f t="shared" si="107"/>
        <v>63.703999999999994</v>
      </c>
      <c r="H326" s="1247" t="s">
        <v>1525</v>
      </c>
      <c r="I326" s="2316"/>
      <c r="J326" s="2043"/>
      <c r="K326" s="2317"/>
      <c r="L326" s="2317"/>
      <c r="N326" s="2010"/>
      <c r="O326" s="2011"/>
      <c r="P326" s="1336"/>
    </row>
    <row r="327" spans="1:16" x14ac:dyDescent="0.25">
      <c r="A327" s="2779">
        <v>45845</v>
      </c>
      <c r="B327" s="2784" t="s">
        <v>6210</v>
      </c>
      <c r="C327" s="3273" t="s">
        <v>8079</v>
      </c>
      <c r="D327" s="3274"/>
      <c r="E327" s="2781">
        <v>200.31</v>
      </c>
      <c r="F327" s="2782">
        <v>4</v>
      </c>
      <c r="G327" s="2783">
        <f t="shared" si="107"/>
        <v>50.077500000000001</v>
      </c>
      <c r="H327" s="1247" t="s">
        <v>1525</v>
      </c>
      <c r="I327" s="2316"/>
      <c r="J327" s="2043"/>
      <c r="K327" s="2317"/>
      <c r="L327" s="2317"/>
      <c r="N327" s="2010"/>
      <c r="O327" s="2011"/>
      <c r="P327" s="1336"/>
    </row>
    <row r="328" spans="1:16" x14ac:dyDescent="0.25">
      <c r="A328" s="2711">
        <v>45845</v>
      </c>
      <c r="B328" s="2626" t="s">
        <v>6210</v>
      </c>
      <c r="C328" s="3242" t="s">
        <v>8111</v>
      </c>
      <c r="D328" s="3243"/>
      <c r="E328" s="2712">
        <v>375.14</v>
      </c>
      <c r="F328" s="2713">
        <v>7</v>
      </c>
      <c r="G328" s="2714">
        <f>E328/F328</f>
        <v>53.591428571428573</v>
      </c>
      <c r="H328" s="1247" t="s">
        <v>1524</v>
      </c>
      <c r="I328" s="2316"/>
      <c r="J328" s="2043"/>
      <c r="K328" s="2317"/>
      <c r="L328" s="2317"/>
      <c r="N328" s="2010"/>
      <c r="O328" s="2011"/>
      <c r="P328" s="1336"/>
    </row>
    <row r="329" spans="1:16" x14ac:dyDescent="0.25">
      <c r="A329" s="2711">
        <v>45846</v>
      </c>
      <c r="B329" s="2626" t="s">
        <v>6210</v>
      </c>
      <c r="C329" s="3321" t="s">
        <v>8084</v>
      </c>
      <c r="D329" s="3322"/>
      <c r="E329" s="2781">
        <v>58.88</v>
      </c>
      <c r="F329" s="2782">
        <v>2</v>
      </c>
      <c r="G329" s="2783">
        <f t="shared" ref="G329" si="108">E329/F329</f>
        <v>29.44</v>
      </c>
      <c r="H329" s="1247" t="s">
        <v>1525</v>
      </c>
      <c r="I329" s="2316"/>
      <c r="J329" s="2043"/>
      <c r="K329" s="2317"/>
      <c r="L329" s="2317"/>
      <c r="N329" s="2010"/>
      <c r="O329" s="2011"/>
      <c r="P329" s="1336"/>
    </row>
    <row r="330" spans="1:16" x14ac:dyDescent="0.25">
      <c r="A330" s="2779"/>
      <c r="B330" s="2780"/>
      <c r="C330" s="3273"/>
      <c r="D330" s="3274"/>
      <c r="E330" s="2781"/>
      <c r="F330" s="2782"/>
      <c r="G330" s="2783"/>
      <c r="I330" s="2316"/>
      <c r="J330" s="2043"/>
      <c r="K330" s="2317"/>
      <c r="L330" s="2317"/>
      <c r="N330" s="2010"/>
      <c r="O330" s="2011"/>
      <c r="P330" s="1336"/>
    </row>
    <row r="331" spans="1:16" x14ac:dyDescent="0.25">
      <c r="A331" s="2307"/>
      <c r="B331" s="2628"/>
      <c r="C331" s="3309"/>
      <c r="D331" s="3310"/>
      <c r="E331" s="2309"/>
      <c r="F331" s="2310"/>
      <c r="G331" s="2311"/>
      <c r="I331" s="2316"/>
      <c r="J331" s="2043"/>
      <c r="K331" s="2317"/>
      <c r="L331" s="2317"/>
      <c r="N331" s="2010"/>
      <c r="O331" s="2011"/>
      <c r="P331" s="1336"/>
    </row>
    <row r="332" spans="1:16" ht="15.75" x14ac:dyDescent="0.25">
      <c r="A332" s="3281" t="s">
        <v>6284</v>
      </c>
      <c r="B332" s="3282"/>
      <c r="C332" s="3282"/>
      <c r="D332" s="3282"/>
      <c r="E332" s="2295">
        <v>5600</v>
      </c>
      <c r="F332" s="3311">
        <f>SUM(H338:H339)+G324+G326</f>
        <v>5180.820238095238</v>
      </c>
      <c r="G332" s="3312" t="e">
        <f>SUM(#REF!)</f>
        <v>#REF!</v>
      </c>
      <c r="H332" s="3296" t="s">
        <v>6301</v>
      </c>
      <c r="J332" s="1382"/>
      <c r="N332" s="1336"/>
      <c r="O332" s="2012"/>
      <c r="P332" s="1336"/>
    </row>
    <row r="333" spans="1:16" ht="15.75" x14ac:dyDescent="0.25">
      <c r="A333" s="3290" t="s">
        <v>6285</v>
      </c>
      <c r="B333" s="3291"/>
      <c r="C333" s="3291"/>
      <c r="D333" s="3291"/>
      <c r="E333" s="2302">
        <v>15650</v>
      </c>
      <c r="F333" s="3313">
        <f>SUM(F332:F332)</f>
        <v>5180.820238095238</v>
      </c>
      <c r="G333" s="3312" t="e">
        <f>SUM(G332:G332)</f>
        <v>#REF!</v>
      </c>
      <c r="H333" s="3296"/>
      <c r="J333" s="1382"/>
      <c r="N333" s="1336"/>
      <c r="O333" s="2012"/>
      <c r="P333" s="1336"/>
    </row>
    <row r="334" spans="1:16" ht="15.75" x14ac:dyDescent="0.25">
      <c r="A334" s="3292" t="s">
        <v>6286</v>
      </c>
      <c r="B334" s="3293"/>
      <c r="C334" s="3293"/>
      <c r="D334" s="3293"/>
      <c r="E334" s="2303">
        <v>3492.46</v>
      </c>
      <c r="F334" s="3313">
        <f t="shared" ref="F334:G334" si="109">SUM(F332:F333)</f>
        <v>10361.640476190476</v>
      </c>
      <c r="G334" s="3312" t="e">
        <f t="shared" si="109"/>
        <v>#REF!</v>
      </c>
      <c r="H334" s="3296"/>
    </row>
    <row r="335" spans="1:16" ht="15.75" x14ac:dyDescent="0.25">
      <c r="A335" s="3294" t="s">
        <v>6287</v>
      </c>
      <c r="B335" s="3295"/>
      <c r="C335" s="3295"/>
      <c r="D335" s="3295"/>
      <c r="E335" s="2304">
        <v>8514.41</v>
      </c>
      <c r="F335" s="3313">
        <f t="shared" ref="F335:G335" si="110">SUM(F333:F334)</f>
        <v>15542.460714285713</v>
      </c>
      <c r="G335" s="3312" t="e">
        <f t="shared" si="110"/>
        <v>#REF!</v>
      </c>
      <c r="H335" s="3296"/>
    </row>
    <row r="336" spans="1:16" ht="17.25" customHeight="1" thickBot="1" x14ac:dyDescent="0.3">
      <c r="A336" s="3281" t="s">
        <v>6288</v>
      </c>
      <c r="B336" s="3282"/>
      <c r="C336" s="3282"/>
      <c r="D336" s="3282"/>
      <c r="E336" s="2295">
        <f>E332-E334</f>
        <v>2107.54</v>
      </c>
      <c r="F336" s="3313">
        <f t="shared" ref="F336:G336" si="111">SUM(F334:F335)</f>
        <v>25904.101190476191</v>
      </c>
      <c r="G336" s="3312" t="e">
        <f t="shared" si="111"/>
        <v>#REF!</v>
      </c>
      <c r="H336" s="3296"/>
    </row>
    <row r="337" spans="1:16" ht="17.25" customHeight="1" thickBot="1" x14ac:dyDescent="0.3">
      <c r="A337" s="3299" t="s">
        <v>6289</v>
      </c>
      <c r="B337" s="3300"/>
      <c r="C337" s="3300"/>
      <c r="D337" s="3300"/>
      <c r="E337" s="2092">
        <f>E333-E335</f>
        <v>7135.59</v>
      </c>
      <c r="F337" s="3314">
        <f t="shared" ref="F337:G337" si="112">SUM(F335:F336)</f>
        <v>41446.561904761904</v>
      </c>
      <c r="G337" s="3315" t="e">
        <f t="shared" si="112"/>
        <v>#REF!</v>
      </c>
      <c r="H337" s="3296"/>
    </row>
    <row r="338" spans="1:16" ht="16.5" thickBot="1" x14ac:dyDescent="0.3">
      <c r="A338" s="3302" t="s">
        <v>6290</v>
      </c>
      <c r="B338" s="3303"/>
      <c r="C338" s="3303"/>
      <c r="D338" s="3303"/>
      <c r="E338" s="3303"/>
      <c r="F338" s="3304"/>
      <c r="G338" s="2299">
        <f>SUMIF(B293:B331,"SANTANDER",G293:G331)</f>
        <v>1986.6949999999997</v>
      </c>
      <c r="H338" s="2007">
        <f>G338</f>
        <v>1986.6949999999997</v>
      </c>
      <c r="I338" s="2862" t="s">
        <v>6213</v>
      </c>
    </row>
    <row r="339" spans="1:16" ht="16.5" thickBot="1" x14ac:dyDescent="0.3">
      <c r="A339" s="3294" t="s">
        <v>6291</v>
      </c>
      <c r="B339" s="3295"/>
      <c r="C339" s="3295"/>
      <c r="D339" s="3295"/>
      <c r="E339" s="3295"/>
      <c r="F339" s="3305"/>
      <c r="G339" s="2300">
        <f>SUMIF(B293:B331,"NUBANK",G293:G331)</f>
        <v>3016.0879047619051</v>
      </c>
      <c r="H339" s="2007">
        <f>G339</f>
        <v>3016.0879047619051</v>
      </c>
      <c r="I339" s="2862" t="s">
        <v>6213</v>
      </c>
    </row>
    <row r="340" spans="1:16" ht="16.5" customHeight="1" thickBot="1" x14ac:dyDescent="0.35">
      <c r="A340" s="3306" t="s">
        <v>6292</v>
      </c>
      <c r="B340" s="3307"/>
      <c r="C340" s="3307"/>
      <c r="D340" s="3307"/>
      <c r="E340" s="3307"/>
      <c r="F340" s="3308"/>
      <c r="G340" s="2093">
        <f>G338+G339</f>
        <v>5002.7829047619052</v>
      </c>
      <c r="H340" s="2094"/>
      <c r="I340" s="2863"/>
    </row>
    <row r="341" spans="1:16" ht="16.5" customHeight="1" thickBot="1" x14ac:dyDescent="0.3">
      <c r="M341" s="1247"/>
      <c r="O341" s="1247"/>
    </row>
    <row r="342" spans="1:16" ht="19.5" thickBot="1" x14ac:dyDescent="0.35">
      <c r="A342" s="3287" t="s">
        <v>7763</v>
      </c>
      <c r="B342" s="3288"/>
      <c r="C342" s="3288"/>
      <c r="D342" s="3288"/>
      <c r="E342" s="3288"/>
      <c r="F342" s="3288"/>
      <c r="G342" s="3289"/>
      <c r="J342" s="1354"/>
      <c r="K342" s="1667"/>
      <c r="L342" s="1667"/>
      <c r="M342" s="1944"/>
      <c r="N342" s="1667"/>
      <c r="O342" s="1944"/>
      <c r="P342" s="1667"/>
    </row>
    <row r="343" spans="1:16" x14ac:dyDescent="0.25">
      <c r="A343" s="2288">
        <v>45328</v>
      </c>
      <c r="B343" s="2288" t="s">
        <v>6210</v>
      </c>
      <c r="C343" s="3253" t="s">
        <v>6130</v>
      </c>
      <c r="D343" s="3254"/>
      <c r="E343" s="2289">
        <v>33.979999999999997</v>
      </c>
      <c r="F343" s="2290">
        <v>1</v>
      </c>
      <c r="G343" s="2603">
        <v>0</v>
      </c>
      <c r="H343" s="1272" t="s">
        <v>7967</v>
      </c>
      <c r="I343" s="2151"/>
      <c r="J343" s="1360"/>
      <c r="K343" s="1657"/>
      <c r="L343" s="1657"/>
      <c r="M343" s="2008"/>
      <c r="N343" s="2010"/>
      <c r="O343" s="2011"/>
      <c r="P343" s="1336"/>
    </row>
    <row r="344" spans="1:16" x14ac:dyDescent="0.25">
      <c r="A344" s="2291">
        <v>45505</v>
      </c>
      <c r="B344" s="2292" t="s">
        <v>6210</v>
      </c>
      <c r="C344" s="3255" t="s">
        <v>7799</v>
      </c>
      <c r="D344" s="3256"/>
      <c r="E344" s="2293">
        <v>43</v>
      </c>
      <c r="F344" s="2294">
        <v>1</v>
      </c>
      <c r="G344" s="2298">
        <v>0</v>
      </c>
      <c r="H344" s="1272" t="s">
        <v>7968</v>
      </c>
      <c r="I344" s="2316"/>
      <c r="J344" s="2043"/>
      <c r="K344" s="2317"/>
      <c r="L344" s="2317"/>
      <c r="M344" s="2008"/>
      <c r="N344" s="2010"/>
      <c r="O344" s="2011"/>
      <c r="P344" s="1336"/>
    </row>
    <row r="345" spans="1:16" x14ac:dyDescent="0.25">
      <c r="A345" s="2291">
        <v>45505</v>
      </c>
      <c r="B345" s="2292" t="s">
        <v>6210</v>
      </c>
      <c r="C345" s="3257" t="s">
        <v>7885</v>
      </c>
      <c r="D345" s="3258"/>
      <c r="E345" s="2293">
        <v>20.9</v>
      </c>
      <c r="F345" s="2294">
        <v>1</v>
      </c>
      <c r="G345" s="2298">
        <v>0</v>
      </c>
      <c r="H345" s="1272" t="s">
        <v>7968</v>
      </c>
      <c r="I345" s="1345"/>
      <c r="J345" s="1360"/>
      <c r="K345" s="1657"/>
      <c r="L345" s="1657"/>
      <c r="M345" s="2008"/>
      <c r="N345" s="2010"/>
      <c r="O345" s="2011"/>
      <c r="P345" s="1336"/>
    </row>
    <row r="346" spans="1:16" x14ac:dyDescent="0.25">
      <c r="A346" s="2291">
        <v>45643</v>
      </c>
      <c r="B346" s="2292" t="s">
        <v>6210</v>
      </c>
      <c r="C346" s="3257" t="s">
        <v>7892</v>
      </c>
      <c r="D346" s="3258"/>
      <c r="E346" s="2293">
        <v>9.99</v>
      </c>
      <c r="F346" s="2294">
        <v>1</v>
      </c>
      <c r="G346" s="2298">
        <v>0</v>
      </c>
      <c r="H346" s="1272" t="s">
        <v>7968</v>
      </c>
      <c r="K346" s="2317"/>
      <c r="L346" s="2317"/>
      <c r="M346" s="2008"/>
      <c r="N346" s="2010"/>
      <c r="O346" s="2011"/>
      <c r="P346" s="1336"/>
    </row>
    <row r="347" spans="1:16" x14ac:dyDescent="0.25">
      <c r="A347" s="2291">
        <v>45488</v>
      </c>
      <c r="B347" s="2292" t="s">
        <v>6210</v>
      </c>
      <c r="C347" s="3257" t="s">
        <v>7755</v>
      </c>
      <c r="D347" s="3258"/>
      <c r="E347" s="2293">
        <v>357.68</v>
      </c>
      <c r="F347" s="2294">
        <v>12</v>
      </c>
      <c r="G347" s="2298">
        <v>0</v>
      </c>
      <c r="H347" s="1272" t="s">
        <v>7968</v>
      </c>
      <c r="I347" s="2316">
        <f>SUMIF(H343:H372,"COM",G343:G372)</f>
        <v>3858.9806428571433</v>
      </c>
      <c r="J347" s="2043" t="s">
        <v>1524</v>
      </c>
      <c r="K347" s="1657"/>
      <c r="L347" s="1657"/>
      <c r="M347" s="2008"/>
      <c r="N347" s="2010"/>
      <c r="O347" s="2011"/>
      <c r="P347" s="1336"/>
    </row>
    <row r="348" spans="1:16" x14ac:dyDescent="0.25">
      <c r="A348" s="2291">
        <v>45731</v>
      </c>
      <c r="B348" s="2292" t="s">
        <v>6210</v>
      </c>
      <c r="C348" s="3257" t="s">
        <v>7777</v>
      </c>
      <c r="D348" s="3258"/>
      <c r="E348" s="2293">
        <v>589.99</v>
      </c>
      <c r="F348" s="2294">
        <v>4</v>
      </c>
      <c r="G348" s="2298">
        <f t="shared" ref="G348:G361" si="113">E348/F348</f>
        <v>147.4975</v>
      </c>
      <c r="H348" s="1247" t="s">
        <v>1524</v>
      </c>
      <c r="I348" s="2316">
        <f>F373-I347</f>
        <v>2395.8499999999981</v>
      </c>
      <c r="J348" s="2043" t="s">
        <v>7817</v>
      </c>
      <c r="K348" s="2317"/>
      <c r="L348" s="2317"/>
      <c r="M348" s="2629"/>
      <c r="N348" s="2010"/>
      <c r="O348" s="2011"/>
      <c r="P348" s="1336"/>
    </row>
    <row r="349" spans="1:16" x14ac:dyDescent="0.25">
      <c r="A349" s="2291">
        <v>45731</v>
      </c>
      <c r="B349" s="2292" t="s">
        <v>6210</v>
      </c>
      <c r="C349" s="3257" t="s">
        <v>7756</v>
      </c>
      <c r="D349" s="3258"/>
      <c r="E349" s="2293">
        <v>589.99</v>
      </c>
      <c r="F349" s="2294">
        <v>4</v>
      </c>
      <c r="G349" s="2298">
        <f t="shared" si="113"/>
        <v>147.4975</v>
      </c>
      <c r="H349" s="1247" t="s">
        <v>1524</v>
      </c>
      <c r="I349" s="2316"/>
      <c r="J349" s="2043"/>
      <c r="K349" s="2317"/>
      <c r="L349" s="2317"/>
      <c r="M349" s="2629"/>
      <c r="N349" s="2010"/>
      <c r="O349" s="2011"/>
      <c r="P349" s="1336"/>
    </row>
    <row r="350" spans="1:16" x14ac:dyDescent="0.25">
      <c r="A350" s="2291">
        <v>45731</v>
      </c>
      <c r="B350" s="2292" t="s">
        <v>6210</v>
      </c>
      <c r="C350" s="3257" t="s">
        <v>7757</v>
      </c>
      <c r="D350" s="3258"/>
      <c r="E350" s="2293">
        <v>1899.99</v>
      </c>
      <c r="F350" s="2294">
        <v>4</v>
      </c>
      <c r="G350" s="2298">
        <f t="shared" si="113"/>
        <v>474.9975</v>
      </c>
      <c r="H350" s="1247" t="s">
        <v>1524</v>
      </c>
      <c r="I350" s="2316"/>
      <c r="J350" s="2043"/>
      <c r="K350" s="2317"/>
      <c r="L350" s="2317"/>
      <c r="M350" s="2629"/>
      <c r="N350" s="2010"/>
      <c r="O350" s="2011"/>
      <c r="P350" s="1336"/>
    </row>
    <row r="351" spans="1:16" x14ac:dyDescent="0.25">
      <c r="A351" s="2291">
        <v>45731</v>
      </c>
      <c r="B351" s="2292" t="s">
        <v>6210</v>
      </c>
      <c r="C351" s="3257" t="s">
        <v>7758</v>
      </c>
      <c r="D351" s="3258"/>
      <c r="E351" s="2293">
        <v>699.99</v>
      </c>
      <c r="F351" s="2294">
        <v>4</v>
      </c>
      <c r="G351" s="2298">
        <f t="shared" si="113"/>
        <v>174.9975</v>
      </c>
      <c r="H351" s="1247" t="s">
        <v>1524</v>
      </c>
      <c r="I351" s="2316"/>
      <c r="J351" s="2043"/>
      <c r="K351" s="2317"/>
      <c r="L351" s="2317"/>
      <c r="M351" s="2629"/>
      <c r="N351" s="2010"/>
      <c r="O351" s="2011"/>
      <c r="P351" s="1336"/>
    </row>
    <row r="352" spans="1:16" x14ac:dyDescent="0.25">
      <c r="A352" s="2291">
        <v>45731</v>
      </c>
      <c r="B352" s="2292" t="s">
        <v>6210</v>
      </c>
      <c r="C352" s="3257" t="s">
        <v>7759</v>
      </c>
      <c r="D352" s="3258"/>
      <c r="E352" s="2293">
        <v>629.99</v>
      </c>
      <c r="F352" s="2294">
        <v>4</v>
      </c>
      <c r="G352" s="2298">
        <f t="shared" si="113"/>
        <v>157.4975</v>
      </c>
      <c r="H352" s="1247" t="s">
        <v>1524</v>
      </c>
      <c r="I352" s="2316"/>
      <c r="J352" s="2043"/>
      <c r="K352" s="2317"/>
      <c r="L352" s="2317"/>
      <c r="M352" s="2629"/>
      <c r="N352" s="2010"/>
      <c r="O352" s="2011"/>
      <c r="P352" s="1336"/>
    </row>
    <row r="353" spans="1:16" x14ac:dyDescent="0.25">
      <c r="A353" s="2291">
        <v>45731</v>
      </c>
      <c r="B353" s="2292" t="s">
        <v>6210</v>
      </c>
      <c r="C353" s="3257" t="s">
        <v>7760</v>
      </c>
      <c r="D353" s="3258"/>
      <c r="E353" s="2293">
        <v>1099.99</v>
      </c>
      <c r="F353" s="2294">
        <v>4</v>
      </c>
      <c r="G353" s="2298">
        <f t="shared" si="113"/>
        <v>274.9975</v>
      </c>
      <c r="H353" s="1247" t="s">
        <v>1524</v>
      </c>
      <c r="I353" s="2316"/>
      <c r="J353" s="2043"/>
      <c r="K353" s="2317"/>
      <c r="L353" s="2317"/>
      <c r="M353" s="2629"/>
      <c r="N353" s="2010"/>
      <c r="O353" s="2011"/>
      <c r="P353" s="1336"/>
    </row>
    <row r="354" spans="1:16" x14ac:dyDescent="0.25">
      <c r="A354" s="2291">
        <v>45731</v>
      </c>
      <c r="B354" s="2292" t="s">
        <v>6210</v>
      </c>
      <c r="C354" s="3257" t="s">
        <v>7761</v>
      </c>
      <c r="D354" s="3258"/>
      <c r="E354" s="2293">
        <v>599.99</v>
      </c>
      <c r="F354" s="2294">
        <v>4</v>
      </c>
      <c r="G354" s="2298">
        <f t="shared" si="113"/>
        <v>149.9975</v>
      </c>
      <c r="H354" s="1247" t="s">
        <v>1524</v>
      </c>
      <c r="I354" s="2316"/>
      <c r="J354" s="2043"/>
      <c r="K354" s="2317"/>
      <c r="L354" s="2317"/>
      <c r="M354" s="2008"/>
      <c r="N354" s="2010"/>
      <c r="O354" s="2011"/>
      <c r="P354" s="1336"/>
    </row>
    <row r="355" spans="1:16" x14ac:dyDescent="0.25">
      <c r="A355" s="2291">
        <v>45731</v>
      </c>
      <c r="B355" s="2625" t="s">
        <v>6210</v>
      </c>
      <c r="C355" s="3257" t="s">
        <v>7762</v>
      </c>
      <c r="D355" s="3258"/>
      <c r="E355" s="2293">
        <v>60</v>
      </c>
      <c r="F355" s="2294">
        <v>4</v>
      </c>
      <c r="G355" s="2298">
        <f t="shared" si="113"/>
        <v>15</v>
      </c>
      <c r="H355" s="1247" t="s">
        <v>1524</v>
      </c>
      <c r="I355" s="2316"/>
      <c r="J355" s="2043"/>
      <c r="K355" s="2317"/>
      <c r="L355" s="2317"/>
      <c r="M355" s="2008"/>
      <c r="N355" s="2010"/>
      <c r="O355" s="2011"/>
      <c r="P355" s="1336"/>
    </row>
    <row r="356" spans="1:16" x14ac:dyDescent="0.25">
      <c r="A356" s="2284">
        <v>45765</v>
      </c>
      <c r="B356" s="2285" t="s">
        <v>6209</v>
      </c>
      <c r="C356" s="3244" t="s">
        <v>7798</v>
      </c>
      <c r="D356" s="3245"/>
      <c r="E356" s="2286">
        <v>4500</v>
      </c>
      <c r="F356" s="2287">
        <v>3</v>
      </c>
      <c r="G356" s="2297">
        <f t="shared" si="113"/>
        <v>1500</v>
      </c>
      <c r="H356" s="1247" t="s">
        <v>1524</v>
      </c>
      <c r="I356" s="2316"/>
      <c r="J356" s="2043"/>
      <c r="K356" s="2317"/>
      <c r="L356" s="2317"/>
      <c r="M356" s="2008"/>
      <c r="N356" s="2010"/>
      <c r="O356" s="2011"/>
      <c r="P356" s="1336"/>
    </row>
    <row r="357" spans="1:16" x14ac:dyDescent="0.25">
      <c r="A357" s="2291">
        <v>45766</v>
      </c>
      <c r="B357" s="2625" t="s">
        <v>6210</v>
      </c>
      <c r="C357" s="3257" t="s">
        <v>7807</v>
      </c>
      <c r="D357" s="3258"/>
      <c r="E357" s="2293">
        <v>188.85</v>
      </c>
      <c r="F357" s="2294">
        <v>2</v>
      </c>
      <c r="G357" s="2298">
        <v>0</v>
      </c>
      <c r="H357" s="2768" t="s">
        <v>7983</v>
      </c>
      <c r="I357" s="2316"/>
      <c r="J357" s="2043"/>
      <c r="K357" s="2317"/>
      <c r="L357" s="2317"/>
      <c r="M357" s="2008"/>
      <c r="N357" s="2010"/>
      <c r="O357" s="2011"/>
      <c r="P357" s="1336"/>
    </row>
    <row r="358" spans="1:16" x14ac:dyDescent="0.25">
      <c r="A358" s="2291">
        <v>45766</v>
      </c>
      <c r="B358" s="2626" t="s">
        <v>6210</v>
      </c>
      <c r="C358" s="3257" t="s">
        <v>7806</v>
      </c>
      <c r="D358" s="3258"/>
      <c r="E358" s="2293">
        <v>150</v>
      </c>
      <c r="F358" s="2294">
        <v>2</v>
      </c>
      <c r="G358" s="2298">
        <v>0</v>
      </c>
      <c r="H358" s="1272" t="s">
        <v>7969</v>
      </c>
      <c r="I358" s="2316"/>
      <c r="J358" s="2043"/>
      <c r="K358" s="2317"/>
      <c r="L358" s="2317"/>
      <c r="M358" s="2008"/>
      <c r="N358" s="2010"/>
      <c r="O358" s="2011"/>
      <c r="P358" s="1336"/>
    </row>
    <row r="359" spans="1:16" x14ac:dyDescent="0.25">
      <c r="A359" s="2711">
        <v>45786</v>
      </c>
      <c r="B359" s="2626" t="s">
        <v>6210</v>
      </c>
      <c r="C359" s="3277" t="s">
        <v>7894</v>
      </c>
      <c r="D359" s="3243"/>
      <c r="E359" s="2712">
        <v>40</v>
      </c>
      <c r="F359" s="2713">
        <v>3</v>
      </c>
      <c r="G359" s="2714">
        <v>0</v>
      </c>
      <c r="H359" s="2768" t="s">
        <v>7984</v>
      </c>
      <c r="I359" s="2316"/>
      <c r="J359" s="2043"/>
      <c r="K359" s="2317"/>
      <c r="L359" s="2317"/>
      <c r="M359" s="2008"/>
      <c r="N359" s="2010"/>
      <c r="O359" s="2011"/>
      <c r="P359" s="1336"/>
    </row>
    <row r="360" spans="1:16" x14ac:dyDescent="0.25">
      <c r="A360" s="2711">
        <v>45786</v>
      </c>
      <c r="B360" s="2626" t="s">
        <v>6210</v>
      </c>
      <c r="C360" s="3242" t="s">
        <v>7861</v>
      </c>
      <c r="D360" s="3243"/>
      <c r="E360" s="2712">
        <v>299.8</v>
      </c>
      <c r="F360" s="2713">
        <v>3</v>
      </c>
      <c r="G360" s="2714">
        <v>0</v>
      </c>
      <c r="H360" s="2768" t="s">
        <v>7984</v>
      </c>
      <c r="I360" s="2316"/>
      <c r="J360" s="2043"/>
      <c r="K360" s="2317"/>
      <c r="L360" s="2317"/>
      <c r="M360" s="2008"/>
      <c r="N360" s="2010"/>
      <c r="O360" s="2011"/>
      <c r="P360" s="1336"/>
    </row>
    <row r="361" spans="1:16" x14ac:dyDescent="0.25">
      <c r="A361" s="2711">
        <v>45789</v>
      </c>
      <c r="B361" s="2626" t="s">
        <v>6210</v>
      </c>
      <c r="C361" s="3242" t="s">
        <v>7900</v>
      </c>
      <c r="D361" s="3243"/>
      <c r="E361" s="2712">
        <v>1181.3599999999999</v>
      </c>
      <c r="F361" s="2713">
        <v>10</v>
      </c>
      <c r="G361" s="2714">
        <f t="shared" si="113"/>
        <v>118.136</v>
      </c>
      <c r="H361" s="1247" t="s">
        <v>1524</v>
      </c>
      <c r="I361" s="2316"/>
      <c r="J361" s="2043"/>
      <c r="K361" s="2317"/>
      <c r="L361" s="2317"/>
      <c r="M361" s="2008"/>
      <c r="N361" s="2010"/>
      <c r="O361" s="2011"/>
      <c r="P361" s="1336"/>
    </row>
    <row r="362" spans="1:16" x14ac:dyDescent="0.25">
      <c r="A362" s="2291">
        <v>45796</v>
      </c>
      <c r="B362" s="2627" t="s">
        <v>6210</v>
      </c>
      <c r="C362" s="3257" t="s">
        <v>7886</v>
      </c>
      <c r="D362" s="3258"/>
      <c r="E362" s="2293">
        <v>800</v>
      </c>
      <c r="F362" s="2294">
        <v>3</v>
      </c>
      <c r="G362" s="2298">
        <v>0</v>
      </c>
      <c r="H362" s="2768" t="s">
        <v>7985</v>
      </c>
      <c r="I362" s="2316"/>
      <c r="J362" s="2043"/>
      <c r="K362" s="2317"/>
      <c r="L362" s="2317"/>
      <c r="M362" s="2008"/>
      <c r="N362" s="2010"/>
      <c r="O362" s="2011"/>
      <c r="P362" s="1336"/>
    </row>
    <row r="363" spans="1:16" x14ac:dyDescent="0.25">
      <c r="A363" s="2711">
        <v>45797</v>
      </c>
      <c r="B363" s="2626" t="s">
        <v>6210</v>
      </c>
      <c r="C363" s="3242" t="s">
        <v>7901</v>
      </c>
      <c r="D363" s="3243"/>
      <c r="E363" s="2712">
        <v>159.66999999999999</v>
      </c>
      <c r="F363" s="2713">
        <v>1</v>
      </c>
      <c r="G363" s="2714">
        <f t="shared" ref="G363" si="114">E363/F363</f>
        <v>159.66999999999999</v>
      </c>
      <c r="H363" s="1247" t="s">
        <v>1524</v>
      </c>
      <c r="I363" s="2316"/>
      <c r="J363" s="2043"/>
      <c r="K363" s="2317"/>
      <c r="L363" s="2317"/>
      <c r="M363" s="2008"/>
      <c r="N363" s="2010"/>
      <c r="O363" s="2011"/>
      <c r="P363" s="1336"/>
    </row>
    <row r="364" spans="1:16" x14ac:dyDescent="0.25">
      <c r="A364" s="2711">
        <v>45801</v>
      </c>
      <c r="B364" s="2626" t="s">
        <v>6210</v>
      </c>
      <c r="C364" s="3242" t="s">
        <v>8020</v>
      </c>
      <c r="D364" s="3243"/>
      <c r="E364" s="2712">
        <v>4791.7</v>
      </c>
      <c r="F364" s="2713">
        <v>1</v>
      </c>
      <c r="G364" s="2714">
        <f t="shared" ref="G364" si="115">E364/F364</f>
        <v>4791.7</v>
      </c>
      <c r="H364" s="1247" t="s">
        <v>1489</v>
      </c>
      <c r="I364" s="2316">
        <f>G364/2</f>
        <v>2395.85</v>
      </c>
      <c r="J364" s="2043"/>
      <c r="K364" s="2317"/>
      <c r="L364" s="2317"/>
      <c r="M364" s="2008"/>
      <c r="N364" s="2010"/>
      <c r="O364" s="2011"/>
      <c r="P364" s="1336"/>
    </row>
    <row r="365" spans="1:16" x14ac:dyDescent="0.25">
      <c r="A365" s="2733">
        <v>45803</v>
      </c>
      <c r="B365" s="2734" t="s">
        <v>6209</v>
      </c>
      <c r="C365" s="3283" t="s">
        <v>7912</v>
      </c>
      <c r="D365" s="3284"/>
      <c r="E365" s="2735">
        <v>1520.79</v>
      </c>
      <c r="F365" s="2736">
        <v>6</v>
      </c>
      <c r="G365" s="2725">
        <f t="shared" ref="G365" si="116">E365/F365</f>
        <v>253.465</v>
      </c>
      <c r="H365" s="1247" t="s">
        <v>1524</v>
      </c>
      <c r="I365" s="2316"/>
      <c r="J365" s="2043"/>
      <c r="K365" s="2317"/>
      <c r="L365" s="2317"/>
      <c r="M365" s="2008"/>
      <c r="N365" s="2010"/>
      <c r="O365" s="2011"/>
      <c r="P365" s="1336"/>
    </row>
    <row r="366" spans="1:16" x14ac:dyDescent="0.25">
      <c r="A366" s="2733">
        <v>45803</v>
      </c>
      <c r="B366" s="2734" t="s">
        <v>6209</v>
      </c>
      <c r="C366" s="3283" t="s">
        <v>7913</v>
      </c>
      <c r="D366" s="3284"/>
      <c r="E366" s="2735">
        <v>363.94</v>
      </c>
      <c r="F366" s="2736">
        <v>6</v>
      </c>
      <c r="G366" s="2725">
        <f t="shared" ref="G366:G367" si="117">E366/F366</f>
        <v>60.656666666666666</v>
      </c>
      <c r="H366" s="1247" t="s">
        <v>1524</v>
      </c>
      <c r="I366" s="2316"/>
      <c r="J366" s="2043"/>
      <c r="K366" s="2317"/>
      <c r="L366" s="2317"/>
      <c r="M366" s="2008"/>
      <c r="N366" s="2010"/>
      <c r="O366" s="2011"/>
      <c r="P366" s="1336"/>
    </row>
    <row r="367" spans="1:16" x14ac:dyDescent="0.25">
      <c r="A367" s="2733">
        <v>45803</v>
      </c>
      <c r="B367" s="2734" t="s">
        <v>6209</v>
      </c>
      <c r="C367" s="3283" t="s">
        <v>7914</v>
      </c>
      <c r="D367" s="3284"/>
      <c r="E367" s="2735">
        <v>269.91000000000003</v>
      </c>
      <c r="F367" s="2736">
        <v>6</v>
      </c>
      <c r="G367" s="2725">
        <f t="shared" si="117"/>
        <v>44.985000000000007</v>
      </c>
      <c r="H367" s="1247" t="s">
        <v>1524</v>
      </c>
      <c r="I367" s="2316"/>
      <c r="J367" s="2043"/>
      <c r="K367" s="2317"/>
      <c r="L367" s="2317"/>
      <c r="M367" s="2008"/>
      <c r="N367" s="2010"/>
      <c r="O367" s="2011"/>
      <c r="P367" s="1336"/>
    </row>
    <row r="368" spans="1:16" x14ac:dyDescent="0.25">
      <c r="A368" s="2733">
        <v>45803</v>
      </c>
      <c r="B368" s="2734" t="s">
        <v>6209</v>
      </c>
      <c r="C368" s="3283" t="s">
        <v>7915</v>
      </c>
      <c r="D368" s="3284"/>
      <c r="E368" s="2735">
        <v>53.97</v>
      </c>
      <c r="F368" s="2736">
        <v>6</v>
      </c>
      <c r="G368" s="2725">
        <f t="shared" ref="G368" si="118">E368/F368</f>
        <v>8.9949999999999992</v>
      </c>
      <c r="H368" s="1247" t="s">
        <v>1524</v>
      </c>
      <c r="I368" s="2316"/>
      <c r="J368" s="2043"/>
      <c r="K368" s="2317"/>
      <c r="L368" s="2317"/>
      <c r="M368" s="2008"/>
      <c r="N368" s="2010"/>
      <c r="O368" s="2011"/>
      <c r="P368" s="1336"/>
    </row>
    <row r="369" spans="1:16" x14ac:dyDescent="0.25">
      <c r="A369" s="2757">
        <v>45803</v>
      </c>
      <c r="B369" s="2758" t="s">
        <v>6209</v>
      </c>
      <c r="C369" s="3318" t="s">
        <v>7931</v>
      </c>
      <c r="D369" s="3319"/>
      <c r="E369" s="2759">
        <v>50</v>
      </c>
      <c r="F369" s="2760">
        <v>6</v>
      </c>
      <c r="G369" s="2761">
        <f t="shared" ref="G369:G372" si="119">E369/F369</f>
        <v>8.3333333333333339</v>
      </c>
      <c r="H369" s="1247" t="s">
        <v>1524</v>
      </c>
      <c r="I369" s="2316"/>
      <c r="J369" s="2043"/>
      <c r="K369" s="2317"/>
      <c r="L369" s="2317"/>
      <c r="M369" s="2008"/>
      <c r="N369" s="2010"/>
      <c r="O369" s="2011"/>
      <c r="P369" s="1336"/>
    </row>
    <row r="370" spans="1:16" x14ac:dyDescent="0.25">
      <c r="A370" s="2711">
        <v>45810</v>
      </c>
      <c r="B370" s="2626" t="s">
        <v>6210</v>
      </c>
      <c r="C370" s="3277" t="s">
        <v>7955</v>
      </c>
      <c r="D370" s="3243"/>
      <c r="E370" s="2712">
        <v>356</v>
      </c>
      <c r="F370" s="2713">
        <v>7</v>
      </c>
      <c r="G370" s="2714">
        <f t="shared" ref="G370" si="120">E370/F370</f>
        <v>50.857142857142854</v>
      </c>
      <c r="H370" s="1247" t="s">
        <v>1524</v>
      </c>
      <c r="I370" s="2316"/>
      <c r="J370" s="2043"/>
      <c r="K370" s="2317"/>
      <c r="L370" s="2317"/>
      <c r="M370" s="2008"/>
      <c r="N370" s="2010"/>
      <c r="O370" s="2011"/>
      <c r="P370" s="1336"/>
    </row>
    <row r="371" spans="1:16" x14ac:dyDescent="0.25">
      <c r="A371" s="2711">
        <v>45812</v>
      </c>
      <c r="B371" s="2626" t="s">
        <v>6210</v>
      </c>
      <c r="C371" s="3277" t="s">
        <v>7953</v>
      </c>
      <c r="D371" s="3243"/>
      <c r="E371" s="2712">
        <v>139.5</v>
      </c>
      <c r="F371" s="2713">
        <v>2</v>
      </c>
      <c r="G371" s="2714">
        <v>0</v>
      </c>
      <c r="H371" s="2768" t="s">
        <v>7984</v>
      </c>
      <c r="I371" s="2316"/>
      <c r="J371" s="2043"/>
      <c r="K371" s="2317"/>
      <c r="L371" s="2317"/>
      <c r="M371" s="2008"/>
      <c r="N371" s="2010"/>
      <c r="O371" s="2011"/>
      <c r="P371" s="1336"/>
    </row>
    <row r="372" spans="1:16" x14ac:dyDescent="0.25">
      <c r="A372" s="2763">
        <v>45813</v>
      </c>
      <c r="B372" s="2764" t="s">
        <v>6210</v>
      </c>
      <c r="C372" s="3323" t="s">
        <v>7963</v>
      </c>
      <c r="D372" s="3324"/>
      <c r="E372" s="2765">
        <v>557</v>
      </c>
      <c r="F372" s="2766">
        <v>5</v>
      </c>
      <c r="G372" s="2767">
        <f t="shared" si="119"/>
        <v>111.4</v>
      </c>
      <c r="H372" s="1247" t="s">
        <v>1524</v>
      </c>
      <c r="I372" s="2316"/>
      <c r="J372" s="2043"/>
      <c r="K372" s="2317"/>
      <c r="L372" s="2317"/>
      <c r="M372" s="2008"/>
      <c r="N372" s="2010"/>
      <c r="O372" s="2011"/>
      <c r="P372" s="1336"/>
    </row>
    <row r="373" spans="1:16" ht="15.75" x14ac:dyDescent="0.25">
      <c r="A373" s="3281" t="s">
        <v>6284</v>
      </c>
      <c r="B373" s="3282"/>
      <c r="C373" s="3282"/>
      <c r="D373" s="3282"/>
      <c r="E373" s="2295">
        <v>5600</v>
      </c>
      <c r="F373" s="3311">
        <f>SUM(H379:H380)</f>
        <v>6254.8306428571414</v>
      </c>
      <c r="G373" s="3312" t="e">
        <f>SUM(#REF!)</f>
        <v>#REF!</v>
      </c>
      <c r="H373" s="3296" t="s">
        <v>6301</v>
      </c>
      <c r="J373" s="1382"/>
      <c r="N373" s="1336"/>
      <c r="O373" s="2012"/>
      <c r="P373" s="1336"/>
    </row>
    <row r="374" spans="1:16" ht="15.75" x14ac:dyDescent="0.25">
      <c r="A374" s="3290" t="s">
        <v>6285</v>
      </c>
      <c r="B374" s="3291"/>
      <c r="C374" s="3291"/>
      <c r="D374" s="3291"/>
      <c r="E374" s="2302">
        <v>15650</v>
      </c>
      <c r="F374" s="3313">
        <f>SUM(F373:F373)</f>
        <v>6254.8306428571414</v>
      </c>
      <c r="G374" s="3312" t="e">
        <f>SUM(G373:G373)</f>
        <v>#REF!</v>
      </c>
      <c r="H374" s="3296"/>
      <c r="J374" s="1382"/>
      <c r="N374" s="1336"/>
      <c r="O374" s="2012"/>
      <c r="P374" s="1336"/>
    </row>
    <row r="375" spans="1:16" ht="15.75" x14ac:dyDescent="0.25">
      <c r="A375" s="3292" t="s">
        <v>6286</v>
      </c>
      <c r="B375" s="3293"/>
      <c r="C375" s="3293"/>
      <c r="D375" s="3293"/>
      <c r="E375" s="2303">
        <v>3000</v>
      </c>
      <c r="F375" s="3313">
        <f t="shared" ref="F375:G375" si="121">SUM(F373:F374)</f>
        <v>12509.661285714283</v>
      </c>
      <c r="G375" s="3312" t="e">
        <f t="shared" si="121"/>
        <v>#REF!</v>
      </c>
      <c r="H375" s="3296"/>
    </row>
    <row r="376" spans="1:16" ht="15.75" x14ac:dyDescent="0.25">
      <c r="A376" s="3294" t="s">
        <v>6287</v>
      </c>
      <c r="B376" s="3295"/>
      <c r="C376" s="3295"/>
      <c r="D376" s="3295"/>
      <c r="E376" s="2304">
        <v>5510.17</v>
      </c>
      <c r="F376" s="3313">
        <f t="shared" ref="F376:G376" si="122">SUM(F374:F375)</f>
        <v>18764.491928571424</v>
      </c>
      <c r="G376" s="3312" t="e">
        <f t="shared" si="122"/>
        <v>#REF!</v>
      </c>
      <c r="H376" s="3296"/>
    </row>
    <row r="377" spans="1:16" ht="17.25" customHeight="1" thickBot="1" x14ac:dyDescent="0.3">
      <c r="A377" s="3281" t="s">
        <v>6288</v>
      </c>
      <c r="B377" s="3282"/>
      <c r="C377" s="3282"/>
      <c r="D377" s="3282"/>
      <c r="E377" s="2295">
        <f>E373-E375</f>
        <v>2600</v>
      </c>
      <c r="F377" s="3313">
        <f t="shared" ref="F377:G377" si="123">SUM(F375:F376)</f>
        <v>31274.153214285707</v>
      </c>
      <c r="G377" s="3312" t="e">
        <f t="shared" si="123"/>
        <v>#REF!</v>
      </c>
      <c r="H377" s="3296"/>
    </row>
    <row r="378" spans="1:16" ht="17.25" customHeight="1" thickBot="1" x14ac:dyDescent="0.3">
      <c r="A378" s="3299" t="s">
        <v>6289</v>
      </c>
      <c r="B378" s="3300"/>
      <c r="C378" s="3300"/>
      <c r="D378" s="3300"/>
      <c r="E378" s="2092">
        <f>E374-E376</f>
        <v>10139.83</v>
      </c>
      <c r="F378" s="3314">
        <f t="shared" ref="F378:G378" si="124">SUM(F376:F377)</f>
        <v>50038.645142857131</v>
      </c>
      <c r="G378" s="3315" t="e">
        <f t="shared" si="124"/>
        <v>#REF!</v>
      </c>
      <c r="H378" s="3296"/>
    </row>
    <row r="379" spans="1:16" ht="16.5" thickBot="1" x14ac:dyDescent="0.3">
      <c r="A379" s="3302" t="s">
        <v>6290</v>
      </c>
      <c r="B379" s="3303"/>
      <c r="C379" s="3303"/>
      <c r="D379" s="3303"/>
      <c r="E379" s="3303"/>
      <c r="F379" s="3304"/>
      <c r="G379" s="2299">
        <f>SUMIF(B343:B372,"SANTANDER",G343:G372)</f>
        <v>1876.4349999999997</v>
      </c>
      <c r="H379" s="2007">
        <f>G379</f>
        <v>1876.4349999999997</v>
      </c>
      <c r="I379" s="2862" t="s">
        <v>6213</v>
      </c>
    </row>
    <row r="380" spans="1:16" ht="16.5" thickBot="1" x14ac:dyDescent="0.3">
      <c r="A380" s="3294" t="s">
        <v>6291</v>
      </c>
      <c r="B380" s="3295"/>
      <c r="C380" s="3295"/>
      <c r="D380" s="3295"/>
      <c r="E380" s="3295"/>
      <c r="F380" s="3305"/>
      <c r="G380" s="2300">
        <f>SUMIF(B343:B372,"NUBANK",G343:G372)</f>
        <v>6774.2456428571422</v>
      </c>
      <c r="H380" s="2007">
        <f>G380-I364</f>
        <v>4378.3956428571419</v>
      </c>
      <c r="I380" s="2862" t="s">
        <v>6213</v>
      </c>
    </row>
    <row r="381" spans="1:16" ht="16.5" customHeight="1" thickBot="1" x14ac:dyDescent="0.35">
      <c r="A381" s="3306" t="s">
        <v>6292</v>
      </c>
      <c r="B381" s="3307"/>
      <c r="C381" s="3307"/>
      <c r="D381" s="3307"/>
      <c r="E381" s="3307"/>
      <c r="F381" s="3308"/>
      <c r="G381" s="2093">
        <f>G379+G380</f>
        <v>8650.6806428571417</v>
      </c>
      <c r="H381" s="2094"/>
      <c r="I381" s="2863"/>
    </row>
    <row r="382" spans="1:16" ht="16.5" customHeight="1" thickBot="1" x14ac:dyDescent="0.3">
      <c r="M382" s="1247"/>
      <c r="O382" s="1247"/>
    </row>
    <row r="383" spans="1:16" ht="19.5" thickBot="1" x14ac:dyDescent="0.35">
      <c r="A383" s="3287" t="s">
        <v>7764</v>
      </c>
      <c r="B383" s="3288"/>
      <c r="C383" s="3288"/>
      <c r="D383" s="3288"/>
      <c r="E383" s="3288"/>
      <c r="F383" s="3288"/>
      <c r="G383" s="3289"/>
      <c r="J383" s="1354"/>
      <c r="K383" s="1667"/>
      <c r="L383" s="1667"/>
      <c r="M383" s="1944"/>
      <c r="N383" s="1667"/>
      <c r="O383" s="1944"/>
      <c r="P383" s="1667"/>
    </row>
    <row r="384" spans="1:16" x14ac:dyDescent="0.25">
      <c r="A384" s="2288">
        <v>45328</v>
      </c>
      <c r="B384" s="2288" t="s">
        <v>6210</v>
      </c>
      <c r="C384" s="3253" t="s">
        <v>6130</v>
      </c>
      <c r="D384" s="3254"/>
      <c r="E384" s="2289">
        <v>33.979999999999997</v>
      </c>
      <c r="F384" s="2290">
        <v>1</v>
      </c>
      <c r="G384" s="2603">
        <v>0</v>
      </c>
      <c r="H384" s="1272" t="s">
        <v>7853</v>
      </c>
      <c r="I384" s="2151"/>
      <c r="J384" s="1360"/>
      <c r="K384" s="1657"/>
      <c r="L384" s="1657"/>
      <c r="M384" s="2008"/>
      <c r="N384" s="2010"/>
      <c r="O384" s="2011"/>
      <c r="P384" s="1336"/>
    </row>
    <row r="385" spans="1:16" x14ac:dyDescent="0.25">
      <c r="A385" s="2291">
        <v>45505</v>
      </c>
      <c r="B385" s="2292" t="s">
        <v>6210</v>
      </c>
      <c r="C385" s="3255" t="s">
        <v>7799</v>
      </c>
      <c r="D385" s="3256"/>
      <c r="E385" s="2293">
        <v>43</v>
      </c>
      <c r="F385" s="2294">
        <v>1</v>
      </c>
      <c r="G385" s="2298">
        <v>0</v>
      </c>
      <c r="H385" s="1272" t="s">
        <v>7854</v>
      </c>
      <c r="I385" s="2316"/>
      <c r="J385" s="2043"/>
      <c r="K385" s="2317"/>
      <c r="L385" s="2317"/>
      <c r="M385" s="2008"/>
      <c r="N385" s="2010"/>
      <c r="O385" s="2011"/>
      <c r="P385" s="1336"/>
    </row>
    <row r="386" spans="1:16" x14ac:dyDescent="0.25">
      <c r="A386" s="2291">
        <v>45505</v>
      </c>
      <c r="B386" s="2292" t="s">
        <v>6210</v>
      </c>
      <c r="C386" s="3257" t="s">
        <v>6805</v>
      </c>
      <c r="D386" s="3258"/>
      <c r="E386" s="2293">
        <v>45</v>
      </c>
      <c r="F386" s="2294">
        <v>1</v>
      </c>
      <c r="G386" s="2298">
        <v>0</v>
      </c>
      <c r="H386" s="1272" t="s">
        <v>7854</v>
      </c>
      <c r="I386" s="1345"/>
      <c r="J386" s="1360"/>
      <c r="K386" s="1657"/>
      <c r="L386" s="1657"/>
      <c r="M386" s="2008"/>
      <c r="N386" s="2010"/>
      <c r="O386" s="2011"/>
      <c r="P386" s="1336"/>
    </row>
    <row r="387" spans="1:16" x14ac:dyDescent="0.25">
      <c r="A387" s="2291">
        <v>45488</v>
      </c>
      <c r="B387" s="2292" t="s">
        <v>6210</v>
      </c>
      <c r="C387" s="3257" t="s">
        <v>7753</v>
      </c>
      <c r="D387" s="3258"/>
      <c r="E387" s="2293">
        <v>357.68</v>
      </c>
      <c r="F387" s="2294">
        <v>12</v>
      </c>
      <c r="G387" s="2298">
        <v>0</v>
      </c>
      <c r="H387" s="1272" t="s">
        <v>7855</v>
      </c>
      <c r="I387" s="1321"/>
      <c r="J387" s="1360"/>
      <c r="K387" s="1657"/>
      <c r="L387" s="1657"/>
      <c r="M387" s="2008"/>
      <c r="N387" s="2010"/>
      <c r="O387" s="2011"/>
      <c r="P387" s="1336"/>
    </row>
    <row r="388" spans="1:16" x14ac:dyDescent="0.25">
      <c r="A388" s="2291">
        <v>45643</v>
      </c>
      <c r="B388" s="2292" t="s">
        <v>6210</v>
      </c>
      <c r="C388" s="3257" t="s">
        <v>7892</v>
      </c>
      <c r="D388" s="3258"/>
      <c r="E388" s="2293">
        <v>10</v>
      </c>
      <c r="F388" s="2294">
        <v>1</v>
      </c>
      <c r="G388" s="2298">
        <v>0</v>
      </c>
      <c r="H388" s="1272" t="s">
        <v>7855</v>
      </c>
      <c r="I388" s="2316"/>
      <c r="J388" s="2043"/>
      <c r="K388" s="2317"/>
      <c r="L388" s="2317"/>
      <c r="M388" s="2008"/>
      <c r="N388" s="2010"/>
      <c r="O388" s="2011"/>
      <c r="P388" s="1336"/>
    </row>
    <row r="389" spans="1:16" x14ac:dyDescent="0.25">
      <c r="A389" s="2291">
        <v>45713</v>
      </c>
      <c r="B389" s="2292" t="s">
        <v>6210</v>
      </c>
      <c r="C389" s="3257" t="s">
        <v>7557</v>
      </c>
      <c r="D389" s="3258"/>
      <c r="E389" s="2293">
        <v>189</v>
      </c>
      <c r="F389" s="2294">
        <v>3</v>
      </c>
      <c r="G389" s="2298">
        <v>0</v>
      </c>
      <c r="H389" s="1272" t="s">
        <v>7856</v>
      </c>
      <c r="I389" s="2316"/>
      <c r="J389" s="2043"/>
      <c r="K389" s="2317"/>
      <c r="L389" s="2317"/>
      <c r="M389" s="2629"/>
      <c r="N389" s="2010"/>
      <c r="O389" s="2011"/>
      <c r="P389" s="1336"/>
    </row>
    <row r="390" spans="1:16" x14ac:dyDescent="0.25">
      <c r="A390" s="2291">
        <v>45731</v>
      </c>
      <c r="B390" s="2292" t="s">
        <v>6210</v>
      </c>
      <c r="C390" s="3257" t="s">
        <v>7754</v>
      </c>
      <c r="D390" s="3258"/>
      <c r="E390" s="2293">
        <v>589.99</v>
      </c>
      <c r="F390" s="2294">
        <v>4</v>
      </c>
      <c r="G390" s="2298">
        <f t="shared" ref="G390:G398" si="125">E390/F390</f>
        <v>147.4975</v>
      </c>
      <c r="H390" s="1247" t="s">
        <v>1524</v>
      </c>
      <c r="I390" s="2316"/>
      <c r="J390" s="2043"/>
      <c r="K390" s="2317"/>
      <c r="L390" s="2317"/>
      <c r="M390" s="2629"/>
      <c r="N390" s="2010"/>
      <c r="O390" s="2011"/>
      <c r="P390" s="1336"/>
    </row>
    <row r="391" spans="1:16" x14ac:dyDescent="0.25">
      <c r="A391" s="2291">
        <v>45731</v>
      </c>
      <c r="B391" s="2292" t="s">
        <v>6210</v>
      </c>
      <c r="C391" s="3257" t="s">
        <v>7551</v>
      </c>
      <c r="D391" s="3258"/>
      <c r="E391" s="2293">
        <v>589.99</v>
      </c>
      <c r="F391" s="2294">
        <v>4</v>
      </c>
      <c r="G391" s="2298">
        <f t="shared" si="125"/>
        <v>147.4975</v>
      </c>
      <c r="H391" s="1247" t="s">
        <v>1524</v>
      </c>
      <c r="I391" s="2316"/>
      <c r="J391" s="2043"/>
      <c r="K391" s="2317"/>
      <c r="L391" s="2317"/>
      <c r="M391" s="2629"/>
      <c r="N391" s="2010"/>
      <c r="O391" s="2011"/>
      <c r="P391" s="1336"/>
    </row>
    <row r="392" spans="1:16" x14ac:dyDescent="0.25">
      <c r="A392" s="2291">
        <v>45731</v>
      </c>
      <c r="B392" s="2292" t="s">
        <v>6210</v>
      </c>
      <c r="C392" s="3257" t="s">
        <v>7552</v>
      </c>
      <c r="D392" s="3258"/>
      <c r="E392" s="2293">
        <v>1899.99</v>
      </c>
      <c r="F392" s="2294">
        <v>4</v>
      </c>
      <c r="G392" s="2298">
        <f t="shared" si="125"/>
        <v>474.9975</v>
      </c>
      <c r="H392" s="1247" t="s">
        <v>1524</v>
      </c>
      <c r="I392" s="2316"/>
      <c r="J392" s="2043"/>
      <c r="K392" s="2317"/>
      <c r="L392" s="2317"/>
      <c r="M392" s="2629"/>
      <c r="N392" s="2010"/>
      <c r="O392" s="2011"/>
      <c r="P392" s="1336"/>
    </row>
    <row r="393" spans="1:16" x14ac:dyDescent="0.25">
      <c r="A393" s="2291">
        <v>45731</v>
      </c>
      <c r="B393" s="2292" t="s">
        <v>6210</v>
      </c>
      <c r="C393" s="3257" t="s">
        <v>7553</v>
      </c>
      <c r="D393" s="3258"/>
      <c r="E393" s="2293">
        <v>699.99</v>
      </c>
      <c r="F393" s="2294">
        <v>4</v>
      </c>
      <c r="G393" s="2298">
        <f t="shared" si="125"/>
        <v>174.9975</v>
      </c>
      <c r="H393" s="1247" t="s">
        <v>1524</v>
      </c>
      <c r="I393" s="2316">
        <f>SUMIF(H384:H419,"COM",G384:G419)</f>
        <v>3228.9185000000002</v>
      </c>
      <c r="J393" s="2043" t="s">
        <v>1524</v>
      </c>
      <c r="K393" s="2317"/>
      <c r="L393" s="2317"/>
      <c r="M393" s="2629"/>
      <c r="N393" s="2010"/>
      <c r="O393" s="2011"/>
      <c r="P393" s="1336"/>
    </row>
    <row r="394" spans="1:16" x14ac:dyDescent="0.25">
      <c r="A394" s="2291">
        <v>45731</v>
      </c>
      <c r="B394" s="2292" t="s">
        <v>6210</v>
      </c>
      <c r="C394" s="3257" t="s">
        <v>7554</v>
      </c>
      <c r="D394" s="3258"/>
      <c r="E394" s="2293">
        <v>629.99</v>
      </c>
      <c r="F394" s="2294">
        <v>4</v>
      </c>
      <c r="G394" s="2298">
        <f t="shared" si="125"/>
        <v>157.4975</v>
      </c>
      <c r="H394" s="1247" t="s">
        <v>1524</v>
      </c>
      <c r="I394" s="2316">
        <f>F420-I393</f>
        <v>960.5916666666667</v>
      </c>
      <c r="J394" s="2043" t="s">
        <v>7817</v>
      </c>
      <c r="K394" s="2317"/>
      <c r="L394" s="2317"/>
      <c r="M394" s="2629"/>
      <c r="N394" s="2010"/>
      <c r="O394" s="2011"/>
      <c r="P394" s="1336"/>
    </row>
    <row r="395" spans="1:16" x14ac:dyDescent="0.25">
      <c r="A395" s="2291">
        <v>45731</v>
      </c>
      <c r="B395" s="2292" t="s">
        <v>6210</v>
      </c>
      <c r="C395" s="3257" t="s">
        <v>7555</v>
      </c>
      <c r="D395" s="3258"/>
      <c r="E395" s="2293">
        <v>1099.99</v>
      </c>
      <c r="F395" s="2294">
        <v>4</v>
      </c>
      <c r="G395" s="2298">
        <f t="shared" si="125"/>
        <v>274.9975</v>
      </c>
      <c r="H395" s="1247" t="s">
        <v>1524</v>
      </c>
      <c r="I395" s="2316"/>
      <c r="J395" s="2043"/>
      <c r="K395" s="2317"/>
      <c r="L395" s="2317"/>
      <c r="M395" s="2629"/>
      <c r="N395" s="2010"/>
      <c r="O395" s="2011"/>
      <c r="P395" s="1336"/>
    </row>
    <row r="396" spans="1:16" x14ac:dyDescent="0.25">
      <c r="A396" s="2291">
        <v>45731</v>
      </c>
      <c r="B396" s="2292" t="s">
        <v>6210</v>
      </c>
      <c r="C396" s="3257" t="s">
        <v>7556</v>
      </c>
      <c r="D396" s="3258"/>
      <c r="E396" s="2293">
        <v>599.99</v>
      </c>
      <c r="F396" s="2294">
        <v>4</v>
      </c>
      <c r="G396" s="2298">
        <f t="shared" si="125"/>
        <v>149.9975</v>
      </c>
      <c r="H396" s="1247" t="s">
        <v>1524</v>
      </c>
      <c r="I396" s="2316"/>
      <c r="J396" s="2043"/>
      <c r="K396" s="2317"/>
      <c r="L396" s="2317"/>
      <c r="M396" s="2008"/>
      <c r="N396" s="2010"/>
      <c r="O396" s="2011"/>
      <c r="P396" s="1336"/>
    </row>
    <row r="397" spans="1:16" x14ac:dyDescent="0.25">
      <c r="A397" s="2291">
        <v>45731</v>
      </c>
      <c r="B397" s="2625" t="s">
        <v>6210</v>
      </c>
      <c r="C397" s="3257" t="s">
        <v>7581</v>
      </c>
      <c r="D397" s="3258"/>
      <c r="E397" s="2293">
        <v>60</v>
      </c>
      <c r="F397" s="2294">
        <v>4</v>
      </c>
      <c r="G397" s="2298">
        <f t="shared" si="125"/>
        <v>15</v>
      </c>
      <c r="H397" s="1247" t="s">
        <v>1524</v>
      </c>
      <c r="I397" s="2316"/>
      <c r="J397" s="2043"/>
      <c r="K397" s="2317"/>
      <c r="L397" s="2317"/>
      <c r="M397" s="2008"/>
      <c r="N397" s="2010"/>
      <c r="O397" s="2011"/>
      <c r="P397" s="1336"/>
    </row>
    <row r="398" spans="1:16" x14ac:dyDescent="0.25">
      <c r="A398" s="2291">
        <v>45741</v>
      </c>
      <c r="B398" s="2626" t="s">
        <v>6210</v>
      </c>
      <c r="C398" s="3257" t="s">
        <v>7603</v>
      </c>
      <c r="D398" s="3258"/>
      <c r="E398" s="2293">
        <v>160</v>
      </c>
      <c r="F398" s="2294">
        <v>2</v>
      </c>
      <c r="G398" s="2298">
        <f t="shared" si="125"/>
        <v>80</v>
      </c>
      <c r="H398" s="1247" t="s">
        <v>1506</v>
      </c>
      <c r="I398" s="2316"/>
      <c r="J398" s="2043"/>
      <c r="K398" s="2317"/>
      <c r="L398" s="2317"/>
      <c r="M398" s="2008"/>
      <c r="N398" s="2010"/>
      <c r="O398" s="2011"/>
      <c r="P398" s="1336"/>
    </row>
    <row r="399" spans="1:16" x14ac:dyDescent="0.25">
      <c r="A399" s="2284">
        <v>45741</v>
      </c>
      <c r="B399" s="2285" t="s">
        <v>6209</v>
      </c>
      <c r="C399" s="3244" t="s">
        <v>7647</v>
      </c>
      <c r="D399" s="3245"/>
      <c r="E399" s="2286">
        <v>599.1</v>
      </c>
      <c r="F399" s="2287">
        <v>2</v>
      </c>
      <c r="G399" s="2297">
        <v>0</v>
      </c>
      <c r="H399" s="1272" t="s">
        <v>7870</v>
      </c>
      <c r="I399" s="2316"/>
      <c r="J399" s="2043"/>
      <c r="K399" s="2317"/>
      <c r="L399" s="2317"/>
      <c r="M399" s="2008"/>
      <c r="N399" s="2010"/>
      <c r="O399" s="2011"/>
      <c r="P399" s="1336"/>
    </row>
    <row r="400" spans="1:16" x14ac:dyDescent="0.25">
      <c r="A400" s="2284">
        <v>45750</v>
      </c>
      <c r="B400" s="2285" t="s">
        <v>6209</v>
      </c>
      <c r="C400" s="3244" t="s">
        <v>7677</v>
      </c>
      <c r="D400" s="3245"/>
      <c r="E400" s="2286">
        <v>500</v>
      </c>
      <c r="F400" s="2287">
        <v>2</v>
      </c>
      <c r="G400" s="2297">
        <v>0</v>
      </c>
      <c r="H400" s="1272" t="s">
        <v>7870</v>
      </c>
      <c r="I400" s="2316"/>
      <c r="J400" s="2043"/>
      <c r="K400" s="2317"/>
      <c r="L400" s="2317"/>
      <c r="M400" s="2008"/>
      <c r="N400" s="2010"/>
      <c r="O400" s="2011"/>
      <c r="P400" s="1336"/>
    </row>
    <row r="401" spans="1:16" x14ac:dyDescent="0.25">
      <c r="A401" s="2284">
        <v>45763</v>
      </c>
      <c r="B401" s="2285" t="s">
        <v>6209</v>
      </c>
      <c r="C401" s="3244" t="s">
        <v>7786</v>
      </c>
      <c r="D401" s="3245"/>
      <c r="E401" s="2286">
        <v>31.69</v>
      </c>
      <c r="F401" s="2287">
        <v>1</v>
      </c>
      <c r="G401" s="2297">
        <v>0</v>
      </c>
      <c r="H401" s="1272" t="s">
        <v>7870</v>
      </c>
      <c r="I401" s="2316"/>
      <c r="J401" s="2043"/>
      <c r="K401" s="2317"/>
      <c r="L401" s="2317"/>
      <c r="M401" s="2008"/>
      <c r="N401" s="2010"/>
      <c r="O401" s="2011"/>
      <c r="P401" s="1336"/>
    </row>
    <row r="402" spans="1:16" x14ac:dyDescent="0.25">
      <c r="A402" s="2284">
        <v>45763</v>
      </c>
      <c r="B402" s="2285" t="s">
        <v>6209</v>
      </c>
      <c r="C402" s="3244" t="s">
        <v>7783</v>
      </c>
      <c r="D402" s="3245"/>
      <c r="E402" s="2286">
        <v>48</v>
      </c>
      <c r="F402" s="2287">
        <v>1</v>
      </c>
      <c r="G402" s="2297">
        <v>0</v>
      </c>
      <c r="H402" s="1272" t="s">
        <v>7870</v>
      </c>
      <c r="I402" s="2316"/>
      <c r="J402" s="2043"/>
      <c r="K402" s="2317"/>
      <c r="L402" s="2317"/>
      <c r="M402" s="2008"/>
      <c r="N402" s="2010"/>
      <c r="O402" s="2011"/>
      <c r="P402" s="1336"/>
    </row>
    <row r="403" spans="1:16" x14ac:dyDescent="0.25">
      <c r="A403" s="2284">
        <v>45763</v>
      </c>
      <c r="B403" s="2285" t="s">
        <v>6209</v>
      </c>
      <c r="C403" s="3244" t="s">
        <v>7784</v>
      </c>
      <c r="D403" s="3245"/>
      <c r="E403" s="2286">
        <v>48</v>
      </c>
      <c r="F403" s="2287">
        <v>1</v>
      </c>
      <c r="G403" s="2297">
        <v>0</v>
      </c>
      <c r="H403" s="1272" t="s">
        <v>7870</v>
      </c>
      <c r="I403" s="2316"/>
      <c r="J403" s="2043"/>
      <c r="K403" s="2317"/>
      <c r="L403" s="2317"/>
      <c r="M403" s="2008"/>
      <c r="N403" s="2010"/>
      <c r="O403" s="2011"/>
      <c r="P403" s="1336"/>
    </row>
    <row r="404" spans="1:16" x14ac:dyDescent="0.25">
      <c r="A404" s="2284">
        <v>45763</v>
      </c>
      <c r="B404" s="2285" t="s">
        <v>6209</v>
      </c>
      <c r="C404" s="3244" t="s">
        <v>7785</v>
      </c>
      <c r="D404" s="3245"/>
      <c r="E404" s="2286">
        <v>44.52</v>
      </c>
      <c r="F404" s="2287">
        <v>1</v>
      </c>
      <c r="G404" s="2297">
        <v>0</v>
      </c>
      <c r="H404" s="1272" t="s">
        <v>7870</v>
      </c>
      <c r="I404" s="2316"/>
      <c r="J404" s="2043"/>
      <c r="K404" s="2317"/>
      <c r="L404" s="2317"/>
      <c r="M404" s="2008"/>
      <c r="N404" s="2010"/>
      <c r="O404" s="2011"/>
      <c r="P404" s="1336"/>
    </row>
    <row r="405" spans="1:16" x14ac:dyDescent="0.25">
      <c r="A405" s="2284">
        <v>45763</v>
      </c>
      <c r="B405" s="2285" t="s">
        <v>6209</v>
      </c>
      <c r="C405" s="3244" t="s">
        <v>7785</v>
      </c>
      <c r="D405" s="3245"/>
      <c r="E405" s="2286">
        <v>44.52</v>
      </c>
      <c r="F405" s="2287">
        <v>1</v>
      </c>
      <c r="G405" s="2297">
        <v>0</v>
      </c>
      <c r="H405" s="1272" t="s">
        <v>7870</v>
      </c>
      <c r="I405" s="2316"/>
      <c r="J405" s="2043"/>
      <c r="K405" s="2317"/>
      <c r="L405" s="2317"/>
      <c r="M405" s="2008"/>
      <c r="N405" s="2010"/>
      <c r="O405" s="2011"/>
      <c r="P405" s="1336"/>
    </row>
    <row r="406" spans="1:16" x14ac:dyDescent="0.25">
      <c r="A406" s="2284">
        <v>45764</v>
      </c>
      <c r="B406" s="2285" t="s">
        <v>6209</v>
      </c>
      <c r="C406" s="3244" t="s">
        <v>7792</v>
      </c>
      <c r="D406" s="3245"/>
      <c r="E406" s="2286">
        <v>68.63</v>
      </c>
      <c r="F406" s="2287">
        <v>1</v>
      </c>
      <c r="G406" s="2297">
        <v>0</v>
      </c>
      <c r="H406" s="1272" t="s">
        <v>7871</v>
      </c>
      <c r="I406" s="2316"/>
      <c r="J406" s="2043"/>
      <c r="K406" s="2317"/>
      <c r="L406" s="2317"/>
      <c r="M406" s="2008"/>
      <c r="N406" s="2010"/>
      <c r="O406" s="2011"/>
      <c r="P406" s="1336"/>
    </row>
    <row r="407" spans="1:16" x14ac:dyDescent="0.25">
      <c r="A407" s="2284">
        <v>45765</v>
      </c>
      <c r="B407" s="2285" t="s">
        <v>6209</v>
      </c>
      <c r="C407" s="3244" t="s">
        <v>7797</v>
      </c>
      <c r="D407" s="3245"/>
      <c r="E407" s="2286">
        <v>4500</v>
      </c>
      <c r="F407" s="2287">
        <v>3</v>
      </c>
      <c r="G407" s="2297">
        <f t="shared" ref="G407:G413" si="126">E407/F407</f>
        <v>1500</v>
      </c>
      <c r="H407" s="1247" t="s">
        <v>1524</v>
      </c>
      <c r="I407" s="2316"/>
      <c r="J407" s="2043"/>
      <c r="K407" s="2317"/>
      <c r="L407" s="2317"/>
      <c r="M407" s="2008"/>
      <c r="N407" s="2010"/>
      <c r="O407" s="2011"/>
      <c r="P407" s="1336"/>
    </row>
    <row r="408" spans="1:16" x14ac:dyDescent="0.25">
      <c r="A408" s="2284">
        <v>45765</v>
      </c>
      <c r="B408" s="2715" t="s">
        <v>6209</v>
      </c>
      <c r="C408" s="3244" t="s">
        <v>7803</v>
      </c>
      <c r="D408" s="3245"/>
      <c r="E408" s="2286">
        <v>26.88</v>
      </c>
      <c r="F408" s="2287">
        <v>1</v>
      </c>
      <c r="G408" s="2297">
        <v>0</v>
      </c>
      <c r="H408" s="1272" t="s">
        <v>7870</v>
      </c>
      <c r="I408" s="2316"/>
      <c r="J408" s="2043"/>
      <c r="K408" s="2317"/>
      <c r="L408" s="2317"/>
      <c r="M408" s="2008"/>
      <c r="N408" s="2010"/>
      <c r="O408" s="2011"/>
      <c r="P408" s="1336"/>
    </row>
    <row r="409" spans="1:16" x14ac:dyDescent="0.25">
      <c r="A409" s="2284">
        <v>45765</v>
      </c>
      <c r="B409" s="2715" t="s">
        <v>6209</v>
      </c>
      <c r="C409" s="3244" t="s">
        <v>7802</v>
      </c>
      <c r="D409" s="3245"/>
      <c r="E409" s="2286">
        <v>73.34</v>
      </c>
      <c r="F409" s="2287">
        <v>1</v>
      </c>
      <c r="G409" s="2297">
        <v>0</v>
      </c>
      <c r="H409" s="1272" t="s">
        <v>7870</v>
      </c>
      <c r="I409" s="2316"/>
      <c r="J409" s="2043"/>
      <c r="K409" s="2317"/>
      <c r="L409" s="2317"/>
      <c r="M409" s="2008"/>
      <c r="N409" s="2010"/>
      <c r="O409" s="2011"/>
      <c r="P409" s="1336"/>
    </row>
    <row r="410" spans="1:16" x14ac:dyDescent="0.25">
      <c r="A410" s="2291">
        <v>45766</v>
      </c>
      <c r="B410" s="2625" t="s">
        <v>6210</v>
      </c>
      <c r="C410" s="3257" t="s">
        <v>7805</v>
      </c>
      <c r="D410" s="3258"/>
      <c r="E410" s="2293">
        <v>188.85</v>
      </c>
      <c r="F410" s="2294">
        <v>2</v>
      </c>
      <c r="G410" s="2298">
        <f>E410/F410</f>
        <v>94.424999999999997</v>
      </c>
      <c r="H410" s="1247" t="s">
        <v>1489</v>
      </c>
      <c r="I410" s="2316"/>
      <c r="J410" s="2043"/>
      <c r="K410" s="2317"/>
      <c r="L410" s="2317"/>
      <c r="M410" s="2008"/>
      <c r="N410" s="2010"/>
      <c r="O410" s="2011"/>
      <c r="P410" s="1336"/>
    </row>
    <row r="411" spans="1:16" x14ac:dyDescent="0.25">
      <c r="A411" s="2291">
        <v>45766</v>
      </c>
      <c r="B411" s="2626" t="s">
        <v>6210</v>
      </c>
      <c r="C411" s="3257" t="s">
        <v>7804</v>
      </c>
      <c r="D411" s="3258"/>
      <c r="E411" s="2293">
        <v>150</v>
      </c>
      <c r="F411" s="2294">
        <v>2</v>
      </c>
      <c r="G411" s="2298">
        <f>E411/F411</f>
        <v>75</v>
      </c>
      <c r="H411" s="1247" t="s">
        <v>1506</v>
      </c>
      <c r="I411" s="2316"/>
      <c r="J411" s="2043"/>
      <c r="K411" s="2317"/>
      <c r="L411" s="2317"/>
      <c r="M411" s="2008"/>
      <c r="N411" s="2010"/>
      <c r="O411" s="2011"/>
      <c r="P411" s="1336"/>
    </row>
    <row r="412" spans="1:16" x14ac:dyDescent="0.25">
      <c r="A412" s="2291">
        <v>45776</v>
      </c>
      <c r="B412" s="2626" t="s">
        <v>6210</v>
      </c>
      <c r="C412" s="3257" t="s">
        <v>7825</v>
      </c>
      <c r="D412" s="3258"/>
      <c r="E412" s="2293">
        <v>117</v>
      </c>
      <c r="F412" s="2294">
        <v>1</v>
      </c>
      <c r="G412" s="2298">
        <f t="shared" si="126"/>
        <v>117</v>
      </c>
      <c r="H412" s="1247" t="s">
        <v>1525</v>
      </c>
      <c r="I412" s="2316"/>
      <c r="J412" s="2043"/>
      <c r="K412" s="2317"/>
      <c r="L412" s="2317"/>
      <c r="M412" s="2008"/>
      <c r="N412" s="2010"/>
      <c r="O412" s="2011"/>
      <c r="P412" s="1336"/>
    </row>
    <row r="413" spans="1:16" x14ac:dyDescent="0.25">
      <c r="A413" s="2707">
        <v>45784</v>
      </c>
      <c r="B413" s="2626" t="s">
        <v>6210</v>
      </c>
      <c r="C413" s="3261" t="s">
        <v>7846</v>
      </c>
      <c r="D413" s="3262"/>
      <c r="E413" s="2708">
        <v>139.9</v>
      </c>
      <c r="F413" s="2709">
        <v>1</v>
      </c>
      <c r="G413" s="2710">
        <f t="shared" si="126"/>
        <v>139.9</v>
      </c>
      <c r="H413" s="1247" t="s">
        <v>1506</v>
      </c>
      <c r="I413" s="2316"/>
      <c r="J413" s="2043"/>
      <c r="K413" s="2317"/>
      <c r="L413" s="2317"/>
      <c r="M413" s="2008"/>
      <c r="N413" s="2010"/>
      <c r="O413" s="2011"/>
      <c r="P413" s="1336"/>
    </row>
    <row r="414" spans="1:16" x14ac:dyDescent="0.25">
      <c r="A414" s="2707">
        <v>45784</v>
      </c>
      <c r="B414" s="2626" t="s">
        <v>6210</v>
      </c>
      <c r="C414" s="3261" t="s">
        <v>7851</v>
      </c>
      <c r="D414" s="3262"/>
      <c r="E414" s="2708">
        <v>170</v>
      </c>
      <c r="F414" s="2709">
        <v>1</v>
      </c>
      <c r="G414" s="2710">
        <f t="shared" ref="G414:G415" si="127">E414/F414</f>
        <v>170</v>
      </c>
      <c r="H414" s="1247" t="s">
        <v>1489</v>
      </c>
      <c r="I414" s="2316"/>
      <c r="J414" s="2043"/>
      <c r="K414" s="2317"/>
      <c r="L414" s="2317"/>
      <c r="M414" s="2008"/>
      <c r="N414" s="2010"/>
      <c r="O414" s="2011"/>
      <c r="P414" s="1336"/>
    </row>
    <row r="415" spans="1:16" x14ac:dyDescent="0.25">
      <c r="A415" s="2711">
        <v>45786</v>
      </c>
      <c r="B415" s="2626" t="s">
        <v>6210</v>
      </c>
      <c r="C415" s="3277" t="s">
        <v>7893</v>
      </c>
      <c r="D415" s="3243"/>
      <c r="E415" s="2712">
        <v>40</v>
      </c>
      <c r="F415" s="2713">
        <v>3</v>
      </c>
      <c r="G415" s="2714">
        <f t="shared" si="127"/>
        <v>13.333333333333334</v>
      </c>
      <c r="H415" s="1247" t="s">
        <v>6731</v>
      </c>
      <c r="I415" s="2316"/>
      <c r="J415" s="2043"/>
      <c r="K415" s="2317"/>
      <c r="L415" s="2317"/>
      <c r="M415" s="2008"/>
      <c r="N415" s="2010"/>
      <c r="O415" s="2011"/>
      <c r="P415" s="1336"/>
    </row>
    <row r="416" spans="1:16" x14ac:dyDescent="0.25">
      <c r="A416" s="2711">
        <v>45786</v>
      </c>
      <c r="B416" s="2626" t="s">
        <v>6210</v>
      </c>
      <c r="C416" s="3242" t="s">
        <v>7860</v>
      </c>
      <c r="D416" s="3243"/>
      <c r="E416" s="2712">
        <v>299.8</v>
      </c>
      <c r="F416" s="2713">
        <v>3</v>
      </c>
      <c r="G416" s="2714">
        <f>E416/F416</f>
        <v>99.933333333333337</v>
      </c>
      <c r="H416" s="1247" t="s">
        <v>6731</v>
      </c>
      <c r="I416" s="2316"/>
      <c r="J416" s="2043"/>
      <c r="K416" s="2317"/>
      <c r="L416" s="2317"/>
      <c r="M416" s="2008"/>
      <c r="N416" s="2010"/>
      <c r="O416" s="2011"/>
      <c r="P416" s="1336"/>
    </row>
    <row r="417" spans="1:16" x14ac:dyDescent="0.25">
      <c r="A417" s="2711">
        <v>45789</v>
      </c>
      <c r="B417" s="2626" t="s">
        <v>6210</v>
      </c>
      <c r="C417" s="3242" t="s">
        <v>7867</v>
      </c>
      <c r="D417" s="3243"/>
      <c r="E417" s="2712">
        <v>1181.3599999999999</v>
      </c>
      <c r="F417" s="2713">
        <v>10</v>
      </c>
      <c r="G417" s="2714">
        <f t="shared" ref="G417:G419" si="128">E417/F417</f>
        <v>118.136</v>
      </c>
      <c r="H417" s="1247" t="s">
        <v>1524</v>
      </c>
      <c r="I417" s="2316"/>
      <c r="J417" s="2043"/>
      <c r="K417" s="2317"/>
      <c r="L417" s="2317"/>
      <c r="M417" s="2008"/>
      <c r="N417" s="2010"/>
      <c r="O417" s="2011"/>
      <c r="P417" s="1336"/>
    </row>
    <row r="418" spans="1:16" x14ac:dyDescent="0.25">
      <c r="A418" s="2284">
        <v>45790</v>
      </c>
      <c r="B418" s="2715" t="s">
        <v>6209</v>
      </c>
      <c r="C418" s="3244" t="s">
        <v>7874</v>
      </c>
      <c r="D418" s="3245"/>
      <c r="E418" s="2286">
        <v>68.3</v>
      </c>
      <c r="F418" s="2287">
        <v>1</v>
      </c>
      <c r="G418" s="2725">
        <f t="shared" si="128"/>
        <v>68.3</v>
      </c>
      <c r="H418" s="1247" t="s">
        <v>1524</v>
      </c>
      <c r="I418" s="2316"/>
      <c r="J418" s="2043"/>
      <c r="K418" s="2317"/>
      <c r="L418" s="2317"/>
      <c r="M418" s="2008"/>
      <c r="N418" s="2010"/>
      <c r="O418" s="2011"/>
      <c r="P418" s="1336"/>
    </row>
    <row r="419" spans="1:16" x14ac:dyDescent="0.25">
      <c r="A419" s="2632">
        <v>45790</v>
      </c>
      <c r="B419" s="2726" t="s">
        <v>6209</v>
      </c>
      <c r="C419" s="3325" t="s">
        <v>7875</v>
      </c>
      <c r="D419" s="3326"/>
      <c r="E419" s="2634">
        <v>171</v>
      </c>
      <c r="F419" s="2635">
        <v>1</v>
      </c>
      <c r="G419" s="2727">
        <f t="shared" si="128"/>
        <v>171</v>
      </c>
      <c r="H419" s="1247" t="s">
        <v>1522</v>
      </c>
      <c r="I419" s="2316"/>
      <c r="J419" s="2043"/>
      <c r="K419" s="2317"/>
      <c r="L419" s="2317"/>
      <c r="M419" s="2008"/>
      <c r="N419" s="2010"/>
      <c r="O419" s="2011"/>
      <c r="P419" s="1336"/>
    </row>
    <row r="420" spans="1:16" ht="15.75" x14ac:dyDescent="0.25">
      <c r="A420" s="3281" t="s">
        <v>6284</v>
      </c>
      <c r="B420" s="3282"/>
      <c r="C420" s="3282"/>
      <c r="D420" s="3282"/>
      <c r="E420" s="2295">
        <v>5600</v>
      </c>
      <c r="F420" s="3311">
        <f>SUM(H426:H427)</f>
        <v>4189.5101666666669</v>
      </c>
      <c r="G420" s="3312" t="e">
        <f>SUM(#REF!)</f>
        <v>#REF!</v>
      </c>
      <c r="H420" s="3296" t="s">
        <v>6301</v>
      </c>
      <c r="J420" s="1382"/>
      <c r="N420" s="1336"/>
      <c r="O420" s="2012"/>
      <c r="P420" s="1336"/>
    </row>
    <row r="421" spans="1:16" ht="15.75" x14ac:dyDescent="0.25">
      <c r="A421" s="3290" t="s">
        <v>6285</v>
      </c>
      <c r="B421" s="3291"/>
      <c r="C421" s="3291"/>
      <c r="D421" s="3291"/>
      <c r="E421" s="2302">
        <v>15650</v>
      </c>
      <c r="F421" s="3313">
        <f>SUM(F420:F420)</f>
        <v>4189.5101666666669</v>
      </c>
      <c r="G421" s="3312" t="e">
        <f>SUM(G420:G420)</f>
        <v>#REF!</v>
      </c>
      <c r="H421" s="3296"/>
      <c r="J421" s="1382"/>
      <c r="N421" s="1336"/>
      <c r="O421" s="2012"/>
      <c r="P421" s="1336"/>
    </row>
    <row r="422" spans="1:16" ht="15.75" x14ac:dyDescent="0.25">
      <c r="A422" s="3292" t="s">
        <v>6286</v>
      </c>
      <c r="B422" s="3293"/>
      <c r="C422" s="3293"/>
      <c r="D422" s="3293"/>
      <c r="E422" s="2303">
        <v>5435.13</v>
      </c>
      <c r="F422" s="3313">
        <f t="shared" ref="F422:G425" si="129">SUM(F420:F421)</f>
        <v>8379.0203333333338</v>
      </c>
      <c r="G422" s="3312" t="e">
        <f t="shared" si="129"/>
        <v>#REF!</v>
      </c>
      <c r="H422" s="3296"/>
    </row>
    <row r="423" spans="1:16" ht="15.75" x14ac:dyDescent="0.25">
      <c r="A423" s="3294" t="s">
        <v>6287</v>
      </c>
      <c r="B423" s="3295"/>
      <c r="C423" s="3295"/>
      <c r="D423" s="3295"/>
      <c r="E423" s="2304">
        <v>5330.77</v>
      </c>
      <c r="F423" s="3313">
        <f t="shared" si="129"/>
        <v>12568.530500000001</v>
      </c>
      <c r="G423" s="3312" t="e">
        <f t="shared" si="129"/>
        <v>#REF!</v>
      </c>
      <c r="H423" s="3296"/>
    </row>
    <row r="424" spans="1:16" ht="17.25" customHeight="1" thickBot="1" x14ac:dyDescent="0.3">
      <c r="A424" s="3281" t="s">
        <v>6288</v>
      </c>
      <c r="B424" s="3282"/>
      <c r="C424" s="3282"/>
      <c r="D424" s="3282"/>
      <c r="E424" s="2295">
        <f>E420-E422</f>
        <v>164.86999999999989</v>
      </c>
      <c r="F424" s="3313">
        <f t="shared" si="129"/>
        <v>20947.550833333335</v>
      </c>
      <c r="G424" s="3312" t="e">
        <f t="shared" si="129"/>
        <v>#REF!</v>
      </c>
      <c r="H424" s="3296"/>
    </row>
    <row r="425" spans="1:16" ht="17.25" customHeight="1" thickBot="1" x14ac:dyDescent="0.3">
      <c r="A425" s="3299" t="s">
        <v>6289</v>
      </c>
      <c r="B425" s="3300"/>
      <c r="C425" s="3300"/>
      <c r="D425" s="3300"/>
      <c r="E425" s="2092">
        <f>E421-E423</f>
        <v>10319.23</v>
      </c>
      <c r="F425" s="3314">
        <f t="shared" si="129"/>
        <v>33516.081333333335</v>
      </c>
      <c r="G425" s="3315" t="e">
        <f t="shared" si="129"/>
        <v>#REF!</v>
      </c>
      <c r="H425" s="3296"/>
    </row>
    <row r="426" spans="1:16" ht="16.5" thickBot="1" x14ac:dyDescent="0.3">
      <c r="A426" s="3302" t="s">
        <v>6290</v>
      </c>
      <c r="B426" s="3303"/>
      <c r="C426" s="3303"/>
      <c r="D426" s="3303"/>
      <c r="E426" s="3303"/>
      <c r="F426" s="3304"/>
      <c r="G426" s="2299">
        <f>SUMIF(B384:B419,"SANTANDER",G384:G419)</f>
        <v>1739.3</v>
      </c>
      <c r="H426" s="2007">
        <f>G426</f>
        <v>1739.3</v>
      </c>
      <c r="I426" s="2862" t="s">
        <v>6213</v>
      </c>
    </row>
    <row r="427" spans="1:16" ht="16.5" thickBot="1" x14ac:dyDescent="0.3">
      <c r="A427" s="3294" t="s">
        <v>6291</v>
      </c>
      <c r="B427" s="3295"/>
      <c r="C427" s="3295"/>
      <c r="D427" s="3295"/>
      <c r="E427" s="3295"/>
      <c r="F427" s="3305"/>
      <c r="G427" s="2300">
        <f>SUMIF(B384:B419,"NUBANK",G384:G419)</f>
        <v>2450.2101666666667</v>
      </c>
      <c r="H427" s="2007">
        <f>G427</f>
        <v>2450.2101666666667</v>
      </c>
      <c r="I427" s="2862" t="s">
        <v>6213</v>
      </c>
    </row>
    <row r="428" spans="1:16" ht="16.5" customHeight="1" thickBot="1" x14ac:dyDescent="0.35">
      <c r="A428" s="3306" t="s">
        <v>6292</v>
      </c>
      <c r="B428" s="3307"/>
      <c r="C428" s="3307"/>
      <c r="D428" s="3307"/>
      <c r="E428" s="3307"/>
      <c r="F428" s="3308"/>
      <c r="G428" s="2093">
        <f>G426+G427</f>
        <v>4189.5101666666669</v>
      </c>
      <c r="H428" s="2094"/>
      <c r="I428" s="2863"/>
    </row>
    <row r="429" spans="1:16" ht="16.5" customHeight="1" thickBot="1" x14ac:dyDescent="0.3">
      <c r="M429" s="1247"/>
      <c r="O429" s="1247"/>
    </row>
    <row r="430" spans="1:16" ht="19.5" thickBot="1" x14ac:dyDescent="0.35">
      <c r="A430" s="3287" t="s">
        <v>7765</v>
      </c>
      <c r="B430" s="3288"/>
      <c r="C430" s="3288"/>
      <c r="D430" s="3288"/>
      <c r="E430" s="3288"/>
      <c r="F430" s="3288"/>
      <c r="G430" s="3289"/>
      <c r="J430" s="1354"/>
      <c r="K430" s="1667"/>
      <c r="L430" s="1667"/>
      <c r="M430" s="1944"/>
      <c r="N430" s="1667"/>
      <c r="O430" s="1944"/>
      <c r="P430" s="1667"/>
    </row>
    <row r="431" spans="1:16" x14ac:dyDescent="0.25">
      <c r="A431" s="2288">
        <v>45328</v>
      </c>
      <c r="B431" s="2288" t="s">
        <v>6210</v>
      </c>
      <c r="C431" s="3253" t="s">
        <v>6130</v>
      </c>
      <c r="D431" s="3254"/>
      <c r="E431" s="2289">
        <v>33.979999999999997</v>
      </c>
      <c r="F431" s="2290">
        <v>1</v>
      </c>
      <c r="G431" s="2603">
        <v>0</v>
      </c>
      <c r="H431" s="1247" t="s">
        <v>7737</v>
      </c>
      <c r="I431" s="2151"/>
      <c r="J431" s="1360"/>
      <c r="K431" s="1657"/>
      <c r="L431" s="1657"/>
      <c r="M431" s="2008"/>
      <c r="N431" s="2010"/>
      <c r="O431" s="2011"/>
      <c r="P431" s="1336"/>
    </row>
    <row r="432" spans="1:16" x14ac:dyDescent="0.25">
      <c r="A432" s="2291">
        <v>45505</v>
      </c>
      <c r="B432" s="2292" t="s">
        <v>6210</v>
      </c>
      <c r="C432" s="3255" t="s">
        <v>6804</v>
      </c>
      <c r="D432" s="3256"/>
      <c r="E432" s="2293">
        <v>40</v>
      </c>
      <c r="F432" s="2294">
        <v>1</v>
      </c>
      <c r="G432" s="2298">
        <v>0</v>
      </c>
      <c r="H432" s="1247" t="s">
        <v>7713</v>
      </c>
      <c r="I432" s="2316"/>
      <c r="J432" s="2043" t="s">
        <v>280</v>
      </c>
      <c r="K432" s="2317"/>
      <c r="L432" s="2317"/>
      <c r="M432" s="2008"/>
      <c r="N432" s="2010"/>
      <c r="O432" s="2011"/>
      <c r="P432" s="1336"/>
    </row>
    <row r="433" spans="1:16" x14ac:dyDescent="0.25">
      <c r="A433" s="2291">
        <v>45505</v>
      </c>
      <c r="B433" s="2292" t="s">
        <v>6210</v>
      </c>
      <c r="C433" s="3257" t="s">
        <v>6805</v>
      </c>
      <c r="D433" s="3258"/>
      <c r="E433" s="2293">
        <v>45</v>
      </c>
      <c r="F433" s="2294">
        <v>1</v>
      </c>
      <c r="G433" s="2298">
        <v>0</v>
      </c>
      <c r="H433" s="1247" t="s">
        <v>7713</v>
      </c>
      <c r="I433" s="1345"/>
      <c r="J433" s="1360"/>
      <c r="K433" s="1657"/>
      <c r="L433" s="1657"/>
      <c r="M433" s="2008"/>
      <c r="N433" s="2010"/>
      <c r="O433" s="2011"/>
      <c r="P433" s="1336"/>
    </row>
    <row r="434" spans="1:16" x14ac:dyDescent="0.25">
      <c r="A434" s="2291">
        <v>45488</v>
      </c>
      <c r="B434" s="2292" t="s">
        <v>6210</v>
      </c>
      <c r="C434" s="3257" t="s">
        <v>7443</v>
      </c>
      <c r="D434" s="3258"/>
      <c r="E434" s="2293">
        <v>357.68</v>
      </c>
      <c r="F434" s="2294">
        <v>12</v>
      </c>
      <c r="G434" s="2298">
        <v>0</v>
      </c>
      <c r="H434" s="1247" t="s">
        <v>7714</v>
      </c>
      <c r="I434" s="1321"/>
      <c r="J434" s="1360"/>
      <c r="K434" s="1657"/>
      <c r="L434" s="1657"/>
      <c r="M434" s="2008"/>
      <c r="N434" s="2010"/>
      <c r="O434" s="2011"/>
      <c r="P434" s="1336"/>
    </row>
    <row r="435" spans="1:16" x14ac:dyDescent="0.25">
      <c r="A435" s="2291">
        <v>45643</v>
      </c>
      <c r="B435" s="2292" t="s">
        <v>6210</v>
      </c>
      <c r="C435" s="3257" t="s">
        <v>7892</v>
      </c>
      <c r="D435" s="3258"/>
      <c r="E435" s="2293">
        <v>7.99</v>
      </c>
      <c r="F435" s="2294">
        <v>1</v>
      </c>
      <c r="G435" s="2298">
        <v>0</v>
      </c>
      <c r="H435" s="1247" t="s">
        <v>7714</v>
      </c>
      <c r="I435" s="2316"/>
      <c r="J435" s="2043"/>
      <c r="K435" s="2317"/>
      <c r="L435" s="2317"/>
      <c r="M435" s="2008"/>
      <c r="N435" s="2010"/>
      <c r="O435" s="2011"/>
      <c r="P435" s="1336"/>
    </row>
    <row r="436" spans="1:16" x14ac:dyDescent="0.25">
      <c r="A436" s="2291">
        <v>45676</v>
      </c>
      <c r="B436" s="2292" t="s">
        <v>6210</v>
      </c>
      <c r="C436" s="3257" t="s">
        <v>7442</v>
      </c>
      <c r="D436" s="3258"/>
      <c r="E436" s="2293">
        <v>240</v>
      </c>
      <c r="F436" s="2294">
        <v>3</v>
      </c>
      <c r="G436" s="2298">
        <v>0</v>
      </c>
      <c r="H436" s="1247" t="s">
        <v>7738</v>
      </c>
      <c r="I436" s="2316"/>
      <c r="J436" s="2043"/>
      <c r="K436" s="2317"/>
      <c r="L436" s="2317"/>
      <c r="M436" s="2008"/>
      <c r="N436" s="2010"/>
      <c r="O436" s="2011"/>
      <c r="P436" s="1336"/>
    </row>
    <row r="437" spans="1:16" x14ac:dyDescent="0.25">
      <c r="A437" s="2291">
        <v>45686</v>
      </c>
      <c r="B437" s="2292" t="s">
        <v>6210</v>
      </c>
      <c r="C437" s="3257" t="s">
        <v>7441</v>
      </c>
      <c r="D437" s="3258"/>
      <c r="E437" s="2293">
        <v>300</v>
      </c>
      <c r="F437" s="2294">
        <v>3</v>
      </c>
      <c r="G437" s="2298">
        <v>0</v>
      </c>
      <c r="H437" s="1247" t="s">
        <v>7738</v>
      </c>
      <c r="I437" s="2316"/>
      <c r="J437" s="2043"/>
      <c r="K437" s="2317"/>
      <c r="L437" s="2317"/>
      <c r="M437" s="2008"/>
      <c r="N437" s="2010"/>
      <c r="O437" s="2011"/>
      <c r="P437" s="1336"/>
    </row>
    <row r="438" spans="1:16" ht="15.75" customHeight="1" x14ac:dyDescent="0.25">
      <c r="A438" s="2291">
        <v>45713</v>
      </c>
      <c r="B438" s="2292" t="s">
        <v>6210</v>
      </c>
      <c r="C438" s="3257" t="s">
        <v>7468</v>
      </c>
      <c r="D438" s="3258"/>
      <c r="E438" s="2293">
        <v>189</v>
      </c>
      <c r="F438" s="2294">
        <v>3</v>
      </c>
      <c r="G438" s="2298">
        <v>0</v>
      </c>
      <c r="H438" s="1247" t="s">
        <v>7739</v>
      </c>
      <c r="I438" s="2316"/>
      <c r="J438" s="2043"/>
      <c r="K438" s="2317"/>
      <c r="L438" s="2317"/>
      <c r="M438" s="2629"/>
      <c r="N438" s="2010"/>
      <c r="O438" s="2011"/>
      <c r="P438" s="1336"/>
    </row>
    <row r="439" spans="1:16" x14ac:dyDescent="0.25">
      <c r="A439" s="2291">
        <v>45731</v>
      </c>
      <c r="B439" s="2292" t="s">
        <v>6210</v>
      </c>
      <c r="C439" s="3257" t="s">
        <v>7559</v>
      </c>
      <c r="D439" s="3258"/>
      <c r="E439" s="2293">
        <v>589.99</v>
      </c>
      <c r="F439" s="2294">
        <v>4</v>
      </c>
      <c r="G439" s="2298">
        <f t="shared" ref="G439:G448" si="130">E439/F439</f>
        <v>147.4975</v>
      </c>
      <c r="H439" s="1247" t="s">
        <v>1524</v>
      </c>
      <c r="I439" s="2316"/>
      <c r="J439" s="2043"/>
      <c r="K439" s="2317"/>
      <c r="L439" s="2317"/>
      <c r="M439" s="2629"/>
      <c r="N439" s="2010"/>
      <c r="O439" s="2011"/>
      <c r="P439" s="1336"/>
    </row>
    <row r="440" spans="1:16" x14ac:dyDescent="0.25">
      <c r="A440" s="2291">
        <v>45731</v>
      </c>
      <c r="B440" s="2292" t="s">
        <v>6210</v>
      </c>
      <c r="C440" s="3257" t="s">
        <v>7549</v>
      </c>
      <c r="D440" s="3258"/>
      <c r="E440" s="2293">
        <v>589.99</v>
      </c>
      <c r="F440" s="2294">
        <v>4</v>
      </c>
      <c r="G440" s="2298">
        <f t="shared" si="130"/>
        <v>147.4975</v>
      </c>
      <c r="H440" s="1247" t="s">
        <v>1524</v>
      </c>
      <c r="I440" s="2316"/>
      <c r="J440" s="2043"/>
      <c r="K440" s="2317"/>
      <c r="L440" s="2317"/>
      <c r="M440" s="2629"/>
      <c r="N440" s="2010"/>
      <c r="O440" s="2011"/>
      <c r="P440" s="1336"/>
    </row>
    <row r="441" spans="1:16" x14ac:dyDescent="0.25">
      <c r="A441" s="2291">
        <v>45731</v>
      </c>
      <c r="B441" s="2292" t="s">
        <v>6210</v>
      </c>
      <c r="C441" s="3257" t="s">
        <v>7548</v>
      </c>
      <c r="D441" s="3258"/>
      <c r="E441" s="2293">
        <v>1899.99</v>
      </c>
      <c r="F441" s="2294">
        <v>4</v>
      </c>
      <c r="G441" s="2298">
        <f t="shared" si="130"/>
        <v>474.9975</v>
      </c>
      <c r="H441" s="1247" t="s">
        <v>1524</v>
      </c>
      <c r="I441" s="2316"/>
      <c r="J441" s="2043"/>
      <c r="K441" s="2317"/>
      <c r="L441" s="2317"/>
      <c r="M441" s="2629"/>
      <c r="N441" s="2010"/>
      <c r="O441" s="2011"/>
      <c r="P441" s="1336"/>
    </row>
    <row r="442" spans="1:16" x14ac:dyDescent="0.25">
      <c r="A442" s="2291">
        <v>45731</v>
      </c>
      <c r="B442" s="2292" t="s">
        <v>6210</v>
      </c>
      <c r="C442" s="3257" t="s">
        <v>7547</v>
      </c>
      <c r="D442" s="3258"/>
      <c r="E442" s="2293">
        <v>699.99</v>
      </c>
      <c r="F442" s="2294">
        <v>4</v>
      </c>
      <c r="G442" s="2298">
        <f t="shared" si="130"/>
        <v>174.9975</v>
      </c>
      <c r="H442" s="1247" t="s">
        <v>1524</v>
      </c>
      <c r="I442" s="2316"/>
      <c r="J442" s="2043"/>
      <c r="K442" s="2317"/>
      <c r="L442" s="2317"/>
      <c r="M442" s="2629"/>
      <c r="N442" s="2010"/>
      <c r="O442" s="2011"/>
      <c r="P442" s="1336"/>
    </row>
    <row r="443" spans="1:16" x14ac:dyDescent="0.25">
      <c r="A443" s="2291">
        <v>45731</v>
      </c>
      <c r="B443" s="2292" t="s">
        <v>6210</v>
      </c>
      <c r="C443" s="3257" t="s">
        <v>7546</v>
      </c>
      <c r="D443" s="3258"/>
      <c r="E443" s="2293">
        <v>629.99</v>
      </c>
      <c r="F443" s="2294">
        <v>4</v>
      </c>
      <c r="G443" s="2298">
        <f t="shared" si="130"/>
        <v>157.4975</v>
      </c>
      <c r="H443" s="1247" t="s">
        <v>1524</v>
      </c>
      <c r="I443" s="2316"/>
      <c r="J443" s="2043"/>
      <c r="K443" s="2317"/>
      <c r="L443" s="2317"/>
      <c r="M443" s="2629"/>
      <c r="N443" s="2010"/>
      <c r="O443" s="2011"/>
      <c r="P443" s="1336"/>
    </row>
    <row r="444" spans="1:16" x14ac:dyDescent="0.25">
      <c r="A444" s="2291">
        <v>45731</v>
      </c>
      <c r="B444" s="2292" t="s">
        <v>6210</v>
      </c>
      <c r="C444" s="3257" t="s">
        <v>7545</v>
      </c>
      <c r="D444" s="3258"/>
      <c r="E444" s="2293">
        <v>1099.99</v>
      </c>
      <c r="F444" s="2294">
        <v>4</v>
      </c>
      <c r="G444" s="2298">
        <f t="shared" si="130"/>
        <v>274.9975</v>
      </c>
      <c r="H444" s="1247" t="s">
        <v>1524</v>
      </c>
      <c r="I444" s="2316"/>
      <c r="J444" s="2043"/>
      <c r="K444" s="2317"/>
      <c r="L444" s="2317"/>
      <c r="M444" s="2629"/>
      <c r="N444" s="2010"/>
      <c r="O444" s="2011"/>
      <c r="P444" s="1336"/>
    </row>
    <row r="445" spans="1:16" x14ac:dyDescent="0.25">
      <c r="A445" s="2291">
        <v>45731</v>
      </c>
      <c r="B445" s="2292" t="s">
        <v>6210</v>
      </c>
      <c r="C445" s="3257" t="s">
        <v>7544</v>
      </c>
      <c r="D445" s="3258"/>
      <c r="E445" s="2293">
        <v>599.99</v>
      </c>
      <c r="F445" s="2294">
        <v>4</v>
      </c>
      <c r="G445" s="2298">
        <f t="shared" si="130"/>
        <v>149.9975</v>
      </c>
      <c r="H445" s="1247" t="s">
        <v>1524</v>
      </c>
      <c r="I445" s="2316"/>
      <c r="J445" s="2043"/>
      <c r="K445" s="2317"/>
      <c r="L445" s="2317"/>
      <c r="M445" s="2008"/>
      <c r="N445" s="2010"/>
      <c r="O445" s="2011"/>
      <c r="P445" s="1336"/>
    </row>
    <row r="446" spans="1:16" x14ac:dyDescent="0.25">
      <c r="A446" s="2291">
        <v>45731</v>
      </c>
      <c r="B446" s="2625" t="s">
        <v>6210</v>
      </c>
      <c r="C446" s="3257" t="s">
        <v>7543</v>
      </c>
      <c r="D446" s="3258"/>
      <c r="E446" s="2293">
        <v>60</v>
      </c>
      <c r="F446" s="2294">
        <v>4</v>
      </c>
      <c r="G446" s="2298">
        <f t="shared" si="130"/>
        <v>15</v>
      </c>
      <c r="H446" s="1247" t="s">
        <v>1524</v>
      </c>
      <c r="I446" s="2316"/>
      <c r="J446" s="2043"/>
      <c r="K446" s="2317"/>
      <c r="L446" s="2317"/>
      <c r="M446" s="2008"/>
      <c r="N446" s="2010"/>
      <c r="O446" s="2011"/>
      <c r="P446" s="1336"/>
    </row>
    <row r="447" spans="1:16" x14ac:dyDescent="0.25">
      <c r="A447" s="2291">
        <v>45741</v>
      </c>
      <c r="B447" s="2626" t="s">
        <v>6210</v>
      </c>
      <c r="C447" s="3257" t="s">
        <v>7602</v>
      </c>
      <c r="D447" s="3258"/>
      <c r="E447" s="2293">
        <v>160</v>
      </c>
      <c r="F447" s="2294">
        <v>2</v>
      </c>
      <c r="G447" s="2298">
        <f t="shared" si="130"/>
        <v>80</v>
      </c>
      <c r="H447" s="1247" t="s">
        <v>1506</v>
      </c>
      <c r="I447" s="2316"/>
      <c r="J447" s="2043"/>
      <c r="K447" s="2317"/>
      <c r="L447" s="2317"/>
      <c r="M447" s="2008"/>
      <c r="N447" s="2010"/>
      <c r="O447" s="2011"/>
      <c r="P447" s="1336"/>
    </row>
    <row r="448" spans="1:16" x14ac:dyDescent="0.25">
      <c r="A448" s="2284">
        <v>45741</v>
      </c>
      <c r="B448" s="2285" t="s">
        <v>6209</v>
      </c>
      <c r="C448" s="3244" t="s">
        <v>7604</v>
      </c>
      <c r="D448" s="3245"/>
      <c r="E448" s="2286">
        <v>114.42</v>
      </c>
      <c r="F448" s="2287">
        <v>1</v>
      </c>
      <c r="G448" s="2297">
        <f t="shared" si="130"/>
        <v>114.42</v>
      </c>
      <c r="H448" s="1247" t="s">
        <v>1524</v>
      </c>
      <c r="I448" s="2316"/>
      <c r="J448" s="2043"/>
      <c r="K448" s="2317"/>
      <c r="L448" s="2317"/>
      <c r="M448" s="2008"/>
      <c r="N448" s="2010"/>
      <c r="O448" s="2011"/>
      <c r="P448" s="1336"/>
    </row>
    <row r="449" spans="1:16" x14ac:dyDescent="0.25">
      <c r="A449" s="2284">
        <v>45741</v>
      </c>
      <c r="B449" s="2285" t="s">
        <v>6209</v>
      </c>
      <c r="C449" s="3244" t="s">
        <v>7646</v>
      </c>
      <c r="D449" s="3245"/>
      <c r="E449" s="2286">
        <v>599.1</v>
      </c>
      <c r="F449" s="2287">
        <v>2</v>
      </c>
      <c r="G449" s="2297">
        <f t="shared" ref="G449" si="131">E449/F449</f>
        <v>299.55</v>
      </c>
      <c r="H449" s="1247" t="s">
        <v>1524</v>
      </c>
      <c r="I449" s="2316"/>
      <c r="J449" s="2043"/>
      <c r="K449" s="2317"/>
      <c r="L449" s="2317"/>
      <c r="M449" s="2008"/>
      <c r="N449" s="2010"/>
      <c r="O449" s="2011"/>
      <c r="P449" s="1336"/>
    </row>
    <row r="450" spans="1:16" x14ac:dyDescent="0.25">
      <c r="A450" s="2284">
        <v>45749</v>
      </c>
      <c r="B450" s="2285" t="s">
        <v>6209</v>
      </c>
      <c r="C450" s="3244" t="s">
        <v>7665</v>
      </c>
      <c r="D450" s="3245"/>
      <c r="E450" s="2286">
        <v>83.98</v>
      </c>
      <c r="F450" s="2287">
        <v>1</v>
      </c>
      <c r="G450" s="2297">
        <f t="shared" ref="G450" si="132">E450/F450</f>
        <v>83.98</v>
      </c>
      <c r="H450" s="1247" t="s">
        <v>1524</v>
      </c>
      <c r="I450" s="2316"/>
      <c r="J450" s="2043"/>
      <c r="K450" s="2317"/>
      <c r="L450" s="2317"/>
      <c r="M450" s="2008"/>
      <c r="N450" s="2010"/>
      <c r="O450" s="2011"/>
      <c r="P450" s="1336"/>
    </row>
    <row r="451" spans="1:16" x14ac:dyDescent="0.25">
      <c r="A451" s="2284">
        <v>45750</v>
      </c>
      <c r="B451" s="2285" t="s">
        <v>6209</v>
      </c>
      <c r="C451" s="3244" t="s">
        <v>7674</v>
      </c>
      <c r="D451" s="3245"/>
      <c r="E451" s="2286">
        <v>500</v>
      </c>
      <c r="F451" s="2287">
        <v>2</v>
      </c>
      <c r="G451" s="2297">
        <f t="shared" ref="G451" si="133">E451/F451</f>
        <v>250</v>
      </c>
      <c r="H451" s="1247" t="s">
        <v>1524</v>
      </c>
      <c r="I451" s="2316"/>
      <c r="J451" s="2043"/>
      <c r="K451" s="2317"/>
      <c r="L451" s="2317"/>
      <c r="M451" s="2008"/>
      <c r="N451" s="2010"/>
      <c r="O451" s="2011"/>
      <c r="P451" s="1336"/>
    </row>
    <row r="452" spans="1:16" x14ac:dyDescent="0.25">
      <c r="A452" s="2291">
        <v>45750</v>
      </c>
      <c r="B452" s="2292" t="s">
        <v>6210</v>
      </c>
      <c r="C452" s="3257" t="s">
        <v>7699</v>
      </c>
      <c r="D452" s="3258"/>
      <c r="E452" s="2293">
        <v>500</v>
      </c>
      <c r="F452" s="2294">
        <v>1</v>
      </c>
      <c r="G452" s="2298">
        <f t="shared" ref="G452:G453" si="134">E452/F452</f>
        <v>500</v>
      </c>
      <c r="H452" s="1247" t="s">
        <v>6731</v>
      </c>
      <c r="I452" s="2316"/>
      <c r="J452" s="2043"/>
      <c r="K452" s="2317"/>
      <c r="L452" s="2317"/>
      <c r="M452" s="2008"/>
      <c r="N452" s="2010"/>
      <c r="O452" s="2011"/>
      <c r="P452" s="1336"/>
    </row>
    <row r="453" spans="1:16" x14ac:dyDescent="0.25">
      <c r="A453" s="2284">
        <v>45755</v>
      </c>
      <c r="B453" s="2285" t="s">
        <v>6209</v>
      </c>
      <c r="C453" s="3244" t="s">
        <v>7736</v>
      </c>
      <c r="D453" s="3245"/>
      <c r="E453" s="2286">
        <v>92.85</v>
      </c>
      <c r="F453" s="2287">
        <v>1</v>
      </c>
      <c r="G453" s="2297">
        <f t="shared" si="134"/>
        <v>92.85</v>
      </c>
      <c r="H453" s="1247" t="s">
        <v>1525</v>
      </c>
      <c r="I453" s="2316"/>
      <c r="J453" s="2043"/>
      <c r="K453" s="2317"/>
      <c r="L453" s="2317"/>
      <c r="M453" s="2008"/>
      <c r="N453" s="2010"/>
      <c r="O453" s="2011"/>
      <c r="P453" s="1336"/>
    </row>
    <row r="454" spans="1:16" x14ac:dyDescent="0.25">
      <c r="A454" s="2307">
        <v>45759</v>
      </c>
      <c r="B454" s="2308" t="s">
        <v>6210</v>
      </c>
      <c r="C454" s="3309" t="s">
        <v>6773</v>
      </c>
      <c r="D454" s="3310"/>
      <c r="E454" s="2309">
        <v>29.9</v>
      </c>
      <c r="F454" s="2310">
        <v>1</v>
      </c>
      <c r="G454" s="2311">
        <f t="shared" ref="G454" si="135">E454/F454</f>
        <v>29.9</v>
      </c>
      <c r="H454" s="1247" t="s">
        <v>1491</v>
      </c>
      <c r="I454" s="2316"/>
      <c r="J454" s="2043"/>
      <c r="K454" s="2317"/>
      <c r="L454" s="2317"/>
      <c r="M454" s="2008"/>
      <c r="N454" s="2010"/>
      <c r="O454" s="2011"/>
      <c r="P454" s="1336"/>
    </row>
    <row r="455" spans="1:16" ht="15.75" x14ac:dyDescent="0.25">
      <c r="A455" s="3281" t="s">
        <v>6284</v>
      </c>
      <c r="B455" s="3282"/>
      <c r="C455" s="3282"/>
      <c r="D455" s="3282"/>
      <c r="E455" s="2295">
        <v>5600</v>
      </c>
      <c r="F455" s="3311">
        <f>SUM(H461:H462)</f>
        <v>2993.1825000000003</v>
      </c>
      <c r="G455" s="3312" t="e">
        <f>SUM(#REF!)</f>
        <v>#REF!</v>
      </c>
      <c r="H455" s="3296" t="s">
        <v>6301</v>
      </c>
      <c r="J455" s="1382"/>
      <c r="N455" s="1336"/>
      <c r="O455" s="2012"/>
      <c r="P455" s="1336"/>
    </row>
    <row r="456" spans="1:16" ht="15.75" x14ac:dyDescent="0.25">
      <c r="A456" s="3290" t="s">
        <v>6285</v>
      </c>
      <c r="B456" s="3291"/>
      <c r="C456" s="3291"/>
      <c r="D456" s="3291"/>
      <c r="E456" s="2302">
        <v>15650</v>
      </c>
      <c r="F456" s="3313">
        <f>SUM(F455:F455)</f>
        <v>2993.1825000000003</v>
      </c>
      <c r="G456" s="3312" t="e">
        <f>SUM(G455:G455)</f>
        <v>#REF!</v>
      </c>
      <c r="H456" s="3296"/>
      <c r="J456" s="1382"/>
      <c r="N456" s="1336"/>
      <c r="O456" s="2012"/>
      <c r="P456" s="1336"/>
    </row>
    <row r="457" spans="1:16" ht="15.75" x14ac:dyDescent="0.25">
      <c r="A457" s="3292" t="s">
        <v>6286</v>
      </c>
      <c r="B457" s="3293"/>
      <c r="C457" s="3293"/>
      <c r="D457" s="3293"/>
      <c r="E457" s="2303">
        <v>1297.5</v>
      </c>
      <c r="F457" s="3313">
        <f t="shared" ref="F457:G457" si="136">SUM(F455:F456)</f>
        <v>5986.3650000000007</v>
      </c>
      <c r="G457" s="3312" t="e">
        <f t="shared" si="136"/>
        <v>#REF!</v>
      </c>
      <c r="H457" s="3296"/>
    </row>
    <row r="458" spans="1:16" ht="15.75" x14ac:dyDescent="0.25">
      <c r="A458" s="3294" t="s">
        <v>6287</v>
      </c>
      <c r="B458" s="3295"/>
      <c r="C458" s="3295"/>
      <c r="D458" s="3295"/>
      <c r="E458" s="2304">
        <v>6632.11</v>
      </c>
      <c r="F458" s="3313">
        <f t="shared" ref="F458:G458" si="137">SUM(F456:F457)</f>
        <v>8979.5475000000006</v>
      </c>
      <c r="G458" s="3312" t="e">
        <f t="shared" si="137"/>
        <v>#REF!</v>
      </c>
      <c r="H458" s="3296"/>
    </row>
    <row r="459" spans="1:16" ht="17.25" customHeight="1" thickBot="1" x14ac:dyDescent="0.3">
      <c r="A459" s="3281" t="s">
        <v>6288</v>
      </c>
      <c r="B459" s="3282"/>
      <c r="C459" s="3282"/>
      <c r="D459" s="3282"/>
      <c r="E459" s="2295">
        <f>E455-E457</f>
        <v>4302.5</v>
      </c>
      <c r="F459" s="3313">
        <f t="shared" ref="F459:G459" si="138">SUM(F457:F458)</f>
        <v>14965.912500000002</v>
      </c>
      <c r="G459" s="3312" t="e">
        <f t="shared" si="138"/>
        <v>#REF!</v>
      </c>
      <c r="H459" s="3296"/>
    </row>
    <row r="460" spans="1:16" ht="17.25" customHeight="1" thickBot="1" x14ac:dyDescent="0.3">
      <c r="A460" s="3299" t="s">
        <v>6289</v>
      </c>
      <c r="B460" s="3300"/>
      <c r="C460" s="3300"/>
      <c r="D460" s="3300"/>
      <c r="E460" s="2092">
        <f>E456-E458</f>
        <v>9017.89</v>
      </c>
      <c r="F460" s="3314">
        <f t="shared" ref="F460:G460" si="139">SUM(F458:F459)</f>
        <v>23945.460000000003</v>
      </c>
      <c r="G460" s="3315" t="e">
        <f t="shared" si="139"/>
        <v>#REF!</v>
      </c>
      <c r="H460" s="3296"/>
    </row>
    <row r="461" spans="1:16" ht="16.5" thickBot="1" x14ac:dyDescent="0.3">
      <c r="A461" s="3302" t="s">
        <v>6290</v>
      </c>
      <c r="B461" s="3303"/>
      <c r="C461" s="3303"/>
      <c r="D461" s="3303"/>
      <c r="E461" s="3303"/>
      <c r="F461" s="3304"/>
      <c r="G461" s="2299">
        <f>SUMIF(B431:B454,"SANTANDER",G431:G454)</f>
        <v>840.80000000000007</v>
      </c>
      <c r="H461" s="2007">
        <f>G461</f>
        <v>840.80000000000007</v>
      </c>
      <c r="I461" s="2862" t="s">
        <v>6213</v>
      </c>
    </row>
    <row r="462" spans="1:16" ht="16.5" thickBot="1" x14ac:dyDescent="0.3">
      <c r="A462" s="3294" t="s">
        <v>6291</v>
      </c>
      <c r="B462" s="3295"/>
      <c r="C462" s="3295"/>
      <c r="D462" s="3295"/>
      <c r="E462" s="3295"/>
      <c r="F462" s="3305"/>
      <c r="G462" s="2300">
        <f>SUMIF(B431:B454,"NUBANK",G431:G454)</f>
        <v>2152.3825000000002</v>
      </c>
      <c r="H462" s="2007">
        <f>G462</f>
        <v>2152.3825000000002</v>
      </c>
      <c r="I462" s="2862" t="s">
        <v>6213</v>
      </c>
    </row>
    <row r="463" spans="1:16" ht="16.5" customHeight="1" thickBot="1" x14ac:dyDescent="0.35">
      <c r="A463" s="3306" t="s">
        <v>6292</v>
      </c>
      <c r="B463" s="3307"/>
      <c r="C463" s="3307"/>
      <c r="D463" s="3307"/>
      <c r="E463" s="3307"/>
      <c r="F463" s="3308"/>
      <c r="G463" s="2093">
        <f>G461+G462</f>
        <v>2993.1825000000003</v>
      </c>
      <c r="H463" s="2094"/>
      <c r="I463" s="2863"/>
    </row>
    <row r="464" spans="1:16" ht="16.5" customHeight="1" thickBot="1" x14ac:dyDescent="0.3">
      <c r="M464" s="1247"/>
      <c r="O464" s="1247"/>
    </row>
    <row r="465" spans="1:16" ht="19.5" thickBot="1" x14ac:dyDescent="0.35">
      <c r="A465" s="3287" t="s">
        <v>7766</v>
      </c>
      <c r="B465" s="3288"/>
      <c r="C465" s="3288"/>
      <c r="D465" s="3288"/>
      <c r="E465" s="3288"/>
      <c r="F465" s="3288"/>
      <c r="G465" s="3289"/>
      <c r="J465" s="1354"/>
      <c r="K465" s="1667"/>
      <c r="L465" s="1667"/>
      <c r="M465" s="1944"/>
      <c r="N465" s="1667"/>
      <c r="O465" s="1944"/>
      <c r="P465" s="1667"/>
    </row>
    <row r="466" spans="1:16" x14ac:dyDescent="0.25">
      <c r="A466" s="2288">
        <v>45328</v>
      </c>
      <c r="B466" s="2288" t="s">
        <v>6210</v>
      </c>
      <c r="C466" s="3253" t="s">
        <v>6130</v>
      </c>
      <c r="D466" s="3254"/>
      <c r="E466" s="2289">
        <v>33.979999999999997</v>
      </c>
      <c r="F466" s="2290">
        <v>1</v>
      </c>
      <c r="G466" s="2603">
        <f t="shared" ref="G466:G468" si="140">E466/F466</f>
        <v>33.979999999999997</v>
      </c>
      <c r="H466" s="1247" t="s">
        <v>1491</v>
      </c>
      <c r="I466" s="2151"/>
      <c r="J466" s="1360"/>
      <c r="K466" s="1657"/>
      <c r="L466" s="1657"/>
      <c r="M466" s="2008"/>
      <c r="N466" s="2010"/>
      <c r="O466" s="2011"/>
      <c r="P466" s="1336"/>
    </row>
    <row r="467" spans="1:16" x14ac:dyDescent="0.25">
      <c r="A467" s="2291">
        <v>45505</v>
      </c>
      <c r="B467" s="2292" t="s">
        <v>6210</v>
      </c>
      <c r="C467" s="3255" t="s">
        <v>6804</v>
      </c>
      <c r="D467" s="3256"/>
      <c r="E467" s="2293">
        <v>40</v>
      </c>
      <c r="F467" s="2294">
        <v>1</v>
      </c>
      <c r="G467" s="2298">
        <f t="shared" si="140"/>
        <v>40</v>
      </c>
      <c r="H467" s="1247" t="s">
        <v>1504</v>
      </c>
      <c r="I467" s="2316"/>
      <c r="J467" s="2043"/>
      <c r="K467" s="2317"/>
      <c r="L467" s="2317"/>
      <c r="M467" s="2008"/>
      <c r="N467" s="2010"/>
      <c r="O467" s="2011"/>
      <c r="P467" s="1336"/>
    </row>
    <row r="468" spans="1:16" x14ac:dyDescent="0.25">
      <c r="A468" s="2291">
        <v>45505</v>
      </c>
      <c r="B468" s="2292" t="s">
        <v>6210</v>
      </c>
      <c r="C468" s="3257" t="s">
        <v>6805</v>
      </c>
      <c r="D468" s="3258"/>
      <c r="E468" s="2293">
        <v>45</v>
      </c>
      <c r="F468" s="2294">
        <v>1</v>
      </c>
      <c r="G468" s="2298">
        <f t="shared" si="140"/>
        <v>45</v>
      </c>
      <c r="H468" s="1247" t="s">
        <v>1504</v>
      </c>
      <c r="I468" s="1345"/>
      <c r="J468" s="1360"/>
      <c r="K468" s="1657"/>
      <c r="L468" s="1657"/>
      <c r="M468" s="2008"/>
      <c r="N468" s="2010"/>
      <c r="O468" s="2011"/>
      <c r="P468" s="1336"/>
    </row>
    <row r="469" spans="1:16" x14ac:dyDescent="0.25">
      <c r="A469" s="2291">
        <v>45488</v>
      </c>
      <c r="B469" s="2292" t="s">
        <v>6210</v>
      </c>
      <c r="C469" s="3257" t="s">
        <v>7306</v>
      </c>
      <c r="D469" s="3258"/>
      <c r="E469" s="2293">
        <v>357.68</v>
      </c>
      <c r="F469" s="2294">
        <v>12</v>
      </c>
      <c r="G469" s="2298">
        <f>E469/F469</f>
        <v>29.806666666666668</v>
      </c>
      <c r="H469" s="1247" t="s">
        <v>1489</v>
      </c>
      <c r="I469" s="1321"/>
      <c r="J469" s="1360"/>
      <c r="K469" s="1657"/>
      <c r="L469" s="1657"/>
      <c r="M469" s="2008"/>
      <c r="N469" s="2010"/>
      <c r="O469" s="2011"/>
      <c r="P469" s="1336"/>
    </row>
    <row r="470" spans="1:16" x14ac:dyDescent="0.25">
      <c r="A470" s="2291">
        <v>45643</v>
      </c>
      <c r="B470" s="2292" t="s">
        <v>6210</v>
      </c>
      <c r="C470" s="3257" t="s">
        <v>7892</v>
      </c>
      <c r="D470" s="3258"/>
      <c r="E470" s="2293">
        <v>7.99</v>
      </c>
      <c r="F470" s="2294">
        <v>1</v>
      </c>
      <c r="G470" s="2298">
        <f>E470/F470</f>
        <v>7.99</v>
      </c>
      <c r="H470" s="1247" t="s">
        <v>1489</v>
      </c>
      <c r="I470" s="2316"/>
      <c r="J470" s="2043"/>
      <c r="K470" s="2317"/>
      <c r="L470" s="2317"/>
      <c r="M470" s="2008"/>
      <c r="N470" s="2010"/>
      <c r="O470" s="2011"/>
      <c r="P470" s="1336"/>
    </row>
    <row r="471" spans="1:16" x14ac:dyDescent="0.25">
      <c r="A471" s="2291">
        <v>45676</v>
      </c>
      <c r="B471" s="2292" t="s">
        <v>6210</v>
      </c>
      <c r="C471" s="3257" t="s">
        <v>7320</v>
      </c>
      <c r="D471" s="3258"/>
      <c r="E471" s="2293">
        <v>240</v>
      </c>
      <c r="F471" s="2294">
        <v>3</v>
      </c>
      <c r="G471" s="2298">
        <f t="shared" ref="G471:G473" si="141">E471/F471</f>
        <v>80</v>
      </c>
      <c r="H471" s="1247" t="s">
        <v>1506</v>
      </c>
      <c r="I471" s="2316"/>
      <c r="J471" s="2043"/>
      <c r="K471" s="2317"/>
      <c r="L471" s="2317"/>
      <c r="M471" s="2008"/>
      <c r="N471" s="2010"/>
      <c r="O471" s="2011"/>
      <c r="P471" s="1336"/>
    </row>
    <row r="472" spans="1:16" x14ac:dyDescent="0.25">
      <c r="A472" s="2291">
        <v>45686</v>
      </c>
      <c r="B472" s="2292" t="s">
        <v>6210</v>
      </c>
      <c r="C472" s="3257" t="s">
        <v>7344</v>
      </c>
      <c r="D472" s="3258"/>
      <c r="E472" s="2293">
        <v>300</v>
      </c>
      <c r="F472" s="2294">
        <v>3</v>
      </c>
      <c r="G472" s="2298">
        <f t="shared" si="141"/>
        <v>100</v>
      </c>
      <c r="H472" s="1247" t="s">
        <v>1506</v>
      </c>
      <c r="I472" s="2316"/>
      <c r="J472" s="2043"/>
      <c r="K472" s="2317"/>
      <c r="L472" s="2317"/>
      <c r="M472" s="2008"/>
      <c r="N472" s="2010"/>
      <c r="O472" s="2011"/>
      <c r="P472" s="1336"/>
    </row>
    <row r="473" spans="1:16" x14ac:dyDescent="0.25">
      <c r="A473" s="2291">
        <v>45713</v>
      </c>
      <c r="B473" s="2292" t="s">
        <v>6210</v>
      </c>
      <c r="C473" s="3257" t="s">
        <v>7467</v>
      </c>
      <c r="D473" s="3258"/>
      <c r="E473" s="2293">
        <v>189</v>
      </c>
      <c r="F473" s="2294">
        <v>3</v>
      </c>
      <c r="G473" s="2298">
        <f t="shared" si="141"/>
        <v>63</v>
      </c>
      <c r="H473" s="1247" t="s">
        <v>1525</v>
      </c>
      <c r="I473" s="2316"/>
      <c r="J473" s="2043"/>
      <c r="K473" s="2317"/>
      <c r="L473" s="2317"/>
      <c r="M473" s="2008"/>
      <c r="N473" s="2010"/>
      <c r="O473" s="2011"/>
      <c r="P473" s="1336"/>
    </row>
    <row r="474" spans="1:16" x14ac:dyDescent="0.25">
      <c r="A474" s="2291">
        <v>45718</v>
      </c>
      <c r="B474" s="2292" t="s">
        <v>6210</v>
      </c>
      <c r="C474" s="3257" t="s">
        <v>7487</v>
      </c>
      <c r="D474" s="3258"/>
      <c r="E474" s="2293">
        <v>50</v>
      </c>
      <c r="F474" s="2294">
        <v>1</v>
      </c>
      <c r="G474" s="2298">
        <f t="shared" ref="G474" si="142">E474/F474</f>
        <v>50</v>
      </c>
      <c r="H474" s="1247" t="s">
        <v>1491</v>
      </c>
      <c r="I474" s="2316"/>
      <c r="J474" s="2043"/>
      <c r="K474" s="2317"/>
      <c r="L474" s="2317"/>
      <c r="M474" s="2008"/>
      <c r="N474" s="2010"/>
      <c r="O474" s="2011"/>
      <c r="P474" s="1336"/>
    </row>
    <row r="475" spans="1:16" x14ac:dyDescent="0.25">
      <c r="A475" s="2284">
        <v>45720</v>
      </c>
      <c r="B475" s="2285" t="s">
        <v>6209</v>
      </c>
      <c r="C475" s="3244" t="s">
        <v>7484</v>
      </c>
      <c r="D475" s="3245"/>
      <c r="E475" s="2286">
        <v>474.9</v>
      </c>
      <c r="F475" s="2287">
        <v>1</v>
      </c>
      <c r="G475" s="2297">
        <f>E475/F475</f>
        <v>474.9</v>
      </c>
      <c r="H475" s="1247" t="s">
        <v>1524</v>
      </c>
      <c r="I475" s="2316"/>
      <c r="J475" s="2043"/>
      <c r="K475" s="2317"/>
      <c r="L475" s="2317"/>
      <c r="M475" s="2008"/>
      <c r="N475" s="2010"/>
      <c r="O475" s="2011"/>
      <c r="P475" s="1336"/>
    </row>
    <row r="476" spans="1:16" x14ac:dyDescent="0.25">
      <c r="A476" s="2284">
        <v>45720</v>
      </c>
      <c r="B476" s="2285" t="s">
        <v>6209</v>
      </c>
      <c r="C476" s="3244" t="s">
        <v>7485</v>
      </c>
      <c r="D476" s="3245"/>
      <c r="E476" s="2286">
        <v>54.8</v>
      </c>
      <c r="F476" s="2287">
        <v>1</v>
      </c>
      <c r="G476" s="2297">
        <f t="shared" ref="G476:G478" si="143">E476/F476</f>
        <v>54.8</v>
      </c>
      <c r="H476" s="1247" t="s">
        <v>1524</v>
      </c>
      <c r="I476" s="2316"/>
      <c r="J476" s="2043"/>
      <c r="K476" s="2317"/>
      <c r="L476" s="2317"/>
      <c r="M476" s="2008"/>
      <c r="N476" s="2010"/>
      <c r="O476" s="2011"/>
      <c r="P476" s="1336"/>
    </row>
    <row r="477" spans="1:16" x14ac:dyDescent="0.25">
      <c r="A477" s="2284">
        <v>45720</v>
      </c>
      <c r="B477" s="2285" t="s">
        <v>6209</v>
      </c>
      <c r="C477" s="3244" t="s">
        <v>7482</v>
      </c>
      <c r="D477" s="3245"/>
      <c r="E477" s="2286">
        <v>474.9</v>
      </c>
      <c r="F477" s="2287">
        <v>1</v>
      </c>
      <c r="G477" s="2297">
        <f t="shared" si="143"/>
        <v>474.9</v>
      </c>
      <c r="H477" s="1247" t="s">
        <v>1524</v>
      </c>
      <c r="I477" s="2316"/>
      <c r="J477" s="2043"/>
      <c r="K477" s="2317"/>
      <c r="L477" s="2317"/>
      <c r="M477" s="2008"/>
      <c r="N477" s="2010"/>
      <c r="O477" s="2011"/>
      <c r="P477" s="1336"/>
    </row>
    <row r="478" spans="1:16" x14ac:dyDescent="0.25">
      <c r="A478" s="2284">
        <v>45720</v>
      </c>
      <c r="B478" s="2285" t="s">
        <v>6209</v>
      </c>
      <c r="C478" s="3244" t="s">
        <v>7483</v>
      </c>
      <c r="D478" s="3245"/>
      <c r="E478" s="2286">
        <v>54.8</v>
      </c>
      <c r="F478" s="2287">
        <v>1</v>
      </c>
      <c r="G478" s="2297">
        <f t="shared" si="143"/>
        <v>54.8</v>
      </c>
      <c r="H478" s="1247" t="s">
        <v>1524</v>
      </c>
      <c r="I478" s="2316"/>
      <c r="J478" s="2043"/>
      <c r="K478" s="2317"/>
      <c r="L478" s="2317"/>
      <c r="M478" s="2008"/>
      <c r="N478" s="2010"/>
      <c r="O478" s="2011"/>
      <c r="P478" s="1336"/>
    </row>
    <row r="479" spans="1:16" x14ac:dyDescent="0.25">
      <c r="A479" s="2632">
        <v>45723</v>
      </c>
      <c r="B479" s="2633" t="s">
        <v>6209</v>
      </c>
      <c r="C479" s="3325" t="s">
        <v>7505</v>
      </c>
      <c r="D479" s="3326"/>
      <c r="E479" s="2634">
        <v>149.76</v>
      </c>
      <c r="F479" s="2635">
        <v>1</v>
      </c>
      <c r="G479" s="2636">
        <f t="shared" ref="G479" si="144">E479/F479</f>
        <v>149.76</v>
      </c>
      <c r="H479" s="1247" t="s">
        <v>1524</v>
      </c>
      <c r="I479" s="2316"/>
      <c r="J479" s="2043"/>
      <c r="K479" s="2317"/>
      <c r="L479" s="2317"/>
      <c r="M479" s="2008"/>
      <c r="N479" s="2010"/>
      <c r="O479" s="2011"/>
      <c r="P479" s="1336"/>
    </row>
    <row r="480" spans="1:16" ht="15.75" x14ac:dyDescent="0.25">
      <c r="A480" s="3281" t="s">
        <v>6284</v>
      </c>
      <c r="B480" s="3282"/>
      <c r="C480" s="3282"/>
      <c r="D480" s="3282"/>
      <c r="E480" s="2295">
        <v>5600</v>
      </c>
      <c r="F480" s="3311">
        <f>SUM(H486:H487)</f>
        <v>1658.9366666666665</v>
      </c>
      <c r="G480" s="3312" t="e">
        <f>SUM(#REF!)</f>
        <v>#REF!</v>
      </c>
      <c r="H480" s="3296" t="s">
        <v>6301</v>
      </c>
      <c r="J480" s="1382"/>
      <c r="N480" s="1336"/>
      <c r="O480" s="2012"/>
      <c r="P480" s="1336"/>
    </row>
    <row r="481" spans="1:16" ht="15.75" x14ac:dyDescent="0.25">
      <c r="A481" s="3290" t="s">
        <v>6285</v>
      </c>
      <c r="B481" s="3291"/>
      <c r="C481" s="3291"/>
      <c r="D481" s="3291"/>
      <c r="E481" s="2302">
        <v>15650</v>
      </c>
      <c r="F481" s="3313">
        <f>SUM(F480:F480)</f>
        <v>1658.9366666666665</v>
      </c>
      <c r="G481" s="3312" t="e">
        <f>SUM(G480:G480)</f>
        <v>#REF!</v>
      </c>
      <c r="H481" s="3296"/>
      <c r="J481" s="1382"/>
      <c r="N481" s="1336"/>
      <c r="O481" s="2012"/>
      <c r="P481" s="1336"/>
    </row>
    <row r="482" spans="1:16" ht="15.75" x14ac:dyDescent="0.25">
      <c r="A482" s="3292" t="s">
        <v>6286</v>
      </c>
      <c r="B482" s="3293"/>
      <c r="C482" s="3293"/>
      <c r="D482" s="3293"/>
      <c r="E482" s="2303">
        <v>1059.4000000000001</v>
      </c>
      <c r="F482" s="3313">
        <f t="shared" ref="F482:G482" si="145">SUM(F480:F481)</f>
        <v>3317.873333333333</v>
      </c>
      <c r="G482" s="3312" t="e">
        <f t="shared" si="145"/>
        <v>#REF!</v>
      </c>
      <c r="H482" s="3296"/>
    </row>
    <row r="483" spans="1:16" ht="15.75" x14ac:dyDescent="0.25">
      <c r="A483" s="3294" t="s">
        <v>6287</v>
      </c>
      <c r="B483" s="3295"/>
      <c r="C483" s="3295"/>
      <c r="D483" s="3295"/>
      <c r="E483" s="2304">
        <v>875.03</v>
      </c>
      <c r="F483" s="3313">
        <f t="shared" ref="F483:G483" si="146">SUM(F481:F482)</f>
        <v>4976.8099999999995</v>
      </c>
      <c r="G483" s="3312" t="e">
        <f t="shared" si="146"/>
        <v>#REF!</v>
      </c>
      <c r="H483" s="3296"/>
    </row>
    <row r="484" spans="1:16" ht="17.25" customHeight="1" thickBot="1" x14ac:dyDescent="0.3">
      <c r="A484" s="3281" t="s">
        <v>6288</v>
      </c>
      <c r="B484" s="3282"/>
      <c r="C484" s="3282"/>
      <c r="D484" s="3282"/>
      <c r="E484" s="2295">
        <f>E480-E482</f>
        <v>4540.6000000000004</v>
      </c>
      <c r="F484" s="3313">
        <f t="shared" ref="F484:G484" si="147">SUM(F482:F483)</f>
        <v>8294.6833333333325</v>
      </c>
      <c r="G484" s="3312" t="e">
        <f t="shared" si="147"/>
        <v>#REF!</v>
      </c>
      <c r="H484" s="3296"/>
    </row>
    <row r="485" spans="1:16" ht="17.25" customHeight="1" thickBot="1" x14ac:dyDescent="0.3">
      <c r="A485" s="3299" t="s">
        <v>6289</v>
      </c>
      <c r="B485" s="3300"/>
      <c r="C485" s="3300"/>
      <c r="D485" s="3300"/>
      <c r="E485" s="2092">
        <f>E481-E483</f>
        <v>14774.97</v>
      </c>
      <c r="F485" s="3314">
        <f t="shared" ref="F485:G485" si="148">SUM(F483:F484)</f>
        <v>13271.493333333332</v>
      </c>
      <c r="G485" s="3315" t="e">
        <f t="shared" si="148"/>
        <v>#REF!</v>
      </c>
      <c r="H485" s="3296"/>
    </row>
    <row r="486" spans="1:16" ht="16.5" thickBot="1" x14ac:dyDescent="0.3">
      <c r="A486" s="3302" t="s">
        <v>6290</v>
      </c>
      <c r="B486" s="3303"/>
      <c r="C486" s="3303"/>
      <c r="D486" s="3303"/>
      <c r="E486" s="3303"/>
      <c r="F486" s="3304"/>
      <c r="G486" s="2299">
        <f>SUMIF(B466:B479,"SANTANDER",G466:G479)</f>
        <v>1209.1599999999999</v>
      </c>
      <c r="H486" s="2007">
        <f>G486</f>
        <v>1209.1599999999999</v>
      </c>
      <c r="I486" s="2862" t="s">
        <v>6213</v>
      </c>
    </row>
    <row r="487" spans="1:16" ht="16.5" thickBot="1" x14ac:dyDescent="0.3">
      <c r="A487" s="3294" t="s">
        <v>6291</v>
      </c>
      <c r="B487" s="3295"/>
      <c r="C487" s="3295"/>
      <c r="D487" s="3295"/>
      <c r="E487" s="3295"/>
      <c r="F487" s="3305"/>
      <c r="G487" s="2300">
        <f>SUMIF(B466:B479,"NUBANK",G466:G479)</f>
        <v>449.77666666666664</v>
      </c>
      <c r="H487" s="2007">
        <f>G487</f>
        <v>449.77666666666664</v>
      </c>
      <c r="I487" s="2862" t="s">
        <v>6213</v>
      </c>
    </row>
    <row r="488" spans="1:16" ht="16.5" customHeight="1" thickBot="1" x14ac:dyDescent="0.35">
      <c r="A488" s="3306" t="s">
        <v>6292</v>
      </c>
      <c r="B488" s="3307"/>
      <c r="C488" s="3307"/>
      <c r="D488" s="3307"/>
      <c r="E488" s="3307"/>
      <c r="F488" s="3308"/>
      <c r="G488" s="2093">
        <f>G486+G487</f>
        <v>1658.9366666666665</v>
      </c>
      <c r="H488" s="2094"/>
      <c r="I488" s="2863"/>
    </row>
    <row r="489" spans="1:16" ht="16.5" customHeight="1" thickBot="1" x14ac:dyDescent="0.3">
      <c r="M489" s="1247"/>
      <c r="O489" s="1247"/>
    </row>
    <row r="490" spans="1:16" ht="19.5" thickBot="1" x14ac:dyDescent="0.35">
      <c r="A490" s="3287" t="s">
        <v>7767</v>
      </c>
      <c r="B490" s="3288"/>
      <c r="C490" s="3288"/>
      <c r="D490" s="3288"/>
      <c r="E490" s="3288"/>
      <c r="F490" s="3288"/>
      <c r="G490" s="3289"/>
      <c r="J490" s="1354"/>
      <c r="K490" s="1667"/>
      <c r="L490" s="1667"/>
      <c r="M490" s="1944"/>
      <c r="N490" s="1667"/>
      <c r="O490" s="1944"/>
      <c r="P490" s="1667"/>
    </row>
    <row r="491" spans="1:16" x14ac:dyDescent="0.25">
      <c r="A491" s="2288">
        <v>45328</v>
      </c>
      <c r="B491" s="2288" t="s">
        <v>6210</v>
      </c>
      <c r="C491" s="3253" t="s">
        <v>6130</v>
      </c>
      <c r="D491" s="3254"/>
      <c r="E491" s="2289">
        <v>31.9</v>
      </c>
      <c r="F491" s="2290">
        <v>1</v>
      </c>
      <c r="G491" s="2296">
        <v>0</v>
      </c>
      <c r="H491" s="1247" t="s">
        <v>7384</v>
      </c>
      <c r="I491" s="2151"/>
      <c r="J491" s="1360"/>
      <c r="K491" s="1657"/>
      <c r="L491" s="1657"/>
      <c r="M491" s="2008"/>
      <c r="N491" s="2010"/>
      <c r="O491" s="2011"/>
      <c r="P491" s="1336"/>
    </row>
    <row r="492" spans="1:16" x14ac:dyDescent="0.25">
      <c r="A492" s="2291">
        <v>45505</v>
      </c>
      <c r="B492" s="2292" t="s">
        <v>6210</v>
      </c>
      <c r="C492" s="3255" t="s">
        <v>6804</v>
      </c>
      <c r="D492" s="3256"/>
      <c r="E492" s="2293">
        <v>40</v>
      </c>
      <c r="F492" s="2294">
        <v>1</v>
      </c>
      <c r="G492" s="2298">
        <v>0</v>
      </c>
      <c r="H492" s="1247" t="s">
        <v>7385</v>
      </c>
      <c r="I492" s="2316"/>
      <c r="J492" s="2043"/>
      <c r="K492" s="2317"/>
      <c r="L492" s="2317"/>
      <c r="M492" s="2008"/>
      <c r="N492" s="2010"/>
      <c r="O492" s="2011"/>
      <c r="P492" s="1336"/>
    </row>
    <row r="493" spans="1:16" x14ac:dyDescent="0.25">
      <c r="A493" s="2291">
        <v>45505</v>
      </c>
      <c r="B493" s="2292" t="s">
        <v>6210</v>
      </c>
      <c r="C493" s="3257" t="s">
        <v>6805</v>
      </c>
      <c r="D493" s="3258"/>
      <c r="E493" s="2293">
        <v>45</v>
      </c>
      <c r="F493" s="2294">
        <v>1</v>
      </c>
      <c r="G493" s="2298">
        <v>0</v>
      </c>
      <c r="H493" s="1247" t="s">
        <v>7385</v>
      </c>
      <c r="I493" s="1345"/>
      <c r="J493" s="1360"/>
      <c r="K493" s="1657"/>
      <c r="L493" s="1657"/>
      <c r="M493" s="2008"/>
      <c r="N493" s="2010"/>
      <c r="O493" s="2011"/>
      <c r="P493" s="1336"/>
    </row>
    <row r="494" spans="1:16" x14ac:dyDescent="0.25">
      <c r="A494" s="2291">
        <v>45488</v>
      </c>
      <c r="B494" s="2292" t="s">
        <v>6210</v>
      </c>
      <c r="C494" s="3257" t="s">
        <v>7244</v>
      </c>
      <c r="D494" s="3258"/>
      <c r="E494" s="2293">
        <v>357.68</v>
      </c>
      <c r="F494" s="2294">
        <v>12</v>
      </c>
      <c r="G494" s="2298">
        <v>0</v>
      </c>
      <c r="H494" s="1247" t="s">
        <v>7386</v>
      </c>
      <c r="I494" s="1321"/>
      <c r="J494" s="1360"/>
      <c r="K494" s="1657"/>
      <c r="L494" s="1657"/>
      <c r="M494" s="2008"/>
      <c r="N494" s="2010"/>
      <c r="O494" s="2011"/>
      <c r="P494" s="1336"/>
    </row>
    <row r="495" spans="1:16" x14ac:dyDescent="0.25">
      <c r="A495" s="2291">
        <v>45643</v>
      </c>
      <c r="B495" s="2292" t="s">
        <v>6210</v>
      </c>
      <c r="C495" s="3257" t="s">
        <v>7303</v>
      </c>
      <c r="D495" s="3258"/>
      <c r="E495" s="2293">
        <v>7</v>
      </c>
      <c r="F495" s="2294">
        <v>1</v>
      </c>
      <c r="G495" s="2298">
        <v>0</v>
      </c>
      <c r="H495" s="1247" t="s">
        <v>7386</v>
      </c>
      <c r="I495" s="2316"/>
      <c r="J495" s="2043"/>
      <c r="K495" s="2317"/>
      <c r="L495" s="2317"/>
      <c r="M495" s="2008"/>
      <c r="N495" s="2010"/>
      <c r="O495" s="2011"/>
      <c r="P495" s="1336"/>
    </row>
    <row r="496" spans="1:16" x14ac:dyDescent="0.25">
      <c r="A496" s="2291">
        <v>45581</v>
      </c>
      <c r="B496" s="2465" t="s">
        <v>6210</v>
      </c>
      <c r="C496" s="3257" t="s">
        <v>7245</v>
      </c>
      <c r="D496" s="3258"/>
      <c r="E496" s="2293">
        <v>2398</v>
      </c>
      <c r="F496" s="2294">
        <v>4</v>
      </c>
      <c r="G496" s="2298">
        <f t="shared" ref="G496:G502" si="149">E496/F496</f>
        <v>599.5</v>
      </c>
      <c r="H496" s="1247" t="s">
        <v>1525</v>
      </c>
      <c r="I496" s="1321">
        <f>G496/2</f>
        <v>299.75</v>
      </c>
      <c r="J496" s="2043" t="s">
        <v>6770</v>
      </c>
      <c r="K496" s="2317"/>
      <c r="L496" s="2317"/>
      <c r="M496" s="2008"/>
      <c r="N496" s="2010"/>
      <c r="O496" s="2011"/>
      <c r="P496" s="1336"/>
    </row>
    <row r="497" spans="1:16" x14ac:dyDescent="0.25">
      <c r="A497" s="2291">
        <v>45649</v>
      </c>
      <c r="B497" s="2292" t="s">
        <v>6210</v>
      </c>
      <c r="C497" s="3257" t="s">
        <v>7247</v>
      </c>
      <c r="D497" s="3258"/>
      <c r="E497" s="2293">
        <v>198</v>
      </c>
      <c r="F497" s="2294">
        <v>2</v>
      </c>
      <c r="G497" s="2298">
        <v>0</v>
      </c>
      <c r="H497" s="1247" t="s">
        <v>7383</v>
      </c>
      <c r="I497" s="2316"/>
      <c r="J497" s="2043"/>
      <c r="K497" s="2317"/>
      <c r="L497" s="2317"/>
      <c r="M497" s="2008"/>
      <c r="N497" s="2010"/>
      <c r="O497" s="2011"/>
      <c r="P497" s="1336"/>
    </row>
    <row r="498" spans="1:16" x14ac:dyDescent="0.25">
      <c r="A498" s="2291">
        <v>45649</v>
      </c>
      <c r="B498" s="2292" t="s">
        <v>6210</v>
      </c>
      <c r="C498" s="3257" t="s">
        <v>7248</v>
      </c>
      <c r="D498" s="3258"/>
      <c r="E498" s="2293">
        <v>40</v>
      </c>
      <c r="F498" s="2294">
        <v>2</v>
      </c>
      <c r="G498" s="2298">
        <v>0</v>
      </c>
      <c r="H498" s="1247" t="s">
        <v>7387</v>
      </c>
      <c r="I498" s="2316"/>
      <c r="J498" s="2043"/>
      <c r="K498" s="2317"/>
      <c r="L498" s="2317"/>
      <c r="M498" s="2008"/>
      <c r="N498" s="2010"/>
      <c r="O498" s="2011"/>
      <c r="P498" s="1336"/>
    </row>
    <row r="499" spans="1:16" x14ac:dyDescent="0.25">
      <c r="A499" s="2291">
        <v>45649</v>
      </c>
      <c r="B499" s="2292" t="s">
        <v>6210</v>
      </c>
      <c r="C499" s="3257" t="s">
        <v>7249</v>
      </c>
      <c r="D499" s="3258"/>
      <c r="E499" s="2293">
        <v>170</v>
      </c>
      <c r="F499" s="2294">
        <v>2</v>
      </c>
      <c r="G499" s="2298">
        <v>0</v>
      </c>
      <c r="H499" s="1247" t="s">
        <v>7384</v>
      </c>
      <c r="I499" s="2316"/>
      <c r="J499" s="2043"/>
      <c r="K499" s="2317"/>
      <c r="L499" s="2317"/>
      <c r="M499" s="2008"/>
      <c r="N499" s="2010"/>
      <c r="O499" s="2011"/>
      <c r="P499" s="1336"/>
    </row>
    <row r="500" spans="1:16" x14ac:dyDescent="0.25">
      <c r="A500" s="2291">
        <v>45649</v>
      </c>
      <c r="B500" s="2292" t="s">
        <v>6210</v>
      </c>
      <c r="C500" s="3257" t="s">
        <v>7390</v>
      </c>
      <c r="D500" s="3258"/>
      <c r="E500" s="2293">
        <v>60</v>
      </c>
      <c r="F500" s="2294">
        <v>2</v>
      </c>
      <c r="G500" s="2298">
        <v>0</v>
      </c>
      <c r="H500" s="1247" t="s">
        <v>7386</v>
      </c>
      <c r="I500" s="2316"/>
      <c r="J500" s="2043"/>
      <c r="K500" s="2317"/>
      <c r="L500" s="2317"/>
      <c r="M500" s="2008"/>
      <c r="N500" s="2010"/>
      <c r="O500" s="2011"/>
      <c r="P500" s="1336"/>
    </row>
    <row r="501" spans="1:16" x14ac:dyDescent="0.25">
      <c r="A501" s="2291">
        <v>45649</v>
      </c>
      <c r="B501" s="2292" t="s">
        <v>6210</v>
      </c>
      <c r="C501" s="3257" t="s">
        <v>7250</v>
      </c>
      <c r="D501" s="3258"/>
      <c r="E501" s="2293">
        <v>160</v>
      </c>
      <c r="F501" s="2294">
        <v>2</v>
      </c>
      <c r="G501" s="2298">
        <v>0</v>
      </c>
      <c r="H501" s="1247" t="s">
        <v>7383</v>
      </c>
      <c r="I501" s="2316"/>
      <c r="J501" s="2043"/>
      <c r="K501" s="2317"/>
      <c r="L501" s="2317"/>
      <c r="M501" s="2008"/>
      <c r="N501" s="2010"/>
      <c r="O501" s="2011"/>
      <c r="P501" s="1336"/>
    </row>
    <row r="502" spans="1:16" x14ac:dyDescent="0.25">
      <c r="A502" s="2291">
        <v>45671</v>
      </c>
      <c r="B502" s="2292" t="s">
        <v>6210</v>
      </c>
      <c r="C502" s="3257" t="s">
        <v>7331</v>
      </c>
      <c r="D502" s="3258"/>
      <c r="E502" s="2293">
        <v>219.9</v>
      </c>
      <c r="F502" s="2294">
        <v>2</v>
      </c>
      <c r="G502" s="2298">
        <f t="shared" si="149"/>
        <v>109.95</v>
      </c>
      <c r="H502" s="1247" t="s">
        <v>1525</v>
      </c>
      <c r="I502" s="2316"/>
      <c r="J502" s="2043"/>
      <c r="K502" s="2317"/>
      <c r="L502" s="2317"/>
      <c r="M502" s="2008"/>
      <c r="N502" s="2010"/>
      <c r="O502" s="2011"/>
      <c r="P502" s="1336"/>
    </row>
    <row r="503" spans="1:16" x14ac:dyDescent="0.25">
      <c r="A503" s="2291">
        <v>45676</v>
      </c>
      <c r="B503" s="2292" t="s">
        <v>6210</v>
      </c>
      <c r="C503" s="3257" t="s">
        <v>7319</v>
      </c>
      <c r="D503" s="3258"/>
      <c r="E503" s="2293">
        <v>240</v>
      </c>
      <c r="F503" s="2294">
        <v>3</v>
      </c>
      <c r="G503" s="2298">
        <f t="shared" ref="G503:G505" si="150">E503/F503</f>
        <v>80</v>
      </c>
      <c r="H503" s="1247" t="s">
        <v>1506</v>
      </c>
      <c r="I503" s="2316"/>
      <c r="J503" s="2043"/>
      <c r="K503" s="2317"/>
      <c r="L503" s="2317"/>
      <c r="M503" s="2008"/>
      <c r="N503" s="2010"/>
      <c r="O503" s="2011"/>
      <c r="P503" s="1336"/>
    </row>
    <row r="504" spans="1:16" x14ac:dyDescent="0.25">
      <c r="A504" s="2291">
        <v>45686</v>
      </c>
      <c r="B504" s="2292" t="s">
        <v>6210</v>
      </c>
      <c r="C504" s="3257" t="s">
        <v>7343</v>
      </c>
      <c r="D504" s="3258"/>
      <c r="E504" s="2293">
        <v>300</v>
      </c>
      <c r="F504" s="2294">
        <v>3</v>
      </c>
      <c r="G504" s="2298">
        <f t="shared" si="150"/>
        <v>100</v>
      </c>
      <c r="H504" s="1247" t="s">
        <v>1506</v>
      </c>
      <c r="I504" s="2316"/>
      <c r="J504" s="2043"/>
      <c r="K504" s="2317"/>
      <c r="L504" s="2317"/>
      <c r="M504" s="2008"/>
      <c r="N504" s="2010"/>
      <c r="O504" s="2011"/>
      <c r="P504" s="1336"/>
    </row>
    <row r="505" spans="1:16" x14ac:dyDescent="0.25">
      <c r="A505" s="2291">
        <v>45693</v>
      </c>
      <c r="B505" s="2292" t="s">
        <v>6210</v>
      </c>
      <c r="C505" s="3257" t="s">
        <v>7388</v>
      </c>
      <c r="D505" s="3258"/>
      <c r="E505" s="2293">
        <v>350.5</v>
      </c>
      <c r="F505" s="2294">
        <v>1</v>
      </c>
      <c r="G505" s="2298">
        <f t="shared" si="150"/>
        <v>350.5</v>
      </c>
      <c r="I505" s="1321">
        <f>G505</f>
        <v>350.5</v>
      </c>
      <c r="J505" s="2043" t="s">
        <v>7389</v>
      </c>
      <c r="K505" s="2317"/>
      <c r="L505" s="2317"/>
      <c r="M505" s="2008"/>
      <c r="N505" s="2010"/>
      <c r="O505" s="2011"/>
      <c r="P505" s="1336"/>
    </row>
    <row r="506" spans="1:16" x14ac:dyDescent="0.25">
      <c r="A506" s="2307">
        <v>45698</v>
      </c>
      <c r="B506" s="2308" t="s">
        <v>6210</v>
      </c>
      <c r="C506" s="3309" t="s">
        <v>7407</v>
      </c>
      <c r="D506" s="3310"/>
      <c r="E506" s="2309">
        <v>199.9</v>
      </c>
      <c r="F506" s="2310">
        <v>1</v>
      </c>
      <c r="G506" s="2311">
        <f t="shared" ref="G506" si="151">E506/F506</f>
        <v>199.9</v>
      </c>
      <c r="H506" s="1247" t="s">
        <v>1506</v>
      </c>
      <c r="I506" s="1321"/>
      <c r="J506" s="2043"/>
      <c r="K506" s="2317"/>
      <c r="L506" s="2317"/>
      <c r="M506" s="2008"/>
      <c r="N506" s="2010"/>
      <c r="O506" s="2011"/>
      <c r="P506" s="1336"/>
    </row>
    <row r="507" spans="1:16" ht="15.75" x14ac:dyDescent="0.25">
      <c r="A507" s="3281" t="s">
        <v>6284</v>
      </c>
      <c r="B507" s="3282"/>
      <c r="C507" s="3282"/>
      <c r="D507" s="3282"/>
      <c r="E507" s="2295">
        <v>5600</v>
      </c>
      <c r="F507" s="3311">
        <f>SUM(H513:H514)</f>
        <v>789.60000000000014</v>
      </c>
      <c r="G507" s="3312" t="e">
        <f>SUM(#REF!)</f>
        <v>#REF!</v>
      </c>
      <c r="H507" s="3296" t="s">
        <v>6301</v>
      </c>
      <c r="J507" s="1382"/>
      <c r="N507" s="1336"/>
      <c r="O507" s="2012"/>
      <c r="P507" s="1336"/>
    </row>
    <row r="508" spans="1:16" ht="15.75" x14ac:dyDescent="0.25">
      <c r="A508" s="3290" t="s">
        <v>6285</v>
      </c>
      <c r="B508" s="3291"/>
      <c r="C508" s="3291"/>
      <c r="D508" s="3291"/>
      <c r="E508" s="2302">
        <v>11000</v>
      </c>
      <c r="F508" s="3313">
        <f>SUM(F507:F507)</f>
        <v>789.60000000000014</v>
      </c>
      <c r="G508" s="3312" t="e">
        <f>SUM(G507:G507)</f>
        <v>#REF!</v>
      </c>
      <c r="H508" s="3296"/>
      <c r="J508" s="1382"/>
      <c r="N508" s="1336"/>
      <c r="O508" s="2012"/>
      <c r="P508" s="1336"/>
    </row>
    <row r="509" spans="1:16" ht="15.75" x14ac:dyDescent="0.25">
      <c r="A509" s="3292" t="s">
        <v>6286</v>
      </c>
      <c r="B509" s="3293"/>
      <c r="C509" s="3293"/>
      <c r="D509" s="3293"/>
      <c r="E509" s="2303">
        <v>0</v>
      </c>
      <c r="F509" s="3313">
        <f t="shared" ref="F509:G509" si="152">SUM(F507:F508)</f>
        <v>1579.2000000000003</v>
      </c>
      <c r="G509" s="3312" t="e">
        <f t="shared" si="152"/>
        <v>#REF!</v>
      </c>
      <c r="H509" s="3296"/>
    </row>
    <row r="510" spans="1:16" ht="15.75" x14ac:dyDescent="0.25">
      <c r="A510" s="3294" t="s">
        <v>6287</v>
      </c>
      <c r="B510" s="3295"/>
      <c r="C510" s="3295"/>
      <c r="D510" s="3295"/>
      <c r="E510" s="2304">
        <v>4151.87</v>
      </c>
      <c r="F510" s="3313">
        <f t="shared" ref="F510:G510" si="153">SUM(F508:F509)</f>
        <v>2368.8000000000002</v>
      </c>
      <c r="G510" s="3312" t="e">
        <f t="shared" si="153"/>
        <v>#REF!</v>
      </c>
      <c r="H510" s="3296"/>
    </row>
    <row r="511" spans="1:16" ht="17.25" customHeight="1" thickBot="1" x14ac:dyDescent="0.3">
      <c r="A511" s="3281" t="s">
        <v>6288</v>
      </c>
      <c r="B511" s="3282"/>
      <c r="C511" s="3282"/>
      <c r="D511" s="3282"/>
      <c r="E511" s="2295">
        <f>E507-E509</f>
        <v>5600</v>
      </c>
      <c r="F511" s="3313">
        <f t="shared" ref="F511:G511" si="154">SUM(F509:F510)</f>
        <v>3948.0000000000005</v>
      </c>
      <c r="G511" s="3312" t="e">
        <f t="shared" si="154"/>
        <v>#REF!</v>
      </c>
      <c r="H511" s="3296"/>
    </row>
    <row r="512" spans="1:16" ht="17.25" customHeight="1" thickBot="1" x14ac:dyDescent="0.3">
      <c r="A512" s="3299" t="s">
        <v>6289</v>
      </c>
      <c r="B512" s="3300"/>
      <c r="C512" s="3300"/>
      <c r="D512" s="3300"/>
      <c r="E512" s="2092">
        <f>E508-E510</f>
        <v>6848.13</v>
      </c>
      <c r="F512" s="3314">
        <f t="shared" ref="F512:G512" si="155">SUM(F510:F511)</f>
        <v>6316.8000000000011</v>
      </c>
      <c r="G512" s="3315" t="e">
        <f t="shared" si="155"/>
        <v>#REF!</v>
      </c>
      <c r="H512" s="3296"/>
    </row>
    <row r="513" spans="1:16" ht="16.5" thickBot="1" x14ac:dyDescent="0.3">
      <c r="A513" s="3302" t="s">
        <v>6290</v>
      </c>
      <c r="B513" s="3303"/>
      <c r="C513" s="3303"/>
      <c r="D513" s="3303"/>
      <c r="E513" s="3303"/>
      <c r="F513" s="3304"/>
      <c r="G513" s="2299">
        <f>SUMIF(B491:B506,"SANTANDER",G491:G506)</f>
        <v>0</v>
      </c>
      <c r="H513" s="1942">
        <v>0</v>
      </c>
      <c r="I513" s="2862" t="s">
        <v>6213</v>
      </c>
    </row>
    <row r="514" spans="1:16" ht="16.5" thickBot="1" x14ac:dyDescent="0.3">
      <c r="A514" s="3294" t="s">
        <v>6291</v>
      </c>
      <c r="B514" s="3295"/>
      <c r="C514" s="3295"/>
      <c r="D514" s="3295"/>
      <c r="E514" s="3295"/>
      <c r="F514" s="3305"/>
      <c r="G514" s="2300">
        <f>SUMIF(B491:B506,"NUBANK",G491:G506)</f>
        <v>1439.8500000000001</v>
      </c>
      <c r="H514" s="1942">
        <f>G514-I496-I505</f>
        <v>789.60000000000014</v>
      </c>
      <c r="I514" s="2862" t="s">
        <v>6213</v>
      </c>
    </row>
    <row r="515" spans="1:16" ht="16.5" customHeight="1" thickBot="1" x14ac:dyDescent="0.35">
      <c r="A515" s="3306" t="s">
        <v>6292</v>
      </c>
      <c r="B515" s="3307"/>
      <c r="C515" s="3307"/>
      <c r="D515" s="3307"/>
      <c r="E515" s="3307"/>
      <c r="F515" s="3308"/>
      <c r="G515" s="2093">
        <f>G513+G514</f>
        <v>1439.8500000000001</v>
      </c>
      <c r="H515" s="2094"/>
      <c r="I515" s="2863"/>
    </row>
    <row r="516" spans="1:16" ht="16.5" customHeight="1" thickBot="1" x14ac:dyDescent="0.3">
      <c r="G516" s="1247"/>
    </row>
    <row r="517" spans="1:16" ht="19.5" thickBot="1" x14ac:dyDescent="0.35">
      <c r="A517" s="3287" t="s">
        <v>7094</v>
      </c>
      <c r="B517" s="3288"/>
      <c r="C517" s="3288"/>
      <c r="D517" s="3288"/>
      <c r="E517" s="3288"/>
      <c r="F517" s="3288"/>
      <c r="G517" s="3289"/>
      <c r="J517" s="1354"/>
      <c r="K517" s="1667"/>
      <c r="L517" s="1667"/>
      <c r="M517" s="1944"/>
      <c r="N517" s="1667"/>
      <c r="O517" s="1944"/>
      <c r="P517" s="1667"/>
    </row>
    <row r="518" spans="1:16" x14ac:dyDescent="0.25">
      <c r="A518" s="2288">
        <v>45328</v>
      </c>
      <c r="B518" s="2288" t="s">
        <v>6210</v>
      </c>
      <c r="C518" s="3253" t="s">
        <v>6130</v>
      </c>
      <c r="D518" s="3254"/>
      <c r="E518" s="2289">
        <v>31.9</v>
      </c>
      <c r="F518" s="2290">
        <v>1</v>
      </c>
      <c r="G518" s="2296">
        <v>0</v>
      </c>
      <c r="H518" s="2568" t="s">
        <v>7254</v>
      </c>
      <c r="I518" s="2151"/>
      <c r="J518" s="1360"/>
      <c r="K518" s="1657"/>
      <c r="L518" s="1657"/>
      <c r="M518" s="2008"/>
      <c r="N518" s="2010"/>
      <c r="O518" s="2011"/>
      <c r="P518" s="1336"/>
    </row>
    <row r="519" spans="1:16" x14ac:dyDescent="0.25">
      <c r="A519" s="2291">
        <v>45505</v>
      </c>
      <c r="B519" s="2292" t="s">
        <v>6210</v>
      </c>
      <c r="C519" s="3255" t="s">
        <v>6804</v>
      </c>
      <c r="D519" s="3256"/>
      <c r="E519" s="2293">
        <v>40</v>
      </c>
      <c r="F519" s="2294">
        <v>1</v>
      </c>
      <c r="G519" s="2298">
        <v>0</v>
      </c>
      <c r="H519" s="1247" t="s">
        <v>7255</v>
      </c>
      <c r="I519" s="2316"/>
      <c r="J519" s="2043"/>
      <c r="K519" s="2317"/>
      <c r="L519" s="2317"/>
      <c r="M519" s="2008"/>
      <c r="N519" s="2010"/>
      <c r="O519" s="2011"/>
      <c r="P519" s="1336"/>
    </row>
    <row r="520" spans="1:16" x14ac:dyDescent="0.25">
      <c r="A520" s="2291">
        <v>45505</v>
      </c>
      <c r="B520" s="2292" t="s">
        <v>6210</v>
      </c>
      <c r="C520" s="3257" t="s">
        <v>6805</v>
      </c>
      <c r="D520" s="3258"/>
      <c r="E520" s="2293">
        <v>45</v>
      </c>
      <c r="F520" s="2294">
        <v>1</v>
      </c>
      <c r="G520" s="2298">
        <v>0</v>
      </c>
      <c r="H520" s="1247" t="s">
        <v>7255</v>
      </c>
      <c r="I520" s="1345"/>
      <c r="J520" s="1360"/>
      <c r="K520" s="1657"/>
      <c r="L520" s="1657"/>
      <c r="M520" s="2008"/>
      <c r="N520" s="2010"/>
      <c r="O520" s="2011"/>
      <c r="P520" s="1336"/>
    </row>
    <row r="521" spans="1:16" x14ac:dyDescent="0.25">
      <c r="A521" s="2291">
        <v>45488</v>
      </c>
      <c r="B521" s="2292" t="s">
        <v>6210</v>
      </c>
      <c r="C521" s="3257" t="s">
        <v>7095</v>
      </c>
      <c r="D521" s="3258"/>
      <c r="E521" s="2293">
        <v>357.68</v>
      </c>
      <c r="F521" s="2294">
        <v>12</v>
      </c>
      <c r="G521" s="2298">
        <v>0</v>
      </c>
      <c r="H521" s="1247" t="s">
        <v>7256</v>
      </c>
      <c r="I521" s="1321"/>
      <c r="J521" s="1360"/>
      <c r="K521" s="1657"/>
      <c r="L521" s="1657"/>
      <c r="M521" s="2008"/>
      <c r="N521" s="2010"/>
      <c r="O521" s="2011"/>
      <c r="P521" s="1336"/>
    </row>
    <row r="522" spans="1:16" x14ac:dyDescent="0.25">
      <c r="A522" s="2291">
        <v>45581</v>
      </c>
      <c r="B522" s="2465" t="s">
        <v>6210</v>
      </c>
      <c r="C522" s="3257" t="s">
        <v>7096</v>
      </c>
      <c r="D522" s="3258"/>
      <c r="E522" s="2293">
        <v>2398</v>
      </c>
      <c r="F522" s="2294">
        <v>4</v>
      </c>
      <c r="G522" s="2298">
        <f t="shared" ref="G522:G523" si="156">E522/F522</f>
        <v>599.5</v>
      </c>
      <c r="H522" s="1247" t="s">
        <v>1525</v>
      </c>
      <c r="I522" s="1321">
        <f>G522/2</f>
        <v>299.75</v>
      </c>
      <c r="J522" s="2043" t="s">
        <v>6770</v>
      </c>
      <c r="K522" s="2317"/>
      <c r="L522" s="2317"/>
      <c r="M522" s="2008"/>
      <c r="N522" s="2010"/>
      <c r="O522" s="2011"/>
      <c r="P522" s="1336"/>
    </row>
    <row r="523" spans="1:16" x14ac:dyDescent="0.25">
      <c r="A523" s="2291">
        <v>45626</v>
      </c>
      <c r="B523" s="2292" t="s">
        <v>6210</v>
      </c>
      <c r="C523" s="3257" t="s">
        <v>7139</v>
      </c>
      <c r="D523" s="3258"/>
      <c r="E523" s="2293">
        <v>249.7</v>
      </c>
      <c r="F523" s="2294">
        <v>2</v>
      </c>
      <c r="G523" s="2298">
        <f t="shared" si="156"/>
        <v>124.85</v>
      </c>
      <c r="I523" s="2316">
        <f>G523</f>
        <v>124.85</v>
      </c>
      <c r="J523" s="2043" t="s">
        <v>4140</v>
      </c>
      <c r="K523" s="2317"/>
      <c r="L523" s="2317"/>
      <c r="M523" s="2008"/>
      <c r="N523" s="2010"/>
      <c r="O523" s="2011"/>
      <c r="P523" s="1336"/>
    </row>
    <row r="524" spans="1:16" x14ac:dyDescent="0.25">
      <c r="A524" s="2291">
        <v>45630</v>
      </c>
      <c r="B524" s="2292" t="s">
        <v>6210</v>
      </c>
      <c r="C524" s="3257" t="s">
        <v>7196</v>
      </c>
      <c r="D524" s="3258"/>
      <c r="E524" s="2293">
        <v>190.92</v>
      </c>
      <c r="F524" s="2294">
        <v>2</v>
      </c>
      <c r="G524" s="2298">
        <v>0</v>
      </c>
      <c r="H524" s="1247" t="s">
        <v>7257</v>
      </c>
      <c r="I524" s="2316"/>
      <c r="J524" s="2043"/>
      <c r="K524" s="2317"/>
      <c r="L524" s="2317"/>
      <c r="M524" s="2008"/>
      <c r="N524" s="2010"/>
      <c r="O524" s="2011"/>
      <c r="P524" s="1336"/>
    </row>
    <row r="525" spans="1:16" x14ac:dyDescent="0.25">
      <c r="A525" s="2291">
        <v>45643</v>
      </c>
      <c r="B525" s="2292" t="s">
        <v>6210</v>
      </c>
      <c r="C525" s="3257" t="s">
        <v>7303</v>
      </c>
      <c r="D525" s="3258"/>
      <c r="E525" s="2293">
        <v>6</v>
      </c>
      <c r="F525" s="2294">
        <v>1</v>
      </c>
      <c r="G525" s="2298">
        <v>0</v>
      </c>
      <c r="H525" s="1247" t="s">
        <v>7256</v>
      </c>
      <c r="I525" s="2316"/>
      <c r="J525" s="2043"/>
      <c r="K525" s="2317"/>
      <c r="L525" s="2317"/>
      <c r="M525" s="2008"/>
      <c r="N525" s="2010"/>
      <c r="O525" s="2011"/>
      <c r="P525" s="1336"/>
    </row>
    <row r="526" spans="1:16" x14ac:dyDescent="0.25">
      <c r="A526" s="2291">
        <v>45644</v>
      </c>
      <c r="B526" s="2292" t="s">
        <v>6210</v>
      </c>
      <c r="C526" s="3257" t="s">
        <v>7194</v>
      </c>
      <c r="D526" s="3258"/>
      <c r="E526" s="2293">
        <v>12.47</v>
      </c>
      <c r="F526" s="2294">
        <v>1</v>
      </c>
      <c r="G526" s="2298">
        <v>0</v>
      </c>
      <c r="H526" s="1247" t="s">
        <v>7258</v>
      </c>
      <c r="I526" s="2316"/>
      <c r="J526" s="2043"/>
      <c r="K526" s="2317"/>
      <c r="L526" s="2317"/>
      <c r="M526" s="2008"/>
      <c r="N526" s="2010"/>
      <c r="O526" s="2011"/>
      <c r="P526" s="1336"/>
    </row>
    <row r="527" spans="1:16" x14ac:dyDescent="0.25">
      <c r="A527" s="2291">
        <v>45649</v>
      </c>
      <c r="B527" s="2292" t="s">
        <v>6210</v>
      </c>
      <c r="C527" s="3257" t="s">
        <v>7246</v>
      </c>
      <c r="D527" s="3258"/>
      <c r="E527" s="2293">
        <v>198</v>
      </c>
      <c r="F527" s="2294">
        <v>2</v>
      </c>
      <c r="G527" s="2298">
        <v>0</v>
      </c>
      <c r="H527" s="1247" t="s">
        <v>7259</v>
      </c>
      <c r="I527" s="2316"/>
      <c r="J527" s="2043"/>
      <c r="K527" s="2317"/>
      <c r="L527" s="2317"/>
      <c r="M527" s="2008"/>
      <c r="N527" s="2010"/>
      <c r="O527" s="2011"/>
      <c r="P527" s="1336"/>
    </row>
    <row r="528" spans="1:16" x14ac:dyDescent="0.25">
      <c r="A528" s="2291">
        <v>45649</v>
      </c>
      <c r="B528" s="2292" t="s">
        <v>6210</v>
      </c>
      <c r="C528" s="3257" t="s">
        <v>7212</v>
      </c>
      <c r="D528" s="3258"/>
      <c r="E528" s="2293">
        <v>40</v>
      </c>
      <c r="F528" s="2294">
        <v>2</v>
      </c>
      <c r="G528" s="2298">
        <v>0</v>
      </c>
      <c r="H528" s="1247" t="s">
        <v>7260</v>
      </c>
      <c r="I528" s="2316"/>
      <c r="J528" s="2043"/>
      <c r="K528" s="2317"/>
      <c r="L528" s="2317"/>
      <c r="M528" s="2008"/>
      <c r="N528" s="2010"/>
      <c r="O528" s="2011"/>
      <c r="P528" s="1336"/>
    </row>
    <row r="529" spans="1:16" x14ac:dyDescent="0.25">
      <c r="A529" s="2291">
        <v>45649</v>
      </c>
      <c r="B529" s="2292" t="s">
        <v>6210</v>
      </c>
      <c r="C529" s="3257" t="s">
        <v>7213</v>
      </c>
      <c r="D529" s="3258"/>
      <c r="E529" s="2293">
        <v>170</v>
      </c>
      <c r="F529" s="2294">
        <v>2</v>
      </c>
      <c r="G529" s="2298">
        <v>0</v>
      </c>
      <c r="H529" s="1247" t="s">
        <v>7254</v>
      </c>
      <c r="I529" s="2316"/>
      <c r="J529" s="2043"/>
      <c r="K529" s="2317"/>
      <c r="L529" s="2317"/>
      <c r="M529" s="2008"/>
      <c r="N529" s="2010"/>
      <c r="O529" s="2011"/>
      <c r="P529" s="1336"/>
    </row>
    <row r="530" spans="1:16" x14ac:dyDescent="0.25">
      <c r="A530" s="2291">
        <v>45649</v>
      </c>
      <c r="B530" s="2292" t="s">
        <v>6210</v>
      </c>
      <c r="C530" s="3257" t="s">
        <v>7341</v>
      </c>
      <c r="D530" s="3258"/>
      <c r="E530" s="2293">
        <v>60</v>
      </c>
      <c r="F530" s="2294">
        <v>2</v>
      </c>
      <c r="G530" s="2298">
        <v>0</v>
      </c>
      <c r="H530" s="1247" t="s">
        <v>7256</v>
      </c>
      <c r="I530" s="2316"/>
      <c r="J530" s="2043"/>
      <c r="K530" s="2317"/>
      <c r="L530" s="2317"/>
      <c r="M530" s="2008"/>
      <c r="N530" s="2010"/>
      <c r="O530" s="2011"/>
      <c r="P530" s="1336"/>
    </row>
    <row r="531" spans="1:16" x14ac:dyDescent="0.25">
      <c r="A531" s="2291">
        <v>45649</v>
      </c>
      <c r="B531" s="2292" t="s">
        <v>6210</v>
      </c>
      <c r="C531" s="3257" t="s">
        <v>7211</v>
      </c>
      <c r="D531" s="3258"/>
      <c r="E531" s="2293">
        <v>160</v>
      </c>
      <c r="F531" s="2294">
        <v>2</v>
      </c>
      <c r="G531" s="2298">
        <v>0</v>
      </c>
      <c r="H531" s="1247" t="s">
        <v>7259</v>
      </c>
      <c r="I531" s="2316"/>
      <c r="J531" s="2043"/>
      <c r="K531" s="2317"/>
      <c r="L531" s="2317"/>
      <c r="M531" s="2008"/>
      <c r="N531" s="2010"/>
      <c r="O531" s="2011"/>
      <c r="P531" s="1336"/>
    </row>
    <row r="532" spans="1:16" x14ac:dyDescent="0.25">
      <c r="A532" s="2291">
        <v>45664</v>
      </c>
      <c r="B532" s="2292" t="s">
        <v>6210</v>
      </c>
      <c r="C532" s="3257" t="s">
        <v>7295</v>
      </c>
      <c r="D532" s="3258"/>
      <c r="E532" s="2293">
        <v>23</v>
      </c>
      <c r="F532" s="2294">
        <v>1</v>
      </c>
      <c r="G532" s="2298">
        <f t="shared" ref="G532:G537" si="157">E532/F532</f>
        <v>23</v>
      </c>
      <c r="H532" s="1247" t="s">
        <v>1522</v>
      </c>
      <c r="I532" s="2316"/>
      <c r="J532" s="2043"/>
      <c r="K532" s="2317"/>
      <c r="L532" s="2317"/>
      <c r="M532" s="2008"/>
      <c r="N532" s="2010"/>
      <c r="O532" s="2011"/>
      <c r="P532" s="1336"/>
    </row>
    <row r="533" spans="1:16" x14ac:dyDescent="0.25">
      <c r="A533" s="2291">
        <v>45664</v>
      </c>
      <c r="B533" s="2292" t="s">
        <v>6210</v>
      </c>
      <c r="C533" s="3257" t="s">
        <v>6875</v>
      </c>
      <c r="D533" s="3258"/>
      <c r="E533" s="2293">
        <v>37.31</v>
      </c>
      <c r="F533" s="2294">
        <v>1</v>
      </c>
      <c r="G533" s="2298">
        <f t="shared" si="157"/>
        <v>37.31</v>
      </c>
      <c r="H533" s="1247" t="s">
        <v>1489</v>
      </c>
      <c r="I533" s="2316"/>
      <c r="J533" s="2043"/>
      <c r="K533" s="2317"/>
      <c r="L533" s="2317"/>
      <c r="M533" s="2008"/>
      <c r="N533" s="2010"/>
      <c r="O533" s="2011"/>
      <c r="P533" s="1336"/>
    </row>
    <row r="534" spans="1:16" x14ac:dyDescent="0.25">
      <c r="A534" s="2291">
        <v>45664</v>
      </c>
      <c r="B534" s="2292" t="s">
        <v>6210</v>
      </c>
      <c r="C534" s="3257" t="s">
        <v>7262</v>
      </c>
      <c r="D534" s="3258"/>
      <c r="E534" s="2293">
        <v>70.3</v>
      </c>
      <c r="F534" s="2294">
        <v>1</v>
      </c>
      <c r="G534" s="2298">
        <f t="shared" si="157"/>
        <v>70.3</v>
      </c>
      <c r="H534" s="1247" t="s">
        <v>1496</v>
      </c>
      <c r="I534" s="2316"/>
      <c r="J534" s="2043"/>
      <c r="K534" s="2317"/>
      <c r="L534" s="2317"/>
      <c r="M534" s="2008"/>
      <c r="N534" s="2010"/>
      <c r="O534" s="2011"/>
      <c r="P534" s="1336"/>
    </row>
    <row r="535" spans="1:16" x14ac:dyDescent="0.25">
      <c r="A535" s="2291">
        <v>45664</v>
      </c>
      <c r="B535" s="2292" t="s">
        <v>6210</v>
      </c>
      <c r="C535" s="3257" t="s">
        <v>7263</v>
      </c>
      <c r="D535" s="3258"/>
      <c r="E535" s="2293">
        <v>95.9</v>
      </c>
      <c r="F535" s="2294">
        <v>1</v>
      </c>
      <c r="G535" s="2298">
        <f t="shared" si="157"/>
        <v>95.9</v>
      </c>
      <c r="H535" s="1247" t="s">
        <v>1522</v>
      </c>
      <c r="I535" s="2316"/>
      <c r="J535" s="2043"/>
      <c r="K535" s="2317"/>
      <c r="L535" s="2317"/>
      <c r="M535" s="2008"/>
      <c r="N535" s="2010"/>
      <c r="O535" s="2011"/>
      <c r="P535" s="1336"/>
    </row>
    <row r="536" spans="1:16" x14ac:dyDescent="0.25">
      <c r="A536" s="2291">
        <v>45664</v>
      </c>
      <c r="B536" s="2292" t="s">
        <v>6210</v>
      </c>
      <c r="C536" s="3257" t="s">
        <v>7261</v>
      </c>
      <c r="D536" s="3258"/>
      <c r="E536" s="2293">
        <v>85</v>
      </c>
      <c r="F536" s="2294">
        <v>1</v>
      </c>
      <c r="G536" s="2298">
        <f t="shared" si="157"/>
        <v>85</v>
      </c>
      <c r="H536" s="1247" t="s">
        <v>1522</v>
      </c>
      <c r="I536" s="2316"/>
      <c r="J536" s="2043"/>
      <c r="K536" s="2317"/>
      <c r="L536" s="2317"/>
      <c r="M536" s="2008"/>
      <c r="N536" s="2010"/>
      <c r="O536" s="2011"/>
      <c r="P536" s="1336"/>
    </row>
    <row r="537" spans="1:16" x14ac:dyDescent="0.25">
      <c r="A537" s="2291">
        <v>45671</v>
      </c>
      <c r="B537" s="2292" t="s">
        <v>6210</v>
      </c>
      <c r="C537" s="3257" t="s">
        <v>7293</v>
      </c>
      <c r="D537" s="3258"/>
      <c r="E537" s="2293">
        <v>24.6</v>
      </c>
      <c r="F537" s="2294">
        <v>1</v>
      </c>
      <c r="G537" s="2298">
        <f t="shared" si="157"/>
        <v>24.6</v>
      </c>
      <c r="H537" s="1247" t="s">
        <v>1522</v>
      </c>
      <c r="I537" s="2316"/>
      <c r="J537" s="2043"/>
      <c r="K537" s="2317"/>
      <c r="L537" s="2317"/>
      <c r="M537" s="2008"/>
      <c r="N537" s="2010"/>
      <c r="O537" s="2011"/>
      <c r="P537" s="1336"/>
    </row>
    <row r="538" spans="1:16" x14ac:dyDescent="0.25">
      <c r="A538" s="2291">
        <v>45671</v>
      </c>
      <c r="B538" s="2292" t="s">
        <v>6210</v>
      </c>
      <c r="C538" s="3257" t="s">
        <v>7294</v>
      </c>
      <c r="D538" s="3258"/>
      <c r="E538" s="2293">
        <v>78.900000000000006</v>
      </c>
      <c r="F538" s="2294">
        <v>1</v>
      </c>
      <c r="G538" s="2298">
        <f t="shared" ref="G538" si="158">E538/F538</f>
        <v>78.900000000000006</v>
      </c>
      <c r="H538" s="1247" t="s">
        <v>1525</v>
      </c>
      <c r="I538" s="2316"/>
      <c r="J538" s="2043"/>
      <c r="K538" s="2317"/>
      <c r="L538" s="2317"/>
      <c r="M538" s="2008"/>
      <c r="N538" s="2010"/>
      <c r="O538" s="2011"/>
      <c r="P538" s="1336"/>
    </row>
    <row r="539" spans="1:16" x14ac:dyDescent="0.25">
      <c r="A539" s="2307">
        <v>45671</v>
      </c>
      <c r="B539" s="2308" t="s">
        <v>6210</v>
      </c>
      <c r="C539" s="3309" t="s">
        <v>7304</v>
      </c>
      <c r="D539" s="3310"/>
      <c r="E539" s="2309">
        <v>219.9</v>
      </c>
      <c r="F539" s="2310">
        <v>2</v>
      </c>
      <c r="G539" s="2311">
        <f t="shared" ref="G539" si="159">E539/F539</f>
        <v>109.95</v>
      </c>
      <c r="H539" s="1247" t="s">
        <v>1525</v>
      </c>
      <c r="I539" s="2316"/>
      <c r="J539" s="2043"/>
      <c r="K539" s="2317"/>
      <c r="L539" s="2317"/>
      <c r="M539" s="2008"/>
      <c r="N539" s="2010"/>
      <c r="O539" s="2011"/>
      <c r="P539" s="1336"/>
    </row>
    <row r="540" spans="1:16" ht="15.75" x14ac:dyDescent="0.25">
      <c r="A540" s="3281" t="s">
        <v>6284</v>
      </c>
      <c r="B540" s="3282"/>
      <c r="C540" s="3282"/>
      <c r="D540" s="3282"/>
      <c r="E540" s="2295">
        <v>5600</v>
      </c>
      <c r="F540" s="3311">
        <f>SUM(H546:H547)</f>
        <v>824.71000000000015</v>
      </c>
      <c r="G540" s="3312" t="e">
        <f>SUM(#REF!)</f>
        <v>#REF!</v>
      </c>
      <c r="H540" s="3296" t="s">
        <v>6301</v>
      </c>
      <c r="J540" s="1382"/>
      <c r="N540" s="1336"/>
      <c r="O540" s="2012"/>
      <c r="P540" s="1336"/>
    </row>
    <row r="541" spans="1:16" ht="15.75" x14ac:dyDescent="0.25">
      <c r="A541" s="3290" t="s">
        <v>6285</v>
      </c>
      <c r="B541" s="3291"/>
      <c r="C541" s="3291"/>
      <c r="D541" s="3291"/>
      <c r="E541" s="2302">
        <v>11000</v>
      </c>
      <c r="F541" s="3313">
        <f>SUM(F540:F540)</f>
        <v>824.71000000000015</v>
      </c>
      <c r="G541" s="3312" t="e">
        <f>SUM(G540:G540)</f>
        <v>#REF!</v>
      </c>
      <c r="H541" s="3296"/>
      <c r="J541" s="1382"/>
      <c r="N541" s="1336"/>
      <c r="O541" s="2012"/>
      <c r="P541" s="1336"/>
    </row>
    <row r="542" spans="1:16" ht="15.75" x14ac:dyDescent="0.25">
      <c r="A542" s="3292" t="s">
        <v>6286</v>
      </c>
      <c r="B542" s="3293"/>
      <c r="C542" s="3293"/>
      <c r="D542" s="3293"/>
      <c r="E542" s="2303">
        <v>0</v>
      </c>
      <c r="F542" s="3313">
        <f t="shared" ref="F542:G545" si="160">SUM(F540:F541)</f>
        <v>1649.4200000000003</v>
      </c>
      <c r="G542" s="3312" t="e">
        <f t="shared" si="160"/>
        <v>#REF!</v>
      </c>
      <c r="H542" s="3296"/>
    </row>
    <row r="543" spans="1:16" ht="15.75" x14ac:dyDescent="0.25">
      <c r="A543" s="3294" t="s">
        <v>6287</v>
      </c>
      <c r="B543" s="3295"/>
      <c r="C543" s="3295"/>
      <c r="D543" s="3295"/>
      <c r="E543" s="2304">
        <v>4151.87</v>
      </c>
      <c r="F543" s="3313">
        <f t="shared" si="160"/>
        <v>2474.1300000000006</v>
      </c>
      <c r="G543" s="3312" t="e">
        <f t="shared" si="160"/>
        <v>#REF!</v>
      </c>
      <c r="H543" s="3296"/>
    </row>
    <row r="544" spans="1:16" ht="17.25" customHeight="1" thickBot="1" x14ac:dyDescent="0.3">
      <c r="A544" s="3281" t="s">
        <v>6288</v>
      </c>
      <c r="B544" s="3282"/>
      <c r="C544" s="3282"/>
      <c r="D544" s="3282"/>
      <c r="E544" s="2295">
        <f>E540-E542</f>
        <v>5600</v>
      </c>
      <c r="F544" s="3313">
        <f t="shared" si="160"/>
        <v>4123.5500000000011</v>
      </c>
      <c r="G544" s="3312" t="e">
        <f t="shared" si="160"/>
        <v>#REF!</v>
      </c>
      <c r="H544" s="3296"/>
    </row>
    <row r="545" spans="1:16" ht="17.25" customHeight="1" thickBot="1" x14ac:dyDescent="0.3">
      <c r="A545" s="3299" t="s">
        <v>6289</v>
      </c>
      <c r="B545" s="3300"/>
      <c r="C545" s="3300"/>
      <c r="D545" s="3300"/>
      <c r="E545" s="2092">
        <f>E541-E543</f>
        <v>6848.13</v>
      </c>
      <c r="F545" s="3314">
        <f t="shared" si="160"/>
        <v>6597.6800000000021</v>
      </c>
      <c r="G545" s="3315" t="e">
        <f t="shared" si="160"/>
        <v>#REF!</v>
      </c>
      <c r="H545" s="3296"/>
    </row>
    <row r="546" spans="1:16" ht="16.5" thickBot="1" x14ac:dyDescent="0.3">
      <c r="A546" s="3302" t="s">
        <v>6290</v>
      </c>
      <c r="B546" s="3303"/>
      <c r="C546" s="3303"/>
      <c r="D546" s="3303"/>
      <c r="E546" s="3303"/>
      <c r="F546" s="3304"/>
      <c r="G546" s="2299">
        <f>SUMIF(B518:B539,"SANTANDER",G518:G539)</f>
        <v>0</v>
      </c>
      <c r="H546" s="1942">
        <v>0</v>
      </c>
      <c r="I546" s="2862" t="s">
        <v>6213</v>
      </c>
    </row>
    <row r="547" spans="1:16" ht="16.5" thickBot="1" x14ac:dyDescent="0.3">
      <c r="A547" s="3294" t="s">
        <v>6291</v>
      </c>
      <c r="B547" s="3295"/>
      <c r="C547" s="3295"/>
      <c r="D547" s="3295"/>
      <c r="E547" s="3295"/>
      <c r="F547" s="3305"/>
      <c r="G547" s="2300">
        <f>SUMIF(B518:B539,"NUBANK",G518:G539)</f>
        <v>1249.3100000000002</v>
      </c>
      <c r="H547" s="1942">
        <f>G547-I522-I523</f>
        <v>824.71000000000015</v>
      </c>
      <c r="I547" s="2862" t="s">
        <v>6213</v>
      </c>
    </row>
    <row r="548" spans="1:16" ht="16.5" customHeight="1" thickBot="1" x14ac:dyDescent="0.35">
      <c r="A548" s="3306" t="s">
        <v>6292</v>
      </c>
      <c r="B548" s="3307"/>
      <c r="C548" s="3307"/>
      <c r="D548" s="3307"/>
      <c r="E548" s="3307"/>
      <c r="F548" s="3308"/>
      <c r="G548" s="2093">
        <f>G546+G547</f>
        <v>1249.3100000000002</v>
      </c>
      <c r="H548" s="2094"/>
      <c r="I548" s="2863"/>
    </row>
    <row r="549" spans="1:16" ht="16.5" customHeight="1" thickBot="1" x14ac:dyDescent="0.3">
      <c r="G549" s="1247"/>
    </row>
    <row r="550" spans="1:16" ht="19.5" thickBot="1" x14ac:dyDescent="0.35">
      <c r="A550" s="3287" t="s">
        <v>6973</v>
      </c>
      <c r="B550" s="3288"/>
      <c r="C550" s="3288"/>
      <c r="D550" s="3288"/>
      <c r="E550" s="3288"/>
      <c r="F550" s="3288"/>
      <c r="G550" s="3289"/>
      <c r="J550" s="1354"/>
      <c r="K550" s="1667"/>
      <c r="L550" s="1667"/>
      <c r="M550" s="1944"/>
      <c r="N550" s="1667"/>
      <c r="O550" s="1944"/>
      <c r="P550" s="1667"/>
    </row>
    <row r="551" spans="1:16" x14ac:dyDescent="0.25">
      <c r="A551" s="2288">
        <v>45328</v>
      </c>
      <c r="B551" s="2288" t="s">
        <v>6210</v>
      </c>
      <c r="C551" s="3253" t="s">
        <v>6130</v>
      </c>
      <c r="D551" s="3254"/>
      <c r="E551" s="2289">
        <v>31.9</v>
      </c>
      <c r="F551" s="2290">
        <v>1</v>
      </c>
      <c r="G551" s="2296">
        <v>0</v>
      </c>
      <c r="H551" s="1247" t="s">
        <v>7130</v>
      </c>
      <c r="I551" s="2151"/>
      <c r="J551" s="1360"/>
      <c r="K551" s="1657"/>
      <c r="L551" s="1657"/>
      <c r="M551" s="2008"/>
      <c r="N551" s="2010"/>
      <c r="O551" s="2011"/>
      <c r="P551" s="1336"/>
    </row>
    <row r="552" spans="1:16" x14ac:dyDescent="0.25">
      <c r="A552" s="2465">
        <v>45328</v>
      </c>
      <c r="B552" s="2465" t="s">
        <v>6210</v>
      </c>
      <c r="C552" s="3279" t="s">
        <v>6130</v>
      </c>
      <c r="D552" s="3280"/>
      <c r="E552" s="2466">
        <v>31.9</v>
      </c>
      <c r="F552" s="2467">
        <v>1</v>
      </c>
      <c r="G552" s="2468">
        <v>31.9</v>
      </c>
      <c r="H552" s="1247" t="s">
        <v>1491</v>
      </c>
      <c r="I552" s="2151"/>
      <c r="J552" s="1360"/>
      <c r="K552" s="1657"/>
      <c r="L552" s="1657"/>
      <c r="M552" s="2008"/>
      <c r="N552" s="2010"/>
      <c r="O552" s="2011"/>
      <c r="P552" s="1336"/>
    </row>
    <row r="553" spans="1:16" x14ac:dyDescent="0.25">
      <c r="A553" s="2291">
        <v>45505</v>
      </c>
      <c r="B553" s="2292" t="s">
        <v>6210</v>
      </c>
      <c r="C553" s="3255" t="s">
        <v>6804</v>
      </c>
      <c r="D553" s="3256"/>
      <c r="E553" s="2293">
        <v>40</v>
      </c>
      <c r="F553" s="2294">
        <v>1</v>
      </c>
      <c r="G553" s="2298">
        <v>0</v>
      </c>
      <c r="H553" s="1247" t="s">
        <v>7131</v>
      </c>
      <c r="I553" s="2316"/>
      <c r="J553" s="2043"/>
      <c r="K553" s="2317"/>
      <c r="L553" s="2317"/>
      <c r="M553" s="2008"/>
      <c r="N553" s="2010"/>
      <c r="O553" s="2011"/>
      <c r="P553" s="1336"/>
    </row>
    <row r="554" spans="1:16" x14ac:dyDescent="0.25">
      <c r="A554" s="2291">
        <v>45505</v>
      </c>
      <c r="B554" s="2292" t="s">
        <v>6210</v>
      </c>
      <c r="C554" s="3257" t="s">
        <v>6805</v>
      </c>
      <c r="D554" s="3258"/>
      <c r="E554" s="2293">
        <v>45</v>
      </c>
      <c r="F554" s="2294">
        <v>1</v>
      </c>
      <c r="G554" s="2298">
        <v>0</v>
      </c>
      <c r="H554" s="1247" t="s">
        <v>7131</v>
      </c>
      <c r="I554" s="1345"/>
      <c r="J554" s="1360"/>
      <c r="K554" s="1657"/>
      <c r="L554" s="1657"/>
      <c r="M554" s="2008"/>
      <c r="N554" s="2010"/>
      <c r="O554" s="2011"/>
      <c r="P554" s="1336"/>
    </row>
    <row r="555" spans="1:16" x14ac:dyDescent="0.25">
      <c r="A555" s="2291">
        <v>45488</v>
      </c>
      <c r="B555" s="2292" t="s">
        <v>6210</v>
      </c>
      <c r="C555" s="3257" t="s">
        <v>6974</v>
      </c>
      <c r="D555" s="3258"/>
      <c r="E555" s="2293">
        <v>357.68</v>
      </c>
      <c r="F555" s="2294">
        <v>12</v>
      </c>
      <c r="G555" s="2298">
        <v>0</v>
      </c>
      <c r="H555" s="1247" t="s">
        <v>7132</v>
      </c>
      <c r="I555" s="1321"/>
      <c r="J555" s="1360"/>
      <c r="K555" s="1657"/>
      <c r="L555" s="1657"/>
      <c r="M555" s="2008"/>
      <c r="N555" s="2010"/>
      <c r="O555" s="2011"/>
      <c r="P555" s="1336"/>
    </row>
    <row r="556" spans="1:16" x14ac:dyDescent="0.25">
      <c r="A556" s="2291">
        <v>45470</v>
      </c>
      <c r="B556" s="2292" t="s">
        <v>6210</v>
      </c>
      <c r="C556" s="3257" t="s">
        <v>6975</v>
      </c>
      <c r="D556" s="3258"/>
      <c r="E556" s="2293">
        <v>5750</v>
      </c>
      <c r="F556" s="2294">
        <v>6</v>
      </c>
      <c r="G556" s="2298">
        <f t="shared" ref="G556:G558" si="161">E556/F556</f>
        <v>958.33333333333337</v>
      </c>
      <c r="H556" s="1247" t="s">
        <v>1524</v>
      </c>
      <c r="I556" s="1321">
        <f>G556/2</f>
        <v>479.16666666666669</v>
      </c>
      <c r="J556" s="2043" t="s">
        <v>6212</v>
      </c>
      <c r="K556" s="1657"/>
      <c r="L556" s="1657"/>
      <c r="M556" s="2008"/>
      <c r="N556" s="2010"/>
      <c r="O556" s="2011"/>
      <c r="P556" s="1336"/>
    </row>
    <row r="557" spans="1:16" x14ac:dyDescent="0.25">
      <c r="A557" s="2291">
        <v>45581</v>
      </c>
      <c r="B557" s="2465" t="s">
        <v>6210</v>
      </c>
      <c r="C557" s="3257" t="s">
        <v>6976</v>
      </c>
      <c r="D557" s="3258"/>
      <c r="E557" s="2293">
        <v>2398</v>
      </c>
      <c r="F557" s="2294">
        <v>4</v>
      </c>
      <c r="G557" s="2298">
        <f t="shared" si="161"/>
        <v>599.5</v>
      </c>
      <c r="H557" s="1247" t="s">
        <v>1525</v>
      </c>
      <c r="I557" s="1321">
        <f>G557/2</f>
        <v>299.75</v>
      </c>
      <c r="J557" s="2043" t="s">
        <v>6770</v>
      </c>
      <c r="K557" s="2317"/>
      <c r="L557" s="2317"/>
      <c r="M557" s="2008"/>
      <c r="N557" s="2010"/>
      <c r="O557" s="2011"/>
      <c r="P557" s="1336"/>
    </row>
    <row r="558" spans="1:16" x14ac:dyDescent="0.25">
      <c r="A558" s="2291">
        <v>45582</v>
      </c>
      <c r="B558" s="2292" t="s">
        <v>6210</v>
      </c>
      <c r="C558" s="3257" t="s">
        <v>6977</v>
      </c>
      <c r="D558" s="3258"/>
      <c r="E558" s="2293">
        <v>1772.59</v>
      </c>
      <c r="F558" s="2294">
        <v>2</v>
      </c>
      <c r="G558" s="2298">
        <f t="shared" si="161"/>
        <v>886.29499999999996</v>
      </c>
      <c r="H558" s="1247" t="s">
        <v>1524</v>
      </c>
      <c r="I558" s="1321">
        <f>G558/2</f>
        <v>443.14749999999998</v>
      </c>
      <c r="J558" s="2043" t="s">
        <v>6212</v>
      </c>
      <c r="K558" s="2317"/>
      <c r="L558" s="2317"/>
      <c r="M558" s="2008"/>
      <c r="N558" s="2010"/>
      <c r="O558" s="2011"/>
      <c r="P558" s="1336"/>
    </row>
    <row r="559" spans="1:16" x14ac:dyDescent="0.25">
      <c r="A559" s="2291">
        <v>45588</v>
      </c>
      <c r="B559" s="2292" t="s">
        <v>6210</v>
      </c>
      <c r="C559" s="3257" t="s">
        <v>7031</v>
      </c>
      <c r="D559" s="3258"/>
      <c r="E559" s="2293">
        <v>184.08</v>
      </c>
      <c r="F559" s="2294">
        <v>2</v>
      </c>
      <c r="G559" s="2298">
        <v>0</v>
      </c>
      <c r="H559" s="1247" t="s">
        <v>7130</v>
      </c>
      <c r="I559" s="2316"/>
      <c r="J559" s="2043"/>
      <c r="K559" s="2317"/>
      <c r="L559" s="2317"/>
      <c r="M559" s="2008"/>
      <c r="N559" s="2010"/>
      <c r="O559" s="2011"/>
      <c r="P559" s="1336"/>
    </row>
    <row r="560" spans="1:16" x14ac:dyDescent="0.25">
      <c r="A560" s="2291">
        <v>45595</v>
      </c>
      <c r="B560" s="2292" t="s">
        <v>6210</v>
      </c>
      <c r="C560" s="3257" t="s">
        <v>7032</v>
      </c>
      <c r="D560" s="3258"/>
      <c r="E560" s="2293">
        <v>300</v>
      </c>
      <c r="F560" s="2294">
        <v>2</v>
      </c>
      <c r="G560" s="2298">
        <v>0</v>
      </c>
      <c r="H560" s="1247" t="s">
        <v>7132</v>
      </c>
      <c r="I560" s="2316"/>
      <c r="J560" s="2043"/>
      <c r="K560" s="2317"/>
      <c r="L560" s="2317"/>
      <c r="M560" s="2008"/>
      <c r="N560" s="2010"/>
      <c r="O560" s="2011"/>
      <c r="P560" s="1336"/>
    </row>
    <row r="561" spans="1:16" x14ac:dyDescent="0.25">
      <c r="A561" s="2291">
        <v>45611</v>
      </c>
      <c r="B561" s="2292" t="s">
        <v>6210</v>
      </c>
      <c r="C561" s="3257" t="s">
        <v>7085</v>
      </c>
      <c r="D561" s="3258"/>
      <c r="E561" s="2293">
        <v>119.99</v>
      </c>
      <c r="F561" s="2294">
        <v>1</v>
      </c>
      <c r="G561" s="2298">
        <v>0</v>
      </c>
      <c r="H561" s="1247" t="s">
        <v>7133</v>
      </c>
      <c r="I561" s="2316"/>
      <c r="J561" s="2043"/>
      <c r="K561" s="2317"/>
      <c r="L561" s="2317"/>
      <c r="M561" s="2008"/>
      <c r="N561" s="2010"/>
      <c r="O561" s="2011"/>
      <c r="P561" s="1336"/>
    </row>
    <row r="562" spans="1:16" x14ac:dyDescent="0.25">
      <c r="A562" s="2291">
        <v>45617</v>
      </c>
      <c r="B562" s="2292" t="s">
        <v>6210</v>
      </c>
      <c r="C562" s="3257" t="s">
        <v>7112</v>
      </c>
      <c r="D562" s="3258"/>
      <c r="E562" s="2293">
        <v>65</v>
      </c>
      <c r="F562" s="2294">
        <v>1</v>
      </c>
      <c r="G562" s="2298">
        <v>0</v>
      </c>
      <c r="H562" s="1247" t="s">
        <v>7134</v>
      </c>
      <c r="I562" s="2316"/>
      <c r="J562" s="2043"/>
      <c r="K562" s="2317"/>
      <c r="L562" s="2317"/>
      <c r="M562" s="2008"/>
      <c r="N562" s="2010"/>
      <c r="O562" s="2011"/>
      <c r="P562" s="1336"/>
    </row>
    <row r="563" spans="1:16" x14ac:dyDescent="0.25">
      <c r="A563" s="2291">
        <v>45626</v>
      </c>
      <c r="B563" s="2292" t="s">
        <v>6210</v>
      </c>
      <c r="C563" s="3257" t="s">
        <v>7138</v>
      </c>
      <c r="D563" s="3258"/>
      <c r="E563" s="2293">
        <v>249.7</v>
      </c>
      <c r="F563" s="2294">
        <v>2</v>
      </c>
      <c r="G563" s="2298">
        <f t="shared" ref="G563" si="162">E563/F563</f>
        <v>124.85</v>
      </c>
      <c r="I563" s="2316">
        <f>G563</f>
        <v>124.85</v>
      </c>
      <c r="J563" s="2043" t="s">
        <v>4140</v>
      </c>
      <c r="K563" s="2317"/>
      <c r="L563" s="2317"/>
      <c r="M563" s="2008"/>
      <c r="N563" s="2010"/>
      <c r="O563" s="2011"/>
      <c r="P563" s="1336"/>
    </row>
    <row r="564" spans="1:16" x14ac:dyDescent="0.25">
      <c r="A564" s="2489">
        <v>45628</v>
      </c>
      <c r="B564" s="2490" t="s">
        <v>6209</v>
      </c>
      <c r="C564" s="3333" t="s">
        <v>7126</v>
      </c>
      <c r="D564" s="3334"/>
      <c r="E564" s="2491">
        <v>42.75</v>
      </c>
      <c r="F564" s="2492">
        <v>1</v>
      </c>
      <c r="G564" s="2493">
        <v>0</v>
      </c>
      <c r="H564" s="1247" t="s">
        <v>7134</v>
      </c>
      <c r="I564" s="1321"/>
      <c r="J564" s="1360"/>
      <c r="K564" s="1657"/>
      <c r="L564" s="1657"/>
      <c r="M564" s="2008"/>
      <c r="N564" s="2010"/>
      <c r="O564" s="2011"/>
      <c r="P564" s="1336"/>
    </row>
    <row r="565" spans="1:16" x14ac:dyDescent="0.25">
      <c r="A565" s="2489">
        <v>45628</v>
      </c>
      <c r="B565" s="2490" t="s">
        <v>6209</v>
      </c>
      <c r="C565" s="3333" t="s">
        <v>7127</v>
      </c>
      <c r="D565" s="3334"/>
      <c r="E565" s="2491">
        <v>170.07</v>
      </c>
      <c r="F565" s="2492">
        <v>1</v>
      </c>
      <c r="G565" s="2493">
        <v>0</v>
      </c>
      <c r="H565" s="1247" t="s">
        <v>7135</v>
      </c>
      <c r="I565" s="1321"/>
      <c r="J565" s="1360"/>
      <c r="K565" s="1657"/>
      <c r="L565" s="1657"/>
      <c r="M565" s="2008"/>
      <c r="N565" s="2010"/>
      <c r="O565" s="2011"/>
      <c r="P565" s="1336"/>
    </row>
    <row r="566" spans="1:16" x14ac:dyDescent="0.25">
      <c r="A566" s="2489">
        <v>45628</v>
      </c>
      <c r="B566" s="2490" t="s">
        <v>6209</v>
      </c>
      <c r="C566" s="3333" t="s">
        <v>7128</v>
      </c>
      <c r="D566" s="3334"/>
      <c r="E566" s="2491">
        <v>35.869999999999997</v>
      </c>
      <c r="F566" s="2492">
        <v>1</v>
      </c>
      <c r="G566" s="2493">
        <v>0</v>
      </c>
      <c r="H566" s="1247" t="s">
        <v>7130</v>
      </c>
      <c r="I566" s="1321"/>
      <c r="J566" s="1360"/>
      <c r="K566" s="1657"/>
      <c r="L566" s="1657"/>
      <c r="M566" s="2008"/>
      <c r="N566" s="2010"/>
      <c r="O566" s="2011"/>
      <c r="P566" s="1336"/>
    </row>
    <row r="567" spans="1:16" x14ac:dyDescent="0.25">
      <c r="A567" s="2489">
        <v>45628</v>
      </c>
      <c r="B567" s="2490" t="s">
        <v>6209</v>
      </c>
      <c r="C567" s="3333" t="s">
        <v>7129</v>
      </c>
      <c r="D567" s="3334"/>
      <c r="E567" s="2491">
        <v>59.96</v>
      </c>
      <c r="F567" s="2492">
        <v>1</v>
      </c>
      <c r="G567" s="2493">
        <v>0</v>
      </c>
      <c r="H567" s="1247" t="s">
        <v>7136</v>
      </c>
      <c r="I567" s="1321"/>
      <c r="J567" s="1360"/>
      <c r="K567" s="1657"/>
      <c r="L567" s="1657"/>
      <c r="M567" s="2008"/>
      <c r="N567" s="2010"/>
      <c r="O567" s="2011"/>
      <c r="P567" s="1336"/>
    </row>
    <row r="568" spans="1:16" x14ac:dyDescent="0.25">
      <c r="A568" s="2307">
        <v>45630</v>
      </c>
      <c r="B568" s="2308" t="s">
        <v>6210</v>
      </c>
      <c r="C568" s="3309" t="s">
        <v>7142</v>
      </c>
      <c r="D568" s="3310"/>
      <c r="E568" s="2309">
        <v>190.92</v>
      </c>
      <c r="F568" s="2310">
        <v>2</v>
      </c>
      <c r="G568" s="2311">
        <f t="shared" ref="G568" si="163">E568/F568</f>
        <v>95.46</v>
      </c>
      <c r="H568" s="1247" t="s">
        <v>1525</v>
      </c>
      <c r="I568" s="2316"/>
      <c r="J568" s="2043"/>
      <c r="K568" s="2317"/>
      <c r="L568" s="2317"/>
      <c r="M568" s="2008"/>
      <c r="N568" s="2010"/>
      <c r="O568" s="2011"/>
      <c r="P568" s="1336"/>
    </row>
    <row r="569" spans="1:16" ht="15.75" x14ac:dyDescent="0.25">
      <c r="A569" s="3281" t="s">
        <v>6284</v>
      </c>
      <c r="B569" s="3282"/>
      <c r="C569" s="3282"/>
      <c r="D569" s="3282"/>
      <c r="E569" s="2295">
        <v>5600</v>
      </c>
      <c r="F569" s="3311">
        <f>SUM(H575:H576)</f>
        <v>1349.4241666666667</v>
      </c>
      <c r="G569" s="3312" t="e">
        <f>SUM(#REF!)</f>
        <v>#REF!</v>
      </c>
      <c r="H569" s="3296" t="s">
        <v>6301</v>
      </c>
      <c r="J569" s="1382"/>
      <c r="N569" s="1336"/>
      <c r="O569" s="2012"/>
      <c r="P569" s="1336"/>
    </row>
    <row r="570" spans="1:16" ht="15.75" x14ac:dyDescent="0.25">
      <c r="A570" s="3290" t="s">
        <v>6285</v>
      </c>
      <c r="B570" s="3291"/>
      <c r="C570" s="3291"/>
      <c r="D570" s="3291"/>
      <c r="E570" s="2302">
        <v>11000</v>
      </c>
      <c r="F570" s="3313">
        <f>SUM(F569:F569)</f>
        <v>1349.4241666666667</v>
      </c>
      <c r="G570" s="3312" t="e">
        <f>SUM(G569:G569)</f>
        <v>#REF!</v>
      </c>
      <c r="H570" s="3296"/>
      <c r="J570" s="1382"/>
      <c r="N570" s="1336"/>
      <c r="O570" s="2012"/>
      <c r="P570" s="1336"/>
    </row>
    <row r="571" spans="1:16" ht="15.75" x14ac:dyDescent="0.25">
      <c r="A571" s="3292" t="s">
        <v>6286</v>
      </c>
      <c r="B571" s="3293"/>
      <c r="C571" s="3293"/>
      <c r="D571" s="3293"/>
      <c r="E571" s="2303">
        <v>0</v>
      </c>
      <c r="F571" s="3313">
        <f t="shared" ref="F571:F574" si="164">SUM(F569:F570)</f>
        <v>2698.8483333333334</v>
      </c>
      <c r="G571" s="3312" t="e">
        <f t="shared" ref="G571:G574" si="165">SUM(G569:G570)</f>
        <v>#REF!</v>
      </c>
      <c r="H571" s="3296"/>
    </row>
    <row r="572" spans="1:16" ht="15.75" x14ac:dyDescent="0.25">
      <c r="A572" s="3294" t="s">
        <v>6287</v>
      </c>
      <c r="B572" s="3295"/>
      <c r="C572" s="3295"/>
      <c r="D572" s="3295"/>
      <c r="E572" s="2304">
        <v>4151.87</v>
      </c>
      <c r="F572" s="3313">
        <f t="shared" si="164"/>
        <v>4048.2725</v>
      </c>
      <c r="G572" s="3312" t="e">
        <f t="shared" si="165"/>
        <v>#REF!</v>
      </c>
      <c r="H572" s="3296"/>
    </row>
    <row r="573" spans="1:16" ht="17.25" customHeight="1" thickBot="1" x14ac:dyDescent="0.3">
      <c r="A573" s="3281" t="s">
        <v>6288</v>
      </c>
      <c r="B573" s="3282"/>
      <c r="C573" s="3282"/>
      <c r="D573" s="3282"/>
      <c r="E573" s="2295">
        <f>E569-E571</f>
        <v>5600</v>
      </c>
      <c r="F573" s="3313">
        <f t="shared" si="164"/>
        <v>6747.1208333333334</v>
      </c>
      <c r="G573" s="3312" t="e">
        <f t="shared" si="165"/>
        <v>#REF!</v>
      </c>
      <c r="H573" s="3296"/>
    </row>
    <row r="574" spans="1:16" ht="17.25" customHeight="1" thickBot="1" x14ac:dyDescent="0.3">
      <c r="A574" s="3299" t="s">
        <v>6289</v>
      </c>
      <c r="B574" s="3300"/>
      <c r="C574" s="3300"/>
      <c r="D574" s="3300"/>
      <c r="E574" s="2092">
        <f>E570-E572</f>
        <v>6848.13</v>
      </c>
      <c r="F574" s="3314">
        <f t="shared" si="164"/>
        <v>10795.393333333333</v>
      </c>
      <c r="G574" s="3315" t="e">
        <f t="shared" si="165"/>
        <v>#REF!</v>
      </c>
      <c r="H574" s="3296"/>
    </row>
    <row r="575" spans="1:16" ht="16.5" thickBot="1" x14ac:dyDescent="0.3">
      <c r="A575" s="3302" t="s">
        <v>6290</v>
      </c>
      <c r="B575" s="3303"/>
      <c r="C575" s="3303"/>
      <c r="D575" s="3303"/>
      <c r="E575" s="3303"/>
      <c r="F575" s="3304"/>
      <c r="G575" s="2299">
        <f>SUMIF(B551:B568,"SANTANDER",G551:G568)</f>
        <v>0</v>
      </c>
      <c r="H575" s="1942">
        <f>G575</f>
        <v>0</v>
      </c>
      <c r="I575" s="2862" t="s">
        <v>6213</v>
      </c>
    </row>
    <row r="576" spans="1:16" ht="16.5" thickBot="1" x14ac:dyDescent="0.3">
      <c r="A576" s="3294" t="s">
        <v>6291</v>
      </c>
      <c r="B576" s="3295"/>
      <c r="C576" s="3295"/>
      <c r="D576" s="3295"/>
      <c r="E576" s="3295"/>
      <c r="F576" s="3305"/>
      <c r="G576" s="2300">
        <f>SUMIF(B551:B568,"NUBANK",G551:G568)</f>
        <v>2696.3383333333331</v>
      </c>
      <c r="H576" s="1942">
        <f>G576-I556-I557-I558-I563</f>
        <v>1349.4241666666667</v>
      </c>
      <c r="I576" s="2862" t="s">
        <v>6213</v>
      </c>
    </row>
    <row r="577" spans="1:16" ht="16.5" customHeight="1" thickBot="1" x14ac:dyDescent="0.35">
      <c r="A577" s="3306" t="s">
        <v>6292</v>
      </c>
      <c r="B577" s="3307"/>
      <c r="C577" s="3307"/>
      <c r="D577" s="3307"/>
      <c r="E577" s="3307"/>
      <c r="F577" s="3308"/>
      <c r="G577" s="2093">
        <f>G575+G576</f>
        <v>2696.3383333333331</v>
      </c>
      <c r="H577" s="2094"/>
      <c r="I577" s="2863"/>
    </row>
    <row r="578" spans="1:16" ht="16.5" customHeight="1" thickBot="1" x14ac:dyDescent="0.3">
      <c r="G578" s="1247"/>
    </row>
    <row r="579" spans="1:16" ht="19.5" thickBot="1" x14ac:dyDescent="0.35">
      <c r="A579" s="3287" t="s">
        <v>6909</v>
      </c>
      <c r="B579" s="3288"/>
      <c r="C579" s="3288"/>
      <c r="D579" s="3288"/>
      <c r="E579" s="3288"/>
      <c r="F579" s="3288"/>
      <c r="G579" s="3289"/>
      <c r="J579" s="1354"/>
      <c r="K579" s="1667"/>
      <c r="L579" s="1667"/>
      <c r="M579" s="1944"/>
      <c r="N579" s="1667"/>
      <c r="O579" s="1944"/>
      <c r="P579" s="1667"/>
    </row>
    <row r="580" spans="1:16" x14ac:dyDescent="0.25">
      <c r="A580" s="2288">
        <v>45328</v>
      </c>
      <c r="B580" s="2288" t="s">
        <v>6210</v>
      </c>
      <c r="C580" s="3253" t="s">
        <v>6130</v>
      </c>
      <c r="D580" s="3254"/>
      <c r="E580" s="2289">
        <v>31.9</v>
      </c>
      <c r="F580" s="2290">
        <v>1</v>
      </c>
      <c r="G580" s="2296">
        <v>0</v>
      </c>
      <c r="H580" s="1272" t="s">
        <v>7041</v>
      </c>
      <c r="I580" s="2151"/>
      <c r="J580" s="1360"/>
      <c r="K580" s="1657"/>
      <c r="L580" s="1657"/>
      <c r="M580" s="2008"/>
      <c r="N580" s="2010"/>
      <c r="O580" s="2011"/>
      <c r="P580" s="1336"/>
    </row>
    <row r="581" spans="1:16" x14ac:dyDescent="0.25">
      <c r="A581" s="2291">
        <v>45505</v>
      </c>
      <c r="B581" s="2292" t="s">
        <v>6210</v>
      </c>
      <c r="C581" s="3255" t="s">
        <v>6804</v>
      </c>
      <c r="D581" s="3256"/>
      <c r="E581" s="2293">
        <v>40</v>
      </c>
      <c r="F581" s="2294">
        <v>1</v>
      </c>
      <c r="G581" s="2298">
        <v>0</v>
      </c>
      <c r="H581" s="1272" t="s">
        <v>7042</v>
      </c>
      <c r="I581" s="2316"/>
      <c r="J581" s="2043"/>
      <c r="K581" s="2317"/>
      <c r="L581" s="2317"/>
      <c r="M581" s="2008"/>
      <c r="N581" s="2010"/>
      <c r="O581" s="2011"/>
      <c r="P581" s="1336"/>
    </row>
    <row r="582" spans="1:16" x14ac:dyDescent="0.25">
      <c r="A582" s="2291">
        <v>45505</v>
      </c>
      <c r="B582" s="2292" t="s">
        <v>6210</v>
      </c>
      <c r="C582" s="3257" t="s">
        <v>6805</v>
      </c>
      <c r="D582" s="3258"/>
      <c r="E582" s="2293">
        <v>45</v>
      </c>
      <c r="F582" s="2294">
        <v>1</v>
      </c>
      <c r="G582" s="2298">
        <v>0</v>
      </c>
      <c r="H582" s="1272" t="s">
        <v>7042</v>
      </c>
      <c r="I582" s="1345"/>
      <c r="J582" s="1360"/>
      <c r="K582" s="1657"/>
      <c r="L582" s="1657"/>
      <c r="M582" s="2008"/>
      <c r="N582" s="2010"/>
      <c r="O582" s="2011"/>
      <c r="P582" s="1336"/>
    </row>
    <row r="583" spans="1:16" x14ac:dyDescent="0.25">
      <c r="A583" s="2291">
        <v>45488</v>
      </c>
      <c r="B583" s="2292" t="s">
        <v>6210</v>
      </c>
      <c r="C583" s="3257" t="s">
        <v>6910</v>
      </c>
      <c r="D583" s="3258"/>
      <c r="E583" s="2293">
        <v>357.68</v>
      </c>
      <c r="F583" s="2294">
        <v>12</v>
      </c>
      <c r="G583" s="2298">
        <v>0</v>
      </c>
      <c r="H583" s="1272" t="s">
        <v>7043</v>
      </c>
      <c r="I583" s="1321"/>
      <c r="J583" s="1360"/>
      <c r="K583" s="1657"/>
      <c r="L583" s="1657"/>
      <c r="M583" s="2008"/>
      <c r="N583" s="2010"/>
      <c r="O583" s="2011"/>
      <c r="P583" s="1336"/>
    </row>
    <row r="584" spans="1:16" x14ac:dyDescent="0.25">
      <c r="A584" s="2291">
        <v>45470</v>
      </c>
      <c r="B584" s="2292" t="s">
        <v>6210</v>
      </c>
      <c r="C584" s="3257" t="s">
        <v>6911</v>
      </c>
      <c r="D584" s="3258"/>
      <c r="E584" s="2293">
        <v>5750</v>
      </c>
      <c r="F584" s="2294">
        <v>6</v>
      </c>
      <c r="G584" s="2298">
        <f t="shared" ref="G584:G596" si="166">E584/F584</f>
        <v>958.33333333333337</v>
      </c>
      <c r="H584" s="1247" t="s">
        <v>1524</v>
      </c>
      <c r="I584" s="1321">
        <f>G584/2</f>
        <v>479.16666666666669</v>
      </c>
      <c r="J584" s="2043" t="s">
        <v>6212</v>
      </c>
      <c r="K584" s="1657"/>
      <c r="L584" s="1657"/>
      <c r="M584" s="2008"/>
      <c r="N584" s="2010"/>
      <c r="O584" s="2011"/>
      <c r="P584" s="1336"/>
    </row>
    <row r="585" spans="1:16" x14ac:dyDescent="0.25">
      <c r="A585" s="2465">
        <v>45544</v>
      </c>
      <c r="B585" s="2465" t="s">
        <v>6210</v>
      </c>
      <c r="C585" s="3261" t="s">
        <v>6912</v>
      </c>
      <c r="D585" s="3262"/>
      <c r="E585" s="2466">
        <v>354.99</v>
      </c>
      <c r="F585" s="2467">
        <v>3</v>
      </c>
      <c r="G585" s="2468">
        <v>0</v>
      </c>
      <c r="H585" s="1272" t="s">
        <v>7018</v>
      </c>
      <c r="I585" s="2316"/>
      <c r="J585" s="2043"/>
      <c r="K585" s="2317"/>
      <c r="L585" s="2317"/>
      <c r="M585" s="2008"/>
      <c r="N585" s="2010"/>
      <c r="O585" s="2011"/>
      <c r="P585" s="1336"/>
    </row>
    <row r="586" spans="1:16" x14ac:dyDescent="0.25">
      <c r="A586" s="2465">
        <v>45581</v>
      </c>
      <c r="B586" s="2465" t="s">
        <v>6210</v>
      </c>
      <c r="C586" s="3257" t="s">
        <v>6962</v>
      </c>
      <c r="D586" s="3258"/>
      <c r="E586" s="2293">
        <v>454.89</v>
      </c>
      <c r="F586" s="2294">
        <v>1</v>
      </c>
      <c r="G586" s="2298">
        <f t="shared" si="166"/>
        <v>454.89</v>
      </c>
      <c r="H586" s="1247" t="s">
        <v>1525</v>
      </c>
      <c r="I586" s="1321">
        <f>G586/2</f>
        <v>227.44499999999999</v>
      </c>
      <c r="J586" s="2043" t="s">
        <v>6770</v>
      </c>
      <c r="K586" s="2317"/>
      <c r="L586" s="2317"/>
      <c r="M586" s="2008"/>
      <c r="N586" s="2010"/>
      <c r="O586" s="2011"/>
      <c r="P586" s="1336"/>
    </row>
    <row r="587" spans="1:16" x14ac:dyDescent="0.25">
      <c r="A587" s="2291">
        <v>45581</v>
      </c>
      <c r="B587" s="2465" t="s">
        <v>6210</v>
      </c>
      <c r="C587" s="3257" t="s">
        <v>6963</v>
      </c>
      <c r="D587" s="3258"/>
      <c r="E587" s="2293">
        <v>2398</v>
      </c>
      <c r="F587" s="2294">
        <v>4</v>
      </c>
      <c r="G587" s="2298">
        <f t="shared" ref="G587" si="167">E587/F587</f>
        <v>599.5</v>
      </c>
      <c r="H587" s="1247" t="s">
        <v>1525</v>
      </c>
      <c r="I587" s="1321">
        <f>G587/2</f>
        <v>299.75</v>
      </c>
      <c r="J587" s="2043" t="s">
        <v>6770</v>
      </c>
      <c r="K587" s="2317"/>
      <c r="L587" s="2317"/>
      <c r="M587" s="2008"/>
      <c r="N587" s="2010"/>
      <c r="O587" s="2011"/>
      <c r="P587" s="1336"/>
    </row>
    <row r="588" spans="1:16" x14ac:dyDescent="0.25">
      <c r="A588" s="2291">
        <v>45582</v>
      </c>
      <c r="B588" s="2465" t="s">
        <v>6210</v>
      </c>
      <c r="C588" s="3257" t="s">
        <v>6966</v>
      </c>
      <c r="D588" s="3258"/>
      <c r="E588" s="2293">
        <v>157</v>
      </c>
      <c r="F588" s="2294">
        <v>1</v>
      </c>
      <c r="G588" s="2298">
        <v>0</v>
      </c>
      <c r="H588" s="1272" t="s">
        <v>7046</v>
      </c>
      <c r="I588" s="1321"/>
      <c r="J588" s="2043"/>
      <c r="K588" s="2317"/>
      <c r="L588" s="2317"/>
      <c r="M588" s="2008"/>
      <c r="N588" s="2010"/>
      <c r="O588" s="2011"/>
      <c r="P588" s="1336"/>
    </row>
    <row r="589" spans="1:16" x14ac:dyDescent="0.25">
      <c r="A589" s="2291">
        <v>45582</v>
      </c>
      <c r="B589" s="2292" t="s">
        <v>6210</v>
      </c>
      <c r="C589" s="3257" t="s">
        <v>6968</v>
      </c>
      <c r="D589" s="3258"/>
      <c r="E589" s="2293">
        <v>1772.59</v>
      </c>
      <c r="F589" s="2294">
        <v>2</v>
      </c>
      <c r="G589" s="2298">
        <f t="shared" si="166"/>
        <v>886.29499999999996</v>
      </c>
      <c r="H589" s="1247" t="s">
        <v>1524</v>
      </c>
      <c r="I589" s="1321">
        <f>G589/2</f>
        <v>443.14749999999998</v>
      </c>
      <c r="J589" s="2043" t="s">
        <v>6212</v>
      </c>
      <c r="K589" s="2317"/>
      <c r="L589" s="2317"/>
      <c r="M589" s="2008"/>
      <c r="N589" s="2010"/>
      <c r="O589" s="2011"/>
      <c r="P589" s="1336"/>
    </row>
    <row r="590" spans="1:16" x14ac:dyDescent="0.25">
      <c r="A590" s="2291">
        <v>45584</v>
      </c>
      <c r="B590" s="2292" t="s">
        <v>6210</v>
      </c>
      <c r="C590" s="3257" t="s">
        <v>6969</v>
      </c>
      <c r="D590" s="3258"/>
      <c r="E590" s="2293">
        <v>1316.25</v>
      </c>
      <c r="F590" s="2294">
        <v>1</v>
      </c>
      <c r="G590" s="2298">
        <f t="shared" si="166"/>
        <v>1316.25</v>
      </c>
      <c r="H590" s="1247" t="s">
        <v>1524</v>
      </c>
      <c r="I590" s="1321">
        <f>G590/2</f>
        <v>658.125</v>
      </c>
      <c r="J590" s="2043" t="s">
        <v>6212</v>
      </c>
      <c r="K590" s="2317"/>
      <c r="L590" s="2317"/>
      <c r="M590" s="2008"/>
      <c r="N590" s="2010"/>
      <c r="O590" s="2011"/>
      <c r="P590" s="1336"/>
    </row>
    <row r="591" spans="1:16" x14ac:dyDescent="0.25">
      <c r="A591" s="2291">
        <v>45588</v>
      </c>
      <c r="B591" s="2292" t="s">
        <v>6210</v>
      </c>
      <c r="C591" s="3257" t="s">
        <v>7002</v>
      </c>
      <c r="D591" s="3258"/>
      <c r="E591" s="2293">
        <v>184.08</v>
      </c>
      <c r="F591" s="2294">
        <v>2</v>
      </c>
      <c r="G591" s="2298">
        <v>0</v>
      </c>
      <c r="H591" s="1272" t="s">
        <v>7041</v>
      </c>
      <c r="I591" s="2316"/>
      <c r="J591" s="2043"/>
      <c r="K591" s="2317"/>
      <c r="L591" s="2317"/>
      <c r="M591" s="2008"/>
      <c r="N591" s="2010"/>
      <c r="O591" s="2011"/>
      <c r="P591" s="1336"/>
    </row>
    <row r="592" spans="1:16" x14ac:dyDescent="0.25">
      <c r="A592" s="2291">
        <v>45440</v>
      </c>
      <c r="B592" s="2292" t="s">
        <v>6210</v>
      </c>
      <c r="C592" s="3257" t="s">
        <v>7021</v>
      </c>
      <c r="D592" s="3258"/>
      <c r="E592" s="2293">
        <v>89</v>
      </c>
      <c r="F592" s="2294">
        <v>1</v>
      </c>
      <c r="G592" s="2298">
        <v>0</v>
      </c>
      <c r="H592" s="1272" t="s">
        <v>7044</v>
      </c>
      <c r="I592" s="2316"/>
      <c r="J592" s="2043"/>
      <c r="K592" s="2317"/>
      <c r="L592" s="2317"/>
      <c r="M592" s="2008"/>
      <c r="N592" s="2010"/>
      <c r="O592" s="2011"/>
      <c r="P592" s="1336"/>
    </row>
    <row r="593" spans="1:16" x14ac:dyDescent="0.25">
      <c r="A593" s="2291">
        <v>45440</v>
      </c>
      <c r="B593" s="2292" t="s">
        <v>6210</v>
      </c>
      <c r="C593" s="3257" t="s">
        <v>7022</v>
      </c>
      <c r="D593" s="3258"/>
      <c r="E593" s="2293">
        <v>33</v>
      </c>
      <c r="F593" s="2294">
        <v>1</v>
      </c>
      <c r="G593" s="2298">
        <v>0</v>
      </c>
      <c r="H593" s="1272" t="s">
        <v>7045</v>
      </c>
      <c r="I593" s="2316"/>
      <c r="J593" s="2043"/>
      <c r="K593" s="2317"/>
      <c r="L593" s="2317"/>
      <c r="M593" s="2008"/>
      <c r="N593" s="2010"/>
      <c r="O593" s="2011"/>
      <c r="P593" s="1336"/>
    </row>
    <row r="594" spans="1:16" x14ac:dyDescent="0.25">
      <c r="A594" s="2291">
        <v>45440</v>
      </c>
      <c r="B594" s="2292" t="s">
        <v>6210</v>
      </c>
      <c r="C594" s="3257" t="s">
        <v>7023</v>
      </c>
      <c r="D594" s="3258"/>
      <c r="E594" s="2293">
        <v>31</v>
      </c>
      <c r="F594" s="2294">
        <v>1</v>
      </c>
      <c r="G594" s="2298">
        <v>0</v>
      </c>
      <c r="H594" s="1272" t="s">
        <v>7046</v>
      </c>
      <c r="I594" s="2316"/>
      <c r="J594" s="2043"/>
      <c r="K594" s="2317"/>
      <c r="L594" s="2317"/>
      <c r="M594" s="2008"/>
      <c r="N594" s="2010"/>
      <c r="O594" s="2011"/>
      <c r="P594" s="1336"/>
    </row>
    <row r="595" spans="1:16" x14ac:dyDescent="0.25">
      <c r="A595" s="2291">
        <v>45440</v>
      </c>
      <c r="B595" s="2292" t="s">
        <v>6210</v>
      </c>
      <c r="C595" s="3257" t="s">
        <v>7024</v>
      </c>
      <c r="D595" s="3258"/>
      <c r="E595" s="2293">
        <v>42</v>
      </c>
      <c r="F595" s="2294">
        <v>1</v>
      </c>
      <c r="G595" s="2298">
        <v>0</v>
      </c>
      <c r="H595" s="1272" t="s">
        <v>7046</v>
      </c>
      <c r="I595" s="2316"/>
      <c r="J595" s="2043"/>
      <c r="K595" s="2317"/>
      <c r="L595" s="2317"/>
      <c r="M595" s="2008"/>
      <c r="N595" s="2010"/>
      <c r="O595" s="2011"/>
      <c r="P595" s="1336"/>
    </row>
    <row r="596" spans="1:16" x14ac:dyDescent="0.25">
      <c r="A596" s="2291">
        <v>45595</v>
      </c>
      <c r="B596" s="2292" t="s">
        <v>6210</v>
      </c>
      <c r="C596" s="3257" t="s">
        <v>7033</v>
      </c>
      <c r="D596" s="3258"/>
      <c r="E596" s="2293">
        <v>300</v>
      </c>
      <c r="F596" s="2294">
        <v>2</v>
      </c>
      <c r="G596" s="2298">
        <f t="shared" si="166"/>
        <v>150</v>
      </c>
      <c r="H596" s="1247" t="s">
        <v>1489</v>
      </c>
      <c r="I596" s="2316"/>
      <c r="J596" s="2043"/>
      <c r="K596" s="2317"/>
      <c r="L596" s="2317"/>
      <c r="M596" s="2008"/>
      <c r="N596" s="2010"/>
      <c r="O596" s="2011"/>
      <c r="P596" s="1336"/>
    </row>
    <row r="597" spans="1:16" x14ac:dyDescent="0.25">
      <c r="A597" s="2291">
        <v>45603</v>
      </c>
      <c r="B597" s="2292" t="s">
        <v>6210</v>
      </c>
      <c r="C597" s="3257" t="s">
        <v>7047</v>
      </c>
      <c r="D597" s="3258"/>
      <c r="E597" s="2293">
        <v>335.25</v>
      </c>
      <c r="F597" s="2294">
        <v>1</v>
      </c>
      <c r="G597" s="2298">
        <f t="shared" ref="G597" si="168">E597/F597</f>
        <v>335.25</v>
      </c>
      <c r="H597" s="1247" t="s">
        <v>1524</v>
      </c>
      <c r="I597" s="1321">
        <f>G597/2</f>
        <v>167.625</v>
      </c>
      <c r="J597" s="2043" t="s">
        <v>6212</v>
      </c>
      <c r="K597" s="2317"/>
      <c r="L597" s="2317"/>
      <c r="M597" s="2008"/>
      <c r="N597" s="2010"/>
      <c r="O597" s="2011"/>
      <c r="P597" s="1336"/>
    </row>
    <row r="598" spans="1:16" x14ac:dyDescent="0.25">
      <c r="A598" s="2404">
        <v>45589</v>
      </c>
      <c r="B598" s="2470" t="s">
        <v>6792</v>
      </c>
      <c r="C598" s="3246" t="s">
        <v>7015</v>
      </c>
      <c r="D598" s="3247"/>
      <c r="E598" s="2406">
        <v>18</v>
      </c>
      <c r="F598" s="2407">
        <v>1</v>
      </c>
      <c r="G598" s="2408">
        <v>18</v>
      </c>
      <c r="H598" s="1247" t="s">
        <v>1506</v>
      </c>
      <c r="I598" s="2316">
        <v>18</v>
      </c>
      <c r="J598" s="2043"/>
      <c r="K598" s="2317"/>
      <c r="L598" s="2317"/>
      <c r="M598" s="2008"/>
      <c r="N598" s="2010"/>
      <c r="O598" s="2011"/>
      <c r="P598" s="1336"/>
    </row>
    <row r="599" spans="1:16" x14ac:dyDescent="0.25">
      <c r="A599" s="2469">
        <v>45551</v>
      </c>
      <c r="B599" s="2470" t="s">
        <v>6792</v>
      </c>
      <c r="C599" s="3479" t="s">
        <v>6913</v>
      </c>
      <c r="D599" s="3480"/>
      <c r="E599" s="2471">
        <v>300</v>
      </c>
      <c r="F599" s="2472">
        <v>2</v>
      </c>
      <c r="G599" s="2473">
        <f>E599/F599</f>
        <v>150</v>
      </c>
      <c r="H599" s="1247" t="s">
        <v>1489</v>
      </c>
      <c r="I599" s="1321">
        <f>G599/2</f>
        <v>75</v>
      </c>
      <c r="J599" s="2043" t="s">
        <v>6770</v>
      </c>
      <c r="K599" s="2317"/>
      <c r="L599" s="2317"/>
      <c r="M599" s="2008"/>
      <c r="N599" s="2010"/>
      <c r="O599" s="2011"/>
      <c r="P599" s="1336"/>
    </row>
    <row r="600" spans="1:16" ht="15.75" x14ac:dyDescent="0.25">
      <c r="A600" s="3281" t="s">
        <v>6284</v>
      </c>
      <c r="B600" s="3282"/>
      <c r="C600" s="3282"/>
      <c r="D600" s="3282"/>
      <c r="E600" s="2295">
        <v>5600</v>
      </c>
      <c r="F600" s="3344">
        <f>SUM(H606:H607)</f>
        <v>2518.2591666666663</v>
      </c>
      <c r="G600" s="3345" t="e">
        <f>SUM(#REF!)</f>
        <v>#REF!</v>
      </c>
      <c r="H600" s="3296" t="s">
        <v>6301</v>
      </c>
      <c r="J600" s="1382"/>
      <c r="N600" s="1336"/>
      <c r="O600" s="2012"/>
      <c r="P600" s="1336"/>
    </row>
    <row r="601" spans="1:16" ht="15.75" x14ac:dyDescent="0.25">
      <c r="A601" s="3290" t="s">
        <v>6285</v>
      </c>
      <c r="B601" s="3291"/>
      <c r="C601" s="3291"/>
      <c r="D601" s="3291"/>
      <c r="E601" s="2302">
        <v>11000</v>
      </c>
      <c r="F601" s="3313">
        <f>SUM(F600:F600)</f>
        <v>2518.2591666666663</v>
      </c>
      <c r="G601" s="3312" t="e">
        <f>SUM(G600:G600)</f>
        <v>#REF!</v>
      </c>
      <c r="H601" s="3296"/>
      <c r="J601" s="1382"/>
      <c r="N601" s="1336"/>
      <c r="O601" s="2012"/>
      <c r="P601" s="1336"/>
    </row>
    <row r="602" spans="1:16" ht="15.75" x14ac:dyDescent="0.25">
      <c r="A602" s="3292" t="s">
        <v>6286</v>
      </c>
      <c r="B602" s="3293"/>
      <c r="C602" s="3293"/>
      <c r="D602" s="3293"/>
      <c r="E602" s="2303">
        <v>0</v>
      </c>
      <c r="F602" s="3313">
        <f t="shared" ref="F602:F605" si="169">SUM(F600:F601)</f>
        <v>5036.5183333333325</v>
      </c>
      <c r="G602" s="3312" t="e">
        <f t="shared" ref="G602:G605" si="170">SUM(G600:G601)</f>
        <v>#REF!</v>
      </c>
      <c r="H602" s="3296"/>
    </row>
    <row r="603" spans="1:16" ht="15.75" x14ac:dyDescent="0.25">
      <c r="A603" s="3294" t="s">
        <v>6287</v>
      </c>
      <c r="B603" s="3295"/>
      <c r="C603" s="3295"/>
      <c r="D603" s="3295"/>
      <c r="E603" s="2304">
        <v>8608.57</v>
      </c>
      <c r="F603" s="3313">
        <f t="shared" si="169"/>
        <v>7554.7774999999983</v>
      </c>
      <c r="G603" s="3312" t="e">
        <f t="shared" si="170"/>
        <v>#REF!</v>
      </c>
      <c r="H603" s="3296"/>
    </row>
    <row r="604" spans="1:16" ht="17.25" customHeight="1" thickBot="1" x14ac:dyDescent="0.3">
      <c r="A604" s="3281" t="s">
        <v>6288</v>
      </c>
      <c r="B604" s="3282"/>
      <c r="C604" s="3282"/>
      <c r="D604" s="3282"/>
      <c r="E604" s="2295">
        <f>E600-E602</f>
        <v>5600</v>
      </c>
      <c r="F604" s="3313">
        <f t="shared" si="169"/>
        <v>12591.29583333333</v>
      </c>
      <c r="G604" s="3312" t="e">
        <f t="shared" si="170"/>
        <v>#REF!</v>
      </c>
      <c r="H604" s="3296"/>
    </row>
    <row r="605" spans="1:16" ht="17.25" customHeight="1" thickBot="1" x14ac:dyDescent="0.3">
      <c r="A605" s="3299" t="s">
        <v>6289</v>
      </c>
      <c r="B605" s="3300"/>
      <c r="C605" s="3300"/>
      <c r="D605" s="3300"/>
      <c r="E605" s="2092">
        <f>E601-E603</f>
        <v>2391.4300000000003</v>
      </c>
      <c r="F605" s="3314">
        <f t="shared" si="169"/>
        <v>20146.073333333326</v>
      </c>
      <c r="G605" s="3315" t="e">
        <f t="shared" si="170"/>
        <v>#REF!</v>
      </c>
      <c r="H605" s="3296"/>
    </row>
    <row r="606" spans="1:16" ht="16.5" thickBot="1" x14ac:dyDescent="0.3">
      <c r="A606" s="3302" t="s">
        <v>6290</v>
      </c>
      <c r="B606" s="3303"/>
      <c r="C606" s="3303"/>
      <c r="D606" s="3303"/>
      <c r="E606" s="3303"/>
      <c r="F606" s="3304"/>
      <c r="G606" s="2299">
        <f>SUMIF(B580:B599,"SANTANDER",G580:G599)</f>
        <v>0</v>
      </c>
      <c r="H606" s="1942">
        <v>0</v>
      </c>
      <c r="I606" s="2862" t="s">
        <v>6213</v>
      </c>
    </row>
    <row r="607" spans="1:16" ht="16.5" thickBot="1" x14ac:dyDescent="0.3">
      <c r="A607" s="3294" t="s">
        <v>6291</v>
      </c>
      <c r="B607" s="3295"/>
      <c r="C607" s="3295"/>
      <c r="D607" s="3295"/>
      <c r="E607" s="3295"/>
      <c r="F607" s="3305"/>
      <c r="G607" s="2300">
        <f>SUMIF(B580:B599,"NUBANK",G580:G599)</f>
        <v>4700.5183333333334</v>
      </c>
      <c r="H607" s="1942">
        <f>G607-I584-I587-I589-I590-I586+I598+I599-I597</f>
        <v>2518.2591666666663</v>
      </c>
      <c r="I607" s="2862" t="s">
        <v>6213</v>
      </c>
    </row>
    <row r="608" spans="1:16" ht="16.5" customHeight="1" thickBot="1" x14ac:dyDescent="0.35">
      <c r="A608" s="3306" t="s">
        <v>6292</v>
      </c>
      <c r="B608" s="3307"/>
      <c r="C608" s="3307"/>
      <c r="D608" s="3307"/>
      <c r="E608" s="3307"/>
      <c r="F608" s="3308"/>
      <c r="G608" s="2093">
        <f>G606+G607</f>
        <v>4700.5183333333334</v>
      </c>
      <c r="H608" s="2094"/>
      <c r="I608" s="2863"/>
    </row>
    <row r="609" spans="1:16" ht="16.5" customHeight="1" thickBot="1" x14ac:dyDescent="0.3">
      <c r="G609" s="1247"/>
    </row>
    <row r="610" spans="1:16" ht="19.5" thickBot="1" x14ac:dyDescent="0.35">
      <c r="A610" s="3287" t="s">
        <v>6807</v>
      </c>
      <c r="B610" s="3288"/>
      <c r="C610" s="3288"/>
      <c r="D610" s="3288"/>
      <c r="E610" s="3288"/>
      <c r="F610" s="3288"/>
      <c r="G610" s="3289"/>
      <c r="J610" s="1354"/>
      <c r="K610" s="1667"/>
      <c r="L610" s="1667"/>
      <c r="M610" s="1944"/>
      <c r="N610" s="1667"/>
      <c r="O610" s="1944"/>
      <c r="P610" s="1667"/>
    </row>
    <row r="611" spans="1:16" x14ac:dyDescent="0.25">
      <c r="A611" s="2480">
        <v>45328</v>
      </c>
      <c r="B611" s="2480" t="s">
        <v>6210</v>
      </c>
      <c r="C611" s="3327" t="s">
        <v>6130</v>
      </c>
      <c r="D611" s="3328"/>
      <c r="E611" s="2481">
        <v>31.9</v>
      </c>
      <c r="F611" s="2482">
        <v>1</v>
      </c>
      <c r="G611" s="2483">
        <f t="shared" ref="G611:G618" si="171">E611/F611</f>
        <v>31.9</v>
      </c>
      <c r="H611" s="1247" t="s">
        <v>1491</v>
      </c>
      <c r="I611" s="2151"/>
      <c r="J611" s="1360"/>
      <c r="K611" s="1657"/>
      <c r="L611" s="1657"/>
      <c r="M611" s="2008"/>
      <c r="N611" s="2010"/>
      <c r="O611" s="2011"/>
      <c r="P611" s="1336"/>
    </row>
    <row r="612" spans="1:16" x14ac:dyDescent="0.25">
      <c r="A612" s="2484">
        <v>45505</v>
      </c>
      <c r="B612" s="2485" t="s">
        <v>6210</v>
      </c>
      <c r="C612" s="3329" t="s">
        <v>6804</v>
      </c>
      <c r="D612" s="3330"/>
      <c r="E612" s="2486">
        <v>40</v>
      </c>
      <c r="F612" s="2487">
        <v>1</v>
      </c>
      <c r="G612" s="2488">
        <v>40.79</v>
      </c>
      <c r="H612" s="1247" t="s">
        <v>1504</v>
      </c>
      <c r="I612" s="2316"/>
      <c r="J612" s="2043"/>
      <c r="K612" s="2317"/>
      <c r="L612" s="2317"/>
      <c r="M612" s="2008"/>
      <c r="N612" s="2010"/>
      <c r="O612" s="2011"/>
      <c r="P612" s="1336"/>
    </row>
    <row r="613" spans="1:16" x14ac:dyDescent="0.25">
      <c r="A613" s="2484">
        <v>45505</v>
      </c>
      <c r="B613" s="2485" t="s">
        <v>6210</v>
      </c>
      <c r="C613" s="3331" t="s">
        <v>6805</v>
      </c>
      <c r="D613" s="3332"/>
      <c r="E613" s="2486">
        <v>45</v>
      </c>
      <c r="F613" s="2487">
        <v>1</v>
      </c>
      <c r="G613" s="2488">
        <f t="shared" si="171"/>
        <v>45</v>
      </c>
      <c r="H613" s="1247" t="s">
        <v>1504</v>
      </c>
      <c r="I613" s="1345"/>
      <c r="J613" s="1360"/>
      <c r="K613" s="1657"/>
      <c r="L613" s="1657"/>
      <c r="M613" s="2008"/>
      <c r="N613" s="2010"/>
      <c r="O613" s="2011"/>
      <c r="P613" s="1336"/>
    </row>
    <row r="614" spans="1:16" x14ac:dyDescent="0.25">
      <c r="A614" s="2484">
        <v>45488</v>
      </c>
      <c r="B614" s="2485" t="s">
        <v>6210</v>
      </c>
      <c r="C614" s="3331" t="s">
        <v>6810</v>
      </c>
      <c r="D614" s="3332"/>
      <c r="E614" s="2486">
        <v>357.68</v>
      </c>
      <c r="F614" s="2487">
        <v>12</v>
      </c>
      <c r="G614" s="2488">
        <f>E614/F614</f>
        <v>29.806666666666668</v>
      </c>
      <c r="H614" s="1247" t="s">
        <v>1489</v>
      </c>
      <c r="I614" s="1321"/>
      <c r="J614" s="1360"/>
      <c r="K614" s="1657"/>
      <c r="L614" s="1657"/>
      <c r="M614" s="2008"/>
      <c r="N614" s="2010"/>
      <c r="O614" s="2011"/>
      <c r="P614" s="1336"/>
    </row>
    <row r="615" spans="1:16" x14ac:dyDescent="0.25">
      <c r="A615" s="2489">
        <v>45405</v>
      </c>
      <c r="B615" s="2490" t="s">
        <v>6209</v>
      </c>
      <c r="C615" s="3333" t="s">
        <v>6808</v>
      </c>
      <c r="D615" s="3334"/>
      <c r="E615" s="2491">
        <v>777</v>
      </c>
      <c r="F615" s="2492">
        <v>6</v>
      </c>
      <c r="G615" s="2493">
        <f t="shared" si="171"/>
        <v>129.5</v>
      </c>
      <c r="H615" s="1247" t="s">
        <v>1489</v>
      </c>
      <c r="I615" s="1321">
        <f>G615/2</f>
        <v>64.75</v>
      </c>
      <c r="J615" s="1360"/>
      <c r="K615" s="1657"/>
      <c r="L615" s="1657"/>
      <c r="M615" s="2008"/>
      <c r="N615" s="2010"/>
      <c r="O615" s="2011"/>
      <c r="P615" s="1336"/>
    </row>
    <row r="616" spans="1:16" x14ac:dyDescent="0.25">
      <c r="A616" s="2484">
        <v>45470</v>
      </c>
      <c r="B616" s="2485" t="s">
        <v>6210</v>
      </c>
      <c r="C616" s="3331" t="s">
        <v>6809</v>
      </c>
      <c r="D616" s="3332"/>
      <c r="E616" s="2486">
        <v>5750</v>
      </c>
      <c r="F616" s="2487">
        <v>6</v>
      </c>
      <c r="G616" s="2488">
        <f t="shared" si="171"/>
        <v>958.33333333333337</v>
      </c>
      <c r="H616" s="1247" t="s">
        <v>1524</v>
      </c>
      <c r="I616" s="1321">
        <f>G616/2</f>
        <v>479.16666666666669</v>
      </c>
      <c r="J616" s="2043" t="s">
        <v>6212</v>
      </c>
      <c r="K616" s="1657"/>
      <c r="L616" s="1657"/>
      <c r="M616" s="2008"/>
      <c r="N616" s="2010"/>
      <c r="O616" s="2011"/>
      <c r="P616" s="1336"/>
    </row>
    <row r="617" spans="1:16" x14ac:dyDescent="0.25">
      <c r="A617" s="2484">
        <v>45508</v>
      </c>
      <c r="B617" s="2485" t="s">
        <v>6210</v>
      </c>
      <c r="C617" s="3331" t="s">
        <v>6812</v>
      </c>
      <c r="D617" s="3332"/>
      <c r="E617" s="2486">
        <v>260</v>
      </c>
      <c r="F617" s="2487">
        <v>3</v>
      </c>
      <c r="G617" s="2488">
        <f t="shared" si="171"/>
        <v>86.666666666666671</v>
      </c>
      <c r="H617" s="1247" t="s">
        <v>1506</v>
      </c>
      <c r="I617" s="2316"/>
      <c r="J617" s="2043"/>
      <c r="K617" s="2317"/>
      <c r="L617" s="2317"/>
      <c r="M617" s="2008"/>
      <c r="N617" s="2010"/>
      <c r="O617" s="2011"/>
      <c r="P617" s="1336"/>
    </row>
    <row r="618" spans="1:16" x14ac:dyDescent="0.25">
      <c r="A618" s="2494">
        <v>45544</v>
      </c>
      <c r="B618" s="2494" t="s">
        <v>6210</v>
      </c>
      <c r="C618" s="3477" t="s">
        <v>6865</v>
      </c>
      <c r="D618" s="3478"/>
      <c r="E618" s="2495">
        <v>354.99</v>
      </c>
      <c r="F618" s="2496">
        <v>3</v>
      </c>
      <c r="G618" s="2497">
        <f t="shared" si="171"/>
        <v>118.33</v>
      </c>
      <c r="H618" s="1247" t="s">
        <v>6731</v>
      </c>
      <c r="I618" s="2316"/>
      <c r="J618" s="2043"/>
      <c r="K618" s="2317"/>
      <c r="L618" s="2317"/>
      <c r="M618" s="2008"/>
      <c r="N618" s="2010"/>
      <c r="O618" s="2011"/>
      <c r="P618" s="1336"/>
    </row>
    <row r="619" spans="1:16" x14ac:dyDescent="0.25">
      <c r="A619" s="2484">
        <v>45554</v>
      </c>
      <c r="B619" s="2485" t="s">
        <v>6210</v>
      </c>
      <c r="C619" s="3329" t="s">
        <v>6894</v>
      </c>
      <c r="D619" s="3330"/>
      <c r="E619" s="2486">
        <v>204.75</v>
      </c>
      <c r="F619" s="2487">
        <v>1</v>
      </c>
      <c r="G619" s="2488">
        <f>E619/F619</f>
        <v>204.75</v>
      </c>
      <c r="H619" s="1247" t="s">
        <v>1524</v>
      </c>
      <c r="I619" s="2316"/>
      <c r="J619" s="2043"/>
      <c r="K619" s="2317"/>
      <c r="L619" s="2317"/>
      <c r="M619" s="2008"/>
      <c r="N619" s="2010"/>
      <c r="O619" s="2011"/>
      <c r="P619" s="1336"/>
    </row>
    <row r="620" spans="1:16" x14ac:dyDescent="0.25">
      <c r="A620" s="2484">
        <v>45554</v>
      </c>
      <c r="B620" s="2485" t="s">
        <v>6210</v>
      </c>
      <c r="C620" s="3331" t="s">
        <v>6895</v>
      </c>
      <c r="D620" s="3332"/>
      <c r="E620" s="2486">
        <v>214</v>
      </c>
      <c r="F620" s="2487">
        <v>1</v>
      </c>
      <c r="G620" s="2488">
        <f>E620/F620</f>
        <v>214</v>
      </c>
      <c r="H620" s="1247" t="s">
        <v>1524</v>
      </c>
      <c r="I620" s="1345"/>
      <c r="J620" s="1360"/>
      <c r="K620" s="1657"/>
      <c r="L620" s="1657"/>
      <c r="M620" s="2008"/>
      <c r="N620" s="2010"/>
      <c r="O620" s="2011"/>
      <c r="P620" s="1336"/>
    </row>
    <row r="621" spans="1:16" x14ac:dyDescent="0.25">
      <c r="A621" s="2484">
        <v>45554</v>
      </c>
      <c r="B621" s="2485" t="s">
        <v>6210</v>
      </c>
      <c r="C621" s="3331" t="s">
        <v>6896</v>
      </c>
      <c r="D621" s="3332"/>
      <c r="E621" s="2486">
        <v>139</v>
      </c>
      <c r="F621" s="2487">
        <v>1</v>
      </c>
      <c r="G621" s="2488">
        <f>E621/F621</f>
        <v>139</v>
      </c>
      <c r="H621" s="1247" t="s">
        <v>1524</v>
      </c>
      <c r="I621" s="2316"/>
      <c r="J621" s="2043"/>
      <c r="K621" s="2317"/>
      <c r="L621" s="2317"/>
      <c r="M621" s="2008"/>
      <c r="N621" s="2010"/>
      <c r="O621" s="2011"/>
      <c r="P621" s="1336"/>
    </row>
    <row r="622" spans="1:16" x14ac:dyDescent="0.25">
      <c r="A622" s="2484">
        <v>45554</v>
      </c>
      <c r="B622" s="2485" t="s">
        <v>6210</v>
      </c>
      <c r="C622" s="3331" t="s">
        <v>6897</v>
      </c>
      <c r="D622" s="3332"/>
      <c r="E622" s="2486">
        <v>270.11</v>
      </c>
      <c r="F622" s="2487">
        <v>1</v>
      </c>
      <c r="G622" s="2488">
        <f>E622/F622</f>
        <v>270.11</v>
      </c>
      <c r="H622" s="1247" t="s">
        <v>1524</v>
      </c>
      <c r="I622" s="1345"/>
      <c r="J622" s="1360"/>
      <c r="K622" s="1657"/>
      <c r="L622" s="1657"/>
      <c r="M622" s="2008"/>
      <c r="N622" s="2010"/>
      <c r="O622" s="2011"/>
      <c r="P622" s="1336"/>
    </row>
    <row r="623" spans="1:16" x14ac:dyDescent="0.25">
      <c r="A623" s="2484">
        <v>45554</v>
      </c>
      <c r="B623" s="2485" t="s">
        <v>6210</v>
      </c>
      <c r="C623" s="2498" t="s">
        <v>6904</v>
      </c>
      <c r="D623" s="2498"/>
      <c r="E623" s="2486">
        <v>80.739999999999995</v>
      </c>
      <c r="F623" s="2487">
        <v>1</v>
      </c>
      <c r="G623" s="2488">
        <f t="shared" ref="G623:G629" si="172">E623/F623</f>
        <v>80.739999999999995</v>
      </c>
      <c r="H623" s="1247" t="s">
        <v>1524</v>
      </c>
      <c r="I623" s="2316"/>
      <c r="J623" s="2043"/>
      <c r="K623" s="2317"/>
      <c r="L623" s="2317"/>
      <c r="M623" s="2008"/>
      <c r="N623" s="2010"/>
      <c r="O623" s="2011"/>
      <c r="P623" s="1336"/>
    </row>
    <row r="624" spans="1:16" x14ac:dyDescent="0.25">
      <c r="A624" s="2484">
        <v>45554</v>
      </c>
      <c r="B624" s="2485" t="s">
        <v>6210</v>
      </c>
      <c r="C624" s="2498" t="s">
        <v>6903</v>
      </c>
      <c r="D624" s="2498"/>
      <c r="E624" s="2486">
        <v>51</v>
      </c>
      <c r="F624" s="2487">
        <v>1</v>
      </c>
      <c r="G624" s="2488">
        <f t="shared" si="172"/>
        <v>51</v>
      </c>
      <c r="H624" s="1247" t="s">
        <v>1524</v>
      </c>
      <c r="I624" s="2316"/>
      <c r="J624" s="2043"/>
      <c r="K624" s="2317"/>
      <c r="L624" s="2317"/>
      <c r="M624" s="2008"/>
      <c r="N624" s="2010"/>
      <c r="O624" s="2011"/>
      <c r="P624" s="1336"/>
    </row>
    <row r="625" spans="1:16" x14ac:dyDescent="0.25">
      <c r="A625" s="2484">
        <v>45554</v>
      </c>
      <c r="B625" s="2485" t="s">
        <v>6210</v>
      </c>
      <c r="C625" s="2498" t="s">
        <v>6898</v>
      </c>
      <c r="D625" s="2498"/>
      <c r="E625" s="2486">
        <v>71.56</v>
      </c>
      <c r="F625" s="2487">
        <v>1</v>
      </c>
      <c r="G625" s="2488">
        <f t="shared" si="172"/>
        <v>71.56</v>
      </c>
      <c r="H625" s="1247" t="s">
        <v>1524</v>
      </c>
      <c r="I625" s="2316"/>
      <c r="J625" s="2043"/>
      <c r="K625" s="2317"/>
      <c r="L625" s="2317"/>
      <c r="M625" s="2008"/>
      <c r="N625" s="2010"/>
      <c r="O625" s="2011"/>
      <c r="P625" s="1336"/>
    </row>
    <row r="626" spans="1:16" x14ac:dyDescent="0.25">
      <c r="A626" s="2484">
        <v>45554</v>
      </c>
      <c r="B626" s="2485" t="s">
        <v>6210</v>
      </c>
      <c r="C626" s="2498" t="s">
        <v>6899</v>
      </c>
      <c r="D626" s="2498"/>
      <c r="E626" s="2486">
        <v>98.5</v>
      </c>
      <c r="F626" s="2487">
        <v>1</v>
      </c>
      <c r="G626" s="2488">
        <f t="shared" si="172"/>
        <v>98.5</v>
      </c>
      <c r="H626" s="1247" t="s">
        <v>1524</v>
      </c>
      <c r="I626" s="2316"/>
      <c r="J626" s="2043"/>
      <c r="K626" s="2317"/>
      <c r="L626" s="2317"/>
      <c r="M626" s="2008"/>
      <c r="N626" s="2010"/>
      <c r="O626" s="2011"/>
      <c r="P626" s="1336"/>
    </row>
    <row r="627" spans="1:16" x14ac:dyDescent="0.25">
      <c r="A627" s="2484">
        <v>45554</v>
      </c>
      <c r="B627" s="2485" t="s">
        <v>6210</v>
      </c>
      <c r="C627" s="2498" t="s">
        <v>6900</v>
      </c>
      <c r="D627" s="2498"/>
      <c r="E627" s="2486">
        <v>49.25</v>
      </c>
      <c r="F627" s="2487">
        <v>1</v>
      </c>
      <c r="G627" s="2488">
        <f t="shared" si="172"/>
        <v>49.25</v>
      </c>
      <c r="H627" s="1247" t="s">
        <v>1524</v>
      </c>
      <c r="I627" s="2316"/>
      <c r="J627" s="2043"/>
      <c r="K627" s="2317"/>
      <c r="L627" s="2317"/>
      <c r="M627" s="2008"/>
      <c r="N627" s="2010"/>
      <c r="O627" s="2011"/>
      <c r="P627" s="1336"/>
    </row>
    <row r="628" spans="1:16" x14ac:dyDescent="0.25">
      <c r="A628" s="2484">
        <v>45554</v>
      </c>
      <c r="B628" s="2485" t="s">
        <v>6210</v>
      </c>
      <c r="C628" s="2498" t="s">
        <v>6905</v>
      </c>
      <c r="D628" s="2498"/>
      <c r="E628" s="2486">
        <v>52.050000000000004</v>
      </c>
      <c r="F628" s="2487">
        <v>1</v>
      </c>
      <c r="G628" s="2488">
        <f t="shared" si="172"/>
        <v>52.050000000000004</v>
      </c>
      <c r="H628" s="1247" t="s">
        <v>1524</v>
      </c>
      <c r="I628" s="2316"/>
      <c r="J628" s="2043"/>
      <c r="K628" s="2317"/>
      <c r="L628" s="2317"/>
      <c r="M628" s="2008"/>
      <c r="N628" s="2010"/>
      <c r="O628" s="2011"/>
      <c r="P628" s="1336"/>
    </row>
    <row r="629" spans="1:16" x14ac:dyDescent="0.25">
      <c r="A629" s="2484">
        <v>45554</v>
      </c>
      <c r="B629" s="2485" t="s">
        <v>6210</v>
      </c>
      <c r="C629" s="2498" t="s">
        <v>6901</v>
      </c>
      <c r="D629" s="2498"/>
      <c r="E629" s="2486">
        <v>16.440000000000001</v>
      </c>
      <c r="F629" s="2487">
        <v>1</v>
      </c>
      <c r="G629" s="2488">
        <f t="shared" si="172"/>
        <v>16.440000000000001</v>
      </c>
      <c r="H629" s="1247" t="s">
        <v>1524</v>
      </c>
      <c r="I629" s="2316"/>
      <c r="J629" s="2043"/>
      <c r="K629" s="2317"/>
      <c r="L629" s="2317"/>
      <c r="M629" s="2008"/>
      <c r="N629" s="2010"/>
      <c r="O629" s="2011"/>
      <c r="P629" s="1336"/>
    </row>
    <row r="630" spans="1:16" x14ac:dyDescent="0.25">
      <c r="A630" s="2484">
        <v>45561</v>
      </c>
      <c r="B630" s="2485" t="s">
        <v>6210</v>
      </c>
      <c r="C630" s="3331" t="s">
        <v>6919</v>
      </c>
      <c r="D630" s="3332"/>
      <c r="E630" s="2486">
        <v>179.1</v>
      </c>
      <c r="F630" s="2487">
        <v>1</v>
      </c>
      <c r="G630" s="2488">
        <f t="shared" ref="G630" si="173">E630/F630</f>
        <v>179.1</v>
      </c>
      <c r="H630" s="1247" t="s">
        <v>1506</v>
      </c>
      <c r="I630" s="2316"/>
      <c r="J630" s="2043"/>
      <c r="K630" s="2317"/>
      <c r="L630" s="2317"/>
      <c r="M630" s="2008"/>
      <c r="N630" s="2010"/>
      <c r="O630" s="2011"/>
      <c r="P630" s="1336"/>
    </row>
    <row r="631" spans="1:16" x14ac:dyDescent="0.25">
      <c r="A631" s="2484">
        <v>45573</v>
      </c>
      <c r="B631" s="2485" t="s">
        <v>6210</v>
      </c>
      <c r="C631" s="3331" t="s">
        <v>6952</v>
      </c>
      <c r="D631" s="3332"/>
      <c r="E631" s="2486">
        <v>139.9</v>
      </c>
      <c r="F631" s="2487">
        <v>1</v>
      </c>
      <c r="G631" s="2488">
        <f t="shared" ref="G631" si="174">E631/F631</f>
        <v>139.9</v>
      </c>
      <c r="I631" s="1321">
        <f>G631</f>
        <v>139.9</v>
      </c>
      <c r="J631" s="2043" t="s">
        <v>4140</v>
      </c>
      <c r="K631" s="2317"/>
      <c r="L631" s="2317"/>
      <c r="M631" s="2008"/>
      <c r="N631" s="2010"/>
      <c r="O631" s="2011"/>
      <c r="P631" s="1336"/>
    </row>
    <row r="632" spans="1:16" x14ac:dyDescent="0.25">
      <c r="A632" s="2469">
        <v>45551</v>
      </c>
      <c r="B632" s="2470" t="s">
        <v>6792</v>
      </c>
      <c r="C632" s="3479" t="s">
        <v>6887</v>
      </c>
      <c r="D632" s="3480"/>
      <c r="E632" s="2471">
        <v>300</v>
      </c>
      <c r="F632" s="2472">
        <v>2</v>
      </c>
      <c r="G632" s="2473">
        <f>E632/F632</f>
        <v>150</v>
      </c>
      <c r="H632" s="1247" t="s">
        <v>1489</v>
      </c>
      <c r="I632" s="1321">
        <f>G632/2</f>
        <v>75</v>
      </c>
      <c r="J632" s="2043" t="s">
        <v>6770</v>
      </c>
      <c r="K632" s="2317"/>
      <c r="L632" s="2317"/>
      <c r="M632" s="2008"/>
      <c r="N632" s="2010"/>
      <c r="O632" s="2011"/>
      <c r="P632" s="1336"/>
    </row>
    <row r="633" spans="1:16" ht="15.75" x14ac:dyDescent="0.25">
      <c r="A633" s="3281" t="s">
        <v>6284</v>
      </c>
      <c r="B633" s="3282"/>
      <c r="C633" s="3282"/>
      <c r="D633" s="3282"/>
      <c r="E633" s="2295">
        <v>5600</v>
      </c>
      <c r="F633" s="3344">
        <f>SUM(H639:H640)</f>
        <v>2397.91</v>
      </c>
      <c r="G633" s="3345" t="e">
        <f>SUM(#REF!)</f>
        <v>#REF!</v>
      </c>
      <c r="H633" s="3296" t="s">
        <v>6301</v>
      </c>
      <c r="J633" s="1382"/>
      <c r="N633" s="1336"/>
      <c r="O633" s="2012"/>
      <c r="P633" s="1336"/>
    </row>
    <row r="634" spans="1:16" ht="15.75" x14ac:dyDescent="0.25">
      <c r="A634" s="3290" t="s">
        <v>6285</v>
      </c>
      <c r="B634" s="3291"/>
      <c r="C634" s="3291"/>
      <c r="D634" s="3291"/>
      <c r="E634" s="2302">
        <v>11000</v>
      </c>
      <c r="F634" s="3313">
        <f>SUM(F633:F633)</f>
        <v>2397.91</v>
      </c>
      <c r="G634" s="3312" t="e">
        <f>SUM(G633:G633)</f>
        <v>#REF!</v>
      </c>
      <c r="H634" s="3296"/>
      <c r="J634" s="1382"/>
      <c r="N634" s="1336"/>
      <c r="O634" s="2012"/>
      <c r="P634" s="1336"/>
    </row>
    <row r="635" spans="1:16" ht="15.75" x14ac:dyDescent="0.25">
      <c r="A635" s="3292" t="s">
        <v>6286</v>
      </c>
      <c r="B635" s="3293"/>
      <c r="C635" s="3293"/>
      <c r="D635" s="3293"/>
      <c r="E635" s="2303">
        <v>129.5</v>
      </c>
      <c r="F635" s="3313">
        <f t="shared" ref="F635:F638" si="175">SUM(F633:F634)</f>
        <v>4795.82</v>
      </c>
      <c r="G635" s="3312" t="e">
        <f t="shared" ref="G635:G638" si="176">SUM(G633:G634)</f>
        <v>#REF!</v>
      </c>
      <c r="H635" s="3296"/>
    </row>
    <row r="636" spans="1:16" ht="15.75" x14ac:dyDescent="0.25">
      <c r="A636" s="3294" t="s">
        <v>6287</v>
      </c>
      <c r="B636" s="3295"/>
      <c r="C636" s="3295"/>
      <c r="D636" s="3295"/>
      <c r="E636" s="2304">
        <v>4861.51</v>
      </c>
      <c r="F636" s="3313">
        <f t="shared" si="175"/>
        <v>7193.73</v>
      </c>
      <c r="G636" s="3312" t="e">
        <f t="shared" si="176"/>
        <v>#REF!</v>
      </c>
      <c r="H636" s="3296"/>
    </row>
    <row r="637" spans="1:16" ht="17.25" customHeight="1" thickBot="1" x14ac:dyDescent="0.3">
      <c r="A637" s="3281" t="s">
        <v>6288</v>
      </c>
      <c r="B637" s="3282"/>
      <c r="C637" s="3282"/>
      <c r="D637" s="3282"/>
      <c r="E637" s="2295">
        <f>E633-E635</f>
        <v>5470.5</v>
      </c>
      <c r="F637" s="3313">
        <f t="shared" si="175"/>
        <v>11989.55</v>
      </c>
      <c r="G637" s="3312" t="e">
        <f t="shared" si="176"/>
        <v>#REF!</v>
      </c>
      <c r="H637" s="3296"/>
    </row>
    <row r="638" spans="1:16" ht="17.25" customHeight="1" thickBot="1" x14ac:dyDescent="0.3">
      <c r="A638" s="3299" t="s">
        <v>6289</v>
      </c>
      <c r="B638" s="3300"/>
      <c r="C638" s="3300"/>
      <c r="D638" s="3300"/>
      <c r="E638" s="2092">
        <f>E634-E636</f>
        <v>6138.49</v>
      </c>
      <c r="F638" s="3314">
        <f t="shared" si="175"/>
        <v>19183.28</v>
      </c>
      <c r="G638" s="3315" t="e">
        <f t="shared" si="176"/>
        <v>#REF!</v>
      </c>
      <c r="H638" s="3296"/>
    </row>
    <row r="639" spans="1:16" ht="16.5" thickBot="1" x14ac:dyDescent="0.3">
      <c r="A639" s="3302" t="s">
        <v>6290</v>
      </c>
      <c r="B639" s="3303"/>
      <c r="C639" s="3303"/>
      <c r="D639" s="3303"/>
      <c r="E639" s="3303"/>
      <c r="F639" s="3304"/>
      <c r="G639" s="2299">
        <f>SUMIF(B611:B632,"SANTANDER",G611:G632)</f>
        <v>129.5</v>
      </c>
      <c r="H639" s="1942">
        <f>G639-I615</f>
        <v>64.75</v>
      </c>
      <c r="I639" s="2862" t="s">
        <v>6213</v>
      </c>
    </row>
    <row r="640" spans="1:16" ht="16.5" thickBot="1" x14ac:dyDescent="0.3">
      <c r="A640" s="3294" t="s">
        <v>6291</v>
      </c>
      <c r="B640" s="3295"/>
      <c r="C640" s="3295"/>
      <c r="D640" s="3295"/>
      <c r="E640" s="3295"/>
      <c r="F640" s="3305"/>
      <c r="G640" s="2300">
        <f>SUMIF(B611:B632,"NUBANK",G611:G632)</f>
        <v>2877.2266666666665</v>
      </c>
      <c r="H640" s="1942">
        <f>G640-I616-I631+I632</f>
        <v>2333.16</v>
      </c>
      <c r="I640" s="2862" t="s">
        <v>6213</v>
      </c>
    </row>
    <row r="641" spans="1:16" ht="16.5" customHeight="1" thickBot="1" x14ac:dyDescent="0.35">
      <c r="A641" s="3306" t="s">
        <v>6292</v>
      </c>
      <c r="B641" s="3307"/>
      <c r="C641" s="3307"/>
      <c r="D641" s="3307"/>
      <c r="E641" s="3307"/>
      <c r="F641" s="3308"/>
      <c r="G641" s="2093">
        <f>G639+G640</f>
        <v>3006.7266666666665</v>
      </c>
      <c r="H641" s="2094"/>
      <c r="I641" s="2863"/>
    </row>
    <row r="642" spans="1:16" ht="16.5" customHeight="1" thickBot="1" x14ac:dyDescent="0.3">
      <c r="G642" s="1247"/>
    </row>
    <row r="643" spans="1:16" ht="19.5" thickBot="1" x14ac:dyDescent="0.35">
      <c r="A643" s="3287" t="s">
        <v>6699</v>
      </c>
      <c r="B643" s="3288"/>
      <c r="C643" s="3288"/>
      <c r="D643" s="3288"/>
      <c r="E643" s="3288"/>
      <c r="F643" s="3288"/>
      <c r="G643" s="3289"/>
      <c r="J643" s="1354"/>
      <c r="K643" s="1667"/>
      <c r="L643" s="1667"/>
      <c r="M643" s="1944"/>
      <c r="N643" s="1667"/>
      <c r="O643" s="1944"/>
      <c r="P643" s="1667"/>
    </row>
    <row r="644" spans="1:16" x14ac:dyDescent="0.25">
      <c r="A644" s="2288">
        <v>45328</v>
      </c>
      <c r="B644" s="2288" t="s">
        <v>6210</v>
      </c>
      <c r="C644" s="3253" t="s">
        <v>6130</v>
      </c>
      <c r="D644" s="3254"/>
      <c r="E644" s="2289">
        <v>31.9</v>
      </c>
      <c r="F644" s="2290">
        <v>1</v>
      </c>
      <c r="G644" s="2296">
        <f t="shared" ref="G644" si="177">E644/F644</f>
        <v>31.9</v>
      </c>
      <c r="H644" s="1247" t="s">
        <v>1491</v>
      </c>
      <c r="I644" s="2151"/>
      <c r="J644" s="1360"/>
      <c r="K644" s="1657"/>
      <c r="L644" s="1657"/>
      <c r="M644" s="2008"/>
      <c r="N644" s="2010"/>
      <c r="O644" s="2011"/>
      <c r="P644" s="1336"/>
    </row>
    <row r="645" spans="1:16" x14ac:dyDescent="0.25">
      <c r="A645" s="2291">
        <v>45505</v>
      </c>
      <c r="B645" s="2292" t="s">
        <v>6210</v>
      </c>
      <c r="C645" s="3257" t="s">
        <v>6804</v>
      </c>
      <c r="D645" s="3258"/>
      <c r="E645" s="2293">
        <v>40</v>
      </c>
      <c r="F645" s="2294">
        <v>1</v>
      </c>
      <c r="G645" s="2298">
        <v>40.79</v>
      </c>
      <c r="H645" s="1247" t="s">
        <v>1504</v>
      </c>
      <c r="I645" s="2316"/>
      <c r="J645" s="2043"/>
      <c r="K645" s="2317"/>
      <c r="L645" s="2317"/>
      <c r="M645" s="2008"/>
      <c r="N645" s="2010"/>
      <c r="O645" s="2011"/>
      <c r="P645" s="1336"/>
    </row>
    <row r="646" spans="1:16" x14ac:dyDescent="0.25">
      <c r="A646" s="2291">
        <v>45505</v>
      </c>
      <c r="B646" s="2292" t="s">
        <v>6210</v>
      </c>
      <c r="C646" s="3257" t="s">
        <v>6805</v>
      </c>
      <c r="D646" s="3258"/>
      <c r="E646" s="2293">
        <v>45</v>
      </c>
      <c r="F646" s="2294">
        <v>1</v>
      </c>
      <c r="G646" s="2298">
        <f t="shared" ref="G646:G652" si="178">E646/F646</f>
        <v>45</v>
      </c>
      <c r="H646" s="1247" t="s">
        <v>1504</v>
      </c>
      <c r="I646" s="1345"/>
      <c r="J646" s="1360"/>
      <c r="K646" s="1657"/>
      <c r="L646" s="1657"/>
      <c r="M646" s="2008"/>
      <c r="N646" s="2010"/>
      <c r="O646" s="2011"/>
      <c r="P646" s="1336"/>
    </row>
    <row r="647" spans="1:16" x14ac:dyDescent="0.25">
      <c r="A647" s="2291">
        <v>45488</v>
      </c>
      <c r="B647" s="2292" t="s">
        <v>6210</v>
      </c>
      <c r="C647" s="3257" t="s">
        <v>6811</v>
      </c>
      <c r="D647" s="3258"/>
      <c r="E647" s="2293">
        <v>357.68</v>
      </c>
      <c r="F647" s="2294">
        <v>12</v>
      </c>
      <c r="G647" s="2298">
        <f>E647/F647</f>
        <v>29.806666666666668</v>
      </c>
      <c r="H647" s="1247" t="s">
        <v>1489</v>
      </c>
      <c r="I647" s="1321"/>
      <c r="J647" s="1360"/>
      <c r="K647" s="1657"/>
      <c r="L647" s="1657"/>
      <c r="M647" s="2008"/>
      <c r="N647" s="2010"/>
      <c r="O647" s="2011"/>
      <c r="P647" s="1336"/>
    </row>
    <row r="648" spans="1:16" x14ac:dyDescent="0.25">
      <c r="A648" s="2284">
        <v>45405</v>
      </c>
      <c r="B648" s="2285" t="s">
        <v>6209</v>
      </c>
      <c r="C648" s="3244" t="s">
        <v>6700</v>
      </c>
      <c r="D648" s="3245"/>
      <c r="E648" s="2286">
        <v>777</v>
      </c>
      <c r="F648" s="2287">
        <v>6</v>
      </c>
      <c r="G648" s="2297">
        <f t="shared" si="178"/>
        <v>129.5</v>
      </c>
      <c r="H648" s="1247" t="s">
        <v>1489</v>
      </c>
      <c r="I648" s="1321">
        <f>G648/2</f>
        <v>64.75</v>
      </c>
      <c r="J648" s="1360"/>
      <c r="K648" s="1657"/>
      <c r="L648" s="1657"/>
      <c r="M648" s="2008"/>
      <c r="N648" s="2010"/>
      <c r="O648" s="2011"/>
      <c r="P648" s="1336"/>
    </row>
    <row r="649" spans="1:16" x14ac:dyDescent="0.25">
      <c r="A649" s="2291">
        <v>45468</v>
      </c>
      <c r="B649" s="2292" t="s">
        <v>6210</v>
      </c>
      <c r="C649" s="3257" t="s">
        <v>6701</v>
      </c>
      <c r="D649" s="3258"/>
      <c r="E649" s="2293">
        <v>1750</v>
      </c>
      <c r="F649" s="2294">
        <v>3</v>
      </c>
      <c r="G649" s="2298">
        <f t="shared" si="178"/>
        <v>583.33333333333337</v>
      </c>
      <c r="H649" s="1247" t="s">
        <v>1524</v>
      </c>
      <c r="I649" s="1321">
        <f>G649/2</f>
        <v>291.66666666666669</v>
      </c>
      <c r="J649" s="2043" t="s">
        <v>6212</v>
      </c>
      <c r="K649" s="1657"/>
      <c r="L649" s="1657"/>
      <c r="M649" s="2008"/>
      <c r="N649" s="2010"/>
      <c r="O649" s="2011"/>
      <c r="P649" s="1336"/>
    </row>
    <row r="650" spans="1:16" x14ac:dyDescent="0.25">
      <c r="A650" s="2291">
        <v>45470</v>
      </c>
      <c r="B650" s="2292" t="s">
        <v>6210</v>
      </c>
      <c r="C650" s="3257" t="s">
        <v>6702</v>
      </c>
      <c r="D650" s="3258"/>
      <c r="E650" s="2293">
        <v>5750</v>
      </c>
      <c r="F650" s="2294">
        <v>6</v>
      </c>
      <c r="G650" s="2298">
        <f t="shared" si="178"/>
        <v>958.33333333333337</v>
      </c>
      <c r="H650" s="1247" t="s">
        <v>1524</v>
      </c>
      <c r="I650" s="1321">
        <f>G650/2</f>
        <v>479.16666666666669</v>
      </c>
      <c r="J650" s="2043" t="s">
        <v>6212</v>
      </c>
      <c r="K650" s="1657"/>
      <c r="L650" s="1657"/>
      <c r="M650" s="2008"/>
      <c r="N650" s="2010"/>
      <c r="O650" s="2011"/>
      <c r="P650" s="1336"/>
    </row>
    <row r="651" spans="1:16" x14ac:dyDescent="0.25">
      <c r="A651" s="2291">
        <v>45508</v>
      </c>
      <c r="B651" s="2292" t="s">
        <v>6210</v>
      </c>
      <c r="C651" s="3257" t="s">
        <v>6747</v>
      </c>
      <c r="D651" s="3258"/>
      <c r="E651" s="2293">
        <v>260</v>
      </c>
      <c r="F651" s="2294">
        <v>3</v>
      </c>
      <c r="G651" s="2298">
        <f t="shared" si="178"/>
        <v>86.666666666666671</v>
      </c>
      <c r="H651" s="1247" t="s">
        <v>1506</v>
      </c>
      <c r="I651" s="2316"/>
      <c r="J651" s="2043"/>
      <c r="K651" s="2317"/>
      <c r="L651" s="2317"/>
      <c r="M651" s="2008"/>
      <c r="N651" s="2010"/>
      <c r="O651" s="2011"/>
      <c r="P651" s="1336"/>
    </row>
    <row r="652" spans="1:16" x14ac:dyDescent="0.25">
      <c r="A652" s="2465">
        <v>45544</v>
      </c>
      <c r="B652" s="2465" t="s">
        <v>6210</v>
      </c>
      <c r="C652" s="3279" t="s">
        <v>6864</v>
      </c>
      <c r="D652" s="3280"/>
      <c r="E652" s="2466">
        <v>354.99</v>
      </c>
      <c r="F652" s="2467">
        <v>3</v>
      </c>
      <c r="G652" s="2468">
        <f t="shared" si="178"/>
        <v>118.33</v>
      </c>
      <c r="H652" s="1247" t="s">
        <v>6731</v>
      </c>
      <c r="I652" s="2316"/>
      <c r="J652" s="2043"/>
      <c r="K652" s="2317"/>
      <c r="L652" s="2317"/>
      <c r="M652" s="2008"/>
      <c r="N652" s="2010"/>
      <c r="O652" s="2011"/>
      <c r="P652" s="1336"/>
    </row>
    <row r="653" spans="1:16" x14ac:dyDescent="0.25">
      <c r="A653" s="2465">
        <v>45545</v>
      </c>
      <c r="B653" s="2465" t="s">
        <v>6210</v>
      </c>
      <c r="C653" s="3279" t="s">
        <v>6908</v>
      </c>
      <c r="D653" s="3280"/>
      <c r="E653" s="2466">
        <v>65</v>
      </c>
      <c r="F653" s="2467">
        <v>1</v>
      </c>
      <c r="G653" s="2468">
        <f t="shared" ref="G653:G654" si="179">E653/F653</f>
        <v>65</v>
      </c>
      <c r="H653" s="1247" t="s">
        <v>1522</v>
      </c>
      <c r="I653" s="2316"/>
      <c r="J653" s="2043"/>
      <c r="K653" s="2317"/>
      <c r="L653" s="2317"/>
      <c r="M653" s="2008"/>
      <c r="N653" s="2010"/>
      <c r="O653" s="2011"/>
      <c r="P653" s="1336"/>
    </row>
    <row r="654" spans="1:16" x14ac:dyDescent="0.25">
      <c r="A654" s="2465">
        <v>45545</v>
      </c>
      <c r="B654" s="2292" t="s">
        <v>6210</v>
      </c>
      <c r="C654" s="3257" t="s">
        <v>6875</v>
      </c>
      <c r="D654" s="3258"/>
      <c r="E654" s="2293">
        <v>38.200000000000003</v>
      </c>
      <c r="F654" s="2294">
        <v>1</v>
      </c>
      <c r="G654" s="2298">
        <f t="shared" si="179"/>
        <v>38.200000000000003</v>
      </c>
      <c r="H654" s="1247" t="s">
        <v>1524</v>
      </c>
      <c r="I654" s="1321"/>
      <c r="J654" s="2043"/>
      <c r="K654" s="1657"/>
      <c r="L654" s="1657"/>
      <c r="M654" s="2008"/>
      <c r="N654" s="2010"/>
      <c r="O654" s="2011"/>
      <c r="P654" s="1336"/>
    </row>
    <row r="655" spans="1:16" x14ac:dyDescent="0.25">
      <c r="A655" s="2469">
        <v>45512</v>
      </c>
      <c r="B655" s="2470" t="s">
        <v>6792</v>
      </c>
      <c r="C655" s="3475" t="s">
        <v>6813</v>
      </c>
      <c r="D655" s="3476"/>
      <c r="E655" s="2471">
        <v>300</v>
      </c>
      <c r="F655" s="2472">
        <v>2</v>
      </c>
      <c r="G655" s="2473">
        <f>E655/F655</f>
        <v>150</v>
      </c>
      <c r="H655" s="1247" t="s">
        <v>1489</v>
      </c>
      <c r="I655" s="1321">
        <f>G655/2</f>
        <v>75</v>
      </c>
      <c r="J655" s="2043" t="s">
        <v>6770</v>
      </c>
      <c r="K655" s="2317"/>
      <c r="L655" s="2317"/>
      <c r="M655" s="2008"/>
      <c r="N655" s="2010"/>
      <c r="O655" s="2011"/>
      <c r="P655" s="1336"/>
    </row>
    <row r="656" spans="1:16" ht="15.75" x14ac:dyDescent="0.25">
      <c r="A656" s="3281" t="s">
        <v>6284</v>
      </c>
      <c r="B656" s="3282"/>
      <c r="C656" s="3282"/>
      <c r="D656" s="3282"/>
      <c r="E656" s="2295">
        <v>5600</v>
      </c>
      <c r="F656" s="3344">
        <f>SUM(H662:H663)</f>
        <v>1366.2766666666666</v>
      </c>
      <c r="G656" s="3345" t="e">
        <f>SUM(#REF!)</f>
        <v>#REF!</v>
      </c>
      <c r="H656" s="3296" t="s">
        <v>6301</v>
      </c>
      <c r="J656" s="1382"/>
      <c r="N656" s="1336"/>
      <c r="O656" s="2012"/>
      <c r="P656" s="1336"/>
    </row>
    <row r="657" spans="1:16" ht="15.75" x14ac:dyDescent="0.25">
      <c r="A657" s="3290" t="s">
        <v>6285</v>
      </c>
      <c r="B657" s="3291"/>
      <c r="C657" s="3291"/>
      <c r="D657" s="3291"/>
      <c r="E657" s="2302">
        <v>11000</v>
      </c>
      <c r="F657" s="3313">
        <f>SUM(F656:F656)</f>
        <v>1366.2766666666666</v>
      </c>
      <c r="G657" s="3312" t="e">
        <f>SUM(G656:G656)</f>
        <v>#REF!</v>
      </c>
      <c r="H657" s="3296"/>
      <c r="J657" s="1382"/>
      <c r="N657" s="1336"/>
      <c r="O657" s="2012"/>
      <c r="P657" s="1336"/>
    </row>
    <row r="658" spans="1:16" ht="15.75" x14ac:dyDescent="0.25">
      <c r="A658" s="3292" t="s">
        <v>6286</v>
      </c>
      <c r="B658" s="3293"/>
      <c r="C658" s="3293"/>
      <c r="D658" s="3293"/>
      <c r="E658" s="2303">
        <v>259</v>
      </c>
      <c r="F658" s="3313">
        <f t="shared" ref="F658:F661" si="180">SUM(F656:F657)</f>
        <v>2732.5533333333333</v>
      </c>
      <c r="G658" s="3312" t="e">
        <f t="shared" ref="G658:G661" si="181">SUM(G656:G657)</f>
        <v>#REF!</v>
      </c>
      <c r="H658" s="3296"/>
      <c r="J658" s="1341"/>
    </row>
    <row r="659" spans="1:16" ht="15.75" x14ac:dyDescent="0.25">
      <c r="A659" s="3294" t="s">
        <v>6287</v>
      </c>
      <c r="B659" s="3295"/>
      <c r="C659" s="3295"/>
      <c r="D659" s="3295"/>
      <c r="E659" s="2304">
        <v>5496.16</v>
      </c>
      <c r="F659" s="3313">
        <f t="shared" si="180"/>
        <v>4098.83</v>
      </c>
      <c r="G659" s="3312" t="e">
        <f t="shared" si="181"/>
        <v>#REF!</v>
      </c>
      <c r="H659" s="3296"/>
    </row>
    <row r="660" spans="1:16" ht="17.25" customHeight="1" thickBot="1" x14ac:dyDescent="0.3">
      <c r="A660" s="3281" t="s">
        <v>6288</v>
      </c>
      <c r="B660" s="3282"/>
      <c r="C660" s="3282"/>
      <c r="D660" s="3282"/>
      <c r="E660" s="2295">
        <f>E656-E658</f>
        <v>5341</v>
      </c>
      <c r="F660" s="3313">
        <f t="shared" si="180"/>
        <v>6831.3833333333332</v>
      </c>
      <c r="G660" s="3312" t="e">
        <f t="shared" si="181"/>
        <v>#REF!</v>
      </c>
      <c r="H660" s="3296"/>
    </row>
    <row r="661" spans="1:16" ht="17.25" customHeight="1" thickBot="1" x14ac:dyDescent="0.3">
      <c r="A661" s="3299" t="s">
        <v>6289</v>
      </c>
      <c r="B661" s="3300"/>
      <c r="C661" s="3300"/>
      <c r="D661" s="3300"/>
      <c r="E661" s="2092">
        <f>E657-E659</f>
        <v>5503.84</v>
      </c>
      <c r="F661" s="3314">
        <f t="shared" si="180"/>
        <v>10930.213333333333</v>
      </c>
      <c r="G661" s="3315" t="e">
        <f t="shared" si="181"/>
        <v>#REF!</v>
      </c>
      <c r="H661" s="3296"/>
    </row>
    <row r="662" spans="1:16" ht="16.5" thickBot="1" x14ac:dyDescent="0.3">
      <c r="A662" s="3302" t="s">
        <v>6290</v>
      </c>
      <c r="B662" s="3303"/>
      <c r="C662" s="3303"/>
      <c r="D662" s="3303"/>
      <c r="E662" s="3303"/>
      <c r="F662" s="3304"/>
      <c r="G662" s="2299">
        <f>SUMIF(B644:B655,"SANTANDER",G644:G655)</f>
        <v>129.5</v>
      </c>
      <c r="H662" s="1942">
        <f>G662-I648</f>
        <v>64.75</v>
      </c>
      <c r="I662" s="2862" t="s">
        <v>6213</v>
      </c>
    </row>
    <row r="663" spans="1:16" ht="16.5" thickBot="1" x14ac:dyDescent="0.3">
      <c r="A663" s="3294" t="s">
        <v>6291</v>
      </c>
      <c r="B663" s="3295"/>
      <c r="C663" s="3295"/>
      <c r="D663" s="3295"/>
      <c r="E663" s="3295"/>
      <c r="F663" s="3305"/>
      <c r="G663" s="2300">
        <f>SUMIF(B644:B655,"NUBANK",G644:G655)</f>
        <v>1997.3600000000001</v>
      </c>
      <c r="H663" s="1942">
        <f>G663-I649-I650+I655</f>
        <v>1301.5266666666666</v>
      </c>
      <c r="I663" s="2862" t="s">
        <v>6213</v>
      </c>
    </row>
    <row r="664" spans="1:16" ht="16.5" customHeight="1" thickBot="1" x14ac:dyDescent="0.35">
      <c r="A664" s="3306" t="s">
        <v>6292</v>
      </c>
      <c r="B664" s="3307"/>
      <c r="C664" s="3307"/>
      <c r="D664" s="3307"/>
      <c r="E664" s="3307"/>
      <c r="F664" s="3308"/>
      <c r="G664" s="2093">
        <f>G662+G663</f>
        <v>2126.86</v>
      </c>
      <c r="H664" s="2094"/>
      <c r="I664" s="2863"/>
    </row>
    <row r="665" spans="1:16" ht="16.5" customHeight="1" thickBot="1" x14ac:dyDescent="0.3">
      <c r="G665" s="1247"/>
    </row>
    <row r="666" spans="1:16" ht="19.5" thickBot="1" x14ac:dyDescent="0.35">
      <c r="A666" s="3287" t="s">
        <v>6561</v>
      </c>
      <c r="B666" s="3288"/>
      <c r="C666" s="3288"/>
      <c r="D666" s="3288"/>
      <c r="E666" s="3288"/>
      <c r="F666" s="3288"/>
      <c r="G666" s="3289"/>
      <c r="J666" s="1354"/>
      <c r="K666" s="1667"/>
      <c r="L666" s="1667"/>
      <c r="M666" s="1944"/>
      <c r="N666" s="1667"/>
      <c r="O666" s="1944"/>
      <c r="P666" s="1667"/>
    </row>
    <row r="667" spans="1:16" x14ac:dyDescent="0.25">
      <c r="A667" s="2288">
        <v>45328</v>
      </c>
      <c r="B667" s="2288" t="s">
        <v>6210</v>
      </c>
      <c r="C667" s="3253" t="s">
        <v>6130</v>
      </c>
      <c r="D667" s="3254"/>
      <c r="E667" s="2289">
        <v>31.9</v>
      </c>
      <c r="F667" s="2290">
        <v>1</v>
      </c>
      <c r="G667" s="2296">
        <f t="shared" ref="G667" si="182">E667/F667</f>
        <v>31.9</v>
      </c>
      <c r="H667" s="1247" t="s">
        <v>1491</v>
      </c>
      <c r="I667" s="2151"/>
      <c r="J667" s="1360"/>
      <c r="K667" s="1657"/>
      <c r="L667" s="1657"/>
      <c r="M667" s="2008"/>
      <c r="N667" s="2010"/>
      <c r="O667" s="2011"/>
      <c r="P667" s="1336"/>
    </row>
    <row r="668" spans="1:16" x14ac:dyDescent="0.25">
      <c r="A668" s="2284">
        <v>45370</v>
      </c>
      <c r="B668" s="2285" t="s">
        <v>6209</v>
      </c>
      <c r="C668" s="3244" t="s">
        <v>6562</v>
      </c>
      <c r="D668" s="3245"/>
      <c r="E668" s="2286">
        <v>4846.1000000000004</v>
      </c>
      <c r="F668" s="2287">
        <v>5</v>
      </c>
      <c r="G668" s="2297">
        <f>E668/F668</f>
        <v>969.22</v>
      </c>
      <c r="H668" s="1346"/>
      <c r="I668" s="1389">
        <f>G668</f>
        <v>969.22</v>
      </c>
      <c r="J668" s="1360"/>
      <c r="K668" s="1657"/>
      <c r="L668" s="1657"/>
      <c r="M668" s="2008"/>
      <c r="N668" s="2010"/>
      <c r="O668" s="2011"/>
      <c r="P668" s="1336"/>
    </row>
    <row r="669" spans="1:16" x14ac:dyDescent="0.25">
      <c r="A669" s="2284">
        <v>45405</v>
      </c>
      <c r="B669" s="2285" t="s">
        <v>6209</v>
      </c>
      <c r="C669" s="3244" t="s">
        <v>6563</v>
      </c>
      <c r="D669" s="3245"/>
      <c r="E669" s="2286">
        <v>777</v>
      </c>
      <c r="F669" s="2287">
        <v>6</v>
      </c>
      <c r="G669" s="2297">
        <v>0</v>
      </c>
      <c r="H669" s="1247" t="s">
        <v>6787</v>
      </c>
      <c r="I669" s="1321">
        <f>G669/2</f>
        <v>0</v>
      </c>
      <c r="J669" s="1360"/>
      <c r="K669" s="1657"/>
      <c r="L669" s="1657"/>
      <c r="M669" s="2008"/>
      <c r="N669" s="2010"/>
      <c r="O669" s="2011"/>
      <c r="P669" s="1336"/>
    </row>
    <row r="670" spans="1:16" x14ac:dyDescent="0.25">
      <c r="A670" s="2284">
        <v>45446</v>
      </c>
      <c r="B670" s="2285" t="s">
        <v>6209</v>
      </c>
      <c r="C670" s="3244" t="s">
        <v>6564</v>
      </c>
      <c r="D670" s="3245"/>
      <c r="E670" s="2286">
        <v>170</v>
      </c>
      <c r="F670" s="2287">
        <v>3</v>
      </c>
      <c r="G670" s="2297">
        <f t="shared" ref="G670:G674" si="183">E670/F670</f>
        <v>56.666666666666664</v>
      </c>
      <c r="H670" s="1247" t="s">
        <v>1522</v>
      </c>
      <c r="I670" s="1321"/>
      <c r="J670" s="1360"/>
      <c r="K670" s="1657"/>
      <c r="L670" s="1657"/>
      <c r="M670" s="2008"/>
      <c r="N670" s="2010"/>
      <c r="O670" s="2011"/>
      <c r="P670" s="1336"/>
    </row>
    <row r="671" spans="1:16" x14ac:dyDescent="0.25">
      <c r="A671" s="2291">
        <v>45468</v>
      </c>
      <c r="B671" s="2292" t="s">
        <v>6210</v>
      </c>
      <c r="C671" s="3257" t="s">
        <v>6581</v>
      </c>
      <c r="D671" s="3258"/>
      <c r="E671" s="2293">
        <v>1750</v>
      </c>
      <c r="F671" s="2294">
        <v>3</v>
      </c>
      <c r="G671" s="2298">
        <f t="shared" si="183"/>
        <v>583.33333333333337</v>
      </c>
      <c r="H671" s="1247" t="s">
        <v>1524</v>
      </c>
      <c r="I671" s="1321">
        <f>G671/2</f>
        <v>291.66666666666669</v>
      </c>
      <c r="J671" s="2043" t="s">
        <v>6212</v>
      </c>
      <c r="K671" s="1657"/>
      <c r="L671" s="1657"/>
      <c r="M671" s="2008"/>
      <c r="N671" s="2010"/>
      <c r="O671" s="2011"/>
      <c r="P671" s="1336"/>
    </row>
    <row r="672" spans="1:16" x14ac:dyDescent="0.25">
      <c r="A672" s="2291">
        <v>45470</v>
      </c>
      <c r="B672" s="2292" t="s">
        <v>6210</v>
      </c>
      <c r="C672" s="3257" t="s">
        <v>6582</v>
      </c>
      <c r="D672" s="3258"/>
      <c r="E672" s="2293">
        <v>5750</v>
      </c>
      <c r="F672" s="2294">
        <v>6</v>
      </c>
      <c r="G672" s="2298">
        <f t="shared" si="183"/>
        <v>958.33333333333337</v>
      </c>
      <c r="H672" s="1247" t="s">
        <v>1524</v>
      </c>
      <c r="I672" s="1321">
        <f>G672/2</f>
        <v>479.16666666666669</v>
      </c>
      <c r="J672" s="2043" t="s">
        <v>6212</v>
      </c>
      <c r="K672" s="1657"/>
      <c r="L672" s="1657"/>
      <c r="M672" s="2008"/>
      <c r="N672" s="2010"/>
      <c r="O672" s="2011"/>
      <c r="P672" s="1336"/>
    </row>
    <row r="673" spans="1:16" x14ac:dyDescent="0.25">
      <c r="A673" s="2291">
        <v>45487</v>
      </c>
      <c r="B673" s="2292" t="s">
        <v>6210</v>
      </c>
      <c r="C673" s="3257" t="s">
        <v>6678</v>
      </c>
      <c r="D673" s="3258"/>
      <c r="E673" s="2293">
        <v>69.900000000000006</v>
      </c>
      <c r="F673" s="2294">
        <v>1</v>
      </c>
      <c r="G673" s="2298">
        <f t="shared" si="183"/>
        <v>69.900000000000006</v>
      </c>
      <c r="H673" s="1247" t="s">
        <v>1489</v>
      </c>
      <c r="I673" s="1321"/>
      <c r="J673" s="2043"/>
      <c r="K673" s="1657"/>
      <c r="L673" s="1657"/>
      <c r="M673" s="2008"/>
      <c r="N673" s="2010"/>
      <c r="O673" s="2011"/>
      <c r="P673" s="1336"/>
    </row>
    <row r="674" spans="1:16" x14ac:dyDescent="0.25">
      <c r="A674" s="2291">
        <v>45488</v>
      </c>
      <c r="B674" s="2292" t="s">
        <v>6210</v>
      </c>
      <c r="C674" s="3257" t="s">
        <v>6680</v>
      </c>
      <c r="D674" s="3258"/>
      <c r="E674" s="2293">
        <v>357.68</v>
      </c>
      <c r="F674" s="2294">
        <v>12</v>
      </c>
      <c r="G674" s="2298">
        <f t="shared" si="183"/>
        <v>29.806666666666668</v>
      </c>
      <c r="H674" s="1247" t="s">
        <v>1489</v>
      </c>
      <c r="I674" s="1321"/>
      <c r="J674" s="1360"/>
      <c r="K674" s="1657"/>
      <c r="L674" s="1657"/>
      <c r="M674" s="2008"/>
      <c r="N674" s="2010"/>
      <c r="O674" s="2011"/>
      <c r="P674" s="1336"/>
    </row>
    <row r="675" spans="1:16" x14ac:dyDescent="0.25">
      <c r="A675" s="2291">
        <v>45489</v>
      </c>
      <c r="B675" s="2292" t="s">
        <v>6210</v>
      </c>
      <c r="C675" s="3257" t="s">
        <v>6682</v>
      </c>
      <c r="D675" s="3258"/>
      <c r="E675" s="2293">
        <v>396.9</v>
      </c>
      <c r="F675" s="2294">
        <v>1</v>
      </c>
      <c r="G675" s="2298">
        <f t="shared" ref="G675" si="184">E675/F675</f>
        <v>396.9</v>
      </c>
      <c r="H675" s="1247" t="s">
        <v>1524</v>
      </c>
      <c r="I675" s="1321"/>
      <c r="J675" s="2043"/>
      <c r="K675" s="1657"/>
      <c r="L675" s="1657"/>
      <c r="M675" s="2008"/>
      <c r="N675" s="2010"/>
      <c r="O675" s="2011"/>
      <c r="P675" s="1336"/>
    </row>
    <row r="676" spans="1:16" x14ac:dyDescent="0.25">
      <c r="A676" s="2291">
        <v>45490</v>
      </c>
      <c r="B676" s="2292" t="s">
        <v>6210</v>
      </c>
      <c r="C676" s="3257" t="s">
        <v>6687</v>
      </c>
      <c r="D676" s="3258"/>
      <c r="E676" s="2293">
        <v>582</v>
      </c>
      <c r="F676" s="2294">
        <v>1</v>
      </c>
      <c r="G676" s="2298">
        <f t="shared" ref="G676" si="185">E676/F676</f>
        <v>582</v>
      </c>
      <c r="H676" s="1247" t="s">
        <v>1524</v>
      </c>
      <c r="I676" s="2316"/>
      <c r="J676" s="2043"/>
      <c r="K676" s="2317"/>
      <c r="L676" s="2317"/>
      <c r="M676" s="2008"/>
      <c r="N676" s="2010"/>
      <c r="O676" s="2011"/>
      <c r="P676" s="1336"/>
    </row>
    <row r="677" spans="1:16" x14ac:dyDescent="0.25">
      <c r="A677" s="2291">
        <v>45500</v>
      </c>
      <c r="B677" s="2292" t="s">
        <v>6210</v>
      </c>
      <c r="C677" s="3257" t="s">
        <v>6742</v>
      </c>
      <c r="D677" s="3258"/>
      <c r="E677" s="2293">
        <v>200</v>
      </c>
      <c r="F677" s="2294">
        <v>1</v>
      </c>
      <c r="G677" s="2298">
        <f t="shared" ref="G677:G682" si="186">E677/F677</f>
        <v>200</v>
      </c>
      <c r="I677" s="2316">
        <v>200</v>
      </c>
      <c r="J677" s="2043" t="s">
        <v>4140</v>
      </c>
      <c r="K677" s="2317"/>
      <c r="L677" s="2317"/>
      <c r="M677" s="2008"/>
      <c r="N677" s="2010"/>
      <c r="O677" s="2011"/>
      <c r="P677" s="1336"/>
    </row>
    <row r="678" spans="1:16" ht="15.75" customHeight="1" x14ac:dyDescent="0.25">
      <c r="A678" s="2284">
        <v>45504</v>
      </c>
      <c r="B678" s="2285" t="s">
        <v>6209</v>
      </c>
      <c r="C678" s="3244" t="s">
        <v>6734</v>
      </c>
      <c r="D678" s="3245"/>
      <c r="E678" s="2286">
        <v>65.48</v>
      </c>
      <c r="F678" s="2287">
        <v>1</v>
      </c>
      <c r="G678" s="2297">
        <f t="shared" si="186"/>
        <v>65.48</v>
      </c>
      <c r="H678" s="1247" t="s">
        <v>1496</v>
      </c>
      <c r="I678" s="1321"/>
      <c r="J678" s="1360"/>
      <c r="K678" s="1657"/>
      <c r="L678" s="1657"/>
      <c r="M678" s="2008"/>
      <c r="N678" s="2010"/>
      <c r="O678" s="2011"/>
      <c r="P678" s="1336"/>
    </row>
    <row r="679" spans="1:16" x14ac:dyDescent="0.25">
      <c r="A679" s="2284">
        <v>45504</v>
      </c>
      <c r="B679" s="2285" t="s">
        <v>6209</v>
      </c>
      <c r="C679" s="3244" t="s">
        <v>6735</v>
      </c>
      <c r="D679" s="3245"/>
      <c r="E679" s="2286">
        <v>19.25</v>
      </c>
      <c r="F679" s="2287">
        <v>1</v>
      </c>
      <c r="G679" s="2297">
        <f t="shared" si="186"/>
        <v>19.25</v>
      </c>
      <c r="H679" s="1247" t="s">
        <v>1524</v>
      </c>
      <c r="I679" s="1321"/>
      <c r="J679" s="1360"/>
      <c r="K679" s="1657"/>
      <c r="L679" s="1657"/>
      <c r="M679" s="2008"/>
      <c r="N679" s="2010"/>
      <c r="O679" s="2011"/>
      <c r="P679" s="1336"/>
    </row>
    <row r="680" spans="1:16" x14ac:dyDescent="0.25">
      <c r="A680" s="2291">
        <v>45508</v>
      </c>
      <c r="B680" s="2292" t="s">
        <v>6210</v>
      </c>
      <c r="C680" s="3257" t="s">
        <v>6745</v>
      </c>
      <c r="D680" s="3258"/>
      <c r="E680" s="2293">
        <v>260</v>
      </c>
      <c r="F680" s="2294">
        <v>3</v>
      </c>
      <c r="G680" s="2298">
        <f t="shared" si="186"/>
        <v>86.666666666666671</v>
      </c>
      <c r="H680" s="1247" t="s">
        <v>1506</v>
      </c>
      <c r="I680" s="2316"/>
      <c r="J680" s="2043"/>
      <c r="K680" s="2317"/>
      <c r="L680" s="2317"/>
      <c r="M680" s="2008"/>
      <c r="N680" s="2010"/>
      <c r="O680" s="2011"/>
      <c r="P680" s="1336"/>
    </row>
    <row r="681" spans="1:16" x14ac:dyDescent="0.25">
      <c r="A681" s="2291">
        <v>45508</v>
      </c>
      <c r="B681" s="2292" t="s">
        <v>6210</v>
      </c>
      <c r="C681" s="3257" t="s">
        <v>6746</v>
      </c>
      <c r="D681" s="3258"/>
      <c r="E681" s="2293">
        <v>120</v>
      </c>
      <c r="F681" s="2294">
        <v>1</v>
      </c>
      <c r="G681" s="2298">
        <v>0</v>
      </c>
      <c r="H681" s="1247" t="s">
        <v>6757</v>
      </c>
      <c r="I681" s="2316"/>
      <c r="J681" s="2043"/>
      <c r="K681" s="2317"/>
      <c r="L681" s="2317"/>
      <c r="M681" s="2008"/>
      <c r="N681" s="2010"/>
      <c r="O681" s="2011"/>
      <c r="P681" s="1336"/>
    </row>
    <row r="682" spans="1:16" x14ac:dyDescent="0.25">
      <c r="A682" s="2404">
        <v>45512</v>
      </c>
      <c r="B682" s="2405" t="s">
        <v>6792</v>
      </c>
      <c r="C682" s="3246" t="s">
        <v>6791</v>
      </c>
      <c r="D682" s="3247"/>
      <c r="E682" s="2406">
        <v>300</v>
      </c>
      <c r="F682" s="2407">
        <v>2</v>
      </c>
      <c r="G682" s="2408">
        <f t="shared" si="186"/>
        <v>150</v>
      </c>
      <c r="H682" s="1247" t="s">
        <v>1489</v>
      </c>
      <c r="I682" s="1321">
        <f>G682/2</f>
        <v>75</v>
      </c>
      <c r="J682" s="2043" t="s">
        <v>6770</v>
      </c>
      <c r="K682" s="2317"/>
      <c r="L682" s="2317"/>
      <c r="M682" s="2008"/>
      <c r="N682" s="2010"/>
      <c r="O682" s="2011"/>
      <c r="P682" s="1336"/>
    </row>
    <row r="683" spans="1:16" ht="15.75" x14ac:dyDescent="0.25">
      <c r="A683" s="3281" t="s">
        <v>6284</v>
      </c>
      <c r="B683" s="3282"/>
      <c r="C683" s="3282"/>
      <c r="D683" s="3282"/>
      <c r="E683" s="2295">
        <v>5600</v>
      </c>
      <c r="F683" s="3344">
        <f>SUM(H689:H690)+G682</f>
        <v>2184.4033333333336</v>
      </c>
      <c r="G683" s="3345" t="e">
        <f>SUM(#REF!)</f>
        <v>#REF!</v>
      </c>
      <c r="H683" s="3296" t="s">
        <v>6301</v>
      </c>
      <c r="J683" s="1382"/>
      <c r="N683" s="1336"/>
      <c r="O683" s="2012"/>
      <c r="P683" s="1336"/>
    </row>
    <row r="684" spans="1:16" ht="15.75" x14ac:dyDescent="0.25">
      <c r="A684" s="3290" t="s">
        <v>6285</v>
      </c>
      <c r="B684" s="3291"/>
      <c r="C684" s="3291"/>
      <c r="D684" s="3291"/>
      <c r="E684" s="2302">
        <v>11000</v>
      </c>
      <c r="F684" s="3313">
        <f>SUM(F683:F683)</f>
        <v>2184.4033333333336</v>
      </c>
      <c r="G684" s="3312" t="e">
        <f>SUM(G683:G683)</f>
        <v>#REF!</v>
      </c>
      <c r="H684" s="3296"/>
      <c r="J684" s="1382"/>
      <c r="N684" s="1336"/>
      <c r="O684" s="2012"/>
      <c r="P684" s="1336"/>
    </row>
    <row r="685" spans="1:16" ht="15.75" x14ac:dyDescent="0.25">
      <c r="A685" s="3292" t="s">
        <v>6286</v>
      </c>
      <c r="B685" s="3293"/>
      <c r="C685" s="3293"/>
      <c r="D685" s="3293"/>
      <c r="E685" s="2303">
        <v>1370.62</v>
      </c>
      <c r="F685" s="3313">
        <f t="shared" ref="F685:F688" si="187">SUM(F683:F684)</f>
        <v>4368.8066666666673</v>
      </c>
      <c r="G685" s="3312" t="e">
        <f t="shared" ref="G685:G688" si="188">SUM(G683:G684)</f>
        <v>#REF!</v>
      </c>
      <c r="H685" s="3296"/>
    </row>
    <row r="686" spans="1:16" ht="15.75" x14ac:dyDescent="0.25">
      <c r="A686" s="3294" t="s">
        <v>6287</v>
      </c>
      <c r="B686" s="3295"/>
      <c r="C686" s="3295"/>
      <c r="D686" s="3295"/>
      <c r="E686" s="2304">
        <v>7596.69</v>
      </c>
      <c r="F686" s="3313">
        <f t="shared" si="187"/>
        <v>6553.2100000000009</v>
      </c>
      <c r="G686" s="3312" t="e">
        <f t="shared" si="188"/>
        <v>#REF!</v>
      </c>
      <c r="H686" s="3296"/>
    </row>
    <row r="687" spans="1:16" ht="17.25" customHeight="1" thickBot="1" x14ac:dyDescent="0.3">
      <c r="A687" s="3281" t="s">
        <v>6288</v>
      </c>
      <c r="B687" s="3282"/>
      <c r="C687" s="3282"/>
      <c r="D687" s="3282"/>
      <c r="E687" s="2295">
        <f>E683-E685</f>
        <v>4229.38</v>
      </c>
      <c r="F687" s="3313">
        <f t="shared" si="187"/>
        <v>10922.016666666668</v>
      </c>
      <c r="G687" s="3312" t="e">
        <f t="shared" si="188"/>
        <v>#REF!</v>
      </c>
      <c r="H687" s="3296"/>
    </row>
    <row r="688" spans="1:16" ht="17.25" customHeight="1" thickBot="1" x14ac:dyDescent="0.3">
      <c r="A688" s="3299" t="s">
        <v>6289</v>
      </c>
      <c r="B688" s="3300"/>
      <c r="C688" s="3300"/>
      <c r="D688" s="3300"/>
      <c r="E688" s="2092">
        <f>E684-E686</f>
        <v>3403.3100000000004</v>
      </c>
      <c r="F688" s="3314">
        <f t="shared" si="187"/>
        <v>17475.226666666669</v>
      </c>
      <c r="G688" s="3315" t="e">
        <f t="shared" si="188"/>
        <v>#REF!</v>
      </c>
      <c r="H688" s="3296"/>
    </row>
    <row r="689" spans="1:16" ht="16.5" thickBot="1" x14ac:dyDescent="0.3">
      <c r="A689" s="3302" t="s">
        <v>6290</v>
      </c>
      <c r="B689" s="3303"/>
      <c r="C689" s="3303"/>
      <c r="D689" s="3303"/>
      <c r="E689" s="3303"/>
      <c r="F689" s="3304"/>
      <c r="G689" s="2299">
        <f>SUMIF(B667:B682,"SANTANDER",G667:G682)</f>
        <v>1110.6166666666668</v>
      </c>
      <c r="H689" s="1942">
        <f>G689-I668-I669</f>
        <v>141.39666666666676</v>
      </c>
      <c r="I689" s="2862" t="s">
        <v>6213</v>
      </c>
    </row>
    <row r="690" spans="1:16" ht="16.5" thickBot="1" x14ac:dyDescent="0.3">
      <c r="A690" s="3294" t="s">
        <v>6291</v>
      </c>
      <c r="B690" s="3295"/>
      <c r="C690" s="3295"/>
      <c r="D690" s="3295"/>
      <c r="E690" s="3295"/>
      <c r="F690" s="3305"/>
      <c r="G690" s="2300">
        <f>SUMIF(B667:B682,"NUBANK",G667:G682)</f>
        <v>2938.8399999999997</v>
      </c>
      <c r="H690" s="1942">
        <f>G690-I671-I672-I677-I682</f>
        <v>1893.0066666666667</v>
      </c>
      <c r="I690" s="2862" t="s">
        <v>6213</v>
      </c>
    </row>
    <row r="691" spans="1:16" ht="16.5" customHeight="1" thickBot="1" x14ac:dyDescent="0.35">
      <c r="A691" s="3306" t="s">
        <v>6292</v>
      </c>
      <c r="B691" s="3307"/>
      <c r="C691" s="3307"/>
      <c r="D691" s="3307"/>
      <c r="E691" s="3307"/>
      <c r="F691" s="3308"/>
      <c r="G691" s="2093">
        <f>G689+G690</f>
        <v>4049.4566666666665</v>
      </c>
      <c r="H691" s="2094"/>
      <c r="I691" s="2863"/>
    </row>
    <row r="692" spans="1:16" ht="16.5" customHeight="1" thickBot="1" x14ac:dyDescent="0.3">
      <c r="G692" s="1247"/>
    </row>
    <row r="693" spans="1:16" ht="19.5" thickBot="1" x14ac:dyDescent="0.35">
      <c r="A693" s="3335" t="s">
        <v>6458</v>
      </c>
      <c r="B693" s="3336"/>
      <c r="C693" s="3336"/>
      <c r="D693" s="3336"/>
      <c r="E693" s="3336"/>
      <c r="F693" s="3336"/>
      <c r="G693" s="3337"/>
      <c r="J693" s="1354"/>
      <c r="K693" s="1667"/>
      <c r="L693" s="1667"/>
      <c r="M693" s="1944"/>
      <c r="N693" s="1667"/>
      <c r="O693" s="1944"/>
      <c r="P693" s="1667"/>
    </row>
    <row r="694" spans="1:16" x14ac:dyDescent="0.25">
      <c r="A694" s="2288">
        <v>45328</v>
      </c>
      <c r="B694" s="2288" t="s">
        <v>6210</v>
      </c>
      <c r="C694" s="3253" t="s">
        <v>6130</v>
      </c>
      <c r="D694" s="3254"/>
      <c r="E694" s="2289">
        <v>31.9</v>
      </c>
      <c r="F694" s="2290">
        <v>1</v>
      </c>
      <c r="G694" s="2296">
        <f t="shared" ref="G694" si="189">E694/F694</f>
        <v>31.9</v>
      </c>
      <c r="H694" s="1247" t="s">
        <v>1491</v>
      </c>
      <c r="I694" s="2151"/>
      <c r="J694" s="1360"/>
      <c r="K694" s="1657"/>
      <c r="L694" s="1657"/>
      <c r="M694" s="2008"/>
      <c r="N694" s="2010"/>
      <c r="O694" s="2011"/>
      <c r="P694" s="1336"/>
    </row>
    <row r="695" spans="1:16" x14ac:dyDescent="0.25">
      <c r="A695" s="2284">
        <v>45370</v>
      </c>
      <c r="B695" s="2285" t="s">
        <v>6209</v>
      </c>
      <c r="C695" s="3244" t="s">
        <v>6459</v>
      </c>
      <c r="D695" s="3245"/>
      <c r="E695" s="2286">
        <v>4846.1000000000004</v>
      </c>
      <c r="F695" s="2287">
        <v>5</v>
      </c>
      <c r="G695" s="2297">
        <f>E695/F695</f>
        <v>969.22</v>
      </c>
      <c r="H695" s="1346"/>
      <c r="I695" s="1389">
        <f>G695</f>
        <v>969.22</v>
      </c>
      <c r="J695" s="1360"/>
      <c r="K695" s="1657"/>
      <c r="L695" s="1657"/>
      <c r="M695" s="2008"/>
      <c r="N695" s="2010"/>
      <c r="O695" s="2011"/>
      <c r="P695" s="1336"/>
    </row>
    <row r="696" spans="1:16" x14ac:dyDescent="0.25">
      <c r="A696" s="2284">
        <v>45405</v>
      </c>
      <c r="B696" s="2285" t="s">
        <v>6209</v>
      </c>
      <c r="C696" s="3244" t="s">
        <v>6461</v>
      </c>
      <c r="D696" s="3245"/>
      <c r="E696" s="2286">
        <v>777</v>
      </c>
      <c r="F696" s="2287">
        <v>6</v>
      </c>
      <c r="G696" s="2297">
        <f t="shared" ref="G696:G702" si="190">E696/F696</f>
        <v>129.5</v>
      </c>
      <c r="H696" s="1247" t="s">
        <v>1489</v>
      </c>
      <c r="I696" s="2316">
        <f>G696/2</f>
        <v>64.75</v>
      </c>
      <c r="J696" s="2043"/>
      <c r="K696" s="1657"/>
      <c r="L696" s="1657"/>
      <c r="M696" s="2008"/>
      <c r="N696" s="2010"/>
      <c r="O696" s="2011"/>
      <c r="P696" s="1336"/>
    </row>
    <row r="697" spans="1:16" x14ac:dyDescent="0.25">
      <c r="A697" s="2291">
        <v>45428</v>
      </c>
      <c r="B697" s="2292" t="s">
        <v>6210</v>
      </c>
      <c r="C697" s="3257" t="s">
        <v>6460</v>
      </c>
      <c r="D697" s="3258"/>
      <c r="E697" s="2293">
        <v>2320</v>
      </c>
      <c r="F697" s="2294">
        <v>2</v>
      </c>
      <c r="G697" s="2298">
        <f t="shared" si="190"/>
        <v>1160</v>
      </c>
      <c r="H697" s="1247" t="s">
        <v>1524</v>
      </c>
      <c r="I697" s="1321">
        <f>G697/2</f>
        <v>580</v>
      </c>
      <c r="J697" s="2043" t="s">
        <v>6212</v>
      </c>
      <c r="K697" s="1657"/>
      <c r="L697" s="1657"/>
      <c r="M697" s="2008"/>
      <c r="N697" s="2010"/>
      <c r="O697" s="2011"/>
      <c r="P697" s="1336"/>
    </row>
    <row r="698" spans="1:16" x14ac:dyDescent="0.25">
      <c r="A698" s="2291">
        <v>45433</v>
      </c>
      <c r="B698" s="2292" t="s">
        <v>6210</v>
      </c>
      <c r="C698" s="3257" t="s">
        <v>6472</v>
      </c>
      <c r="D698" s="3258"/>
      <c r="E698" s="2293">
        <v>1498.95</v>
      </c>
      <c r="F698" s="2294">
        <v>2</v>
      </c>
      <c r="G698" s="2298">
        <f t="shared" si="190"/>
        <v>749.47500000000002</v>
      </c>
      <c r="H698" s="1247" t="s">
        <v>1524</v>
      </c>
      <c r="I698" s="1321">
        <f>G698/2</f>
        <v>374.73750000000001</v>
      </c>
      <c r="J698" s="2043" t="s">
        <v>6212</v>
      </c>
      <c r="K698" s="1657"/>
      <c r="L698" s="1657"/>
      <c r="M698" s="2008"/>
      <c r="N698" s="2010"/>
      <c r="O698" s="2011"/>
      <c r="P698" s="1336"/>
    </row>
    <row r="699" spans="1:16" x14ac:dyDescent="0.25">
      <c r="A699" s="2284">
        <v>45446</v>
      </c>
      <c r="B699" s="2285" t="s">
        <v>6209</v>
      </c>
      <c r="C699" s="3244" t="s">
        <v>6504</v>
      </c>
      <c r="D699" s="3245"/>
      <c r="E699" s="2286">
        <v>170</v>
      </c>
      <c r="F699" s="2287">
        <v>3</v>
      </c>
      <c r="G699" s="2297">
        <f t="shared" si="190"/>
        <v>56.666666666666664</v>
      </c>
      <c r="H699" s="1247" t="s">
        <v>1522</v>
      </c>
      <c r="I699" s="1321"/>
      <c r="J699" s="1360"/>
      <c r="K699" s="1657"/>
      <c r="L699" s="1657"/>
      <c r="M699" s="2008"/>
      <c r="N699" s="2010"/>
      <c r="O699" s="2011"/>
      <c r="P699" s="1336"/>
    </row>
    <row r="700" spans="1:16" x14ac:dyDescent="0.25">
      <c r="A700" s="2291">
        <v>45468</v>
      </c>
      <c r="B700" s="2292" t="s">
        <v>6210</v>
      </c>
      <c r="C700" s="3257" t="s">
        <v>6592</v>
      </c>
      <c r="D700" s="3258"/>
      <c r="E700" s="2293">
        <v>284.89999999999998</v>
      </c>
      <c r="F700" s="2294">
        <v>1</v>
      </c>
      <c r="G700" s="2298">
        <v>0</v>
      </c>
      <c r="H700" s="1247" t="s">
        <v>6641</v>
      </c>
      <c r="I700" s="1321"/>
      <c r="J700" s="1360"/>
      <c r="K700" s="1657"/>
      <c r="L700" s="1657"/>
      <c r="M700" s="2008"/>
      <c r="N700" s="2010"/>
      <c r="O700" s="2011"/>
      <c r="P700" s="1336"/>
    </row>
    <row r="701" spans="1:16" x14ac:dyDescent="0.25">
      <c r="A701" s="2291">
        <v>45468</v>
      </c>
      <c r="B701" s="2292" t="s">
        <v>6210</v>
      </c>
      <c r="C701" s="3257" t="s">
        <v>6580</v>
      </c>
      <c r="D701" s="3258"/>
      <c r="E701" s="2293">
        <v>1750</v>
      </c>
      <c r="F701" s="2294">
        <v>3</v>
      </c>
      <c r="G701" s="2298">
        <f t="shared" si="190"/>
        <v>583.33333333333337</v>
      </c>
      <c r="H701" s="1247" t="s">
        <v>1524</v>
      </c>
      <c r="I701" s="1321">
        <f>G701/2</f>
        <v>291.66666666666669</v>
      </c>
      <c r="J701" s="2043" t="s">
        <v>6212</v>
      </c>
      <c r="K701" s="1657"/>
      <c r="L701" s="1657"/>
      <c r="M701" s="2008"/>
      <c r="N701" s="2010"/>
      <c r="O701" s="2011"/>
      <c r="P701" s="1336"/>
    </row>
    <row r="702" spans="1:16" x14ac:dyDescent="0.25">
      <c r="A702" s="2307">
        <v>45470</v>
      </c>
      <c r="B702" s="2308" t="s">
        <v>6210</v>
      </c>
      <c r="C702" s="3309" t="s">
        <v>6630</v>
      </c>
      <c r="D702" s="3310"/>
      <c r="E702" s="2309">
        <v>5750</v>
      </c>
      <c r="F702" s="2310">
        <v>6</v>
      </c>
      <c r="G702" s="2311">
        <f t="shared" si="190"/>
        <v>958.33333333333337</v>
      </c>
      <c r="H702" s="1247" t="s">
        <v>1524</v>
      </c>
      <c r="I702" s="1321">
        <f>G702/2</f>
        <v>479.16666666666669</v>
      </c>
      <c r="J702" s="2043" t="s">
        <v>6212</v>
      </c>
      <c r="K702" s="1657"/>
      <c r="L702" s="1657"/>
      <c r="M702" s="2008"/>
      <c r="N702" s="2010"/>
      <c r="O702" s="2011"/>
      <c r="P702" s="1336"/>
    </row>
    <row r="703" spans="1:16" ht="15.75" x14ac:dyDescent="0.25">
      <c r="A703" s="3281" t="s">
        <v>6284</v>
      </c>
      <c r="B703" s="3282"/>
      <c r="C703" s="3282"/>
      <c r="D703" s="3282"/>
      <c r="E703" s="2295">
        <v>5600</v>
      </c>
      <c r="F703" s="3311">
        <f>SUM(H709:H710)</f>
        <v>1878.8875000000003</v>
      </c>
      <c r="G703" s="3312" t="e">
        <f>SUM(#REF!)</f>
        <v>#REF!</v>
      </c>
      <c r="H703" s="3296" t="s">
        <v>6301</v>
      </c>
      <c r="J703" s="1382"/>
      <c r="N703" s="1336"/>
      <c r="O703" s="2012"/>
      <c r="P703" s="1336"/>
    </row>
    <row r="704" spans="1:16" ht="15.75" x14ac:dyDescent="0.25">
      <c r="A704" s="3290" t="s">
        <v>6285</v>
      </c>
      <c r="B704" s="3291"/>
      <c r="C704" s="3291"/>
      <c r="D704" s="3291"/>
      <c r="E704" s="2302">
        <v>11000</v>
      </c>
      <c r="F704" s="3313">
        <f>SUM(F703:F703)</f>
        <v>1878.8875000000003</v>
      </c>
      <c r="G704" s="3312" t="e">
        <f>SUM(G703:G703)</f>
        <v>#REF!</v>
      </c>
      <c r="H704" s="3296"/>
      <c r="J704" s="1382"/>
      <c r="N704" s="1336"/>
      <c r="O704" s="2012"/>
      <c r="P704" s="1336"/>
    </row>
    <row r="705" spans="1:16" ht="15.75" x14ac:dyDescent="0.25">
      <c r="A705" s="3292" t="s">
        <v>6286</v>
      </c>
      <c r="B705" s="3293"/>
      <c r="C705" s="3293"/>
      <c r="D705" s="3293"/>
      <c r="E705" s="2303">
        <v>2569.7800000000002</v>
      </c>
      <c r="F705" s="3313">
        <f t="shared" ref="F705:F708" si="191">SUM(F703:F704)</f>
        <v>3757.7750000000005</v>
      </c>
      <c r="G705" s="3312" t="e">
        <f t="shared" ref="G705:G708" si="192">SUM(G703:G704)</f>
        <v>#REF!</v>
      </c>
      <c r="H705" s="3296"/>
    </row>
    <row r="706" spans="1:16" ht="15.75" x14ac:dyDescent="0.25">
      <c r="A706" s="3294" t="s">
        <v>6287</v>
      </c>
      <c r="B706" s="3295"/>
      <c r="C706" s="3295"/>
      <c r="D706" s="3295"/>
      <c r="E706" s="2304">
        <v>9441.3799999999992</v>
      </c>
      <c r="F706" s="3313">
        <f t="shared" si="191"/>
        <v>5636.6625000000004</v>
      </c>
      <c r="G706" s="3312" t="e">
        <f t="shared" si="192"/>
        <v>#REF!</v>
      </c>
      <c r="H706" s="3296"/>
    </row>
    <row r="707" spans="1:16" ht="17.25" customHeight="1" thickBot="1" x14ac:dyDescent="0.3">
      <c r="A707" s="3281" t="s">
        <v>6288</v>
      </c>
      <c r="B707" s="3282"/>
      <c r="C707" s="3282"/>
      <c r="D707" s="3282"/>
      <c r="E707" s="2295">
        <f>E703-E705</f>
        <v>3030.22</v>
      </c>
      <c r="F707" s="3313">
        <f t="shared" si="191"/>
        <v>9394.4375</v>
      </c>
      <c r="G707" s="3312" t="e">
        <f t="shared" si="192"/>
        <v>#REF!</v>
      </c>
      <c r="H707" s="3296"/>
    </row>
    <row r="708" spans="1:16" ht="17.25" customHeight="1" thickBot="1" x14ac:dyDescent="0.3">
      <c r="A708" s="3299" t="s">
        <v>6289</v>
      </c>
      <c r="B708" s="3300"/>
      <c r="C708" s="3300"/>
      <c r="D708" s="3300"/>
      <c r="E708" s="2092">
        <f>E704-E706</f>
        <v>1558.6200000000008</v>
      </c>
      <c r="F708" s="3314">
        <f t="shared" si="191"/>
        <v>15031.1</v>
      </c>
      <c r="G708" s="3315" t="e">
        <f t="shared" si="192"/>
        <v>#REF!</v>
      </c>
      <c r="H708" s="3296"/>
    </row>
    <row r="709" spans="1:16" ht="16.5" thickBot="1" x14ac:dyDescent="0.3">
      <c r="A709" s="3302" t="s">
        <v>6290</v>
      </c>
      <c r="B709" s="3303"/>
      <c r="C709" s="3303"/>
      <c r="D709" s="3303"/>
      <c r="E709" s="3303"/>
      <c r="F709" s="3304"/>
      <c r="G709" s="2299">
        <f>SUMIF(B694:B702,"SANTANDER",G694:G702)</f>
        <v>1155.3866666666668</v>
      </c>
      <c r="H709" s="1942">
        <f>G709-I695-I696</f>
        <v>121.41666666666674</v>
      </c>
      <c r="I709" s="2862" t="s">
        <v>6213</v>
      </c>
    </row>
    <row r="710" spans="1:16" ht="16.5" thickBot="1" x14ac:dyDescent="0.3">
      <c r="A710" s="3294" t="s">
        <v>6291</v>
      </c>
      <c r="B710" s="3295"/>
      <c r="C710" s="3295"/>
      <c r="D710" s="3295"/>
      <c r="E710" s="3295"/>
      <c r="F710" s="3305"/>
      <c r="G710" s="2300">
        <f>SUMIF(B694:B702,"NUBANK",G694:G702)</f>
        <v>3483.041666666667</v>
      </c>
      <c r="H710" s="1942">
        <f>G710-I697-I698-I701-I702</f>
        <v>1757.4708333333335</v>
      </c>
      <c r="I710" s="2862" t="s">
        <v>6213</v>
      </c>
    </row>
    <row r="711" spans="1:16" ht="16.5" customHeight="1" thickBot="1" x14ac:dyDescent="0.35">
      <c r="A711" s="3306" t="s">
        <v>6292</v>
      </c>
      <c r="B711" s="3307"/>
      <c r="C711" s="3307"/>
      <c r="D711" s="3307"/>
      <c r="E711" s="3307"/>
      <c r="F711" s="3308"/>
      <c r="G711" s="2093">
        <f>G709+G710</f>
        <v>4638.4283333333333</v>
      </c>
      <c r="H711" s="2094"/>
      <c r="I711" s="2863"/>
    </row>
    <row r="712" spans="1:16" ht="16.5" customHeight="1" thickBot="1" x14ac:dyDescent="0.3"/>
    <row r="713" spans="1:16" ht="19.5" thickBot="1" x14ac:dyDescent="0.35">
      <c r="A713" s="3335" t="s">
        <v>6457</v>
      </c>
      <c r="B713" s="3336"/>
      <c r="C713" s="3336"/>
      <c r="D713" s="3336"/>
      <c r="E713" s="3336"/>
      <c r="F713" s="3336"/>
      <c r="G713" s="3337"/>
      <c r="J713" s="1354"/>
      <c r="K713" s="1667"/>
      <c r="L713" s="1667"/>
      <c r="M713" s="1944"/>
      <c r="N713" s="1667"/>
      <c r="O713" s="1944"/>
      <c r="P713" s="1667"/>
    </row>
    <row r="714" spans="1:16" x14ac:dyDescent="0.25">
      <c r="A714" s="2143">
        <v>45328</v>
      </c>
      <c r="B714" s="2143" t="s">
        <v>6210</v>
      </c>
      <c r="C714" s="3338" t="s">
        <v>6130</v>
      </c>
      <c r="D714" s="3339"/>
      <c r="E714" s="2144">
        <v>31.9</v>
      </c>
      <c r="F714" s="2145">
        <v>1</v>
      </c>
      <c r="G714" s="2150">
        <f t="shared" ref="G714" si="193">E714/F714</f>
        <v>31.9</v>
      </c>
      <c r="H714" s="1247" t="s">
        <v>1491</v>
      </c>
      <c r="I714" s="2151"/>
      <c r="J714" s="1360"/>
      <c r="K714" s="1657"/>
      <c r="L714" s="1657"/>
      <c r="M714" s="2008"/>
      <c r="N714" s="2010"/>
      <c r="O714" s="2011"/>
      <c r="P714" s="1336"/>
    </row>
    <row r="715" spans="1:16" x14ac:dyDescent="0.25">
      <c r="A715" s="1972">
        <v>45370</v>
      </c>
      <c r="B715" s="1355" t="s">
        <v>6209</v>
      </c>
      <c r="C715" s="3340" t="s">
        <v>6381</v>
      </c>
      <c r="D715" s="3341"/>
      <c r="E715" s="1357">
        <v>4846.1000000000004</v>
      </c>
      <c r="F715" s="1358">
        <v>5</v>
      </c>
      <c r="G715" s="1974">
        <f>E715/F715</f>
        <v>969.22</v>
      </c>
      <c r="H715" s="1346"/>
      <c r="I715" s="1389">
        <f>G715</f>
        <v>969.22</v>
      </c>
      <c r="J715" s="1360"/>
      <c r="K715" s="1657"/>
      <c r="L715" s="1657"/>
      <c r="M715" s="2008"/>
      <c r="N715" s="2010"/>
      <c r="O715" s="2011"/>
      <c r="P715" s="1336"/>
    </row>
    <row r="716" spans="1:16" x14ac:dyDescent="0.25">
      <c r="A716" s="1972">
        <v>45405</v>
      </c>
      <c r="B716" s="1355" t="s">
        <v>6209</v>
      </c>
      <c r="C716" s="3340" t="s">
        <v>6414</v>
      </c>
      <c r="D716" s="3341"/>
      <c r="E716" s="1357">
        <v>777</v>
      </c>
      <c r="F716" s="1358">
        <v>6</v>
      </c>
      <c r="G716" s="1663">
        <f t="shared" ref="G716:G718" si="194">E716/F716</f>
        <v>129.5</v>
      </c>
      <c r="H716" s="1247" t="s">
        <v>1489</v>
      </c>
      <c r="I716" s="1321">
        <f>G716/2</f>
        <v>64.75</v>
      </c>
      <c r="J716" s="1417"/>
      <c r="K716" s="1657"/>
      <c r="L716" s="1657"/>
      <c r="M716" s="2008"/>
      <c r="N716" s="2010"/>
      <c r="O716" s="2011"/>
      <c r="P716" s="1336"/>
    </row>
    <row r="717" spans="1:16" x14ac:dyDescent="0.25">
      <c r="A717" s="1972">
        <v>45409</v>
      </c>
      <c r="B717" s="1355" t="s">
        <v>6210</v>
      </c>
      <c r="C717" s="3340" t="s">
        <v>6415</v>
      </c>
      <c r="D717" s="3341"/>
      <c r="E717" s="1357">
        <v>1541.95</v>
      </c>
      <c r="F717" s="1358">
        <v>2</v>
      </c>
      <c r="G717" s="1974">
        <f t="shared" si="194"/>
        <v>770.97500000000002</v>
      </c>
      <c r="H717" s="1247" t="s">
        <v>1524</v>
      </c>
      <c r="I717" s="1321"/>
      <c r="J717" s="1360"/>
      <c r="K717" s="1657"/>
      <c r="L717" s="1657"/>
      <c r="M717" s="2008"/>
      <c r="N717" s="2010"/>
      <c r="O717" s="2011"/>
      <c r="P717" s="1336"/>
    </row>
    <row r="718" spans="1:16" x14ac:dyDescent="0.25">
      <c r="A718" s="1972">
        <v>45424</v>
      </c>
      <c r="B718" s="1355" t="s">
        <v>6209</v>
      </c>
      <c r="C718" s="3340" t="s">
        <v>6473</v>
      </c>
      <c r="D718" s="3341"/>
      <c r="E718" s="1357">
        <v>221.96</v>
      </c>
      <c r="F718" s="1358">
        <v>2</v>
      </c>
      <c r="G718" s="1663">
        <f t="shared" si="194"/>
        <v>110.98</v>
      </c>
      <c r="H718" s="1247" t="s">
        <v>1506</v>
      </c>
      <c r="I718" s="1345"/>
      <c r="J718" s="1360"/>
      <c r="K718" s="1657"/>
      <c r="L718" s="1657"/>
      <c r="M718" s="2008"/>
      <c r="N718" s="2010"/>
      <c r="O718" s="2011"/>
      <c r="P718" s="1336"/>
    </row>
    <row r="719" spans="1:16" x14ac:dyDescent="0.25">
      <c r="A719" s="1972">
        <v>45428</v>
      </c>
      <c r="B719" s="1355" t="s">
        <v>6210</v>
      </c>
      <c r="C719" s="3340" t="s">
        <v>6450</v>
      </c>
      <c r="D719" s="3341"/>
      <c r="E719" s="1357">
        <v>2320</v>
      </c>
      <c r="F719" s="1358">
        <v>2</v>
      </c>
      <c r="G719" s="1974">
        <f t="shared" ref="G719" si="195">E719/F719</f>
        <v>1160</v>
      </c>
      <c r="H719" s="1247" t="s">
        <v>1524</v>
      </c>
      <c r="I719" s="1321">
        <f>G719/2</f>
        <v>580</v>
      </c>
      <c r="J719" s="2043" t="s">
        <v>6212</v>
      </c>
      <c r="K719" s="1657"/>
      <c r="L719" s="1657"/>
      <c r="M719" s="2008"/>
      <c r="N719" s="2010"/>
      <c r="O719" s="2011"/>
      <c r="P719" s="1336"/>
    </row>
    <row r="720" spans="1:16" x14ac:dyDescent="0.25">
      <c r="A720" s="1972">
        <v>45433</v>
      </c>
      <c r="B720" s="1355" t="s">
        <v>6210</v>
      </c>
      <c r="C720" s="3340" t="s">
        <v>6471</v>
      </c>
      <c r="D720" s="3341"/>
      <c r="E720" s="1357">
        <v>1498.95</v>
      </c>
      <c r="F720" s="1358">
        <v>2</v>
      </c>
      <c r="G720" s="1974">
        <f t="shared" ref="G720:G721" si="196">E720/F720</f>
        <v>749.47500000000002</v>
      </c>
      <c r="H720" s="1247" t="s">
        <v>1524</v>
      </c>
      <c r="I720" s="1321">
        <f>G720/2</f>
        <v>374.73750000000001</v>
      </c>
      <c r="J720" s="2043" t="s">
        <v>6212</v>
      </c>
      <c r="K720" s="1657"/>
      <c r="L720" s="1657"/>
      <c r="M720" s="2008"/>
      <c r="N720" s="2010"/>
      <c r="O720" s="2011"/>
      <c r="P720" s="1336"/>
    </row>
    <row r="721" spans="1:16" x14ac:dyDescent="0.25">
      <c r="A721" s="2226">
        <v>45446</v>
      </c>
      <c r="B721" s="2301" t="s">
        <v>6209</v>
      </c>
      <c r="C721" s="3470" t="s">
        <v>6503</v>
      </c>
      <c r="D721" s="3471"/>
      <c r="E721" s="1665">
        <v>170</v>
      </c>
      <c r="F721" s="1666">
        <v>3</v>
      </c>
      <c r="G721" s="2227">
        <f t="shared" si="196"/>
        <v>56.666666666666664</v>
      </c>
      <c r="H721" s="1247" t="s">
        <v>1522</v>
      </c>
      <c r="I721" s="1321"/>
      <c r="J721" s="1360"/>
      <c r="K721" s="1657"/>
      <c r="L721" s="1657"/>
      <c r="M721" s="2008"/>
      <c r="N721" s="2010"/>
      <c r="O721" s="2011"/>
      <c r="P721" s="1336"/>
    </row>
    <row r="722" spans="1:16" ht="15.75" x14ac:dyDescent="0.25">
      <c r="A722" s="3350" t="s">
        <v>6284</v>
      </c>
      <c r="B722" s="3351"/>
      <c r="C722" s="3351"/>
      <c r="D722" s="3351"/>
      <c r="E722" s="1969">
        <v>5600</v>
      </c>
      <c r="F722" s="3311">
        <f>SUM(H728:H729)</f>
        <v>2054.7591666666667</v>
      </c>
      <c r="G722" s="3312" t="e">
        <f>SUM(#REF!)</f>
        <v>#REF!</v>
      </c>
      <c r="H722" s="3296" t="s">
        <v>6301</v>
      </c>
      <c r="J722" s="1382"/>
      <c r="N722" s="1336"/>
      <c r="O722" s="2012"/>
      <c r="P722" s="1336"/>
    </row>
    <row r="723" spans="1:16" ht="15.75" x14ac:dyDescent="0.25">
      <c r="A723" s="3290" t="s">
        <v>6285</v>
      </c>
      <c r="B723" s="3291"/>
      <c r="C723" s="3291"/>
      <c r="D723" s="3291"/>
      <c r="E723" s="2087">
        <v>11000</v>
      </c>
      <c r="F723" s="3313">
        <f>SUM(F722:F722)</f>
        <v>2054.7591666666667</v>
      </c>
      <c r="G723" s="3312" t="e">
        <f>SUM(G722:G722)</f>
        <v>#REF!</v>
      </c>
      <c r="H723" s="3296"/>
      <c r="J723" s="1382"/>
      <c r="N723" s="1336"/>
      <c r="O723" s="2012"/>
      <c r="P723" s="1336"/>
    </row>
    <row r="724" spans="1:16" ht="15.75" x14ac:dyDescent="0.25">
      <c r="A724" s="3348" t="s">
        <v>6286</v>
      </c>
      <c r="B724" s="3349"/>
      <c r="C724" s="3349"/>
      <c r="D724" s="3349"/>
      <c r="E724" s="2090">
        <v>3836.14</v>
      </c>
      <c r="F724" s="3313">
        <f t="shared" ref="F724:F727" si="197">SUM(F722:F723)</f>
        <v>4109.5183333333334</v>
      </c>
      <c r="G724" s="3312" t="e">
        <f t="shared" ref="G724:G727" si="198">SUM(G722:G723)</f>
        <v>#REF!</v>
      </c>
      <c r="H724" s="3296"/>
    </row>
    <row r="725" spans="1:16" ht="15.75" x14ac:dyDescent="0.25">
      <c r="A725" s="3294" t="s">
        <v>6287</v>
      </c>
      <c r="B725" s="3295"/>
      <c r="C725" s="3295"/>
      <c r="D725" s="3295"/>
      <c r="E725" s="2095">
        <v>4621.83</v>
      </c>
      <c r="F725" s="3313">
        <f t="shared" si="197"/>
        <v>6164.2775000000001</v>
      </c>
      <c r="G725" s="3312" t="e">
        <f t="shared" si="198"/>
        <v>#REF!</v>
      </c>
      <c r="H725" s="3296"/>
    </row>
    <row r="726" spans="1:16" ht="17.25" customHeight="1" thickBot="1" x14ac:dyDescent="0.3">
      <c r="A726" s="3350" t="s">
        <v>6288</v>
      </c>
      <c r="B726" s="3351"/>
      <c r="C726" s="3351"/>
      <c r="D726" s="3351"/>
      <c r="E726" s="2091">
        <f>E722-E724</f>
        <v>1763.8600000000001</v>
      </c>
      <c r="F726" s="3313">
        <f t="shared" si="197"/>
        <v>10273.795833333334</v>
      </c>
      <c r="G726" s="3312" t="e">
        <f t="shared" si="198"/>
        <v>#REF!</v>
      </c>
      <c r="H726" s="3296"/>
    </row>
    <row r="727" spans="1:16" ht="17.25" customHeight="1" thickBot="1" x14ac:dyDescent="0.3">
      <c r="A727" s="3299" t="s">
        <v>6289</v>
      </c>
      <c r="B727" s="3300"/>
      <c r="C727" s="3300"/>
      <c r="D727" s="3300"/>
      <c r="E727" s="2092">
        <f>E723-E725</f>
        <v>6378.17</v>
      </c>
      <c r="F727" s="3314">
        <f t="shared" si="197"/>
        <v>16438.073333333334</v>
      </c>
      <c r="G727" s="3315" t="e">
        <f t="shared" si="198"/>
        <v>#REF!</v>
      </c>
      <c r="H727" s="3296"/>
    </row>
    <row r="728" spans="1:16" ht="16.5" thickBot="1" x14ac:dyDescent="0.3">
      <c r="A728" s="3306" t="s">
        <v>6290</v>
      </c>
      <c r="B728" s="3307"/>
      <c r="C728" s="3307"/>
      <c r="D728" s="3307"/>
      <c r="E728" s="3307"/>
      <c r="F728" s="3308"/>
      <c r="G728" s="2088">
        <f>SUMIF(B714:B721,"SANTANDER",G714:G721)</f>
        <v>1266.3666666666668</v>
      </c>
      <c r="H728" s="1942">
        <f>G728-I715</f>
        <v>297.14666666666676</v>
      </c>
      <c r="I728" s="2862" t="s">
        <v>6213</v>
      </c>
    </row>
    <row r="729" spans="1:16" ht="16.5" thickBot="1" x14ac:dyDescent="0.3">
      <c r="A729" s="3294" t="s">
        <v>6291</v>
      </c>
      <c r="B729" s="3295"/>
      <c r="C729" s="3295"/>
      <c r="D729" s="3295"/>
      <c r="E729" s="3295"/>
      <c r="F729" s="3305"/>
      <c r="G729" s="2089">
        <f>SUMIF(B714:B721,"NUBANK",G714:G721)</f>
        <v>2712.35</v>
      </c>
      <c r="H729" s="1942">
        <f>G729-I719-I720</f>
        <v>1757.6125</v>
      </c>
      <c r="I729" s="2862" t="s">
        <v>6213</v>
      </c>
    </row>
    <row r="730" spans="1:16" ht="16.5" customHeight="1" thickBot="1" x14ac:dyDescent="0.35">
      <c r="A730" s="3306" t="s">
        <v>6292</v>
      </c>
      <c r="B730" s="3307"/>
      <c r="C730" s="3307"/>
      <c r="D730" s="3307"/>
      <c r="E730" s="3307"/>
      <c r="F730" s="3308"/>
      <c r="G730" s="2093">
        <f>G728+G729</f>
        <v>3978.7166666666667</v>
      </c>
      <c r="H730" s="2094"/>
      <c r="I730" s="2863"/>
    </row>
    <row r="731" spans="1:16" ht="16.5" customHeight="1" thickBot="1" x14ac:dyDescent="0.3"/>
    <row r="732" spans="1:16" ht="19.5" thickBot="1" x14ac:dyDescent="0.35">
      <c r="A732" s="3335" t="s">
        <v>6293</v>
      </c>
      <c r="B732" s="3336"/>
      <c r="C732" s="3336"/>
      <c r="D732" s="3336"/>
      <c r="E732" s="3336"/>
      <c r="F732" s="3336"/>
      <c r="G732" s="3337"/>
      <c r="J732" s="1354"/>
      <c r="K732" s="1667"/>
      <c r="L732" s="1667"/>
      <c r="M732" s="1944"/>
      <c r="N732" s="1667"/>
      <c r="O732" s="1944"/>
      <c r="P732" s="1667"/>
    </row>
    <row r="733" spans="1:16" x14ac:dyDescent="0.25">
      <c r="A733" s="2143">
        <v>45328</v>
      </c>
      <c r="B733" s="2143" t="s">
        <v>6210</v>
      </c>
      <c r="C733" s="3338" t="s">
        <v>6130</v>
      </c>
      <c r="D733" s="3339"/>
      <c r="E733" s="2212">
        <v>31.9</v>
      </c>
      <c r="F733" s="2145">
        <v>1</v>
      </c>
      <c r="G733" s="2150">
        <f t="shared" ref="G733" si="199">E733/F733</f>
        <v>31.9</v>
      </c>
      <c r="H733" s="1247" t="s">
        <v>1491</v>
      </c>
      <c r="I733" s="2151"/>
      <c r="J733" s="1360"/>
      <c r="K733" s="1657"/>
      <c r="L733" s="1657"/>
      <c r="M733" s="2008"/>
      <c r="N733" s="2010"/>
      <c r="O733" s="2011"/>
      <c r="P733" s="1336"/>
    </row>
    <row r="734" spans="1:16" x14ac:dyDescent="0.25">
      <c r="A734" s="2140">
        <v>45328</v>
      </c>
      <c r="B734" s="2141" t="s">
        <v>6210</v>
      </c>
      <c r="C734" s="3354" t="s">
        <v>6130</v>
      </c>
      <c r="D734" s="3355"/>
      <c r="E734" s="2213">
        <v>31.9</v>
      </c>
      <c r="F734" s="1373">
        <v>1</v>
      </c>
      <c r="G734" s="2146">
        <f t="shared" ref="G734" si="200">E734/F734</f>
        <v>31.9</v>
      </c>
      <c r="H734" s="2147" t="s">
        <v>6369</v>
      </c>
      <c r="I734" s="2148"/>
      <c r="J734" s="2149"/>
      <c r="K734" s="1657"/>
      <c r="L734" s="1657"/>
      <c r="M734" s="2008"/>
      <c r="N734" s="2010"/>
      <c r="O734" s="2011"/>
      <c r="P734" s="1336"/>
    </row>
    <row r="735" spans="1:16" x14ac:dyDescent="0.25">
      <c r="A735" s="1972">
        <v>45369</v>
      </c>
      <c r="B735" s="1355" t="s">
        <v>6210</v>
      </c>
      <c r="C735" s="3340" t="s">
        <v>6294</v>
      </c>
      <c r="D735" s="3341"/>
      <c r="E735" s="1677">
        <v>139.31</v>
      </c>
      <c r="F735" s="1358">
        <v>2</v>
      </c>
      <c r="G735" s="1663">
        <f t="shared" ref="G735" si="201">E735/F735</f>
        <v>69.655000000000001</v>
      </c>
      <c r="H735" s="1247" t="s">
        <v>1522</v>
      </c>
      <c r="I735" s="1345"/>
      <c r="J735" s="1360"/>
      <c r="K735" s="1657"/>
      <c r="L735" s="1657"/>
      <c r="M735" s="2008"/>
      <c r="N735" s="2010"/>
      <c r="O735" s="2011"/>
      <c r="P735" s="1336"/>
    </row>
    <row r="736" spans="1:16" x14ac:dyDescent="0.25">
      <c r="A736" s="1972">
        <v>45370</v>
      </c>
      <c r="B736" s="1355" t="s">
        <v>6209</v>
      </c>
      <c r="C736" s="3340" t="s">
        <v>6295</v>
      </c>
      <c r="D736" s="3341"/>
      <c r="E736" s="1677">
        <v>4846.1000000000004</v>
      </c>
      <c r="F736" s="1358">
        <v>5</v>
      </c>
      <c r="G736" s="1974">
        <f>E736/F736</f>
        <v>969.22</v>
      </c>
      <c r="H736" s="1346"/>
      <c r="I736" s="1389">
        <f>G736</f>
        <v>969.22</v>
      </c>
      <c r="J736" s="1360"/>
      <c r="K736" s="1657"/>
      <c r="L736" s="1657"/>
      <c r="M736" s="2008"/>
      <c r="N736" s="2010"/>
      <c r="O736" s="2011"/>
      <c r="P736" s="1336"/>
    </row>
    <row r="737" spans="1:16" x14ac:dyDescent="0.25">
      <c r="A737" s="1972">
        <v>45374</v>
      </c>
      <c r="B737" s="1355" t="s">
        <v>6210</v>
      </c>
      <c r="C737" s="3340" t="s">
        <v>6380</v>
      </c>
      <c r="D737" s="3341"/>
      <c r="E737" s="1677">
        <v>1890</v>
      </c>
      <c r="F737" s="1358">
        <v>2</v>
      </c>
      <c r="G737" s="1974">
        <f t="shared" ref="G737:G739" si="202">E737/F737</f>
        <v>945</v>
      </c>
      <c r="H737" s="1247" t="s">
        <v>1524</v>
      </c>
      <c r="I737" s="1321">
        <f>G737/2</f>
        <v>472.5</v>
      </c>
      <c r="J737" s="2043" t="s">
        <v>6212</v>
      </c>
      <c r="K737" s="1657"/>
      <c r="L737" s="1657"/>
      <c r="M737" s="2008"/>
      <c r="N737" s="2010"/>
      <c r="O737" s="2011"/>
      <c r="P737" s="1336"/>
    </row>
    <row r="738" spans="1:16" x14ac:dyDescent="0.25">
      <c r="A738" s="1972">
        <v>45404</v>
      </c>
      <c r="B738" s="1355" t="s">
        <v>6209</v>
      </c>
      <c r="C738" s="3340" t="s">
        <v>6394</v>
      </c>
      <c r="D738" s="3341"/>
      <c r="E738" s="1677">
        <v>136.9</v>
      </c>
      <c r="F738" s="1358">
        <v>1</v>
      </c>
      <c r="G738" s="1663">
        <f t="shared" si="202"/>
        <v>136.9</v>
      </c>
      <c r="H738" s="1247" t="s">
        <v>1506</v>
      </c>
      <c r="I738" s="1321"/>
      <c r="J738" s="1360"/>
      <c r="K738" s="1657"/>
      <c r="L738" s="1657"/>
      <c r="M738" s="2008"/>
      <c r="N738" s="2010"/>
      <c r="O738" s="2011"/>
      <c r="P738" s="1336"/>
    </row>
    <row r="739" spans="1:16" x14ac:dyDescent="0.25">
      <c r="A739" s="1972">
        <v>45405</v>
      </c>
      <c r="B739" s="1355" t="s">
        <v>6209</v>
      </c>
      <c r="C739" s="3340" t="s">
        <v>6395</v>
      </c>
      <c r="D739" s="3341"/>
      <c r="E739" s="1677">
        <v>777</v>
      </c>
      <c r="F739" s="1358">
        <v>6</v>
      </c>
      <c r="G739" s="1663">
        <f t="shared" si="202"/>
        <v>129.5</v>
      </c>
      <c r="H739" s="1247" t="s">
        <v>1489</v>
      </c>
      <c r="I739" s="1321">
        <f>G739/2</f>
        <v>64.75</v>
      </c>
      <c r="J739" s="1417"/>
      <c r="K739" s="1657"/>
      <c r="L739" s="1657"/>
      <c r="M739" s="2008"/>
      <c r="N739" s="2010"/>
      <c r="O739" s="2011"/>
      <c r="P739" s="1336"/>
    </row>
    <row r="740" spans="1:16" x14ac:dyDescent="0.25">
      <c r="A740" s="1972">
        <v>45409</v>
      </c>
      <c r="B740" s="1355" t="s">
        <v>6210</v>
      </c>
      <c r="C740" s="3340" t="s">
        <v>6398</v>
      </c>
      <c r="D740" s="3341"/>
      <c r="E740" s="1677">
        <v>1541.95</v>
      </c>
      <c r="F740" s="1358">
        <v>2</v>
      </c>
      <c r="G740" s="1974">
        <f t="shared" ref="G740:G741" si="203">E740/F740</f>
        <v>770.97500000000002</v>
      </c>
      <c r="H740" s="1247" t="s">
        <v>1524</v>
      </c>
      <c r="I740" s="1321"/>
      <c r="J740" s="1360"/>
      <c r="K740" s="1657"/>
      <c r="L740" s="1657"/>
      <c r="M740" s="2008"/>
      <c r="N740" s="2010"/>
      <c r="O740" s="2011"/>
      <c r="P740" s="1336"/>
    </row>
    <row r="741" spans="1:16" x14ac:dyDescent="0.25">
      <c r="A741" s="2220">
        <v>45424</v>
      </c>
      <c r="B741" s="2221" t="s">
        <v>6209</v>
      </c>
      <c r="C741" s="3352" t="s">
        <v>6441</v>
      </c>
      <c r="D741" s="3353"/>
      <c r="E741" s="1429">
        <v>221.96</v>
      </c>
      <c r="F741" s="1358">
        <v>2</v>
      </c>
      <c r="G741" s="1663">
        <f t="shared" si="203"/>
        <v>110.98</v>
      </c>
      <c r="H741" s="1247" t="s">
        <v>1506</v>
      </c>
      <c r="I741" s="1345"/>
      <c r="J741" s="1360"/>
      <c r="K741" s="1657"/>
      <c r="L741" s="1657"/>
      <c r="M741" s="2008"/>
      <c r="N741" s="2010"/>
      <c r="O741" s="2011"/>
      <c r="P741" s="1336"/>
    </row>
    <row r="742" spans="1:16" ht="15.75" x14ac:dyDescent="0.25">
      <c r="A742" s="3342" t="s">
        <v>6284</v>
      </c>
      <c r="B742" s="3343"/>
      <c r="C742" s="3343"/>
      <c r="D742" s="3343"/>
      <c r="E742" s="1949">
        <v>5600</v>
      </c>
      <c r="F742" s="3344">
        <f>SUM(H748:H749)</f>
        <v>1754.31</v>
      </c>
      <c r="G742" s="3345" t="e">
        <f>SUM(#REF!)</f>
        <v>#REF!</v>
      </c>
      <c r="H742" s="3296" t="s">
        <v>6301</v>
      </c>
      <c r="J742" s="1382"/>
      <c r="N742" s="1336"/>
      <c r="O742" s="2012"/>
      <c r="P742" s="1336"/>
    </row>
    <row r="743" spans="1:16" ht="15.75" x14ac:dyDescent="0.25">
      <c r="A743" s="3346" t="s">
        <v>6285</v>
      </c>
      <c r="B743" s="3347"/>
      <c r="C743" s="3347"/>
      <c r="D743" s="3347"/>
      <c r="E743" s="2222">
        <v>11000</v>
      </c>
      <c r="F743" s="3313">
        <f>SUM(F742:F742)</f>
        <v>1754.31</v>
      </c>
      <c r="G743" s="3312" t="e">
        <f>SUM(G742:G742)</f>
        <v>#REF!</v>
      </c>
      <c r="H743" s="3296"/>
      <c r="J743" s="1382"/>
      <c r="N743" s="1336"/>
      <c r="O743" s="2012"/>
      <c r="P743" s="1336"/>
    </row>
    <row r="744" spans="1:16" ht="15.75" x14ac:dyDescent="0.25">
      <c r="A744" s="3348" t="s">
        <v>6286</v>
      </c>
      <c r="B744" s="3349"/>
      <c r="C744" s="3349"/>
      <c r="D744" s="3349"/>
      <c r="E744" s="2090">
        <f>E736-G736+E738+E739+E741</f>
        <v>5012.7400000000007</v>
      </c>
      <c r="F744" s="3313">
        <f t="shared" ref="F744:F747" si="204">SUM(F742:F743)</f>
        <v>3508.62</v>
      </c>
      <c r="G744" s="3312" t="e">
        <f t="shared" ref="G744:G747" si="205">SUM(G742:G743)</f>
        <v>#REF!</v>
      </c>
      <c r="H744" s="3296"/>
    </row>
    <row r="745" spans="1:16" ht="15.75" x14ac:dyDescent="0.25">
      <c r="A745" s="3294" t="s">
        <v>6287</v>
      </c>
      <c r="B745" s="3295"/>
      <c r="C745" s="3295"/>
      <c r="D745" s="3295"/>
      <c r="E745" s="2095">
        <v>2620.41</v>
      </c>
      <c r="F745" s="3313">
        <f t="shared" si="204"/>
        <v>5262.93</v>
      </c>
      <c r="G745" s="3312" t="e">
        <f t="shared" si="205"/>
        <v>#REF!</v>
      </c>
      <c r="H745" s="3296"/>
    </row>
    <row r="746" spans="1:16" ht="17.25" customHeight="1" thickBot="1" x14ac:dyDescent="0.3">
      <c r="A746" s="3350" t="s">
        <v>6288</v>
      </c>
      <c r="B746" s="3351"/>
      <c r="C746" s="3351"/>
      <c r="D746" s="3351"/>
      <c r="E746" s="2091">
        <f>E742-E744</f>
        <v>587.25999999999931</v>
      </c>
      <c r="F746" s="3313">
        <f t="shared" si="204"/>
        <v>8771.5499999999993</v>
      </c>
      <c r="G746" s="3312" t="e">
        <f t="shared" si="205"/>
        <v>#REF!</v>
      </c>
      <c r="H746" s="3296"/>
    </row>
    <row r="747" spans="1:16" ht="17.25" customHeight="1" thickBot="1" x14ac:dyDescent="0.3">
      <c r="A747" s="3299" t="s">
        <v>6289</v>
      </c>
      <c r="B747" s="3300"/>
      <c r="C747" s="3300"/>
      <c r="D747" s="3300"/>
      <c r="E747" s="2092">
        <f>E743-E745</f>
        <v>8379.59</v>
      </c>
      <c r="F747" s="3314">
        <f t="shared" si="204"/>
        <v>14034.48</v>
      </c>
      <c r="G747" s="3315" t="e">
        <f t="shared" si="205"/>
        <v>#REF!</v>
      </c>
      <c r="H747" s="3296"/>
    </row>
    <row r="748" spans="1:16" ht="16.5" thickBot="1" x14ac:dyDescent="0.3">
      <c r="A748" s="3306" t="s">
        <v>6290</v>
      </c>
      <c r="B748" s="3307"/>
      <c r="C748" s="3307"/>
      <c r="D748" s="3307"/>
      <c r="E748" s="3307"/>
      <c r="F748" s="3308"/>
      <c r="G748" s="2088">
        <f>SUMIF(B733:B741,"SANTANDER",G733:G741)</f>
        <v>1346.6000000000001</v>
      </c>
      <c r="H748" s="1942">
        <f>G748-I736</f>
        <v>377.38000000000011</v>
      </c>
      <c r="I748" s="2862" t="s">
        <v>6213</v>
      </c>
    </row>
    <row r="749" spans="1:16" ht="16.5" thickBot="1" x14ac:dyDescent="0.3">
      <c r="A749" s="3294" t="s">
        <v>6291</v>
      </c>
      <c r="B749" s="3295"/>
      <c r="C749" s="3295"/>
      <c r="D749" s="3295"/>
      <c r="E749" s="3295"/>
      <c r="F749" s="3305"/>
      <c r="G749" s="2089">
        <f>SUMIF(B733:B741,"NUBANK",G733:G741)</f>
        <v>1849.4299999999998</v>
      </c>
      <c r="H749" s="1942">
        <f>G749-I737</f>
        <v>1376.9299999999998</v>
      </c>
      <c r="I749" s="2862" t="s">
        <v>6213</v>
      </c>
    </row>
    <row r="750" spans="1:16" ht="16.5" customHeight="1" thickBot="1" x14ac:dyDescent="0.35">
      <c r="A750" s="3306" t="s">
        <v>6292</v>
      </c>
      <c r="B750" s="3307"/>
      <c r="C750" s="3307"/>
      <c r="D750" s="3307"/>
      <c r="E750" s="3307"/>
      <c r="F750" s="3308"/>
      <c r="G750" s="2093">
        <f>G748+G749</f>
        <v>3196.0299999999997</v>
      </c>
      <c r="H750" s="2094"/>
      <c r="I750" s="2863"/>
    </row>
    <row r="751" spans="1:16" ht="16.5" customHeight="1" thickBot="1" x14ac:dyDescent="0.3"/>
    <row r="752" spans="1:16" ht="19.5" thickBot="1" x14ac:dyDescent="0.35">
      <c r="A752" s="3287" t="s">
        <v>6283</v>
      </c>
      <c r="B752" s="3288"/>
      <c r="C752" s="3288"/>
      <c r="D752" s="3288"/>
      <c r="E752" s="3288"/>
      <c r="F752" s="3288"/>
      <c r="G752" s="3289"/>
      <c r="J752" s="1354"/>
      <c r="K752" s="1667"/>
      <c r="L752" s="1667"/>
      <c r="M752" s="1944"/>
      <c r="N752" s="1667"/>
      <c r="O752" s="1944"/>
      <c r="P752" s="1667"/>
    </row>
    <row r="753" spans="1:16" x14ac:dyDescent="0.25">
      <c r="A753" s="2140">
        <v>45342</v>
      </c>
      <c r="B753" s="2141" t="s">
        <v>6209</v>
      </c>
      <c r="C753" s="3354" t="s">
        <v>6170</v>
      </c>
      <c r="D753" s="3355"/>
      <c r="E753" s="1372">
        <v>74.11</v>
      </c>
      <c r="F753" s="1373">
        <v>1</v>
      </c>
      <c r="G753" s="2142">
        <f>E753/F753</f>
        <v>74.11</v>
      </c>
      <c r="H753" s="1247" t="s">
        <v>1496</v>
      </c>
      <c r="I753" s="1345"/>
      <c r="J753" s="1360"/>
      <c r="K753" s="1657"/>
      <c r="L753" s="1657"/>
      <c r="M753" s="2008"/>
      <c r="N753" s="2010"/>
      <c r="O753" s="2011"/>
      <c r="P753" s="1336"/>
    </row>
    <row r="754" spans="1:16" x14ac:dyDescent="0.25">
      <c r="A754" s="1972">
        <v>45360</v>
      </c>
      <c r="B754" s="1355" t="s">
        <v>6210</v>
      </c>
      <c r="C754" s="3340" t="s">
        <v>6248</v>
      </c>
      <c r="D754" s="3341"/>
      <c r="E754" s="1357">
        <v>1609.8</v>
      </c>
      <c r="F754" s="1358">
        <v>2</v>
      </c>
      <c r="G754" s="1974">
        <f t="shared" ref="G754:G758" si="206">E754/F754</f>
        <v>804.9</v>
      </c>
      <c r="H754" s="1247" t="s">
        <v>1524</v>
      </c>
      <c r="I754" s="1321">
        <f>G754/2</f>
        <v>402.45</v>
      </c>
      <c r="J754" s="1360"/>
      <c r="K754" s="1657"/>
      <c r="L754" s="1657"/>
      <c r="M754" s="2008"/>
      <c r="N754" s="2010"/>
      <c r="O754" s="2011"/>
      <c r="P754" s="1336"/>
    </row>
    <row r="755" spans="1:16" x14ac:dyDescent="0.25">
      <c r="A755" s="1972">
        <v>45362</v>
      </c>
      <c r="B755" s="1355" t="s">
        <v>6210</v>
      </c>
      <c r="C755" s="3340" t="s">
        <v>6248</v>
      </c>
      <c r="D755" s="3341"/>
      <c r="E755" s="1357">
        <v>1258.05</v>
      </c>
      <c r="F755" s="1358">
        <v>2</v>
      </c>
      <c r="G755" s="1974">
        <f t="shared" si="206"/>
        <v>629.02499999999998</v>
      </c>
      <c r="H755" s="1247" t="s">
        <v>1524</v>
      </c>
      <c r="I755" s="1321">
        <f>G755/2</f>
        <v>314.51249999999999</v>
      </c>
      <c r="J755" s="1360"/>
      <c r="K755" s="1657"/>
      <c r="L755" s="1657"/>
      <c r="M755" s="2008"/>
      <c r="N755" s="2010"/>
      <c r="O755" s="2011"/>
      <c r="P755" s="1336"/>
    </row>
    <row r="756" spans="1:16" x14ac:dyDescent="0.25">
      <c r="A756" s="1972">
        <v>45362</v>
      </c>
      <c r="B756" s="1355" t="s">
        <v>6210</v>
      </c>
      <c r="C756" s="3340" t="s">
        <v>6249</v>
      </c>
      <c r="D756" s="3341"/>
      <c r="E756" s="1357">
        <v>420</v>
      </c>
      <c r="F756" s="1358">
        <v>2</v>
      </c>
      <c r="G756" s="1663">
        <f t="shared" si="206"/>
        <v>210</v>
      </c>
      <c r="H756" s="1247" t="s">
        <v>1522</v>
      </c>
      <c r="I756" s="1345"/>
      <c r="J756" s="1360"/>
      <c r="K756" s="1657"/>
      <c r="L756" s="1657"/>
      <c r="M756" s="2008"/>
      <c r="N756" s="2010"/>
      <c r="O756" s="2011"/>
      <c r="P756" s="1336"/>
    </row>
    <row r="757" spans="1:16" x14ac:dyDescent="0.25">
      <c r="A757" s="1972">
        <v>45369</v>
      </c>
      <c r="B757" s="1355" t="s">
        <v>6210</v>
      </c>
      <c r="C757" s="3340" t="s">
        <v>6271</v>
      </c>
      <c r="D757" s="3341"/>
      <c r="E757" s="1357">
        <v>139.31</v>
      </c>
      <c r="F757" s="1358">
        <v>2</v>
      </c>
      <c r="G757" s="1663">
        <f t="shared" si="206"/>
        <v>69.655000000000001</v>
      </c>
      <c r="H757" s="1247" t="s">
        <v>1522</v>
      </c>
      <c r="I757" s="1345"/>
      <c r="J757" s="1360"/>
      <c r="K757" s="1657"/>
      <c r="L757" s="1657"/>
      <c r="M757" s="2008"/>
      <c r="N757" s="2010"/>
      <c r="O757" s="2011"/>
      <c r="P757" s="1336"/>
    </row>
    <row r="758" spans="1:16" x14ac:dyDescent="0.25">
      <c r="A758" s="1972">
        <v>45369</v>
      </c>
      <c r="B758" s="1355" t="s">
        <v>6210</v>
      </c>
      <c r="C758" s="3340" t="s">
        <v>6270</v>
      </c>
      <c r="D758" s="3341"/>
      <c r="E758" s="1357">
        <v>143</v>
      </c>
      <c r="F758" s="1358">
        <v>1</v>
      </c>
      <c r="G758" s="1663">
        <f t="shared" si="206"/>
        <v>143</v>
      </c>
      <c r="H758" s="1247" t="s">
        <v>1522</v>
      </c>
      <c r="I758" s="1345"/>
      <c r="J758" s="1360"/>
      <c r="K758" s="1657"/>
      <c r="L758" s="1657"/>
      <c r="M758" s="2008"/>
      <c r="N758" s="2010"/>
      <c r="O758" s="2011"/>
      <c r="P758" s="1336"/>
    </row>
    <row r="759" spans="1:16" x14ac:dyDescent="0.25">
      <c r="A759" s="1972">
        <v>45370</v>
      </c>
      <c r="B759" s="1355" t="s">
        <v>6209</v>
      </c>
      <c r="C759" s="3340" t="s">
        <v>6281</v>
      </c>
      <c r="D759" s="3341"/>
      <c r="E759" s="1357">
        <v>4846.1000000000004</v>
      </c>
      <c r="F759" s="1358">
        <v>5</v>
      </c>
      <c r="G759" s="1974">
        <f>E759/F759</f>
        <v>969.22</v>
      </c>
      <c r="H759" s="1346"/>
      <c r="I759" s="1389">
        <f>G759</f>
        <v>969.22</v>
      </c>
      <c r="J759" s="1360"/>
      <c r="K759" s="1657"/>
      <c r="L759" s="1657"/>
      <c r="M759" s="2008"/>
      <c r="N759" s="2010"/>
      <c r="O759" s="2011"/>
      <c r="P759" s="1336"/>
    </row>
    <row r="760" spans="1:16" x14ac:dyDescent="0.25">
      <c r="A760" s="2220">
        <v>45374</v>
      </c>
      <c r="B760" s="2221" t="s">
        <v>6210</v>
      </c>
      <c r="C760" s="3352" t="s">
        <v>6313</v>
      </c>
      <c r="D760" s="3353"/>
      <c r="E760" s="1429">
        <v>1890</v>
      </c>
      <c r="F760" s="1358">
        <v>2</v>
      </c>
      <c r="G760" s="1974">
        <f t="shared" ref="G760" si="207">E760/F760</f>
        <v>945</v>
      </c>
      <c r="H760" s="1247" t="s">
        <v>1524</v>
      </c>
      <c r="I760" s="1321">
        <f>G760/2</f>
        <v>472.5</v>
      </c>
      <c r="J760" s="1360"/>
      <c r="K760" s="1657"/>
      <c r="L760" s="1657"/>
      <c r="M760" s="2008"/>
      <c r="N760" s="2010"/>
      <c r="O760" s="2011"/>
      <c r="P760" s="1336"/>
    </row>
    <row r="761" spans="1:16" ht="15.75" x14ac:dyDescent="0.25">
      <c r="A761" s="3372" t="s">
        <v>6284</v>
      </c>
      <c r="B761" s="3373"/>
      <c r="C761" s="3373"/>
      <c r="D761" s="3373"/>
      <c r="E761" s="2224">
        <v>5600</v>
      </c>
      <c r="F761" s="3344">
        <f>SUM(H767:H768)</f>
        <v>1686.2275000000002</v>
      </c>
      <c r="G761" s="3345" t="e">
        <f>SUM(#REF!)</f>
        <v>#REF!</v>
      </c>
      <c r="H761" s="3472" t="s">
        <v>6301</v>
      </c>
      <c r="J761" s="1382"/>
      <c r="N761" s="1336"/>
      <c r="O761" s="2012"/>
      <c r="P761" s="1336"/>
    </row>
    <row r="762" spans="1:16" ht="15.75" x14ac:dyDescent="0.25">
      <c r="A762" s="3376" t="s">
        <v>6285</v>
      </c>
      <c r="B762" s="3377"/>
      <c r="C762" s="3377"/>
      <c r="D762" s="3377"/>
      <c r="E762" s="2225">
        <v>11000</v>
      </c>
      <c r="F762" s="3313">
        <f>SUM(F761:F761)</f>
        <v>1686.2275000000002</v>
      </c>
      <c r="G762" s="3312" t="e">
        <f>SUM(G761:G761)</f>
        <v>#REF!</v>
      </c>
      <c r="H762" s="3473"/>
      <c r="J762" s="1382"/>
      <c r="N762" s="1336"/>
      <c r="O762" s="2012"/>
      <c r="P762" s="1336"/>
    </row>
    <row r="763" spans="1:16" ht="15.75" x14ac:dyDescent="0.25">
      <c r="A763" s="3378" t="s">
        <v>6286</v>
      </c>
      <c r="B763" s="3379"/>
      <c r="C763" s="3379"/>
      <c r="D763" s="3379"/>
      <c r="E763" s="2223">
        <f>E753+E759</f>
        <v>4920.21</v>
      </c>
      <c r="F763" s="3313">
        <f t="shared" ref="F763:G763" si="208">SUM(F761:F762)</f>
        <v>3372.4550000000004</v>
      </c>
      <c r="G763" s="3312" t="e">
        <f t="shared" si="208"/>
        <v>#REF!</v>
      </c>
      <c r="H763" s="3473"/>
    </row>
    <row r="764" spans="1:16" ht="15.75" x14ac:dyDescent="0.25">
      <c r="A764" s="3294" t="s">
        <v>6287</v>
      </c>
      <c r="B764" s="3295"/>
      <c r="C764" s="3295"/>
      <c r="D764" s="3295"/>
      <c r="E764" s="2095">
        <f>G754+G755+G756+E757+E758+E733+E734+E760</f>
        <v>3880.0349999999999</v>
      </c>
      <c r="F764" s="3313">
        <f t="shared" ref="F764:G764" si="209">SUM(F762:F763)</f>
        <v>5058.6825000000008</v>
      </c>
      <c r="G764" s="3312" t="e">
        <f t="shared" si="209"/>
        <v>#REF!</v>
      </c>
      <c r="H764" s="3473"/>
    </row>
    <row r="765" spans="1:16" ht="17.25" customHeight="1" thickBot="1" x14ac:dyDescent="0.3">
      <c r="A765" s="3350" t="s">
        <v>6288</v>
      </c>
      <c r="B765" s="3351"/>
      <c r="C765" s="3351"/>
      <c r="D765" s="3351"/>
      <c r="E765" s="2091">
        <f>E761-E763</f>
        <v>679.79</v>
      </c>
      <c r="F765" s="3313">
        <f t="shared" ref="F765:G765" si="210">SUM(F763:F764)</f>
        <v>8431.1375000000007</v>
      </c>
      <c r="G765" s="3312" t="e">
        <f t="shared" si="210"/>
        <v>#REF!</v>
      </c>
      <c r="H765" s="3473"/>
    </row>
    <row r="766" spans="1:16" ht="17.25" customHeight="1" thickBot="1" x14ac:dyDescent="0.3">
      <c r="A766" s="3299" t="s">
        <v>6289</v>
      </c>
      <c r="B766" s="3300"/>
      <c r="C766" s="3300"/>
      <c r="D766" s="3300"/>
      <c r="E766" s="2092">
        <f>E762-E764</f>
        <v>7119.9650000000001</v>
      </c>
      <c r="F766" s="3314">
        <f t="shared" ref="F766:G766" si="211">SUM(F764:F765)</f>
        <v>13489.820000000002</v>
      </c>
      <c r="G766" s="3315" t="e">
        <f t="shared" si="211"/>
        <v>#REF!</v>
      </c>
      <c r="H766" s="3474"/>
    </row>
    <row r="767" spans="1:16" ht="16.5" thickBot="1" x14ac:dyDescent="0.3">
      <c r="A767" s="3306" t="s">
        <v>6290</v>
      </c>
      <c r="B767" s="3307"/>
      <c r="C767" s="3307"/>
      <c r="D767" s="3307"/>
      <c r="E767" s="3307"/>
      <c r="F767" s="3308"/>
      <c r="G767" s="2088">
        <f>SUMIF(B753:B760,"SANTANDER",G753:G760)</f>
        <v>1043.33</v>
      </c>
      <c r="H767" s="1942">
        <f>G767-I759</f>
        <v>74.1099999999999</v>
      </c>
      <c r="I767" s="2862" t="s">
        <v>6213</v>
      </c>
    </row>
    <row r="768" spans="1:16" ht="16.5" thickBot="1" x14ac:dyDescent="0.3">
      <c r="A768" s="3294" t="s">
        <v>6291</v>
      </c>
      <c r="B768" s="3295"/>
      <c r="C768" s="3295"/>
      <c r="D768" s="3295"/>
      <c r="E768" s="3295"/>
      <c r="F768" s="3305"/>
      <c r="G768" s="2089">
        <f>SUMIF(B753:B760,"NUBANK",G753:G760)</f>
        <v>2801.58</v>
      </c>
      <c r="H768" s="1942">
        <f>G768-I754-I755-I760</f>
        <v>1612.1175000000003</v>
      </c>
      <c r="I768" s="2862" t="s">
        <v>6213</v>
      </c>
    </row>
    <row r="769" spans="1:16" ht="16.5" customHeight="1" thickBot="1" x14ac:dyDescent="0.35">
      <c r="A769" s="3306" t="s">
        <v>6292</v>
      </c>
      <c r="B769" s="3307"/>
      <c r="C769" s="3307"/>
      <c r="D769" s="3307"/>
      <c r="E769" s="3307"/>
      <c r="F769" s="3308"/>
      <c r="G769" s="2093">
        <f>G767+G768</f>
        <v>3844.91</v>
      </c>
      <c r="H769" s="2094"/>
      <c r="I769" s="2863"/>
    </row>
    <row r="770" spans="1:16" ht="16.5" customHeight="1" thickBot="1" x14ac:dyDescent="0.3"/>
    <row r="771" spans="1:16" ht="19.5" thickBot="1" x14ac:dyDescent="0.35">
      <c r="A771" s="3361" t="s">
        <v>6383</v>
      </c>
      <c r="B771" s="3362"/>
      <c r="C771" s="3362"/>
      <c r="D771" s="3362"/>
      <c r="E771" s="3362"/>
      <c r="F771" s="3362"/>
      <c r="G771" s="3363"/>
      <c r="J771" s="1354"/>
      <c r="K771" s="1667"/>
      <c r="L771" s="1667"/>
      <c r="M771" s="1944"/>
      <c r="N771" s="1667"/>
      <c r="O771" s="1944"/>
      <c r="P771" s="1667"/>
    </row>
    <row r="772" spans="1:16" x14ac:dyDescent="0.25">
      <c r="A772" s="1972">
        <v>45320</v>
      </c>
      <c r="B772" s="1972" t="s">
        <v>6209</v>
      </c>
      <c r="C772" s="3340" t="s">
        <v>6217</v>
      </c>
      <c r="D772" s="3341"/>
      <c r="E772" s="1357">
        <v>78.569999999999993</v>
      </c>
      <c r="F772" s="1358">
        <v>2</v>
      </c>
      <c r="G772" s="1974">
        <f t="shared" ref="G772:G777" si="212">E772/F772</f>
        <v>39.284999999999997</v>
      </c>
      <c r="H772" s="1247" t="s">
        <v>1496</v>
      </c>
      <c r="I772" s="1345"/>
      <c r="J772" s="1360"/>
      <c r="K772" s="1657"/>
      <c r="L772" s="1657"/>
      <c r="M772" s="2008"/>
      <c r="N772" s="2010"/>
      <c r="O772" s="2011"/>
      <c r="P772" s="1336"/>
    </row>
    <row r="773" spans="1:16" x14ac:dyDescent="0.25">
      <c r="A773" s="1355">
        <v>45328</v>
      </c>
      <c r="B773" s="1355" t="s">
        <v>6209</v>
      </c>
      <c r="C773" s="3340" t="s">
        <v>6130</v>
      </c>
      <c r="D773" s="3341"/>
      <c r="E773" s="1357">
        <v>31.9</v>
      </c>
      <c r="F773" s="1358">
        <v>1</v>
      </c>
      <c r="G773" s="1974">
        <v>0</v>
      </c>
      <c r="H773" s="1247" t="s">
        <v>1491</v>
      </c>
      <c r="I773" s="1321" t="s">
        <v>6269</v>
      </c>
      <c r="J773" s="1360"/>
      <c r="K773" s="1657"/>
      <c r="L773" s="1657"/>
      <c r="M773" s="2008"/>
      <c r="N773" s="2010"/>
      <c r="O773" s="2011"/>
      <c r="P773" s="1336"/>
    </row>
    <row r="774" spans="1:16" x14ac:dyDescent="0.25">
      <c r="A774" s="1355">
        <v>45356</v>
      </c>
      <c r="B774" s="1355" t="s">
        <v>6210</v>
      </c>
      <c r="C774" s="3340" t="s">
        <v>6211</v>
      </c>
      <c r="D774" s="3341"/>
      <c r="E774" s="1357">
        <v>728.25</v>
      </c>
      <c r="F774" s="1358">
        <v>1</v>
      </c>
      <c r="G774" s="1974">
        <f t="shared" si="212"/>
        <v>728.25</v>
      </c>
      <c r="H774" s="1247" t="s">
        <v>1524</v>
      </c>
      <c r="I774" s="1321">
        <f>G774/2</f>
        <v>364.125</v>
      </c>
      <c r="J774" s="2043" t="s">
        <v>6212</v>
      </c>
      <c r="K774" s="1657"/>
      <c r="L774" s="1657"/>
      <c r="M774" s="2008"/>
      <c r="N774" s="2010"/>
      <c r="O774" s="2011"/>
      <c r="P774" s="1336"/>
    </row>
    <row r="775" spans="1:16" x14ac:dyDescent="0.25">
      <c r="A775" s="1355">
        <v>45360</v>
      </c>
      <c r="B775" s="1355" t="s">
        <v>6210</v>
      </c>
      <c r="C775" s="3340" t="s">
        <v>6241</v>
      </c>
      <c r="D775" s="3341"/>
      <c r="E775" s="1357">
        <v>1609.8</v>
      </c>
      <c r="F775" s="1358">
        <v>2</v>
      </c>
      <c r="G775" s="1974">
        <f t="shared" si="212"/>
        <v>804.9</v>
      </c>
      <c r="H775" s="1247" t="s">
        <v>1524</v>
      </c>
      <c r="I775" s="1321">
        <f>G775/2</f>
        <v>402.45</v>
      </c>
      <c r="J775" s="2043" t="s">
        <v>6212</v>
      </c>
      <c r="K775" s="1657"/>
      <c r="L775" s="1657"/>
      <c r="M775" s="2008"/>
      <c r="N775" s="2010"/>
      <c r="O775" s="2011"/>
      <c r="P775" s="1336"/>
    </row>
    <row r="776" spans="1:16" x14ac:dyDescent="0.25">
      <c r="A776" s="1355">
        <v>45362</v>
      </c>
      <c r="B776" s="1355" t="s">
        <v>6210</v>
      </c>
      <c r="C776" s="3340" t="s">
        <v>6241</v>
      </c>
      <c r="D776" s="3341"/>
      <c r="E776" s="1357">
        <v>1258.05</v>
      </c>
      <c r="F776" s="1358">
        <v>2</v>
      </c>
      <c r="G776" s="1974">
        <f t="shared" si="212"/>
        <v>629.02499999999998</v>
      </c>
      <c r="H776" s="1247" t="s">
        <v>1524</v>
      </c>
      <c r="I776" s="1321">
        <f>G776/2</f>
        <v>314.51249999999999</v>
      </c>
      <c r="J776" s="2043" t="s">
        <v>6212</v>
      </c>
      <c r="K776" s="1657"/>
      <c r="L776" s="1657"/>
      <c r="M776" s="2008"/>
      <c r="N776" s="2010"/>
      <c r="O776" s="2011"/>
      <c r="P776" s="1336"/>
    </row>
    <row r="777" spans="1:16" x14ac:dyDescent="0.25">
      <c r="A777" s="1355">
        <v>45362</v>
      </c>
      <c r="B777" s="1355" t="s">
        <v>6210</v>
      </c>
      <c r="C777" s="3340" t="s">
        <v>6240</v>
      </c>
      <c r="D777" s="3341"/>
      <c r="E777" s="1357">
        <v>420</v>
      </c>
      <c r="F777" s="1358">
        <v>2</v>
      </c>
      <c r="G777" s="1359">
        <f t="shared" si="212"/>
        <v>210</v>
      </c>
      <c r="H777" s="1247" t="s">
        <v>1522</v>
      </c>
      <c r="I777" s="2085">
        <v>167.41</v>
      </c>
      <c r="J777" s="2086" t="s">
        <v>6282</v>
      </c>
      <c r="K777" s="1657"/>
      <c r="L777" s="1657"/>
      <c r="M777" s="2008"/>
      <c r="N777" s="2010"/>
      <c r="O777" s="2011"/>
      <c r="P777" s="1336"/>
    </row>
    <row r="778" spans="1:16" ht="15.75" x14ac:dyDescent="0.25">
      <c r="A778" s="3356" t="s">
        <v>4071</v>
      </c>
      <c r="B778" s="3357"/>
      <c r="C778" s="3357"/>
      <c r="D778" s="3357"/>
      <c r="E778" s="1381">
        <v>16600</v>
      </c>
      <c r="F778" s="3366"/>
      <c r="G778" s="3367"/>
      <c r="J778" s="1382"/>
      <c r="N778" s="1336"/>
      <c r="O778" s="2012"/>
      <c r="P778" s="1336"/>
    </row>
    <row r="779" spans="1:16" ht="15.75" x14ac:dyDescent="0.25">
      <c r="A779" s="3358" t="s">
        <v>4072</v>
      </c>
      <c r="B779" s="3359"/>
      <c r="C779" s="3359"/>
      <c r="D779" s="3359"/>
      <c r="E779" s="1384">
        <v>4055.39</v>
      </c>
      <c r="F779" s="3368"/>
      <c r="G779" s="3369"/>
      <c r="H779" s="1247" t="s">
        <v>280</v>
      </c>
    </row>
    <row r="780" spans="1:16" ht="15.75" x14ac:dyDescent="0.25">
      <c r="A780" s="3356" t="s">
        <v>4073</v>
      </c>
      <c r="B780" s="3357"/>
      <c r="C780" s="3357"/>
      <c r="D780" s="3357"/>
      <c r="E780" s="1381">
        <v>470.04</v>
      </c>
      <c r="F780" s="3385"/>
      <c r="G780" s="3386"/>
    </row>
    <row r="781" spans="1:16" ht="15.75" x14ac:dyDescent="0.25">
      <c r="A781" s="3358" t="s">
        <v>4074</v>
      </c>
      <c r="B781" s="3359"/>
      <c r="C781" s="3359"/>
      <c r="D781" s="3359"/>
      <c r="E781" s="3359"/>
      <c r="F781" s="3380"/>
      <c r="G781" s="1386">
        <f>SUM(G772:G777)</f>
        <v>2411.46</v>
      </c>
      <c r="H781" s="1942">
        <f>G781-I774-I775-I776+I777</f>
        <v>1497.7825</v>
      </c>
      <c r="I781" s="2862" t="s">
        <v>6213</v>
      </c>
    </row>
    <row r="782" spans="1:16" ht="17.25" customHeight="1" thickBot="1" x14ac:dyDescent="0.3">
      <c r="A782" s="3356" t="s">
        <v>4075</v>
      </c>
      <c r="B782" s="3357"/>
      <c r="C782" s="3357"/>
      <c r="D782" s="3357"/>
      <c r="E782" s="1388">
        <f>E778-E779</f>
        <v>12544.61</v>
      </c>
      <c r="G782" s="1389"/>
      <c r="I782" s="1336" t="s">
        <v>280</v>
      </c>
    </row>
    <row r="783" spans="1:16" ht="16.5" customHeight="1" thickBot="1" x14ac:dyDescent="0.3"/>
    <row r="784" spans="1:16" ht="19.5" thickBot="1" x14ac:dyDescent="0.35">
      <c r="A784" s="3361" t="s">
        <v>6080</v>
      </c>
      <c r="B784" s="3362"/>
      <c r="C784" s="3362"/>
      <c r="D784" s="3362"/>
      <c r="E784" s="3362"/>
      <c r="F784" s="3362"/>
      <c r="G784" s="3363"/>
      <c r="J784" s="1354"/>
      <c r="K784" s="1667"/>
      <c r="L784" s="1667"/>
      <c r="M784" s="1944"/>
      <c r="N784" s="1667"/>
      <c r="O784" s="1944"/>
      <c r="P784" s="1667"/>
    </row>
    <row r="785" spans="1:19" x14ac:dyDescent="0.25">
      <c r="A785" s="1355">
        <v>45056</v>
      </c>
      <c r="B785" s="1355" t="s">
        <v>6209</v>
      </c>
      <c r="C785" s="3340" t="s">
        <v>4068</v>
      </c>
      <c r="D785" s="3341"/>
      <c r="E785" s="1357">
        <v>1869</v>
      </c>
      <c r="F785" s="1358">
        <v>10</v>
      </c>
      <c r="G785" s="1678">
        <f t="shared" ref="G785" si="213">E785/F785</f>
        <v>186.9</v>
      </c>
      <c r="H785" s="1247" t="s">
        <v>1525</v>
      </c>
      <c r="I785" s="1345"/>
      <c r="J785" s="1360"/>
      <c r="K785" s="1657"/>
      <c r="L785" s="1657"/>
      <c r="M785" s="1247"/>
      <c r="O785" s="2007"/>
      <c r="P785" s="1975"/>
    </row>
    <row r="786" spans="1:19" x14ac:dyDescent="0.25">
      <c r="A786" s="1355">
        <v>45279</v>
      </c>
      <c r="B786" s="1355" t="s">
        <v>6209</v>
      </c>
      <c r="C786" s="3340" t="s">
        <v>4069</v>
      </c>
      <c r="D786" s="3341"/>
      <c r="E786" s="1357">
        <v>200</v>
      </c>
      <c r="F786" s="1358">
        <v>2</v>
      </c>
      <c r="G786" s="1359">
        <f t="shared" ref="G786:G791" si="214">E786/F786</f>
        <v>100</v>
      </c>
      <c r="H786" s="1247" t="s">
        <v>1506</v>
      </c>
      <c r="I786" s="1345"/>
      <c r="J786" s="1360"/>
      <c r="K786" s="1657"/>
      <c r="L786" s="1657"/>
      <c r="M786" s="2008"/>
      <c r="N786" s="2009"/>
      <c r="O786" s="2007"/>
      <c r="P786" s="1975"/>
    </row>
    <row r="787" spans="1:19" x14ac:dyDescent="0.25">
      <c r="A787" s="1355">
        <v>45281</v>
      </c>
      <c r="B787" s="1355" t="s">
        <v>6209</v>
      </c>
      <c r="C787" s="3340" t="s">
        <v>4070</v>
      </c>
      <c r="D787" s="3341"/>
      <c r="E787" s="1357">
        <v>100</v>
      </c>
      <c r="F787" s="1358">
        <v>2</v>
      </c>
      <c r="G787" s="1359">
        <f t="shared" si="214"/>
        <v>50</v>
      </c>
      <c r="H787" s="1247" t="s">
        <v>1491</v>
      </c>
      <c r="I787" s="1345"/>
      <c r="J787" s="1360"/>
      <c r="K787" s="1657"/>
      <c r="L787" s="1657"/>
      <c r="M787" s="2008"/>
      <c r="N787" s="2007"/>
      <c r="O787" s="2007"/>
      <c r="P787" s="1975"/>
    </row>
    <row r="788" spans="1:19" x14ac:dyDescent="0.25">
      <c r="A788" s="1355">
        <v>45281</v>
      </c>
      <c r="B788" s="1355" t="s">
        <v>6209</v>
      </c>
      <c r="C788" s="3340" t="s">
        <v>6089</v>
      </c>
      <c r="D788" s="3341"/>
      <c r="E788" s="1357">
        <v>100</v>
      </c>
      <c r="F788" s="1358">
        <v>2</v>
      </c>
      <c r="G788" s="1359">
        <f t="shared" si="214"/>
        <v>50</v>
      </c>
      <c r="H788" s="1247" t="s">
        <v>1489</v>
      </c>
      <c r="I788" s="1345"/>
      <c r="J788" s="1360"/>
      <c r="K788" s="1657"/>
      <c r="L788" s="1657"/>
      <c r="M788" s="2008"/>
      <c r="N788" s="2007"/>
      <c r="O788" s="2007"/>
      <c r="P788" s="1975"/>
    </row>
    <row r="789" spans="1:19" x14ac:dyDescent="0.25">
      <c r="A789" s="1355">
        <v>45318</v>
      </c>
      <c r="B789" s="1355" t="s">
        <v>6209</v>
      </c>
      <c r="C789" s="3340" t="s">
        <v>6114</v>
      </c>
      <c r="D789" s="3341"/>
      <c r="E789" s="1357">
        <v>11.95</v>
      </c>
      <c r="F789" s="1358">
        <v>1</v>
      </c>
      <c r="G789" s="1359">
        <f t="shared" si="214"/>
        <v>11.95</v>
      </c>
      <c r="H789" s="1247" t="s">
        <v>1504</v>
      </c>
      <c r="I789" s="1345"/>
      <c r="J789" s="1360"/>
      <c r="K789" s="1657"/>
      <c r="L789" s="1657"/>
      <c r="M789" s="2008"/>
      <c r="N789" s="2010"/>
      <c r="O789" s="2011"/>
      <c r="P789" s="1336"/>
    </row>
    <row r="790" spans="1:19" x14ac:dyDescent="0.25">
      <c r="A790" s="1972">
        <v>45320</v>
      </c>
      <c r="B790" s="1972" t="s">
        <v>6209</v>
      </c>
      <c r="C790" s="3340" t="s">
        <v>6115</v>
      </c>
      <c r="D790" s="3341"/>
      <c r="E790" s="1357">
        <v>78.569999999999993</v>
      </c>
      <c r="F790" s="1358">
        <v>2</v>
      </c>
      <c r="G790" s="1974">
        <f t="shared" si="214"/>
        <v>39.284999999999997</v>
      </c>
      <c r="H790" s="1247" t="s">
        <v>1496</v>
      </c>
      <c r="I790" s="1345"/>
      <c r="J790" s="1360"/>
      <c r="K790" s="1953"/>
      <c r="L790" s="1953"/>
      <c r="N790" s="1943"/>
      <c r="R790" s="1943"/>
      <c r="S790" s="1945"/>
    </row>
    <row r="791" spans="1:19" x14ac:dyDescent="0.25">
      <c r="A791" s="1355">
        <v>45328</v>
      </c>
      <c r="B791" s="1355" t="s">
        <v>6209</v>
      </c>
      <c r="C791" s="3340" t="s">
        <v>6130</v>
      </c>
      <c r="D791" s="3341"/>
      <c r="E791" s="1357">
        <v>31.9</v>
      </c>
      <c r="F791" s="1358">
        <v>1</v>
      </c>
      <c r="G791" s="1974">
        <f t="shared" si="214"/>
        <v>31.9</v>
      </c>
      <c r="H791" s="1247" t="s">
        <v>1491</v>
      </c>
      <c r="I791" s="1345"/>
      <c r="J791" s="1360"/>
      <c r="K791" s="1657"/>
      <c r="L791" s="1657"/>
      <c r="M791" s="2008"/>
      <c r="N791" s="2010"/>
      <c r="O791" s="2011"/>
      <c r="P791" s="1336"/>
    </row>
    <row r="792" spans="1:19" ht="15.75" x14ac:dyDescent="0.25">
      <c r="A792" s="3356" t="s">
        <v>4071</v>
      </c>
      <c r="B792" s="3357"/>
      <c r="C792" s="3357"/>
      <c r="D792" s="3357"/>
      <c r="E792" s="1381">
        <v>5600</v>
      </c>
      <c r="F792" s="3366"/>
      <c r="G792" s="3367"/>
      <c r="J792" s="1382"/>
      <c r="N792" s="1336"/>
      <c r="O792" s="2012"/>
      <c r="P792" s="1336"/>
    </row>
    <row r="793" spans="1:19" ht="15.75" x14ac:dyDescent="0.25">
      <c r="A793" s="3358" t="s">
        <v>4072</v>
      </c>
      <c r="B793" s="3359"/>
      <c r="C793" s="3359"/>
      <c r="D793" s="3359"/>
      <c r="E793" s="1384">
        <v>509.32</v>
      </c>
      <c r="F793" s="3368"/>
      <c r="G793" s="3369"/>
      <c r="H793" s="1247" t="s">
        <v>280</v>
      </c>
    </row>
    <row r="794" spans="1:19" ht="15.75" x14ac:dyDescent="0.25">
      <c r="A794" s="3356" t="s">
        <v>4073</v>
      </c>
      <c r="B794" s="3357"/>
      <c r="C794" s="3357"/>
      <c r="D794" s="3357"/>
      <c r="E794" s="1381">
        <v>1408.28</v>
      </c>
      <c r="F794" s="3385"/>
      <c r="G794" s="3386"/>
    </row>
    <row r="795" spans="1:19" ht="15.75" x14ac:dyDescent="0.25">
      <c r="A795" s="3358" t="s">
        <v>4074</v>
      </c>
      <c r="B795" s="3359"/>
      <c r="C795" s="3359"/>
      <c r="D795" s="3359"/>
      <c r="E795" s="3359"/>
      <c r="F795" s="3380"/>
      <c r="G795" s="1386">
        <f>SUM(G785:G791)</f>
        <v>470.03499999999997</v>
      </c>
      <c r="H795" s="1942"/>
      <c r="I795" s="2862"/>
    </row>
    <row r="796" spans="1:19" ht="17.25" customHeight="1" thickBot="1" x14ac:dyDescent="0.3">
      <c r="A796" s="3356" t="s">
        <v>4075</v>
      </c>
      <c r="B796" s="3357"/>
      <c r="C796" s="3357"/>
      <c r="D796" s="3357"/>
      <c r="E796" s="1388">
        <f>E792-E793</f>
        <v>5090.68</v>
      </c>
      <c r="G796" s="1389"/>
    </row>
    <row r="797" spans="1:19" ht="16.5" customHeight="1" thickBot="1" x14ac:dyDescent="0.3"/>
    <row r="798" spans="1:19" ht="19.5" thickBot="1" x14ac:dyDescent="0.35">
      <c r="A798" s="3361" t="s">
        <v>4076</v>
      </c>
      <c r="B798" s="3362"/>
      <c r="C798" s="3362"/>
      <c r="D798" s="3362"/>
      <c r="E798" s="3362"/>
      <c r="F798" s="3362"/>
      <c r="G798" s="3363"/>
      <c r="J798" s="1354"/>
      <c r="K798" s="1667"/>
      <c r="L798" s="1667"/>
      <c r="M798" s="1944"/>
      <c r="N798" s="2015"/>
      <c r="O798" s="2016"/>
      <c r="P798" s="2015"/>
    </row>
    <row r="799" spans="1:19" x14ac:dyDescent="0.25">
      <c r="A799" s="1355">
        <v>45056</v>
      </c>
      <c r="B799" s="1355">
        <v>45056</v>
      </c>
      <c r="C799" s="3340" t="s">
        <v>4077</v>
      </c>
      <c r="D799" s="3341"/>
      <c r="E799" s="1357">
        <v>1869</v>
      </c>
      <c r="F799" s="1358">
        <v>10</v>
      </c>
      <c r="G799" s="1678">
        <f t="shared" ref="G799:G800" si="215">E799/F799</f>
        <v>186.9</v>
      </c>
      <c r="H799" s="1247" t="s">
        <v>1525</v>
      </c>
      <c r="I799" s="1345"/>
      <c r="J799" s="1360"/>
      <c r="K799" s="1657"/>
      <c r="L799" s="1657"/>
      <c r="M799" s="1658"/>
      <c r="O799" s="2007"/>
      <c r="P799" s="1975"/>
    </row>
    <row r="800" spans="1:19" x14ac:dyDescent="0.25">
      <c r="A800" s="1355">
        <v>45162</v>
      </c>
      <c r="B800" s="1355">
        <v>45162</v>
      </c>
      <c r="C800" s="3340" t="s">
        <v>4078</v>
      </c>
      <c r="D800" s="3341"/>
      <c r="E800" s="1357">
        <v>4000</v>
      </c>
      <c r="F800" s="1914">
        <v>5</v>
      </c>
      <c r="G800" s="1920">
        <f t="shared" si="215"/>
        <v>800</v>
      </c>
      <c r="H800" s="1247" t="s">
        <v>1522</v>
      </c>
      <c r="I800" s="1345"/>
      <c r="J800" s="1360"/>
      <c r="K800" s="1657"/>
      <c r="L800" s="1657"/>
      <c r="M800" s="1658"/>
      <c r="N800" s="2009"/>
      <c r="O800" s="2007"/>
      <c r="P800" s="1975"/>
    </row>
    <row r="801" spans="1:16" x14ac:dyDescent="0.25">
      <c r="A801" s="1355">
        <v>45257</v>
      </c>
      <c r="B801" s="1355">
        <v>45257</v>
      </c>
      <c r="C801" s="3340" t="s">
        <v>4079</v>
      </c>
      <c r="D801" s="3341"/>
      <c r="E801" s="1357">
        <v>160.75</v>
      </c>
      <c r="F801" s="1358">
        <v>2</v>
      </c>
      <c r="G801" s="1678">
        <f>E801/F801</f>
        <v>80.375</v>
      </c>
      <c r="H801" s="1247" t="s">
        <v>1506</v>
      </c>
      <c r="I801" s="1345"/>
      <c r="J801" s="1360"/>
      <c r="K801" s="1657"/>
      <c r="L801" s="1657"/>
      <c r="M801" s="1658"/>
      <c r="N801" s="2009"/>
      <c r="O801" s="2007"/>
      <c r="P801" s="1975"/>
    </row>
    <row r="802" spans="1:16" x14ac:dyDescent="0.25">
      <c r="A802" s="1355">
        <v>45279</v>
      </c>
      <c r="B802" s="1355">
        <v>45279</v>
      </c>
      <c r="C802" s="3340" t="s">
        <v>4080</v>
      </c>
      <c r="D802" s="3341"/>
      <c r="E802" s="1357">
        <v>200</v>
      </c>
      <c r="F802" s="1358">
        <v>2</v>
      </c>
      <c r="G802" s="1678">
        <f>E802/F802</f>
        <v>100</v>
      </c>
      <c r="H802" s="1247" t="s">
        <v>1506</v>
      </c>
      <c r="I802" s="1345"/>
      <c r="J802" s="1360"/>
      <c r="K802" s="1657"/>
      <c r="L802" s="1657"/>
      <c r="M802" s="1658"/>
      <c r="N802" s="2009"/>
      <c r="O802" s="2007"/>
      <c r="P802" s="1975"/>
    </row>
    <row r="803" spans="1:16" x14ac:dyDescent="0.25">
      <c r="A803" s="1355">
        <v>45281</v>
      </c>
      <c r="B803" s="1355">
        <v>45281</v>
      </c>
      <c r="C803" s="3340" t="s">
        <v>4081</v>
      </c>
      <c r="D803" s="3341"/>
      <c r="E803" s="1357">
        <v>100</v>
      </c>
      <c r="F803" s="1358">
        <v>2</v>
      </c>
      <c r="G803" s="1678">
        <f>E803/F803</f>
        <v>50</v>
      </c>
      <c r="H803" s="1247" t="s">
        <v>1491</v>
      </c>
      <c r="I803" s="1345"/>
      <c r="J803" s="2063"/>
      <c r="K803" s="1657"/>
      <c r="L803" s="1657"/>
      <c r="M803" s="1658"/>
      <c r="N803" s="2007"/>
      <c r="O803" s="2007"/>
      <c r="P803" s="1975"/>
    </row>
    <row r="804" spans="1:16" x14ac:dyDescent="0.25">
      <c r="A804" s="1355">
        <v>45281</v>
      </c>
      <c r="B804" s="1355">
        <v>45281</v>
      </c>
      <c r="C804" s="3340" t="s">
        <v>6088</v>
      </c>
      <c r="D804" s="3341"/>
      <c r="E804" s="1357">
        <v>100</v>
      </c>
      <c r="F804" s="1358">
        <v>2</v>
      </c>
      <c r="G804" s="1678">
        <f>E804/F804</f>
        <v>50</v>
      </c>
      <c r="H804" s="1247" t="s">
        <v>1489</v>
      </c>
      <c r="I804" s="1345"/>
      <c r="J804" s="1360"/>
      <c r="K804" s="1657"/>
      <c r="L804" s="1657"/>
      <c r="M804" s="1658"/>
      <c r="N804" s="2010"/>
      <c r="O804" s="2011"/>
      <c r="P804" s="1336"/>
    </row>
    <row r="805" spans="1:16" x14ac:dyDescent="0.25">
      <c r="A805" s="1355">
        <v>45285</v>
      </c>
      <c r="B805" s="1355">
        <v>45285</v>
      </c>
      <c r="C805" s="3340" t="s">
        <v>6075</v>
      </c>
      <c r="D805" s="3341"/>
      <c r="E805" s="1357">
        <v>30</v>
      </c>
      <c r="F805" s="1358">
        <v>1</v>
      </c>
      <c r="G805" s="1678">
        <v>30</v>
      </c>
      <c r="H805" s="1247" t="s">
        <v>1489</v>
      </c>
      <c r="I805" s="1345"/>
      <c r="J805" s="1360"/>
      <c r="K805" s="1657"/>
      <c r="L805" s="1657"/>
      <c r="M805" s="1658"/>
      <c r="N805" s="2010"/>
      <c r="O805" s="2011"/>
      <c r="P805" s="1336"/>
    </row>
    <row r="806" spans="1:16" x14ac:dyDescent="0.25">
      <c r="A806" s="1355">
        <v>45303</v>
      </c>
      <c r="B806" s="1355">
        <v>45303</v>
      </c>
      <c r="C806" s="3340" t="s">
        <v>6076</v>
      </c>
      <c r="D806" s="3341"/>
      <c r="E806" s="1357">
        <v>55.5</v>
      </c>
      <c r="F806" s="1358">
        <v>1</v>
      </c>
      <c r="G806" s="1359">
        <f>E806/F806</f>
        <v>55.5</v>
      </c>
      <c r="H806" s="1247" t="s">
        <v>1491</v>
      </c>
      <c r="I806" s="1345"/>
      <c r="J806" s="1360"/>
      <c r="K806" s="1657"/>
      <c r="L806" s="1657"/>
      <c r="M806" s="1658"/>
      <c r="N806" s="2010"/>
      <c r="O806" s="2011"/>
      <c r="P806" s="1336"/>
    </row>
    <row r="807" spans="1:16" x14ac:dyDescent="0.25">
      <c r="A807" s="1355">
        <v>45303</v>
      </c>
      <c r="B807" s="1355">
        <v>45303</v>
      </c>
      <c r="C807" s="3340" t="s">
        <v>6077</v>
      </c>
      <c r="D807" s="3341"/>
      <c r="E807" s="1357">
        <v>55.5</v>
      </c>
      <c r="F807" s="1358">
        <v>1</v>
      </c>
      <c r="G807" s="1359">
        <f>E807/F807</f>
        <v>55.5</v>
      </c>
      <c r="H807" s="1247" t="s">
        <v>1489</v>
      </c>
      <c r="I807" s="1345"/>
      <c r="J807" s="1360"/>
      <c r="K807" s="1657"/>
      <c r="L807" s="1657"/>
      <c r="M807" s="1658"/>
      <c r="N807" s="2010"/>
      <c r="O807" s="2011"/>
      <c r="P807" s="1336"/>
    </row>
    <row r="808" spans="1:16" ht="15.75" x14ac:dyDescent="0.25">
      <c r="A808" s="3356" t="s">
        <v>4071</v>
      </c>
      <c r="B808" s="3357"/>
      <c r="C808" s="3357"/>
      <c r="D808" s="3357"/>
      <c r="E808" s="1381">
        <v>5600</v>
      </c>
      <c r="F808" s="3366"/>
      <c r="G808" s="3367"/>
      <c r="J808" s="1382"/>
      <c r="N808" s="1336"/>
      <c r="O808" s="2012"/>
      <c r="P808" s="1336"/>
    </row>
    <row r="809" spans="1:16" ht="15.75" x14ac:dyDescent="0.25">
      <c r="A809" s="3358" t="s">
        <v>4072</v>
      </c>
      <c r="B809" s="3359"/>
      <c r="C809" s="3359"/>
      <c r="D809" s="3359"/>
      <c r="E809" s="1384">
        <v>1795.18</v>
      </c>
      <c r="F809" s="3368"/>
      <c r="G809" s="3369"/>
      <c r="H809" s="1247" t="s">
        <v>280</v>
      </c>
    </row>
    <row r="810" spans="1:16" ht="15.75" x14ac:dyDescent="0.25">
      <c r="A810" s="3356" t="s">
        <v>4073</v>
      </c>
      <c r="B810" s="3357"/>
      <c r="C810" s="3357"/>
      <c r="D810" s="3357"/>
      <c r="E810" s="1381">
        <v>514.41</v>
      </c>
      <c r="F810" s="3385"/>
      <c r="G810" s="3386"/>
    </row>
    <row r="811" spans="1:16" ht="15.75" x14ac:dyDescent="0.25">
      <c r="A811" s="3358" t="s">
        <v>4074</v>
      </c>
      <c r="B811" s="3359"/>
      <c r="C811" s="3359"/>
      <c r="D811" s="3359"/>
      <c r="E811" s="3359"/>
      <c r="F811" s="3380"/>
      <c r="G811" s="1386">
        <f>SUM(G799:G807)</f>
        <v>1408.2750000000001</v>
      </c>
      <c r="H811" s="1942"/>
      <c r="I811" s="2862"/>
    </row>
    <row r="812" spans="1:16" ht="17.25" customHeight="1" thickBot="1" x14ac:dyDescent="0.3">
      <c r="A812" s="3356" t="s">
        <v>4075</v>
      </c>
      <c r="B812" s="3357"/>
      <c r="C812" s="3357"/>
      <c r="D812" s="3357"/>
      <c r="E812" s="1388">
        <f>E808-E809</f>
        <v>3804.8199999999997</v>
      </c>
      <c r="G812" s="1389"/>
    </row>
    <row r="813" spans="1:16" ht="16.5" customHeight="1" thickBot="1" x14ac:dyDescent="0.3"/>
    <row r="814" spans="1:16" ht="19.5" thickBot="1" x14ac:dyDescent="0.35">
      <c r="A814" s="3361" t="s">
        <v>4082</v>
      </c>
      <c r="B814" s="3362"/>
      <c r="C814" s="3362"/>
      <c r="D814" s="3362"/>
      <c r="E814" s="3362"/>
      <c r="F814" s="3362"/>
      <c r="G814" s="3363"/>
      <c r="J814" s="1354"/>
      <c r="K814" s="1667"/>
      <c r="L814" s="1667"/>
      <c r="M814" s="1944"/>
      <c r="N814" s="1667"/>
      <c r="O814" s="1944"/>
      <c r="P814" s="1667"/>
    </row>
    <row r="815" spans="1:16" x14ac:dyDescent="0.25">
      <c r="A815" s="1355">
        <v>45056</v>
      </c>
      <c r="B815" s="1355">
        <v>45056</v>
      </c>
      <c r="C815" s="3340" t="s">
        <v>4083</v>
      </c>
      <c r="D815" s="3341"/>
      <c r="E815" s="1357">
        <v>1869</v>
      </c>
      <c r="F815" s="1358">
        <v>10</v>
      </c>
      <c r="G815" s="1678">
        <v>0</v>
      </c>
      <c r="H815" s="1247" t="s">
        <v>4084</v>
      </c>
      <c r="I815" s="1345"/>
      <c r="J815" s="1360"/>
      <c r="K815" s="1657"/>
      <c r="L815" s="1657"/>
      <c r="M815" s="1658"/>
    </row>
    <row r="816" spans="1:16" x14ac:dyDescent="0.25">
      <c r="A816" s="1355">
        <v>45162</v>
      </c>
      <c r="B816" s="1355">
        <v>45162</v>
      </c>
      <c r="C816" s="3340" t="s">
        <v>3988</v>
      </c>
      <c r="D816" s="3341"/>
      <c r="E816" s="1357">
        <v>4000</v>
      </c>
      <c r="F816" s="1914">
        <v>5</v>
      </c>
      <c r="G816" s="1921">
        <v>0</v>
      </c>
      <c r="H816" s="1247" t="s">
        <v>4085</v>
      </c>
      <c r="I816" s="1345"/>
      <c r="J816" s="1360"/>
      <c r="K816" s="1657"/>
      <c r="L816" s="1657"/>
      <c r="M816" s="1658"/>
    </row>
    <row r="817" spans="1:20" x14ac:dyDescent="0.25">
      <c r="A817" s="1355">
        <v>45178</v>
      </c>
      <c r="B817" s="1355">
        <v>45178</v>
      </c>
      <c r="C817" s="3340" t="s">
        <v>4003</v>
      </c>
      <c r="D817" s="3341"/>
      <c r="E817" s="1357">
        <v>370</v>
      </c>
      <c r="F817" s="1914">
        <v>4</v>
      </c>
      <c r="G817" s="1921">
        <v>0</v>
      </c>
      <c r="H817" s="1247" t="s">
        <v>4086</v>
      </c>
      <c r="I817" s="1345"/>
      <c r="J817" s="1360"/>
      <c r="K817" s="1953"/>
      <c r="L817" s="1953"/>
      <c r="R817" s="1953"/>
      <c r="S817" s="1336"/>
      <c r="T817" s="1942"/>
    </row>
    <row r="818" spans="1:20" x14ac:dyDescent="0.25">
      <c r="A818" s="1355">
        <v>45237</v>
      </c>
      <c r="B818" s="1355">
        <v>45237</v>
      </c>
      <c r="C818" s="3340" t="s">
        <v>4004</v>
      </c>
      <c r="D818" s="3341"/>
      <c r="E818" s="1357">
        <v>144</v>
      </c>
      <c r="F818" s="1358">
        <v>1</v>
      </c>
      <c r="G818" s="1921">
        <v>0</v>
      </c>
      <c r="H818" s="1247" t="s">
        <v>4087</v>
      </c>
      <c r="I818" s="1345"/>
      <c r="J818" s="1360"/>
      <c r="K818" s="1657"/>
      <c r="L818" s="1657"/>
      <c r="M818" s="1658"/>
    </row>
    <row r="819" spans="1:20" x14ac:dyDescent="0.25">
      <c r="A819" s="1355">
        <v>45257</v>
      </c>
      <c r="B819" s="1355">
        <v>45257</v>
      </c>
      <c r="C819" s="3340" t="s">
        <v>4005</v>
      </c>
      <c r="D819" s="3341"/>
      <c r="E819" s="1357">
        <v>160.75</v>
      </c>
      <c r="F819" s="1358">
        <v>2</v>
      </c>
      <c r="G819" s="1359">
        <v>0</v>
      </c>
      <c r="H819" s="1247" t="s">
        <v>4088</v>
      </c>
      <c r="I819" s="1345"/>
      <c r="J819" s="1360"/>
      <c r="K819" s="1657"/>
      <c r="L819" s="1657"/>
      <c r="M819" s="1658"/>
    </row>
    <row r="820" spans="1:20" x14ac:dyDescent="0.25">
      <c r="A820" s="1355">
        <v>45271</v>
      </c>
      <c r="B820" s="1355">
        <v>45271</v>
      </c>
      <c r="C820" s="3340" t="s">
        <v>4089</v>
      </c>
      <c r="D820" s="3341"/>
      <c r="E820" s="1357">
        <v>78.2</v>
      </c>
      <c r="F820" s="1358">
        <v>1</v>
      </c>
      <c r="G820" s="1359">
        <f>E820/F820</f>
        <v>78.2</v>
      </c>
      <c r="H820" s="1247" t="s">
        <v>1489</v>
      </c>
      <c r="I820" s="1345"/>
      <c r="J820" s="1360"/>
      <c r="K820" s="1657"/>
      <c r="L820" s="1657"/>
      <c r="M820" s="1658"/>
    </row>
    <row r="821" spans="1:20" x14ac:dyDescent="0.25">
      <c r="A821" s="1355">
        <v>45271</v>
      </c>
      <c r="B821" s="1355">
        <v>45271</v>
      </c>
      <c r="C821" s="3340" t="s">
        <v>4090</v>
      </c>
      <c r="D821" s="3341"/>
      <c r="E821" s="1357">
        <v>66.209999999999994</v>
      </c>
      <c r="F821" s="1358">
        <v>1</v>
      </c>
      <c r="G821" s="1359">
        <f>E821/F821</f>
        <v>66.209999999999994</v>
      </c>
      <c r="H821" s="1247" t="s">
        <v>1525</v>
      </c>
      <c r="I821" s="1345"/>
      <c r="J821" s="1360"/>
      <c r="K821" s="1657"/>
      <c r="L821" s="1657"/>
      <c r="M821" s="1658"/>
    </row>
    <row r="822" spans="1:20" x14ac:dyDescent="0.25">
      <c r="A822" s="1355">
        <v>45273</v>
      </c>
      <c r="B822" s="1355">
        <v>45273</v>
      </c>
      <c r="C822" s="3340" t="s">
        <v>4091</v>
      </c>
      <c r="D822" s="3341"/>
      <c r="E822" s="1357">
        <v>370</v>
      </c>
      <c r="F822" s="1358">
        <v>1</v>
      </c>
      <c r="G822" s="1359">
        <f>E822/F822</f>
        <v>370</v>
      </c>
      <c r="H822" s="1247" t="s">
        <v>1525</v>
      </c>
      <c r="I822" s="1345"/>
      <c r="J822" s="1360"/>
      <c r="K822" s="1657"/>
      <c r="L822" s="1657"/>
      <c r="M822" s="1658"/>
    </row>
    <row r="823" spans="1:20" ht="15.75" x14ac:dyDescent="0.25">
      <c r="A823" s="3356" t="s">
        <v>4071</v>
      </c>
      <c r="B823" s="3357"/>
      <c r="C823" s="3357"/>
      <c r="D823" s="3357"/>
      <c r="E823" s="1381">
        <v>5600</v>
      </c>
      <c r="F823" s="3366"/>
      <c r="G823" s="3367"/>
      <c r="J823" s="1382"/>
    </row>
    <row r="824" spans="1:20" ht="15.75" x14ac:dyDescent="0.25">
      <c r="A824" s="3358" t="s">
        <v>4072</v>
      </c>
      <c r="B824" s="3359"/>
      <c r="C824" s="3359"/>
      <c r="D824" s="3359"/>
      <c r="E824" s="1384">
        <v>2397.1999999999998</v>
      </c>
      <c r="F824" s="3368"/>
      <c r="G824" s="3369"/>
      <c r="H824" s="1247" t="s">
        <v>280</v>
      </c>
    </row>
    <row r="825" spans="1:20" ht="15.75" x14ac:dyDescent="0.25">
      <c r="A825" s="3356" t="s">
        <v>4073</v>
      </c>
      <c r="B825" s="3357"/>
      <c r="C825" s="3357"/>
      <c r="D825" s="3357"/>
      <c r="E825" s="1381">
        <v>800</v>
      </c>
      <c r="F825" s="3385"/>
      <c r="G825" s="3386"/>
    </row>
    <row r="826" spans="1:20" ht="15.75" x14ac:dyDescent="0.25">
      <c r="A826" s="3358" t="s">
        <v>4074</v>
      </c>
      <c r="B826" s="3359"/>
      <c r="C826" s="3359"/>
      <c r="D826" s="3359"/>
      <c r="E826" s="3359"/>
      <c r="F826" s="3380"/>
      <c r="G826" s="1386">
        <f>SUM(G815:G822)</f>
        <v>514.41</v>
      </c>
      <c r="H826" s="1942">
        <v>1000</v>
      </c>
      <c r="I826" s="2862" t="s">
        <v>4092</v>
      </c>
    </row>
    <row r="827" spans="1:20" ht="17.25" customHeight="1" thickBot="1" x14ac:dyDescent="0.3">
      <c r="A827" s="3356" t="s">
        <v>4075</v>
      </c>
      <c r="B827" s="3357"/>
      <c r="C827" s="3357"/>
      <c r="D827" s="3357"/>
      <c r="E827" s="1388">
        <f>E823-E824</f>
        <v>3202.8</v>
      </c>
      <c r="G827" s="1389"/>
    </row>
    <row r="828" spans="1:20" ht="16.5" customHeight="1" thickBot="1" x14ac:dyDescent="0.3"/>
    <row r="829" spans="1:20" ht="19.5" thickBot="1" x14ac:dyDescent="0.35">
      <c r="A829" s="3361" t="s">
        <v>4093</v>
      </c>
      <c r="B829" s="3362"/>
      <c r="C829" s="3362"/>
      <c r="D829" s="3362"/>
      <c r="E829" s="3362"/>
      <c r="F829" s="3362"/>
      <c r="G829" s="3363"/>
      <c r="J829" s="1354"/>
      <c r="K829" s="1667"/>
      <c r="L829" s="1667"/>
      <c r="M829" s="1944"/>
      <c r="P829" s="1667"/>
    </row>
    <row r="830" spans="1:20" x14ac:dyDescent="0.25">
      <c r="A830" s="1355">
        <v>45056</v>
      </c>
      <c r="B830" s="1355">
        <v>45056</v>
      </c>
      <c r="C830" s="3340" t="s">
        <v>3973</v>
      </c>
      <c r="D830" s="3341"/>
      <c r="E830" s="1357">
        <v>1869</v>
      </c>
      <c r="F830" s="1358">
        <v>10</v>
      </c>
      <c r="G830" s="1678">
        <v>0</v>
      </c>
      <c r="H830" s="1247" t="s">
        <v>4094</v>
      </c>
      <c r="I830" s="1345"/>
      <c r="J830" s="1360"/>
      <c r="K830" s="1657"/>
      <c r="L830" s="1657"/>
      <c r="M830" s="1658"/>
      <c r="P830" s="1336"/>
    </row>
    <row r="831" spans="1:20" x14ac:dyDescent="0.25">
      <c r="A831" s="1355">
        <v>45162</v>
      </c>
      <c r="B831" s="1355">
        <v>45162</v>
      </c>
      <c r="C831" s="3340" t="s">
        <v>4095</v>
      </c>
      <c r="D831" s="3341"/>
      <c r="E831" s="1357">
        <v>4000</v>
      </c>
      <c r="F831" s="1914">
        <v>5</v>
      </c>
      <c r="G831" s="1921">
        <f t="shared" ref="G831" si="216">E831/F831</f>
        <v>800</v>
      </c>
      <c r="H831" s="1247" t="s">
        <v>1522</v>
      </c>
      <c r="I831" s="1345"/>
      <c r="J831" s="1360"/>
      <c r="K831" s="1657"/>
      <c r="L831" s="1657"/>
      <c r="M831" s="1658"/>
      <c r="P831" s="1336"/>
    </row>
    <row r="832" spans="1:20" x14ac:dyDescent="0.25">
      <c r="A832" s="1355">
        <v>45178</v>
      </c>
      <c r="B832" s="1355">
        <v>45178</v>
      </c>
      <c r="C832" s="3340" t="s">
        <v>3974</v>
      </c>
      <c r="D832" s="3341"/>
      <c r="E832" s="1357">
        <v>370</v>
      </c>
      <c r="F832" s="1914">
        <v>4</v>
      </c>
      <c r="G832" s="1921">
        <v>0</v>
      </c>
      <c r="H832" s="1247" t="s">
        <v>4096</v>
      </c>
      <c r="I832" s="1345"/>
      <c r="J832" s="1360"/>
      <c r="K832" s="1953"/>
      <c r="L832" s="1953"/>
      <c r="P832" s="1942"/>
      <c r="R832" s="1953"/>
      <c r="S832" s="1336"/>
      <c r="T832" s="1942"/>
    </row>
    <row r="833" spans="1:20" ht="15.75" x14ac:dyDescent="0.25">
      <c r="A833" s="3356" t="s">
        <v>4071</v>
      </c>
      <c r="B833" s="3357"/>
      <c r="C833" s="3357"/>
      <c r="D833" s="3357"/>
      <c r="E833" s="1381">
        <v>5600</v>
      </c>
      <c r="F833" s="3366"/>
      <c r="G833" s="3367"/>
      <c r="J833" s="1382"/>
    </row>
    <row r="834" spans="1:20" ht="15.75" x14ac:dyDescent="0.25">
      <c r="A834" s="3358" t="s">
        <v>4072</v>
      </c>
      <c r="B834" s="3359"/>
      <c r="C834" s="3359"/>
      <c r="D834" s="3359"/>
      <c r="E834" s="1384">
        <v>3332.6</v>
      </c>
      <c r="F834" s="3368"/>
      <c r="G834" s="3369"/>
      <c r="H834" s="1247" t="s">
        <v>280</v>
      </c>
    </row>
    <row r="835" spans="1:20" ht="15.75" x14ac:dyDescent="0.25">
      <c r="A835" s="3356" t="s">
        <v>4073</v>
      </c>
      <c r="B835" s="3357"/>
      <c r="C835" s="3357"/>
      <c r="D835" s="3357"/>
      <c r="E835" s="1381">
        <v>89</v>
      </c>
      <c r="F835" s="3385"/>
      <c r="G835" s="3386"/>
    </row>
    <row r="836" spans="1:20" ht="15.75" x14ac:dyDescent="0.25">
      <c r="A836" s="3358" t="s">
        <v>4074</v>
      </c>
      <c r="B836" s="3359"/>
      <c r="C836" s="3359"/>
      <c r="D836" s="3359"/>
      <c r="E836" s="3359"/>
      <c r="F836" s="3380"/>
      <c r="G836" s="1386">
        <f>SUM(G830:G832)</f>
        <v>800</v>
      </c>
      <c r="H836" s="1942">
        <v>1000</v>
      </c>
      <c r="I836" s="2862" t="s">
        <v>4097</v>
      </c>
    </row>
    <row r="837" spans="1:20" ht="17.25" customHeight="1" thickBot="1" x14ac:dyDescent="0.3">
      <c r="A837" s="3356" t="s">
        <v>4075</v>
      </c>
      <c r="B837" s="3357"/>
      <c r="C837" s="3357"/>
      <c r="D837" s="3357"/>
      <c r="E837" s="1388">
        <f>E833-E834</f>
        <v>2267.4</v>
      </c>
      <c r="G837" s="1389"/>
    </row>
    <row r="838" spans="1:20" ht="16.5" customHeight="1" thickBot="1" x14ac:dyDescent="0.3"/>
    <row r="839" spans="1:20" ht="19.5" thickBot="1" x14ac:dyDescent="0.35">
      <c r="A839" s="3335" t="s">
        <v>4098</v>
      </c>
      <c r="B839" s="3336"/>
      <c r="C839" s="3336"/>
      <c r="D839" s="3336"/>
      <c r="E839" s="3336"/>
      <c r="F839" s="3336"/>
      <c r="G839" s="3337"/>
      <c r="I839" s="3169"/>
      <c r="J839" s="3169"/>
      <c r="K839" s="3169"/>
      <c r="L839" s="3169"/>
      <c r="M839" s="3169"/>
      <c r="S839" s="1336"/>
    </row>
    <row r="840" spans="1:20" ht="16.5" thickBot="1" x14ac:dyDescent="0.3">
      <c r="A840" s="1970">
        <v>45056</v>
      </c>
      <c r="B840" s="1970">
        <v>45056</v>
      </c>
      <c r="C840" s="3459" t="s">
        <v>3928</v>
      </c>
      <c r="D840" s="3460"/>
      <c r="E840" s="1661">
        <v>1869</v>
      </c>
      <c r="F840" s="1662">
        <v>10</v>
      </c>
      <c r="G840" s="1971">
        <v>0</v>
      </c>
      <c r="H840" s="1247" t="s">
        <v>4099</v>
      </c>
      <c r="I840" s="1345"/>
      <c r="J840" s="1382"/>
      <c r="K840" s="1338"/>
      <c r="L840" s="1338"/>
      <c r="M840" s="1339"/>
      <c r="N840" s="1338"/>
      <c r="O840" s="1339"/>
      <c r="P840" s="1339"/>
      <c r="R840" s="1338"/>
      <c r="S840" s="1339"/>
      <c r="T840" s="1339"/>
    </row>
    <row r="841" spans="1:20" ht="16.5" thickBot="1" x14ac:dyDescent="0.3">
      <c r="A841" s="1972">
        <v>45130</v>
      </c>
      <c r="B841" s="1972">
        <v>45130</v>
      </c>
      <c r="C841" s="3340" t="s">
        <v>3929</v>
      </c>
      <c r="D841" s="3341"/>
      <c r="E841" s="1357">
        <v>145</v>
      </c>
      <c r="F841" s="1914">
        <v>3</v>
      </c>
      <c r="G841" s="1921">
        <v>0</v>
      </c>
      <c r="H841" s="1247" t="s">
        <v>4100</v>
      </c>
      <c r="I841" s="2864"/>
      <c r="J841" s="1385"/>
      <c r="K841" s="1952"/>
      <c r="L841" s="1952"/>
      <c r="S841" s="1336"/>
    </row>
    <row r="842" spans="1:20" ht="16.5" thickBot="1" x14ac:dyDescent="0.3">
      <c r="A842" s="1972">
        <v>45130</v>
      </c>
      <c r="B842" s="1972">
        <v>45130</v>
      </c>
      <c r="C842" s="3340" t="s">
        <v>3930</v>
      </c>
      <c r="D842" s="3341"/>
      <c r="E842" s="1357">
        <v>145</v>
      </c>
      <c r="F842" s="1914">
        <v>3</v>
      </c>
      <c r="G842" s="1921">
        <v>0</v>
      </c>
      <c r="H842" s="1247" t="s">
        <v>4100</v>
      </c>
      <c r="I842" s="2864"/>
      <c r="J842" s="1382"/>
      <c r="K842" s="1952"/>
      <c r="L842" s="1952"/>
      <c r="N842" s="1953"/>
      <c r="R842" s="1953"/>
      <c r="S842" s="1336"/>
      <c r="T842" s="1942"/>
    </row>
    <row r="843" spans="1:20" ht="16.5" customHeight="1" x14ac:dyDescent="0.25">
      <c r="A843" s="1972">
        <v>45130</v>
      </c>
      <c r="B843" s="1972">
        <v>45130</v>
      </c>
      <c r="C843" s="1912" t="s">
        <v>3931</v>
      </c>
      <c r="D843" s="1913"/>
      <c r="E843" s="1357">
        <v>50</v>
      </c>
      <c r="F843" s="1914">
        <v>3</v>
      </c>
      <c r="G843" s="1921">
        <v>0</v>
      </c>
      <c r="H843" s="1247" t="s">
        <v>4101</v>
      </c>
      <c r="I843" s="2864"/>
      <c r="K843" s="1952"/>
      <c r="L843" s="1952"/>
      <c r="N843" s="1953"/>
      <c r="R843" s="1953"/>
      <c r="S843" s="1336"/>
      <c r="T843" s="1942"/>
    </row>
    <row r="844" spans="1:20" ht="16.5" customHeight="1" x14ac:dyDescent="0.3">
      <c r="A844" s="1972">
        <v>45130</v>
      </c>
      <c r="B844" s="1972">
        <v>45130</v>
      </c>
      <c r="C844" s="1912" t="s">
        <v>3932</v>
      </c>
      <c r="D844" s="1913"/>
      <c r="E844" s="1357">
        <v>60</v>
      </c>
      <c r="F844" s="1914">
        <v>3</v>
      </c>
      <c r="G844" s="1921">
        <v>0</v>
      </c>
      <c r="H844" s="1247" t="s">
        <v>4102</v>
      </c>
      <c r="I844" s="2864"/>
      <c r="J844" s="1354"/>
      <c r="K844" s="1953"/>
      <c r="L844" s="1953"/>
      <c r="N844" s="1953"/>
      <c r="R844" s="1953"/>
      <c r="S844" s="1336"/>
      <c r="T844" s="1942"/>
    </row>
    <row r="845" spans="1:20" x14ac:dyDescent="0.25">
      <c r="A845" s="1972">
        <v>45162</v>
      </c>
      <c r="B845" s="1972">
        <v>45162</v>
      </c>
      <c r="C845" s="3340" t="s">
        <v>3933</v>
      </c>
      <c r="D845" s="3341"/>
      <c r="E845" s="1357">
        <v>4000</v>
      </c>
      <c r="F845" s="1914">
        <v>5</v>
      </c>
      <c r="G845" s="1921">
        <v>0</v>
      </c>
      <c r="H845" s="1247" t="s">
        <v>4103</v>
      </c>
      <c r="I845" s="1345"/>
      <c r="J845" s="1360"/>
      <c r="K845" s="1953"/>
      <c r="L845" s="1953"/>
      <c r="N845" s="1953"/>
      <c r="R845" s="1953"/>
      <c r="S845" s="1336"/>
      <c r="T845" s="1943"/>
    </row>
    <row r="846" spans="1:20" x14ac:dyDescent="0.25">
      <c r="A846" s="1972">
        <v>45178</v>
      </c>
      <c r="B846" s="1972">
        <v>45178</v>
      </c>
      <c r="C846" s="3340" t="s">
        <v>3934</v>
      </c>
      <c r="D846" s="3341"/>
      <c r="E846" s="1357">
        <v>370</v>
      </c>
      <c r="F846" s="1914">
        <v>4</v>
      </c>
      <c r="G846" s="1921">
        <v>0</v>
      </c>
      <c r="H846" s="1247" t="s">
        <v>4104</v>
      </c>
      <c r="I846" s="1345"/>
      <c r="J846" s="1360"/>
      <c r="K846" s="1953"/>
      <c r="L846" s="1953"/>
      <c r="N846" s="1953"/>
      <c r="R846" s="1953"/>
      <c r="S846" s="1336"/>
      <c r="T846" s="1942"/>
    </row>
    <row r="847" spans="1:20" x14ac:dyDescent="0.25">
      <c r="A847" s="2226">
        <v>45191</v>
      </c>
      <c r="B847" s="2226">
        <v>45191</v>
      </c>
      <c r="C847" s="3470" t="s">
        <v>4105</v>
      </c>
      <c r="D847" s="3471"/>
      <c r="E847" s="1665">
        <v>89</v>
      </c>
      <c r="F847" s="1666">
        <v>1</v>
      </c>
      <c r="G847" s="2227">
        <f>E847/F847</f>
        <v>89</v>
      </c>
      <c r="H847" s="1247" t="s">
        <v>1489</v>
      </c>
      <c r="I847" s="1345"/>
      <c r="J847" s="1360"/>
      <c r="K847" s="1953"/>
      <c r="L847" s="1953"/>
      <c r="N847" s="1943"/>
      <c r="R847" s="1943"/>
      <c r="S847" s="1945"/>
    </row>
    <row r="848" spans="1:20" ht="15.75" x14ac:dyDescent="0.25">
      <c r="A848" s="3350" t="s">
        <v>4071</v>
      </c>
      <c r="B848" s="3351"/>
      <c r="C848" s="3351"/>
      <c r="D848" s="3351"/>
      <c r="E848" s="1969">
        <v>5600</v>
      </c>
      <c r="F848" s="3368"/>
      <c r="G848" s="3369"/>
      <c r="J848" s="1360"/>
      <c r="K848" s="1953"/>
      <c r="L848" s="1953"/>
    </row>
    <row r="849" spans="1:15" ht="15.75" x14ac:dyDescent="0.25">
      <c r="A849" s="3358" t="s">
        <v>4072</v>
      </c>
      <c r="B849" s="3359"/>
      <c r="C849" s="3359"/>
      <c r="D849" s="3359"/>
      <c r="E849" s="1384">
        <v>3421.6</v>
      </c>
      <c r="F849" s="3368"/>
      <c r="G849" s="3369"/>
      <c r="H849" s="1247" t="s">
        <v>280</v>
      </c>
      <c r="J849" s="1360"/>
      <c r="K849" s="1943"/>
      <c r="L849" s="1943"/>
      <c r="M849" s="1945"/>
    </row>
    <row r="850" spans="1:15" ht="15.75" x14ac:dyDescent="0.25">
      <c r="A850" s="3356" t="s">
        <v>4073</v>
      </c>
      <c r="B850" s="3357"/>
      <c r="C850" s="3357"/>
      <c r="D850" s="3357"/>
      <c r="E850" s="1381">
        <v>1030.8599999999999</v>
      </c>
      <c r="F850" s="3385"/>
      <c r="G850" s="3386"/>
      <c r="J850" s="1360"/>
      <c r="M850" s="1247"/>
      <c r="O850" s="1247"/>
    </row>
    <row r="851" spans="1:15" ht="15.75" x14ac:dyDescent="0.25">
      <c r="A851" s="3358" t="s">
        <v>4074</v>
      </c>
      <c r="B851" s="3359"/>
      <c r="C851" s="3359"/>
      <c r="D851" s="3359"/>
      <c r="E851" s="3359"/>
      <c r="F851" s="3380"/>
      <c r="G851" s="1386">
        <f>SUM(G840:G847)</f>
        <v>89</v>
      </c>
      <c r="H851" s="1348">
        <f>G851-G790</f>
        <v>49.715000000000003</v>
      </c>
      <c r="I851" s="2865">
        <v>1000</v>
      </c>
      <c r="J851" s="1967" t="s">
        <v>4106</v>
      </c>
      <c r="M851" s="1247"/>
      <c r="O851" s="1247"/>
    </row>
    <row r="852" spans="1:15" ht="17.25" customHeight="1" thickBot="1" x14ac:dyDescent="0.3">
      <c r="A852" s="3356" t="s">
        <v>4075</v>
      </c>
      <c r="B852" s="3357"/>
      <c r="C852" s="3357"/>
      <c r="D852" s="3357"/>
      <c r="E852" s="1388">
        <f>E848-E849</f>
        <v>2178.4</v>
      </c>
      <c r="G852" s="1389"/>
    </row>
    <row r="853" spans="1:15" ht="16.5" customHeight="1" thickBot="1" x14ac:dyDescent="0.3"/>
    <row r="854" spans="1:15" ht="19.5" thickBot="1" x14ac:dyDescent="0.35">
      <c r="A854" s="3361" t="s">
        <v>4107</v>
      </c>
      <c r="B854" s="3362"/>
      <c r="C854" s="3362"/>
      <c r="D854" s="3362"/>
      <c r="E854" s="3362"/>
      <c r="F854" s="3362"/>
      <c r="G854" s="3337"/>
      <c r="M854" s="1247"/>
      <c r="O854" s="1247"/>
    </row>
    <row r="855" spans="1:15" x14ac:dyDescent="0.25">
      <c r="A855" s="1355">
        <v>45033</v>
      </c>
      <c r="B855" s="1355">
        <v>45033</v>
      </c>
      <c r="C855" s="3340" t="s">
        <v>3885</v>
      </c>
      <c r="D855" s="3341"/>
      <c r="E855" s="1357">
        <v>298.33</v>
      </c>
      <c r="F855" s="1914">
        <v>5</v>
      </c>
      <c r="G855" s="1957">
        <v>0</v>
      </c>
      <c r="H855" s="1247" t="s">
        <v>4108</v>
      </c>
      <c r="I855" s="1321"/>
      <c r="M855" s="1247"/>
      <c r="O855" s="1247"/>
    </row>
    <row r="856" spans="1:15" x14ac:dyDescent="0.25">
      <c r="A856" s="1854">
        <v>45033</v>
      </c>
      <c r="B856" s="1854">
        <v>45033</v>
      </c>
      <c r="C856" s="3456" t="s">
        <v>3898</v>
      </c>
      <c r="D856" s="3457"/>
      <c r="E856" s="1855">
        <v>120</v>
      </c>
      <c r="F856" s="1915">
        <v>5</v>
      </c>
      <c r="G856" s="1919">
        <v>0</v>
      </c>
      <c r="H856" s="1247" t="s">
        <v>4109</v>
      </c>
      <c r="I856" s="1321"/>
      <c r="M856" s="1247"/>
      <c r="O856" s="1247"/>
    </row>
    <row r="857" spans="1:15" x14ac:dyDescent="0.25">
      <c r="A857" s="1854">
        <v>45033</v>
      </c>
      <c r="B857" s="1854">
        <v>45033</v>
      </c>
      <c r="C857" s="3456" t="s">
        <v>3898</v>
      </c>
      <c r="D857" s="3457"/>
      <c r="E857" s="1855">
        <v>120</v>
      </c>
      <c r="F857" s="1915">
        <v>5</v>
      </c>
      <c r="G857" s="1919">
        <v>0</v>
      </c>
      <c r="H857" s="1247" t="s">
        <v>4109</v>
      </c>
      <c r="I857" s="1321"/>
      <c r="M857" s="1247"/>
      <c r="O857" s="1247"/>
    </row>
    <row r="858" spans="1:15" x14ac:dyDescent="0.25">
      <c r="A858" s="1355">
        <v>45056</v>
      </c>
      <c r="B858" s="1355">
        <v>45056</v>
      </c>
      <c r="C858" s="3340" t="s">
        <v>3886</v>
      </c>
      <c r="D858" s="3341"/>
      <c r="E858" s="1357">
        <v>1869</v>
      </c>
      <c r="F858" s="1914">
        <v>10</v>
      </c>
      <c r="G858" s="1920">
        <v>0</v>
      </c>
      <c r="H858" s="1247" t="s">
        <v>4110</v>
      </c>
      <c r="I858" s="1321"/>
      <c r="M858" s="1247"/>
      <c r="O858" s="1247"/>
    </row>
    <row r="859" spans="1:15" x14ac:dyDescent="0.25">
      <c r="A859" s="1355">
        <v>45130</v>
      </c>
      <c r="B859" s="1355">
        <v>45130</v>
      </c>
      <c r="C859" s="3340" t="s">
        <v>3887</v>
      </c>
      <c r="D859" s="3341"/>
      <c r="E859" s="1357">
        <v>145</v>
      </c>
      <c r="F859" s="1914">
        <v>3</v>
      </c>
      <c r="G859" s="1920">
        <v>0</v>
      </c>
      <c r="H859" s="1916" t="s">
        <v>4111</v>
      </c>
      <c r="I859" s="2851"/>
      <c r="M859" s="1247"/>
      <c r="O859" s="1247"/>
    </row>
    <row r="860" spans="1:15" x14ac:dyDescent="0.25">
      <c r="A860" s="1355">
        <v>45130</v>
      </c>
      <c r="B860" s="1355">
        <v>45130</v>
      </c>
      <c r="C860" s="3340" t="s">
        <v>3888</v>
      </c>
      <c r="D860" s="3341"/>
      <c r="E860" s="1357">
        <v>145</v>
      </c>
      <c r="F860" s="1914">
        <v>3</v>
      </c>
      <c r="G860" s="1920">
        <v>0</v>
      </c>
      <c r="H860" s="1247" t="s">
        <v>4111</v>
      </c>
      <c r="I860" s="2852"/>
      <c r="M860" s="1247"/>
      <c r="O860" s="1247"/>
    </row>
    <row r="861" spans="1:15" x14ac:dyDescent="0.25">
      <c r="A861" s="1355">
        <v>45130</v>
      </c>
      <c r="B861" s="1355">
        <v>45130</v>
      </c>
      <c r="C861" s="1912" t="s">
        <v>3889</v>
      </c>
      <c r="D861" s="1913"/>
      <c r="E861" s="1357">
        <v>50</v>
      </c>
      <c r="F861" s="1914">
        <v>3</v>
      </c>
      <c r="G861" s="1920">
        <v>0</v>
      </c>
      <c r="H861" s="1247" t="s">
        <v>4112</v>
      </c>
      <c r="I861" s="2852"/>
      <c r="M861" s="1247"/>
      <c r="O861" s="1247"/>
    </row>
    <row r="862" spans="1:15" x14ac:dyDescent="0.25">
      <c r="A862" s="1355">
        <v>45130</v>
      </c>
      <c r="B862" s="1355">
        <v>45130</v>
      </c>
      <c r="C862" s="1912" t="s">
        <v>3890</v>
      </c>
      <c r="D862" s="1913"/>
      <c r="E862" s="1357">
        <v>60</v>
      </c>
      <c r="F862" s="1914">
        <v>3</v>
      </c>
      <c r="G862" s="1920">
        <v>0</v>
      </c>
      <c r="H862" s="1917" t="s">
        <v>4113</v>
      </c>
      <c r="I862" s="2853"/>
      <c r="M862" s="1247"/>
      <c r="O862" s="1247"/>
    </row>
    <row r="863" spans="1:15" x14ac:dyDescent="0.25">
      <c r="A863" s="1355">
        <v>45145</v>
      </c>
      <c r="B863" s="1355">
        <v>45145</v>
      </c>
      <c r="C863" s="3340" t="s">
        <v>4114</v>
      </c>
      <c r="D863" s="3341"/>
      <c r="E863" s="1357">
        <v>136.91999999999999</v>
      </c>
      <c r="F863" s="1914">
        <v>2</v>
      </c>
      <c r="G863" s="1920">
        <f t="shared" ref="G863" si="217">E863/F863</f>
        <v>68.459999999999994</v>
      </c>
      <c r="H863" s="1247" t="s">
        <v>1491</v>
      </c>
      <c r="I863" s="1345"/>
      <c r="M863" s="1247"/>
      <c r="O863" s="1247"/>
    </row>
    <row r="864" spans="1:15" x14ac:dyDescent="0.25">
      <c r="A864" s="1355">
        <v>45162</v>
      </c>
      <c r="B864" s="1355">
        <v>45162</v>
      </c>
      <c r="C864" s="3340" t="s">
        <v>4115</v>
      </c>
      <c r="D864" s="3341"/>
      <c r="E864" s="1357">
        <v>4000</v>
      </c>
      <c r="F864" s="1914">
        <v>5</v>
      </c>
      <c r="G864" s="1920">
        <f t="shared" ref="G864:G867" si="218">E864/F864</f>
        <v>800</v>
      </c>
      <c r="H864" s="1247" t="s">
        <v>1522</v>
      </c>
      <c r="I864" s="1345"/>
      <c r="M864" s="1247"/>
      <c r="O864" s="1247"/>
    </row>
    <row r="865" spans="1:16" x14ac:dyDescent="0.25">
      <c r="A865" s="1355">
        <v>45173</v>
      </c>
      <c r="B865" s="1355">
        <v>45173</v>
      </c>
      <c r="C865" s="3458" t="s">
        <v>3899</v>
      </c>
      <c r="D865" s="3341"/>
      <c r="E865" s="1357">
        <v>49.9</v>
      </c>
      <c r="F865" s="1914">
        <v>1</v>
      </c>
      <c r="G865" s="1921">
        <v>0</v>
      </c>
      <c r="H865" s="1247" t="s">
        <v>4116</v>
      </c>
      <c r="I865" s="1345"/>
      <c r="M865" s="1247"/>
      <c r="O865" s="1247"/>
    </row>
    <row r="866" spans="1:16" x14ac:dyDescent="0.25">
      <c r="A866" s="1355">
        <v>45173</v>
      </c>
      <c r="B866" s="1355">
        <v>45173</v>
      </c>
      <c r="C866" s="3340" t="s">
        <v>3900</v>
      </c>
      <c r="D866" s="3341"/>
      <c r="E866" s="1357">
        <v>100</v>
      </c>
      <c r="F866" s="1914">
        <v>1</v>
      </c>
      <c r="G866" s="1921">
        <v>0</v>
      </c>
      <c r="H866" s="1247" t="s">
        <v>4117</v>
      </c>
      <c r="I866" s="1345"/>
      <c r="M866" s="1247"/>
      <c r="O866" s="1247"/>
    </row>
    <row r="867" spans="1:16" x14ac:dyDescent="0.25">
      <c r="A867" s="1355">
        <v>45173</v>
      </c>
      <c r="B867" s="1355">
        <v>45173</v>
      </c>
      <c r="C867" s="3340" t="s">
        <v>4118</v>
      </c>
      <c r="D867" s="3341"/>
      <c r="E867" s="1357">
        <v>69.900000000000006</v>
      </c>
      <c r="F867" s="1914">
        <v>1</v>
      </c>
      <c r="G867" s="1921">
        <f t="shared" si="218"/>
        <v>69.900000000000006</v>
      </c>
      <c r="H867" s="1247" t="s">
        <v>1522</v>
      </c>
      <c r="I867" s="1345"/>
      <c r="J867" s="1360"/>
      <c r="K867" s="1657"/>
      <c r="L867" s="1657"/>
      <c r="M867" s="1658"/>
      <c r="N867" s="1657"/>
      <c r="O867" s="1658"/>
      <c r="P867" s="1336"/>
    </row>
    <row r="868" spans="1:16" x14ac:dyDescent="0.25">
      <c r="A868" s="1355">
        <v>45178</v>
      </c>
      <c r="B868" s="1355">
        <v>45178</v>
      </c>
      <c r="C868" s="3340" t="s">
        <v>4119</v>
      </c>
      <c r="D868" s="3341"/>
      <c r="E868" s="1357">
        <v>370</v>
      </c>
      <c r="F868" s="2228">
        <v>4</v>
      </c>
      <c r="G868" s="2229">
        <f>E868/F868</f>
        <v>92.5</v>
      </c>
      <c r="H868" s="1247" t="s">
        <v>1522</v>
      </c>
      <c r="I868" s="1345"/>
      <c r="J868" s="1360"/>
      <c r="K868" s="1657"/>
      <c r="L868" s="1657"/>
      <c r="M868" s="1658"/>
      <c r="N868" s="1657"/>
      <c r="O868" s="1658"/>
      <c r="P868" s="1336"/>
    </row>
    <row r="869" spans="1:16" ht="15.75" x14ac:dyDescent="0.25">
      <c r="A869" s="3356" t="s">
        <v>4071</v>
      </c>
      <c r="B869" s="3357"/>
      <c r="C869" s="3357"/>
      <c r="D869" s="3357"/>
      <c r="E869" s="1381">
        <v>5600</v>
      </c>
      <c r="F869" s="3461"/>
      <c r="G869" s="3462"/>
      <c r="J869" s="1382"/>
    </row>
    <row r="870" spans="1:16" ht="15.75" x14ac:dyDescent="0.25">
      <c r="A870" s="3358" t="s">
        <v>4072</v>
      </c>
      <c r="B870" s="3359"/>
      <c r="C870" s="3359"/>
      <c r="D870" s="3359"/>
      <c r="E870" s="1384">
        <v>5709.52</v>
      </c>
      <c r="F870" s="3463"/>
      <c r="G870" s="3464"/>
      <c r="H870" s="1247" t="s">
        <v>280</v>
      </c>
      <c r="J870" s="1385"/>
    </row>
    <row r="871" spans="1:16" ht="15.75" x14ac:dyDescent="0.25">
      <c r="A871" s="3356" t="s">
        <v>4073</v>
      </c>
      <c r="B871" s="3357"/>
      <c r="C871" s="3357"/>
      <c r="D871" s="3357"/>
      <c r="E871" s="1381">
        <v>357.46</v>
      </c>
      <c r="F871" s="3465"/>
      <c r="G871" s="3466"/>
      <c r="J871" s="1382"/>
    </row>
    <row r="872" spans="1:16" ht="15.75" x14ac:dyDescent="0.25">
      <c r="A872" s="3358" t="s">
        <v>4074</v>
      </c>
      <c r="B872" s="3359"/>
      <c r="C872" s="3359"/>
      <c r="D872" s="3359"/>
      <c r="E872" s="3359"/>
      <c r="F872" s="3380"/>
      <c r="G872" s="1386">
        <f>SUM(G855:G868)</f>
        <v>1030.8600000000001</v>
      </c>
      <c r="H872" s="1348"/>
      <c r="J872" s="1385"/>
    </row>
    <row r="873" spans="1:16" ht="17.25" customHeight="1" thickBot="1" x14ac:dyDescent="0.3">
      <c r="A873" s="3356" t="s">
        <v>4075</v>
      </c>
      <c r="B873" s="3357"/>
      <c r="C873" s="3357"/>
      <c r="D873" s="3357"/>
      <c r="E873" s="1388">
        <f>E869-E870</f>
        <v>-109.52000000000044</v>
      </c>
      <c r="G873" s="1389"/>
      <c r="J873" s="1382"/>
      <c r="K873" s="1390"/>
      <c r="L873" s="1390"/>
      <c r="M873" s="1389"/>
      <c r="N873" s="1390"/>
      <c r="O873" s="1389"/>
    </row>
    <row r="874" spans="1:16" ht="16.5" customHeight="1" thickBot="1" x14ac:dyDescent="0.3"/>
    <row r="875" spans="1:16" ht="19.5" thickBot="1" x14ac:dyDescent="0.35">
      <c r="A875" s="3361" t="s">
        <v>4120</v>
      </c>
      <c r="B875" s="3362"/>
      <c r="C875" s="3362"/>
      <c r="D875" s="3362"/>
      <c r="E875" s="3362"/>
      <c r="F875" s="3362"/>
      <c r="G875" s="3337"/>
      <c r="J875" s="1354"/>
      <c r="K875" s="1667"/>
      <c r="L875" s="1667"/>
      <c r="M875" s="1944"/>
      <c r="N875" s="1667"/>
      <c r="O875" s="1944"/>
      <c r="P875" s="1667"/>
    </row>
    <row r="876" spans="1:16" x14ac:dyDescent="0.25">
      <c r="A876" s="1355">
        <v>45033</v>
      </c>
      <c r="B876" s="1355">
        <v>45033</v>
      </c>
      <c r="C876" s="3340" t="s">
        <v>4121</v>
      </c>
      <c r="D876" s="3341"/>
      <c r="E876" s="1357">
        <v>298.33</v>
      </c>
      <c r="F876" s="1914">
        <v>5</v>
      </c>
      <c r="G876" s="1918">
        <f t="shared" ref="G876" si="219">E876/F876</f>
        <v>59.665999999999997</v>
      </c>
      <c r="H876" s="1247" t="s">
        <v>1522</v>
      </c>
      <c r="I876" s="1345"/>
      <c r="J876" s="1360"/>
      <c r="K876" s="1657"/>
      <c r="L876" s="1657"/>
      <c r="M876" s="1658"/>
      <c r="N876" s="1657"/>
      <c r="O876" s="1658"/>
      <c r="P876" s="1336"/>
    </row>
    <row r="877" spans="1:16" x14ac:dyDescent="0.25">
      <c r="A877" s="1854">
        <v>45033</v>
      </c>
      <c r="B877" s="1854">
        <v>45033</v>
      </c>
      <c r="C877" s="3456" t="s">
        <v>4122</v>
      </c>
      <c r="D877" s="3457"/>
      <c r="E877" s="1855">
        <v>120</v>
      </c>
      <c r="F877" s="1915">
        <v>5</v>
      </c>
      <c r="G877" s="1919">
        <f>E877/F877</f>
        <v>24</v>
      </c>
      <c r="I877" s="1345"/>
      <c r="J877" s="1360"/>
      <c r="K877" s="1657"/>
      <c r="L877" s="1657"/>
      <c r="M877" s="1658"/>
      <c r="N877" s="1657"/>
      <c r="O877" s="1658"/>
      <c r="P877" s="1336"/>
    </row>
    <row r="878" spans="1:16" x14ac:dyDescent="0.25">
      <c r="A878" s="1854">
        <v>45033</v>
      </c>
      <c r="B878" s="1854">
        <v>45033</v>
      </c>
      <c r="C878" s="3456" t="s">
        <v>4122</v>
      </c>
      <c r="D878" s="3457"/>
      <c r="E878" s="1855">
        <v>120</v>
      </c>
      <c r="F878" s="1915">
        <v>5</v>
      </c>
      <c r="G878" s="1919">
        <f t="shared" ref="G878:G885" si="220">E878/F878</f>
        <v>24</v>
      </c>
      <c r="I878" s="1345"/>
      <c r="J878" s="1360"/>
      <c r="K878" s="1657"/>
      <c r="L878" s="1657"/>
      <c r="M878" s="1658"/>
      <c r="N878" s="1657"/>
      <c r="O878" s="1658"/>
      <c r="P878" s="1336"/>
    </row>
    <row r="879" spans="1:16" x14ac:dyDescent="0.25">
      <c r="A879" s="1355">
        <v>45056</v>
      </c>
      <c r="B879" s="1355">
        <v>45056</v>
      </c>
      <c r="C879" s="3340" t="s">
        <v>3848</v>
      </c>
      <c r="D879" s="3341"/>
      <c r="E879" s="1357">
        <v>1869</v>
      </c>
      <c r="F879" s="1914">
        <v>10</v>
      </c>
      <c r="G879" s="1920">
        <v>0</v>
      </c>
      <c r="H879" s="1247" t="s">
        <v>4123</v>
      </c>
      <c r="I879" s="1345"/>
      <c r="J879" s="1360"/>
      <c r="K879" s="1657"/>
      <c r="L879" s="1657"/>
      <c r="M879" s="1658"/>
      <c r="N879" s="1657"/>
      <c r="O879" s="1658"/>
      <c r="P879" s="1336"/>
    </row>
    <row r="880" spans="1:16" x14ac:dyDescent="0.25">
      <c r="A880" s="1355">
        <v>45096</v>
      </c>
      <c r="B880" s="1355">
        <v>45096</v>
      </c>
      <c r="C880" s="3340" t="s">
        <v>4124</v>
      </c>
      <c r="D880" s="3341"/>
      <c r="E880" s="1357">
        <v>96</v>
      </c>
      <c r="F880" s="1914">
        <v>2</v>
      </c>
      <c r="G880" s="1921">
        <f t="shared" ref="G880:G883" si="221">E880/F880</f>
        <v>48</v>
      </c>
      <c r="H880" s="1247" t="s">
        <v>1506</v>
      </c>
      <c r="I880" s="1345"/>
      <c r="J880" s="1360"/>
      <c r="K880" s="1657"/>
      <c r="L880" s="1657"/>
      <c r="M880" s="1658"/>
      <c r="N880" s="1657"/>
      <c r="O880" s="1658"/>
      <c r="P880" s="1336"/>
    </row>
    <row r="881" spans="1:16" x14ac:dyDescent="0.25">
      <c r="A881" s="1355">
        <v>45130</v>
      </c>
      <c r="B881" s="1355">
        <v>45130</v>
      </c>
      <c r="C881" s="3340" t="s">
        <v>4125</v>
      </c>
      <c r="D881" s="3341"/>
      <c r="E881" s="1357">
        <v>145</v>
      </c>
      <c r="F881" s="1914">
        <v>3</v>
      </c>
      <c r="G881" s="1921">
        <f t="shared" ref="G881:G882" si="222">E881/F881</f>
        <v>48.333333333333336</v>
      </c>
      <c r="H881" s="1916" t="s">
        <v>1506</v>
      </c>
      <c r="I881" s="3467" t="s">
        <v>4126</v>
      </c>
      <c r="J881" s="1360"/>
      <c r="K881" s="1657"/>
      <c r="L881" s="1657"/>
      <c r="M881" s="1658"/>
      <c r="N881" s="1657"/>
      <c r="O881" s="1658"/>
      <c r="P881" s="1336"/>
    </row>
    <row r="882" spans="1:16" x14ac:dyDescent="0.25">
      <c r="A882" s="1355">
        <v>45130</v>
      </c>
      <c r="B882" s="1355">
        <v>45130</v>
      </c>
      <c r="C882" s="3340" t="s">
        <v>4127</v>
      </c>
      <c r="D882" s="3341"/>
      <c r="E882" s="1357">
        <v>145</v>
      </c>
      <c r="F882" s="1914">
        <v>3</v>
      </c>
      <c r="G882" s="1921">
        <f t="shared" si="222"/>
        <v>48.333333333333336</v>
      </c>
      <c r="H882" s="1247" t="s">
        <v>1506</v>
      </c>
      <c r="I882" s="3468"/>
      <c r="J882" s="1360"/>
      <c r="K882" s="1657"/>
      <c r="L882" s="1657"/>
      <c r="M882" s="1658"/>
      <c r="N882" s="1657"/>
      <c r="O882" s="1658"/>
      <c r="P882" s="1336"/>
    </row>
    <row r="883" spans="1:16" x14ac:dyDescent="0.25">
      <c r="A883" s="1355">
        <v>45130</v>
      </c>
      <c r="B883" s="1355">
        <v>45130</v>
      </c>
      <c r="C883" s="3340" t="s">
        <v>4128</v>
      </c>
      <c r="D883" s="3341"/>
      <c r="E883" s="1357">
        <v>50</v>
      </c>
      <c r="F883" s="1914">
        <v>3</v>
      </c>
      <c r="G883" s="1921">
        <f t="shared" si="221"/>
        <v>16.666666666666668</v>
      </c>
      <c r="H883" s="1247" t="s">
        <v>1506</v>
      </c>
      <c r="I883" s="3468"/>
      <c r="J883" s="1360"/>
      <c r="K883" s="1657"/>
      <c r="L883" s="1657"/>
      <c r="M883" s="1658"/>
      <c r="N883" s="1657"/>
      <c r="O883" s="1658"/>
      <c r="P883" s="1336"/>
    </row>
    <row r="884" spans="1:16" x14ac:dyDescent="0.25">
      <c r="A884" s="1355">
        <v>45130</v>
      </c>
      <c r="B884" s="1355">
        <v>45130</v>
      </c>
      <c r="C884" s="3340" t="s">
        <v>4129</v>
      </c>
      <c r="D884" s="3341"/>
      <c r="E884" s="1357">
        <v>60</v>
      </c>
      <c r="F884" s="1914">
        <v>3</v>
      </c>
      <c r="G884" s="1921">
        <f t="shared" si="220"/>
        <v>20</v>
      </c>
      <c r="H884" s="1917" t="s">
        <v>1506</v>
      </c>
      <c r="I884" s="3469"/>
      <c r="J884" s="1360"/>
      <c r="K884" s="1657"/>
      <c r="L884" s="1657"/>
      <c r="M884" s="1658"/>
      <c r="N884" s="1657"/>
      <c r="O884" s="1658"/>
      <c r="P884" s="1336"/>
    </row>
    <row r="885" spans="1:16" x14ac:dyDescent="0.25">
      <c r="A885" s="1355">
        <v>45145</v>
      </c>
      <c r="B885" s="1355">
        <v>45145</v>
      </c>
      <c r="C885" s="3340" t="s">
        <v>4130</v>
      </c>
      <c r="D885" s="3341"/>
      <c r="E885" s="1357">
        <v>136.91999999999999</v>
      </c>
      <c r="F885" s="2228">
        <v>2</v>
      </c>
      <c r="G885" s="2229">
        <f t="shared" si="220"/>
        <v>68.459999999999994</v>
      </c>
      <c r="H885" s="1247" t="s">
        <v>1491</v>
      </c>
      <c r="I885" s="1345"/>
      <c r="J885" s="1360"/>
      <c r="K885" s="1657"/>
      <c r="L885" s="1657"/>
      <c r="M885" s="1658"/>
      <c r="N885" s="1657"/>
      <c r="O885" s="1658"/>
      <c r="P885" s="1336"/>
    </row>
    <row r="886" spans="1:16" ht="15.75" x14ac:dyDescent="0.25">
      <c r="A886" s="3356" t="s">
        <v>4071</v>
      </c>
      <c r="B886" s="3357"/>
      <c r="C886" s="3357"/>
      <c r="D886" s="3357"/>
      <c r="E886" s="1381">
        <v>5600</v>
      </c>
      <c r="F886" s="3461"/>
      <c r="G886" s="3462"/>
      <c r="J886" s="1382"/>
    </row>
    <row r="887" spans="1:16" ht="15.75" x14ac:dyDescent="0.25">
      <c r="A887" s="3358" t="s">
        <v>4072</v>
      </c>
      <c r="B887" s="3359"/>
      <c r="C887" s="3359"/>
      <c r="D887" s="3359"/>
      <c r="E887" s="1384">
        <v>1921.66</v>
      </c>
      <c r="F887" s="3463"/>
      <c r="G887" s="3464"/>
      <c r="H887" s="1247" t="s">
        <v>280</v>
      </c>
      <c r="J887" s="1385"/>
    </row>
    <row r="888" spans="1:16" ht="15.75" x14ac:dyDescent="0.25">
      <c r="A888" s="3356" t="s">
        <v>4073</v>
      </c>
      <c r="B888" s="3357"/>
      <c r="C888" s="3357"/>
      <c r="D888" s="3357"/>
      <c r="E888" s="1381">
        <v>519.71</v>
      </c>
      <c r="F888" s="3465"/>
      <c r="G888" s="3466"/>
      <c r="J888" s="1382"/>
    </row>
    <row r="889" spans="1:16" ht="15.75" x14ac:dyDescent="0.25">
      <c r="A889" s="3358" t="s">
        <v>4074</v>
      </c>
      <c r="B889" s="3359"/>
      <c r="C889" s="3359"/>
      <c r="D889" s="3359"/>
      <c r="E889" s="3359"/>
      <c r="F889" s="3380"/>
      <c r="G889" s="1386">
        <f>SUM(G876:G885)</f>
        <v>357.45933333333335</v>
      </c>
      <c r="H889" s="1348"/>
      <c r="J889" s="1385"/>
    </row>
    <row r="890" spans="1:16" ht="17.25" customHeight="1" thickBot="1" x14ac:dyDescent="0.3">
      <c r="A890" s="3356" t="s">
        <v>4075</v>
      </c>
      <c r="B890" s="3357"/>
      <c r="C890" s="3357"/>
      <c r="D890" s="3357"/>
      <c r="E890" s="1388">
        <f>E886-E887</f>
        <v>3678.34</v>
      </c>
      <c r="G890" s="1389"/>
      <c r="J890" s="1382"/>
      <c r="K890" s="1390"/>
      <c r="L890" s="1390"/>
      <c r="M890" s="1389"/>
      <c r="N890" s="1390"/>
      <c r="O890" s="1389"/>
    </row>
    <row r="891" spans="1:16" ht="16.5" customHeight="1" thickBot="1" x14ac:dyDescent="0.3"/>
    <row r="892" spans="1:16" ht="19.5" thickBot="1" x14ac:dyDescent="0.35">
      <c r="A892" s="3361" t="s">
        <v>4131</v>
      </c>
      <c r="B892" s="3362"/>
      <c r="C892" s="3362"/>
      <c r="D892" s="3362"/>
      <c r="E892" s="3362"/>
      <c r="F892" s="3362"/>
      <c r="G892" s="3363"/>
      <c r="J892" s="1354"/>
      <c r="K892" s="1667"/>
      <c r="L892" s="1667"/>
      <c r="M892" s="1944"/>
      <c r="N892" s="1667"/>
      <c r="O892" s="1944"/>
      <c r="P892" s="1667"/>
    </row>
    <row r="893" spans="1:16" x14ac:dyDescent="0.25">
      <c r="A893" s="1355">
        <v>45033</v>
      </c>
      <c r="B893" s="1355">
        <v>45033</v>
      </c>
      <c r="C893" s="3340" t="s">
        <v>3818</v>
      </c>
      <c r="D893" s="3341"/>
      <c r="E893" s="1357">
        <v>298.33</v>
      </c>
      <c r="F893" s="1358">
        <v>5</v>
      </c>
      <c r="G893" s="1678">
        <v>0</v>
      </c>
      <c r="H893" s="1248" t="s">
        <v>4132</v>
      </c>
      <c r="I893" s="1345"/>
      <c r="J893" s="1360"/>
      <c r="K893" s="1657"/>
      <c r="L893" s="1657"/>
      <c r="M893" s="1658"/>
      <c r="N893" s="1657"/>
      <c r="O893" s="1658"/>
      <c r="P893" s="1336"/>
    </row>
    <row r="894" spans="1:16" x14ac:dyDescent="0.25">
      <c r="A894" s="1355">
        <v>45033</v>
      </c>
      <c r="B894" s="1355">
        <v>45033</v>
      </c>
      <c r="C894" s="3340" t="s">
        <v>3449</v>
      </c>
      <c r="D894" s="3341"/>
      <c r="E894" s="1357">
        <v>149</v>
      </c>
      <c r="F894" s="1358">
        <v>3</v>
      </c>
      <c r="G894" s="1678">
        <v>0</v>
      </c>
      <c r="H894" s="1248" t="s">
        <v>4133</v>
      </c>
      <c r="I894" s="1345"/>
      <c r="J894" s="1360"/>
      <c r="K894" s="1657"/>
      <c r="L894" s="1657"/>
      <c r="M894" s="1658"/>
      <c r="N894" s="1657"/>
      <c r="O894" s="1658"/>
      <c r="P894" s="1336"/>
    </row>
    <row r="895" spans="1:16" x14ac:dyDescent="0.25">
      <c r="A895" s="1854">
        <v>45033</v>
      </c>
      <c r="B895" s="1854">
        <v>45033</v>
      </c>
      <c r="C895" s="3456" t="s">
        <v>4134</v>
      </c>
      <c r="D895" s="3457"/>
      <c r="E895" s="1855">
        <v>120</v>
      </c>
      <c r="F895" s="1856">
        <v>5</v>
      </c>
      <c r="G895" s="1857">
        <f>E895/F895</f>
        <v>24</v>
      </c>
      <c r="I895" s="1345"/>
      <c r="J895" s="1360"/>
      <c r="K895" s="1657"/>
      <c r="L895" s="1657"/>
      <c r="M895" s="1658"/>
      <c r="N895" s="1657"/>
      <c r="O895" s="1658"/>
      <c r="P895" s="1336"/>
    </row>
    <row r="896" spans="1:16" x14ac:dyDescent="0.25">
      <c r="A896" s="1854">
        <v>45033</v>
      </c>
      <c r="B896" s="1854">
        <v>45033</v>
      </c>
      <c r="C896" s="3456" t="s">
        <v>4134</v>
      </c>
      <c r="D896" s="3457"/>
      <c r="E896" s="1855">
        <v>120</v>
      </c>
      <c r="F896" s="1856">
        <v>5</v>
      </c>
      <c r="G896" s="1857">
        <f t="shared" ref="G896:G899" si="223">E896/F896</f>
        <v>24</v>
      </c>
      <c r="I896" s="1345"/>
      <c r="J896" s="1360"/>
      <c r="K896" s="1657"/>
      <c r="L896" s="1657"/>
      <c r="M896" s="1658"/>
      <c r="N896" s="1657"/>
      <c r="O896" s="1658"/>
      <c r="P896" s="1336"/>
    </row>
    <row r="897" spans="1:16" x14ac:dyDescent="0.25">
      <c r="A897" s="1355">
        <v>45056</v>
      </c>
      <c r="B897" s="1355">
        <v>45056</v>
      </c>
      <c r="C897" s="3340" t="s">
        <v>3797</v>
      </c>
      <c r="D897" s="3341"/>
      <c r="E897" s="1357">
        <v>1869</v>
      </c>
      <c r="F897" s="1358">
        <v>10</v>
      </c>
      <c r="G897" s="1678">
        <v>0</v>
      </c>
      <c r="H897" s="1247" t="s">
        <v>4135</v>
      </c>
      <c r="I897" s="1345"/>
      <c r="J897" s="1360"/>
      <c r="K897" s="1657"/>
      <c r="L897" s="1657"/>
      <c r="M897" s="1658"/>
      <c r="N897" s="1657"/>
      <c r="O897" s="1658"/>
      <c r="P897" s="1336"/>
    </row>
    <row r="898" spans="1:16" x14ac:dyDescent="0.25">
      <c r="A898" s="1355">
        <v>45100</v>
      </c>
      <c r="B898" s="1355">
        <v>45100</v>
      </c>
      <c r="C898" s="3340" t="s">
        <v>4136</v>
      </c>
      <c r="D898" s="3341"/>
      <c r="E898" s="1357">
        <v>240</v>
      </c>
      <c r="F898" s="1358">
        <v>2</v>
      </c>
      <c r="G898" s="1678">
        <f t="shared" si="223"/>
        <v>120</v>
      </c>
      <c r="H898" s="1247" t="s">
        <v>1522</v>
      </c>
      <c r="I898" s="1345"/>
      <c r="J898" s="1360"/>
      <c r="K898" s="1657"/>
      <c r="L898" s="1657"/>
      <c r="M898" s="1658"/>
      <c r="N898" s="1657"/>
      <c r="O898" s="1658"/>
      <c r="P898" s="1336"/>
    </row>
    <row r="899" spans="1:16" x14ac:dyDescent="0.25">
      <c r="A899" s="1355">
        <v>45096</v>
      </c>
      <c r="B899" s="1355">
        <v>45096</v>
      </c>
      <c r="C899" s="3340" t="s">
        <v>3862</v>
      </c>
      <c r="D899" s="3341"/>
      <c r="E899" s="1357">
        <v>52</v>
      </c>
      <c r="F899" s="1358">
        <v>1</v>
      </c>
      <c r="G899" s="1678">
        <f t="shared" si="223"/>
        <v>52</v>
      </c>
      <c r="H899" s="1247" t="s">
        <v>1525</v>
      </c>
      <c r="I899" s="1345"/>
      <c r="J899" s="1360"/>
      <c r="K899" s="1657"/>
      <c r="L899" s="1657"/>
      <c r="M899" s="1658"/>
      <c r="N899" s="1657"/>
      <c r="O899" s="1658"/>
      <c r="P899" s="1336"/>
    </row>
    <row r="900" spans="1:16" x14ac:dyDescent="0.25">
      <c r="A900" s="1355">
        <v>45096</v>
      </c>
      <c r="B900" s="1355">
        <v>45096</v>
      </c>
      <c r="C900" s="3340" t="s">
        <v>4137</v>
      </c>
      <c r="D900" s="3341"/>
      <c r="E900" s="1357">
        <v>96</v>
      </c>
      <c r="F900" s="1358">
        <v>2</v>
      </c>
      <c r="G900" s="1678">
        <f t="shared" ref="G900:G902" si="224">E900/F900</f>
        <v>48</v>
      </c>
      <c r="H900" s="1247" t="s">
        <v>1506</v>
      </c>
      <c r="I900" s="1345"/>
      <c r="J900" s="1360"/>
      <c r="K900" s="1657"/>
      <c r="L900" s="1657"/>
      <c r="M900" s="1658"/>
      <c r="N900" s="1657"/>
      <c r="O900" s="1658"/>
      <c r="P900" s="1336"/>
    </row>
    <row r="901" spans="1:16" x14ac:dyDescent="0.25">
      <c r="A901" s="1355">
        <v>45106</v>
      </c>
      <c r="B901" s="1355">
        <v>45106</v>
      </c>
      <c r="C901" s="3340" t="s">
        <v>4138</v>
      </c>
      <c r="D901" s="3341"/>
      <c r="E901" s="1357">
        <v>175</v>
      </c>
      <c r="F901" s="1358">
        <v>1</v>
      </c>
      <c r="G901" s="1678">
        <f t="shared" ref="G901" si="225">E901/F901</f>
        <v>175</v>
      </c>
      <c r="H901" s="1247" t="s">
        <v>1489</v>
      </c>
      <c r="I901" s="2847">
        <f>G901/2</f>
        <v>87.5</v>
      </c>
      <c r="J901" s="1346" t="s">
        <v>3205</v>
      </c>
      <c r="K901" s="1657"/>
      <c r="L901" s="1657"/>
      <c r="M901" s="1658"/>
      <c r="N901" s="1657"/>
      <c r="O901" s="1658"/>
      <c r="P901" s="1336"/>
    </row>
    <row r="902" spans="1:16" x14ac:dyDescent="0.25">
      <c r="A902" s="1355">
        <v>45122</v>
      </c>
      <c r="B902" s="1355">
        <v>45122</v>
      </c>
      <c r="C902" s="3340" t="s">
        <v>4139</v>
      </c>
      <c r="D902" s="3341"/>
      <c r="E902" s="1357">
        <v>76.709999999999994</v>
      </c>
      <c r="F902" s="1358">
        <v>1</v>
      </c>
      <c r="G902" s="1678">
        <f t="shared" si="224"/>
        <v>76.709999999999994</v>
      </c>
      <c r="H902" s="1247" t="s">
        <v>1489</v>
      </c>
      <c r="I902" s="2847">
        <f>G902</f>
        <v>76.709999999999994</v>
      </c>
      <c r="J902" s="1346" t="s">
        <v>4140</v>
      </c>
      <c r="K902" s="1657"/>
      <c r="L902" s="1657"/>
      <c r="M902" s="1658"/>
      <c r="N902" s="1657"/>
      <c r="O902" s="1658"/>
      <c r="P902" s="1336"/>
    </row>
    <row r="903" spans="1:16" ht="15.75" x14ac:dyDescent="0.25">
      <c r="A903" s="3356" t="s">
        <v>4071</v>
      </c>
      <c r="B903" s="3357"/>
      <c r="C903" s="3357"/>
      <c r="D903" s="3357"/>
      <c r="E903" s="1381">
        <v>5600</v>
      </c>
      <c r="F903" s="3366"/>
      <c r="G903" s="3367"/>
      <c r="J903" s="1382"/>
    </row>
    <row r="904" spans="1:16" ht="15.75" x14ac:dyDescent="0.25">
      <c r="A904" s="3358" t="s">
        <v>4072</v>
      </c>
      <c r="B904" s="3359"/>
      <c r="C904" s="3359"/>
      <c r="D904" s="3359"/>
      <c r="E904" s="1384">
        <v>2075.36</v>
      </c>
      <c r="F904" s="3368"/>
      <c r="G904" s="3369"/>
      <c r="H904" s="1247" t="s">
        <v>280</v>
      </c>
      <c r="J904" s="1385"/>
    </row>
    <row r="905" spans="1:16" ht="15.75" x14ac:dyDescent="0.25">
      <c r="A905" s="3356" t="s">
        <v>4073</v>
      </c>
      <c r="B905" s="3357"/>
      <c r="C905" s="3357"/>
      <c r="D905" s="3357"/>
      <c r="E905" s="1381">
        <v>516.07000000000005</v>
      </c>
      <c r="F905" s="3385"/>
      <c r="G905" s="3386"/>
      <c r="J905" s="1382"/>
    </row>
    <row r="906" spans="1:16" ht="15.75" x14ac:dyDescent="0.25">
      <c r="A906" s="3358" t="s">
        <v>4074</v>
      </c>
      <c r="B906" s="3359"/>
      <c r="C906" s="3359"/>
      <c r="D906" s="3359"/>
      <c r="E906" s="3359"/>
      <c r="F906" s="3380"/>
      <c r="G906" s="1386">
        <f>SUM(G893:G902)</f>
        <v>519.71</v>
      </c>
      <c r="H906" s="1348">
        <f>G906-I902-I901</f>
        <v>355.50000000000006</v>
      </c>
      <c r="I906" s="1336" t="s">
        <v>4141</v>
      </c>
      <c r="J906" s="1385"/>
    </row>
    <row r="907" spans="1:16" ht="17.25" customHeight="1" thickBot="1" x14ac:dyDescent="0.3">
      <c r="A907" s="3356" t="s">
        <v>4075</v>
      </c>
      <c r="B907" s="3357"/>
      <c r="C907" s="3357"/>
      <c r="D907" s="3357"/>
      <c r="E907" s="1388">
        <f>E903-E904</f>
        <v>3524.64</v>
      </c>
      <c r="G907" s="1389"/>
      <c r="J907" s="1382"/>
      <c r="K907" s="1390"/>
      <c r="L907" s="1390"/>
      <c r="M907" s="1389"/>
      <c r="N907" s="1390"/>
      <c r="O907" s="1389"/>
    </row>
    <row r="908" spans="1:16" ht="16.5" customHeight="1" thickBot="1" x14ac:dyDescent="0.3">
      <c r="F908" s="1336"/>
    </row>
    <row r="909" spans="1:16" ht="19.5" thickBot="1" x14ac:dyDescent="0.35">
      <c r="A909" s="3361" t="s">
        <v>4142</v>
      </c>
      <c r="B909" s="3362"/>
      <c r="C909" s="3362"/>
      <c r="D909" s="3362"/>
      <c r="E909" s="3362"/>
      <c r="F909" s="3362"/>
      <c r="G909" s="3363"/>
      <c r="J909" s="1354"/>
      <c r="K909" s="1667"/>
      <c r="L909" s="1667"/>
      <c r="M909" s="1944"/>
      <c r="N909" s="1667"/>
      <c r="O909" s="1944"/>
      <c r="P909" s="1667"/>
    </row>
    <row r="910" spans="1:16" x14ac:dyDescent="0.25">
      <c r="A910" s="1355">
        <v>45033</v>
      </c>
      <c r="B910" s="1355">
        <v>45033</v>
      </c>
      <c r="C910" s="3340" t="s">
        <v>4143</v>
      </c>
      <c r="D910" s="3341"/>
      <c r="E910" s="1357">
        <v>298.33</v>
      </c>
      <c r="F910" s="1358">
        <v>5</v>
      </c>
      <c r="G910" s="1359">
        <f t="shared" ref="G910:G912" si="226">E910/F910</f>
        <v>59.665999999999997</v>
      </c>
      <c r="H910" s="1247" t="s">
        <v>1522</v>
      </c>
      <c r="I910" s="1345"/>
      <c r="J910" s="1360"/>
      <c r="K910" s="1657"/>
      <c r="L910" s="1657"/>
      <c r="M910" s="1658"/>
      <c r="N910" s="1657"/>
      <c r="O910" s="1658"/>
      <c r="P910" s="1336"/>
    </row>
    <row r="911" spans="1:16" x14ac:dyDescent="0.25">
      <c r="A911" s="1355">
        <v>45033</v>
      </c>
      <c r="B911" s="1355">
        <v>45033</v>
      </c>
      <c r="C911" s="3340" t="s">
        <v>4144</v>
      </c>
      <c r="D911" s="3341"/>
      <c r="E911" s="1357">
        <v>120</v>
      </c>
      <c r="F911" s="1358">
        <v>2</v>
      </c>
      <c r="G911" s="1359">
        <f t="shared" si="226"/>
        <v>60</v>
      </c>
      <c r="H911" s="1247" t="s">
        <v>1522</v>
      </c>
      <c r="I911" s="1345"/>
      <c r="J911" s="1360"/>
      <c r="K911" s="1657"/>
      <c r="L911" s="1657"/>
      <c r="M911" s="1658"/>
      <c r="N911" s="1657"/>
      <c r="O911" s="1658"/>
      <c r="P911" s="1336"/>
    </row>
    <row r="912" spans="1:16" x14ac:dyDescent="0.25">
      <c r="A912" s="1355">
        <v>45033</v>
      </c>
      <c r="B912" s="1355">
        <v>45033</v>
      </c>
      <c r="C912" s="3340" t="s">
        <v>3427</v>
      </c>
      <c r="D912" s="3341"/>
      <c r="E912" s="1357">
        <v>149</v>
      </c>
      <c r="F912" s="1358">
        <v>3</v>
      </c>
      <c r="G912" s="1359">
        <f t="shared" si="226"/>
        <v>49.666666666666664</v>
      </c>
      <c r="H912" s="1247" t="s">
        <v>1522</v>
      </c>
      <c r="I912" s="1345"/>
      <c r="J912" s="1360"/>
      <c r="K912" s="1657"/>
      <c r="L912" s="1657"/>
      <c r="M912" s="1658"/>
      <c r="N912" s="1657"/>
      <c r="O912" s="1658"/>
      <c r="P912" s="1336"/>
    </row>
    <row r="913" spans="1:16" x14ac:dyDescent="0.25">
      <c r="A913" s="1854">
        <v>45033</v>
      </c>
      <c r="B913" s="1854">
        <v>45033</v>
      </c>
      <c r="C913" s="3456" t="s">
        <v>4145</v>
      </c>
      <c r="D913" s="3457"/>
      <c r="E913" s="1855">
        <v>120</v>
      </c>
      <c r="F913" s="1856">
        <v>5</v>
      </c>
      <c r="G913" s="1857">
        <f>E913/F913</f>
        <v>24</v>
      </c>
      <c r="I913" s="1345"/>
      <c r="J913" s="1360"/>
      <c r="K913" s="1657"/>
      <c r="L913" s="1657"/>
      <c r="M913" s="1658"/>
      <c r="N913" s="1657"/>
      <c r="O913" s="1658"/>
      <c r="P913" s="1336"/>
    </row>
    <row r="914" spans="1:16" x14ac:dyDescent="0.25">
      <c r="A914" s="1854">
        <v>45033</v>
      </c>
      <c r="B914" s="1854">
        <v>45033</v>
      </c>
      <c r="C914" s="3456" t="s">
        <v>4145</v>
      </c>
      <c r="D914" s="3457"/>
      <c r="E914" s="1855">
        <v>120</v>
      </c>
      <c r="F914" s="1856">
        <v>5</v>
      </c>
      <c r="G914" s="1857">
        <f t="shared" ref="G914:G919" si="227">E914/F914</f>
        <v>24</v>
      </c>
      <c r="I914" s="1345"/>
      <c r="J914" s="1360"/>
      <c r="K914" s="1657"/>
      <c r="L914" s="1657"/>
      <c r="M914" s="1658"/>
      <c r="N914" s="1657"/>
      <c r="O914" s="1658"/>
      <c r="P914" s="1336"/>
    </row>
    <row r="915" spans="1:16" x14ac:dyDescent="0.25">
      <c r="A915" s="1355">
        <v>45056</v>
      </c>
      <c r="B915" s="1355">
        <v>45056</v>
      </c>
      <c r="C915" s="3340" t="s">
        <v>3756</v>
      </c>
      <c r="D915" s="3341"/>
      <c r="E915" s="1357">
        <v>1869</v>
      </c>
      <c r="F915" s="1358">
        <v>10</v>
      </c>
      <c r="G915" s="1678">
        <v>0</v>
      </c>
      <c r="H915" s="1247" t="s">
        <v>4146</v>
      </c>
      <c r="I915" s="1345"/>
      <c r="J915" s="1360"/>
      <c r="K915" s="1657"/>
      <c r="L915" s="1657"/>
      <c r="M915" s="1658"/>
      <c r="N915" s="1657"/>
      <c r="O915" s="1658"/>
      <c r="P915" s="1336"/>
    </row>
    <row r="916" spans="1:16" x14ac:dyDescent="0.25">
      <c r="A916" s="1355">
        <v>45069</v>
      </c>
      <c r="B916" s="1355">
        <v>45069</v>
      </c>
      <c r="C916" s="3340" t="s">
        <v>3785</v>
      </c>
      <c r="D916" s="3341"/>
      <c r="E916" s="1357">
        <v>240</v>
      </c>
      <c r="F916" s="1358">
        <v>2</v>
      </c>
      <c r="G916" s="1359">
        <v>0</v>
      </c>
      <c r="H916" s="1247" t="s">
        <v>4147</v>
      </c>
      <c r="I916" s="1345"/>
      <c r="J916" s="1360"/>
      <c r="K916" s="1657"/>
      <c r="L916" s="1657"/>
      <c r="M916" s="1658"/>
      <c r="N916" s="1657"/>
      <c r="O916" s="1658"/>
      <c r="P916" s="1336"/>
    </row>
    <row r="917" spans="1:16" ht="15.75" customHeight="1" x14ac:dyDescent="0.25">
      <c r="A917" s="1355">
        <v>45083</v>
      </c>
      <c r="B917" s="1355">
        <v>45083</v>
      </c>
      <c r="C917" s="3458" t="s">
        <v>3899</v>
      </c>
      <c r="D917" s="3341"/>
      <c r="E917" s="1357">
        <v>57.34</v>
      </c>
      <c r="F917" s="1358">
        <v>1</v>
      </c>
      <c r="G917" s="1359">
        <f t="shared" si="227"/>
        <v>57.34</v>
      </c>
      <c r="H917" s="1247" t="s">
        <v>1496</v>
      </c>
      <c r="I917" s="1345"/>
      <c r="J917" s="1360"/>
      <c r="K917" s="1657"/>
      <c r="L917" s="1657"/>
      <c r="M917" s="1658"/>
      <c r="N917" s="1657"/>
      <c r="O917" s="1658"/>
      <c r="P917" s="1336"/>
    </row>
    <row r="918" spans="1:16" x14ac:dyDescent="0.25">
      <c r="A918" s="1355">
        <v>45083</v>
      </c>
      <c r="B918" s="1355">
        <v>45083</v>
      </c>
      <c r="C918" s="3340" t="s">
        <v>3900</v>
      </c>
      <c r="D918" s="3341"/>
      <c r="E918" s="1357">
        <v>78.900000000000006</v>
      </c>
      <c r="F918" s="1358">
        <v>1</v>
      </c>
      <c r="G918" s="1359">
        <f t="shared" si="227"/>
        <v>78.900000000000006</v>
      </c>
      <c r="H918" s="1247" t="s">
        <v>1496</v>
      </c>
      <c r="I918" s="1345"/>
      <c r="J918" s="1360"/>
      <c r="K918" s="1657"/>
      <c r="L918" s="1657"/>
      <c r="M918" s="1658"/>
      <c r="N918" s="1657"/>
      <c r="O918" s="1658"/>
      <c r="P918" s="1336"/>
    </row>
    <row r="919" spans="1:16" x14ac:dyDescent="0.25">
      <c r="A919" s="1355">
        <v>45083</v>
      </c>
      <c r="B919" s="1355">
        <v>45083</v>
      </c>
      <c r="C919" s="3340" t="s">
        <v>4148</v>
      </c>
      <c r="D919" s="3341"/>
      <c r="E919" s="1357">
        <v>68.5</v>
      </c>
      <c r="F919" s="1358">
        <v>1</v>
      </c>
      <c r="G919" s="1359">
        <f t="shared" si="227"/>
        <v>68.5</v>
      </c>
      <c r="H919" s="1247" t="s">
        <v>1525</v>
      </c>
      <c r="I919" s="1345"/>
      <c r="J919" s="1360"/>
      <c r="K919" s="1657"/>
      <c r="L919" s="1657"/>
      <c r="M919" s="1658"/>
      <c r="N919" s="1657"/>
      <c r="O919" s="1658"/>
      <c r="P919" s="1336"/>
    </row>
    <row r="920" spans="1:16" x14ac:dyDescent="0.25">
      <c r="A920" s="1355">
        <v>45087</v>
      </c>
      <c r="B920" s="1355">
        <v>45087</v>
      </c>
      <c r="C920" s="3340" t="s">
        <v>4149</v>
      </c>
      <c r="D920" s="3341"/>
      <c r="E920" s="1357">
        <v>94</v>
      </c>
      <c r="F920" s="1358">
        <v>1</v>
      </c>
      <c r="G920" s="1359">
        <f t="shared" ref="G920" si="228">E920/F920</f>
        <v>94</v>
      </c>
      <c r="H920" s="1247" t="s">
        <v>1525</v>
      </c>
      <c r="I920" s="1345"/>
      <c r="J920" s="1360"/>
      <c r="K920" s="1657"/>
      <c r="L920" s="1657"/>
      <c r="M920" s="1658"/>
      <c r="N920" s="1657"/>
      <c r="O920" s="1658"/>
      <c r="P920" s="1336"/>
    </row>
    <row r="921" spans="1:16" ht="15.75" x14ac:dyDescent="0.25">
      <c r="A921" s="3356" t="s">
        <v>4071</v>
      </c>
      <c r="B921" s="3357"/>
      <c r="C921" s="3357"/>
      <c r="D921" s="3357"/>
      <c r="E921" s="1381">
        <v>5600</v>
      </c>
      <c r="F921" s="3366"/>
      <c r="G921" s="3367"/>
      <c r="J921" s="1382"/>
    </row>
    <row r="922" spans="1:16" ht="15.75" x14ac:dyDescent="0.25">
      <c r="A922" s="3358" t="s">
        <v>4072</v>
      </c>
      <c r="B922" s="3359"/>
      <c r="C922" s="3359"/>
      <c r="D922" s="3359"/>
      <c r="E922" s="1384">
        <v>2318.02</v>
      </c>
      <c r="F922" s="3368"/>
      <c r="G922" s="3369"/>
      <c r="H922" s="1247" t="s">
        <v>280</v>
      </c>
      <c r="J922" s="1385"/>
    </row>
    <row r="923" spans="1:16" ht="15.75" x14ac:dyDescent="0.25">
      <c r="A923" s="3356" t="s">
        <v>4073</v>
      </c>
      <c r="B923" s="3357"/>
      <c r="C923" s="3357"/>
      <c r="D923" s="3357"/>
      <c r="E923" s="1381">
        <v>306.27</v>
      </c>
      <c r="F923" s="3385"/>
      <c r="G923" s="3386"/>
      <c r="J923" s="1382"/>
    </row>
    <row r="924" spans="1:16" ht="15.75" x14ac:dyDescent="0.25">
      <c r="A924" s="3358" t="s">
        <v>4074</v>
      </c>
      <c r="B924" s="3359"/>
      <c r="C924" s="3359"/>
      <c r="D924" s="3359"/>
      <c r="E924" s="3359"/>
      <c r="F924" s="3380"/>
      <c r="G924" s="1386">
        <f>SUM(G910:G920)</f>
        <v>516.07266666666669</v>
      </c>
      <c r="H924" s="1348"/>
      <c r="J924" s="1385"/>
    </row>
    <row r="925" spans="1:16" ht="17.25" customHeight="1" thickBot="1" x14ac:dyDescent="0.3">
      <c r="A925" s="3356" t="s">
        <v>4075</v>
      </c>
      <c r="B925" s="3357"/>
      <c r="C925" s="3357"/>
      <c r="D925" s="3357"/>
      <c r="E925" s="1388">
        <f>E921-E922</f>
        <v>3281.98</v>
      </c>
      <c r="G925" s="1389"/>
      <c r="J925" s="1382"/>
      <c r="K925" s="1390"/>
      <c r="L925" s="1390"/>
      <c r="M925" s="1389"/>
      <c r="N925" s="1390"/>
      <c r="O925" s="1389"/>
    </row>
    <row r="926" spans="1:16" ht="16.5" customHeight="1" thickBot="1" x14ac:dyDescent="0.3"/>
    <row r="927" spans="1:16" ht="19.5" thickBot="1" x14ac:dyDescent="0.35">
      <c r="A927" s="3361" t="s">
        <v>4150</v>
      </c>
      <c r="B927" s="3362"/>
      <c r="C927" s="3362"/>
      <c r="D927" s="3362"/>
      <c r="E927" s="3362"/>
      <c r="F927" s="3362"/>
      <c r="G927" s="3363"/>
      <c r="J927" s="1354"/>
      <c r="K927" s="1667"/>
      <c r="L927" s="1667"/>
      <c r="M927" s="1944"/>
      <c r="N927" s="1667"/>
      <c r="O927" s="1944"/>
      <c r="P927" s="1667"/>
    </row>
    <row r="928" spans="1:16" x14ac:dyDescent="0.25">
      <c r="A928" s="1355">
        <v>44970</v>
      </c>
      <c r="B928" s="1355">
        <v>44970</v>
      </c>
      <c r="C928" s="3340" t="s">
        <v>4151</v>
      </c>
      <c r="D928" s="3341"/>
      <c r="E928" s="1357">
        <v>151</v>
      </c>
      <c r="F928" s="1358">
        <v>3</v>
      </c>
      <c r="G928" s="1678">
        <f>E928/F928</f>
        <v>50.333333333333336</v>
      </c>
      <c r="H928" s="1247" t="s">
        <v>1524</v>
      </c>
      <c r="I928" s="1345"/>
      <c r="J928" s="1360"/>
      <c r="K928" s="1657"/>
      <c r="L928" s="1657"/>
      <c r="M928" s="1658"/>
      <c r="N928" s="1657"/>
      <c r="O928" s="1658"/>
      <c r="P928" s="1336"/>
    </row>
    <row r="929" spans="1:16" x14ac:dyDescent="0.25">
      <c r="A929" s="1355">
        <v>44970</v>
      </c>
      <c r="B929" s="1355">
        <v>44970</v>
      </c>
      <c r="C929" s="3340" t="s">
        <v>4152</v>
      </c>
      <c r="D929" s="3341"/>
      <c r="E929" s="1357">
        <v>26</v>
      </c>
      <c r="F929" s="1358">
        <v>3</v>
      </c>
      <c r="G929" s="1678">
        <f t="shared" ref="G929:G940" si="229">E929/F929</f>
        <v>8.6666666666666661</v>
      </c>
      <c r="H929" s="1247" t="s">
        <v>1524</v>
      </c>
      <c r="I929" s="1345"/>
      <c r="J929" s="1360"/>
      <c r="K929" s="1657"/>
      <c r="L929" s="1657"/>
      <c r="M929" s="1658"/>
      <c r="N929" s="1657"/>
      <c r="O929" s="1658"/>
      <c r="P929" s="1336"/>
    </row>
    <row r="930" spans="1:16" x14ac:dyDescent="0.25">
      <c r="A930" s="1355">
        <v>44979</v>
      </c>
      <c r="B930" s="1355">
        <v>44979</v>
      </c>
      <c r="C930" s="3340" t="s">
        <v>4153</v>
      </c>
      <c r="D930" s="3341"/>
      <c r="E930" s="1357">
        <v>99.1</v>
      </c>
      <c r="F930" s="1358">
        <v>3</v>
      </c>
      <c r="G930" s="1678">
        <f t="shared" si="229"/>
        <v>33.033333333333331</v>
      </c>
      <c r="H930" s="1247" t="s">
        <v>1496</v>
      </c>
      <c r="I930" s="1345"/>
      <c r="J930" s="1360"/>
      <c r="K930" s="1657"/>
      <c r="L930" s="1657"/>
      <c r="M930" s="1658"/>
      <c r="N930" s="1657"/>
      <c r="O930" s="1658"/>
      <c r="P930" s="1336"/>
    </row>
    <row r="931" spans="1:16" x14ac:dyDescent="0.25">
      <c r="A931" s="1355">
        <v>45011</v>
      </c>
      <c r="B931" s="1355">
        <v>45011</v>
      </c>
      <c r="C931" s="3340" t="s">
        <v>4154</v>
      </c>
      <c r="D931" s="3341"/>
      <c r="E931" s="1357">
        <v>100</v>
      </c>
      <c r="F931" s="1358">
        <v>2</v>
      </c>
      <c r="G931" s="1678">
        <f t="shared" si="229"/>
        <v>50</v>
      </c>
      <c r="H931" s="1247" t="s">
        <v>1506</v>
      </c>
      <c r="I931" s="1345"/>
      <c r="J931" s="1360"/>
      <c r="K931" s="1657"/>
      <c r="L931" s="1657"/>
      <c r="M931" s="1658"/>
      <c r="N931" s="1657"/>
      <c r="O931" s="1658"/>
      <c r="P931" s="1336"/>
    </row>
    <row r="932" spans="1:16" x14ac:dyDescent="0.25">
      <c r="A932" s="1355">
        <v>45033</v>
      </c>
      <c r="B932" s="1355">
        <v>45033</v>
      </c>
      <c r="C932" s="3340" t="s">
        <v>4155</v>
      </c>
      <c r="D932" s="3341"/>
      <c r="E932" s="1357">
        <v>298.33</v>
      </c>
      <c r="F932" s="1358">
        <v>5</v>
      </c>
      <c r="G932" s="1359">
        <f t="shared" si="229"/>
        <v>59.665999999999997</v>
      </c>
      <c r="H932" s="1247" t="s">
        <v>1522</v>
      </c>
      <c r="I932" s="1345"/>
      <c r="J932" s="1360"/>
      <c r="K932" s="1657"/>
      <c r="L932" s="1657"/>
      <c r="M932" s="1658"/>
      <c r="N932" s="1657"/>
      <c r="O932" s="1658"/>
      <c r="P932" s="1336"/>
    </row>
    <row r="933" spans="1:16" x14ac:dyDescent="0.25">
      <c r="A933" s="1854">
        <v>45033</v>
      </c>
      <c r="B933" s="1854">
        <v>45033</v>
      </c>
      <c r="C933" s="3456" t="s">
        <v>4156</v>
      </c>
      <c r="D933" s="3457"/>
      <c r="E933" s="1855">
        <v>120</v>
      </c>
      <c r="F933" s="1856">
        <v>5</v>
      </c>
      <c r="G933" s="1857">
        <f>E933/F933</f>
        <v>24</v>
      </c>
      <c r="I933" s="1345"/>
      <c r="J933" s="1360"/>
      <c r="K933" s="1657"/>
      <c r="L933" s="1657"/>
      <c r="M933" s="1658"/>
      <c r="N933" s="1657"/>
      <c r="O933" s="1658"/>
      <c r="P933" s="1336"/>
    </row>
    <row r="934" spans="1:16" x14ac:dyDescent="0.25">
      <c r="A934" s="1854">
        <v>45033</v>
      </c>
      <c r="B934" s="1854">
        <v>45033</v>
      </c>
      <c r="C934" s="3456" t="s">
        <v>4156</v>
      </c>
      <c r="D934" s="3457"/>
      <c r="E934" s="1855">
        <v>120</v>
      </c>
      <c r="F934" s="1856">
        <v>5</v>
      </c>
      <c r="G934" s="1857">
        <f t="shared" ref="G934" si="230">E934/F934</f>
        <v>24</v>
      </c>
      <c r="I934" s="1345"/>
      <c r="J934" s="1360"/>
      <c r="K934" s="1657"/>
      <c r="L934" s="1657"/>
      <c r="M934" s="1658"/>
      <c r="N934" s="1657"/>
      <c r="O934" s="1658"/>
      <c r="P934" s="1336"/>
    </row>
    <row r="935" spans="1:16" x14ac:dyDescent="0.25">
      <c r="A935" s="1355">
        <v>45033</v>
      </c>
      <c r="B935" s="1355">
        <v>45033</v>
      </c>
      <c r="C935" s="3340" t="s">
        <v>4157</v>
      </c>
      <c r="D935" s="3341"/>
      <c r="E935" s="1357">
        <v>120</v>
      </c>
      <c r="F935" s="1358">
        <v>2</v>
      </c>
      <c r="G935" s="1678">
        <f t="shared" si="229"/>
        <v>60</v>
      </c>
      <c r="H935" s="1247" t="s">
        <v>1522</v>
      </c>
      <c r="I935" s="1345"/>
      <c r="J935" s="1360"/>
      <c r="K935" s="1657"/>
      <c r="L935" s="1657"/>
      <c r="M935" s="1658"/>
      <c r="N935" s="1657"/>
      <c r="O935" s="1658"/>
      <c r="P935" s="1336"/>
    </row>
    <row r="936" spans="1:16" x14ac:dyDescent="0.25">
      <c r="A936" s="1355">
        <v>45033</v>
      </c>
      <c r="B936" s="1355">
        <v>45033</v>
      </c>
      <c r="C936" s="3340" t="s">
        <v>4158</v>
      </c>
      <c r="D936" s="3341"/>
      <c r="E936" s="1357">
        <v>149</v>
      </c>
      <c r="F936" s="1358">
        <v>3</v>
      </c>
      <c r="G936" s="1678">
        <f t="shared" si="229"/>
        <v>49.666666666666664</v>
      </c>
      <c r="H936" s="1247" t="s">
        <v>1522</v>
      </c>
      <c r="I936" s="1345"/>
      <c r="J936" s="1360"/>
      <c r="K936" s="1657"/>
      <c r="L936" s="1657"/>
      <c r="M936" s="1658"/>
      <c r="N936" s="1657"/>
      <c r="O936" s="1658"/>
      <c r="P936" s="1336"/>
    </row>
    <row r="937" spans="1:16" x14ac:dyDescent="0.25">
      <c r="A937" s="1355">
        <v>45056</v>
      </c>
      <c r="B937" s="1355">
        <v>45056</v>
      </c>
      <c r="C937" s="3340" t="s">
        <v>4159</v>
      </c>
      <c r="D937" s="3341"/>
      <c r="E937" s="1357">
        <v>1869</v>
      </c>
      <c r="F937" s="1358">
        <v>10</v>
      </c>
      <c r="G937" s="1678">
        <f t="shared" ref="G937" si="231">E937/F937</f>
        <v>186.9</v>
      </c>
      <c r="H937" s="1247" t="s">
        <v>1525</v>
      </c>
      <c r="I937" s="1345"/>
      <c r="J937" s="1360"/>
      <c r="K937" s="1657"/>
      <c r="L937" s="1657"/>
      <c r="M937" s="1658"/>
      <c r="N937" s="1657"/>
      <c r="O937" s="1658"/>
      <c r="P937" s="1336"/>
    </row>
    <row r="938" spans="1:16" x14ac:dyDescent="0.25">
      <c r="A938" s="1355"/>
      <c r="B938" s="1355"/>
      <c r="C938" s="3340"/>
      <c r="D938" s="3341"/>
      <c r="E938" s="1357"/>
      <c r="F938" s="1358"/>
      <c r="G938" s="1359"/>
      <c r="I938" s="1345"/>
      <c r="J938" s="1360"/>
      <c r="K938" s="1657"/>
      <c r="L938" s="1657"/>
      <c r="M938" s="1658"/>
      <c r="N938" s="1657"/>
      <c r="O938" s="1658"/>
      <c r="P938" s="1336"/>
    </row>
    <row r="939" spans="1:16" x14ac:dyDescent="0.25">
      <c r="A939" s="1854">
        <v>45033</v>
      </c>
      <c r="B939" s="1854">
        <v>45033</v>
      </c>
      <c r="C939" s="3456" t="s">
        <v>3749</v>
      </c>
      <c r="D939" s="3457"/>
      <c r="E939" s="1855">
        <v>120</v>
      </c>
      <c r="F939" s="1856">
        <v>1</v>
      </c>
      <c r="G939" s="1857">
        <f>E939/F939</f>
        <v>120</v>
      </c>
      <c r="I939" s="1345"/>
      <c r="J939" s="1360"/>
      <c r="K939" s="1657"/>
      <c r="L939" s="1657"/>
      <c r="M939" s="1658"/>
      <c r="N939" s="1657"/>
      <c r="O939" s="1658"/>
      <c r="P939" s="1336"/>
    </row>
    <row r="940" spans="1:16" x14ac:dyDescent="0.25">
      <c r="A940" s="1854">
        <v>45033</v>
      </c>
      <c r="B940" s="1854">
        <v>45033</v>
      </c>
      <c r="C940" s="3456" t="s">
        <v>3749</v>
      </c>
      <c r="D940" s="3457"/>
      <c r="E940" s="1855">
        <v>120</v>
      </c>
      <c r="F940" s="1856">
        <v>1</v>
      </c>
      <c r="G940" s="1857">
        <f t="shared" si="229"/>
        <v>120</v>
      </c>
      <c r="I940" s="1345"/>
      <c r="J940" s="1360"/>
      <c r="K940" s="1657"/>
      <c r="L940" s="1657"/>
      <c r="M940" s="1658"/>
      <c r="N940" s="1657"/>
      <c r="O940" s="1658"/>
      <c r="P940" s="1336"/>
    </row>
    <row r="941" spans="1:16" ht="15.75" x14ac:dyDescent="0.25">
      <c r="A941" s="3356" t="s">
        <v>4071</v>
      </c>
      <c r="B941" s="3357"/>
      <c r="C941" s="3357"/>
      <c r="D941" s="3357"/>
      <c r="E941" s="1381">
        <v>5600</v>
      </c>
      <c r="F941" s="3366"/>
      <c r="G941" s="3367"/>
      <c r="J941" s="1382"/>
    </row>
    <row r="942" spans="1:16" ht="15.75" x14ac:dyDescent="0.25">
      <c r="A942" s="3358" t="s">
        <v>4072</v>
      </c>
      <c r="B942" s="3359"/>
      <c r="C942" s="3359"/>
      <c r="D942" s="3359"/>
      <c r="E942" s="1384">
        <v>709.36</v>
      </c>
      <c r="F942" s="3368"/>
      <c r="G942" s="3369"/>
      <c r="H942" s="1247" t="s">
        <v>280</v>
      </c>
      <c r="J942" s="1385"/>
    </row>
    <row r="943" spans="1:16" ht="15.75" x14ac:dyDescent="0.25">
      <c r="A943" s="3356" t="s">
        <v>4073</v>
      </c>
      <c r="B943" s="3357"/>
      <c r="C943" s="3357"/>
      <c r="D943" s="3357"/>
      <c r="E943" s="1381">
        <v>514.03</v>
      </c>
      <c r="F943" s="3385"/>
      <c r="G943" s="3386"/>
      <c r="J943" s="1382"/>
    </row>
    <row r="944" spans="1:16" ht="15.75" x14ac:dyDescent="0.25">
      <c r="A944" s="3358" t="s">
        <v>4074</v>
      </c>
      <c r="B944" s="3359"/>
      <c r="C944" s="3359"/>
      <c r="D944" s="3359"/>
      <c r="E944" s="3359"/>
      <c r="F944" s="3380"/>
      <c r="G944" s="1386">
        <f>SUM(G928:G938)-G939-G940</f>
        <v>306.26600000000008</v>
      </c>
      <c r="H944" s="1348"/>
      <c r="J944" s="1385"/>
    </row>
    <row r="945" spans="1:16" ht="17.25" customHeight="1" thickBot="1" x14ac:dyDescent="0.3">
      <c r="A945" s="3356" t="s">
        <v>4075</v>
      </c>
      <c r="B945" s="3357"/>
      <c r="C945" s="3357"/>
      <c r="D945" s="3357"/>
      <c r="E945" s="1388">
        <f>E941-E942</f>
        <v>4890.6400000000003</v>
      </c>
      <c r="G945" s="1389"/>
      <c r="J945" s="1382"/>
      <c r="K945" s="1390"/>
      <c r="L945" s="1390"/>
      <c r="M945" s="1389"/>
      <c r="N945" s="1390"/>
      <c r="O945" s="1389"/>
    </row>
    <row r="946" spans="1:16" ht="16.5" customHeight="1" thickBot="1" x14ac:dyDescent="0.3"/>
    <row r="947" spans="1:16" ht="19.5" thickBot="1" x14ac:dyDescent="0.35">
      <c r="A947" s="3361" t="s">
        <v>4160</v>
      </c>
      <c r="B947" s="3362"/>
      <c r="C947" s="3362"/>
      <c r="D947" s="3362"/>
      <c r="E947" s="3362"/>
      <c r="F947" s="3362"/>
      <c r="G947" s="3363"/>
      <c r="J947" s="1354"/>
      <c r="K947" s="1667"/>
      <c r="L947" s="1667"/>
      <c r="M947" s="1944"/>
      <c r="N947" s="1667"/>
      <c r="O947" s="1944"/>
      <c r="P947" s="1667"/>
    </row>
    <row r="948" spans="1:16" x14ac:dyDescent="0.25">
      <c r="A948" s="1355">
        <v>44879</v>
      </c>
      <c r="B948" s="1355">
        <v>44879</v>
      </c>
      <c r="C948" s="3340" t="s">
        <v>4161</v>
      </c>
      <c r="D948" s="3341"/>
      <c r="E948" s="1357">
        <v>500</v>
      </c>
      <c r="F948" s="1358">
        <v>5</v>
      </c>
      <c r="G948" s="1359">
        <f t="shared" ref="G948:G949" si="232">E948/F948</f>
        <v>100</v>
      </c>
      <c r="H948" s="1247" t="s">
        <v>1506</v>
      </c>
      <c r="I948" s="1321"/>
      <c r="J948" s="1360"/>
      <c r="K948" s="1657"/>
      <c r="L948" s="1657"/>
      <c r="M948" s="1658"/>
      <c r="N948" s="1657"/>
      <c r="O948" s="1658"/>
      <c r="P948" s="1336"/>
    </row>
    <row r="949" spans="1:16" x14ac:dyDescent="0.25">
      <c r="A949" s="1355">
        <v>44907</v>
      </c>
      <c r="B949" s="1355">
        <v>44907</v>
      </c>
      <c r="C949" s="3340" t="s">
        <v>4162</v>
      </c>
      <c r="D949" s="3341"/>
      <c r="E949" s="1357">
        <v>600</v>
      </c>
      <c r="F949" s="1358">
        <v>5</v>
      </c>
      <c r="G949" s="1359">
        <f t="shared" si="232"/>
        <v>120</v>
      </c>
      <c r="H949" s="1247" t="s">
        <v>1491</v>
      </c>
      <c r="I949" s="1345"/>
      <c r="J949" s="1360"/>
      <c r="K949" s="1657"/>
      <c r="L949" s="1657"/>
      <c r="M949" s="1658"/>
      <c r="N949" s="1657"/>
      <c r="O949" s="1658"/>
      <c r="P949" s="1336"/>
    </row>
    <row r="950" spans="1:16" x14ac:dyDescent="0.25">
      <c r="A950" s="1355">
        <v>44957</v>
      </c>
      <c r="B950" s="1355">
        <v>44957</v>
      </c>
      <c r="C950" s="3340" t="s">
        <v>4163</v>
      </c>
      <c r="D950" s="3341"/>
      <c r="E950" s="1357">
        <v>456</v>
      </c>
      <c r="F950" s="1358">
        <v>3</v>
      </c>
      <c r="G950" s="1359">
        <f>E950/F950</f>
        <v>152</v>
      </c>
      <c r="H950" s="1247" t="s">
        <v>1491</v>
      </c>
      <c r="I950" s="1345"/>
      <c r="J950" s="1360"/>
      <c r="K950" s="1657"/>
      <c r="L950" s="1657"/>
      <c r="M950" s="1658"/>
      <c r="N950" s="1657"/>
      <c r="O950" s="1658"/>
      <c r="P950" s="1336"/>
    </row>
    <row r="951" spans="1:16" x14ac:dyDescent="0.25">
      <c r="A951" s="1355">
        <v>44970</v>
      </c>
      <c r="B951" s="1355">
        <v>44970</v>
      </c>
      <c r="C951" s="3340" t="s">
        <v>4164</v>
      </c>
      <c r="D951" s="3341"/>
      <c r="E951" s="1357">
        <v>151</v>
      </c>
      <c r="F951" s="1358">
        <v>3</v>
      </c>
      <c r="G951" s="1359">
        <f t="shared" ref="G951:G954" si="233">E951/F951</f>
        <v>50.333333333333336</v>
      </c>
      <c r="H951" s="1247" t="s">
        <v>1524</v>
      </c>
      <c r="I951" s="1345"/>
      <c r="J951" s="1360"/>
      <c r="K951" s="1657"/>
      <c r="L951" s="1657"/>
      <c r="M951" s="1658"/>
      <c r="N951" s="1657"/>
      <c r="O951" s="1658"/>
      <c r="P951" s="1336"/>
    </row>
    <row r="952" spans="1:16" x14ac:dyDescent="0.25">
      <c r="A952" s="1355">
        <v>44970</v>
      </c>
      <c r="B952" s="1355">
        <v>44970</v>
      </c>
      <c r="C952" s="3340" t="s">
        <v>4165</v>
      </c>
      <c r="D952" s="3341"/>
      <c r="E952" s="1357">
        <v>26</v>
      </c>
      <c r="F952" s="1358">
        <v>3</v>
      </c>
      <c r="G952" s="1359">
        <f t="shared" si="233"/>
        <v>8.6666666666666661</v>
      </c>
      <c r="H952" s="1247" t="s">
        <v>1524</v>
      </c>
      <c r="I952" s="1345"/>
      <c r="J952" s="1360"/>
      <c r="K952" s="1657"/>
      <c r="L952" s="1657"/>
      <c r="M952" s="1658"/>
      <c r="N952" s="1657"/>
      <c r="O952" s="1658"/>
      <c r="P952" s="1336"/>
    </row>
    <row r="953" spans="1:16" x14ac:dyDescent="0.25">
      <c r="A953" s="1355">
        <v>44979</v>
      </c>
      <c r="B953" s="1355">
        <v>44979</v>
      </c>
      <c r="C953" s="3340" t="s">
        <v>4166</v>
      </c>
      <c r="D953" s="3341"/>
      <c r="E953" s="1357">
        <v>99.1</v>
      </c>
      <c r="F953" s="1358">
        <v>3</v>
      </c>
      <c r="G953" s="1359">
        <f t="shared" si="233"/>
        <v>33.033333333333331</v>
      </c>
      <c r="H953" s="1247" t="s">
        <v>1496</v>
      </c>
      <c r="I953" s="1345"/>
      <c r="J953" s="1360"/>
      <c r="K953" s="1657"/>
      <c r="L953" s="1657"/>
      <c r="M953" s="1658"/>
      <c r="N953" s="1657"/>
      <c r="O953" s="1658"/>
      <c r="P953" s="1336"/>
    </row>
    <row r="954" spans="1:16" x14ac:dyDescent="0.25">
      <c r="A954" s="1355">
        <v>45011</v>
      </c>
      <c r="B954" s="1355">
        <v>45011</v>
      </c>
      <c r="C954" s="3340" t="s">
        <v>4167</v>
      </c>
      <c r="D954" s="3341"/>
      <c r="E954" s="1357">
        <v>100</v>
      </c>
      <c r="F954" s="1358">
        <v>2</v>
      </c>
      <c r="G954" s="1359">
        <f t="shared" si="233"/>
        <v>50</v>
      </c>
      <c r="H954" s="1247" t="s">
        <v>1506</v>
      </c>
      <c r="I954" s="1345"/>
      <c r="J954" s="1360"/>
      <c r="K954" s="1657"/>
      <c r="L954" s="1657"/>
      <c r="M954" s="1658"/>
      <c r="N954" s="1657"/>
      <c r="O954" s="1658"/>
      <c r="P954" s="1336"/>
    </row>
    <row r="955" spans="1:16" ht="15.75" x14ac:dyDescent="0.25">
      <c r="A955" s="3356" t="s">
        <v>4071</v>
      </c>
      <c r="B955" s="3357"/>
      <c r="C955" s="3357"/>
      <c r="D955" s="3357"/>
      <c r="E955" s="1381">
        <v>5600</v>
      </c>
      <c r="F955" s="3366"/>
      <c r="G955" s="3367"/>
      <c r="J955" s="1382"/>
    </row>
    <row r="956" spans="1:16" ht="15.75" x14ac:dyDescent="0.25">
      <c r="A956" s="3358" t="s">
        <v>4072</v>
      </c>
      <c r="B956" s="3359"/>
      <c r="C956" s="3359"/>
      <c r="D956" s="3359"/>
      <c r="E956" s="1384">
        <v>656.06</v>
      </c>
      <c r="F956" s="3368"/>
      <c r="G956" s="3369"/>
      <c r="H956" s="1247" t="s">
        <v>280</v>
      </c>
      <c r="J956" s="1385"/>
    </row>
    <row r="957" spans="1:16" ht="15.75" x14ac:dyDescent="0.25">
      <c r="A957" s="3356" t="s">
        <v>4073</v>
      </c>
      <c r="B957" s="3357"/>
      <c r="C957" s="3357"/>
      <c r="D957" s="3357"/>
      <c r="E957" s="1381">
        <f>G972</f>
        <v>410.69999999999993</v>
      </c>
      <c r="F957" s="3385"/>
      <c r="G957" s="3386"/>
      <c r="J957" s="1382"/>
    </row>
    <row r="958" spans="1:16" ht="15.75" x14ac:dyDescent="0.25">
      <c r="A958" s="3358" t="s">
        <v>4074</v>
      </c>
      <c r="B958" s="3359"/>
      <c r="C958" s="3359"/>
      <c r="D958" s="3359"/>
      <c r="E958" s="3359"/>
      <c r="F958" s="3380"/>
      <c r="G958" s="1386">
        <f>SUM(G948:G954)</f>
        <v>514.0333333333333</v>
      </c>
      <c r="H958" s="1348"/>
      <c r="J958" s="1385"/>
    </row>
    <row r="959" spans="1:16" ht="17.25" customHeight="1" thickBot="1" x14ac:dyDescent="0.3">
      <c r="A959" s="3356" t="s">
        <v>4075</v>
      </c>
      <c r="B959" s="3357"/>
      <c r="C959" s="3357"/>
      <c r="D959" s="3357"/>
      <c r="E959" s="1388">
        <f>E955-E956</f>
        <v>4943.9400000000005</v>
      </c>
      <c r="G959" s="1389"/>
      <c r="J959" s="1382"/>
      <c r="K959" s="1390"/>
      <c r="L959" s="1390"/>
      <c r="M959" s="1389"/>
      <c r="N959" s="1390"/>
      <c r="O959" s="1389"/>
    </row>
    <row r="960" spans="1:16" ht="16.5" customHeight="1" thickBot="1" x14ac:dyDescent="0.3"/>
    <row r="961" spans="1:16" ht="19.5" thickBot="1" x14ac:dyDescent="0.35">
      <c r="A961" s="3361" t="s">
        <v>4168</v>
      </c>
      <c r="B961" s="3362"/>
      <c r="C961" s="3362"/>
      <c r="D961" s="3362"/>
      <c r="E961" s="3362"/>
      <c r="F961" s="3362"/>
      <c r="G961" s="3363"/>
      <c r="J961" s="1354"/>
      <c r="K961" s="1667"/>
      <c r="L961" s="1667"/>
      <c r="M961" s="1944"/>
      <c r="N961" s="1667"/>
      <c r="O961" s="1944"/>
      <c r="P961" s="1667"/>
    </row>
    <row r="962" spans="1:16" x14ac:dyDescent="0.25">
      <c r="A962" s="1355">
        <v>44879</v>
      </c>
      <c r="B962" s="1355">
        <v>44879</v>
      </c>
      <c r="C962" s="3340" t="s">
        <v>3678</v>
      </c>
      <c r="D962" s="3341"/>
      <c r="E962" s="1357">
        <v>500</v>
      </c>
      <c r="F962" s="1358">
        <v>5</v>
      </c>
      <c r="G962" s="1678">
        <v>0</v>
      </c>
      <c r="H962" s="1247" t="s">
        <v>4169</v>
      </c>
      <c r="I962" s="1321"/>
      <c r="J962" s="1360"/>
      <c r="K962" s="1657"/>
      <c r="L962" s="1657"/>
      <c r="M962" s="1658"/>
      <c r="N962" s="1657"/>
      <c r="O962" s="1658"/>
      <c r="P962" s="1336"/>
    </row>
    <row r="963" spans="1:16" x14ac:dyDescent="0.25">
      <c r="A963" s="1355">
        <v>44907</v>
      </c>
      <c r="B963" s="1355">
        <v>44907</v>
      </c>
      <c r="C963" s="3340" t="s">
        <v>3679</v>
      </c>
      <c r="D963" s="3341"/>
      <c r="E963" s="1357">
        <v>600</v>
      </c>
      <c r="F963" s="1358">
        <v>5</v>
      </c>
      <c r="G963" s="1678">
        <v>0</v>
      </c>
      <c r="H963" s="1247" t="s">
        <v>4170</v>
      </c>
      <c r="I963" s="1345"/>
      <c r="J963" s="1360"/>
      <c r="K963" s="1657"/>
      <c r="L963" s="1657"/>
      <c r="M963" s="1658"/>
      <c r="N963" s="1657"/>
      <c r="O963" s="1658"/>
      <c r="P963" s="1336"/>
    </row>
    <row r="964" spans="1:16" ht="15.75" x14ac:dyDescent="0.25">
      <c r="A964" s="1355">
        <v>44921</v>
      </c>
      <c r="B964" s="1355">
        <v>44921</v>
      </c>
      <c r="C964" s="3340" t="s">
        <v>4171</v>
      </c>
      <c r="D964" s="3341"/>
      <c r="E964" s="1357">
        <v>500</v>
      </c>
      <c r="F964" s="1358">
        <v>3</v>
      </c>
      <c r="G964" s="1678">
        <f t="shared" ref="G964:G967" si="234">E964/F964</f>
        <v>166.66666666666666</v>
      </c>
      <c r="H964" s="1247" t="s">
        <v>1522</v>
      </c>
      <c r="I964" s="1345"/>
      <c r="J964" s="1360"/>
      <c r="K964" s="1385"/>
      <c r="L964" s="1385"/>
      <c r="M964" s="1659"/>
      <c r="N964" s="1385"/>
      <c r="O964" s="1659"/>
      <c r="P964" s="1668"/>
    </row>
    <row r="965" spans="1:16" x14ac:dyDescent="0.25">
      <c r="A965" s="1355">
        <v>44957</v>
      </c>
      <c r="B965" s="1355">
        <v>44957</v>
      </c>
      <c r="C965" s="3340" t="s">
        <v>4172</v>
      </c>
      <c r="D965" s="3341"/>
      <c r="E965" s="1357">
        <v>456</v>
      </c>
      <c r="F965" s="1358">
        <v>3</v>
      </c>
      <c r="G965" s="1359">
        <f t="shared" si="234"/>
        <v>152</v>
      </c>
      <c r="H965" s="1247" t="s">
        <v>1491</v>
      </c>
      <c r="I965" s="1345"/>
      <c r="J965" s="1360"/>
      <c r="K965" s="1657"/>
      <c r="L965" s="1657"/>
      <c r="M965" s="1658"/>
      <c r="N965" s="1657"/>
      <c r="O965" s="1658"/>
      <c r="P965" s="1336"/>
    </row>
    <row r="966" spans="1:16" x14ac:dyDescent="0.25">
      <c r="A966" s="1355">
        <v>44970</v>
      </c>
      <c r="B966" s="1355">
        <v>44970</v>
      </c>
      <c r="C966" s="3340" t="s">
        <v>4173</v>
      </c>
      <c r="D966" s="3341"/>
      <c r="E966" s="1357">
        <v>151</v>
      </c>
      <c r="F966" s="1358">
        <v>3</v>
      </c>
      <c r="G966" s="1359">
        <f t="shared" si="234"/>
        <v>50.333333333333336</v>
      </c>
      <c r="H966" s="1247" t="s">
        <v>1524</v>
      </c>
      <c r="I966" s="1345"/>
      <c r="J966" s="1360"/>
      <c r="K966" s="1657"/>
      <c r="L966" s="1657"/>
      <c r="M966" s="1658"/>
      <c r="N966" s="1657"/>
      <c r="O966" s="1658"/>
      <c r="P966" s="1336"/>
    </row>
    <row r="967" spans="1:16" x14ac:dyDescent="0.25">
      <c r="A967" s="1355">
        <v>44970</v>
      </c>
      <c r="B967" s="1355">
        <v>44970</v>
      </c>
      <c r="C967" s="3340" t="s">
        <v>4174</v>
      </c>
      <c r="D967" s="3341"/>
      <c r="E967" s="1357">
        <v>26</v>
      </c>
      <c r="F967" s="1358">
        <v>3</v>
      </c>
      <c r="G967" s="1359">
        <f t="shared" si="234"/>
        <v>8.6666666666666661</v>
      </c>
      <c r="H967" s="1247" t="s">
        <v>1524</v>
      </c>
      <c r="I967" s="1345"/>
      <c r="J967" s="1360"/>
      <c r="K967" s="1657"/>
      <c r="L967" s="1657"/>
      <c r="M967" s="1658"/>
      <c r="N967" s="1657"/>
      <c r="O967" s="1658"/>
      <c r="P967" s="1336"/>
    </row>
    <row r="968" spans="1:16" x14ac:dyDescent="0.25">
      <c r="A968" s="1355">
        <v>44979</v>
      </c>
      <c r="B968" s="1355">
        <v>44979</v>
      </c>
      <c r="C968" s="3340" t="s">
        <v>4175</v>
      </c>
      <c r="D968" s="3341"/>
      <c r="E968" s="1357">
        <v>99.1</v>
      </c>
      <c r="F968" s="1358">
        <v>3</v>
      </c>
      <c r="G968" s="1359">
        <f t="shared" ref="G968" si="235">E968/F968</f>
        <v>33.033333333333331</v>
      </c>
      <c r="H968" s="1247" t="s">
        <v>1496</v>
      </c>
      <c r="I968" s="1345"/>
      <c r="J968" s="1360"/>
      <c r="K968" s="1657"/>
      <c r="L968" s="1657"/>
      <c r="M968" s="1658"/>
      <c r="N968" s="1657"/>
      <c r="O968" s="1658"/>
      <c r="P968" s="1336"/>
    </row>
    <row r="969" spans="1:16" ht="15.75" x14ac:dyDescent="0.25">
      <c r="A969" s="3356" t="s">
        <v>4071</v>
      </c>
      <c r="B969" s="3357"/>
      <c r="C969" s="3357"/>
      <c r="D969" s="3357"/>
      <c r="E969" s="1381">
        <v>5600</v>
      </c>
      <c r="F969" s="3366"/>
      <c r="G969" s="3367"/>
      <c r="J969" s="1382"/>
    </row>
    <row r="970" spans="1:16" ht="15.75" x14ac:dyDescent="0.25">
      <c r="A970" s="3358" t="s">
        <v>4072</v>
      </c>
      <c r="B970" s="3359"/>
      <c r="C970" s="3359"/>
      <c r="D970" s="3359"/>
      <c r="E970" s="1384">
        <v>966.77</v>
      </c>
      <c r="F970" s="3368"/>
      <c r="G970" s="3369"/>
      <c r="H970" s="1247" t="s">
        <v>280</v>
      </c>
      <c r="J970" s="1385"/>
    </row>
    <row r="971" spans="1:16" ht="15.75" x14ac:dyDescent="0.25">
      <c r="A971" s="3356" t="s">
        <v>4073</v>
      </c>
      <c r="B971" s="3357"/>
      <c r="C971" s="3357"/>
      <c r="D971" s="3357"/>
      <c r="E971" s="1381">
        <v>698.76</v>
      </c>
      <c r="F971" s="3385"/>
      <c r="G971" s="3386"/>
      <c r="J971" s="1382"/>
    </row>
    <row r="972" spans="1:16" ht="15.75" x14ac:dyDescent="0.25">
      <c r="A972" s="3358" t="s">
        <v>4074</v>
      </c>
      <c r="B972" s="3359"/>
      <c r="C972" s="3359"/>
      <c r="D972" s="3359"/>
      <c r="E972" s="3359"/>
      <c r="F972" s="3380"/>
      <c r="G972" s="1386">
        <f>SUM(G962:G968)</f>
        <v>410.69999999999993</v>
      </c>
      <c r="H972" s="1348"/>
      <c r="J972" s="1385"/>
    </row>
    <row r="973" spans="1:16" ht="17.25" customHeight="1" thickBot="1" x14ac:dyDescent="0.3">
      <c r="A973" s="3356" t="s">
        <v>4075</v>
      </c>
      <c r="B973" s="3357"/>
      <c r="C973" s="3357"/>
      <c r="D973" s="3357"/>
      <c r="E973" s="1388">
        <f>E969-E970</f>
        <v>4633.2299999999996</v>
      </c>
      <c r="G973" s="1389"/>
      <c r="J973" s="1382"/>
      <c r="K973" s="1390"/>
      <c r="L973" s="1390"/>
      <c r="M973" s="1389"/>
      <c r="N973" s="1390"/>
      <c r="O973" s="1389"/>
    </row>
    <row r="974" spans="1:16" ht="16.5" customHeight="1" thickBot="1" x14ac:dyDescent="0.3"/>
    <row r="975" spans="1:16" ht="19.5" thickBot="1" x14ac:dyDescent="0.35">
      <c r="A975" s="3361" t="s">
        <v>4176</v>
      </c>
      <c r="B975" s="3362"/>
      <c r="C975" s="3362"/>
      <c r="D975" s="3362"/>
      <c r="E975" s="3362"/>
      <c r="F975" s="3362"/>
      <c r="G975" s="3363"/>
      <c r="J975" s="1354"/>
      <c r="K975" s="1667"/>
      <c r="L975" s="1667"/>
      <c r="M975" s="1944"/>
      <c r="N975" s="1667"/>
      <c r="O975" s="1944"/>
      <c r="P975" s="1667"/>
    </row>
    <row r="976" spans="1:16" ht="15.75" customHeight="1" x14ac:dyDescent="0.25">
      <c r="A976" s="1355">
        <v>44879</v>
      </c>
      <c r="B976" s="1355">
        <v>44879</v>
      </c>
      <c r="C976" s="3340" t="s">
        <v>4177</v>
      </c>
      <c r="D976" s="3341"/>
      <c r="E976" s="1357">
        <v>500</v>
      </c>
      <c r="F976" s="1358">
        <v>5</v>
      </c>
      <c r="G976" s="1359">
        <f t="shared" ref="G976:G981" si="236">E976/F976</f>
        <v>100</v>
      </c>
      <c r="H976" s="1247" t="s">
        <v>1506</v>
      </c>
      <c r="I976" s="1321"/>
      <c r="J976" s="1360"/>
      <c r="K976" s="1657"/>
      <c r="L976" s="1657"/>
      <c r="M976" s="1658"/>
      <c r="N976" s="1657"/>
      <c r="O976" s="1658"/>
      <c r="P976" s="1336"/>
    </row>
    <row r="977" spans="1:16" x14ac:dyDescent="0.25">
      <c r="A977" s="1355">
        <v>44879</v>
      </c>
      <c r="B977" s="1355">
        <v>44879</v>
      </c>
      <c r="C977" s="3383" t="s">
        <v>4178</v>
      </c>
      <c r="D977" s="3384"/>
      <c r="E977" s="1677">
        <v>324</v>
      </c>
      <c r="F977" s="1358">
        <v>3</v>
      </c>
      <c r="G977" s="1678">
        <f t="shared" si="236"/>
        <v>108</v>
      </c>
      <c r="H977" s="1370"/>
      <c r="I977" s="1321">
        <f>G977</f>
        <v>108</v>
      </c>
      <c r="J977" s="1360"/>
      <c r="K977" s="1657"/>
      <c r="L977" s="1657"/>
      <c r="M977" s="1658"/>
      <c r="N977" s="1657"/>
      <c r="O977" s="1658"/>
      <c r="P977" s="1336"/>
    </row>
    <row r="978" spans="1:16" x14ac:dyDescent="0.25">
      <c r="A978" s="1355">
        <v>44907</v>
      </c>
      <c r="B978" s="1355">
        <v>44907</v>
      </c>
      <c r="C978" s="3340" t="s">
        <v>4179</v>
      </c>
      <c r="D978" s="3341"/>
      <c r="E978" s="1357">
        <v>600</v>
      </c>
      <c r="F978" s="1358">
        <v>5</v>
      </c>
      <c r="G978" s="1359">
        <f t="shared" si="236"/>
        <v>120</v>
      </c>
      <c r="H978" s="1247" t="s">
        <v>1491</v>
      </c>
      <c r="I978" s="1345"/>
      <c r="J978" s="1360"/>
      <c r="K978" s="1657"/>
      <c r="L978" s="1657"/>
      <c r="M978" s="1658"/>
      <c r="N978" s="1657"/>
      <c r="O978" s="1658"/>
      <c r="P978" s="1336"/>
    </row>
    <row r="979" spans="1:16" ht="15.75" x14ac:dyDescent="0.25">
      <c r="A979" s="1355">
        <v>44919</v>
      </c>
      <c r="B979" s="1355">
        <v>44919</v>
      </c>
      <c r="C979" s="3340" t="s">
        <v>4180</v>
      </c>
      <c r="D979" s="3341"/>
      <c r="E979" s="1357">
        <v>140</v>
      </c>
      <c r="F979" s="1358">
        <v>2</v>
      </c>
      <c r="G979" s="1359">
        <f t="shared" si="236"/>
        <v>70</v>
      </c>
      <c r="H979" s="1247" t="s">
        <v>1522</v>
      </c>
      <c r="I979" s="1345"/>
      <c r="J979" s="1360"/>
      <c r="K979" s="1382"/>
      <c r="L979" s="1382"/>
      <c r="M979" s="1946"/>
      <c r="N979" s="1382"/>
      <c r="O979" s="1946"/>
      <c r="P979" s="1668"/>
    </row>
    <row r="980" spans="1:16" ht="15.75" x14ac:dyDescent="0.25">
      <c r="A980" s="1355">
        <v>44921</v>
      </c>
      <c r="B980" s="1355">
        <v>44921</v>
      </c>
      <c r="C980" s="3340" t="s">
        <v>4181</v>
      </c>
      <c r="D980" s="3341"/>
      <c r="E980" s="1357">
        <v>500</v>
      </c>
      <c r="F980" s="1358">
        <v>3</v>
      </c>
      <c r="G980" s="1359">
        <f t="shared" si="236"/>
        <v>166.66666666666666</v>
      </c>
      <c r="H980" s="1247" t="s">
        <v>1522</v>
      </c>
      <c r="I980" s="1345"/>
      <c r="J980" s="1360"/>
      <c r="K980" s="1385"/>
      <c r="L980" s="1385"/>
      <c r="M980" s="1659"/>
      <c r="N980" s="1385"/>
      <c r="O980" s="1659"/>
      <c r="P980" s="1668"/>
    </row>
    <row r="981" spans="1:16" x14ac:dyDescent="0.25">
      <c r="A981" s="1683">
        <v>44940</v>
      </c>
      <c r="B981" s="1683">
        <v>44940</v>
      </c>
      <c r="C981" s="3452" t="s">
        <v>4182</v>
      </c>
      <c r="D981" s="3453"/>
      <c r="E981" s="1684">
        <v>145.72</v>
      </c>
      <c r="F981" s="1685">
        <v>2</v>
      </c>
      <c r="G981" s="1678">
        <f t="shared" si="236"/>
        <v>72.86</v>
      </c>
      <c r="H981" s="1686" t="s">
        <v>1522</v>
      </c>
      <c r="I981" s="1345"/>
      <c r="J981" s="1360"/>
      <c r="K981" s="1657"/>
      <c r="L981" s="1657"/>
      <c r="M981" s="1658"/>
      <c r="N981" s="1657"/>
      <c r="O981" s="1658"/>
      <c r="P981" s="1336"/>
    </row>
    <row r="982" spans="1:16" x14ac:dyDescent="0.25">
      <c r="A982" s="1679">
        <v>44940</v>
      </c>
      <c r="B982" s="1679">
        <v>44940</v>
      </c>
      <c r="C982" s="3454" t="s">
        <v>4182</v>
      </c>
      <c r="D982" s="3455"/>
      <c r="E982" s="1680">
        <v>-145.72</v>
      </c>
      <c r="F982" s="1681">
        <v>1</v>
      </c>
      <c r="G982" s="1671">
        <f t="shared" ref="G982" si="237">E982/F982</f>
        <v>-145.72</v>
      </c>
      <c r="H982" s="1682" t="s">
        <v>1522</v>
      </c>
      <c r="I982" s="1345"/>
      <c r="J982" s="1360"/>
      <c r="K982" s="1657"/>
      <c r="L982" s="1657"/>
      <c r="M982" s="1658"/>
      <c r="N982" s="1657"/>
      <c r="O982" s="1658"/>
      <c r="P982" s="1336"/>
    </row>
    <row r="983" spans="1:16" x14ac:dyDescent="0.25">
      <c r="A983" s="1355">
        <v>44951</v>
      </c>
      <c r="B983" s="1355">
        <v>44951</v>
      </c>
      <c r="C983" s="3383" t="s">
        <v>4183</v>
      </c>
      <c r="D983" s="3384"/>
      <c r="E983" s="1677">
        <v>95</v>
      </c>
      <c r="F983" s="1358">
        <v>1</v>
      </c>
      <c r="G983" s="1678">
        <f t="shared" ref="G983:G986" si="238">E983/F983</f>
        <v>95</v>
      </c>
      <c r="H983" s="1247" t="s">
        <v>1522</v>
      </c>
      <c r="I983" s="1345"/>
      <c r="J983" s="1360"/>
      <c r="K983" s="1657"/>
      <c r="L983" s="1657"/>
      <c r="M983" s="1658"/>
      <c r="N983" s="1657"/>
      <c r="O983" s="1658"/>
      <c r="P983" s="1336"/>
    </row>
    <row r="984" spans="1:16" x14ac:dyDescent="0.25">
      <c r="A984" s="1355">
        <v>44953</v>
      </c>
      <c r="B984" s="1355">
        <v>44953</v>
      </c>
      <c r="C984" s="3340" t="s">
        <v>4184</v>
      </c>
      <c r="D984" s="3341"/>
      <c r="E984" s="1357">
        <v>11.95</v>
      </c>
      <c r="F984" s="1358">
        <v>1</v>
      </c>
      <c r="G984" s="1359">
        <f t="shared" si="238"/>
        <v>11.95</v>
      </c>
      <c r="H984" s="1247" t="s">
        <v>1504</v>
      </c>
      <c r="I984" s="1345"/>
      <c r="J984" s="1360"/>
      <c r="K984" s="1767"/>
      <c r="L984" s="1767"/>
      <c r="M984" s="1658"/>
      <c r="N984" s="1767"/>
      <c r="O984" s="1658"/>
      <c r="P984" s="1336"/>
    </row>
    <row r="985" spans="1:16" x14ac:dyDescent="0.25">
      <c r="A985" s="1355">
        <v>44957</v>
      </c>
      <c r="B985" s="1355">
        <v>44957</v>
      </c>
      <c r="C985" s="3340" t="s">
        <v>4185</v>
      </c>
      <c r="D985" s="3341"/>
      <c r="E985" s="1357">
        <v>456</v>
      </c>
      <c r="F985" s="1358">
        <v>3</v>
      </c>
      <c r="G985" s="1359">
        <v>0</v>
      </c>
      <c r="H985" s="1247" t="s">
        <v>4186</v>
      </c>
      <c r="I985" s="1345"/>
      <c r="J985" s="1360"/>
      <c r="K985" s="1657"/>
      <c r="L985" s="1657"/>
      <c r="M985" s="1658"/>
      <c r="N985" s="1657"/>
      <c r="O985" s="1658"/>
      <c r="P985" s="1336"/>
    </row>
    <row r="986" spans="1:16" x14ac:dyDescent="0.25">
      <c r="A986" s="1355">
        <v>44964</v>
      </c>
      <c r="B986" s="1355">
        <v>44964</v>
      </c>
      <c r="C986" s="3340" t="s">
        <v>4187</v>
      </c>
      <c r="D986" s="3341"/>
      <c r="E986" s="1357">
        <v>100</v>
      </c>
      <c r="F986" s="1358">
        <v>1</v>
      </c>
      <c r="G986" s="1359">
        <f t="shared" si="238"/>
        <v>100</v>
      </c>
      <c r="H986" s="1247" t="s">
        <v>1524</v>
      </c>
      <c r="I986" s="1345"/>
      <c r="J986" s="1360"/>
      <c r="K986" s="1657"/>
      <c r="L986" s="1657"/>
      <c r="M986" s="1658"/>
      <c r="N986" s="1657"/>
      <c r="O986" s="1658"/>
      <c r="P986" s="1336"/>
    </row>
    <row r="987" spans="1:16" ht="15.75" x14ac:dyDescent="0.25">
      <c r="A987" s="3356" t="s">
        <v>4071</v>
      </c>
      <c r="B987" s="3357"/>
      <c r="C987" s="3357"/>
      <c r="D987" s="3357"/>
      <c r="E987" s="1381">
        <v>5600</v>
      </c>
      <c r="F987" s="3366"/>
      <c r="G987" s="3367"/>
      <c r="J987" s="1382"/>
    </row>
    <row r="988" spans="1:16" ht="15.75" x14ac:dyDescent="0.25">
      <c r="A988" s="3358" t="s">
        <v>4072</v>
      </c>
      <c r="B988" s="3359"/>
      <c r="C988" s="3359"/>
      <c r="D988" s="3359"/>
      <c r="E988" s="1384">
        <v>1244.2</v>
      </c>
      <c r="F988" s="3368"/>
      <c r="G988" s="3369"/>
      <c r="H988" s="1247" t="s">
        <v>280</v>
      </c>
      <c r="J988" s="1385"/>
    </row>
    <row r="989" spans="1:16" ht="15.75" x14ac:dyDescent="0.25">
      <c r="A989" s="3356" t="s">
        <v>4073</v>
      </c>
      <c r="B989" s="3357"/>
      <c r="C989" s="3357"/>
      <c r="D989" s="3357"/>
      <c r="E989" s="1381">
        <v>661.84</v>
      </c>
      <c r="F989" s="3385"/>
      <c r="G989" s="3386"/>
      <c r="J989" s="1382"/>
    </row>
    <row r="990" spans="1:16" ht="15.75" x14ac:dyDescent="0.25">
      <c r="A990" s="3358" t="s">
        <v>4074</v>
      </c>
      <c r="B990" s="3359"/>
      <c r="C990" s="3359"/>
      <c r="D990" s="3359"/>
      <c r="E990" s="3359"/>
      <c r="F990" s="3380"/>
      <c r="G990" s="1386">
        <f>SUM(G976:G986)</f>
        <v>698.75666666666666</v>
      </c>
      <c r="H990" s="1348">
        <f>G990-I977</f>
        <v>590.75666666666666</v>
      </c>
      <c r="I990" s="1336" t="s">
        <v>4141</v>
      </c>
      <c r="J990" s="1385"/>
    </row>
    <row r="991" spans="1:16" ht="17.25" customHeight="1" thickBot="1" x14ac:dyDescent="0.3">
      <c r="A991" s="3356" t="s">
        <v>4075</v>
      </c>
      <c r="B991" s="3357"/>
      <c r="C991" s="3357"/>
      <c r="D991" s="3357"/>
      <c r="E991" s="1388">
        <f>E987-E988</f>
        <v>4355.8</v>
      </c>
      <c r="G991" s="1389"/>
      <c r="J991" s="1382"/>
      <c r="K991" s="1390"/>
      <c r="L991" s="1390"/>
      <c r="M991" s="1389"/>
      <c r="N991" s="1390"/>
      <c r="O991" s="1389"/>
    </row>
    <row r="992" spans="1:16" ht="16.5" customHeight="1" thickBot="1" x14ac:dyDescent="0.3"/>
    <row r="993" spans="1:16" ht="19.5" thickBot="1" x14ac:dyDescent="0.35">
      <c r="A993" s="3361" t="s">
        <v>4188</v>
      </c>
      <c r="B993" s="3362"/>
      <c r="C993" s="3362"/>
      <c r="D993" s="3362"/>
      <c r="E993" s="3362"/>
      <c r="F993" s="3362"/>
      <c r="G993" s="3363"/>
      <c r="J993" s="1354"/>
      <c r="K993" s="3362"/>
      <c r="L993" s="3362"/>
      <c r="M993" s="3362"/>
      <c r="N993" s="1944"/>
      <c r="O993" s="1944"/>
      <c r="P993" s="1944"/>
    </row>
    <row r="994" spans="1:16" ht="16.5" thickBot="1" x14ac:dyDescent="0.3">
      <c r="A994" s="1355">
        <v>44859</v>
      </c>
      <c r="B994" s="1355">
        <v>44859</v>
      </c>
      <c r="C994" s="3450" t="s">
        <v>3599</v>
      </c>
      <c r="D994" s="3451"/>
      <c r="E994" s="1357">
        <v>280</v>
      </c>
      <c r="F994" s="1358">
        <v>3</v>
      </c>
      <c r="G994" s="1359">
        <v>0</v>
      </c>
      <c r="H994" s="1247" t="s">
        <v>4189</v>
      </c>
      <c r="I994" s="1321"/>
      <c r="J994" s="1360"/>
      <c r="K994" s="1656" t="s">
        <v>3</v>
      </c>
      <c r="L994" s="1656"/>
      <c r="M994" s="1441" t="s">
        <v>4190</v>
      </c>
      <c r="N994" s="1656" t="s">
        <v>3</v>
      </c>
      <c r="O994" s="1441" t="s">
        <v>4190</v>
      </c>
      <c r="P994" s="1441" t="s">
        <v>4191</v>
      </c>
    </row>
    <row r="995" spans="1:16" x14ac:dyDescent="0.25">
      <c r="A995" s="1355">
        <v>44879</v>
      </c>
      <c r="B995" s="1355">
        <v>44879</v>
      </c>
      <c r="C995" s="3340" t="s">
        <v>3600</v>
      </c>
      <c r="D995" s="3341"/>
      <c r="E995" s="1357">
        <v>134</v>
      </c>
      <c r="F995" s="1358">
        <v>2</v>
      </c>
      <c r="G995" s="1359">
        <v>0</v>
      </c>
      <c r="H995" s="1247" t="s">
        <v>4192</v>
      </c>
      <c r="I995" s="1321"/>
      <c r="J995" s="1360"/>
      <c r="K995" s="1660" t="s">
        <v>4193</v>
      </c>
      <c r="L995" s="1660"/>
      <c r="M995" s="1661">
        <v>160</v>
      </c>
      <c r="N995" s="1660" t="s">
        <v>4193</v>
      </c>
      <c r="O995" s="1661">
        <v>160</v>
      </c>
      <c r="P995" s="1662">
        <v>2</v>
      </c>
    </row>
    <row r="996" spans="1:16" x14ac:dyDescent="0.25">
      <c r="A996" s="1355">
        <v>44879</v>
      </c>
      <c r="B996" s="1355">
        <v>44879</v>
      </c>
      <c r="C996" s="3340" t="s">
        <v>3601</v>
      </c>
      <c r="D996" s="3341"/>
      <c r="E996" s="1357">
        <v>500</v>
      </c>
      <c r="F996" s="1358">
        <v>5</v>
      </c>
      <c r="G996" s="1359">
        <v>0</v>
      </c>
      <c r="H996" s="1247" t="s">
        <v>4194</v>
      </c>
      <c r="I996" s="1321"/>
      <c r="J996" s="1360"/>
      <c r="K996" s="1356"/>
      <c r="L996" s="1356"/>
      <c r="M996" s="1357"/>
      <c r="N996" s="1356"/>
      <c r="O996" s="1357"/>
      <c r="P996" s="1358"/>
    </row>
    <row r="997" spans="1:16" x14ac:dyDescent="0.25">
      <c r="A997" s="1355">
        <v>44879</v>
      </c>
      <c r="B997" s="1355">
        <v>44879</v>
      </c>
      <c r="C997" s="3340" t="s">
        <v>4195</v>
      </c>
      <c r="D997" s="3341"/>
      <c r="E997" s="1357">
        <v>324</v>
      </c>
      <c r="F997" s="1358">
        <v>3</v>
      </c>
      <c r="G997" s="1359">
        <f t="shared" ref="G997:G1001" si="239">E997/F997</f>
        <v>108</v>
      </c>
      <c r="H997" s="1370"/>
      <c r="I997" s="1321">
        <f>G997</f>
        <v>108</v>
      </c>
      <c r="J997" s="1360"/>
      <c r="K997" s="1356"/>
      <c r="L997" s="1356"/>
      <c r="M997" s="1357"/>
      <c r="N997" s="1356"/>
      <c r="O997" s="1357"/>
      <c r="P997" s="1358"/>
    </row>
    <row r="998" spans="1:16" x14ac:dyDescent="0.25">
      <c r="A998" s="1355">
        <v>44886</v>
      </c>
      <c r="B998" s="1355">
        <v>44886</v>
      </c>
      <c r="C998" s="3340" t="s">
        <v>4196</v>
      </c>
      <c r="D998" s="3341"/>
      <c r="E998" s="1357">
        <v>140</v>
      </c>
      <c r="F998" s="1358">
        <v>2</v>
      </c>
      <c r="G998" s="1359">
        <f t="shared" si="239"/>
        <v>70</v>
      </c>
      <c r="H998" s="1247" t="s">
        <v>1506</v>
      </c>
      <c r="I998" s="1345"/>
      <c r="J998" s="1360"/>
      <c r="K998" s="1356"/>
      <c r="L998" s="1356"/>
      <c r="M998" s="1357"/>
      <c r="N998" s="1356"/>
      <c r="O998" s="1357"/>
      <c r="P998" s="1358"/>
    </row>
    <row r="999" spans="1:16" x14ac:dyDescent="0.25">
      <c r="A999" s="1355">
        <v>44888</v>
      </c>
      <c r="B999" s="1355">
        <v>44888</v>
      </c>
      <c r="C999" s="3340" t="s">
        <v>4197</v>
      </c>
      <c r="D999" s="3341"/>
      <c r="E999" s="1357">
        <v>300</v>
      </c>
      <c r="F999" s="1358">
        <v>2</v>
      </c>
      <c r="G999" s="1359">
        <f t="shared" si="239"/>
        <v>150</v>
      </c>
      <c r="H999" s="1247" t="s">
        <v>1522</v>
      </c>
      <c r="I999" s="1345"/>
      <c r="J999" s="1360"/>
      <c r="K999" s="1356"/>
      <c r="L999" s="1356"/>
      <c r="M999" s="1357"/>
      <c r="N999" s="1356"/>
      <c r="O999" s="1357"/>
      <c r="P999" s="1358"/>
    </row>
    <row r="1000" spans="1:16" x14ac:dyDescent="0.25">
      <c r="A1000" s="1355">
        <v>44907</v>
      </c>
      <c r="B1000" s="1355">
        <v>44907</v>
      </c>
      <c r="C1000" s="3340" t="s">
        <v>4198</v>
      </c>
      <c r="D1000" s="3341"/>
      <c r="E1000" s="1357">
        <v>600</v>
      </c>
      <c r="F1000" s="1358">
        <v>5</v>
      </c>
      <c r="G1000" s="1359">
        <f t="shared" si="239"/>
        <v>120</v>
      </c>
      <c r="H1000" s="1247" t="s">
        <v>1491</v>
      </c>
      <c r="I1000" s="1345"/>
      <c r="J1000" s="1360"/>
      <c r="K1000" s="1664"/>
      <c r="L1000" s="1664"/>
      <c r="M1000" s="1665"/>
      <c r="N1000" s="1664"/>
      <c r="O1000" s="1665"/>
      <c r="P1000" s="1666"/>
    </row>
    <row r="1001" spans="1:16" ht="15.75" x14ac:dyDescent="0.25">
      <c r="A1001" s="1355">
        <v>44919</v>
      </c>
      <c r="B1001" s="1355">
        <v>44919</v>
      </c>
      <c r="C1001" s="3340" t="s">
        <v>4199</v>
      </c>
      <c r="D1001" s="3341"/>
      <c r="E1001" s="1357">
        <v>140</v>
      </c>
      <c r="F1001" s="1358">
        <v>2</v>
      </c>
      <c r="G1001" s="1359">
        <f t="shared" si="239"/>
        <v>70</v>
      </c>
      <c r="H1001" s="1247" t="s">
        <v>1522</v>
      </c>
      <c r="I1001" s="1345"/>
      <c r="J1001" s="1360"/>
      <c r="K1001" s="1940"/>
      <c r="L1001" s="1940"/>
      <c r="M1001" s="1947">
        <v>820</v>
      </c>
      <c r="N1001" s="1940"/>
      <c r="O1001" s="1947">
        <v>820</v>
      </c>
      <c r="P1001" s="1383"/>
    </row>
    <row r="1002" spans="1:16" ht="15.75" x14ac:dyDescent="0.25">
      <c r="A1002" s="1355">
        <v>44921</v>
      </c>
      <c r="B1002" s="1355">
        <v>44921</v>
      </c>
      <c r="C1002" s="3340" t="s">
        <v>3582</v>
      </c>
      <c r="D1002" s="3341"/>
      <c r="E1002" s="1357">
        <v>500</v>
      </c>
      <c r="F1002" s="1358">
        <v>3</v>
      </c>
      <c r="G1002" s="1359">
        <v>0</v>
      </c>
      <c r="H1002" s="1247" t="s">
        <v>4200</v>
      </c>
      <c r="I1002" s="1345"/>
      <c r="J1002" s="1360"/>
      <c r="K1002" s="1941"/>
      <c r="L1002" s="1941"/>
      <c r="M1002" s="1948">
        <v>160</v>
      </c>
      <c r="N1002" s="1941"/>
      <c r="O1002" s="1948">
        <v>160</v>
      </c>
      <c r="P1002" s="1383"/>
    </row>
    <row r="1003" spans="1:16" ht="15.75" x14ac:dyDescent="0.25">
      <c r="A1003" s="1355">
        <v>44924</v>
      </c>
      <c r="B1003" s="1355">
        <v>44924</v>
      </c>
      <c r="C1003" s="3340" t="s">
        <v>4201</v>
      </c>
      <c r="D1003" s="3341"/>
      <c r="E1003" s="1357">
        <v>859.04</v>
      </c>
      <c r="F1003" s="1358">
        <v>1</v>
      </c>
      <c r="G1003" s="1359">
        <v>0</v>
      </c>
      <c r="H1003" s="1247" t="s">
        <v>4202</v>
      </c>
      <c r="I1003" s="1345"/>
      <c r="J1003" s="1360"/>
      <c r="K1003" s="1939"/>
      <c r="L1003" s="2854"/>
      <c r="M1003" s="1949">
        <f>M1001-M1002</f>
        <v>660</v>
      </c>
      <c r="N1003" s="1939"/>
      <c r="O1003" s="1949">
        <f>O1001-O1002</f>
        <v>660</v>
      </c>
      <c r="P1003" s="1383"/>
    </row>
    <row r="1004" spans="1:16" ht="15.75" x14ac:dyDescent="0.25">
      <c r="A1004" s="1355">
        <v>44929</v>
      </c>
      <c r="B1004" s="1355">
        <v>44929</v>
      </c>
      <c r="C1004" s="3374" t="s">
        <v>4203</v>
      </c>
      <c r="D1004" s="3375"/>
      <c r="E1004" s="1357">
        <v>70.98</v>
      </c>
      <c r="F1004" s="1358">
        <v>1</v>
      </c>
      <c r="G1004" s="1359">
        <f t="shared" ref="G1004:G1005" si="240">E1004/F1004</f>
        <v>70.98</v>
      </c>
      <c r="H1004" s="1370"/>
      <c r="I1004" s="1321">
        <f>G1004</f>
        <v>70.98</v>
      </c>
      <c r="J1004" s="1360"/>
      <c r="K1004" s="1385"/>
      <c r="L1004" s="1385"/>
      <c r="M1004" s="1950"/>
      <c r="N1004" s="1385"/>
      <c r="O1004" s="1950"/>
      <c r="P1004" s="1385"/>
    </row>
    <row r="1005" spans="1:16" x14ac:dyDescent="0.25">
      <c r="A1005" s="1355">
        <v>44940</v>
      </c>
      <c r="B1005" s="1355">
        <v>44940</v>
      </c>
      <c r="C1005" s="3340" t="s">
        <v>4204</v>
      </c>
      <c r="D1005" s="3341"/>
      <c r="E1005" s="1357">
        <v>145.72</v>
      </c>
      <c r="F1005" s="1358">
        <v>2</v>
      </c>
      <c r="G1005" s="1359">
        <f t="shared" si="240"/>
        <v>72.86</v>
      </c>
      <c r="H1005" s="1247" t="s">
        <v>1522</v>
      </c>
      <c r="I1005" s="1345"/>
      <c r="J1005" s="1360"/>
      <c r="K1005" s="1657"/>
      <c r="L1005" s="1657"/>
      <c r="M1005" s="1658"/>
      <c r="N1005" s="1657"/>
      <c r="O1005" s="1658"/>
      <c r="P1005" s="1336"/>
    </row>
    <row r="1006" spans="1:16" ht="15.75" x14ac:dyDescent="0.25">
      <c r="A1006" s="3356" t="s">
        <v>4071</v>
      </c>
      <c r="B1006" s="3357"/>
      <c r="C1006" s="3357"/>
      <c r="D1006" s="3357"/>
      <c r="E1006" s="1381">
        <v>5600</v>
      </c>
      <c r="F1006" s="3366"/>
      <c r="G1006" s="3367"/>
      <c r="J1006" s="1382"/>
    </row>
    <row r="1007" spans="1:16" ht="15.75" x14ac:dyDescent="0.25">
      <c r="A1007" s="3358" t="s">
        <v>4072</v>
      </c>
      <c r="B1007" s="3359"/>
      <c r="C1007" s="3359"/>
      <c r="D1007" s="3359"/>
      <c r="E1007" s="1384"/>
      <c r="F1007" s="3368"/>
      <c r="G1007" s="3369"/>
      <c r="H1007" s="1247" t="s">
        <v>280</v>
      </c>
      <c r="J1007" s="1385"/>
    </row>
    <row r="1008" spans="1:16" ht="15.75" x14ac:dyDescent="0.25">
      <c r="A1008" s="3356" t="s">
        <v>4073</v>
      </c>
      <c r="B1008" s="3357"/>
      <c r="C1008" s="3357"/>
      <c r="D1008" s="3357"/>
      <c r="E1008" s="1381">
        <v>1401.11</v>
      </c>
      <c r="F1008" s="3385"/>
      <c r="G1008" s="3386"/>
      <c r="J1008" s="1382"/>
    </row>
    <row r="1009" spans="1:17" ht="15.75" x14ac:dyDescent="0.25">
      <c r="A1009" s="3358" t="s">
        <v>4074</v>
      </c>
      <c r="B1009" s="3359"/>
      <c r="C1009" s="3359"/>
      <c r="D1009" s="3359"/>
      <c r="E1009" s="3359"/>
      <c r="F1009" s="3380"/>
      <c r="G1009" s="1386">
        <f>SUM(G994:G1005)</f>
        <v>661.84</v>
      </c>
      <c r="H1009" s="1348">
        <f>G1009-I997-I1004</f>
        <v>482.86</v>
      </c>
      <c r="I1009" s="1336" t="s">
        <v>4141</v>
      </c>
      <c r="J1009" s="1385"/>
    </row>
    <row r="1010" spans="1:17" ht="17.25" customHeight="1" thickBot="1" x14ac:dyDescent="0.3">
      <c r="A1010" s="3356" t="s">
        <v>4075</v>
      </c>
      <c r="B1010" s="3357"/>
      <c r="C1010" s="3357"/>
      <c r="D1010" s="3357"/>
      <c r="E1010" s="1388">
        <f>E1006-E1007</f>
        <v>5600</v>
      </c>
      <c r="G1010" s="1389"/>
      <c r="J1010" s="1382"/>
      <c r="K1010" s="1390"/>
      <c r="L1010" s="1390"/>
      <c r="M1010" s="1389"/>
      <c r="N1010" s="1390"/>
      <c r="O1010" s="1389"/>
    </row>
    <row r="1011" spans="1:17" ht="16.5" customHeight="1" thickBot="1" x14ac:dyDescent="0.3"/>
    <row r="1012" spans="1:17" ht="19.5" thickBot="1" x14ac:dyDescent="0.35">
      <c r="A1012" s="3361" t="s">
        <v>4205</v>
      </c>
      <c r="B1012" s="3362"/>
      <c r="C1012" s="3362"/>
      <c r="D1012" s="3362"/>
      <c r="E1012" s="3362"/>
      <c r="F1012" s="3362"/>
      <c r="G1012" s="3363"/>
      <c r="J1012" s="1354"/>
      <c r="K1012" s="3362"/>
      <c r="L1012" s="3362"/>
      <c r="M1012" s="3362"/>
      <c r="N1012" s="1944"/>
      <c r="O1012" s="1944"/>
      <c r="P1012" s="1944"/>
    </row>
    <row r="1013" spans="1:17" ht="16.5" thickBot="1" x14ac:dyDescent="0.3">
      <c r="A1013" s="1361" t="s">
        <v>4206</v>
      </c>
      <c r="B1013" s="1361" t="s">
        <v>4206</v>
      </c>
      <c r="C1013" s="3370" t="s">
        <v>3</v>
      </c>
      <c r="D1013" s="3371"/>
      <c r="E1013" s="1363" t="s">
        <v>4190</v>
      </c>
      <c r="F1013" s="1363" t="s">
        <v>4191</v>
      </c>
      <c r="G1013" s="1364" t="s">
        <v>4207</v>
      </c>
      <c r="I1013" s="1336" t="s">
        <v>4208</v>
      </c>
      <c r="J1013" s="1391"/>
      <c r="K1013" s="1362" t="s">
        <v>3</v>
      </c>
      <c r="L1013" s="1362"/>
      <c r="M1013" s="1363" t="s">
        <v>4190</v>
      </c>
      <c r="N1013" s="1362" t="s">
        <v>3</v>
      </c>
      <c r="O1013" s="1363" t="s">
        <v>4190</v>
      </c>
      <c r="P1013" s="1363" t="s">
        <v>4191</v>
      </c>
    </row>
    <row r="1014" spans="1:17" x14ac:dyDescent="0.25">
      <c r="A1014" s="1355">
        <v>44847</v>
      </c>
      <c r="B1014" s="1355">
        <v>44847</v>
      </c>
      <c r="C1014" s="3340" t="s">
        <v>3540</v>
      </c>
      <c r="D1014" s="3341"/>
      <c r="E1014" s="1357">
        <v>222.36</v>
      </c>
      <c r="F1014" s="1358">
        <v>3</v>
      </c>
      <c r="G1014" s="1359">
        <v>0</v>
      </c>
      <c r="H1014" s="1247" t="s">
        <v>4209</v>
      </c>
      <c r="J1014" s="1360"/>
      <c r="K1014" s="1365" t="s">
        <v>4210</v>
      </c>
      <c r="L1014" s="1365"/>
      <c r="M1014" s="1366">
        <v>160</v>
      </c>
      <c r="N1014" s="1365" t="s">
        <v>4210</v>
      </c>
      <c r="O1014" s="1366">
        <v>160</v>
      </c>
      <c r="P1014" s="1367">
        <v>2</v>
      </c>
      <c r="Q1014" s="1247" t="s">
        <v>1506</v>
      </c>
    </row>
    <row r="1015" spans="1:17" x14ac:dyDescent="0.25">
      <c r="A1015" s="1355">
        <v>44859</v>
      </c>
      <c r="B1015" s="1355">
        <v>44859</v>
      </c>
      <c r="C1015" s="3340" t="s">
        <v>3541</v>
      </c>
      <c r="D1015" s="3341"/>
      <c r="E1015" s="1357">
        <v>280</v>
      </c>
      <c r="F1015" s="1358">
        <v>3</v>
      </c>
      <c r="G1015" s="1359">
        <v>0</v>
      </c>
      <c r="H1015" s="1247" t="s">
        <v>4211</v>
      </c>
      <c r="I1015" s="1321"/>
      <c r="J1015" s="1360"/>
      <c r="K1015" s="1356"/>
      <c r="L1015" s="1356"/>
      <c r="M1015" s="1357"/>
      <c r="N1015" s="1356"/>
      <c r="O1015" s="1357"/>
      <c r="P1015" s="1358"/>
    </row>
    <row r="1016" spans="1:17" x14ac:dyDescent="0.25">
      <c r="A1016" s="1355">
        <v>44864</v>
      </c>
      <c r="B1016" s="1355">
        <v>44864</v>
      </c>
      <c r="C1016" s="3340" t="s">
        <v>3542</v>
      </c>
      <c r="D1016" s="3341"/>
      <c r="E1016" s="1357">
        <v>139.4</v>
      </c>
      <c r="F1016" s="1358">
        <v>2</v>
      </c>
      <c r="G1016" s="1359">
        <v>0</v>
      </c>
      <c r="H1016" s="1370" t="s">
        <v>4212</v>
      </c>
      <c r="I1016" s="1321"/>
      <c r="J1016" s="1360"/>
      <c r="K1016" s="1356"/>
      <c r="L1016" s="1356"/>
      <c r="M1016" s="1357"/>
      <c r="N1016" s="1356"/>
      <c r="O1016" s="1357"/>
      <c r="P1016" s="1358"/>
    </row>
    <row r="1017" spans="1:17" x14ac:dyDescent="0.25">
      <c r="A1017" s="1355">
        <v>44879</v>
      </c>
      <c r="B1017" s="1355">
        <v>44879</v>
      </c>
      <c r="C1017" s="3340" t="s">
        <v>3543</v>
      </c>
      <c r="D1017" s="3341"/>
      <c r="E1017" s="1357">
        <v>134</v>
      </c>
      <c r="F1017" s="1358">
        <v>2</v>
      </c>
      <c r="G1017" s="1359">
        <v>0</v>
      </c>
      <c r="H1017" s="1247" t="s">
        <v>4213</v>
      </c>
      <c r="I1017" s="1321"/>
      <c r="J1017" s="1360"/>
      <c r="K1017" s="1356"/>
      <c r="L1017" s="1356"/>
      <c r="M1017" s="1357"/>
      <c r="N1017" s="1356"/>
      <c r="O1017" s="1357"/>
      <c r="P1017" s="1358"/>
    </row>
    <row r="1018" spans="1:17" x14ac:dyDescent="0.25">
      <c r="A1018" s="1355">
        <v>44879</v>
      </c>
      <c r="B1018" s="1355">
        <v>44879</v>
      </c>
      <c r="C1018" s="3340" t="s">
        <v>3544</v>
      </c>
      <c r="D1018" s="3341"/>
      <c r="E1018" s="1357">
        <v>11.5</v>
      </c>
      <c r="F1018" s="1358">
        <v>1</v>
      </c>
      <c r="G1018" s="1359">
        <v>0</v>
      </c>
      <c r="H1018" s="1247" t="s">
        <v>4214</v>
      </c>
      <c r="I1018" s="1321"/>
      <c r="J1018" s="1360"/>
      <c r="K1018" s="1371"/>
      <c r="L1018" s="1371"/>
      <c r="M1018" s="1372"/>
      <c r="N1018" s="1371"/>
      <c r="O1018" s="1372"/>
      <c r="P1018" s="1373"/>
    </row>
    <row r="1019" spans="1:17" x14ac:dyDescent="0.25">
      <c r="A1019" s="1355">
        <v>44879</v>
      </c>
      <c r="B1019" s="1355">
        <v>44879</v>
      </c>
      <c r="C1019" s="3340" t="s">
        <v>4215</v>
      </c>
      <c r="D1019" s="3341"/>
      <c r="E1019" s="1357">
        <v>500</v>
      </c>
      <c r="F1019" s="1358">
        <v>5</v>
      </c>
      <c r="G1019" s="1359">
        <f>E1019/F1019</f>
        <v>100</v>
      </c>
      <c r="H1019" s="1247" t="s">
        <v>1506</v>
      </c>
      <c r="I1019" s="1321"/>
      <c r="J1019" s="1360"/>
      <c r="K1019" s="1378"/>
      <c r="L1019" s="1378"/>
      <c r="M1019" s="1379"/>
      <c r="N1019" s="1378"/>
      <c r="O1019" s="1379"/>
      <c r="P1019" s="1380"/>
    </row>
    <row r="1020" spans="1:17" ht="15.75" x14ac:dyDescent="0.25">
      <c r="A1020" s="1355">
        <v>44879</v>
      </c>
      <c r="B1020" s="1355">
        <v>44879</v>
      </c>
      <c r="C1020" s="3340" t="s">
        <v>4216</v>
      </c>
      <c r="D1020" s="3341"/>
      <c r="E1020" s="1357">
        <v>324</v>
      </c>
      <c r="F1020" s="1358">
        <v>3</v>
      </c>
      <c r="G1020" s="1359">
        <f>E1020/F1020</f>
        <v>108</v>
      </c>
      <c r="H1020" s="1370"/>
      <c r="I1020" s="1321">
        <f>G1020</f>
        <v>108</v>
      </c>
      <c r="J1020" s="1360"/>
      <c r="K1020" s="1936"/>
      <c r="L1020" s="1936"/>
      <c r="M1020" s="1396">
        <v>820</v>
      </c>
      <c r="N1020" s="1936"/>
      <c r="O1020" s="1396">
        <v>820</v>
      </c>
      <c r="P1020" s="1383"/>
    </row>
    <row r="1021" spans="1:17" ht="15.75" x14ac:dyDescent="0.25">
      <c r="A1021" s="1355">
        <v>44880</v>
      </c>
      <c r="B1021" s="1355">
        <v>44880</v>
      </c>
      <c r="C1021" s="3340" t="s">
        <v>3316</v>
      </c>
      <c r="D1021" s="3341"/>
      <c r="E1021" s="1357">
        <v>5</v>
      </c>
      <c r="F1021" s="1358">
        <v>1</v>
      </c>
      <c r="G1021" s="1359">
        <f>E1021/F1021</f>
        <v>5</v>
      </c>
      <c r="H1021" s="1247" t="s">
        <v>1525</v>
      </c>
      <c r="I1021" s="1321"/>
      <c r="J1021" s="1360"/>
      <c r="K1021" s="1937"/>
      <c r="L1021" s="1937"/>
      <c r="M1021" s="1397">
        <v>160</v>
      </c>
      <c r="N1021" s="1937"/>
      <c r="O1021" s="1397">
        <v>160</v>
      </c>
      <c r="P1021" s="1383"/>
    </row>
    <row r="1022" spans="1:17" ht="15.75" x14ac:dyDescent="0.25">
      <c r="A1022" s="1355">
        <v>44884</v>
      </c>
      <c r="B1022" s="1355">
        <v>44884</v>
      </c>
      <c r="C1022" s="3340" t="s">
        <v>4217</v>
      </c>
      <c r="D1022" s="3341"/>
      <c r="E1022" s="1357">
        <v>207.9</v>
      </c>
      <c r="F1022" s="1358">
        <v>1</v>
      </c>
      <c r="G1022" s="1359">
        <v>0</v>
      </c>
      <c r="H1022" s="1247" t="s">
        <v>4218</v>
      </c>
      <c r="J1022" s="1321">
        <f>G1022/2</f>
        <v>0</v>
      </c>
      <c r="K1022" s="1936"/>
      <c r="L1022" s="1936"/>
      <c r="M1022" s="1396">
        <f>M1020-M1021</f>
        <v>660</v>
      </c>
      <c r="N1022" s="1936"/>
      <c r="O1022" s="1396">
        <f>O1020-O1021</f>
        <v>660</v>
      </c>
      <c r="P1022" s="1383"/>
    </row>
    <row r="1023" spans="1:17" ht="15.75" x14ac:dyDescent="0.25">
      <c r="A1023" s="1355">
        <v>44886</v>
      </c>
      <c r="B1023" s="1355">
        <v>44886</v>
      </c>
      <c r="C1023" s="3340" t="s">
        <v>4219</v>
      </c>
      <c r="D1023" s="3341"/>
      <c r="E1023" s="1357">
        <v>140</v>
      </c>
      <c r="F1023" s="1358">
        <v>2</v>
      </c>
      <c r="G1023" s="1359">
        <f>E1023/F1023</f>
        <v>70</v>
      </c>
      <c r="H1023" s="1247" t="s">
        <v>1506</v>
      </c>
      <c r="I1023" s="1345"/>
      <c r="J1023" s="1360"/>
      <c r="K1023" s="3359"/>
      <c r="L1023" s="3359"/>
      <c r="M1023" s="3359"/>
      <c r="N1023" s="3359"/>
      <c r="O1023" s="3359"/>
      <c r="P1023" s="3360"/>
    </row>
    <row r="1024" spans="1:17" ht="15.75" x14ac:dyDescent="0.25">
      <c r="A1024" s="1355">
        <v>44888</v>
      </c>
      <c r="B1024" s="1355">
        <v>44888</v>
      </c>
      <c r="C1024" s="3340" t="s">
        <v>4220</v>
      </c>
      <c r="D1024" s="3341"/>
      <c r="E1024" s="1357">
        <v>300</v>
      </c>
      <c r="F1024" s="1358">
        <v>2</v>
      </c>
      <c r="G1024" s="1359">
        <v>44</v>
      </c>
      <c r="H1024" s="1247" t="s">
        <v>1522</v>
      </c>
      <c r="I1024" s="1321" t="s">
        <v>4221</v>
      </c>
      <c r="J1024" s="1360"/>
      <c r="K1024" s="1385"/>
      <c r="L1024" s="1385"/>
      <c r="M1024" s="1281"/>
      <c r="N1024" s="1385"/>
      <c r="O1024" s="1281"/>
      <c r="P1024" s="1383"/>
    </row>
    <row r="1025" spans="1:16" ht="15.75" x14ac:dyDescent="0.25">
      <c r="A1025" s="1355">
        <v>44890</v>
      </c>
      <c r="B1025" s="1355">
        <v>44890</v>
      </c>
      <c r="C1025" s="3340" t="s">
        <v>4222</v>
      </c>
      <c r="D1025" s="3341"/>
      <c r="E1025" s="1357">
        <v>70</v>
      </c>
      <c r="F1025" s="1358">
        <v>1</v>
      </c>
      <c r="G1025" s="1359">
        <f>E1025/F1025</f>
        <v>70</v>
      </c>
      <c r="H1025" s="1247" t="s">
        <v>1489</v>
      </c>
      <c r="I1025" s="1345"/>
      <c r="J1025" s="1360"/>
      <c r="K1025" s="1385"/>
      <c r="L1025" s="1385"/>
      <c r="M1025" s="1281"/>
      <c r="N1025" s="1385"/>
      <c r="O1025" s="1281"/>
      <c r="P1025" s="1383"/>
    </row>
    <row r="1026" spans="1:16" ht="15.75" x14ac:dyDescent="0.25">
      <c r="A1026" s="1355">
        <v>44907</v>
      </c>
      <c r="B1026" s="1355">
        <v>44907</v>
      </c>
      <c r="C1026" s="3340" t="s">
        <v>4223</v>
      </c>
      <c r="D1026" s="3341"/>
      <c r="E1026" s="1357">
        <v>600</v>
      </c>
      <c r="F1026" s="1358">
        <v>5</v>
      </c>
      <c r="G1026" s="1359">
        <f>E1026/F1026</f>
        <v>120</v>
      </c>
      <c r="H1026" s="1247" t="s">
        <v>1491</v>
      </c>
      <c r="I1026" s="1345"/>
      <c r="J1026" s="1360"/>
      <c r="K1026" s="1385"/>
      <c r="L1026" s="1385"/>
      <c r="M1026" s="1281"/>
      <c r="N1026" s="1385"/>
      <c r="O1026" s="1281"/>
      <c r="P1026" s="1383"/>
    </row>
    <row r="1027" spans="1:16" ht="15.75" x14ac:dyDescent="0.25">
      <c r="A1027" s="1355">
        <v>44907</v>
      </c>
      <c r="B1027" s="1355">
        <v>44907</v>
      </c>
      <c r="C1027" s="3340" t="s">
        <v>4224</v>
      </c>
      <c r="D1027" s="3341"/>
      <c r="E1027" s="1357">
        <v>884.11</v>
      </c>
      <c r="F1027" s="1358">
        <v>1</v>
      </c>
      <c r="G1027" s="1359">
        <f>E1027/F1027</f>
        <v>884.11</v>
      </c>
      <c r="H1027" s="1247" t="s">
        <v>1522</v>
      </c>
      <c r="I1027" s="1345"/>
      <c r="J1027" s="1360"/>
      <c r="K1027" s="1385"/>
      <c r="L1027" s="1385"/>
      <c r="M1027" s="1281"/>
      <c r="N1027" s="1385"/>
      <c r="O1027" s="1281"/>
      <c r="P1027" s="1383"/>
    </row>
    <row r="1028" spans="1:16" ht="15.75" x14ac:dyDescent="0.25">
      <c r="A1028" s="1375"/>
      <c r="B1028" s="1375"/>
      <c r="C1028" s="3381"/>
      <c r="D1028" s="3382"/>
      <c r="E1028" s="1372"/>
      <c r="F1028" s="1376"/>
      <c r="G1028" s="1377"/>
      <c r="J1028" s="1360"/>
      <c r="K1028" s="1382"/>
      <c r="L1028" s="1382"/>
      <c r="M1028" s="1350"/>
      <c r="N1028" s="1382"/>
      <c r="O1028" s="1350"/>
      <c r="P1028" s="1383"/>
    </row>
    <row r="1029" spans="1:16" ht="15.75" x14ac:dyDescent="0.25">
      <c r="A1029" s="3356" t="s">
        <v>4071</v>
      </c>
      <c r="B1029" s="3357"/>
      <c r="C1029" s="3357"/>
      <c r="D1029" s="3357"/>
      <c r="E1029" s="1381">
        <v>4000</v>
      </c>
      <c r="F1029" s="3366"/>
      <c r="G1029" s="3367"/>
      <c r="J1029" s="1382"/>
      <c r="K1029" s="1385"/>
      <c r="L1029" s="1385"/>
      <c r="M1029" s="1950"/>
      <c r="N1029" s="1385"/>
      <c r="O1029" s="1950"/>
      <c r="P1029" s="1393"/>
    </row>
    <row r="1030" spans="1:16" ht="15.75" x14ac:dyDescent="0.25">
      <c r="A1030" s="3358" t="s">
        <v>4072</v>
      </c>
      <c r="B1030" s="3359"/>
      <c r="C1030" s="3359"/>
      <c r="D1030" s="3359"/>
      <c r="E1030" s="1384">
        <v>1601.23</v>
      </c>
      <c r="F1030" s="3368"/>
      <c r="G1030" s="3369"/>
      <c r="H1030" s="1247" t="s">
        <v>280</v>
      </c>
      <c r="J1030" s="1385"/>
    </row>
    <row r="1031" spans="1:16" ht="15.75" x14ac:dyDescent="0.25">
      <c r="A1031" s="3356" t="s">
        <v>4073</v>
      </c>
      <c r="B1031" s="3357"/>
      <c r="C1031" s="3357"/>
      <c r="D1031" s="3357"/>
      <c r="E1031" s="1381">
        <f>G1051</f>
        <v>538.04333333333329</v>
      </c>
      <c r="F1031" s="3385"/>
      <c r="G1031" s="3386"/>
      <c r="J1031" s="1382"/>
      <c r="K1031" s="1350"/>
      <c r="L1031" s="1350"/>
      <c r="M1031" s="1274"/>
      <c r="N1031" s="1350"/>
      <c r="O1031" s="1274"/>
    </row>
    <row r="1032" spans="1:16" ht="15.75" x14ac:dyDescent="0.25">
      <c r="A1032" s="3358" t="s">
        <v>4074</v>
      </c>
      <c r="B1032" s="3359"/>
      <c r="C1032" s="3359"/>
      <c r="D1032" s="3359"/>
      <c r="E1032" s="3359"/>
      <c r="F1032" s="3380"/>
      <c r="G1032" s="1386">
        <f>SUM(G1014:G1028)</f>
        <v>1401.1100000000001</v>
      </c>
      <c r="H1032" s="1348">
        <f>G1032-I1020-J1022</f>
        <v>1293.1100000000001</v>
      </c>
      <c r="I1032" s="1336" t="s">
        <v>4141</v>
      </c>
      <c r="J1032" s="1385"/>
      <c r="K1032" s="1385"/>
      <c r="L1032" s="1385"/>
      <c r="M1032" s="1394"/>
      <c r="N1032" s="1385"/>
      <c r="O1032" s="1394"/>
    </row>
    <row r="1033" spans="1:16" ht="17.25" customHeight="1" thickBot="1" x14ac:dyDescent="0.3">
      <c r="A1033" s="3356" t="s">
        <v>4075</v>
      </c>
      <c r="B1033" s="3357"/>
      <c r="C1033" s="3357"/>
      <c r="D1033" s="3357"/>
      <c r="E1033" s="1388">
        <f>E1029-E1030</f>
        <v>2398.77</v>
      </c>
      <c r="G1033" s="1389"/>
      <c r="J1033" s="1382"/>
      <c r="K1033" s="1390"/>
      <c r="L1033" s="1390"/>
      <c r="M1033" s="1389"/>
      <c r="N1033" s="1390"/>
      <c r="O1033" s="1389"/>
    </row>
    <row r="1034" spans="1:16" ht="16.5" customHeight="1" thickBot="1" x14ac:dyDescent="0.3">
      <c r="D1034" s="1336"/>
      <c r="K1034" s="1247" t="s">
        <v>280</v>
      </c>
      <c r="N1034" s="1247" t="s">
        <v>280</v>
      </c>
    </row>
    <row r="1035" spans="1:16" ht="19.5" thickBot="1" x14ac:dyDescent="0.35">
      <c r="A1035" s="3361" t="s">
        <v>4225</v>
      </c>
      <c r="B1035" s="3362"/>
      <c r="C1035" s="3362"/>
      <c r="D1035" s="3362"/>
      <c r="E1035" s="3362"/>
      <c r="F1035" s="3362"/>
      <c r="G1035" s="3363"/>
      <c r="J1035" s="1354"/>
      <c r="K1035" s="1354"/>
      <c r="L1035" s="1354"/>
      <c r="M1035" s="1951"/>
      <c r="N1035" s="1354"/>
      <c r="O1035" s="1951"/>
      <c r="P1035" s="1354"/>
    </row>
    <row r="1036" spans="1:16" ht="16.5" thickBot="1" x14ac:dyDescent="0.3">
      <c r="A1036" s="1361" t="s">
        <v>4206</v>
      </c>
      <c r="B1036" s="1361" t="s">
        <v>4206</v>
      </c>
      <c r="C1036" s="3370" t="s">
        <v>3</v>
      </c>
      <c r="D1036" s="3371"/>
      <c r="E1036" s="1363" t="s">
        <v>4190</v>
      </c>
      <c r="F1036" s="1363" t="s">
        <v>4191</v>
      </c>
      <c r="G1036" s="1364" t="s">
        <v>4207</v>
      </c>
      <c r="J1036" s="1391"/>
      <c r="K1036" s="1395"/>
      <c r="L1036" s="1395"/>
      <c r="M1036" s="1391"/>
      <c r="N1036" s="1395"/>
      <c r="O1036" s="1391"/>
      <c r="P1036" s="1391"/>
    </row>
    <row r="1037" spans="1:16" ht="16.5" thickBot="1" x14ac:dyDescent="0.3">
      <c r="A1037" s="1369">
        <v>44804</v>
      </c>
      <c r="B1037" s="1369">
        <v>44804</v>
      </c>
      <c r="C1037" s="3340" t="s">
        <v>3517</v>
      </c>
      <c r="D1037" s="3341"/>
      <c r="E1037" s="1357">
        <v>124.5</v>
      </c>
      <c r="F1037" s="1358">
        <v>3</v>
      </c>
      <c r="G1037" s="1359">
        <v>0</v>
      </c>
      <c r="H1037" s="1247" t="s">
        <v>4226</v>
      </c>
      <c r="I1037" s="1321"/>
      <c r="J1037" s="1360"/>
      <c r="K1037" s="1385"/>
      <c r="L1037" s="1385"/>
      <c r="M1037" s="1281"/>
      <c r="N1037" s="1385"/>
      <c r="O1037" s="1281"/>
      <c r="P1037" s="1383"/>
    </row>
    <row r="1038" spans="1:16" ht="16.5" thickBot="1" x14ac:dyDescent="0.3">
      <c r="A1038" s="1369">
        <v>44818</v>
      </c>
      <c r="B1038" s="1369">
        <v>44818</v>
      </c>
      <c r="C1038" s="3340" t="s">
        <v>3518</v>
      </c>
      <c r="D1038" s="3341"/>
      <c r="E1038" s="1357">
        <v>56</v>
      </c>
      <c r="F1038" s="1358">
        <v>2</v>
      </c>
      <c r="G1038" s="1359">
        <v>0</v>
      </c>
      <c r="H1038" s="1370" t="s">
        <v>4227</v>
      </c>
      <c r="I1038" s="1321"/>
      <c r="J1038" s="1360"/>
      <c r="K1038" s="1385"/>
      <c r="L1038" s="1385"/>
      <c r="M1038" s="1281"/>
      <c r="N1038" s="1385"/>
      <c r="O1038" s="1281"/>
      <c r="P1038" s="1383"/>
    </row>
    <row r="1039" spans="1:16" ht="16.5" thickBot="1" x14ac:dyDescent="0.3">
      <c r="A1039" s="1369">
        <v>44818</v>
      </c>
      <c r="B1039" s="1369">
        <v>44818</v>
      </c>
      <c r="C1039" s="3340" t="s">
        <v>3519</v>
      </c>
      <c r="D1039" s="3341"/>
      <c r="E1039" s="1357">
        <v>50</v>
      </c>
      <c r="F1039" s="1358">
        <v>2</v>
      </c>
      <c r="G1039" s="1359">
        <v>0</v>
      </c>
      <c r="H1039" s="1370" t="s">
        <v>4228</v>
      </c>
      <c r="I1039" s="1321"/>
      <c r="J1039" s="1360"/>
      <c r="K1039" s="1385"/>
      <c r="L1039" s="1385"/>
      <c r="M1039" s="1281"/>
      <c r="N1039" s="1385"/>
      <c r="O1039" s="1281"/>
      <c r="P1039" s="1383"/>
    </row>
    <row r="1040" spans="1:16" ht="16.5" thickBot="1" x14ac:dyDescent="0.3">
      <c r="A1040" s="1369">
        <v>44822</v>
      </c>
      <c r="B1040" s="1369">
        <v>44822</v>
      </c>
      <c r="C1040" s="3340" t="s">
        <v>3520</v>
      </c>
      <c r="D1040" s="3341"/>
      <c r="E1040" s="1357">
        <v>207.84</v>
      </c>
      <c r="F1040" s="1358">
        <v>2</v>
      </c>
      <c r="G1040" s="1359">
        <v>0</v>
      </c>
      <c r="H1040" s="1370" t="s">
        <v>4229</v>
      </c>
      <c r="I1040" s="1321"/>
      <c r="J1040" s="1360"/>
      <c r="K1040" s="1385"/>
      <c r="L1040" s="1385"/>
      <c r="M1040" s="1281"/>
      <c r="N1040" s="1385"/>
      <c r="O1040" s="1281"/>
      <c r="P1040" s="1383"/>
    </row>
    <row r="1041" spans="1:16" ht="16.5" thickBot="1" x14ac:dyDescent="0.3">
      <c r="A1041" s="1369">
        <v>44847</v>
      </c>
      <c r="B1041" s="1369">
        <v>44847</v>
      </c>
      <c r="C1041" s="3340" t="s">
        <v>3521</v>
      </c>
      <c r="D1041" s="3341"/>
      <c r="E1041" s="1357">
        <v>221.52</v>
      </c>
      <c r="F1041" s="1358">
        <v>3</v>
      </c>
      <c r="G1041" s="1359">
        <v>0</v>
      </c>
      <c r="H1041" s="1247" t="s">
        <v>4230</v>
      </c>
      <c r="I1041" s="1321"/>
      <c r="J1041" s="1360"/>
      <c r="K1041" s="1385"/>
      <c r="L1041" s="1385"/>
      <c r="M1041" s="1281"/>
      <c r="N1041" s="1385"/>
      <c r="O1041" s="1281"/>
      <c r="P1041" s="1383"/>
    </row>
    <row r="1042" spans="1:16" ht="16.5" thickBot="1" x14ac:dyDescent="0.3">
      <c r="A1042" s="1369">
        <v>44859</v>
      </c>
      <c r="B1042" s="1369">
        <v>44859</v>
      </c>
      <c r="C1042" s="3340" t="s">
        <v>4231</v>
      </c>
      <c r="D1042" s="3341"/>
      <c r="E1042" s="1357">
        <v>280</v>
      </c>
      <c r="F1042" s="1358">
        <v>3</v>
      </c>
      <c r="G1042" s="1359">
        <f t="shared" ref="G1042:G1047" si="241">E1042/F1042</f>
        <v>93.333333333333329</v>
      </c>
      <c r="H1042" s="1247" t="s">
        <v>1489</v>
      </c>
      <c r="I1042" s="1321"/>
      <c r="J1042" s="1360"/>
      <c r="K1042" s="1385"/>
      <c r="L1042" s="1385"/>
      <c r="M1042" s="1281"/>
      <c r="N1042" s="1385"/>
      <c r="O1042" s="1281"/>
      <c r="P1042" s="1383"/>
    </row>
    <row r="1043" spans="1:16" ht="16.5" thickBot="1" x14ac:dyDescent="0.3">
      <c r="A1043" s="1369">
        <v>44860</v>
      </c>
      <c r="B1043" s="1369">
        <v>44860</v>
      </c>
      <c r="C1043" s="3340" t="s">
        <v>3498</v>
      </c>
      <c r="D1043" s="3341"/>
      <c r="E1043" s="1357">
        <v>28.89</v>
      </c>
      <c r="F1043" s="1358">
        <v>1</v>
      </c>
      <c r="G1043" s="1359">
        <f t="shared" si="241"/>
        <v>28.89</v>
      </c>
      <c r="H1043" s="1370" t="s">
        <v>1525</v>
      </c>
      <c r="I1043" s="1321"/>
      <c r="J1043" s="1360"/>
      <c r="K1043" s="1385"/>
      <c r="L1043" s="1385"/>
      <c r="M1043" s="1281"/>
      <c r="N1043" s="1385"/>
      <c r="O1043" s="1281"/>
      <c r="P1043" s="1383"/>
    </row>
    <row r="1044" spans="1:16" ht="16.5" thickBot="1" x14ac:dyDescent="0.3">
      <c r="A1044" s="1369">
        <v>44864</v>
      </c>
      <c r="B1044" s="1369">
        <v>44864</v>
      </c>
      <c r="C1044" s="3340" t="s">
        <v>4232</v>
      </c>
      <c r="D1044" s="3341"/>
      <c r="E1044" s="1357">
        <v>139.4</v>
      </c>
      <c r="F1044" s="1358">
        <v>2</v>
      </c>
      <c r="G1044" s="1359">
        <f t="shared" si="241"/>
        <v>69.7</v>
      </c>
      <c r="H1044" s="1370" t="s">
        <v>1506</v>
      </c>
      <c r="I1044" s="1321"/>
      <c r="J1044" s="1360"/>
      <c r="K1044" s="1385"/>
      <c r="L1044" s="1385"/>
      <c r="M1044" s="1281"/>
      <c r="N1044" s="1385"/>
      <c r="O1044" s="1281"/>
      <c r="P1044" s="1383"/>
    </row>
    <row r="1045" spans="1:16" ht="16.5" thickBot="1" x14ac:dyDescent="0.3">
      <c r="A1045" s="1369">
        <v>44868</v>
      </c>
      <c r="B1045" s="1369">
        <v>44868</v>
      </c>
      <c r="C1045" s="3340" t="s">
        <v>3391</v>
      </c>
      <c r="D1045" s="3341"/>
      <c r="E1045" s="1357">
        <v>79.62</v>
      </c>
      <c r="F1045" s="1358">
        <v>1</v>
      </c>
      <c r="G1045" s="1359">
        <f t="shared" si="241"/>
        <v>79.62</v>
      </c>
      <c r="H1045" s="1247" t="s">
        <v>1496</v>
      </c>
      <c r="I1045" s="1321"/>
      <c r="J1045" s="1360"/>
      <c r="K1045" s="1385"/>
      <c r="L1045" s="1385"/>
      <c r="M1045" s="1281"/>
      <c r="N1045" s="1385"/>
      <c r="O1045" s="1281"/>
      <c r="P1045" s="1383"/>
    </row>
    <row r="1046" spans="1:16" ht="16.5" thickBot="1" x14ac:dyDescent="0.3">
      <c r="A1046" s="1369">
        <v>44875</v>
      </c>
      <c r="B1046" s="1369">
        <v>44875</v>
      </c>
      <c r="C1046" s="3340" t="s">
        <v>4233</v>
      </c>
      <c r="D1046" s="3341"/>
      <c r="E1046" s="1357">
        <v>213</v>
      </c>
      <c r="F1046" s="1358">
        <v>2</v>
      </c>
      <c r="G1046" s="1359">
        <f t="shared" si="241"/>
        <v>106.5</v>
      </c>
      <c r="H1046" s="1247" t="s">
        <v>1522</v>
      </c>
      <c r="I1046" s="1321"/>
      <c r="J1046" s="1360"/>
      <c r="K1046" s="1385"/>
      <c r="L1046" s="1385"/>
      <c r="M1046" s="1281"/>
      <c r="N1046" s="1385"/>
      <c r="O1046" s="1281"/>
      <c r="P1046" s="1383"/>
    </row>
    <row r="1047" spans="1:16" ht="16.5" thickBot="1" x14ac:dyDescent="0.3">
      <c r="A1047" s="1369">
        <v>44875</v>
      </c>
      <c r="B1047" s="1369">
        <v>44875</v>
      </c>
      <c r="C1047" s="3340" t="s">
        <v>4234</v>
      </c>
      <c r="D1047" s="3341"/>
      <c r="E1047" s="1357">
        <v>160</v>
      </c>
      <c r="F1047" s="1358">
        <v>1</v>
      </c>
      <c r="G1047" s="1359">
        <f t="shared" si="241"/>
        <v>160</v>
      </c>
      <c r="H1047" s="1247" t="s">
        <v>4235</v>
      </c>
      <c r="I1047" s="1321"/>
      <c r="J1047" s="1360"/>
      <c r="K1047" s="1385"/>
      <c r="L1047" s="1385"/>
      <c r="M1047" s="1281"/>
      <c r="N1047" s="1385"/>
      <c r="O1047" s="1281"/>
      <c r="P1047" s="1383"/>
    </row>
    <row r="1048" spans="1:16" ht="16.5" thickBot="1" x14ac:dyDescent="0.3">
      <c r="A1048" s="3356" t="s">
        <v>4071</v>
      </c>
      <c r="B1048" s="3357"/>
      <c r="C1048" s="3357"/>
      <c r="D1048" s="3357"/>
      <c r="E1048" s="1396">
        <v>4000</v>
      </c>
      <c r="F1048" s="3366"/>
      <c r="G1048" s="3367"/>
      <c r="J1048" s="1382"/>
      <c r="K1048" s="1385"/>
      <c r="L1048" s="1385"/>
      <c r="M1048" s="1950"/>
      <c r="N1048" s="1385"/>
      <c r="O1048" s="1950"/>
      <c r="P1048" s="1393"/>
    </row>
    <row r="1049" spans="1:16" ht="16.5" thickBot="1" x14ac:dyDescent="0.3">
      <c r="A1049" s="3358" t="s">
        <v>4072</v>
      </c>
      <c r="B1049" s="3359"/>
      <c r="C1049" s="3359"/>
      <c r="D1049" s="3359"/>
      <c r="E1049" s="1397">
        <v>527.91</v>
      </c>
      <c r="F1049" s="3368"/>
      <c r="G1049" s="3369"/>
      <c r="H1049" s="1247" t="s">
        <v>280</v>
      </c>
      <c r="J1049" s="1385"/>
    </row>
    <row r="1050" spans="1:16" ht="16.5" thickBot="1" x14ac:dyDescent="0.3">
      <c r="A1050" s="3356" t="s">
        <v>4073</v>
      </c>
      <c r="B1050" s="3357"/>
      <c r="C1050" s="3357"/>
      <c r="D1050" s="3357"/>
      <c r="E1050" s="1396">
        <f>G1073</f>
        <v>154.12</v>
      </c>
      <c r="F1050" s="3368"/>
      <c r="G1050" s="3369"/>
      <c r="J1050" s="1382"/>
      <c r="K1050" s="1350"/>
      <c r="L1050" s="1350"/>
      <c r="M1050" s="1274"/>
      <c r="N1050" s="1350"/>
      <c r="O1050" s="1274"/>
    </row>
    <row r="1051" spans="1:16" ht="16.5" thickBot="1" x14ac:dyDescent="0.3">
      <c r="A1051" s="3358" t="s">
        <v>4074</v>
      </c>
      <c r="B1051" s="3359"/>
      <c r="C1051" s="3359"/>
      <c r="D1051" s="3359"/>
      <c r="E1051" s="3359"/>
      <c r="F1051" s="3360"/>
      <c r="G1051" s="1387">
        <f>SUM(G1037:G1047)</f>
        <v>538.04333333333329</v>
      </c>
      <c r="H1051" s="1348">
        <v>0</v>
      </c>
      <c r="J1051" s="1385"/>
      <c r="K1051" s="1385"/>
      <c r="L1051" s="1385"/>
      <c r="M1051" s="1394"/>
      <c r="N1051" s="1385"/>
      <c r="O1051" s="1394"/>
    </row>
    <row r="1052" spans="1:16" ht="17.25" customHeight="1" thickBot="1" x14ac:dyDescent="0.3">
      <c r="A1052" s="3356" t="s">
        <v>4075</v>
      </c>
      <c r="B1052" s="3357"/>
      <c r="C1052" s="3357"/>
      <c r="D1052" s="3357"/>
      <c r="E1052" s="1388">
        <f>E1048-E1049</f>
        <v>3472.09</v>
      </c>
      <c r="G1052" s="1389"/>
      <c r="J1052" s="1382"/>
      <c r="K1052" s="1390"/>
      <c r="L1052" s="1390"/>
      <c r="M1052" s="1389"/>
      <c r="N1052" s="1390"/>
      <c r="O1052" s="1389"/>
    </row>
    <row r="1053" spans="1:16" ht="16.5" customHeight="1" thickBot="1" x14ac:dyDescent="0.3"/>
    <row r="1054" spans="1:16" ht="19.5" thickBot="1" x14ac:dyDescent="0.35">
      <c r="A1054" s="3361" t="s">
        <v>4236</v>
      </c>
      <c r="B1054" s="3362"/>
      <c r="C1054" s="3362"/>
      <c r="D1054" s="3362"/>
      <c r="E1054" s="3362"/>
      <c r="F1054" s="3362"/>
      <c r="G1054" s="3363"/>
      <c r="J1054" s="1354"/>
      <c r="K1054" s="1354"/>
      <c r="L1054" s="1354"/>
      <c r="M1054" s="1951"/>
      <c r="N1054" s="1354"/>
      <c r="O1054" s="1951"/>
      <c r="P1054" s="1354"/>
    </row>
    <row r="1055" spans="1:16" ht="16.5" thickBot="1" x14ac:dyDescent="0.3">
      <c r="A1055" s="1361" t="s">
        <v>4206</v>
      </c>
      <c r="B1055" s="1361" t="s">
        <v>4206</v>
      </c>
      <c r="C1055" s="3370" t="s">
        <v>3</v>
      </c>
      <c r="D1055" s="3371"/>
      <c r="E1055" s="1363" t="s">
        <v>4190</v>
      </c>
      <c r="F1055" s="1363" t="s">
        <v>4191</v>
      </c>
      <c r="G1055" s="1364" t="s">
        <v>4207</v>
      </c>
      <c r="J1055" s="1391"/>
      <c r="K1055" s="1395"/>
      <c r="L1055" s="1395"/>
      <c r="M1055" s="1391"/>
      <c r="N1055" s="1395"/>
      <c r="O1055" s="1391"/>
      <c r="P1055" s="1391"/>
    </row>
    <row r="1056" spans="1:16" x14ac:dyDescent="0.25">
      <c r="A1056" s="1369">
        <v>44748</v>
      </c>
      <c r="B1056" s="1369">
        <v>44748</v>
      </c>
      <c r="C1056" s="3340" t="s">
        <v>3481</v>
      </c>
      <c r="D1056" s="3341"/>
      <c r="E1056" s="1357">
        <v>214</v>
      </c>
      <c r="F1056" s="1358">
        <v>4</v>
      </c>
      <c r="G1056" s="1359">
        <v>0</v>
      </c>
      <c r="H1056" s="1247" t="s">
        <v>4237</v>
      </c>
      <c r="I1056" s="1321"/>
      <c r="J1056" s="1360"/>
      <c r="K1056" s="1398"/>
      <c r="L1056" s="1398"/>
      <c r="M1056" s="1321"/>
      <c r="N1056" s="1398"/>
      <c r="O1056" s="1321"/>
      <c r="P1056" s="1336"/>
    </row>
    <row r="1057" spans="1:16" ht="15.75" x14ac:dyDescent="0.25">
      <c r="A1057" s="1369">
        <v>44782</v>
      </c>
      <c r="B1057" s="1369">
        <v>44782</v>
      </c>
      <c r="C1057" s="3340" t="s">
        <v>3482</v>
      </c>
      <c r="D1057" s="3341"/>
      <c r="E1057" s="1357">
        <v>180</v>
      </c>
      <c r="F1057" s="1358">
        <v>3</v>
      </c>
      <c r="G1057" s="1359">
        <v>0</v>
      </c>
      <c r="H1057" s="1247" t="s">
        <v>4238</v>
      </c>
      <c r="I1057" s="1321"/>
      <c r="J1057" s="1360"/>
      <c r="K1057" s="1385"/>
      <c r="L1057" s="1385"/>
      <c r="M1057" s="1281"/>
      <c r="N1057" s="1385"/>
      <c r="O1057" s="1281"/>
      <c r="P1057" s="1383"/>
    </row>
    <row r="1058" spans="1:16" ht="15.75" x14ac:dyDescent="0.25">
      <c r="A1058" s="1369">
        <v>44789</v>
      </c>
      <c r="B1058" s="1369">
        <v>44789</v>
      </c>
      <c r="C1058" s="3340" t="s">
        <v>3483</v>
      </c>
      <c r="D1058" s="3341"/>
      <c r="E1058" s="1357">
        <v>129.66999999999999</v>
      </c>
      <c r="F1058" s="1358">
        <v>2</v>
      </c>
      <c r="G1058" s="1359">
        <v>0</v>
      </c>
      <c r="H1058" s="1247" t="s">
        <v>4239</v>
      </c>
      <c r="I1058" s="1321"/>
      <c r="J1058" s="1360"/>
      <c r="K1058" s="1385"/>
      <c r="L1058" s="1385"/>
      <c r="M1058" s="1281"/>
      <c r="N1058" s="1385"/>
      <c r="O1058" s="1281"/>
      <c r="P1058" s="1383"/>
    </row>
    <row r="1059" spans="1:16" ht="15.75" x14ac:dyDescent="0.25">
      <c r="A1059" s="1369">
        <v>44804</v>
      </c>
      <c r="B1059" s="1369">
        <v>44804</v>
      </c>
      <c r="C1059" s="3340" t="s">
        <v>3484</v>
      </c>
      <c r="D1059" s="3341"/>
      <c r="E1059" s="1357">
        <v>124.5</v>
      </c>
      <c r="F1059" s="1358">
        <v>3</v>
      </c>
      <c r="G1059" s="1359">
        <v>0</v>
      </c>
      <c r="H1059" s="1247" t="s">
        <v>4240</v>
      </c>
      <c r="I1059" s="1321"/>
      <c r="J1059" s="1360"/>
      <c r="K1059" s="1385"/>
      <c r="L1059" s="1385"/>
      <c r="M1059" s="1281"/>
      <c r="N1059" s="1385"/>
      <c r="O1059" s="1281"/>
      <c r="P1059" s="1383"/>
    </row>
    <row r="1060" spans="1:16" ht="15.75" x14ac:dyDescent="0.25">
      <c r="A1060" s="1369">
        <v>44816</v>
      </c>
      <c r="B1060" s="1369">
        <v>44816</v>
      </c>
      <c r="C1060" s="3340" t="s">
        <v>3485</v>
      </c>
      <c r="D1060" s="3341"/>
      <c r="E1060" s="1357">
        <v>120</v>
      </c>
      <c r="F1060" s="1358">
        <v>2</v>
      </c>
      <c r="G1060" s="1359">
        <v>0</v>
      </c>
      <c r="H1060" s="1247" t="s">
        <v>4241</v>
      </c>
      <c r="I1060" s="1321"/>
      <c r="J1060" s="1360"/>
      <c r="K1060" s="1385"/>
      <c r="L1060" s="1385"/>
      <c r="M1060" s="1281"/>
      <c r="N1060" s="1385"/>
      <c r="O1060" s="1281"/>
      <c r="P1060" s="1383"/>
    </row>
    <row r="1061" spans="1:16" ht="15.75" x14ac:dyDescent="0.25">
      <c r="A1061" s="1369">
        <v>44818</v>
      </c>
      <c r="B1061" s="1369">
        <v>44818</v>
      </c>
      <c r="C1061" s="3340" t="s">
        <v>3316</v>
      </c>
      <c r="D1061" s="3341"/>
      <c r="E1061" s="1357">
        <v>5</v>
      </c>
      <c r="F1061" s="1358">
        <v>1</v>
      </c>
      <c r="G1061" s="1359">
        <v>0</v>
      </c>
      <c r="H1061" s="1247" t="s">
        <v>4242</v>
      </c>
      <c r="I1061" s="1321"/>
      <c r="J1061" s="1360"/>
      <c r="K1061" s="1385"/>
      <c r="L1061" s="1385"/>
      <c r="M1061" s="1281"/>
      <c r="N1061" s="1385"/>
      <c r="O1061" s="1281"/>
      <c r="P1061" s="1383"/>
    </row>
    <row r="1062" spans="1:16" ht="15.75" x14ac:dyDescent="0.25">
      <c r="A1062" s="1369">
        <v>44818</v>
      </c>
      <c r="B1062" s="1369">
        <v>44818</v>
      </c>
      <c r="C1062" s="3340" t="s">
        <v>3486</v>
      </c>
      <c r="D1062" s="3341"/>
      <c r="E1062" s="1357">
        <v>56</v>
      </c>
      <c r="F1062" s="1358">
        <v>2</v>
      </c>
      <c r="G1062" s="1359">
        <v>0</v>
      </c>
      <c r="H1062" s="1370" t="s">
        <v>4243</v>
      </c>
      <c r="I1062" s="1321"/>
      <c r="J1062" s="1360"/>
      <c r="K1062" s="1385"/>
      <c r="L1062" s="1385"/>
      <c r="M1062" s="1281"/>
      <c r="N1062" s="1385"/>
      <c r="O1062" s="1281"/>
      <c r="P1062" s="1383"/>
    </row>
    <row r="1063" spans="1:16" ht="15.75" x14ac:dyDescent="0.25">
      <c r="A1063" s="1369">
        <v>44818</v>
      </c>
      <c r="B1063" s="1369">
        <v>44818</v>
      </c>
      <c r="C1063" s="3340" t="s">
        <v>3487</v>
      </c>
      <c r="D1063" s="3341"/>
      <c r="E1063" s="1357">
        <v>50</v>
      </c>
      <c r="F1063" s="1358">
        <v>2</v>
      </c>
      <c r="G1063" s="1359">
        <v>0</v>
      </c>
      <c r="H1063" s="1370" t="s">
        <v>4244</v>
      </c>
      <c r="I1063" s="1321"/>
      <c r="J1063" s="1360"/>
      <c r="K1063" s="1385"/>
      <c r="L1063" s="1385"/>
      <c r="M1063" s="1281"/>
      <c r="N1063" s="1385"/>
      <c r="O1063" s="1281"/>
      <c r="P1063" s="1383"/>
    </row>
    <row r="1064" spans="1:16" ht="15.75" x14ac:dyDescent="0.25">
      <c r="A1064" s="1369">
        <v>44822</v>
      </c>
      <c r="B1064" s="1369">
        <v>44822</v>
      </c>
      <c r="C1064" s="3340" t="s">
        <v>3488</v>
      </c>
      <c r="D1064" s="3341"/>
      <c r="E1064" s="1357">
        <v>207.84</v>
      </c>
      <c r="F1064" s="1358">
        <v>2</v>
      </c>
      <c r="G1064" s="1359">
        <v>0</v>
      </c>
      <c r="H1064" s="1370" t="s">
        <v>4245</v>
      </c>
      <c r="I1064" s="1321"/>
      <c r="J1064" s="1360"/>
      <c r="K1064" s="1385"/>
      <c r="L1064" s="1385"/>
      <c r="M1064" s="1281"/>
      <c r="N1064" s="1385"/>
      <c r="O1064" s="1281"/>
      <c r="P1064" s="1383"/>
    </row>
    <row r="1065" spans="1:16" ht="15.75" x14ac:dyDescent="0.25">
      <c r="A1065" s="1369">
        <v>44825</v>
      </c>
      <c r="B1065" s="1369">
        <v>44825</v>
      </c>
      <c r="C1065" s="3340" t="s">
        <v>3489</v>
      </c>
      <c r="D1065" s="3341"/>
      <c r="E1065" s="1357">
        <v>166.04</v>
      </c>
      <c r="F1065" s="1358">
        <v>1</v>
      </c>
      <c r="G1065" s="1359">
        <v>0</v>
      </c>
      <c r="H1065" s="1370" t="s">
        <v>4246</v>
      </c>
      <c r="I1065" s="1321"/>
      <c r="J1065" s="1360"/>
      <c r="K1065" s="1385"/>
      <c r="L1065" s="1385"/>
      <c r="M1065" s="1281"/>
      <c r="N1065" s="1385"/>
      <c r="O1065" s="1281"/>
      <c r="P1065" s="1383"/>
    </row>
    <row r="1066" spans="1:16" ht="15.75" x14ac:dyDescent="0.25">
      <c r="A1066" s="1369">
        <v>44827</v>
      </c>
      <c r="B1066" s="1369">
        <v>44827</v>
      </c>
      <c r="C1066" s="3340" t="s">
        <v>3490</v>
      </c>
      <c r="D1066" s="3341"/>
      <c r="E1066" s="1357">
        <v>183.55</v>
      </c>
      <c r="F1066" s="1358">
        <v>1</v>
      </c>
      <c r="G1066" s="1359">
        <v>0</v>
      </c>
      <c r="H1066" s="1370" t="s">
        <v>4247</v>
      </c>
      <c r="I1066" s="1321"/>
      <c r="J1066" s="1360"/>
      <c r="K1066" s="1385"/>
      <c r="L1066" s="1385"/>
      <c r="M1066" s="1281"/>
      <c r="N1066" s="1385"/>
      <c r="O1066" s="1281"/>
      <c r="P1066" s="1383"/>
    </row>
    <row r="1067" spans="1:16" ht="15.75" x14ac:dyDescent="0.25">
      <c r="A1067" s="1369">
        <v>44847</v>
      </c>
      <c r="B1067" s="1369">
        <v>44847</v>
      </c>
      <c r="C1067" s="3340" t="s">
        <v>4248</v>
      </c>
      <c r="D1067" s="3341"/>
      <c r="E1067" s="1357">
        <v>222.36</v>
      </c>
      <c r="F1067" s="1358">
        <v>3</v>
      </c>
      <c r="G1067" s="1359">
        <f>E1067/F1067</f>
        <v>74.12</v>
      </c>
      <c r="H1067" s="1247" t="s">
        <v>1506</v>
      </c>
      <c r="I1067" s="1321"/>
      <c r="J1067" s="1360"/>
      <c r="K1067" s="1385"/>
      <c r="L1067" s="1385"/>
      <c r="M1067" s="1281"/>
      <c r="N1067" s="1385"/>
      <c r="O1067" s="1281"/>
      <c r="P1067" s="1383"/>
    </row>
    <row r="1068" spans="1:16" ht="15.75" x14ac:dyDescent="0.25">
      <c r="A1068" s="1369">
        <v>44847</v>
      </c>
      <c r="B1068" s="1369">
        <v>44847</v>
      </c>
      <c r="C1068" s="3340" t="s">
        <v>3316</v>
      </c>
      <c r="D1068" s="3341"/>
      <c r="E1068" s="1357">
        <v>5</v>
      </c>
      <c r="F1068" s="1358">
        <v>1</v>
      </c>
      <c r="G1068" s="1359">
        <f>E1068/F1068</f>
        <v>5</v>
      </c>
      <c r="H1068" s="1247" t="s">
        <v>1525</v>
      </c>
      <c r="I1068" s="1321"/>
      <c r="J1068" s="1360"/>
      <c r="K1068" s="1385"/>
      <c r="L1068" s="1385"/>
      <c r="M1068" s="1281"/>
      <c r="N1068" s="1385"/>
      <c r="O1068" s="1281"/>
      <c r="P1068" s="1272"/>
    </row>
    <row r="1069" spans="1:16" ht="15.75" x14ac:dyDescent="0.25">
      <c r="A1069" s="1369">
        <v>44848</v>
      </c>
      <c r="B1069" s="1369">
        <v>44848</v>
      </c>
      <c r="C1069" s="3340" t="s">
        <v>4249</v>
      </c>
      <c r="D1069" s="3341"/>
      <c r="E1069" s="1357">
        <v>75</v>
      </c>
      <c r="F1069" s="1358">
        <v>1</v>
      </c>
      <c r="G1069" s="1359">
        <f>E1069/F1069</f>
        <v>75</v>
      </c>
      <c r="H1069" s="1247" t="s">
        <v>1506</v>
      </c>
      <c r="I1069" s="1321"/>
      <c r="J1069" s="1360"/>
      <c r="K1069" s="1385"/>
      <c r="L1069" s="1385"/>
      <c r="M1069" s="1281"/>
      <c r="N1069" s="1385"/>
      <c r="O1069" s="1281"/>
      <c r="P1069" s="1383"/>
    </row>
    <row r="1070" spans="1:16" ht="15.75" x14ac:dyDescent="0.25">
      <c r="A1070" s="3356" t="s">
        <v>4071</v>
      </c>
      <c r="B1070" s="3357"/>
      <c r="C1070" s="3357"/>
      <c r="D1070" s="3357"/>
      <c r="E1070" s="1396">
        <v>4000</v>
      </c>
      <c r="F1070" s="3366"/>
      <c r="G1070" s="3367"/>
      <c r="J1070" s="1382"/>
      <c r="K1070" s="1385"/>
      <c r="L1070" s="1385"/>
      <c r="M1070" s="1950"/>
      <c r="N1070" s="1385"/>
      <c r="O1070" s="1950"/>
      <c r="P1070" s="1393"/>
    </row>
    <row r="1071" spans="1:16" ht="15.75" x14ac:dyDescent="0.25">
      <c r="A1071" s="3358" t="s">
        <v>4072</v>
      </c>
      <c r="B1071" s="3359"/>
      <c r="C1071" s="3359"/>
      <c r="D1071" s="3359"/>
      <c r="E1071" s="1397">
        <v>500.78</v>
      </c>
      <c r="F1071" s="3368"/>
      <c r="G1071" s="3369"/>
      <c r="H1071" s="1247" t="s">
        <v>280</v>
      </c>
      <c r="J1071" s="1385"/>
    </row>
    <row r="1072" spans="1:16" ht="15.75" x14ac:dyDescent="0.25">
      <c r="A1072" s="3356" t="s">
        <v>4073</v>
      </c>
      <c r="B1072" s="3357"/>
      <c r="C1072" s="3357"/>
      <c r="D1072" s="3357"/>
      <c r="E1072" s="1396">
        <f>G1093</f>
        <v>468.83499999999998</v>
      </c>
      <c r="F1072" s="3368"/>
      <c r="G1072" s="3369"/>
      <c r="J1072" s="1382"/>
      <c r="K1072" s="1350"/>
      <c r="L1072" s="1350"/>
      <c r="M1072" s="1274"/>
      <c r="N1072" s="1350"/>
      <c r="O1072" s="1274"/>
    </row>
    <row r="1073" spans="1:16" ht="15.75" x14ac:dyDescent="0.25">
      <c r="A1073" s="3358" t="s">
        <v>4074</v>
      </c>
      <c r="B1073" s="3359"/>
      <c r="C1073" s="3359"/>
      <c r="D1073" s="3359"/>
      <c r="E1073" s="3359"/>
      <c r="F1073" s="3360"/>
      <c r="G1073" s="1387">
        <f>SUM(G1056:G1069)</f>
        <v>154.12</v>
      </c>
      <c r="H1073" s="1348">
        <v>0</v>
      </c>
      <c r="J1073" s="1385"/>
      <c r="K1073" s="1385"/>
      <c r="L1073" s="1385"/>
      <c r="M1073" s="1394"/>
      <c r="N1073" s="1385"/>
      <c r="O1073" s="1394"/>
    </row>
    <row r="1074" spans="1:16" ht="17.25" customHeight="1" thickBot="1" x14ac:dyDescent="0.3">
      <c r="A1074" s="3356" t="s">
        <v>4075</v>
      </c>
      <c r="B1074" s="3357"/>
      <c r="C1074" s="3357"/>
      <c r="D1074" s="3357"/>
      <c r="E1074" s="1388">
        <f>E1070-E1071</f>
        <v>3499.2200000000003</v>
      </c>
      <c r="G1074" s="1389"/>
      <c r="J1074" s="1382"/>
      <c r="K1074" s="1390"/>
      <c r="L1074" s="1390"/>
      <c r="M1074" s="1389"/>
      <c r="N1074" s="1390"/>
      <c r="O1074" s="1389"/>
    </row>
    <row r="1075" spans="1:16" ht="16.5" customHeight="1" thickBot="1" x14ac:dyDescent="0.3"/>
    <row r="1076" spans="1:16" ht="19.5" thickBot="1" x14ac:dyDescent="0.35">
      <c r="A1076" s="3361" t="s">
        <v>4250</v>
      </c>
      <c r="B1076" s="3362"/>
      <c r="C1076" s="3362"/>
      <c r="D1076" s="3362"/>
      <c r="E1076" s="3362"/>
      <c r="F1076" s="3362"/>
      <c r="G1076" s="3363"/>
      <c r="J1076" s="1354"/>
      <c r="K1076" s="1354"/>
      <c r="L1076" s="1354"/>
      <c r="M1076" s="1951"/>
      <c r="N1076" s="1354"/>
      <c r="O1076" s="1951"/>
      <c r="P1076" s="1354"/>
    </row>
    <row r="1077" spans="1:16" ht="16.5" thickBot="1" x14ac:dyDescent="0.3">
      <c r="A1077" s="1361" t="s">
        <v>4206</v>
      </c>
      <c r="B1077" s="1361" t="s">
        <v>4206</v>
      </c>
      <c r="C1077" s="3370" t="s">
        <v>3</v>
      </c>
      <c r="D1077" s="3371"/>
      <c r="E1077" s="1363" t="s">
        <v>4190</v>
      </c>
      <c r="F1077" s="1363" t="s">
        <v>4191</v>
      </c>
      <c r="G1077" s="1364" t="s">
        <v>4207</v>
      </c>
      <c r="J1077" s="1391"/>
      <c r="K1077" s="1395"/>
      <c r="L1077" s="1395"/>
      <c r="M1077" s="1391"/>
      <c r="N1077" s="1395"/>
      <c r="O1077" s="1391"/>
      <c r="P1077" s="1391"/>
    </row>
    <row r="1078" spans="1:16" x14ac:dyDescent="0.25">
      <c r="A1078" s="1355">
        <v>44748</v>
      </c>
      <c r="B1078" s="1355">
        <v>44748</v>
      </c>
      <c r="C1078" s="3340" t="s">
        <v>3448</v>
      </c>
      <c r="D1078" s="3341"/>
      <c r="E1078" s="1357">
        <v>214</v>
      </c>
      <c r="F1078" s="1358">
        <v>4</v>
      </c>
      <c r="G1078" s="1359">
        <v>0</v>
      </c>
      <c r="H1078" s="1247" t="s">
        <v>4251</v>
      </c>
      <c r="I1078" s="1321"/>
      <c r="J1078" s="1360"/>
      <c r="K1078" s="1398"/>
      <c r="L1078" s="1398"/>
      <c r="M1078" s="1321"/>
      <c r="N1078" s="1398"/>
      <c r="O1078" s="1321"/>
      <c r="P1078" s="1336"/>
    </row>
    <row r="1079" spans="1:16" ht="15.75" x14ac:dyDescent="0.25">
      <c r="A1079" s="1355">
        <v>44754</v>
      </c>
      <c r="B1079" s="1355">
        <v>44754</v>
      </c>
      <c r="C1079" s="3340" t="s">
        <v>3449</v>
      </c>
      <c r="D1079" s="3341"/>
      <c r="E1079" s="1357">
        <v>149.82</v>
      </c>
      <c r="F1079" s="1358">
        <v>3</v>
      </c>
      <c r="G1079" s="1359">
        <v>0</v>
      </c>
      <c r="H1079" s="1247" t="s">
        <v>4252</v>
      </c>
      <c r="I1079" s="1321"/>
      <c r="J1079" s="1360"/>
      <c r="K1079" s="1382"/>
      <c r="L1079" s="1382"/>
      <c r="M1079" s="1350"/>
      <c r="N1079" s="1382"/>
      <c r="O1079" s="1350"/>
      <c r="P1079" s="1383"/>
    </row>
    <row r="1080" spans="1:16" x14ac:dyDescent="0.25">
      <c r="A1080" s="1355">
        <v>44754</v>
      </c>
      <c r="B1080" s="1355">
        <v>44754</v>
      </c>
      <c r="C1080" s="3340" t="s">
        <v>3450</v>
      </c>
      <c r="D1080" s="3341"/>
      <c r="E1080" s="1357">
        <v>49.8</v>
      </c>
      <c r="F1080" s="1358">
        <v>3</v>
      </c>
      <c r="G1080" s="1359">
        <v>0</v>
      </c>
      <c r="H1080" s="1247" t="s">
        <v>4253</v>
      </c>
      <c r="I1080" s="1321"/>
      <c r="J1080" s="1360"/>
      <c r="K1080" s="1398"/>
      <c r="L1080" s="1398"/>
      <c r="M1080" s="1321"/>
      <c r="N1080" s="1398"/>
      <c r="O1080" s="1321"/>
      <c r="P1080" s="1336"/>
    </row>
    <row r="1081" spans="1:16" ht="15.75" x14ac:dyDescent="0.25">
      <c r="A1081" s="1819">
        <v>44754</v>
      </c>
      <c r="B1081" s="1819">
        <v>44754</v>
      </c>
      <c r="C1081" s="3393" t="s">
        <v>4254</v>
      </c>
      <c r="D1081" s="3394"/>
      <c r="E1081" s="1400">
        <v>138.57</v>
      </c>
      <c r="F1081" s="1401">
        <v>3</v>
      </c>
      <c r="G1081" s="1359">
        <f t="shared" ref="G1081:G1088" si="242">E1081/F1081</f>
        <v>46.19</v>
      </c>
      <c r="H1081" s="1248" t="s">
        <v>1522</v>
      </c>
      <c r="I1081" s="1321"/>
      <c r="J1081" s="1360"/>
      <c r="K1081" s="1385"/>
      <c r="L1081" s="1385"/>
      <c r="M1081" s="1950"/>
      <c r="N1081" s="1385"/>
      <c r="O1081" s="1950"/>
      <c r="P1081" s="1385"/>
    </row>
    <row r="1082" spans="1:16" ht="15.75" x14ac:dyDescent="0.25">
      <c r="A1082" s="1355">
        <v>44781</v>
      </c>
      <c r="B1082" s="1355">
        <v>44781</v>
      </c>
      <c r="C1082" s="3340" t="s">
        <v>4255</v>
      </c>
      <c r="D1082" s="3341"/>
      <c r="E1082" s="1357">
        <v>179.94</v>
      </c>
      <c r="F1082" s="1358">
        <v>3</v>
      </c>
      <c r="G1082" s="1359">
        <f t="shared" si="242"/>
        <v>59.98</v>
      </c>
      <c r="H1082" s="1247" t="s">
        <v>1489</v>
      </c>
      <c r="I1082" s="1321"/>
      <c r="J1082" s="1360"/>
      <c r="K1082" s="1385"/>
      <c r="L1082" s="1385"/>
      <c r="M1082" s="1281"/>
      <c r="N1082" s="1385"/>
      <c r="O1082" s="1281"/>
      <c r="P1082" s="1383"/>
    </row>
    <row r="1083" spans="1:16" ht="15.75" x14ac:dyDescent="0.25">
      <c r="A1083" s="1355">
        <v>44789</v>
      </c>
      <c r="B1083" s="1355">
        <v>44789</v>
      </c>
      <c r="C1083" s="3340" t="s">
        <v>4256</v>
      </c>
      <c r="D1083" s="3341"/>
      <c r="E1083" s="1357">
        <v>129.66999999999999</v>
      </c>
      <c r="F1083" s="1358">
        <v>2</v>
      </c>
      <c r="G1083" s="1359">
        <f t="shared" si="242"/>
        <v>64.834999999999994</v>
      </c>
      <c r="H1083" s="1247" t="s">
        <v>1506</v>
      </c>
      <c r="I1083" s="1321"/>
      <c r="J1083" s="1360"/>
      <c r="K1083" s="1385"/>
      <c r="L1083" s="1385"/>
      <c r="M1083" s="1281"/>
      <c r="N1083" s="1385"/>
      <c r="O1083" s="1281"/>
      <c r="P1083" s="1383"/>
    </row>
    <row r="1084" spans="1:16" ht="15.75" x14ac:dyDescent="0.25">
      <c r="A1084" s="1355">
        <v>44804</v>
      </c>
      <c r="B1084" s="1355">
        <v>44804</v>
      </c>
      <c r="C1084" s="3340" t="s">
        <v>4257</v>
      </c>
      <c r="D1084" s="3341"/>
      <c r="E1084" s="1357">
        <v>124.5</v>
      </c>
      <c r="F1084" s="1358">
        <v>3</v>
      </c>
      <c r="G1084" s="1359">
        <f t="shared" si="242"/>
        <v>41.5</v>
      </c>
      <c r="H1084" s="1247" t="s">
        <v>1506</v>
      </c>
      <c r="I1084" s="1321"/>
      <c r="J1084" s="1360"/>
      <c r="K1084" s="1385"/>
      <c r="L1084" s="1385"/>
      <c r="M1084" s="1281"/>
      <c r="N1084" s="1385"/>
      <c r="O1084" s="1281"/>
      <c r="P1084" s="1383"/>
    </row>
    <row r="1085" spans="1:16" ht="15.75" x14ac:dyDescent="0.25">
      <c r="A1085" s="1355">
        <v>44780</v>
      </c>
      <c r="B1085" s="1355">
        <v>44780</v>
      </c>
      <c r="C1085" s="3340" t="s">
        <v>4258</v>
      </c>
      <c r="D1085" s="3341"/>
      <c r="E1085" s="1357">
        <v>29.9</v>
      </c>
      <c r="F1085" s="1358">
        <v>1</v>
      </c>
      <c r="G1085" s="1359">
        <f t="shared" si="242"/>
        <v>29.9</v>
      </c>
      <c r="H1085" s="1247" t="s">
        <v>1522</v>
      </c>
      <c r="I1085" s="1321"/>
      <c r="J1085" s="1360"/>
      <c r="K1085" s="1385"/>
      <c r="L1085" s="1385"/>
      <c r="M1085" s="1281"/>
      <c r="N1085" s="1385"/>
      <c r="O1085" s="1281"/>
      <c r="P1085" s="1383"/>
    </row>
    <row r="1086" spans="1:16" ht="15.75" x14ac:dyDescent="0.25">
      <c r="A1086" s="1355">
        <v>44780</v>
      </c>
      <c r="B1086" s="1355">
        <v>44780</v>
      </c>
      <c r="C1086" s="3340" t="s">
        <v>4259</v>
      </c>
      <c r="D1086" s="3341"/>
      <c r="E1086" s="1357">
        <v>27</v>
      </c>
      <c r="F1086" s="1358">
        <v>1</v>
      </c>
      <c r="G1086" s="1359">
        <f t="shared" si="242"/>
        <v>27</v>
      </c>
      <c r="H1086" s="1247" t="s">
        <v>1525</v>
      </c>
      <c r="I1086" s="1321"/>
      <c r="J1086" s="1360"/>
      <c r="K1086" s="1385"/>
      <c r="L1086" s="1385"/>
      <c r="M1086" s="1281"/>
      <c r="N1086" s="1385"/>
      <c r="O1086" s="1281"/>
      <c r="P1086" s="1383"/>
    </row>
    <row r="1087" spans="1:16" ht="15.75" x14ac:dyDescent="0.25">
      <c r="A1087" s="1355">
        <v>44780</v>
      </c>
      <c r="B1087" s="1355">
        <v>44780</v>
      </c>
      <c r="C1087" s="3340" t="s">
        <v>4260</v>
      </c>
      <c r="D1087" s="3341"/>
      <c r="E1087" s="1357">
        <v>139.43</v>
      </c>
      <c r="F1087" s="1358">
        <v>1</v>
      </c>
      <c r="G1087" s="1359">
        <f t="shared" si="242"/>
        <v>139.43</v>
      </c>
      <c r="H1087" s="1247" t="s">
        <v>1491</v>
      </c>
      <c r="I1087" s="1321"/>
      <c r="J1087" s="1360"/>
      <c r="K1087" s="1385"/>
      <c r="L1087" s="1385"/>
      <c r="M1087" s="1281"/>
      <c r="N1087" s="1385"/>
      <c r="O1087" s="1281"/>
      <c r="P1087" s="1383"/>
    </row>
    <row r="1088" spans="1:16" ht="15" customHeight="1" x14ac:dyDescent="0.25">
      <c r="A1088" s="1355">
        <v>44816</v>
      </c>
      <c r="B1088" s="1355">
        <v>44816</v>
      </c>
      <c r="C1088" s="3340" t="s">
        <v>4261</v>
      </c>
      <c r="D1088" s="3341"/>
      <c r="E1088" s="1357">
        <v>120</v>
      </c>
      <c r="F1088" s="1358">
        <v>2</v>
      </c>
      <c r="G1088" s="1359">
        <f t="shared" si="242"/>
        <v>60</v>
      </c>
      <c r="H1088" s="1247" t="s">
        <v>1525</v>
      </c>
      <c r="I1088" s="1321"/>
      <c r="J1088" s="1360"/>
      <c r="K1088" s="1385"/>
      <c r="L1088" s="1385"/>
      <c r="M1088" s="1281"/>
      <c r="N1088" s="1385"/>
      <c r="O1088" s="1281"/>
      <c r="P1088" s="1383"/>
    </row>
    <row r="1089" spans="1:16" ht="15.75" x14ac:dyDescent="0.25">
      <c r="A1089" s="1402"/>
      <c r="B1089" s="1402"/>
      <c r="C1089" s="3381"/>
      <c r="D1089" s="3382"/>
      <c r="E1089" s="1372"/>
      <c r="F1089" s="1373"/>
      <c r="G1089" s="1374"/>
      <c r="I1089" s="1345"/>
      <c r="J1089" s="1360"/>
      <c r="K1089" s="1382"/>
      <c r="L1089" s="1382"/>
      <c r="M1089" s="1350"/>
      <c r="N1089" s="1382"/>
      <c r="O1089" s="1350"/>
      <c r="P1089" s="1383"/>
    </row>
    <row r="1090" spans="1:16" ht="15.75" x14ac:dyDescent="0.25">
      <c r="A1090" s="3356" t="s">
        <v>4071</v>
      </c>
      <c r="B1090" s="3357"/>
      <c r="C1090" s="3357"/>
      <c r="D1090" s="3357"/>
      <c r="E1090" s="1396">
        <v>3850</v>
      </c>
      <c r="F1090" s="3366"/>
      <c r="G1090" s="3367"/>
      <c r="J1090" s="1382"/>
      <c r="K1090" s="1385"/>
      <c r="L1090" s="1385"/>
      <c r="M1090" s="1950"/>
      <c r="N1090" s="1385"/>
      <c r="O1090" s="1950"/>
      <c r="P1090" s="1393"/>
    </row>
    <row r="1091" spans="1:16" ht="15.75" x14ac:dyDescent="0.25">
      <c r="A1091" s="3358" t="s">
        <v>4072</v>
      </c>
      <c r="B1091" s="3359"/>
      <c r="C1091" s="3359"/>
      <c r="D1091" s="3359"/>
      <c r="E1091" s="1397">
        <v>1137.32</v>
      </c>
      <c r="F1091" s="3368"/>
      <c r="G1091" s="3369"/>
      <c r="H1091" s="1247" t="s">
        <v>280</v>
      </c>
      <c r="J1091" s="1385"/>
    </row>
    <row r="1092" spans="1:16" ht="15.75" x14ac:dyDescent="0.25">
      <c r="A1092" s="3356" t="s">
        <v>4073</v>
      </c>
      <c r="B1092" s="3357"/>
      <c r="C1092" s="3357"/>
      <c r="D1092" s="3357"/>
      <c r="E1092" s="1396">
        <f>G1109</f>
        <v>314.26</v>
      </c>
      <c r="F1092" s="3368"/>
      <c r="G1092" s="3369"/>
      <c r="J1092" s="1382"/>
      <c r="K1092" s="1350"/>
      <c r="L1092" s="1350"/>
      <c r="M1092" s="1274"/>
      <c r="N1092" s="1350"/>
      <c r="O1092" s="1274"/>
    </row>
    <row r="1093" spans="1:16" ht="15.75" x14ac:dyDescent="0.25">
      <c r="A1093" s="3358" t="s">
        <v>4074</v>
      </c>
      <c r="B1093" s="3359"/>
      <c r="C1093" s="3359"/>
      <c r="D1093" s="3359"/>
      <c r="E1093" s="3359"/>
      <c r="F1093" s="3360"/>
      <c r="G1093" s="1387">
        <f>SUM(G1078:G1089)</f>
        <v>468.83499999999998</v>
      </c>
      <c r="H1093" s="1348">
        <v>0</v>
      </c>
      <c r="J1093" s="1385"/>
      <c r="K1093" s="1385"/>
      <c r="L1093" s="1385"/>
      <c r="M1093" s="1394"/>
      <c r="N1093" s="1385"/>
      <c r="O1093" s="1394"/>
    </row>
    <row r="1094" spans="1:16" ht="17.25" customHeight="1" thickBot="1" x14ac:dyDescent="0.3">
      <c r="A1094" s="3356" t="s">
        <v>4075</v>
      </c>
      <c r="B1094" s="3357"/>
      <c r="C1094" s="3357"/>
      <c r="D1094" s="3357"/>
      <c r="E1094" s="1388">
        <f>E1090-E1091</f>
        <v>2712.6800000000003</v>
      </c>
      <c r="G1094" s="1389"/>
      <c r="J1094" s="1382"/>
      <c r="K1094" s="1390"/>
      <c r="L1094" s="1390"/>
      <c r="M1094" s="1389"/>
      <c r="N1094" s="1390"/>
      <c r="O1094" s="1389"/>
    </row>
    <row r="1095" spans="1:16" ht="16.5" customHeight="1" thickBot="1" x14ac:dyDescent="0.3"/>
    <row r="1096" spans="1:16" ht="19.5" thickBot="1" x14ac:dyDescent="0.35">
      <c r="A1096" s="3361" t="s">
        <v>4262</v>
      </c>
      <c r="B1096" s="3362"/>
      <c r="C1096" s="3362"/>
      <c r="D1096" s="3362"/>
      <c r="E1096" s="3362"/>
      <c r="F1096" s="3362"/>
      <c r="G1096" s="3363"/>
      <c r="J1096" s="1354"/>
      <c r="K1096" s="1354"/>
      <c r="L1096" s="1354"/>
      <c r="M1096" s="1951"/>
      <c r="N1096" s="1354"/>
      <c r="O1096" s="1951"/>
      <c r="P1096" s="1354"/>
    </row>
    <row r="1097" spans="1:16" ht="16.5" thickBot="1" x14ac:dyDescent="0.3">
      <c r="A1097" s="1361" t="s">
        <v>4206</v>
      </c>
      <c r="B1097" s="1361" t="s">
        <v>4206</v>
      </c>
      <c r="C1097" s="3370" t="s">
        <v>3</v>
      </c>
      <c r="D1097" s="3371"/>
      <c r="E1097" s="1363" t="s">
        <v>4190</v>
      </c>
      <c r="F1097" s="1363" t="s">
        <v>4191</v>
      </c>
      <c r="G1097" s="1364" t="s">
        <v>4207</v>
      </c>
      <c r="J1097" s="1391"/>
      <c r="K1097" s="1395"/>
      <c r="L1097" s="1395"/>
      <c r="M1097" s="1391"/>
      <c r="N1097" s="1395"/>
      <c r="O1097" s="1391"/>
      <c r="P1097" s="1391"/>
    </row>
    <row r="1098" spans="1:16" x14ac:dyDescent="0.25">
      <c r="A1098" s="1355">
        <v>44744</v>
      </c>
      <c r="B1098" s="1355">
        <v>44744</v>
      </c>
      <c r="C1098" s="3340" t="s">
        <v>4263</v>
      </c>
      <c r="D1098" s="3341"/>
      <c r="E1098" s="1357">
        <v>500</v>
      </c>
      <c r="F1098" s="1358">
        <v>2</v>
      </c>
      <c r="G1098" s="1359">
        <f>E1098/F1098</f>
        <v>250</v>
      </c>
      <c r="H1098" s="1247" t="s">
        <v>1525</v>
      </c>
      <c r="I1098" s="1321"/>
      <c r="J1098" s="1360"/>
      <c r="K1098" s="1398"/>
      <c r="L1098" s="1398"/>
      <c r="M1098" s="1321"/>
      <c r="N1098" s="1398"/>
      <c r="O1098" s="1321"/>
      <c r="P1098" s="1336"/>
    </row>
    <row r="1099" spans="1:16" x14ac:dyDescent="0.25">
      <c r="A1099" s="1355">
        <v>44748</v>
      </c>
      <c r="B1099" s="1355">
        <v>44748</v>
      </c>
      <c r="C1099" s="3340" t="s">
        <v>3426</v>
      </c>
      <c r="D1099" s="3341"/>
      <c r="E1099" s="1357">
        <v>214</v>
      </c>
      <c r="F1099" s="1358">
        <v>4</v>
      </c>
      <c r="G1099" s="1359">
        <v>0</v>
      </c>
      <c r="H1099" s="1247" t="s">
        <v>4264</v>
      </c>
      <c r="I1099" s="1321"/>
      <c r="J1099" s="1360"/>
      <c r="K1099" s="1398"/>
      <c r="L1099" s="1398"/>
      <c r="M1099" s="1321"/>
      <c r="N1099" s="1398"/>
      <c r="O1099" s="1321"/>
      <c r="P1099" s="1336"/>
    </row>
    <row r="1100" spans="1:16" ht="15.75" x14ac:dyDescent="0.25">
      <c r="A1100" s="1355">
        <v>44754</v>
      </c>
      <c r="B1100" s="1355">
        <v>44754</v>
      </c>
      <c r="C1100" s="3340" t="s">
        <v>3427</v>
      </c>
      <c r="D1100" s="3341"/>
      <c r="E1100" s="1357">
        <v>149.82</v>
      </c>
      <c r="F1100" s="1358">
        <v>3</v>
      </c>
      <c r="G1100" s="1359">
        <v>0</v>
      </c>
      <c r="H1100" s="1247" t="s">
        <v>4265</v>
      </c>
      <c r="I1100" s="1321"/>
      <c r="J1100" s="1360"/>
      <c r="K1100" s="1382"/>
      <c r="L1100" s="1382"/>
      <c r="M1100" s="1350"/>
      <c r="N1100" s="1382"/>
      <c r="O1100" s="1350"/>
      <c r="P1100" s="1383"/>
    </row>
    <row r="1101" spans="1:16" ht="15.75" x14ac:dyDescent="0.25">
      <c r="A1101" s="1819">
        <v>44754</v>
      </c>
      <c r="B1101" s="1819">
        <v>44754</v>
      </c>
      <c r="C1101" s="3393" t="s">
        <v>4266</v>
      </c>
      <c r="D1101" s="3394"/>
      <c r="E1101" s="1400">
        <v>138.57</v>
      </c>
      <c r="F1101" s="1401">
        <v>3</v>
      </c>
      <c r="G1101" s="1359">
        <f>E1101/F1101</f>
        <v>46.19</v>
      </c>
      <c r="H1101" s="1273"/>
      <c r="I1101" s="1321"/>
      <c r="J1101" s="1360"/>
      <c r="K1101" s="1385"/>
      <c r="L1101" s="1385"/>
      <c r="M1101" s="1950"/>
      <c r="N1101" s="1385"/>
      <c r="O1101" s="1950"/>
      <c r="P1101" s="1385"/>
    </row>
    <row r="1102" spans="1:16" ht="15.75" x14ac:dyDescent="0.25">
      <c r="A1102" s="1819">
        <v>44754</v>
      </c>
      <c r="B1102" s="1819">
        <v>44754</v>
      </c>
      <c r="C1102" s="3393" t="s">
        <v>4267</v>
      </c>
      <c r="D1102" s="3394"/>
      <c r="E1102" s="1400">
        <v>-126.93</v>
      </c>
      <c r="F1102" s="1401">
        <v>1</v>
      </c>
      <c r="G1102" s="1359">
        <f>E1102/F1102</f>
        <v>-126.93</v>
      </c>
      <c r="H1102" s="1273"/>
      <c r="I1102" s="1321"/>
      <c r="J1102" s="1360"/>
      <c r="K1102" s="1385"/>
      <c r="L1102" s="1385"/>
      <c r="M1102" s="1950"/>
      <c r="N1102" s="1385"/>
      <c r="O1102" s="1950"/>
      <c r="P1102" s="1385"/>
    </row>
    <row r="1103" spans="1:16" ht="14.25" customHeight="1" x14ac:dyDescent="0.25">
      <c r="A1103" s="1355">
        <v>44754</v>
      </c>
      <c r="B1103" s="1355">
        <v>44754</v>
      </c>
      <c r="C1103" s="3340" t="s">
        <v>3428</v>
      </c>
      <c r="D1103" s="3341"/>
      <c r="E1103" s="1357">
        <v>49.8</v>
      </c>
      <c r="F1103" s="1358">
        <v>3</v>
      </c>
      <c r="G1103" s="1359">
        <v>0</v>
      </c>
      <c r="H1103" s="1247" t="s">
        <v>4268</v>
      </c>
      <c r="I1103" s="1321"/>
      <c r="J1103" s="1360"/>
      <c r="K1103" s="1398"/>
      <c r="L1103" s="1398"/>
      <c r="M1103" s="1321"/>
      <c r="N1103" s="1398"/>
      <c r="O1103" s="1321"/>
      <c r="P1103" s="1336"/>
    </row>
    <row r="1104" spans="1:16" ht="15.75" x14ac:dyDescent="0.25">
      <c r="A1104" s="1355">
        <v>44755</v>
      </c>
      <c r="B1104" s="1355">
        <v>44755</v>
      </c>
      <c r="C1104" s="3340" t="s">
        <v>4269</v>
      </c>
      <c r="D1104" s="3341"/>
      <c r="E1104" s="1357">
        <v>170</v>
      </c>
      <c r="F1104" s="1358">
        <v>2</v>
      </c>
      <c r="G1104" s="1359">
        <f>E1104/F1104</f>
        <v>85</v>
      </c>
      <c r="H1104" s="1247" t="s">
        <v>1522</v>
      </c>
      <c r="I1104" s="1321"/>
      <c r="J1104" s="1360"/>
      <c r="K1104" s="1382"/>
      <c r="L1104" s="1382"/>
      <c r="M1104" s="1350"/>
      <c r="N1104" s="1382"/>
      <c r="O1104" s="1350"/>
      <c r="P1104" s="1383"/>
    </row>
    <row r="1105" spans="1:16" ht="15.75" x14ac:dyDescent="0.25">
      <c r="A1105" s="1355">
        <v>44782</v>
      </c>
      <c r="B1105" s="1355">
        <v>44782</v>
      </c>
      <c r="C1105" s="3340" t="s">
        <v>4270</v>
      </c>
      <c r="D1105" s="3341"/>
      <c r="E1105" s="1357">
        <v>180</v>
      </c>
      <c r="F1105" s="1358">
        <v>3</v>
      </c>
      <c r="G1105" s="1359">
        <f>E1105/F1105</f>
        <v>60</v>
      </c>
      <c r="H1105" s="1247" t="s">
        <v>1489</v>
      </c>
      <c r="I1105" s="1321"/>
      <c r="J1105" s="1360"/>
      <c r="K1105" s="1385"/>
      <c r="L1105" s="1385"/>
      <c r="M1105" s="1281"/>
      <c r="N1105" s="1385"/>
      <c r="O1105" s="1281"/>
      <c r="P1105" s="1383"/>
    </row>
    <row r="1106" spans="1:16" ht="15.75" x14ac:dyDescent="0.25">
      <c r="A1106" s="3356" t="s">
        <v>4071</v>
      </c>
      <c r="B1106" s="3357"/>
      <c r="C1106" s="3357"/>
      <c r="D1106" s="3357"/>
      <c r="E1106" s="1396">
        <v>3850</v>
      </c>
      <c r="F1106" s="3366"/>
      <c r="G1106" s="3367"/>
      <c r="J1106" s="1382"/>
      <c r="K1106" s="1385"/>
      <c r="L1106" s="1385"/>
      <c r="M1106" s="1950"/>
      <c r="N1106" s="1385"/>
      <c r="O1106" s="1950"/>
      <c r="P1106" s="1393"/>
    </row>
    <row r="1107" spans="1:16" ht="15.75" x14ac:dyDescent="0.25">
      <c r="A1107" s="3358" t="s">
        <v>4072</v>
      </c>
      <c r="B1107" s="3359"/>
      <c r="C1107" s="3359"/>
      <c r="D1107" s="3359"/>
      <c r="E1107" s="1397">
        <v>720.96</v>
      </c>
      <c r="F1107" s="3368"/>
      <c r="G1107" s="3369"/>
      <c r="H1107" s="1247" t="s">
        <v>280</v>
      </c>
      <c r="J1107" s="1385"/>
    </row>
    <row r="1108" spans="1:16" ht="15.75" x14ac:dyDescent="0.25">
      <c r="A1108" s="3356" t="s">
        <v>4073</v>
      </c>
      <c r="B1108" s="3357"/>
      <c r="C1108" s="3357"/>
      <c r="D1108" s="3357"/>
      <c r="E1108" s="1396">
        <f>G1130</f>
        <v>506.98</v>
      </c>
      <c r="F1108" s="3368"/>
      <c r="G1108" s="3369"/>
      <c r="J1108" s="1382"/>
      <c r="K1108" s="1350"/>
      <c r="L1108" s="1350"/>
      <c r="M1108" s="1274"/>
      <c r="N1108" s="1350"/>
      <c r="O1108" s="1274"/>
    </row>
    <row r="1109" spans="1:16" ht="15.75" x14ac:dyDescent="0.25">
      <c r="A1109" s="3358" t="s">
        <v>4074</v>
      </c>
      <c r="B1109" s="3359"/>
      <c r="C1109" s="3359"/>
      <c r="D1109" s="3359"/>
      <c r="E1109" s="3359"/>
      <c r="F1109" s="3360"/>
      <c r="G1109" s="1387">
        <f>SUM(G1098:G1105)</f>
        <v>314.26</v>
      </c>
      <c r="H1109" s="1348">
        <v>0</v>
      </c>
      <c r="J1109" s="1385"/>
      <c r="K1109" s="1385"/>
      <c r="L1109" s="1385"/>
      <c r="M1109" s="1394"/>
      <c r="N1109" s="1385"/>
      <c r="O1109" s="1394"/>
    </row>
    <row r="1110" spans="1:16" ht="17.25" customHeight="1" thickBot="1" x14ac:dyDescent="0.3">
      <c r="A1110" s="3356" t="s">
        <v>4075</v>
      </c>
      <c r="B1110" s="3357"/>
      <c r="C1110" s="3357"/>
      <c r="D1110" s="3357"/>
      <c r="E1110" s="1388">
        <f>E1106-E1107</f>
        <v>3129.04</v>
      </c>
      <c r="G1110" s="1389"/>
      <c r="J1110" s="1382"/>
      <c r="K1110" s="1390"/>
      <c r="L1110" s="1390"/>
      <c r="M1110" s="1389"/>
      <c r="N1110" s="1390"/>
      <c r="O1110" s="1389"/>
    </row>
    <row r="1111" spans="1:16" ht="16.5" customHeight="1" thickBot="1" x14ac:dyDescent="0.3"/>
    <row r="1112" spans="1:16" ht="19.5" thickBot="1" x14ac:dyDescent="0.35">
      <c r="A1112" s="3361" t="s">
        <v>4271</v>
      </c>
      <c r="B1112" s="3362"/>
      <c r="C1112" s="3362"/>
      <c r="D1112" s="3362"/>
      <c r="E1112" s="3362"/>
      <c r="F1112" s="3362"/>
      <c r="G1112" s="3363"/>
      <c r="J1112" s="1354"/>
      <c r="K1112" s="3362"/>
      <c r="L1112" s="3362"/>
      <c r="M1112" s="3362"/>
      <c r="N1112" s="1944"/>
      <c r="O1112" s="1944"/>
      <c r="P1112" s="1944"/>
    </row>
    <row r="1113" spans="1:16" ht="16.5" thickBot="1" x14ac:dyDescent="0.3">
      <c r="A1113" s="1361" t="s">
        <v>4206</v>
      </c>
      <c r="B1113" s="1361" t="s">
        <v>4206</v>
      </c>
      <c r="C1113" s="3370" t="s">
        <v>3</v>
      </c>
      <c r="D1113" s="3371"/>
      <c r="E1113" s="1363" t="s">
        <v>4190</v>
      </c>
      <c r="F1113" s="1363" t="s">
        <v>4191</v>
      </c>
      <c r="G1113" s="1364" t="s">
        <v>4207</v>
      </c>
      <c r="J1113" s="1391"/>
      <c r="K1113" s="1362" t="s">
        <v>3</v>
      </c>
      <c r="L1113" s="1362"/>
      <c r="M1113" s="1363" t="s">
        <v>4190</v>
      </c>
      <c r="N1113" s="1362" t="s">
        <v>3</v>
      </c>
      <c r="O1113" s="1363" t="s">
        <v>4190</v>
      </c>
      <c r="P1113" s="1363" t="s">
        <v>4191</v>
      </c>
    </row>
    <row r="1114" spans="1:16" x14ac:dyDescent="0.25">
      <c r="A1114" s="1355">
        <v>44698</v>
      </c>
      <c r="B1114" s="1355">
        <v>44698</v>
      </c>
      <c r="C1114" s="3340" t="s">
        <v>3386</v>
      </c>
      <c r="D1114" s="3341"/>
      <c r="E1114" s="1357">
        <v>142</v>
      </c>
      <c r="F1114" s="1358">
        <v>2</v>
      </c>
      <c r="G1114" s="1359">
        <v>0</v>
      </c>
      <c r="H1114" s="1247" t="s">
        <v>4272</v>
      </c>
      <c r="I1114" s="1321"/>
      <c r="J1114" s="1360"/>
      <c r="K1114" s="1365" t="s">
        <v>4273</v>
      </c>
      <c r="L1114" s="1365"/>
      <c r="M1114" s="1366">
        <v>200</v>
      </c>
      <c r="N1114" s="1365" t="s">
        <v>4273</v>
      </c>
      <c r="O1114" s="1366">
        <v>200</v>
      </c>
      <c r="P1114" s="1367">
        <v>2</v>
      </c>
    </row>
    <row r="1115" spans="1:16" x14ac:dyDescent="0.25">
      <c r="A1115" s="1355">
        <v>44734</v>
      </c>
      <c r="B1115" s="1355">
        <v>44734</v>
      </c>
      <c r="C1115" s="3340" t="s">
        <v>4274</v>
      </c>
      <c r="D1115" s="3341"/>
      <c r="E1115" s="1357">
        <v>31.9</v>
      </c>
      <c r="F1115" s="1358">
        <v>1</v>
      </c>
      <c r="G1115" s="1359">
        <v>0</v>
      </c>
      <c r="H1115" s="1247" t="s">
        <v>4275</v>
      </c>
      <c r="I1115" s="1321"/>
      <c r="J1115" s="1360"/>
      <c r="K1115" s="1356"/>
      <c r="L1115" s="1356"/>
      <c r="M1115" s="1357"/>
      <c r="N1115" s="1356"/>
      <c r="O1115" s="1357"/>
      <c r="P1115" s="1358"/>
    </row>
    <row r="1116" spans="1:16" x14ac:dyDescent="0.25">
      <c r="A1116" s="1355">
        <v>44735</v>
      </c>
      <c r="B1116" s="1355">
        <v>44735</v>
      </c>
      <c r="C1116" s="3340" t="s">
        <v>3388</v>
      </c>
      <c r="D1116" s="3341"/>
      <c r="E1116" s="1357">
        <v>20.9</v>
      </c>
      <c r="F1116" s="1358">
        <v>1</v>
      </c>
      <c r="G1116" s="1359">
        <v>0</v>
      </c>
      <c r="H1116" s="1247" t="s">
        <v>4276</v>
      </c>
      <c r="I1116" s="1321"/>
      <c r="J1116" s="1360"/>
      <c r="K1116" s="1356"/>
      <c r="L1116" s="1356"/>
      <c r="M1116" s="1357"/>
      <c r="N1116" s="1356"/>
      <c r="O1116" s="1357"/>
      <c r="P1116" s="1358"/>
    </row>
    <row r="1117" spans="1:16" x14ac:dyDescent="0.25">
      <c r="A1117" s="1355">
        <v>44739</v>
      </c>
      <c r="B1117" s="1355">
        <v>44739</v>
      </c>
      <c r="C1117" s="3340" t="s">
        <v>3389</v>
      </c>
      <c r="D1117" s="3341"/>
      <c r="E1117" s="1357">
        <v>76</v>
      </c>
      <c r="F1117" s="1358">
        <v>1</v>
      </c>
      <c r="G1117" s="1359">
        <v>0</v>
      </c>
      <c r="H1117" s="1247" t="s">
        <v>4277</v>
      </c>
      <c r="I1117" s="1321"/>
      <c r="J1117" s="1360"/>
      <c r="K1117" s="1356"/>
      <c r="L1117" s="1356"/>
      <c r="M1117" s="1357"/>
      <c r="N1117" s="1356"/>
      <c r="O1117" s="1357"/>
      <c r="P1117" s="1358"/>
    </row>
    <row r="1118" spans="1:16" x14ac:dyDescent="0.25">
      <c r="A1118" s="1355">
        <v>44739</v>
      </c>
      <c r="B1118" s="1355">
        <v>44739</v>
      </c>
      <c r="C1118" s="3340" t="s">
        <v>3390</v>
      </c>
      <c r="D1118" s="3341"/>
      <c r="E1118" s="1357">
        <v>15.3</v>
      </c>
      <c r="F1118" s="1358">
        <v>1</v>
      </c>
      <c r="G1118" s="1359">
        <v>0</v>
      </c>
      <c r="H1118" s="1247" t="s">
        <v>4278</v>
      </c>
      <c r="I1118" s="1321"/>
      <c r="J1118" s="1360"/>
      <c r="K1118" s="1356"/>
      <c r="L1118" s="1356"/>
      <c r="M1118" s="1357"/>
      <c r="N1118" s="1356"/>
      <c r="O1118" s="1357"/>
      <c r="P1118" s="1358"/>
    </row>
    <row r="1119" spans="1:16" x14ac:dyDescent="0.25">
      <c r="A1119" s="1355">
        <v>44739</v>
      </c>
      <c r="B1119" s="1355">
        <v>44739</v>
      </c>
      <c r="C1119" s="3340" t="s">
        <v>3391</v>
      </c>
      <c r="D1119" s="3341"/>
      <c r="E1119" s="1357">
        <v>74.31</v>
      </c>
      <c r="F1119" s="1358">
        <v>1</v>
      </c>
      <c r="G1119" s="1359">
        <v>0</v>
      </c>
      <c r="H1119" s="1247" t="s">
        <v>4279</v>
      </c>
      <c r="I1119" s="1321"/>
      <c r="J1119" s="1360"/>
      <c r="K1119" s="1371"/>
      <c r="L1119" s="1371"/>
      <c r="M1119" s="1372"/>
      <c r="N1119" s="1371"/>
      <c r="O1119" s="1372"/>
      <c r="P1119" s="1373"/>
    </row>
    <row r="1120" spans="1:16" x14ac:dyDescent="0.25">
      <c r="A1120" s="1355">
        <v>44744</v>
      </c>
      <c r="B1120" s="1355">
        <v>44744</v>
      </c>
      <c r="C1120" s="3340" t="s">
        <v>4280</v>
      </c>
      <c r="D1120" s="3341"/>
      <c r="E1120" s="1357">
        <v>500</v>
      </c>
      <c r="F1120" s="1358">
        <v>2</v>
      </c>
      <c r="G1120" s="1359">
        <f t="shared" ref="G1120:G1126" si="243">E1120/F1120</f>
        <v>250</v>
      </c>
      <c r="H1120" s="1247" t="s">
        <v>1525</v>
      </c>
      <c r="I1120" s="1321"/>
      <c r="J1120" s="1360"/>
      <c r="K1120" s="1378"/>
      <c r="L1120" s="1378"/>
      <c r="M1120" s="1379"/>
      <c r="N1120" s="1378"/>
      <c r="O1120" s="1379"/>
      <c r="P1120" s="1380"/>
    </row>
    <row r="1121" spans="1:16" ht="15.75" x14ac:dyDescent="0.25">
      <c r="A1121" s="1355">
        <v>44744</v>
      </c>
      <c r="B1121" s="1355">
        <v>44744</v>
      </c>
      <c r="C1121" s="3340" t="s">
        <v>4281</v>
      </c>
      <c r="D1121" s="3341"/>
      <c r="E1121" s="1372">
        <v>5.75</v>
      </c>
      <c r="F1121" s="1373">
        <v>1</v>
      </c>
      <c r="G1121" s="1359">
        <f t="shared" si="243"/>
        <v>5.75</v>
      </c>
      <c r="H1121" s="1247" t="s">
        <v>1525</v>
      </c>
      <c r="I1121" s="1345"/>
      <c r="J1121" s="1360"/>
      <c r="K1121" s="1936"/>
      <c r="L1121" s="1936"/>
      <c r="M1121" s="1396">
        <v>820</v>
      </c>
      <c r="N1121" s="1936"/>
      <c r="O1121" s="1396">
        <v>820</v>
      </c>
      <c r="P1121" s="1383"/>
    </row>
    <row r="1122" spans="1:16" ht="15.75" x14ac:dyDescent="0.25">
      <c r="A1122" s="1355">
        <v>44748</v>
      </c>
      <c r="B1122" s="1355">
        <v>44748</v>
      </c>
      <c r="C1122" s="3340" t="s">
        <v>4282</v>
      </c>
      <c r="D1122" s="3341"/>
      <c r="E1122" s="1357">
        <v>214</v>
      </c>
      <c r="F1122" s="1358">
        <v>4</v>
      </c>
      <c r="G1122" s="1359">
        <f t="shared" si="243"/>
        <v>53.5</v>
      </c>
      <c r="H1122" s="1247" t="s">
        <v>1504</v>
      </c>
      <c r="I1122" s="1321"/>
      <c r="J1122" s="1360"/>
      <c r="K1122" s="1937"/>
      <c r="L1122" s="1937"/>
      <c r="M1122" s="1397">
        <v>200</v>
      </c>
      <c r="N1122" s="1937"/>
      <c r="O1122" s="1397">
        <v>200</v>
      </c>
      <c r="P1122" s="1383"/>
    </row>
    <row r="1123" spans="1:16" ht="15.75" x14ac:dyDescent="0.25">
      <c r="A1123" s="1355">
        <v>44754</v>
      </c>
      <c r="B1123" s="1355">
        <v>44754</v>
      </c>
      <c r="C1123" s="3340" t="s">
        <v>4158</v>
      </c>
      <c r="D1123" s="3341"/>
      <c r="E1123" s="1357">
        <v>149.82</v>
      </c>
      <c r="F1123" s="1358">
        <v>3</v>
      </c>
      <c r="G1123" s="1359">
        <f t="shared" si="243"/>
        <v>49.94</v>
      </c>
      <c r="H1123" s="1247" t="s">
        <v>1522</v>
      </c>
      <c r="I1123" s="1321"/>
      <c r="J1123" s="1360"/>
      <c r="K1123" s="1936"/>
      <c r="L1123" s="1936"/>
      <c r="M1123" s="1396">
        <f>M1121-M1122</f>
        <v>620</v>
      </c>
      <c r="N1123" s="1936"/>
      <c r="O1123" s="1396">
        <f>O1121-O1122</f>
        <v>620</v>
      </c>
      <c r="P1123" s="1383"/>
    </row>
    <row r="1124" spans="1:16" ht="15.75" x14ac:dyDescent="0.25">
      <c r="A1124" s="1818">
        <v>44754</v>
      </c>
      <c r="B1124" s="1818">
        <v>44754</v>
      </c>
      <c r="C1124" s="3364" t="s">
        <v>4283</v>
      </c>
      <c r="D1124" s="3365"/>
      <c r="E1124" s="1403">
        <v>138.57</v>
      </c>
      <c r="F1124" s="1404">
        <v>3</v>
      </c>
      <c r="G1124" s="1405">
        <f t="shared" si="243"/>
        <v>46.19</v>
      </c>
      <c r="H1124" s="1406" t="s">
        <v>1522</v>
      </c>
      <c r="I1124" s="1321"/>
      <c r="J1124" s="1360"/>
      <c r="K1124" s="3359"/>
      <c r="L1124" s="3359"/>
      <c r="M1124" s="3359"/>
      <c r="N1124" s="3359"/>
      <c r="O1124" s="3359"/>
      <c r="P1124" s="3360"/>
    </row>
    <row r="1125" spans="1:16" x14ac:dyDescent="0.25">
      <c r="A1125" s="1355">
        <v>44754</v>
      </c>
      <c r="B1125" s="1355">
        <v>44754</v>
      </c>
      <c r="C1125" s="3340" t="s">
        <v>4284</v>
      </c>
      <c r="D1125" s="3341"/>
      <c r="E1125" s="1357">
        <v>49.8</v>
      </c>
      <c r="F1125" s="1358">
        <v>3</v>
      </c>
      <c r="G1125" s="1359">
        <f t="shared" si="243"/>
        <v>16.599999999999998</v>
      </c>
      <c r="H1125" s="1247" t="s">
        <v>1524</v>
      </c>
      <c r="I1125" s="1321"/>
      <c r="J1125" s="1360"/>
    </row>
    <row r="1126" spans="1:16" x14ac:dyDescent="0.25">
      <c r="A1126" s="1355">
        <v>44755</v>
      </c>
      <c r="B1126" s="1355">
        <v>44755</v>
      </c>
      <c r="C1126" s="3340" t="s">
        <v>4285</v>
      </c>
      <c r="D1126" s="3341"/>
      <c r="E1126" s="1357">
        <v>170</v>
      </c>
      <c r="F1126" s="1358">
        <v>2</v>
      </c>
      <c r="G1126" s="1359">
        <f t="shared" si="243"/>
        <v>85</v>
      </c>
      <c r="H1126" s="1247" t="s">
        <v>1522</v>
      </c>
      <c r="I1126" s="1321"/>
      <c r="J1126" s="1360"/>
    </row>
    <row r="1127" spans="1:16" ht="15.75" x14ac:dyDescent="0.25">
      <c r="A1127" s="3356" t="s">
        <v>4071</v>
      </c>
      <c r="B1127" s="3357"/>
      <c r="C1127" s="3357"/>
      <c r="D1127" s="3357"/>
      <c r="E1127" s="1396">
        <v>3850</v>
      </c>
      <c r="F1127" s="3366"/>
      <c r="G1127" s="3367"/>
      <c r="J1127" s="1382"/>
    </row>
    <row r="1128" spans="1:16" ht="15.75" x14ac:dyDescent="0.25">
      <c r="A1128" s="3358" t="s">
        <v>4072</v>
      </c>
      <c r="B1128" s="3359"/>
      <c r="C1128" s="3359"/>
      <c r="D1128" s="3359"/>
      <c r="E1128" s="1397">
        <v>1227.94</v>
      </c>
      <c r="F1128" s="3368"/>
      <c r="G1128" s="3369"/>
      <c r="H1128" s="1247" t="s">
        <v>280</v>
      </c>
      <c r="J1128" s="1385"/>
    </row>
    <row r="1129" spans="1:16" ht="15.75" x14ac:dyDescent="0.25">
      <c r="A1129" s="3356" t="s">
        <v>4073</v>
      </c>
      <c r="B1129" s="3357"/>
      <c r="C1129" s="3357"/>
      <c r="D1129" s="3357"/>
      <c r="E1129" s="1396">
        <v>326.67</v>
      </c>
      <c r="F1129" s="3368"/>
      <c r="G1129" s="3369"/>
      <c r="J1129" s="1382"/>
      <c r="K1129" s="1350"/>
      <c r="L1129" s="1350"/>
      <c r="M1129" s="1274"/>
      <c r="N1129" s="1350"/>
      <c r="O1129" s="1274"/>
    </row>
    <row r="1130" spans="1:16" ht="15.75" x14ac:dyDescent="0.25">
      <c r="A1130" s="3358" t="s">
        <v>4074</v>
      </c>
      <c r="B1130" s="3359"/>
      <c r="C1130" s="3359"/>
      <c r="D1130" s="3359"/>
      <c r="E1130" s="3359"/>
      <c r="F1130" s="3360"/>
      <c r="G1130" s="1387">
        <f>SUM(G1114:G1126)</f>
        <v>506.98</v>
      </c>
      <c r="H1130" s="1348">
        <v>0</v>
      </c>
      <c r="J1130" s="1385"/>
      <c r="K1130" s="1385"/>
      <c r="L1130" s="1385"/>
      <c r="M1130" s="1394"/>
      <c r="N1130" s="1385"/>
      <c r="O1130" s="1394"/>
    </row>
    <row r="1131" spans="1:16" ht="17.25" customHeight="1" thickBot="1" x14ac:dyDescent="0.3">
      <c r="A1131" s="3356" t="s">
        <v>4075</v>
      </c>
      <c r="B1131" s="3357"/>
      <c r="C1131" s="3357"/>
      <c r="D1131" s="3357"/>
      <c r="E1131" s="1388">
        <f>E1127-E1128</f>
        <v>2622.06</v>
      </c>
      <c r="G1131" s="1389"/>
      <c r="J1131" s="1382"/>
      <c r="K1131" s="1390"/>
      <c r="L1131" s="1390"/>
      <c r="M1131" s="1389"/>
      <c r="N1131" s="1390"/>
      <c r="O1131" s="1389"/>
    </row>
    <row r="1132" spans="1:16" ht="16.5" customHeight="1" thickBot="1" x14ac:dyDescent="0.3"/>
    <row r="1133" spans="1:16" ht="19.5" thickBot="1" x14ac:dyDescent="0.35">
      <c r="A1133" s="3361" t="s">
        <v>4286</v>
      </c>
      <c r="B1133" s="3362"/>
      <c r="C1133" s="3362"/>
      <c r="D1133" s="3362"/>
      <c r="E1133" s="3362"/>
      <c r="F1133" s="3362"/>
      <c r="G1133" s="3363"/>
      <c r="J1133" s="1354"/>
      <c r="K1133" s="3362"/>
      <c r="L1133" s="3362"/>
      <c r="M1133" s="3362"/>
      <c r="N1133" s="1944"/>
      <c r="O1133" s="1944"/>
      <c r="P1133" s="1944"/>
    </row>
    <row r="1134" spans="1:16" ht="16.5" thickBot="1" x14ac:dyDescent="0.3">
      <c r="A1134" s="1361" t="s">
        <v>4206</v>
      </c>
      <c r="B1134" s="1361" t="s">
        <v>4206</v>
      </c>
      <c r="C1134" s="3370" t="s">
        <v>3</v>
      </c>
      <c r="D1134" s="3371"/>
      <c r="E1134" s="1363" t="s">
        <v>4190</v>
      </c>
      <c r="F1134" s="1363" t="s">
        <v>4191</v>
      </c>
      <c r="G1134" s="1364" t="s">
        <v>4207</v>
      </c>
      <c r="I1134" s="1336" t="s">
        <v>4208</v>
      </c>
      <c r="J1134" s="1391"/>
      <c r="K1134" s="1362" t="s">
        <v>3</v>
      </c>
      <c r="L1134" s="1362"/>
      <c r="M1134" s="1363" t="s">
        <v>4190</v>
      </c>
      <c r="N1134" s="1362" t="s">
        <v>3</v>
      </c>
      <c r="O1134" s="1363" t="s">
        <v>4190</v>
      </c>
      <c r="P1134" s="1363" t="s">
        <v>4191</v>
      </c>
    </row>
    <row r="1135" spans="1:16" x14ac:dyDescent="0.25">
      <c r="A1135" s="1407">
        <v>44626</v>
      </c>
      <c r="B1135" s="1407">
        <v>44626</v>
      </c>
      <c r="C1135" s="3374" t="s">
        <v>4287</v>
      </c>
      <c r="D1135" s="3375"/>
      <c r="E1135" s="1372">
        <v>299.7</v>
      </c>
      <c r="F1135" s="1373">
        <v>3</v>
      </c>
      <c r="G1135" s="1374">
        <f>E1135/F1135</f>
        <v>99.899999999999991</v>
      </c>
      <c r="I1135" s="1321">
        <f>G1135</f>
        <v>99.899999999999991</v>
      </c>
      <c r="J1135" s="1360"/>
      <c r="K1135" s="1365" t="s">
        <v>4288</v>
      </c>
      <c r="L1135" s="1365"/>
      <c r="M1135" s="1366">
        <v>200</v>
      </c>
      <c r="N1135" s="1365" t="s">
        <v>4288</v>
      </c>
      <c r="O1135" s="1366">
        <v>200</v>
      </c>
      <c r="P1135" s="1367">
        <v>2</v>
      </c>
    </row>
    <row r="1136" spans="1:16" x14ac:dyDescent="0.25">
      <c r="A1136" s="1369">
        <v>44663</v>
      </c>
      <c r="B1136" s="1369">
        <v>44663</v>
      </c>
      <c r="C1136" s="3340" t="s">
        <v>4289</v>
      </c>
      <c r="D1136" s="3341"/>
      <c r="E1136" s="1408">
        <v>148</v>
      </c>
      <c r="F1136" s="1358">
        <v>2</v>
      </c>
      <c r="G1136" s="1359">
        <v>0</v>
      </c>
      <c r="H1136" s="1247" t="s">
        <v>4290</v>
      </c>
      <c r="I1136" s="1321"/>
      <c r="J1136" s="1360"/>
      <c r="K1136" s="1356"/>
      <c r="L1136" s="1356"/>
      <c r="M1136" s="1357"/>
      <c r="N1136" s="1356"/>
      <c r="O1136" s="1357"/>
      <c r="P1136" s="1358"/>
    </row>
    <row r="1137" spans="1:16" x14ac:dyDescent="0.25">
      <c r="A1137" s="1369">
        <v>44672</v>
      </c>
      <c r="B1137" s="1369">
        <v>44672</v>
      </c>
      <c r="C1137" s="3340" t="s">
        <v>4291</v>
      </c>
      <c r="D1137" s="3341"/>
      <c r="E1137" s="1357">
        <v>311.54000000000002</v>
      </c>
      <c r="F1137" s="1358">
        <v>2</v>
      </c>
      <c r="G1137" s="1359">
        <f>E1137/F1137</f>
        <v>155.77000000000001</v>
      </c>
      <c r="H1137" s="1247" t="s">
        <v>1489</v>
      </c>
      <c r="I1137" s="1321"/>
      <c r="J1137" s="1360"/>
      <c r="K1137" s="1356"/>
      <c r="L1137" s="1356"/>
      <c r="M1137" s="1357"/>
      <c r="N1137" s="1356"/>
      <c r="O1137" s="1357"/>
      <c r="P1137" s="1358"/>
    </row>
    <row r="1138" spans="1:16" x14ac:dyDescent="0.25">
      <c r="A1138" s="1369">
        <v>44698</v>
      </c>
      <c r="B1138" s="1369">
        <v>44698</v>
      </c>
      <c r="C1138" s="3340" t="s">
        <v>4292</v>
      </c>
      <c r="D1138" s="3341"/>
      <c r="E1138" s="1357">
        <v>142</v>
      </c>
      <c r="F1138" s="1358">
        <v>2</v>
      </c>
      <c r="G1138" s="1359">
        <f>E1138/F1138</f>
        <v>71</v>
      </c>
      <c r="H1138" s="1247" t="s">
        <v>1491</v>
      </c>
      <c r="I1138" s="1321"/>
      <c r="J1138" s="1360"/>
      <c r="K1138" s="1410"/>
      <c r="L1138" s="1410"/>
      <c r="M1138" s="1411"/>
      <c r="N1138" s="1410"/>
      <c r="O1138" s="1411"/>
      <c r="P1138" s="1412"/>
    </row>
    <row r="1139" spans="1:16" ht="15.75" x14ac:dyDescent="0.25">
      <c r="A1139" s="1369">
        <v>44699</v>
      </c>
      <c r="B1139" s="1369">
        <v>44699</v>
      </c>
      <c r="C1139" s="3340" t="s">
        <v>3340</v>
      </c>
      <c r="D1139" s="3341"/>
      <c r="E1139" s="1357">
        <v>39.75</v>
      </c>
      <c r="F1139" s="1358">
        <v>1</v>
      </c>
      <c r="G1139" s="1359">
        <v>0</v>
      </c>
      <c r="H1139" s="1247" t="s">
        <v>4293</v>
      </c>
      <c r="I1139" s="1321"/>
      <c r="J1139" s="1360"/>
      <c r="K1139" s="1936"/>
      <c r="L1139" s="1936"/>
      <c r="M1139" s="1396">
        <v>820</v>
      </c>
      <c r="N1139" s="1936"/>
      <c r="O1139" s="1396">
        <v>820</v>
      </c>
      <c r="P1139" s="1383"/>
    </row>
    <row r="1140" spans="1:16" ht="15.75" x14ac:dyDescent="0.25">
      <c r="A1140" s="1369">
        <v>44699</v>
      </c>
      <c r="B1140" s="1369">
        <v>44699</v>
      </c>
      <c r="C1140" s="3340" t="s">
        <v>3341</v>
      </c>
      <c r="D1140" s="3341"/>
      <c r="E1140" s="1357">
        <v>41</v>
      </c>
      <c r="F1140" s="1358">
        <v>1</v>
      </c>
      <c r="G1140" s="1359">
        <v>0</v>
      </c>
      <c r="H1140" s="1247" t="s">
        <v>4294</v>
      </c>
      <c r="I1140" s="1321"/>
      <c r="J1140" s="1360"/>
      <c r="K1140" s="1937"/>
      <c r="L1140" s="1937"/>
      <c r="M1140" s="1397">
        <v>200</v>
      </c>
      <c r="N1140" s="1937"/>
      <c r="O1140" s="1397">
        <v>200</v>
      </c>
      <c r="P1140" s="1383"/>
    </row>
    <row r="1141" spans="1:16" ht="15.75" x14ac:dyDescent="0.25">
      <c r="A1141" s="1369">
        <v>44701</v>
      </c>
      <c r="B1141" s="1369">
        <v>44701</v>
      </c>
      <c r="C1141" s="3340" t="s">
        <v>3342</v>
      </c>
      <c r="D1141" s="3341"/>
      <c r="E1141" s="1357">
        <v>69.90000000000002</v>
      </c>
      <c r="F1141" s="1358">
        <v>1</v>
      </c>
      <c r="G1141" s="1359">
        <v>0</v>
      </c>
      <c r="H1141" s="1247" t="s">
        <v>4295</v>
      </c>
      <c r="I1141" s="1321"/>
      <c r="J1141" s="1360"/>
      <c r="K1141" s="1936"/>
      <c r="L1141" s="1936"/>
      <c r="M1141" s="1396">
        <f>M1139-M1140</f>
        <v>620</v>
      </c>
      <c r="N1141" s="1936"/>
      <c r="O1141" s="1396">
        <f>O1139-O1140</f>
        <v>620</v>
      </c>
      <c r="P1141" s="1383"/>
    </row>
    <row r="1142" spans="1:16" ht="15.75" x14ac:dyDescent="0.25">
      <c r="A1142" s="1369">
        <v>44701</v>
      </c>
      <c r="B1142" s="1369">
        <v>44701</v>
      </c>
      <c r="C1142" s="3340" t="s">
        <v>3343</v>
      </c>
      <c r="D1142" s="3341"/>
      <c r="E1142" s="1357">
        <v>72.819999999999979</v>
      </c>
      <c r="F1142" s="1358">
        <v>1</v>
      </c>
      <c r="G1142" s="1359">
        <v>0</v>
      </c>
      <c r="H1142" s="1247" t="s">
        <v>4296</v>
      </c>
      <c r="I1142" s="1321"/>
      <c r="J1142" s="1360"/>
      <c r="K1142" s="3359"/>
      <c r="L1142" s="3359"/>
      <c r="M1142" s="3359"/>
      <c r="N1142" s="3359"/>
      <c r="O1142" s="3359"/>
      <c r="P1142" s="3360"/>
    </row>
    <row r="1143" spans="1:16" x14ac:dyDescent="0.25">
      <c r="A1143" s="1369">
        <v>44709</v>
      </c>
      <c r="B1143" s="1369">
        <v>44709</v>
      </c>
      <c r="C1143" s="3340" t="s">
        <v>3344</v>
      </c>
      <c r="D1143" s="3341"/>
      <c r="E1143" s="1372">
        <v>11.5</v>
      </c>
      <c r="F1143" s="1373">
        <v>1</v>
      </c>
      <c r="G1143" s="1374">
        <v>0</v>
      </c>
      <c r="H1143" s="1247" t="s">
        <v>4297</v>
      </c>
      <c r="I1143" s="1345"/>
      <c r="J1143" s="1360"/>
    </row>
    <row r="1144" spans="1:16" ht="15.75" x14ac:dyDescent="0.25">
      <c r="A1144" s="3356" t="s">
        <v>4071</v>
      </c>
      <c r="B1144" s="3357"/>
      <c r="C1144" s="3357"/>
      <c r="D1144" s="3357"/>
      <c r="E1144" s="1396">
        <v>3850</v>
      </c>
      <c r="F1144" s="3366"/>
      <c r="G1144" s="3367"/>
      <c r="J1144" s="1382"/>
    </row>
    <row r="1145" spans="1:16" ht="15.75" x14ac:dyDescent="0.25">
      <c r="A1145" s="3358" t="s">
        <v>4072</v>
      </c>
      <c r="B1145" s="3359"/>
      <c r="C1145" s="3359"/>
      <c r="D1145" s="3359"/>
      <c r="E1145" s="1397">
        <v>397.67</v>
      </c>
      <c r="F1145" s="3368"/>
      <c r="G1145" s="3369"/>
      <c r="H1145" s="1247" t="s">
        <v>280</v>
      </c>
      <c r="J1145" s="1385"/>
    </row>
    <row r="1146" spans="1:16" ht="15.75" x14ac:dyDescent="0.25">
      <c r="A1146" s="3356" t="s">
        <v>4073</v>
      </c>
      <c r="B1146" s="3357"/>
      <c r="C1146" s="3357"/>
      <c r="D1146" s="3357"/>
      <c r="E1146" s="1396">
        <v>645.66999999999996</v>
      </c>
      <c r="F1146" s="3368"/>
      <c r="G1146" s="3369"/>
      <c r="J1146" s="1382"/>
      <c r="K1146" s="1350"/>
      <c r="L1146" s="1350"/>
      <c r="M1146" s="1274"/>
      <c r="N1146" s="1350"/>
      <c r="O1146" s="1274"/>
    </row>
    <row r="1147" spans="1:16" ht="15.75" x14ac:dyDescent="0.25">
      <c r="A1147" s="3358" t="s">
        <v>4074</v>
      </c>
      <c r="B1147" s="3359"/>
      <c r="C1147" s="3359"/>
      <c r="D1147" s="3359"/>
      <c r="E1147" s="3359"/>
      <c r="F1147" s="3360"/>
      <c r="G1147" s="1387">
        <f>SUM(G1135:G1143)</f>
        <v>326.67</v>
      </c>
      <c r="H1147" s="1348">
        <f>G1147-I1135</f>
        <v>226.77000000000004</v>
      </c>
      <c r="I1147" s="1336" t="s">
        <v>4141</v>
      </c>
      <c r="J1147" s="1385"/>
      <c r="K1147" s="1385"/>
      <c r="L1147" s="1385"/>
      <c r="M1147" s="1394"/>
      <c r="N1147" s="1385"/>
      <c r="O1147" s="1394"/>
    </row>
    <row r="1148" spans="1:16" ht="17.25" customHeight="1" thickBot="1" x14ac:dyDescent="0.3">
      <c r="A1148" s="3356" t="s">
        <v>4075</v>
      </c>
      <c r="B1148" s="3357"/>
      <c r="C1148" s="3357"/>
      <c r="D1148" s="3357"/>
      <c r="E1148" s="1388">
        <f>E1144-E1145</f>
        <v>3452.33</v>
      </c>
      <c r="G1148" s="1389"/>
      <c r="J1148" s="1382"/>
      <c r="K1148" s="1390"/>
      <c r="L1148" s="1390"/>
      <c r="M1148" s="1389"/>
      <c r="N1148" s="1390"/>
      <c r="O1148" s="1389"/>
    </row>
    <row r="1149" spans="1:16" ht="16.5" customHeight="1" thickBot="1" x14ac:dyDescent="0.3"/>
    <row r="1150" spans="1:16" ht="19.5" thickBot="1" x14ac:dyDescent="0.35">
      <c r="A1150" s="3361" t="s">
        <v>4298</v>
      </c>
      <c r="B1150" s="3362"/>
      <c r="C1150" s="3362"/>
      <c r="D1150" s="3362"/>
      <c r="E1150" s="3362"/>
      <c r="F1150" s="3362"/>
      <c r="G1150" s="3363"/>
      <c r="J1150" s="1354"/>
      <c r="K1150" s="1354"/>
      <c r="L1150" s="1354"/>
      <c r="M1150" s="1951"/>
      <c r="N1150" s="1354"/>
      <c r="O1150" s="1951"/>
      <c r="P1150" s="1354"/>
    </row>
    <row r="1151" spans="1:16" ht="16.5" thickBot="1" x14ac:dyDescent="0.3">
      <c r="A1151" s="1361" t="s">
        <v>4206</v>
      </c>
      <c r="B1151" s="1361" t="s">
        <v>4206</v>
      </c>
      <c r="C1151" s="3370" t="s">
        <v>3</v>
      </c>
      <c r="D1151" s="3371"/>
      <c r="E1151" s="1363" t="s">
        <v>4190</v>
      </c>
      <c r="F1151" s="1363" t="s">
        <v>4191</v>
      </c>
      <c r="G1151" s="1364" t="s">
        <v>4207</v>
      </c>
      <c r="I1151" s="1336" t="s">
        <v>4208</v>
      </c>
      <c r="J1151" s="1391"/>
      <c r="K1151" s="1395"/>
      <c r="L1151" s="1395"/>
      <c r="M1151" s="1391"/>
      <c r="N1151" s="1395"/>
      <c r="O1151" s="1391"/>
      <c r="P1151" s="1391"/>
    </row>
    <row r="1152" spans="1:16" x14ac:dyDescent="0.25">
      <c r="A1152" s="1369">
        <v>44627</v>
      </c>
      <c r="B1152" s="1369">
        <v>44627</v>
      </c>
      <c r="C1152" s="3340" t="s">
        <v>4299</v>
      </c>
      <c r="D1152" s="3341"/>
      <c r="E1152" s="1357">
        <v>157.19999999999996</v>
      </c>
      <c r="F1152" s="1358">
        <v>1</v>
      </c>
      <c r="G1152" s="1359">
        <v>0</v>
      </c>
      <c r="H1152" s="1247" t="s">
        <v>4300</v>
      </c>
      <c r="I1152" s="1321"/>
      <c r="J1152" s="1360"/>
      <c r="K1152" s="1398"/>
      <c r="L1152" s="1398"/>
      <c r="M1152" s="1321"/>
      <c r="N1152" s="1398"/>
      <c r="O1152" s="1321"/>
      <c r="P1152" s="1336"/>
    </row>
    <row r="1153" spans="1:16" x14ac:dyDescent="0.25">
      <c r="A1153" s="1407">
        <v>44626</v>
      </c>
      <c r="B1153" s="1407">
        <v>44626</v>
      </c>
      <c r="C1153" s="3374" t="s">
        <v>4301</v>
      </c>
      <c r="D1153" s="3375"/>
      <c r="E1153" s="1372">
        <v>299.7</v>
      </c>
      <c r="F1153" s="1373">
        <v>3</v>
      </c>
      <c r="G1153" s="1374">
        <f>E1153/F1153</f>
        <v>99.899999999999991</v>
      </c>
      <c r="I1153" s="1321">
        <f>G1153</f>
        <v>99.899999999999991</v>
      </c>
      <c r="J1153" s="1360"/>
      <c r="K1153" s="1398"/>
      <c r="L1153" s="1398"/>
      <c r="M1153" s="1321"/>
      <c r="N1153" s="1398"/>
      <c r="O1153" s="1321"/>
      <c r="P1153" s="1336"/>
    </row>
    <row r="1154" spans="1:16" x14ac:dyDescent="0.25">
      <c r="A1154" s="1407">
        <v>44651</v>
      </c>
      <c r="B1154" s="1407">
        <v>44651</v>
      </c>
      <c r="C1154" s="3374" t="s">
        <v>4302</v>
      </c>
      <c r="D1154" s="3375"/>
      <c r="E1154" s="1372">
        <v>780</v>
      </c>
      <c r="F1154" s="1373">
        <v>2</v>
      </c>
      <c r="G1154" s="1374">
        <f>E1154/F1154</f>
        <v>390</v>
      </c>
      <c r="H1154" s="1247" t="s">
        <v>1525</v>
      </c>
      <c r="I1154" s="1321"/>
      <c r="J1154" s="1360"/>
      <c r="K1154" s="1398"/>
      <c r="L1154" s="1398"/>
      <c r="M1154" s="1321"/>
      <c r="N1154" s="1398"/>
      <c r="O1154" s="1321"/>
      <c r="P1154" s="1336"/>
    </row>
    <row r="1155" spans="1:16" x14ac:dyDescent="0.25">
      <c r="A1155" s="1369">
        <v>44662</v>
      </c>
      <c r="B1155" s="1369">
        <v>44662</v>
      </c>
      <c r="C1155" s="3340" t="s">
        <v>4303</v>
      </c>
      <c r="D1155" s="3341"/>
      <c r="E1155" s="1357">
        <v>50</v>
      </c>
      <c r="F1155" s="1358">
        <v>1</v>
      </c>
      <c r="G1155" s="1359">
        <v>0</v>
      </c>
      <c r="H1155" s="1247" t="s">
        <v>4304</v>
      </c>
      <c r="I1155" s="1321"/>
      <c r="J1155" s="1360"/>
      <c r="K1155" s="1398"/>
      <c r="L1155" s="1398"/>
      <c r="M1155" s="1321"/>
      <c r="N1155" s="1398"/>
      <c r="O1155" s="1321"/>
      <c r="P1155" s="1336"/>
    </row>
    <row r="1156" spans="1:16" ht="15.75" x14ac:dyDescent="0.25">
      <c r="A1156" s="1369">
        <v>44662</v>
      </c>
      <c r="B1156" s="1369">
        <v>44662</v>
      </c>
      <c r="C1156" s="3340" t="s">
        <v>4305</v>
      </c>
      <c r="D1156" s="3341"/>
      <c r="E1156" s="1357">
        <v>50</v>
      </c>
      <c r="F1156" s="1358">
        <v>1</v>
      </c>
      <c r="G1156" s="1359">
        <v>0</v>
      </c>
      <c r="H1156" s="1247" t="s">
        <v>4306</v>
      </c>
      <c r="I1156" s="1321"/>
      <c r="J1156" s="1360"/>
      <c r="K1156" s="1382"/>
      <c r="L1156" s="1382"/>
      <c r="M1156" s="1350"/>
      <c r="N1156" s="1382"/>
      <c r="O1156" s="1350"/>
      <c r="P1156" s="1383"/>
    </row>
    <row r="1157" spans="1:16" ht="15.75" x14ac:dyDescent="0.25">
      <c r="A1157" s="1369">
        <v>44667</v>
      </c>
      <c r="B1157" s="1369">
        <v>44667</v>
      </c>
      <c r="C1157" s="3340" t="s">
        <v>4307</v>
      </c>
      <c r="D1157" s="3341"/>
      <c r="E1157" s="1357">
        <v>35.9</v>
      </c>
      <c r="F1157" s="1358">
        <v>1</v>
      </c>
      <c r="G1157" s="1359">
        <v>0</v>
      </c>
      <c r="H1157" s="1247" t="s">
        <v>4308</v>
      </c>
      <c r="I1157" s="1321"/>
      <c r="J1157" s="1360"/>
      <c r="K1157" s="1385"/>
      <c r="L1157" s="1385"/>
      <c r="M1157" s="1281"/>
      <c r="N1157" s="1385"/>
      <c r="O1157" s="1281"/>
      <c r="P1157" s="1272"/>
    </row>
    <row r="1158" spans="1:16" ht="15.75" x14ac:dyDescent="0.25">
      <c r="A1158" s="1369">
        <v>44672</v>
      </c>
      <c r="B1158" s="1369">
        <v>44672</v>
      </c>
      <c r="C1158" s="3340" t="s">
        <v>4309</v>
      </c>
      <c r="D1158" s="3341"/>
      <c r="E1158" s="1357">
        <v>311.54000000000002</v>
      </c>
      <c r="F1158" s="1358">
        <v>2</v>
      </c>
      <c r="G1158" s="1359">
        <f>E1158/F1158</f>
        <v>155.77000000000001</v>
      </c>
      <c r="H1158" s="1247" t="s">
        <v>1489</v>
      </c>
      <c r="I1158" s="1321"/>
      <c r="J1158" s="1360"/>
      <c r="K1158" s="1385"/>
      <c r="L1158" s="1385"/>
      <c r="M1158" s="1281"/>
      <c r="N1158" s="1385"/>
      <c r="O1158" s="1281"/>
      <c r="P1158" s="1272"/>
    </row>
    <row r="1159" spans="1:16" ht="15.75" x14ac:dyDescent="0.25">
      <c r="A1159" s="1369">
        <v>44673</v>
      </c>
      <c r="B1159" s="1369">
        <v>44673</v>
      </c>
      <c r="C1159" s="3340" t="s">
        <v>3314</v>
      </c>
      <c r="D1159" s="3341"/>
      <c r="E1159" s="1357">
        <v>44.2</v>
      </c>
      <c r="F1159" s="1358">
        <v>1</v>
      </c>
      <c r="G1159" s="1359">
        <v>0</v>
      </c>
      <c r="H1159" s="1247" t="s">
        <v>4310</v>
      </c>
      <c r="I1159" s="1321"/>
      <c r="J1159" s="1360"/>
      <c r="K1159" s="1385"/>
      <c r="L1159" s="1385"/>
      <c r="M1159" s="1281"/>
      <c r="N1159" s="1385"/>
      <c r="O1159" s="1281"/>
      <c r="P1159" s="1272"/>
    </row>
    <row r="1160" spans="1:16" ht="15.75" x14ac:dyDescent="0.25">
      <c r="A1160" s="1369">
        <v>44686</v>
      </c>
      <c r="B1160" s="1369">
        <v>44686</v>
      </c>
      <c r="C1160" s="3340" t="s">
        <v>3315</v>
      </c>
      <c r="D1160" s="3341"/>
      <c r="E1160" s="1357">
        <v>17</v>
      </c>
      <c r="F1160" s="1358">
        <v>1</v>
      </c>
      <c r="G1160" s="1359">
        <v>0</v>
      </c>
      <c r="H1160" s="1247" t="s">
        <v>4311</v>
      </c>
      <c r="I1160" s="1321"/>
      <c r="J1160" s="1360"/>
      <c r="K1160" s="1385"/>
      <c r="L1160" s="1385"/>
      <c r="M1160" s="1281"/>
      <c r="N1160" s="1385"/>
      <c r="O1160" s="1281"/>
      <c r="P1160" s="1272"/>
    </row>
    <row r="1161" spans="1:16" ht="15.75" x14ac:dyDescent="0.25">
      <c r="A1161" s="1369">
        <v>44686</v>
      </c>
      <c r="B1161" s="1369">
        <v>44686</v>
      </c>
      <c r="C1161" s="3340" t="s">
        <v>3316</v>
      </c>
      <c r="D1161" s="3341"/>
      <c r="E1161" s="1357">
        <v>5</v>
      </c>
      <c r="F1161" s="1358">
        <v>1</v>
      </c>
      <c r="G1161" s="1359">
        <v>0</v>
      </c>
      <c r="H1161" s="1247" t="s">
        <v>4312</v>
      </c>
      <c r="I1161" s="1321"/>
      <c r="J1161" s="1360"/>
      <c r="K1161" s="1385"/>
      <c r="L1161" s="1385"/>
      <c r="M1161" s="1281"/>
      <c r="N1161" s="1385"/>
      <c r="O1161" s="1281"/>
      <c r="P1161" s="1272"/>
    </row>
    <row r="1162" spans="1:16" ht="15.75" x14ac:dyDescent="0.25">
      <c r="A1162" s="1369">
        <v>44686</v>
      </c>
      <c r="B1162" s="1369">
        <v>44686</v>
      </c>
      <c r="C1162" s="3340" t="s">
        <v>3317</v>
      </c>
      <c r="D1162" s="3341"/>
      <c r="E1162" s="1357">
        <v>76.760000000000005</v>
      </c>
      <c r="F1162" s="1358">
        <v>1</v>
      </c>
      <c r="G1162" s="1359">
        <v>0</v>
      </c>
      <c r="H1162" s="1247" t="s">
        <v>4313</v>
      </c>
      <c r="I1162" s="1321"/>
      <c r="J1162" s="1360"/>
      <c r="K1162" s="1385"/>
      <c r="L1162" s="1385"/>
      <c r="M1162" s="1281"/>
      <c r="N1162" s="1385"/>
      <c r="O1162" s="1281"/>
      <c r="P1162" s="1272"/>
    </row>
    <row r="1163" spans="1:16" ht="15.75" x14ac:dyDescent="0.25">
      <c r="A1163" s="1369">
        <v>44688</v>
      </c>
      <c r="B1163" s="1369">
        <v>44688</v>
      </c>
      <c r="C1163" s="3340" t="s">
        <v>3318</v>
      </c>
      <c r="D1163" s="3341"/>
      <c r="E1163" s="1357">
        <v>19.899999999999999</v>
      </c>
      <c r="F1163" s="1358">
        <v>1</v>
      </c>
      <c r="G1163" s="1359">
        <v>0</v>
      </c>
      <c r="H1163" s="1247" t="s">
        <v>4314</v>
      </c>
      <c r="I1163" s="1321"/>
      <c r="J1163" s="1360"/>
      <c r="K1163" s="1385"/>
      <c r="L1163" s="1385"/>
      <c r="M1163" s="1281"/>
      <c r="N1163" s="1385"/>
      <c r="O1163" s="1281"/>
      <c r="P1163" s="1272"/>
    </row>
    <row r="1164" spans="1:16" ht="15.75" x14ac:dyDescent="0.25">
      <c r="A1164" s="3356" t="s">
        <v>4071</v>
      </c>
      <c r="B1164" s="3357"/>
      <c r="C1164" s="3357"/>
      <c r="D1164" s="3357"/>
      <c r="E1164" s="1396">
        <v>3850</v>
      </c>
      <c r="F1164" s="3366"/>
      <c r="G1164" s="3367"/>
      <c r="J1164" s="1382"/>
      <c r="K1164" s="1385"/>
      <c r="L1164" s="1385"/>
      <c r="M1164" s="1950"/>
      <c r="N1164" s="1385"/>
      <c r="O1164" s="1950"/>
      <c r="P1164" s="1385"/>
    </row>
    <row r="1165" spans="1:16" ht="15.75" x14ac:dyDescent="0.25">
      <c r="A1165" s="3358" t="s">
        <v>4072</v>
      </c>
      <c r="B1165" s="3359"/>
      <c r="C1165" s="3359"/>
      <c r="D1165" s="3359"/>
      <c r="E1165" s="1397">
        <v>945.54</v>
      </c>
      <c r="F1165" s="3368"/>
      <c r="G1165" s="3369"/>
      <c r="H1165" s="1247" t="s">
        <v>280</v>
      </c>
      <c r="J1165" s="1385"/>
      <c r="K1165" s="1382"/>
      <c r="L1165" s="1382"/>
      <c r="M1165" s="1390"/>
      <c r="N1165" s="1382"/>
      <c r="O1165" s="1390"/>
    </row>
    <row r="1166" spans="1:16" ht="15.75" x14ac:dyDescent="0.25">
      <c r="A1166" s="3356" t="s">
        <v>4073</v>
      </c>
      <c r="B1166" s="3357"/>
      <c r="C1166" s="3357"/>
      <c r="D1166" s="3357"/>
      <c r="E1166" s="1396">
        <v>975.58</v>
      </c>
      <c r="F1166" s="3368"/>
      <c r="G1166" s="3369"/>
      <c r="J1166" s="1382"/>
      <c r="K1166" s="1350"/>
      <c r="L1166" s="1350"/>
      <c r="M1166" s="1274"/>
      <c r="N1166" s="1350"/>
      <c r="O1166" s="1274"/>
    </row>
    <row r="1167" spans="1:16" ht="15.75" x14ac:dyDescent="0.25">
      <c r="A1167" s="3358" t="s">
        <v>4074</v>
      </c>
      <c r="B1167" s="3359"/>
      <c r="C1167" s="3359"/>
      <c r="D1167" s="3359"/>
      <c r="E1167" s="3359"/>
      <c r="F1167" s="3360"/>
      <c r="G1167" s="1387">
        <f>SUM(G1152:G1163)</f>
        <v>645.66999999999996</v>
      </c>
      <c r="H1167" s="1348">
        <f>G1167-I1153</f>
        <v>545.77</v>
      </c>
      <c r="I1167" s="1336" t="s">
        <v>4141</v>
      </c>
      <c r="J1167" s="1385"/>
      <c r="K1167" s="1385"/>
      <c r="L1167" s="1385"/>
      <c r="M1167" s="1394"/>
      <c r="N1167" s="1385"/>
      <c r="O1167" s="1394"/>
    </row>
    <row r="1168" spans="1:16" ht="17.25" customHeight="1" thickBot="1" x14ac:dyDescent="0.3">
      <c r="A1168" s="3356" t="s">
        <v>4075</v>
      </c>
      <c r="B1168" s="3357"/>
      <c r="C1168" s="3357"/>
      <c r="D1168" s="3357"/>
      <c r="E1168" s="1388">
        <f>E1164-E1165</f>
        <v>2904.46</v>
      </c>
      <c r="G1168" s="1389"/>
      <c r="J1168" s="1382"/>
      <c r="K1168" s="1390"/>
      <c r="L1168" s="1390"/>
      <c r="M1168" s="1389"/>
      <c r="N1168" s="1390"/>
      <c r="O1168" s="1389"/>
    </row>
    <row r="1169" spans="1:16" ht="16.5" customHeight="1" thickBot="1" x14ac:dyDescent="0.3"/>
    <row r="1170" spans="1:16" ht="19.5" thickBot="1" x14ac:dyDescent="0.35">
      <c r="A1170" s="3361" t="s">
        <v>4315</v>
      </c>
      <c r="B1170" s="3362"/>
      <c r="C1170" s="3362"/>
      <c r="D1170" s="3362"/>
      <c r="E1170" s="3362"/>
      <c r="F1170" s="3362"/>
      <c r="G1170" s="3363"/>
      <c r="J1170" s="1354"/>
      <c r="K1170" s="3362"/>
      <c r="L1170" s="3362"/>
      <c r="M1170" s="3362"/>
      <c r="N1170" s="1944"/>
      <c r="O1170" s="1944"/>
      <c r="P1170" s="1944"/>
    </row>
    <row r="1171" spans="1:16" ht="16.5" thickBot="1" x14ac:dyDescent="0.3">
      <c r="A1171" s="1361" t="s">
        <v>4206</v>
      </c>
      <c r="B1171" s="1361" t="s">
        <v>4206</v>
      </c>
      <c r="C1171" s="3370" t="s">
        <v>3</v>
      </c>
      <c r="D1171" s="3371"/>
      <c r="E1171" s="1363" t="s">
        <v>4190</v>
      </c>
      <c r="F1171" s="1363" t="s">
        <v>4191</v>
      </c>
      <c r="G1171" s="1364" t="s">
        <v>4207</v>
      </c>
      <c r="I1171" s="1336" t="s">
        <v>4208</v>
      </c>
      <c r="J1171" s="1391"/>
      <c r="K1171" s="1362" t="s">
        <v>3</v>
      </c>
      <c r="L1171" s="1362"/>
      <c r="M1171" s="1363" t="s">
        <v>4190</v>
      </c>
      <c r="N1171" s="1362" t="s">
        <v>3</v>
      </c>
      <c r="O1171" s="1363" t="s">
        <v>4190</v>
      </c>
      <c r="P1171" s="1363" t="s">
        <v>4191</v>
      </c>
    </row>
    <row r="1172" spans="1:16" x14ac:dyDescent="0.25">
      <c r="A1172" s="1369">
        <v>44595</v>
      </c>
      <c r="B1172" s="1369">
        <v>44595</v>
      </c>
      <c r="C1172" s="3340" t="s">
        <v>4316</v>
      </c>
      <c r="D1172" s="3341"/>
      <c r="E1172" s="1357">
        <v>85.36</v>
      </c>
      <c r="F1172" s="1358">
        <v>2</v>
      </c>
      <c r="G1172" s="1359">
        <f t="shared" ref="G1172:G1180" si="244">E1172/F1172</f>
        <v>42.68</v>
      </c>
      <c r="H1172" s="1247" t="s">
        <v>1522</v>
      </c>
      <c r="I1172" s="1321"/>
      <c r="J1172" s="1360"/>
      <c r="K1172" s="1365" t="s">
        <v>3263</v>
      </c>
      <c r="L1172" s="1365"/>
      <c r="M1172" s="1366">
        <v>45</v>
      </c>
      <c r="N1172" s="1365" t="s">
        <v>3263</v>
      </c>
      <c r="O1172" s="1366">
        <v>45</v>
      </c>
      <c r="P1172" s="1367">
        <v>1</v>
      </c>
    </row>
    <row r="1173" spans="1:16" x14ac:dyDescent="0.25">
      <c r="A1173" s="1369">
        <v>44598</v>
      </c>
      <c r="B1173" s="1369">
        <v>44598</v>
      </c>
      <c r="C1173" s="3340" t="s">
        <v>4317</v>
      </c>
      <c r="D1173" s="3341"/>
      <c r="E1173" s="1357">
        <v>220</v>
      </c>
      <c r="F1173" s="1358">
        <v>2</v>
      </c>
      <c r="G1173" s="1359">
        <f t="shared" si="244"/>
        <v>110</v>
      </c>
      <c r="H1173" s="1247" t="s">
        <v>1506</v>
      </c>
      <c r="I1173" s="1321"/>
      <c r="J1173" s="1360"/>
      <c r="K1173" s="1356" t="s">
        <v>3264</v>
      </c>
      <c r="L1173" s="1356"/>
      <c r="M1173" s="1357">
        <v>81</v>
      </c>
      <c r="N1173" s="1356" t="s">
        <v>3264</v>
      </c>
      <c r="O1173" s="1357">
        <v>81</v>
      </c>
      <c r="P1173" s="1358">
        <v>1</v>
      </c>
    </row>
    <row r="1174" spans="1:16" x14ac:dyDescent="0.25">
      <c r="A1174" s="1369">
        <v>44614</v>
      </c>
      <c r="B1174" s="1369">
        <v>44614</v>
      </c>
      <c r="C1174" s="3340" t="s">
        <v>4318</v>
      </c>
      <c r="D1174" s="3341"/>
      <c r="E1174" s="1357">
        <v>400</v>
      </c>
      <c r="F1174" s="1358">
        <v>2</v>
      </c>
      <c r="G1174" s="1359">
        <f t="shared" si="244"/>
        <v>200</v>
      </c>
      <c r="H1174" s="1247" t="s">
        <v>1522</v>
      </c>
      <c r="I1174" s="1321"/>
      <c r="J1174" s="1360"/>
      <c r="K1174" s="1356" t="s">
        <v>3265</v>
      </c>
      <c r="L1174" s="1356"/>
      <c r="M1174" s="1357">
        <v>72</v>
      </c>
      <c r="N1174" s="1356" t="s">
        <v>3265</v>
      </c>
      <c r="O1174" s="1357">
        <v>72</v>
      </c>
      <c r="P1174" s="1358">
        <v>1</v>
      </c>
    </row>
    <row r="1175" spans="1:16" x14ac:dyDescent="0.25">
      <c r="A1175" s="1369">
        <v>44626</v>
      </c>
      <c r="B1175" s="1369">
        <v>44626</v>
      </c>
      <c r="C1175" s="3340" t="s">
        <v>4319</v>
      </c>
      <c r="D1175" s="3341"/>
      <c r="E1175" s="1357">
        <v>299.7</v>
      </c>
      <c r="F1175" s="1358">
        <v>3</v>
      </c>
      <c r="G1175" s="1359">
        <f t="shared" si="244"/>
        <v>99.899999999999991</v>
      </c>
      <c r="I1175" s="1321">
        <f>G1175</f>
        <v>99.899999999999991</v>
      </c>
      <c r="J1175" s="1360"/>
      <c r="K1175" s="1410" t="s">
        <v>3266</v>
      </c>
      <c r="L1175" s="1410"/>
      <c r="M1175" s="1411">
        <v>72</v>
      </c>
      <c r="N1175" s="1410" t="s">
        <v>3266</v>
      </c>
      <c r="O1175" s="1411">
        <v>72</v>
      </c>
      <c r="P1175" s="1412">
        <v>1</v>
      </c>
    </row>
    <row r="1176" spans="1:16" ht="15.75" x14ac:dyDescent="0.25">
      <c r="A1176" s="1369">
        <v>44627</v>
      </c>
      <c r="B1176" s="1369">
        <v>44627</v>
      </c>
      <c r="C1176" s="3340" t="s">
        <v>4320</v>
      </c>
      <c r="D1176" s="3341"/>
      <c r="E1176" s="1357">
        <v>157.19999999999996</v>
      </c>
      <c r="F1176" s="1358">
        <v>2</v>
      </c>
      <c r="G1176" s="1359">
        <f t="shared" si="244"/>
        <v>78.59999999999998</v>
      </c>
      <c r="H1176" s="1247" t="s">
        <v>1522</v>
      </c>
      <c r="I1176" s="1321"/>
      <c r="J1176" s="1360"/>
      <c r="K1176" s="1938"/>
      <c r="L1176" s="1938"/>
      <c r="M1176" s="1381">
        <v>0</v>
      </c>
      <c r="N1176" s="1938"/>
      <c r="O1176" s="1946"/>
      <c r="P1176" s="1946"/>
    </row>
    <row r="1177" spans="1:16" ht="15.75" x14ac:dyDescent="0.25">
      <c r="A1177" s="1414">
        <v>44627</v>
      </c>
      <c r="B1177" s="1414">
        <v>44627</v>
      </c>
      <c r="C1177" s="3399" t="s">
        <v>4321</v>
      </c>
      <c r="D1177" s="3400"/>
      <c r="E1177" s="1408">
        <v>157.19999999999996</v>
      </c>
      <c r="F1177" s="1415">
        <v>2</v>
      </c>
      <c r="G1177" s="1416">
        <f t="shared" si="244"/>
        <v>78.59999999999998</v>
      </c>
      <c r="I1177" s="1321"/>
      <c r="J1177" s="1360"/>
      <c r="K1177" s="3359"/>
      <c r="L1177" s="3359"/>
      <c r="M1177" s="3359"/>
      <c r="N1177" s="3359"/>
      <c r="O1177" s="3359"/>
      <c r="P1177" s="3360"/>
    </row>
    <row r="1178" spans="1:16" ht="15.75" x14ac:dyDescent="0.25">
      <c r="A1178" s="1414">
        <v>44627</v>
      </c>
      <c r="B1178" s="1414">
        <v>44627</v>
      </c>
      <c r="C1178" s="3399" t="s">
        <v>4321</v>
      </c>
      <c r="D1178" s="3400"/>
      <c r="E1178" s="1408">
        <v>-157.19999999999996</v>
      </c>
      <c r="F1178" s="1415">
        <v>1</v>
      </c>
      <c r="G1178" s="1416">
        <f t="shared" si="244"/>
        <v>-157.19999999999996</v>
      </c>
      <c r="I1178" s="1321"/>
      <c r="J1178" s="1360"/>
      <c r="K1178" s="1382"/>
      <c r="L1178" s="1382"/>
      <c r="M1178" s="1350"/>
      <c r="N1178" s="1382"/>
      <c r="O1178" s="1350"/>
      <c r="P1178" s="1272"/>
    </row>
    <row r="1179" spans="1:16" ht="15.75" x14ac:dyDescent="0.25">
      <c r="A1179" s="1369">
        <v>44643</v>
      </c>
      <c r="B1179" s="1369">
        <v>44643</v>
      </c>
      <c r="C1179" s="3340" t="s">
        <v>4322</v>
      </c>
      <c r="D1179" s="3341"/>
      <c r="E1179" s="1357">
        <v>133</v>
      </c>
      <c r="F1179" s="1358">
        <v>1</v>
      </c>
      <c r="G1179" s="1359">
        <f t="shared" si="244"/>
        <v>133</v>
      </c>
      <c r="I1179" s="1321">
        <f>G1179</f>
        <v>133</v>
      </c>
      <c r="J1179" s="1360"/>
      <c r="K1179" s="1385"/>
      <c r="L1179" s="1385"/>
      <c r="M1179" s="1281"/>
      <c r="N1179" s="1385"/>
      <c r="O1179" s="1281"/>
      <c r="P1179" s="1272"/>
    </row>
    <row r="1180" spans="1:16" ht="15.75" x14ac:dyDescent="0.25">
      <c r="A1180" s="1407">
        <v>44651</v>
      </c>
      <c r="B1180" s="1407">
        <v>44651</v>
      </c>
      <c r="C1180" s="3374" t="s">
        <v>4323</v>
      </c>
      <c r="D1180" s="3375"/>
      <c r="E1180" s="1372">
        <v>780</v>
      </c>
      <c r="F1180" s="1373">
        <v>2</v>
      </c>
      <c r="G1180" s="1374">
        <f t="shared" si="244"/>
        <v>390</v>
      </c>
      <c r="H1180" s="1247" t="s">
        <v>1525</v>
      </c>
      <c r="I1180" s="1321"/>
      <c r="J1180" s="1360"/>
      <c r="K1180" s="1393"/>
      <c r="L1180" s="1393"/>
      <c r="M1180" s="1281"/>
      <c r="N1180" s="1393"/>
      <c r="O1180" s="1281"/>
      <c r="P1180" s="1272"/>
    </row>
    <row r="1181" spans="1:16" ht="15.75" x14ac:dyDescent="0.25">
      <c r="A1181" s="3356" t="s">
        <v>4071</v>
      </c>
      <c r="B1181" s="3357"/>
      <c r="C1181" s="3357"/>
      <c r="D1181" s="3357"/>
      <c r="E1181" s="1396">
        <v>3850</v>
      </c>
      <c r="F1181" s="3366"/>
      <c r="G1181" s="3367"/>
      <c r="J1181" s="1382"/>
      <c r="K1181" s="1385"/>
      <c r="L1181" s="1385"/>
      <c r="M1181" s="1950"/>
      <c r="N1181" s="1385"/>
      <c r="O1181" s="1950"/>
      <c r="P1181" s="1385"/>
    </row>
    <row r="1182" spans="1:16" ht="15.75" x14ac:dyDescent="0.25">
      <c r="A1182" s="3358" t="s">
        <v>4072</v>
      </c>
      <c r="B1182" s="3359"/>
      <c r="C1182" s="3359"/>
      <c r="D1182" s="3359"/>
      <c r="E1182" s="1397">
        <v>1722.58</v>
      </c>
      <c r="F1182" s="3368"/>
      <c r="G1182" s="3369"/>
      <c r="H1182" s="1247" t="s">
        <v>280</v>
      </c>
      <c r="J1182" s="1385"/>
      <c r="K1182" s="1461"/>
      <c r="L1182" s="1461"/>
      <c r="M1182" s="1390"/>
      <c r="N1182" s="1461"/>
      <c r="O1182" s="1390"/>
    </row>
    <row r="1183" spans="1:16" ht="15.75" x14ac:dyDescent="0.25">
      <c r="A1183" s="3356" t="s">
        <v>4073</v>
      </c>
      <c r="B1183" s="3357"/>
      <c r="C1183" s="3357"/>
      <c r="D1183" s="3357"/>
      <c r="E1183" s="1396">
        <f>G1196</f>
        <v>407.68</v>
      </c>
      <c r="F1183" s="3368"/>
      <c r="G1183" s="3369"/>
      <c r="J1183" s="1382"/>
      <c r="K1183" s="1350"/>
      <c r="L1183" s="1350"/>
      <c r="M1183" s="1274"/>
      <c r="N1183" s="1350"/>
      <c r="O1183" s="1274"/>
    </row>
    <row r="1184" spans="1:16" ht="15.75" x14ac:dyDescent="0.25">
      <c r="A1184" s="3358" t="s">
        <v>4074</v>
      </c>
      <c r="B1184" s="3359"/>
      <c r="C1184" s="3359"/>
      <c r="D1184" s="3359"/>
      <c r="E1184" s="3359"/>
      <c r="F1184" s="3360"/>
      <c r="G1184" s="1387">
        <f>SUM(G1172:G1180)</f>
        <v>975.58</v>
      </c>
      <c r="H1184" s="1348">
        <f>G1184-I1175-I1179</f>
        <v>742.68000000000006</v>
      </c>
      <c r="I1184" s="1336" t="s">
        <v>4141</v>
      </c>
      <c r="J1184" s="1385"/>
      <c r="K1184" s="1385"/>
      <c r="L1184" s="1385"/>
      <c r="M1184" s="1394"/>
      <c r="N1184" s="1385"/>
      <c r="O1184" s="1394"/>
    </row>
    <row r="1185" spans="1:16" ht="17.25" customHeight="1" thickBot="1" x14ac:dyDescent="0.3">
      <c r="A1185" s="3356" t="s">
        <v>4075</v>
      </c>
      <c r="B1185" s="3357"/>
      <c r="C1185" s="3357"/>
      <c r="D1185" s="3357"/>
      <c r="E1185" s="1388">
        <f>E1181-E1182</f>
        <v>2127.42</v>
      </c>
      <c r="G1185" s="1389"/>
      <c r="J1185" s="1382"/>
      <c r="K1185" s="1390"/>
      <c r="L1185" s="1390"/>
      <c r="M1185" s="1389"/>
      <c r="N1185" s="1390"/>
      <c r="O1185" s="1389"/>
    </row>
    <row r="1186" spans="1:16" ht="16.5" customHeight="1" thickBot="1" x14ac:dyDescent="0.3"/>
    <row r="1187" spans="1:16" ht="19.5" thickBot="1" x14ac:dyDescent="0.35">
      <c r="A1187" s="3361" t="s">
        <v>4324</v>
      </c>
      <c r="B1187" s="3362"/>
      <c r="C1187" s="3362"/>
      <c r="D1187" s="3362"/>
      <c r="E1187" s="3362"/>
      <c r="F1187" s="3362"/>
      <c r="G1187" s="3363"/>
      <c r="J1187" s="1354"/>
      <c r="K1187" s="1354"/>
      <c r="L1187" s="1354"/>
      <c r="M1187" s="1951"/>
      <c r="N1187" s="1354"/>
      <c r="O1187" s="1951"/>
      <c r="P1187" s="1354"/>
    </row>
    <row r="1188" spans="1:16" ht="16.5" thickBot="1" x14ac:dyDescent="0.3">
      <c r="A1188" s="1361" t="s">
        <v>4206</v>
      </c>
      <c r="B1188" s="1361" t="s">
        <v>4206</v>
      </c>
      <c r="C1188" s="3370" t="s">
        <v>3</v>
      </c>
      <c r="D1188" s="3371"/>
      <c r="E1188" s="1363" t="s">
        <v>4190</v>
      </c>
      <c r="F1188" s="1363" t="s">
        <v>4191</v>
      </c>
      <c r="G1188" s="1364" t="s">
        <v>4207</v>
      </c>
      <c r="I1188" s="1336" t="s">
        <v>4208</v>
      </c>
      <c r="J1188" s="1391"/>
      <c r="K1188" s="1395"/>
      <c r="L1188" s="1395"/>
      <c r="M1188" s="1391"/>
      <c r="N1188" s="1395"/>
      <c r="O1188" s="1391"/>
      <c r="P1188" s="1391"/>
    </row>
    <row r="1189" spans="1:16" x14ac:dyDescent="0.25">
      <c r="A1189" s="1369">
        <v>44595</v>
      </c>
      <c r="B1189" s="1369">
        <v>44595</v>
      </c>
      <c r="C1189" s="3340" t="s">
        <v>4325</v>
      </c>
      <c r="D1189" s="3341"/>
      <c r="E1189" s="1357">
        <v>85.36</v>
      </c>
      <c r="F1189" s="1358">
        <v>2</v>
      </c>
      <c r="G1189" s="1359">
        <f>E1189/F1189</f>
        <v>42.68</v>
      </c>
      <c r="H1189" s="1247" t="s">
        <v>1522</v>
      </c>
      <c r="I1189" s="1321"/>
      <c r="J1189" s="1360"/>
      <c r="K1189" s="1398"/>
      <c r="L1189" s="1398"/>
      <c r="M1189" s="1321"/>
      <c r="N1189" s="1398"/>
      <c r="O1189" s="1321"/>
      <c r="P1189" s="1336"/>
    </row>
    <row r="1190" spans="1:16" x14ac:dyDescent="0.25">
      <c r="A1190" s="1369">
        <v>44598</v>
      </c>
      <c r="B1190" s="1369">
        <v>44598</v>
      </c>
      <c r="C1190" s="3340" t="s">
        <v>4326</v>
      </c>
      <c r="D1190" s="3341"/>
      <c r="E1190" s="1357">
        <v>220</v>
      </c>
      <c r="F1190" s="1358">
        <v>2</v>
      </c>
      <c r="G1190" s="1359">
        <f>E1190/F1190</f>
        <v>110</v>
      </c>
      <c r="H1190" s="1247" t="s">
        <v>1506</v>
      </c>
      <c r="I1190" s="1321"/>
      <c r="J1190" s="1360"/>
      <c r="K1190" s="1398"/>
      <c r="L1190" s="1398"/>
      <c r="M1190" s="1321"/>
      <c r="N1190" s="1398"/>
      <c r="O1190" s="1321"/>
      <c r="P1190" s="1336"/>
    </row>
    <row r="1191" spans="1:16" x14ac:dyDescent="0.25">
      <c r="A1191" s="1369">
        <v>44608</v>
      </c>
      <c r="B1191" s="1369">
        <v>44608</v>
      </c>
      <c r="C1191" s="3340" t="s">
        <v>4327</v>
      </c>
      <c r="D1191" s="3341"/>
      <c r="E1191" s="1357">
        <v>55</v>
      </c>
      <c r="F1191" s="1358">
        <v>1</v>
      </c>
      <c r="G1191" s="1359">
        <f>E1191/F1191</f>
        <v>55</v>
      </c>
      <c r="H1191" s="1247" t="s">
        <v>1496</v>
      </c>
      <c r="I1191" s="1321"/>
      <c r="J1191" s="1360"/>
      <c r="K1191" s="1398"/>
      <c r="L1191" s="1398"/>
      <c r="M1191" s="1321"/>
      <c r="N1191" s="1398"/>
      <c r="O1191" s="1321"/>
      <c r="P1191" s="1336"/>
    </row>
    <row r="1192" spans="1:16" x14ac:dyDescent="0.25">
      <c r="A1192" s="1369">
        <v>44614</v>
      </c>
      <c r="B1192" s="1369">
        <v>44614</v>
      </c>
      <c r="C1192" s="3340" t="s">
        <v>4328</v>
      </c>
      <c r="D1192" s="3341"/>
      <c r="E1192" s="1357">
        <v>400</v>
      </c>
      <c r="F1192" s="1358">
        <v>2</v>
      </c>
      <c r="G1192" s="1359">
        <f>E1192/F1192</f>
        <v>200</v>
      </c>
      <c r="H1192" s="1247" t="s">
        <v>1522</v>
      </c>
      <c r="I1192" s="1321"/>
      <c r="J1192" s="1360"/>
      <c r="K1192" s="1398"/>
      <c r="L1192" s="1398"/>
      <c r="M1192" s="1321"/>
      <c r="N1192" s="1398"/>
      <c r="O1192" s="1321"/>
      <c r="P1192" s="1336"/>
    </row>
    <row r="1193" spans="1:16" ht="15.75" x14ac:dyDescent="0.25">
      <c r="A1193" s="3356" t="s">
        <v>4071</v>
      </c>
      <c r="B1193" s="3357"/>
      <c r="C1193" s="3357"/>
      <c r="D1193" s="3357"/>
      <c r="E1193" s="1396">
        <v>3850</v>
      </c>
      <c r="F1193" s="3366"/>
      <c r="G1193" s="3367"/>
      <c r="J1193" s="1382"/>
      <c r="K1193" s="1385"/>
      <c r="L1193" s="1385"/>
      <c r="M1193" s="1950"/>
      <c r="N1193" s="1385"/>
      <c r="O1193" s="1950"/>
      <c r="P1193" s="1385"/>
    </row>
    <row r="1194" spans="1:16" ht="15.75" x14ac:dyDescent="0.25">
      <c r="A1194" s="3358" t="s">
        <v>4072</v>
      </c>
      <c r="B1194" s="3359"/>
      <c r="C1194" s="3359"/>
      <c r="D1194" s="3359"/>
      <c r="E1194" s="1397">
        <v>760.36</v>
      </c>
      <c r="F1194" s="3368"/>
      <c r="G1194" s="3369"/>
      <c r="H1194" s="1247" t="s">
        <v>280</v>
      </c>
      <c r="J1194" s="1385"/>
      <c r="K1194" s="1382"/>
      <c r="L1194" s="1382"/>
      <c r="M1194" s="1390"/>
      <c r="N1194" s="1382"/>
      <c r="O1194" s="1390"/>
    </row>
    <row r="1195" spans="1:16" ht="15.75" x14ac:dyDescent="0.25">
      <c r="A1195" s="3356" t="s">
        <v>4073</v>
      </c>
      <c r="B1195" s="3357"/>
      <c r="C1195" s="3357"/>
      <c r="D1195" s="3357"/>
      <c r="E1195" s="1396">
        <v>1063.92</v>
      </c>
      <c r="F1195" s="3368"/>
      <c r="G1195" s="3369"/>
      <c r="J1195" s="1382"/>
      <c r="K1195" s="1350"/>
      <c r="L1195" s="1350"/>
      <c r="M1195" s="1274"/>
      <c r="N1195" s="1350"/>
      <c r="O1195" s="1274"/>
    </row>
    <row r="1196" spans="1:16" ht="15.75" x14ac:dyDescent="0.25">
      <c r="A1196" s="3358" t="s">
        <v>4074</v>
      </c>
      <c r="B1196" s="3359"/>
      <c r="C1196" s="3359"/>
      <c r="D1196" s="3359"/>
      <c r="E1196" s="3359"/>
      <c r="F1196" s="3360"/>
      <c r="G1196" s="1387">
        <f>SUM(G1189:G1192)</f>
        <v>407.68</v>
      </c>
      <c r="H1196" s="1348"/>
      <c r="J1196" s="1385"/>
      <c r="K1196" s="1385"/>
      <c r="L1196" s="1385"/>
      <c r="M1196" s="1394"/>
      <c r="N1196" s="1385"/>
      <c r="O1196" s="1394"/>
    </row>
    <row r="1197" spans="1:16" ht="17.25" customHeight="1" thickBot="1" x14ac:dyDescent="0.3">
      <c r="A1197" s="3356" t="s">
        <v>4075</v>
      </c>
      <c r="B1197" s="3357"/>
      <c r="C1197" s="3357"/>
      <c r="D1197" s="3357"/>
      <c r="E1197" s="1388">
        <f>E1193-E1194</f>
        <v>3089.64</v>
      </c>
      <c r="G1197" s="1389"/>
      <c r="J1197" s="1382"/>
      <c r="K1197" s="1390"/>
      <c r="L1197" s="1390"/>
      <c r="M1197" s="1389"/>
      <c r="N1197" s="1390"/>
      <c r="O1197" s="1389"/>
    </row>
    <row r="1198" spans="1:16" ht="16.5" customHeight="1" thickBot="1" x14ac:dyDescent="0.3"/>
    <row r="1199" spans="1:16" ht="19.5" thickBot="1" x14ac:dyDescent="0.35">
      <c r="A1199" s="3361" t="s">
        <v>4329</v>
      </c>
      <c r="B1199" s="3362"/>
      <c r="C1199" s="3362"/>
      <c r="D1199" s="3362"/>
      <c r="E1199" s="3362"/>
      <c r="F1199" s="3362"/>
      <c r="G1199" s="3363"/>
      <c r="J1199" s="1354"/>
      <c r="K1199" s="1354"/>
      <c r="L1199" s="1354"/>
      <c r="M1199" s="1951"/>
      <c r="N1199" s="1354"/>
      <c r="O1199" s="1951"/>
    </row>
    <row r="1200" spans="1:16" ht="16.5" thickBot="1" x14ac:dyDescent="0.3">
      <c r="A1200" s="1361" t="s">
        <v>4206</v>
      </c>
      <c r="B1200" s="1361" t="s">
        <v>4206</v>
      </c>
      <c r="C1200" s="3370" t="s">
        <v>3</v>
      </c>
      <c r="D1200" s="3371"/>
      <c r="E1200" s="1363" t="s">
        <v>4190</v>
      </c>
      <c r="F1200" s="1363" t="s">
        <v>4191</v>
      </c>
      <c r="G1200" s="1364" t="s">
        <v>4207</v>
      </c>
      <c r="I1200" s="1339" t="s">
        <v>4208</v>
      </c>
      <c r="J1200" s="1391"/>
      <c r="K1200" s="1391"/>
      <c r="L1200" s="1391"/>
      <c r="M1200" s="1395"/>
      <c r="N1200" s="1391"/>
      <c r="O1200" s="1395"/>
    </row>
    <row r="1201" spans="1:16" x14ac:dyDescent="0.25">
      <c r="A1201" s="1369">
        <v>44502</v>
      </c>
      <c r="B1201" s="1369">
        <v>44502</v>
      </c>
      <c r="C1201" s="3340" t="s">
        <v>4330</v>
      </c>
      <c r="D1201" s="3341"/>
      <c r="E1201" s="1357">
        <v>679</v>
      </c>
      <c r="F1201" s="1358">
        <v>3</v>
      </c>
      <c r="G1201" s="1359">
        <f t="shared" ref="G1201:G1208" si="245">E1201/F1201</f>
        <v>226.33333333333334</v>
      </c>
      <c r="H1201" s="1247" t="s">
        <v>1489</v>
      </c>
      <c r="I1201" s="1321">
        <f>G1201/2</f>
        <v>113.16666666666667</v>
      </c>
      <c r="J1201" s="1360"/>
      <c r="K1201" s="1321"/>
      <c r="L1201" s="1321"/>
      <c r="M1201" s="1281"/>
      <c r="N1201" s="1321"/>
      <c r="O1201" s="1281"/>
    </row>
    <row r="1202" spans="1:16" x14ac:dyDescent="0.25">
      <c r="A1202" s="1369">
        <v>44532</v>
      </c>
      <c r="B1202" s="1369">
        <v>44532</v>
      </c>
      <c r="C1202" s="3340" t="s">
        <v>4331</v>
      </c>
      <c r="D1202" s="3341"/>
      <c r="E1202" s="1357">
        <v>148</v>
      </c>
      <c r="F1202" s="1358">
        <v>2</v>
      </c>
      <c r="G1202" s="1359">
        <f t="shared" si="245"/>
        <v>74</v>
      </c>
      <c r="H1202" s="1247" t="s">
        <v>1491</v>
      </c>
      <c r="I1202" s="1321"/>
      <c r="J1202" s="1360"/>
      <c r="K1202" s="1321"/>
      <c r="L1202" s="1321"/>
      <c r="M1202" s="1281"/>
      <c r="N1202" s="1321"/>
      <c r="O1202" s="1281"/>
    </row>
    <row r="1203" spans="1:16" x14ac:dyDescent="0.25">
      <c r="A1203" s="1369">
        <v>44536</v>
      </c>
      <c r="B1203" s="1369">
        <v>44536</v>
      </c>
      <c r="C1203" s="3340" t="s">
        <v>4332</v>
      </c>
      <c r="D1203" s="3341"/>
      <c r="E1203" s="1357">
        <v>170</v>
      </c>
      <c r="F1203" s="1358">
        <v>2</v>
      </c>
      <c r="G1203" s="1359">
        <f t="shared" si="245"/>
        <v>85</v>
      </c>
      <c r="H1203" s="1247" t="s">
        <v>1522</v>
      </c>
      <c r="I1203" s="1321"/>
      <c r="J1203" s="1360"/>
      <c r="K1203" s="1321"/>
      <c r="L1203" s="1321"/>
      <c r="M1203" s="1281"/>
      <c r="N1203" s="1321"/>
      <c r="O1203" s="1281"/>
    </row>
    <row r="1204" spans="1:16" x14ac:dyDescent="0.25">
      <c r="A1204" s="1369">
        <v>44540</v>
      </c>
      <c r="B1204" s="1369">
        <v>44540</v>
      </c>
      <c r="C1204" s="3340" t="s">
        <v>4333</v>
      </c>
      <c r="D1204" s="3341"/>
      <c r="E1204" s="1357">
        <v>320</v>
      </c>
      <c r="F1204" s="1358">
        <v>2</v>
      </c>
      <c r="G1204" s="1359">
        <f t="shared" si="245"/>
        <v>160</v>
      </c>
      <c r="H1204" s="1247" t="s">
        <v>1489</v>
      </c>
      <c r="I1204" s="1321">
        <f>G1204/2</f>
        <v>80</v>
      </c>
      <c r="J1204" s="1360"/>
      <c r="K1204" s="1321"/>
      <c r="L1204" s="1321"/>
      <c r="M1204" s="1281"/>
      <c r="N1204" s="1321"/>
      <c r="O1204" s="1281"/>
    </row>
    <row r="1205" spans="1:16" x14ac:dyDescent="0.25">
      <c r="A1205" s="1369">
        <v>44540</v>
      </c>
      <c r="B1205" s="1369">
        <v>44540</v>
      </c>
      <c r="C1205" s="3340" t="s">
        <v>4334</v>
      </c>
      <c r="D1205" s="3341"/>
      <c r="E1205" s="1357">
        <v>730.74</v>
      </c>
      <c r="F1205" s="1358">
        <v>2</v>
      </c>
      <c r="G1205" s="1359">
        <f t="shared" si="245"/>
        <v>365.37</v>
      </c>
      <c r="H1205" s="1247" t="s">
        <v>1523</v>
      </c>
      <c r="I1205" s="1321">
        <f>G1205/2</f>
        <v>182.685</v>
      </c>
      <c r="J1205" s="1360"/>
      <c r="K1205" s="1321" t="s">
        <v>280</v>
      </c>
      <c r="L1205" s="1321"/>
      <c r="M1205" s="1281"/>
      <c r="N1205" s="1321" t="s">
        <v>280</v>
      </c>
      <c r="O1205" s="1281"/>
    </row>
    <row r="1206" spans="1:16" x14ac:dyDescent="0.25">
      <c r="A1206" s="1369">
        <v>44551</v>
      </c>
      <c r="B1206" s="1369">
        <v>44551</v>
      </c>
      <c r="C1206" s="3340" t="s">
        <v>4335</v>
      </c>
      <c r="D1206" s="3341"/>
      <c r="E1206" s="1357">
        <v>227</v>
      </c>
      <c r="F1206" s="1358">
        <v>2</v>
      </c>
      <c r="G1206" s="1359">
        <f t="shared" si="245"/>
        <v>113.5</v>
      </c>
      <c r="H1206" s="1247" t="s">
        <v>1491</v>
      </c>
      <c r="I1206" s="1321"/>
      <c r="J1206" s="1360"/>
      <c r="K1206" s="1321"/>
      <c r="L1206" s="1321"/>
      <c r="M1206" s="1281"/>
      <c r="N1206" s="1321"/>
      <c r="O1206" s="1281"/>
    </row>
    <row r="1207" spans="1:16" x14ac:dyDescent="0.25">
      <c r="A1207" s="1369">
        <v>44572</v>
      </c>
      <c r="B1207" s="1369">
        <v>44572</v>
      </c>
      <c r="C1207" s="3340" t="s">
        <v>4336</v>
      </c>
      <c r="D1207" s="3341"/>
      <c r="E1207" s="1357">
        <v>30.27</v>
      </c>
      <c r="F1207" s="1358">
        <v>1</v>
      </c>
      <c r="G1207" s="1359">
        <f t="shared" si="245"/>
        <v>30.27</v>
      </c>
      <c r="H1207" s="1247" t="s">
        <v>1506</v>
      </c>
      <c r="I1207" s="1321"/>
      <c r="J1207" s="1360"/>
      <c r="K1207" s="1321"/>
      <c r="L1207" s="1321"/>
      <c r="M1207" s="1281"/>
      <c r="N1207" s="1321"/>
      <c r="O1207" s="1281"/>
    </row>
    <row r="1208" spans="1:16" x14ac:dyDescent="0.25">
      <c r="A1208" s="1369">
        <v>44587</v>
      </c>
      <c r="B1208" s="1369">
        <v>44587</v>
      </c>
      <c r="C1208" s="3340" t="s">
        <v>4337</v>
      </c>
      <c r="D1208" s="3341"/>
      <c r="E1208" s="1357">
        <v>9.4499999999999993</v>
      </c>
      <c r="F1208" s="1358">
        <v>1</v>
      </c>
      <c r="G1208" s="1359">
        <f t="shared" si="245"/>
        <v>9.4499999999999993</v>
      </c>
      <c r="H1208" s="1247" t="s">
        <v>1504</v>
      </c>
      <c r="I1208" s="1321"/>
      <c r="J1208" s="1360"/>
      <c r="K1208" s="1321"/>
      <c r="L1208" s="1321"/>
      <c r="M1208" s="1281"/>
      <c r="N1208" s="1321"/>
      <c r="O1208" s="1281"/>
    </row>
    <row r="1209" spans="1:16" ht="15.75" x14ac:dyDescent="0.25">
      <c r="A1209" s="3356" t="s">
        <v>4071</v>
      </c>
      <c r="B1209" s="3357"/>
      <c r="C1209" s="3357"/>
      <c r="D1209" s="3357"/>
      <c r="E1209" s="1396">
        <v>3850</v>
      </c>
      <c r="F1209" s="3366"/>
      <c r="G1209" s="3367"/>
      <c r="J1209" s="1382"/>
      <c r="K1209" s="1350"/>
      <c r="L1209" s="1350"/>
      <c r="M1209" s="1274"/>
      <c r="N1209" s="1350"/>
      <c r="O1209" s="1274"/>
    </row>
    <row r="1210" spans="1:16" ht="15.75" x14ac:dyDescent="0.25">
      <c r="A1210" s="3358" t="s">
        <v>4072</v>
      </c>
      <c r="B1210" s="3359"/>
      <c r="C1210" s="3359"/>
      <c r="D1210" s="3359"/>
      <c r="E1210" s="1397">
        <v>1063.92</v>
      </c>
      <c r="F1210" s="3368"/>
      <c r="G1210" s="3369"/>
      <c r="H1210" s="1247" t="s">
        <v>280</v>
      </c>
      <c r="J1210" s="1385"/>
      <c r="K1210" s="1281"/>
      <c r="L1210" s="1281"/>
      <c r="M1210" s="1274"/>
      <c r="N1210" s="1281"/>
      <c r="O1210" s="1274"/>
    </row>
    <row r="1211" spans="1:16" ht="15.75" x14ac:dyDescent="0.25">
      <c r="A1211" s="3356" t="s">
        <v>4073</v>
      </c>
      <c r="B1211" s="3357"/>
      <c r="C1211" s="3357"/>
      <c r="D1211" s="3357"/>
      <c r="E1211" s="1396">
        <v>1052.7</v>
      </c>
      <c r="F1211" s="3368"/>
      <c r="G1211" s="3369"/>
      <c r="J1211" s="1382"/>
      <c r="K1211" s="1350"/>
      <c r="L1211" s="1350"/>
      <c r="M1211" s="1274"/>
      <c r="N1211" s="1350"/>
      <c r="O1211" s="1274"/>
    </row>
    <row r="1212" spans="1:16" ht="15.75" x14ac:dyDescent="0.25">
      <c r="A1212" s="3358" t="s">
        <v>4074</v>
      </c>
      <c r="B1212" s="3359"/>
      <c r="C1212" s="3359"/>
      <c r="D1212" s="3359"/>
      <c r="E1212" s="3359"/>
      <c r="F1212" s="3360"/>
      <c r="G1212" s="1387">
        <f>SUM(G1201:G1208)</f>
        <v>1063.9233333333334</v>
      </c>
      <c r="H1212" s="1348">
        <f>G1212-I1201-I1204-I1205</f>
        <v>688.07166666666672</v>
      </c>
      <c r="I1212" s="1336" t="s">
        <v>4141</v>
      </c>
      <c r="J1212" s="1385"/>
      <c r="K1212" s="1385"/>
      <c r="L1212" s="1385"/>
      <c r="M1212" s="1394"/>
      <c r="N1212" s="1385"/>
      <c r="O1212" s="1394"/>
    </row>
    <row r="1213" spans="1:16" ht="17.25" customHeight="1" thickBot="1" x14ac:dyDescent="0.3">
      <c r="A1213" s="3356" t="s">
        <v>4075</v>
      </c>
      <c r="B1213" s="3357"/>
      <c r="C1213" s="3357"/>
      <c r="D1213" s="3357"/>
      <c r="E1213" s="1388">
        <f>E1209-E1210</f>
        <v>2786.08</v>
      </c>
      <c r="G1213" s="1389"/>
      <c r="J1213" s="1382"/>
      <c r="K1213" s="1390"/>
      <c r="L1213" s="1390"/>
      <c r="M1213" s="1389"/>
      <c r="N1213" s="1390"/>
      <c r="O1213" s="1389"/>
    </row>
    <row r="1214" spans="1:16" ht="16.5" customHeight="1" thickBot="1" x14ac:dyDescent="0.3"/>
    <row r="1215" spans="1:16" ht="19.5" thickBot="1" x14ac:dyDescent="0.35">
      <c r="A1215" s="3361" t="s">
        <v>4338</v>
      </c>
      <c r="B1215" s="3362"/>
      <c r="C1215" s="3362"/>
      <c r="D1215" s="3362"/>
      <c r="E1215" s="3362"/>
      <c r="F1215" s="3362"/>
      <c r="G1215" s="3363"/>
      <c r="J1215" s="1354"/>
      <c r="K1215" s="3362"/>
      <c r="L1215" s="3362"/>
      <c r="M1215" s="3362"/>
      <c r="N1215" s="1944"/>
      <c r="O1215" s="1944"/>
      <c r="P1215" s="1944"/>
    </row>
    <row r="1216" spans="1:16" ht="16.5" thickBot="1" x14ac:dyDescent="0.3">
      <c r="A1216" s="1361" t="s">
        <v>4206</v>
      </c>
      <c r="B1216" s="1361" t="s">
        <v>4206</v>
      </c>
      <c r="C1216" s="3370" t="s">
        <v>3</v>
      </c>
      <c r="D1216" s="3371"/>
      <c r="E1216" s="1363" t="s">
        <v>4190</v>
      </c>
      <c r="F1216" s="1363" t="s">
        <v>4191</v>
      </c>
      <c r="G1216" s="1364" t="s">
        <v>4207</v>
      </c>
      <c r="I1216" s="1339" t="s">
        <v>4208</v>
      </c>
      <c r="J1216" s="1391"/>
      <c r="K1216" s="1362" t="s">
        <v>3</v>
      </c>
      <c r="L1216" s="1362"/>
      <c r="M1216" s="1363" t="s">
        <v>4190</v>
      </c>
      <c r="N1216" s="1362" t="s">
        <v>3</v>
      </c>
      <c r="O1216" s="1363" t="s">
        <v>4190</v>
      </c>
      <c r="P1216" s="1363" t="s">
        <v>4191</v>
      </c>
    </row>
    <row r="1217" spans="1:16" x14ac:dyDescent="0.25">
      <c r="A1217" s="1407">
        <v>44468</v>
      </c>
      <c r="B1217" s="1407">
        <v>44468</v>
      </c>
      <c r="C1217" s="3340" t="s">
        <v>3145</v>
      </c>
      <c r="D1217" s="3341"/>
      <c r="E1217" s="1372">
        <v>239.45</v>
      </c>
      <c r="F1217" s="1373">
        <v>4</v>
      </c>
      <c r="G1217" s="1359">
        <v>0</v>
      </c>
      <c r="H1217" s="1247" t="s">
        <v>1522</v>
      </c>
      <c r="I1217" s="1321" t="s">
        <v>4339</v>
      </c>
      <c r="J1217" s="1417"/>
      <c r="K1217" s="1356" t="s">
        <v>3199</v>
      </c>
      <c r="L1217" s="1356"/>
      <c r="M1217" s="1357">
        <v>159.19999999999996</v>
      </c>
      <c r="N1217" s="1356" t="s">
        <v>3199</v>
      </c>
      <c r="O1217" s="1357">
        <v>159.19999999999996</v>
      </c>
      <c r="P1217" s="1358">
        <v>2</v>
      </c>
    </row>
    <row r="1218" spans="1:16" x14ac:dyDescent="0.25">
      <c r="A1218" s="1369">
        <v>44498</v>
      </c>
      <c r="B1218" s="1369">
        <v>44498</v>
      </c>
      <c r="C1218" s="3340" t="s">
        <v>3146</v>
      </c>
      <c r="D1218" s="3341"/>
      <c r="E1218" s="1357">
        <v>200</v>
      </c>
      <c r="F1218" s="1358">
        <v>3</v>
      </c>
      <c r="G1218" s="1359">
        <v>0</v>
      </c>
      <c r="H1218" s="1247" t="s">
        <v>1489</v>
      </c>
      <c r="I1218" s="1321" t="s">
        <v>4340</v>
      </c>
      <c r="J1218" s="1417"/>
      <c r="K1218" s="1356"/>
      <c r="L1218" s="1356"/>
      <c r="M1218" s="1357"/>
      <c r="N1218" s="1356"/>
      <c r="O1218" s="1357"/>
      <c r="P1218" s="1358"/>
    </row>
    <row r="1219" spans="1:16" x14ac:dyDescent="0.25">
      <c r="A1219" s="1369">
        <v>44502</v>
      </c>
      <c r="B1219" s="1369">
        <v>44502</v>
      </c>
      <c r="C1219" s="3340" t="s">
        <v>4341</v>
      </c>
      <c r="D1219" s="3341"/>
      <c r="E1219" s="1357">
        <v>679</v>
      </c>
      <c r="F1219" s="1358">
        <v>3</v>
      </c>
      <c r="G1219" s="1359">
        <f>E1219/F1219</f>
        <v>226.33333333333334</v>
      </c>
      <c r="H1219" s="1247" t="s">
        <v>1489</v>
      </c>
      <c r="I1219" s="1321">
        <f>G1219/2</f>
        <v>113.16666666666667</v>
      </c>
      <c r="J1219" s="1360"/>
      <c r="K1219" s="1356"/>
      <c r="L1219" s="1356"/>
      <c r="M1219" s="1357"/>
      <c r="N1219" s="1356"/>
      <c r="O1219" s="1357"/>
      <c r="P1219" s="1358"/>
    </row>
    <row r="1220" spans="1:16" x14ac:dyDescent="0.25">
      <c r="A1220" s="1369">
        <v>44527</v>
      </c>
      <c r="B1220" s="1369">
        <v>44527</v>
      </c>
      <c r="C1220" s="3340" t="s">
        <v>4342</v>
      </c>
      <c r="D1220" s="3341"/>
      <c r="E1220" s="1357">
        <v>169</v>
      </c>
      <c r="F1220" s="1358">
        <v>2</v>
      </c>
      <c r="G1220" s="1359">
        <f>E1220/F1220</f>
        <v>84.5</v>
      </c>
      <c r="H1220" s="1247" t="s">
        <v>2131</v>
      </c>
      <c r="I1220" s="1321"/>
      <c r="J1220" s="1360"/>
      <c r="K1220" s="1356"/>
      <c r="L1220" s="1356"/>
      <c r="M1220" s="1357"/>
      <c r="N1220" s="1356"/>
      <c r="O1220" s="1357"/>
      <c r="P1220" s="1358"/>
    </row>
    <row r="1221" spans="1:16" ht="15.75" x14ac:dyDescent="0.25">
      <c r="A1221" s="1369">
        <v>44532</v>
      </c>
      <c r="B1221" s="1369">
        <v>44532</v>
      </c>
      <c r="C1221" s="3340" t="s">
        <v>4343</v>
      </c>
      <c r="D1221" s="3341"/>
      <c r="E1221" s="1357">
        <v>148</v>
      </c>
      <c r="F1221" s="1358">
        <v>2</v>
      </c>
      <c r="G1221" s="1359">
        <f>E1221/F1221</f>
        <v>74</v>
      </c>
      <c r="H1221" s="1247" t="s">
        <v>1491</v>
      </c>
      <c r="I1221" s="1321"/>
      <c r="J1221" s="1360"/>
      <c r="K1221" s="1933"/>
      <c r="L1221" s="1933"/>
      <c r="M1221" s="1396">
        <v>1400</v>
      </c>
      <c r="N1221" s="1933"/>
      <c r="O1221" s="1396">
        <v>1400</v>
      </c>
      <c r="P1221" s="1274"/>
    </row>
    <row r="1222" spans="1:16" ht="15.75" x14ac:dyDescent="0.25">
      <c r="A1222" s="1369">
        <v>44536</v>
      </c>
      <c r="B1222" s="1369">
        <v>44536</v>
      </c>
      <c r="C1222" s="3340" t="s">
        <v>3147</v>
      </c>
      <c r="D1222" s="3341"/>
      <c r="E1222" s="1357">
        <v>170</v>
      </c>
      <c r="F1222" s="1358">
        <v>2</v>
      </c>
      <c r="G1222" s="1359">
        <v>0</v>
      </c>
      <c r="H1222" s="1247" t="s">
        <v>1522</v>
      </c>
      <c r="I1222" s="1321" t="s">
        <v>4344</v>
      </c>
      <c r="J1222" s="1417"/>
      <c r="K1222" s="1935"/>
      <c r="L1222" s="1935"/>
      <c r="M1222" s="1397">
        <v>159.19999999999996</v>
      </c>
      <c r="N1222" s="1935"/>
      <c r="O1222" s="1397">
        <v>159.19999999999996</v>
      </c>
      <c r="P1222" s="1274"/>
    </row>
    <row r="1223" spans="1:16" ht="15.75" x14ac:dyDescent="0.25">
      <c r="A1223" s="1369">
        <v>44538</v>
      </c>
      <c r="B1223" s="1369">
        <v>44538</v>
      </c>
      <c r="C1223" s="3340" t="s">
        <v>4345</v>
      </c>
      <c r="D1223" s="3341"/>
      <c r="E1223" s="1357">
        <v>29</v>
      </c>
      <c r="F1223" s="1358">
        <v>1</v>
      </c>
      <c r="G1223" s="1359">
        <f>E1223/F1223</f>
        <v>29</v>
      </c>
      <c r="H1223" s="1247" t="s">
        <v>1491</v>
      </c>
      <c r="I1223" s="1321"/>
      <c r="J1223" s="1360"/>
      <c r="K1223" s="1933"/>
      <c r="L1223" s="1933"/>
      <c r="M1223" s="1396"/>
      <c r="N1223" s="1933"/>
      <c r="O1223" s="1396"/>
      <c r="P1223" s="1274"/>
    </row>
    <row r="1224" spans="1:16" ht="15.75" x14ac:dyDescent="0.25">
      <c r="A1224" s="1369">
        <v>44539</v>
      </c>
      <c r="B1224" s="1369">
        <v>44539</v>
      </c>
      <c r="C1224" s="3340" t="s">
        <v>4346</v>
      </c>
      <c r="D1224" s="3341"/>
      <c r="E1224" s="1357">
        <v>126.79</v>
      </c>
      <c r="F1224" s="1358">
        <v>1</v>
      </c>
      <c r="G1224" s="1359">
        <v>0</v>
      </c>
      <c r="H1224" s="1247" t="s">
        <v>1491</v>
      </c>
      <c r="I1224" s="1321" t="s">
        <v>4347</v>
      </c>
      <c r="J1224" s="1417"/>
      <c r="K1224" s="3359"/>
      <c r="L1224" s="3359"/>
      <c r="M1224" s="3359"/>
      <c r="N1224" s="3359"/>
      <c r="O1224" s="3359"/>
      <c r="P1224" s="3360"/>
    </row>
    <row r="1225" spans="1:16" ht="15.75" x14ac:dyDescent="0.25">
      <c r="A1225" s="1369">
        <v>44540</v>
      </c>
      <c r="B1225" s="1369">
        <v>44540</v>
      </c>
      <c r="C1225" s="3340" t="s">
        <v>4348</v>
      </c>
      <c r="D1225" s="3341"/>
      <c r="E1225" s="1357">
        <v>320</v>
      </c>
      <c r="F1225" s="1358">
        <v>2</v>
      </c>
      <c r="G1225" s="1359">
        <f>E1225/F1225</f>
        <v>160</v>
      </c>
      <c r="H1225" s="1247" t="s">
        <v>1489</v>
      </c>
      <c r="I1225" s="1321">
        <f>G1225/2</f>
        <v>80</v>
      </c>
      <c r="J1225" s="1360"/>
      <c r="K1225" s="1933"/>
      <c r="L1225" s="1933"/>
      <c r="M1225" s="1388">
        <f>M1221-M1222</f>
        <v>1240.8</v>
      </c>
      <c r="N1225" s="1933"/>
      <c r="O1225" s="1388">
        <f>O1221-O1222</f>
        <v>1240.8</v>
      </c>
    </row>
    <row r="1226" spans="1:16" x14ac:dyDescent="0.25">
      <c r="A1226" s="1369">
        <v>44540</v>
      </c>
      <c r="B1226" s="1369">
        <v>44540</v>
      </c>
      <c r="C1226" s="3340" t="s">
        <v>4349</v>
      </c>
      <c r="D1226" s="3341"/>
      <c r="E1226" s="1357">
        <v>730.74</v>
      </c>
      <c r="F1226" s="1358">
        <v>2</v>
      </c>
      <c r="G1226" s="1359">
        <f>E1226/F1226</f>
        <v>365.37</v>
      </c>
      <c r="H1226" s="1247" t="s">
        <v>1523</v>
      </c>
      <c r="I1226" s="1321">
        <f>G1226/2</f>
        <v>182.685</v>
      </c>
      <c r="J1226" s="1360"/>
      <c r="K1226" s="1321"/>
      <c r="L1226" s="1321"/>
      <c r="M1226" s="1281"/>
      <c r="N1226" s="1321"/>
      <c r="O1226" s="1281"/>
    </row>
    <row r="1227" spans="1:16" x14ac:dyDescent="0.25">
      <c r="A1227" s="1369">
        <v>44551</v>
      </c>
      <c r="B1227" s="1369">
        <v>44551</v>
      </c>
      <c r="C1227" s="3340" t="s">
        <v>4350</v>
      </c>
      <c r="D1227" s="3341"/>
      <c r="E1227" s="1357">
        <v>227</v>
      </c>
      <c r="F1227" s="1358">
        <v>2</v>
      </c>
      <c r="G1227" s="1359">
        <f>E1227/F1227</f>
        <v>113.5</v>
      </c>
      <c r="H1227" s="1247" t="s">
        <v>1491</v>
      </c>
      <c r="I1227" s="1321"/>
      <c r="J1227" s="1360"/>
      <c r="K1227" s="1321"/>
      <c r="L1227" s="1321"/>
      <c r="M1227" s="1281"/>
      <c r="N1227" s="1321"/>
      <c r="O1227" s="1281"/>
    </row>
    <row r="1228" spans="1:16" ht="15.75" x14ac:dyDescent="0.25">
      <c r="A1228" s="3356" t="s">
        <v>4071</v>
      </c>
      <c r="B1228" s="3357"/>
      <c r="C1228" s="3357"/>
      <c r="D1228" s="3357"/>
      <c r="E1228" s="1396">
        <v>2810</v>
      </c>
      <c r="F1228" s="3366"/>
      <c r="G1228" s="3367"/>
      <c r="J1228" s="1382"/>
      <c r="K1228" s="1350"/>
      <c r="L1228" s="1350"/>
      <c r="M1228" s="1274"/>
      <c r="N1228" s="1350"/>
      <c r="O1228" s="1274"/>
    </row>
    <row r="1229" spans="1:16" ht="15.75" x14ac:dyDescent="0.25">
      <c r="A1229" s="3358" t="s">
        <v>4072</v>
      </c>
      <c r="B1229" s="3359"/>
      <c r="C1229" s="3359"/>
      <c r="D1229" s="3359"/>
      <c r="E1229" s="1397">
        <v>811.69</v>
      </c>
      <c r="F1229" s="3368"/>
      <c r="G1229" s="3369"/>
      <c r="H1229" s="1247" t="s">
        <v>280</v>
      </c>
      <c r="J1229" s="1385"/>
      <c r="K1229" s="1281"/>
      <c r="L1229" s="1281"/>
      <c r="M1229" s="1274"/>
      <c r="N1229" s="1281"/>
      <c r="O1229" s="1274"/>
    </row>
    <row r="1230" spans="1:16" ht="15.75" x14ac:dyDescent="0.25">
      <c r="A1230" s="3356" t="s">
        <v>4073</v>
      </c>
      <c r="B1230" s="3357"/>
      <c r="C1230" s="3357"/>
      <c r="D1230" s="3357"/>
      <c r="E1230" s="1396">
        <f>G1245</f>
        <v>596.86249999999995</v>
      </c>
      <c r="F1230" s="3368"/>
      <c r="G1230" s="3369"/>
      <c r="J1230" s="1382"/>
      <c r="K1230" s="1350"/>
      <c r="L1230" s="1350"/>
      <c r="M1230" s="1274"/>
      <c r="N1230" s="1350"/>
      <c r="O1230" s="1274"/>
    </row>
    <row r="1231" spans="1:16" ht="15.75" x14ac:dyDescent="0.25">
      <c r="A1231" s="3358" t="s">
        <v>4074</v>
      </c>
      <c r="B1231" s="3359"/>
      <c r="C1231" s="3359"/>
      <c r="D1231" s="3359"/>
      <c r="E1231" s="3359"/>
      <c r="F1231" s="3360"/>
      <c r="G1231" s="1387">
        <f>SUM(G1217:G1227)</f>
        <v>1052.7033333333334</v>
      </c>
      <c r="H1231" s="1348">
        <f>G1231-I1219-I1225-I1226</f>
        <v>676.85166666666669</v>
      </c>
      <c r="I1231" s="1336" t="s">
        <v>4141</v>
      </c>
      <c r="J1231" s="1385"/>
      <c r="K1231" s="1385"/>
      <c r="L1231" s="1385"/>
      <c r="M1231" s="1394"/>
      <c r="N1231" s="1385"/>
      <c r="O1231" s="1394"/>
    </row>
    <row r="1232" spans="1:16" ht="17.25" customHeight="1" thickBot="1" x14ac:dyDescent="0.3">
      <c r="A1232" s="3356" t="s">
        <v>4075</v>
      </c>
      <c r="B1232" s="3357"/>
      <c r="C1232" s="3357"/>
      <c r="D1232" s="3357"/>
      <c r="E1232" s="1388">
        <f>E1228-E1229</f>
        <v>1998.31</v>
      </c>
      <c r="G1232" s="1389"/>
      <c r="J1232" s="1382"/>
      <c r="K1232" s="1390"/>
      <c r="L1232" s="1390"/>
      <c r="M1232" s="1389"/>
      <c r="N1232" s="1390"/>
      <c r="O1232" s="1389"/>
    </row>
    <row r="1233" spans="1:15" ht="16.5" customHeight="1" thickBot="1" x14ac:dyDescent="0.3"/>
    <row r="1234" spans="1:15" ht="19.5" thickBot="1" x14ac:dyDescent="0.35">
      <c r="A1234" s="3361" t="s">
        <v>4351</v>
      </c>
      <c r="B1234" s="3362"/>
      <c r="C1234" s="3362"/>
      <c r="D1234" s="3362"/>
      <c r="E1234" s="3362"/>
      <c r="F1234" s="3362"/>
      <c r="G1234" s="3363"/>
      <c r="J1234" s="3361" t="s">
        <v>4352</v>
      </c>
      <c r="K1234" s="3362"/>
      <c r="L1234" s="3362"/>
      <c r="M1234" s="3363"/>
      <c r="O1234" s="1247"/>
    </row>
    <row r="1235" spans="1:15" ht="16.5" thickBot="1" x14ac:dyDescent="0.3">
      <c r="A1235" s="1361" t="s">
        <v>4206</v>
      </c>
      <c r="B1235" s="1361" t="s">
        <v>4206</v>
      </c>
      <c r="C1235" s="3370" t="s">
        <v>3</v>
      </c>
      <c r="D1235" s="3371"/>
      <c r="E1235" s="1363" t="s">
        <v>4190</v>
      </c>
      <c r="F1235" s="1363" t="s">
        <v>4191</v>
      </c>
      <c r="G1235" s="1364" t="s">
        <v>4207</v>
      </c>
      <c r="I1235" s="1339" t="s">
        <v>4208</v>
      </c>
      <c r="J1235" s="1361" t="s">
        <v>4206</v>
      </c>
      <c r="K1235" s="1363" t="s">
        <v>4190</v>
      </c>
      <c r="L1235" s="2917"/>
      <c r="M1235" s="1364" t="s">
        <v>4207</v>
      </c>
      <c r="N1235" s="1363" t="s">
        <v>4190</v>
      </c>
      <c r="O1235" s="1364" t="s">
        <v>4207</v>
      </c>
    </row>
    <row r="1236" spans="1:15" x14ac:dyDescent="0.25">
      <c r="A1236" s="1407">
        <v>44468</v>
      </c>
      <c r="B1236" s="1407">
        <v>44468</v>
      </c>
      <c r="C1236" s="3340" t="s">
        <v>4353</v>
      </c>
      <c r="D1236" s="3341"/>
      <c r="E1236" s="1372">
        <v>239.45</v>
      </c>
      <c r="F1236" s="1373">
        <v>4</v>
      </c>
      <c r="G1236" s="1359">
        <f t="shared" ref="G1236:G1241" si="246">E1236/F1236</f>
        <v>59.862499999999997</v>
      </c>
      <c r="H1236" s="1247" t="s">
        <v>1522</v>
      </c>
      <c r="I1236" s="1321"/>
      <c r="J1236" s="1369">
        <v>44529</v>
      </c>
      <c r="K1236" s="1357">
        <v>159.19999999999996</v>
      </c>
      <c r="L1236" s="2918"/>
      <c r="M1236" s="1359">
        <f>K1236/2</f>
        <v>79.59999999999998</v>
      </c>
      <c r="N1236" s="1357">
        <v>159.19999999999996</v>
      </c>
      <c r="O1236" s="1359">
        <f>N1236/2</f>
        <v>79.59999999999998</v>
      </c>
    </row>
    <row r="1237" spans="1:15" x14ac:dyDescent="0.25">
      <c r="A1237" s="1369">
        <v>44475</v>
      </c>
      <c r="B1237" s="1369">
        <v>44475</v>
      </c>
      <c r="C1237" s="3340" t="s">
        <v>4354</v>
      </c>
      <c r="D1237" s="3341"/>
      <c r="E1237" s="1357">
        <v>119</v>
      </c>
      <c r="F1237" s="1358">
        <v>2</v>
      </c>
      <c r="G1237" s="1359">
        <f t="shared" si="246"/>
        <v>59.5</v>
      </c>
      <c r="H1237" s="1247" t="s">
        <v>1506</v>
      </c>
      <c r="I1237" s="1321"/>
      <c r="J1237" s="1369"/>
      <c r="K1237" s="1357"/>
      <c r="L1237" s="2918"/>
      <c r="M1237" s="1359"/>
      <c r="N1237" s="1357"/>
      <c r="O1237" s="1359"/>
    </row>
    <row r="1238" spans="1:15" x14ac:dyDescent="0.25">
      <c r="A1238" s="1369">
        <v>44498</v>
      </c>
      <c r="B1238" s="1369">
        <v>44498</v>
      </c>
      <c r="C1238" s="3340" t="s">
        <v>4355</v>
      </c>
      <c r="D1238" s="3341"/>
      <c r="E1238" s="1357">
        <v>200</v>
      </c>
      <c r="F1238" s="1358">
        <v>3</v>
      </c>
      <c r="G1238" s="1359">
        <f t="shared" si="246"/>
        <v>66.666666666666671</v>
      </c>
      <c r="H1238" s="1247" t="s">
        <v>1489</v>
      </c>
      <c r="I1238" s="1321"/>
      <c r="J1238" s="1369"/>
      <c r="K1238" s="1357"/>
      <c r="L1238" s="2918"/>
      <c r="M1238" s="1359"/>
      <c r="N1238" s="1357"/>
      <c r="O1238" s="1359"/>
    </row>
    <row r="1239" spans="1:15" x14ac:dyDescent="0.25">
      <c r="A1239" s="1369">
        <v>44502</v>
      </c>
      <c r="B1239" s="1369">
        <v>44502</v>
      </c>
      <c r="C1239" s="3340" t="s">
        <v>4356</v>
      </c>
      <c r="D1239" s="3341"/>
      <c r="E1239" s="1357">
        <v>679</v>
      </c>
      <c r="F1239" s="1358">
        <v>3</v>
      </c>
      <c r="G1239" s="1359">
        <f t="shared" si="246"/>
        <v>226.33333333333334</v>
      </c>
      <c r="H1239" s="1247" t="s">
        <v>1489</v>
      </c>
      <c r="I1239" s="1321">
        <f>G1239/2</f>
        <v>113.16666666666667</v>
      </c>
      <c r="J1239" s="1369"/>
      <c r="K1239" s="1357"/>
      <c r="L1239" s="2918"/>
      <c r="M1239" s="1359"/>
      <c r="N1239" s="1357"/>
      <c r="O1239" s="1359"/>
    </row>
    <row r="1240" spans="1:15" ht="15.75" x14ac:dyDescent="0.25">
      <c r="A1240" s="1369">
        <v>44505</v>
      </c>
      <c r="B1240" s="1369">
        <v>44505</v>
      </c>
      <c r="C1240" s="3340" t="s">
        <v>4357</v>
      </c>
      <c r="D1240" s="3341"/>
      <c r="E1240" s="1357">
        <v>100</v>
      </c>
      <c r="F1240" s="1358">
        <v>1</v>
      </c>
      <c r="G1240" s="1359">
        <f t="shared" si="246"/>
        <v>100</v>
      </c>
      <c r="H1240" s="1247" t="s">
        <v>1522</v>
      </c>
      <c r="I1240" s="1321"/>
      <c r="J1240" s="1932" t="s">
        <v>4071</v>
      </c>
      <c r="K1240" s="1396">
        <v>1400</v>
      </c>
      <c r="L1240" s="2919"/>
      <c r="M1240" s="3367"/>
      <c r="N1240" s="1396">
        <v>1400</v>
      </c>
      <c r="O1240" s="3367"/>
    </row>
    <row r="1241" spans="1:15" ht="15.75" x14ac:dyDescent="0.25">
      <c r="A1241" s="1369">
        <v>44527</v>
      </c>
      <c r="B1241" s="1369">
        <v>44527</v>
      </c>
      <c r="C1241" s="3340" t="s">
        <v>4358</v>
      </c>
      <c r="D1241" s="3341"/>
      <c r="E1241" s="1357">
        <v>169</v>
      </c>
      <c r="F1241" s="1358">
        <v>2</v>
      </c>
      <c r="G1241" s="1359">
        <f t="shared" si="246"/>
        <v>84.5</v>
      </c>
      <c r="H1241" s="1247" t="s">
        <v>2131</v>
      </c>
      <c r="I1241" s="1321"/>
      <c r="J1241" s="1934" t="s">
        <v>4072</v>
      </c>
      <c r="K1241" s="1397">
        <v>159.19999999999996</v>
      </c>
      <c r="L1241" s="1377"/>
      <c r="M1241" s="3369"/>
      <c r="N1241" s="1397">
        <v>159.19999999999996</v>
      </c>
      <c r="O1241" s="3369"/>
    </row>
    <row r="1242" spans="1:15" ht="15.75" x14ac:dyDescent="0.25">
      <c r="A1242" s="3356" t="s">
        <v>4071</v>
      </c>
      <c r="B1242" s="3357"/>
      <c r="C1242" s="3357"/>
      <c r="D1242" s="3357"/>
      <c r="E1242" s="1396">
        <v>2810</v>
      </c>
      <c r="F1242" s="3366"/>
      <c r="G1242" s="3367"/>
      <c r="J1242" s="1932" t="s">
        <v>4075</v>
      </c>
      <c r="K1242" s="1388">
        <f>K1240-K1241</f>
        <v>1240.8</v>
      </c>
      <c r="L1242" s="2920"/>
      <c r="M1242" s="1389"/>
      <c r="N1242" s="1388">
        <f>N1240-N1241</f>
        <v>1240.8</v>
      </c>
      <c r="O1242" s="1389"/>
    </row>
    <row r="1243" spans="1:15" ht="15.75" x14ac:dyDescent="0.25">
      <c r="A1243" s="3358" t="s">
        <v>4072</v>
      </c>
      <c r="B1243" s="3359"/>
      <c r="C1243" s="3359"/>
      <c r="D1243" s="3359"/>
      <c r="E1243" s="1397">
        <v>1091.56</v>
      </c>
      <c r="F1243" s="3368"/>
      <c r="G1243" s="3369"/>
      <c r="H1243" s="1247" t="s">
        <v>280</v>
      </c>
    </row>
    <row r="1244" spans="1:15" ht="15.75" x14ac:dyDescent="0.25">
      <c r="A1244" s="3356" t="s">
        <v>4073</v>
      </c>
      <c r="B1244" s="3357"/>
      <c r="C1244" s="3357"/>
      <c r="D1244" s="3357"/>
      <c r="E1244" s="1396">
        <v>234.36</v>
      </c>
      <c r="F1244" s="3368"/>
      <c r="G1244" s="3369"/>
    </row>
    <row r="1245" spans="1:15" ht="15.75" x14ac:dyDescent="0.25">
      <c r="A1245" s="3358" t="s">
        <v>4074</v>
      </c>
      <c r="B1245" s="3359"/>
      <c r="C1245" s="3359"/>
      <c r="D1245" s="3359"/>
      <c r="E1245" s="3359"/>
      <c r="F1245" s="3360"/>
      <c r="G1245" s="1387">
        <f>SUM(G1236:G1241)</f>
        <v>596.86249999999995</v>
      </c>
      <c r="H1245" s="1348">
        <f>G1245-I1239</f>
        <v>483.69583333333327</v>
      </c>
      <c r="I1245" s="1336" t="s">
        <v>4141</v>
      </c>
    </row>
    <row r="1246" spans="1:15" ht="17.25" customHeight="1" thickBot="1" x14ac:dyDescent="0.3">
      <c r="A1246" s="3356" t="s">
        <v>4075</v>
      </c>
      <c r="B1246" s="3357"/>
      <c r="C1246" s="3357"/>
      <c r="D1246" s="3357"/>
      <c r="E1246" s="1388">
        <f>E1242-E1243</f>
        <v>1718.44</v>
      </c>
      <c r="G1246" s="1389"/>
    </row>
    <row r="1247" spans="1:15" ht="16.5" customHeight="1" thickBot="1" x14ac:dyDescent="0.3"/>
    <row r="1248" spans="1:15" ht="19.5" thickBot="1" x14ac:dyDescent="0.35">
      <c r="A1248" s="3361" t="s">
        <v>4359</v>
      </c>
      <c r="B1248" s="3362"/>
      <c r="C1248" s="3362"/>
      <c r="D1248" s="3362"/>
      <c r="E1248" s="3362"/>
      <c r="F1248" s="3362"/>
      <c r="G1248" s="3363"/>
      <c r="J1248" s="1354"/>
      <c r="K1248" s="1354"/>
      <c r="L1248" s="1354"/>
      <c r="M1248" s="1951"/>
      <c r="N1248" s="1354"/>
      <c r="O1248" s="1951"/>
    </row>
    <row r="1249" spans="1:15" ht="16.5" thickBot="1" x14ac:dyDescent="0.3">
      <c r="A1249" s="1361" t="s">
        <v>4206</v>
      </c>
      <c r="B1249" s="1361" t="s">
        <v>4206</v>
      </c>
      <c r="C1249" s="3370" t="s">
        <v>3</v>
      </c>
      <c r="D1249" s="3371"/>
      <c r="E1249" s="1363" t="s">
        <v>4190</v>
      </c>
      <c r="F1249" s="1363" t="s">
        <v>4191</v>
      </c>
      <c r="G1249" s="1364" t="s">
        <v>4207</v>
      </c>
      <c r="I1249" s="1336" t="s">
        <v>4208</v>
      </c>
      <c r="J1249" s="1391"/>
      <c r="K1249" s="1391"/>
      <c r="L1249" s="1391"/>
      <c r="M1249" s="1395"/>
      <c r="N1249" s="1391"/>
      <c r="O1249" s="1395"/>
    </row>
    <row r="1250" spans="1:15" x14ac:dyDescent="0.25">
      <c r="A1250" s="1407">
        <v>44468</v>
      </c>
      <c r="B1250" s="1407">
        <v>44468</v>
      </c>
      <c r="C1250" s="3340" t="s">
        <v>4360</v>
      </c>
      <c r="D1250" s="3341"/>
      <c r="E1250" s="1372">
        <v>239.45</v>
      </c>
      <c r="F1250" s="1373">
        <v>4</v>
      </c>
      <c r="G1250" s="1359">
        <f t="shared" ref="G1250:G1257" si="247">E1250/F1250</f>
        <v>59.862499999999997</v>
      </c>
      <c r="H1250" s="1247" t="s">
        <v>1522</v>
      </c>
      <c r="I1250" s="1321"/>
      <c r="J1250" s="1360"/>
      <c r="K1250" s="1321"/>
      <c r="L1250" s="1321"/>
      <c r="M1250" s="1281"/>
      <c r="N1250" s="1321"/>
      <c r="O1250" s="1281"/>
    </row>
    <row r="1251" spans="1:15" x14ac:dyDescent="0.25">
      <c r="A1251" s="1407">
        <v>44470</v>
      </c>
      <c r="B1251" s="1407">
        <v>44470</v>
      </c>
      <c r="C1251" s="3340" t="s">
        <v>4361</v>
      </c>
      <c r="D1251" s="3341"/>
      <c r="E1251" s="1372">
        <v>71</v>
      </c>
      <c r="F1251" s="1373">
        <v>2</v>
      </c>
      <c r="G1251" s="1374">
        <f t="shared" si="247"/>
        <v>35.5</v>
      </c>
      <c r="H1251" s="1247" t="s">
        <v>1522</v>
      </c>
      <c r="I1251" s="1321"/>
      <c r="J1251" s="1360"/>
      <c r="K1251" s="1321"/>
      <c r="L1251" s="1321"/>
      <c r="M1251" s="1281"/>
      <c r="N1251" s="1321"/>
      <c r="O1251" s="1281"/>
    </row>
    <row r="1252" spans="1:15" x14ac:dyDescent="0.25">
      <c r="A1252" s="1407">
        <v>44470</v>
      </c>
      <c r="B1252" s="1407">
        <v>44470</v>
      </c>
      <c r="C1252" s="3340" t="s">
        <v>4362</v>
      </c>
      <c r="D1252" s="3341"/>
      <c r="E1252" s="1372">
        <v>129</v>
      </c>
      <c r="F1252" s="1373">
        <v>2</v>
      </c>
      <c r="G1252" s="1374">
        <f t="shared" si="247"/>
        <v>64.5</v>
      </c>
      <c r="H1252" s="1247" t="s">
        <v>1522</v>
      </c>
      <c r="I1252" s="1321"/>
      <c r="J1252" s="1360"/>
      <c r="K1252" s="1321"/>
      <c r="L1252" s="1321"/>
      <c r="M1252" s="1281"/>
      <c r="N1252" s="1321"/>
      <c r="O1252" s="1281"/>
    </row>
    <row r="1253" spans="1:15" x14ac:dyDescent="0.25">
      <c r="A1253" s="1369">
        <v>44474</v>
      </c>
      <c r="B1253" s="1369">
        <v>44474</v>
      </c>
      <c r="C1253" s="3340" t="s">
        <v>4363</v>
      </c>
      <c r="D1253" s="3341"/>
      <c r="E1253" s="1357">
        <v>51.33</v>
      </c>
      <c r="F1253" s="1358">
        <v>1</v>
      </c>
      <c r="G1253" s="1359">
        <f t="shared" si="247"/>
        <v>51.33</v>
      </c>
      <c r="H1253" s="1247" t="s">
        <v>1496</v>
      </c>
      <c r="I1253" s="1321"/>
      <c r="J1253" s="1360"/>
      <c r="K1253" s="1321"/>
      <c r="L1253" s="1321"/>
      <c r="M1253" s="1281"/>
      <c r="N1253" s="1321"/>
      <c r="O1253" s="1281"/>
    </row>
    <row r="1254" spans="1:15" x14ac:dyDescent="0.25">
      <c r="A1254" s="1369">
        <v>44474</v>
      </c>
      <c r="B1254" s="1369">
        <v>44474</v>
      </c>
      <c r="C1254" s="3340" t="s">
        <v>3233</v>
      </c>
      <c r="D1254" s="3341"/>
      <c r="E1254" s="1357">
        <v>78.900000000000006</v>
      </c>
      <c r="F1254" s="1358">
        <v>1</v>
      </c>
      <c r="G1254" s="1359">
        <f t="shared" si="247"/>
        <v>78.900000000000006</v>
      </c>
      <c r="H1254" s="1247" t="s">
        <v>1496</v>
      </c>
      <c r="I1254" s="1321"/>
      <c r="J1254" s="1360"/>
      <c r="K1254" s="1321"/>
      <c r="L1254" s="1321"/>
      <c r="M1254" s="1281"/>
      <c r="N1254" s="1321"/>
      <c r="O1254" s="1281"/>
    </row>
    <row r="1255" spans="1:15" x14ac:dyDescent="0.25">
      <c r="A1255" s="1369">
        <v>44475</v>
      </c>
      <c r="B1255" s="1369">
        <v>44475</v>
      </c>
      <c r="C1255" s="3340" t="s">
        <v>4364</v>
      </c>
      <c r="D1255" s="3341"/>
      <c r="E1255" s="1357">
        <v>119</v>
      </c>
      <c r="F1255" s="1358">
        <v>2</v>
      </c>
      <c r="G1255" s="1359">
        <f t="shared" si="247"/>
        <v>59.5</v>
      </c>
      <c r="H1255" s="1247" t="s">
        <v>1506</v>
      </c>
      <c r="I1255" s="1321"/>
      <c r="J1255" s="1360"/>
      <c r="K1255" s="1321"/>
      <c r="L1255" s="1321"/>
      <c r="M1255" s="1281"/>
      <c r="N1255" s="1321"/>
      <c r="O1255" s="1281"/>
    </row>
    <row r="1256" spans="1:15" x14ac:dyDescent="0.25">
      <c r="A1256" s="1369">
        <v>44492</v>
      </c>
      <c r="B1256" s="1369">
        <v>44492</v>
      </c>
      <c r="C1256" s="3340" t="s">
        <v>4365</v>
      </c>
      <c r="D1256" s="3341"/>
      <c r="E1256" s="1357">
        <v>5</v>
      </c>
      <c r="F1256" s="1358">
        <v>1</v>
      </c>
      <c r="G1256" s="1359">
        <f t="shared" si="247"/>
        <v>5</v>
      </c>
      <c r="H1256" s="1247" t="s">
        <v>1489</v>
      </c>
      <c r="I1256" s="1321"/>
      <c r="J1256" s="1360"/>
      <c r="K1256" s="1321"/>
      <c r="L1256" s="1321"/>
      <c r="M1256" s="1281"/>
      <c r="N1256" s="1321"/>
      <c r="O1256" s="1281"/>
    </row>
    <row r="1257" spans="1:15" x14ac:dyDescent="0.25">
      <c r="A1257" s="1369">
        <v>44498</v>
      </c>
      <c r="B1257" s="1369">
        <v>44498</v>
      </c>
      <c r="C1257" s="3340" t="s">
        <v>4366</v>
      </c>
      <c r="D1257" s="3341"/>
      <c r="E1257" s="1357">
        <v>200</v>
      </c>
      <c r="F1257" s="1358">
        <v>3</v>
      </c>
      <c r="G1257" s="1359">
        <f t="shared" si="247"/>
        <v>66.666666666666671</v>
      </c>
      <c r="H1257" s="1247" t="s">
        <v>1489</v>
      </c>
      <c r="I1257" s="1321"/>
      <c r="J1257" s="1360"/>
      <c r="K1257" s="1321"/>
      <c r="L1257" s="1321"/>
      <c r="M1257" s="1281"/>
      <c r="N1257" s="1321"/>
      <c r="O1257" s="1281"/>
    </row>
    <row r="1258" spans="1:15" x14ac:dyDescent="0.25">
      <c r="A1258" s="1418">
        <v>44468</v>
      </c>
      <c r="B1258" s="1418">
        <v>44468</v>
      </c>
      <c r="C1258" s="3399" t="s">
        <v>4367</v>
      </c>
      <c r="D1258" s="3400"/>
      <c r="E1258" s="1419">
        <v>560.70000000000005</v>
      </c>
      <c r="F1258" s="1420">
        <v>3</v>
      </c>
      <c r="G1258" s="1416">
        <v>-186.9</v>
      </c>
      <c r="H1258" s="1247" t="s">
        <v>1523</v>
      </c>
      <c r="I1258" s="1321"/>
      <c r="J1258" s="1360"/>
      <c r="K1258" s="1321"/>
      <c r="L1258" s="1321"/>
      <c r="M1258" s="1281"/>
      <c r="N1258" s="1321"/>
      <c r="O1258" s="1281"/>
    </row>
    <row r="1259" spans="1:15" ht="15.75" x14ac:dyDescent="0.25">
      <c r="A1259" s="3356" t="s">
        <v>4071</v>
      </c>
      <c r="B1259" s="3357"/>
      <c r="C1259" s="3357"/>
      <c r="D1259" s="3357"/>
      <c r="E1259" s="1396">
        <v>2810</v>
      </c>
      <c r="F1259" s="3366"/>
      <c r="G1259" s="3367"/>
      <c r="J1259" s="1382"/>
      <c r="K1259" s="1350"/>
      <c r="L1259" s="1350"/>
      <c r="M1259" s="1274"/>
      <c r="N1259" s="1350"/>
      <c r="O1259" s="1274"/>
    </row>
    <row r="1260" spans="1:15" ht="15.75" x14ac:dyDescent="0.25">
      <c r="A1260" s="3358" t="s">
        <v>4072</v>
      </c>
      <c r="B1260" s="3359"/>
      <c r="C1260" s="3359"/>
      <c r="D1260" s="3359"/>
      <c r="E1260" s="1397">
        <v>546.91</v>
      </c>
      <c r="F1260" s="3368"/>
      <c r="G1260" s="3369"/>
      <c r="H1260" s="1247" t="s">
        <v>280</v>
      </c>
      <c r="J1260" s="1385"/>
      <c r="K1260" s="1281"/>
      <c r="L1260" s="1281"/>
      <c r="M1260" s="1274"/>
      <c r="N1260" s="1281"/>
      <c r="O1260" s="1274"/>
    </row>
    <row r="1261" spans="1:15" ht="15.75" x14ac:dyDescent="0.25">
      <c r="A1261" s="3356" t="s">
        <v>4073</v>
      </c>
      <c r="B1261" s="3357"/>
      <c r="C1261" s="3357"/>
      <c r="D1261" s="3357"/>
      <c r="E1261" s="1396">
        <f>G1278</f>
        <v>740.24583333333328</v>
      </c>
      <c r="F1261" s="3368"/>
      <c r="G1261" s="3369"/>
      <c r="J1261" s="1382"/>
      <c r="K1261" s="1350"/>
      <c r="L1261" s="1350"/>
      <c r="M1261" s="1274"/>
      <c r="N1261" s="1350"/>
      <c r="O1261" s="1274"/>
    </row>
    <row r="1262" spans="1:15" ht="15.75" x14ac:dyDescent="0.25">
      <c r="A1262" s="3358" t="s">
        <v>4074</v>
      </c>
      <c r="B1262" s="3359"/>
      <c r="C1262" s="3359"/>
      <c r="D1262" s="3359"/>
      <c r="E1262" s="3359"/>
      <c r="F1262" s="3360"/>
      <c r="G1262" s="1387">
        <f>SUM(G1250:G1258)</f>
        <v>234.35916666666665</v>
      </c>
      <c r="H1262" s="1348"/>
      <c r="I1262" s="1336" t="s">
        <v>4141</v>
      </c>
      <c r="J1262" s="1385"/>
      <c r="K1262" s="1385"/>
      <c r="L1262" s="1385"/>
      <c r="M1262" s="1394"/>
      <c r="N1262" s="1385"/>
      <c r="O1262" s="1394"/>
    </row>
    <row r="1263" spans="1:15" ht="17.25" customHeight="1" thickBot="1" x14ac:dyDescent="0.3">
      <c r="A1263" s="3356" t="s">
        <v>4075</v>
      </c>
      <c r="B1263" s="3357"/>
      <c r="C1263" s="3357"/>
      <c r="D1263" s="3357"/>
      <c r="E1263" s="1388">
        <f>E1259-E1260</f>
        <v>2263.09</v>
      </c>
      <c r="G1263" s="1389"/>
      <c r="J1263" s="1382"/>
      <c r="K1263" s="1390"/>
      <c r="L1263" s="1390"/>
      <c r="M1263" s="1389"/>
      <c r="N1263" s="1390"/>
      <c r="O1263" s="1389"/>
    </row>
    <row r="1264" spans="1:15" ht="16.5" customHeight="1" thickBot="1" x14ac:dyDescent="0.3"/>
    <row r="1265" spans="1:15" ht="19.5" thickBot="1" x14ac:dyDescent="0.35">
      <c r="A1265" s="3361" t="s">
        <v>4368</v>
      </c>
      <c r="B1265" s="3362"/>
      <c r="C1265" s="3362"/>
      <c r="D1265" s="3362"/>
      <c r="E1265" s="3362"/>
      <c r="F1265" s="3362"/>
      <c r="G1265" s="3363"/>
      <c r="J1265" s="3361" t="s">
        <v>4369</v>
      </c>
      <c r="K1265" s="3362"/>
      <c r="L1265" s="3362"/>
      <c r="M1265" s="3363"/>
      <c r="O1265" s="1247"/>
    </row>
    <row r="1266" spans="1:15" ht="16.5" thickBot="1" x14ac:dyDescent="0.3">
      <c r="A1266" s="1361" t="s">
        <v>4206</v>
      </c>
      <c r="B1266" s="1361" t="s">
        <v>4206</v>
      </c>
      <c r="C1266" s="3370" t="s">
        <v>3</v>
      </c>
      <c r="D1266" s="3371"/>
      <c r="E1266" s="1363" t="s">
        <v>4190</v>
      </c>
      <c r="F1266" s="1363" t="s">
        <v>4191</v>
      </c>
      <c r="G1266" s="1364" t="s">
        <v>4207</v>
      </c>
      <c r="I1266" s="1336" t="s">
        <v>4208</v>
      </c>
      <c r="J1266" s="1361" t="s">
        <v>4206</v>
      </c>
      <c r="K1266" s="1363" t="s">
        <v>4190</v>
      </c>
      <c r="L1266" s="2917"/>
      <c r="M1266" s="1364" t="s">
        <v>4207</v>
      </c>
      <c r="N1266" s="1363" t="s">
        <v>4190</v>
      </c>
      <c r="O1266" s="1364" t="s">
        <v>4207</v>
      </c>
    </row>
    <row r="1267" spans="1:15" x14ac:dyDescent="0.25">
      <c r="A1267" s="1407">
        <v>44383</v>
      </c>
      <c r="B1267" s="1407">
        <v>44383</v>
      </c>
      <c r="C1267" s="3374" t="s">
        <v>4370</v>
      </c>
      <c r="D1267" s="3375"/>
      <c r="E1267" s="1357">
        <v>349.3</v>
      </c>
      <c r="F1267" s="1358">
        <v>3</v>
      </c>
      <c r="G1267" s="1359">
        <f t="shared" ref="G1267:G1274" si="248">E1267/F1267</f>
        <v>116.43333333333334</v>
      </c>
      <c r="I1267" s="1321">
        <f>G1267</f>
        <v>116.43333333333334</v>
      </c>
      <c r="J1267" s="1369">
        <v>44359</v>
      </c>
      <c r="K1267" s="1357">
        <v>117</v>
      </c>
      <c r="L1267" s="2918"/>
      <c r="M1267" s="1359" t="e">
        <f>K1267/#REF!</f>
        <v>#REF!</v>
      </c>
      <c r="N1267" s="1357">
        <v>117</v>
      </c>
      <c r="O1267" s="1359" t="e">
        <f>N1267/#REF!</f>
        <v>#REF!</v>
      </c>
    </row>
    <row r="1268" spans="1:15" x14ac:dyDescent="0.25">
      <c r="A1268" s="1369">
        <v>44456</v>
      </c>
      <c r="B1268" s="1369">
        <v>44456</v>
      </c>
      <c r="C1268" s="3340" t="s">
        <v>4371</v>
      </c>
      <c r="D1268" s="3341"/>
      <c r="E1268" s="1357">
        <v>78.08</v>
      </c>
      <c r="F1268" s="1358">
        <v>1</v>
      </c>
      <c r="G1268" s="1359">
        <f t="shared" si="248"/>
        <v>78.08</v>
      </c>
      <c r="H1268" s="1247" t="s">
        <v>1491</v>
      </c>
      <c r="I1268" s="1321"/>
      <c r="J1268" s="1369">
        <v>44359</v>
      </c>
      <c r="K1268" s="1357">
        <v>126</v>
      </c>
      <c r="L1268" s="2918"/>
      <c r="M1268" s="1359" t="e">
        <f>K1268/#REF!</f>
        <v>#REF!</v>
      </c>
      <c r="N1268" s="1357">
        <v>126</v>
      </c>
      <c r="O1268" s="1359" t="e">
        <f>N1268/#REF!</f>
        <v>#REF!</v>
      </c>
    </row>
    <row r="1269" spans="1:15" x14ac:dyDescent="0.25">
      <c r="A1269" s="1369">
        <v>44456</v>
      </c>
      <c r="B1269" s="1369">
        <v>44456</v>
      </c>
      <c r="C1269" s="3340" t="s">
        <v>4371</v>
      </c>
      <c r="D1269" s="3341"/>
      <c r="E1269" s="1357">
        <v>93.97</v>
      </c>
      <c r="F1269" s="1358">
        <v>1</v>
      </c>
      <c r="G1269" s="1359">
        <f t="shared" si="248"/>
        <v>93.97</v>
      </c>
      <c r="H1269" s="1247" t="s">
        <v>1491</v>
      </c>
      <c r="I1269" s="1321"/>
      <c r="J1269" s="1369">
        <v>44359</v>
      </c>
      <c r="K1269" s="1357">
        <v>99</v>
      </c>
      <c r="L1269" s="2918"/>
      <c r="M1269" s="1359" t="e">
        <f>K1269/#REF!</f>
        <v>#REF!</v>
      </c>
      <c r="N1269" s="1357">
        <v>99</v>
      </c>
      <c r="O1269" s="1359" t="e">
        <f>N1269/#REF!</f>
        <v>#REF!</v>
      </c>
    </row>
    <row r="1270" spans="1:15" x14ac:dyDescent="0.25">
      <c r="A1270" s="1421">
        <v>44468</v>
      </c>
      <c r="B1270" s="1421">
        <v>44468</v>
      </c>
      <c r="C1270" s="3448" t="s">
        <v>4372</v>
      </c>
      <c r="D1270" s="3449"/>
      <c r="E1270" s="1422">
        <v>560.70000000000005</v>
      </c>
      <c r="F1270" s="1423">
        <v>3</v>
      </c>
      <c r="G1270" s="1424">
        <f t="shared" si="248"/>
        <v>186.9</v>
      </c>
      <c r="H1270" s="1392" t="s">
        <v>1523</v>
      </c>
      <c r="I1270" s="1425" t="s">
        <v>4373</v>
      </c>
      <c r="J1270" s="1369">
        <v>44359</v>
      </c>
      <c r="K1270" s="1357">
        <v>99</v>
      </c>
      <c r="L1270" s="2918"/>
      <c r="M1270" s="1359" t="e">
        <f>K1270/#REF!</f>
        <v>#REF!</v>
      </c>
      <c r="N1270" s="1357">
        <v>99</v>
      </c>
      <c r="O1270" s="1359" t="e">
        <f>N1270/#REF!</f>
        <v>#REF!</v>
      </c>
    </row>
    <row r="1271" spans="1:15" x14ac:dyDescent="0.25">
      <c r="A1271" s="1407">
        <v>44468</v>
      </c>
      <c r="B1271" s="1407">
        <v>44468</v>
      </c>
      <c r="C1271" s="3340" t="s">
        <v>4374</v>
      </c>
      <c r="D1271" s="3341"/>
      <c r="E1271" s="1372">
        <v>239.45</v>
      </c>
      <c r="F1271" s="1373">
        <v>4</v>
      </c>
      <c r="G1271" s="1359">
        <f t="shared" si="248"/>
        <v>59.862499999999997</v>
      </c>
      <c r="H1271" s="1247" t="s">
        <v>1522</v>
      </c>
      <c r="I1271" s="1321"/>
      <c r="J1271" s="1369"/>
      <c r="K1271" s="1357"/>
      <c r="L1271" s="2918"/>
      <c r="M1271" s="1359"/>
      <c r="N1271" s="1357"/>
      <c r="O1271" s="1359"/>
    </row>
    <row r="1272" spans="1:15" x14ac:dyDescent="0.25">
      <c r="A1272" s="1407">
        <v>44469</v>
      </c>
      <c r="B1272" s="1407">
        <v>44469</v>
      </c>
      <c r="C1272" s="3340" t="s">
        <v>4375</v>
      </c>
      <c r="D1272" s="3341"/>
      <c r="E1272" s="1372">
        <v>105</v>
      </c>
      <c r="F1272" s="1373">
        <v>1</v>
      </c>
      <c r="G1272" s="1374">
        <f t="shared" si="248"/>
        <v>105</v>
      </c>
      <c r="H1272" s="1247" t="s">
        <v>1522</v>
      </c>
      <c r="I1272" s="1321"/>
      <c r="J1272" s="1369"/>
      <c r="K1272" s="1357"/>
      <c r="L1272" s="2918"/>
      <c r="M1272" s="1359"/>
      <c r="N1272" s="1357"/>
      <c r="O1272" s="1359"/>
    </row>
    <row r="1273" spans="1:15" x14ac:dyDescent="0.25">
      <c r="A1273" s="1407">
        <v>44470</v>
      </c>
      <c r="B1273" s="1407">
        <v>44470</v>
      </c>
      <c r="C1273" s="3340" t="s">
        <v>4376</v>
      </c>
      <c r="D1273" s="3341"/>
      <c r="E1273" s="1372">
        <v>71</v>
      </c>
      <c r="F1273" s="1373">
        <v>2</v>
      </c>
      <c r="G1273" s="1374">
        <f t="shared" si="248"/>
        <v>35.5</v>
      </c>
      <c r="H1273" s="1247" t="s">
        <v>1522</v>
      </c>
      <c r="I1273" s="1321"/>
      <c r="J1273" s="1369"/>
      <c r="K1273" s="1357"/>
      <c r="L1273" s="2918"/>
      <c r="M1273" s="1359"/>
      <c r="N1273" s="1357"/>
      <c r="O1273" s="1359"/>
    </row>
    <row r="1274" spans="1:15" x14ac:dyDescent="0.25">
      <c r="A1274" s="1407">
        <v>44470</v>
      </c>
      <c r="B1274" s="1407">
        <v>44470</v>
      </c>
      <c r="C1274" s="3340" t="s">
        <v>4377</v>
      </c>
      <c r="D1274" s="3341"/>
      <c r="E1274" s="1372">
        <v>129</v>
      </c>
      <c r="F1274" s="1373">
        <v>2</v>
      </c>
      <c r="G1274" s="1374">
        <f t="shared" si="248"/>
        <v>64.5</v>
      </c>
      <c r="H1274" s="1247" t="s">
        <v>1522</v>
      </c>
      <c r="I1274" s="1321"/>
      <c r="J1274" s="1369"/>
      <c r="K1274" s="1357"/>
      <c r="L1274" s="2918"/>
      <c r="M1274" s="1359"/>
      <c r="N1274" s="1357"/>
      <c r="O1274" s="1359"/>
    </row>
    <row r="1275" spans="1:15" ht="15.75" x14ac:dyDescent="0.25">
      <c r="A1275" s="3356" t="s">
        <v>4071</v>
      </c>
      <c r="B1275" s="3357"/>
      <c r="C1275" s="3357"/>
      <c r="D1275" s="3357"/>
      <c r="E1275" s="1396">
        <v>2810</v>
      </c>
      <c r="F1275" s="3366"/>
      <c r="G1275" s="3367"/>
      <c r="J1275" s="1932" t="s">
        <v>4071</v>
      </c>
      <c r="K1275" s="1396">
        <v>1600</v>
      </c>
      <c r="L1275" s="2919"/>
      <c r="M1275" s="3367"/>
      <c r="N1275" s="1396">
        <v>1600</v>
      </c>
      <c r="O1275" s="3367"/>
    </row>
    <row r="1276" spans="1:15" ht="15.75" x14ac:dyDescent="0.25">
      <c r="A1276" s="3358" t="s">
        <v>4072</v>
      </c>
      <c r="B1276" s="3359"/>
      <c r="C1276" s="3359"/>
      <c r="D1276" s="3359"/>
      <c r="E1276" s="1397">
        <v>1393.63</v>
      </c>
      <c r="F1276" s="3368"/>
      <c r="G1276" s="3369"/>
      <c r="H1276" s="1247" t="s">
        <v>280</v>
      </c>
      <c r="J1276" s="1934" t="s">
        <v>4072</v>
      </c>
      <c r="K1276" s="1397">
        <v>330</v>
      </c>
      <c r="L1276" s="1377"/>
      <c r="M1276" s="3369"/>
      <c r="N1276" s="1397">
        <v>330</v>
      </c>
      <c r="O1276" s="3369"/>
    </row>
    <row r="1277" spans="1:15" ht="15.75" x14ac:dyDescent="0.25">
      <c r="A1277" s="3356" t="s">
        <v>4073</v>
      </c>
      <c r="B1277" s="3357"/>
      <c r="C1277" s="3357"/>
      <c r="D1277" s="3357"/>
      <c r="E1277" s="1396">
        <f>G1289</f>
        <v>287.57333333333338</v>
      </c>
      <c r="F1277" s="3368"/>
      <c r="G1277" s="3369"/>
      <c r="J1277" s="1932" t="s">
        <v>4073</v>
      </c>
      <c r="K1277" s="1396">
        <v>110.25</v>
      </c>
      <c r="L1277" s="2921"/>
      <c r="M1277" s="3369"/>
      <c r="N1277" s="1396">
        <v>110.25</v>
      </c>
      <c r="O1277" s="3369"/>
    </row>
    <row r="1278" spans="1:15" ht="15.75" x14ac:dyDescent="0.25">
      <c r="A1278" s="3358" t="s">
        <v>4074</v>
      </c>
      <c r="B1278" s="3359"/>
      <c r="C1278" s="3359"/>
      <c r="D1278" s="3359"/>
      <c r="E1278" s="3359"/>
      <c r="F1278" s="3360"/>
      <c r="G1278" s="1387">
        <f>SUM(G1267:G1274)</f>
        <v>740.24583333333328</v>
      </c>
      <c r="H1278" s="1348">
        <f>G1278-I1267</f>
        <v>623.8125</v>
      </c>
      <c r="I1278" s="1336" t="s">
        <v>4141</v>
      </c>
      <c r="J1278" s="3358" t="s">
        <v>4074</v>
      </c>
      <c r="K1278" s="3359"/>
      <c r="L1278" s="1935"/>
      <c r="M1278" s="1387" t="e">
        <f>SUM(M1267:M1274)</f>
        <v>#REF!</v>
      </c>
      <c r="O1278" s="1387" t="e">
        <f>SUM(O1267:O1274)</f>
        <v>#REF!</v>
      </c>
    </row>
    <row r="1279" spans="1:15" ht="17.25" customHeight="1" thickBot="1" x14ac:dyDescent="0.3">
      <c r="A1279" s="3356" t="s">
        <v>4075</v>
      </c>
      <c r="B1279" s="3357"/>
      <c r="C1279" s="3357"/>
      <c r="D1279" s="3357"/>
      <c r="E1279" s="1388">
        <f>E1275-E1276</f>
        <v>1416.37</v>
      </c>
      <c r="G1279" s="1389"/>
      <c r="J1279" s="1932" t="s">
        <v>4075</v>
      </c>
      <c r="K1279" s="1388">
        <f>K1275-K1276</f>
        <v>1270</v>
      </c>
      <c r="L1279" s="2920"/>
      <c r="M1279" s="1389"/>
      <c r="N1279" s="1388">
        <f>N1275-N1276</f>
        <v>1270</v>
      </c>
      <c r="O1279" s="1389"/>
    </row>
    <row r="1280" spans="1:15" ht="16.5" customHeight="1" thickBot="1" x14ac:dyDescent="0.3"/>
    <row r="1281" spans="1:15" ht="19.5" thickBot="1" x14ac:dyDescent="0.35">
      <c r="A1281" s="3361" t="s">
        <v>4378</v>
      </c>
      <c r="B1281" s="3336"/>
      <c r="C1281" s="3336"/>
      <c r="D1281" s="3336"/>
      <c r="E1281" s="3336"/>
      <c r="F1281" s="3336"/>
      <c r="G1281" s="3337"/>
      <c r="J1281" s="3361" t="s">
        <v>4379</v>
      </c>
      <c r="K1281" s="3362"/>
      <c r="L1281" s="3362"/>
      <c r="M1281" s="3363"/>
      <c r="O1281" s="1247"/>
    </row>
    <row r="1282" spans="1:15" ht="16.5" thickBot="1" x14ac:dyDescent="0.3">
      <c r="A1282" s="1361" t="s">
        <v>4206</v>
      </c>
      <c r="B1282" s="1361" t="s">
        <v>4206</v>
      </c>
      <c r="C1282" s="3370" t="s">
        <v>3</v>
      </c>
      <c r="D1282" s="3371"/>
      <c r="E1282" s="1363" t="s">
        <v>4190</v>
      </c>
      <c r="F1282" s="1363" t="s">
        <v>4191</v>
      </c>
      <c r="G1282" s="1364" t="s">
        <v>4207</v>
      </c>
      <c r="I1282" s="1336" t="s">
        <v>4208</v>
      </c>
      <c r="J1282" s="1361" t="s">
        <v>4206</v>
      </c>
      <c r="K1282" s="1363" t="s">
        <v>4190</v>
      </c>
      <c r="L1282" s="2917"/>
      <c r="M1282" s="1364" t="s">
        <v>4207</v>
      </c>
      <c r="N1282" s="1363" t="s">
        <v>4190</v>
      </c>
      <c r="O1282" s="1364" t="s">
        <v>4207</v>
      </c>
    </row>
    <row r="1283" spans="1:15" x14ac:dyDescent="0.25">
      <c r="A1283" s="1407">
        <v>44383</v>
      </c>
      <c r="B1283" s="1407">
        <v>44383</v>
      </c>
      <c r="C1283" s="3374" t="s">
        <v>4380</v>
      </c>
      <c r="D1283" s="3375"/>
      <c r="E1283" s="1357">
        <v>349.3</v>
      </c>
      <c r="F1283" s="1358">
        <v>3</v>
      </c>
      <c r="G1283" s="1359">
        <f>E1283/F1283</f>
        <v>116.43333333333334</v>
      </c>
      <c r="I1283" s="1321">
        <f>G1283</f>
        <v>116.43333333333334</v>
      </c>
      <c r="J1283" s="1369">
        <v>44359</v>
      </c>
      <c r="K1283" s="1357">
        <v>117</v>
      </c>
      <c r="L1283" s="2918"/>
      <c r="M1283" s="1359" t="e">
        <f>K1283/#REF!</f>
        <v>#REF!</v>
      </c>
      <c r="N1283" s="1357">
        <v>117</v>
      </c>
      <c r="O1283" s="1359" t="e">
        <f>N1283/#REF!</f>
        <v>#REF!</v>
      </c>
    </row>
    <row r="1284" spans="1:15" x14ac:dyDescent="0.25">
      <c r="A1284" s="1399">
        <v>44408</v>
      </c>
      <c r="B1284" s="1399">
        <v>44408</v>
      </c>
      <c r="C1284" s="3393" t="s">
        <v>4381</v>
      </c>
      <c r="D1284" s="3394"/>
      <c r="E1284" s="1400">
        <v>-30.13</v>
      </c>
      <c r="F1284" s="1401">
        <v>1</v>
      </c>
      <c r="G1284" s="1359">
        <f>E1284/F1284</f>
        <v>-30.13</v>
      </c>
      <c r="H1284" s="1272" t="s">
        <v>1489</v>
      </c>
      <c r="I1284" s="1321"/>
      <c r="J1284" s="1369">
        <v>44359</v>
      </c>
      <c r="K1284" s="1357">
        <v>126</v>
      </c>
      <c r="L1284" s="2918"/>
      <c r="M1284" s="1359" t="e">
        <f>K1284/#REF!</f>
        <v>#REF!</v>
      </c>
      <c r="N1284" s="1357">
        <v>126</v>
      </c>
      <c r="O1284" s="1359" t="e">
        <f>N1284/#REF!</f>
        <v>#REF!</v>
      </c>
    </row>
    <row r="1285" spans="1:15" x14ac:dyDescent="0.25">
      <c r="A1285" s="1369">
        <v>44417</v>
      </c>
      <c r="B1285" s="1369">
        <v>44417</v>
      </c>
      <c r="C1285" s="3340" t="s">
        <v>4382</v>
      </c>
      <c r="D1285" s="3341"/>
      <c r="E1285" s="1357">
        <v>201.27</v>
      </c>
      <c r="F1285" s="1358">
        <v>1</v>
      </c>
      <c r="G1285" s="1359">
        <f>E1285/F1285</f>
        <v>201.27</v>
      </c>
      <c r="H1285" s="1247" t="s">
        <v>1491</v>
      </c>
      <c r="I1285" s="1321"/>
      <c r="J1285" s="1369">
        <v>44359</v>
      </c>
      <c r="K1285" s="1357">
        <v>99</v>
      </c>
      <c r="L1285" s="2918"/>
      <c r="M1285" s="1359" t="e">
        <f>K1285/#REF!</f>
        <v>#REF!</v>
      </c>
      <c r="N1285" s="1357">
        <v>99</v>
      </c>
      <c r="O1285" s="1359" t="e">
        <f>N1285/#REF!</f>
        <v>#REF!</v>
      </c>
    </row>
    <row r="1286" spans="1:15" ht="15.75" x14ac:dyDescent="0.25">
      <c r="A1286" s="3356" t="s">
        <v>4071</v>
      </c>
      <c r="B1286" s="3357"/>
      <c r="C1286" s="3357"/>
      <c r="D1286" s="3357"/>
      <c r="E1286" s="1396">
        <v>2810</v>
      </c>
      <c r="F1286" s="3366"/>
      <c r="G1286" s="3367"/>
      <c r="J1286" s="1932" t="s">
        <v>4071</v>
      </c>
      <c r="K1286" s="1396">
        <v>1600</v>
      </c>
      <c r="L1286" s="2919"/>
      <c r="M1286" s="3367"/>
      <c r="N1286" s="1396">
        <v>1600</v>
      </c>
      <c r="O1286" s="3367"/>
    </row>
    <row r="1287" spans="1:15" ht="15.75" x14ac:dyDescent="0.25">
      <c r="A1287" s="3358" t="s">
        <v>4072</v>
      </c>
      <c r="B1287" s="3359"/>
      <c r="C1287" s="3359"/>
      <c r="D1287" s="3359"/>
      <c r="E1287" s="1397">
        <v>404</v>
      </c>
      <c r="F1287" s="3368"/>
      <c r="G1287" s="3369"/>
      <c r="H1287" s="1247" t="s">
        <v>280</v>
      </c>
      <c r="J1287" s="1934" t="s">
        <v>4072</v>
      </c>
      <c r="K1287" s="1397">
        <v>219.75</v>
      </c>
      <c r="L1287" s="1377"/>
      <c r="M1287" s="3369"/>
      <c r="N1287" s="1397">
        <v>219.75</v>
      </c>
      <c r="O1287" s="3369"/>
    </row>
    <row r="1288" spans="1:15" ht="15.75" x14ac:dyDescent="0.25">
      <c r="A1288" s="3356" t="s">
        <v>4073</v>
      </c>
      <c r="B1288" s="3357"/>
      <c r="C1288" s="3357"/>
      <c r="D1288" s="3357"/>
      <c r="E1288" s="1396">
        <f>G1305</f>
        <v>369.18</v>
      </c>
      <c r="F1288" s="3368"/>
      <c r="G1288" s="3369"/>
      <c r="J1288" s="1932" t="s">
        <v>4073</v>
      </c>
      <c r="K1288" s="1396">
        <v>110.25</v>
      </c>
      <c r="L1288" s="2921"/>
      <c r="M1288" s="3369"/>
      <c r="N1288" s="1396">
        <v>110.25</v>
      </c>
      <c r="O1288" s="3369"/>
    </row>
    <row r="1289" spans="1:15" ht="15.75" x14ac:dyDescent="0.25">
      <c r="A1289" s="3358" t="s">
        <v>4074</v>
      </c>
      <c r="B1289" s="3359"/>
      <c r="C1289" s="3359"/>
      <c r="D1289" s="3359"/>
      <c r="E1289" s="3359"/>
      <c r="F1289" s="3360"/>
      <c r="G1289" s="1387">
        <f>SUM(G1283:G1285)</f>
        <v>287.57333333333338</v>
      </c>
      <c r="H1289" s="1348">
        <f>G1289-I1283</f>
        <v>171.14000000000004</v>
      </c>
      <c r="I1289" s="1336" t="s">
        <v>4141</v>
      </c>
      <c r="J1289" s="3358" t="s">
        <v>4074</v>
      </c>
      <c r="K1289" s="3359"/>
      <c r="L1289" s="1935"/>
      <c r="M1289" s="1387" t="e">
        <f>SUM(M1283:M1285)</f>
        <v>#REF!</v>
      </c>
      <c r="O1289" s="1387" t="e">
        <f>SUM(O1283:O1285)</f>
        <v>#REF!</v>
      </c>
    </row>
    <row r="1290" spans="1:15" ht="17.25" customHeight="1" thickBot="1" x14ac:dyDescent="0.3">
      <c r="A1290" s="3356" t="s">
        <v>4075</v>
      </c>
      <c r="B1290" s="3357"/>
      <c r="C1290" s="3357"/>
      <c r="D1290" s="3357"/>
      <c r="E1290" s="1388">
        <f>E1286-E1287</f>
        <v>2406</v>
      </c>
      <c r="G1290" s="1389"/>
      <c r="J1290" s="1932" t="s">
        <v>4075</v>
      </c>
      <c r="K1290" s="1388">
        <f>K1286-K1287</f>
        <v>1380.25</v>
      </c>
      <c r="L1290" s="2920"/>
      <c r="M1290" s="1389"/>
      <c r="N1290" s="1388">
        <f>N1286-N1287</f>
        <v>1380.25</v>
      </c>
      <c r="O1290" s="1389"/>
    </row>
    <row r="1291" spans="1:15" ht="16.5" customHeight="1" thickBot="1" x14ac:dyDescent="0.3"/>
    <row r="1292" spans="1:15" ht="19.5" thickBot="1" x14ac:dyDescent="0.35">
      <c r="A1292" s="3361" t="s">
        <v>4383</v>
      </c>
      <c r="B1292" s="3336"/>
      <c r="C1292" s="3336"/>
      <c r="D1292" s="3336"/>
      <c r="E1292" s="3336"/>
      <c r="F1292" s="3336"/>
      <c r="G1292" s="3337"/>
      <c r="J1292" s="3361" t="s">
        <v>4384</v>
      </c>
      <c r="K1292" s="3362"/>
      <c r="L1292" s="3362"/>
      <c r="M1292" s="3363"/>
      <c r="O1292" s="1247"/>
    </row>
    <row r="1293" spans="1:15" ht="16.5" thickBot="1" x14ac:dyDescent="0.3">
      <c r="A1293" s="1361" t="s">
        <v>4206</v>
      </c>
      <c r="B1293" s="1361" t="s">
        <v>4206</v>
      </c>
      <c r="C1293" s="3370" t="s">
        <v>3</v>
      </c>
      <c r="D1293" s="3371"/>
      <c r="E1293" s="1363" t="s">
        <v>4190</v>
      </c>
      <c r="F1293" s="1363" t="s">
        <v>4191</v>
      </c>
      <c r="G1293" s="1364" t="s">
        <v>4207</v>
      </c>
      <c r="I1293" s="1336" t="s">
        <v>4208</v>
      </c>
      <c r="J1293" s="1361" t="s">
        <v>4206</v>
      </c>
      <c r="K1293" s="1363" t="s">
        <v>4190</v>
      </c>
      <c r="L1293" s="2917"/>
      <c r="M1293" s="1364" t="s">
        <v>4207</v>
      </c>
      <c r="N1293" s="1363" t="s">
        <v>4190</v>
      </c>
      <c r="O1293" s="1364" t="s">
        <v>4207</v>
      </c>
    </row>
    <row r="1294" spans="1:15" x14ac:dyDescent="0.25">
      <c r="A1294" s="1369">
        <v>44318</v>
      </c>
      <c r="B1294" s="1369">
        <v>44318</v>
      </c>
      <c r="C1294" s="3340" t="s">
        <v>4385</v>
      </c>
      <c r="D1294" s="3341"/>
      <c r="E1294" s="1357">
        <v>270</v>
      </c>
      <c r="F1294" s="1358">
        <v>4</v>
      </c>
      <c r="G1294" s="1359">
        <f t="shared" ref="G1294:G1300" si="249">E1294/F1294</f>
        <v>67.5</v>
      </c>
      <c r="I1294" s="1321">
        <f>G1294</f>
        <v>67.5</v>
      </c>
      <c r="J1294" s="1369">
        <v>44359</v>
      </c>
      <c r="K1294" s="1357">
        <v>117</v>
      </c>
      <c r="L1294" s="2918"/>
      <c r="M1294" s="1359" t="e">
        <f>K1294/#REF!</f>
        <v>#REF!</v>
      </c>
      <c r="N1294" s="1357">
        <v>117</v>
      </c>
      <c r="O1294" s="1359" t="e">
        <f>N1294/#REF!</f>
        <v>#REF!</v>
      </c>
    </row>
    <row r="1295" spans="1:15" x14ac:dyDescent="0.25">
      <c r="A1295" s="1369">
        <v>44344</v>
      </c>
      <c r="B1295" s="1369">
        <v>44344</v>
      </c>
      <c r="C1295" s="3340" t="s">
        <v>4386</v>
      </c>
      <c r="D1295" s="3341"/>
      <c r="E1295" s="1357">
        <v>215</v>
      </c>
      <c r="F1295" s="1358">
        <v>3</v>
      </c>
      <c r="G1295" s="1359">
        <f t="shared" si="249"/>
        <v>71.666666666666671</v>
      </c>
      <c r="H1295" s="1247" t="s">
        <v>1506</v>
      </c>
      <c r="I1295" s="1321"/>
      <c r="J1295" s="1369">
        <v>44359</v>
      </c>
      <c r="K1295" s="1357">
        <v>126</v>
      </c>
      <c r="L1295" s="2918"/>
      <c r="M1295" s="1359" t="e">
        <f>K1295/#REF!</f>
        <v>#REF!</v>
      </c>
      <c r="N1295" s="1357">
        <v>126</v>
      </c>
      <c r="O1295" s="1359" t="e">
        <f>N1295/#REF!</f>
        <v>#REF!</v>
      </c>
    </row>
    <row r="1296" spans="1:15" x14ac:dyDescent="0.25">
      <c r="A1296" s="1369">
        <v>44352</v>
      </c>
      <c r="B1296" s="1369">
        <v>44352</v>
      </c>
      <c r="C1296" s="3340" t="s">
        <v>4387</v>
      </c>
      <c r="D1296" s="3341"/>
      <c r="E1296" s="1357">
        <v>150</v>
      </c>
      <c r="F1296" s="1358">
        <v>3</v>
      </c>
      <c r="G1296" s="1359">
        <f t="shared" si="249"/>
        <v>50</v>
      </c>
      <c r="H1296" s="1247" t="s">
        <v>1506</v>
      </c>
      <c r="I1296" s="1321"/>
      <c r="J1296" s="1369">
        <v>44359</v>
      </c>
      <c r="K1296" s="1357">
        <v>99</v>
      </c>
      <c r="L1296" s="2918"/>
      <c r="M1296" s="1359" t="e">
        <f>K1296/#REF!</f>
        <v>#REF!</v>
      </c>
      <c r="N1296" s="1357">
        <v>99</v>
      </c>
      <c r="O1296" s="1359" t="e">
        <f>N1296/#REF!</f>
        <v>#REF!</v>
      </c>
    </row>
    <row r="1297" spans="1:15" x14ac:dyDescent="0.25">
      <c r="A1297" s="1407">
        <v>44383</v>
      </c>
      <c r="B1297" s="1407">
        <v>44383</v>
      </c>
      <c r="C1297" s="3340" t="s">
        <v>4388</v>
      </c>
      <c r="D1297" s="3341"/>
      <c r="E1297" s="1357">
        <v>349.3</v>
      </c>
      <c r="F1297" s="1358">
        <v>3</v>
      </c>
      <c r="G1297" s="1359">
        <f t="shared" si="249"/>
        <v>116.43333333333334</v>
      </c>
      <c r="I1297" s="1321">
        <f>G1297</f>
        <v>116.43333333333334</v>
      </c>
      <c r="J1297" s="1369">
        <v>44359</v>
      </c>
      <c r="K1297" s="1357">
        <v>99</v>
      </c>
      <c r="L1297" s="2918"/>
      <c r="M1297" s="1359" t="e">
        <f>K1297/#REF!</f>
        <v>#REF!</v>
      </c>
      <c r="N1297" s="1357">
        <v>99</v>
      </c>
      <c r="O1297" s="1359" t="e">
        <f>N1297/#REF!</f>
        <v>#REF!</v>
      </c>
    </row>
    <row r="1298" spans="1:15" x14ac:dyDescent="0.25">
      <c r="A1298" s="1369">
        <v>44403</v>
      </c>
      <c r="B1298" s="1369">
        <v>44403</v>
      </c>
      <c r="C1298" s="3340" t="s">
        <v>4389</v>
      </c>
      <c r="D1298" s="3341"/>
      <c r="E1298" s="1357">
        <v>3.45</v>
      </c>
      <c r="F1298" s="1358">
        <v>1</v>
      </c>
      <c r="G1298" s="1359">
        <f t="shared" si="249"/>
        <v>3.45</v>
      </c>
      <c r="H1298" s="1247" t="s">
        <v>1489</v>
      </c>
      <c r="I1298" s="1389"/>
      <c r="J1298" s="1369"/>
      <c r="K1298" s="1357"/>
      <c r="L1298" s="2918"/>
      <c r="M1298" s="1359"/>
      <c r="N1298" s="1357"/>
      <c r="O1298" s="1359"/>
    </row>
    <row r="1299" spans="1:15" x14ac:dyDescent="0.25">
      <c r="A1299" s="1369">
        <v>44409</v>
      </c>
      <c r="B1299" s="1369">
        <v>44409</v>
      </c>
      <c r="C1299" s="3340" t="s">
        <v>4390</v>
      </c>
      <c r="D1299" s="3341"/>
      <c r="E1299" s="1357">
        <v>60</v>
      </c>
      <c r="F1299" s="1358">
        <v>2</v>
      </c>
      <c r="G1299" s="1359">
        <f t="shared" si="249"/>
        <v>30</v>
      </c>
      <c r="I1299" s="1389">
        <f>G1299</f>
        <v>30</v>
      </c>
      <c r="J1299" s="1369"/>
      <c r="K1299" s="1357"/>
      <c r="L1299" s="2918"/>
      <c r="M1299" s="1359"/>
      <c r="N1299" s="1357"/>
      <c r="O1299" s="1359"/>
    </row>
    <row r="1300" spans="1:15" x14ac:dyDescent="0.25">
      <c r="A1300" s="1399">
        <v>44408</v>
      </c>
      <c r="B1300" s="1399">
        <v>44408</v>
      </c>
      <c r="C1300" s="3393" t="s">
        <v>4381</v>
      </c>
      <c r="D1300" s="3394"/>
      <c r="E1300" s="1400">
        <v>30.13</v>
      </c>
      <c r="F1300" s="1401">
        <v>1</v>
      </c>
      <c r="G1300" s="1359">
        <f t="shared" si="249"/>
        <v>30.13</v>
      </c>
      <c r="H1300" s="1272" t="s">
        <v>1489</v>
      </c>
      <c r="I1300" s="1389"/>
      <c r="J1300" s="1369"/>
      <c r="K1300" s="1357"/>
      <c r="L1300" s="2918"/>
      <c r="M1300" s="1359"/>
      <c r="N1300" s="1357"/>
      <c r="O1300" s="1359"/>
    </row>
    <row r="1301" spans="1:15" x14ac:dyDescent="0.25">
      <c r="A1301" s="1402"/>
      <c r="B1301" s="1402"/>
      <c r="C1301" s="3381"/>
      <c r="D1301" s="3382"/>
      <c r="E1301" s="1372"/>
      <c r="F1301" s="1373"/>
      <c r="G1301" s="1374"/>
      <c r="I1301" s="1345"/>
      <c r="J1301" s="1369"/>
      <c r="K1301" s="1357"/>
      <c r="L1301" s="2918"/>
      <c r="M1301" s="1359"/>
      <c r="N1301" s="1357"/>
      <c r="O1301" s="1359"/>
    </row>
    <row r="1302" spans="1:15" ht="15.75" x14ac:dyDescent="0.25">
      <c r="A1302" s="3356" t="s">
        <v>4071</v>
      </c>
      <c r="B1302" s="3357"/>
      <c r="C1302" s="3357"/>
      <c r="D1302" s="3357"/>
      <c r="E1302" s="1396">
        <v>2810</v>
      </c>
      <c r="F1302" s="3366"/>
      <c r="G1302" s="3367"/>
      <c r="J1302" s="1932" t="s">
        <v>4071</v>
      </c>
      <c r="K1302" s="1396">
        <v>1600</v>
      </c>
      <c r="L1302" s="2919"/>
      <c r="M1302" s="3367"/>
      <c r="N1302" s="1396">
        <v>1600</v>
      </c>
      <c r="O1302" s="3367"/>
    </row>
    <row r="1303" spans="1:15" ht="15.75" x14ac:dyDescent="0.25">
      <c r="A1303" s="3358" t="s">
        <v>4072</v>
      </c>
      <c r="B1303" s="3359"/>
      <c r="C1303" s="3359"/>
      <c r="D1303" s="3359"/>
      <c r="E1303" s="1397">
        <v>956.92</v>
      </c>
      <c r="F1303" s="3368"/>
      <c r="G1303" s="3369"/>
      <c r="H1303" s="1247" t="s">
        <v>280</v>
      </c>
      <c r="J1303" s="1934" t="s">
        <v>4072</v>
      </c>
      <c r="K1303" s="1397">
        <v>330</v>
      </c>
      <c r="L1303" s="1377"/>
      <c r="M1303" s="3369"/>
      <c r="N1303" s="1397">
        <v>330</v>
      </c>
      <c r="O1303" s="3369"/>
    </row>
    <row r="1304" spans="1:15" ht="15.75" x14ac:dyDescent="0.25">
      <c r="A1304" s="3356" t="s">
        <v>4073</v>
      </c>
      <c r="B1304" s="3357"/>
      <c r="C1304" s="3357"/>
      <c r="D1304" s="3357"/>
      <c r="E1304" s="1396">
        <f>G1324</f>
        <v>576.57000000000005</v>
      </c>
      <c r="F1304" s="3368"/>
      <c r="G1304" s="3369"/>
      <c r="J1304" s="1932" t="s">
        <v>4073</v>
      </c>
      <c r="K1304" s="1396">
        <v>110.25</v>
      </c>
      <c r="L1304" s="2921"/>
      <c r="M1304" s="3369"/>
      <c r="N1304" s="1396">
        <v>110.25</v>
      </c>
      <c r="O1304" s="3369"/>
    </row>
    <row r="1305" spans="1:15" ht="15.75" x14ac:dyDescent="0.25">
      <c r="A1305" s="3358" t="s">
        <v>4074</v>
      </c>
      <c r="B1305" s="3359"/>
      <c r="C1305" s="3359"/>
      <c r="D1305" s="3359"/>
      <c r="E1305" s="3359"/>
      <c r="F1305" s="3360"/>
      <c r="G1305" s="1387">
        <f>SUM(G1294:G1301)</f>
        <v>369.18</v>
      </c>
      <c r="H1305" s="1348">
        <f>G1305-I1294-I1297-I1299</f>
        <v>155.24666666666667</v>
      </c>
      <c r="I1305" s="1336" t="s">
        <v>4141</v>
      </c>
      <c r="J1305" s="3358" t="s">
        <v>4074</v>
      </c>
      <c r="K1305" s="3359"/>
      <c r="L1305" s="1935"/>
      <c r="M1305" s="1387" t="e">
        <f>SUM(M1294:M1301)</f>
        <v>#REF!</v>
      </c>
      <c r="O1305" s="1387" t="e">
        <f>SUM(O1294:O1301)</f>
        <v>#REF!</v>
      </c>
    </row>
    <row r="1306" spans="1:15" ht="17.25" customHeight="1" thickBot="1" x14ac:dyDescent="0.3">
      <c r="A1306" s="3356" t="s">
        <v>4075</v>
      </c>
      <c r="B1306" s="3357"/>
      <c r="C1306" s="3357"/>
      <c r="D1306" s="3357"/>
      <c r="E1306" s="1388">
        <f>E1302-E1303</f>
        <v>1853.08</v>
      </c>
      <c r="G1306" s="1389"/>
      <c r="J1306" s="1932" t="s">
        <v>4075</v>
      </c>
      <c r="K1306" s="1388">
        <f>K1302-K1303</f>
        <v>1270</v>
      </c>
      <c r="L1306" s="2920"/>
      <c r="M1306" s="1389"/>
      <c r="N1306" s="1388">
        <f>N1302-N1303</f>
        <v>1270</v>
      </c>
      <c r="O1306" s="1389"/>
    </row>
    <row r="1307" spans="1:15" ht="16.5" customHeight="1" thickBot="1" x14ac:dyDescent="0.3"/>
    <row r="1308" spans="1:15" ht="19.5" thickBot="1" x14ac:dyDescent="0.35">
      <c r="A1308" s="3361" t="s">
        <v>4391</v>
      </c>
      <c r="B1308" s="3336"/>
      <c r="C1308" s="3336"/>
      <c r="D1308" s="3336"/>
      <c r="E1308" s="3336"/>
      <c r="F1308" s="3336"/>
      <c r="G1308" s="3337"/>
      <c r="J1308" s="3361" t="s">
        <v>4392</v>
      </c>
      <c r="K1308" s="3362"/>
      <c r="L1308" s="3362"/>
      <c r="M1308" s="3363"/>
      <c r="O1308" s="1247"/>
    </row>
    <row r="1309" spans="1:15" ht="16.5" thickBot="1" x14ac:dyDescent="0.3">
      <c r="A1309" s="1361" t="s">
        <v>4206</v>
      </c>
      <c r="B1309" s="1361" t="s">
        <v>4206</v>
      </c>
      <c r="C1309" s="3370" t="s">
        <v>3</v>
      </c>
      <c r="D1309" s="3371"/>
      <c r="E1309" s="1363" t="s">
        <v>4190</v>
      </c>
      <c r="F1309" s="1363" t="s">
        <v>4191</v>
      </c>
      <c r="G1309" s="1364" t="s">
        <v>4207</v>
      </c>
      <c r="I1309" s="1336" t="s">
        <v>4208</v>
      </c>
      <c r="J1309" s="1361" t="s">
        <v>4206</v>
      </c>
      <c r="K1309" s="1363" t="s">
        <v>4190</v>
      </c>
      <c r="L1309" s="2917"/>
      <c r="M1309" s="1364" t="s">
        <v>4207</v>
      </c>
      <c r="N1309" s="1363" t="s">
        <v>4190</v>
      </c>
      <c r="O1309" s="1364" t="s">
        <v>4207</v>
      </c>
    </row>
    <row r="1310" spans="1:15" x14ac:dyDescent="0.25">
      <c r="A1310" s="1369">
        <v>44223</v>
      </c>
      <c r="B1310" s="1369">
        <v>44223</v>
      </c>
      <c r="C1310" s="3340" t="s">
        <v>4393</v>
      </c>
      <c r="D1310" s="3341"/>
      <c r="E1310" s="1357">
        <v>604.86</v>
      </c>
      <c r="F1310" s="1358">
        <v>6</v>
      </c>
      <c r="G1310" s="1359">
        <f t="shared" ref="G1310:G1319" si="250">E1310/F1310</f>
        <v>100.81</v>
      </c>
      <c r="H1310" s="1247" t="s">
        <v>1489</v>
      </c>
      <c r="I1310" s="1321"/>
      <c r="J1310" s="1369">
        <v>44359</v>
      </c>
      <c r="K1310" s="1357">
        <v>117</v>
      </c>
      <c r="L1310" s="2918"/>
      <c r="M1310" s="1359" t="e">
        <f>K1310/#REF!</f>
        <v>#REF!</v>
      </c>
      <c r="N1310" s="1357">
        <v>117</v>
      </c>
      <c r="O1310" s="1359" t="e">
        <f>N1310/#REF!</f>
        <v>#REF!</v>
      </c>
    </row>
    <row r="1311" spans="1:15" x14ac:dyDescent="0.25">
      <c r="A1311" s="1369">
        <v>44300</v>
      </c>
      <c r="B1311" s="1369">
        <v>44300</v>
      </c>
      <c r="C1311" s="3340" t="s">
        <v>4394</v>
      </c>
      <c r="D1311" s="3341"/>
      <c r="E1311" s="1357">
        <v>127.12</v>
      </c>
      <c r="F1311" s="1358">
        <v>3</v>
      </c>
      <c r="G1311" s="1359">
        <f t="shared" si="250"/>
        <v>42.373333333333335</v>
      </c>
      <c r="H1311" s="1247" t="s">
        <v>1506</v>
      </c>
      <c r="I1311" s="1321"/>
      <c r="J1311" s="1369">
        <v>44359</v>
      </c>
      <c r="K1311" s="1357">
        <v>126</v>
      </c>
      <c r="L1311" s="2918"/>
      <c r="M1311" s="1359" t="e">
        <f>K1311/#REF!</f>
        <v>#REF!</v>
      </c>
      <c r="N1311" s="1357">
        <v>126</v>
      </c>
      <c r="O1311" s="1359" t="e">
        <f>N1311/#REF!</f>
        <v>#REF!</v>
      </c>
    </row>
    <row r="1312" spans="1:15" x14ac:dyDescent="0.25">
      <c r="A1312" s="1369">
        <v>44318</v>
      </c>
      <c r="B1312" s="1369">
        <v>44318</v>
      </c>
      <c r="C1312" s="3340" t="s">
        <v>4395</v>
      </c>
      <c r="D1312" s="3341"/>
      <c r="E1312" s="1357">
        <v>109.8</v>
      </c>
      <c r="F1312" s="1358">
        <v>2</v>
      </c>
      <c r="G1312" s="1359">
        <f t="shared" si="250"/>
        <v>54.9</v>
      </c>
      <c r="I1312" s="1321">
        <f>G1312</f>
        <v>54.9</v>
      </c>
      <c r="J1312" s="1369">
        <v>44359</v>
      </c>
      <c r="K1312" s="1357">
        <v>99</v>
      </c>
      <c r="L1312" s="2918"/>
      <c r="M1312" s="1359" t="e">
        <f>K1312/#REF!</f>
        <v>#REF!</v>
      </c>
      <c r="N1312" s="1357">
        <v>99</v>
      </c>
      <c r="O1312" s="1359" t="e">
        <f>N1312/#REF!</f>
        <v>#REF!</v>
      </c>
    </row>
    <row r="1313" spans="1:15" x14ac:dyDescent="0.25">
      <c r="A1313" s="1369">
        <v>44318</v>
      </c>
      <c r="B1313" s="1369">
        <v>44318</v>
      </c>
      <c r="C1313" s="3340" t="s">
        <v>4396</v>
      </c>
      <c r="D1313" s="3341"/>
      <c r="E1313" s="1357">
        <v>270</v>
      </c>
      <c r="F1313" s="1358">
        <v>4</v>
      </c>
      <c r="G1313" s="1359">
        <f t="shared" si="250"/>
        <v>67.5</v>
      </c>
      <c r="I1313" s="1321">
        <f>G1313</f>
        <v>67.5</v>
      </c>
      <c r="J1313" s="1369">
        <v>44359</v>
      </c>
      <c r="K1313" s="1357">
        <v>99</v>
      </c>
      <c r="L1313" s="2918"/>
      <c r="M1313" s="1359" t="e">
        <f>K1313/#REF!</f>
        <v>#REF!</v>
      </c>
      <c r="N1313" s="1357">
        <v>99</v>
      </c>
      <c r="O1313" s="1359" t="e">
        <f>N1313/#REF!</f>
        <v>#REF!</v>
      </c>
    </row>
    <row r="1314" spans="1:15" x14ac:dyDescent="0.25">
      <c r="A1314" s="1369">
        <v>44341</v>
      </c>
      <c r="B1314" s="1369">
        <v>44341</v>
      </c>
      <c r="C1314" s="3340" t="s">
        <v>4397</v>
      </c>
      <c r="D1314" s="3341"/>
      <c r="E1314" s="1357">
        <v>88.9</v>
      </c>
      <c r="F1314" s="1358">
        <v>2</v>
      </c>
      <c r="G1314" s="1359">
        <f t="shared" si="250"/>
        <v>44.45</v>
      </c>
      <c r="H1314" s="1247" t="s">
        <v>1525</v>
      </c>
      <c r="I1314" s="1321"/>
      <c r="J1314" s="1369"/>
      <c r="K1314" s="1357"/>
      <c r="L1314" s="2918"/>
      <c r="M1314" s="1359"/>
      <c r="N1314" s="1357"/>
      <c r="O1314" s="1359"/>
    </row>
    <row r="1315" spans="1:15" x14ac:dyDescent="0.25">
      <c r="A1315" s="1369">
        <v>44344</v>
      </c>
      <c r="B1315" s="1369">
        <v>44344</v>
      </c>
      <c r="C1315" s="3340" t="s">
        <v>4398</v>
      </c>
      <c r="D1315" s="3341"/>
      <c r="E1315" s="1357">
        <v>215</v>
      </c>
      <c r="F1315" s="1358">
        <v>3</v>
      </c>
      <c r="G1315" s="1359">
        <f t="shared" si="250"/>
        <v>71.666666666666671</v>
      </c>
      <c r="H1315" s="1247" t="s">
        <v>1506</v>
      </c>
      <c r="I1315" s="1321"/>
      <c r="J1315" s="1369"/>
      <c r="K1315" s="1357"/>
      <c r="L1315" s="2918"/>
      <c r="M1315" s="1359"/>
      <c r="N1315" s="1357"/>
      <c r="O1315" s="1359"/>
    </row>
    <row r="1316" spans="1:15" x14ac:dyDescent="0.25">
      <c r="A1316" s="1369">
        <v>44352</v>
      </c>
      <c r="B1316" s="1369">
        <v>44352</v>
      </c>
      <c r="C1316" s="3340" t="s">
        <v>4399</v>
      </c>
      <c r="D1316" s="3341"/>
      <c r="E1316" s="1357">
        <v>150</v>
      </c>
      <c r="F1316" s="1358">
        <v>3</v>
      </c>
      <c r="G1316" s="1359">
        <f t="shared" si="250"/>
        <v>50</v>
      </c>
      <c r="H1316" s="1247" t="s">
        <v>1506</v>
      </c>
      <c r="I1316" s="1321"/>
      <c r="J1316" s="1369"/>
      <c r="K1316" s="1357"/>
      <c r="L1316" s="2918"/>
      <c r="M1316" s="1359"/>
      <c r="N1316" s="1357"/>
      <c r="O1316" s="1359"/>
    </row>
    <row r="1317" spans="1:15" x14ac:dyDescent="0.25">
      <c r="A1317" s="1369">
        <v>44349</v>
      </c>
      <c r="B1317" s="1369">
        <v>44349</v>
      </c>
      <c r="C1317" s="3340" t="s">
        <v>4400</v>
      </c>
      <c r="D1317" s="3341"/>
      <c r="E1317" s="1357">
        <v>46.8</v>
      </c>
      <c r="F1317" s="1358">
        <v>1</v>
      </c>
      <c r="G1317" s="1359">
        <f t="shared" si="250"/>
        <v>46.8</v>
      </c>
      <c r="I1317" s="1321">
        <f>G1317</f>
        <v>46.8</v>
      </c>
      <c r="J1317" s="1369"/>
      <c r="K1317" s="1357"/>
      <c r="L1317" s="2918"/>
      <c r="M1317" s="1359"/>
      <c r="N1317" s="1357"/>
      <c r="O1317" s="1359"/>
    </row>
    <row r="1318" spans="1:15" x14ac:dyDescent="0.25">
      <c r="A1318" s="1369">
        <v>44356</v>
      </c>
      <c r="B1318" s="1369">
        <v>44356</v>
      </c>
      <c r="C1318" s="3340" t="s">
        <v>4401</v>
      </c>
      <c r="D1318" s="3341"/>
      <c r="E1318" s="1357">
        <v>36</v>
      </c>
      <c r="F1318" s="1358">
        <v>1</v>
      </c>
      <c r="G1318" s="1359">
        <f t="shared" si="250"/>
        <v>36</v>
      </c>
      <c r="I1318" s="1321">
        <f>G1318</f>
        <v>36</v>
      </c>
      <c r="J1318" s="1369"/>
      <c r="K1318" s="1357"/>
      <c r="L1318" s="2918"/>
      <c r="M1318" s="1359"/>
      <c r="N1318" s="1357"/>
      <c r="O1318" s="1359"/>
    </row>
    <row r="1319" spans="1:15" x14ac:dyDescent="0.25">
      <c r="A1319" s="1369">
        <v>44376</v>
      </c>
      <c r="B1319" s="1369">
        <v>44376</v>
      </c>
      <c r="C1319" s="3340" t="s">
        <v>4402</v>
      </c>
      <c r="D1319" s="3341"/>
      <c r="E1319" s="1357">
        <v>62.07</v>
      </c>
      <c r="F1319" s="1358">
        <v>1</v>
      </c>
      <c r="G1319" s="1359">
        <f t="shared" si="250"/>
        <v>62.07</v>
      </c>
      <c r="H1319" s="1247" t="s">
        <v>1491</v>
      </c>
      <c r="I1319" s="1321"/>
      <c r="J1319" s="1369"/>
      <c r="K1319" s="1357"/>
      <c r="L1319" s="2918"/>
      <c r="M1319" s="1359"/>
      <c r="N1319" s="1357"/>
      <c r="O1319" s="1359"/>
    </row>
    <row r="1320" spans="1:15" x14ac:dyDescent="0.25">
      <c r="A1320" s="1369"/>
      <c r="B1320" s="1369"/>
      <c r="C1320" s="3340"/>
      <c r="D1320" s="3341"/>
      <c r="E1320" s="1357"/>
      <c r="F1320" s="1358"/>
      <c r="G1320" s="1359"/>
      <c r="I1320" s="1321"/>
      <c r="J1320" s="1369"/>
      <c r="K1320" s="1357"/>
      <c r="L1320" s="2918"/>
      <c r="M1320" s="1359"/>
      <c r="N1320" s="1357"/>
      <c r="O1320" s="1359"/>
    </row>
    <row r="1321" spans="1:15" ht="15.75" x14ac:dyDescent="0.25">
      <c r="A1321" s="3356" t="s">
        <v>4071</v>
      </c>
      <c r="B1321" s="3357"/>
      <c r="C1321" s="3357"/>
      <c r="D1321" s="3357"/>
      <c r="E1321" s="1396">
        <v>2810</v>
      </c>
      <c r="F1321" s="3366"/>
      <c r="G1321" s="3367"/>
      <c r="J1321" s="1932" t="s">
        <v>4071</v>
      </c>
      <c r="K1321" s="1396">
        <v>1600</v>
      </c>
      <c r="L1321" s="2919"/>
      <c r="M1321" s="3367"/>
      <c r="N1321" s="1396">
        <v>1600</v>
      </c>
      <c r="O1321" s="3367"/>
    </row>
    <row r="1322" spans="1:15" ht="15.75" x14ac:dyDescent="0.25">
      <c r="A1322" s="3358" t="s">
        <v>4072</v>
      </c>
      <c r="B1322" s="3359"/>
      <c r="C1322" s="3359"/>
      <c r="D1322" s="3359"/>
      <c r="E1322" s="1397">
        <v>738.37</v>
      </c>
      <c r="F1322" s="3368"/>
      <c r="G1322" s="3369"/>
      <c r="H1322" s="1247" t="s">
        <v>280</v>
      </c>
      <c r="J1322" s="1934" t="s">
        <v>4072</v>
      </c>
      <c r="K1322" s="1397">
        <f>SUM(K1310:K1313)</f>
        <v>441</v>
      </c>
      <c r="L1322" s="1377"/>
      <c r="M1322" s="3369"/>
      <c r="N1322" s="1397">
        <f>SUM(N1310:N1313)</f>
        <v>441</v>
      </c>
      <c r="O1322" s="3369"/>
    </row>
    <row r="1323" spans="1:15" ht="15.75" x14ac:dyDescent="0.25">
      <c r="A1323" s="3356" t="s">
        <v>4073</v>
      </c>
      <c r="B1323" s="3357"/>
      <c r="C1323" s="3357"/>
      <c r="D1323" s="3357"/>
      <c r="E1323" s="1396">
        <v>673</v>
      </c>
      <c r="F1323" s="3368"/>
      <c r="G1323" s="3369"/>
      <c r="J1323" s="1932" t="s">
        <v>4073</v>
      </c>
      <c r="K1323" s="1396">
        <v>673</v>
      </c>
      <c r="L1323" s="2921"/>
      <c r="M1323" s="3369"/>
      <c r="N1323" s="1396">
        <v>673</v>
      </c>
      <c r="O1323" s="3369"/>
    </row>
    <row r="1324" spans="1:15" ht="15.75" x14ac:dyDescent="0.25">
      <c r="A1324" s="3358" t="s">
        <v>4074</v>
      </c>
      <c r="B1324" s="3359"/>
      <c r="C1324" s="3359"/>
      <c r="D1324" s="3359"/>
      <c r="E1324" s="3359"/>
      <c r="F1324" s="3360"/>
      <c r="G1324" s="1387">
        <f>SUM(G1310:G1320)</f>
        <v>576.57000000000005</v>
      </c>
      <c r="H1324" s="1348">
        <f>G1324-I1312-I1313-I1317-I1318</f>
        <v>371.37000000000006</v>
      </c>
      <c r="I1324" s="1336" t="s">
        <v>4141</v>
      </c>
      <c r="J1324" s="3358" t="s">
        <v>4074</v>
      </c>
      <c r="K1324" s="3359"/>
      <c r="L1324" s="1935"/>
      <c r="M1324" s="1387" t="e">
        <f>SUM(M1310:M1320)</f>
        <v>#REF!</v>
      </c>
      <c r="O1324" s="1387" t="e">
        <f>SUM(O1310:O1320)</f>
        <v>#REF!</v>
      </c>
    </row>
    <row r="1325" spans="1:15" ht="17.25" customHeight="1" thickBot="1" x14ac:dyDescent="0.3">
      <c r="A1325" s="3356" t="s">
        <v>4075</v>
      </c>
      <c r="B1325" s="3357"/>
      <c r="C1325" s="3357"/>
      <c r="D1325" s="3357"/>
      <c r="E1325" s="1388">
        <f>E1321-E1322</f>
        <v>2071.63</v>
      </c>
      <c r="G1325" s="1389"/>
      <c r="J1325" s="1932" t="s">
        <v>4075</v>
      </c>
      <c r="K1325" s="1388">
        <f>K1321-K1322</f>
        <v>1159</v>
      </c>
      <c r="L1325" s="2920"/>
      <c r="M1325" s="1389"/>
      <c r="N1325" s="1388">
        <f>N1321-N1322</f>
        <v>1159</v>
      </c>
      <c r="O1325" s="1389"/>
    </row>
    <row r="1326" spans="1:15" ht="16.5" customHeight="1" thickBot="1" x14ac:dyDescent="0.3"/>
    <row r="1327" spans="1:15" ht="19.5" thickBot="1" x14ac:dyDescent="0.35">
      <c r="A1327" s="3361" t="s">
        <v>4403</v>
      </c>
      <c r="B1327" s="3336"/>
      <c r="C1327" s="3336"/>
      <c r="D1327" s="3336"/>
      <c r="E1327" s="3336"/>
      <c r="F1327" s="3336"/>
      <c r="G1327" s="3337"/>
    </row>
    <row r="1328" spans="1:15" ht="16.5" thickBot="1" x14ac:dyDescent="0.3">
      <c r="A1328" s="1361" t="s">
        <v>4206</v>
      </c>
      <c r="B1328" s="1361" t="s">
        <v>4206</v>
      </c>
      <c r="C1328" s="3370" t="s">
        <v>3</v>
      </c>
      <c r="D1328" s="3371"/>
      <c r="E1328" s="1363" t="s">
        <v>4190</v>
      </c>
      <c r="F1328" s="1363" t="s">
        <v>4191</v>
      </c>
      <c r="G1328" s="1364" t="s">
        <v>4207</v>
      </c>
      <c r="I1328" s="1336" t="s">
        <v>4208</v>
      </c>
    </row>
    <row r="1329" spans="1:14" x14ac:dyDescent="0.25">
      <c r="A1329" s="1369">
        <v>44223</v>
      </c>
      <c r="B1329" s="1369">
        <v>44223</v>
      </c>
      <c r="C1329" s="3340" t="s">
        <v>4404</v>
      </c>
      <c r="D1329" s="3341"/>
      <c r="E1329" s="1357">
        <v>604.86</v>
      </c>
      <c r="F1329" s="1358">
        <v>6</v>
      </c>
      <c r="G1329" s="1359">
        <f t="shared" ref="G1329:G1340" si="251">E1329/F1329</f>
        <v>100.81</v>
      </c>
      <c r="H1329" s="1247" t="s">
        <v>1489</v>
      </c>
      <c r="I1329" s="1321"/>
      <c r="J1329" s="1426"/>
      <c r="K1329" s="1281"/>
      <c r="L1329" s="1281"/>
      <c r="N1329" s="1281"/>
    </row>
    <row r="1330" spans="1:14" x14ac:dyDescent="0.25">
      <c r="A1330" s="1369">
        <v>44247</v>
      </c>
      <c r="B1330" s="1369">
        <v>44247</v>
      </c>
      <c r="C1330" s="3340" t="s">
        <v>4405</v>
      </c>
      <c r="D1330" s="3341"/>
      <c r="E1330" s="1357">
        <v>310</v>
      </c>
      <c r="F1330" s="1358">
        <v>4</v>
      </c>
      <c r="G1330" s="1359">
        <f t="shared" si="251"/>
        <v>77.5</v>
      </c>
      <c r="H1330" s="1247" t="s">
        <v>2131</v>
      </c>
      <c r="I1330" s="1321"/>
      <c r="J1330" s="1426"/>
      <c r="K1330" s="1281"/>
      <c r="L1330" s="1281"/>
      <c r="N1330" s="1281"/>
    </row>
    <row r="1331" spans="1:14" x14ac:dyDescent="0.25">
      <c r="A1331" s="1369">
        <v>44265</v>
      </c>
      <c r="B1331" s="1369">
        <v>44265</v>
      </c>
      <c r="C1331" s="3340" t="s">
        <v>4406</v>
      </c>
      <c r="D1331" s="3341"/>
      <c r="E1331" s="1357">
        <v>99.9</v>
      </c>
      <c r="F1331" s="1358">
        <v>3</v>
      </c>
      <c r="G1331" s="1359">
        <f t="shared" si="251"/>
        <v>33.300000000000004</v>
      </c>
      <c r="H1331" s="1247" t="s">
        <v>2131</v>
      </c>
      <c r="I1331" s="1321"/>
      <c r="J1331" s="1426"/>
      <c r="K1331" s="1281"/>
      <c r="L1331" s="1281"/>
      <c r="N1331" s="1281"/>
    </row>
    <row r="1332" spans="1:14" x14ac:dyDescent="0.25">
      <c r="A1332" s="1369">
        <v>44285</v>
      </c>
      <c r="B1332" s="1369">
        <v>44285</v>
      </c>
      <c r="C1332" s="3340" t="s">
        <v>4407</v>
      </c>
      <c r="D1332" s="3341"/>
      <c r="E1332" s="1357">
        <v>137.88</v>
      </c>
      <c r="F1332" s="1358">
        <v>3</v>
      </c>
      <c r="G1332" s="1359">
        <f t="shared" si="251"/>
        <v>45.96</v>
      </c>
      <c r="H1332" s="1247" t="s">
        <v>1522</v>
      </c>
      <c r="I1332" s="1321"/>
      <c r="J1332" s="1426"/>
      <c r="K1332" s="1281"/>
      <c r="L1332" s="1281"/>
      <c r="N1332" s="1281"/>
    </row>
    <row r="1333" spans="1:14" x14ac:dyDescent="0.25">
      <c r="A1333" s="1369">
        <v>44292</v>
      </c>
      <c r="B1333" s="1369">
        <v>44292</v>
      </c>
      <c r="C1333" s="3340" t="s">
        <v>4408</v>
      </c>
      <c r="D1333" s="3341"/>
      <c r="E1333" s="1357">
        <v>110</v>
      </c>
      <c r="F1333" s="1358">
        <v>2</v>
      </c>
      <c r="G1333" s="1359">
        <f t="shared" si="251"/>
        <v>55</v>
      </c>
      <c r="H1333" s="1247" t="s">
        <v>1491</v>
      </c>
      <c r="I1333" s="1321"/>
      <c r="J1333" s="1426"/>
      <c r="K1333" s="1281"/>
      <c r="L1333" s="1281"/>
      <c r="N1333" s="1281"/>
    </row>
    <row r="1334" spans="1:14" x14ac:dyDescent="0.25">
      <c r="A1334" s="1369">
        <v>44297</v>
      </c>
      <c r="B1334" s="1369">
        <v>44297</v>
      </c>
      <c r="C1334" s="3340" t="s">
        <v>4409</v>
      </c>
      <c r="D1334" s="3341"/>
      <c r="E1334" s="1357">
        <v>59</v>
      </c>
      <c r="F1334" s="1358">
        <v>2</v>
      </c>
      <c r="G1334" s="1359">
        <f t="shared" si="251"/>
        <v>29.5</v>
      </c>
      <c r="H1334" s="1247" t="s">
        <v>1506</v>
      </c>
      <c r="I1334" s="1321"/>
      <c r="J1334" s="1426"/>
      <c r="K1334" s="1281"/>
      <c r="L1334" s="1281"/>
      <c r="N1334" s="1281"/>
    </row>
    <row r="1335" spans="1:14" x14ac:dyDescent="0.25">
      <c r="A1335" s="1369">
        <v>44300</v>
      </c>
      <c r="B1335" s="1369">
        <v>44300</v>
      </c>
      <c r="C1335" s="3340" t="s">
        <v>4410</v>
      </c>
      <c r="D1335" s="3341"/>
      <c r="E1335" s="1357">
        <v>127.12</v>
      </c>
      <c r="F1335" s="1358">
        <v>3</v>
      </c>
      <c r="G1335" s="1359">
        <f t="shared" si="251"/>
        <v>42.373333333333335</v>
      </c>
      <c r="H1335" s="1247" t="s">
        <v>1506</v>
      </c>
      <c r="I1335" s="1321"/>
      <c r="J1335" s="1426"/>
      <c r="K1335" s="1281"/>
      <c r="L1335" s="1281"/>
      <c r="N1335" s="1281"/>
    </row>
    <row r="1336" spans="1:14" x14ac:dyDescent="0.25">
      <c r="A1336" s="1369">
        <v>44318</v>
      </c>
      <c r="B1336" s="1369">
        <v>44318</v>
      </c>
      <c r="C1336" s="3340" t="s">
        <v>4411</v>
      </c>
      <c r="D1336" s="3341"/>
      <c r="E1336" s="1357">
        <v>109.8</v>
      </c>
      <c r="F1336" s="1358">
        <v>2</v>
      </c>
      <c r="G1336" s="1359">
        <f t="shared" si="251"/>
        <v>54.9</v>
      </c>
      <c r="I1336" s="1321">
        <f>G1336</f>
        <v>54.9</v>
      </c>
      <c r="J1336" s="1426"/>
      <c r="K1336" s="1281"/>
      <c r="L1336" s="1281"/>
      <c r="N1336" s="1281"/>
    </row>
    <row r="1337" spans="1:14" x14ac:dyDescent="0.25">
      <c r="A1337" s="1369">
        <v>44331</v>
      </c>
      <c r="B1337" s="1369">
        <v>44331</v>
      </c>
      <c r="C1337" s="3340" t="s">
        <v>4412</v>
      </c>
      <c r="D1337" s="3341"/>
      <c r="E1337" s="1357">
        <v>50</v>
      </c>
      <c r="F1337" s="1358">
        <v>1</v>
      </c>
      <c r="G1337" s="1359">
        <f t="shared" si="251"/>
        <v>50</v>
      </c>
      <c r="H1337" s="1247" t="s">
        <v>1489</v>
      </c>
      <c r="I1337" s="1321"/>
      <c r="J1337" s="1426"/>
      <c r="K1337" s="1281"/>
      <c r="L1337" s="1281"/>
      <c r="N1337" s="1281"/>
    </row>
    <row r="1338" spans="1:14" x14ac:dyDescent="0.25">
      <c r="A1338" s="1369">
        <v>44318</v>
      </c>
      <c r="B1338" s="1369">
        <v>44318</v>
      </c>
      <c r="C1338" s="3340" t="s">
        <v>4413</v>
      </c>
      <c r="D1338" s="3341"/>
      <c r="E1338" s="1357">
        <v>270</v>
      </c>
      <c r="F1338" s="1358">
        <v>4</v>
      </c>
      <c r="G1338" s="1359">
        <f t="shared" si="251"/>
        <v>67.5</v>
      </c>
      <c r="I1338" s="1321">
        <f>G1338</f>
        <v>67.5</v>
      </c>
      <c r="J1338" s="1426"/>
      <c r="K1338" s="1281"/>
      <c r="L1338" s="1281"/>
      <c r="N1338" s="1281"/>
    </row>
    <row r="1339" spans="1:14" ht="15.75" customHeight="1" x14ac:dyDescent="0.25">
      <c r="A1339" s="1369">
        <v>44341</v>
      </c>
      <c r="B1339" s="1369">
        <v>44341</v>
      </c>
      <c r="C1339" s="3340" t="s">
        <v>4414</v>
      </c>
      <c r="D1339" s="3341"/>
      <c r="E1339" s="1357">
        <v>88.9</v>
      </c>
      <c r="F1339" s="1358">
        <v>2</v>
      </c>
      <c r="G1339" s="1359">
        <f t="shared" si="251"/>
        <v>44.45</v>
      </c>
      <c r="H1339" s="1247" t="s">
        <v>1525</v>
      </c>
      <c r="I1339" s="1321"/>
      <c r="J1339" s="1426"/>
      <c r="K1339" s="1281"/>
      <c r="L1339" s="1281"/>
      <c r="N1339" s="1281"/>
    </row>
    <row r="1340" spans="1:14" x14ac:dyDescent="0.25">
      <c r="A1340" s="1369">
        <v>44344</v>
      </c>
      <c r="B1340" s="1369">
        <v>44344</v>
      </c>
      <c r="C1340" s="3340" t="s">
        <v>4415</v>
      </c>
      <c r="D1340" s="3341"/>
      <c r="E1340" s="1357">
        <v>215</v>
      </c>
      <c r="F1340" s="1358">
        <v>3</v>
      </c>
      <c r="G1340" s="1359">
        <f t="shared" si="251"/>
        <v>71.666666666666671</v>
      </c>
      <c r="H1340" s="1247" t="s">
        <v>1506</v>
      </c>
      <c r="I1340" s="1321"/>
      <c r="J1340" s="1426"/>
      <c r="K1340" s="1281"/>
      <c r="L1340" s="1281"/>
      <c r="N1340" s="1281"/>
    </row>
    <row r="1341" spans="1:14" x14ac:dyDescent="0.25">
      <c r="A1341" s="1402"/>
      <c r="B1341" s="1402"/>
      <c r="C1341" s="3381"/>
      <c r="D1341" s="3382"/>
      <c r="E1341" s="1372"/>
      <c r="F1341" s="1373"/>
      <c r="G1341" s="1374"/>
      <c r="I1341" s="1345"/>
      <c r="J1341" s="1427"/>
      <c r="K1341" s="1281"/>
      <c r="L1341" s="1281"/>
      <c r="N1341" s="1281"/>
    </row>
    <row r="1342" spans="1:14" ht="15.75" x14ac:dyDescent="0.25">
      <c r="A1342" s="3356" t="s">
        <v>4071</v>
      </c>
      <c r="B1342" s="3357"/>
      <c r="C1342" s="3357"/>
      <c r="D1342" s="3357"/>
      <c r="E1342" s="1396">
        <v>2810</v>
      </c>
      <c r="F1342" s="3366"/>
      <c r="G1342" s="3367"/>
    </row>
    <row r="1343" spans="1:14" ht="15.75" x14ac:dyDescent="0.25">
      <c r="A1343" s="3358" t="s">
        <v>4072</v>
      </c>
      <c r="B1343" s="3359"/>
      <c r="C1343" s="3359"/>
      <c r="D1343" s="3359"/>
      <c r="E1343" s="1397">
        <v>637.41999999999996</v>
      </c>
      <c r="F1343" s="3368"/>
      <c r="G1343" s="3369"/>
      <c r="H1343" s="1247" t="s">
        <v>280</v>
      </c>
    </row>
    <row r="1344" spans="1:14" ht="15.75" x14ac:dyDescent="0.25">
      <c r="A1344" s="3356" t="s">
        <v>4073</v>
      </c>
      <c r="B1344" s="3357"/>
      <c r="C1344" s="3357"/>
      <c r="D1344" s="3357"/>
      <c r="E1344" s="1396">
        <f>G1365</f>
        <v>486.79</v>
      </c>
      <c r="F1344" s="3368"/>
      <c r="G1344" s="3369"/>
    </row>
    <row r="1345" spans="1:14" ht="15.75" x14ac:dyDescent="0.25">
      <c r="A1345" s="3358" t="s">
        <v>4074</v>
      </c>
      <c r="B1345" s="3359"/>
      <c r="C1345" s="3359"/>
      <c r="D1345" s="3359"/>
      <c r="E1345" s="3359"/>
      <c r="F1345" s="3360"/>
      <c r="G1345" s="1387">
        <f>SUM(G1329:G1341)</f>
        <v>672.95999999999992</v>
      </c>
      <c r="H1345" s="1348">
        <f>G1345-I1336-I1338</f>
        <v>550.55999999999995</v>
      </c>
      <c r="I1345" s="1336" t="s">
        <v>4141</v>
      </c>
    </row>
    <row r="1346" spans="1:14" ht="17.25" customHeight="1" thickBot="1" x14ac:dyDescent="0.3">
      <c r="A1346" s="3356" t="s">
        <v>4075</v>
      </c>
      <c r="B1346" s="3357"/>
      <c r="C1346" s="3357"/>
      <c r="D1346" s="3357"/>
      <c r="E1346" s="1388">
        <f>E1342-E1343</f>
        <v>2172.58</v>
      </c>
      <c r="G1346" s="1389"/>
    </row>
    <row r="1347" spans="1:14" ht="16.5" customHeight="1" thickBot="1" x14ac:dyDescent="0.3"/>
    <row r="1348" spans="1:14" ht="19.5" thickBot="1" x14ac:dyDescent="0.35">
      <c r="A1348" s="3361" t="s">
        <v>4416</v>
      </c>
      <c r="B1348" s="3336"/>
      <c r="C1348" s="3336"/>
      <c r="D1348" s="3336"/>
      <c r="E1348" s="3336"/>
      <c r="F1348" s="3336"/>
      <c r="G1348" s="3337"/>
    </row>
    <row r="1349" spans="1:14" ht="16.5" thickBot="1" x14ac:dyDescent="0.3">
      <c r="A1349" s="1361" t="s">
        <v>4206</v>
      </c>
      <c r="B1349" s="1361" t="s">
        <v>4206</v>
      </c>
      <c r="C1349" s="3370" t="s">
        <v>3</v>
      </c>
      <c r="D1349" s="3371"/>
      <c r="E1349" s="1363" t="s">
        <v>4190</v>
      </c>
      <c r="F1349" s="1363" t="s">
        <v>4191</v>
      </c>
      <c r="G1349" s="1364" t="s">
        <v>4207</v>
      </c>
      <c r="I1349" s="1336" t="s">
        <v>4208</v>
      </c>
    </row>
    <row r="1350" spans="1:14" x14ac:dyDescent="0.25">
      <c r="A1350" s="1369">
        <v>44223</v>
      </c>
      <c r="B1350" s="1369">
        <v>44223</v>
      </c>
      <c r="C1350" s="3340" t="s">
        <v>4417</v>
      </c>
      <c r="D1350" s="3341"/>
      <c r="E1350" s="1357">
        <v>604.86</v>
      </c>
      <c r="F1350" s="1358">
        <v>6</v>
      </c>
      <c r="G1350" s="1359">
        <f t="shared" ref="G1350:G1360" si="252">E1350/F1350</f>
        <v>100.81</v>
      </c>
      <c r="H1350" s="1247" t="s">
        <v>1489</v>
      </c>
      <c r="I1350" s="1321"/>
      <c r="J1350" s="1426"/>
      <c r="K1350" s="1281"/>
      <c r="L1350" s="1281"/>
      <c r="N1350" s="1281"/>
    </row>
    <row r="1351" spans="1:14" x14ac:dyDescent="0.25">
      <c r="A1351" s="1369">
        <v>44242</v>
      </c>
      <c r="B1351" s="1369">
        <v>44242</v>
      </c>
      <c r="C1351" s="3340" t="s">
        <v>4418</v>
      </c>
      <c r="D1351" s="3341"/>
      <c r="E1351" s="1357">
        <v>99.9</v>
      </c>
      <c r="F1351" s="1358">
        <v>3</v>
      </c>
      <c r="G1351" s="1359">
        <f t="shared" si="252"/>
        <v>33.300000000000004</v>
      </c>
      <c r="H1351" s="1247" t="s">
        <v>1506</v>
      </c>
      <c r="I1351" s="1321"/>
      <c r="J1351" s="1426"/>
      <c r="K1351" s="1281"/>
      <c r="L1351" s="1281"/>
      <c r="N1351" s="1281"/>
    </row>
    <row r="1352" spans="1:14" x14ac:dyDescent="0.25">
      <c r="A1352" s="1369">
        <v>44242</v>
      </c>
      <c r="B1352" s="1369">
        <v>44242</v>
      </c>
      <c r="C1352" s="3340" t="s">
        <v>4419</v>
      </c>
      <c r="D1352" s="3341"/>
      <c r="E1352" s="1357">
        <v>99.9</v>
      </c>
      <c r="F1352" s="1358">
        <v>3</v>
      </c>
      <c r="G1352" s="1359">
        <f t="shared" si="252"/>
        <v>33.300000000000004</v>
      </c>
      <c r="H1352" s="1247" t="s">
        <v>1506</v>
      </c>
      <c r="I1352" s="1321"/>
      <c r="J1352" s="1426"/>
      <c r="K1352" s="1281"/>
      <c r="L1352" s="1281"/>
      <c r="N1352" s="1281"/>
    </row>
    <row r="1353" spans="1:14" x14ac:dyDescent="0.25">
      <c r="A1353" s="1369">
        <v>44242</v>
      </c>
      <c r="B1353" s="1369">
        <v>44242</v>
      </c>
      <c r="C1353" s="3340" t="s">
        <v>4420</v>
      </c>
      <c r="D1353" s="3341"/>
      <c r="E1353" s="1357">
        <v>77.239999999999981</v>
      </c>
      <c r="F1353" s="1358">
        <v>3</v>
      </c>
      <c r="G1353" s="1359">
        <f t="shared" si="252"/>
        <v>25.746666666666659</v>
      </c>
      <c r="H1353" s="1247" t="s">
        <v>2131</v>
      </c>
      <c r="I1353" s="1321"/>
      <c r="J1353" s="1426"/>
      <c r="K1353" s="1281"/>
      <c r="L1353" s="1281"/>
      <c r="N1353" s="1281"/>
    </row>
    <row r="1354" spans="1:14" x14ac:dyDescent="0.25">
      <c r="A1354" s="1369">
        <v>44247</v>
      </c>
      <c r="B1354" s="1369">
        <v>44247</v>
      </c>
      <c r="C1354" s="3340" t="s">
        <v>4421</v>
      </c>
      <c r="D1354" s="3341"/>
      <c r="E1354" s="1357">
        <v>310</v>
      </c>
      <c r="F1354" s="1358">
        <v>4</v>
      </c>
      <c r="G1354" s="1359">
        <f t="shared" si="252"/>
        <v>77.5</v>
      </c>
      <c r="H1354" s="1247" t="s">
        <v>2131</v>
      </c>
      <c r="I1354" s="1321"/>
      <c r="J1354" s="1426"/>
      <c r="K1354" s="1281"/>
      <c r="L1354" s="1281"/>
      <c r="N1354" s="1281"/>
    </row>
    <row r="1355" spans="1:14" x14ac:dyDescent="0.25">
      <c r="A1355" s="1369">
        <v>44265</v>
      </c>
      <c r="B1355" s="1369">
        <v>44265</v>
      </c>
      <c r="C1355" s="3340" t="s">
        <v>4422</v>
      </c>
      <c r="D1355" s="3341"/>
      <c r="E1355" s="1357">
        <v>99.9</v>
      </c>
      <c r="F1355" s="1358">
        <v>3</v>
      </c>
      <c r="G1355" s="1359">
        <f t="shared" si="252"/>
        <v>33.300000000000004</v>
      </c>
      <c r="H1355" s="1247" t="s">
        <v>2131</v>
      </c>
      <c r="I1355" s="1321"/>
      <c r="J1355" s="1426"/>
      <c r="K1355" s="1281"/>
      <c r="L1355" s="1281"/>
      <c r="N1355" s="1281"/>
    </row>
    <row r="1356" spans="1:14" x14ac:dyDescent="0.25">
      <c r="A1356" s="1369">
        <v>44285</v>
      </c>
      <c r="B1356" s="1369">
        <v>44285</v>
      </c>
      <c r="C1356" s="3340" t="s">
        <v>4423</v>
      </c>
      <c r="D1356" s="3341"/>
      <c r="E1356" s="1357">
        <v>137.88</v>
      </c>
      <c r="F1356" s="1358">
        <v>3</v>
      </c>
      <c r="G1356" s="1359">
        <f t="shared" si="252"/>
        <v>45.96</v>
      </c>
      <c r="H1356" s="1247" t="s">
        <v>1522</v>
      </c>
      <c r="I1356" s="1321"/>
      <c r="J1356" s="1426"/>
      <c r="K1356" s="1281"/>
      <c r="L1356" s="1281"/>
      <c r="N1356" s="1281"/>
    </row>
    <row r="1357" spans="1:14" x14ac:dyDescent="0.25">
      <c r="A1357" s="1369">
        <v>44292</v>
      </c>
      <c r="B1357" s="1369">
        <v>44292</v>
      </c>
      <c r="C1357" s="3340" t="s">
        <v>4424</v>
      </c>
      <c r="D1357" s="3341"/>
      <c r="E1357" s="1357">
        <v>110</v>
      </c>
      <c r="F1357" s="1358">
        <v>2</v>
      </c>
      <c r="G1357" s="1359">
        <f t="shared" si="252"/>
        <v>55</v>
      </c>
      <c r="H1357" s="1247" t="s">
        <v>1491</v>
      </c>
      <c r="I1357" s="1321"/>
      <c r="J1357" s="1426"/>
      <c r="K1357" s="1281"/>
      <c r="L1357" s="1281"/>
      <c r="N1357" s="1281"/>
    </row>
    <row r="1358" spans="1:14" x14ac:dyDescent="0.25">
      <c r="A1358" s="1369">
        <v>44297</v>
      </c>
      <c r="B1358" s="1369">
        <v>44297</v>
      </c>
      <c r="C1358" s="3340" t="s">
        <v>4425</v>
      </c>
      <c r="D1358" s="3341"/>
      <c r="E1358" s="1357">
        <v>59</v>
      </c>
      <c r="F1358" s="1358">
        <v>2</v>
      </c>
      <c r="G1358" s="1359">
        <f t="shared" si="252"/>
        <v>29.5</v>
      </c>
      <c r="H1358" s="1247" t="s">
        <v>1506</v>
      </c>
      <c r="I1358" s="1321"/>
      <c r="J1358" s="1426"/>
      <c r="K1358" s="1281"/>
      <c r="L1358" s="1281"/>
      <c r="N1358" s="1281"/>
    </row>
    <row r="1359" spans="1:14" x14ac:dyDescent="0.25">
      <c r="A1359" s="1369">
        <v>44300</v>
      </c>
      <c r="B1359" s="1369">
        <v>44300</v>
      </c>
      <c r="C1359" s="3340" t="s">
        <v>4426</v>
      </c>
      <c r="D1359" s="3341"/>
      <c r="E1359" s="1357">
        <v>127.12</v>
      </c>
      <c r="F1359" s="1358">
        <v>3</v>
      </c>
      <c r="G1359" s="1359">
        <f t="shared" si="252"/>
        <v>42.373333333333335</v>
      </c>
      <c r="H1359" s="1247" t="s">
        <v>1506</v>
      </c>
      <c r="I1359" s="1321"/>
      <c r="J1359" s="1426"/>
      <c r="K1359" s="1281"/>
      <c r="L1359" s="1281"/>
      <c r="N1359" s="1281"/>
    </row>
    <row r="1360" spans="1:14" x14ac:dyDescent="0.25">
      <c r="A1360" s="1369">
        <v>44303</v>
      </c>
      <c r="B1360" s="1369">
        <v>44303</v>
      </c>
      <c r="C1360" s="3340" t="s">
        <v>4427</v>
      </c>
      <c r="D1360" s="3341"/>
      <c r="E1360" s="1357">
        <v>10</v>
      </c>
      <c r="F1360" s="1358">
        <v>1</v>
      </c>
      <c r="G1360" s="1359">
        <f t="shared" si="252"/>
        <v>10</v>
      </c>
      <c r="H1360" s="1247" t="s">
        <v>1489</v>
      </c>
      <c r="I1360" s="1321"/>
      <c r="J1360" s="1426"/>
      <c r="K1360" s="1281"/>
      <c r="L1360" s="1281"/>
      <c r="N1360" s="1281"/>
    </row>
    <row r="1361" spans="1:14" x14ac:dyDescent="0.25">
      <c r="A1361" s="1402"/>
      <c r="B1361" s="1402"/>
      <c r="C1361" s="3381"/>
      <c r="D1361" s="3382"/>
      <c r="E1361" s="1372"/>
      <c r="F1361" s="1373"/>
      <c r="G1361" s="1374"/>
      <c r="I1361" s="1345"/>
      <c r="J1361" s="1427"/>
      <c r="K1361" s="1281"/>
      <c r="L1361" s="1281"/>
      <c r="N1361" s="1281"/>
    </row>
    <row r="1362" spans="1:14" ht="15.75" x14ac:dyDescent="0.25">
      <c r="A1362" s="3356" t="s">
        <v>4071</v>
      </c>
      <c r="B1362" s="3357"/>
      <c r="C1362" s="3357"/>
      <c r="D1362" s="3357"/>
      <c r="E1362" s="1396">
        <v>2810</v>
      </c>
      <c r="F1362" s="3366"/>
      <c r="G1362" s="3367"/>
    </row>
    <row r="1363" spans="1:14" ht="15.75" x14ac:dyDescent="0.25">
      <c r="A1363" s="3358" t="s">
        <v>4072</v>
      </c>
      <c r="B1363" s="3359"/>
      <c r="C1363" s="3359"/>
      <c r="D1363" s="3359"/>
      <c r="E1363" s="1397">
        <v>1004.42</v>
      </c>
      <c r="F1363" s="3368"/>
      <c r="G1363" s="3369"/>
      <c r="H1363" s="1247" t="s">
        <v>280</v>
      </c>
    </row>
    <row r="1364" spans="1:14" ht="15.75" x14ac:dyDescent="0.25">
      <c r="A1364" s="3356" t="s">
        <v>4073</v>
      </c>
      <c r="B1364" s="3357"/>
      <c r="C1364" s="3357"/>
      <c r="D1364" s="3357"/>
      <c r="E1364" s="1396">
        <f>G1386</f>
        <v>800.18333333333351</v>
      </c>
      <c r="F1364" s="3368"/>
      <c r="G1364" s="3369"/>
    </row>
    <row r="1365" spans="1:14" ht="15.75" x14ac:dyDescent="0.25">
      <c r="A1365" s="3358" t="s">
        <v>4074</v>
      </c>
      <c r="B1365" s="3359"/>
      <c r="C1365" s="3359"/>
      <c r="D1365" s="3359"/>
      <c r="E1365" s="3359"/>
      <c r="F1365" s="3360"/>
      <c r="G1365" s="1387">
        <f>SUM(G1350:G1361)</f>
        <v>486.79</v>
      </c>
      <c r="H1365" s="1348"/>
      <c r="I1365" s="1336" t="s">
        <v>4141</v>
      </c>
    </row>
    <row r="1366" spans="1:14" ht="17.25" customHeight="1" thickBot="1" x14ac:dyDescent="0.3">
      <c r="A1366" s="3356" t="s">
        <v>4075</v>
      </c>
      <c r="B1366" s="3357"/>
      <c r="C1366" s="3357"/>
      <c r="D1366" s="3357"/>
      <c r="E1366" s="1388">
        <f>E1362-E1363</f>
        <v>1805.58</v>
      </c>
      <c r="G1366" s="1389"/>
    </row>
    <row r="1367" spans="1:14" ht="16.5" customHeight="1" thickBot="1" x14ac:dyDescent="0.3"/>
    <row r="1368" spans="1:14" ht="19.5" thickBot="1" x14ac:dyDescent="0.35">
      <c r="A1368" s="3361" t="s">
        <v>4428</v>
      </c>
      <c r="B1368" s="3336"/>
      <c r="C1368" s="3336"/>
      <c r="D1368" s="3336"/>
      <c r="E1368" s="3336"/>
      <c r="F1368" s="3336"/>
      <c r="G1368" s="3337"/>
    </row>
    <row r="1369" spans="1:14" ht="16.5" thickBot="1" x14ac:dyDescent="0.3">
      <c r="A1369" s="1361" t="s">
        <v>4206</v>
      </c>
      <c r="B1369" s="1361" t="s">
        <v>4206</v>
      </c>
      <c r="C1369" s="3370" t="s">
        <v>3</v>
      </c>
      <c r="D1369" s="3371"/>
      <c r="E1369" s="1363" t="s">
        <v>4190</v>
      </c>
      <c r="F1369" s="1363" t="s">
        <v>4191</v>
      </c>
      <c r="G1369" s="1364" t="s">
        <v>4207</v>
      </c>
      <c r="I1369" s="1336" t="s">
        <v>4208</v>
      </c>
    </row>
    <row r="1370" spans="1:14" x14ac:dyDescent="0.25">
      <c r="A1370" s="1369">
        <v>44163</v>
      </c>
      <c r="B1370" s="1369">
        <v>44163</v>
      </c>
      <c r="C1370" s="3340" t="s">
        <v>4429</v>
      </c>
      <c r="D1370" s="3341"/>
      <c r="E1370" s="1357">
        <v>529.96</v>
      </c>
      <c r="F1370" s="1358">
        <v>4</v>
      </c>
      <c r="G1370" s="1359">
        <f t="shared" ref="G1370:G1380" si="253">E1370/F1370</f>
        <v>132.49</v>
      </c>
      <c r="I1370" s="1321">
        <f>G1370</f>
        <v>132.49</v>
      </c>
      <c r="J1370" s="1426"/>
      <c r="K1370" s="1281"/>
      <c r="L1370" s="1281"/>
      <c r="N1370" s="1281"/>
    </row>
    <row r="1371" spans="1:14" x14ac:dyDescent="0.25">
      <c r="A1371" s="1369">
        <v>44215</v>
      </c>
      <c r="B1371" s="1369">
        <v>44215</v>
      </c>
      <c r="C1371" s="3340" t="s">
        <v>4430</v>
      </c>
      <c r="D1371" s="3341"/>
      <c r="E1371" s="1357">
        <v>200</v>
      </c>
      <c r="F1371" s="1358">
        <v>3</v>
      </c>
      <c r="G1371" s="1359">
        <f t="shared" si="253"/>
        <v>66.666666666666671</v>
      </c>
      <c r="I1371" s="1321">
        <v>66.67</v>
      </c>
      <c r="J1371" s="1426"/>
      <c r="K1371" s="1281"/>
      <c r="L1371" s="1281"/>
      <c r="N1371" s="1281"/>
    </row>
    <row r="1372" spans="1:14" x14ac:dyDescent="0.25">
      <c r="A1372" s="1369">
        <v>44223</v>
      </c>
      <c r="B1372" s="1369">
        <v>44223</v>
      </c>
      <c r="C1372" s="3340" t="s">
        <v>4431</v>
      </c>
      <c r="D1372" s="3341"/>
      <c r="E1372" s="1357">
        <v>604.86</v>
      </c>
      <c r="F1372" s="1358">
        <v>6</v>
      </c>
      <c r="G1372" s="1359">
        <f t="shared" si="253"/>
        <v>100.81</v>
      </c>
      <c r="H1372" s="1247" t="s">
        <v>1489</v>
      </c>
      <c r="I1372" s="1321"/>
      <c r="J1372" s="1426"/>
      <c r="K1372" s="1281"/>
      <c r="L1372" s="1281"/>
      <c r="N1372" s="1281"/>
    </row>
    <row r="1373" spans="1:14" x14ac:dyDescent="0.25">
      <c r="A1373" s="1369">
        <v>44242</v>
      </c>
      <c r="B1373" s="1369">
        <v>44242</v>
      </c>
      <c r="C1373" s="3340" t="s">
        <v>4432</v>
      </c>
      <c r="D1373" s="3341"/>
      <c r="E1373" s="1357">
        <v>99.9</v>
      </c>
      <c r="F1373" s="1358">
        <v>3</v>
      </c>
      <c r="G1373" s="1359">
        <f t="shared" si="253"/>
        <v>33.300000000000004</v>
      </c>
      <c r="H1373" s="1247" t="s">
        <v>1506</v>
      </c>
      <c r="I1373" s="1321"/>
      <c r="J1373" s="1426"/>
      <c r="K1373" s="1281"/>
      <c r="L1373" s="1281"/>
      <c r="N1373" s="1281"/>
    </row>
    <row r="1374" spans="1:14" x14ac:dyDescent="0.25">
      <c r="A1374" s="1369">
        <v>44242</v>
      </c>
      <c r="B1374" s="1369">
        <v>44242</v>
      </c>
      <c r="C1374" s="3340" t="s">
        <v>4433</v>
      </c>
      <c r="D1374" s="3341"/>
      <c r="E1374" s="1357">
        <v>99.9</v>
      </c>
      <c r="F1374" s="1358">
        <v>3</v>
      </c>
      <c r="G1374" s="1359">
        <f t="shared" si="253"/>
        <v>33.300000000000004</v>
      </c>
      <c r="H1374" s="1247" t="s">
        <v>1506</v>
      </c>
      <c r="I1374" s="1321"/>
      <c r="J1374" s="1426"/>
      <c r="K1374" s="1281"/>
      <c r="L1374" s="1281"/>
      <c r="N1374" s="1281"/>
    </row>
    <row r="1375" spans="1:14" x14ac:dyDescent="0.25">
      <c r="A1375" s="1369">
        <v>44242</v>
      </c>
      <c r="B1375" s="1369">
        <v>44242</v>
      </c>
      <c r="C1375" s="3340" t="s">
        <v>4434</v>
      </c>
      <c r="D1375" s="3341"/>
      <c r="E1375" s="1357">
        <v>77.239999999999981</v>
      </c>
      <c r="F1375" s="1358">
        <v>3</v>
      </c>
      <c r="G1375" s="1359">
        <f t="shared" si="253"/>
        <v>25.746666666666659</v>
      </c>
      <c r="H1375" s="1247" t="s">
        <v>2131</v>
      </c>
      <c r="I1375" s="1321"/>
      <c r="J1375" s="1426"/>
      <c r="K1375" s="1281"/>
      <c r="L1375" s="1281"/>
      <c r="N1375" s="1281"/>
    </row>
    <row r="1376" spans="1:14" x14ac:dyDescent="0.25">
      <c r="A1376" s="1369">
        <v>44247</v>
      </c>
      <c r="B1376" s="1369">
        <v>44247</v>
      </c>
      <c r="C1376" s="3340" t="s">
        <v>4435</v>
      </c>
      <c r="D1376" s="3341"/>
      <c r="E1376" s="1357">
        <v>310</v>
      </c>
      <c r="F1376" s="1358">
        <v>4</v>
      </c>
      <c r="G1376" s="1359">
        <f t="shared" si="253"/>
        <v>77.5</v>
      </c>
      <c r="H1376" s="1247" t="s">
        <v>2131</v>
      </c>
      <c r="I1376" s="1321"/>
      <c r="J1376" s="1426"/>
      <c r="K1376" s="1281"/>
      <c r="L1376" s="1281"/>
      <c r="N1376" s="1281"/>
    </row>
    <row r="1377" spans="1:14" x14ac:dyDescent="0.25">
      <c r="A1377" s="1369">
        <v>44265</v>
      </c>
      <c r="B1377" s="1369">
        <v>44265</v>
      </c>
      <c r="C1377" s="3340" t="s">
        <v>4436</v>
      </c>
      <c r="D1377" s="3341"/>
      <c r="E1377" s="1357">
        <v>99.9</v>
      </c>
      <c r="F1377" s="1358">
        <v>3</v>
      </c>
      <c r="G1377" s="1359">
        <f t="shared" si="253"/>
        <v>33.300000000000004</v>
      </c>
      <c r="H1377" s="1247" t="s">
        <v>2131</v>
      </c>
      <c r="I1377" s="1321"/>
      <c r="J1377" s="1426"/>
      <c r="K1377" s="1281"/>
      <c r="L1377" s="1281"/>
      <c r="N1377" s="1281"/>
    </row>
    <row r="1378" spans="1:14" x14ac:dyDescent="0.25">
      <c r="A1378" s="1369">
        <v>44275</v>
      </c>
      <c r="B1378" s="1369">
        <v>44275</v>
      </c>
      <c r="C1378" s="3340" t="s">
        <v>4437</v>
      </c>
      <c r="D1378" s="3341"/>
      <c r="E1378" s="1357">
        <v>40</v>
      </c>
      <c r="F1378" s="1358">
        <v>1</v>
      </c>
      <c r="G1378" s="1359">
        <f t="shared" si="253"/>
        <v>40</v>
      </c>
      <c r="H1378" s="1247" t="s">
        <v>2131</v>
      </c>
      <c r="I1378" s="1321"/>
      <c r="J1378" s="1426"/>
      <c r="K1378" s="1281"/>
      <c r="L1378" s="1281"/>
      <c r="N1378" s="1281"/>
    </row>
    <row r="1379" spans="1:14" x14ac:dyDescent="0.25">
      <c r="A1379" s="1369">
        <v>44283</v>
      </c>
      <c r="B1379" s="1369">
        <v>44283</v>
      </c>
      <c r="C1379" s="3340" t="s">
        <v>4438</v>
      </c>
      <c r="D1379" s="3341"/>
      <c r="E1379" s="1357">
        <v>79</v>
      </c>
      <c r="F1379" s="1358">
        <v>1</v>
      </c>
      <c r="G1379" s="1359">
        <f t="shared" si="253"/>
        <v>79</v>
      </c>
      <c r="H1379" s="1247" t="s">
        <v>2131</v>
      </c>
      <c r="I1379" s="1321"/>
      <c r="J1379" s="1426"/>
      <c r="K1379" s="1281"/>
      <c r="L1379" s="1281"/>
      <c r="N1379" s="1281"/>
    </row>
    <row r="1380" spans="1:14" x14ac:dyDescent="0.25">
      <c r="A1380" s="1369">
        <v>44285</v>
      </c>
      <c r="B1380" s="1369">
        <v>44285</v>
      </c>
      <c r="C1380" s="3340" t="s">
        <v>4439</v>
      </c>
      <c r="D1380" s="3341"/>
      <c r="E1380" s="1357">
        <v>165</v>
      </c>
      <c r="F1380" s="1358">
        <v>1</v>
      </c>
      <c r="G1380" s="1359">
        <f t="shared" si="253"/>
        <v>165</v>
      </c>
      <c r="I1380" s="1321">
        <f>G1380</f>
        <v>165</v>
      </c>
      <c r="J1380" s="1426"/>
      <c r="K1380" s="1281"/>
      <c r="L1380" s="1281"/>
      <c r="N1380" s="1281"/>
    </row>
    <row r="1381" spans="1:14" x14ac:dyDescent="0.25">
      <c r="A1381" s="1369">
        <v>44285</v>
      </c>
      <c r="B1381" s="1369">
        <v>44285</v>
      </c>
      <c r="C1381" s="3340" t="s">
        <v>4440</v>
      </c>
      <c r="D1381" s="3341"/>
      <c r="E1381" s="1357">
        <v>137.88</v>
      </c>
      <c r="F1381" s="1358">
        <v>3</v>
      </c>
      <c r="G1381" s="1359">
        <f>E1381/F1381-32.89</f>
        <v>13.07</v>
      </c>
      <c r="H1381" s="1247" t="s">
        <v>4441</v>
      </c>
      <c r="I1381" s="1321"/>
      <c r="J1381" s="1426"/>
      <c r="K1381" s="1281"/>
      <c r="L1381" s="1281"/>
      <c r="N1381" s="1281"/>
    </row>
    <row r="1382" spans="1:14" x14ac:dyDescent="0.25">
      <c r="A1382" s="1402"/>
      <c r="B1382" s="1402"/>
      <c r="C1382" s="3381"/>
      <c r="D1382" s="3382"/>
      <c r="E1382" s="1372"/>
      <c r="F1382" s="1373"/>
      <c r="G1382" s="1374"/>
      <c r="I1382" s="1345"/>
      <c r="J1382" s="1427"/>
      <c r="K1382" s="1281"/>
      <c r="L1382" s="1281"/>
      <c r="N1382" s="1281"/>
    </row>
    <row r="1383" spans="1:14" ht="15.75" x14ac:dyDescent="0.25">
      <c r="A1383" s="3356" t="s">
        <v>4071</v>
      </c>
      <c r="B1383" s="3357"/>
      <c r="C1383" s="3357"/>
      <c r="D1383" s="3357"/>
      <c r="E1383" s="1396">
        <v>2810</v>
      </c>
      <c r="F1383" s="3366"/>
      <c r="G1383" s="3367"/>
    </row>
    <row r="1384" spans="1:14" ht="15.75" x14ac:dyDescent="0.25">
      <c r="A1384" s="3358" t="s">
        <v>4072</v>
      </c>
      <c r="B1384" s="3359"/>
      <c r="C1384" s="3359"/>
      <c r="D1384" s="3359"/>
      <c r="E1384" s="1397">
        <v>1542.4</v>
      </c>
      <c r="F1384" s="3368"/>
      <c r="G1384" s="3369"/>
      <c r="H1384" s="1247" t="s">
        <v>280</v>
      </c>
    </row>
    <row r="1385" spans="1:14" ht="15.75" x14ac:dyDescent="0.25">
      <c r="A1385" s="3356" t="s">
        <v>4073</v>
      </c>
      <c r="B1385" s="3357"/>
      <c r="C1385" s="3357"/>
      <c r="D1385" s="3357"/>
      <c r="E1385" s="1396">
        <f>G1404</f>
        <v>712.81333333333328</v>
      </c>
      <c r="F1385" s="3368"/>
      <c r="G1385" s="3369"/>
    </row>
    <row r="1386" spans="1:14" ht="15.75" x14ac:dyDescent="0.25">
      <c r="A1386" s="3358" t="s">
        <v>4074</v>
      </c>
      <c r="B1386" s="3359"/>
      <c r="C1386" s="3359"/>
      <c r="D1386" s="3359"/>
      <c r="E1386" s="3359"/>
      <c r="F1386" s="3360"/>
      <c r="G1386" s="1387">
        <f>SUM(G1370:G1382)</f>
        <v>800.18333333333351</v>
      </c>
      <c r="H1386" s="1348">
        <f>G1386-I1370-I1371-I1380</f>
        <v>436.02333333333354</v>
      </c>
      <c r="I1386" s="1336" t="s">
        <v>4141</v>
      </c>
    </row>
    <row r="1387" spans="1:14" ht="17.25" customHeight="1" thickBot="1" x14ac:dyDescent="0.3">
      <c r="A1387" s="3356" t="s">
        <v>4075</v>
      </c>
      <c r="B1387" s="3357"/>
      <c r="C1387" s="3357"/>
      <c r="D1387" s="3357"/>
      <c r="E1387" s="1388">
        <f>E1383-E1384</f>
        <v>1267.5999999999999</v>
      </c>
      <c r="G1387" s="1389"/>
    </row>
    <row r="1388" spans="1:14" ht="16.5" customHeight="1" thickBot="1" x14ac:dyDescent="0.3"/>
    <row r="1389" spans="1:14" ht="19.5" thickBot="1" x14ac:dyDescent="0.35">
      <c r="A1389" s="3361" t="s">
        <v>4442</v>
      </c>
      <c r="B1389" s="3336"/>
      <c r="C1389" s="3336"/>
      <c r="D1389" s="3336"/>
      <c r="E1389" s="3336"/>
      <c r="F1389" s="3336"/>
      <c r="G1389" s="3337"/>
    </row>
    <row r="1390" spans="1:14" ht="16.5" thickBot="1" x14ac:dyDescent="0.3">
      <c r="A1390" s="1361" t="s">
        <v>4206</v>
      </c>
      <c r="B1390" s="1361" t="s">
        <v>4206</v>
      </c>
      <c r="C1390" s="3370" t="s">
        <v>3</v>
      </c>
      <c r="D1390" s="3371"/>
      <c r="E1390" s="1363" t="s">
        <v>4190</v>
      </c>
      <c r="F1390" s="1363" t="s">
        <v>4191</v>
      </c>
      <c r="G1390" s="1364" t="s">
        <v>4207</v>
      </c>
      <c r="I1390" s="1336" t="s">
        <v>4208</v>
      </c>
    </row>
    <row r="1391" spans="1:14" x14ac:dyDescent="0.25">
      <c r="A1391" s="1369">
        <v>44163</v>
      </c>
      <c r="B1391" s="1369">
        <v>44163</v>
      </c>
      <c r="C1391" s="3340" t="s">
        <v>4443</v>
      </c>
      <c r="D1391" s="3341"/>
      <c r="E1391" s="1357">
        <v>529.96</v>
      </c>
      <c r="F1391" s="1358">
        <v>4</v>
      </c>
      <c r="G1391" s="1359">
        <f t="shared" ref="G1391:G1400" si="254">E1391/F1391</f>
        <v>132.49</v>
      </c>
      <c r="I1391" s="1321">
        <f>G1391</f>
        <v>132.49</v>
      </c>
      <c r="J1391" s="1426"/>
      <c r="K1391" s="1281"/>
      <c r="L1391" s="1281"/>
      <c r="N1391" s="1281"/>
    </row>
    <row r="1392" spans="1:14" x14ac:dyDescent="0.25">
      <c r="A1392" s="1369">
        <v>44166</v>
      </c>
      <c r="B1392" s="1369">
        <v>44166</v>
      </c>
      <c r="C1392" s="3340" t="s">
        <v>4444</v>
      </c>
      <c r="D1392" s="3341"/>
      <c r="E1392" s="1357">
        <v>150</v>
      </c>
      <c r="F1392" s="1358">
        <v>3</v>
      </c>
      <c r="G1392" s="1359">
        <f t="shared" si="254"/>
        <v>50</v>
      </c>
      <c r="H1392" s="1247" t="s">
        <v>1496</v>
      </c>
      <c r="I1392" s="1321"/>
      <c r="J1392" s="1426"/>
      <c r="K1392" s="1281"/>
      <c r="L1392" s="1281"/>
      <c r="N1392" s="1281"/>
    </row>
    <row r="1393" spans="1:14" x14ac:dyDescent="0.25">
      <c r="A1393" s="1369">
        <v>44194</v>
      </c>
      <c r="B1393" s="1369">
        <v>44194</v>
      </c>
      <c r="C1393" s="3340" t="s">
        <v>4445</v>
      </c>
      <c r="D1393" s="3341"/>
      <c r="E1393" s="1357">
        <v>129</v>
      </c>
      <c r="F1393" s="1358">
        <v>3</v>
      </c>
      <c r="G1393" s="1359">
        <f t="shared" si="254"/>
        <v>43</v>
      </c>
      <c r="H1393" s="1247" t="s">
        <v>1489</v>
      </c>
      <c r="I1393" s="1321"/>
      <c r="J1393" s="1426"/>
      <c r="K1393" s="1281"/>
      <c r="L1393" s="1281"/>
      <c r="N1393" s="1281"/>
    </row>
    <row r="1394" spans="1:14" x14ac:dyDescent="0.25">
      <c r="A1394" s="1369">
        <v>44214</v>
      </c>
      <c r="B1394" s="1369">
        <v>44214</v>
      </c>
      <c r="C1394" s="3340" t="s">
        <v>4446</v>
      </c>
      <c r="D1394" s="3341"/>
      <c r="E1394" s="1357">
        <v>300</v>
      </c>
      <c r="F1394" s="1358">
        <v>2</v>
      </c>
      <c r="G1394" s="1359">
        <f t="shared" si="254"/>
        <v>150</v>
      </c>
      <c r="H1394" s="1247" t="s">
        <v>1491</v>
      </c>
      <c r="I1394" s="1321"/>
      <c r="J1394" s="1426"/>
      <c r="K1394" s="1281"/>
      <c r="L1394" s="1281"/>
      <c r="N1394" s="1281"/>
    </row>
    <row r="1395" spans="1:14" x14ac:dyDescent="0.25">
      <c r="A1395" s="1369">
        <v>44215</v>
      </c>
      <c r="B1395" s="1369">
        <v>44215</v>
      </c>
      <c r="C1395" s="3340" t="s">
        <v>4447</v>
      </c>
      <c r="D1395" s="3341"/>
      <c r="E1395" s="1357">
        <v>200</v>
      </c>
      <c r="F1395" s="1358">
        <v>3</v>
      </c>
      <c r="G1395" s="1359">
        <f t="shared" si="254"/>
        <v>66.666666666666671</v>
      </c>
      <c r="I1395" s="1321">
        <v>66.67</v>
      </c>
      <c r="J1395" s="1426"/>
      <c r="K1395" s="1281"/>
      <c r="L1395" s="1281"/>
      <c r="N1395" s="1281"/>
    </row>
    <row r="1396" spans="1:14" x14ac:dyDescent="0.25">
      <c r="A1396" s="1369">
        <v>44223</v>
      </c>
      <c r="B1396" s="1369">
        <v>44223</v>
      </c>
      <c r="C1396" s="3340" t="s">
        <v>4448</v>
      </c>
      <c r="D1396" s="3341"/>
      <c r="E1396" s="1357">
        <v>604.86</v>
      </c>
      <c r="F1396" s="1358">
        <v>6</v>
      </c>
      <c r="G1396" s="1359">
        <f t="shared" si="254"/>
        <v>100.81</v>
      </c>
      <c r="H1396" s="1247" t="s">
        <v>1489</v>
      </c>
      <c r="I1396" s="1321"/>
      <c r="J1396" s="1426"/>
      <c r="K1396" s="1281"/>
      <c r="L1396" s="1281"/>
      <c r="N1396" s="1281"/>
    </row>
    <row r="1397" spans="1:14" x14ac:dyDescent="0.25">
      <c r="A1397" s="1369">
        <v>44242</v>
      </c>
      <c r="B1397" s="1369">
        <v>44242</v>
      </c>
      <c r="C1397" s="3340" t="s">
        <v>4449</v>
      </c>
      <c r="D1397" s="3341"/>
      <c r="E1397" s="1357">
        <v>99.9</v>
      </c>
      <c r="F1397" s="1358">
        <v>3</v>
      </c>
      <c r="G1397" s="1359">
        <f t="shared" si="254"/>
        <v>33.300000000000004</v>
      </c>
      <c r="H1397" s="1247" t="s">
        <v>1506</v>
      </c>
      <c r="I1397" s="1321"/>
      <c r="J1397" s="1426"/>
      <c r="K1397" s="1281"/>
      <c r="L1397" s="1281"/>
      <c r="N1397" s="1281"/>
    </row>
    <row r="1398" spans="1:14" x14ac:dyDescent="0.25">
      <c r="A1398" s="1369">
        <v>44242</v>
      </c>
      <c r="B1398" s="1369">
        <v>44242</v>
      </c>
      <c r="C1398" s="3340" t="s">
        <v>4450</v>
      </c>
      <c r="D1398" s="3341"/>
      <c r="E1398" s="1357">
        <v>99.9</v>
      </c>
      <c r="F1398" s="1358">
        <v>3</v>
      </c>
      <c r="G1398" s="1359">
        <f t="shared" si="254"/>
        <v>33.300000000000004</v>
      </c>
      <c r="H1398" s="1247" t="s">
        <v>1506</v>
      </c>
      <c r="I1398" s="1321"/>
      <c r="J1398" s="1426"/>
      <c r="K1398" s="1281"/>
      <c r="L1398" s="1281"/>
      <c r="N1398" s="1281"/>
    </row>
    <row r="1399" spans="1:14" x14ac:dyDescent="0.25">
      <c r="A1399" s="1369">
        <v>44242</v>
      </c>
      <c r="B1399" s="1369">
        <v>44242</v>
      </c>
      <c r="C1399" s="3340" t="s">
        <v>4451</v>
      </c>
      <c r="D1399" s="3341"/>
      <c r="E1399" s="1357">
        <v>77.239999999999981</v>
      </c>
      <c r="F1399" s="1358">
        <v>3</v>
      </c>
      <c r="G1399" s="1359">
        <f t="shared" si="254"/>
        <v>25.746666666666659</v>
      </c>
      <c r="H1399" s="1247" t="s">
        <v>2131</v>
      </c>
      <c r="I1399" s="1321"/>
      <c r="J1399" s="1426"/>
      <c r="K1399" s="1281"/>
      <c r="L1399" s="1281"/>
      <c r="N1399" s="1281"/>
    </row>
    <row r="1400" spans="1:14" x14ac:dyDescent="0.25">
      <c r="A1400" s="1369">
        <v>44247</v>
      </c>
      <c r="B1400" s="1369">
        <v>44247</v>
      </c>
      <c r="C1400" s="3340" t="s">
        <v>4452</v>
      </c>
      <c r="D1400" s="3341"/>
      <c r="E1400" s="1357">
        <v>310</v>
      </c>
      <c r="F1400" s="1358">
        <v>4</v>
      </c>
      <c r="G1400" s="1359">
        <f t="shared" si="254"/>
        <v>77.5</v>
      </c>
      <c r="H1400" s="1247" t="s">
        <v>2131</v>
      </c>
      <c r="I1400" s="1321"/>
      <c r="J1400" s="1426"/>
      <c r="K1400" s="1281"/>
      <c r="L1400" s="1281"/>
      <c r="N1400" s="1281"/>
    </row>
    <row r="1401" spans="1:14" ht="15.75" x14ac:dyDescent="0.25">
      <c r="A1401" s="3356" t="s">
        <v>4071</v>
      </c>
      <c r="B1401" s="3357"/>
      <c r="C1401" s="3357"/>
      <c r="D1401" s="3357"/>
      <c r="E1401" s="1396">
        <v>2500</v>
      </c>
      <c r="F1401" s="3366"/>
      <c r="G1401" s="3367"/>
    </row>
    <row r="1402" spans="1:14" ht="15.75" x14ac:dyDescent="0.25">
      <c r="A1402" s="3358" t="s">
        <v>4072</v>
      </c>
      <c r="B1402" s="3359"/>
      <c r="C1402" s="3359"/>
      <c r="D1402" s="3359"/>
      <c r="E1402" s="1397">
        <v>1145.3699999999999</v>
      </c>
      <c r="F1402" s="3368"/>
      <c r="G1402" s="3369"/>
      <c r="H1402" s="1247" t="s">
        <v>280</v>
      </c>
    </row>
    <row r="1403" spans="1:14" ht="15.75" x14ac:dyDescent="0.25">
      <c r="A1403" s="3356" t="s">
        <v>4073</v>
      </c>
      <c r="B1403" s="3357"/>
      <c r="C1403" s="3357"/>
      <c r="D1403" s="3357"/>
      <c r="E1403" s="1396">
        <v>821.39</v>
      </c>
      <c r="F1403" s="3368"/>
      <c r="G1403" s="3369"/>
    </row>
    <row r="1404" spans="1:14" ht="15.75" x14ac:dyDescent="0.25">
      <c r="A1404" s="3358" t="s">
        <v>4074</v>
      </c>
      <c r="B1404" s="3359"/>
      <c r="C1404" s="3359"/>
      <c r="D1404" s="3359"/>
      <c r="E1404" s="3359"/>
      <c r="F1404" s="3360"/>
      <c r="G1404" s="1387">
        <f>SUM(G1391:G1400)</f>
        <v>712.81333333333328</v>
      </c>
      <c r="H1404" s="1348">
        <f>G1404-I1391-I1395</f>
        <v>513.65333333333331</v>
      </c>
      <c r="I1404" s="1336" t="s">
        <v>4141</v>
      </c>
    </row>
    <row r="1405" spans="1:14" ht="17.25" customHeight="1" thickBot="1" x14ac:dyDescent="0.3">
      <c r="A1405" s="3356" t="s">
        <v>4075</v>
      </c>
      <c r="B1405" s="3357"/>
      <c r="C1405" s="3357"/>
      <c r="D1405" s="3357"/>
      <c r="E1405" s="1388">
        <f>E1401-E1402</f>
        <v>1354.63</v>
      </c>
      <c r="G1405" s="1389"/>
    </row>
    <row r="1406" spans="1:14" ht="16.5" customHeight="1" thickBot="1" x14ac:dyDescent="0.3"/>
    <row r="1407" spans="1:14" ht="19.5" thickBot="1" x14ac:dyDescent="0.35">
      <c r="A1407" s="3361" t="s">
        <v>4453</v>
      </c>
      <c r="B1407" s="3336"/>
      <c r="C1407" s="3336"/>
      <c r="D1407" s="3336"/>
      <c r="E1407" s="3336"/>
      <c r="F1407" s="3336"/>
      <c r="G1407" s="3337"/>
    </row>
    <row r="1408" spans="1:14" ht="16.5" thickBot="1" x14ac:dyDescent="0.3">
      <c r="A1408" s="1361" t="s">
        <v>4206</v>
      </c>
      <c r="B1408" s="1361" t="s">
        <v>4206</v>
      </c>
      <c r="C1408" s="3370" t="s">
        <v>3</v>
      </c>
      <c r="D1408" s="3371"/>
      <c r="E1408" s="1363" t="s">
        <v>4190</v>
      </c>
      <c r="F1408" s="1363" t="s">
        <v>4191</v>
      </c>
      <c r="G1408" s="1364" t="s">
        <v>4207</v>
      </c>
      <c r="I1408" s="1336" t="s">
        <v>4208</v>
      </c>
    </row>
    <row r="1409" spans="1:14" x14ac:dyDescent="0.25">
      <c r="A1409" s="1369">
        <v>44163</v>
      </c>
      <c r="B1409" s="1369">
        <v>44163</v>
      </c>
      <c r="C1409" s="3340" t="s">
        <v>4454</v>
      </c>
      <c r="D1409" s="3341"/>
      <c r="E1409" s="1357">
        <v>529.96</v>
      </c>
      <c r="F1409" s="1358">
        <v>4</v>
      </c>
      <c r="G1409" s="1359">
        <f t="shared" ref="G1409:G1422" si="255">E1409/F1409</f>
        <v>132.49</v>
      </c>
      <c r="I1409" s="1321">
        <f>G1409</f>
        <v>132.49</v>
      </c>
      <c r="J1409" s="1426"/>
      <c r="K1409" s="1281"/>
      <c r="L1409" s="1281"/>
      <c r="N1409" s="1281"/>
    </row>
    <row r="1410" spans="1:14" x14ac:dyDescent="0.25">
      <c r="A1410" s="1369">
        <v>44166</v>
      </c>
      <c r="B1410" s="1369">
        <v>44166</v>
      </c>
      <c r="C1410" s="3340" t="s">
        <v>4455</v>
      </c>
      <c r="D1410" s="3341"/>
      <c r="E1410" s="1357">
        <v>150</v>
      </c>
      <c r="F1410" s="1358">
        <v>3</v>
      </c>
      <c r="G1410" s="1359">
        <f t="shared" si="255"/>
        <v>50</v>
      </c>
      <c r="H1410" s="1247" t="s">
        <v>1496</v>
      </c>
      <c r="I1410" s="1321"/>
      <c r="J1410" s="1426"/>
      <c r="K1410" s="1281"/>
      <c r="L1410" s="1281"/>
      <c r="N1410" s="1281"/>
    </row>
    <row r="1411" spans="1:14" x14ac:dyDescent="0.25">
      <c r="A1411" s="1369">
        <v>44180</v>
      </c>
      <c r="B1411" s="1369">
        <v>44180</v>
      </c>
      <c r="C1411" s="3340" t="s">
        <v>4456</v>
      </c>
      <c r="D1411" s="3341"/>
      <c r="E1411" s="1357">
        <v>140</v>
      </c>
      <c r="F1411" s="1358">
        <v>2</v>
      </c>
      <c r="G1411" s="1359">
        <f t="shared" si="255"/>
        <v>70</v>
      </c>
      <c r="H1411" s="1247" t="s">
        <v>1522</v>
      </c>
      <c r="I1411" s="1321"/>
      <c r="J1411" s="1426"/>
      <c r="K1411" s="1281"/>
      <c r="L1411" s="1281"/>
      <c r="N1411" s="1281"/>
    </row>
    <row r="1412" spans="1:14" x14ac:dyDescent="0.25">
      <c r="A1412" s="1369">
        <v>44187</v>
      </c>
      <c r="B1412" s="1369">
        <v>44187</v>
      </c>
      <c r="C1412" s="3340" t="s">
        <v>4457</v>
      </c>
      <c r="D1412" s="3341"/>
      <c r="E1412" s="1357">
        <v>46.39</v>
      </c>
      <c r="F1412" s="1358">
        <v>2</v>
      </c>
      <c r="G1412" s="1359">
        <f t="shared" si="255"/>
        <v>23.195</v>
      </c>
      <c r="H1412" s="1247" t="s">
        <v>1522</v>
      </c>
      <c r="I1412" s="1321"/>
      <c r="J1412" s="1426"/>
      <c r="K1412" s="1281"/>
      <c r="L1412" s="1281"/>
      <c r="N1412" s="1281"/>
    </row>
    <row r="1413" spans="1:14" x14ac:dyDescent="0.25">
      <c r="A1413" s="1369">
        <v>44191</v>
      </c>
      <c r="B1413" s="1369">
        <v>44191</v>
      </c>
      <c r="C1413" s="3340" t="s">
        <v>4458</v>
      </c>
      <c r="D1413" s="3341"/>
      <c r="E1413" s="1357">
        <v>85.879999999999981</v>
      </c>
      <c r="F1413" s="1358">
        <v>2</v>
      </c>
      <c r="G1413" s="1359">
        <f t="shared" si="255"/>
        <v>42.939999999999991</v>
      </c>
      <c r="H1413" s="1247" t="s">
        <v>1525</v>
      </c>
      <c r="I1413" s="1321"/>
      <c r="J1413" s="1426"/>
      <c r="K1413" s="1281"/>
      <c r="L1413" s="1281"/>
      <c r="N1413" s="1281"/>
    </row>
    <row r="1414" spans="1:14" x14ac:dyDescent="0.25">
      <c r="A1414" s="1369">
        <v>44192</v>
      </c>
      <c r="B1414" s="1369">
        <v>44192</v>
      </c>
      <c r="C1414" s="3340" t="s">
        <v>4459</v>
      </c>
      <c r="D1414" s="3341"/>
      <c r="E1414" s="1357">
        <v>66.8</v>
      </c>
      <c r="F1414" s="1358">
        <v>2</v>
      </c>
      <c r="G1414" s="1359">
        <f t="shared" si="255"/>
        <v>33.4</v>
      </c>
      <c r="H1414" s="1247" t="s">
        <v>1525</v>
      </c>
      <c r="I1414" s="1321"/>
      <c r="J1414" s="1426"/>
      <c r="K1414" s="1281"/>
      <c r="L1414" s="1281"/>
      <c r="N1414" s="1281"/>
    </row>
    <row r="1415" spans="1:14" x14ac:dyDescent="0.25">
      <c r="A1415" s="1369">
        <v>44193</v>
      </c>
      <c r="B1415" s="1369">
        <v>44193</v>
      </c>
      <c r="C1415" s="3340" t="s">
        <v>4460</v>
      </c>
      <c r="D1415" s="3341"/>
      <c r="E1415" s="1357">
        <v>100</v>
      </c>
      <c r="F1415" s="1358">
        <v>2</v>
      </c>
      <c r="G1415" s="1359">
        <f t="shared" si="255"/>
        <v>50</v>
      </c>
      <c r="H1415" s="1247" t="s">
        <v>1506</v>
      </c>
      <c r="I1415" s="1321"/>
      <c r="J1415" s="1426"/>
      <c r="K1415" s="1281"/>
      <c r="L1415" s="1281"/>
      <c r="N1415" s="1281"/>
    </row>
    <row r="1416" spans="1:14" x14ac:dyDescent="0.25">
      <c r="A1416" s="1369">
        <v>44194</v>
      </c>
      <c r="B1416" s="1369">
        <v>44194</v>
      </c>
      <c r="C1416" s="3340" t="s">
        <v>4461</v>
      </c>
      <c r="D1416" s="3341"/>
      <c r="E1416" s="1357">
        <v>129</v>
      </c>
      <c r="F1416" s="1358">
        <v>3</v>
      </c>
      <c r="G1416" s="1359">
        <f t="shared" si="255"/>
        <v>43</v>
      </c>
      <c r="H1416" s="1247" t="s">
        <v>1506</v>
      </c>
      <c r="I1416" s="1321"/>
      <c r="J1416" s="1426"/>
      <c r="K1416" s="1281"/>
      <c r="L1416" s="1281"/>
      <c r="N1416" s="1281"/>
    </row>
    <row r="1417" spans="1:14" x14ac:dyDescent="0.25">
      <c r="A1417" s="1369">
        <v>44207</v>
      </c>
      <c r="B1417" s="1369">
        <v>44207</v>
      </c>
      <c r="C1417" s="3340" t="s">
        <v>4462</v>
      </c>
      <c r="D1417" s="3341"/>
      <c r="E1417" s="1357">
        <v>100</v>
      </c>
      <c r="F1417" s="1358">
        <v>1</v>
      </c>
      <c r="G1417" s="1359">
        <f t="shared" si="255"/>
        <v>100</v>
      </c>
      <c r="H1417" s="1247" t="s">
        <v>1525</v>
      </c>
      <c r="I1417" s="1321"/>
      <c r="J1417" s="1426"/>
      <c r="K1417" s="1281"/>
      <c r="L1417" s="1281"/>
      <c r="N1417" s="1281"/>
    </row>
    <row r="1418" spans="1:14" x14ac:dyDescent="0.25">
      <c r="A1418" s="1369">
        <v>44209</v>
      </c>
      <c r="B1418" s="1369">
        <v>44209</v>
      </c>
      <c r="C1418" s="3340" t="s">
        <v>4463</v>
      </c>
      <c r="D1418" s="3341"/>
      <c r="E1418" s="1357">
        <v>99.81</v>
      </c>
      <c r="F1418" s="1358">
        <v>1</v>
      </c>
      <c r="G1418" s="1359">
        <f t="shared" si="255"/>
        <v>99.81</v>
      </c>
      <c r="H1418" s="1247" t="s">
        <v>1525</v>
      </c>
      <c r="I1418" s="1321"/>
      <c r="J1418" s="1426"/>
      <c r="K1418" s="1281"/>
      <c r="L1418" s="1281"/>
      <c r="N1418" s="1281"/>
    </row>
    <row r="1419" spans="1:14" x14ac:dyDescent="0.25">
      <c r="A1419" s="1369">
        <v>44215</v>
      </c>
      <c r="B1419" s="1369">
        <v>44215</v>
      </c>
      <c r="C1419" s="3340" t="s">
        <v>4464</v>
      </c>
      <c r="D1419" s="3341"/>
      <c r="E1419" s="1357">
        <v>28.9</v>
      </c>
      <c r="F1419" s="1358">
        <v>1</v>
      </c>
      <c r="G1419" s="1359">
        <f t="shared" si="255"/>
        <v>28.9</v>
      </c>
      <c r="H1419" s="1247" t="s">
        <v>1525</v>
      </c>
      <c r="I1419" s="1321"/>
      <c r="J1419" s="1426"/>
      <c r="K1419" s="1281"/>
      <c r="L1419" s="1281"/>
      <c r="N1419" s="1281"/>
    </row>
    <row r="1420" spans="1:14" x14ac:dyDescent="0.25">
      <c r="A1420" s="1369">
        <v>44215</v>
      </c>
      <c r="B1420" s="1369">
        <v>44215</v>
      </c>
      <c r="C1420" s="3340" t="s">
        <v>2973</v>
      </c>
      <c r="D1420" s="3341"/>
      <c r="E1420" s="1357">
        <v>79</v>
      </c>
      <c r="F1420" s="1358">
        <v>1</v>
      </c>
      <c r="G1420" s="1359">
        <f t="shared" si="255"/>
        <v>79</v>
      </c>
      <c r="H1420" s="1247" t="s">
        <v>1496</v>
      </c>
      <c r="I1420" s="1321"/>
      <c r="J1420" s="1426"/>
      <c r="K1420" s="1281"/>
      <c r="L1420" s="1281"/>
      <c r="N1420" s="1281"/>
    </row>
    <row r="1421" spans="1:14" x14ac:dyDescent="0.25">
      <c r="A1421" s="1369">
        <v>44215</v>
      </c>
      <c r="B1421" s="1369">
        <v>44215</v>
      </c>
      <c r="C1421" s="3340" t="s">
        <v>4465</v>
      </c>
      <c r="D1421" s="3341"/>
      <c r="E1421" s="1357">
        <v>200</v>
      </c>
      <c r="F1421" s="1358">
        <v>1</v>
      </c>
      <c r="G1421" s="1359">
        <f t="shared" si="255"/>
        <v>200</v>
      </c>
      <c r="I1421" s="1321">
        <f>G1421</f>
        <v>200</v>
      </c>
      <c r="J1421" s="1426"/>
      <c r="K1421" s="1281"/>
      <c r="L1421" s="1281"/>
      <c r="N1421" s="1281"/>
    </row>
    <row r="1422" spans="1:14" x14ac:dyDescent="0.25">
      <c r="A1422" s="1369">
        <v>44217</v>
      </c>
      <c r="B1422" s="1369">
        <v>44217</v>
      </c>
      <c r="C1422" s="3340" t="s">
        <v>4389</v>
      </c>
      <c r="D1422" s="3341"/>
      <c r="E1422" s="1357">
        <v>1.99</v>
      </c>
      <c r="F1422" s="1358">
        <v>1</v>
      </c>
      <c r="G1422" s="1359">
        <f t="shared" si="255"/>
        <v>1.99</v>
      </c>
      <c r="H1422" s="1247" t="s">
        <v>1489</v>
      </c>
      <c r="I1422" s="1321"/>
      <c r="J1422" s="1426"/>
      <c r="K1422" s="1281"/>
      <c r="L1422" s="1281"/>
      <c r="N1422" s="1281"/>
    </row>
    <row r="1423" spans="1:14" ht="15.75" x14ac:dyDescent="0.25">
      <c r="A1423" s="3356" t="s">
        <v>4071</v>
      </c>
      <c r="B1423" s="3357"/>
      <c r="C1423" s="3357"/>
      <c r="D1423" s="3357"/>
      <c r="E1423" s="1396">
        <v>2500</v>
      </c>
      <c r="F1423" s="3366"/>
      <c r="G1423" s="3367"/>
    </row>
    <row r="1424" spans="1:14" ht="15.75" x14ac:dyDescent="0.25">
      <c r="A1424" s="3358" t="s">
        <v>4072</v>
      </c>
      <c r="B1424" s="3359"/>
      <c r="C1424" s="3359"/>
      <c r="D1424" s="3359"/>
      <c r="E1424" s="1397">
        <v>1966.77</v>
      </c>
      <c r="F1424" s="3368"/>
      <c r="G1424" s="3369"/>
      <c r="H1424" s="1247" t="s">
        <v>280</v>
      </c>
    </row>
    <row r="1425" spans="1:14" ht="15.75" x14ac:dyDescent="0.25">
      <c r="A1425" s="3356" t="s">
        <v>4073</v>
      </c>
      <c r="B1425" s="3357"/>
      <c r="C1425" s="3357"/>
      <c r="D1425" s="3357"/>
      <c r="E1425" s="1396">
        <f>G1449</f>
        <v>999.39499999999998</v>
      </c>
      <c r="F1425" s="3368"/>
      <c r="G1425" s="3369"/>
    </row>
    <row r="1426" spans="1:14" ht="15.75" x14ac:dyDescent="0.25">
      <c r="A1426" s="3358" t="s">
        <v>4074</v>
      </c>
      <c r="B1426" s="3359"/>
      <c r="C1426" s="3359"/>
      <c r="D1426" s="3359"/>
      <c r="E1426" s="3359"/>
      <c r="F1426" s="3360"/>
      <c r="G1426" s="1387">
        <f>SUM(G1409:G1422)</f>
        <v>954.72500000000002</v>
      </c>
      <c r="H1426" s="1348">
        <f>G1426-I1409-I1421</f>
        <v>622.23500000000001</v>
      </c>
      <c r="I1426" s="1336" t="s">
        <v>4141</v>
      </c>
    </row>
    <row r="1427" spans="1:14" ht="17.25" customHeight="1" thickBot="1" x14ac:dyDescent="0.3">
      <c r="A1427" s="3356" t="s">
        <v>4075</v>
      </c>
      <c r="B1427" s="3357"/>
      <c r="C1427" s="3357"/>
      <c r="D1427" s="3357"/>
      <c r="E1427" s="1388">
        <f>E1423-E1424</f>
        <v>533.23</v>
      </c>
      <c r="F1427" s="1247" t="s">
        <v>280</v>
      </c>
      <c r="G1427" s="1389"/>
    </row>
    <row r="1428" spans="1:14" ht="16.5" customHeight="1" thickBot="1" x14ac:dyDescent="0.3"/>
    <row r="1429" spans="1:14" ht="19.5" thickBot="1" x14ac:dyDescent="0.35">
      <c r="A1429" s="3361" t="s">
        <v>4466</v>
      </c>
      <c r="B1429" s="3336"/>
      <c r="C1429" s="3336"/>
      <c r="D1429" s="3336"/>
      <c r="E1429" s="3336"/>
      <c r="F1429" s="3336"/>
      <c r="G1429" s="3337"/>
    </row>
    <row r="1430" spans="1:14" ht="16.5" thickBot="1" x14ac:dyDescent="0.3">
      <c r="A1430" s="1361" t="s">
        <v>4206</v>
      </c>
      <c r="B1430" s="1361" t="s">
        <v>4206</v>
      </c>
      <c r="C1430" s="3370" t="s">
        <v>3</v>
      </c>
      <c r="D1430" s="3371"/>
      <c r="E1430" s="1363" t="s">
        <v>4190</v>
      </c>
      <c r="F1430" s="1363" t="s">
        <v>4191</v>
      </c>
      <c r="G1430" s="1364" t="s">
        <v>4207</v>
      </c>
      <c r="I1430" s="1336" t="s">
        <v>4208</v>
      </c>
    </row>
    <row r="1431" spans="1:14" x14ac:dyDescent="0.25">
      <c r="A1431" s="1369">
        <v>44126</v>
      </c>
      <c r="B1431" s="1369">
        <v>44126</v>
      </c>
      <c r="C1431" s="3340" t="s">
        <v>4467</v>
      </c>
      <c r="D1431" s="3341"/>
      <c r="E1431" s="1357">
        <v>120</v>
      </c>
      <c r="F1431" s="1358">
        <v>3</v>
      </c>
      <c r="G1431" s="1359">
        <f t="shared" ref="G1431:G1445" si="256">E1431/F1431</f>
        <v>40</v>
      </c>
      <c r="H1431" s="1247" t="s">
        <v>1506</v>
      </c>
      <c r="I1431" s="1321"/>
      <c r="J1431" s="1426"/>
      <c r="K1431" s="1281"/>
      <c r="L1431" s="1281"/>
      <c r="N1431" s="1281"/>
    </row>
    <row r="1432" spans="1:14" ht="15.75" customHeight="1" x14ac:dyDescent="0.25">
      <c r="A1432" s="1369">
        <v>44126</v>
      </c>
      <c r="B1432" s="1369">
        <v>44126</v>
      </c>
      <c r="C1432" s="3340" t="s">
        <v>4468</v>
      </c>
      <c r="D1432" s="3341"/>
      <c r="E1432" s="1357">
        <v>180</v>
      </c>
      <c r="F1432" s="1358">
        <v>3</v>
      </c>
      <c r="G1432" s="1359">
        <f t="shared" si="256"/>
        <v>60</v>
      </c>
      <c r="H1432" s="1247" t="s">
        <v>1506</v>
      </c>
      <c r="I1432" s="1321"/>
      <c r="J1432" s="1426"/>
      <c r="K1432" s="1281"/>
      <c r="L1432" s="1281"/>
      <c r="N1432" s="1281"/>
    </row>
    <row r="1433" spans="1:14" x14ac:dyDescent="0.25">
      <c r="A1433" s="1369">
        <v>44126</v>
      </c>
      <c r="B1433" s="1369">
        <v>44126</v>
      </c>
      <c r="C1433" s="3340" t="s">
        <v>4469</v>
      </c>
      <c r="D1433" s="3341"/>
      <c r="E1433" s="1357">
        <v>120</v>
      </c>
      <c r="F1433" s="1358">
        <v>3</v>
      </c>
      <c r="G1433" s="1359">
        <f t="shared" si="256"/>
        <v>40</v>
      </c>
      <c r="H1433" s="1247" t="s">
        <v>1506</v>
      </c>
      <c r="I1433" s="1321"/>
      <c r="J1433" s="1426"/>
      <c r="K1433" s="1281"/>
      <c r="L1433" s="1281"/>
      <c r="N1433" s="1281"/>
    </row>
    <row r="1434" spans="1:14" x14ac:dyDescent="0.25">
      <c r="A1434" s="1428">
        <v>44132</v>
      </c>
      <c r="B1434" s="1428">
        <v>44132</v>
      </c>
      <c r="C1434" s="3352" t="s">
        <v>4470</v>
      </c>
      <c r="D1434" s="3353"/>
      <c r="E1434" s="1429">
        <v>100</v>
      </c>
      <c r="F1434" s="1430">
        <v>2</v>
      </c>
      <c r="G1434" s="1359">
        <f t="shared" si="256"/>
        <v>50</v>
      </c>
      <c r="H1434" s="1247" t="s">
        <v>1489</v>
      </c>
      <c r="I1434" s="1321"/>
      <c r="J1434" s="1426"/>
      <c r="K1434" s="1281"/>
      <c r="L1434" s="1281"/>
      <c r="N1434" s="1281"/>
    </row>
    <row r="1435" spans="1:14" x14ac:dyDescent="0.25">
      <c r="A1435" s="1369">
        <v>44145</v>
      </c>
      <c r="B1435" s="1369">
        <v>44145</v>
      </c>
      <c r="C1435" s="3340" t="s">
        <v>4471</v>
      </c>
      <c r="D1435" s="3341"/>
      <c r="E1435" s="1357">
        <v>139.34</v>
      </c>
      <c r="F1435" s="1358">
        <v>2</v>
      </c>
      <c r="G1435" s="1359">
        <f t="shared" si="256"/>
        <v>69.67</v>
      </c>
      <c r="I1435" s="1321">
        <f>G1435</f>
        <v>69.67</v>
      </c>
      <c r="J1435" s="1426"/>
      <c r="K1435" s="1281"/>
      <c r="L1435" s="1281"/>
      <c r="N1435" s="1281"/>
    </row>
    <row r="1436" spans="1:14" x14ac:dyDescent="0.25">
      <c r="A1436" s="1369">
        <v>44163</v>
      </c>
      <c r="B1436" s="1369">
        <v>44163</v>
      </c>
      <c r="C1436" s="3340" t="s">
        <v>4472</v>
      </c>
      <c r="D1436" s="3341"/>
      <c r="E1436" s="1357">
        <v>529.96</v>
      </c>
      <c r="F1436" s="1358">
        <v>4</v>
      </c>
      <c r="G1436" s="1359">
        <f t="shared" si="256"/>
        <v>132.49</v>
      </c>
      <c r="I1436" s="1321">
        <f>G1436</f>
        <v>132.49</v>
      </c>
      <c r="J1436" s="1426"/>
      <c r="K1436" s="1281"/>
      <c r="L1436" s="1281"/>
      <c r="N1436" s="1281"/>
    </row>
    <row r="1437" spans="1:14" x14ac:dyDescent="0.25">
      <c r="A1437" s="1369">
        <v>44166</v>
      </c>
      <c r="B1437" s="1369">
        <v>44166</v>
      </c>
      <c r="C1437" s="3340" t="s">
        <v>4473</v>
      </c>
      <c r="D1437" s="3341"/>
      <c r="E1437" s="1357">
        <v>150</v>
      </c>
      <c r="F1437" s="1358">
        <v>3</v>
      </c>
      <c r="G1437" s="1359">
        <f t="shared" si="256"/>
        <v>50</v>
      </c>
      <c r="H1437" s="1247" t="s">
        <v>1496</v>
      </c>
      <c r="I1437" s="1321"/>
      <c r="J1437" s="1426"/>
      <c r="K1437" s="1281"/>
      <c r="L1437" s="1281"/>
      <c r="N1437" s="1281"/>
    </row>
    <row r="1438" spans="1:14" x14ac:dyDescent="0.25">
      <c r="A1438" s="1369">
        <v>44168</v>
      </c>
      <c r="B1438" s="1369">
        <v>44168</v>
      </c>
      <c r="C1438" s="3340" t="s">
        <v>4474</v>
      </c>
      <c r="D1438" s="3341"/>
      <c r="E1438" s="1357">
        <v>234.8</v>
      </c>
      <c r="F1438" s="1358">
        <v>1</v>
      </c>
      <c r="G1438" s="1359">
        <f t="shared" si="256"/>
        <v>234.8</v>
      </c>
      <c r="H1438" s="1247" t="s">
        <v>1524</v>
      </c>
      <c r="I1438" s="1321">
        <v>117.4</v>
      </c>
      <c r="J1438" s="1426"/>
      <c r="K1438" s="1281"/>
      <c r="L1438" s="1281"/>
      <c r="N1438" s="1281"/>
    </row>
    <row r="1439" spans="1:14" x14ac:dyDescent="0.25">
      <c r="A1439" s="1369">
        <v>44180</v>
      </c>
      <c r="B1439" s="1369">
        <v>44180</v>
      </c>
      <c r="C1439" s="3340" t="s">
        <v>4475</v>
      </c>
      <c r="D1439" s="3341"/>
      <c r="E1439" s="1357">
        <v>140</v>
      </c>
      <c r="F1439" s="1358">
        <v>2</v>
      </c>
      <c r="G1439" s="1359">
        <f t="shared" si="256"/>
        <v>70</v>
      </c>
      <c r="H1439" s="1247" t="s">
        <v>1522</v>
      </c>
      <c r="I1439" s="1321"/>
      <c r="J1439" s="1426"/>
      <c r="K1439" s="1281"/>
      <c r="L1439" s="1281"/>
      <c r="N1439" s="1281"/>
    </row>
    <row r="1440" spans="1:14" x14ac:dyDescent="0.25">
      <c r="A1440" s="1369">
        <v>44187</v>
      </c>
      <c r="B1440" s="1369">
        <v>44187</v>
      </c>
      <c r="C1440" s="3340" t="s">
        <v>4476</v>
      </c>
      <c r="D1440" s="3341"/>
      <c r="E1440" s="1357">
        <v>46.39</v>
      </c>
      <c r="F1440" s="1358">
        <v>2</v>
      </c>
      <c r="G1440" s="1359">
        <f t="shared" si="256"/>
        <v>23.195</v>
      </c>
      <c r="H1440" s="1247" t="s">
        <v>1522</v>
      </c>
      <c r="I1440" s="1321"/>
      <c r="J1440" s="1426"/>
      <c r="K1440" s="1281"/>
      <c r="L1440" s="1281"/>
      <c r="N1440" s="1281"/>
    </row>
    <row r="1441" spans="1:14" x14ac:dyDescent="0.25">
      <c r="A1441" s="1369">
        <v>44191</v>
      </c>
      <c r="B1441" s="1369">
        <v>44191</v>
      </c>
      <c r="C1441" s="3340" t="s">
        <v>4477</v>
      </c>
      <c r="D1441" s="3341"/>
      <c r="E1441" s="1357">
        <v>85.879999999999981</v>
      </c>
      <c r="F1441" s="1358">
        <v>2</v>
      </c>
      <c r="G1441" s="1359">
        <f t="shared" si="256"/>
        <v>42.939999999999991</v>
      </c>
      <c r="H1441" s="1247" t="s">
        <v>1525</v>
      </c>
      <c r="I1441" s="1321"/>
      <c r="J1441" s="1426"/>
      <c r="K1441" s="1281"/>
      <c r="L1441" s="1281"/>
      <c r="N1441" s="1281"/>
    </row>
    <row r="1442" spans="1:14" x14ac:dyDescent="0.25">
      <c r="A1442" s="1369">
        <v>44192</v>
      </c>
      <c r="B1442" s="1369">
        <v>44192</v>
      </c>
      <c r="C1442" s="3340" t="s">
        <v>4478</v>
      </c>
      <c r="D1442" s="3341"/>
      <c r="E1442" s="1357">
        <v>66.8</v>
      </c>
      <c r="F1442" s="1358">
        <v>2</v>
      </c>
      <c r="G1442" s="1359">
        <f t="shared" si="256"/>
        <v>33.4</v>
      </c>
      <c r="H1442" s="1247" t="s">
        <v>1525</v>
      </c>
      <c r="I1442" s="1321"/>
      <c r="J1442" s="1426"/>
      <c r="K1442" s="1281"/>
      <c r="L1442" s="1281"/>
      <c r="N1442" s="1281"/>
    </row>
    <row r="1443" spans="1:14" x14ac:dyDescent="0.25">
      <c r="A1443" s="1369">
        <v>44193</v>
      </c>
      <c r="B1443" s="1369">
        <v>44193</v>
      </c>
      <c r="C1443" s="3340" t="s">
        <v>4479</v>
      </c>
      <c r="D1443" s="3341"/>
      <c r="E1443" s="1357">
        <v>59.9</v>
      </c>
      <c r="F1443" s="1358">
        <v>1</v>
      </c>
      <c r="G1443" s="1359">
        <f t="shared" si="256"/>
        <v>59.9</v>
      </c>
      <c r="H1443" s="1247" t="s">
        <v>1506</v>
      </c>
      <c r="I1443" s="1321"/>
      <c r="J1443" s="1426"/>
      <c r="K1443" s="1281"/>
      <c r="L1443" s="1281"/>
      <c r="N1443" s="1281"/>
    </row>
    <row r="1444" spans="1:14" x14ac:dyDescent="0.25">
      <c r="A1444" s="1369">
        <v>44193</v>
      </c>
      <c r="B1444" s="1369">
        <v>44193</v>
      </c>
      <c r="C1444" s="3340" t="s">
        <v>4480</v>
      </c>
      <c r="D1444" s="3341"/>
      <c r="E1444" s="1357">
        <v>100</v>
      </c>
      <c r="F1444" s="1358">
        <v>2</v>
      </c>
      <c r="G1444" s="1359">
        <f t="shared" si="256"/>
        <v>50</v>
      </c>
      <c r="H1444" s="1247" t="s">
        <v>1489</v>
      </c>
      <c r="I1444" s="1321"/>
      <c r="J1444" s="1426"/>
      <c r="K1444" s="1281"/>
      <c r="L1444" s="1281"/>
      <c r="N1444" s="1281"/>
    </row>
    <row r="1445" spans="1:14" x14ac:dyDescent="0.25">
      <c r="A1445" s="1369">
        <v>44194</v>
      </c>
      <c r="B1445" s="1369">
        <v>44194</v>
      </c>
      <c r="C1445" s="3340" t="s">
        <v>4481</v>
      </c>
      <c r="D1445" s="3341"/>
      <c r="E1445" s="1357">
        <v>129</v>
      </c>
      <c r="F1445" s="1358">
        <v>3</v>
      </c>
      <c r="G1445" s="1359">
        <f t="shared" si="256"/>
        <v>43</v>
      </c>
      <c r="H1445" s="1247" t="s">
        <v>1489</v>
      </c>
      <c r="I1445" s="1321"/>
      <c r="J1445" s="1426"/>
      <c r="K1445" s="1281"/>
      <c r="L1445" s="1281"/>
      <c r="N1445" s="1281"/>
    </row>
    <row r="1446" spans="1:14" ht="15.75" x14ac:dyDescent="0.25">
      <c r="A1446" s="3356" t="s">
        <v>4071</v>
      </c>
      <c r="B1446" s="3357"/>
      <c r="C1446" s="3357"/>
      <c r="D1446" s="3357"/>
      <c r="E1446" s="1396">
        <v>2500</v>
      </c>
      <c r="F1446" s="3366"/>
      <c r="G1446" s="3367"/>
    </row>
    <row r="1447" spans="1:14" ht="15.75" x14ac:dyDescent="0.25">
      <c r="A1447" s="3358" t="s">
        <v>4072</v>
      </c>
      <c r="B1447" s="3359"/>
      <c r="C1447" s="3359"/>
      <c r="D1447" s="3359"/>
      <c r="E1447" s="1397">
        <v>1802.4</v>
      </c>
      <c r="F1447" s="3368"/>
      <c r="G1447" s="3369"/>
      <c r="H1447" s="1247" t="s">
        <v>280</v>
      </c>
    </row>
    <row r="1448" spans="1:14" ht="15.75" x14ac:dyDescent="0.25">
      <c r="A1448" s="3356" t="s">
        <v>4073</v>
      </c>
      <c r="B1448" s="3357"/>
      <c r="C1448" s="3357"/>
      <c r="D1448" s="3357"/>
      <c r="E1448" s="1396">
        <f>G1463</f>
        <v>399.07000000000005</v>
      </c>
      <c r="F1448" s="3368"/>
      <c r="G1448" s="3369"/>
    </row>
    <row r="1449" spans="1:14" ht="15.75" x14ac:dyDescent="0.25">
      <c r="A1449" s="3358" t="s">
        <v>4074</v>
      </c>
      <c r="B1449" s="3359"/>
      <c r="C1449" s="3359"/>
      <c r="D1449" s="3359"/>
      <c r="E1449" s="3359"/>
      <c r="F1449" s="3360"/>
      <c r="G1449" s="1387">
        <f>SUM(G1431:G1445)</f>
        <v>999.39499999999998</v>
      </c>
      <c r="H1449" s="1348">
        <f>G1449-I1435-I1436-I1438</f>
        <v>679.83500000000004</v>
      </c>
      <c r="I1449" s="1336" t="s">
        <v>4141</v>
      </c>
    </row>
    <row r="1450" spans="1:14" ht="17.25" customHeight="1" thickBot="1" x14ac:dyDescent="0.3">
      <c r="A1450" s="3356" t="s">
        <v>4075</v>
      </c>
      <c r="B1450" s="3357"/>
      <c r="C1450" s="3357"/>
      <c r="D1450" s="3357"/>
      <c r="E1450" s="1388">
        <f>E1446-E1447</f>
        <v>697.59999999999991</v>
      </c>
      <c r="G1450" s="1389"/>
    </row>
    <row r="1451" spans="1:14" ht="16.5" customHeight="1" thickBot="1" x14ac:dyDescent="0.3"/>
    <row r="1452" spans="1:14" ht="19.5" thickBot="1" x14ac:dyDescent="0.35">
      <c r="A1452" s="3361" t="s">
        <v>4482</v>
      </c>
      <c r="B1452" s="3336"/>
      <c r="C1452" s="3336"/>
      <c r="D1452" s="3336"/>
      <c r="E1452" s="3336"/>
      <c r="F1452" s="3336"/>
      <c r="G1452" s="3337"/>
    </row>
    <row r="1453" spans="1:14" ht="16.5" thickBot="1" x14ac:dyDescent="0.3">
      <c r="A1453" s="1361" t="s">
        <v>4206</v>
      </c>
      <c r="B1453" s="1361" t="s">
        <v>4206</v>
      </c>
      <c r="C1453" s="3370" t="s">
        <v>3</v>
      </c>
      <c r="D1453" s="3371"/>
      <c r="E1453" s="1363" t="s">
        <v>4190</v>
      </c>
      <c r="F1453" s="1363" t="s">
        <v>4191</v>
      </c>
      <c r="G1453" s="1364" t="s">
        <v>4207</v>
      </c>
      <c r="I1453" s="1336" t="s">
        <v>4208</v>
      </c>
    </row>
    <row r="1454" spans="1:14" x14ac:dyDescent="0.25">
      <c r="A1454" s="1369">
        <v>44126</v>
      </c>
      <c r="B1454" s="1369">
        <v>44126</v>
      </c>
      <c r="C1454" s="3340" t="s">
        <v>4483</v>
      </c>
      <c r="D1454" s="3341"/>
      <c r="E1454" s="1357">
        <v>120</v>
      </c>
      <c r="F1454" s="1358">
        <v>3</v>
      </c>
      <c r="G1454" s="1359">
        <f t="shared" ref="G1454:G1459" si="257">E1454/F1454</f>
        <v>40</v>
      </c>
      <c r="H1454" s="1247" t="s">
        <v>1506</v>
      </c>
      <c r="I1454" s="1321"/>
      <c r="J1454" s="1426"/>
      <c r="K1454" s="1281"/>
      <c r="L1454" s="1281"/>
      <c r="N1454" s="1281"/>
    </row>
    <row r="1455" spans="1:14" x14ac:dyDescent="0.25">
      <c r="A1455" s="1369">
        <v>44126</v>
      </c>
      <c r="B1455" s="1369">
        <v>44126</v>
      </c>
      <c r="C1455" s="3340" t="s">
        <v>4484</v>
      </c>
      <c r="D1455" s="3341"/>
      <c r="E1455" s="1357">
        <v>180</v>
      </c>
      <c r="F1455" s="1358">
        <v>3</v>
      </c>
      <c r="G1455" s="1359">
        <f t="shared" si="257"/>
        <v>60</v>
      </c>
      <c r="H1455" s="1247" t="s">
        <v>1506</v>
      </c>
      <c r="I1455" s="1321"/>
      <c r="J1455" s="1426"/>
      <c r="K1455" s="1281"/>
      <c r="L1455" s="1281"/>
      <c r="N1455" s="1281"/>
    </row>
    <row r="1456" spans="1:14" x14ac:dyDescent="0.25">
      <c r="A1456" s="1369">
        <v>44126</v>
      </c>
      <c r="B1456" s="1369">
        <v>44126</v>
      </c>
      <c r="C1456" s="3340" t="s">
        <v>4485</v>
      </c>
      <c r="D1456" s="3341"/>
      <c r="E1456" s="1357">
        <v>120</v>
      </c>
      <c r="F1456" s="1358">
        <v>3</v>
      </c>
      <c r="G1456" s="1359">
        <f t="shared" si="257"/>
        <v>40</v>
      </c>
      <c r="H1456" s="1247" t="s">
        <v>1506</v>
      </c>
      <c r="I1456" s="1321"/>
      <c r="J1456" s="1426"/>
      <c r="K1456" s="1281"/>
      <c r="L1456" s="1281"/>
      <c r="N1456" s="1281"/>
    </row>
    <row r="1457" spans="1:14" x14ac:dyDescent="0.25">
      <c r="A1457" s="1428">
        <v>44132</v>
      </c>
      <c r="B1457" s="1428">
        <v>44132</v>
      </c>
      <c r="C1457" s="3352" t="s">
        <v>4486</v>
      </c>
      <c r="D1457" s="3353"/>
      <c r="E1457" s="1429">
        <v>100</v>
      </c>
      <c r="F1457" s="1430">
        <v>2</v>
      </c>
      <c r="G1457" s="1359">
        <f t="shared" si="257"/>
        <v>50</v>
      </c>
      <c r="H1457" s="1247" t="s">
        <v>1489</v>
      </c>
      <c r="I1457" s="1321"/>
      <c r="J1457" s="1426"/>
      <c r="K1457" s="1281"/>
      <c r="L1457" s="1281"/>
      <c r="N1457" s="1281"/>
    </row>
    <row r="1458" spans="1:14" x14ac:dyDescent="0.25">
      <c r="A1458" s="1369">
        <v>44145</v>
      </c>
      <c r="B1458" s="1369">
        <v>44145</v>
      </c>
      <c r="C1458" s="3340" t="s">
        <v>4487</v>
      </c>
      <c r="D1458" s="3341"/>
      <c r="E1458" s="1357">
        <v>139.34</v>
      </c>
      <c r="F1458" s="1358">
        <v>2</v>
      </c>
      <c r="G1458" s="1359">
        <f t="shared" si="257"/>
        <v>69.67</v>
      </c>
      <c r="I1458" s="1321">
        <f>G1458</f>
        <v>69.67</v>
      </c>
      <c r="J1458" s="1426"/>
      <c r="K1458" s="1281"/>
      <c r="L1458" s="1281"/>
      <c r="N1458" s="1281"/>
    </row>
    <row r="1459" spans="1:14" x14ac:dyDescent="0.25">
      <c r="A1459" s="1369">
        <v>44152</v>
      </c>
      <c r="B1459" s="1369">
        <v>44152</v>
      </c>
      <c r="C1459" s="3340" t="s">
        <v>4488</v>
      </c>
      <c r="D1459" s="3341"/>
      <c r="E1459" s="1357">
        <v>139.4</v>
      </c>
      <c r="F1459" s="1358">
        <v>1</v>
      </c>
      <c r="G1459" s="1359">
        <f t="shared" si="257"/>
        <v>139.4</v>
      </c>
      <c r="H1459" s="1247" t="s">
        <v>1525</v>
      </c>
      <c r="I1459" s="1321"/>
      <c r="J1459" s="1426"/>
      <c r="K1459" s="1281"/>
      <c r="L1459" s="1281"/>
      <c r="N1459" s="1281"/>
    </row>
    <row r="1460" spans="1:14" ht="15.75" x14ac:dyDescent="0.25">
      <c r="A1460" s="3356" t="s">
        <v>4071</v>
      </c>
      <c r="B1460" s="3357"/>
      <c r="C1460" s="3357"/>
      <c r="D1460" s="3357"/>
      <c r="E1460" s="1396">
        <v>2500</v>
      </c>
      <c r="F1460" s="3366"/>
      <c r="G1460" s="3367"/>
    </row>
    <row r="1461" spans="1:14" ht="15.75" x14ac:dyDescent="0.25">
      <c r="A1461" s="3358" t="s">
        <v>4072</v>
      </c>
      <c r="B1461" s="3359"/>
      <c r="C1461" s="3359"/>
      <c r="D1461" s="3359"/>
      <c r="E1461" s="1397">
        <v>519.34</v>
      </c>
      <c r="F1461" s="3368"/>
      <c r="G1461" s="3369"/>
      <c r="H1461" s="1247" t="s">
        <v>280</v>
      </c>
    </row>
    <row r="1462" spans="1:14" ht="15.75" x14ac:dyDescent="0.25">
      <c r="A1462" s="3356" t="s">
        <v>4073</v>
      </c>
      <c r="B1462" s="3357"/>
      <c r="C1462" s="3357"/>
      <c r="D1462" s="3357"/>
      <c r="E1462" s="1396">
        <f>G1479</f>
        <v>664.01750000000004</v>
      </c>
      <c r="F1462" s="3368"/>
      <c r="G1462" s="3369"/>
    </row>
    <row r="1463" spans="1:14" ht="15.75" x14ac:dyDescent="0.25">
      <c r="A1463" s="3358" t="s">
        <v>4074</v>
      </c>
      <c r="B1463" s="3359"/>
      <c r="C1463" s="3359"/>
      <c r="D1463" s="3359"/>
      <c r="E1463" s="3359"/>
      <c r="F1463" s="3360"/>
      <c r="G1463" s="1387">
        <f>SUM(G1454:G1459)</f>
        <v>399.07000000000005</v>
      </c>
      <c r="H1463" s="1348">
        <f>G1463-I1458</f>
        <v>329.40000000000003</v>
      </c>
      <c r="I1463" s="1336" t="s">
        <v>4141</v>
      </c>
    </row>
    <row r="1464" spans="1:14" ht="17.25" customHeight="1" thickBot="1" x14ac:dyDescent="0.3">
      <c r="A1464" s="3356" t="s">
        <v>4075</v>
      </c>
      <c r="B1464" s="3357"/>
      <c r="C1464" s="3357"/>
      <c r="D1464" s="3357"/>
      <c r="E1464" s="1388">
        <f>E1460-E1461</f>
        <v>1980.6599999999999</v>
      </c>
      <c r="G1464" s="1389"/>
    </row>
    <row r="1465" spans="1:14" ht="16.5" customHeight="1" thickBot="1" x14ac:dyDescent="0.3"/>
    <row r="1466" spans="1:14" ht="19.5" thickBot="1" x14ac:dyDescent="0.35">
      <c r="A1466" s="3361" t="s">
        <v>4489</v>
      </c>
      <c r="B1466" s="3336"/>
      <c r="C1466" s="3336"/>
      <c r="D1466" s="3336"/>
      <c r="E1466" s="3336"/>
      <c r="F1466" s="3336"/>
      <c r="G1466" s="3337"/>
    </row>
    <row r="1467" spans="1:14" ht="16.5" thickBot="1" x14ac:dyDescent="0.3">
      <c r="A1467" s="1361" t="s">
        <v>4206</v>
      </c>
      <c r="B1467" s="1361" t="s">
        <v>4206</v>
      </c>
      <c r="C1467" s="3370" t="s">
        <v>3</v>
      </c>
      <c r="D1467" s="3371"/>
      <c r="E1467" s="1363" t="s">
        <v>4190</v>
      </c>
      <c r="F1467" s="1363" t="s">
        <v>4191</v>
      </c>
      <c r="G1467" s="1364" t="s">
        <v>4207</v>
      </c>
      <c r="I1467" s="1336" t="s">
        <v>4208</v>
      </c>
    </row>
    <row r="1468" spans="1:14" x14ac:dyDescent="0.25">
      <c r="A1468" s="1428">
        <v>44017</v>
      </c>
      <c r="B1468" s="1428">
        <v>44017</v>
      </c>
      <c r="C1468" s="3340" t="s">
        <v>4490</v>
      </c>
      <c r="D1468" s="3341"/>
      <c r="E1468" s="1357">
        <v>1376.55</v>
      </c>
      <c r="F1468" s="1358">
        <v>4</v>
      </c>
      <c r="G1468" s="1359">
        <f t="shared" ref="G1468:G1475" si="258">E1468/F1468</f>
        <v>344.13749999999999</v>
      </c>
      <c r="H1468" s="1247" t="s">
        <v>1525</v>
      </c>
      <c r="I1468" s="1321">
        <f>G1468/2</f>
        <v>172.06874999999999</v>
      </c>
      <c r="J1468" s="1426"/>
      <c r="K1468" s="1281"/>
      <c r="L1468" s="1281"/>
      <c r="N1468" s="1281"/>
    </row>
    <row r="1469" spans="1:14" x14ac:dyDescent="0.25">
      <c r="A1469" s="1428">
        <v>44099</v>
      </c>
      <c r="B1469" s="1428">
        <v>44099</v>
      </c>
      <c r="C1469" s="3352" t="s">
        <v>4491</v>
      </c>
      <c r="D1469" s="3353"/>
      <c r="E1469" s="1429">
        <v>35</v>
      </c>
      <c r="F1469" s="1430">
        <v>2</v>
      </c>
      <c r="G1469" s="1431">
        <f t="shared" si="258"/>
        <v>17.5</v>
      </c>
      <c r="H1469" s="1247" t="s">
        <v>1491</v>
      </c>
      <c r="I1469" s="1321"/>
      <c r="J1469" s="1426"/>
      <c r="K1469" s="1281"/>
      <c r="L1469" s="1281"/>
      <c r="N1469" s="1281"/>
    </row>
    <row r="1470" spans="1:14" x14ac:dyDescent="0.25">
      <c r="A1470" s="1369">
        <v>44099</v>
      </c>
      <c r="B1470" s="1369">
        <v>44099</v>
      </c>
      <c r="C1470" s="3340" t="s">
        <v>4492</v>
      </c>
      <c r="D1470" s="3341"/>
      <c r="E1470" s="1357">
        <v>49</v>
      </c>
      <c r="F1470" s="1358">
        <v>2</v>
      </c>
      <c r="G1470" s="1359">
        <f t="shared" si="258"/>
        <v>24.5</v>
      </c>
      <c r="H1470" s="1247" t="s">
        <v>1506</v>
      </c>
      <c r="I1470" s="1321"/>
      <c r="J1470" s="1426"/>
      <c r="K1470" s="1281"/>
      <c r="L1470" s="1281"/>
      <c r="N1470" s="1281"/>
    </row>
    <row r="1471" spans="1:14" x14ac:dyDescent="0.25">
      <c r="A1471" s="1369">
        <v>44111</v>
      </c>
      <c r="B1471" s="1369">
        <v>44111</v>
      </c>
      <c r="C1471" s="3340" t="s">
        <v>4493</v>
      </c>
      <c r="D1471" s="3341"/>
      <c r="E1471" s="1357">
        <v>71.98</v>
      </c>
      <c r="F1471" s="1358">
        <v>1</v>
      </c>
      <c r="G1471" s="1359">
        <f t="shared" si="258"/>
        <v>71.98</v>
      </c>
      <c r="H1471" s="1247" t="s">
        <v>1506</v>
      </c>
      <c r="I1471" s="1321"/>
      <c r="J1471" s="1426"/>
      <c r="K1471" s="1281"/>
      <c r="L1471" s="1281"/>
      <c r="N1471" s="1281"/>
    </row>
    <row r="1472" spans="1:14" x14ac:dyDescent="0.25">
      <c r="A1472" s="1369">
        <v>44113</v>
      </c>
      <c r="B1472" s="1369">
        <v>44113</v>
      </c>
      <c r="C1472" s="3340" t="s">
        <v>4494</v>
      </c>
      <c r="D1472" s="3341"/>
      <c r="E1472" s="1357">
        <v>65.90000000000002</v>
      </c>
      <c r="F1472" s="1358">
        <v>1</v>
      </c>
      <c r="G1472" s="1359">
        <f t="shared" si="258"/>
        <v>65.90000000000002</v>
      </c>
      <c r="I1472" s="1321">
        <f>G1472</f>
        <v>65.90000000000002</v>
      </c>
      <c r="J1472" s="1426"/>
      <c r="K1472" s="1281"/>
      <c r="L1472" s="1281"/>
      <c r="N1472" s="1281"/>
    </row>
    <row r="1473" spans="1:14" x14ac:dyDescent="0.25">
      <c r="A1473" s="1369">
        <v>44126</v>
      </c>
      <c r="B1473" s="1369">
        <v>44126</v>
      </c>
      <c r="C1473" s="3340" t="s">
        <v>4495</v>
      </c>
      <c r="D1473" s="3341"/>
      <c r="E1473" s="1357">
        <v>120</v>
      </c>
      <c r="F1473" s="1358">
        <v>3</v>
      </c>
      <c r="G1473" s="1359">
        <f t="shared" si="258"/>
        <v>40</v>
      </c>
      <c r="H1473" s="1247" t="s">
        <v>1506</v>
      </c>
      <c r="I1473" s="1321"/>
      <c r="J1473" s="1426"/>
      <c r="K1473" s="1281"/>
      <c r="L1473" s="1281"/>
      <c r="N1473" s="1281"/>
    </row>
    <row r="1474" spans="1:14" x14ac:dyDescent="0.25">
      <c r="A1474" s="1369">
        <v>44126</v>
      </c>
      <c r="B1474" s="1369">
        <v>44126</v>
      </c>
      <c r="C1474" s="3340" t="s">
        <v>4496</v>
      </c>
      <c r="D1474" s="3341"/>
      <c r="E1474" s="1357">
        <v>180</v>
      </c>
      <c r="F1474" s="1358">
        <v>3</v>
      </c>
      <c r="G1474" s="1359">
        <f t="shared" si="258"/>
        <v>60</v>
      </c>
      <c r="H1474" s="1247" t="s">
        <v>1506</v>
      </c>
      <c r="I1474" s="1321"/>
      <c r="J1474" s="1426"/>
      <c r="K1474" s="1281"/>
      <c r="L1474" s="1281"/>
      <c r="N1474" s="1281"/>
    </row>
    <row r="1475" spans="1:14" x14ac:dyDescent="0.25">
      <c r="A1475" s="1369">
        <v>44126</v>
      </c>
      <c r="B1475" s="1369">
        <v>44126</v>
      </c>
      <c r="C1475" s="3340" t="s">
        <v>4497</v>
      </c>
      <c r="D1475" s="3341"/>
      <c r="E1475" s="1357">
        <v>120</v>
      </c>
      <c r="F1475" s="1358">
        <v>3</v>
      </c>
      <c r="G1475" s="1359">
        <f t="shared" si="258"/>
        <v>40</v>
      </c>
      <c r="H1475" s="1247" t="s">
        <v>1506</v>
      </c>
      <c r="I1475" s="1321"/>
      <c r="J1475" s="1426"/>
      <c r="K1475" s="1281"/>
      <c r="L1475" s="1281"/>
      <c r="N1475" s="1281"/>
    </row>
    <row r="1476" spans="1:14" ht="15.75" x14ac:dyDescent="0.25">
      <c r="A1476" s="3356" t="s">
        <v>4071</v>
      </c>
      <c r="B1476" s="3357"/>
      <c r="C1476" s="3357"/>
      <c r="D1476" s="3357"/>
      <c r="E1476" s="1396">
        <v>2500</v>
      </c>
      <c r="F1476" s="3366"/>
      <c r="G1476" s="3367"/>
    </row>
    <row r="1477" spans="1:14" ht="15.75" x14ac:dyDescent="0.25">
      <c r="A1477" s="3358" t="s">
        <v>4072</v>
      </c>
      <c r="B1477" s="3359"/>
      <c r="C1477" s="3359"/>
      <c r="D1477" s="3359"/>
      <c r="E1477" s="1397">
        <v>386.14</v>
      </c>
      <c r="F1477" s="3368"/>
      <c r="G1477" s="3369"/>
      <c r="H1477" s="1247" t="s">
        <v>280</v>
      </c>
    </row>
    <row r="1478" spans="1:14" ht="15.75" x14ac:dyDescent="0.25">
      <c r="A1478" s="3356" t="s">
        <v>4073</v>
      </c>
      <c r="B1478" s="3357"/>
      <c r="C1478" s="3357"/>
      <c r="D1478" s="3357"/>
      <c r="E1478" s="1396">
        <f>G1496</f>
        <v>760.91416666666657</v>
      </c>
      <c r="F1478" s="3368"/>
      <c r="G1478" s="3369"/>
    </row>
    <row r="1479" spans="1:14" ht="15.75" x14ac:dyDescent="0.25">
      <c r="A1479" s="3358" t="s">
        <v>4074</v>
      </c>
      <c r="B1479" s="3359"/>
      <c r="C1479" s="3359"/>
      <c r="D1479" s="3359"/>
      <c r="E1479" s="3359"/>
      <c r="F1479" s="3360"/>
      <c r="G1479" s="1387">
        <f>SUM(G1468:G1475)</f>
        <v>664.01750000000004</v>
      </c>
      <c r="H1479" s="1348">
        <f>G1479-I1468-I1472</f>
        <v>426.04874999999998</v>
      </c>
      <c r="I1479" s="1336" t="s">
        <v>4141</v>
      </c>
    </row>
    <row r="1480" spans="1:14" ht="17.25" customHeight="1" thickBot="1" x14ac:dyDescent="0.3">
      <c r="A1480" s="3356" t="s">
        <v>4075</v>
      </c>
      <c r="B1480" s="3357"/>
      <c r="C1480" s="3357"/>
      <c r="D1480" s="3357"/>
      <c r="E1480" s="1388">
        <f>E1476-E1477</f>
        <v>2113.86</v>
      </c>
      <c r="G1480" s="1389"/>
    </row>
    <row r="1481" spans="1:14" ht="16.5" customHeight="1" thickBot="1" x14ac:dyDescent="0.3"/>
    <row r="1482" spans="1:14" ht="19.5" thickBot="1" x14ac:dyDescent="0.35">
      <c r="A1482" s="3361" t="s">
        <v>4498</v>
      </c>
      <c r="B1482" s="3336"/>
      <c r="C1482" s="3336"/>
      <c r="D1482" s="3336"/>
      <c r="E1482" s="3336"/>
      <c r="F1482" s="3336"/>
      <c r="G1482" s="3337"/>
    </row>
    <row r="1483" spans="1:14" ht="16.5" thickBot="1" x14ac:dyDescent="0.3">
      <c r="A1483" s="1361" t="s">
        <v>4206</v>
      </c>
      <c r="B1483" s="1361" t="s">
        <v>4206</v>
      </c>
      <c r="C1483" s="3370" t="s">
        <v>3</v>
      </c>
      <c r="D1483" s="3371"/>
      <c r="E1483" s="1363" t="s">
        <v>4190</v>
      </c>
      <c r="F1483" s="1363" t="s">
        <v>4191</v>
      </c>
      <c r="G1483" s="1364" t="s">
        <v>4207</v>
      </c>
      <c r="I1483" s="1336" t="s">
        <v>4208</v>
      </c>
    </row>
    <row r="1484" spans="1:14" x14ac:dyDescent="0.25">
      <c r="A1484" s="1428">
        <v>44017</v>
      </c>
      <c r="B1484" s="1428">
        <v>44017</v>
      </c>
      <c r="C1484" s="3340" t="s">
        <v>4499</v>
      </c>
      <c r="D1484" s="3341"/>
      <c r="E1484" s="1357">
        <v>1376.55</v>
      </c>
      <c r="F1484" s="1358">
        <v>4</v>
      </c>
      <c r="G1484" s="1359">
        <f t="shared" ref="G1484:G1490" si="259">E1484/F1484</f>
        <v>344.13749999999999</v>
      </c>
      <c r="H1484" s="1247" t="s">
        <v>1525</v>
      </c>
      <c r="I1484" s="1321">
        <f>G1484/2</f>
        <v>172.06874999999999</v>
      </c>
      <c r="J1484" s="1426"/>
      <c r="K1484" s="1281"/>
      <c r="L1484" s="1281"/>
      <c r="N1484" s="1281"/>
    </row>
    <row r="1485" spans="1:14" x14ac:dyDescent="0.25">
      <c r="A1485" s="1428">
        <v>44020</v>
      </c>
      <c r="B1485" s="1428">
        <v>44020</v>
      </c>
      <c r="C1485" s="3352" t="s">
        <v>4500</v>
      </c>
      <c r="D1485" s="3353"/>
      <c r="E1485" s="1429">
        <v>500</v>
      </c>
      <c r="F1485" s="1430">
        <v>3</v>
      </c>
      <c r="G1485" s="1431">
        <f t="shared" si="259"/>
        <v>166.66666666666666</v>
      </c>
      <c r="H1485" s="1247" t="s">
        <v>1522</v>
      </c>
      <c r="I1485" s="1321"/>
      <c r="J1485" s="1426"/>
      <c r="K1485" s="1281"/>
      <c r="L1485" s="1281"/>
      <c r="N1485" s="1281"/>
    </row>
    <row r="1486" spans="1:14" x14ac:dyDescent="0.25">
      <c r="A1486" s="1428">
        <v>44082</v>
      </c>
      <c r="B1486" s="1428">
        <v>44082</v>
      </c>
      <c r="C1486" s="3352" t="s">
        <v>4501</v>
      </c>
      <c r="D1486" s="3353"/>
      <c r="E1486" s="1429">
        <v>96.9</v>
      </c>
      <c r="F1486" s="1430">
        <v>1</v>
      </c>
      <c r="G1486" s="1431">
        <f t="shared" si="259"/>
        <v>96.9</v>
      </c>
      <c r="H1486" s="1247" t="s">
        <v>1491</v>
      </c>
      <c r="I1486" s="1321"/>
      <c r="J1486" s="1426"/>
      <c r="K1486" s="1281"/>
      <c r="L1486" s="1281"/>
      <c r="N1486" s="1281"/>
    </row>
    <row r="1487" spans="1:14" x14ac:dyDescent="0.25">
      <c r="A1487" s="1428">
        <v>44093</v>
      </c>
      <c r="B1487" s="1428">
        <v>44093</v>
      </c>
      <c r="C1487" s="3352" t="s">
        <v>4502</v>
      </c>
      <c r="D1487" s="3353"/>
      <c r="E1487" s="1429">
        <v>85.81</v>
      </c>
      <c r="F1487" s="1430">
        <v>1</v>
      </c>
      <c r="G1487" s="1431">
        <f t="shared" si="259"/>
        <v>85.81</v>
      </c>
      <c r="H1487" s="1247" t="s">
        <v>1491</v>
      </c>
      <c r="I1487" s="1321"/>
      <c r="J1487" s="1426"/>
      <c r="K1487" s="1281"/>
      <c r="L1487" s="1281"/>
      <c r="N1487" s="1281"/>
    </row>
    <row r="1488" spans="1:14" x14ac:dyDescent="0.25">
      <c r="A1488" s="1428">
        <v>44096</v>
      </c>
      <c r="B1488" s="1428">
        <v>44096</v>
      </c>
      <c r="C1488" s="3352" t="s">
        <v>4503</v>
      </c>
      <c r="D1488" s="3353"/>
      <c r="E1488" s="1429">
        <v>25.4</v>
      </c>
      <c r="F1488" s="1430">
        <v>1</v>
      </c>
      <c r="G1488" s="1431">
        <f t="shared" si="259"/>
        <v>25.4</v>
      </c>
      <c r="H1488" s="1247" t="s">
        <v>1506</v>
      </c>
      <c r="I1488" s="1321"/>
      <c r="J1488" s="1426"/>
      <c r="K1488" s="1281"/>
      <c r="L1488" s="1281"/>
      <c r="N1488" s="1281"/>
    </row>
    <row r="1489" spans="1:14" x14ac:dyDescent="0.25">
      <c r="A1489" s="1428">
        <v>44099</v>
      </c>
      <c r="B1489" s="1428">
        <v>44099</v>
      </c>
      <c r="C1489" s="3352" t="s">
        <v>4504</v>
      </c>
      <c r="D1489" s="3353"/>
      <c r="E1489" s="1429">
        <v>35</v>
      </c>
      <c r="F1489" s="1430">
        <v>2</v>
      </c>
      <c r="G1489" s="1431">
        <f t="shared" si="259"/>
        <v>17.5</v>
      </c>
      <c r="H1489" s="1247" t="s">
        <v>1491</v>
      </c>
      <c r="I1489" s="1321"/>
      <c r="J1489" s="1426"/>
      <c r="K1489" s="1281"/>
      <c r="L1489" s="1281"/>
      <c r="N1489" s="1281"/>
    </row>
    <row r="1490" spans="1:14" x14ac:dyDescent="0.25">
      <c r="A1490" s="1428">
        <v>44099</v>
      </c>
      <c r="B1490" s="1428">
        <v>44099</v>
      </c>
      <c r="C1490" s="3352" t="s">
        <v>4505</v>
      </c>
      <c r="D1490" s="3353"/>
      <c r="E1490" s="1429">
        <v>49</v>
      </c>
      <c r="F1490" s="1430">
        <v>2</v>
      </c>
      <c r="G1490" s="1431">
        <f t="shared" si="259"/>
        <v>24.5</v>
      </c>
      <c r="H1490" s="1247" t="s">
        <v>1506</v>
      </c>
      <c r="I1490" s="1321"/>
      <c r="J1490" s="1426"/>
      <c r="K1490" s="1281"/>
      <c r="L1490" s="1281"/>
      <c r="N1490" s="1281"/>
    </row>
    <row r="1491" spans="1:14" ht="15" customHeight="1" x14ac:dyDescent="0.25">
      <c r="A1491" s="1432">
        <v>44071</v>
      </c>
      <c r="B1491" s="1432">
        <v>44071</v>
      </c>
      <c r="C1491" s="3444" t="s">
        <v>4506</v>
      </c>
      <c r="D1491" s="3445"/>
      <c r="E1491" s="1433">
        <v>118.2</v>
      </c>
      <c r="F1491" s="1434">
        <v>1</v>
      </c>
      <c r="G1491" s="1435">
        <v>0</v>
      </c>
      <c r="H1491" s="3446" t="s">
        <v>4507</v>
      </c>
      <c r="I1491" s="1321"/>
      <c r="J1491" s="1426"/>
      <c r="K1491" s="1281"/>
      <c r="L1491" s="1281"/>
      <c r="N1491" s="1281"/>
    </row>
    <row r="1492" spans="1:14" x14ac:dyDescent="0.25">
      <c r="A1492" s="1436">
        <v>44074</v>
      </c>
      <c r="B1492" s="1436">
        <v>44074</v>
      </c>
      <c r="C1492" s="3440" t="s">
        <v>4508</v>
      </c>
      <c r="D1492" s="3441"/>
      <c r="E1492" s="1437">
        <v>105.9</v>
      </c>
      <c r="F1492" s="1438">
        <v>1</v>
      </c>
      <c r="G1492" s="1439">
        <v>0</v>
      </c>
      <c r="H1492" s="3447"/>
      <c r="I1492" s="1321"/>
      <c r="J1492" s="1426"/>
      <c r="K1492" s="1281"/>
      <c r="L1492" s="1281"/>
      <c r="N1492" s="1281"/>
    </row>
    <row r="1493" spans="1:14" ht="15.75" x14ac:dyDescent="0.25">
      <c r="A1493" s="3356" t="s">
        <v>4071</v>
      </c>
      <c r="B1493" s="3357"/>
      <c r="C1493" s="3357"/>
      <c r="D1493" s="3357"/>
      <c r="E1493" s="1396">
        <v>2500</v>
      </c>
      <c r="F1493" s="3366"/>
      <c r="G1493" s="3367"/>
    </row>
    <row r="1494" spans="1:14" ht="15.75" x14ac:dyDescent="0.25">
      <c r="A1494" s="3358" t="s">
        <v>4072</v>
      </c>
      <c r="B1494" s="3359"/>
      <c r="C1494" s="3359"/>
      <c r="D1494" s="3359"/>
      <c r="E1494" s="1397">
        <v>951.45</v>
      </c>
      <c r="F1494" s="3368"/>
      <c r="G1494" s="3369"/>
      <c r="H1494" s="1247" t="s">
        <v>280</v>
      </c>
    </row>
    <row r="1495" spans="1:14" ht="15.75" x14ac:dyDescent="0.25">
      <c r="A1495" s="3356" t="s">
        <v>4073</v>
      </c>
      <c r="B1495" s="3357"/>
      <c r="C1495" s="3357"/>
      <c r="D1495" s="3357"/>
      <c r="E1495" s="1396">
        <f>G1512</f>
        <v>1138.9041666666667</v>
      </c>
      <c r="F1495" s="3368"/>
      <c r="G1495" s="3369"/>
    </row>
    <row r="1496" spans="1:14" ht="15.75" x14ac:dyDescent="0.25">
      <c r="A1496" s="3358" t="s">
        <v>4074</v>
      </c>
      <c r="B1496" s="3359"/>
      <c r="C1496" s="3359"/>
      <c r="D1496" s="3359"/>
      <c r="E1496" s="3359"/>
      <c r="F1496" s="3360"/>
      <c r="G1496" s="1387">
        <f>SUM(G1484:G1492)</f>
        <v>760.91416666666657</v>
      </c>
      <c r="H1496" s="1348">
        <f>G1496-I1484</f>
        <v>588.84541666666655</v>
      </c>
      <c r="I1496" s="1336" t="s">
        <v>4141</v>
      </c>
    </row>
    <row r="1497" spans="1:14" ht="17.25" customHeight="1" thickBot="1" x14ac:dyDescent="0.3">
      <c r="A1497" s="3356" t="s">
        <v>4075</v>
      </c>
      <c r="B1497" s="3357"/>
      <c r="C1497" s="3357"/>
      <c r="D1497" s="3357"/>
      <c r="E1497" s="1388">
        <f>E1493-E1494</f>
        <v>1548.55</v>
      </c>
      <c r="G1497" s="1389"/>
    </row>
    <row r="1498" spans="1:14" ht="16.5" customHeight="1" thickBot="1" x14ac:dyDescent="0.3"/>
    <row r="1499" spans="1:14" ht="19.5" thickBot="1" x14ac:dyDescent="0.35">
      <c r="A1499" s="3361" t="s">
        <v>4509</v>
      </c>
      <c r="B1499" s="3336"/>
      <c r="C1499" s="3336"/>
      <c r="D1499" s="3336"/>
      <c r="E1499" s="3336"/>
      <c r="F1499" s="3336"/>
      <c r="G1499" s="3337"/>
    </row>
    <row r="1500" spans="1:14" ht="16.5" thickBot="1" x14ac:dyDescent="0.3">
      <c r="A1500" s="1361" t="s">
        <v>4206</v>
      </c>
      <c r="B1500" s="1361" t="s">
        <v>4206</v>
      </c>
      <c r="C1500" s="3370" t="s">
        <v>3</v>
      </c>
      <c r="D1500" s="3371"/>
      <c r="E1500" s="1363" t="s">
        <v>4190</v>
      </c>
      <c r="F1500" s="1363" t="s">
        <v>4191</v>
      </c>
      <c r="G1500" s="1364" t="s">
        <v>4207</v>
      </c>
      <c r="I1500" s="1336" t="s">
        <v>4208</v>
      </c>
    </row>
    <row r="1501" spans="1:14" x14ac:dyDescent="0.25">
      <c r="A1501" s="1428">
        <v>44017</v>
      </c>
      <c r="B1501" s="1428">
        <v>44017</v>
      </c>
      <c r="C1501" s="3340" t="s">
        <v>4510</v>
      </c>
      <c r="D1501" s="3341"/>
      <c r="E1501" s="1357">
        <v>1376.55</v>
      </c>
      <c r="F1501" s="1358">
        <v>4</v>
      </c>
      <c r="G1501" s="1359">
        <f>E1501/F1501</f>
        <v>344.13749999999999</v>
      </c>
      <c r="H1501" s="1247" t="s">
        <v>1525</v>
      </c>
      <c r="I1501" s="1321">
        <f>G1501/2</f>
        <v>172.06874999999999</v>
      </c>
      <c r="J1501" s="1426"/>
      <c r="K1501" s="1281"/>
      <c r="L1501" s="1281"/>
      <c r="N1501" s="1281"/>
    </row>
    <row r="1502" spans="1:14" x14ac:dyDescent="0.25">
      <c r="A1502" s="1428">
        <v>44018</v>
      </c>
      <c r="B1502" s="1428">
        <v>44018</v>
      </c>
      <c r="C1502" s="3340" t="s">
        <v>4511</v>
      </c>
      <c r="D1502" s="3341"/>
      <c r="E1502" s="1357">
        <v>650</v>
      </c>
      <c r="F1502" s="1358">
        <v>2</v>
      </c>
      <c r="G1502" s="1359">
        <f>E1502/F1502</f>
        <v>325</v>
      </c>
      <c r="H1502" s="1247" t="s">
        <v>1524</v>
      </c>
      <c r="I1502" s="1321">
        <f>G1502/2</f>
        <v>162.5</v>
      </c>
      <c r="J1502" s="1426"/>
      <c r="K1502" s="1281"/>
      <c r="L1502" s="1281"/>
      <c r="N1502" s="1281"/>
    </row>
    <row r="1503" spans="1:14" x14ac:dyDescent="0.25">
      <c r="A1503" s="1428">
        <v>44020</v>
      </c>
      <c r="B1503" s="1428">
        <v>44020</v>
      </c>
      <c r="C1503" s="3340" t="s">
        <v>4512</v>
      </c>
      <c r="D1503" s="3341"/>
      <c r="E1503" s="1357">
        <v>500</v>
      </c>
      <c r="F1503" s="1358">
        <v>3</v>
      </c>
      <c r="G1503" s="1359">
        <f>E1503/F1503</f>
        <v>166.66666666666666</v>
      </c>
      <c r="H1503" s="1247" t="s">
        <v>1522</v>
      </c>
      <c r="I1503" s="1321"/>
      <c r="J1503" s="1426"/>
      <c r="K1503" s="1281"/>
      <c r="L1503" s="1281"/>
      <c r="N1503" s="1281"/>
    </row>
    <row r="1504" spans="1:14" x14ac:dyDescent="0.25">
      <c r="A1504" s="1428">
        <v>44027</v>
      </c>
      <c r="B1504" s="1428">
        <v>44027</v>
      </c>
      <c r="C1504" s="3340" t="s">
        <v>4513</v>
      </c>
      <c r="D1504" s="3341"/>
      <c r="E1504" s="1357">
        <v>158</v>
      </c>
      <c r="F1504" s="1358">
        <v>2</v>
      </c>
      <c r="G1504" s="1359">
        <f>E1504/F1504</f>
        <v>79</v>
      </c>
      <c r="H1504" s="1247" t="s">
        <v>1489</v>
      </c>
      <c r="I1504" s="1321"/>
      <c r="J1504" s="1426"/>
      <c r="K1504" s="1281"/>
      <c r="L1504" s="1281"/>
      <c r="N1504" s="1281"/>
    </row>
    <row r="1505" spans="1:14" x14ac:dyDescent="0.25">
      <c r="A1505" s="1428"/>
      <c r="B1505" s="1428"/>
      <c r="C1505" s="3397"/>
      <c r="D1505" s="3398"/>
      <c r="E1505" s="1357"/>
      <c r="F1505" s="1358"/>
      <c r="G1505" s="1359"/>
      <c r="I1505" s="1345"/>
      <c r="J1505" s="1427"/>
      <c r="K1505" s="1281"/>
      <c r="L1505" s="1281"/>
      <c r="N1505" s="1281"/>
    </row>
    <row r="1506" spans="1:14" x14ac:dyDescent="0.25">
      <c r="A1506" s="1428"/>
      <c r="B1506" s="1428"/>
      <c r="C1506" s="3442" t="s">
        <v>4514</v>
      </c>
      <c r="D1506" s="3443"/>
      <c r="E1506" s="1357"/>
      <c r="F1506" s="1358"/>
      <c r="G1506" s="1359"/>
      <c r="I1506" s="1345"/>
      <c r="J1506" s="1427"/>
      <c r="K1506" s="1281"/>
      <c r="L1506" s="1281"/>
      <c r="N1506" s="1281"/>
    </row>
    <row r="1507" spans="1:14" x14ac:dyDescent="0.25">
      <c r="A1507" s="1428">
        <v>44071</v>
      </c>
      <c r="B1507" s="1428">
        <v>44071</v>
      </c>
      <c r="C1507" s="3340" t="s">
        <v>4506</v>
      </c>
      <c r="D1507" s="3341"/>
      <c r="E1507" s="1357">
        <v>118.2</v>
      </c>
      <c r="F1507" s="1358">
        <v>1</v>
      </c>
      <c r="G1507" s="1359">
        <f>E1507/F1507</f>
        <v>118.2</v>
      </c>
      <c r="H1507" s="1247" t="s">
        <v>2315</v>
      </c>
      <c r="I1507" s="1345"/>
      <c r="J1507" s="1427"/>
      <c r="K1507" s="1281"/>
      <c r="L1507" s="1281"/>
      <c r="N1507" s="1281"/>
    </row>
    <row r="1508" spans="1:14" x14ac:dyDescent="0.25">
      <c r="A1508" s="1428">
        <v>44074</v>
      </c>
      <c r="B1508" s="1428">
        <v>44074</v>
      </c>
      <c r="C1508" s="3340" t="s">
        <v>4508</v>
      </c>
      <c r="D1508" s="3341"/>
      <c r="E1508" s="1357">
        <v>105.9</v>
      </c>
      <c r="F1508" s="1358">
        <v>1</v>
      </c>
      <c r="G1508" s="1359">
        <f>E1508/F1508</f>
        <v>105.9</v>
      </c>
      <c r="H1508" s="1247" t="s">
        <v>1496</v>
      </c>
      <c r="I1508" s="1345"/>
      <c r="J1508" s="1427"/>
      <c r="K1508" s="1281"/>
      <c r="L1508" s="1281"/>
      <c r="N1508" s="1281"/>
    </row>
    <row r="1509" spans="1:14" ht="15.75" x14ac:dyDescent="0.25">
      <c r="A1509" s="3356" t="s">
        <v>4071</v>
      </c>
      <c r="B1509" s="3357"/>
      <c r="C1509" s="3357"/>
      <c r="D1509" s="3357"/>
      <c r="E1509" s="1396">
        <v>2937</v>
      </c>
      <c r="F1509" s="3366"/>
      <c r="G1509" s="3367"/>
    </row>
    <row r="1510" spans="1:14" ht="15.75" x14ac:dyDescent="0.25">
      <c r="A1510" s="3358" t="s">
        <v>4072</v>
      </c>
      <c r="B1510" s="3359"/>
      <c r="C1510" s="3359"/>
      <c r="D1510" s="3359"/>
      <c r="E1510" s="1397">
        <v>1993.86</v>
      </c>
      <c r="F1510" s="3368"/>
      <c r="G1510" s="3369"/>
      <c r="H1510" s="1247" t="s">
        <v>280</v>
      </c>
    </row>
    <row r="1511" spans="1:14" ht="15.75" x14ac:dyDescent="0.25">
      <c r="A1511" s="3356" t="s">
        <v>4073</v>
      </c>
      <c r="B1511" s="3357"/>
      <c r="C1511" s="3357"/>
      <c r="D1511" s="3357"/>
      <c r="E1511" s="1396">
        <f>G1529</f>
        <v>981.4041666666667</v>
      </c>
      <c r="F1511" s="3368"/>
      <c r="G1511" s="3369"/>
    </row>
    <row r="1512" spans="1:14" ht="15.75" x14ac:dyDescent="0.25">
      <c r="A1512" s="3358" t="s">
        <v>4074</v>
      </c>
      <c r="B1512" s="3359"/>
      <c r="C1512" s="3359"/>
      <c r="D1512" s="3359"/>
      <c r="E1512" s="3359"/>
      <c r="F1512" s="3360"/>
      <c r="G1512" s="1387">
        <f>SUM(G1501:G1508)</f>
        <v>1138.9041666666667</v>
      </c>
      <c r="H1512" s="1348">
        <f>SUM(G1501:G1508)-I1501-I1502</f>
        <v>804.33541666666667</v>
      </c>
      <c r="I1512" s="1336" t="s">
        <v>4141</v>
      </c>
    </row>
    <row r="1513" spans="1:14" ht="17.25" customHeight="1" thickBot="1" x14ac:dyDescent="0.3">
      <c r="A1513" s="3356" t="s">
        <v>4075</v>
      </c>
      <c r="B1513" s="3357"/>
      <c r="C1513" s="3357"/>
      <c r="D1513" s="3357"/>
      <c r="E1513" s="1388">
        <f>E1509-E1510</f>
        <v>943.1400000000001</v>
      </c>
      <c r="G1513" s="1389"/>
    </row>
    <row r="1514" spans="1:14" ht="16.5" customHeight="1" thickBot="1" x14ac:dyDescent="0.3"/>
    <row r="1515" spans="1:14" ht="19.5" thickBot="1" x14ac:dyDescent="0.35">
      <c r="A1515" s="3361" t="s">
        <v>4515</v>
      </c>
      <c r="B1515" s="3336"/>
      <c r="C1515" s="3336"/>
      <c r="D1515" s="3336"/>
      <c r="E1515" s="3336"/>
      <c r="F1515" s="3336"/>
      <c r="G1515" s="3337"/>
    </row>
    <row r="1516" spans="1:14" ht="16.5" thickBot="1" x14ac:dyDescent="0.3">
      <c r="A1516" s="1440" t="s">
        <v>4206</v>
      </c>
      <c r="B1516" s="1440" t="s">
        <v>4206</v>
      </c>
      <c r="C1516" s="3431" t="s">
        <v>3</v>
      </c>
      <c r="D1516" s="3432"/>
      <c r="E1516" s="1441" t="s">
        <v>4190</v>
      </c>
      <c r="F1516" s="1441" t="s">
        <v>4191</v>
      </c>
      <c r="G1516" s="1364" t="s">
        <v>4207</v>
      </c>
      <c r="I1516" s="1336" t="s">
        <v>4208</v>
      </c>
    </row>
    <row r="1517" spans="1:14" x14ac:dyDescent="0.25">
      <c r="A1517" s="1432">
        <v>43753</v>
      </c>
      <c r="B1517" s="1432">
        <v>43753</v>
      </c>
      <c r="C1517" s="3433" t="s">
        <v>4516</v>
      </c>
      <c r="D1517" s="3434"/>
      <c r="E1517" s="1433">
        <v>1649</v>
      </c>
      <c r="F1517" s="1434">
        <v>10</v>
      </c>
      <c r="G1517" s="1435">
        <v>0</v>
      </c>
      <c r="H1517" s="3435" t="s">
        <v>4517</v>
      </c>
      <c r="J1517" s="1427"/>
      <c r="K1517" s="1281"/>
      <c r="L1517" s="1281"/>
      <c r="N1517" s="1281"/>
    </row>
    <row r="1518" spans="1:14" x14ac:dyDescent="0.25">
      <c r="A1518" s="1442">
        <v>43991</v>
      </c>
      <c r="B1518" s="1442">
        <v>43991</v>
      </c>
      <c r="C1518" s="3438" t="s">
        <v>4518</v>
      </c>
      <c r="D1518" s="3439"/>
      <c r="E1518" s="1443">
        <v>77.799999999999983</v>
      </c>
      <c r="F1518" s="1444">
        <v>2</v>
      </c>
      <c r="G1518" s="1445">
        <v>0</v>
      </c>
      <c r="H1518" s="3436"/>
      <c r="I1518" s="1321"/>
      <c r="J1518" s="1426"/>
      <c r="K1518" s="1281"/>
      <c r="L1518" s="1281"/>
      <c r="N1518" s="1281"/>
    </row>
    <row r="1519" spans="1:14" x14ac:dyDescent="0.25">
      <c r="A1519" s="1442">
        <v>44011</v>
      </c>
      <c r="B1519" s="1442">
        <v>44011</v>
      </c>
      <c r="C1519" s="3438" t="s">
        <v>4519</v>
      </c>
      <c r="D1519" s="3439"/>
      <c r="E1519" s="1443">
        <v>76.150000000000006</v>
      </c>
      <c r="F1519" s="1444">
        <v>1</v>
      </c>
      <c r="G1519" s="1445">
        <v>0</v>
      </c>
      <c r="H1519" s="3436"/>
      <c r="I1519" s="1321"/>
      <c r="J1519" s="1426"/>
      <c r="K1519" s="1281"/>
      <c r="L1519" s="1281"/>
      <c r="N1519" s="1281"/>
    </row>
    <row r="1520" spans="1:14" x14ac:dyDescent="0.25">
      <c r="A1520" s="1436">
        <v>44011</v>
      </c>
      <c r="B1520" s="1436">
        <v>44011</v>
      </c>
      <c r="C1520" s="3440" t="s">
        <v>4520</v>
      </c>
      <c r="D1520" s="3441"/>
      <c r="E1520" s="1437">
        <v>40</v>
      </c>
      <c r="F1520" s="1438">
        <v>1</v>
      </c>
      <c r="G1520" s="1439">
        <v>0</v>
      </c>
      <c r="H1520" s="3437"/>
      <c r="I1520" s="1321"/>
      <c r="J1520" s="1426"/>
      <c r="K1520" s="1281"/>
      <c r="L1520" s="1281"/>
      <c r="N1520" s="1281"/>
    </row>
    <row r="1521" spans="1:14" x14ac:dyDescent="0.25">
      <c r="A1521" s="1402">
        <v>44017</v>
      </c>
      <c r="B1521" s="1402">
        <v>44017</v>
      </c>
      <c r="C1521" s="3354" t="s">
        <v>4521</v>
      </c>
      <c r="D1521" s="3355"/>
      <c r="E1521" s="1372">
        <v>1376.55</v>
      </c>
      <c r="F1521" s="1373">
        <v>4</v>
      </c>
      <c r="G1521" s="1374">
        <f>E1521/F1521</f>
        <v>344.13749999999999</v>
      </c>
      <c r="H1521" s="1247" t="s">
        <v>1525</v>
      </c>
      <c r="I1521" s="1321">
        <f>G1521/2</f>
        <v>172.06874999999999</v>
      </c>
      <c r="J1521" s="1426"/>
      <c r="K1521" s="1281"/>
      <c r="L1521" s="1281"/>
      <c r="N1521" s="1281"/>
    </row>
    <row r="1522" spans="1:14" x14ac:dyDescent="0.25">
      <c r="A1522" s="1428">
        <v>44018</v>
      </c>
      <c r="B1522" s="1428">
        <v>44018</v>
      </c>
      <c r="C1522" s="3340" t="s">
        <v>4522</v>
      </c>
      <c r="D1522" s="3341"/>
      <c r="E1522" s="1357">
        <v>650</v>
      </c>
      <c r="F1522" s="1358">
        <v>2</v>
      </c>
      <c r="G1522" s="1359">
        <f>E1522/F1522</f>
        <v>325</v>
      </c>
      <c r="H1522" s="1247" t="s">
        <v>1524</v>
      </c>
      <c r="I1522" s="1321">
        <f>G1522/2</f>
        <v>162.5</v>
      </c>
      <c r="J1522" s="1426"/>
      <c r="K1522" s="1281"/>
      <c r="L1522" s="1281"/>
      <c r="N1522" s="1281"/>
    </row>
    <row r="1523" spans="1:14" x14ac:dyDescent="0.25">
      <c r="A1523" s="1428">
        <v>44021</v>
      </c>
      <c r="B1523" s="1428">
        <v>44021</v>
      </c>
      <c r="C1523" s="3340" t="s">
        <v>4523</v>
      </c>
      <c r="D1523" s="3341"/>
      <c r="E1523" s="1357">
        <v>66</v>
      </c>
      <c r="F1523" s="1358">
        <v>1</v>
      </c>
      <c r="G1523" s="1359">
        <v>66.599999999999994</v>
      </c>
      <c r="H1523" s="1247" t="s">
        <v>1524</v>
      </c>
      <c r="I1523" s="1321">
        <f>G1523/2</f>
        <v>33.299999999999997</v>
      </c>
      <c r="J1523" s="1426"/>
      <c r="K1523" s="1281"/>
      <c r="L1523" s="1281"/>
      <c r="N1523" s="1281"/>
    </row>
    <row r="1524" spans="1:14" x14ac:dyDescent="0.25">
      <c r="A1524" s="1428">
        <v>44020</v>
      </c>
      <c r="B1524" s="1428">
        <v>44020</v>
      </c>
      <c r="C1524" s="3340" t="s">
        <v>4524</v>
      </c>
      <c r="D1524" s="3341"/>
      <c r="E1524" s="1357">
        <v>500</v>
      </c>
      <c r="F1524" s="1358">
        <v>3</v>
      </c>
      <c r="G1524" s="1359">
        <f>E1524/F1524</f>
        <v>166.66666666666666</v>
      </c>
      <c r="H1524" s="1247" t="s">
        <v>1522</v>
      </c>
      <c r="I1524" s="1321"/>
      <c r="J1524" s="1426"/>
      <c r="K1524" s="1281"/>
      <c r="L1524" s="1281"/>
      <c r="N1524" s="1281"/>
    </row>
    <row r="1525" spans="1:14" x14ac:dyDescent="0.25">
      <c r="A1525" s="1428">
        <v>44027</v>
      </c>
      <c r="B1525" s="1428">
        <v>44027</v>
      </c>
      <c r="C1525" s="3340" t="s">
        <v>4525</v>
      </c>
      <c r="D1525" s="3341"/>
      <c r="E1525" s="1357">
        <v>158</v>
      </c>
      <c r="F1525" s="1358">
        <v>2</v>
      </c>
      <c r="G1525" s="1359">
        <f>E1525/F1525</f>
        <v>79</v>
      </c>
      <c r="H1525" s="1247" t="s">
        <v>1489</v>
      </c>
      <c r="I1525" s="1321"/>
      <c r="J1525" s="1426"/>
      <c r="K1525" s="1281"/>
      <c r="L1525" s="1281"/>
      <c r="N1525" s="1281"/>
    </row>
    <row r="1526" spans="1:14" ht="15.75" x14ac:dyDescent="0.25">
      <c r="A1526" s="3356" t="s">
        <v>4071</v>
      </c>
      <c r="B1526" s="3357"/>
      <c r="C1526" s="3357"/>
      <c r="D1526" s="3357"/>
      <c r="E1526" s="1396">
        <v>2937</v>
      </c>
      <c r="F1526" s="3366"/>
      <c r="G1526" s="3367"/>
    </row>
    <row r="1527" spans="1:14" ht="15.75" x14ac:dyDescent="0.25">
      <c r="A1527" s="3358" t="s">
        <v>4072</v>
      </c>
      <c r="B1527" s="3359"/>
      <c r="C1527" s="3359"/>
      <c r="D1527" s="3359"/>
      <c r="E1527" s="1397">
        <v>2346.5</v>
      </c>
      <c r="F1527" s="3368"/>
      <c r="G1527" s="3369"/>
      <c r="H1527" s="1247" t="s">
        <v>280</v>
      </c>
    </row>
    <row r="1528" spans="1:14" ht="15.75" x14ac:dyDescent="0.25">
      <c r="A1528" s="3356" t="s">
        <v>4073</v>
      </c>
      <c r="B1528" s="3357"/>
      <c r="C1528" s="3357"/>
      <c r="D1528" s="3357"/>
      <c r="E1528" s="1396">
        <v>258</v>
      </c>
      <c r="F1528" s="3368"/>
      <c r="G1528" s="3369"/>
    </row>
    <row r="1529" spans="1:14" ht="15.75" x14ac:dyDescent="0.25">
      <c r="A1529" s="3358" t="s">
        <v>4074</v>
      </c>
      <c r="B1529" s="3359"/>
      <c r="C1529" s="3359"/>
      <c r="D1529" s="3359"/>
      <c r="E1529" s="3359"/>
      <c r="F1529" s="3360"/>
      <c r="G1529" s="1387">
        <f>SUM(G1517:G1525)</f>
        <v>981.4041666666667</v>
      </c>
      <c r="H1529" s="1348">
        <f>G1524+G1525+I1521+I1522+I1523</f>
        <v>613.53541666666661</v>
      </c>
      <c r="I1529" s="1336" t="s">
        <v>4141</v>
      </c>
    </row>
    <row r="1530" spans="1:14" ht="17.25" customHeight="1" thickBot="1" x14ac:dyDescent="0.3">
      <c r="A1530" s="3356" t="s">
        <v>4075</v>
      </c>
      <c r="B1530" s="3357"/>
      <c r="C1530" s="3357"/>
      <c r="D1530" s="3357"/>
      <c r="E1530" s="1388">
        <f>E1526-E1527</f>
        <v>590.5</v>
      </c>
      <c r="G1530" s="1389"/>
    </row>
    <row r="1531" spans="1:14" ht="16.5" customHeight="1" thickBot="1" x14ac:dyDescent="0.3"/>
    <row r="1532" spans="1:14" ht="19.5" thickBot="1" x14ac:dyDescent="0.35">
      <c r="A1532" s="3361" t="s">
        <v>4526</v>
      </c>
      <c r="B1532" s="3336"/>
      <c r="C1532" s="3336"/>
      <c r="D1532" s="3336"/>
      <c r="E1532" s="3336"/>
      <c r="F1532" s="3336"/>
      <c r="G1532" s="3337"/>
    </row>
    <row r="1533" spans="1:14" ht="16.5" thickBot="1" x14ac:dyDescent="0.3">
      <c r="A1533" s="1361" t="s">
        <v>4206</v>
      </c>
      <c r="B1533" s="1361" t="s">
        <v>4206</v>
      </c>
      <c r="C1533" s="3370" t="s">
        <v>3</v>
      </c>
      <c r="D1533" s="3371"/>
      <c r="E1533" s="1363" t="s">
        <v>4190</v>
      </c>
      <c r="F1533" s="1363" t="s">
        <v>4191</v>
      </c>
      <c r="G1533" s="1364" t="s">
        <v>4207</v>
      </c>
    </row>
    <row r="1534" spans="1:14" x14ac:dyDescent="0.25">
      <c r="A1534" s="1428">
        <v>43753</v>
      </c>
      <c r="B1534" s="1428">
        <v>43753</v>
      </c>
      <c r="C1534" s="3374" t="s">
        <v>4527</v>
      </c>
      <c r="D1534" s="3375"/>
      <c r="E1534" s="1357">
        <v>1649</v>
      </c>
      <c r="F1534" s="1358">
        <v>10</v>
      </c>
      <c r="G1534" s="1359">
        <f>E1534/F1534</f>
        <v>164.9</v>
      </c>
      <c r="H1534" s="1247" t="s">
        <v>1525</v>
      </c>
      <c r="J1534" s="1427"/>
      <c r="K1534" s="1281"/>
      <c r="L1534" s="1281"/>
      <c r="N1534" s="1281"/>
    </row>
    <row r="1535" spans="1:14" x14ac:dyDescent="0.25">
      <c r="A1535" s="1428">
        <v>43900</v>
      </c>
      <c r="B1535" s="1428">
        <v>43900</v>
      </c>
      <c r="C1535" s="3340" t="s">
        <v>4528</v>
      </c>
      <c r="D1535" s="3341"/>
      <c r="E1535" s="1357">
        <v>96</v>
      </c>
      <c r="F1535" s="1358">
        <v>4</v>
      </c>
      <c r="G1535" s="1359">
        <f>E1535/F1535</f>
        <v>24</v>
      </c>
      <c r="H1535" s="1247" t="s">
        <v>1496</v>
      </c>
      <c r="I1535" s="1321"/>
      <c r="J1535" s="1427"/>
      <c r="K1535" s="1281"/>
      <c r="L1535" s="1281"/>
      <c r="N1535" s="1281"/>
    </row>
    <row r="1536" spans="1:14" x14ac:dyDescent="0.25">
      <c r="A1536" s="1428">
        <v>43991</v>
      </c>
      <c r="B1536" s="1428">
        <v>43991</v>
      </c>
      <c r="C1536" s="3340" t="s">
        <v>4529</v>
      </c>
      <c r="D1536" s="3341"/>
      <c r="E1536" s="1357">
        <v>77.799999999999983</v>
      </c>
      <c r="F1536" s="1358">
        <v>2</v>
      </c>
      <c r="G1536" s="1359">
        <f>E1536/F1536</f>
        <v>38.899999999999991</v>
      </c>
      <c r="H1536" s="1247" t="s">
        <v>1525</v>
      </c>
      <c r="I1536" s="1321"/>
      <c r="J1536" s="1426"/>
      <c r="K1536" s="1281"/>
      <c r="L1536" s="1281"/>
      <c r="N1536" s="1281"/>
    </row>
    <row r="1537" spans="1:14" x14ac:dyDescent="0.25">
      <c r="A1537" s="1428">
        <v>44000</v>
      </c>
      <c r="B1537" s="1428">
        <v>44000</v>
      </c>
      <c r="C1537" s="3340" t="s">
        <v>4530</v>
      </c>
      <c r="D1537" s="3341"/>
      <c r="E1537" s="1357">
        <v>30</v>
      </c>
      <c r="F1537" s="1358">
        <v>1</v>
      </c>
      <c r="G1537" s="1359">
        <f>E1537/F1537</f>
        <v>30</v>
      </c>
      <c r="H1537" s="1247" t="s">
        <v>1489</v>
      </c>
      <c r="I1537" s="1321"/>
      <c r="J1537" s="1426"/>
      <c r="K1537" s="1281"/>
      <c r="L1537" s="1281"/>
      <c r="N1537" s="1281"/>
    </row>
    <row r="1538" spans="1:14" x14ac:dyDescent="0.25">
      <c r="A1538" s="1428"/>
      <c r="B1538" s="1428"/>
      <c r="C1538" s="3374"/>
      <c r="D1538" s="3375"/>
      <c r="E1538" s="3427" t="s">
        <v>4531</v>
      </c>
      <c r="F1538" s="3428"/>
      <c r="G1538" s="1446">
        <f>SUM(G1534:G1537)</f>
        <v>257.8</v>
      </c>
      <c r="J1538" s="1427"/>
      <c r="K1538" s="1281"/>
      <c r="L1538" s="1281"/>
      <c r="N1538" s="1281"/>
    </row>
    <row r="1539" spans="1:14" x14ac:dyDescent="0.25">
      <c r="A1539" s="1428"/>
      <c r="B1539" s="1428"/>
      <c r="C1539" s="3429" t="s">
        <v>4514</v>
      </c>
      <c r="D1539" s="3430"/>
      <c r="E1539" s="1357"/>
      <c r="F1539" s="1358"/>
      <c r="G1539" s="1359"/>
      <c r="J1539" s="1427"/>
      <c r="K1539" s="1281"/>
      <c r="L1539" s="1281"/>
      <c r="N1539" s="1281"/>
    </row>
    <row r="1540" spans="1:14" x14ac:dyDescent="0.25">
      <c r="A1540" s="1428">
        <v>43753</v>
      </c>
      <c r="B1540" s="1428">
        <v>43753</v>
      </c>
      <c r="C1540" s="3374" t="s">
        <v>4516</v>
      </c>
      <c r="D1540" s="3375"/>
      <c r="E1540" s="1357">
        <v>1649</v>
      </c>
      <c r="F1540" s="1358">
        <v>10</v>
      </c>
      <c r="G1540" s="1359">
        <f>E1540/F1540</f>
        <v>164.9</v>
      </c>
      <c r="H1540" s="1247" t="s">
        <v>1525</v>
      </c>
      <c r="J1540" s="1427"/>
      <c r="K1540" s="1281"/>
      <c r="L1540" s="1281"/>
      <c r="N1540" s="1281"/>
    </row>
    <row r="1541" spans="1:14" x14ac:dyDescent="0.25">
      <c r="A1541" s="1428">
        <v>43991</v>
      </c>
      <c r="B1541" s="1428">
        <v>43991</v>
      </c>
      <c r="C1541" s="3340" t="s">
        <v>4518</v>
      </c>
      <c r="D1541" s="3341"/>
      <c r="E1541" s="1357">
        <v>77.799999999999983</v>
      </c>
      <c r="F1541" s="1358">
        <v>2</v>
      </c>
      <c r="G1541" s="1359">
        <f>E1541/F1541</f>
        <v>38.899999999999991</v>
      </c>
      <c r="H1541" s="1247" t="s">
        <v>1525</v>
      </c>
      <c r="I1541" s="1321"/>
      <c r="J1541" s="1426"/>
      <c r="K1541" s="1281"/>
      <c r="L1541" s="1281"/>
      <c r="N1541" s="1281"/>
    </row>
    <row r="1542" spans="1:14" x14ac:dyDescent="0.25">
      <c r="A1542" s="1428">
        <v>44011</v>
      </c>
      <c r="B1542" s="1428">
        <v>44011</v>
      </c>
      <c r="C1542" s="3340" t="s">
        <v>4519</v>
      </c>
      <c r="D1542" s="3341"/>
      <c r="E1542" s="1357">
        <v>76.150000000000006</v>
      </c>
      <c r="F1542" s="1358">
        <v>1</v>
      </c>
      <c r="G1542" s="1359">
        <f>E1542/F1542</f>
        <v>76.150000000000006</v>
      </c>
      <c r="H1542" s="1247" t="s">
        <v>2131</v>
      </c>
      <c r="I1542" s="1321"/>
      <c r="J1542" s="1426"/>
      <c r="K1542" s="1281"/>
      <c r="L1542" s="1281"/>
      <c r="N1542" s="1281"/>
    </row>
    <row r="1543" spans="1:14" x14ac:dyDescent="0.25">
      <c r="A1543" s="1428">
        <v>44011</v>
      </c>
      <c r="B1543" s="1428">
        <v>44011</v>
      </c>
      <c r="C1543" s="3340" t="s">
        <v>4520</v>
      </c>
      <c r="D1543" s="3341"/>
      <c r="E1543" s="1357">
        <v>40</v>
      </c>
      <c r="F1543" s="1358">
        <v>1</v>
      </c>
      <c r="G1543" s="1359">
        <f>E1543/F1543</f>
        <v>40</v>
      </c>
      <c r="H1543" s="1247" t="s">
        <v>1491</v>
      </c>
      <c r="I1543" s="1321"/>
      <c r="J1543" s="1426"/>
      <c r="K1543" s="1281"/>
      <c r="L1543" s="1281"/>
      <c r="N1543" s="1281"/>
    </row>
    <row r="1544" spans="1:14" x14ac:dyDescent="0.25">
      <c r="A1544" s="1428"/>
      <c r="B1544" s="1428"/>
      <c r="C1544" s="3340"/>
      <c r="D1544" s="3341"/>
      <c r="E1544" s="3427" t="s">
        <v>4517</v>
      </c>
      <c r="F1544" s="3428"/>
      <c r="G1544" s="1446">
        <f>SUM(G1540:G1543)</f>
        <v>319.95000000000005</v>
      </c>
      <c r="I1544" s="1321"/>
      <c r="J1544" s="1426"/>
      <c r="K1544" s="1281"/>
      <c r="L1544" s="1281"/>
      <c r="N1544" s="1281"/>
    </row>
    <row r="1545" spans="1:14" x14ac:dyDescent="0.25">
      <c r="A1545" s="1428"/>
      <c r="B1545" s="1428"/>
      <c r="C1545" s="3397"/>
      <c r="D1545" s="3398"/>
      <c r="E1545" s="1357"/>
      <c r="F1545" s="1358"/>
      <c r="G1545" s="1359"/>
      <c r="I1545" s="1321"/>
      <c r="J1545" s="1427"/>
      <c r="K1545" s="1281"/>
      <c r="L1545" s="1281"/>
      <c r="N1545" s="1281"/>
    </row>
    <row r="1546" spans="1:14" ht="15.75" x14ac:dyDescent="0.25">
      <c r="A1546" s="3356" t="s">
        <v>4071</v>
      </c>
      <c r="B1546" s="3357"/>
      <c r="C1546" s="3357"/>
      <c r="D1546" s="3357"/>
      <c r="E1546" s="1396">
        <v>2937</v>
      </c>
      <c r="F1546" s="3366"/>
      <c r="G1546" s="3367"/>
      <c r="I1546" s="1345"/>
    </row>
    <row r="1547" spans="1:14" ht="15.75" x14ac:dyDescent="0.25">
      <c r="A1547" s="3358" t="s">
        <v>4072</v>
      </c>
      <c r="B1547" s="3359"/>
      <c r="C1547" s="3359"/>
      <c r="D1547" s="3359"/>
      <c r="E1547" s="1397">
        <v>461.6</v>
      </c>
      <c r="F1547" s="3368"/>
      <c r="G1547" s="3369"/>
      <c r="H1547" s="1247" t="s">
        <v>280</v>
      </c>
    </row>
    <row r="1548" spans="1:14" ht="15.75" x14ac:dyDescent="0.25">
      <c r="A1548" s="3356" t="s">
        <v>4073</v>
      </c>
      <c r="B1548" s="3357"/>
      <c r="C1548" s="3357"/>
      <c r="D1548" s="3357"/>
      <c r="E1548" s="1396">
        <v>369.7</v>
      </c>
      <c r="F1548" s="3368"/>
      <c r="G1548" s="3369"/>
    </row>
    <row r="1549" spans="1:14" ht="15.75" x14ac:dyDescent="0.25">
      <c r="A1549" s="3358" t="s">
        <v>4074</v>
      </c>
      <c r="B1549" s="3359"/>
      <c r="C1549" s="3359"/>
      <c r="D1549" s="3359"/>
      <c r="E1549" s="3359"/>
      <c r="F1549" s="3360"/>
      <c r="G1549" s="1387">
        <f>G1538+G1544</f>
        <v>577.75</v>
      </c>
      <c r="H1549" s="1348"/>
    </row>
    <row r="1550" spans="1:14" ht="17.25" customHeight="1" thickBot="1" x14ac:dyDescent="0.3">
      <c r="A1550" s="3356" t="s">
        <v>4075</v>
      </c>
      <c r="B1550" s="3357"/>
      <c r="C1550" s="3357"/>
      <c r="D1550" s="3357"/>
      <c r="E1550" s="1388">
        <f>E1546-E1547</f>
        <v>2475.4</v>
      </c>
      <c r="G1550" s="1389"/>
    </row>
    <row r="1551" spans="1:14" ht="16.5" customHeight="1" thickBot="1" x14ac:dyDescent="0.3"/>
    <row r="1552" spans="1:14" ht="19.5" thickBot="1" x14ac:dyDescent="0.35">
      <c r="A1552" s="3361" t="s">
        <v>4532</v>
      </c>
      <c r="B1552" s="3336"/>
      <c r="C1552" s="3336"/>
      <c r="D1552" s="3336"/>
      <c r="E1552" s="3336"/>
      <c r="F1552" s="3336"/>
      <c r="G1552" s="3337"/>
    </row>
    <row r="1553" spans="1:14" ht="16.5" thickBot="1" x14ac:dyDescent="0.3">
      <c r="A1553" s="1361" t="s">
        <v>4206</v>
      </c>
      <c r="B1553" s="1361" t="s">
        <v>4206</v>
      </c>
      <c r="C1553" s="3370" t="s">
        <v>3</v>
      </c>
      <c r="D1553" s="3371"/>
      <c r="E1553" s="1363" t="s">
        <v>4190</v>
      </c>
      <c r="F1553" s="1363" t="s">
        <v>4191</v>
      </c>
      <c r="G1553" s="1364" t="s">
        <v>382</v>
      </c>
      <c r="I1553" s="1336" t="s">
        <v>4208</v>
      </c>
    </row>
    <row r="1554" spans="1:14" x14ac:dyDescent="0.25">
      <c r="A1554" s="1428">
        <v>43753</v>
      </c>
      <c r="B1554" s="1428">
        <v>43753</v>
      </c>
      <c r="C1554" s="3374" t="s">
        <v>4533</v>
      </c>
      <c r="D1554" s="3375"/>
      <c r="E1554" s="1357">
        <v>1649</v>
      </c>
      <c r="F1554" s="1358">
        <v>10</v>
      </c>
      <c r="G1554" s="1359">
        <f>E1554/F1554</f>
        <v>164.9</v>
      </c>
      <c r="H1554" s="1247" t="s">
        <v>1525</v>
      </c>
      <c r="J1554" s="1427"/>
      <c r="K1554" s="1281"/>
      <c r="L1554" s="1281"/>
      <c r="N1554" s="1281"/>
    </row>
    <row r="1555" spans="1:14" x14ac:dyDescent="0.25">
      <c r="A1555" s="1428">
        <v>43900</v>
      </c>
      <c r="B1555" s="1428">
        <v>43900</v>
      </c>
      <c r="C1555" s="3340" t="s">
        <v>4534</v>
      </c>
      <c r="D1555" s="3341"/>
      <c r="E1555" s="1357">
        <v>96</v>
      </c>
      <c r="F1555" s="1358">
        <v>4</v>
      </c>
      <c r="G1555" s="1359">
        <f>E1555/F1555</f>
        <v>24</v>
      </c>
      <c r="H1555" s="1247" t="s">
        <v>1496</v>
      </c>
      <c r="I1555" s="1321"/>
      <c r="J1555" s="1427"/>
      <c r="K1555" s="1281"/>
      <c r="L1555" s="1281"/>
      <c r="N1555" s="1281"/>
    </row>
    <row r="1556" spans="1:14" x14ac:dyDescent="0.25">
      <c r="A1556" s="1428">
        <v>43914</v>
      </c>
      <c r="B1556" s="1428">
        <v>43914</v>
      </c>
      <c r="C1556" s="3340" t="s">
        <v>4535</v>
      </c>
      <c r="D1556" s="3341"/>
      <c r="E1556" s="1357">
        <v>179</v>
      </c>
      <c r="F1556" s="1358">
        <v>3</v>
      </c>
      <c r="G1556" s="1359">
        <f>E1556/F1556</f>
        <v>59.666666666666664</v>
      </c>
      <c r="H1556" s="1247" t="s">
        <v>1496</v>
      </c>
      <c r="I1556" s="1321"/>
      <c r="J1556" s="1427"/>
      <c r="K1556" s="1281"/>
      <c r="L1556" s="1281"/>
      <c r="N1556" s="1281"/>
    </row>
    <row r="1557" spans="1:14" x14ac:dyDescent="0.25">
      <c r="A1557" s="1428">
        <v>43934</v>
      </c>
      <c r="B1557" s="1428">
        <v>43934</v>
      </c>
      <c r="C1557" s="3340" t="s">
        <v>4536</v>
      </c>
      <c r="D1557" s="3341"/>
      <c r="E1557" s="1357">
        <v>363.39</v>
      </c>
      <c r="F1557" s="1358">
        <v>3</v>
      </c>
      <c r="G1557" s="1359">
        <f>E1557/F1557</f>
        <v>121.13</v>
      </c>
      <c r="I1557" s="1321">
        <v>121.13</v>
      </c>
      <c r="J1557" s="1426"/>
      <c r="K1557" s="1281"/>
      <c r="L1557" s="1281"/>
      <c r="N1557" s="1281"/>
    </row>
    <row r="1558" spans="1:14" ht="15.75" x14ac:dyDescent="0.25">
      <c r="A1558" s="3356" t="s">
        <v>4071</v>
      </c>
      <c r="B1558" s="3357"/>
      <c r="C1558" s="3357"/>
      <c r="D1558" s="3357"/>
      <c r="E1558" s="1396">
        <v>2937</v>
      </c>
      <c r="F1558" s="3366"/>
      <c r="G1558" s="3367"/>
      <c r="I1558" s="1345"/>
    </row>
    <row r="1559" spans="1:14" ht="15.75" x14ac:dyDescent="0.25">
      <c r="A1559" s="3358" t="s">
        <v>4072</v>
      </c>
      <c r="B1559" s="3359"/>
      <c r="C1559" s="3359"/>
      <c r="D1559" s="3359"/>
      <c r="E1559" s="1397">
        <v>844.63</v>
      </c>
      <c r="F1559" s="3368"/>
      <c r="G1559" s="3369"/>
      <c r="H1559" s="1247" t="s">
        <v>280</v>
      </c>
    </row>
    <row r="1560" spans="1:14" ht="15.75" x14ac:dyDescent="0.25">
      <c r="A1560" s="3356" t="s">
        <v>4073</v>
      </c>
      <c r="B1560" s="3357"/>
      <c r="C1560" s="3357"/>
      <c r="D1560" s="3357"/>
      <c r="E1560" s="1396">
        <v>1228.18</v>
      </c>
      <c r="F1560" s="3368"/>
      <c r="G1560" s="3369"/>
    </row>
    <row r="1561" spans="1:14" ht="15.75" x14ac:dyDescent="0.25">
      <c r="A1561" s="3358" t="s">
        <v>4074</v>
      </c>
      <c r="B1561" s="3359"/>
      <c r="C1561" s="3359"/>
      <c r="D1561" s="3359"/>
      <c r="E1561" s="3359"/>
      <c r="F1561" s="3360"/>
      <c r="G1561" s="1387">
        <f>SUM(G1554:G1557)</f>
        <v>369.69666666666666</v>
      </c>
      <c r="H1561" s="1348">
        <f>G1561-I1557</f>
        <v>248.56666666666666</v>
      </c>
      <c r="I1561" s="1336" t="s">
        <v>4141</v>
      </c>
    </row>
    <row r="1562" spans="1:14" ht="17.25" customHeight="1" thickBot="1" x14ac:dyDescent="0.3">
      <c r="A1562" s="3356" t="s">
        <v>4075</v>
      </c>
      <c r="B1562" s="3357"/>
      <c r="C1562" s="3357"/>
      <c r="D1562" s="3357"/>
      <c r="E1562" s="1388">
        <f>E1558-E1559</f>
        <v>2092.37</v>
      </c>
      <c r="G1562" s="1389"/>
    </row>
    <row r="1563" spans="1:14" ht="16.5" customHeight="1" thickBot="1" x14ac:dyDescent="0.3"/>
    <row r="1564" spans="1:14" ht="19.5" thickBot="1" x14ac:dyDescent="0.35">
      <c r="A1564" s="3361" t="s">
        <v>4537</v>
      </c>
      <c r="B1564" s="3336"/>
      <c r="C1564" s="3336"/>
      <c r="D1564" s="3336"/>
      <c r="E1564" s="3336"/>
      <c r="F1564" s="3336"/>
      <c r="G1564" s="3337"/>
    </row>
    <row r="1565" spans="1:14" ht="16.5" thickBot="1" x14ac:dyDescent="0.3">
      <c r="A1565" s="1361" t="s">
        <v>4206</v>
      </c>
      <c r="B1565" s="1361" t="s">
        <v>4206</v>
      </c>
      <c r="C1565" s="3370" t="s">
        <v>3</v>
      </c>
      <c r="D1565" s="3371"/>
      <c r="E1565" s="1363" t="s">
        <v>4190</v>
      </c>
      <c r="F1565" s="1363" t="s">
        <v>4191</v>
      </c>
      <c r="G1565" s="1364" t="s">
        <v>382</v>
      </c>
      <c r="I1565" s="1336" t="s">
        <v>4208</v>
      </c>
    </row>
    <row r="1566" spans="1:14" x14ac:dyDescent="0.25">
      <c r="A1566" s="1428">
        <v>43753</v>
      </c>
      <c r="B1566" s="1428">
        <v>43753</v>
      </c>
      <c r="C1566" s="3374" t="s">
        <v>4538</v>
      </c>
      <c r="D1566" s="3375"/>
      <c r="E1566" s="1357">
        <v>1649</v>
      </c>
      <c r="F1566" s="1358">
        <v>10</v>
      </c>
      <c r="G1566" s="1359">
        <f t="shared" ref="G1566:G1574" si="260">E1566/F1566</f>
        <v>164.9</v>
      </c>
      <c r="H1566" s="1247" t="s">
        <v>1525</v>
      </c>
      <c r="J1566" s="1427"/>
      <c r="K1566" s="1281"/>
      <c r="L1566" s="1281"/>
      <c r="N1566" s="1281"/>
    </row>
    <row r="1567" spans="1:14" x14ac:dyDescent="0.25">
      <c r="A1567" s="1428">
        <v>43836</v>
      </c>
      <c r="B1567" s="1428">
        <v>43836</v>
      </c>
      <c r="C1567" s="3340" t="s">
        <v>4539</v>
      </c>
      <c r="D1567" s="3341"/>
      <c r="E1567" s="1357">
        <v>217</v>
      </c>
      <c r="F1567" s="1358">
        <v>4</v>
      </c>
      <c r="G1567" s="1359">
        <f t="shared" si="260"/>
        <v>54.25</v>
      </c>
      <c r="H1567" s="1247" t="s">
        <v>2131</v>
      </c>
      <c r="I1567" s="1321"/>
      <c r="K1567" s="1281"/>
      <c r="L1567" s="1281"/>
      <c r="N1567" s="1281"/>
    </row>
    <row r="1568" spans="1:14" x14ac:dyDescent="0.25">
      <c r="A1568" s="1428">
        <v>43839</v>
      </c>
      <c r="B1568" s="1428">
        <v>43839</v>
      </c>
      <c r="C1568" s="3340" t="s">
        <v>4540</v>
      </c>
      <c r="D1568" s="3341"/>
      <c r="E1568" s="1357">
        <v>300</v>
      </c>
      <c r="F1568" s="1358">
        <v>4</v>
      </c>
      <c r="G1568" s="1359">
        <f t="shared" si="260"/>
        <v>75</v>
      </c>
      <c r="H1568" s="1247" t="s">
        <v>1525</v>
      </c>
      <c r="J1568" s="1281"/>
      <c r="K1568" s="1281"/>
      <c r="L1568" s="1281"/>
      <c r="N1568" s="1281"/>
    </row>
    <row r="1569" spans="1:14" x14ac:dyDescent="0.25">
      <c r="A1569" s="1428">
        <v>43879</v>
      </c>
      <c r="B1569" s="1428">
        <v>43879</v>
      </c>
      <c r="C1569" s="3340" t="s">
        <v>4541</v>
      </c>
      <c r="D1569" s="3341"/>
      <c r="E1569" s="1357">
        <v>422</v>
      </c>
      <c r="F1569" s="1358">
        <v>3</v>
      </c>
      <c r="G1569" s="1359">
        <f t="shared" si="260"/>
        <v>140.66666666666666</v>
      </c>
      <c r="H1569" s="1247" t="s">
        <v>1522</v>
      </c>
      <c r="I1569" s="1321"/>
      <c r="J1569" s="1426"/>
      <c r="K1569" s="1281"/>
      <c r="L1569" s="1281"/>
      <c r="N1569" s="1281"/>
    </row>
    <row r="1570" spans="1:14" x14ac:dyDescent="0.25">
      <c r="A1570" s="1428">
        <v>43900</v>
      </c>
      <c r="B1570" s="1428">
        <v>43900</v>
      </c>
      <c r="C1570" s="3340" t="s">
        <v>4542</v>
      </c>
      <c r="D1570" s="3341"/>
      <c r="E1570" s="1357">
        <v>96</v>
      </c>
      <c r="F1570" s="1358">
        <v>4</v>
      </c>
      <c r="G1570" s="1359">
        <f t="shared" si="260"/>
        <v>24</v>
      </c>
      <c r="H1570" s="1247" t="s">
        <v>1496</v>
      </c>
      <c r="I1570" s="1321"/>
      <c r="J1570" s="1426"/>
      <c r="K1570" s="1281"/>
      <c r="L1570" s="1281"/>
      <c r="N1570" s="1281"/>
    </row>
    <row r="1571" spans="1:14" x14ac:dyDescent="0.25">
      <c r="A1571" s="1428">
        <v>43914</v>
      </c>
      <c r="B1571" s="1428">
        <v>43914</v>
      </c>
      <c r="C1571" s="3340" t="s">
        <v>4543</v>
      </c>
      <c r="D1571" s="3341"/>
      <c r="E1571" s="1357">
        <v>179</v>
      </c>
      <c r="F1571" s="1358">
        <v>3</v>
      </c>
      <c r="G1571" s="1359">
        <f t="shared" si="260"/>
        <v>59.666666666666664</v>
      </c>
      <c r="H1571" s="1247" t="s">
        <v>1496</v>
      </c>
      <c r="I1571" s="1321"/>
      <c r="J1571" s="1426"/>
      <c r="K1571" s="1281"/>
      <c r="L1571" s="1281"/>
      <c r="N1571" s="1281"/>
    </row>
    <row r="1572" spans="1:14" x14ac:dyDescent="0.25">
      <c r="A1572" s="1428">
        <v>43931</v>
      </c>
      <c r="B1572" s="1428">
        <v>43931</v>
      </c>
      <c r="C1572" s="3340" t="s">
        <v>4544</v>
      </c>
      <c r="D1572" s="3341"/>
      <c r="E1572" s="1357">
        <v>100</v>
      </c>
      <c r="F1572" s="1358">
        <v>1</v>
      </c>
      <c r="G1572" s="1359">
        <f t="shared" si="260"/>
        <v>100</v>
      </c>
      <c r="H1572" s="1247" t="s">
        <v>1493</v>
      </c>
      <c r="I1572" s="1321"/>
      <c r="J1572" s="1426"/>
      <c r="K1572" s="1281"/>
      <c r="L1572" s="1281"/>
      <c r="N1572" s="1281"/>
    </row>
    <row r="1573" spans="1:14" x14ac:dyDescent="0.25">
      <c r="A1573" s="1428">
        <v>43934</v>
      </c>
      <c r="B1573" s="1428">
        <v>43934</v>
      </c>
      <c r="C1573" s="3340" t="s">
        <v>4545</v>
      </c>
      <c r="D1573" s="3341"/>
      <c r="E1573" s="1357">
        <v>363.39</v>
      </c>
      <c r="F1573" s="1358">
        <v>3</v>
      </c>
      <c r="G1573" s="1359">
        <f t="shared" si="260"/>
        <v>121.13</v>
      </c>
      <c r="I1573" s="1321">
        <v>121.13</v>
      </c>
      <c r="J1573" s="1426"/>
      <c r="K1573" s="1281"/>
      <c r="L1573" s="1281"/>
      <c r="N1573" s="1281"/>
    </row>
    <row r="1574" spans="1:14" x14ac:dyDescent="0.25">
      <c r="A1574" s="1428">
        <v>43938</v>
      </c>
      <c r="B1574" s="1428">
        <v>43938</v>
      </c>
      <c r="C1574" s="3340" t="s">
        <v>4546</v>
      </c>
      <c r="D1574" s="3341"/>
      <c r="E1574" s="1357">
        <v>488.57</v>
      </c>
      <c r="F1574" s="1358">
        <v>1</v>
      </c>
      <c r="G1574" s="1359">
        <f t="shared" si="260"/>
        <v>488.57</v>
      </c>
      <c r="H1574" s="1247" t="s">
        <v>1506</v>
      </c>
      <c r="I1574" s="1321"/>
      <c r="J1574" s="1426"/>
      <c r="K1574" s="1281"/>
      <c r="L1574" s="1281"/>
      <c r="N1574" s="1281"/>
    </row>
    <row r="1575" spans="1:14" ht="15.75" x14ac:dyDescent="0.25">
      <c r="A1575" s="3356" t="s">
        <v>4071</v>
      </c>
      <c r="B1575" s="3357"/>
      <c r="C1575" s="3357"/>
      <c r="D1575" s="3357"/>
      <c r="E1575" s="1396">
        <v>2670</v>
      </c>
      <c r="F1575" s="3366"/>
      <c r="G1575" s="3367"/>
      <c r="I1575" s="1345"/>
      <c r="J1575" s="1321"/>
    </row>
    <row r="1576" spans="1:14" ht="15.75" x14ac:dyDescent="0.25">
      <c r="A1576" s="3358" t="s">
        <v>4072</v>
      </c>
      <c r="B1576" s="3359"/>
      <c r="C1576" s="3359"/>
      <c r="D1576" s="3359"/>
      <c r="E1576" s="1397">
        <v>2072.8200000000002</v>
      </c>
      <c r="F1576" s="3368"/>
      <c r="G1576" s="3369"/>
      <c r="H1576" s="1247" t="s">
        <v>280</v>
      </c>
      <c r="J1576" s="1360"/>
    </row>
    <row r="1577" spans="1:14" ht="15.75" x14ac:dyDescent="0.25">
      <c r="A1577" s="3356" t="s">
        <v>4073</v>
      </c>
      <c r="B1577" s="3357"/>
      <c r="C1577" s="3357"/>
      <c r="D1577" s="3357"/>
      <c r="E1577" s="1396">
        <v>746</v>
      </c>
      <c r="F1577" s="3368"/>
      <c r="G1577" s="3369"/>
    </row>
    <row r="1578" spans="1:14" ht="15.75" x14ac:dyDescent="0.25">
      <c r="A1578" s="3358" t="s">
        <v>4074</v>
      </c>
      <c r="B1578" s="3359"/>
      <c r="C1578" s="3359"/>
      <c r="D1578" s="3359"/>
      <c r="E1578" s="3359"/>
      <c r="F1578" s="3360"/>
      <c r="G1578" s="1387">
        <f>SUM(G1566:G1574)</f>
        <v>1228.1833333333332</v>
      </c>
      <c r="H1578" s="1348">
        <f>G1578-I1573</f>
        <v>1107.0533333333333</v>
      </c>
      <c r="I1578" s="1336" t="s">
        <v>4141</v>
      </c>
    </row>
    <row r="1579" spans="1:14" ht="17.25" customHeight="1" thickBot="1" x14ac:dyDescent="0.3">
      <c r="A1579" s="3356" t="s">
        <v>4075</v>
      </c>
      <c r="B1579" s="3357"/>
      <c r="C1579" s="3357"/>
      <c r="D1579" s="3357"/>
      <c r="E1579" s="1388">
        <f>E1575-E1576</f>
        <v>597.17999999999984</v>
      </c>
      <c r="G1579" s="1389"/>
    </row>
    <row r="1580" spans="1:14" ht="16.5" customHeight="1" thickBot="1" x14ac:dyDescent="0.3"/>
    <row r="1581" spans="1:14" ht="19.5" thickBot="1" x14ac:dyDescent="0.35">
      <c r="A1581" s="3361" t="s">
        <v>4547</v>
      </c>
      <c r="B1581" s="3336"/>
      <c r="C1581" s="3336"/>
      <c r="D1581" s="3336"/>
      <c r="E1581" s="3336"/>
      <c r="F1581" s="3336"/>
      <c r="G1581" s="3337"/>
    </row>
    <row r="1582" spans="1:14" ht="16.5" thickBot="1" x14ac:dyDescent="0.3">
      <c r="A1582" s="1361" t="s">
        <v>4206</v>
      </c>
      <c r="B1582" s="1361" t="s">
        <v>4206</v>
      </c>
      <c r="C1582" s="3370" t="s">
        <v>3</v>
      </c>
      <c r="D1582" s="3371"/>
      <c r="E1582" s="1363" t="s">
        <v>4190</v>
      </c>
      <c r="F1582" s="1363" t="s">
        <v>4191</v>
      </c>
      <c r="G1582" s="1364" t="s">
        <v>382</v>
      </c>
    </row>
    <row r="1583" spans="1:14" x14ac:dyDescent="0.25">
      <c r="A1583" s="1428">
        <v>43753</v>
      </c>
      <c r="B1583" s="1428">
        <v>43753</v>
      </c>
      <c r="C1583" s="3374" t="s">
        <v>4548</v>
      </c>
      <c r="D1583" s="3375"/>
      <c r="E1583" s="1357">
        <v>1649</v>
      </c>
      <c r="F1583" s="1358">
        <v>10</v>
      </c>
      <c r="G1583" s="1359">
        <f t="shared" ref="G1583:G1592" si="261">E1583/F1583</f>
        <v>164.9</v>
      </c>
      <c r="H1583" s="1247" t="s">
        <v>1525</v>
      </c>
      <c r="J1583" s="1427"/>
      <c r="K1583" s="1281"/>
      <c r="L1583" s="1281"/>
      <c r="N1583" s="1281"/>
    </row>
    <row r="1584" spans="1:14" x14ac:dyDescent="0.25">
      <c r="A1584" s="1428">
        <v>43836</v>
      </c>
      <c r="B1584" s="1428">
        <v>43836</v>
      </c>
      <c r="C1584" s="3340" t="s">
        <v>4549</v>
      </c>
      <c r="D1584" s="3341"/>
      <c r="E1584" s="1357">
        <v>217</v>
      </c>
      <c r="F1584" s="1358">
        <v>4</v>
      </c>
      <c r="G1584" s="1359">
        <f t="shared" si="261"/>
        <v>54.25</v>
      </c>
      <c r="H1584" s="1247" t="s">
        <v>2131</v>
      </c>
      <c r="I1584" s="1321"/>
      <c r="J1584" s="1427"/>
      <c r="K1584" s="1281"/>
      <c r="L1584" s="1281"/>
      <c r="N1584" s="1281"/>
    </row>
    <row r="1585" spans="1:14" x14ac:dyDescent="0.25">
      <c r="A1585" s="1428">
        <v>43839</v>
      </c>
      <c r="B1585" s="1428">
        <v>43839</v>
      </c>
      <c r="C1585" s="3340" t="s">
        <v>4550</v>
      </c>
      <c r="D1585" s="3341"/>
      <c r="E1585" s="1357">
        <v>300</v>
      </c>
      <c r="F1585" s="1358">
        <v>4</v>
      </c>
      <c r="G1585" s="1359">
        <f t="shared" si="261"/>
        <v>75</v>
      </c>
      <c r="H1585" s="1247" t="s">
        <v>1525</v>
      </c>
      <c r="J1585" s="1427"/>
      <c r="K1585" s="1281"/>
      <c r="L1585" s="1281"/>
      <c r="N1585" s="1281"/>
    </row>
    <row r="1586" spans="1:14" x14ac:dyDescent="0.25">
      <c r="A1586" s="1428">
        <v>43844</v>
      </c>
      <c r="B1586" s="1428">
        <v>43844</v>
      </c>
      <c r="C1586" s="3340" t="s">
        <v>4551</v>
      </c>
      <c r="D1586" s="3341"/>
      <c r="E1586" s="1357">
        <v>99.99</v>
      </c>
      <c r="F1586" s="1358">
        <v>3</v>
      </c>
      <c r="G1586" s="1359">
        <f t="shared" si="261"/>
        <v>33.33</v>
      </c>
      <c r="H1586" s="1247" t="s">
        <v>1506</v>
      </c>
      <c r="I1586" s="1321"/>
      <c r="J1586" s="1427"/>
      <c r="K1586" s="1281"/>
      <c r="L1586" s="1281"/>
      <c r="N1586" s="1281"/>
    </row>
    <row r="1587" spans="1:14" x14ac:dyDescent="0.25">
      <c r="A1587" s="1428">
        <v>43860</v>
      </c>
      <c r="B1587" s="1428">
        <v>43860</v>
      </c>
      <c r="C1587" s="3340" t="s">
        <v>4552</v>
      </c>
      <c r="D1587" s="3341"/>
      <c r="E1587" s="1357">
        <v>130</v>
      </c>
      <c r="F1587" s="1358">
        <v>2</v>
      </c>
      <c r="G1587" s="1359">
        <f t="shared" si="261"/>
        <v>65</v>
      </c>
      <c r="H1587" s="1247" t="s">
        <v>1522</v>
      </c>
      <c r="I1587" s="1321"/>
      <c r="J1587" s="1427"/>
      <c r="K1587" s="1281"/>
      <c r="L1587" s="1281"/>
      <c r="N1587" s="1281"/>
    </row>
    <row r="1588" spans="1:14" x14ac:dyDescent="0.25">
      <c r="A1588" s="1428">
        <v>43879</v>
      </c>
      <c r="B1588" s="1428">
        <v>43879</v>
      </c>
      <c r="C1588" s="3340" t="s">
        <v>4553</v>
      </c>
      <c r="D1588" s="3341"/>
      <c r="E1588" s="1357">
        <v>422</v>
      </c>
      <c r="F1588" s="1358">
        <v>3</v>
      </c>
      <c r="G1588" s="1359">
        <f t="shared" si="261"/>
        <v>140.66666666666666</v>
      </c>
      <c r="H1588" s="1247" t="s">
        <v>1522</v>
      </c>
      <c r="I1588" s="1321"/>
      <c r="J1588" s="1427"/>
      <c r="K1588" s="1281"/>
      <c r="L1588" s="1281"/>
      <c r="N1588" s="1281"/>
    </row>
    <row r="1589" spans="1:14" x14ac:dyDescent="0.25">
      <c r="A1589" s="1447">
        <v>43887</v>
      </c>
      <c r="B1589" s="1447">
        <v>43887</v>
      </c>
      <c r="C1589" s="3393" t="s">
        <v>4554</v>
      </c>
      <c r="D1589" s="3394"/>
      <c r="E1589" s="1400">
        <v>-15</v>
      </c>
      <c r="F1589" s="1401">
        <v>1</v>
      </c>
      <c r="G1589" s="1359">
        <f t="shared" si="261"/>
        <v>-15</v>
      </c>
      <c r="I1589" s="1321"/>
      <c r="J1589" s="1427"/>
      <c r="K1589" s="1281"/>
      <c r="L1589" s="1281"/>
      <c r="N1589" s="1281"/>
    </row>
    <row r="1590" spans="1:14" x14ac:dyDescent="0.25">
      <c r="A1590" s="1428">
        <v>43889</v>
      </c>
      <c r="B1590" s="1428">
        <v>43889</v>
      </c>
      <c r="C1590" s="3340" t="s">
        <v>4555</v>
      </c>
      <c r="D1590" s="3341"/>
      <c r="E1590" s="1357">
        <v>145</v>
      </c>
      <c r="F1590" s="1358">
        <v>1</v>
      </c>
      <c r="G1590" s="1359">
        <f t="shared" si="261"/>
        <v>145</v>
      </c>
      <c r="H1590" s="1247" t="s">
        <v>1524</v>
      </c>
      <c r="I1590" s="1321"/>
      <c r="J1590" s="1427"/>
      <c r="K1590" s="1281"/>
      <c r="L1590" s="1281"/>
      <c r="N1590" s="1281"/>
    </row>
    <row r="1591" spans="1:14" x14ac:dyDescent="0.25">
      <c r="A1591" s="1428">
        <v>43900</v>
      </c>
      <c r="B1591" s="1428">
        <v>43900</v>
      </c>
      <c r="C1591" s="3340" t="s">
        <v>4556</v>
      </c>
      <c r="D1591" s="3341"/>
      <c r="E1591" s="1357">
        <v>96</v>
      </c>
      <c r="F1591" s="1358">
        <v>4</v>
      </c>
      <c r="G1591" s="1359">
        <f t="shared" si="261"/>
        <v>24</v>
      </c>
      <c r="H1591" s="1247" t="s">
        <v>1496</v>
      </c>
      <c r="I1591" s="1321"/>
      <c r="J1591" s="1427"/>
      <c r="K1591" s="1281"/>
      <c r="L1591" s="1281"/>
      <c r="N1591" s="1281"/>
    </row>
    <row r="1592" spans="1:14" x14ac:dyDescent="0.25">
      <c r="A1592" s="1428">
        <v>43914</v>
      </c>
      <c r="B1592" s="1428">
        <v>43914</v>
      </c>
      <c r="C1592" s="3340" t="s">
        <v>4557</v>
      </c>
      <c r="D1592" s="3341"/>
      <c r="E1592" s="1357">
        <v>179</v>
      </c>
      <c r="F1592" s="1358">
        <v>3</v>
      </c>
      <c r="G1592" s="1359">
        <f t="shared" si="261"/>
        <v>59.666666666666664</v>
      </c>
      <c r="H1592" s="1247" t="s">
        <v>1496</v>
      </c>
      <c r="I1592" s="1321"/>
      <c r="J1592" s="1427"/>
      <c r="K1592" s="1281"/>
      <c r="L1592" s="1281"/>
      <c r="N1592" s="1281"/>
    </row>
    <row r="1593" spans="1:14" ht="15.75" x14ac:dyDescent="0.25">
      <c r="A1593" s="3356" t="s">
        <v>4071</v>
      </c>
      <c r="B1593" s="3357"/>
      <c r="C1593" s="3357"/>
      <c r="D1593" s="3357"/>
      <c r="E1593" s="1396">
        <v>2670</v>
      </c>
      <c r="F1593" s="3366"/>
      <c r="G1593" s="3367"/>
      <c r="I1593" s="1345"/>
    </row>
    <row r="1594" spans="1:14" ht="15.75" x14ac:dyDescent="0.25">
      <c r="A1594" s="3358" t="s">
        <v>4072</v>
      </c>
      <c r="B1594" s="3359"/>
      <c r="C1594" s="3359"/>
      <c r="D1594" s="3359"/>
      <c r="E1594" s="1397">
        <v>1867.67</v>
      </c>
      <c r="F1594" s="3368"/>
      <c r="G1594" s="3369"/>
      <c r="H1594" s="1247" t="s">
        <v>280</v>
      </c>
    </row>
    <row r="1595" spans="1:14" ht="15.75" x14ac:dyDescent="0.25">
      <c r="A1595" s="3356" t="s">
        <v>4073</v>
      </c>
      <c r="B1595" s="3357"/>
      <c r="C1595" s="3357"/>
      <c r="D1595" s="3357"/>
      <c r="E1595" s="1396">
        <v>733.12</v>
      </c>
      <c r="F1595" s="3368"/>
      <c r="G1595" s="3369"/>
    </row>
    <row r="1596" spans="1:14" ht="15.75" x14ac:dyDescent="0.25">
      <c r="A1596" s="3358" t="s">
        <v>4074</v>
      </c>
      <c r="B1596" s="3359"/>
      <c r="C1596" s="3359"/>
      <c r="D1596" s="3359"/>
      <c r="E1596" s="3359"/>
      <c r="F1596" s="3360"/>
      <c r="G1596" s="1387">
        <f>SUM(G1583:G1592)</f>
        <v>746.81333333333328</v>
      </c>
      <c r="H1596" s="1348"/>
    </row>
    <row r="1597" spans="1:14" ht="17.25" customHeight="1" thickBot="1" x14ac:dyDescent="0.3">
      <c r="A1597" s="3356" t="s">
        <v>4075</v>
      </c>
      <c r="B1597" s="3357"/>
      <c r="C1597" s="3357"/>
      <c r="D1597" s="3357"/>
      <c r="E1597" s="1388">
        <f>E1593-E1594</f>
        <v>802.32999999999993</v>
      </c>
      <c r="G1597" s="1389"/>
    </row>
    <row r="1598" spans="1:14" ht="16.5" customHeight="1" thickBot="1" x14ac:dyDescent="0.3"/>
    <row r="1599" spans="1:14" ht="19.5" thickBot="1" x14ac:dyDescent="0.35">
      <c r="A1599" s="3361" t="s">
        <v>4558</v>
      </c>
      <c r="B1599" s="3336"/>
      <c r="C1599" s="3336"/>
      <c r="D1599" s="3336"/>
      <c r="E1599" s="3336"/>
      <c r="F1599" s="3336"/>
      <c r="G1599" s="3337"/>
    </row>
    <row r="1600" spans="1:14" ht="16.5" thickBot="1" x14ac:dyDescent="0.3">
      <c r="A1600" s="2314" t="s">
        <v>4206</v>
      </c>
      <c r="B1600" s="2315" t="s">
        <v>4206</v>
      </c>
      <c r="C1600" s="3371" t="s">
        <v>3</v>
      </c>
      <c r="D1600" s="3371"/>
      <c r="E1600" s="1363" t="s">
        <v>4190</v>
      </c>
      <c r="F1600" s="1363" t="s">
        <v>4191</v>
      </c>
      <c r="G1600" s="1364" t="s">
        <v>382</v>
      </c>
    </row>
    <row r="1601" spans="1:14" x14ac:dyDescent="0.25">
      <c r="A1601" s="1428">
        <v>43753</v>
      </c>
      <c r="B1601" s="1402">
        <v>43753</v>
      </c>
      <c r="C1601" s="3374" t="s">
        <v>4559</v>
      </c>
      <c r="D1601" s="3375"/>
      <c r="E1601" s="1357">
        <v>1649</v>
      </c>
      <c r="F1601" s="1358">
        <v>10</v>
      </c>
      <c r="G1601" s="1359">
        <f t="shared" ref="G1601:G1613" si="262">E1601/F1601</f>
        <v>164.9</v>
      </c>
      <c r="H1601" s="1247" t="s">
        <v>1525</v>
      </c>
      <c r="J1601" s="1427"/>
      <c r="K1601" s="1281"/>
      <c r="L1601" s="1281"/>
      <c r="N1601" s="1281"/>
    </row>
    <row r="1602" spans="1:14" x14ac:dyDescent="0.25">
      <c r="A1602" s="1428">
        <v>43826</v>
      </c>
      <c r="B1602" s="1428">
        <v>43826</v>
      </c>
      <c r="C1602" s="3340" t="s">
        <v>4560</v>
      </c>
      <c r="D1602" s="3341"/>
      <c r="E1602" s="1357">
        <v>100</v>
      </c>
      <c r="F1602" s="1358">
        <v>2</v>
      </c>
      <c r="G1602" s="1359">
        <f t="shared" si="262"/>
        <v>50</v>
      </c>
      <c r="H1602" s="1247" t="s">
        <v>1506</v>
      </c>
      <c r="I1602" s="1426"/>
      <c r="J1602" s="1427"/>
      <c r="K1602" s="1281"/>
      <c r="L1602" s="1281"/>
      <c r="N1602" s="1281"/>
    </row>
    <row r="1603" spans="1:14" x14ac:dyDescent="0.25">
      <c r="A1603" s="1428">
        <v>43826</v>
      </c>
      <c r="B1603" s="1428">
        <v>43826</v>
      </c>
      <c r="C1603" s="3340" t="s">
        <v>4561</v>
      </c>
      <c r="D1603" s="3341"/>
      <c r="E1603" s="1357">
        <v>50</v>
      </c>
      <c r="F1603" s="1358">
        <v>2</v>
      </c>
      <c r="G1603" s="1359">
        <f t="shared" si="262"/>
        <v>25</v>
      </c>
      <c r="H1603" s="1247" t="s">
        <v>1506</v>
      </c>
      <c r="I1603" s="1426"/>
      <c r="J1603" s="1427"/>
      <c r="K1603" s="1281"/>
      <c r="L1603" s="1281"/>
      <c r="N1603" s="1281"/>
    </row>
    <row r="1604" spans="1:14" x14ac:dyDescent="0.25">
      <c r="A1604" s="1428">
        <v>43836</v>
      </c>
      <c r="B1604" s="1428">
        <v>43836</v>
      </c>
      <c r="C1604" s="3340" t="s">
        <v>4562</v>
      </c>
      <c r="D1604" s="3341"/>
      <c r="E1604" s="1357">
        <v>217</v>
      </c>
      <c r="F1604" s="1358">
        <v>4</v>
      </c>
      <c r="G1604" s="1359">
        <f t="shared" si="262"/>
        <v>54.25</v>
      </c>
      <c r="H1604" s="1247" t="s">
        <v>2131</v>
      </c>
      <c r="I1604" s="1321"/>
      <c r="J1604" s="1427"/>
      <c r="K1604" s="1281"/>
      <c r="L1604" s="1281"/>
      <c r="N1604" s="1281"/>
    </row>
    <row r="1605" spans="1:14" x14ac:dyDescent="0.25">
      <c r="A1605" s="1428">
        <v>43839</v>
      </c>
      <c r="B1605" s="1428">
        <v>43839</v>
      </c>
      <c r="C1605" s="3340" t="s">
        <v>4563</v>
      </c>
      <c r="D1605" s="3341"/>
      <c r="E1605" s="1357">
        <v>300</v>
      </c>
      <c r="F1605" s="1358">
        <v>4</v>
      </c>
      <c r="G1605" s="1359">
        <f t="shared" si="262"/>
        <v>75</v>
      </c>
      <c r="H1605" s="1247" t="s">
        <v>1525</v>
      </c>
      <c r="J1605" s="1427"/>
      <c r="K1605" s="1281"/>
      <c r="L1605" s="1281"/>
      <c r="N1605" s="1281"/>
    </row>
    <row r="1606" spans="1:14" x14ac:dyDescent="0.25">
      <c r="A1606" s="1428">
        <v>43844</v>
      </c>
      <c r="B1606" s="1428">
        <v>43844</v>
      </c>
      <c r="C1606" s="3340" t="s">
        <v>4564</v>
      </c>
      <c r="D1606" s="3341"/>
      <c r="E1606" s="1357">
        <v>200</v>
      </c>
      <c r="F1606" s="1358">
        <v>2</v>
      </c>
      <c r="G1606" s="1359">
        <f t="shared" si="262"/>
        <v>100</v>
      </c>
      <c r="H1606" s="1247" t="s">
        <v>1522</v>
      </c>
      <c r="I1606" s="1321"/>
      <c r="J1606" s="1427"/>
      <c r="K1606" s="1281"/>
      <c r="L1606" s="1281"/>
      <c r="N1606" s="1281"/>
    </row>
    <row r="1607" spans="1:14" x14ac:dyDescent="0.25">
      <c r="A1607" s="1428">
        <v>43844</v>
      </c>
      <c r="B1607" s="1428">
        <v>43844</v>
      </c>
      <c r="C1607" s="3340" t="s">
        <v>4565</v>
      </c>
      <c r="D1607" s="3341"/>
      <c r="E1607" s="1357">
        <v>99.9</v>
      </c>
      <c r="F1607" s="1358">
        <v>3</v>
      </c>
      <c r="G1607" s="1359">
        <f t="shared" si="262"/>
        <v>33.300000000000004</v>
      </c>
      <c r="H1607" s="1247" t="s">
        <v>1506</v>
      </c>
      <c r="I1607" s="1321"/>
      <c r="J1607" s="1427"/>
      <c r="K1607" s="1281"/>
      <c r="L1607" s="1281"/>
      <c r="N1607" s="1281"/>
    </row>
    <row r="1608" spans="1:14" x14ac:dyDescent="0.25">
      <c r="A1608" s="1428">
        <v>43860</v>
      </c>
      <c r="B1608" s="1428">
        <v>43860</v>
      </c>
      <c r="C1608" s="3340" t="s">
        <v>4566</v>
      </c>
      <c r="D1608" s="3341"/>
      <c r="E1608" s="1357">
        <v>130</v>
      </c>
      <c r="F1608" s="1358">
        <v>2</v>
      </c>
      <c r="G1608" s="1359">
        <f t="shared" si="262"/>
        <v>65</v>
      </c>
      <c r="H1608" s="1247" t="s">
        <v>1522</v>
      </c>
      <c r="I1608" s="1321"/>
      <c r="J1608" s="1427"/>
      <c r="K1608" s="1281"/>
      <c r="L1608" s="1281"/>
      <c r="N1608" s="1281"/>
    </row>
    <row r="1609" spans="1:14" x14ac:dyDescent="0.25">
      <c r="A1609" s="1428">
        <v>43863</v>
      </c>
      <c r="B1609" s="1428">
        <v>43863</v>
      </c>
      <c r="C1609" s="3340" t="s">
        <v>4567</v>
      </c>
      <c r="D1609" s="3341"/>
      <c r="E1609" s="1357">
        <v>280</v>
      </c>
      <c r="F1609" s="1358">
        <v>1</v>
      </c>
      <c r="G1609" s="1359">
        <f t="shared" si="262"/>
        <v>280</v>
      </c>
      <c r="I1609" s="1321"/>
      <c r="J1609" s="1427"/>
      <c r="K1609" s="1281"/>
      <c r="L1609" s="1281"/>
      <c r="N1609" s="1281"/>
    </row>
    <row r="1610" spans="1:14" x14ac:dyDescent="0.25">
      <c r="A1610" s="1447">
        <v>43888</v>
      </c>
      <c r="B1610" s="1447">
        <v>43888</v>
      </c>
      <c r="C1610" s="3425" t="s">
        <v>4568</v>
      </c>
      <c r="D1610" s="3426"/>
      <c r="E1610" s="1448">
        <v>-280</v>
      </c>
      <c r="F1610" s="1449">
        <v>1</v>
      </c>
      <c r="G1610" s="1359">
        <f t="shared" si="262"/>
        <v>-280</v>
      </c>
      <c r="I1610" s="1321"/>
      <c r="J1610" s="1427"/>
      <c r="K1610" s="1281"/>
      <c r="L1610" s="1281"/>
      <c r="N1610" s="1281"/>
    </row>
    <row r="1611" spans="1:14" x14ac:dyDescent="0.25">
      <c r="A1611" s="1428">
        <v>43879</v>
      </c>
      <c r="B1611" s="1428">
        <v>43879</v>
      </c>
      <c r="C1611" s="3340" t="s">
        <v>4569</v>
      </c>
      <c r="D1611" s="3341"/>
      <c r="E1611" s="1357">
        <v>10</v>
      </c>
      <c r="F1611" s="1358">
        <v>1</v>
      </c>
      <c r="G1611" s="1359">
        <f t="shared" si="262"/>
        <v>10</v>
      </c>
      <c r="H1611" s="1247" t="s">
        <v>1489</v>
      </c>
      <c r="I1611" s="1321"/>
      <c r="J1611" s="1427"/>
      <c r="K1611" s="1281"/>
      <c r="L1611" s="1281"/>
      <c r="N1611" s="1281"/>
    </row>
    <row r="1612" spans="1:14" x14ac:dyDescent="0.25">
      <c r="A1612" s="1428">
        <v>43879</v>
      </c>
      <c r="B1612" s="1428">
        <v>43879</v>
      </c>
      <c r="C1612" s="3340" t="s">
        <v>4570</v>
      </c>
      <c r="D1612" s="3341"/>
      <c r="E1612" s="1357">
        <v>422</v>
      </c>
      <c r="F1612" s="1358">
        <v>3</v>
      </c>
      <c r="G1612" s="1359">
        <f t="shared" si="262"/>
        <v>140.66666666666666</v>
      </c>
      <c r="H1612" s="1247" t="s">
        <v>1522</v>
      </c>
      <c r="I1612" s="1321"/>
      <c r="J1612" s="1427"/>
      <c r="K1612" s="1281"/>
      <c r="L1612" s="1281"/>
      <c r="N1612" s="1281"/>
    </row>
    <row r="1613" spans="1:14" x14ac:dyDescent="0.25">
      <c r="A1613" s="1428">
        <v>43885</v>
      </c>
      <c r="B1613" s="1428">
        <v>43885</v>
      </c>
      <c r="C1613" s="3340" t="s">
        <v>4554</v>
      </c>
      <c r="D1613" s="3341"/>
      <c r="E1613" s="1357">
        <v>15</v>
      </c>
      <c r="F1613" s="1358">
        <v>1</v>
      </c>
      <c r="G1613" s="1359">
        <f t="shared" si="262"/>
        <v>15</v>
      </c>
      <c r="H1613" s="1247" t="s">
        <v>1489</v>
      </c>
      <c r="I1613" s="1321"/>
      <c r="J1613" s="1427"/>
      <c r="K1613" s="1281"/>
      <c r="L1613" s="1281"/>
      <c r="N1613" s="1281"/>
    </row>
    <row r="1614" spans="1:14" ht="15.75" x14ac:dyDescent="0.25">
      <c r="A1614" s="3356" t="s">
        <v>4071</v>
      </c>
      <c r="B1614" s="3357"/>
      <c r="C1614" s="3357"/>
      <c r="D1614" s="3357"/>
      <c r="E1614" s="1396">
        <v>2670</v>
      </c>
      <c r="F1614" s="3366"/>
      <c r="G1614" s="3367"/>
      <c r="I1614" s="1345"/>
    </row>
    <row r="1615" spans="1:14" ht="15.75" x14ac:dyDescent="0.25">
      <c r="A1615" s="3358" t="s">
        <v>4072</v>
      </c>
      <c r="B1615" s="3359"/>
      <c r="C1615" s="3359"/>
      <c r="D1615" s="3359"/>
      <c r="E1615" s="1397">
        <v>2170</v>
      </c>
      <c r="F1615" s="3368"/>
      <c r="G1615" s="3369"/>
      <c r="H1615" s="1247" t="s">
        <v>280</v>
      </c>
    </row>
    <row r="1616" spans="1:14" ht="15.75" x14ac:dyDescent="0.25">
      <c r="A1616" s="3356" t="s">
        <v>4073</v>
      </c>
      <c r="B1616" s="3357"/>
      <c r="C1616" s="3357"/>
      <c r="D1616" s="3357"/>
      <c r="E1616" s="1396">
        <v>641.25</v>
      </c>
      <c r="F1616" s="3368"/>
      <c r="G1616" s="3369"/>
    </row>
    <row r="1617" spans="1:14" ht="15.75" x14ac:dyDescent="0.25">
      <c r="A1617" s="3358" t="s">
        <v>4074</v>
      </c>
      <c r="B1617" s="3359"/>
      <c r="C1617" s="3359"/>
      <c r="D1617" s="3359"/>
      <c r="E1617" s="3359"/>
      <c r="F1617" s="3360"/>
      <c r="G1617" s="1387">
        <f>SUM(G1601:G1613)</f>
        <v>733.11666666666667</v>
      </c>
      <c r="H1617" s="1348"/>
    </row>
    <row r="1618" spans="1:14" ht="17.25" customHeight="1" thickBot="1" x14ac:dyDescent="0.3">
      <c r="A1618" s="3356" t="s">
        <v>4075</v>
      </c>
      <c r="B1618" s="3357"/>
      <c r="C1618" s="3357"/>
      <c r="D1618" s="3357"/>
      <c r="E1618" s="1388">
        <f>E1614-E1615</f>
        <v>500</v>
      </c>
      <c r="G1618" s="1389"/>
    </row>
    <row r="1619" spans="1:14" ht="16.5" customHeight="1" thickBot="1" x14ac:dyDescent="0.3"/>
    <row r="1620" spans="1:14" ht="19.5" thickBot="1" x14ac:dyDescent="0.35">
      <c r="A1620" s="3361" t="s">
        <v>4571</v>
      </c>
      <c r="B1620" s="3336"/>
      <c r="C1620" s="3336"/>
      <c r="D1620" s="3336"/>
      <c r="E1620" s="3336"/>
      <c r="F1620" s="3336"/>
      <c r="G1620" s="3337"/>
    </row>
    <row r="1621" spans="1:14" ht="16.5" thickBot="1" x14ac:dyDescent="0.3">
      <c r="A1621" s="1361" t="s">
        <v>4206</v>
      </c>
      <c r="B1621" s="1361" t="s">
        <v>4206</v>
      </c>
      <c r="C1621" s="3370" t="s">
        <v>3</v>
      </c>
      <c r="D1621" s="3371"/>
      <c r="E1621" s="1363" t="s">
        <v>4190</v>
      </c>
      <c r="F1621" s="1363" t="s">
        <v>4191</v>
      </c>
      <c r="G1621" s="1364" t="s">
        <v>382</v>
      </c>
    </row>
    <row r="1622" spans="1:14" x14ac:dyDescent="0.25">
      <c r="A1622" s="1428">
        <v>43753</v>
      </c>
      <c r="B1622" s="1428">
        <v>43753</v>
      </c>
      <c r="C1622" s="3374" t="s">
        <v>4572</v>
      </c>
      <c r="D1622" s="3375"/>
      <c r="E1622" s="1357">
        <v>1649</v>
      </c>
      <c r="F1622" s="1358">
        <v>10</v>
      </c>
      <c r="G1622" s="1359">
        <f t="shared" ref="G1622:G1632" si="263">E1622/F1622</f>
        <v>164.9</v>
      </c>
      <c r="H1622" s="1247" t="s">
        <v>1525</v>
      </c>
      <c r="I1622" s="1321"/>
      <c r="J1622" s="1427"/>
      <c r="K1622" s="1281"/>
      <c r="L1622" s="1281"/>
      <c r="N1622" s="1281"/>
    </row>
    <row r="1623" spans="1:14" x14ac:dyDescent="0.25">
      <c r="A1623" s="1428">
        <v>43826</v>
      </c>
      <c r="B1623" s="1428">
        <v>43826</v>
      </c>
      <c r="C1623" s="3374" t="s">
        <v>4573</v>
      </c>
      <c r="D1623" s="3375"/>
      <c r="E1623" s="1357">
        <v>80</v>
      </c>
      <c r="F1623" s="1358">
        <v>1</v>
      </c>
      <c r="G1623" s="1359">
        <f t="shared" si="263"/>
        <v>80</v>
      </c>
      <c r="H1623" s="1247" t="s">
        <v>1506</v>
      </c>
      <c r="I1623" s="1321"/>
      <c r="J1623" s="1427"/>
      <c r="K1623" s="1281"/>
      <c r="L1623" s="1281"/>
      <c r="N1623" s="1281"/>
    </row>
    <row r="1624" spans="1:14" x14ac:dyDescent="0.25">
      <c r="A1624" s="1428">
        <v>43826</v>
      </c>
      <c r="B1624" s="1428">
        <v>43826</v>
      </c>
      <c r="C1624" s="3340" t="s">
        <v>4574</v>
      </c>
      <c r="D1624" s="3341"/>
      <c r="E1624" s="1357">
        <v>100</v>
      </c>
      <c r="F1624" s="1358">
        <v>2</v>
      </c>
      <c r="G1624" s="1359">
        <f t="shared" si="263"/>
        <v>50</v>
      </c>
      <c r="H1624" s="1247" t="s">
        <v>1506</v>
      </c>
      <c r="I1624" s="1426"/>
      <c r="J1624" s="1427"/>
      <c r="K1624" s="1281"/>
      <c r="L1624" s="1281"/>
      <c r="N1624" s="1281"/>
    </row>
    <row r="1625" spans="1:14" x14ac:dyDescent="0.25">
      <c r="A1625" s="1428">
        <v>43826</v>
      </c>
      <c r="B1625" s="1428">
        <v>43826</v>
      </c>
      <c r="C1625" s="3340" t="s">
        <v>4575</v>
      </c>
      <c r="D1625" s="3341"/>
      <c r="E1625" s="1357">
        <v>50</v>
      </c>
      <c r="F1625" s="1358">
        <v>2</v>
      </c>
      <c r="G1625" s="1359">
        <f t="shared" si="263"/>
        <v>25</v>
      </c>
      <c r="H1625" s="1247" t="s">
        <v>1506</v>
      </c>
      <c r="I1625" s="1426"/>
      <c r="J1625" s="1427"/>
      <c r="K1625" s="1281"/>
      <c r="L1625" s="1281"/>
      <c r="N1625" s="1281"/>
    </row>
    <row r="1626" spans="1:14" x14ac:dyDescent="0.25">
      <c r="A1626" s="1428">
        <v>43836</v>
      </c>
      <c r="B1626" s="1428">
        <v>43836</v>
      </c>
      <c r="C1626" s="3340" t="s">
        <v>4576</v>
      </c>
      <c r="D1626" s="3341"/>
      <c r="E1626" s="1357">
        <v>217</v>
      </c>
      <c r="F1626" s="1358">
        <v>4</v>
      </c>
      <c r="G1626" s="1359">
        <f t="shared" si="263"/>
        <v>54.25</v>
      </c>
      <c r="H1626" s="1247" t="s">
        <v>2131</v>
      </c>
      <c r="I1626" s="1426"/>
      <c r="J1626" s="1427"/>
      <c r="K1626" s="1281"/>
      <c r="L1626" s="1281"/>
      <c r="N1626" s="1281"/>
    </row>
    <row r="1627" spans="1:14" x14ac:dyDescent="0.25">
      <c r="A1627" s="1428">
        <v>43839</v>
      </c>
      <c r="B1627" s="1428">
        <v>43839</v>
      </c>
      <c r="C1627" s="3340" t="s">
        <v>4577</v>
      </c>
      <c r="D1627" s="3341"/>
      <c r="E1627" s="1357">
        <v>300</v>
      </c>
      <c r="F1627" s="1358">
        <v>4</v>
      </c>
      <c r="G1627" s="1359">
        <f t="shared" si="263"/>
        <v>75</v>
      </c>
      <c r="H1627" s="1247" t="s">
        <v>1525</v>
      </c>
      <c r="I1627" s="1426"/>
      <c r="J1627" s="1427"/>
      <c r="K1627" s="1281"/>
      <c r="L1627" s="1281"/>
      <c r="N1627" s="1281"/>
    </row>
    <row r="1628" spans="1:14" x14ac:dyDescent="0.25">
      <c r="A1628" s="1428">
        <v>43844</v>
      </c>
      <c r="B1628" s="1428">
        <v>43844</v>
      </c>
      <c r="C1628" s="3340" t="s">
        <v>4578</v>
      </c>
      <c r="D1628" s="3341"/>
      <c r="E1628" s="1357">
        <v>200</v>
      </c>
      <c r="F1628" s="1358">
        <v>2</v>
      </c>
      <c r="G1628" s="1359">
        <f t="shared" si="263"/>
        <v>100</v>
      </c>
      <c r="H1628" s="1247" t="s">
        <v>1522</v>
      </c>
      <c r="I1628" s="1426"/>
      <c r="J1628" s="1427"/>
      <c r="K1628" s="1281"/>
      <c r="L1628" s="1281"/>
      <c r="N1628" s="1281"/>
    </row>
    <row r="1629" spans="1:14" x14ac:dyDescent="0.25">
      <c r="A1629" s="1428">
        <v>43844</v>
      </c>
      <c r="B1629" s="1428">
        <v>43844</v>
      </c>
      <c r="C1629" s="3340" t="s">
        <v>4579</v>
      </c>
      <c r="D1629" s="3341"/>
      <c r="E1629" s="1357">
        <v>49.9</v>
      </c>
      <c r="F1629" s="1358">
        <v>1</v>
      </c>
      <c r="G1629" s="1359">
        <f t="shared" si="263"/>
        <v>49.9</v>
      </c>
      <c r="H1629" s="1247" t="s">
        <v>1506</v>
      </c>
      <c r="I1629" s="1426"/>
      <c r="J1629" s="1427"/>
      <c r="K1629" s="1281"/>
      <c r="L1629" s="1281"/>
      <c r="N1629" s="1281"/>
    </row>
    <row r="1630" spans="1:14" x14ac:dyDescent="0.25">
      <c r="A1630" s="1428">
        <v>43844</v>
      </c>
      <c r="B1630" s="1428">
        <v>43844</v>
      </c>
      <c r="C1630" s="3340" t="s">
        <v>4580</v>
      </c>
      <c r="D1630" s="3341"/>
      <c r="E1630" s="1357">
        <v>99.9</v>
      </c>
      <c r="F1630" s="1358">
        <v>3</v>
      </c>
      <c r="G1630" s="1359">
        <f t="shared" si="263"/>
        <v>33.300000000000004</v>
      </c>
      <c r="H1630" s="1247" t="s">
        <v>1506</v>
      </c>
      <c r="I1630" s="1426"/>
      <c r="J1630" s="1427"/>
      <c r="K1630" s="1281"/>
      <c r="L1630" s="1281"/>
      <c r="N1630" s="1281"/>
    </row>
    <row r="1631" spans="1:14" x14ac:dyDescent="0.25">
      <c r="A1631" s="1428">
        <v>43852</v>
      </c>
      <c r="B1631" s="1428">
        <v>43852</v>
      </c>
      <c r="C1631" s="3340" t="s">
        <v>4581</v>
      </c>
      <c r="D1631" s="3341"/>
      <c r="E1631" s="1357">
        <v>6.9</v>
      </c>
      <c r="F1631" s="1358">
        <v>1</v>
      </c>
      <c r="G1631" s="1359">
        <f t="shared" si="263"/>
        <v>6.9</v>
      </c>
      <c r="H1631" s="1247" t="s">
        <v>1525</v>
      </c>
      <c r="I1631" s="1426"/>
      <c r="J1631" s="1427"/>
      <c r="K1631" s="1281"/>
      <c r="L1631" s="1281"/>
      <c r="N1631" s="1281"/>
    </row>
    <row r="1632" spans="1:14" x14ac:dyDescent="0.25">
      <c r="A1632" s="1428">
        <v>43854</v>
      </c>
      <c r="B1632" s="1428">
        <v>43854</v>
      </c>
      <c r="C1632" s="3340" t="s">
        <v>4582</v>
      </c>
      <c r="D1632" s="3341"/>
      <c r="E1632" s="1357">
        <v>2</v>
      </c>
      <c r="F1632" s="1358">
        <v>1</v>
      </c>
      <c r="G1632" s="1359">
        <f t="shared" si="263"/>
        <v>2</v>
      </c>
      <c r="H1632" s="1247" t="s">
        <v>1504</v>
      </c>
      <c r="I1632" s="1426"/>
      <c r="J1632" s="1427"/>
      <c r="K1632" s="1281"/>
      <c r="L1632" s="1281"/>
      <c r="N1632" s="1281"/>
    </row>
    <row r="1633" spans="1:14" ht="15.75" x14ac:dyDescent="0.25">
      <c r="A1633" s="3356" t="s">
        <v>4071</v>
      </c>
      <c r="B1633" s="3357"/>
      <c r="C1633" s="3357"/>
      <c r="D1633" s="3357"/>
      <c r="E1633" s="1396">
        <v>2670</v>
      </c>
      <c r="F1633" s="3366"/>
      <c r="G1633" s="3367"/>
    </row>
    <row r="1634" spans="1:14" ht="15.75" x14ac:dyDescent="0.25">
      <c r="A1634" s="3358" t="s">
        <v>4072</v>
      </c>
      <c r="B1634" s="3359"/>
      <c r="C1634" s="3359"/>
      <c r="D1634" s="3359"/>
      <c r="E1634" s="1397">
        <v>2209.1999999999998</v>
      </c>
      <c r="F1634" s="3368"/>
      <c r="G1634" s="3369"/>
      <c r="H1634" s="1247" t="s">
        <v>280</v>
      </c>
    </row>
    <row r="1635" spans="1:14" ht="15.75" x14ac:dyDescent="0.25">
      <c r="A1635" s="3356" t="s">
        <v>4073</v>
      </c>
      <c r="B1635" s="3357"/>
      <c r="C1635" s="3357"/>
      <c r="D1635" s="3357"/>
      <c r="E1635" s="1396">
        <v>810.11</v>
      </c>
      <c r="F1635" s="3368"/>
      <c r="G1635" s="3369"/>
    </row>
    <row r="1636" spans="1:14" ht="15.75" x14ac:dyDescent="0.25">
      <c r="A1636" s="3358" t="s">
        <v>4074</v>
      </c>
      <c r="B1636" s="3359"/>
      <c r="C1636" s="3359"/>
      <c r="D1636" s="3359"/>
      <c r="E1636" s="3359"/>
      <c r="F1636" s="3360"/>
      <c r="G1636" s="1387">
        <f>SUM(G1622:G1632)</f>
        <v>641.24999999999989</v>
      </c>
      <c r="H1636" s="1348"/>
    </row>
    <row r="1637" spans="1:14" ht="17.25" customHeight="1" thickBot="1" x14ac:dyDescent="0.3">
      <c r="A1637" s="3356" t="s">
        <v>4075</v>
      </c>
      <c r="B1637" s="3357"/>
      <c r="C1637" s="3357"/>
      <c r="D1637" s="3357"/>
      <c r="E1637" s="1388">
        <f>E1633-E1634</f>
        <v>460.80000000000018</v>
      </c>
      <c r="G1637" s="1389"/>
    </row>
    <row r="1638" spans="1:14" ht="16.5" customHeight="1" thickBot="1" x14ac:dyDescent="0.3"/>
    <row r="1639" spans="1:14" ht="19.5" thickBot="1" x14ac:dyDescent="0.35">
      <c r="A1639" s="3361" t="s">
        <v>4583</v>
      </c>
      <c r="B1639" s="3336"/>
      <c r="C1639" s="3336"/>
      <c r="D1639" s="3336"/>
      <c r="E1639" s="3336"/>
      <c r="F1639" s="3336"/>
      <c r="G1639" s="3337"/>
    </row>
    <row r="1640" spans="1:14" ht="16.5" thickBot="1" x14ac:dyDescent="0.3">
      <c r="A1640" s="1361" t="s">
        <v>4206</v>
      </c>
      <c r="B1640" s="1361" t="s">
        <v>4206</v>
      </c>
      <c r="C1640" s="3370" t="s">
        <v>3</v>
      </c>
      <c r="D1640" s="3371"/>
      <c r="E1640" s="1363" t="s">
        <v>4190</v>
      </c>
      <c r="F1640" s="1363" t="s">
        <v>4191</v>
      </c>
      <c r="G1640" s="1364" t="s">
        <v>382</v>
      </c>
    </row>
    <row r="1641" spans="1:14" x14ac:dyDescent="0.25">
      <c r="A1641" s="1428">
        <v>43720</v>
      </c>
      <c r="B1641" s="1428">
        <v>43720</v>
      </c>
      <c r="C1641" s="3374" t="s">
        <v>4584</v>
      </c>
      <c r="D1641" s="3375"/>
      <c r="E1641" s="1357">
        <v>500</v>
      </c>
      <c r="F1641" s="1358">
        <v>4</v>
      </c>
      <c r="G1641" s="1359">
        <f t="shared" ref="G1641:G1650" si="264">E1641/F1641</f>
        <v>125</v>
      </c>
      <c r="H1641" s="1247" t="s">
        <v>1525</v>
      </c>
      <c r="I1641" s="1321"/>
      <c r="J1641" s="1427"/>
      <c r="K1641" s="1281"/>
      <c r="L1641" s="1281"/>
      <c r="N1641" s="1281"/>
    </row>
    <row r="1642" spans="1:14" x14ac:dyDescent="0.25">
      <c r="A1642" s="1428">
        <v>43753</v>
      </c>
      <c r="B1642" s="1428">
        <v>43753</v>
      </c>
      <c r="C1642" s="3374" t="s">
        <v>4585</v>
      </c>
      <c r="D1642" s="3375"/>
      <c r="E1642" s="1357">
        <v>1649</v>
      </c>
      <c r="F1642" s="1358">
        <v>10</v>
      </c>
      <c r="G1642" s="1359">
        <f t="shared" si="264"/>
        <v>164.9</v>
      </c>
      <c r="H1642" s="1247" t="s">
        <v>1525</v>
      </c>
      <c r="I1642" s="1321"/>
      <c r="J1642" s="1427"/>
      <c r="K1642" s="1281"/>
      <c r="L1642" s="1281"/>
      <c r="N1642" s="1281"/>
    </row>
    <row r="1643" spans="1:14" x14ac:dyDescent="0.25">
      <c r="A1643" s="1428">
        <v>43766</v>
      </c>
      <c r="B1643" s="1428">
        <v>43766</v>
      </c>
      <c r="C1643" s="3374" t="s">
        <v>4586</v>
      </c>
      <c r="D1643" s="3375"/>
      <c r="E1643" s="1357">
        <v>150</v>
      </c>
      <c r="F1643" s="1358">
        <v>3</v>
      </c>
      <c r="G1643" s="1359">
        <f t="shared" si="264"/>
        <v>50</v>
      </c>
      <c r="H1643" s="1247" t="s">
        <v>1489</v>
      </c>
      <c r="I1643" s="1321"/>
      <c r="J1643" s="1427"/>
      <c r="K1643" s="1281"/>
      <c r="L1643" s="1281"/>
      <c r="N1643" s="1281"/>
    </row>
    <row r="1644" spans="1:14" x14ac:dyDescent="0.25">
      <c r="A1644" s="1428">
        <v>43776</v>
      </c>
      <c r="B1644" s="1428">
        <v>43776</v>
      </c>
      <c r="C1644" s="3340" t="s">
        <v>4513</v>
      </c>
      <c r="D1644" s="3341"/>
      <c r="E1644" s="1357">
        <v>158</v>
      </c>
      <c r="F1644" s="1358">
        <v>2</v>
      </c>
      <c r="G1644" s="1359">
        <f t="shared" si="264"/>
        <v>79</v>
      </c>
      <c r="H1644" s="1247" t="s">
        <v>1489</v>
      </c>
      <c r="I1644" s="1426"/>
      <c r="J1644" s="1427"/>
      <c r="K1644" s="1281"/>
      <c r="L1644" s="1281"/>
      <c r="N1644" s="1281"/>
    </row>
    <row r="1645" spans="1:14" x14ac:dyDescent="0.25">
      <c r="A1645" s="1428">
        <v>43782</v>
      </c>
      <c r="B1645" s="1428">
        <v>43782</v>
      </c>
      <c r="C1645" s="3340" t="s">
        <v>4587</v>
      </c>
      <c r="D1645" s="3341"/>
      <c r="E1645" s="1357">
        <v>149</v>
      </c>
      <c r="F1645" s="1358">
        <v>2</v>
      </c>
      <c r="G1645" s="1359">
        <f t="shared" si="264"/>
        <v>74.5</v>
      </c>
      <c r="H1645" s="1247" t="s">
        <v>1491</v>
      </c>
      <c r="I1645" s="1426"/>
      <c r="J1645" s="1427"/>
      <c r="K1645" s="1281"/>
      <c r="L1645" s="1281"/>
      <c r="N1645" s="1281"/>
    </row>
    <row r="1646" spans="1:14" x14ac:dyDescent="0.25">
      <c r="A1646" s="1428">
        <v>43796</v>
      </c>
      <c r="B1646" s="1428">
        <v>43796</v>
      </c>
      <c r="C1646" s="3340" t="s">
        <v>4508</v>
      </c>
      <c r="D1646" s="3341"/>
      <c r="E1646" s="1357">
        <v>106.9</v>
      </c>
      <c r="F1646" s="1358">
        <v>1</v>
      </c>
      <c r="G1646" s="1359">
        <f t="shared" si="264"/>
        <v>106.9</v>
      </c>
      <c r="H1646" s="1247" t="s">
        <v>1496</v>
      </c>
      <c r="I1646" s="1426"/>
      <c r="J1646" s="1427"/>
      <c r="K1646" s="1281"/>
      <c r="L1646" s="1281"/>
      <c r="N1646" s="1281"/>
    </row>
    <row r="1647" spans="1:14" x14ac:dyDescent="0.25">
      <c r="A1647" s="1428">
        <v>43796</v>
      </c>
      <c r="B1647" s="1428">
        <v>43796</v>
      </c>
      <c r="C1647" s="3340" t="s">
        <v>4588</v>
      </c>
      <c r="D1647" s="3341"/>
      <c r="E1647" s="1357">
        <v>101.9</v>
      </c>
      <c r="F1647" s="1358">
        <v>1</v>
      </c>
      <c r="G1647" s="1359">
        <f t="shared" si="264"/>
        <v>101.9</v>
      </c>
      <c r="I1647" s="1426"/>
      <c r="J1647" s="1427"/>
      <c r="K1647" s="1281"/>
      <c r="L1647" s="1281"/>
      <c r="N1647" s="1281"/>
    </row>
    <row r="1648" spans="1:14" x14ac:dyDescent="0.25">
      <c r="A1648" s="1447">
        <v>43796</v>
      </c>
      <c r="B1648" s="1447">
        <v>43796</v>
      </c>
      <c r="C1648" s="3393" t="s">
        <v>4589</v>
      </c>
      <c r="D1648" s="3394"/>
      <c r="E1648" s="1400">
        <v>-101.9</v>
      </c>
      <c r="F1648" s="1401">
        <v>1</v>
      </c>
      <c r="G1648" s="1359">
        <f t="shared" si="264"/>
        <v>-101.9</v>
      </c>
      <c r="I1648" s="1426"/>
      <c r="J1648" s="1427"/>
      <c r="K1648" s="1281"/>
      <c r="L1648" s="1281"/>
      <c r="N1648" s="1281"/>
    </row>
    <row r="1649" spans="1:14" x14ac:dyDescent="0.25">
      <c r="A1649" s="1428">
        <v>43796</v>
      </c>
      <c r="B1649" s="1428">
        <v>43796</v>
      </c>
      <c r="C1649" s="3340" t="s">
        <v>4590</v>
      </c>
      <c r="D1649" s="3341"/>
      <c r="E1649" s="1357">
        <v>101.9</v>
      </c>
      <c r="F1649" s="1358">
        <v>1</v>
      </c>
      <c r="G1649" s="1359">
        <f t="shared" si="264"/>
        <v>101.9</v>
      </c>
      <c r="H1649" s="1247" t="s">
        <v>1506</v>
      </c>
      <c r="I1649" s="1426"/>
      <c r="J1649" s="1427"/>
      <c r="K1649" s="1281"/>
      <c r="L1649" s="1281"/>
      <c r="N1649" s="1281"/>
    </row>
    <row r="1650" spans="1:14" x14ac:dyDescent="0.25">
      <c r="A1650" s="1428">
        <v>43820</v>
      </c>
      <c r="B1650" s="1428">
        <v>43820</v>
      </c>
      <c r="C1650" s="3340" t="s">
        <v>4591</v>
      </c>
      <c r="D1650" s="3341"/>
      <c r="E1650" s="1357">
        <v>107.91</v>
      </c>
      <c r="F1650" s="1358">
        <v>1</v>
      </c>
      <c r="G1650" s="1359">
        <f t="shared" si="264"/>
        <v>107.91</v>
      </c>
      <c r="H1650" s="1247" t="s">
        <v>1491</v>
      </c>
      <c r="I1650" s="1426"/>
      <c r="J1650" s="1427"/>
      <c r="K1650" s="1281"/>
      <c r="L1650" s="1281"/>
      <c r="N1650" s="1281"/>
    </row>
    <row r="1651" spans="1:14" ht="15.75" x14ac:dyDescent="0.25">
      <c r="A1651" s="3356" t="s">
        <v>4071</v>
      </c>
      <c r="B1651" s="3357"/>
      <c r="C1651" s="3357"/>
      <c r="D1651" s="3357"/>
      <c r="E1651" s="1396">
        <v>2670</v>
      </c>
      <c r="F1651" s="3366"/>
      <c r="G1651" s="3367"/>
    </row>
    <row r="1652" spans="1:14" ht="15.75" x14ac:dyDescent="0.25">
      <c r="A1652" s="3358" t="s">
        <v>4072</v>
      </c>
      <c r="B1652" s="3359"/>
      <c r="C1652" s="3359"/>
      <c r="D1652" s="3359"/>
      <c r="E1652" s="1397">
        <v>1964.41</v>
      </c>
      <c r="F1652" s="3368"/>
      <c r="G1652" s="3369"/>
      <c r="H1652" s="1247" t="s">
        <v>280</v>
      </c>
    </row>
    <row r="1653" spans="1:14" ht="15.75" x14ac:dyDescent="0.25">
      <c r="A1653" s="3356" t="s">
        <v>4073</v>
      </c>
      <c r="B1653" s="3357"/>
      <c r="C1653" s="3357"/>
      <c r="D1653" s="3357"/>
      <c r="E1653" s="1396">
        <f>G1671</f>
        <v>727.36666666666667</v>
      </c>
      <c r="F1653" s="3368"/>
      <c r="G1653" s="3369"/>
    </row>
    <row r="1654" spans="1:14" ht="15.75" x14ac:dyDescent="0.25">
      <c r="A1654" s="3358" t="s">
        <v>4074</v>
      </c>
      <c r="B1654" s="3359"/>
      <c r="C1654" s="3359"/>
      <c r="D1654" s="3359"/>
      <c r="E1654" s="3359"/>
      <c r="F1654" s="3360"/>
      <c r="G1654" s="1387">
        <f>SUM(G1641:G1650)</f>
        <v>810.1099999999999</v>
      </c>
      <c r="H1654" s="1348"/>
    </row>
    <row r="1655" spans="1:14" ht="17.25" customHeight="1" thickBot="1" x14ac:dyDescent="0.3">
      <c r="A1655" s="3356" t="s">
        <v>4075</v>
      </c>
      <c r="B1655" s="3357"/>
      <c r="C1655" s="3357"/>
      <c r="D1655" s="3357"/>
      <c r="E1655" s="1388">
        <f>E1651-E1652</f>
        <v>705.58999999999992</v>
      </c>
      <c r="G1655" s="1389"/>
    </row>
    <row r="1656" spans="1:14" ht="16.5" customHeight="1" thickBot="1" x14ac:dyDescent="0.3"/>
    <row r="1657" spans="1:14" ht="19.5" thickBot="1" x14ac:dyDescent="0.35">
      <c r="A1657" s="3361" t="s">
        <v>4592</v>
      </c>
      <c r="B1657" s="3336"/>
      <c r="C1657" s="3336"/>
      <c r="D1657" s="3336"/>
      <c r="E1657" s="3336"/>
      <c r="F1657" s="3336"/>
      <c r="G1657" s="3337"/>
    </row>
    <row r="1658" spans="1:14" ht="16.5" thickBot="1" x14ac:dyDescent="0.3">
      <c r="A1658" s="1361" t="s">
        <v>4206</v>
      </c>
      <c r="B1658" s="1361" t="s">
        <v>4206</v>
      </c>
      <c r="C1658" s="3370" t="s">
        <v>3</v>
      </c>
      <c r="D1658" s="3371"/>
      <c r="E1658" s="1363" t="s">
        <v>4190</v>
      </c>
      <c r="F1658" s="1363" t="s">
        <v>4191</v>
      </c>
      <c r="G1658" s="1364" t="s">
        <v>382</v>
      </c>
    </row>
    <row r="1659" spans="1:14" x14ac:dyDescent="0.25">
      <c r="A1659" s="1428">
        <v>43664</v>
      </c>
      <c r="B1659" s="1428">
        <v>43664</v>
      </c>
      <c r="C1659" s="3423" t="s">
        <v>4593</v>
      </c>
      <c r="D1659" s="3424"/>
      <c r="E1659" s="1357">
        <v>285</v>
      </c>
      <c r="F1659" s="1358">
        <v>5</v>
      </c>
      <c r="G1659" s="1359">
        <f t="shared" ref="G1659:G1667" si="265">E1659/F1659</f>
        <v>57</v>
      </c>
      <c r="H1659" s="1247" t="s">
        <v>2131</v>
      </c>
      <c r="I1659" s="1321"/>
      <c r="J1659" s="1427"/>
      <c r="K1659" s="1281"/>
      <c r="L1659" s="1281"/>
      <c r="N1659" s="1281"/>
    </row>
    <row r="1660" spans="1:14" x14ac:dyDescent="0.25">
      <c r="A1660" s="1428">
        <v>43714</v>
      </c>
      <c r="B1660" s="1428">
        <v>43714</v>
      </c>
      <c r="C1660" s="3423" t="s">
        <v>4594</v>
      </c>
      <c r="D1660" s="3424"/>
      <c r="E1660" s="1357">
        <v>291.89999999999998</v>
      </c>
      <c r="F1660" s="1358">
        <v>3</v>
      </c>
      <c r="G1660" s="1359">
        <f t="shared" si="265"/>
        <v>97.3</v>
      </c>
      <c r="H1660" s="1247" t="s">
        <v>1491</v>
      </c>
      <c r="I1660" s="1321"/>
      <c r="J1660" s="1427"/>
      <c r="K1660" s="1281"/>
      <c r="L1660" s="1281"/>
      <c r="N1660" s="1281"/>
    </row>
    <row r="1661" spans="1:14" x14ac:dyDescent="0.25">
      <c r="A1661" s="1428">
        <v>43720</v>
      </c>
      <c r="B1661" s="1428">
        <v>43720</v>
      </c>
      <c r="C1661" s="3374" t="s">
        <v>4595</v>
      </c>
      <c r="D1661" s="3375"/>
      <c r="E1661" s="1357">
        <v>500</v>
      </c>
      <c r="F1661" s="1358">
        <v>4</v>
      </c>
      <c r="G1661" s="1359">
        <f t="shared" si="265"/>
        <v>125</v>
      </c>
      <c r="H1661" s="1247" t="s">
        <v>1525</v>
      </c>
      <c r="I1661" s="1321"/>
      <c r="J1661" s="1427"/>
      <c r="K1661" s="1281"/>
      <c r="L1661" s="1281"/>
      <c r="N1661" s="1281"/>
    </row>
    <row r="1662" spans="1:14" x14ac:dyDescent="0.25">
      <c r="A1662" s="1428">
        <v>43720</v>
      </c>
      <c r="B1662" s="1428">
        <v>43720</v>
      </c>
      <c r="C1662" s="3374" t="s">
        <v>4596</v>
      </c>
      <c r="D1662" s="3375"/>
      <c r="E1662" s="1357">
        <v>179</v>
      </c>
      <c r="F1662" s="1358">
        <v>3</v>
      </c>
      <c r="G1662" s="1359">
        <f t="shared" si="265"/>
        <v>59.666666666666664</v>
      </c>
      <c r="H1662" s="1247" t="s">
        <v>1506</v>
      </c>
      <c r="I1662" s="1321"/>
      <c r="J1662" s="1427"/>
      <c r="K1662" s="1281"/>
      <c r="L1662" s="1281"/>
      <c r="N1662" s="1281"/>
    </row>
    <row r="1663" spans="1:14" x14ac:dyDescent="0.25">
      <c r="A1663" s="1428">
        <v>43753</v>
      </c>
      <c r="B1663" s="1428">
        <v>43753</v>
      </c>
      <c r="C1663" s="3374" t="s">
        <v>4597</v>
      </c>
      <c r="D1663" s="3375"/>
      <c r="E1663" s="1357">
        <v>1649</v>
      </c>
      <c r="F1663" s="1358">
        <v>10</v>
      </c>
      <c r="G1663" s="1359">
        <f t="shared" si="265"/>
        <v>164.9</v>
      </c>
      <c r="H1663" s="1247" t="s">
        <v>1525</v>
      </c>
      <c r="I1663" s="1321"/>
      <c r="J1663" s="1427"/>
      <c r="K1663" s="1281"/>
      <c r="L1663" s="1281"/>
      <c r="N1663" s="1281"/>
    </row>
    <row r="1664" spans="1:14" x14ac:dyDescent="0.25">
      <c r="A1664" s="1428">
        <v>43766</v>
      </c>
      <c r="B1664" s="1428">
        <v>43766</v>
      </c>
      <c r="C1664" s="3374" t="s">
        <v>4598</v>
      </c>
      <c r="D1664" s="3375"/>
      <c r="E1664" s="1357">
        <v>40</v>
      </c>
      <c r="F1664" s="1358">
        <v>2</v>
      </c>
      <c r="G1664" s="1359">
        <f t="shared" si="265"/>
        <v>20</v>
      </c>
      <c r="H1664" s="1247" t="s">
        <v>1506</v>
      </c>
      <c r="I1664" s="1321"/>
      <c r="J1664" s="1427"/>
      <c r="K1664" s="1281"/>
      <c r="L1664" s="1281"/>
      <c r="N1664" s="1281"/>
    </row>
    <row r="1665" spans="1:14" x14ac:dyDescent="0.25">
      <c r="A1665" s="1428">
        <v>43766</v>
      </c>
      <c r="B1665" s="1428">
        <v>43766</v>
      </c>
      <c r="C1665" s="3374" t="s">
        <v>4599</v>
      </c>
      <c r="D1665" s="3375"/>
      <c r="E1665" s="1357">
        <v>150</v>
      </c>
      <c r="F1665" s="1358">
        <v>3</v>
      </c>
      <c r="G1665" s="1359">
        <f t="shared" si="265"/>
        <v>50</v>
      </c>
      <c r="H1665" s="1247" t="s">
        <v>1489</v>
      </c>
      <c r="I1665" s="1321"/>
      <c r="J1665" s="1427"/>
      <c r="K1665" s="1281"/>
      <c r="L1665" s="1281"/>
      <c r="N1665" s="1281"/>
    </row>
    <row r="1666" spans="1:14" x14ac:dyDescent="0.25">
      <c r="A1666" s="1428">
        <v>43776</v>
      </c>
      <c r="B1666" s="1428">
        <v>43776</v>
      </c>
      <c r="C1666" s="3340" t="s">
        <v>4525</v>
      </c>
      <c r="D1666" s="3341"/>
      <c r="E1666" s="1357">
        <v>158</v>
      </c>
      <c r="F1666" s="1358">
        <v>2</v>
      </c>
      <c r="G1666" s="1359">
        <f t="shared" si="265"/>
        <v>79</v>
      </c>
      <c r="H1666" s="1247" t="s">
        <v>1489</v>
      </c>
      <c r="I1666" s="1426"/>
      <c r="J1666" s="1427"/>
      <c r="K1666" s="1281"/>
      <c r="L1666" s="1281"/>
      <c r="N1666" s="1281"/>
    </row>
    <row r="1667" spans="1:14" x14ac:dyDescent="0.25">
      <c r="A1667" s="1428">
        <v>43782</v>
      </c>
      <c r="B1667" s="1428">
        <v>43782</v>
      </c>
      <c r="C1667" s="3340" t="s">
        <v>4600</v>
      </c>
      <c r="D1667" s="3341"/>
      <c r="E1667" s="1357">
        <v>149</v>
      </c>
      <c r="F1667" s="1358">
        <v>2</v>
      </c>
      <c r="G1667" s="1359">
        <f t="shared" si="265"/>
        <v>74.5</v>
      </c>
      <c r="H1667" s="1247" t="s">
        <v>1491</v>
      </c>
      <c r="I1667" s="1426"/>
      <c r="J1667" s="1427"/>
      <c r="K1667" s="1281"/>
      <c r="L1667" s="1281"/>
      <c r="N1667" s="1281"/>
    </row>
    <row r="1668" spans="1:14" ht="15.75" x14ac:dyDescent="0.25">
      <c r="A1668" s="3356" t="s">
        <v>4071</v>
      </c>
      <c r="B1668" s="3357"/>
      <c r="C1668" s="3357"/>
      <c r="D1668" s="3357"/>
      <c r="E1668" s="1396">
        <v>2670</v>
      </c>
      <c r="F1668" s="3366"/>
      <c r="G1668" s="3367"/>
    </row>
    <row r="1669" spans="1:14" ht="15.75" x14ac:dyDescent="0.25">
      <c r="A1669" s="3358" t="s">
        <v>4072</v>
      </c>
      <c r="B1669" s="3359"/>
      <c r="C1669" s="3359"/>
      <c r="D1669" s="3359"/>
      <c r="E1669" s="1397">
        <v>2375.0700000000002</v>
      </c>
      <c r="F1669" s="3368"/>
      <c r="G1669" s="3369"/>
      <c r="H1669" s="1247" t="s">
        <v>280</v>
      </c>
    </row>
    <row r="1670" spans="1:14" ht="15.75" x14ac:dyDescent="0.25">
      <c r="A1670" s="3356" t="s">
        <v>4073</v>
      </c>
      <c r="B1670" s="3357"/>
      <c r="C1670" s="3357"/>
      <c r="D1670" s="3357"/>
      <c r="E1670" s="1396">
        <f>G1687</f>
        <v>624.34666666666669</v>
      </c>
      <c r="F1670" s="3368"/>
      <c r="G1670" s="3369"/>
    </row>
    <row r="1671" spans="1:14" ht="15.75" x14ac:dyDescent="0.25">
      <c r="A1671" s="3358" t="s">
        <v>4074</v>
      </c>
      <c r="B1671" s="3359"/>
      <c r="C1671" s="3359"/>
      <c r="D1671" s="3359"/>
      <c r="E1671" s="3359"/>
      <c r="F1671" s="3360"/>
      <c r="G1671" s="1387">
        <f>SUM(G1659:G1667)</f>
        <v>727.36666666666667</v>
      </c>
      <c r="H1671" s="1348"/>
    </row>
    <row r="1672" spans="1:14" ht="17.25" customHeight="1" thickBot="1" x14ac:dyDescent="0.3">
      <c r="A1672" s="3356" t="s">
        <v>4075</v>
      </c>
      <c r="B1672" s="3357"/>
      <c r="C1672" s="3357"/>
      <c r="D1672" s="3357"/>
      <c r="E1672" s="1388">
        <f>E1668-E1669</f>
        <v>294.92999999999984</v>
      </c>
      <c r="G1672" s="1389"/>
    </row>
    <row r="1673" spans="1:14" ht="16.5" customHeight="1" thickBot="1" x14ac:dyDescent="0.3"/>
    <row r="1674" spans="1:14" ht="19.5" thickBot="1" x14ac:dyDescent="0.35">
      <c r="A1674" s="3361" t="s">
        <v>4601</v>
      </c>
      <c r="B1674" s="3336"/>
      <c r="C1674" s="3336"/>
      <c r="D1674" s="3336"/>
      <c r="E1674" s="3336"/>
      <c r="F1674" s="3336"/>
      <c r="G1674" s="3337"/>
    </row>
    <row r="1675" spans="1:14" ht="16.5" thickBot="1" x14ac:dyDescent="0.3">
      <c r="A1675" s="1361" t="s">
        <v>4206</v>
      </c>
      <c r="B1675" s="1361" t="s">
        <v>4206</v>
      </c>
      <c r="C1675" s="3370" t="s">
        <v>3</v>
      </c>
      <c r="D1675" s="3371"/>
      <c r="E1675" s="1363" t="s">
        <v>4190</v>
      </c>
      <c r="F1675" s="1363" t="s">
        <v>4191</v>
      </c>
      <c r="G1675" s="1364" t="s">
        <v>382</v>
      </c>
    </row>
    <row r="1676" spans="1:14" x14ac:dyDescent="0.25">
      <c r="A1676" s="1428">
        <v>43664</v>
      </c>
      <c r="B1676" s="1428">
        <v>43664</v>
      </c>
      <c r="C1676" s="3423" t="s">
        <v>4602</v>
      </c>
      <c r="D1676" s="3424"/>
      <c r="E1676" s="1357">
        <v>285</v>
      </c>
      <c r="F1676" s="1358">
        <v>5</v>
      </c>
      <c r="G1676" s="1359">
        <f t="shared" ref="G1676:G1683" si="266">E1676/F1676</f>
        <v>57</v>
      </c>
      <c r="H1676" s="1247" t="s">
        <v>2131</v>
      </c>
      <c r="I1676" s="1321"/>
      <c r="J1676" s="1427"/>
      <c r="K1676" s="1281"/>
      <c r="L1676" s="1281"/>
      <c r="N1676" s="1281"/>
    </row>
    <row r="1677" spans="1:14" x14ac:dyDescent="0.25">
      <c r="A1677" s="1428">
        <v>43714</v>
      </c>
      <c r="B1677" s="1428">
        <v>43714</v>
      </c>
      <c r="C1677" s="3423" t="s">
        <v>4603</v>
      </c>
      <c r="D1677" s="3424"/>
      <c r="E1677" s="1357">
        <v>291.89999999999998</v>
      </c>
      <c r="F1677" s="1358">
        <v>3</v>
      </c>
      <c r="G1677" s="1359">
        <f t="shared" si="266"/>
        <v>97.3</v>
      </c>
      <c r="H1677" s="1247" t="s">
        <v>1491</v>
      </c>
      <c r="I1677" s="1321"/>
      <c r="J1677" s="1427"/>
      <c r="K1677" s="1281"/>
      <c r="L1677" s="1281"/>
      <c r="N1677" s="1281"/>
    </row>
    <row r="1678" spans="1:14" x14ac:dyDescent="0.25">
      <c r="A1678" s="1428">
        <v>43720</v>
      </c>
      <c r="B1678" s="1428">
        <v>43720</v>
      </c>
      <c r="C1678" s="3374" t="s">
        <v>4604</v>
      </c>
      <c r="D1678" s="3375"/>
      <c r="E1678" s="1357">
        <v>500</v>
      </c>
      <c r="F1678" s="1358">
        <v>4</v>
      </c>
      <c r="G1678" s="1359">
        <f t="shared" si="266"/>
        <v>125</v>
      </c>
      <c r="H1678" s="1247" t="s">
        <v>1525</v>
      </c>
      <c r="I1678" s="1321"/>
      <c r="J1678" s="1427"/>
      <c r="K1678" s="1281"/>
      <c r="L1678" s="1281"/>
      <c r="N1678" s="1281"/>
    </row>
    <row r="1679" spans="1:14" x14ac:dyDescent="0.25">
      <c r="A1679" s="1428">
        <v>43720</v>
      </c>
      <c r="B1679" s="1428">
        <v>43720</v>
      </c>
      <c r="C1679" s="3374" t="s">
        <v>4605</v>
      </c>
      <c r="D1679" s="3375"/>
      <c r="E1679" s="1357">
        <v>179</v>
      </c>
      <c r="F1679" s="1358">
        <v>3</v>
      </c>
      <c r="G1679" s="1359">
        <f t="shared" si="266"/>
        <v>59.666666666666664</v>
      </c>
      <c r="H1679" s="1247" t="s">
        <v>1506</v>
      </c>
      <c r="I1679" s="1321"/>
      <c r="J1679" s="1427"/>
      <c r="K1679" s="1281"/>
      <c r="L1679" s="1281"/>
      <c r="N1679" s="1281"/>
    </row>
    <row r="1680" spans="1:14" x14ac:dyDescent="0.25">
      <c r="A1680" s="1428">
        <v>43725</v>
      </c>
      <c r="B1680" s="1428">
        <v>43725</v>
      </c>
      <c r="C1680" s="3374" t="s">
        <v>4606</v>
      </c>
      <c r="D1680" s="3375"/>
      <c r="E1680" s="1357">
        <v>100.96</v>
      </c>
      <c r="F1680" s="1358">
        <v>2</v>
      </c>
      <c r="G1680" s="1359">
        <f t="shared" si="266"/>
        <v>50.48</v>
      </c>
      <c r="H1680" s="1247" t="s">
        <v>1506</v>
      </c>
      <c r="I1680" s="1321"/>
      <c r="J1680" s="1427"/>
      <c r="K1680" s="1281"/>
      <c r="L1680" s="1281"/>
      <c r="N1680" s="1281"/>
    </row>
    <row r="1681" spans="1:14" x14ac:dyDescent="0.25">
      <c r="A1681" s="1428">
        <v>43753</v>
      </c>
      <c r="B1681" s="1428">
        <v>43753</v>
      </c>
      <c r="C1681" s="3374" t="s">
        <v>4607</v>
      </c>
      <c r="D1681" s="3375"/>
      <c r="E1681" s="1357">
        <v>1649</v>
      </c>
      <c r="F1681" s="1358">
        <v>10</v>
      </c>
      <c r="G1681" s="1359">
        <f t="shared" si="266"/>
        <v>164.9</v>
      </c>
      <c r="H1681" s="1247" t="s">
        <v>1525</v>
      </c>
      <c r="I1681" s="1321"/>
      <c r="J1681" s="1427"/>
      <c r="K1681" s="1281"/>
      <c r="L1681" s="1281"/>
      <c r="N1681" s="1281"/>
    </row>
    <row r="1682" spans="1:14" x14ac:dyDescent="0.25">
      <c r="A1682" s="1428">
        <v>43766</v>
      </c>
      <c r="B1682" s="1428">
        <v>43766</v>
      </c>
      <c r="C1682" s="3374" t="s">
        <v>4608</v>
      </c>
      <c r="D1682" s="3375"/>
      <c r="E1682" s="1357">
        <v>40</v>
      </c>
      <c r="F1682" s="1358">
        <v>2</v>
      </c>
      <c r="G1682" s="1359">
        <f t="shared" si="266"/>
        <v>20</v>
      </c>
      <c r="H1682" s="1247" t="s">
        <v>1506</v>
      </c>
      <c r="I1682" s="1321"/>
      <c r="J1682" s="1427"/>
      <c r="K1682" s="1281"/>
      <c r="L1682" s="1281"/>
      <c r="N1682" s="1281"/>
    </row>
    <row r="1683" spans="1:14" x14ac:dyDescent="0.25">
      <c r="A1683" s="1428">
        <v>43766</v>
      </c>
      <c r="B1683" s="1428">
        <v>43766</v>
      </c>
      <c r="C1683" s="3374" t="s">
        <v>4609</v>
      </c>
      <c r="D1683" s="3375"/>
      <c r="E1683" s="1357">
        <v>150</v>
      </c>
      <c r="F1683" s="1358">
        <v>3</v>
      </c>
      <c r="G1683" s="1359">
        <f t="shared" si="266"/>
        <v>50</v>
      </c>
      <c r="H1683" s="1247" t="s">
        <v>1489</v>
      </c>
      <c r="I1683" s="1321"/>
      <c r="J1683" s="1427"/>
      <c r="K1683" s="1281"/>
      <c r="L1683" s="1281"/>
      <c r="N1683" s="1281"/>
    </row>
    <row r="1684" spans="1:14" ht="15.75" x14ac:dyDescent="0.25">
      <c r="A1684" s="3356" t="s">
        <v>4071</v>
      </c>
      <c r="B1684" s="3357"/>
      <c r="C1684" s="3357"/>
      <c r="D1684" s="3357"/>
      <c r="E1684" s="1396">
        <v>3670</v>
      </c>
      <c r="F1684" s="3366"/>
      <c r="G1684" s="3367"/>
    </row>
    <row r="1685" spans="1:14" ht="15.75" x14ac:dyDescent="0.25">
      <c r="A1685" s="3358" t="s">
        <v>4072</v>
      </c>
      <c r="B1685" s="3359"/>
      <c r="C1685" s="3359"/>
      <c r="D1685" s="3359"/>
      <c r="E1685" s="1397">
        <v>2691.94</v>
      </c>
      <c r="F1685" s="3368"/>
      <c r="G1685" s="3369"/>
      <c r="H1685" s="1247" t="s">
        <v>280</v>
      </c>
    </row>
    <row r="1686" spans="1:14" ht="15.75" x14ac:dyDescent="0.25">
      <c r="A1686" s="3356" t="s">
        <v>4073</v>
      </c>
      <c r="B1686" s="3357"/>
      <c r="C1686" s="3357"/>
      <c r="D1686" s="3357"/>
      <c r="E1686" s="1396">
        <v>469.42</v>
      </c>
      <c r="F1686" s="3368"/>
      <c r="G1686" s="3369"/>
    </row>
    <row r="1687" spans="1:14" ht="15.75" x14ac:dyDescent="0.25">
      <c r="A1687" s="3358" t="s">
        <v>4074</v>
      </c>
      <c r="B1687" s="3359"/>
      <c r="C1687" s="3359"/>
      <c r="D1687" s="3359"/>
      <c r="E1687" s="3359"/>
      <c r="F1687" s="3360"/>
      <c r="G1687" s="1387">
        <f>SUM(G1676:G1683)</f>
        <v>624.34666666666669</v>
      </c>
      <c r="H1687" s="1348"/>
    </row>
    <row r="1688" spans="1:14" ht="17.25" customHeight="1" thickBot="1" x14ac:dyDescent="0.3">
      <c r="A1688" s="3356" t="s">
        <v>4075</v>
      </c>
      <c r="B1688" s="3357"/>
      <c r="C1688" s="3357"/>
      <c r="D1688" s="3357"/>
      <c r="E1688" s="1388">
        <f>E1684-E1685</f>
        <v>978.06</v>
      </c>
      <c r="G1688" s="1389"/>
    </row>
    <row r="1689" spans="1:14" ht="16.5" customHeight="1" thickBot="1" x14ac:dyDescent="0.3"/>
    <row r="1690" spans="1:14" ht="19.5" thickBot="1" x14ac:dyDescent="0.35">
      <c r="A1690" s="3361" t="s">
        <v>4610</v>
      </c>
      <c r="B1690" s="3336"/>
      <c r="C1690" s="3336"/>
      <c r="D1690" s="3336"/>
      <c r="E1690" s="3336"/>
      <c r="F1690" s="3336"/>
      <c r="G1690" s="3337"/>
    </row>
    <row r="1691" spans="1:14" ht="16.5" thickBot="1" x14ac:dyDescent="0.3">
      <c r="A1691" s="1361" t="s">
        <v>4206</v>
      </c>
      <c r="B1691" s="1361" t="s">
        <v>4206</v>
      </c>
      <c r="C1691" s="3370" t="s">
        <v>3</v>
      </c>
      <c r="D1691" s="3371"/>
      <c r="E1691" s="1363" t="s">
        <v>4190</v>
      </c>
      <c r="F1691" s="1363" t="s">
        <v>4191</v>
      </c>
      <c r="G1691" s="1364" t="s">
        <v>382</v>
      </c>
    </row>
    <row r="1692" spans="1:14" x14ac:dyDescent="0.25">
      <c r="A1692" s="1428">
        <v>43664</v>
      </c>
      <c r="B1692" s="1428">
        <v>43664</v>
      </c>
      <c r="C1692" s="3423" t="s">
        <v>4611</v>
      </c>
      <c r="D1692" s="3424"/>
      <c r="E1692" s="1357">
        <v>285</v>
      </c>
      <c r="F1692" s="1358">
        <v>5</v>
      </c>
      <c r="G1692" s="1359">
        <f t="shared" ref="G1692:G1697" si="267">E1692/F1692</f>
        <v>57</v>
      </c>
      <c r="H1692" s="1247" t="s">
        <v>2131</v>
      </c>
      <c r="I1692" s="1321"/>
      <c r="J1692" s="1427"/>
      <c r="K1692" s="1281"/>
      <c r="L1692" s="1281"/>
      <c r="N1692" s="1281"/>
    </row>
    <row r="1693" spans="1:14" x14ac:dyDescent="0.25">
      <c r="A1693" s="1428">
        <v>43714</v>
      </c>
      <c r="B1693" s="1428">
        <v>43714</v>
      </c>
      <c r="C1693" s="3423" t="s">
        <v>4612</v>
      </c>
      <c r="D1693" s="3424"/>
      <c r="E1693" s="1357">
        <v>291.89999999999998</v>
      </c>
      <c r="F1693" s="1358">
        <v>3</v>
      </c>
      <c r="G1693" s="1359">
        <f t="shared" si="267"/>
        <v>97.3</v>
      </c>
      <c r="H1693" s="1247" t="s">
        <v>1491</v>
      </c>
      <c r="I1693" s="1321"/>
      <c r="J1693" s="1427"/>
      <c r="K1693" s="1281"/>
      <c r="L1693" s="1281"/>
      <c r="N1693" s="1281"/>
    </row>
    <row r="1694" spans="1:14" x14ac:dyDescent="0.25">
      <c r="A1694" s="1428">
        <v>43720</v>
      </c>
      <c r="B1694" s="1428">
        <v>43720</v>
      </c>
      <c r="C1694" s="3374" t="s">
        <v>4613</v>
      </c>
      <c r="D1694" s="3375"/>
      <c r="E1694" s="1357">
        <v>500</v>
      </c>
      <c r="F1694" s="1358">
        <v>4</v>
      </c>
      <c r="G1694" s="1359">
        <f t="shared" si="267"/>
        <v>125</v>
      </c>
      <c r="H1694" s="1247" t="s">
        <v>1525</v>
      </c>
      <c r="I1694" s="1321"/>
      <c r="J1694" s="1427"/>
      <c r="K1694" s="1281"/>
      <c r="L1694" s="1281"/>
      <c r="N1694" s="1281"/>
    </row>
    <row r="1695" spans="1:14" x14ac:dyDescent="0.25">
      <c r="A1695" s="1428">
        <v>43720</v>
      </c>
      <c r="B1695" s="1428">
        <v>43720</v>
      </c>
      <c r="C1695" s="3374" t="s">
        <v>4614</v>
      </c>
      <c r="D1695" s="3375"/>
      <c r="E1695" s="1357">
        <v>179</v>
      </c>
      <c r="F1695" s="1358">
        <v>3</v>
      </c>
      <c r="G1695" s="1359">
        <f t="shared" si="267"/>
        <v>59.666666666666664</v>
      </c>
      <c r="H1695" s="1247" t="s">
        <v>1506</v>
      </c>
      <c r="I1695" s="1321"/>
      <c r="J1695" s="1427"/>
      <c r="K1695" s="1281"/>
      <c r="L1695" s="1281"/>
      <c r="N1695" s="1281"/>
    </row>
    <row r="1696" spans="1:14" x14ac:dyDescent="0.25">
      <c r="A1696" s="1428">
        <v>43721</v>
      </c>
      <c r="B1696" s="1428">
        <v>43721</v>
      </c>
      <c r="C1696" s="3374" t="s">
        <v>4615</v>
      </c>
      <c r="D1696" s="3375"/>
      <c r="E1696" s="1357">
        <v>80.45</v>
      </c>
      <c r="F1696" s="1358">
        <v>1</v>
      </c>
      <c r="G1696" s="1359">
        <f t="shared" si="267"/>
        <v>80.45</v>
      </c>
      <c r="H1696" s="1247" t="s">
        <v>1491</v>
      </c>
      <c r="I1696" s="1321"/>
      <c r="J1696" s="1427"/>
      <c r="K1696" s="1281"/>
      <c r="L1696" s="1281"/>
      <c r="N1696" s="1281"/>
    </row>
    <row r="1697" spans="1:14" x14ac:dyDescent="0.25">
      <c r="A1697" s="1428">
        <v>43725</v>
      </c>
      <c r="B1697" s="1428">
        <v>43725</v>
      </c>
      <c r="C1697" s="3374" t="s">
        <v>4616</v>
      </c>
      <c r="D1697" s="3375"/>
      <c r="E1697" s="1357">
        <v>100.96</v>
      </c>
      <c r="F1697" s="1358">
        <v>2</v>
      </c>
      <c r="G1697" s="1359">
        <f t="shared" si="267"/>
        <v>50.48</v>
      </c>
      <c r="H1697" s="1247" t="s">
        <v>1506</v>
      </c>
      <c r="I1697" s="1321"/>
      <c r="J1697" s="1427"/>
      <c r="K1697" s="1281"/>
      <c r="L1697" s="1281"/>
      <c r="N1697" s="1281"/>
    </row>
    <row r="1698" spans="1:14" ht="15.75" x14ac:dyDescent="0.25">
      <c r="A1698" s="3356" t="s">
        <v>4071</v>
      </c>
      <c r="B1698" s="3357"/>
      <c r="C1698" s="3357"/>
      <c r="D1698" s="3357"/>
      <c r="E1698" s="1396">
        <v>3670</v>
      </c>
      <c r="F1698" s="3366"/>
      <c r="G1698" s="3367"/>
    </row>
    <row r="1699" spans="1:14" ht="15.75" x14ac:dyDescent="0.25">
      <c r="A1699" s="3358" t="s">
        <v>4072</v>
      </c>
      <c r="B1699" s="3359"/>
      <c r="C1699" s="3359"/>
      <c r="D1699" s="3359"/>
      <c r="E1699" s="1397">
        <v>1322.35</v>
      </c>
      <c r="F1699" s="3368"/>
      <c r="G1699" s="3369"/>
      <c r="H1699" s="1247" t="s">
        <v>280</v>
      </c>
    </row>
    <row r="1700" spans="1:14" ht="15.75" x14ac:dyDescent="0.25">
      <c r="A1700" s="3356" t="s">
        <v>4073</v>
      </c>
      <c r="B1700" s="3357"/>
      <c r="C1700" s="3357"/>
      <c r="D1700" s="3357"/>
      <c r="E1700" s="1396">
        <v>452.92</v>
      </c>
      <c r="F1700" s="3368"/>
      <c r="G1700" s="3369"/>
    </row>
    <row r="1701" spans="1:14" ht="15.75" x14ac:dyDescent="0.25">
      <c r="A1701" s="3358" t="s">
        <v>4074</v>
      </c>
      <c r="B1701" s="3359"/>
      <c r="C1701" s="3359"/>
      <c r="D1701" s="3359"/>
      <c r="E1701" s="3359"/>
      <c r="F1701" s="3360"/>
      <c r="G1701" s="1387">
        <f>SUM(G1692:G1697)</f>
        <v>469.8966666666667</v>
      </c>
      <c r="H1701" s="1348"/>
    </row>
    <row r="1702" spans="1:14" ht="17.25" customHeight="1" thickBot="1" x14ac:dyDescent="0.3">
      <c r="A1702" s="3356" t="s">
        <v>4075</v>
      </c>
      <c r="B1702" s="3357"/>
      <c r="C1702" s="3357"/>
      <c r="D1702" s="3357"/>
      <c r="E1702" s="1388">
        <f>E1698-E1699</f>
        <v>2347.65</v>
      </c>
      <c r="G1702" s="1389"/>
    </row>
    <row r="1703" spans="1:14" ht="16.5" customHeight="1" thickBot="1" x14ac:dyDescent="0.3">
      <c r="I1703" s="2866" t="s">
        <v>135</v>
      </c>
    </row>
    <row r="1704" spans="1:14" ht="19.5" thickBot="1" x14ac:dyDescent="0.35">
      <c r="A1704" s="3361" t="s">
        <v>4617</v>
      </c>
      <c r="B1704" s="3336"/>
      <c r="C1704" s="3336"/>
      <c r="D1704" s="3336"/>
      <c r="E1704" s="3336"/>
      <c r="F1704" s="3336"/>
      <c r="G1704" s="3337"/>
    </row>
    <row r="1705" spans="1:14" ht="16.5" thickBot="1" x14ac:dyDescent="0.3">
      <c r="A1705" s="1361" t="s">
        <v>4206</v>
      </c>
      <c r="B1705" s="1361" t="s">
        <v>4206</v>
      </c>
      <c r="C1705" s="3370" t="s">
        <v>3</v>
      </c>
      <c r="D1705" s="3371"/>
      <c r="E1705" s="1363" t="s">
        <v>4190</v>
      </c>
      <c r="F1705" s="1363" t="s">
        <v>4191</v>
      </c>
      <c r="G1705" s="1364" t="s">
        <v>382</v>
      </c>
      <c r="I1705" s="1336" t="s">
        <v>4208</v>
      </c>
    </row>
    <row r="1706" spans="1:14" x14ac:dyDescent="0.25">
      <c r="A1706" s="1428">
        <v>43606</v>
      </c>
      <c r="B1706" s="1428">
        <v>43606</v>
      </c>
      <c r="C1706" s="3340" t="s">
        <v>4618</v>
      </c>
      <c r="D1706" s="3341"/>
      <c r="E1706" s="1357">
        <v>200</v>
      </c>
      <c r="F1706" s="1358">
        <v>4</v>
      </c>
      <c r="G1706" s="1359">
        <f t="shared" ref="G1706:G1714" si="268">E1706/F1706</f>
        <v>50</v>
      </c>
      <c r="H1706" s="1247" t="s">
        <v>1506</v>
      </c>
      <c r="I1706" s="1426"/>
      <c r="J1706" s="1427"/>
      <c r="K1706" s="1281"/>
      <c r="L1706" s="1281"/>
      <c r="N1706" s="1281"/>
    </row>
    <row r="1707" spans="1:14" x14ac:dyDescent="0.25">
      <c r="A1707" s="1428">
        <v>43613</v>
      </c>
      <c r="B1707" s="1428">
        <v>43613</v>
      </c>
      <c r="C1707" s="3340" t="s">
        <v>4619</v>
      </c>
      <c r="D1707" s="3341"/>
      <c r="E1707" s="1357">
        <v>136</v>
      </c>
      <c r="F1707" s="1358">
        <v>3</v>
      </c>
      <c r="G1707" s="1359">
        <f t="shared" si="268"/>
        <v>45.333333333333336</v>
      </c>
      <c r="H1707" s="1247" t="s">
        <v>1522</v>
      </c>
      <c r="I1707" s="1426"/>
      <c r="J1707" s="1427"/>
      <c r="K1707" s="1281"/>
      <c r="L1707" s="1281"/>
      <c r="N1707" s="1281"/>
    </row>
    <row r="1708" spans="1:14" x14ac:dyDescent="0.25">
      <c r="A1708" s="1428">
        <v>43648</v>
      </c>
      <c r="B1708" s="1428">
        <v>43648</v>
      </c>
      <c r="C1708" s="3423" t="s">
        <v>4620</v>
      </c>
      <c r="D1708" s="3424"/>
      <c r="E1708" s="1357">
        <v>85</v>
      </c>
      <c r="F1708" s="1358">
        <v>2</v>
      </c>
      <c r="G1708" s="1359">
        <f t="shared" si="268"/>
        <v>42.5</v>
      </c>
      <c r="I1708" s="1321">
        <v>42.5</v>
      </c>
      <c r="J1708" s="1427"/>
      <c r="K1708" s="1281"/>
      <c r="L1708" s="1281"/>
      <c r="N1708" s="1281"/>
    </row>
    <row r="1709" spans="1:14" x14ac:dyDescent="0.25">
      <c r="A1709" s="1428">
        <v>43654</v>
      </c>
      <c r="B1709" s="1428">
        <v>43654</v>
      </c>
      <c r="C1709" s="3423" t="s">
        <v>4621</v>
      </c>
      <c r="D1709" s="3424"/>
      <c r="E1709" s="1357">
        <v>130</v>
      </c>
      <c r="F1709" s="1358">
        <v>2</v>
      </c>
      <c r="G1709" s="1359">
        <f t="shared" si="268"/>
        <v>65</v>
      </c>
      <c r="H1709" s="1247" t="s">
        <v>1506</v>
      </c>
      <c r="J1709" s="1427"/>
      <c r="K1709" s="1281"/>
      <c r="L1709" s="1281"/>
      <c r="N1709" s="1281"/>
    </row>
    <row r="1710" spans="1:14" x14ac:dyDescent="0.25">
      <c r="A1710" s="1428">
        <v>43664</v>
      </c>
      <c r="B1710" s="1428">
        <v>43664</v>
      </c>
      <c r="C1710" s="3423" t="s">
        <v>4622</v>
      </c>
      <c r="D1710" s="3424"/>
      <c r="E1710" s="1357">
        <v>285</v>
      </c>
      <c r="F1710" s="1358">
        <v>5</v>
      </c>
      <c r="G1710" s="1359">
        <f t="shared" si="268"/>
        <v>57</v>
      </c>
      <c r="H1710" s="1247" t="s">
        <v>2131</v>
      </c>
      <c r="I1710" s="1321"/>
      <c r="J1710" s="1427"/>
      <c r="K1710" s="1281"/>
      <c r="L1710" s="1281"/>
      <c r="N1710" s="1281"/>
    </row>
    <row r="1711" spans="1:14" x14ac:dyDescent="0.25">
      <c r="A1711" s="1428">
        <v>43669</v>
      </c>
      <c r="B1711" s="1428">
        <v>43669</v>
      </c>
      <c r="C1711" s="3423" t="s">
        <v>4623</v>
      </c>
      <c r="D1711" s="3424"/>
      <c r="E1711" s="1357">
        <v>100</v>
      </c>
      <c r="F1711" s="1358">
        <v>2</v>
      </c>
      <c r="G1711" s="1359">
        <f t="shared" si="268"/>
        <v>50</v>
      </c>
      <c r="H1711" s="1247" t="s">
        <v>4624</v>
      </c>
      <c r="I1711" s="1321"/>
      <c r="J1711" s="1427"/>
      <c r="K1711" s="1281"/>
      <c r="L1711" s="1281"/>
      <c r="N1711" s="1281"/>
    </row>
    <row r="1712" spans="1:14" x14ac:dyDescent="0.25">
      <c r="A1712" s="1428">
        <v>43681</v>
      </c>
      <c r="B1712" s="1428">
        <v>43681</v>
      </c>
      <c r="C1712" s="3374" t="s">
        <v>4625</v>
      </c>
      <c r="D1712" s="3375"/>
      <c r="E1712" s="1357">
        <v>43.09</v>
      </c>
      <c r="F1712" s="1358">
        <v>1</v>
      </c>
      <c r="G1712" s="1359">
        <f t="shared" si="268"/>
        <v>43.09</v>
      </c>
      <c r="I1712" s="1321">
        <f>G1712</f>
        <v>43.09</v>
      </c>
      <c r="J1712" s="1427"/>
      <c r="K1712" s="1281"/>
      <c r="L1712" s="1281"/>
      <c r="N1712" s="1281"/>
    </row>
    <row r="1713" spans="1:14" x14ac:dyDescent="0.25">
      <c r="A1713" s="1428">
        <v>43685</v>
      </c>
      <c r="B1713" s="1428">
        <v>43685</v>
      </c>
      <c r="C1713" s="3374" t="s">
        <v>4626</v>
      </c>
      <c r="D1713" s="3375"/>
      <c r="E1713" s="1357">
        <v>50</v>
      </c>
      <c r="F1713" s="1358">
        <v>1</v>
      </c>
      <c r="G1713" s="1359">
        <f t="shared" si="268"/>
        <v>50</v>
      </c>
      <c r="H1713" s="1247" t="s">
        <v>1489</v>
      </c>
      <c r="I1713" s="1321"/>
      <c r="J1713" s="1427"/>
      <c r="K1713" s="1281"/>
      <c r="L1713" s="1281"/>
      <c r="N1713" s="1281"/>
    </row>
    <row r="1714" spans="1:14" x14ac:dyDescent="0.25">
      <c r="A1714" s="1428">
        <v>43703</v>
      </c>
      <c r="B1714" s="1428">
        <v>43703</v>
      </c>
      <c r="C1714" s="3374" t="s">
        <v>4627</v>
      </c>
      <c r="D1714" s="3375"/>
      <c r="E1714" s="1357">
        <v>50</v>
      </c>
      <c r="F1714" s="1358">
        <v>1</v>
      </c>
      <c r="G1714" s="1359">
        <f t="shared" si="268"/>
        <v>50</v>
      </c>
      <c r="H1714" s="1247" t="s">
        <v>1506</v>
      </c>
      <c r="I1714" s="1321"/>
      <c r="J1714" s="1427"/>
      <c r="K1714" s="1281"/>
      <c r="L1714" s="1281"/>
      <c r="N1714" s="1281"/>
    </row>
    <row r="1715" spans="1:14" ht="15.75" x14ac:dyDescent="0.25">
      <c r="A1715" s="3356" t="s">
        <v>4071</v>
      </c>
      <c r="B1715" s="3357"/>
      <c r="C1715" s="3357"/>
      <c r="D1715" s="3357"/>
      <c r="E1715" s="1396">
        <v>3670</v>
      </c>
      <c r="F1715" s="3366"/>
      <c r="G1715" s="3367"/>
    </row>
    <row r="1716" spans="1:14" ht="15.75" x14ac:dyDescent="0.25">
      <c r="A1716" s="3358" t="s">
        <v>4072</v>
      </c>
      <c r="B1716" s="3359"/>
      <c r="C1716" s="3359"/>
      <c r="D1716" s="3359"/>
      <c r="E1716" s="1397">
        <v>623.91999999999996</v>
      </c>
      <c r="F1716" s="3368"/>
      <c r="G1716" s="3369"/>
      <c r="H1716" s="1247" t="s">
        <v>280</v>
      </c>
    </row>
    <row r="1717" spans="1:14" ht="15.75" x14ac:dyDescent="0.25">
      <c r="A1717" s="3356" t="s">
        <v>4073</v>
      </c>
      <c r="B1717" s="3357"/>
      <c r="C1717" s="3357"/>
      <c r="D1717" s="3357"/>
      <c r="E1717" s="1396">
        <v>483.17</v>
      </c>
      <c r="F1717" s="3368"/>
      <c r="G1717" s="3369"/>
    </row>
    <row r="1718" spans="1:14" ht="15.75" x14ac:dyDescent="0.25">
      <c r="A1718" s="3358" t="s">
        <v>4074</v>
      </c>
      <c r="B1718" s="3359"/>
      <c r="C1718" s="3359"/>
      <c r="D1718" s="3359"/>
      <c r="E1718" s="3359"/>
      <c r="F1718" s="3360"/>
      <c r="G1718" s="1387">
        <f>SUM(G1706:G1714)</f>
        <v>452.9233333333334</v>
      </c>
      <c r="H1718" s="1348">
        <f>G1718-I1708-I1712</f>
        <v>367.33333333333337</v>
      </c>
      <c r="I1718" s="1336" t="s">
        <v>4141</v>
      </c>
    </row>
    <row r="1719" spans="1:14" ht="17.25" customHeight="1" thickBot="1" x14ac:dyDescent="0.3">
      <c r="A1719" s="3356" t="s">
        <v>4075</v>
      </c>
      <c r="B1719" s="3357"/>
      <c r="C1719" s="3357"/>
      <c r="D1719" s="3357"/>
      <c r="E1719" s="1388">
        <f>E1715-E1716</f>
        <v>3046.08</v>
      </c>
      <c r="G1719" s="1389"/>
    </row>
    <row r="1720" spans="1:14" ht="16.5" customHeight="1" thickBot="1" x14ac:dyDescent="0.3">
      <c r="I1720" s="2866" t="s">
        <v>135</v>
      </c>
    </row>
    <row r="1721" spans="1:14" ht="19.5" thickBot="1" x14ac:dyDescent="0.35">
      <c r="A1721" s="3361" t="s">
        <v>4628</v>
      </c>
      <c r="B1721" s="3336"/>
      <c r="C1721" s="3336"/>
      <c r="D1721" s="3336"/>
      <c r="E1721" s="3336"/>
      <c r="F1721" s="3336"/>
      <c r="G1721" s="3337"/>
    </row>
    <row r="1722" spans="1:14" ht="16.5" thickBot="1" x14ac:dyDescent="0.3">
      <c r="A1722" s="1361" t="s">
        <v>4206</v>
      </c>
      <c r="B1722" s="1361" t="s">
        <v>4206</v>
      </c>
      <c r="C1722" s="3370" t="s">
        <v>3</v>
      </c>
      <c r="D1722" s="3371"/>
      <c r="E1722" s="1363" t="s">
        <v>4190</v>
      </c>
      <c r="F1722" s="1363" t="s">
        <v>4191</v>
      </c>
      <c r="G1722" s="1364" t="s">
        <v>382</v>
      </c>
      <c r="I1722" s="1336" t="s">
        <v>4208</v>
      </c>
    </row>
    <row r="1723" spans="1:14" x14ac:dyDescent="0.25">
      <c r="A1723" s="1428">
        <v>43596</v>
      </c>
      <c r="B1723" s="1428">
        <v>43596</v>
      </c>
      <c r="C1723" s="3421" t="s">
        <v>4629</v>
      </c>
      <c r="D1723" s="3422"/>
      <c r="E1723" s="1357">
        <v>190</v>
      </c>
      <c r="F1723" s="1358">
        <v>3</v>
      </c>
      <c r="G1723" s="1359">
        <f t="shared" ref="G1723:G1732" si="269">E1723/F1723</f>
        <v>63.333333333333336</v>
      </c>
      <c r="H1723" s="1247" t="s">
        <v>1489</v>
      </c>
      <c r="I1723" s="1426"/>
      <c r="J1723" s="1427"/>
      <c r="K1723" s="1281"/>
      <c r="L1723" s="1281"/>
      <c r="N1723" s="1281"/>
    </row>
    <row r="1724" spans="1:14" x14ac:dyDescent="0.25">
      <c r="A1724" s="1428">
        <v>43605</v>
      </c>
      <c r="B1724" s="1428">
        <v>43605</v>
      </c>
      <c r="C1724" s="3397" t="s">
        <v>4630</v>
      </c>
      <c r="D1724" s="3398"/>
      <c r="E1724" s="1357">
        <v>150</v>
      </c>
      <c r="F1724" s="1358">
        <v>3</v>
      </c>
      <c r="G1724" s="1359">
        <f t="shared" si="269"/>
        <v>50</v>
      </c>
      <c r="H1724" s="1247" t="s">
        <v>1489</v>
      </c>
      <c r="I1724" s="1426"/>
      <c r="J1724" s="1427"/>
      <c r="K1724" s="1281"/>
      <c r="L1724" s="1281"/>
      <c r="N1724" s="1281"/>
    </row>
    <row r="1725" spans="1:14" x14ac:dyDescent="0.25">
      <c r="A1725" s="1428">
        <v>43606</v>
      </c>
      <c r="B1725" s="1428">
        <v>43606</v>
      </c>
      <c r="C1725" s="3397" t="s">
        <v>4631</v>
      </c>
      <c r="D1725" s="3398"/>
      <c r="E1725" s="1357">
        <v>200</v>
      </c>
      <c r="F1725" s="1358">
        <v>4</v>
      </c>
      <c r="G1725" s="1359">
        <f t="shared" si="269"/>
        <v>50</v>
      </c>
      <c r="H1725" s="1247" t="s">
        <v>1506</v>
      </c>
      <c r="I1725" s="1426"/>
      <c r="J1725" s="1427"/>
      <c r="K1725" s="1281"/>
      <c r="L1725" s="1281"/>
      <c r="N1725" s="1281"/>
    </row>
    <row r="1726" spans="1:14" x14ac:dyDescent="0.25">
      <c r="A1726" s="1428">
        <v>43613</v>
      </c>
      <c r="B1726" s="1428">
        <v>43613</v>
      </c>
      <c r="C1726" s="3397" t="s">
        <v>4632</v>
      </c>
      <c r="D1726" s="3398"/>
      <c r="E1726" s="1357">
        <v>136</v>
      </c>
      <c r="F1726" s="1358">
        <v>3</v>
      </c>
      <c r="G1726" s="1359">
        <f t="shared" si="269"/>
        <v>45.333333333333336</v>
      </c>
      <c r="H1726" s="1247" t="s">
        <v>1522</v>
      </c>
      <c r="I1726" s="1426"/>
      <c r="J1726" s="1427"/>
      <c r="K1726" s="1281"/>
      <c r="L1726" s="1281"/>
      <c r="N1726" s="1281"/>
    </row>
    <row r="1727" spans="1:14" x14ac:dyDescent="0.25">
      <c r="A1727" s="1428">
        <v>43648</v>
      </c>
      <c r="B1727" s="1428">
        <v>43648</v>
      </c>
      <c r="C1727" s="3419" t="s">
        <v>4633</v>
      </c>
      <c r="D1727" s="3420"/>
      <c r="E1727" s="1357">
        <v>85</v>
      </c>
      <c r="F1727" s="1358">
        <v>2</v>
      </c>
      <c r="G1727" s="1359">
        <f t="shared" si="269"/>
        <v>42.5</v>
      </c>
      <c r="I1727" s="1321">
        <v>42.5</v>
      </c>
      <c r="J1727" s="1427"/>
      <c r="K1727" s="1281"/>
      <c r="L1727" s="1281"/>
      <c r="N1727" s="1281"/>
    </row>
    <row r="1728" spans="1:14" x14ac:dyDescent="0.25">
      <c r="A1728" s="1428">
        <v>43654</v>
      </c>
      <c r="B1728" s="1428">
        <v>43654</v>
      </c>
      <c r="C1728" s="3419" t="s">
        <v>2288</v>
      </c>
      <c r="D1728" s="3420"/>
      <c r="E1728" s="1357">
        <v>50</v>
      </c>
      <c r="F1728" s="1358">
        <v>1</v>
      </c>
      <c r="G1728" s="1359">
        <f t="shared" si="269"/>
        <v>50</v>
      </c>
      <c r="H1728" s="1247" t="s">
        <v>1525</v>
      </c>
      <c r="I1728" s="1426"/>
      <c r="J1728" s="1427"/>
      <c r="K1728" s="1281"/>
      <c r="L1728" s="1281"/>
      <c r="N1728" s="1281"/>
    </row>
    <row r="1729" spans="1:14" x14ac:dyDescent="0.25">
      <c r="A1729" s="1428">
        <v>43654</v>
      </c>
      <c r="B1729" s="1428">
        <v>43654</v>
      </c>
      <c r="C1729" s="3419" t="s">
        <v>4634</v>
      </c>
      <c r="D1729" s="3420"/>
      <c r="E1729" s="1357">
        <v>130</v>
      </c>
      <c r="F1729" s="1358">
        <v>2</v>
      </c>
      <c r="G1729" s="1359">
        <f t="shared" si="269"/>
        <v>65</v>
      </c>
      <c r="H1729" s="1247" t="s">
        <v>1506</v>
      </c>
      <c r="I1729" s="1321"/>
      <c r="J1729" s="1427"/>
      <c r="K1729" s="1281"/>
      <c r="L1729" s="1281"/>
      <c r="N1729" s="1281"/>
    </row>
    <row r="1730" spans="1:14" x14ac:dyDescent="0.25">
      <c r="A1730" s="1428">
        <v>43664</v>
      </c>
      <c r="B1730" s="1428">
        <v>43664</v>
      </c>
      <c r="C1730" s="3419" t="s">
        <v>4635</v>
      </c>
      <c r="D1730" s="3420"/>
      <c r="E1730" s="1357">
        <v>285</v>
      </c>
      <c r="F1730" s="1358">
        <v>5</v>
      </c>
      <c r="G1730" s="1359">
        <f t="shared" si="269"/>
        <v>57</v>
      </c>
      <c r="H1730" s="1247" t="s">
        <v>2131</v>
      </c>
      <c r="I1730" s="1321"/>
      <c r="J1730" s="1427"/>
      <c r="K1730" s="1281"/>
      <c r="L1730" s="1281"/>
      <c r="N1730" s="1281"/>
    </row>
    <row r="1731" spans="1:14" x14ac:dyDescent="0.25">
      <c r="A1731" s="1428">
        <v>43669</v>
      </c>
      <c r="B1731" s="1428">
        <v>43669</v>
      </c>
      <c r="C1731" s="3419" t="s">
        <v>4636</v>
      </c>
      <c r="D1731" s="3420"/>
      <c r="E1731" s="1357">
        <v>100</v>
      </c>
      <c r="F1731" s="1358">
        <v>2</v>
      </c>
      <c r="G1731" s="1359">
        <f t="shared" si="269"/>
        <v>50</v>
      </c>
      <c r="H1731" s="1247" t="s">
        <v>4624</v>
      </c>
      <c r="I1731" s="1321"/>
      <c r="J1731" s="1427"/>
      <c r="K1731" s="1281"/>
      <c r="L1731" s="1281"/>
      <c r="N1731" s="1281"/>
    </row>
    <row r="1732" spans="1:14" x14ac:dyDescent="0.25">
      <c r="A1732" s="1428">
        <v>43672</v>
      </c>
      <c r="B1732" s="1428">
        <v>43672</v>
      </c>
      <c r="C1732" s="3389" t="s">
        <v>4637</v>
      </c>
      <c r="D1732" s="3390"/>
      <c r="E1732" s="1357">
        <v>10</v>
      </c>
      <c r="F1732" s="1358">
        <v>1</v>
      </c>
      <c r="G1732" s="1359">
        <f t="shared" si="269"/>
        <v>10</v>
      </c>
      <c r="H1732" s="1247" t="s">
        <v>1506</v>
      </c>
      <c r="I1732" s="1426"/>
      <c r="J1732" s="1427"/>
      <c r="K1732" s="1281"/>
      <c r="L1732" s="1281"/>
      <c r="N1732" s="1281"/>
    </row>
    <row r="1733" spans="1:14" ht="15.75" x14ac:dyDescent="0.25">
      <c r="A1733" s="3356" t="s">
        <v>4071</v>
      </c>
      <c r="B1733" s="3357"/>
      <c r="C1733" s="3357"/>
      <c r="D1733" s="3357"/>
      <c r="E1733" s="1396">
        <v>3670</v>
      </c>
      <c r="F1733" s="3366"/>
      <c r="G1733" s="3367"/>
    </row>
    <row r="1734" spans="1:14" ht="15.75" x14ac:dyDescent="0.25">
      <c r="A1734" s="3358" t="s">
        <v>4072</v>
      </c>
      <c r="B1734" s="3359"/>
      <c r="C1734" s="3359"/>
      <c r="D1734" s="3359"/>
      <c r="E1734" s="1397">
        <v>963.99</v>
      </c>
      <c r="F1734" s="3368"/>
      <c r="G1734" s="3369"/>
      <c r="H1734" s="1247" t="s">
        <v>280</v>
      </c>
    </row>
    <row r="1735" spans="1:14" ht="15.75" x14ac:dyDescent="0.25">
      <c r="A1735" s="3356" t="s">
        <v>4073</v>
      </c>
      <c r="B1735" s="3357"/>
      <c r="C1735" s="3357"/>
      <c r="D1735" s="3357"/>
      <c r="E1735" s="1396">
        <v>701.87</v>
      </c>
      <c r="F1735" s="3368"/>
      <c r="G1735" s="3369"/>
    </row>
    <row r="1736" spans="1:14" ht="15.75" x14ac:dyDescent="0.25">
      <c r="A1736" s="3358" t="s">
        <v>4074</v>
      </c>
      <c r="B1736" s="3359"/>
      <c r="C1736" s="3359"/>
      <c r="D1736" s="3359"/>
      <c r="E1736" s="3359"/>
      <c r="F1736" s="3360"/>
      <c r="G1736" s="1387">
        <f>SUM(G1723:G1732)</f>
        <v>483.16666666666669</v>
      </c>
      <c r="H1736" s="1348">
        <f>G1736-I1727-I1732</f>
        <v>440.66666666666669</v>
      </c>
      <c r="I1736" s="1336" t="s">
        <v>4141</v>
      </c>
    </row>
    <row r="1737" spans="1:14" ht="17.25" customHeight="1" thickBot="1" x14ac:dyDescent="0.3">
      <c r="A1737" s="3356" t="s">
        <v>4075</v>
      </c>
      <c r="B1737" s="3357"/>
      <c r="C1737" s="3357"/>
      <c r="D1737" s="3357"/>
      <c r="E1737" s="1388">
        <f>E1733-E1734</f>
        <v>2706.01</v>
      </c>
      <c r="G1737" s="1389"/>
    </row>
    <row r="1738" spans="1:14" ht="16.5" customHeight="1" thickBot="1" x14ac:dyDescent="0.3">
      <c r="I1738" s="2866" t="s">
        <v>135</v>
      </c>
    </row>
    <row r="1739" spans="1:14" ht="19.5" thickBot="1" x14ac:dyDescent="0.35">
      <c r="A1739" s="3361" t="s">
        <v>4638</v>
      </c>
      <c r="B1739" s="3336"/>
      <c r="C1739" s="3336"/>
      <c r="D1739" s="3336"/>
      <c r="E1739" s="3336"/>
      <c r="F1739" s="3336"/>
      <c r="G1739" s="3337"/>
    </row>
    <row r="1740" spans="1:14" ht="16.5" thickBot="1" x14ac:dyDescent="0.3">
      <c r="A1740" s="1361" t="s">
        <v>4206</v>
      </c>
      <c r="B1740" s="1361" t="s">
        <v>4206</v>
      </c>
      <c r="C1740" s="3370" t="s">
        <v>3</v>
      </c>
      <c r="D1740" s="3371"/>
      <c r="E1740" s="1363" t="s">
        <v>4190</v>
      </c>
      <c r="F1740" s="1363" t="s">
        <v>4191</v>
      </c>
      <c r="G1740" s="1364" t="s">
        <v>382</v>
      </c>
      <c r="I1740" s="1336" t="s">
        <v>4208</v>
      </c>
    </row>
    <row r="1741" spans="1:14" x14ac:dyDescent="0.25">
      <c r="A1741" s="1428">
        <v>43587</v>
      </c>
      <c r="B1741" s="1428">
        <v>43587</v>
      </c>
      <c r="C1741" s="3389" t="s">
        <v>4639</v>
      </c>
      <c r="D1741" s="3390"/>
      <c r="E1741" s="1357">
        <v>226.42</v>
      </c>
      <c r="F1741" s="1358">
        <v>2</v>
      </c>
      <c r="G1741" s="1359">
        <f t="shared" ref="G1741:G1749" si="270">E1741/F1741</f>
        <v>113.21</v>
      </c>
      <c r="H1741" s="1247" t="s">
        <v>1496</v>
      </c>
      <c r="I1741" s="1281"/>
      <c r="J1741" s="1427"/>
      <c r="K1741" s="1281"/>
      <c r="L1741" s="1281"/>
      <c r="N1741" s="1281"/>
    </row>
    <row r="1742" spans="1:14" x14ac:dyDescent="0.25">
      <c r="A1742" s="1428">
        <v>43596</v>
      </c>
      <c r="B1742" s="1428">
        <v>43596</v>
      </c>
      <c r="C1742" s="3389" t="s">
        <v>4640</v>
      </c>
      <c r="D1742" s="3390"/>
      <c r="E1742" s="1357">
        <v>190</v>
      </c>
      <c r="F1742" s="1358">
        <v>3</v>
      </c>
      <c r="G1742" s="1359">
        <f t="shared" si="270"/>
        <v>63.333333333333336</v>
      </c>
      <c r="H1742" s="1247" t="s">
        <v>1489</v>
      </c>
      <c r="I1742" s="1426"/>
      <c r="J1742" s="1427"/>
      <c r="K1742" s="1281"/>
      <c r="L1742" s="1281"/>
      <c r="N1742" s="1281"/>
    </row>
    <row r="1743" spans="1:14" x14ac:dyDescent="0.25">
      <c r="A1743" s="1428">
        <v>43605</v>
      </c>
      <c r="B1743" s="1428">
        <v>43605</v>
      </c>
      <c r="C1743" s="3397" t="s">
        <v>4641</v>
      </c>
      <c r="D1743" s="3398"/>
      <c r="E1743" s="1357">
        <v>150</v>
      </c>
      <c r="F1743" s="1358">
        <v>3</v>
      </c>
      <c r="G1743" s="1359">
        <f t="shared" si="270"/>
        <v>50</v>
      </c>
      <c r="H1743" s="1247" t="s">
        <v>1489</v>
      </c>
      <c r="I1743" s="1426"/>
      <c r="J1743" s="1427"/>
      <c r="K1743" s="1281"/>
      <c r="L1743" s="1281"/>
      <c r="N1743" s="1281"/>
    </row>
    <row r="1744" spans="1:14" x14ac:dyDescent="0.25">
      <c r="A1744" s="1428">
        <v>43606</v>
      </c>
      <c r="B1744" s="1428">
        <v>43606</v>
      </c>
      <c r="C1744" s="3397" t="s">
        <v>4642</v>
      </c>
      <c r="D1744" s="3398"/>
      <c r="E1744" s="1357">
        <v>200</v>
      </c>
      <c r="F1744" s="1358">
        <v>4</v>
      </c>
      <c r="G1744" s="1359">
        <f t="shared" si="270"/>
        <v>50</v>
      </c>
      <c r="H1744" s="1247" t="s">
        <v>1506</v>
      </c>
      <c r="I1744" s="1426"/>
      <c r="J1744" s="1427"/>
      <c r="K1744" s="1281"/>
      <c r="L1744" s="1281"/>
      <c r="N1744" s="1281"/>
    </row>
    <row r="1745" spans="1:14" x14ac:dyDescent="0.25">
      <c r="A1745" s="1428">
        <v>43613</v>
      </c>
      <c r="B1745" s="1428">
        <v>43613</v>
      </c>
      <c r="C1745" s="3397" t="s">
        <v>4643</v>
      </c>
      <c r="D1745" s="3398"/>
      <c r="E1745" s="1357">
        <v>136</v>
      </c>
      <c r="F1745" s="1358">
        <v>3</v>
      </c>
      <c r="G1745" s="1359">
        <f t="shared" si="270"/>
        <v>45.333333333333336</v>
      </c>
      <c r="H1745" s="1247" t="s">
        <v>1522</v>
      </c>
      <c r="I1745" s="1426"/>
      <c r="J1745" s="1427"/>
      <c r="K1745" s="1281"/>
      <c r="L1745" s="1281"/>
      <c r="N1745" s="1281"/>
    </row>
    <row r="1746" spans="1:14" x14ac:dyDescent="0.25">
      <c r="A1746" s="1428">
        <v>43631</v>
      </c>
      <c r="B1746" s="1428">
        <v>43631</v>
      </c>
      <c r="C1746" s="3397" t="s">
        <v>4644</v>
      </c>
      <c r="D1746" s="3398"/>
      <c r="E1746" s="1357">
        <v>70</v>
      </c>
      <c r="F1746" s="1358">
        <v>1</v>
      </c>
      <c r="G1746" s="1359">
        <f t="shared" si="270"/>
        <v>70</v>
      </c>
      <c r="H1746" s="1247" t="s">
        <v>1506</v>
      </c>
      <c r="I1746" s="1426"/>
      <c r="J1746" s="1427"/>
      <c r="K1746" s="1281"/>
      <c r="L1746" s="1281"/>
      <c r="N1746" s="1281"/>
    </row>
    <row r="1747" spans="1:14" x14ac:dyDescent="0.25">
      <c r="A1747" s="1428">
        <v>43631</v>
      </c>
      <c r="B1747" s="1428">
        <v>43631</v>
      </c>
      <c r="C1747" s="3397" t="s">
        <v>1241</v>
      </c>
      <c r="D1747" s="3398"/>
      <c r="E1747" s="1357">
        <v>10</v>
      </c>
      <c r="F1747" s="1358">
        <v>1</v>
      </c>
      <c r="G1747" s="1359">
        <f t="shared" si="270"/>
        <v>10</v>
      </c>
      <c r="H1747" s="1247" t="s">
        <v>1504</v>
      </c>
      <c r="I1747" s="1426"/>
      <c r="J1747" s="1427"/>
      <c r="K1747" s="1281"/>
      <c r="L1747" s="1281"/>
      <c r="N1747" s="1281"/>
    </row>
    <row r="1748" spans="1:14" x14ac:dyDescent="0.25">
      <c r="A1748" s="1428">
        <v>43633</v>
      </c>
      <c r="B1748" s="1428">
        <v>43633</v>
      </c>
      <c r="C1748" s="3397" t="s">
        <v>4645</v>
      </c>
      <c r="D1748" s="3398"/>
      <c r="E1748" s="1357">
        <v>59.99</v>
      </c>
      <c r="F1748" s="1358">
        <v>1</v>
      </c>
      <c r="G1748" s="1359">
        <f t="shared" si="270"/>
        <v>59.99</v>
      </c>
      <c r="H1748" s="1247" t="s">
        <v>1491</v>
      </c>
      <c r="I1748" s="1426"/>
      <c r="J1748" s="1427"/>
      <c r="K1748" s="1281"/>
      <c r="L1748" s="1281"/>
      <c r="N1748" s="1281"/>
    </row>
    <row r="1749" spans="1:14" x14ac:dyDescent="0.25">
      <c r="A1749" s="1428">
        <v>43633</v>
      </c>
      <c r="B1749" s="1428">
        <v>43633</v>
      </c>
      <c r="C1749" s="3397" t="s">
        <v>4646</v>
      </c>
      <c r="D1749" s="3398"/>
      <c r="E1749" s="1357">
        <v>240</v>
      </c>
      <c r="F1749" s="1358">
        <v>1</v>
      </c>
      <c r="G1749" s="1359">
        <f t="shared" si="270"/>
        <v>240</v>
      </c>
      <c r="H1749" s="1247" t="s">
        <v>1489</v>
      </c>
      <c r="I1749" s="1321">
        <v>180</v>
      </c>
      <c r="J1749" s="1427"/>
      <c r="K1749" s="1281"/>
      <c r="L1749" s="1281"/>
      <c r="N1749" s="1281"/>
    </row>
    <row r="1750" spans="1:14" ht="15.75" x14ac:dyDescent="0.25">
      <c r="A1750" s="3356" t="s">
        <v>4071</v>
      </c>
      <c r="B1750" s="3357"/>
      <c r="C1750" s="3357"/>
      <c r="D1750" s="3357"/>
      <c r="E1750" s="1396">
        <v>2000</v>
      </c>
      <c r="F1750" s="3366"/>
      <c r="G1750" s="3367"/>
    </row>
    <row r="1751" spans="1:14" ht="15.75" x14ac:dyDescent="0.25">
      <c r="A1751" s="3358" t="s">
        <v>4072</v>
      </c>
      <c r="B1751" s="3359"/>
      <c r="C1751" s="3359"/>
      <c r="D1751" s="3359"/>
      <c r="E1751" s="1397">
        <v>1005.87</v>
      </c>
      <c r="F1751" s="3368"/>
      <c r="G1751" s="3369"/>
      <c r="H1751" s="1247" t="s">
        <v>280</v>
      </c>
    </row>
    <row r="1752" spans="1:14" ht="15.75" x14ac:dyDescent="0.25">
      <c r="A1752" s="3356" t="s">
        <v>4073</v>
      </c>
      <c r="B1752" s="3357"/>
      <c r="C1752" s="3357"/>
      <c r="D1752" s="3357"/>
      <c r="E1752" s="1396">
        <v>855.19</v>
      </c>
      <c r="F1752" s="3368"/>
      <c r="G1752" s="3369"/>
    </row>
    <row r="1753" spans="1:14" ht="15.75" x14ac:dyDescent="0.25">
      <c r="A1753" s="3358" t="s">
        <v>4074</v>
      </c>
      <c r="B1753" s="3359"/>
      <c r="C1753" s="3359"/>
      <c r="D1753" s="3359"/>
      <c r="E1753" s="3359"/>
      <c r="F1753" s="3360"/>
      <c r="G1753" s="1387">
        <f>SUM(G1741:G1749)</f>
        <v>701.86666666666656</v>
      </c>
      <c r="H1753" s="1348">
        <f>G1753-I1749</f>
        <v>521.86666666666656</v>
      </c>
      <c r="I1753" s="1336" t="s">
        <v>4141</v>
      </c>
    </row>
    <row r="1754" spans="1:14" ht="17.25" customHeight="1" thickBot="1" x14ac:dyDescent="0.3">
      <c r="A1754" s="3356" t="s">
        <v>4075</v>
      </c>
      <c r="B1754" s="3357"/>
      <c r="C1754" s="3357"/>
      <c r="D1754" s="3357"/>
      <c r="E1754" s="1388">
        <f>E1750-E1751</f>
        <v>994.13</v>
      </c>
      <c r="G1754" s="1389"/>
    </row>
    <row r="1755" spans="1:14" ht="16.5" customHeight="1" thickBot="1" x14ac:dyDescent="0.3">
      <c r="I1755" s="2866" t="s">
        <v>135</v>
      </c>
    </row>
    <row r="1756" spans="1:14" ht="19.5" thickBot="1" x14ac:dyDescent="0.35">
      <c r="A1756" s="3361" t="s">
        <v>4647</v>
      </c>
      <c r="B1756" s="3336"/>
      <c r="C1756" s="3336"/>
      <c r="D1756" s="3336"/>
      <c r="E1756" s="3336"/>
      <c r="F1756" s="3336"/>
      <c r="G1756" s="3337"/>
    </row>
    <row r="1757" spans="1:14" ht="16.5" thickBot="1" x14ac:dyDescent="0.3">
      <c r="A1757" s="1361" t="s">
        <v>4206</v>
      </c>
      <c r="B1757" s="1361" t="s">
        <v>4206</v>
      </c>
      <c r="C1757" s="3370" t="s">
        <v>3</v>
      </c>
      <c r="D1757" s="3371"/>
      <c r="E1757" s="1363" t="s">
        <v>4190</v>
      </c>
      <c r="F1757" s="1363" t="s">
        <v>4191</v>
      </c>
      <c r="G1757" s="1364" t="s">
        <v>382</v>
      </c>
      <c r="I1757" s="1336" t="s">
        <v>4208</v>
      </c>
    </row>
    <row r="1758" spans="1:14" x14ac:dyDescent="0.25">
      <c r="A1758" s="1428">
        <v>43547</v>
      </c>
      <c r="B1758" s="1428">
        <v>43547</v>
      </c>
      <c r="C1758" s="3389" t="s">
        <v>4648</v>
      </c>
      <c r="D1758" s="3390"/>
      <c r="E1758" s="1357">
        <v>150</v>
      </c>
      <c r="F1758" s="1358">
        <v>3</v>
      </c>
      <c r="G1758" s="1359">
        <f t="shared" ref="G1758:G1764" si="271">E1758/F1758</f>
        <v>50</v>
      </c>
      <c r="H1758" s="1247" t="s">
        <v>1506</v>
      </c>
      <c r="I1758" s="1321"/>
      <c r="J1758" s="1427"/>
      <c r="K1758" s="1281"/>
      <c r="L1758" s="1281"/>
      <c r="N1758" s="1281"/>
    </row>
    <row r="1759" spans="1:14" x14ac:dyDescent="0.25">
      <c r="A1759" s="1428">
        <v>43587</v>
      </c>
      <c r="B1759" s="1428">
        <v>43587</v>
      </c>
      <c r="C1759" s="3389" t="s">
        <v>4649</v>
      </c>
      <c r="D1759" s="3390"/>
      <c r="E1759" s="1357">
        <v>226.42</v>
      </c>
      <c r="F1759" s="1358">
        <v>2</v>
      </c>
      <c r="G1759" s="1359">
        <f t="shared" si="271"/>
        <v>113.21</v>
      </c>
      <c r="H1759" s="1247" t="s">
        <v>1496</v>
      </c>
      <c r="I1759" s="1321">
        <f>G1759/2</f>
        <v>56.604999999999997</v>
      </c>
      <c r="J1759" s="1427"/>
      <c r="K1759" s="1281"/>
      <c r="L1759" s="1281"/>
      <c r="N1759" s="1281"/>
    </row>
    <row r="1760" spans="1:14" x14ac:dyDescent="0.25">
      <c r="A1760" s="1428">
        <v>43595</v>
      </c>
      <c r="B1760" s="1428">
        <v>43595</v>
      </c>
      <c r="C1760" s="3389" t="s">
        <v>4650</v>
      </c>
      <c r="D1760" s="3390"/>
      <c r="E1760" s="1357">
        <v>79</v>
      </c>
      <c r="F1760" s="1358">
        <v>1</v>
      </c>
      <c r="G1760" s="1359">
        <f t="shared" si="271"/>
        <v>79</v>
      </c>
      <c r="H1760" s="1247" t="s">
        <v>2131</v>
      </c>
      <c r="I1760" s="1426"/>
      <c r="J1760" s="1427"/>
      <c r="K1760" s="1281"/>
      <c r="L1760" s="1281"/>
      <c r="N1760" s="1281"/>
    </row>
    <row r="1761" spans="1:14" x14ac:dyDescent="0.25">
      <c r="A1761" s="1428">
        <v>43596</v>
      </c>
      <c r="B1761" s="1428">
        <v>43596</v>
      </c>
      <c r="C1761" s="3389" t="s">
        <v>4651</v>
      </c>
      <c r="D1761" s="3390"/>
      <c r="E1761" s="1357">
        <v>190</v>
      </c>
      <c r="F1761" s="1358">
        <v>3</v>
      </c>
      <c r="G1761" s="1359">
        <f t="shared" si="271"/>
        <v>63.333333333333336</v>
      </c>
      <c r="H1761" s="1247" t="s">
        <v>1489</v>
      </c>
      <c r="I1761" s="1426"/>
      <c r="J1761" s="1427"/>
      <c r="K1761" s="1281"/>
      <c r="L1761" s="1281"/>
      <c r="N1761" s="1281"/>
    </row>
    <row r="1762" spans="1:14" x14ac:dyDescent="0.25">
      <c r="A1762" s="1428">
        <v>43599</v>
      </c>
      <c r="B1762" s="1428">
        <v>43599</v>
      </c>
      <c r="C1762" s="3389" t="s">
        <v>4652</v>
      </c>
      <c r="D1762" s="3390"/>
      <c r="E1762" s="1357">
        <v>449.65</v>
      </c>
      <c r="F1762" s="1358">
        <v>1</v>
      </c>
      <c r="G1762" s="1359">
        <f t="shared" si="271"/>
        <v>449.65</v>
      </c>
      <c r="I1762" s="1321">
        <v>449.65</v>
      </c>
      <c r="J1762" s="1427"/>
      <c r="K1762" s="1281"/>
      <c r="L1762" s="1281"/>
      <c r="N1762" s="1281"/>
    </row>
    <row r="1763" spans="1:14" x14ac:dyDescent="0.25">
      <c r="A1763" s="1428">
        <v>43605</v>
      </c>
      <c r="B1763" s="1428">
        <v>43605</v>
      </c>
      <c r="C1763" s="3397" t="s">
        <v>4653</v>
      </c>
      <c r="D1763" s="3398"/>
      <c r="E1763" s="1357">
        <v>150</v>
      </c>
      <c r="F1763" s="1358">
        <v>3</v>
      </c>
      <c r="G1763" s="1359">
        <f t="shared" si="271"/>
        <v>50</v>
      </c>
      <c r="H1763" s="1247" t="s">
        <v>1489</v>
      </c>
      <c r="I1763" s="1426"/>
      <c r="J1763" s="1427"/>
      <c r="K1763" s="1281"/>
      <c r="L1763" s="1281"/>
      <c r="N1763" s="1281"/>
    </row>
    <row r="1764" spans="1:14" x14ac:dyDescent="0.25">
      <c r="A1764" s="1428">
        <v>43606</v>
      </c>
      <c r="B1764" s="1428">
        <v>43606</v>
      </c>
      <c r="C1764" s="3397" t="s">
        <v>4654</v>
      </c>
      <c r="D1764" s="3398"/>
      <c r="E1764" s="1357">
        <v>200</v>
      </c>
      <c r="F1764" s="1358">
        <v>4</v>
      </c>
      <c r="G1764" s="1359">
        <f t="shared" si="271"/>
        <v>50</v>
      </c>
      <c r="H1764" s="1247" t="s">
        <v>1506</v>
      </c>
      <c r="I1764" s="1426"/>
      <c r="J1764" s="1427"/>
      <c r="K1764" s="1281"/>
      <c r="L1764" s="1281"/>
      <c r="N1764" s="1281"/>
    </row>
    <row r="1765" spans="1:14" ht="15.75" x14ac:dyDescent="0.25">
      <c r="A1765" s="3356" t="s">
        <v>4071</v>
      </c>
      <c r="B1765" s="3357"/>
      <c r="C1765" s="3357"/>
      <c r="D1765" s="3357"/>
      <c r="E1765" s="1396">
        <v>2000</v>
      </c>
      <c r="F1765" s="3366"/>
      <c r="G1765" s="3367"/>
    </row>
    <row r="1766" spans="1:14" ht="15.75" x14ac:dyDescent="0.25">
      <c r="A1766" s="3358" t="s">
        <v>4072</v>
      </c>
      <c r="B1766" s="3359"/>
      <c r="C1766" s="3359"/>
      <c r="D1766" s="3359"/>
      <c r="E1766" s="1397">
        <v>1345.07</v>
      </c>
      <c r="F1766" s="3368"/>
      <c r="G1766" s="3369"/>
      <c r="H1766" s="1247" t="s">
        <v>280</v>
      </c>
    </row>
    <row r="1767" spans="1:14" ht="15.75" x14ac:dyDescent="0.25">
      <c r="A1767" s="3356" t="s">
        <v>4073</v>
      </c>
      <c r="B1767" s="3357"/>
      <c r="C1767" s="3357"/>
      <c r="D1767" s="3357"/>
      <c r="E1767" s="1396">
        <v>489.57</v>
      </c>
      <c r="F1767" s="3368"/>
      <c r="G1767" s="3369"/>
    </row>
    <row r="1768" spans="1:14" ht="15.75" x14ac:dyDescent="0.25">
      <c r="A1768" s="3358" t="s">
        <v>4074</v>
      </c>
      <c r="B1768" s="3359"/>
      <c r="C1768" s="3359"/>
      <c r="D1768" s="3359"/>
      <c r="E1768" s="3359"/>
      <c r="F1768" s="3360"/>
      <c r="G1768" s="1387">
        <f>SUM(G1758:G1764)</f>
        <v>855.19333333333327</v>
      </c>
      <c r="H1768" s="1348">
        <f>G1768-I1759-I1762</f>
        <v>348.93833333333328</v>
      </c>
      <c r="I1768" s="1336" t="s">
        <v>4141</v>
      </c>
    </row>
    <row r="1769" spans="1:14" ht="17.25" customHeight="1" thickBot="1" x14ac:dyDescent="0.3">
      <c r="A1769" s="3356" t="s">
        <v>4075</v>
      </c>
      <c r="B1769" s="3357"/>
      <c r="C1769" s="3357"/>
      <c r="D1769" s="3357"/>
      <c r="E1769" s="1388">
        <f>E1765-E1766</f>
        <v>654.93000000000006</v>
      </c>
      <c r="G1769" s="1389"/>
    </row>
    <row r="1770" spans="1:14" ht="16.5" customHeight="1" thickBot="1" x14ac:dyDescent="0.3">
      <c r="I1770" s="2866" t="s">
        <v>135</v>
      </c>
    </row>
    <row r="1771" spans="1:14" ht="19.5" thickBot="1" x14ac:dyDescent="0.35">
      <c r="A1771" s="3361" t="s">
        <v>4655</v>
      </c>
      <c r="B1771" s="3336"/>
      <c r="C1771" s="3336"/>
      <c r="D1771" s="3336"/>
      <c r="E1771" s="3336"/>
      <c r="F1771" s="3336"/>
      <c r="G1771" s="3337"/>
    </row>
    <row r="1772" spans="1:14" ht="16.5" thickBot="1" x14ac:dyDescent="0.3">
      <c r="A1772" s="1361" t="s">
        <v>4206</v>
      </c>
      <c r="B1772" s="1361" t="s">
        <v>4206</v>
      </c>
      <c r="C1772" s="3370" t="s">
        <v>3</v>
      </c>
      <c r="D1772" s="3371"/>
      <c r="E1772" s="1363" t="s">
        <v>4190</v>
      </c>
      <c r="F1772" s="1363" t="s">
        <v>4191</v>
      </c>
      <c r="G1772" s="1364" t="s">
        <v>382</v>
      </c>
      <c r="I1772" s="1336" t="s">
        <v>4208</v>
      </c>
    </row>
    <row r="1773" spans="1:14" x14ac:dyDescent="0.25">
      <c r="A1773" s="1428">
        <v>43484</v>
      </c>
      <c r="B1773" s="1428">
        <v>43484</v>
      </c>
      <c r="C1773" s="3389" t="s">
        <v>4656</v>
      </c>
      <c r="D1773" s="3390"/>
      <c r="E1773" s="1357">
        <v>400</v>
      </c>
      <c r="F1773" s="1358">
        <v>4</v>
      </c>
      <c r="G1773" s="1359">
        <f t="shared" ref="G1773:G1778" si="272">E1773/F1773</f>
        <v>100</v>
      </c>
      <c r="H1773" s="1247" t="s">
        <v>1489</v>
      </c>
      <c r="I1773" s="1360"/>
      <c r="J1773" s="1427"/>
      <c r="K1773" s="1281"/>
      <c r="L1773" s="1281"/>
      <c r="N1773" s="1281"/>
    </row>
    <row r="1774" spans="1:14" x14ac:dyDescent="0.25">
      <c r="A1774" s="1428">
        <v>43508</v>
      </c>
      <c r="B1774" s="1428">
        <v>43508</v>
      </c>
      <c r="C1774" s="3389" t="s">
        <v>4657</v>
      </c>
      <c r="D1774" s="3390"/>
      <c r="E1774" s="1357">
        <v>141.38999999999999</v>
      </c>
      <c r="F1774" s="1358">
        <v>3</v>
      </c>
      <c r="G1774" s="1359">
        <f t="shared" si="272"/>
        <v>47.129999999999995</v>
      </c>
      <c r="H1774" s="1247" t="s">
        <v>1496</v>
      </c>
      <c r="I1774" s="1360"/>
      <c r="J1774" s="1427"/>
      <c r="K1774" s="1281"/>
      <c r="L1774" s="1281"/>
      <c r="N1774" s="1281"/>
    </row>
    <row r="1775" spans="1:14" x14ac:dyDescent="0.25">
      <c r="A1775" s="1428">
        <v>43541</v>
      </c>
      <c r="B1775" s="1428">
        <v>43541</v>
      </c>
      <c r="C1775" s="3389" t="s">
        <v>4658</v>
      </c>
      <c r="D1775" s="3390"/>
      <c r="E1775" s="1357">
        <v>121.58</v>
      </c>
      <c r="F1775" s="1358">
        <v>2</v>
      </c>
      <c r="G1775" s="1359">
        <f t="shared" si="272"/>
        <v>60.79</v>
      </c>
      <c r="I1775" s="1321">
        <f>G1775</f>
        <v>60.79</v>
      </c>
      <c r="J1775" s="1427"/>
      <c r="K1775" s="1281"/>
      <c r="L1775" s="1281"/>
      <c r="N1775" s="1281"/>
    </row>
    <row r="1776" spans="1:14" x14ac:dyDescent="0.25">
      <c r="A1776" s="1428">
        <v>43543</v>
      </c>
      <c r="B1776" s="1428">
        <v>43543</v>
      </c>
      <c r="C1776" s="3389" t="s">
        <v>4659</v>
      </c>
      <c r="D1776" s="3390"/>
      <c r="E1776" s="1357">
        <v>334.3</v>
      </c>
      <c r="F1776" s="1358">
        <v>2</v>
      </c>
      <c r="G1776" s="1359">
        <f t="shared" si="272"/>
        <v>167.15</v>
      </c>
      <c r="H1776" s="1247" t="s">
        <v>1524</v>
      </c>
      <c r="I1776" s="1321">
        <f>G1776/2</f>
        <v>83.575000000000003</v>
      </c>
      <c r="J1776" s="1427"/>
      <c r="K1776" s="1281"/>
      <c r="L1776" s="1281"/>
      <c r="N1776" s="1281"/>
    </row>
    <row r="1777" spans="1:14" x14ac:dyDescent="0.25">
      <c r="A1777" s="1428">
        <v>43547</v>
      </c>
      <c r="B1777" s="1428">
        <v>43547</v>
      </c>
      <c r="C1777" s="3389" t="s">
        <v>4660</v>
      </c>
      <c r="D1777" s="3390"/>
      <c r="E1777" s="1357">
        <v>129</v>
      </c>
      <c r="F1777" s="1358">
        <v>2</v>
      </c>
      <c r="G1777" s="1359">
        <f t="shared" si="272"/>
        <v>64.5</v>
      </c>
      <c r="I1777" s="1321">
        <f>G1777</f>
        <v>64.5</v>
      </c>
      <c r="J1777" s="1427"/>
      <c r="K1777" s="1281"/>
      <c r="L1777" s="1281"/>
      <c r="N1777" s="1281"/>
    </row>
    <row r="1778" spans="1:14" x14ac:dyDescent="0.25">
      <c r="A1778" s="1428">
        <v>43547</v>
      </c>
      <c r="B1778" s="1428">
        <v>43547</v>
      </c>
      <c r="C1778" s="3389" t="s">
        <v>4661</v>
      </c>
      <c r="D1778" s="3390"/>
      <c r="E1778" s="1357">
        <v>150</v>
      </c>
      <c r="F1778" s="1358">
        <v>3</v>
      </c>
      <c r="G1778" s="1359">
        <f t="shared" si="272"/>
        <v>50</v>
      </c>
      <c r="H1778" s="1247" t="s">
        <v>1506</v>
      </c>
      <c r="I1778" s="1321"/>
      <c r="J1778" s="1427"/>
      <c r="K1778" s="1281"/>
      <c r="L1778" s="1281"/>
      <c r="N1778" s="1281"/>
    </row>
    <row r="1779" spans="1:14" x14ac:dyDescent="0.25">
      <c r="A1779" s="1428"/>
      <c r="B1779" s="1428"/>
      <c r="C1779" s="3397"/>
      <c r="D1779" s="3398"/>
      <c r="E1779" s="1357"/>
      <c r="F1779" s="1358"/>
      <c r="G1779" s="1359"/>
      <c r="I1779" s="1360"/>
      <c r="J1779" s="1427"/>
      <c r="K1779" s="1281"/>
      <c r="L1779" s="1281"/>
      <c r="N1779" s="1281"/>
    </row>
    <row r="1780" spans="1:14" ht="15.75" x14ac:dyDescent="0.25">
      <c r="A1780" s="3356" t="s">
        <v>4071</v>
      </c>
      <c r="B1780" s="3357"/>
      <c r="C1780" s="3357"/>
      <c r="D1780" s="3357"/>
      <c r="E1780" s="1396">
        <v>2000</v>
      </c>
      <c r="F1780" s="3366"/>
      <c r="G1780" s="3367"/>
    </row>
    <row r="1781" spans="1:14" ht="15.75" x14ac:dyDescent="0.25">
      <c r="A1781" s="3358" t="s">
        <v>4072</v>
      </c>
      <c r="B1781" s="3359"/>
      <c r="C1781" s="3359"/>
      <c r="D1781" s="3359"/>
      <c r="E1781" s="1397">
        <v>539.57000000000005</v>
      </c>
      <c r="F1781" s="3368"/>
      <c r="G1781" s="3369"/>
      <c r="H1781" s="1247" t="s">
        <v>280</v>
      </c>
    </row>
    <row r="1782" spans="1:14" ht="15.75" x14ac:dyDescent="0.25">
      <c r="A1782" s="3356" t="s">
        <v>4073</v>
      </c>
      <c r="B1782" s="3357"/>
      <c r="C1782" s="3357"/>
      <c r="D1782" s="3357"/>
      <c r="E1782" s="1396">
        <v>950.72</v>
      </c>
      <c r="F1782" s="3368"/>
      <c r="G1782" s="3369"/>
    </row>
    <row r="1783" spans="1:14" ht="15.75" x14ac:dyDescent="0.25">
      <c r="A1783" s="3358" t="s">
        <v>4074</v>
      </c>
      <c r="B1783" s="3359"/>
      <c r="C1783" s="3359"/>
      <c r="D1783" s="3359"/>
      <c r="E1783" s="3359"/>
      <c r="F1783" s="3360"/>
      <c r="G1783" s="1387">
        <f>SUM(G1773:G1779)</f>
        <v>489.57</v>
      </c>
      <c r="H1783" s="1341">
        <f>G1783-I1774-I1775-I1776-I1778-I1777</f>
        <v>280.70499999999998</v>
      </c>
      <c r="I1783" s="1336" t="s">
        <v>4141</v>
      </c>
    </row>
    <row r="1784" spans="1:14" ht="17.25" customHeight="1" thickBot="1" x14ac:dyDescent="0.3">
      <c r="A1784" s="3356" t="s">
        <v>4075</v>
      </c>
      <c r="B1784" s="3357"/>
      <c r="C1784" s="3357"/>
      <c r="D1784" s="3357"/>
      <c r="E1784" s="1388">
        <f>E1780-E1781</f>
        <v>1460.4299999999998</v>
      </c>
      <c r="G1784" s="1389"/>
    </row>
    <row r="1785" spans="1:14" ht="17.25" customHeight="1" thickBot="1" x14ac:dyDescent="0.3">
      <c r="I1785" s="2866" t="s">
        <v>135</v>
      </c>
    </row>
    <row r="1786" spans="1:14" ht="19.5" thickBot="1" x14ac:dyDescent="0.35">
      <c r="A1786" s="3361" t="s">
        <v>4662</v>
      </c>
      <c r="B1786" s="3336"/>
      <c r="C1786" s="3336"/>
      <c r="D1786" s="3336"/>
      <c r="E1786" s="3336"/>
      <c r="F1786" s="3336"/>
      <c r="G1786" s="3337"/>
    </row>
    <row r="1787" spans="1:14" ht="16.5" thickBot="1" x14ac:dyDescent="0.3">
      <c r="A1787" s="1361" t="s">
        <v>4206</v>
      </c>
      <c r="B1787" s="1361" t="s">
        <v>4206</v>
      </c>
      <c r="C1787" s="3370" t="s">
        <v>3</v>
      </c>
      <c r="D1787" s="3371"/>
      <c r="E1787" s="1363" t="s">
        <v>4190</v>
      </c>
      <c r="F1787" s="1363" t="s">
        <v>4191</v>
      </c>
      <c r="G1787" s="1364" t="s">
        <v>382</v>
      </c>
      <c r="I1787" s="1336" t="s">
        <v>4208</v>
      </c>
    </row>
    <row r="1788" spans="1:14" x14ac:dyDescent="0.25">
      <c r="A1788" s="1447">
        <v>43437</v>
      </c>
      <c r="B1788" s="1447">
        <v>43437</v>
      </c>
      <c r="C1788" s="3409" t="s">
        <v>4663</v>
      </c>
      <c r="D1788" s="3410"/>
      <c r="E1788" s="1448">
        <v>396.08</v>
      </c>
      <c r="F1788" s="1449">
        <v>4</v>
      </c>
      <c r="G1788" s="1451">
        <f t="shared" ref="G1788:G1800" si="273">E1788/F1788</f>
        <v>99.02</v>
      </c>
      <c r="H1788" s="1247" t="s">
        <v>4664</v>
      </c>
      <c r="I1788" s="1360"/>
      <c r="J1788" s="1427"/>
      <c r="K1788" s="1281"/>
      <c r="L1788" s="1281"/>
      <c r="N1788" s="1281"/>
    </row>
    <row r="1789" spans="1:14" x14ac:dyDescent="0.25">
      <c r="A1789" s="1428">
        <v>43447</v>
      </c>
      <c r="B1789" s="1428">
        <v>43447</v>
      </c>
      <c r="C1789" s="3389" t="s">
        <v>4665</v>
      </c>
      <c r="D1789" s="3390"/>
      <c r="E1789" s="1357">
        <v>234.04</v>
      </c>
      <c r="F1789" s="1358">
        <v>4</v>
      </c>
      <c r="G1789" s="1359">
        <f t="shared" si="273"/>
        <v>58.51</v>
      </c>
      <c r="H1789" s="1247" t="s">
        <v>1506</v>
      </c>
      <c r="I1789" s="1360"/>
      <c r="J1789" s="1427"/>
      <c r="K1789" s="1281"/>
      <c r="L1789" s="1281"/>
      <c r="N1789" s="1281"/>
    </row>
    <row r="1790" spans="1:14" x14ac:dyDescent="0.25">
      <c r="A1790" s="1428">
        <v>43480</v>
      </c>
      <c r="B1790" s="1428">
        <v>43480</v>
      </c>
      <c r="C1790" s="3389" t="s">
        <v>4666</v>
      </c>
      <c r="D1790" s="3390"/>
      <c r="E1790" s="1357">
        <v>150</v>
      </c>
      <c r="F1790" s="1358">
        <v>3</v>
      </c>
      <c r="G1790" s="1359">
        <f t="shared" si="273"/>
        <v>50</v>
      </c>
      <c r="H1790" s="1247" t="s">
        <v>1506</v>
      </c>
      <c r="I1790" s="1360"/>
      <c r="J1790" s="1427"/>
      <c r="K1790" s="1281"/>
      <c r="L1790" s="1281"/>
      <c r="N1790" s="1281"/>
    </row>
    <row r="1791" spans="1:14" x14ac:dyDescent="0.25">
      <c r="A1791" s="1428">
        <v>43484</v>
      </c>
      <c r="B1791" s="1428">
        <v>43484</v>
      </c>
      <c r="C1791" s="3389" t="s">
        <v>4667</v>
      </c>
      <c r="D1791" s="3390"/>
      <c r="E1791" s="1357">
        <v>400</v>
      </c>
      <c r="F1791" s="1358">
        <v>4</v>
      </c>
      <c r="G1791" s="1359">
        <f t="shared" si="273"/>
        <v>100</v>
      </c>
      <c r="H1791" s="1247" t="s">
        <v>1489</v>
      </c>
      <c r="I1791" s="1360"/>
      <c r="J1791" s="1427"/>
      <c r="K1791" s="1281"/>
      <c r="L1791" s="1281"/>
      <c r="N1791" s="1281"/>
    </row>
    <row r="1792" spans="1:14" x14ac:dyDescent="0.25">
      <c r="A1792" s="1428">
        <v>43508</v>
      </c>
      <c r="B1792" s="1428">
        <v>43508</v>
      </c>
      <c r="C1792" s="3389" t="s">
        <v>4668</v>
      </c>
      <c r="D1792" s="3390"/>
      <c r="E1792" s="1357">
        <v>141.38999999999999</v>
      </c>
      <c r="F1792" s="1358">
        <v>3</v>
      </c>
      <c r="G1792" s="1359">
        <f t="shared" si="273"/>
        <v>47.129999999999995</v>
      </c>
      <c r="H1792" s="1247" t="s">
        <v>1496</v>
      </c>
      <c r="I1792" s="1360"/>
      <c r="J1792" s="1427"/>
      <c r="K1792" s="1281"/>
      <c r="L1792" s="1281"/>
      <c r="N1792" s="1281"/>
    </row>
    <row r="1793" spans="1:14" x14ac:dyDescent="0.25">
      <c r="A1793" s="1428">
        <v>43525</v>
      </c>
      <c r="B1793" s="1428">
        <v>43525</v>
      </c>
      <c r="C1793" s="3397" t="s">
        <v>1241</v>
      </c>
      <c r="D1793" s="3398"/>
      <c r="E1793" s="1357">
        <v>10</v>
      </c>
      <c r="F1793" s="1358">
        <v>1</v>
      </c>
      <c r="G1793" s="1359">
        <f t="shared" si="273"/>
        <v>10</v>
      </c>
      <c r="H1793" s="1247" t="s">
        <v>1504</v>
      </c>
      <c r="I1793" s="1360"/>
      <c r="J1793" s="1427"/>
      <c r="K1793" s="1281"/>
      <c r="L1793" s="1281"/>
      <c r="N1793" s="1281"/>
    </row>
    <row r="1794" spans="1:14" x14ac:dyDescent="0.25">
      <c r="A1794" s="1428">
        <v>43527</v>
      </c>
      <c r="B1794" s="1428">
        <v>43527</v>
      </c>
      <c r="C1794" s="3397" t="s">
        <v>1241</v>
      </c>
      <c r="D1794" s="3398"/>
      <c r="E1794" s="1357">
        <v>10</v>
      </c>
      <c r="F1794" s="1358">
        <v>1</v>
      </c>
      <c r="G1794" s="1359">
        <f t="shared" si="273"/>
        <v>10</v>
      </c>
      <c r="H1794" s="1247" t="s">
        <v>1504</v>
      </c>
      <c r="I1794" s="1360"/>
      <c r="J1794" s="1427"/>
      <c r="K1794" s="1281"/>
      <c r="L1794" s="1281"/>
      <c r="N1794" s="1281"/>
    </row>
    <row r="1795" spans="1:14" x14ac:dyDescent="0.25">
      <c r="A1795" s="1428">
        <v>43536</v>
      </c>
      <c r="B1795" s="1428">
        <v>43536</v>
      </c>
      <c r="C1795" s="3389" t="s">
        <v>4669</v>
      </c>
      <c r="D1795" s="3390"/>
      <c r="E1795" s="1357">
        <v>31.72</v>
      </c>
      <c r="F1795" s="1358">
        <v>1</v>
      </c>
      <c r="G1795" s="1359">
        <f t="shared" si="273"/>
        <v>31.72</v>
      </c>
      <c r="I1795" s="1321">
        <f>G1795</f>
        <v>31.72</v>
      </c>
      <c r="J1795" s="1427"/>
      <c r="K1795" s="1281"/>
      <c r="L1795" s="1281"/>
      <c r="N1795" s="1281"/>
    </row>
    <row r="1796" spans="1:14" x14ac:dyDescent="0.25">
      <c r="A1796" s="1428">
        <v>43537</v>
      </c>
      <c r="B1796" s="1428">
        <v>43537</v>
      </c>
      <c r="C1796" s="3389" t="s">
        <v>4670</v>
      </c>
      <c r="D1796" s="3390"/>
      <c r="E1796" s="1357">
        <v>201.9</v>
      </c>
      <c r="F1796" s="1358">
        <v>1</v>
      </c>
      <c r="G1796" s="1359">
        <f t="shared" si="273"/>
        <v>201.9</v>
      </c>
      <c r="H1796" s="1247" t="s">
        <v>1524</v>
      </c>
      <c r="I1796" s="1321">
        <f>G1796/2</f>
        <v>100.95</v>
      </c>
      <c r="J1796" s="1427"/>
      <c r="K1796" s="1281"/>
      <c r="L1796" s="1281"/>
      <c r="N1796" s="1281"/>
    </row>
    <row r="1797" spans="1:14" x14ac:dyDescent="0.25">
      <c r="A1797" s="1428">
        <v>43541</v>
      </c>
      <c r="B1797" s="1428">
        <v>43541</v>
      </c>
      <c r="C1797" s="3389" t="s">
        <v>4671</v>
      </c>
      <c r="D1797" s="3390"/>
      <c r="E1797" s="1357">
        <v>121.58</v>
      </c>
      <c r="F1797" s="1358">
        <v>2</v>
      </c>
      <c r="G1797" s="1359">
        <f t="shared" si="273"/>
        <v>60.79</v>
      </c>
      <c r="I1797" s="1321">
        <f>G1797</f>
        <v>60.79</v>
      </c>
      <c r="J1797" s="1427"/>
      <c r="K1797" s="1281"/>
      <c r="L1797" s="1281"/>
      <c r="N1797" s="1281"/>
    </row>
    <row r="1798" spans="1:14" x14ac:dyDescent="0.25">
      <c r="A1798" s="1428">
        <v>43543</v>
      </c>
      <c r="B1798" s="1428">
        <v>43543</v>
      </c>
      <c r="C1798" s="3389" t="s">
        <v>4672</v>
      </c>
      <c r="D1798" s="3390"/>
      <c r="E1798" s="1357">
        <v>334.3</v>
      </c>
      <c r="F1798" s="1358">
        <v>2</v>
      </c>
      <c r="G1798" s="1359">
        <f t="shared" si="273"/>
        <v>167.15</v>
      </c>
      <c r="H1798" s="1247" t="s">
        <v>1524</v>
      </c>
      <c r="I1798" s="1321">
        <f>G1798/2</f>
        <v>83.575000000000003</v>
      </c>
      <c r="J1798" s="1427"/>
      <c r="K1798" s="1281"/>
      <c r="L1798" s="1281"/>
      <c r="N1798" s="1281"/>
    </row>
    <row r="1799" spans="1:14" x14ac:dyDescent="0.25">
      <c r="A1799" s="1428">
        <v>43547</v>
      </c>
      <c r="B1799" s="1428">
        <v>43547</v>
      </c>
      <c r="C1799" s="3389" t="s">
        <v>4673</v>
      </c>
      <c r="D1799" s="3390"/>
      <c r="E1799" s="1357">
        <v>129</v>
      </c>
      <c r="F1799" s="1358">
        <v>2</v>
      </c>
      <c r="G1799" s="1359">
        <f t="shared" si="273"/>
        <v>64.5</v>
      </c>
      <c r="I1799" s="1321">
        <f>G1799</f>
        <v>64.5</v>
      </c>
      <c r="J1799" s="1427"/>
      <c r="K1799" s="1281"/>
      <c r="L1799" s="1281"/>
      <c r="N1799" s="1281"/>
    </row>
    <row r="1800" spans="1:14" x14ac:dyDescent="0.25">
      <c r="A1800" s="1428">
        <v>43547</v>
      </c>
      <c r="B1800" s="1428">
        <v>43547</v>
      </c>
      <c r="C1800" s="3389" t="s">
        <v>4674</v>
      </c>
      <c r="D1800" s="3390"/>
      <c r="E1800" s="1357">
        <v>150</v>
      </c>
      <c r="F1800" s="1358">
        <v>3</v>
      </c>
      <c r="G1800" s="1359">
        <f t="shared" si="273"/>
        <v>50</v>
      </c>
      <c r="H1800" s="1247" t="s">
        <v>1506</v>
      </c>
      <c r="I1800" s="1321"/>
      <c r="J1800" s="1427"/>
      <c r="K1800" s="1281"/>
      <c r="L1800" s="1281"/>
      <c r="N1800" s="1281"/>
    </row>
    <row r="1801" spans="1:14" x14ac:dyDescent="0.25">
      <c r="A1801" s="1428"/>
      <c r="B1801" s="1428"/>
      <c r="C1801" s="3397"/>
      <c r="D1801" s="3398"/>
      <c r="E1801" s="1357"/>
      <c r="F1801" s="1358"/>
      <c r="G1801" s="1359"/>
      <c r="I1801" s="1360"/>
      <c r="J1801" s="1427"/>
      <c r="K1801" s="1281"/>
      <c r="L1801" s="1281"/>
      <c r="N1801" s="1281"/>
    </row>
    <row r="1802" spans="1:14" ht="15.75" x14ac:dyDescent="0.25">
      <c r="A1802" s="3356" t="s">
        <v>4071</v>
      </c>
      <c r="B1802" s="3357"/>
      <c r="C1802" s="3357"/>
      <c r="D1802" s="3357"/>
      <c r="E1802" s="1396">
        <v>2000</v>
      </c>
      <c r="F1802" s="3366"/>
      <c r="G1802" s="3367"/>
      <c r="J1802" s="1348">
        <f>I1796+I1798</f>
        <v>184.52500000000001</v>
      </c>
    </row>
    <row r="1803" spans="1:14" ht="15.75" x14ac:dyDescent="0.25">
      <c r="A1803" s="3358" t="s">
        <v>4072</v>
      </c>
      <c r="B1803" s="3359"/>
      <c r="C1803" s="3359"/>
      <c r="D1803" s="3359"/>
      <c r="E1803" s="1397">
        <v>1528.19</v>
      </c>
      <c r="F1803" s="3368"/>
      <c r="G1803" s="3369"/>
      <c r="H1803" s="1247" t="s">
        <v>280</v>
      </c>
      <c r="J1803" s="1348">
        <f>I1795+I1797+I1799</f>
        <v>157.01</v>
      </c>
    </row>
    <row r="1804" spans="1:14" ht="15.75" x14ac:dyDescent="0.25">
      <c r="A1804" s="3356" t="s">
        <v>4073</v>
      </c>
      <c r="B1804" s="3357"/>
      <c r="C1804" s="3357"/>
      <c r="D1804" s="3357"/>
      <c r="E1804" s="1396">
        <v>546.13</v>
      </c>
      <c r="F1804" s="3368"/>
      <c r="G1804" s="3369"/>
    </row>
    <row r="1805" spans="1:14" ht="15.75" x14ac:dyDescent="0.25">
      <c r="A1805" s="3358" t="s">
        <v>4074</v>
      </c>
      <c r="B1805" s="3359"/>
      <c r="C1805" s="3359"/>
      <c r="D1805" s="3359"/>
      <c r="E1805" s="3359"/>
      <c r="F1805" s="3360"/>
      <c r="G1805" s="1387">
        <f>SUM(G1788:G1801)</f>
        <v>950.71999999999991</v>
      </c>
      <c r="H1805" s="1341">
        <f>G1805-I1795-I1796-I1797-I1799-I1798</f>
        <v>609.18499999999983</v>
      </c>
      <c r="I1805" s="1336" t="s">
        <v>4141</v>
      </c>
    </row>
    <row r="1806" spans="1:14" ht="17.25" customHeight="1" thickBot="1" x14ac:dyDescent="0.3">
      <c r="A1806" s="3356" t="s">
        <v>4075</v>
      </c>
      <c r="B1806" s="3357"/>
      <c r="C1806" s="3357"/>
      <c r="D1806" s="3357"/>
      <c r="E1806" s="1388">
        <f>E1802-E1803</f>
        <v>471.80999999999995</v>
      </c>
      <c r="G1806" s="1389"/>
    </row>
    <row r="1807" spans="1:14" ht="17.25" customHeight="1" thickBot="1" x14ac:dyDescent="0.3">
      <c r="I1807" s="2866" t="s">
        <v>135</v>
      </c>
    </row>
    <row r="1808" spans="1:14" ht="19.5" thickBot="1" x14ac:dyDescent="0.35">
      <c r="A1808" s="3361" t="s">
        <v>4675</v>
      </c>
      <c r="B1808" s="3336"/>
      <c r="C1808" s="3336"/>
      <c r="D1808" s="3336"/>
      <c r="E1808" s="3336"/>
      <c r="F1808" s="3336"/>
      <c r="G1808" s="3337"/>
    </row>
    <row r="1809" spans="1:14" ht="16.5" thickBot="1" x14ac:dyDescent="0.3">
      <c r="A1809" s="1361" t="s">
        <v>4206</v>
      </c>
      <c r="B1809" s="1361" t="s">
        <v>4206</v>
      </c>
      <c r="C1809" s="3370" t="s">
        <v>3</v>
      </c>
      <c r="D1809" s="3371"/>
      <c r="E1809" s="1363" t="s">
        <v>4190</v>
      </c>
      <c r="F1809" s="1363" t="s">
        <v>4191</v>
      </c>
      <c r="G1809" s="1364" t="s">
        <v>382</v>
      </c>
    </row>
    <row r="1810" spans="1:14" x14ac:dyDescent="0.25">
      <c r="A1810" s="1428">
        <v>43409</v>
      </c>
      <c r="B1810" s="1428">
        <v>43409</v>
      </c>
      <c r="C1810" s="3389" t="s">
        <v>4676</v>
      </c>
      <c r="D1810" s="3390"/>
      <c r="E1810" s="1357">
        <v>149</v>
      </c>
      <c r="F1810" s="1358">
        <v>4</v>
      </c>
      <c r="G1810" s="1359">
        <f t="shared" ref="G1810:G1818" si="274">E1810/F1810</f>
        <v>37.25</v>
      </c>
      <c r="H1810" s="1247" t="s">
        <v>1522</v>
      </c>
      <c r="I1810" s="1360"/>
      <c r="J1810" s="1427"/>
      <c r="K1810" s="1281"/>
      <c r="L1810" s="1281"/>
      <c r="N1810" s="1281"/>
    </row>
    <row r="1811" spans="1:14" x14ac:dyDescent="0.25">
      <c r="A1811" s="1447">
        <v>43437</v>
      </c>
      <c r="B1811" s="1447">
        <v>43437</v>
      </c>
      <c r="C1811" s="3409" t="s">
        <v>4677</v>
      </c>
      <c r="D1811" s="3410"/>
      <c r="E1811" s="1448">
        <v>396.08</v>
      </c>
      <c r="F1811" s="1449">
        <v>4</v>
      </c>
      <c r="G1811" s="1451">
        <f t="shared" si="274"/>
        <v>99.02</v>
      </c>
      <c r="H1811" s="1247" t="s">
        <v>4664</v>
      </c>
      <c r="J1811" s="1427"/>
      <c r="K1811" s="1281"/>
      <c r="L1811" s="1281"/>
      <c r="N1811" s="1281"/>
    </row>
    <row r="1812" spans="1:14" x14ac:dyDescent="0.25">
      <c r="A1812" s="1428">
        <v>43447</v>
      </c>
      <c r="B1812" s="1428">
        <v>43447</v>
      </c>
      <c r="C1812" s="3389" t="s">
        <v>4678</v>
      </c>
      <c r="D1812" s="3390"/>
      <c r="E1812" s="1357">
        <v>234.04</v>
      </c>
      <c r="F1812" s="1358">
        <v>4</v>
      </c>
      <c r="G1812" s="1359">
        <f t="shared" si="274"/>
        <v>58.51</v>
      </c>
      <c r="H1812" s="1247" t="s">
        <v>1506</v>
      </c>
      <c r="I1812" s="1360"/>
      <c r="J1812" s="1427"/>
      <c r="K1812" s="1281"/>
      <c r="L1812" s="1281"/>
      <c r="N1812" s="1281"/>
    </row>
    <row r="1813" spans="1:14" x14ac:dyDescent="0.25">
      <c r="A1813" s="1428">
        <v>43462</v>
      </c>
      <c r="B1813" s="1428">
        <v>43462</v>
      </c>
      <c r="C1813" s="3397" t="s">
        <v>4513</v>
      </c>
      <c r="D1813" s="3398"/>
      <c r="E1813" s="1357">
        <v>150</v>
      </c>
      <c r="F1813" s="1358">
        <v>2</v>
      </c>
      <c r="G1813" s="1359">
        <f t="shared" si="274"/>
        <v>75</v>
      </c>
      <c r="H1813" s="1247" t="s">
        <v>1489</v>
      </c>
      <c r="I1813" s="1360"/>
      <c r="J1813" s="1427"/>
      <c r="K1813" s="1281"/>
      <c r="L1813" s="1281"/>
      <c r="N1813" s="1281"/>
    </row>
    <row r="1814" spans="1:14" x14ac:dyDescent="0.25">
      <c r="A1814" s="1428">
        <v>43480</v>
      </c>
      <c r="B1814" s="1428">
        <v>43480</v>
      </c>
      <c r="C1814" s="3389" t="s">
        <v>4679</v>
      </c>
      <c r="D1814" s="3390"/>
      <c r="E1814" s="1357">
        <v>150</v>
      </c>
      <c r="F1814" s="1358">
        <v>3</v>
      </c>
      <c r="G1814" s="1359">
        <f t="shared" si="274"/>
        <v>50</v>
      </c>
      <c r="H1814" s="1247" t="s">
        <v>1506</v>
      </c>
      <c r="I1814" s="1360"/>
      <c r="J1814" s="1427"/>
      <c r="K1814" s="1281"/>
      <c r="L1814" s="1281"/>
      <c r="N1814" s="1281"/>
    </row>
    <row r="1815" spans="1:14" x14ac:dyDescent="0.25">
      <c r="A1815" s="1428">
        <v>43484</v>
      </c>
      <c r="B1815" s="1428">
        <v>43484</v>
      </c>
      <c r="C1815" s="3389" t="s">
        <v>4680</v>
      </c>
      <c r="D1815" s="3390"/>
      <c r="E1815" s="1357">
        <v>400</v>
      </c>
      <c r="F1815" s="1358">
        <v>4</v>
      </c>
      <c r="G1815" s="1359">
        <f t="shared" si="274"/>
        <v>100</v>
      </c>
      <c r="H1815" s="1247" t="s">
        <v>1489</v>
      </c>
      <c r="I1815" s="1360"/>
      <c r="J1815" s="1427"/>
      <c r="K1815" s="1281"/>
      <c r="L1815" s="1281"/>
      <c r="N1815" s="1281"/>
    </row>
    <row r="1816" spans="1:14" x14ac:dyDescent="0.25">
      <c r="A1816" s="1447">
        <v>43482</v>
      </c>
      <c r="B1816" s="1447">
        <v>43482</v>
      </c>
      <c r="C1816" s="3407" t="s">
        <v>4681</v>
      </c>
      <c r="D1816" s="3408"/>
      <c r="E1816" s="1400">
        <v>-14.98</v>
      </c>
      <c r="F1816" s="1401">
        <v>1</v>
      </c>
      <c r="G1816" s="1359">
        <f t="shared" si="274"/>
        <v>-14.98</v>
      </c>
      <c r="I1816" s="1360"/>
      <c r="J1816" s="1427"/>
      <c r="K1816" s="1281"/>
      <c r="L1816" s="1281"/>
      <c r="N1816" s="1281"/>
    </row>
    <row r="1817" spans="1:14" x14ac:dyDescent="0.25">
      <c r="A1817" s="1428">
        <v>43508</v>
      </c>
      <c r="B1817" s="1428">
        <v>43508</v>
      </c>
      <c r="C1817" s="3389" t="s">
        <v>4682</v>
      </c>
      <c r="D1817" s="3390"/>
      <c r="E1817" s="1357">
        <v>141.38999999999999</v>
      </c>
      <c r="F1817" s="1358">
        <v>3</v>
      </c>
      <c r="G1817" s="1359">
        <f t="shared" si="274"/>
        <v>47.129999999999995</v>
      </c>
      <c r="H1817" s="1247" t="s">
        <v>1496</v>
      </c>
      <c r="I1817" s="1360"/>
      <c r="J1817" s="1427"/>
      <c r="K1817" s="1281"/>
      <c r="L1817" s="1281"/>
      <c r="N1817" s="1281"/>
    </row>
    <row r="1818" spans="1:14" x14ac:dyDescent="0.25">
      <c r="A1818" s="1428">
        <v>43516</v>
      </c>
      <c r="B1818" s="1428">
        <v>43516</v>
      </c>
      <c r="C1818" s="3389" t="s">
        <v>4683</v>
      </c>
      <c r="D1818" s="3390"/>
      <c r="E1818" s="1357">
        <v>94.2</v>
      </c>
      <c r="F1818" s="1358">
        <v>1</v>
      </c>
      <c r="G1818" s="1359">
        <f t="shared" si="274"/>
        <v>94.2</v>
      </c>
      <c r="H1818" s="1247" t="s">
        <v>1524</v>
      </c>
      <c r="I1818" s="1426">
        <f>G1818/2</f>
        <v>47.1</v>
      </c>
      <c r="J1818" s="1427"/>
      <c r="K1818" s="1281"/>
      <c r="L1818" s="1281"/>
      <c r="N1818" s="1281"/>
    </row>
    <row r="1819" spans="1:14" x14ac:dyDescent="0.25">
      <c r="A1819" s="1428"/>
      <c r="B1819" s="1428"/>
      <c r="C1819" s="3397"/>
      <c r="D1819" s="3398"/>
      <c r="E1819" s="1357"/>
      <c r="F1819" s="1358"/>
      <c r="G1819" s="1359"/>
      <c r="I1819" s="1360"/>
      <c r="J1819" s="1427"/>
      <c r="K1819" s="1281"/>
      <c r="L1819" s="1281"/>
      <c r="N1819" s="1281"/>
    </row>
    <row r="1820" spans="1:14" ht="15.75" x14ac:dyDescent="0.25">
      <c r="A1820" s="3356" t="s">
        <v>4071</v>
      </c>
      <c r="B1820" s="3357"/>
      <c r="C1820" s="3357"/>
      <c r="D1820" s="3357"/>
      <c r="E1820" s="1396">
        <v>2000</v>
      </c>
      <c r="F1820" s="3366"/>
      <c r="G1820" s="3367"/>
    </row>
    <row r="1821" spans="1:14" ht="15.75" x14ac:dyDescent="0.25">
      <c r="A1821" s="3358" t="s">
        <v>4072</v>
      </c>
      <c r="B1821" s="3359"/>
      <c r="C1821" s="3359"/>
      <c r="D1821" s="3359"/>
      <c r="E1821" s="1397"/>
      <c r="F1821" s="3368"/>
      <c r="G1821" s="3369"/>
      <c r="H1821" s="1247" t="s">
        <v>280</v>
      </c>
    </row>
    <row r="1822" spans="1:14" ht="15.75" x14ac:dyDescent="0.25">
      <c r="A1822" s="3356" t="s">
        <v>4073</v>
      </c>
      <c r="B1822" s="3357"/>
      <c r="C1822" s="3357"/>
      <c r="D1822" s="3357"/>
      <c r="E1822" s="1396">
        <v>894.33</v>
      </c>
      <c r="F1822" s="3368"/>
      <c r="G1822" s="3369"/>
      <c r="H1822" s="1360"/>
    </row>
    <row r="1823" spans="1:14" ht="15.75" x14ac:dyDescent="0.25">
      <c r="A1823" s="3358" t="s">
        <v>4074</v>
      </c>
      <c r="B1823" s="3359"/>
      <c r="C1823" s="3359"/>
      <c r="D1823" s="3359"/>
      <c r="E1823" s="3359"/>
      <c r="F1823" s="3360"/>
      <c r="G1823" s="1387">
        <f>SUM(G1810:G1819)</f>
        <v>546.13</v>
      </c>
      <c r="H1823" s="1341">
        <f>G1823-I1818</f>
        <v>499.03</v>
      </c>
      <c r="I1823" s="1336" t="s">
        <v>4141</v>
      </c>
    </row>
    <row r="1824" spans="1:14" ht="17.25" customHeight="1" thickBot="1" x14ac:dyDescent="0.3">
      <c r="A1824" s="3356" t="s">
        <v>4075</v>
      </c>
      <c r="B1824" s="3357"/>
      <c r="C1824" s="3357"/>
      <c r="D1824" s="3357"/>
      <c r="E1824" s="1388">
        <f>E1820-E1821</f>
        <v>2000</v>
      </c>
      <c r="G1824" s="1389"/>
    </row>
    <row r="1825" spans="1:14" ht="17.25" customHeight="1" thickBot="1" x14ac:dyDescent="0.3">
      <c r="I1825" s="2866" t="s">
        <v>135</v>
      </c>
    </row>
    <row r="1826" spans="1:14" ht="19.5" thickBot="1" x14ac:dyDescent="0.35">
      <c r="A1826" s="3361" t="s">
        <v>4684</v>
      </c>
      <c r="B1826" s="3336"/>
      <c r="C1826" s="3336"/>
      <c r="D1826" s="3336"/>
      <c r="E1826" s="3336"/>
      <c r="F1826" s="3336"/>
      <c r="G1826" s="3337"/>
    </row>
    <row r="1827" spans="1:14" ht="16.5" thickBot="1" x14ac:dyDescent="0.3">
      <c r="A1827" s="1361" t="s">
        <v>4206</v>
      </c>
      <c r="B1827" s="1361" t="s">
        <v>4206</v>
      </c>
      <c r="C1827" s="3370" t="s">
        <v>3</v>
      </c>
      <c r="D1827" s="3371"/>
      <c r="E1827" s="1363" t="s">
        <v>4190</v>
      </c>
      <c r="F1827" s="1363" t="s">
        <v>4191</v>
      </c>
      <c r="G1827" s="1364" t="s">
        <v>382</v>
      </c>
    </row>
    <row r="1828" spans="1:14" x14ac:dyDescent="0.25">
      <c r="A1828" s="1428">
        <v>43402</v>
      </c>
      <c r="B1828" s="1428">
        <v>43402</v>
      </c>
      <c r="C1828" s="3389" t="s">
        <v>4685</v>
      </c>
      <c r="D1828" s="3390"/>
      <c r="E1828" s="1357">
        <v>119</v>
      </c>
      <c r="F1828" s="1358">
        <v>3</v>
      </c>
      <c r="G1828" s="1359">
        <f t="shared" ref="G1828:G1843" si="275">E1828/F1828</f>
        <v>39.666666666666664</v>
      </c>
      <c r="H1828" s="1247" t="s">
        <v>1489</v>
      </c>
      <c r="I1828" s="1345"/>
      <c r="J1828" s="1427"/>
      <c r="K1828" s="1281"/>
      <c r="L1828" s="1281"/>
      <c r="N1828" s="1281"/>
    </row>
    <row r="1829" spans="1:14" x14ac:dyDescent="0.25">
      <c r="A1829" s="1428">
        <v>43409</v>
      </c>
      <c r="B1829" s="1428">
        <v>43409</v>
      </c>
      <c r="C1829" s="3389" t="s">
        <v>4686</v>
      </c>
      <c r="D1829" s="3390"/>
      <c r="E1829" s="1357">
        <v>149</v>
      </c>
      <c r="F1829" s="1358">
        <v>4</v>
      </c>
      <c r="G1829" s="1359">
        <f t="shared" si="275"/>
        <v>37.25</v>
      </c>
      <c r="H1829" s="1247" t="s">
        <v>1522</v>
      </c>
      <c r="I1829" s="1360"/>
      <c r="J1829" s="1427"/>
      <c r="K1829" s="1281"/>
      <c r="L1829" s="1281"/>
      <c r="N1829" s="1281"/>
    </row>
    <row r="1830" spans="1:14" x14ac:dyDescent="0.25">
      <c r="A1830" s="1447">
        <v>43437</v>
      </c>
      <c r="B1830" s="1447">
        <v>43437</v>
      </c>
      <c r="C1830" s="3409" t="s">
        <v>4687</v>
      </c>
      <c r="D1830" s="3410"/>
      <c r="E1830" s="1448">
        <v>396.08</v>
      </c>
      <c r="F1830" s="1449">
        <v>4</v>
      </c>
      <c r="G1830" s="1451">
        <f t="shared" si="275"/>
        <v>99.02</v>
      </c>
      <c r="H1830" s="1247" t="s">
        <v>4664</v>
      </c>
      <c r="I1830" s="1360"/>
      <c r="J1830" s="1427"/>
      <c r="K1830" s="1281"/>
      <c r="L1830" s="1281"/>
      <c r="N1830" s="1281"/>
    </row>
    <row r="1831" spans="1:14" x14ac:dyDescent="0.25">
      <c r="A1831" s="1428">
        <v>43440</v>
      </c>
      <c r="B1831" s="1428">
        <v>43440</v>
      </c>
      <c r="C1831" s="3389" t="s">
        <v>4688</v>
      </c>
      <c r="D1831" s="3390"/>
      <c r="E1831" s="1357">
        <v>120</v>
      </c>
      <c r="F1831" s="1358">
        <v>2</v>
      </c>
      <c r="G1831" s="1359">
        <f t="shared" si="275"/>
        <v>60</v>
      </c>
      <c r="H1831" s="1247" t="s">
        <v>1525</v>
      </c>
      <c r="I1831" s="1360"/>
      <c r="J1831" s="1427"/>
      <c r="K1831" s="1281"/>
      <c r="L1831" s="1281"/>
      <c r="N1831" s="1281"/>
    </row>
    <row r="1832" spans="1:14" x14ac:dyDescent="0.25">
      <c r="A1832" s="1428">
        <v>43441</v>
      </c>
      <c r="B1832" s="1428">
        <v>43441</v>
      </c>
      <c r="C1832" s="3389" t="s">
        <v>4689</v>
      </c>
      <c r="D1832" s="3390"/>
      <c r="E1832" s="1357">
        <v>200</v>
      </c>
      <c r="F1832" s="1358">
        <v>2</v>
      </c>
      <c r="G1832" s="1359">
        <f t="shared" si="275"/>
        <v>100</v>
      </c>
      <c r="H1832" s="1247" t="s">
        <v>1522</v>
      </c>
      <c r="I1832" s="1360"/>
      <c r="J1832" s="1427"/>
      <c r="K1832" s="1281"/>
      <c r="L1832" s="1281"/>
      <c r="N1832" s="1281"/>
    </row>
    <row r="1833" spans="1:14" x14ac:dyDescent="0.25">
      <c r="A1833" s="1428">
        <v>43447</v>
      </c>
      <c r="B1833" s="1428">
        <v>43447</v>
      </c>
      <c r="C1833" s="3389" t="s">
        <v>4690</v>
      </c>
      <c r="D1833" s="3390"/>
      <c r="E1833" s="1357">
        <v>234.04</v>
      </c>
      <c r="F1833" s="1358">
        <v>4</v>
      </c>
      <c r="G1833" s="1359">
        <f t="shared" si="275"/>
        <v>58.51</v>
      </c>
      <c r="H1833" s="1247" t="s">
        <v>1506</v>
      </c>
      <c r="I1833" s="1360"/>
      <c r="J1833" s="1427"/>
      <c r="K1833" s="1281"/>
      <c r="L1833" s="1281"/>
      <c r="N1833" s="1281"/>
    </row>
    <row r="1834" spans="1:14" x14ac:dyDescent="0.25">
      <c r="A1834" s="1428">
        <v>43461</v>
      </c>
      <c r="B1834" s="1428">
        <v>43461</v>
      </c>
      <c r="C1834" s="3397" t="s">
        <v>1241</v>
      </c>
      <c r="D1834" s="3398"/>
      <c r="E1834" s="1357">
        <v>20</v>
      </c>
      <c r="F1834" s="1358">
        <v>1</v>
      </c>
      <c r="G1834" s="1359">
        <f t="shared" si="275"/>
        <v>20</v>
      </c>
      <c r="H1834" s="1247" t="s">
        <v>1504</v>
      </c>
      <c r="I1834" s="1360"/>
      <c r="J1834" s="1427"/>
      <c r="K1834" s="1281"/>
      <c r="L1834" s="1281"/>
      <c r="N1834" s="1281"/>
    </row>
    <row r="1835" spans="1:14" x14ac:dyDescent="0.25">
      <c r="A1835" s="1428">
        <v>43462</v>
      </c>
      <c r="B1835" s="1428">
        <v>43462</v>
      </c>
      <c r="C1835" s="3397" t="s">
        <v>4525</v>
      </c>
      <c r="D1835" s="3398"/>
      <c r="E1835" s="1357">
        <v>150</v>
      </c>
      <c r="F1835" s="1358">
        <v>2</v>
      </c>
      <c r="G1835" s="1359">
        <f t="shared" si="275"/>
        <v>75</v>
      </c>
      <c r="H1835" s="1247" t="s">
        <v>1489</v>
      </c>
      <c r="I1835" s="1360"/>
      <c r="J1835" s="1427"/>
      <c r="K1835" s="1281"/>
      <c r="L1835" s="1281"/>
      <c r="N1835" s="1281"/>
    </row>
    <row r="1836" spans="1:14" x14ac:dyDescent="0.25">
      <c r="A1836" s="1428">
        <v>43469</v>
      </c>
      <c r="B1836" s="1428">
        <v>43469</v>
      </c>
      <c r="C1836" s="3389" t="s">
        <v>4691</v>
      </c>
      <c r="D1836" s="3390"/>
      <c r="E1836" s="1357">
        <v>119.49</v>
      </c>
      <c r="F1836" s="1358">
        <v>1</v>
      </c>
      <c r="G1836" s="1359">
        <f t="shared" si="275"/>
        <v>119.49</v>
      </c>
      <c r="H1836" s="1247" t="s">
        <v>1506</v>
      </c>
      <c r="I1836" s="1360"/>
      <c r="J1836" s="1427"/>
      <c r="K1836" s="1281"/>
      <c r="L1836" s="1281"/>
      <c r="N1836" s="1281"/>
    </row>
    <row r="1837" spans="1:14" x14ac:dyDescent="0.25">
      <c r="A1837" s="1428">
        <v>43469</v>
      </c>
      <c r="B1837" s="1428">
        <v>43469</v>
      </c>
      <c r="C1837" s="3389" t="s">
        <v>4692</v>
      </c>
      <c r="D1837" s="3390"/>
      <c r="E1837" s="1357">
        <v>22.9</v>
      </c>
      <c r="F1837" s="1358">
        <v>1</v>
      </c>
      <c r="G1837" s="1359">
        <f t="shared" si="275"/>
        <v>22.9</v>
      </c>
      <c r="H1837" s="1247" t="s">
        <v>1506</v>
      </c>
      <c r="I1837" s="1360"/>
      <c r="J1837" s="1427"/>
      <c r="K1837" s="1281"/>
      <c r="L1837" s="1281"/>
      <c r="N1837" s="1281"/>
    </row>
    <row r="1838" spans="1:14" x14ac:dyDescent="0.25">
      <c r="A1838" s="1428">
        <v>43472</v>
      </c>
      <c r="B1838" s="1428">
        <v>43472</v>
      </c>
      <c r="C1838" s="3389" t="s">
        <v>4693</v>
      </c>
      <c r="D1838" s="3390"/>
      <c r="E1838" s="1357">
        <v>70</v>
      </c>
      <c r="F1838" s="1358">
        <v>1</v>
      </c>
      <c r="G1838" s="1359">
        <f t="shared" si="275"/>
        <v>70</v>
      </c>
      <c r="H1838" s="1247" t="s">
        <v>1491</v>
      </c>
      <c r="I1838" s="1360"/>
      <c r="J1838" s="1427"/>
      <c r="K1838" s="1281"/>
      <c r="L1838" s="1281"/>
      <c r="N1838" s="1281"/>
    </row>
    <row r="1839" spans="1:14" x14ac:dyDescent="0.25">
      <c r="A1839" s="1428">
        <v>43472</v>
      </c>
      <c r="B1839" s="1428">
        <v>43472</v>
      </c>
      <c r="C1839" s="3389" t="s">
        <v>4694</v>
      </c>
      <c r="D1839" s="3390"/>
      <c r="E1839" s="1357">
        <v>25</v>
      </c>
      <c r="F1839" s="1358">
        <v>1</v>
      </c>
      <c r="G1839" s="1359">
        <f t="shared" si="275"/>
        <v>25</v>
      </c>
      <c r="H1839" s="1247" t="s">
        <v>1489</v>
      </c>
      <c r="I1839" s="1360"/>
      <c r="J1839" s="1427"/>
      <c r="K1839" s="1281"/>
      <c r="L1839" s="1281"/>
      <c r="N1839" s="1281"/>
    </row>
    <row r="1840" spans="1:14" x14ac:dyDescent="0.25">
      <c r="A1840" s="1428">
        <v>43480</v>
      </c>
      <c r="B1840" s="1428">
        <v>43480</v>
      </c>
      <c r="C1840" s="3389" t="s">
        <v>4695</v>
      </c>
      <c r="D1840" s="3390"/>
      <c r="E1840" s="1357">
        <v>150</v>
      </c>
      <c r="F1840" s="1358">
        <v>3</v>
      </c>
      <c r="G1840" s="1359">
        <f t="shared" si="275"/>
        <v>50</v>
      </c>
      <c r="H1840" s="1247" t="s">
        <v>1506</v>
      </c>
      <c r="I1840" s="1360"/>
      <c r="J1840" s="1427"/>
      <c r="K1840" s="1281"/>
      <c r="L1840" s="1281"/>
      <c r="N1840" s="1281"/>
    </row>
    <row r="1841" spans="1:14" x14ac:dyDescent="0.25">
      <c r="A1841" s="1428">
        <v>43484</v>
      </c>
      <c r="B1841" s="1428">
        <v>43484</v>
      </c>
      <c r="C1841" s="3389" t="s">
        <v>4696</v>
      </c>
      <c r="D1841" s="3390"/>
      <c r="E1841" s="1357">
        <v>400</v>
      </c>
      <c r="F1841" s="1358">
        <v>4</v>
      </c>
      <c r="G1841" s="1359">
        <f t="shared" si="275"/>
        <v>100</v>
      </c>
      <c r="H1841" s="1247" t="s">
        <v>1489</v>
      </c>
      <c r="I1841" s="1360"/>
      <c r="J1841" s="1427"/>
      <c r="K1841" s="1281"/>
      <c r="L1841" s="1281"/>
      <c r="N1841" s="1281"/>
    </row>
    <row r="1842" spans="1:14" x14ac:dyDescent="0.25">
      <c r="A1842" s="1447">
        <v>43482</v>
      </c>
      <c r="B1842" s="1447">
        <v>43482</v>
      </c>
      <c r="C1842" s="3407" t="s">
        <v>4697</v>
      </c>
      <c r="D1842" s="3408"/>
      <c r="E1842" s="1400">
        <v>7.49</v>
      </c>
      <c r="F1842" s="1401">
        <v>1</v>
      </c>
      <c r="G1842" s="1359">
        <f t="shared" si="275"/>
        <v>7.49</v>
      </c>
      <c r="H1842" s="1247" t="s">
        <v>1489</v>
      </c>
      <c r="I1842" s="1360"/>
      <c r="J1842" s="1427"/>
      <c r="K1842" s="1281"/>
      <c r="L1842" s="1281"/>
      <c r="N1842" s="1281"/>
    </row>
    <row r="1843" spans="1:14" x14ac:dyDescent="0.25">
      <c r="A1843" s="1428">
        <v>43491</v>
      </c>
      <c r="B1843" s="1428">
        <v>43491</v>
      </c>
      <c r="C1843" s="3397" t="s">
        <v>1241</v>
      </c>
      <c r="D1843" s="3398"/>
      <c r="E1843" s="1357">
        <v>10</v>
      </c>
      <c r="F1843" s="1358">
        <v>1</v>
      </c>
      <c r="G1843" s="1359">
        <f t="shared" si="275"/>
        <v>10</v>
      </c>
      <c r="H1843" s="1247" t="s">
        <v>1504</v>
      </c>
      <c r="I1843" s="1360"/>
      <c r="J1843" s="1427"/>
      <c r="K1843" s="1281"/>
      <c r="L1843" s="1281"/>
      <c r="N1843" s="1281"/>
    </row>
    <row r="1844" spans="1:14" x14ac:dyDescent="0.25">
      <c r="A1844" s="1428"/>
      <c r="B1844" s="1428"/>
      <c r="C1844" s="3397"/>
      <c r="D1844" s="3398"/>
      <c r="E1844" s="1357"/>
      <c r="F1844" s="1358"/>
      <c r="G1844" s="1359"/>
      <c r="I1844" s="1360"/>
      <c r="J1844" s="1427"/>
      <c r="K1844" s="1281"/>
      <c r="L1844" s="1281"/>
      <c r="N1844" s="1281"/>
    </row>
    <row r="1845" spans="1:14" ht="15.75" x14ac:dyDescent="0.25">
      <c r="A1845" s="3356" t="s">
        <v>4071</v>
      </c>
      <c r="B1845" s="3357"/>
      <c r="C1845" s="3357"/>
      <c r="D1845" s="3357"/>
      <c r="E1845" s="1396">
        <v>2000</v>
      </c>
      <c r="F1845" s="3366"/>
      <c r="G1845" s="3367"/>
    </row>
    <row r="1846" spans="1:14" ht="15.75" x14ac:dyDescent="0.25">
      <c r="A1846" s="3358" t="s">
        <v>4072</v>
      </c>
      <c r="B1846" s="3359"/>
      <c r="C1846" s="3359"/>
      <c r="D1846" s="3359"/>
      <c r="E1846" s="1397">
        <v>1299.1300000000001</v>
      </c>
      <c r="F1846" s="3368"/>
      <c r="G1846" s="3369"/>
      <c r="H1846" s="1247" t="s">
        <v>280</v>
      </c>
    </row>
    <row r="1847" spans="1:14" ht="15.75" x14ac:dyDescent="0.25">
      <c r="A1847" s="3356" t="s">
        <v>4073</v>
      </c>
      <c r="B1847" s="3357"/>
      <c r="C1847" s="3357"/>
      <c r="D1847" s="3357"/>
      <c r="E1847" s="1396">
        <v>496.49</v>
      </c>
      <c r="F1847" s="3368"/>
      <c r="G1847" s="3369"/>
    </row>
    <row r="1848" spans="1:14" ht="15.75" x14ac:dyDescent="0.25">
      <c r="A1848" s="3358" t="s">
        <v>4074</v>
      </c>
      <c r="B1848" s="3359"/>
      <c r="C1848" s="3359"/>
      <c r="D1848" s="3359"/>
      <c r="E1848" s="3359"/>
      <c r="F1848" s="3360"/>
      <c r="G1848" s="1387">
        <f>SUM(G1828:G1844)</f>
        <v>894.3266666666666</v>
      </c>
      <c r="H1848" s="1341"/>
    </row>
    <row r="1849" spans="1:14" ht="17.25" customHeight="1" thickBot="1" x14ac:dyDescent="0.3">
      <c r="A1849" s="3356" t="s">
        <v>4075</v>
      </c>
      <c r="B1849" s="3357"/>
      <c r="C1849" s="3357"/>
      <c r="D1849" s="3357"/>
      <c r="E1849" s="1388">
        <f>E1845-E1846</f>
        <v>700.86999999999989</v>
      </c>
      <c r="G1849" s="1389"/>
    </row>
    <row r="1850" spans="1:14" ht="17.25" customHeight="1" thickBot="1" x14ac:dyDescent="0.3">
      <c r="I1850" s="2866" t="s">
        <v>135</v>
      </c>
    </row>
    <row r="1851" spans="1:14" ht="19.5" thickBot="1" x14ac:dyDescent="0.35">
      <c r="A1851" s="3361" t="s">
        <v>4698</v>
      </c>
      <c r="B1851" s="3336"/>
      <c r="C1851" s="3336"/>
      <c r="D1851" s="3336"/>
      <c r="E1851" s="3336"/>
      <c r="F1851" s="3336"/>
      <c r="G1851" s="3337"/>
    </row>
    <row r="1852" spans="1:14" ht="16.5" thickBot="1" x14ac:dyDescent="0.3">
      <c r="A1852" s="1361" t="s">
        <v>4206</v>
      </c>
      <c r="B1852" s="1361" t="s">
        <v>4206</v>
      </c>
      <c r="C1852" s="3370" t="s">
        <v>3</v>
      </c>
      <c r="D1852" s="3371"/>
      <c r="E1852" s="1363" t="s">
        <v>4190</v>
      </c>
      <c r="F1852" s="1363" t="s">
        <v>4191</v>
      </c>
      <c r="G1852" s="1364" t="s">
        <v>382</v>
      </c>
    </row>
    <row r="1853" spans="1:14" x14ac:dyDescent="0.25">
      <c r="A1853" s="1428">
        <v>43309</v>
      </c>
      <c r="B1853" s="1428">
        <v>43309</v>
      </c>
      <c r="C1853" s="3397" t="s">
        <v>4699</v>
      </c>
      <c r="D1853" s="3398"/>
      <c r="E1853" s="1357">
        <v>800</v>
      </c>
      <c r="F1853" s="1358">
        <v>6</v>
      </c>
      <c r="G1853" s="1359">
        <f>E1853/F1853</f>
        <v>133.33333333333334</v>
      </c>
      <c r="H1853" s="1247" t="s">
        <v>1525</v>
      </c>
      <c r="I1853" s="1360"/>
      <c r="J1853" s="1427"/>
      <c r="K1853" s="1281"/>
      <c r="L1853" s="1281"/>
      <c r="N1853" s="1281"/>
    </row>
    <row r="1854" spans="1:14" x14ac:dyDescent="0.25">
      <c r="A1854" s="1428">
        <v>43364</v>
      </c>
      <c r="B1854" s="1428">
        <v>43364</v>
      </c>
      <c r="C1854" s="3389" t="s">
        <v>4700</v>
      </c>
      <c r="D1854" s="3390"/>
      <c r="E1854" s="1357">
        <v>422.4</v>
      </c>
      <c r="F1854" s="1358">
        <v>4</v>
      </c>
      <c r="G1854" s="1359">
        <f>E1854/F1854</f>
        <v>105.6</v>
      </c>
      <c r="H1854" s="1247" t="s">
        <v>1496</v>
      </c>
      <c r="I1854" s="1360"/>
      <c r="J1854" s="1427"/>
      <c r="K1854" s="1281"/>
      <c r="L1854" s="1281"/>
      <c r="N1854" s="1281"/>
    </row>
    <row r="1855" spans="1:14" x14ac:dyDescent="0.25">
      <c r="A1855" s="1428">
        <v>43402</v>
      </c>
      <c r="B1855" s="1428">
        <v>43402</v>
      </c>
      <c r="C1855" s="3389" t="s">
        <v>4701</v>
      </c>
      <c r="D1855" s="3390"/>
      <c r="E1855" s="1357">
        <v>119.94</v>
      </c>
      <c r="F1855" s="1358">
        <v>3</v>
      </c>
      <c r="G1855" s="1359">
        <f>E1855/F1855</f>
        <v>39.979999999999997</v>
      </c>
      <c r="H1855" s="1247" t="s">
        <v>1489</v>
      </c>
      <c r="I1855" s="1345"/>
      <c r="J1855" s="1427"/>
      <c r="K1855" s="1281"/>
      <c r="L1855" s="1281"/>
      <c r="N1855" s="1281"/>
    </row>
    <row r="1856" spans="1:14" x14ac:dyDescent="0.25">
      <c r="A1856" s="1428">
        <v>43407</v>
      </c>
      <c r="B1856" s="1428">
        <v>43407</v>
      </c>
      <c r="C1856" s="3389" t="s">
        <v>4702</v>
      </c>
      <c r="D1856" s="3390"/>
      <c r="E1856" s="1357">
        <v>481.8</v>
      </c>
      <c r="F1856" s="1358">
        <v>2</v>
      </c>
      <c r="G1856" s="1359">
        <f>E1856/F1856</f>
        <v>240.9</v>
      </c>
      <c r="H1856" s="1247" t="s">
        <v>1524</v>
      </c>
      <c r="I1856" s="1321">
        <f>G1856/2</f>
        <v>120.45</v>
      </c>
      <c r="J1856" s="1427"/>
      <c r="K1856" s="1281"/>
      <c r="L1856" s="1281"/>
      <c r="N1856" s="1281"/>
    </row>
    <row r="1857" spans="1:14" x14ac:dyDescent="0.25">
      <c r="A1857" s="1428">
        <v>43409</v>
      </c>
      <c r="B1857" s="1428">
        <v>43409</v>
      </c>
      <c r="C1857" s="3389" t="s">
        <v>4703</v>
      </c>
      <c r="D1857" s="3390"/>
      <c r="E1857" s="1357">
        <v>149.68</v>
      </c>
      <c r="F1857" s="1358">
        <v>4</v>
      </c>
      <c r="G1857" s="1359">
        <f>E1857/F1857</f>
        <v>37.42</v>
      </c>
      <c r="H1857" s="1247" t="s">
        <v>1522</v>
      </c>
      <c r="I1857" s="1360"/>
      <c r="J1857" s="1427"/>
      <c r="K1857" s="1281"/>
      <c r="L1857" s="1281"/>
      <c r="N1857" s="1281"/>
    </row>
    <row r="1858" spans="1:14" x14ac:dyDescent="0.25">
      <c r="A1858" s="1447">
        <v>43427</v>
      </c>
      <c r="B1858" s="1447">
        <v>43427</v>
      </c>
      <c r="C1858" s="3409" t="s">
        <v>4704</v>
      </c>
      <c r="D1858" s="3410"/>
      <c r="E1858" s="1448">
        <v>1600.44</v>
      </c>
      <c r="F1858" s="1449">
        <v>6</v>
      </c>
      <c r="G1858" s="1451">
        <v>-266.74</v>
      </c>
      <c r="I1858" s="1360"/>
      <c r="J1858" s="1427"/>
      <c r="K1858" s="1281"/>
      <c r="L1858" s="1281"/>
      <c r="N1858" s="1281"/>
    </row>
    <row r="1859" spans="1:14" x14ac:dyDescent="0.25">
      <c r="A1859" s="1428">
        <v>43437</v>
      </c>
      <c r="B1859" s="1428">
        <v>43437</v>
      </c>
      <c r="C1859" s="3389" t="s">
        <v>4705</v>
      </c>
      <c r="D1859" s="3390"/>
      <c r="E1859" s="1357">
        <v>31</v>
      </c>
      <c r="F1859" s="1358">
        <v>1</v>
      </c>
      <c r="G1859" s="1359">
        <f>E1859/F1859</f>
        <v>31</v>
      </c>
      <c r="H1859" s="1247" t="s">
        <v>1506</v>
      </c>
      <c r="I1859" s="1360"/>
      <c r="J1859" s="1427"/>
      <c r="K1859" s="1281"/>
      <c r="L1859" s="1281"/>
      <c r="N1859" s="1281"/>
    </row>
    <row r="1860" spans="1:14" x14ac:dyDescent="0.25">
      <c r="A1860" s="1447">
        <v>43437</v>
      </c>
      <c r="B1860" s="1447">
        <v>43437</v>
      </c>
      <c r="C1860" s="3409" t="s">
        <v>4706</v>
      </c>
      <c r="D1860" s="3410"/>
      <c r="E1860" s="1448">
        <v>396.08</v>
      </c>
      <c r="F1860" s="1449">
        <v>4</v>
      </c>
      <c r="G1860" s="1451">
        <f>E1860/F1860</f>
        <v>99.02</v>
      </c>
      <c r="H1860" s="1247" t="s">
        <v>4664</v>
      </c>
      <c r="I1860" s="1360"/>
      <c r="J1860" s="1427"/>
      <c r="K1860" s="1281"/>
      <c r="L1860" s="1281"/>
      <c r="N1860" s="1281"/>
    </row>
    <row r="1861" spans="1:14" x14ac:dyDescent="0.25">
      <c r="A1861" s="1447">
        <v>43437</v>
      </c>
      <c r="B1861" s="1447">
        <v>43437</v>
      </c>
      <c r="C1861" s="3409" t="s">
        <v>4707</v>
      </c>
      <c r="D1861" s="3410"/>
      <c r="E1861" s="1448">
        <v>396.08</v>
      </c>
      <c r="F1861" s="1449">
        <v>1</v>
      </c>
      <c r="G1861" s="1451">
        <v>-396.08</v>
      </c>
      <c r="J1861" s="1427"/>
      <c r="K1861" s="1281"/>
      <c r="L1861" s="1281"/>
      <c r="N1861" s="1281"/>
    </row>
    <row r="1862" spans="1:14" x14ac:dyDescent="0.25">
      <c r="A1862" s="1447">
        <v>43444</v>
      </c>
      <c r="B1862" s="1447">
        <v>43444</v>
      </c>
      <c r="C1862" s="3409" t="s">
        <v>4708</v>
      </c>
      <c r="D1862" s="3410"/>
      <c r="E1862" s="1448">
        <v>-27.61</v>
      </c>
      <c r="F1862" s="1449">
        <v>1</v>
      </c>
      <c r="G1862" s="1451">
        <f t="shared" ref="G1862:G1868" si="276">E1862/F1862</f>
        <v>-27.61</v>
      </c>
      <c r="I1862" s="1360"/>
      <c r="J1862" s="1427"/>
      <c r="K1862" s="1281"/>
      <c r="L1862" s="1281"/>
      <c r="N1862" s="1281"/>
    </row>
    <row r="1863" spans="1:14" x14ac:dyDescent="0.25">
      <c r="A1863" s="1428">
        <v>43440</v>
      </c>
      <c r="B1863" s="1428">
        <v>43440</v>
      </c>
      <c r="C1863" s="3389" t="s">
        <v>4709</v>
      </c>
      <c r="D1863" s="3390"/>
      <c r="E1863" s="1357">
        <v>120</v>
      </c>
      <c r="F1863" s="1358">
        <v>2</v>
      </c>
      <c r="G1863" s="1359">
        <f t="shared" si="276"/>
        <v>60</v>
      </c>
      <c r="H1863" s="1247" t="s">
        <v>1525</v>
      </c>
      <c r="I1863" s="1360"/>
      <c r="J1863" s="1427"/>
      <c r="K1863" s="1281"/>
      <c r="L1863" s="1281"/>
      <c r="N1863" s="1281"/>
    </row>
    <row r="1864" spans="1:14" x14ac:dyDescent="0.25">
      <c r="A1864" s="1428">
        <v>43441</v>
      </c>
      <c r="B1864" s="1428">
        <v>43441</v>
      </c>
      <c r="C1864" s="3389" t="s">
        <v>4710</v>
      </c>
      <c r="D1864" s="3390"/>
      <c r="E1864" s="1357">
        <v>200</v>
      </c>
      <c r="F1864" s="1358">
        <v>2</v>
      </c>
      <c r="G1864" s="1359">
        <f t="shared" si="276"/>
        <v>100</v>
      </c>
      <c r="H1864" s="1247" t="s">
        <v>1522</v>
      </c>
      <c r="I1864" s="1360"/>
      <c r="J1864" s="1427"/>
      <c r="K1864" s="1281"/>
      <c r="L1864" s="1281"/>
      <c r="N1864" s="1281"/>
    </row>
    <row r="1865" spans="1:14" x14ac:dyDescent="0.25">
      <c r="A1865" s="1428">
        <v>43447</v>
      </c>
      <c r="B1865" s="1428">
        <v>43447</v>
      </c>
      <c r="C1865" s="3389" t="s">
        <v>4711</v>
      </c>
      <c r="D1865" s="3390"/>
      <c r="E1865" s="1357">
        <v>234.04</v>
      </c>
      <c r="F1865" s="1358">
        <v>4</v>
      </c>
      <c r="G1865" s="1359">
        <f t="shared" si="276"/>
        <v>58.51</v>
      </c>
      <c r="H1865" s="1247" t="s">
        <v>1506</v>
      </c>
      <c r="I1865" s="1360"/>
      <c r="J1865" s="1427"/>
      <c r="K1865" s="1281"/>
      <c r="L1865" s="1281"/>
      <c r="N1865" s="1281"/>
    </row>
    <row r="1866" spans="1:14" x14ac:dyDescent="0.25">
      <c r="A1866" s="1428">
        <v>43447</v>
      </c>
      <c r="B1866" s="1428">
        <v>43447</v>
      </c>
      <c r="C1866" s="3389" t="s">
        <v>4712</v>
      </c>
      <c r="D1866" s="3390"/>
      <c r="E1866" s="1357">
        <v>48.03</v>
      </c>
      <c r="F1866" s="1358">
        <v>1</v>
      </c>
      <c r="G1866" s="1359">
        <f t="shared" si="276"/>
        <v>48.03</v>
      </c>
      <c r="H1866" s="1247" t="s">
        <v>1506</v>
      </c>
      <c r="I1866" s="1321">
        <v>24</v>
      </c>
      <c r="J1866" s="1427"/>
      <c r="K1866" s="1281"/>
      <c r="L1866" s="1281"/>
      <c r="N1866" s="1281"/>
    </row>
    <row r="1867" spans="1:14" x14ac:dyDescent="0.25">
      <c r="A1867" s="1428">
        <v>43447</v>
      </c>
      <c r="B1867" s="1428">
        <v>43447</v>
      </c>
      <c r="C1867" s="3389" t="s">
        <v>4713</v>
      </c>
      <c r="D1867" s="3390"/>
      <c r="E1867" s="1357">
        <v>33.130000000000003</v>
      </c>
      <c r="F1867" s="1358">
        <v>1</v>
      </c>
      <c r="G1867" s="1359">
        <f t="shared" si="276"/>
        <v>33.130000000000003</v>
      </c>
      <c r="I1867" s="1321">
        <v>33.130000000000003</v>
      </c>
      <c r="J1867" s="1427"/>
      <c r="K1867" s="1281"/>
      <c r="L1867" s="1281"/>
      <c r="N1867" s="1281"/>
    </row>
    <row r="1868" spans="1:14" x14ac:dyDescent="0.25">
      <c r="A1868" s="1428">
        <v>43458</v>
      </c>
      <c r="B1868" s="1428">
        <v>43458</v>
      </c>
      <c r="C1868" s="3389" t="s">
        <v>4714</v>
      </c>
      <c r="D1868" s="3390"/>
      <c r="E1868" s="1357">
        <v>200</v>
      </c>
      <c r="F1868" s="1358">
        <v>1</v>
      </c>
      <c r="G1868" s="1359">
        <f t="shared" si="276"/>
        <v>200</v>
      </c>
      <c r="H1868" s="1247" t="s">
        <v>1489</v>
      </c>
      <c r="I1868" s="1321">
        <v>100</v>
      </c>
      <c r="J1868" s="1427"/>
      <c r="K1868" s="1281"/>
      <c r="L1868" s="1281"/>
      <c r="N1868" s="1281"/>
    </row>
    <row r="1869" spans="1:14" x14ac:dyDescent="0.25">
      <c r="A1869" s="1428"/>
      <c r="B1869" s="1428"/>
      <c r="C1869" s="3397"/>
      <c r="D1869" s="3398"/>
      <c r="E1869" s="1357"/>
      <c r="F1869" s="1358"/>
      <c r="G1869" s="1359"/>
      <c r="J1869" s="1427"/>
      <c r="K1869" s="1281"/>
      <c r="L1869" s="1281"/>
      <c r="N1869" s="1281"/>
    </row>
    <row r="1870" spans="1:14" ht="15.75" x14ac:dyDescent="0.25">
      <c r="A1870" s="3356" t="s">
        <v>4071</v>
      </c>
      <c r="B1870" s="3357"/>
      <c r="C1870" s="3357"/>
      <c r="D1870" s="3357"/>
      <c r="E1870" s="1396">
        <v>2000</v>
      </c>
      <c r="F1870" s="3366"/>
      <c r="G1870" s="3367"/>
    </row>
    <row r="1871" spans="1:14" ht="15.75" x14ac:dyDescent="0.25">
      <c r="A1871" s="3358" t="s">
        <v>4072</v>
      </c>
      <c r="B1871" s="3359"/>
      <c r="C1871" s="3359"/>
      <c r="D1871" s="3359"/>
      <c r="E1871" s="1397"/>
      <c r="F1871" s="3368"/>
      <c r="G1871" s="3369"/>
      <c r="H1871" s="1247" t="s">
        <v>280</v>
      </c>
    </row>
    <row r="1872" spans="1:14" ht="15.75" x14ac:dyDescent="0.25">
      <c r="A1872" s="3356" t="s">
        <v>4073</v>
      </c>
      <c r="B1872" s="3357"/>
      <c r="C1872" s="3357"/>
      <c r="D1872" s="3357"/>
      <c r="E1872" s="1396">
        <v>900</v>
      </c>
      <c r="F1872" s="3368"/>
      <c r="G1872" s="3369"/>
    </row>
    <row r="1873" spans="1:14" ht="15.75" x14ac:dyDescent="0.25">
      <c r="A1873" s="3358" t="s">
        <v>4074</v>
      </c>
      <c r="B1873" s="3359"/>
      <c r="C1873" s="3359"/>
      <c r="D1873" s="3359"/>
      <c r="E1873" s="3359"/>
      <c r="F1873" s="3360"/>
      <c r="G1873" s="1387">
        <f>SUM(G1853:G1869)</f>
        <v>496.49333333333334</v>
      </c>
      <c r="H1873" s="1341">
        <f>G1873-I1856-I1866-I1867-I1868</f>
        <v>218.91333333333336</v>
      </c>
    </row>
    <row r="1874" spans="1:14" ht="17.25" customHeight="1" thickBot="1" x14ac:dyDescent="0.3">
      <c r="A1874" s="3356" t="s">
        <v>4075</v>
      </c>
      <c r="B1874" s="3357"/>
      <c r="C1874" s="3357"/>
      <c r="D1874" s="3357"/>
      <c r="E1874" s="1388">
        <f>E1870-E1871</f>
        <v>2000</v>
      </c>
      <c r="G1874" s="1389"/>
    </row>
    <row r="1875" spans="1:14" ht="17.25" customHeight="1" thickBot="1" x14ac:dyDescent="0.3">
      <c r="I1875" s="2866" t="s">
        <v>135</v>
      </c>
    </row>
    <row r="1876" spans="1:14" ht="19.5" thickBot="1" x14ac:dyDescent="0.35">
      <c r="A1876" s="3361" t="s">
        <v>4715</v>
      </c>
      <c r="B1876" s="3336"/>
      <c r="C1876" s="3336"/>
      <c r="D1876" s="3336"/>
      <c r="E1876" s="3336"/>
      <c r="F1876" s="3336"/>
      <c r="G1876" s="3337"/>
    </row>
    <row r="1877" spans="1:14" ht="16.5" thickBot="1" x14ac:dyDescent="0.3">
      <c r="A1877" s="1361" t="s">
        <v>4206</v>
      </c>
      <c r="B1877" s="1361" t="s">
        <v>4206</v>
      </c>
      <c r="C1877" s="3370" t="s">
        <v>3</v>
      </c>
      <c r="D1877" s="3371"/>
      <c r="E1877" s="1363" t="s">
        <v>4190</v>
      </c>
      <c r="F1877" s="1363" t="s">
        <v>4191</v>
      </c>
      <c r="G1877" s="1364" t="s">
        <v>382</v>
      </c>
    </row>
    <row r="1878" spans="1:14" x14ac:dyDescent="0.25">
      <c r="A1878" s="1428">
        <v>43309</v>
      </c>
      <c r="B1878" s="1428">
        <v>43309</v>
      </c>
      <c r="C1878" s="3397" t="s">
        <v>4716</v>
      </c>
      <c r="D1878" s="3398"/>
      <c r="E1878" s="1357">
        <v>800</v>
      </c>
      <c r="F1878" s="1358">
        <v>6</v>
      </c>
      <c r="G1878" s="1359">
        <f t="shared" ref="G1878:G1886" si="277">E1878/F1878</f>
        <v>133.33333333333334</v>
      </c>
      <c r="H1878" s="1247" t="s">
        <v>1525</v>
      </c>
      <c r="I1878" s="1360"/>
      <c r="J1878" s="1427"/>
      <c r="K1878" s="1281"/>
      <c r="L1878" s="1281"/>
      <c r="N1878" s="1281"/>
    </row>
    <row r="1879" spans="1:14" x14ac:dyDescent="0.25">
      <c r="A1879" s="1428">
        <v>43364</v>
      </c>
      <c r="B1879" s="1428">
        <v>43364</v>
      </c>
      <c r="C1879" s="3389" t="s">
        <v>4717</v>
      </c>
      <c r="D1879" s="3390"/>
      <c r="E1879" s="1357">
        <v>422.4</v>
      </c>
      <c r="F1879" s="1358">
        <v>4</v>
      </c>
      <c r="G1879" s="1359">
        <f t="shared" si="277"/>
        <v>105.6</v>
      </c>
      <c r="H1879" s="1247" t="s">
        <v>1496</v>
      </c>
      <c r="I1879" s="1360"/>
      <c r="J1879" s="1427"/>
      <c r="K1879" s="1281"/>
      <c r="L1879" s="1281"/>
      <c r="N1879" s="1281"/>
    </row>
    <row r="1880" spans="1:14" x14ac:dyDescent="0.25">
      <c r="A1880" s="1428">
        <v>43402</v>
      </c>
      <c r="B1880" s="1428">
        <v>43402</v>
      </c>
      <c r="C1880" s="3389" t="s">
        <v>4718</v>
      </c>
      <c r="D1880" s="3390"/>
      <c r="E1880" s="1357">
        <v>8</v>
      </c>
      <c r="F1880" s="1358">
        <v>1</v>
      </c>
      <c r="G1880" s="1359">
        <f t="shared" si="277"/>
        <v>8</v>
      </c>
      <c r="H1880" s="1247" t="s">
        <v>1489</v>
      </c>
      <c r="I1880" s="1360"/>
      <c r="J1880" s="1427"/>
      <c r="K1880" s="1281"/>
      <c r="L1880" s="1281"/>
      <c r="N1880" s="1281"/>
    </row>
    <row r="1881" spans="1:14" x14ac:dyDescent="0.25">
      <c r="A1881" s="1428">
        <v>43402</v>
      </c>
      <c r="B1881" s="1428">
        <v>43402</v>
      </c>
      <c r="C1881" s="3389" t="s">
        <v>4719</v>
      </c>
      <c r="D1881" s="3390"/>
      <c r="E1881" s="1357">
        <v>119</v>
      </c>
      <c r="F1881" s="1358">
        <v>3</v>
      </c>
      <c r="G1881" s="1359">
        <f t="shared" si="277"/>
        <v>39.666666666666664</v>
      </c>
      <c r="H1881" s="1247" t="s">
        <v>1489</v>
      </c>
      <c r="I1881" s="1345"/>
      <c r="J1881" s="1427"/>
      <c r="K1881" s="1281"/>
      <c r="L1881" s="1281"/>
      <c r="N1881" s="1281"/>
    </row>
    <row r="1882" spans="1:14" x14ac:dyDescent="0.25">
      <c r="A1882" s="1428">
        <v>43407</v>
      </c>
      <c r="B1882" s="1428">
        <v>43407</v>
      </c>
      <c r="C1882" s="3389" t="s">
        <v>4720</v>
      </c>
      <c r="D1882" s="3390"/>
      <c r="E1882" s="1357">
        <v>481.8</v>
      </c>
      <c r="F1882" s="1358">
        <v>2</v>
      </c>
      <c r="G1882" s="1359">
        <f t="shared" si="277"/>
        <v>240.9</v>
      </c>
      <c r="H1882" s="1247" t="s">
        <v>1524</v>
      </c>
      <c r="I1882" s="1321">
        <f>G1882/2</f>
        <v>120.45</v>
      </c>
      <c r="J1882" s="1427"/>
      <c r="K1882" s="1281"/>
      <c r="L1882" s="1281"/>
      <c r="N1882" s="1281"/>
    </row>
    <row r="1883" spans="1:14" x14ac:dyDescent="0.25">
      <c r="A1883" s="1428">
        <v>43397</v>
      </c>
      <c r="B1883" s="1428">
        <v>43397</v>
      </c>
      <c r="C1883" s="3407" t="s">
        <v>4721</v>
      </c>
      <c r="D1883" s="3408"/>
      <c r="E1883" s="1400">
        <v>-155</v>
      </c>
      <c r="F1883" s="1401">
        <v>1</v>
      </c>
      <c r="G1883" s="1359">
        <f t="shared" si="277"/>
        <v>-155</v>
      </c>
      <c r="H1883" s="1247" t="s">
        <v>1524</v>
      </c>
      <c r="I1883" s="1360"/>
      <c r="J1883" s="1427"/>
      <c r="K1883" s="1281"/>
      <c r="L1883" s="1281"/>
      <c r="N1883" s="1281"/>
    </row>
    <row r="1884" spans="1:14" x14ac:dyDescent="0.25">
      <c r="A1884" s="1428">
        <v>43409</v>
      </c>
      <c r="B1884" s="1428">
        <v>43409</v>
      </c>
      <c r="C1884" s="3389" t="s">
        <v>4722</v>
      </c>
      <c r="D1884" s="3390"/>
      <c r="E1884" s="1357">
        <v>149</v>
      </c>
      <c r="F1884" s="1358">
        <v>4</v>
      </c>
      <c r="G1884" s="1359">
        <f t="shared" si="277"/>
        <v>37.25</v>
      </c>
      <c r="H1884" s="1247" t="s">
        <v>1522</v>
      </c>
      <c r="I1884" s="1360"/>
      <c r="J1884" s="1427"/>
      <c r="K1884" s="1281"/>
      <c r="L1884" s="1281"/>
      <c r="N1884" s="1281"/>
    </row>
    <row r="1885" spans="1:14" x14ac:dyDescent="0.25">
      <c r="A1885" s="1428">
        <v>43418</v>
      </c>
      <c r="B1885" s="1428">
        <v>43418</v>
      </c>
      <c r="C1885" s="3389" t="s">
        <v>4723</v>
      </c>
      <c r="D1885" s="3390"/>
      <c r="E1885" s="1357">
        <v>119</v>
      </c>
      <c r="F1885" s="1358">
        <v>1</v>
      </c>
      <c r="G1885" s="1359">
        <f t="shared" si="277"/>
        <v>119</v>
      </c>
      <c r="H1885" s="1247" t="s">
        <v>1496</v>
      </c>
      <c r="I1885" s="1360"/>
      <c r="J1885" s="1427"/>
      <c r="K1885" s="1281"/>
      <c r="L1885" s="1281"/>
      <c r="N1885" s="1281"/>
    </row>
    <row r="1886" spans="1:14" x14ac:dyDescent="0.25">
      <c r="A1886" s="1428">
        <v>43418</v>
      </c>
      <c r="B1886" s="1428">
        <v>43418</v>
      </c>
      <c r="C1886" s="3389" t="s">
        <v>4724</v>
      </c>
      <c r="D1886" s="3390"/>
      <c r="E1886" s="1357">
        <v>76.900000000000006</v>
      </c>
      <c r="F1886" s="1358">
        <v>1</v>
      </c>
      <c r="G1886" s="1359">
        <f t="shared" si="277"/>
        <v>76.900000000000006</v>
      </c>
      <c r="H1886" s="1247" t="s">
        <v>1491</v>
      </c>
      <c r="I1886" s="1360"/>
      <c r="J1886" s="1427"/>
      <c r="K1886" s="1281"/>
      <c r="L1886" s="1281"/>
      <c r="N1886" s="1281"/>
    </row>
    <row r="1887" spans="1:14" x14ac:dyDescent="0.25">
      <c r="A1887" s="1428">
        <v>43427</v>
      </c>
      <c r="B1887" s="1428">
        <v>43427</v>
      </c>
      <c r="C1887" s="3407" t="s">
        <v>4725</v>
      </c>
      <c r="D1887" s="3408"/>
      <c r="E1887" s="1400">
        <v>900</v>
      </c>
      <c r="F1887" s="1401">
        <v>1</v>
      </c>
      <c r="G1887" s="1359">
        <v>-900</v>
      </c>
      <c r="I1887" s="1360"/>
      <c r="J1887" s="1427"/>
      <c r="K1887" s="1281"/>
      <c r="L1887" s="1281"/>
      <c r="N1887" s="1281"/>
    </row>
    <row r="1888" spans="1:14" x14ac:dyDescent="0.25">
      <c r="A1888" s="1428">
        <v>43427</v>
      </c>
      <c r="B1888" s="1428">
        <v>43427</v>
      </c>
      <c r="C1888" s="3389" t="s">
        <v>4726</v>
      </c>
      <c r="D1888" s="3390"/>
      <c r="E1888" s="1357">
        <v>1600.44</v>
      </c>
      <c r="F1888" s="1358">
        <v>6</v>
      </c>
      <c r="G1888" s="1359">
        <f>E1888/F1888</f>
        <v>266.74</v>
      </c>
      <c r="I1888" s="1360"/>
      <c r="J1888" s="1427"/>
      <c r="K1888" s="1281"/>
      <c r="L1888" s="1281"/>
      <c r="N1888" s="1281"/>
    </row>
    <row r="1889" spans="1:14" x14ac:dyDescent="0.25">
      <c r="A1889" s="1428"/>
      <c r="B1889" s="1428"/>
      <c r="C1889" s="3397"/>
      <c r="D1889" s="3398"/>
      <c r="E1889" s="1357"/>
      <c r="F1889" s="1358"/>
      <c r="G1889" s="1359"/>
      <c r="I1889" s="1360"/>
      <c r="J1889" s="1427"/>
      <c r="K1889" s="1281"/>
      <c r="L1889" s="1281"/>
      <c r="N1889" s="1281"/>
    </row>
    <row r="1890" spans="1:14" ht="15.75" x14ac:dyDescent="0.25">
      <c r="A1890" s="3356" t="s">
        <v>4071</v>
      </c>
      <c r="B1890" s="3357"/>
      <c r="C1890" s="3357"/>
      <c r="D1890" s="3357"/>
      <c r="E1890" s="1396">
        <v>2000</v>
      </c>
      <c r="F1890" s="3366"/>
      <c r="G1890" s="3367"/>
    </row>
    <row r="1891" spans="1:14" ht="15.75" x14ac:dyDescent="0.25">
      <c r="A1891" s="3358" t="s">
        <v>4072</v>
      </c>
      <c r="B1891" s="3359"/>
      <c r="C1891" s="3359"/>
      <c r="D1891" s="3359"/>
      <c r="E1891" s="1397">
        <v>-27.61</v>
      </c>
      <c r="F1891" s="3368"/>
      <c r="G1891" s="3369"/>
      <c r="H1891" s="1247" t="s">
        <v>280</v>
      </c>
    </row>
    <row r="1892" spans="1:14" ht="15.75" x14ac:dyDescent="0.25">
      <c r="A1892" s="3356" t="s">
        <v>4073</v>
      </c>
      <c r="B1892" s="3357"/>
      <c r="C1892" s="3357"/>
      <c r="D1892" s="3357"/>
      <c r="E1892" s="1396">
        <v>886.51</v>
      </c>
      <c r="F1892" s="3368"/>
      <c r="G1892" s="3369"/>
    </row>
    <row r="1893" spans="1:14" ht="15.75" x14ac:dyDescent="0.25">
      <c r="A1893" s="3358" t="s">
        <v>4074</v>
      </c>
      <c r="B1893" s="3359"/>
      <c r="C1893" s="3359"/>
      <c r="D1893" s="3359"/>
      <c r="E1893" s="3359"/>
      <c r="F1893" s="3360"/>
      <c r="G1893" s="1387">
        <f>SUM(G1878:G1889)</f>
        <v>-27.610000000000014</v>
      </c>
      <c r="H1893" s="1341">
        <f>G1893-I1882</f>
        <v>-148.06</v>
      </c>
    </row>
    <row r="1894" spans="1:14" ht="17.25" customHeight="1" thickBot="1" x14ac:dyDescent="0.3">
      <c r="A1894" s="3356" t="s">
        <v>4075</v>
      </c>
      <c r="B1894" s="3357"/>
      <c r="C1894" s="3357"/>
      <c r="D1894" s="3357"/>
      <c r="E1894" s="1388">
        <f>E1890-E1891</f>
        <v>2027.61</v>
      </c>
      <c r="G1894" s="1389"/>
    </row>
    <row r="1895" spans="1:14" ht="17.25" customHeight="1" thickBot="1" x14ac:dyDescent="0.3">
      <c r="I1895" s="2866" t="s">
        <v>135</v>
      </c>
    </row>
    <row r="1896" spans="1:14" ht="19.5" thickBot="1" x14ac:dyDescent="0.35">
      <c r="A1896" s="3361" t="s">
        <v>4727</v>
      </c>
      <c r="B1896" s="3336"/>
      <c r="C1896" s="3336"/>
      <c r="D1896" s="3336"/>
      <c r="E1896" s="3336"/>
      <c r="F1896" s="3336"/>
      <c r="G1896" s="3337"/>
    </row>
    <row r="1897" spans="1:14" ht="16.5" thickBot="1" x14ac:dyDescent="0.3">
      <c r="A1897" s="1361" t="s">
        <v>4206</v>
      </c>
      <c r="B1897" s="1361" t="s">
        <v>4206</v>
      </c>
      <c r="C1897" s="3370" t="s">
        <v>3</v>
      </c>
      <c r="D1897" s="3371"/>
      <c r="E1897" s="1363" t="s">
        <v>4190</v>
      </c>
      <c r="F1897" s="1363" t="s">
        <v>4191</v>
      </c>
      <c r="G1897" s="1364" t="s">
        <v>382</v>
      </c>
    </row>
    <row r="1898" spans="1:14" x14ac:dyDescent="0.25">
      <c r="A1898" s="1428">
        <v>43224</v>
      </c>
      <c r="B1898" s="1428">
        <v>43224</v>
      </c>
      <c r="C1898" s="3397" t="s">
        <v>4728</v>
      </c>
      <c r="D1898" s="3398"/>
      <c r="E1898" s="1357">
        <v>400</v>
      </c>
      <c r="F1898" s="1358">
        <v>6</v>
      </c>
      <c r="G1898" s="1359">
        <f t="shared" ref="G1898:G1906" si="278">E1898/F1898</f>
        <v>66.666666666666671</v>
      </c>
      <c r="H1898" s="1247" t="s">
        <v>1489</v>
      </c>
      <c r="I1898" s="1360"/>
      <c r="J1898" s="1427"/>
      <c r="K1898" s="1281"/>
      <c r="L1898" s="1281"/>
      <c r="N1898" s="1281"/>
    </row>
    <row r="1899" spans="1:14" x14ac:dyDescent="0.25">
      <c r="A1899" s="1428">
        <v>43309</v>
      </c>
      <c r="B1899" s="1428">
        <v>43309</v>
      </c>
      <c r="C1899" s="3397" t="s">
        <v>4729</v>
      </c>
      <c r="D1899" s="3398"/>
      <c r="E1899" s="1357">
        <v>800</v>
      </c>
      <c r="F1899" s="1358">
        <v>6</v>
      </c>
      <c r="G1899" s="1359">
        <f t="shared" si="278"/>
        <v>133.33333333333334</v>
      </c>
      <c r="H1899" s="1247" t="s">
        <v>1525</v>
      </c>
      <c r="I1899" s="1360"/>
      <c r="J1899" s="1427"/>
      <c r="K1899" s="1281"/>
      <c r="L1899" s="1281"/>
      <c r="N1899" s="1281"/>
    </row>
    <row r="1900" spans="1:14" x14ac:dyDescent="0.25">
      <c r="A1900" s="1428">
        <v>43342</v>
      </c>
      <c r="B1900" s="1428">
        <v>43342</v>
      </c>
      <c r="C1900" s="3397" t="s">
        <v>4730</v>
      </c>
      <c r="D1900" s="3398"/>
      <c r="E1900" s="1357">
        <v>200</v>
      </c>
      <c r="F1900" s="1358">
        <v>2</v>
      </c>
      <c r="G1900" s="1359">
        <f t="shared" si="278"/>
        <v>100</v>
      </c>
      <c r="H1900" s="1247" t="s">
        <v>1506</v>
      </c>
      <c r="I1900" s="1360"/>
      <c r="J1900" s="1427"/>
      <c r="K1900" s="1281"/>
      <c r="L1900" s="1281"/>
      <c r="N1900" s="1281"/>
    </row>
    <row r="1901" spans="1:14" x14ac:dyDescent="0.25">
      <c r="A1901" s="1428">
        <v>43354</v>
      </c>
      <c r="B1901" s="1428">
        <v>43354</v>
      </c>
      <c r="C1901" s="3389" t="s">
        <v>4731</v>
      </c>
      <c r="D1901" s="3390"/>
      <c r="E1901" s="1357">
        <v>110</v>
      </c>
      <c r="F1901" s="1358">
        <v>2</v>
      </c>
      <c r="G1901" s="1359">
        <f t="shared" si="278"/>
        <v>55</v>
      </c>
      <c r="H1901" s="1247" t="s">
        <v>1491</v>
      </c>
      <c r="I1901" s="1360"/>
      <c r="J1901" s="1427"/>
      <c r="K1901" s="1281"/>
      <c r="L1901" s="1281"/>
      <c r="N1901" s="1281"/>
    </row>
    <row r="1902" spans="1:14" x14ac:dyDescent="0.25">
      <c r="A1902" s="1428">
        <v>43362</v>
      </c>
      <c r="B1902" s="1428">
        <v>43362</v>
      </c>
      <c r="C1902" s="3389" t="s">
        <v>4732</v>
      </c>
      <c r="D1902" s="3390"/>
      <c r="E1902" s="1357">
        <v>122.46</v>
      </c>
      <c r="F1902" s="1358">
        <v>2</v>
      </c>
      <c r="G1902" s="1359">
        <f t="shared" si="278"/>
        <v>61.23</v>
      </c>
      <c r="H1902" s="1247" t="s">
        <v>4733</v>
      </c>
      <c r="I1902" s="1321">
        <f>G1902/2</f>
        <v>30.614999999999998</v>
      </c>
      <c r="J1902" s="1427"/>
      <c r="K1902" s="1281"/>
      <c r="L1902" s="1281"/>
      <c r="N1902" s="1281"/>
    </row>
    <row r="1903" spans="1:14" x14ac:dyDescent="0.25">
      <c r="A1903" s="1428">
        <v>43364</v>
      </c>
      <c r="B1903" s="1428">
        <v>43364</v>
      </c>
      <c r="C1903" s="3389" t="s">
        <v>4734</v>
      </c>
      <c r="D1903" s="3390"/>
      <c r="E1903" s="1357">
        <v>422.4</v>
      </c>
      <c r="F1903" s="1358">
        <v>4</v>
      </c>
      <c r="G1903" s="1359">
        <f t="shared" si="278"/>
        <v>105.6</v>
      </c>
      <c r="H1903" s="1247" t="s">
        <v>1496</v>
      </c>
      <c r="I1903" s="1360"/>
      <c r="J1903" s="1427"/>
      <c r="K1903" s="1281"/>
      <c r="L1903" s="1281"/>
      <c r="N1903" s="1281"/>
    </row>
    <row r="1904" spans="1:14" x14ac:dyDescent="0.25">
      <c r="A1904" s="1447">
        <v>43379</v>
      </c>
      <c r="B1904" s="1447">
        <v>43379</v>
      </c>
      <c r="C1904" s="3407" t="s">
        <v>4735</v>
      </c>
      <c r="D1904" s="3408"/>
      <c r="E1904" s="1400">
        <v>33.83</v>
      </c>
      <c r="F1904" s="1401">
        <v>1</v>
      </c>
      <c r="G1904" s="1359">
        <f t="shared" si="278"/>
        <v>33.83</v>
      </c>
      <c r="I1904" s="1360"/>
      <c r="J1904" s="1427"/>
      <c r="K1904" s="1281"/>
      <c r="L1904" s="1281"/>
      <c r="N1904" s="1281"/>
    </row>
    <row r="1905" spans="1:14" x14ac:dyDescent="0.25">
      <c r="A1905" s="1428">
        <v>43386</v>
      </c>
      <c r="B1905" s="1428">
        <v>43386</v>
      </c>
      <c r="C1905" s="3389" t="s">
        <v>4736</v>
      </c>
      <c r="D1905" s="3390"/>
      <c r="E1905" s="1357">
        <v>50</v>
      </c>
      <c r="F1905" s="1358">
        <v>1</v>
      </c>
      <c r="G1905" s="1359">
        <f t="shared" si="278"/>
        <v>50</v>
      </c>
      <c r="H1905" s="1247" t="s">
        <v>1489</v>
      </c>
      <c r="I1905" s="1360"/>
      <c r="J1905" s="1427"/>
      <c r="K1905" s="1281"/>
      <c r="L1905" s="1281"/>
      <c r="N1905" s="1281"/>
    </row>
    <row r="1906" spans="1:14" x14ac:dyDescent="0.25">
      <c r="A1906" s="1428">
        <v>43397</v>
      </c>
      <c r="B1906" s="1428">
        <v>43397</v>
      </c>
      <c r="C1906" s="3389" t="s">
        <v>4737</v>
      </c>
      <c r="D1906" s="3390"/>
      <c r="E1906" s="1357">
        <v>280.85000000000002</v>
      </c>
      <c r="F1906" s="1358">
        <v>1</v>
      </c>
      <c r="G1906" s="1359">
        <f t="shared" si="278"/>
        <v>280.85000000000002</v>
      </c>
      <c r="H1906" s="1247" t="s">
        <v>1522</v>
      </c>
      <c r="I1906" s="1360"/>
      <c r="J1906" s="1427"/>
      <c r="K1906" s="1281"/>
      <c r="L1906" s="1281"/>
      <c r="N1906" s="1281"/>
    </row>
    <row r="1907" spans="1:14" x14ac:dyDescent="0.25">
      <c r="A1907" s="1428"/>
      <c r="B1907" s="1428"/>
      <c r="C1907" s="3397"/>
      <c r="D1907" s="3398"/>
      <c r="E1907" s="1357"/>
      <c r="F1907" s="1358"/>
      <c r="G1907" s="1359"/>
      <c r="I1907" s="1360"/>
      <c r="J1907" s="1427"/>
      <c r="K1907" s="1281"/>
      <c r="L1907" s="1281"/>
      <c r="N1907" s="1281"/>
    </row>
    <row r="1908" spans="1:14" ht="15.75" x14ac:dyDescent="0.25">
      <c r="A1908" s="3356" t="s">
        <v>4071</v>
      </c>
      <c r="B1908" s="3357"/>
      <c r="C1908" s="3357"/>
      <c r="D1908" s="3357"/>
      <c r="E1908" s="1396">
        <v>2500</v>
      </c>
      <c r="F1908" s="3366"/>
      <c r="G1908" s="3367"/>
    </row>
    <row r="1909" spans="1:14" ht="15.75" x14ac:dyDescent="0.25">
      <c r="A1909" s="3358" t="s">
        <v>4072</v>
      </c>
      <c r="B1909" s="3359"/>
      <c r="C1909" s="3359"/>
      <c r="D1909" s="3359"/>
      <c r="E1909" s="1397">
        <v>999.69</v>
      </c>
      <c r="F1909" s="3368"/>
      <c r="G1909" s="3369"/>
      <c r="H1909" s="1247" t="s">
        <v>280</v>
      </c>
    </row>
    <row r="1910" spans="1:14" ht="15.75" x14ac:dyDescent="0.25">
      <c r="A1910" s="3356" t="s">
        <v>4073</v>
      </c>
      <c r="B1910" s="3357"/>
      <c r="C1910" s="3357"/>
      <c r="D1910" s="3357"/>
      <c r="E1910" s="1396">
        <v>681.75</v>
      </c>
      <c r="F1910" s="3368"/>
      <c r="G1910" s="3369"/>
    </row>
    <row r="1911" spans="1:14" ht="15.75" x14ac:dyDescent="0.25">
      <c r="A1911" s="3358" t="s">
        <v>4074</v>
      </c>
      <c r="B1911" s="3359"/>
      <c r="C1911" s="3359"/>
      <c r="D1911" s="3359"/>
      <c r="E1911" s="3359"/>
      <c r="F1911" s="3360"/>
      <c r="G1911" s="1387">
        <f>SUM(G1898:G1907)</f>
        <v>886.5100000000001</v>
      </c>
      <c r="H1911" s="1341">
        <f>G1911-G1904-I1902</f>
        <v>822.06500000000005</v>
      </c>
    </row>
    <row r="1912" spans="1:14" ht="17.25" customHeight="1" thickBot="1" x14ac:dyDescent="0.3">
      <c r="A1912" s="3356" t="s">
        <v>4075</v>
      </c>
      <c r="B1912" s="3357"/>
      <c r="C1912" s="3357"/>
      <c r="D1912" s="3357"/>
      <c r="E1912" s="1388">
        <f>E1908-E1909</f>
        <v>1500.31</v>
      </c>
      <c r="G1912" s="1389"/>
    </row>
    <row r="1913" spans="1:14" ht="17.25" customHeight="1" thickBot="1" x14ac:dyDescent="0.3">
      <c r="I1913" s="2866" t="s">
        <v>135</v>
      </c>
    </row>
    <row r="1914" spans="1:14" ht="19.5" thickBot="1" x14ac:dyDescent="0.35">
      <c r="A1914" s="3361" t="s">
        <v>4738</v>
      </c>
      <c r="B1914" s="3336"/>
      <c r="C1914" s="3336"/>
      <c r="D1914" s="3336"/>
      <c r="E1914" s="3336"/>
      <c r="F1914" s="3336"/>
      <c r="G1914" s="3337"/>
    </row>
    <row r="1915" spans="1:14" ht="16.5" thickBot="1" x14ac:dyDescent="0.3">
      <c r="A1915" s="1361" t="s">
        <v>4206</v>
      </c>
      <c r="B1915" s="1361" t="s">
        <v>4206</v>
      </c>
      <c r="C1915" s="3370" t="s">
        <v>3</v>
      </c>
      <c r="D1915" s="3371"/>
      <c r="E1915" s="1363" t="s">
        <v>4190</v>
      </c>
      <c r="F1915" s="1363" t="s">
        <v>4191</v>
      </c>
      <c r="G1915" s="1364" t="s">
        <v>382</v>
      </c>
    </row>
    <row r="1916" spans="1:14" x14ac:dyDescent="0.25">
      <c r="A1916" s="1428">
        <v>43224</v>
      </c>
      <c r="B1916" s="1428">
        <v>43224</v>
      </c>
      <c r="C1916" s="3389" t="s">
        <v>4739</v>
      </c>
      <c r="D1916" s="3390"/>
      <c r="E1916" s="1357">
        <v>400</v>
      </c>
      <c r="F1916" s="1358">
        <v>6</v>
      </c>
      <c r="G1916" s="1359">
        <f t="shared" ref="G1916:G1927" si="279">E1916/F1916</f>
        <v>66.666666666666671</v>
      </c>
      <c r="H1916" s="1247" t="s">
        <v>1489</v>
      </c>
      <c r="I1916" s="1360"/>
      <c r="J1916" s="1427"/>
      <c r="K1916" s="1281"/>
      <c r="L1916" s="1281"/>
      <c r="N1916" s="1281"/>
    </row>
    <row r="1917" spans="1:14" x14ac:dyDescent="0.25">
      <c r="A1917" s="1428">
        <v>43309</v>
      </c>
      <c r="B1917" s="1428">
        <v>43309</v>
      </c>
      <c r="C1917" s="3389" t="s">
        <v>4740</v>
      </c>
      <c r="D1917" s="3390"/>
      <c r="E1917" s="1357">
        <v>800</v>
      </c>
      <c r="F1917" s="1358">
        <v>6</v>
      </c>
      <c r="G1917" s="1359">
        <f t="shared" si="279"/>
        <v>133.33333333333334</v>
      </c>
      <c r="H1917" s="1247" t="s">
        <v>1525</v>
      </c>
      <c r="I1917" s="1360"/>
      <c r="J1917" s="1427"/>
      <c r="K1917" s="1281"/>
      <c r="L1917" s="1281"/>
      <c r="N1917" s="1281"/>
    </row>
    <row r="1918" spans="1:14" x14ac:dyDescent="0.25">
      <c r="A1918" s="1428">
        <v>43328</v>
      </c>
      <c r="B1918" s="1428">
        <v>43328</v>
      </c>
      <c r="C1918" s="3389" t="s">
        <v>4741</v>
      </c>
      <c r="D1918" s="3390"/>
      <c r="E1918" s="1357">
        <v>150</v>
      </c>
      <c r="F1918" s="1358">
        <v>2</v>
      </c>
      <c r="G1918" s="1359">
        <f t="shared" si="279"/>
        <v>75</v>
      </c>
      <c r="H1918" s="1247" t="s">
        <v>1491</v>
      </c>
      <c r="I1918" s="1360"/>
      <c r="J1918" s="1427"/>
      <c r="K1918" s="1281"/>
      <c r="L1918" s="1281"/>
      <c r="N1918" s="1281"/>
    </row>
    <row r="1919" spans="1:14" x14ac:dyDescent="0.25">
      <c r="A1919" s="1428">
        <v>43328</v>
      </c>
      <c r="B1919" s="1428">
        <v>43328</v>
      </c>
      <c r="C1919" s="3389" t="s">
        <v>4742</v>
      </c>
      <c r="D1919" s="3390"/>
      <c r="E1919" s="1357">
        <v>65.52</v>
      </c>
      <c r="F1919" s="1358">
        <v>1</v>
      </c>
      <c r="G1919" s="1359">
        <f t="shared" si="279"/>
        <v>65.52</v>
      </c>
      <c r="H1919" s="1247" t="s">
        <v>1491</v>
      </c>
      <c r="I1919" s="1360"/>
      <c r="J1919" s="1427"/>
      <c r="K1919" s="1281"/>
      <c r="L1919" s="1281"/>
      <c r="N1919" s="1281"/>
    </row>
    <row r="1920" spans="1:14" x14ac:dyDescent="0.25">
      <c r="A1920" s="1428">
        <v>43342</v>
      </c>
      <c r="B1920" s="1428">
        <v>43342</v>
      </c>
      <c r="C1920" s="3389" t="s">
        <v>4743</v>
      </c>
      <c r="D1920" s="3390"/>
      <c r="E1920" s="1357">
        <v>200</v>
      </c>
      <c r="F1920" s="1358">
        <v>2</v>
      </c>
      <c r="G1920" s="1359">
        <f t="shared" si="279"/>
        <v>100</v>
      </c>
      <c r="H1920" s="1247" t="s">
        <v>1506</v>
      </c>
      <c r="I1920" s="1360"/>
      <c r="J1920" s="1427"/>
      <c r="K1920" s="1281"/>
      <c r="L1920" s="1281"/>
      <c r="N1920" s="1281"/>
    </row>
    <row r="1921" spans="1:14" x14ac:dyDescent="0.25">
      <c r="A1921" s="1428">
        <v>43354</v>
      </c>
      <c r="B1921" s="1428">
        <v>43354</v>
      </c>
      <c r="C1921" s="3389" t="s">
        <v>4744</v>
      </c>
      <c r="D1921" s="3390"/>
      <c r="E1921" s="1357">
        <v>110</v>
      </c>
      <c r="F1921" s="1358">
        <v>2</v>
      </c>
      <c r="G1921" s="1359">
        <f t="shared" si="279"/>
        <v>55</v>
      </c>
      <c r="H1921" s="1247" t="s">
        <v>1491</v>
      </c>
      <c r="I1921" s="1360"/>
      <c r="J1921" s="1427"/>
      <c r="K1921" s="1281"/>
      <c r="L1921" s="1281"/>
      <c r="N1921" s="1281"/>
    </row>
    <row r="1922" spans="1:14" x14ac:dyDescent="0.25">
      <c r="A1922" s="1428">
        <v>43355</v>
      </c>
      <c r="B1922" s="1428">
        <v>43355</v>
      </c>
      <c r="C1922" s="3389" t="s">
        <v>4745</v>
      </c>
      <c r="D1922" s="3390"/>
      <c r="E1922" s="1357">
        <v>66</v>
      </c>
      <c r="F1922" s="1358">
        <v>1</v>
      </c>
      <c r="G1922" s="1359">
        <f t="shared" si="279"/>
        <v>66</v>
      </c>
      <c r="I1922" s="1360"/>
      <c r="J1922" s="1427"/>
      <c r="K1922" s="1281"/>
      <c r="L1922" s="1281"/>
      <c r="N1922" s="1281"/>
    </row>
    <row r="1923" spans="1:14" x14ac:dyDescent="0.25">
      <c r="A1923" s="1428">
        <v>43357</v>
      </c>
      <c r="B1923" s="1428">
        <v>43357</v>
      </c>
      <c r="C1923" s="3389" t="s">
        <v>4746</v>
      </c>
      <c r="D1923" s="3390"/>
      <c r="E1923" s="1357">
        <v>55</v>
      </c>
      <c r="F1923" s="1358">
        <v>1</v>
      </c>
      <c r="G1923" s="1359">
        <f t="shared" si="279"/>
        <v>55</v>
      </c>
      <c r="H1923" s="1247" t="s">
        <v>1491</v>
      </c>
      <c r="I1923" s="1321"/>
      <c r="J1923" s="1427"/>
      <c r="K1923" s="1281"/>
      <c r="L1923" s="1281"/>
      <c r="N1923" s="1281"/>
    </row>
    <row r="1924" spans="1:14" x14ac:dyDescent="0.25">
      <c r="A1924" s="1428">
        <v>43360</v>
      </c>
      <c r="B1924" s="1428">
        <v>43360</v>
      </c>
      <c r="C1924" s="3389" t="s">
        <v>1995</v>
      </c>
      <c r="D1924" s="3390"/>
      <c r="E1924" s="1357">
        <v>4</v>
      </c>
      <c r="F1924" s="1358">
        <v>1</v>
      </c>
      <c r="G1924" s="1359">
        <f t="shared" si="279"/>
        <v>4</v>
      </c>
      <c r="H1924" s="1247" t="s">
        <v>1506</v>
      </c>
      <c r="I1924" s="1321"/>
      <c r="J1924" s="1427"/>
      <c r="K1924" s="1281"/>
      <c r="L1924" s="1281"/>
      <c r="N1924" s="1281"/>
    </row>
    <row r="1925" spans="1:14" x14ac:dyDescent="0.25">
      <c r="A1925" s="1428">
        <v>43362</v>
      </c>
      <c r="B1925" s="1428">
        <v>43362</v>
      </c>
      <c r="C1925" s="3389" t="s">
        <v>4747</v>
      </c>
      <c r="D1925" s="3390"/>
      <c r="E1925" s="1357">
        <v>122.46</v>
      </c>
      <c r="F1925" s="1358">
        <v>2</v>
      </c>
      <c r="G1925" s="1359">
        <f t="shared" si="279"/>
        <v>61.23</v>
      </c>
      <c r="H1925" s="1247" t="s">
        <v>4733</v>
      </c>
      <c r="I1925" s="1321">
        <f>G1925/2</f>
        <v>30.614999999999998</v>
      </c>
      <c r="J1925" s="1427"/>
      <c r="K1925" s="1281"/>
      <c r="L1925" s="1281"/>
      <c r="N1925" s="1281"/>
    </row>
    <row r="1926" spans="1:14" x14ac:dyDescent="0.25">
      <c r="A1926" s="1428">
        <v>43364</v>
      </c>
      <c r="B1926" s="1428">
        <v>43364</v>
      </c>
      <c r="C1926" s="3389" t="s">
        <v>4748</v>
      </c>
      <c r="D1926" s="3390"/>
      <c r="E1926" s="1357">
        <v>422.4</v>
      </c>
      <c r="F1926" s="1358">
        <v>4</v>
      </c>
      <c r="G1926" s="1359">
        <f t="shared" si="279"/>
        <v>105.6</v>
      </c>
      <c r="H1926" s="1247" t="s">
        <v>1496</v>
      </c>
      <c r="I1926" s="1321"/>
      <c r="J1926" s="1427"/>
      <c r="K1926" s="1281"/>
      <c r="L1926" s="1281"/>
      <c r="N1926" s="1281"/>
    </row>
    <row r="1927" spans="1:14" x14ac:dyDescent="0.25">
      <c r="A1927" s="1447">
        <v>43364</v>
      </c>
      <c r="B1927" s="1447">
        <v>43364</v>
      </c>
      <c r="C1927" s="3407" t="s">
        <v>4749</v>
      </c>
      <c r="D1927" s="3408"/>
      <c r="E1927" s="1400">
        <v>-105.6</v>
      </c>
      <c r="F1927" s="1401">
        <v>1</v>
      </c>
      <c r="G1927" s="1359">
        <f t="shared" si="279"/>
        <v>-105.6</v>
      </c>
      <c r="I1927" s="1321"/>
      <c r="J1927" s="1427"/>
      <c r="K1927" s="1281"/>
      <c r="L1927" s="1281"/>
      <c r="N1927" s="1281"/>
    </row>
    <row r="1928" spans="1:14" x14ac:dyDescent="0.25">
      <c r="A1928" s="1428"/>
      <c r="B1928" s="1428"/>
      <c r="C1928" s="3397"/>
      <c r="D1928" s="3398"/>
      <c r="E1928" s="1357"/>
      <c r="F1928" s="1358"/>
      <c r="G1928" s="1359"/>
      <c r="I1928" s="1360"/>
      <c r="J1928" s="1427"/>
      <c r="K1928" s="1281"/>
      <c r="L1928" s="1281"/>
      <c r="N1928" s="1281"/>
    </row>
    <row r="1929" spans="1:14" ht="15.75" x14ac:dyDescent="0.25">
      <c r="A1929" s="3356" t="s">
        <v>4071</v>
      </c>
      <c r="B1929" s="3357"/>
      <c r="C1929" s="3357"/>
      <c r="D1929" s="3357"/>
      <c r="E1929" s="1396">
        <v>2500</v>
      </c>
      <c r="F1929" s="3366"/>
      <c r="G1929" s="3367"/>
    </row>
    <row r="1930" spans="1:14" ht="15.75" x14ac:dyDescent="0.25">
      <c r="A1930" s="3358" t="s">
        <v>4072</v>
      </c>
      <c r="B1930" s="3359"/>
      <c r="C1930" s="3359"/>
      <c r="D1930" s="3359"/>
      <c r="E1930" s="1397">
        <v>1783.04</v>
      </c>
      <c r="F1930" s="3368"/>
      <c r="G1930" s="3369"/>
      <c r="H1930" s="1247" t="s">
        <v>280</v>
      </c>
    </row>
    <row r="1931" spans="1:14" ht="15.75" x14ac:dyDescent="0.25">
      <c r="A1931" s="3356" t="s">
        <v>4073</v>
      </c>
      <c r="B1931" s="3357"/>
      <c r="C1931" s="3357"/>
      <c r="D1931" s="3357"/>
      <c r="E1931" s="1396">
        <v>549.63</v>
      </c>
      <c r="F1931" s="3368"/>
      <c r="G1931" s="3369"/>
    </row>
    <row r="1932" spans="1:14" ht="15.75" x14ac:dyDescent="0.25">
      <c r="A1932" s="3358" t="s">
        <v>4074</v>
      </c>
      <c r="B1932" s="3359"/>
      <c r="C1932" s="3359"/>
      <c r="D1932" s="3359"/>
      <c r="E1932" s="3359"/>
      <c r="F1932" s="3360"/>
      <c r="G1932" s="1387">
        <f>SUM(G1916:G1927)</f>
        <v>681.75</v>
      </c>
      <c r="H1932" s="1341">
        <f>G1932-G1922-I1925</f>
        <v>585.13499999999999</v>
      </c>
    </row>
    <row r="1933" spans="1:14" ht="17.25" customHeight="1" thickBot="1" x14ac:dyDescent="0.3">
      <c r="A1933" s="3356" t="s">
        <v>4075</v>
      </c>
      <c r="B1933" s="3357"/>
      <c r="C1933" s="3357"/>
      <c r="D1933" s="3357"/>
      <c r="E1933" s="1388">
        <f>E1929-E1930</f>
        <v>716.96</v>
      </c>
      <c r="G1933" s="1389"/>
    </row>
    <row r="1934" spans="1:14" ht="17.25" customHeight="1" thickBot="1" x14ac:dyDescent="0.3">
      <c r="I1934" s="2866" t="s">
        <v>135</v>
      </c>
    </row>
    <row r="1935" spans="1:14" ht="19.5" thickBot="1" x14ac:dyDescent="0.35">
      <c r="A1935" s="3361" t="s">
        <v>4750</v>
      </c>
      <c r="B1935" s="3336"/>
      <c r="C1935" s="3336"/>
      <c r="D1935" s="3336"/>
      <c r="E1935" s="3336"/>
      <c r="F1935" s="3336"/>
      <c r="G1935" s="3337"/>
    </row>
    <row r="1936" spans="1:14" ht="16.5" thickBot="1" x14ac:dyDescent="0.3">
      <c r="A1936" s="1361" t="s">
        <v>4206</v>
      </c>
      <c r="B1936" s="1361" t="s">
        <v>4206</v>
      </c>
      <c r="C1936" s="3370" t="s">
        <v>3</v>
      </c>
      <c r="D1936" s="3371"/>
      <c r="E1936" s="1363" t="s">
        <v>4190</v>
      </c>
      <c r="F1936" s="1363" t="s">
        <v>4191</v>
      </c>
      <c r="G1936" s="1364" t="s">
        <v>382</v>
      </c>
    </row>
    <row r="1937" spans="1:14" x14ac:dyDescent="0.25">
      <c r="A1937" s="1428">
        <v>43224</v>
      </c>
      <c r="B1937" s="1428">
        <v>43224</v>
      </c>
      <c r="C1937" s="3397" t="s">
        <v>4751</v>
      </c>
      <c r="D1937" s="3398"/>
      <c r="E1937" s="1357">
        <v>400</v>
      </c>
      <c r="F1937" s="1358">
        <v>6</v>
      </c>
      <c r="G1937" s="1359">
        <f t="shared" ref="G1937:G1945" si="280">E1937/F1937</f>
        <v>66.666666666666671</v>
      </c>
      <c r="H1937" s="1247" t="s">
        <v>1489</v>
      </c>
      <c r="I1937" s="1360"/>
      <c r="J1937" s="1427"/>
      <c r="K1937" s="1281"/>
      <c r="L1937" s="1281"/>
      <c r="N1937" s="1281"/>
    </row>
    <row r="1938" spans="1:14" x14ac:dyDescent="0.25">
      <c r="A1938" s="1428">
        <v>43250</v>
      </c>
      <c r="B1938" s="1428">
        <v>43250</v>
      </c>
      <c r="C1938" s="3397" t="s">
        <v>4752</v>
      </c>
      <c r="D1938" s="3398"/>
      <c r="E1938" s="1357">
        <v>171.9</v>
      </c>
      <c r="F1938" s="1358">
        <v>3</v>
      </c>
      <c r="G1938" s="1359">
        <f t="shared" si="280"/>
        <v>57.300000000000004</v>
      </c>
      <c r="H1938" s="1247" t="s">
        <v>1506</v>
      </c>
      <c r="I1938" s="1360"/>
      <c r="J1938" s="1427"/>
      <c r="K1938" s="1281"/>
      <c r="L1938" s="1281"/>
      <c r="N1938" s="1281"/>
    </row>
    <row r="1939" spans="1:14" x14ac:dyDescent="0.25">
      <c r="A1939" s="1428">
        <v>43265</v>
      </c>
      <c r="B1939" s="1428">
        <v>43265</v>
      </c>
      <c r="C1939" s="3397" t="s">
        <v>4753</v>
      </c>
      <c r="D1939" s="3398"/>
      <c r="E1939" s="1357">
        <v>100</v>
      </c>
      <c r="F1939" s="1358">
        <v>3</v>
      </c>
      <c r="G1939" s="1359">
        <f t="shared" si="280"/>
        <v>33.333333333333336</v>
      </c>
      <c r="H1939" s="1247" t="s">
        <v>1506</v>
      </c>
      <c r="I1939" s="1360"/>
      <c r="J1939" s="1427"/>
      <c r="K1939" s="1281"/>
      <c r="L1939" s="1281"/>
      <c r="N1939" s="1281"/>
    </row>
    <row r="1940" spans="1:14" x14ac:dyDescent="0.25">
      <c r="A1940" s="1428">
        <v>43309</v>
      </c>
      <c r="B1940" s="1428">
        <v>43309</v>
      </c>
      <c r="C1940" s="3397" t="s">
        <v>4754</v>
      </c>
      <c r="D1940" s="3398"/>
      <c r="E1940" s="1357">
        <v>800</v>
      </c>
      <c r="F1940" s="1358">
        <v>6</v>
      </c>
      <c r="G1940" s="1359">
        <f t="shared" si="280"/>
        <v>133.33333333333334</v>
      </c>
      <c r="H1940" s="1247" t="s">
        <v>1525</v>
      </c>
      <c r="I1940" s="1360"/>
      <c r="J1940" s="1427"/>
      <c r="K1940" s="1281"/>
      <c r="L1940" s="1281"/>
      <c r="N1940" s="1281"/>
    </row>
    <row r="1941" spans="1:14" x14ac:dyDescent="0.25">
      <c r="A1941" s="1428">
        <v>43321</v>
      </c>
      <c r="B1941" s="1428">
        <v>43321</v>
      </c>
      <c r="C1941" s="3397" t="s">
        <v>4755</v>
      </c>
      <c r="D1941" s="3398"/>
      <c r="E1941" s="1357">
        <v>50</v>
      </c>
      <c r="F1941" s="1358">
        <v>1</v>
      </c>
      <c r="G1941" s="1359">
        <f t="shared" si="280"/>
        <v>50</v>
      </c>
      <c r="H1941" s="1247" t="s">
        <v>1506</v>
      </c>
      <c r="I1941" s="1360"/>
      <c r="J1941" s="1427"/>
      <c r="K1941" s="1281"/>
      <c r="L1941" s="1281"/>
      <c r="N1941" s="1281"/>
    </row>
    <row r="1942" spans="1:14" x14ac:dyDescent="0.25">
      <c r="A1942" s="1428">
        <v>43328</v>
      </c>
      <c r="B1942" s="1428">
        <v>43328</v>
      </c>
      <c r="C1942" s="3397" t="s">
        <v>4756</v>
      </c>
      <c r="D1942" s="3398"/>
      <c r="E1942" s="1357">
        <v>150</v>
      </c>
      <c r="F1942" s="1358">
        <v>2</v>
      </c>
      <c r="G1942" s="1359">
        <f t="shared" si="280"/>
        <v>75</v>
      </c>
      <c r="H1942" s="1247" t="s">
        <v>1491</v>
      </c>
      <c r="I1942" s="1360"/>
      <c r="J1942" s="1427"/>
      <c r="K1942" s="1281"/>
      <c r="L1942" s="1281"/>
      <c r="N1942" s="1281"/>
    </row>
    <row r="1943" spans="1:14" x14ac:dyDescent="0.25">
      <c r="A1943" s="1428">
        <v>43329</v>
      </c>
      <c r="B1943" s="1428">
        <v>43329</v>
      </c>
      <c r="C1943" s="3397" t="s">
        <v>4757</v>
      </c>
      <c r="D1943" s="3398"/>
      <c r="E1943" s="1357">
        <v>100</v>
      </c>
      <c r="F1943" s="1358">
        <v>1</v>
      </c>
      <c r="G1943" s="1359">
        <f t="shared" si="280"/>
        <v>100</v>
      </c>
      <c r="H1943" s="1247" t="s">
        <v>1524</v>
      </c>
      <c r="I1943" s="1360"/>
      <c r="J1943" s="1427"/>
      <c r="K1943" s="1281"/>
      <c r="L1943" s="1281"/>
      <c r="N1943" s="1281"/>
    </row>
    <row r="1944" spans="1:14" x14ac:dyDescent="0.25">
      <c r="A1944" s="1428">
        <v>43332</v>
      </c>
      <c r="B1944" s="1428">
        <v>43332</v>
      </c>
      <c r="C1944" s="3397" t="s">
        <v>4758</v>
      </c>
      <c r="D1944" s="3398"/>
      <c r="E1944" s="1357">
        <v>68</v>
      </c>
      <c r="F1944" s="1358">
        <v>1</v>
      </c>
      <c r="G1944" s="1359">
        <f t="shared" si="280"/>
        <v>68</v>
      </c>
      <c r="H1944" s="1247" t="s">
        <v>1491</v>
      </c>
      <c r="I1944" s="1360"/>
      <c r="J1944" s="1427"/>
      <c r="K1944" s="1281"/>
      <c r="L1944" s="1281"/>
      <c r="N1944" s="1281"/>
    </row>
    <row r="1945" spans="1:14" x14ac:dyDescent="0.25">
      <c r="A1945" s="1447">
        <v>43328</v>
      </c>
      <c r="B1945" s="1447">
        <v>43328</v>
      </c>
      <c r="C1945" s="3411" t="s">
        <v>4759</v>
      </c>
      <c r="D1945" s="3412"/>
      <c r="E1945" s="1448">
        <v>34</v>
      </c>
      <c r="F1945" s="1449">
        <v>1</v>
      </c>
      <c r="G1945" s="1451">
        <f t="shared" si="280"/>
        <v>34</v>
      </c>
    </row>
    <row r="1946" spans="1:14" x14ac:dyDescent="0.25">
      <c r="A1946" s="1428"/>
      <c r="B1946" s="1428"/>
      <c r="C1946" s="3397"/>
      <c r="D1946" s="3398"/>
      <c r="E1946" s="1357"/>
      <c r="F1946" s="1358"/>
      <c r="G1946" s="1359"/>
      <c r="I1946" s="1360"/>
      <c r="J1946" s="1427"/>
      <c r="K1946" s="1281"/>
      <c r="L1946" s="1281"/>
      <c r="N1946" s="1281"/>
    </row>
    <row r="1947" spans="1:14" ht="15.75" x14ac:dyDescent="0.25">
      <c r="A1947" s="3356" t="s">
        <v>4071</v>
      </c>
      <c r="B1947" s="3357"/>
      <c r="C1947" s="3357"/>
      <c r="D1947" s="3357"/>
      <c r="E1947" s="1396">
        <v>2500</v>
      </c>
      <c r="F1947" s="3366"/>
      <c r="G1947" s="3367"/>
    </row>
    <row r="1948" spans="1:14" ht="15.75" x14ac:dyDescent="0.25">
      <c r="A1948" s="3358" t="s">
        <v>4072</v>
      </c>
      <c r="B1948" s="3359"/>
      <c r="C1948" s="3359"/>
      <c r="D1948" s="3359"/>
      <c r="E1948" s="1397">
        <v>1325.29</v>
      </c>
      <c r="F1948" s="3368"/>
      <c r="G1948" s="3369"/>
      <c r="H1948" s="1247" t="s">
        <v>280</v>
      </c>
    </row>
    <row r="1949" spans="1:14" ht="15.75" x14ac:dyDescent="0.25">
      <c r="A1949" s="3356" t="s">
        <v>4073</v>
      </c>
      <c r="B1949" s="3357"/>
      <c r="C1949" s="3357"/>
      <c r="D1949" s="3357"/>
      <c r="E1949" s="1396">
        <v>608.01</v>
      </c>
      <c r="F1949" s="3368"/>
      <c r="G1949" s="3369"/>
    </row>
    <row r="1950" spans="1:14" ht="15.75" x14ac:dyDescent="0.25">
      <c r="A1950" s="3358" t="s">
        <v>4074</v>
      </c>
      <c r="B1950" s="3359"/>
      <c r="C1950" s="3359"/>
      <c r="D1950" s="3359"/>
      <c r="E1950" s="3359"/>
      <c r="F1950" s="3360"/>
      <c r="G1950" s="1387">
        <f>SUM(G1937:G1944)-G1945</f>
        <v>549.63333333333333</v>
      </c>
    </row>
    <row r="1951" spans="1:14" ht="17.25" customHeight="1" thickBot="1" x14ac:dyDescent="0.3">
      <c r="A1951" s="3356" t="s">
        <v>4075</v>
      </c>
      <c r="B1951" s="3357"/>
      <c r="C1951" s="3357"/>
      <c r="D1951" s="3357"/>
      <c r="E1951" s="1388">
        <f>E1947-E1948</f>
        <v>1174.71</v>
      </c>
      <c r="G1951" s="1389"/>
    </row>
    <row r="1952" spans="1:14" ht="17.25" customHeight="1" thickBot="1" x14ac:dyDescent="0.3">
      <c r="I1952" s="2866" t="s">
        <v>135</v>
      </c>
    </row>
    <row r="1953" spans="1:14" ht="19.5" thickBot="1" x14ac:dyDescent="0.35">
      <c r="A1953" s="3361" t="s">
        <v>4760</v>
      </c>
      <c r="B1953" s="3336"/>
      <c r="C1953" s="3336"/>
      <c r="D1953" s="3336"/>
      <c r="E1953" s="3336"/>
      <c r="F1953" s="3336"/>
      <c r="G1953" s="3337"/>
    </row>
    <row r="1954" spans="1:14" ht="16.5" thickBot="1" x14ac:dyDescent="0.3">
      <c r="A1954" s="1361" t="s">
        <v>4206</v>
      </c>
      <c r="B1954" s="1361" t="s">
        <v>4206</v>
      </c>
      <c r="C1954" s="3370" t="s">
        <v>3</v>
      </c>
      <c r="D1954" s="3371"/>
      <c r="E1954" s="1363" t="s">
        <v>4190</v>
      </c>
      <c r="F1954" s="1363" t="s">
        <v>4191</v>
      </c>
      <c r="G1954" s="1364" t="s">
        <v>382</v>
      </c>
    </row>
    <row r="1955" spans="1:14" x14ac:dyDescent="0.25">
      <c r="A1955" s="1428">
        <v>43217</v>
      </c>
      <c r="B1955" s="1428">
        <v>43217</v>
      </c>
      <c r="C1955" s="3397" t="s">
        <v>4761</v>
      </c>
      <c r="D1955" s="3398"/>
      <c r="E1955" s="1357">
        <v>175.74</v>
      </c>
      <c r="F1955" s="1358">
        <v>3</v>
      </c>
      <c r="G1955" s="1359">
        <f t="shared" ref="G1955:G1961" si="281">E1955/F1955</f>
        <v>58.580000000000005</v>
      </c>
      <c r="I1955" s="1360"/>
      <c r="J1955" s="1427"/>
      <c r="K1955" s="1281"/>
      <c r="L1955" s="1281"/>
      <c r="N1955" s="1281"/>
    </row>
    <row r="1956" spans="1:14" x14ac:dyDescent="0.25">
      <c r="A1956" s="1428">
        <v>43224</v>
      </c>
      <c r="B1956" s="1428">
        <v>43224</v>
      </c>
      <c r="C1956" s="3397" t="s">
        <v>4762</v>
      </c>
      <c r="D1956" s="3398"/>
      <c r="E1956" s="1357">
        <v>400</v>
      </c>
      <c r="F1956" s="1358">
        <v>6</v>
      </c>
      <c r="G1956" s="1359">
        <f t="shared" si="281"/>
        <v>66.666666666666671</v>
      </c>
      <c r="I1956" s="1360"/>
      <c r="J1956" s="1427"/>
      <c r="K1956" s="1281"/>
      <c r="L1956" s="1281"/>
      <c r="N1956" s="1281"/>
    </row>
    <row r="1957" spans="1:14" x14ac:dyDescent="0.25">
      <c r="A1957" s="1428">
        <v>43250</v>
      </c>
      <c r="B1957" s="1428">
        <v>43250</v>
      </c>
      <c r="C1957" s="3397" t="s">
        <v>4763</v>
      </c>
      <c r="D1957" s="3398"/>
      <c r="E1957" s="1357">
        <v>171.9</v>
      </c>
      <c r="F1957" s="1358">
        <v>3</v>
      </c>
      <c r="G1957" s="1359">
        <f t="shared" si="281"/>
        <v>57.300000000000004</v>
      </c>
      <c r="I1957" s="1360"/>
      <c r="J1957" s="1427"/>
      <c r="K1957" s="1281"/>
      <c r="L1957" s="1281"/>
      <c r="N1957" s="1281"/>
    </row>
    <row r="1958" spans="1:14" x14ac:dyDescent="0.25">
      <c r="A1958" s="1428">
        <v>43250</v>
      </c>
      <c r="B1958" s="1428">
        <v>43250</v>
      </c>
      <c r="C1958" s="3397" t="s">
        <v>4764</v>
      </c>
      <c r="D1958" s="3398"/>
      <c r="E1958" s="1357">
        <v>150</v>
      </c>
      <c r="F1958" s="1358">
        <v>2</v>
      </c>
      <c r="G1958" s="1359">
        <f t="shared" si="281"/>
        <v>75</v>
      </c>
      <c r="I1958" s="1360"/>
      <c r="J1958" s="1427"/>
      <c r="K1958" s="1281"/>
      <c r="L1958" s="1281"/>
      <c r="N1958" s="1281"/>
    </row>
    <row r="1959" spans="1:14" x14ac:dyDescent="0.25">
      <c r="A1959" s="1428">
        <v>43258</v>
      </c>
      <c r="B1959" s="1428">
        <v>43258</v>
      </c>
      <c r="C1959" s="3397" t="s">
        <v>4765</v>
      </c>
      <c r="D1959" s="3398"/>
      <c r="E1959" s="1357">
        <v>80</v>
      </c>
      <c r="F1959" s="1358">
        <v>2</v>
      </c>
      <c r="G1959" s="1359">
        <f t="shared" si="281"/>
        <v>40</v>
      </c>
      <c r="I1959" s="1360"/>
      <c r="J1959" s="1427"/>
      <c r="K1959" s="1281"/>
      <c r="L1959" s="1281"/>
      <c r="N1959" s="1281"/>
    </row>
    <row r="1960" spans="1:14" x14ac:dyDescent="0.25">
      <c r="A1960" s="1428">
        <v>43265</v>
      </c>
      <c r="B1960" s="1428">
        <v>43265</v>
      </c>
      <c r="C1960" s="3397" t="s">
        <v>4766</v>
      </c>
      <c r="D1960" s="3398"/>
      <c r="E1960" s="1357">
        <v>100</v>
      </c>
      <c r="F1960" s="1358">
        <v>3</v>
      </c>
      <c r="G1960" s="1359">
        <f t="shared" si="281"/>
        <v>33.333333333333336</v>
      </c>
      <c r="I1960" s="1360"/>
      <c r="J1960" s="1427"/>
      <c r="K1960" s="1281"/>
      <c r="L1960" s="1281"/>
      <c r="N1960" s="1281"/>
    </row>
    <row r="1961" spans="1:14" x14ac:dyDescent="0.25">
      <c r="A1961" s="1428">
        <v>43279</v>
      </c>
      <c r="B1961" s="1428">
        <v>43279</v>
      </c>
      <c r="C1961" s="3397" t="s">
        <v>4767</v>
      </c>
      <c r="D1961" s="3398"/>
      <c r="E1961" s="1357">
        <v>1028.8</v>
      </c>
      <c r="F1961" s="1358">
        <v>1</v>
      </c>
      <c r="G1961" s="1359">
        <f t="shared" si="281"/>
        <v>1028.8</v>
      </c>
      <c r="H1961" s="1247" t="s">
        <v>4768</v>
      </c>
      <c r="I1961" s="1360"/>
      <c r="J1961" s="1427"/>
      <c r="K1961" s="1281"/>
      <c r="L1961" s="1281"/>
      <c r="N1961" s="1281"/>
    </row>
    <row r="1962" spans="1:14" x14ac:dyDescent="0.25">
      <c r="A1962" s="1452">
        <v>43287</v>
      </c>
      <c r="B1962" s="1452">
        <v>43287</v>
      </c>
      <c r="C1962" s="3417" t="s">
        <v>4769</v>
      </c>
      <c r="D1962" s="3418"/>
      <c r="E1962" s="1453"/>
      <c r="F1962" s="1454"/>
      <c r="G1962" s="1455">
        <v>300</v>
      </c>
      <c r="I1962" s="1360"/>
      <c r="J1962" s="1427"/>
      <c r="K1962" s="1281"/>
      <c r="L1962" s="1281"/>
      <c r="N1962" s="1281"/>
    </row>
    <row r="1963" spans="1:14" x14ac:dyDescent="0.25">
      <c r="A1963" s="1452">
        <v>43301</v>
      </c>
      <c r="B1963" s="1452">
        <v>43301</v>
      </c>
      <c r="C1963" s="3417" t="s">
        <v>1952</v>
      </c>
      <c r="D1963" s="3418"/>
      <c r="E1963" s="1453"/>
      <c r="F1963" s="1454"/>
      <c r="G1963" s="1455">
        <v>300</v>
      </c>
      <c r="I1963" s="1360"/>
      <c r="J1963" s="1427"/>
      <c r="K1963" s="1281"/>
      <c r="L1963" s="1281"/>
      <c r="N1963" s="1281"/>
    </row>
    <row r="1964" spans="1:14" x14ac:dyDescent="0.25">
      <c r="A1964" s="1452">
        <v>43301</v>
      </c>
      <c r="B1964" s="1452">
        <v>43301</v>
      </c>
      <c r="C1964" s="3417" t="s">
        <v>1953</v>
      </c>
      <c r="D1964" s="3418"/>
      <c r="E1964" s="1453"/>
      <c r="F1964" s="1454"/>
      <c r="G1964" s="1455">
        <v>300</v>
      </c>
      <c r="I1964" s="1360"/>
      <c r="J1964" s="1427"/>
      <c r="K1964" s="1281"/>
      <c r="L1964" s="1281"/>
      <c r="N1964" s="1281"/>
    </row>
    <row r="1965" spans="1:14" x14ac:dyDescent="0.25">
      <c r="A1965" s="1428">
        <v>43302</v>
      </c>
      <c r="B1965" s="1428">
        <v>43302</v>
      </c>
      <c r="C1965" s="3397" t="s">
        <v>1241</v>
      </c>
      <c r="D1965" s="3398"/>
      <c r="E1965" s="1357">
        <v>15</v>
      </c>
      <c r="F1965" s="1358">
        <v>1</v>
      </c>
      <c r="G1965" s="1359">
        <v>15</v>
      </c>
      <c r="I1965" s="1360"/>
      <c r="J1965" s="1427"/>
      <c r="K1965" s="1281"/>
      <c r="L1965" s="1281"/>
      <c r="N1965" s="1281"/>
    </row>
    <row r="1966" spans="1:14" x14ac:dyDescent="0.25">
      <c r="A1966" s="1428">
        <v>43309</v>
      </c>
      <c r="B1966" s="1428">
        <v>43309</v>
      </c>
      <c r="C1966" s="3397" t="s">
        <v>4770</v>
      </c>
      <c r="D1966" s="3398"/>
      <c r="E1966" s="1357">
        <v>800</v>
      </c>
      <c r="F1966" s="1358">
        <v>6</v>
      </c>
      <c r="G1966" s="1359">
        <f>E1966/F1966</f>
        <v>133.33333333333334</v>
      </c>
      <c r="I1966" s="1360"/>
      <c r="J1966" s="1427"/>
      <c r="K1966" s="1281"/>
      <c r="L1966" s="1281"/>
      <c r="N1966" s="1281"/>
    </row>
    <row r="1967" spans="1:14" x14ac:dyDescent="0.25">
      <c r="A1967" s="1428"/>
      <c r="B1967" s="1428"/>
      <c r="C1967" s="3397"/>
      <c r="D1967" s="3398"/>
      <c r="E1967" s="1357"/>
      <c r="F1967" s="1358"/>
      <c r="G1967" s="1359"/>
      <c r="I1967" s="1360"/>
      <c r="J1967" s="1427"/>
      <c r="K1967" s="1281"/>
      <c r="L1967" s="1281"/>
      <c r="N1967" s="1281"/>
    </row>
    <row r="1968" spans="1:14" ht="15.75" x14ac:dyDescent="0.25">
      <c r="A1968" s="3356" t="s">
        <v>4071</v>
      </c>
      <c r="B1968" s="3357"/>
      <c r="C1968" s="3357"/>
      <c r="D1968" s="3357"/>
      <c r="E1968" s="1396">
        <v>2500</v>
      </c>
      <c r="F1968" s="3366"/>
      <c r="G1968" s="3367"/>
    </row>
    <row r="1969" spans="1:14" ht="15.75" x14ac:dyDescent="0.25">
      <c r="A1969" s="3358" t="s">
        <v>4072</v>
      </c>
      <c r="B1969" s="3359"/>
      <c r="C1969" s="3359"/>
      <c r="D1969" s="3359"/>
      <c r="E1969" s="1397">
        <v>1550.32</v>
      </c>
      <c r="F1969" s="3368"/>
      <c r="G1969" s="3369"/>
      <c r="H1969" s="1247" t="s">
        <v>280</v>
      </c>
    </row>
    <row r="1970" spans="1:14" ht="15.75" x14ac:dyDescent="0.25">
      <c r="A1970" s="3356" t="s">
        <v>4073</v>
      </c>
      <c r="B1970" s="3357"/>
      <c r="C1970" s="3357"/>
      <c r="D1970" s="3357"/>
      <c r="E1970" s="1396">
        <v>460.88</v>
      </c>
      <c r="F1970" s="3368"/>
      <c r="G1970" s="3369"/>
    </row>
    <row r="1971" spans="1:14" ht="15.75" x14ac:dyDescent="0.25">
      <c r="A1971" s="3358" t="s">
        <v>4074</v>
      </c>
      <c r="B1971" s="3359"/>
      <c r="C1971" s="3359"/>
      <c r="D1971" s="3359"/>
      <c r="E1971" s="3359"/>
      <c r="F1971" s="3360"/>
      <c r="G1971" s="1387">
        <f>G1955+G1956+G1957+G1958+G1959+G1960+G1961-G1962-G1963-G1964+G1965+G1966</f>
        <v>608.01333333333321</v>
      </c>
    </row>
    <row r="1972" spans="1:14" ht="17.25" customHeight="1" thickBot="1" x14ac:dyDescent="0.3">
      <c r="A1972" s="3356" t="s">
        <v>4075</v>
      </c>
      <c r="B1972" s="3357"/>
      <c r="C1972" s="3357"/>
      <c r="D1972" s="3357"/>
      <c r="E1972" s="1388">
        <f>E1968-E1969</f>
        <v>949.68000000000006</v>
      </c>
      <c r="G1972" s="1389"/>
    </row>
    <row r="1973" spans="1:14" ht="17.25" customHeight="1" thickBot="1" x14ac:dyDescent="0.3">
      <c r="I1973" s="2866" t="s">
        <v>135</v>
      </c>
    </row>
    <row r="1974" spans="1:14" ht="19.5" thickBot="1" x14ac:dyDescent="0.35">
      <c r="A1974" s="3361" t="s">
        <v>4771</v>
      </c>
      <c r="B1974" s="3336"/>
      <c r="C1974" s="3336"/>
      <c r="D1974" s="3336"/>
      <c r="E1974" s="3336"/>
      <c r="F1974" s="3336"/>
      <c r="G1974" s="3337"/>
    </row>
    <row r="1975" spans="1:14" ht="16.5" thickBot="1" x14ac:dyDescent="0.3">
      <c r="A1975" s="1361" t="s">
        <v>4206</v>
      </c>
      <c r="B1975" s="1361" t="s">
        <v>4206</v>
      </c>
      <c r="C1975" s="3370" t="s">
        <v>3</v>
      </c>
      <c r="D1975" s="3371"/>
      <c r="E1975" s="1363" t="s">
        <v>4190</v>
      </c>
      <c r="F1975" s="1363" t="s">
        <v>4191</v>
      </c>
      <c r="G1975" s="1364" t="s">
        <v>382</v>
      </c>
    </row>
    <row r="1976" spans="1:14" x14ac:dyDescent="0.25">
      <c r="A1976" s="1428">
        <v>43209</v>
      </c>
      <c r="B1976" s="1428">
        <v>43209</v>
      </c>
      <c r="C1976" s="3397" t="s">
        <v>4772</v>
      </c>
      <c r="D1976" s="3398"/>
      <c r="E1976" s="1357">
        <v>240</v>
      </c>
      <c r="F1976" s="1358">
        <v>3</v>
      </c>
      <c r="G1976" s="1359">
        <f t="shared" ref="G1976:G1983" si="282">E1976/F1976</f>
        <v>80</v>
      </c>
      <c r="I1976" s="1360"/>
      <c r="K1976" s="1281"/>
      <c r="L1976" s="1281"/>
      <c r="N1976" s="1281"/>
    </row>
    <row r="1977" spans="1:14" x14ac:dyDescent="0.25">
      <c r="A1977" s="1428">
        <v>43217</v>
      </c>
      <c r="B1977" s="1428">
        <v>43217</v>
      </c>
      <c r="C1977" s="3397" t="s">
        <v>4773</v>
      </c>
      <c r="D1977" s="3398"/>
      <c r="E1977" s="1357">
        <v>175.74</v>
      </c>
      <c r="F1977" s="1358">
        <v>3</v>
      </c>
      <c r="G1977" s="1359">
        <f t="shared" si="282"/>
        <v>58.580000000000005</v>
      </c>
      <c r="I1977" s="1360"/>
      <c r="J1977" s="1427"/>
      <c r="K1977" s="1281"/>
      <c r="L1977" s="1281"/>
      <c r="N1977" s="1281"/>
    </row>
    <row r="1978" spans="1:14" x14ac:dyDescent="0.25">
      <c r="A1978" s="1428">
        <v>43224</v>
      </c>
      <c r="B1978" s="1428">
        <v>43224</v>
      </c>
      <c r="C1978" s="3397" t="s">
        <v>4774</v>
      </c>
      <c r="D1978" s="3398"/>
      <c r="E1978" s="1357">
        <v>400</v>
      </c>
      <c r="F1978" s="1358">
        <v>6</v>
      </c>
      <c r="G1978" s="1359">
        <f t="shared" si="282"/>
        <v>66.666666666666671</v>
      </c>
      <c r="I1978" s="1360"/>
      <c r="J1978" s="1427"/>
      <c r="K1978" s="1281"/>
      <c r="L1978" s="1281"/>
      <c r="N1978" s="1281"/>
    </row>
    <row r="1979" spans="1:14" x14ac:dyDescent="0.25">
      <c r="A1979" s="1428">
        <v>43250</v>
      </c>
      <c r="B1979" s="1428">
        <v>43250</v>
      </c>
      <c r="C1979" s="3397" t="s">
        <v>4775</v>
      </c>
      <c r="D1979" s="3398"/>
      <c r="E1979" s="1357">
        <v>171.9</v>
      </c>
      <c r="F1979" s="1358">
        <v>3</v>
      </c>
      <c r="G1979" s="1359">
        <f t="shared" si="282"/>
        <v>57.300000000000004</v>
      </c>
      <c r="I1979" s="1360"/>
      <c r="J1979" s="1427"/>
      <c r="K1979" s="1281"/>
      <c r="L1979" s="1281"/>
      <c r="N1979" s="1281"/>
    </row>
    <row r="1980" spans="1:14" x14ac:dyDescent="0.25">
      <c r="A1980" s="1428">
        <v>43250</v>
      </c>
      <c r="B1980" s="1428">
        <v>43250</v>
      </c>
      <c r="C1980" s="3397" t="s">
        <v>4776</v>
      </c>
      <c r="D1980" s="3398"/>
      <c r="E1980" s="1357">
        <v>150</v>
      </c>
      <c r="F1980" s="1358">
        <v>2</v>
      </c>
      <c r="G1980" s="1359">
        <f t="shared" si="282"/>
        <v>75</v>
      </c>
      <c r="I1980" s="1360"/>
      <c r="J1980" s="1427"/>
      <c r="K1980" s="1281"/>
      <c r="L1980" s="1281"/>
      <c r="N1980" s="1281"/>
    </row>
    <row r="1981" spans="1:14" x14ac:dyDescent="0.25">
      <c r="A1981" s="1428">
        <v>43250</v>
      </c>
      <c r="B1981" s="1428">
        <v>43250</v>
      </c>
      <c r="C1981" s="3397" t="s">
        <v>4777</v>
      </c>
      <c r="D1981" s="3398"/>
      <c r="E1981" s="1357">
        <v>50</v>
      </c>
      <c r="F1981" s="1358">
        <v>1</v>
      </c>
      <c r="G1981" s="1359">
        <f t="shared" si="282"/>
        <v>50</v>
      </c>
      <c r="I1981" s="1360"/>
      <c r="J1981" s="1427"/>
      <c r="K1981" s="1281"/>
      <c r="L1981" s="1281"/>
      <c r="N1981" s="1281"/>
    </row>
    <row r="1982" spans="1:14" x14ac:dyDescent="0.25">
      <c r="A1982" s="1428">
        <v>43258</v>
      </c>
      <c r="B1982" s="1428">
        <v>43258</v>
      </c>
      <c r="C1982" s="3397" t="s">
        <v>4778</v>
      </c>
      <c r="D1982" s="3398"/>
      <c r="E1982" s="1357">
        <v>80</v>
      </c>
      <c r="F1982" s="1358">
        <v>2</v>
      </c>
      <c r="G1982" s="1359">
        <f t="shared" si="282"/>
        <v>40</v>
      </c>
      <c r="I1982" s="1360"/>
      <c r="J1982" s="1427"/>
      <c r="K1982" s="1281"/>
      <c r="L1982" s="1281"/>
      <c r="N1982" s="1281"/>
    </row>
    <row r="1983" spans="1:14" x14ac:dyDescent="0.25">
      <c r="A1983" s="1428">
        <v>43265</v>
      </c>
      <c r="B1983" s="1428">
        <v>43265</v>
      </c>
      <c r="C1983" s="3397" t="s">
        <v>4779</v>
      </c>
      <c r="D1983" s="3398"/>
      <c r="E1983" s="1357">
        <v>100</v>
      </c>
      <c r="F1983" s="1358">
        <v>3</v>
      </c>
      <c r="G1983" s="1359">
        <f t="shared" si="282"/>
        <v>33.333333333333336</v>
      </c>
      <c r="I1983" s="1360"/>
      <c r="J1983" s="1427"/>
      <c r="K1983" s="1281"/>
      <c r="L1983" s="1281"/>
      <c r="N1983" s="1281"/>
    </row>
    <row r="1984" spans="1:14" x14ac:dyDescent="0.25">
      <c r="A1984" s="1428"/>
      <c r="B1984" s="1428"/>
      <c r="C1984" s="3397"/>
      <c r="D1984" s="3398"/>
      <c r="E1984" s="1357"/>
      <c r="F1984" s="1358"/>
      <c r="G1984" s="1359"/>
      <c r="I1984" s="1360"/>
      <c r="J1984" s="1427"/>
      <c r="K1984" s="1281"/>
      <c r="L1984" s="1281"/>
      <c r="N1984" s="1281"/>
    </row>
    <row r="1985" spans="1:14" ht="15.75" x14ac:dyDescent="0.25">
      <c r="A1985" s="3356" t="s">
        <v>4071</v>
      </c>
      <c r="B1985" s="3357"/>
      <c r="C1985" s="3357"/>
      <c r="D1985" s="3357"/>
      <c r="E1985" s="1396">
        <v>2500</v>
      </c>
      <c r="F1985" s="3366"/>
      <c r="G1985" s="3367"/>
    </row>
    <row r="1986" spans="1:14" ht="15.75" x14ac:dyDescent="0.25">
      <c r="A1986" s="3358" t="s">
        <v>4072</v>
      </c>
      <c r="B1986" s="3359"/>
      <c r="C1986" s="3359"/>
      <c r="D1986" s="3359"/>
      <c r="E1986" s="1397">
        <v>957.16</v>
      </c>
      <c r="F1986" s="3368"/>
      <c r="G1986" s="3369"/>
      <c r="H1986" s="1247" t="s">
        <v>280</v>
      </c>
    </row>
    <row r="1987" spans="1:14" ht="15.75" x14ac:dyDescent="0.25">
      <c r="A1987" s="3356" t="s">
        <v>4073</v>
      </c>
      <c r="B1987" s="3357"/>
      <c r="C1987" s="3357"/>
      <c r="D1987" s="3357"/>
      <c r="E1987" s="1396">
        <v>418.5</v>
      </c>
      <c r="F1987" s="3368"/>
      <c r="G1987" s="3369"/>
    </row>
    <row r="1988" spans="1:14" ht="15.75" x14ac:dyDescent="0.25">
      <c r="A1988" s="3358" t="s">
        <v>4074</v>
      </c>
      <c r="B1988" s="3359"/>
      <c r="C1988" s="3359"/>
      <c r="D1988" s="3359"/>
      <c r="E1988" s="3359"/>
      <c r="F1988" s="3360"/>
      <c r="G1988" s="1387">
        <f>G1976+G1977+G1978+G1979+G1980+G1981+G1982+G1983</f>
        <v>460.88</v>
      </c>
      <c r="H1988" s="1336">
        <v>760.88</v>
      </c>
    </row>
    <row r="1989" spans="1:14" ht="17.25" customHeight="1" thickBot="1" x14ac:dyDescent="0.3">
      <c r="A1989" s="3356" t="s">
        <v>4075</v>
      </c>
      <c r="B1989" s="3357"/>
      <c r="C1989" s="3357"/>
      <c r="D1989" s="3357"/>
      <c r="E1989" s="1388">
        <f>E1985-E1986</f>
        <v>1542.8400000000001</v>
      </c>
      <c r="G1989" s="1389"/>
    </row>
    <row r="1990" spans="1:14" ht="17.25" customHeight="1" thickBot="1" x14ac:dyDescent="0.3">
      <c r="I1990" s="2866" t="s">
        <v>135</v>
      </c>
    </row>
    <row r="1991" spans="1:14" ht="19.5" thickBot="1" x14ac:dyDescent="0.35">
      <c r="A1991" s="3361" t="s">
        <v>4780</v>
      </c>
      <c r="B1991" s="3336"/>
      <c r="C1991" s="3336"/>
      <c r="D1991" s="3336"/>
      <c r="E1991" s="3336"/>
      <c r="F1991" s="3336"/>
      <c r="G1991" s="3337"/>
    </row>
    <row r="1992" spans="1:14" ht="16.5" thickBot="1" x14ac:dyDescent="0.3">
      <c r="A1992" s="1361" t="s">
        <v>4206</v>
      </c>
      <c r="B1992" s="1361" t="s">
        <v>4206</v>
      </c>
      <c r="C1992" s="3370" t="s">
        <v>3</v>
      </c>
      <c r="D1992" s="3371"/>
      <c r="E1992" s="1363" t="s">
        <v>4190</v>
      </c>
      <c r="F1992" s="1363" t="s">
        <v>4191</v>
      </c>
      <c r="G1992" s="1364" t="s">
        <v>382</v>
      </c>
    </row>
    <row r="1993" spans="1:14" x14ac:dyDescent="0.25">
      <c r="A1993" s="1428">
        <v>43188</v>
      </c>
      <c r="B1993" s="1428">
        <v>43188</v>
      </c>
      <c r="C1993" s="3397" t="s">
        <v>4781</v>
      </c>
      <c r="D1993" s="3398"/>
      <c r="E1993" s="1357">
        <v>130</v>
      </c>
      <c r="F1993" s="1358">
        <v>2</v>
      </c>
      <c r="G1993" s="1359">
        <f t="shared" ref="G1993:G1999" si="283">E1993/F1993</f>
        <v>65</v>
      </c>
      <c r="I1993" s="1360"/>
      <c r="K1993" s="1281"/>
      <c r="L1993" s="1281"/>
      <c r="N1993" s="1281"/>
    </row>
    <row r="1994" spans="1:14" x14ac:dyDescent="0.25">
      <c r="A1994" s="1428">
        <v>43197</v>
      </c>
      <c r="B1994" s="1428">
        <v>43197</v>
      </c>
      <c r="C1994" s="3397" t="s">
        <v>4782</v>
      </c>
      <c r="D1994" s="3398"/>
      <c r="E1994" s="1357">
        <v>212.5</v>
      </c>
      <c r="F1994" s="1358">
        <v>2</v>
      </c>
      <c r="G1994" s="1359">
        <f t="shared" si="283"/>
        <v>106.25</v>
      </c>
      <c r="I1994" s="1360"/>
      <c r="K1994" s="1281"/>
      <c r="L1994" s="1281"/>
      <c r="N1994" s="1281"/>
    </row>
    <row r="1995" spans="1:14" x14ac:dyDescent="0.25">
      <c r="A1995" s="1428">
        <v>43209</v>
      </c>
      <c r="B1995" s="1428">
        <v>43209</v>
      </c>
      <c r="C1995" s="3397" t="s">
        <v>4783</v>
      </c>
      <c r="D1995" s="3398"/>
      <c r="E1995" s="1357">
        <v>240</v>
      </c>
      <c r="F1995" s="1358">
        <v>3</v>
      </c>
      <c r="G1995" s="1359">
        <f t="shared" si="283"/>
        <v>80</v>
      </c>
      <c r="I1995" s="1360"/>
      <c r="K1995" s="1281"/>
      <c r="L1995" s="1281"/>
      <c r="N1995" s="1281"/>
    </row>
    <row r="1996" spans="1:14" x14ac:dyDescent="0.25">
      <c r="A1996" s="1428">
        <v>43217</v>
      </c>
      <c r="B1996" s="1428">
        <v>43217</v>
      </c>
      <c r="C1996" s="3397" t="s">
        <v>1886</v>
      </c>
      <c r="D1996" s="3398"/>
      <c r="E1996" s="1357">
        <v>30</v>
      </c>
      <c r="F1996" s="1358">
        <v>1</v>
      </c>
      <c r="G1996" s="1359">
        <f t="shared" si="283"/>
        <v>30</v>
      </c>
      <c r="I1996" s="1360"/>
      <c r="J1996" s="1427"/>
      <c r="K1996" s="1281"/>
      <c r="L1996" s="1281"/>
      <c r="N1996" s="1281"/>
    </row>
    <row r="1997" spans="1:14" x14ac:dyDescent="0.25">
      <c r="A1997" s="1428">
        <v>43217</v>
      </c>
      <c r="B1997" s="1428">
        <v>43217</v>
      </c>
      <c r="C1997" s="3397" t="s">
        <v>4784</v>
      </c>
      <c r="D1997" s="3398"/>
      <c r="E1997" s="1357">
        <v>175.74</v>
      </c>
      <c r="F1997" s="1358">
        <v>3</v>
      </c>
      <c r="G1997" s="1359">
        <f t="shared" si="283"/>
        <v>58.580000000000005</v>
      </c>
      <c r="I1997" s="1360"/>
      <c r="J1997" s="1427"/>
      <c r="K1997" s="1281"/>
      <c r="L1997" s="1281"/>
      <c r="N1997" s="1281"/>
    </row>
    <row r="1998" spans="1:14" x14ac:dyDescent="0.25">
      <c r="A1998" s="1428">
        <v>43218</v>
      </c>
      <c r="B1998" s="1428">
        <v>43218</v>
      </c>
      <c r="C1998" s="3397" t="s">
        <v>1241</v>
      </c>
      <c r="D1998" s="3398"/>
      <c r="E1998" s="1357">
        <v>12</v>
      </c>
      <c r="F1998" s="1358">
        <v>1</v>
      </c>
      <c r="G1998" s="1359">
        <f t="shared" si="283"/>
        <v>12</v>
      </c>
      <c r="I1998" s="1360"/>
      <c r="J1998" s="1427"/>
      <c r="K1998" s="1281"/>
      <c r="L1998" s="1281"/>
      <c r="N1998" s="1281"/>
    </row>
    <row r="1999" spans="1:14" x14ac:dyDescent="0.25">
      <c r="A1999" s="1428">
        <v>43224</v>
      </c>
      <c r="B1999" s="1428">
        <v>43224</v>
      </c>
      <c r="C1999" s="3397" t="s">
        <v>4785</v>
      </c>
      <c r="D1999" s="3398"/>
      <c r="E1999" s="1357">
        <v>400</v>
      </c>
      <c r="F1999" s="1358">
        <v>6</v>
      </c>
      <c r="G1999" s="1359">
        <f t="shared" si="283"/>
        <v>66.666666666666671</v>
      </c>
      <c r="I1999" s="1360"/>
      <c r="J1999" s="1427"/>
      <c r="K1999" s="1281"/>
      <c r="L1999" s="1281"/>
      <c r="N1999" s="1281"/>
    </row>
    <row r="2000" spans="1:14" x14ac:dyDescent="0.25">
      <c r="A2000" s="1428"/>
      <c r="B2000" s="1428"/>
      <c r="C2000" s="3397"/>
      <c r="D2000" s="3398"/>
      <c r="E2000" s="1357"/>
      <c r="F2000" s="1358"/>
      <c r="G2000" s="1359"/>
      <c r="I2000" s="1360"/>
      <c r="J2000" s="1427"/>
      <c r="K2000" s="1281"/>
      <c r="L2000" s="1281"/>
      <c r="N2000" s="1281"/>
    </row>
    <row r="2001" spans="1:14" ht="15.75" x14ac:dyDescent="0.25">
      <c r="A2001" s="3356" t="s">
        <v>4071</v>
      </c>
      <c r="B2001" s="3357"/>
      <c r="C2001" s="3357"/>
      <c r="D2001" s="3357"/>
      <c r="E2001" s="1396">
        <v>2500</v>
      </c>
      <c r="F2001" s="3366"/>
      <c r="G2001" s="3367"/>
    </row>
    <row r="2002" spans="1:14" ht="15.75" x14ac:dyDescent="0.25">
      <c r="A2002" s="3358" t="s">
        <v>4072</v>
      </c>
      <c r="B2002" s="3359"/>
      <c r="C2002" s="3359"/>
      <c r="D2002" s="3359"/>
      <c r="E2002" s="1397">
        <v>949</v>
      </c>
      <c r="F2002" s="3368"/>
      <c r="G2002" s="3369"/>
      <c r="H2002" s="1247" t="s">
        <v>280</v>
      </c>
    </row>
    <row r="2003" spans="1:14" ht="15.75" x14ac:dyDescent="0.25">
      <c r="A2003" s="3356" t="s">
        <v>4073</v>
      </c>
      <c r="B2003" s="3357"/>
      <c r="C2003" s="3357"/>
      <c r="D2003" s="3357"/>
      <c r="E2003" s="1396">
        <v>352.4</v>
      </c>
      <c r="F2003" s="3368"/>
      <c r="G2003" s="3369"/>
    </row>
    <row r="2004" spans="1:14" ht="15.75" x14ac:dyDescent="0.25">
      <c r="A2004" s="3358" t="s">
        <v>4074</v>
      </c>
      <c r="B2004" s="3359"/>
      <c r="C2004" s="3359"/>
      <c r="D2004" s="3359"/>
      <c r="E2004" s="3359"/>
      <c r="F2004" s="3360"/>
      <c r="G2004" s="1387">
        <f>SUM(G1993:G1999)</f>
        <v>418.49666666666667</v>
      </c>
    </row>
    <row r="2005" spans="1:14" ht="17.25" customHeight="1" thickBot="1" x14ac:dyDescent="0.3">
      <c r="A2005" s="3356" t="s">
        <v>4075</v>
      </c>
      <c r="B2005" s="3357"/>
      <c r="C2005" s="3357"/>
      <c r="D2005" s="3357"/>
      <c r="E2005" s="1388">
        <f>E2001-E2002</f>
        <v>1551</v>
      </c>
      <c r="G2005" s="1389"/>
    </row>
    <row r="2006" spans="1:14" ht="17.25" customHeight="1" thickBot="1" x14ac:dyDescent="0.3">
      <c r="I2006" s="2866" t="s">
        <v>135</v>
      </c>
    </row>
    <row r="2007" spans="1:14" ht="19.5" thickBot="1" x14ac:dyDescent="0.35">
      <c r="A2007" s="3361" t="s">
        <v>4786</v>
      </c>
      <c r="B2007" s="3336"/>
      <c r="C2007" s="3336"/>
      <c r="D2007" s="3336"/>
      <c r="E2007" s="3336"/>
      <c r="F2007" s="3336"/>
      <c r="G2007" s="3337"/>
    </row>
    <row r="2008" spans="1:14" ht="16.5" thickBot="1" x14ac:dyDescent="0.3">
      <c r="A2008" s="1361" t="s">
        <v>4206</v>
      </c>
      <c r="B2008" s="1361" t="s">
        <v>4206</v>
      </c>
      <c r="C2008" s="3370" t="s">
        <v>3</v>
      </c>
      <c r="D2008" s="3371"/>
      <c r="E2008" s="1363" t="s">
        <v>4190</v>
      </c>
      <c r="F2008" s="1363" t="s">
        <v>4191</v>
      </c>
      <c r="G2008" s="1364" t="s">
        <v>382</v>
      </c>
    </row>
    <row r="2009" spans="1:14" x14ac:dyDescent="0.25">
      <c r="A2009" s="1428">
        <v>43172</v>
      </c>
      <c r="B2009" s="1428">
        <v>43172</v>
      </c>
      <c r="C2009" s="3397" t="s">
        <v>4787</v>
      </c>
      <c r="D2009" s="3398"/>
      <c r="E2009" s="1357">
        <v>60</v>
      </c>
      <c r="F2009" s="1358">
        <v>2</v>
      </c>
      <c r="G2009" s="1359">
        <f t="shared" ref="G2009:G2014" si="284">E2009/F2009</f>
        <v>30</v>
      </c>
      <c r="I2009" s="1360"/>
      <c r="K2009" s="1281"/>
      <c r="L2009" s="1281"/>
      <c r="N2009" s="1281"/>
    </row>
    <row r="2010" spans="1:14" x14ac:dyDescent="0.25">
      <c r="A2010" s="1428">
        <v>43172</v>
      </c>
      <c r="B2010" s="1428">
        <v>43172</v>
      </c>
      <c r="C2010" s="3397" t="s">
        <v>4788</v>
      </c>
      <c r="D2010" s="3398"/>
      <c r="E2010" s="1357">
        <v>42.7</v>
      </c>
      <c r="F2010" s="1358">
        <v>2</v>
      </c>
      <c r="G2010" s="1359">
        <f t="shared" si="284"/>
        <v>21.35</v>
      </c>
      <c r="I2010" s="1360"/>
      <c r="K2010" s="1281"/>
      <c r="L2010" s="1281"/>
      <c r="N2010" s="1281"/>
    </row>
    <row r="2011" spans="1:14" x14ac:dyDescent="0.25">
      <c r="A2011" s="1428">
        <v>43188</v>
      </c>
      <c r="B2011" s="1428">
        <v>43188</v>
      </c>
      <c r="C2011" s="3397" t="s">
        <v>4789</v>
      </c>
      <c r="D2011" s="3398"/>
      <c r="E2011" s="1357">
        <v>49.8</v>
      </c>
      <c r="F2011" s="1358">
        <v>1</v>
      </c>
      <c r="G2011" s="1359">
        <f t="shared" si="284"/>
        <v>49.8</v>
      </c>
      <c r="I2011" s="1360"/>
      <c r="K2011" s="1281"/>
      <c r="L2011" s="1281"/>
      <c r="N2011" s="1281"/>
    </row>
    <row r="2012" spans="1:14" x14ac:dyDescent="0.25">
      <c r="A2012" s="1428">
        <v>43188</v>
      </c>
      <c r="B2012" s="1428">
        <v>43188</v>
      </c>
      <c r="C2012" s="3397" t="s">
        <v>4790</v>
      </c>
      <c r="D2012" s="3398"/>
      <c r="E2012" s="1357">
        <v>130</v>
      </c>
      <c r="F2012" s="1358">
        <v>2</v>
      </c>
      <c r="G2012" s="1359">
        <f t="shared" si="284"/>
        <v>65</v>
      </c>
      <c r="I2012" s="1360"/>
      <c r="K2012" s="1281"/>
      <c r="L2012" s="1281"/>
      <c r="N2012" s="1281"/>
    </row>
    <row r="2013" spans="1:14" x14ac:dyDescent="0.25">
      <c r="A2013" s="1428">
        <v>43197</v>
      </c>
      <c r="B2013" s="1428">
        <v>43197</v>
      </c>
      <c r="C2013" s="3397" t="s">
        <v>4791</v>
      </c>
      <c r="D2013" s="3398"/>
      <c r="E2013" s="1357">
        <v>212.5</v>
      </c>
      <c r="F2013" s="1358">
        <v>2</v>
      </c>
      <c r="G2013" s="1359">
        <f t="shared" si="284"/>
        <v>106.25</v>
      </c>
      <c r="I2013" s="1360"/>
      <c r="K2013" s="1281"/>
      <c r="L2013" s="1281"/>
      <c r="N2013" s="1281"/>
    </row>
    <row r="2014" spans="1:14" x14ac:dyDescent="0.25">
      <c r="A2014" s="1428">
        <v>43209</v>
      </c>
      <c r="B2014" s="1428">
        <v>43209</v>
      </c>
      <c r="C2014" s="3397" t="s">
        <v>4792</v>
      </c>
      <c r="D2014" s="3398"/>
      <c r="E2014" s="1357">
        <v>240</v>
      </c>
      <c r="F2014" s="1358">
        <v>3</v>
      </c>
      <c r="G2014" s="1359">
        <f t="shared" si="284"/>
        <v>80</v>
      </c>
      <c r="I2014" s="1360"/>
      <c r="K2014" s="1281"/>
      <c r="L2014" s="1281"/>
      <c r="N2014" s="1281"/>
    </row>
    <row r="2015" spans="1:14" x14ac:dyDescent="0.25">
      <c r="A2015" s="1428"/>
      <c r="B2015" s="1428"/>
      <c r="C2015" s="3397"/>
      <c r="D2015" s="3398"/>
      <c r="E2015" s="1357"/>
      <c r="F2015" s="1358"/>
      <c r="G2015" s="1359"/>
      <c r="I2015" s="1360"/>
      <c r="J2015" s="1427"/>
      <c r="K2015" s="1281"/>
      <c r="L2015" s="1281"/>
      <c r="N2015" s="1281"/>
    </row>
    <row r="2016" spans="1:14" ht="15.75" x14ac:dyDescent="0.25">
      <c r="A2016" s="3356" t="s">
        <v>4071</v>
      </c>
      <c r="B2016" s="3357"/>
      <c r="C2016" s="3357"/>
      <c r="D2016" s="3357"/>
      <c r="E2016" s="1396">
        <v>2500</v>
      </c>
      <c r="F2016" s="3366"/>
      <c r="G2016" s="3367"/>
    </row>
    <row r="2017" spans="1:14" ht="15.75" x14ac:dyDescent="0.25">
      <c r="A2017" s="3358" t="s">
        <v>4072</v>
      </c>
      <c r="B2017" s="3359"/>
      <c r="C2017" s="3359"/>
      <c r="D2017" s="3359"/>
      <c r="E2017" s="1397">
        <v>683.65</v>
      </c>
      <c r="F2017" s="3368"/>
      <c r="G2017" s="3369"/>
      <c r="H2017" s="1247" t="s">
        <v>280</v>
      </c>
    </row>
    <row r="2018" spans="1:14" ht="15.75" x14ac:dyDescent="0.25">
      <c r="A2018" s="3356" t="s">
        <v>4073</v>
      </c>
      <c r="B2018" s="3357"/>
      <c r="C2018" s="3357"/>
      <c r="D2018" s="3357"/>
      <c r="E2018" s="1396">
        <v>299.12</v>
      </c>
      <c r="F2018" s="3368"/>
      <c r="G2018" s="3369"/>
    </row>
    <row r="2019" spans="1:14" ht="15.75" x14ac:dyDescent="0.25">
      <c r="A2019" s="3358" t="s">
        <v>4074</v>
      </c>
      <c r="B2019" s="3359"/>
      <c r="C2019" s="3359"/>
      <c r="D2019" s="3359"/>
      <c r="E2019" s="3359"/>
      <c r="F2019" s="3360"/>
      <c r="G2019" s="1387">
        <f>G2009+G2010+G2011+G2012+G2013+G2014</f>
        <v>352.4</v>
      </c>
    </row>
    <row r="2020" spans="1:14" ht="17.25" customHeight="1" thickBot="1" x14ac:dyDescent="0.3">
      <c r="A2020" s="3356" t="s">
        <v>4075</v>
      </c>
      <c r="B2020" s="3357"/>
      <c r="C2020" s="3357"/>
      <c r="D2020" s="3357"/>
      <c r="E2020" s="1388">
        <f>E2016-E2017</f>
        <v>1816.35</v>
      </c>
      <c r="G2020" s="1389"/>
    </row>
    <row r="2021" spans="1:14" ht="17.25" customHeight="1" thickBot="1" x14ac:dyDescent="0.3">
      <c r="I2021" s="2866" t="s">
        <v>135</v>
      </c>
    </row>
    <row r="2022" spans="1:14" ht="19.5" thickBot="1" x14ac:dyDescent="0.35">
      <c r="A2022" s="3361" t="s">
        <v>4793</v>
      </c>
      <c r="B2022" s="3336"/>
      <c r="C2022" s="3336"/>
      <c r="D2022" s="3336"/>
      <c r="E2022" s="3336"/>
      <c r="F2022" s="3336"/>
      <c r="G2022" s="3337"/>
    </row>
    <row r="2023" spans="1:14" ht="16.5" thickBot="1" x14ac:dyDescent="0.3">
      <c r="A2023" s="1361" t="s">
        <v>4206</v>
      </c>
      <c r="B2023" s="1361" t="s">
        <v>4206</v>
      </c>
      <c r="C2023" s="3370" t="s">
        <v>3</v>
      </c>
      <c r="D2023" s="3371"/>
      <c r="E2023" s="1363" t="s">
        <v>4190</v>
      </c>
      <c r="F2023" s="1363" t="s">
        <v>4191</v>
      </c>
      <c r="G2023" s="1364" t="s">
        <v>382</v>
      </c>
    </row>
    <row r="2024" spans="1:14" x14ac:dyDescent="0.25">
      <c r="A2024" s="1428">
        <v>43075</v>
      </c>
      <c r="B2024" s="1428">
        <v>43075</v>
      </c>
      <c r="C2024" s="3397" t="s">
        <v>4794</v>
      </c>
      <c r="D2024" s="3398"/>
      <c r="E2024" s="1357">
        <v>177.52</v>
      </c>
      <c r="F2024" s="1358">
        <v>4</v>
      </c>
      <c r="G2024" s="1359">
        <f t="shared" ref="G2024:G2031" si="285">E2024/F2024</f>
        <v>44.38</v>
      </c>
      <c r="I2024" s="1360"/>
      <c r="K2024" s="1281"/>
      <c r="L2024" s="1281"/>
      <c r="N2024" s="1281"/>
    </row>
    <row r="2025" spans="1:14" x14ac:dyDescent="0.25">
      <c r="A2025" s="1428">
        <v>43134</v>
      </c>
      <c r="B2025" s="1428">
        <v>43134</v>
      </c>
      <c r="C2025" s="3397" t="s">
        <v>4795</v>
      </c>
      <c r="D2025" s="3398"/>
      <c r="E2025" s="1357">
        <v>115</v>
      </c>
      <c r="F2025" s="1358">
        <v>2</v>
      </c>
      <c r="G2025" s="1359">
        <f t="shared" si="285"/>
        <v>57.5</v>
      </c>
      <c r="I2025" s="1360"/>
      <c r="K2025" s="1281"/>
      <c r="L2025" s="1281"/>
      <c r="N2025" s="1281"/>
    </row>
    <row r="2026" spans="1:14" x14ac:dyDescent="0.25">
      <c r="A2026" s="1428">
        <v>43145</v>
      </c>
      <c r="B2026" s="1428">
        <v>43145</v>
      </c>
      <c r="C2026" s="3397" t="s">
        <v>4796</v>
      </c>
      <c r="D2026" s="3398"/>
      <c r="E2026" s="1357">
        <v>73.159999999999982</v>
      </c>
      <c r="F2026" s="1358">
        <v>2</v>
      </c>
      <c r="G2026" s="1359">
        <f t="shared" si="285"/>
        <v>36.579999999999991</v>
      </c>
      <c r="I2026" s="1360"/>
      <c r="J2026" s="1427"/>
      <c r="K2026" s="1281"/>
      <c r="L2026" s="1281"/>
      <c r="N2026" s="1281"/>
    </row>
    <row r="2027" spans="1:14" x14ac:dyDescent="0.25">
      <c r="A2027" s="1428">
        <v>43145</v>
      </c>
      <c r="B2027" s="1428">
        <v>43145</v>
      </c>
      <c r="C2027" s="3397" t="s">
        <v>4796</v>
      </c>
      <c r="D2027" s="3398"/>
      <c r="E2027" s="1357">
        <v>62.26</v>
      </c>
      <c r="F2027" s="1358">
        <v>2</v>
      </c>
      <c r="G2027" s="1359">
        <f t="shared" si="285"/>
        <v>31.13</v>
      </c>
      <c r="I2027" s="1360"/>
      <c r="J2027" s="1427"/>
      <c r="K2027" s="1281"/>
      <c r="L2027" s="1281"/>
      <c r="N2027" s="1281"/>
    </row>
    <row r="2028" spans="1:14" x14ac:dyDescent="0.25">
      <c r="A2028" s="1428">
        <v>43148</v>
      </c>
      <c r="B2028" s="1428">
        <v>43148</v>
      </c>
      <c r="C2028" s="3397" t="s">
        <v>4797</v>
      </c>
      <c r="D2028" s="3398"/>
      <c r="E2028" s="1357">
        <v>132.9</v>
      </c>
      <c r="F2028" s="1358">
        <v>2</v>
      </c>
      <c r="G2028" s="1359">
        <f t="shared" si="285"/>
        <v>66.45</v>
      </c>
      <c r="I2028" s="1360"/>
      <c r="J2028" s="1427"/>
      <c r="K2028" s="1281"/>
      <c r="L2028" s="1281"/>
      <c r="N2028" s="1281"/>
    </row>
    <row r="2029" spans="1:14" x14ac:dyDescent="0.25">
      <c r="A2029" s="1428">
        <v>43155</v>
      </c>
      <c r="B2029" s="1428">
        <v>43155</v>
      </c>
      <c r="C2029" s="3397" t="s">
        <v>4798</v>
      </c>
      <c r="D2029" s="3398"/>
      <c r="E2029" s="1357">
        <v>84.89</v>
      </c>
      <c r="F2029" s="1358">
        <v>1</v>
      </c>
      <c r="G2029" s="1359">
        <f t="shared" si="285"/>
        <v>84.89</v>
      </c>
      <c r="I2029" s="1360"/>
      <c r="J2029" s="1427"/>
      <c r="K2029" s="1281"/>
      <c r="L2029" s="1281"/>
      <c r="N2029" s="1281"/>
    </row>
    <row r="2030" spans="1:14" x14ac:dyDescent="0.25">
      <c r="A2030" s="1428">
        <v>43172</v>
      </c>
      <c r="B2030" s="1428">
        <v>43172</v>
      </c>
      <c r="C2030" s="3397" t="s">
        <v>4799</v>
      </c>
      <c r="D2030" s="3398"/>
      <c r="E2030" s="1357">
        <v>60</v>
      </c>
      <c r="F2030" s="1358">
        <v>2</v>
      </c>
      <c r="G2030" s="1359">
        <f t="shared" si="285"/>
        <v>30</v>
      </c>
      <c r="I2030" s="1360"/>
      <c r="J2030" s="1427"/>
      <c r="K2030" s="1281"/>
      <c r="L2030" s="1281"/>
      <c r="N2030" s="1281"/>
    </row>
    <row r="2031" spans="1:14" x14ac:dyDescent="0.25">
      <c r="A2031" s="1428">
        <v>43172</v>
      </c>
      <c r="B2031" s="1428">
        <v>43172</v>
      </c>
      <c r="C2031" s="3397" t="s">
        <v>4800</v>
      </c>
      <c r="D2031" s="3398"/>
      <c r="E2031" s="1357">
        <v>42.7</v>
      </c>
      <c r="F2031" s="1358">
        <v>2</v>
      </c>
      <c r="G2031" s="1359">
        <f t="shared" si="285"/>
        <v>21.35</v>
      </c>
      <c r="I2031" s="1360"/>
      <c r="J2031" s="1427"/>
      <c r="K2031" s="1281"/>
      <c r="L2031" s="1281"/>
      <c r="N2031" s="1281"/>
    </row>
    <row r="2032" spans="1:14" x14ac:dyDescent="0.25">
      <c r="A2032" s="1428">
        <v>43145</v>
      </c>
      <c r="B2032" s="1428">
        <v>43145</v>
      </c>
      <c r="C2032" s="3397" t="s">
        <v>4801</v>
      </c>
      <c r="D2032" s="3398"/>
      <c r="E2032" s="1357">
        <v>73.159999999999982</v>
      </c>
      <c r="F2032" s="1358">
        <v>1</v>
      </c>
      <c r="G2032" s="1359">
        <v>-73.159999999999982</v>
      </c>
      <c r="I2032" s="1360"/>
      <c r="J2032" s="1427"/>
      <c r="K2032" s="1281"/>
      <c r="L2032" s="1281"/>
      <c r="N2032" s="1281"/>
    </row>
    <row r="2033" spans="1:14" x14ac:dyDescent="0.25">
      <c r="A2033" s="1409"/>
      <c r="B2033" s="1409"/>
      <c r="C2033" s="3413"/>
      <c r="D2033" s="3414"/>
      <c r="E2033" s="1411"/>
      <c r="F2033" s="1412"/>
      <c r="G2033" s="1413"/>
    </row>
    <row r="2034" spans="1:14" ht="15.75" x14ac:dyDescent="0.25">
      <c r="A2034" s="3356" t="s">
        <v>4071</v>
      </c>
      <c r="B2034" s="3357"/>
      <c r="C2034" s="3357"/>
      <c r="D2034" s="3357"/>
      <c r="E2034" s="1396">
        <v>2500</v>
      </c>
      <c r="F2034" s="3366"/>
      <c r="G2034" s="3367"/>
    </row>
    <row r="2035" spans="1:14" ht="15.75" x14ac:dyDescent="0.25">
      <c r="A2035" s="3358" t="s">
        <v>4072</v>
      </c>
      <c r="B2035" s="3359"/>
      <c r="C2035" s="3359"/>
      <c r="D2035" s="3359"/>
      <c r="E2035" s="1397">
        <v>423.63</v>
      </c>
      <c r="F2035" s="3368"/>
      <c r="G2035" s="3369"/>
      <c r="H2035" s="1247" t="s">
        <v>280</v>
      </c>
    </row>
    <row r="2036" spans="1:14" ht="15.75" x14ac:dyDescent="0.25">
      <c r="A2036" s="3356" t="s">
        <v>4073</v>
      </c>
      <c r="B2036" s="3357"/>
      <c r="C2036" s="3357"/>
      <c r="D2036" s="3357"/>
      <c r="E2036" s="1396">
        <v>325.98</v>
      </c>
      <c r="F2036" s="3368"/>
      <c r="G2036" s="3369"/>
    </row>
    <row r="2037" spans="1:14" ht="15.75" x14ac:dyDescent="0.25">
      <c r="A2037" s="3358" t="s">
        <v>4074</v>
      </c>
      <c r="B2037" s="3359"/>
      <c r="C2037" s="3359"/>
      <c r="D2037" s="3359"/>
      <c r="E2037" s="3359"/>
      <c r="F2037" s="3360"/>
      <c r="G2037" s="1387">
        <f>SUM(G2024:G2032)</f>
        <v>299.12</v>
      </c>
    </row>
    <row r="2038" spans="1:14" ht="17.25" customHeight="1" thickBot="1" x14ac:dyDescent="0.3">
      <c r="A2038" s="3356" t="s">
        <v>4075</v>
      </c>
      <c r="B2038" s="3357"/>
      <c r="C2038" s="3357"/>
      <c r="D2038" s="3357"/>
      <c r="E2038" s="1388">
        <f>E2034-E2035</f>
        <v>2076.37</v>
      </c>
      <c r="G2038" s="1389"/>
    </row>
    <row r="2039" spans="1:14" ht="17.25" customHeight="1" thickBot="1" x14ac:dyDescent="0.3">
      <c r="I2039" s="2866" t="s">
        <v>135</v>
      </c>
    </row>
    <row r="2040" spans="1:14" ht="19.5" thickBot="1" x14ac:dyDescent="0.35">
      <c r="A2040" s="3361" t="s">
        <v>4802</v>
      </c>
      <c r="B2040" s="3336"/>
      <c r="C2040" s="3336"/>
      <c r="D2040" s="3336"/>
      <c r="E2040" s="3336"/>
      <c r="F2040" s="3336"/>
      <c r="G2040" s="3337"/>
    </row>
    <row r="2041" spans="1:14" ht="16.5" thickBot="1" x14ac:dyDescent="0.3">
      <c r="A2041" s="1361" t="s">
        <v>4206</v>
      </c>
      <c r="B2041" s="1361" t="s">
        <v>4206</v>
      </c>
      <c r="C2041" s="3370" t="s">
        <v>3</v>
      </c>
      <c r="D2041" s="3371"/>
      <c r="E2041" s="1363" t="s">
        <v>4190</v>
      </c>
      <c r="F2041" s="1363" t="s">
        <v>4191</v>
      </c>
      <c r="G2041" s="1364" t="s">
        <v>382</v>
      </c>
    </row>
    <row r="2042" spans="1:14" x14ac:dyDescent="0.25">
      <c r="A2042" s="1428">
        <v>43073</v>
      </c>
      <c r="B2042" s="1428">
        <v>43073</v>
      </c>
      <c r="C2042" s="3397" t="s">
        <v>4803</v>
      </c>
      <c r="D2042" s="3398"/>
      <c r="E2042" s="1357">
        <v>119.82</v>
      </c>
      <c r="F2042" s="1358">
        <v>3</v>
      </c>
      <c r="G2042" s="1359">
        <f t="shared" ref="G2042:G2048" si="286">E2042/F2042</f>
        <v>39.94</v>
      </c>
      <c r="I2042" s="1360"/>
      <c r="J2042" s="1427"/>
      <c r="K2042" s="1281"/>
      <c r="L2042" s="1281"/>
      <c r="N2042" s="1281"/>
    </row>
    <row r="2043" spans="1:14" x14ac:dyDescent="0.25">
      <c r="A2043" s="1428">
        <v>43075</v>
      </c>
      <c r="B2043" s="1428">
        <v>43075</v>
      </c>
      <c r="C2043" s="3397" t="s">
        <v>4804</v>
      </c>
      <c r="D2043" s="3398"/>
      <c r="E2043" s="1357">
        <v>177.52</v>
      </c>
      <c r="F2043" s="1358">
        <v>4</v>
      </c>
      <c r="G2043" s="1359">
        <f t="shared" si="286"/>
        <v>44.38</v>
      </c>
      <c r="I2043" s="1360"/>
      <c r="J2043" s="1427"/>
      <c r="K2043" s="1281"/>
      <c r="L2043" s="1281"/>
      <c r="N2043" s="1281"/>
    </row>
    <row r="2044" spans="1:14" x14ac:dyDescent="0.25">
      <c r="A2044" s="1428">
        <v>43130</v>
      </c>
      <c r="B2044" s="1428">
        <v>43130</v>
      </c>
      <c r="C2044" s="3397" t="s">
        <v>1821</v>
      </c>
      <c r="D2044" s="3398"/>
      <c r="E2044" s="1357">
        <v>50</v>
      </c>
      <c r="F2044" s="1358">
        <v>1</v>
      </c>
      <c r="G2044" s="1359">
        <f t="shared" si="286"/>
        <v>50</v>
      </c>
      <c r="I2044" s="1360"/>
      <c r="J2044" s="1427"/>
      <c r="K2044" s="1281"/>
      <c r="L2044" s="1281"/>
      <c r="N2044" s="1281"/>
    </row>
    <row r="2045" spans="1:14" x14ac:dyDescent="0.25">
      <c r="A2045" s="1428">
        <v>43134</v>
      </c>
      <c r="B2045" s="1428">
        <v>43134</v>
      </c>
      <c r="C2045" s="3397" t="s">
        <v>4805</v>
      </c>
      <c r="D2045" s="3398"/>
      <c r="E2045" s="1357">
        <v>115</v>
      </c>
      <c r="F2045" s="1358">
        <v>2</v>
      </c>
      <c r="G2045" s="1359">
        <f t="shared" si="286"/>
        <v>57.5</v>
      </c>
      <c r="I2045" s="1360"/>
      <c r="J2045" s="1427"/>
      <c r="K2045" s="1281"/>
      <c r="L2045" s="1281"/>
      <c r="N2045" s="1281"/>
    </row>
    <row r="2046" spans="1:14" x14ac:dyDescent="0.25">
      <c r="A2046" s="1428">
        <v>43145</v>
      </c>
      <c r="B2046" s="1428">
        <v>43145</v>
      </c>
      <c r="C2046" s="3397" t="s">
        <v>4806</v>
      </c>
      <c r="D2046" s="3398"/>
      <c r="E2046" s="1357">
        <v>73.159999999999982</v>
      </c>
      <c r="F2046" s="1358">
        <v>2</v>
      </c>
      <c r="G2046" s="1359">
        <f t="shared" si="286"/>
        <v>36.579999999999991</v>
      </c>
      <c r="I2046" s="1360"/>
      <c r="J2046" s="1427"/>
      <c r="K2046" s="1281"/>
      <c r="L2046" s="1281"/>
      <c r="N2046" s="1281"/>
    </row>
    <row r="2047" spans="1:14" x14ac:dyDescent="0.25">
      <c r="A2047" s="1428">
        <v>43145</v>
      </c>
      <c r="B2047" s="1428">
        <v>43145</v>
      </c>
      <c r="C2047" s="3397" t="s">
        <v>4806</v>
      </c>
      <c r="D2047" s="3398"/>
      <c r="E2047" s="1357">
        <v>62.26</v>
      </c>
      <c r="F2047" s="1358">
        <v>2</v>
      </c>
      <c r="G2047" s="1359">
        <f t="shared" si="286"/>
        <v>31.13</v>
      </c>
      <c r="I2047" s="1360"/>
      <c r="J2047" s="1427"/>
      <c r="K2047" s="1281"/>
      <c r="L2047" s="1281"/>
      <c r="N2047" s="1281"/>
    </row>
    <row r="2048" spans="1:14" x14ac:dyDescent="0.25">
      <c r="A2048" s="1428">
        <v>43149</v>
      </c>
      <c r="B2048" s="1428">
        <v>43149</v>
      </c>
      <c r="C2048" s="3397" t="s">
        <v>4807</v>
      </c>
      <c r="D2048" s="3398"/>
      <c r="E2048" s="1357">
        <v>132.9</v>
      </c>
      <c r="F2048" s="1358">
        <v>2</v>
      </c>
      <c r="G2048" s="1359">
        <f t="shared" si="286"/>
        <v>66.45</v>
      </c>
      <c r="I2048" s="1360"/>
      <c r="J2048" s="1427"/>
      <c r="K2048" s="1281"/>
      <c r="L2048" s="1281"/>
      <c r="N2048" s="1281"/>
    </row>
    <row r="2049" spans="1:14" x14ac:dyDescent="0.25">
      <c r="A2049" s="1409"/>
      <c r="B2049" s="1409"/>
      <c r="C2049" s="3413"/>
      <c r="D2049" s="3414"/>
      <c r="E2049" s="1411"/>
      <c r="F2049" s="1412"/>
      <c r="G2049" s="1413"/>
    </row>
    <row r="2050" spans="1:14" ht="15.75" x14ac:dyDescent="0.25">
      <c r="A2050" s="3356" t="s">
        <v>4071</v>
      </c>
      <c r="B2050" s="3357"/>
      <c r="C2050" s="3357"/>
      <c r="D2050" s="3357"/>
      <c r="E2050" s="1396">
        <v>2500</v>
      </c>
      <c r="F2050" s="3366"/>
      <c r="G2050" s="3367"/>
    </row>
    <row r="2051" spans="1:14" ht="15.75" x14ac:dyDescent="0.25">
      <c r="A2051" s="3358" t="s">
        <v>4072</v>
      </c>
      <c r="B2051" s="3359"/>
      <c r="C2051" s="3359"/>
      <c r="D2051" s="3359"/>
      <c r="E2051" s="1397">
        <v>612.02</v>
      </c>
      <c r="F2051" s="3368"/>
      <c r="G2051" s="3369"/>
      <c r="H2051" s="1247" t="s">
        <v>280</v>
      </c>
    </row>
    <row r="2052" spans="1:14" ht="15.75" x14ac:dyDescent="0.25">
      <c r="A2052" s="3356" t="s">
        <v>4073</v>
      </c>
      <c r="B2052" s="3357"/>
      <c r="C2052" s="3357"/>
      <c r="D2052" s="3357"/>
      <c r="E2052" s="1396">
        <v>712.69000000000017</v>
      </c>
      <c r="F2052" s="3368"/>
      <c r="G2052" s="3369"/>
    </row>
    <row r="2053" spans="1:14" ht="15.75" x14ac:dyDescent="0.25">
      <c r="A2053" s="3358" t="s">
        <v>4074</v>
      </c>
      <c r="B2053" s="3359"/>
      <c r="C2053" s="3359"/>
      <c r="D2053" s="3359"/>
      <c r="E2053" s="3359"/>
      <c r="F2053" s="3360"/>
      <c r="G2053" s="1387">
        <f>SUM(G2042:G2048)</f>
        <v>325.97999999999996</v>
      </c>
    </row>
    <row r="2054" spans="1:14" ht="17.25" customHeight="1" thickBot="1" x14ac:dyDescent="0.3">
      <c r="A2054" s="3356" t="s">
        <v>4075</v>
      </c>
      <c r="B2054" s="3357"/>
      <c r="C2054" s="3357"/>
      <c r="D2054" s="3357"/>
      <c r="E2054" s="1388">
        <f>E2050-E2051</f>
        <v>1887.98</v>
      </c>
      <c r="G2054" s="1389"/>
    </row>
    <row r="2055" spans="1:14" ht="17.25" customHeight="1" thickBot="1" x14ac:dyDescent="0.3">
      <c r="I2055" s="2866" t="s">
        <v>135</v>
      </c>
    </row>
    <row r="2056" spans="1:14" ht="19.5" thickBot="1" x14ac:dyDescent="0.35">
      <c r="A2056" s="3361" t="s">
        <v>4808</v>
      </c>
      <c r="B2056" s="3336"/>
      <c r="C2056" s="3336"/>
      <c r="D2056" s="3336"/>
      <c r="E2056" s="3336"/>
      <c r="F2056" s="3336"/>
      <c r="G2056" s="3337"/>
    </row>
    <row r="2057" spans="1:14" ht="16.5" thickBot="1" x14ac:dyDescent="0.3">
      <c r="A2057" s="1361" t="s">
        <v>4206</v>
      </c>
      <c r="B2057" s="1361" t="s">
        <v>4206</v>
      </c>
      <c r="C2057" s="3370" t="s">
        <v>3</v>
      </c>
      <c r="D2057" s="3371"/>
      <c r="E2057" s="1363" t="s">
        <v>4190</v>
      </c>
      <c r="F2057" s="1363" t="s">
        <v>4191</v>
      </c>
      <c r="G2057" s="1364" t="s">
        <v>382</v>
      </c>
    </row>
    <row r="2058" spans="1:14" x14ac:dyDescent="0.25">
      <c r="A2058" s="1428">
        <v>43034</v>
      </c>
      <c r="B2058" s="1428">
        <v>43034</v>
      </c>
      <c r="C2058" s="3397" t="s">
        <v>4809</v>
      </c>
      <c r="D2058" s="3398"/>
      <c r="E2058" s="1357">
        <v>1346.97</v>
      </c>
      <c r="F2058" s="1358">
        <v>3</v>
      </c>
      <c r="G2058" s="1359">
        <v>448.99</v>
      </c>
      <c r="H2058" s="1247" t="s">
        <v>4810</v>
      </c>
      <c r="I2058" s="1360"/>
      <c r="J2058" s="1427"/>
      <c r="K2058" s="1281"/>
      <c r="L2058" s="1281"/>
      <c r="N2058" s="1281"/>
    </row>
    <row r="2059" spans="1:14" x14ac:dyDescent="0.25">
      <c r="A2059" s="1428">
        <v>43048</v>
      </c>
      <c r="B2059" s="1428">
        <v>43048</v>
      </c>
      <c r="C2059" s="3397" t="s">
        <v>4811</v>
      </c>
      <c r="D2059" s="3398"/>
      <c r="E2059" s="1357">
        <v>136.74</v>
      </c>
      <c r="F2059" s="1358">
        <v>3</v>
      </c>
      <c r="G2059" s="1359">
        <f t="shared" ref="G2059:G2064" si="287">E2059/F2059</f>
        <v>45.580000000000005</v>
      </c>
      <c r="I2059" s="1360"/>
      <c r="J2059" s="1427"/>
      <c r="K2059" s="1281"/>
      <c r="L2059" s="1281"/>
      <c r="N2059" s="1281"/>
    </row>
    <row r="2060" spans="1:14" x14ac:dyDescent="0.25">
      <c r="A2060" s="1428">
        <v>43073</v>
      </c>
      <c r="B2060" s="1428">
        <v>43073</v>
      </c>
      <c r="C2060" s="3397" t="s">
        <v>4812</v>
      </c>
      <c r="D2060" s="3398"/>
      <c r="E2060" s="1357">
        <v>119.82</v>
      </c>
      <c r="F2060" s="1358">
        <v>3</v>
      </c>
      <c r="G2060" s="1359">
        <f t="shared" si="287"/>
        <v>39.94</v>
      </c>
      <c r="I2060" s="1360"/>
      <c r="J2060" s="1427"/>
      <c r="K2060" s="1281"/>
      <c r="L2060" s="1281"/>
      <c r="N2060" s="1281"/>
    </row>
    <row r="2061" spans="1:14" x14ac:dyDescent="0.25">
      <c r="A2061" s="1428">
        <v>43075</v>
      </c>
      <c r="B2061" s="1428">
        <v>43075</v>
      </c>
      <c r="C2061" s="3397" t="s">
        <v>4813</v>
      </c>
      <c r="D2061" s="3398"/>
      <c r="E2061" s="1357">
        <v>177.52</v>
      </c>
      <c r="F2061" s="1358">
        <v>4</v>
      </c>
      <c r="G2061" s="1359">
        <f t="shared" si="287"/>
        <v>44.38</v>
      </c>
      <c r="I2061" s="1360"/>
      <c r="J2061" s="1427"/>
      <c r="K2061" s="1281"/>
      <c r="L2061" s="1281"/>
      <c r="N2061" s="1281"/>
    </row>
    <row r="2062" spans="1:14" x14ac:dyDescent="0.25">
      <c r="A2062" s="1428">
        <v>43096</v>
      </c>
      <c r="B2062" s="1428">
        <v>43096</v>
      </c>
      <c r="C2062" s="3397" t="s">
        <v>4814</v>
      </c>
      <c r="D2062" s="3398"/>
      <c r="E2062" s="1357">
        <v>12</v>
      </c>
      <c r="F2062" s="1358">
        <v>1</v>
      </c>
      <c r="G2062" s="1359">
        <f t="shared" si="287"/>
        <v>12</v>
      </c>
      <c r="I2062" s="1360"/>
      <c r="J2062" s="1427"/>
      <c r="K2062" s="1281"/>
      <c r="L2062" s="1281"/>
      <c r="N2062" s="1281"/>
    </row>
    <row r="2063" spans="1:14" x14ac:dyDescent="0.25">
      <c r="A2063" s="1428">
        <v>43107</v>
      </c>
      <c r="B2063" s="1428">
        <v>43107</v>
      </c>
      <c r="C2063" s="3397" t="s">
        <v>4814</v>
      </c>
      <c r="D2063" s="3398"/>
      <c r="E2063" s="1357">
        <v>12</v>
      </c>
      <c r="F2063" s="1358">
        <v>1</v>
      </c>
      <c r="G2063" s="1359">
        <f t="shared" si="287"/>
        <v>12</v>
      </c>
      <c r="I2063" s="1360"/>
      <c r="J2063" s="1427"/>
      <c r="K2063" s="1281"/>
      <c r="L2063" s="1281"/>
      <c r="N2063" s="1281"/>
    </row>
    <row r="2064" spans="1:14" x14ac:dyDescent="0.25">
      <c r="A2064" s="1428">
        <v>43117</v>
      </c>
      <c r="B2064" s="1428">
        <v>43117</v>
      </c>
      <c r="C2064" s="3397" t="s">
        <v>1811</v>
      </c>
      <c r="D2064" s="3398"/>
      <c r="E2064" s="1357">
        <v>109.8</v>
      </c>
      <c r="F2064" s="1358">
        <v>1</v>
      </c>
      <c r="G2064" s="1359">
        <f t="shared" si="287"/>
        <v>109.8</v>
      </c>
      <c r="I2064" s="1360"/>
      <c r="J2064" s="1427"/>
      <c r="K2064" s="1281"/>
      <c r="L2064" s="1281"/>
      <c r="N2064" s="1281"/>
    </row>
    <row r="2065" spans="1:14" x14ac:dyDescent="0.25">
      <c r="A2065" s="1409"/>
      <c r="B2065" s="1409"/>
      <c r="C2065" s="3413"/>
      <c r="D2065" s="3414"/>
      <c r="E2065" s="1411"/>
      <c r="F2065" s="1412"/>
      <c r="G2065" s="1413"/>
    </row>
    <row r="2066" spans="1:14" ht="15.75" x14ac:dyDescent="0.25">
      <c r="A2066" s="3356" t="s">
        <v>4071</v>
      </c>
      <c r="B2066" s="3357"/>
      <c r="C2066" s="3357"/>
      <c r="D2066" s="3357"/>
      <c r="E2066" s="1396">
        <v>2500</v>
      </c>
      <c r="F2066" s="3366"/>
      <c r="G2066" s="3367"/>
    </row>
    <row r="2067" spans="1:14" ht="15.75" x14ac:dyDescent="0.25">
      <c r="A2067" s="3358" t="s">
        <v>4072</v>
      </c>
      <c r="B2067" s="3359"/>
      <c r="C2067" s="3359"/>
      <c r="D2067" s="3359"/>
      <c r="E2067" s="1397">
        <v>841.39</v>
      </c>
      <c r="F2067" s="3368"/>
      <c r="G2067" s="3369"/>
      <c r="H2067" s="1247" t="s">
        <v>280</v>
      </c>
    </row>
    <row r="2068" spans="1:14" ht="15.75" x14ac:dyDescent="0.25">
      <c r="A2068" s="3356" t="s">
        <v>4073</v>
      </c>
      <c r="B2068" s="3357"/>
      <c r="C2068" s="3357"/>
      <c r="D2068" s="3357"/>
      <c r="E2068" s="1396">
        <v>770.40999999999985</v>
      </c>
      <c r="F2068" s="3368"/>
      <c r="G2068" s="3369"/>
    </row>
    <row r="2069" spans="1:14" ht="15.75" x14ac:dyDescent="0.25">
      <c r="A2069" s="3358" t="s">
        <v>4074</v>
      </c>
      <c r="B2069" s="3359"/>
      <c r="C2069" s="3359"/>
      <c r="D2069" s="3359"/>
      <c r="E2069" s="3359"/>
      <c r="F2069" s="3360"/>
      <c r="G2069" s="1387">
        <f>SUM(G2058:G2064)</f>
        <v>712.68999999999994</v>
      </c>
    </row>
    <row r="2070" spans="1:14" ht="17.25" customHeight="1" thickBot="1" x14ac:dyDescent="0.3">
      <c r="A2070" s="3356" t="s">
        <v>4075</v>
      </c>
      <c r="B2070" s="3357"/>
      <c r="C2070" s="3357"/>
      <c r="D2070" s="3357"/>
      <c r="E2070" s="1388">
        <f>E2066-E2067</f>
        <v>1658.6100000000001</v>
      </c>
    </row>
    <row r="2071" spans="1:14" ht="17.25" customHeight="1" thickBot="1" x14ac:dyDescent="0.3">
      <c r="I2071" s="2866" t="s">
        <v>135</v>
      </c>
    </row>
    <row r="2072" spans="1:14" ht="19.5" thickBot="1" x14ac:dyDescent="0.35">
      <c r="A2072" s="3361" t="s">
        <v>4815</v>
      </c>
      <c r="B2072" s="3336"/>
      <c r="C2072" s="3336"/>
      <c r="D2072" s="3336"/>
      <c r="E2072" s="3336"/>
      <c r="F2072" s="3336"/>
      <c r="G2072" s="3337"/>
    </row>
    <row r="2073" spans="1:14" ht="16.5" thickBot="1" x14ac:dyDescent="0.3">
      <c r="A2073" s="1361" t="s">
        <v>4206</v>
      </c>
      <c r="B2073" s="1361" t="s">
        <v>4206</v>
      </c>
      <c r="C2073" s="3370" t="s">
        <v>3</v>
      </c>
      <c r="D2073" s="3371"/>
      <c r="E2073" s="1363" t="s">
        <v>4190</v>
      </c>
      <c r="F2073" s="1363" t="s">
        <v>4191</v>
      </c>
      <c r="G2073" s="1364" t="s">
        <v>382</v>
      </c>
    </row>
    <row r="2074" spans="1:14" x14ac:dyDescent="0.25">
      <c r="A2074" s="1456">
        <v>43009</v>
      </c>
      <c r="B2074" s="1456">
        <v>43009</v>
      </c>
      <c r="C2074" s="3415" t="s">
        <v>4816</v>
      </c>
      <c r="D2074" s="3416"/>
      <c r="E2074" s="1366">
        <v>247.02</v>
      </c>
      <c r="F2074" s="1367">
        <v>3</v>
      </c>
      <c r="G2074" s="1368">
        <f>E2074/F2074</f>
        <v>82.34</v>
      </c>
      <c r="H2074" s="1247" t="s">
        <v>4817</v>
      </c>
    </row>
    <row r="2075" spans="1:14" x14ac:dyDescent="0.25">
      <c r="A2075" s="1428">
        <v>43034</v>
      </c>
      <c r="B2075" s="1428">
        <v>43034</v>
      </c>
      <c r="C2075" s="3397" t="s">
        <v>4818</v>
      </c>
      <c r="D2075" s="3398"/>
      <c r="E2075" s="1357">
        <v>1346.97</v>
      </c>
      <c r="F2075" s="1358">
        <v>3</v>
      </c>
      <c r="G2075" s="1359">
        <v>448.99</v>
      </c>
      <c r="H2075" s="1247" t="s">
        <v>4810</v>
      </c>
      <c r="I2075" s="1360"/>
      <c r="J2075" s="1427"/>
      <c r="K2075" s="1281"/>
      <c r="L2075" s="1281"/>
      <c r="N2075" s="1281"/>
    </row>
    <row r="2076" spans="1:14" x14ac:dyDescent="0.25">
      <c r="A2076" s="1428">
        <v>43048</v>
      </c>
      <c r="B2076" s="1428">
        <v>43048</v>
      </c>
      <c r="C2076" s="3397" t="s">
        <v>4819</v>
      </c>
      <c r="D2076" s="3398"/>
      <c r="E2076" s="1357">
        <v>136.74</v>
      </c>
      <c r="F2076" s="1358">
        <v>3</v>
      </c>
      <c r="G2076" s="1359">
        <f>E2076/F2076</f>
        <v>45.580000000000005</v>
      </c>
      <c r="I2076" s="1360"/>
      <c r="J2076" s="1427"/>
      <c r="K2076" s="1281"/>
      <c r="L2076" s="1281"/>
      <c r="N2076" s="1281"/>
    </row>
    <row r="2077" spans="1:14" x14ac:dyDescent="0.25">
      <c r="A2077" s="1428">
        <v>43073</v>
      </c>
      <c r="B2077" s="1428">
        <v>43073</v>
      </c>
      <c r="C2077" s="3397" t="s">
        <v>4820</v>
      </c>
      <c r="D2077" s="3398"/>
      <c r="E2077" s="1357">
        <v>47.69</v>
      </c>
      <c r="F2077" s="1358">
        <v>1</v>
      </c>
      <c r="G2077" s="1359">
        <f>E2077/F2077</f>
        <v>47.69</v>
      </c>
      <c r="H2077" s="1247" t="s">
        <v>4821</v>
      </c>
      <c r="I2077" s="1360"/>
      <c r="J2077" s="1427"/>
      <c r="K2077" s="1281"/>
      <c r="L2077" s="1281"/>
      <c r="N2077" s="1281"/>
    </row>
    <row r="2078" spans="1:14" x14ac:dyDescent="0.25">
      <c r="A2078" s="1428">
        <v>43073</v>
      </c>
      <c r="B2078" s="1428">
        <v>43073</v>
      </c>
      <c r="C2078" s="3397" t="s">
        <v>4822</v>
      </c>
      <c r="D2078" s="3398"/>
      <c r="E2078" s="1357">
        <v>119.82</v>
      </c>
      <c r="F2078" s="1358">
        <v>3</v>
      </c>
      <c r="G2078" s="1359">
        <f>E2078/F2078</f>
        <v>39.94</v>
      </c>
      <c r="I2078" s="1360"/>
      <c r="J2078" s="1427"/>
      <c r="K2078" s="1281"/>
      <c r="L2078" s="1281"/>
      <c r="N2078" s="1281"/>
    </row>
    <row r="2079" spans="1:14" x14ac:dyDescent="0.25">
      <c r="A2079" s="1428">
        <v>43075</v>
      </c>
      <c r="B2079" s="1428">
        <v>43075</v>
      </c>
      <c r="C2079" s="3397" t="s">
        <v>4823</v>
      </c>
      <c r="D2079" s="3398"/>
      <c r="E2079" s="1357">
        <v>177.52</v>
      </c>
      <c r="F2079" s="1358">
        <v>4</v>
      </c>
      <c r="G2079" s="1359">
        <f>E2079/F2079</f>
        <v>44.38</v>
      </c>
      <c r="I2079" s="1360"/>
      <c r="J2079" s="1427"/>
      <c r="K2079" s="1281"/>
      <c r="L2079" s="1281"/>
      <c r="N2079" s="1281"/>
    </row>
    <row r="2080" spans="1:14" x14ac:dyDescent="0.25">
      <c r="A2080" s="1428">
        <v>43087</v>
      </c>
      <c r="B2080" s="1428">
        <v>43087</v>
      </c>
      <c r="C2080" s="3397" t="s">
        <v>1777</v>
      </c>
      <c r="D2080" s="3398"/>
      <c r="E2080" s="1357">
        <v>61.49</v>
      </c>
      <c r="F2080" s="1358">
        <v>1</v>
      </c>
      <c r="G2080" s="1359">
        <f>E2080/F2080</f>
        <v>61.49</v>
      </c>
      <c r="I2080" s="1360"/>
      <c r="J2080" s="1427"/>
      <c r="K2080" s="1281"/>
      <c r="L2080" s="1281"/>
      <c r="N2080" s="1281"/>
    </row>
    <row r="2081" spans="1:14" x14ac:dyDescent="0.25">
      <c r="A2081" s="1409"/>
      <c r="B2081" s="1409"/>
      <c r="C2081" s="3413"/>
      <c r="D2081" s="3414"/>
      <c r="E2081" s="1411"/>
      <c r="F2081" s="1412"/>
      <c r="G2081" s="1413"/>
    </row>
    <row r="2082" spans="1:14" ht="15.75" x14ac:dyDescent="0.25">
      <c r="A2082" s="3356" t="s">
        <v>4071</v>
      </c>
      <c r="B2082" s="3357"/>
      <c r="C2082" s="3357"/>
      <c r="D2082" s="3357"/>
      <c r="E2082" s="1396">
        <v>2500</v>
      </c>
      <c r="F2082" s="3366"/>
      <c r="G2082" s="3367"/>
    </row>
    <row r="2083" spans="1:14" ht="15.75" x14ac:dyDescent="0.25">
      <c r="A2083" s="3358" t="s">
        <v>4072</v>
      </c>
      <c r="B2083" s="3359"/>
      <c r="C2083" s="3359"/>
      <c r="D2083" s="3359"/>
      <c r="E2083" s="1397">
        <v>1478</v>
      </c>
      <c r="F2083" s="3368"/>
      <c r="G2083" s="3369"/>
      <c r="H2083" s="1247" t="s">
        <v>280</v>
      </c>
    </row>
    <row r="2084" spans="1:14" ht="15.75" x14ac:dyDescent="0.25">
      <c r="A2084" s="3356" t="s">
        <v>4073</v>
      </c>
      <c r="B2084" s="3357"/>
      <c r="C2084" s="3357"/>
      <c r="D2084" s="3357"/>
      <c r="E2084" s="1396">
        <v>423.52</v>
      </c>
      <c r="F2084" s="3368"/>
      <c r="G2084" s="3369"/>
    </row>
    <row r="2085" spans="1:14" ht="15.75" x14ac:dyDescent="0.25">
      <c r="A2085" s="3358" t="s">
        <v>4074</v>
      </c>
      <c r="B2085" s="3359"/>
      <c r="C2085" s="3359"/>
      <c r="D2085" s="3359"/>
      <c r="E2085" s="3359"/>
      <c r="F2085" s="3360"/>
      <c r="G2085" s="1387">
        <f>G2074+G2075+G2076+G2077+G2078+G2079+G2080</f>
        <v>770.4100000000002</v>
      </c>
    </row>
    <row r="2086" spans="1:14" ht="17.25" customHeight="1" thickBot="1" x14ac:dyDescent="0.3">
      <c r="A2086" s="3356" t="s">
        <v>4075</v>
      </c>
      <c r="B2086" s="3357"/>
      <c r="C2086" s="3357"/>
      <c r="D2086" s="3357"/>
      <c r="E2086" s="1388">
        <f>E2082-E2083</f>
        <v>1022</v>
      </c>
    </row>
    <row r="2087" spans="1:14" ht="17.25" customHeight="1" thickBot="1" x14ac:dyDescent="0.3">
      <c r="I2087" s="2866" t="s">
        <v>135</v>
      </c>
    </row>
    <row r="2088" spans="1:14" ht="19.5" thickBot="1" x14ac:dyDescent="0.35">
      <c r="A2088" s="3361" t="s">
        <v>4824</v>
      </c>
      <c r="B2088" s="3336"/>
      <c r="C2088" s="3336"/>
      <c r="D2088" s="3336"/>
      <c r="E2088" s="3336"/>
      <c r="F2088" s="3336"/>
      <c r="G2088" s="3337"/>
    </row>
    <row r="2089" spans="1:14" ht="16.5" thickBot="1" x14ac:dyDescent="0.3">
      <c r="A2089" s="1361" t="s">
        <v>4206</v>
      </c>
      <c r="B2089" s="1361" t="s">
        <v>4206</v>
      </c>
      <c r="C2089" s="3370" t="s">
        <v>3</v>
      </c>
      <c r="D2089" s="3371"/>
      <c r="E2089" s="1363" t="s">
        <v>4190</v>
      </c>
      <c r="F2089" s="1363" t="s">
        <v>4191</v>
      </c>
      <c r="G2089" s="1364" t="s">
        <v>382</v>
      </c>
    </row>
    <row r="2090" spans="1:14" x14ac:dyDescent="0.25">
      <c r="A2090" s="1456">
        <v>43009</v>
      </c>
      <c r="B2090" s="1456">
        <v>43009</v>
      </c>
      <c r="C2090" s="3415" t="s">
        <v>4825</v>
      </c>
      <c r="D2090" s="3416"/>
      <c r="E2090" s="1366">
        <v>247.02</v>
      </c>
      <c r="F2090" s="1367">
        <v>3</v>
      </c>
      <c r="G2090" s="1368">
        <f>E2090/F2090</f>
        <v>82.34</v>
      </c>
      <c r="H2090" s="1247" t="s">
        <v>4817</v>
      </c>
    </row>
    <row r="2091" spans="1:14" x14ac:dyDescent="0.25">
      <c r="A2091" s="1428">
        <v>43028</v>
      </c>
      <c r="B2091" s="1428">
        <v>43028</v>
      </c>
      <c r="C2091" s="3397" t="s">
        <v>4826</v>
      </c>
      <c r="D2091" s="3398"/>
      <c r="E2091" s="1357">
        <v>109.7</v>
      </c>
      <c r="F2091" s="1358">
        <v>2</v>
      </c>
      <c r="G2091" s="1359">
        <f>E2091/F2091</f>
        <v>54.85</v>
      </c>
    </row>
    <row r="2092" spans="1:14" x14ac:dyDescent="0.25">
      <c r="A2092" s="1428">
        <v>43034</v>
      </c>
      <c r="B2092" s="1428">
        <v>43034</v>
      </c>
      <c r="C2092" s="3397" t="s">
        <v>4827</v>
      </c>
      <c r="D2092" s="3398"/>
      <c r="E2092" s="1357">
        <v>1346.97</v>
      </c>
      <c r="F2092" s="1358">
        <v>3</v>
      </c>
      <c r="G2092" s="1359">
        <v>448.99</v>
      </c>
      <c r="H2092" s="1247" t="s">
        <v>4810</v>
      </c>
      <c r="I2092" s="1360"/>
      <c r="J2092" s="1427"/>
      <c r="K2092" s="1281"/>
      <c r="L2092" s="1281"/>
      <c r="N2092" s="1281"/>
    </row>
    <row r="2093" spans="1:14" x14ac:dyDescent="0.25">
      <c r="A2093" s="1428">
        <v>43036</v>
      </c>
      <c r="B2093" s="1428">
        <v>43036</v>
      </c>
      <c r="C2093" s="3397" t="s">
        <v>4814</v>
      </c>
      <c r="D2093" s="3398"/>
      <c r="E2093" s="1357">
        <v>12</v>
      </c>
      <c r="F2093" s="1358">
        <v>1</v>
      </c>
      <c r="G2093" s="1359">
        <f>E2093/F2093</f>
        <v>12</v>
      </c>
    </row>
    <row r="2094" spans="1:14" x14ac:dyDescent="0.25">
      <c r="A2094" s="1447">
        <v>43046</v>
      </c>
      <c r="B2094" s="1447">
        <v>43046</v>
      </c>
      <c r="C2094" s="3411" t="s">
        <v>4759</v>
      </c>
      <c r="D2094" s="3412"/>
      <c r="E2094" s="1448">
        <v>263.99</v>
      </c>
      <c r="F2094" s="1449">
        <v>1</v>
      </c>
      <c r="G2094" s="1451">
        <f>E2094/F2094</f>
        <v>263.99</v>
      </c>
    </row>
    <row r="2095" spans="1:14" x14ac:dyDescent="0.25">
      <c r="A2095" s="1428">
        <v>43048</v>
      </c>
      <c r="B2095" s="1428">
        <v>43048</v>
      </c>
      <c r="C2095" s="3397" t="s">
        <v>4814</v>
      </c>
      <c r="D2095" s="3398"/>
      <c r="E2095" s="1357">
        <v>12</v>
      </c>
      <c r="F2095" s="1358">
        <v>1</v>
      </c>
      <c r="G2095" s="1359">
        <f>E2095/F2095</f>
        <v>12</v>
      </c>
      <c r="I2095" s="1360"/>
      <c r="J2095" s="1427"/>
      <c r="K2095" s="1281"/>
      <c r="L2095" s="1281"/>
      <c r="N2095" s="1281"/>
    </row>
    <row r="2096" spans="1:14" x14ac:dyDescent="0.25">
      <c r="A2096" s="1428">
        <v>43048</v>
      </c>
      <c r="B2096" s="1428">
        <v>43048</v>
      </c>
      <c r="C2096" s="3397" t="s">
        <v>4828</v>
      </c>
      <c r="D2096" s="3398"/>
      <c r="E2096" s="1357">
        <v>136</v>
      </c>
      <c r="F2096" s="1358">
        <v>3</v>
      </c>
      <c r="G2096" s="1359">
        <f>E2096/F2096</f>
        <v>45.333333333333336</v>
      </c>
      <c r="I2096" s="1360"/>
      <c r="J2096" s="1427"/>
      <c r="K2096" s="1281"/>
      <c r="L2096" s="1281"/>
      <c r="N2096" s="1281"/>
    </row>
    <row r="2097" spans="1:14" x14ac:dyDescent="0.25">
      <c r="A2097" s="1428">
        <v>43063</v>
      </c>
      <c r="B2097" s="1428">
        <v>43063</v>
      </c>
      <c r="C2097" s="3397" t="s">
        <v>4829</v>
      </c>
      <c r="D2097" s="3398"/>
      <c r="E2097" s="1357">
        <v>32</v>
      </c>
      <c r="F2097" s="1358">
        <v>1</v>
      </c>
      <c r="G2097" s="1359">
        <f>E2097/F2097</f>
        <v>32</v>
      </c>
      <c r="I2097" s="1360"/>
      <c r="J2097" s="1427"/>
      <c r="K2097" s="1281"/>
      <c r="L2097" s="1281"/>
      <c r="N2097" s="1281"/>
    </row>
    <row r="2098" spans="1:14" x14ac:dyDescent="0.25">
      <c r="A2098" s="1409"/>
      <c r="B2098" s="1409"/>
      <c r="C2098" s="3413"/>
      <c r="D2098" s="3414"/>
      <c r="E2098" s="1411"/>
      <c r="F2098" s="1412"/>
      <c r="G2098" s="1413"/>
    </row>
    <row r="2099" spans="1:14" ht="15.75" x14ac:dyDescent="0.25">
      <c r="A2099" s="3356" t="s">
        <v>4071</v>
      </c>
      <c r="B2099" s="3357"/>
      <c r="C2099" s="3357"/>
      <c r="D2099" s="3357"/>
      <c r="E2099" s="1396">
        <v>1800</v>
      </c>
      <c r="F2099" s="3366"/>
      <c r="G2099" s="3367"/>
    </row>
    <row r="2100" spans="1:14" ht="15.75" x14ac:dyDescent="0.25">
      <c r="A2100" s="3358" t="s">
        <v>4072</v>
      </c>
      <c r="B2100" s="3359"/>
      <c r="C2100" s="3359"/>
      <c r="D2100" s="3359"/>
      <c r="E2100" s="1397">
        <v>1314.5100000000002</v>
      </c>
      <c r="F2100" s="3368"/>
      <c r="G2100" s="3369"/>
      <c r="H2100" s="1247" t="s">
        <v>280</v>
      </c>
    </row>
    <row r="2101" spans="1:14" ht="15.75" x14ac:dyDescent="0.25">
      <c r="A2101" s="3356" t="s">
        <v>4073</v>
      </c>
      <c r="B2101" s="3357"/>
      <c r="C2101" s="3357"/>
      <c r="D2101" s="3357"/>
      <c r="E2101" s="1396">
        <v>263.99</v>
      </c>
      <c r="F2101" s="3368"/>
      <c r="G2101" s="3369"/>
    </row>
    <row r="2102" spans="1:14" ht="15.75" x14ac:dyDescent="0.25">
      <c r="A2102" s="3358" t="s">
        <v>4074</v>
      </c>
      <c r="B2102" s="3359"/>
      <c r="C2102" s="3359"/>
      <c r="D2102" s="3359"/>
      <c r="E2102" s="3359"/>
      <c r="F2102" s="3360"/>
      <c r="G2102" s="1387">
        <f>G2090+G2091+G2092+G2093+G2095+G2096+G2097-G2094</f>
        <v>423.52333333333343</v>
      </c>
    </row>
    <row r="2103" spans="1:14" ht="17.25" customHeight="1" thickBot="1" x14ac:dyDescent="0.3">
      <c r="A2103" s="3356" t="s">
        <v>4075</v>
      </c>
      <c r="B2103" s="3357"/>
      <c r="C2103" s="3357"/>
      <c r="D2103" s="3357"/>
      <c r="E2103" s="1388">
        <f>E2099-E2100</f>
        <v>485.48999999999978</v>
      </c>
    </row>
    <row r="2104" spans="1:14" ht="17.25" customHeight="1" thickBot="1" x14ac:dyDescent="0.3">
      <c r="I2104" s="2866" t="s">
        <v>135</v>
      </c>
    </row>
    <row r="2105" spans="1:14" ht="19.5" thickBot="1" x14ac:dyDescent="0.35">
      <c r="A2105" s="3361" t="s">
        <v>4830</v>
      </c>
      <c r="B2105" s="3336"/>
      <c r="C2105" s="3336"/>
      <c r="D2105" s="3336"/>
      <c r="E2105" s="3336"/>
      <c r="F2105" s="3336"/>
      <c r="G2105" s="3337"/>
    </row>
    <row r="2106" spans="1:14" ht="16.5" thickBot="1" x14ac:dyDescent="0.3">
      <c r="A2106" s="1361" t="s">
        <v>4206</v>
      </c>
      <c r="B2106" s="1361" t="s">
        <v>4206</v>
      </c>
      <c r="C2106" s="3370" t="s">
        <v>3</v>
      </c>
      <c r="D2106" s="3371"/>
      <c r="E2106" s="1363" t="s">
        <v>4190</v>
      </c>
      <c r="F2106" s="1363" t="s">
        <v>4191</v>
      </c>
      <c r="G2106" s="1364" t="s">
        <v>382</v>
      </c>
    </row>
    <row r="2107" spans="1:14" x14ac:dyDescent="0.25">
      <c r="A2107" s="1428">
        <v>43000</v>
      </c>
      <c r="B2107" s="1428">
        <v>43000</v>
      </c>
      <c r="C2107" s="3397" t="s">
        <v>4831</v>
      </c>
      <c r="D2107" s="3398"/>
      <c r="E2107" s="1357">
        <v>70</v>
      </c>
      <c r="F2107" s="1358">
        <v>2</v>
      </c>
      <c r="G2107" s="1359">
        <f t="shared" ref="G2107:G2113" si="288">E2107/F2107</f>
        <v>35</v>
      </c>
    </row>
    <row r="2108" spans="1:14" x14ac:dyDescent="0.25">
      <c r="A2108" s="1428">
        <v>43009</v>
      </c>
      <c r="B2108" s="1428">
        <v>43009</v>
      </c>
      <c r="C2108" s="3397" t="s">
        <v>4832</v>
      </c>
      <c r="D2108" s="3398"/>
      <c r="E2108" s="1357">
        <v>247.02</v>
      </c>
      <c r="F2108" s="1358">
        <v>3</v>
      </c>
      <c r="G2108" s="1359">
        <f t="shared" si="288"/>
        <v>82.34</v>
      </c>
    </row>
    <row r="2109" spans="1:14" x14ac:dyDescent="0.25">
      <c r="A2109" s="1428">
        <v>43018</v>
      </c>
      <c r="B2109" s="1428">
        <v>43018</v>
      </c>
      <c r="C2109" s="3397" t="s">
        <v>4833</v>
      </c>
      <c r="D2109" s="3398"/>
      <c r="E2109" s="1357">
        <v>20</v>
      </c>
      <c r="F2109" s="1358">
        <v>1</v>
      </c>
      <c r="G2109" s="1359">
        <f t="shared" si="288"/>
        <v>20</v>
      </c>
    </row>
    <row r="2110" spans="1:14" x14ac:dyDescent="0.25">
      <c r="A2110" s="1428">
        <v>43018</v>
      </c>
      <c r="B2110" s="1428">
        <v>43018</v>
      </c>
      <c r="C2110" s="3397" t="s">
        <v>4834</v>
      </c>
      <c r="D2110" s="3398"/>
      <c r="E2110" s="1357">
        <v>59.8</v>
      </c>
      <c r="F2110" s="1358">
        <v>1</v>
      </c>
      <c r="G2110" s="1359">
        <f t="shared" si="288"/>
        <v>59.8</v>
      </c>
    </row>
    <row r="2111" spans="1:14" x14ac:dyDescent="0.25">
      <c r="A2111" s="1428">
        <v>43019</v>
      </c>
      <c r="B2111" s="1428">
        <v>43019</v>
      </c>
      <c r="C2111" s="3397" t="s">
        <v>4814</v>
      </c>
      <c r="D2111" s="3398"/>
      <c r="E2111" s="1357">
        <v>12</v>
      </c>
      <c r="F2111" s="1358">
        <v>1</v>
      </c>
      <c r="G2111" s="1359">
        <f t="shared" si="288"/>
        <v>12</v>
      </c>
    </row>
    <row r="2112" spans="1:14" x14ac:dyDescent="0.25">
      <c r="A2112" s="1428">
        <v>43028</v>
      </c>
      <c r="B2112" s="1428">
        <v>43028</v>
      </c>
      <c r="C2112" s="3397" t="s">
        <v>4835</v>
      </c>
      <c r="D2112" s="3398"/>
      <c r="E2112" s="1357">
        <v>109.7</v>
      </c>
      <c r="F2112" s="1358">
        <v>2</v>
      </c>
      <c r="G2112" s="1359">
        <f t="shared" si="288"/>
        <v>54.85</v>
      </c>
    </row>
    <row r="2113" spans="1:9" x14ac:dyDescent="0.25">
      <c r="A2113" s="1447">
        <v>43034</v>
      </c>
      <c r="B2113" s="1447">
        <v>43034</v>
      </c>
      <c r="C2113" s="3411" t="s">
        <v>4759</v>
      </c>
      <c r="D2113" s="3412"/>
      <c r="E2113" s="1448">
        <v>263.99</v>
      </c>
      <c r="F2113" s="1449">
        <v>1</v>
      </c>
      <c r="G2113" s="1451">
        <f t="shared" si="288"/>
        <v>263.99</v>
      </c>
    </row>
    <row r="2114" spans="1:9" ht="15.75" x14ac:dyDescent="0.25">
      <c r="A2114" s="3356" t="s">
        <v>4071</v>
      </c>
      <c r="B2114" s="3357"/>
      <c r="C2114" s="3357"/>
      <c r="D2114" s="3357"/>
      <c r="E2114" s="1396">
        <v>1800</v>
      </c>
      <c r="F2114" s="3366"/>
      <c r="G2114" s="3367"/>
    </row>
    <row r="2115" spans="1:9" ht="15.75" x14ac:dyDescent="0.25">
      <c r="A2115" s="3358" t="s">
        <v>4072</v>
      </c>
      <c r="B2115" s="3359"/>
      <c r="C2115" s="3359"/>
      <c r="D2115" s="3359"/>
      <c r="E2115" s="1397">
        <v>1494.79</v>
      </c>
      <c r="F2115" s="3368"/>
      <c r="G2115" s="3369"/>
      <c r="H2115" s="1247" t="s">
        <v>280</v>
      </c>
    </row>
    <row r="2116" spans="1:9" ht="15.75" x14ac:dyDescent="0.25">
      <c r="A2116" s="3356" t="s">
        <v>4073</v>
      </c>
      <c r="B2116" s="3357"/>
      <c r="C2116" s="3357"/>
      <c r="D2116" s="3357"/>
      <c r="E2116" s="1396">
        <v>386.84</v>
      </c>
      <c r="F2116" s="3368"/>
      <c r="G2116" s="3369"/>
    </row>
    <row r="2117" spans="1:9" ht="15.75" x14ac:dyDescent="0.25">
      <c r="A2117" s="3358" t="s">
        <v>4074</v>
      </c>
      <c r="B2117" s="3359"/>
      <c r="C2117" s="3359"/>
      <c r="D2117" s="3359"/>
      <c r="E2117" s="3359"/>
      <c r="F2117" s="3360"/>
      <c r="G2117" s="1387">
        <f>G2107+G2108+G2109+G2110+G2111+G2112-G2113</f>
        <v>0</v>
      </c>
    </row>
    <row r="2118" spans="1:9" ht="17.25" customHeight="1" thickBot="1" x14ac:dyDescent="0.3">
      <c r="A2118" s="3356" t="s">
        <v>4075</v>
      </c>
      <c r="B2118" s="3357"/>
      <c r="C2118" s="3357"/>
      <c r="D2118" s="3357"/>
      <c r="E2118" s="1388">
        <f>E2114-E2115</f>
        <v>305.21000000000004</v>
      </c>
    </row>
    <row r="2119" spans="1:9" ht="17.25" customHeight="1" thickBot="1" x14ac:dyDescent="0.3">
      <c r="I2119" s="2866" t="s">
        <v>135</v>
      </c>
    </row>
    <row r="2120" spans="1:9" ht="19.5" thickBot="1" x14ac:dyDescent="0.35">
      <c r="A2120" s="3361" t="s">
        <v>4836</v>
      </c>
      <c r="B2120" s="3336"/>
      <c r="C2120" s="3336"/>
      <c r="D2120" s="3336"/>
      <c r="E2120" s="3336"/>
      <c r="F2120" s="3336"/>
      <c r="G2120" s="3337"/>
    </row>
    <row r="2121" spans="1:9" ht="16.5" thickBot="1" x14ac:dyDescent="0.3">
      <c r="A2121" s="1361" t="s">
        <v>4206</v>
      </c>
      <c r="B2121" s="1361" t="s">
        <v>4206</v>
      </c>
      <c r="C2121" s="3370" t="s">
        <v>3</v>
      </c>
      <c r="D2121" s="3371"/>
      <c r="E2121" s="1363" t="s">
        <v>4190</v>
      </c>
      <c r="F2121" s="1363" t="s">
        <v>4191</v>
      </c>
      <c r="G2121" s="1364" t="s">
        <v>382</v>
      </c>
    </row>
    <row r="2122" spans="1:9" x14ac:dyDescent="0.25">
      <c r="A2122" s="1428">
        <v>42927</v>
      </c>
      <c r="B2122" s="1428">
        <v>42927</v>
      </c>
      <c r="C2122" s="3397" t="s">
        <v>4837</v>
      </c>
      <c r="D2122" s="3398"/>
      <c r="E2122" s="1357">
        <v>209</v>
      </c>
      <c r="F2122" s="1358">
        <v>3</v>
      </c>
      <c r="G2122" s="1359">
        <f t="shared" ref="G2122:G2130" si="289">E2122/F2122</f>
        <v>69.666666666666671</v>
      </c>
    </row>
    <row r="2123" spans="1:9" x14ac:dyDescent="0.25">
      <c r="A2123" s="1428">
        <v>42944</v>
      </c>
      <c r="B2123" s="1428">
        <v>42944</v>
      </c>
      <c r="C2123" s="3397" t="s">
        <v>4838</v>
      </c>
      <c r="D2123" s="3398"/>
      <c r="E2123" s="1357">
        <v>130</v>
      </c>
      <c r="F2123" s="1358">
        <v>2</v>
      </c>
      <c r="G2123" s="1359">
        <f t="shared" si="289"/>
        <v>65</v>
      </c>
    </row>
    <row r="2124" spans="1:9" x14ac:dyDescent="0.25">
      <c r="A2124" s="1428">
        <v>42956</v>
      </c>
      <c r="B2124" s="1428">
        <v>42956</v>
      </c>
      <c r="C2124" s="3397" t="s">
        <v>4839</v>
      </c>
      <c r="D2124" s="3398"/>
      <c r="E2124" s="1357">
        <v>60</v>
      </c>
      <c r="F2124" s="1358">
        <v>2</v>
      </c>
      <c r="G2124" s="1359">
        <f t="shared" si="289"/>
        <v>30</v>
      </c>
    </row>
    <row r="2125" spans="1:9" x14ac:dyDescent="0.25">
      <c r="A2125" s="1369">
        <v>42969</v>
      </c>
      <c r="B2125" s="1369">
        <v>42969</v>
      </c>
      <c r="C2125" s="3397" t="s">
        <v>4840</v>
      </c>
      <c r="D2125" s="3398"/>
      <c r="E2125" s="1357">
        <v>89.799999999999983</v>
      </c>
      <c r="F2125" s="1358">
        <v>2</v>
      </c>
      <c r="G2125" s="1359">
        <f t="shared" si="289"/>
        <v>44.899999999999991</v>
      </c>
    </row>
    <row r="2126" spans="1:9" x14ac:dyDescent="0.25">
      <c r="A2126" s="1428">
        <v>42987</v>
      </c>
      <c r="B2126" s="1428">
        <v>42987</v>
      </c>
      <c r="C2126" s="3397" t="s">
        <v>4841</v>
      </c>
      <c r="D2126" s="3398"/>
      <c r="E2126" s="1357">
        <v>42.29</v>
      </c>
      <c r="F2126" s="1358">
        <v>1</v>
      </c>
      <c r="G2126" s="1359">
        <f t="shared" si="289"/>
        <v>42.29</v>
      </c>
    </row>
    <row r="2127" spans="1:9" x14ac:dyDescent="0.25">
      <c r="A2127" s="1428">
        <v>42994</v>
      </c>
      <c r="B2127" s="1428">
        <v>42994</v>
      </c>
      <c r="C2127" s="3397" t="s">
        <v>4814</v>
      </c>
      <c r="D2127" s="3398"/>
      <c r="E2127" s="1357">
        <v>12</v>
      </c>
      <c r="F2127" s="1358">
        <v>1</v>
      </c>
      <c r="G2127" s="1359">
        <f t="shared" si="289"/>
        <v>12</v>
      </c>
    </row>
    <row r="2128" spans="1:9" x14ac:dyDescent="0.25">
      <c r="A2128" s="1428">
        <v>43000</v>
      </c>
      <c r="B2128" s="1428">
        <v>43000</v>
      </c>
      <c r="C2128" s="3397" t="s">
        <v>4842</v>
      </c>
      <c r="D2128" s="3398"/>
      <c r="E2128" s="1357">
        <v>70</v>
      </c>
      <c r="F2128" s="1358">
        <v>2</v>
      </c>
      <c r="G2128" s="1359">
        <f t="shared" si="289"/>
        <v>35</v>
      </c>
    </row>
    <row r="2129" spans="1:9" x14ac:dyDescent="0.25">
      <c r="A2129" s="1428">
        <v>43000</v>
      </c>
      <c r="B2129" s="1428">
        <v>43000</v>
      </c>
      <c r="C2129" s="3397" t="s">
        <v>1703</v>
      </c>
      <c r="D2129" s="3398"/>
      <c r="E2129" s="1357">
        <v>30</v>
      </c>
      <c r="F2129" s="1358">
        <v>1</v>
      </c>
      <c r="G2129" s="1359">
        <f t="shared" si="289"/>
        <v>30</v>
      </c>
    </row>
    <row r="2130" spans="1:9" x14ac:dyDescent="0.25">
      <c r="A2130" s="1428">
        <v>43008</v>
      </c>
      <c r="B2130" s="1428">
        <v>43008</v>
      </c>
      <c r="C2130" s="3397" t="s">
        <v>4843</v>
      </c>
      <c r="D2130" s="3398"/>
      <c r="E2130" s="1357">
        <v>57.98</v>
      </c>
      <c r="F2130" s="1358">
        <v>1</v>
      </c>
      <c r="G2130" s="1359">
        <f t="shared" si="289"/>
        <v>57.98</v>
      </c>
    </row>
    <row r="2131" spans="1:9" ht="15.75" x14ac:dyDescent="0.25">
      <c r="A2131" s="3356" t="s">
        <v>4071</v>
      </c>
      <c r="B2131" s="3357"/>
      <c r="C2131" s="3357"/>
      <c r="D2131" s="3357"/>
      <c r="E2131" s="1396">
        <v>1800</v>
      </c>
      <c r="F2131" s="3366"/>
      <c r="G2131" s="3367"/>
    </row>
    <row r="2132" spans="1:9" ht="15.75" x14ac:dyDescent="0.25">
      <c r="A2132" s="3358" t="s">
        <v>4072</v>
      </c>
      <c r="B2132" s="3359"/>
      <c r="C2132" s="3359"/>
      <c r="D2132" s="3359"/>
      <c r="E2132" s="1397">
        <v>421.84</v>
      </c>
      <c r="F2132" s="3368"/>
      <c r="G2132" s="3369"/>
      <c r="H2132" s="1247" t="s">
        <v>280</v>
      </c>
    </row>
    <row r="2133" spans="1:9" ht="15.75" x14ac:dyDescent="0.25">
      <c r="A2133" s="3356" t="s">
        <v>4073</v>
      </c>
      <c r="B2133" s="3357"/>
      <c r="C2133" s="3357"/>
      <c r="D2133" s="3357"/>
      <c r="E2133" s="1396">
        <v>308.89</v>
      </c>
      <c r="F2133" s="3368"/>
      <c r="G2133" s="3369"/>
    </row>
    <row r="2134" spans="1:9" ht="15.75" x14ac:dyDescent="0.25">
      <c r="A2134" s="3358" t="s">
        <v>4074</v>
      </c>
      <c r="B2134" s="3359"/>
      <c r="C2134" s="3359"/>
      <c r="D2134" s="3359"/>
      <c r="E2134" s="3359"/>
      <c r="F2134" s="3360"/>
      <c r="G2134" s="1457">
        <f>G2122+G2123+G2124+G2125+G2126+G2127+G2128+G2129+G2130</f>
        <v>386.8366666666667</v>
      </c>
    </row>
    <row r="2135" spans="1:9" ht="17.25" customHeight="1" thickBot="1" x14ac:dyDescent="0.3">
      <c r="A2135" s="3356" t="s">
        <v>4075</v>
      </c>
      <c r="B2135" s="3357"/>
      <c r="C2135" s="3357"/>
      <c r="D2135" s="3357"/>
      <c r="E2135" s="1388">
        <f>E2131-E2132</f>
        <v>1378.16</v>
      </c>
    </row>
    <row r="2136" spans="1:9" ht="17.25" customHeight="1" thickBot="1" x14ac:dyDescent="0.3">
      <c r="I2136" s="2866" t="s">
        <v>135</v>
      </c>
    </row>
    <row r="2137" spans="1:9" ht="19.5" thickBot="1" x14ac:dyDescent="0.35">
      <c r="A2137" s="3361" t="s">
        <v>4844</v>
      </c>
      <c r="B2137" s="3336"/>
      <c r="C2137" s="3336"/>
      <c r="D2137" s="3336"/>
      <c r="E2137" s="3336"/>
      <c r="F2137" s="3336"/>
      <c r="G2137" s="3337"/>
    </row>
    <row r="2138" spans="1:9" ht="16.5" thickBot="1" x14ac:dyDescent="0.3">
      <c r="A2138" s="1361" t="s">
        <v>4206</v>
      </c>
      <c r="B2138" s="1361" t="s">
        <v>4206</v>
      </c>
      <c r="C2138" s="3370" t="s">
        <v>3</v>
      </c>
      <c r="D2138" s="3371"/>
      <c r="E2138" s="1363" t="s">
        <v>4190</v>
      </c>
      <c r="F2138" s="1363" t="s">
        <v>4191</v>
      </c>
      <c r="G2138" s="1364" t="s">
        <v>382</v>
      </c>
    </row>
    <row r="2139" spans="1:9" x14ac:dyDescent="0.25">
      <c r="A2139" s="1428">
        <v>42905</v>
      </c>
      <c r="B2139" s="1428">
        <v>42905</v>
      </c>
      <c r="C2139" s="3397" t="s">
        <v>4845</v>
      </c>
      <c r="D2139" s="3398"/>
      <c r="E2139" s="1357">
        <v>105.98</v>
      </c>
      <c r="F2139" s="1358">
        <v>3</v>
      </c>
      <c r="G2139" s="1359">
        <f t="shared" ref="G2139:G2146" si="290">E2139/F2139</f>
        <v>35.326666666666668</v>
      </c>
    </row>
    <row r="2140" spans="1:9" x14ac:dyDescent="0.25">
      <c r="A2140" s="1428">
        <v>42927</v>
      </c>
      <c r="B2140" s="1428">
        <v>42927</v>
      </c>
      <c r="C2140" s="3397" t="s">
        <v>4846</v>
      </c>
      <c r="D2140" s="3398"/>
      <c r="E2140" s="1357">
        <v>61</v>
      </c>
      <c r="F2140" s="1358">
        <v>2</v>
      </c>
      <c r="G2140" s="1359">
        <f t="shared" si="290"/>
        <v>30.5</v>
      </c>
    </row>
    <row r="2141" spans="1:9" x14ac:dyDescent="0.25">
      <c r="A2141" s="1428">
        <v>42927</v>
      </c>
      <c r="B2141" s="1428">
        <v>42927</v>
      </c>
      <c r="C2141" s="3397" t="s">
        <v>4847</v>
      </c>
      <c r="D2141" s="3398"/>
      <c r="E2141" s="1357">
        <v>209</v>
      </c>
      <c r="F2141" s="1358">
        <v>3</v>
      </c>
      <c r="G2141" s="1359">
        <f t="shared" si="290"/>
        <v>69.666666666666671</v>
      </c>
    </row>
    <row r="2142" spans="1:9" x14ac:dyDescent="0.25">
      <c r="A2142" s="1428">
        <v>42944</v>
      </c>
      <c r="B2142" s="1428">
        <v>42944</v>
      </c>
      <c r="C2142" s="3397" t="s">
        <v>4848</v>
      </c>
      <c r="D2142" s="3398"/>
      <c r="E2142" s="1357">
        <v>130</v>
      </c>
      <c r="F2142" s="1358">
        <v>2</v>
      </c>
      <c r="G2142" s="1359">
        <f t="shared" si="290"/>
        <v>65</v>
      </c>
    </row>
    <row r="2143" spans="1:9" x14ac:dyDescent="0.25">
      <c r="A2143" s="1428">
        <v>42946</v>
      </c>
      <c r="B2143" s="1428">
        <v>42946</v>
      </c>
      <c r="C2143" s="3397" t="s">
        <v>2551</v>
      </c>
      <c r="D2143" s="3398"/>
      <c r="E2143" s="1357">
        <v>23.5</v>
      </c>
      <c r="F2143" s="1358">
        <v>1</v>
      </c>
      <c r="G2143" s="1359">
        <f t="shared" si="290"/>
        <v>23.5</v>
      </c>
    </row>
    <row r="2144" spans="1:9" x14ac:dyDescent="0.25">
      <c r="A2144" s="1428">
        <v>42955</v>
      </c>
      <c r="B2144" s="1428">
        <v>42955</v>
      </c>
      <c r="C2144" s="3397" t="s">
        <v>4849</v>
      </c>
      <c r="D2144" s="3398"/>
      <c r="E2144" s="1357">
        <v>60</v>
      </c>
      <c r="F2144" s="1358">
        <v>2</v>
      </c>
      <c r="G2144" s="1359">
        <f t="shared" si="290"/>
        <v>30</v>
      </c>
    </row>
    <row r="2145" spans="1:9" x14ac:dyDescent="0.25">
      <c r="A2145" s="1428">
        <v>42959</v>
      </c>
      <c r="B2145" s="1428">
        <v>42959</v>
      </c>
      <c r="C2145" s="3397" t="s">
        <v>4814</v>
      </c>
      <c r="D2145" s="3398"/>
      <c r="E2145" s="1357">
        <v>10</v>
      </c>
      <c r="F2145" s="1358">
        <v>1</v>
      </c>
      <c r="G2145" s="1359">
        <f t="shared" si="290"/>
        <v>10</v>
      </c>
    </row>
    <row r="2146" spans="1:9" x14ac:dyDescent="0.25">
      <c r="A2146" s="1369">
        <v>42969</v>
      </c>
      <c r="B2146" s="1369">
        <v>42969</v>
      </c>
      <c r="C2146" s="3397" t="s">
        <v>4850</v>
      </c>
      <c r="D2146" s="3398"/>
      <c r="E2146" s="1357">
        <v>89.799999999999983</v>
      </c>
      <c r="F2146" s="1358">
        <v>2</v>
      </c>
      <c r="G2146" s="1359">
        <f t="shared" si="290"/>
        <v>44.899999999999991</v>
      </c>
    </row>
    <row r="2147" spans="1:9" ht="15.75" x14ac:dyDescent="0.25">
      <c r="A2147" s="3356" t="s">
        <v>4071</v>
      </c>
      <c r="B2147" s="3357"/>
      <c r="C2147" s="3357"/>
      <c r="D2147" s="3357"/>
      <c r="E2147" s="1396">
        <v>1800</v>
      </c>
      <c r="F2147" s="3366"/>
      <c r="G2147" s="3367"/>
    </row>
    <row r="2148" spans="1:9" ht="15.75" x14ac:dyDescent="0.25">
      <c r="A2148" s="3358" t="s">
        <v>4072</v>
      </c>
      <c r="B2148" s="3359"/>
      <c r="C2148" s="3359"/>
      <c r="D2148" s="3359"/>
      <c r="E2148" s="1397">
        <v>508.67</v>
      </c>
      <c r="F2148" s="3368"/>
      <c r="G2148" s="3369"/>
      <c r="H2148" s="1247" t="s">
        <v>280</v>
      </c>
    </row>
    <row r="2149" spans="1:9" ht="15.75" x14ac:dyDescent="0.25">
      <c r="A2149" s="3356" t="s">
        <v>4073</v>
      </c>
      <c r="B2149" s="3357"/>
      <c r="C2149" s="3357"/>
      <c r="D2149" s="3357"/>
      <c r="E2149" s="1396">
        <v>391.91</v>
      </c>
      <c r="F2149" s="3368"/>
      <c r="G2149" s="3369"/>
    </row>
    <row r="2150" spans="1:9" ht="15.75" x14ac:dyDescent="0.25">
      <c r="A2150" s="3358" t="s">
        <v>4074</v>
      </c>
      <c r="B2150" s="3359"/>
      <c r="C2150" s="3359"/>
      <c r="D2150" s="3359"/>
      <c r="E2150" s="3359"/>
      <c r="F2150" s="3360"/>
      <c r="G2150" s="1457">
        <f>G2139+G2140+G2141+G2142+G2143+G2144+G2145+G2146</f>
        <v>308.89333333333332</v>
      </c>
    </row>
    <row r="2151" spans="1:9" ht="17.25" customHeight="1" thickBot="1" x14ac:dyDescent="0.3">
      <c r="A2151" s="3356" t="s">
        <v>4075</v>
      </c>
      <c r="B2151" s="3357"/>
      <c r="C2151" s="3357"/>
      <c r="D2151" s="3357"/>
      <c r="E2151" s="1388">
        <f>E2147-E2148</f>
        <v>1291.33</v>
      </c>
    </row>
    <row r="2152" spans="1:9" ht="17.25" customHeight="1" thickBot="1" x14ac:dyDescent="0.3">
      <c r="I2152" s="2866" t="s">
        <v>135</v>
      </c>
    </row>
    <row r="2153" spans="1:9" ht="19.5" thickBot="1" x14ac:dyDescent="0.35">
      <c r="A2153" s="3361" t="s">
        <v>4851</v>
      </c>
      <c r="B2153" s="3336"/>
      <c r="C2153" s="3336"/>
      <c r="D2153" s="3336"/>
      <c r="E2153" s="3336"/>
      <c r="F2153" s="3336"/>
      <c r="G2153" s="3337"/>
    </row>
    <row r="2154" spans="1:9" ht="16.5" thickBot="1" x14ac:dyDescent="0.3">
      <c r="A2154" s="1361" t="s">
        <v>4206</v>
      </c>
      <c r="B2154" s="1361" t="s">
        <v>4206</v>
      </c>
      <c r="C2154" s="3370" t="s">
        <v>3</v>
      </c>
      <c r="D2154" s="3371"/>
      <c r="E2154" s="1363" t="s">
        <v>4190</v>
      </c>
      <c r="F2154" s="1363" t="s">
        <v>4191</v>
      </c>
      <c r="G2154" s="1364" t="s">
        <v>382</v>
      </c>
    </row>
    <row r="2155" spans="1:9" x14ac:dyDescent="0.25">
      <c r="A2155" s="1428">
        <v>42882</v>
      </c>
      <c r="B2155" s="1428">
        <v>42882</v>
      </c>
      <c r="C2155" s="3397" t="s">
        <v>4852</v>
      </c>
      <c r="D2155" s="3398"/>
      <c r="E2155" s="1357">
        <v>100</v>
      </c>
      <c r="F2155" s="1358">
        <v>2</v>
      </c>
      <c r="G2155" s="1359">
        <f>E2155/F2155</f>
        <v>50</v>
      </c>
    </row>
    <row r="2156" spans="1:9" x14ac:dyDescent="0.25">
      <c r="A2156" s="1428">
        <v>42899</v>
      </c>
      <c r="B2156" s="1428">
        <v>42899</v>
      </c>
      <c r="C2156" s="3397" t="s">
        <v>4853</v>
      </c>
      <c r="D2156" s="3398"/>
      <c r="E2156" s="1357">
        <v>100</v>
      </c>
      <c r="F2156" s="1358">
        <v>2</v>
      </c>
      <c r="G2156" s="1359">
        <f>E2156/F2156</f>
        <v>50</v>
      </c>
    </row>
    <row r="2157" spans="1:9" x14ac:dyDescent="0.25">
      <c r="A2157" s="1428">
        <v>42905</v>
      </c>
      <c r="B2157" s="1428">
        <v>42905</v>
      </c>
      <c r="C2157" s="3397" t="s">
        <v>4854</v>
      </c>
      <c r="D2157" s="3398"/>
      <c r="E2157" s="1357">
        <v>105.98</v>
      </c>
      <c r="F2157" s="1358">
        <v>3</v>
      </c>
      <c r="G2157" s="1359">
        <f>E2157/F2157</f>
        <v>35.326666666666668</v>
      </c>
    </row>
    <row r="2158" spans="1:9" ht="15.75" customHeight="1" x14ac:dyDescent="0.25">
      <c r="A2158" s="1428">
        <v>42919</v>
      </c>
      <c r="B2158" s="1428">
        <v>42919</v>
      </c>
      <c r="C2158" s="3397" t="s">
        <v>4855</v>
      </c>
      <c r="D2158" s="3398"/>
      <c r="E2158" s="1357">
        <v>69.90000000000002</v>
      </c>
      <c r="F2158" s="1358">
        <v>1</v>
      </c>
      <c r="G2158" s="1359">
        <v>69.90000000000002</v>
      </c>
    </row>
    <row r="2159" spans="1:9" x14ac:dyDescent="0.25">
      <c r="A2159" s="1447">
        <v>42922</v>
      </c>
      <c r="B2159" s="1447">
        <v>42922</v>
      </c>
      <c r="C2159" s="3409" t="s">
        <v>4856</v>
      </c>
      <c r="D2159" s="3410"/>
      <c r="E2159" s="1458">
        <v>57.71</v>
      </c>
      <c r="F2159" s="1459">
        <v>1</v>
      </c>
      <c r="G2159" s="1460">
        <v>26.26</v>
      </c>
    </row>
    <row r="2160" spans="1:9" x14ac:dyDescent="0.25">
      <c r="A2160" s="1428">
        <v>42927</v>
      </c>
      <c r="B2160" s="1428">
        <v>42927</v>
      </c>
      <c r="C2160" s="3397" t="s">
        <v>4857</v>
      </c>
      <c r="D2160" s="3398"/>
      <c r="E2160" s="1357">
        <v>61.9</v>
      </c>
      <c r="F2160" s="1358">
        <v>2</v>
      </c>
      <c r="G2160" s="1359">
        <f>E2160/F2160</f>
        <v>30.95</v>
      </c>
    </row>
    <row r="2161" spans="1:9" x14ac:dyDescent="0.25">
      <c r="A2161" s="1428">
        <v>42927</v>
      </c>
      <c r="B2161" s="1428">
        <v>42927</v>
      </c>
      <c r="C2161" s="3397" t="s">
        <v>4858</v>
      </c>
      <c r="D2161" s="3398"/>
      <c r="E2161" s="1357">
        <v>209</v>
      </c>
      <c r="F2161" s="1358">
        <v>3</v>
      </c>
      <c r="G2161" s="1359">
        <f>E2161/F2161</f>
        <v>69.666666666666671</v>
      </c>
    </row>
    <row r="2162" spans="1:9" x14ac:dyDescent="0.25">
      <c r="A2162" s="1428">
        <v>42928</v>
      </c>
      <c r="B2162" s="1428">
        <v>42928</v>
      </c>
      <c r="C2162" s="3397" t="s">
        <v>4859</v>
      </c>
      <c r="D2162" s="3398"/>
      <c r="E2162" s="1357">
        <v>33.33</v>
      </c>
      <c r="F2162" s="1358">
        <v>1</v>
      </c>
      <c r="G2162" s="1359">
        <f>E2162/F2162</f>
        <v>33.33</v>
      </c>
    </row>
    <row r="2163" spans="1:9" x14ac:dyDescent="0.25">
      <c r="A2163" s="1428">
        <v>42930</v>
      </c>
      <c r="B2163" s="1428">
        <v>42930</v>
      </c>
      <c r="C2163" s="3397" t="s">
        <v>4860</v>
      </c>
      <c r="D2163" s="3398"/>
      <c r="E2163" s="1357">
        <v>40</v>
      </c>
      <c r="F2163" s="1358">
        <v>1</v>
      </c>
      <c r="G2163" s="1359">
        <f>E2163/F2163</f>
        <v>40</v>
      </c>
    </row>
    <row r="2164" spans="1:9" x14ac:dyDescent="0.25">
      <c r="A2164" s="1428">
        <v>42933</v>
      </c>
      <c r="B2164" s="1428">
        <v>42933</v>
      </c>
      <c r="C2164" s="3397" t="s">
        <v>4861</v>
      </c>
      <c r="D2164" s="3398"/>
      <c r="E2164" s="1357">
        <v>39</v>
      </c>
      <c r="F2164" s="1358">
        <v>1</v>
      </c>
      <c r="G2164" s="1359">
        <f>E2164/F2164</f>
        <v>39</v>
      </c>
    </row>
    <row r="2165" spans="1:9" x14ac:dyDescent="0.25">
      <c r="A2165" s="1369"/>
      <c r="B2165" s="1369"/>
      <c r="C2165" s="3397"/>
      <c r="D2165" s="3398"/>
      <c r="E2165" s="1357"/>
      <c r="F2165" s="1358"/>
      <c r="G2165" s="1359"/>
    </row>
    <row r="2166" spans="1:9" ht="15.75" x14ac:dyDescent="0.25">
      <c r="A2166" s="3356" t="s">
        <v>4071</v>
      </c>
      <c r="B2166" s="3357"/>
      <c r="C2166" s="3357"/>
      <c r="D2166" s="3357"/>
      <c r="E2166" s="1396">
        <v>1800</v>
      </c>
      <c r="F2166" s="3366"/>
      <c r="G2166" s="3367"/>
    </row>
    <row r="2167" spans="1:9" ht="15.75" x14ac:dyDescent="0.25">
      <c r="A2167" s="3358" t="s">
        <v>4072</v>
      </c>
      <c r="B2167" s="3359"/>
      <c r="C2167" s="3359"/>
      <c r="D2167" s="3359"/>
      <c r="E2167" s="1397">
        <v>597.54</v>
      </c>
      <c r="F2167" s="3368"/>
      <c r="G2167" s="3369"/>
      <c r="H2167" s="1247" t="s">
        <v>280</v>
      </c>
    </row>
    <row r="2168" spans="1:9" ht="15.75" x14ac:dyDescent="0.25">
      <c r="A2168" s="3356" t="s">
        <v>4073</v>
      </c>
      <c r="B2168" s="3357"/>
      <c r="C2168" s="3357"/>
      <c r="D2168" s="3357"/>
      <c r="E2168" s="1396">
        <v>200</v>
      </c>
      <c r="F2168" s="3368"/>
      <c r="G2168" s="3369"/>
    </row>
    <row r="2169" spans="1:9" ht="15.75" x14ac:dyDescent="0.25">
      <c r="A2169" s="3358" t="s">
        <v>4074</v>
      </c>
      <c r="B2169" s="3359"/>
      <c r="C2169" s="3359"/>
      <c r="D2169" s="3359"/>
      <c r="E2169" s="3359"/>
      <c r="F2169" s="3360"/>
      <c r="G2169" s="1457">
        <f>G2155+G2156+G2157+G2158+G2160+G2161+G2162+G2163+G2164-G2159</f>
        <v>391.91333333333336</v>
      </c>
    </row>
    <row r="2170" spans="1:9" ht="17.25" customHeight="1" thickBot="1" x14ac:dyDescent="0.3">
      <c r="A2170" s="3356" t="s">
        <v>4075</v>
      </c>
      <c r="B2170" s="3357"/>
      <c r="C2170" s="3357"/>
      <c r="D2170" s="3357"/>
      <c r="E2170" s="1388">
        <f>E2166-E2167</f>
        <v>1202.46</v>
      </c>
    </row>
    <row r="2171" spans="1:9" ht="17.25" customHeight="1" thickBot="1" x14ac:dyDescent="0.3">
      <c r="I2171" s="2866" t="s">
        <v>135</v>
      </c>
    </row>
    <row r="2172" spans="1:9" ht="19.5" thickBot="1" x14ac:dyDescent="0.35">
      <c r="A2172" s="3361" t="s">
        <v>4862</v>
      </c>
      <c r="B2172" s="3336"/>
      <c r="C2172" s="3336"/>
      <c r="D2172" s="3336"/>
      <c r="E2172" s="3336"/>
      <c r="F2172" s="3336"/>
      <c r="G2172" s="3337"/>
    </row>
    <row r="2173" spans="1:9" ht="16.5" thickBot="1" x14ac:dyDescent="0.3">
      <c r="A2173" s="1361" t="s">
        <v>4206</v>
      </c>
      <c r="B2173" s="1361" t="s">
        <v>4206</v>
      </c>
      <c r="C2173" s="3370" t="s">
        <v>3</v>
      </c>
      <c r="D2173" s="3371"/>
      <c r="E2173" s="1363" t="s">
        <v>4190</v>
      </c>
      <c r="F2173" s="1363" t="s">
        <v>4191</v>
      </c>
      <c r="G2173" s="1364" t="s">
        <v>382</v>
      </c>
    </row>
    <row r="2174" spans="1:9" x14ac:dyDescent="0.25">
      <c r="A2174" s="1428">
        <v>42878</v>
      </c>
      <c r="B2174" s="1428">
        <v>42878</v>
      </c>
      <c r="C2174" s="3397" t="s">
        <v>4863</v>
      </c>
      <c r="D2174" s="3398"/>
      <c r="E2174" s="1357">
        <v>76</v>
      </c>
      <c r="F2174" s="1358">
        <v>2</v>
      </c>
      <c r="G2174" s="1359">
        <f>E2174/F2174</f>
        <v>38</v>
      </c>
    </row>
    <row r="2175" spans="1:9" x14ac:dyDescent="0.25">
      <c r="A2175" s="1428">
        <v>42882</v>
      </c>
      <c r="B2175" s="1428">
        <v>42882</v>
      </c>
      <c r="C2175" s="3397" t="s">
        <v>4864</v>
      </c>
      <c r="D2175" s="3398"/>
      <c r="E2175" s="1357">
        <v>100</v>
      </c>
      <c r="F2175" s="1358">
        <v>2</v>
      </c>
      <c r="G2175" s="1359">
        <f>E2175/F2175</f>
        <v>50</v>
      </c>
    </row>
    <row r="2176" spans="1:9" x14ac:dyDescent="0.25">
      <c r="A2176" s="1428">
        <v>42899</v>
      </c>
      <c r="B2176" s="1428">
        <v>42899</v>
      </c>
      <c r="C2176" s="3397" t="s">
        <v>4865</v>
      </c>
      <c r="D2176" s="3398"/>
      <c r="E2176" s="1357">
        <v>100</v>
      </c>
      <c r="F2176" s="1358">
        <v>2</v>
      </c>
      <c r="G2176" s="1359">
        <f>E2176/F2176</f>
        <v>50</v>
      </c>
    </row>
    <row r="2177" spans="1:9" x14ac:dyDescent="0.25">
      <c r="A2177" s="1428">
        <v>42905</v>
      </c>
      <c r="B2177" s="1428">
        <v>42905</v>
      </c>
      <c r="C2177" s="3397" t="s">
        <v>4866</v>
      </c>
      <c r="D2177" s="3398"/>
      <c r="E2177" s="1357">
        <v>105.98</v>
      </c>
      <c r="F2177" s="1358">
        <v>3</v>
      </c>
      <c r="G2177" s="1359">
        <f>E2177/F2177</f>
        <v>35.326666666666668</v>
      </c>
    </row>
    <row r="2178" spans="1:9" x14ac:dyDescent="0.25">
      <c r="A2178" s="1369"/>
      <c r="B2178" s="1369"/>
      <c r="C2178" s="3397"/>
      <c r="D2178" s="3398"/>
      <c r="E2178" s="1357"/>
      <c r="F2178" s="1358"/>
      <c r="G2178" s="1359"/>
    </row>
    <row r="2179" spans="1:9" ht="15.75" x14ac:dyDescent="0.25">
      <c r="A2179" s="3356" t="s">
        <v>4071</v>
      </c>
      <c r="B2179" s="3357"/>
      <c r="C2179" s="3357"/>
      <c r="D2179" s="3357"/>
      <c r="E2179" s="1396">
        <v>1800</v>
      </c>
      <c r="F2179" s="3366"/>
      <c r="G2179" s="3367"/>
    </row>
    <row r="2180" spans="1:9" ht="15.75" x14ac:dyDescent="0.25">
      <c r="A2180" s="3358" t="s">
        <v>4072</v>
      </c>
      <c r="B2180" s="3359"/>
      <c r="C2180" s="3359"/>
      <c r="D2180" s="3359"/>
      <c r="E2180" s="1397">
        <v>343.99</v>
      </c>
      <c r="F2180" s="3368"/>
      <c r="G2180" s="3369"/>
      <c r="H2180" s="1247" t="s">
        <v>280</v>
      </c>
    </row>
    <row r="2181" spans="1:9" ht="15.75" x14ac:dyDescent="0.25">
      <c r="A2181" s="3356" t="s">
        <v>4073</v>
      </c>
      <c r="B2181" s="3357"/>
      <c r="C2181" s="3357"/>
      <c r="D2181" s="3357"/>
      <c r="E2181" s="1396">
        <v>358.73</v>
      </c>
      <c r="F2181" s="3368"/>
      <c r="G2181" s="3369"/>
    </row>
    <row r="2182" spans="1:9" ht="15.75" x14ac:dyDescent="0.25">
      <c r="A2182" s="3358" t="s">
        <v>4074</v>
      </c>
      <c r="B2182" s="3359"/>
      <c r="C2182" s="3359"/>
      <c r="D2182" s="3359"/>
      <c r="E2182" s="3359"/>
      <c r="F2182" s="3360"/>
      <c r="G2182" s="1457">
        <f>G2174+G2175+G2176+G2177</f>
        <v>173.32666666666665</v>
      </c>
    </row>
    <row r="2183" spans="1:9" ht="17.25" customHeight="1" thickBot="1" x14ac:dyDescent="0.3">
      <c r="A2183" s="3356" t="s">
        <v>4075</v>
      </c>
      <c r="B2183" s="3357"/>
      <c r="C2183" s="3357"/>
      <c r="D2183" s="3357"/>
      <c r="E2183" s="1388">
        <f>E2179-E2180</f>
        <v>1456.01</v>
      </c>
    </row>
    <row r="2184" spans="1:9" ht="17.25" customHeight="1" thickBot="1" x14ac:dyDescent="0.3">
      <c r="I2184" s="2866" t="s">
        <v>135</v>
      </c>
    </row>
    <row r="2185" spans="1:9" ht="19.5" thickBot="1" x14ac:dyDescent="0.35">
      <c r="A2185" s="3361" t="s">
        <v>4867</v>
      </c>
      <c r="B2185" s="3336"/>
      <c r="C2185" s="3336"/>
      <c r="D2185" s="3336"/>
      <c r="E2185" s="3336"/>
      <c r="F2185" s="3336"/>
      <c r="G2185" s="3337"/>
    </row>
    <row r="2186" spans="1:9" ht="16.5" thickBot="1" x14ac:dyDescent="0.3">
      <c r="A2186" s="1361" t="s">
        <v>4206</v>
      </c>
      <c r="B2186" s="1361" t="s">
        <v>4206</v>
      </c>
      <c r="C2186" s="3370" t="s">
        <v>3</v>
      </c>
      <c r="D2186" s="3371"/>
      <c r="E2186" s="1363" t="s">
        <v>4190</v>
      </c>
      <c r="F2186" s="1363" t="s">
        <v>4191</v>
      </c>
      <c r="G2186" s="1364" t="s">
        <v>382</v>
      </c>
    </row>
    <row r="2187" spans="1:9" x14ac:dyDescent="0.25">
      <c r="A2187" s="1428">
        <v>42773</v>
      </c>
      <c r="B2187" s="1428">
        <v>42773</v>
      </c>
      <c r="C2187" s="3397" t="s">
        <v>4868</v>
      </c>
      <c r="D2187" s="3398"/>
      <c r="E2187" s="1357">
        <v>514.9</v>
      </c>
      <c r="F2187" s="1358">
        <v>4</v>
      </c>
      <c r="G2187" s="1359">
        <f>E2187/F2187</f>
        <v>128.72499999999999</v>
      </c>
    </row>
    <row r="2188" spans="1:9" x14ac:dyDescent="0.25">
      <c r="A2188" s="1428">
        <v>42863</v>
      </c>
      <c r="B2188" s="1428">
        <v>42863</v>
      </c>
      <c r="C2188" s="3397" t="s">
        <v>4869</v>
      </c>
      <c r="D2188" s="3398"/>
      <c r="E2188" s="1357">
        <v>142</v>
      </c>
      <c r="F2188" s="1358">
        <v>1</v>
      </c>
      <c r="G2188" s="1359">
        <f>E2188/F2188</f>
        <v>142</v>
      </c>
    </row>
    <row r="2189" spans="1:9" x14ac:dyDescent="0.25">
      <c r="A2189" s="1428">
        <v>42865</v>
      </c>
      <c r="B2189" s="1428">
        <v>42865</v>
      </c>
      <c r="C2189" s="3397" t="s">
        <v>4870</v>
      </c>
      <c r="D2189" s="3398"/>
      <c r="E2189" s="1357">
        <v>142</v>
      </c>
      <c r="F2189" s="1358">
        <v>1</v>
      </c>
      <c r="G2189" s="1359">
        <v>50</v>
      </c>
    </row>
    <row r="2190" spans="1:9" x14ac:dyDescent="0.25">
      <c r="A2190" s="1428">
        <v>42878</v>
      </c>
      <c r="B2190" s="1428">
        <v>42878</v>
      </c>
      <c r="C2190" s="3397" t="s">
        <v>4863</v>
      </c>
      <c r="D2190" s="3398"/>
      <c r="E2190" s="1357">
        <v>76</v>
      </c>
      <c r="F2190" s="1358">
        <v>2</v>
      </c>
      <c r="G2190" s="1359">
        <f>E2190/F2190</f>
        <v>38</v>
      </c>
    </row>
    <row r="2191" spans="1:9" x14ac:dyDescent="0.25">
      <c r="A2191" s="1369"/>
      <c r="B2191" s="1369"/>
      <c r="C2191" s="3397"/>
      <c r="D2191" s="3398"/>
      <c r="E2191" s="1357"/>
      <c r="F2191" s="1358"/>
      <c r="G2191" s="1359"/>
    </row>
    <row r="2192" spans="1:9" ht="15.75" x14ac:dyDescent="0.25">
      <c r="A2192" s="3356" t="s">
        <v>4071</v>
      </c>
      <c r="B2192" s="3357"/>
      <c r="C2192" s="3357"/>
      <c r="D2192" s="3357"/>
      <c r="E2192" s="1396">
        <v>1800</v>
      </c>
      <c r="F2192" s="3366"/>
      <c r="G2192" s="3367"/>
    </row>
    <row r="2193" spans="1:9" ht="15.75" x14ac:dyDescent="0.25">
      <c r="A2193" s="3358" t="s">
        <v>4072</v>
      </c>
      <c r="B2193" s="3359"/>
      <c r="C2193" s="3359"/>
      <c r="D2193" s="3359"/>
      <c r="E2193" s="1397">
        <v>320.73</v>
      </c>
      <c r="F2193" s="3368"/>
      <c r="G2193" s="3369"/>
      <c r="H2193" s="1247" t="s">
        <v>280</v>
      </c>
    </row>
    <row r="2194" spans="1:9" ht="15.75" x14ac:dyDescent="0.25">
      <c r="A2194" s="3356" t="s">
        <v>4073</v>
      </c>
      <c r="B2194" s="3357"/>
      <c r="C2194" s="3357"/>
      <c r="D2194" s="3357"/>
      <c r="E2194" s="1396">
        <v>202.63</v>
      </c>
      <c r="F2194" s="3368"/>
      <c r="G2194" s="3369"/>
    </row>
    <row r="2195" spans="1:9" ht="15.75" x14ac:dyDescent="0.25">
      <c r="A2195" s="3358" t="s">
        <v>4074</v>
      </c>
      <c r="B2195" s="3359"/>
      <c r="C2195" s="3359"/>
      <c r="D2195" s="3359"/>
      <c r="E2195" s="3359"/>
      <c r="F2195" s="3360"/>
      <c r="G2195" s="1457">
        <f>G2187+G2188+G2189+G2190</f>
        <v>358.72500000000002</v>
      </c>
    </row>
    <row r="2196" spans="1:9" ht="17.25" customHeight="1" thickBot="1" x14ac:dyDescent="0.3">
      <c r="A2196" s="3356" t="s">
        <v>4075</v>
      </c>
      <c r="B2196" s="3357"/>
      <c r="C2196" s="3357"/>
      <c r="D2196" s="3357"/>
      <c r="E2196" s="1388">
        <f>E2192-E2193</f>
        <v>1479.27</v>
      </c>
    </row>
    <row r="2197" spans="1:9" ht="17.25" customHeight="1" thickBot="1" x14ac:dyDescent="0.3">
      <c r="I2197" s="2866" t="s">
        <v>135</v>
      </c>
    </row>
    <row r="2198" spans="1:9" ht="19.5" thickBot="1" x14ac:dyDescent="0.35">
      <c r="A2198" s="3361" t="s">
        <v>4871</v>
      </c>
      <c r="B2198" s="3336"/>
      <c r="C2198" s="3336"/>
      <c r="D2198" s="3336"/>
      <c r="E2198" s="3336"/>
      <c r="F2198" s="3336"/>
      <c r="G2198" s="3337"/>
    </row>
    <row r="2199" spans="1:9" ht="16.5" thickBot="1" x14ac:dyDescent="0.3">
      <c r="A2199" s="1361" t="s">
        <v>4206</v>
      </c>
      <c r="B2199" s="1361" t="s">
        <v>4206</v>
      </c>
      <c r="C2199" s="3370" t="s">
        <v>3</v>
      </c>
      <c r="D2199" s="3371"/>
      <c r="E2199" s="1363" t="s">
        <v>4190</v>
      </c>
      <c r="F2199" s="1363" t="s">
        <v>4191</v>
      </c>
      <c r="G2199" s="1364" t="s">
        <v>382</v>
      </c>
    </row>
    <row r="2200" spans="1:9" x14ac:dyDescent="0.25">
      <c r="A2200" s="1428">
        <v>42773</v>
      </c>
      <c r="B2200" s="1428">
        <v>42773</v>
      </c>
      <c r="C2200" s="3397" t="s">
        <v>4872</v>
      </c>
      <c r="D2200" s="3398"/>
      <c r="E2200" s="1357">
        <v>514.9</v>
      </c>
      <c r="F2200" s="1358">
        <v>4</v>
      </c>
      <c r="G2200" s="1359">
        <f>E2200/F2200</f>
        <v>128.72499999999999</v>
      </c>
    </row>
    <row r="2201" spans="1:9" x14ac:dyDescent="0.25">
      <c r="A2201" s="1428">
        <v>42835</v>
      </c>
      <c r="B2201" s="1428">
        <v>42835</v>
      </c>
      <c r="C2201" s="3397" t="s">
        <v>4873</v>
      </c>
      <c r="D2201" s="3398"/>
      <c r="E2201" s="1357">
        <v>58.9</v>
      </c>
      <c r="F2201" s="1358">
        <v>1</v>
      </c>
      <c r="G2201" s="1359">
        <f>E2201</f>
        <v>58.9</v>
      </c>
    </row>
    <row r="2202" spans="1:9" x14ac:dyDescent="0.25">
      <c r="A2202" s="1428">
        <v>42839</v>
      </c>
      <c r="B2202" s="1428">
        <v>42839</v>
      </c>
      <c r="C2202" s="3397" t="s">
        <v>4874</v>
      </c>
      <c r="D2202" s="3398"/>
      <c r="E2202" s="1357">
        <v>15</v>
      </c>
      <c r="F2202" s="1358">
        <v>1</v>
      </c>
      <c r="G2202" s="1359">
        <f>E2202</f>
        <v>15</v>
      </c>
    </row>
    <row r="2203" spans="1:9" x14ac:dyDescent="0.25">
      <c r="A2203" s="1369"/>
      <c r="B2203" s="1369"/>
      <c r="C2203" s="3397"/>
      <c r="D2203" s="3398"/>
      <c r="E2203" s="1357"/>
      <c r="F2203" s="1358"/>
      <c r="G2203" s="1359"/>
    </row>
    <row r="2204" spans="1:9" ht="15.75" x14ac:dyDescent="0.25">
      <c r="A2204" s="3356" t="s">
        <v>4071</v>
      </c>
      <c r="B2204" s="3357"/>
      <c r="C2204" s="3357"/>
      <c r="D2204" s="3357"/>
      <c r="E2204" s="1396">
        <v>1800</v>
      </c>
      <c r="F2204" s="3366"/>
      <c r="G2204" s="3367"/>
    </row>
    <row r="2205" spans="1:9" ht="15.75" x14ac:dyDescent="0.25">
      <c r="A2205" s="3358" t="s">
        <v>4072</v>
      </c>
      <c r="B2205" s="3359"/>
      <c r="C2205" s="3359"/>
      <c r="D2205" s="3359"/>
      <c r="E2205" s="1397">
        <v>257.45999999999998</v>
      </c>
      <c r="F2205" s="3368"/>
      <c r="G2205" s="3369"/>
      <c r="H2205" s="1247" t="s">
        <v>280</v>
      </c>
    </row>
    <row r="2206" spans="1:9" ht="15.75" x14ac:dyDescent="0.25">
      <c r="A2206" s="3356" t="s">
        <v>4073</v>
      </c>
      <c r="B2206" s="3357"/>
      <c r="C2206" s="3357"/>
      <c r="D2206" s="3357"/>
      <c r="E2206" s="1396">
        <v>330.64</v>
      </c>
      <c r="F2206" s="3368"/>
      <c r="G2206" s="3369"/>
    </row>
    <row r="2207" spans="1:9" ht="15.75" x14ac:dyDescent="0.25">
      <c r="A2207" s="3358" t="s">
        <v>4074</v>
      </c>
      <c r="B2207" s="3359"/>
      <c r="C2207" s="3359"/>
      <c r="D2207" s="3359"/>
      <c r="E2207" s="3359"/>
      <c r="F2207" s="3360"/>
      <c r="G2207" s="1457">
        <f>G2200+G2201+G2202</f>
        <v>202.625</v>
      </c>
    </row>
    <row r="2208" spans="1:9" ht="17.25" customHeight="1" thickBot="1" x14ac:dyDescent="0.3">
      <c r="A2208" s="3356" t="s">
        <v>4075</v>
      </c>
      <c r="B2208" s="3357"/>
      <c r="C2208" s="3357"/>
      <c r="D2208" s="3357"/>
      <c r="E2208" s="1388">
        <f>E2204-E2205</f>
        <v>1542.54</v>
      </c>
    </row>
    <row r="2209" spans="1:9" ht="17.25" customHeight="1" thickBot="1" x14ac:dyDescent="0.3">
      <c r="I2209" s="2866" t="s">
        <v>135</v>
      </c>
    </row>
    <row r="2210" spans="1:9" ht="19.5" thickBot="1" x14ac:dyDescent="0.35">
      <c r="A2210" s="3361" t="s">
        <v>4875</v>
      </c>
      <c r="B2210" s="3336"/>
      <c r="C2210" s="3336"/>
      <c r="D2210" s="3336"/>
      <c r="E2210" s="3336"/>
      <c r="F2210" s="3336"/>
      <c r="G2210" s="3337"/>
    </row>
    <row r="2211" spans="1:9" ht="16.5" thickBot="1" x14ac:dyDescent="0.3">
      <c r="A2211" s="1361" t="s">
        <v>4206</v>
      </c>
      <c r="B2211" s="1361" t="s">
        <v>4206</v>
      </c>
      <c r="C2211" s="3370" t="s">
        <v>3</v>
      </c>
      <c r="D2211" s="3371"/>
      <c r="E2211" s="1363" t="s">
        <v>4190</v>
      </c>
      <c r="F2211" s="1363" t="s">
        <v>4191</v>
      </c>
      <c r="G2211" s="1364" t="s">
        <v>382</v>
      </c>
    </row>
    <row r="2212" spans="1:9" x14ac:dyDescent="0.25">
      <c r="A2212" s="1428">
        <v>42699</v>
      </c>
      <c r="B2212" s="1428">
        <v>42699</v>
      </c>
      <c r="C2212" s="3397" t="s">
        <v>4876</v>
      </c>
      <c r="D2212" s="3398"/>
      <c r="E2212" s="1357">
        <v>279.89999999999998</v>
      </c>
      <c r="F2212" s="1358">
        <v>5</v>
      </c>
      <c r="G2212" s="1359">
        <f t="shared" ref="G2212:G2217" si="291">E2212/F2212</f>
        <v>55.98</v>
      </c>
    </row>
    <row r="2213" spans="1:9" x14ac:dyDescent="0.25">
      <c r="A2213" s="1428">
        <v>42748</v>
      </c>
      <c r="B2213" s="1428">
        <v>42748</v>
      </c>
      <c r="C2213" s="3397" t="s">
        <v>4877</v>
      </c>
      <c r="D2213" s="3398"/>
      <c r="E2213" s="1357">
        <v>179.34</v>
      </c>
      <c r="F2213" s="1358">
        <v>3</v>
      </c>
      <c r="G2213" s="1359">
        <f t="shared" si="291"/>
        <v>59.78</v>
      </c>
    </row>
    <row r="2214" spans="1:9" x14ac:dyDescent="0.25">
      <c r="A2214" s="1428">
        <v>42773</v>
      </c>
      <c r="B2214" s="1428">
        <v>42773</v>
      </c>
      <c r="C2214" s="3397" t="s">
        <v>4878</v>
      </c>
      <c r="D2214" s="3398"/>
      <c r="E2214" s="1357">
        <v>514.9</v>
      </c>
      <c r="F2214" s="1358">
        <v>4</v>
      </c>
      <c r="G2214" s="1359">
        <f t="shared" si="291"/>
        <v>128.72499999999999</v>
      </c>
    </row>
    <row r="2215" spans="1:9" x14ac:dyDescent="0.25">
      <c r="A2215" s="1428">
        <v>42790</v>
      </c>
      <c r="B2215" s="1428">
        <v>42790</v>
      </c>
      <c r="C2215" s="3397" t="s">
        <v>4879</v>
      </c>
      <c r="D2215" s="3398"/>
      <c r="E2215" s="1357">
        <v>29.9</v>
      </c>
      <c r="F2215" s="1358">
        <v>1</v>
      </c>
      <c r="G2215" s="1359">
        <f t="shared" si="291"/>
        <v>29.9</v>
      </c>
    </row>
    <row r="2216" spans="1:9" x14ac:dyDescent="0.25">
      <c r="A2216" s="1428">
        <v>42801</v>
      </c>
      <c r="B2216" s="1428">
        <v>42801</v>
      </c>
      <c r="C2216" s="3397" t="s">
        <v>4880</v>
      </c>
      <c r="D2216" s="3398"/>
      <c r="E2216" s="1357">
        <v>46.25</v>
      </c>
      <c r="F2216" s="1358">
        <v>1</v>
      </c>
      <c r="G2216" s="1359">
        <f t="shared" si="291"/>
        <v>46.25</v>
      </c>
    </row>
    <row r="2217" spans="1:9" x14ac:dyDescent="0.25">
      <c r="A2217" s="1369">
        <v>42804</v>
      </c>
      <c r="B2217" s="1369">
        <v>42804</v>
      </c>
      <c r="C2217" s="3397" t="s">
        <v>1241</v>
      </c>
      <c r="D2217" s="3398"/>
      <c r="E2217" s="1357">
        <v>10</v>
      </c>
      <c r="F2217" s="1358">
        <v>1</v>
      </c>
      <c r="G2217" s="1359">
        <f t="shared" si="291"/>
        <v>10</v>
      </c>
    </row>
    <row r="2218" spans="1:9" x14ac:dyDescent="0.25">
      <c r="A2218" s="1369"/>
      <c r="B2218" s="1369"/>
      <c r="C2218" s="3397"/>
      <c r="D2218" s="3398"/>
      <c r="E2218" s="1357"/>
      <c r="F2218" s="1358"/>
      <c r="G2218" s="1359"/>
    </row>
    <row r="2219" spans="1:9" ht="15.75" x14ac:dyDescent="0.25">
      <c r="A2219" s="3356" t="s">
        <v>4071</v>
      </c>
      <c r="B2219" s="3357"/>
      <c r="C2219" s="3357"/>
      <c r="D2219" s="3357"/>
      <c r="E2219" s="1396">
        <v>1800</v>
      </c>
      <c r="F2219" s="3366"/>
      <c r="G2219" s="3367"/>
    </row>
    <row r="2220" spans="1:9" ht="15.75" x14ac:dyDescent="0.25">
      <c r="A2220" s="3358" t="s">
        <v>4072</v>
      </c>
      <c r="B2220" s="3359"/>
      <c r="C2220" s="3359"/>
      <c r="D2220" s="3359"/>
      <c r="E2220" s="1397">
        <v>531.85</v>
      </c>
      <c r="F2220" s="3368"/>
      <c r="G2220" s="3369"/>
      <c r="H2220" s="1247" t="s">
        <v>280</v>
      </c>
    </row>
    <row r="2221" spans="1:9" ht="15.75" x14ac:dyDescent="0.25">
      <c r="A2221" s="3356" t="s">
        <v>4073</v>
      </c>
      <c r="B2221" s="3357"/>
      <c r="C2221" s="3357"/>
      <c r="D2221" s="3357"/>
      <c r="E2221" s="1396">
        <v>361.15</v>
      </c>
      <c r="F2221" s="3368"/>
      <c r="G2221" s="3369"/>
    </row>
    <row r="2222" spans="1:9" ht="15.75" x14ac:dyDescent="0.25">
      <c r="A2222" s="3358" t="s">
        <v>4074</v>
      </c>
      <c r="B2222" s="3359"/>
      <c r="C2222" s="3359"/>
      <c r="D2222" s="3359"/>
      <c r="E2222" s="3359"/>
      <c r="F2222" s="3360"/>
      <c r="G2222" s="1457">
        <f>G2212+G2213+G2214+G2215+G2216+G2217</f>
        <v>330.63499999999999</v>
      </c>
    </row>
    <row r="2223" spans="1:9" ht="17.25" customHeight="1" thickBot="1" x14ac:dyDescent="0.3">
      <c r="A2223" s="3356" t="s">
        <v>4075</v>
      </c>
      <c r="B2223" s="3357"/>
      <c r="C2223" s="3357"/>
      <c r="D2223" s="3357"/>
      <c r="E2223" s="1388">
        <f>E2219-E2220</f>
        <v>1268.1500000000001</v>
      </c>
    </row>
    <row r="2224" spans="1:9" ht="17.25" customHeight="1" thickBot="1" x14ac:dyDescent="0.3">
      <c r="I2224" s="2866" t="s">
        <v>135</v>
      </c>
    </row>
    <row r="2225" spans="1:9" ht="19.5" thickBot="1" x14ac:dyDescent="0.35">
      <c r="A2225" s="3361" t="s">
        <v>4881</v>
      </c>
      <c r="B2225" s="3336"/>
      <c r="C2225" s="3336"/>
      <c r="D2225" s="3336"/>
      <c r="E2225" s="3336"/>
      <c r="F2225" s="3336"/>
      <c r="G2225" s="3337"/>
    </row>
    <row r="2226" spans="1:9" ht="16.5" thickBot="1" x14ac:dyDescent="0.3">
      <c r="A2226" s="1361" t="s">
        <v>4206</v>
      </c>
      <c r="B2226" s="1361" t="s">
        <v>4206</v>
      </c>
      <c r="C2226" s="3370" t="s">
        <v>3</v>
      </c>
      <c r="D2226" s="3371"/>
      <c r="E2226" s="1363" t="s">
        <v>4190</v>
      </c>
      <c r="F2226" s="1363" t="s">
        <v>4191</v>
      </c>
      <c r="G2226" s="1364" t="s">
        <v>382</v>
      </c>
    </row>
    <row r="2227" spans="1:9" x14ac:dyDescent="0.25">
      <c r="A2227" s="1428">
        <v>42699</v>
      </c>
      <c r="B2227" s="1428">
        <v>42699</v>
      </c>
      <c r="C2227" s="3397" t="s">
        <v>4882</v>
      </c>
      <c r="D2227" s="3398"/>
      <c r="E2227" s="1357">
        <v>279.89999999999998</v>
      </c>
      <c r="F2227" s="1358">
        <v>5</v>
      </c>
      <c r="G2227" s="1359">
        <f>E2227/F2227</f>
        <v>55.98</v>
      </c>
    </row>
    <row r="2228" spans="1:9" x14ac:dyDescent="0.25">
      <c r="A2228" s="1428">
        <v>42702</v>
      </c>
      <c r="B2228" s="1428">
        <v>42702</v>
      </c>
      <c r="C2228" s="3397" t="s">
        <v>4883</v>
      </c>
      <c r="D2228" s="3398"/>
      <c r="E2228" s="1357">
        <v>200</v>
      </c>
      <c r="F2228" s="1358">
        <v>3</v>
      </c>
      <c r="G2228" s="1359">
        <f>E2228/F2228</f>
        <v>66.666666666666671</v>
      </c>
    </row>
    <row r="2229" spans="1:9" x14ac:dyDescent="0.25">
      <c r="A2229" s="1428">
        <v>42746</v>
      </c>
      <c r="B2229" s="1428">
        <v>42746</v>
      </c>
      <c r="C2229" s="3397" t="s">
        <v>4884</v>
      </c>
      <c r="D2229" s="3398"/>
      <c r="E2229" s="1357">
        <v>100</v>
      </c>
      <c r="F2229" s="1358">
        <v>2</v>
      </c>
      <c r="G2229" s="1359">
        <f>E2229/F2229</f>
        <v>50</v>
      </c>
    </row>
    <row r="2230" spans="1:9" x14ac:dyDescent="0.25">
      <c r="A2230" s="1428">
        <v>42748</v>
      </c>
      <c r="B2230" s="1428">
        <v>42748</v>
      </c>
      <c r="C2230" s="3397" t="s">
        <v>4885</v>
      </c>
      <c r="D2230" s="3398"/>
      <c r="E2230" s="1357">
        <v>179.34</v>
      </c>
      <c r="F2230" s="1358">
        <v>3</v>
      </c>
      <c r="G2230" s="1359">
        <f>E2230/F2230</f>
        <v>59.78</v>
      </c>
    </row>
    <row r="2231" spans="1:9" x14ac:dyDescent="0.25">
      <c r="A2231" s="1428">
        <v>42773</v>
      </c>
      <c r="B2231" s="1428">
        <v>42773</v>
      </c>
      <c r="C2231" s="3397" t="s">
        <v>4886</v>
      </c>
      <c r="D2231" s="3398"/>
      <c r="E2231" s="1357">
        <v>514.9</v>
      </c>
      <c r="F2231" s="1358">
        <v>4</v>
      </c>
      <c r="G2231" s="1359">
        <f>E2231/F2231</f>
        <v>128.72499999999999</v>
      </c>
    </row>
    <row r="2232" spans="1:9" x14ac:dyDescent="0.25">
      <c r="A2232" s="1369"/>
      <c r="B2232" s="1369"/>
      <c r="C2232" s="3397"/>
      <c r="D2232" s="3398"/>
      <c r="E2232" s="1357"/>
      <c r="F2232" s="1358"/>
      <c r="G2232" s="1359"/>
    </row>
    <row r="2233" spans="1:9" ht="15.75" x14ac:dyDescent="0.25">
      <c r="A2233" s="3356" t="s">
        <v>4071</v>
      </c>
      <c r="B2233" s="3357"/>
      <c r="C2233" s="3357"/>
      <c r="D2233" s="3357"/>
      <c r="E2233" s="1396">
        <v>1800</v>
      </c>
      <c r="F2233" s="3366"/>
      <c r="G2233" s="3367"/>
    </row>
    <row r="2234" spans="1:9" ht="15.75" x14ac:dyDescent="0.25">
      <c r="A2234" s="3358" t="s">
        <v>4072</v>
      </c>
      <c r="B2234" s="3359"/>
      <c r="C2234" s="3359"/>
      <c r="D2234" s="3359"/>
      <c r="E2234" s="1397">
        <v>863.11</v>
      </c>
      <c r="F2234" s="3368"/>
      <c r="G2234" s="3369"/>
      <c r="H2234" s="1247" t="s">
        <v>280</v>
      </c>
    </row>
    <row r="2235" spans="1:9" ht="15.75" x14ac:dyDescent="0.25">
      <c r="A2235" s="3356" t="s">
        <v>4073</v>
      </c>
      <c r="B2235" s="3357"/>
      <c r="C2235" s="3357"/>
      <c r="D2235" s="3357"/>
      <c r="E2235" s="1396">
        <v>437.33</v>
      </c>
      <c r="F2235" s="3368"/>
      <c r="G2235" s="3369"/>
    </row>
    <row r="2236" spans="1:9" ht="15.75" x14ac:dyDescent="0.25">
      <c r="A2236" s="3358" t="s">
        <v>4074</v>
      </c>
      <c r="B2236" s="3359"/>
      <c r="C2236" s="3359"/>
      <c r="D2236" s="3359"/>
      <c r="E2236" s="3359"/>
      <c r="F2236" s="3360"/>
      <c r="G2236" s="1457">
        <f>G2227+G2228+G2229+G2230+G2231</f>
        <v>361.15166666666664</v>
      </c>
    </row>
    <row r="2237" spans="1:9" ht="17.25" customHeight="1" thickBot="1" x14ac:dyDescent="0.3">
      <c r="A2237" s="3356" t="s">
        <v>4075</v>
      </c>
      <c r="B2237" s="3357"/>
      <c r="C2237" s="3357"/>
      <c r="D2237" s="3357"/>
      <c r="E2237" s="1388">
        <f>E2233-E2234</f>
        <v>936.89</v>
      </c>
    </row>
    <row r="2238" spans="1:9" ht="17.25" customHeight="1" thickBot="1" x14ac:dyDescent="0.3">
      <c r="I2238" s="2866" t="s">
        <v>135</v>
      </c>
    </row>
    <row r="2239" spans="1:9" ht="19.5" thickBot="1" x14ac:dyDescent="0.35">
      <c r="A2239" s="3361" t="s">
        <v>4887</v>
      </c>
      <c r="B2239" s="3336"/>
      <c r="C2239" s="3336"/>
      <c r="D2239" s="3336"/>
      <c r="E2239" s="3336"/>
      <c r="F2239" s="3336"/>
      <c r="G2239" s="3337"/>
    </row>
    <row r="2240" spans="1:9" ht="16.5" thickBot="1" x14ac:dyDescent="0.3">
      <c r="A2240" s="1361" t="s">
        <v>4206</v>
      </c>
      <c r="B2240" s="1361" t="s">
        <v>4206</v>
      </c>
      <c r="C2240" s="3370" t="s">
        <v>3</v>
      </c>
      <c r="D2240" s="3371"/>
      <c r="E2240" s="1363" t="s">
        <v>4190</v>
      </c>
      <c r="F2240" s="1363" t="s">
        <v>4191</v>
      </c>
      <c r="G2240" s="1364" t="s">
        <v>382</v>
      </c>
    </row>
    <row r="2241" spans="1:9" x14ac:dyDescent="0.25">
      <c r="A2241" s="1428">
        <v>42699</v>
      </c>
      <c r="B2241" s="1428">
        <v>42699</v>
      </c>
      <c r="C2241" s="3397" t="s">
        <v>4888</v>
      </c>
      <c r="D2241" s="3398"/>
      <c r="E2241" s="1357">
        <v>279.89999999999998</v>
      </c>
      <c r="F2241" s="1358">
        <v>5</v>
      </c>
      <c r="G2241" s="1359">
        <f t="shared" ref="G2241:G2248" si="292">E2241/F2241</f>
        <v>55.98</v>
      </c>
    </row>
    <row r="2242" spans="1:9" x14ac:dyDescent="0.25">
      <c r="A2242" s="1428">
        <v>42702</v>
      </c>
      <c r="B2242" s="1428">
        <v>42702</v>
      </c>
      <c r="C2242" s="3397" t="s">
        <v>4889</v>
      </c>
      <c r="D2242" s="3398"/>
      <c r="E2242" s="1357">
        <v>200</v>
      </c>
      <c r="F2242" s="1358">
        <v>3</v>
      </c>
      <c r="G2242" s="1359">
        <f t="shared" si="292"/>
        <v>66.666666666666671</v>
      </c>
    </row>
    <row r="2243" spans="1:9" x14ac:dyDescent="0.25">
      <c r="A2243" s="1428">
        <v>42705</v>
      </c>
      <c r="B2243" s="1428">
        <v>42705</v>
      </c>
      <c r="C2243" s="3397" t="s">
        <v>4890</v>
      </c>
      <c r="D2243" s="3398"/>
      <c r="E2243" s="1357">
        <v>230</v>
      </c>
      <c r="F2243" s="1358">
        <v>2</v>
      </c>
      <c r="G2243" s="1359">
        <f t="shared" si="292"/>
        <v>115</v>
      </c>
    </row>
    <row r="2244" spans="1:9" x14ac:dyDescent="0.25">
      <c r="A2244" s="1428">
        <v>42735</v>
      </c>
      <c r="B2244" s="1428">
        <v>42735</v>
      </c>
      <c r="C2244" s="3397" t="s">
        <v>1241</v>
      </c>
      <c r="D2244" s="3398"/>
      <c r="E2244" s="1357">
        <v>25</v>
      </c>
      <c r="F2244" s="1358">
        <v>1</v>
      </c>
      <c r="G2244" s="1359">
        <f t="shared" si="292"/>
        <v>25</v>
      </c>
    </row>
    <row r="2245" spans="1:9" x14ac:dyDescent="0.25">
      <c r="A2245" s="1428">
        <v>42742</v>
      </c>
      <c r="B2245" s="1428">
        <v>42742</v>
      </c>
      <c r="C2245" s="3397" t="s">
        <v>1241</v>
      </c>
      <c r="D2245" s="3398"/>
      <c r="E2245" s="1357">
        <v>25</v>
      </c>
      <c r="F2245" s="1358">
        <v>1</v>
      </c>
      <c r="G2245" s="1359">
        <f t="shared" si="292"/>
        <v>25</v>
      </c>
    </row>
    <row r="2246" spans="1:9" x14ac:dyDescent="0.25">
      <c r="A2246" s="1428">
        <v>42746</v>
      </c>
      <c r="B2246" s="1428">
        <v>42746</v>
      </c>
      <c r="C2246" s="3397" t="s">
        <v>4891</v>
      </c>
      <c r="D2246" s="3398"/>
      <c r="E2246" s="1357">
        <v>100</v>
      </c>
      <c r="F2246" s="1358">
        <v>2</v>
      </c>
      <c r="G2246" s="1359">
        <f t="shared" si="292"/>
        <v>50</v>
      </c>
    </row>
    <row r="2247" spans="1:9" x14ac:dyDescent="0.25">
      <c r="A2247" s="1428">
        <v>42748</v>
      </c>
      <c r="B2247" s="1428">
        <v>42748</v>
      </c>
      <c r="C2247" s="3397" t="s">
        <v>4892</v>
      </c>
      <c r="D2247" s="3398"/>
      <c r="E2247" s="1357">
        <v>179.34</v>
      </c>
      <c r="F2247" s="1358">
        <v>3</v>
      </c>
      <c r="G2247" s="1359">
        <f t="shared" si="292"/>
        <v>59.78</v>
      </c>
    </row>
    <row r="2248" spans="1:9" x14ac:dyDescent="0.25">
      <c r="A2248" s="1428">
        <v>42760</v>
      </c>
      <c r="B2248" s="1428">
        <v>42760</v>
      </c>
      <c r="C2248" s="3397" t="s">
        <v>4893</v>
      </c>
      <c r="D2248" s="3398"/>
      <c r="E2248" s="1357">
        <v>39.9</v>
      </c>
      <c r="F2248" s="1358">
        <v>1</v>
      </c>
      <c r="G2248" s="1359">
        <f t="shared" si="292"/>
        <v>39.9</v>
      </c>
    </row>
    <row r="2249" spans="1:9" x14ac:dyDescent="0.25">
      <c r="A2249" s="1369"/>
      <c r="B2249" s="1369"/>
      <c r="C2249" s="3397"/>
      <c r="D2249" s="3398"/>
      <c r="E2249" s="1357"/>
      <c r="F2249" s="1358"/>
      <c r="G2249" s="1359"/>
    </row>
    <row r="2250" spans="1:9" ht="15.75" x14ac:dyDescent="0.25">
      <c r="A2250" s="3356" t="s">
        <v>4071</v>
      </c>
      <c r="B2250" s="3357"/>
      <c r="C2250" s="3357"/>
      <c r="D2250" s="3357"/>
      <c r="E2250" s="1396">
        <v>1800</v>
      </c>
      <c r="F2250" s="3366"/>
      <c r="G2250" s="3367"/>
    </row>
    <row r="2251" spans="1:9" ht="15.75" x14ac:dyDescent="0.25">
      <c r="A2251" s="3358" t="s">
        <v>4072</v>
      </c>
      <c r="B2251" s="3359"/>
      <c r="C2251" s="3359"/>
      <c r="D2251" s="3359"/>
      <c r="E2251" s="1397">
        <v>745.62</v>
      </c>
      <c r="F2251" s="3368"/>
      <c r="G2251" s="3369"/>
      <c r="H2251" s="1247" t="s">
        <v>280</v>
      </c>
    </row>
    <row r="2252" spans="1:9" ht="15.75" x14ac:dyDescent="0.25">
      <c r="A2252" s="3356" t="s">
        <v>4073</v>
      </c>
      <c r="B2252" s="3357"/>
      <c r="C2252" s="3357"/>
      <c r="D2252" s="3357"/>
      <c r="E2252" s="1396">
        <v>435.53</v>
      </c>
      <c r="F2252" s="3368"/>
      <c r="G2252" s="3369"/>
    </row>
    <row r="2253" spans="1:9" ht="15.75" x14ac:dyDescent="0.25">
      <c r="A2253" s="3358" t="s">
        <v>4074</v>
      </c>
      <c r="B2253" s="3359"/>
      <c r="C2253" s="3359"/>
      <c r="D2253" s="3359"/>
      <c r="E2253" s="3359"/>
      <c r="F2253" s="3360"/>
      <c r="G2253" s="1457">
        <f>G2241+G2242+G2243+G2244+G2245+G2246+G2247+G2248</f>
        <v>437.3266666666666</v>
      </c>
    </row>
    <row r="2254" spans="1:9" ht="17.25" customHeight="1" thickBot="1" x14ac:dyDescent="0.3">
      <c r="A2254" s="3356" t="s">
        <v>4075</v>
      </c>
      <c r="B2254" s="3357"/>
      <c r="C2254" s="3357"/>
      <c r="D2254" s="3357"/>
      <c r="E2254" s="1388">
        <f>E2250-E2251</f>
        <v>1054.3800000000001</v>
      </c>
    </row>
    <row r="2255" spans="1:9" ht="17.25" customHeight="1" thickBot="1" x14ac:dyDescent="0.3">
      <c r="I2255" s="2866" t="s">
        <v>135</v>
      </c>
    </row>
    <row r="2256" spans="1:9" ht="19.5" thickBot="1" x14ac:dyDescent="0.35">
      <c r="A2256" s="3361" t="s">
        <v>4894</v>
      </c>
      <c r="B2256" s="3336"/>
      <c r="C2256" s="3336"/>
      <c r="D2256" s="3336"/>
      <c r="E2256" s="3336"/>
      <c r="F2256" s="3336"/>
      <c r="G2256" s="3337"/>
    </row>
    <row r="2257" spans="1:9" ht="16.5" thickBot="1" x14ac:dyDescent="0.3">
      <c r="A2257" s="1361" t="s">
        <v>4206</v>
      </c>
      <c r="B2257" s="1361" t="s">
        <v>4206</v>
      </c>
      <c r="C2257" s="3370" t="s">
        <v>3</v>
      </c>
      <c r="D2257" s="3371"/>
      <c r="E2257" s="1363" t="s">
        <v>4190</v>
      </c>
      <c r="F2257" s="1363" t="s">
        <v>4191</v>
      </c>
      <c r="G2257" s="1364" t="s">
        <v>382</v>
      </c>
    </row>
    <row r="2258" spans="1:9" x14ac:dyDescent="0.25">
      <c r="A2258" s="1428">
        <v>42655</v>
      </c>
      <c r="B2258" s="1428">
        <v>42655</v>
      </c>
      <c r="C2258" s="3397" t="s">
        <v>4895</v>
      </c>
      <c r="D2258" s="3398"/>
      <c r="E2258" s="1357">
        <v>179.8</v>
      </c>
      <c r="F2258" s="1358">
        <v>3</v>
      </c>
      <c r="G2258" s="1359">
        <f t="shared" ref="G2258:G2265" si="293">E2258/F2258</f>
        <v>59.933333333333337</v>
      </c>
    </row>
    <row r="2259" spans="1:9" x14ac:dyDescent="0.25">
      <c r="A2259" s="1428">
        <v>42671</v>
      </c>
      <c r="B2259" s="1428">
        <v>42671</v>
      </c>
      <c r="C2259" s="3397" t="s">
        <v>4896</v>
      </c>
      <c r="D2259" s="3398"/>
      <c r="E2259" s="1357">
        <v>109.9</v>
      </c>
      <c r="F2259" s="1358">
        <v>2</v>
      </c>
      <c r="G2259" s="1359">
        <f t="shared" si="293"/>
        <v>54.95</v>
      </c>
    </row>
    <row r="2260" spans="1:9" x14ac:dyDescent="0.25">
      <c r="A2260" s="1428">
        <v>42699</v>
      </c>
      <c r="B2260" s="1428">
        <v>42699</v>
      </c>
      <c r="C2260" s="3397" t="s">
        <v>4897</v>
      </c>
      <c r="D2260" s="3398"/>
      <c r="E2260" s="1357">
        <v>279.89999999999998</v>
      </c>
      <c r="F2260" s="1358">
        <v>5</v>
      </c>
      <c r="G2260" s="1359">
        <f t="shared" si="293"/>
        <v>55.98</v>
      </c>
    </row>
    <row r="2261" spans="1:9" x14ac:dyDescent="0.25">
      <c r="A2261" s="1428">
        <v>42702</v>
      </c>
      <c r="B2261" s="1428">
        <v>42702</v>
      </c>
      <c r="C2261" s="3397" t="s">
        <v>4898</v>
      </c>
      <c r="D2261" s="3398"/>
      <c r="E2261" s="1357">
        <v>200</v>
      </c>
      <c r="F2261" s="1358">
        <v>3</v>
      </c>
      <c r="G2261" s="1359">
        <f t="shared" si="293"/>
        <v>66.666666666666671</v>
      </c>
    </row>
    <row r="2262" spans="1:9" x14ac:dyDescent="0.25">
      <c r="A2262" s="1428">
        <v>42705</v>
      </c>
      <c r="B2262" s="1428">
        <v>42705</v>
      </c>
      <c r="C2262" s="3397" t="s">
        <v>4899</v>
      </c>
      <c r="D2262" s="3398"/>
      <c r="E2262" s="1357">
        <v>230</v>
      </c>
      <c r="F2262" s="1358">
        <v>2</v>
      </c>
      <c r="G2262" s="1359">
        <f t="shared" si="293"/>
        <v>115</v>
      </c>
    </row>
    <row r="2263" spans="1:9" x14ac:dyDescent="0.25">
      <c r="A2263" s="1428">
        <v>42713</v>
      </c>
      <c r="B2263" s="1428">
        <v>42713</v>
      </c>
      <c r="C2263" s="3397" t="s">
        <v>4900</v>
      </c>
      <c r="D2263" s="3398"/>
      <c r="E2263" s="1357">
        <v>20</v>
      </c>
      <c r="F2263" s="1358">
        <v>1</v>
      </c>
      <c r="G2263" s="1359">
        <f t="shared" si="293"/>
        <v>20</v>
      </c>
    </row>
    <row r="2264" spans="1:9" x14ac:dyDescent="0.25">
      <c r="A2264" s="1428">
        <v>42722</v>
      </c>
      <c r="B2264" s="1428">
        <v>42722</v>
      </c>
      <c r="C2264" s="3397" t="s">
        <v>1241</v>
      </c>
      <c r="D2264" s="3398"/>
      <c r="E2264" s="1357">
        <v>25</v>
      </c>
      <c r="F2264" s="1358">
        <v>1</v>
      </c>
      <c r="G2264" s="1359">
        <f t="shared" si="293"/>
        <v>25</v>
      </c>
    </row>
    <row r="2265" spans="1:9" x14ac:dyDescent="0.25">
      <c r="A2265" s="1428">
        <v>42724</v>
      </c>
      <c r="B2265" s="1428">
        <v>42724</v>
      </c>
      <c r="C2265" s="3397" t="s">
        <v>4901</v>
      </c>
      <c r="D2265" s="3398"/>
      <c r="E2265" s="1357">
        <v>38</v>
      </c>
      <c r="F2265" s="1358">
        <v>1</v>
      </c>
      <c r="G2265" s="1359">
        <f t="shared" si="293"/>
        <v>38</v>
      </c>
    </row>
    <row r="2266" spans="1:9" x14ac:dyDescent="0.25">
      <c r="A2266" s="1369"/>
      <c r="B2266" s="1369"/>
      <c r="C2266" s="3397"/>
      <c r="D2266" s="3398"/>
      <c r="E2266" s="1357"/>
      <c r="F2266" s="1358"/>
      <c r="G2266" s="1359"/>
    </row>
    <row r="2267" spans="1:9" ht="15.75" x14ac:dyDescent="0.25">
      <c r="A2267" s="3356" t="s">
        <v>4071</v>
      </c>
      <c r="B2267" s="3357"/>
      <c r="C2267" s="3357"/>
      <c r="D2267" s="3357"/>
      <c r="E2267" s="1396">
        <v>1300</v>
      </c>
      <c r="F2267" s="3366"/>
      <c r="G2267" s="3367"/>
    </row>
    <row r="2268" spans="1:9" ht="15.75" x14ac:dyDescent="0.25">
      <c r="A2268" s="3358" t="s">
        <v>4072</v>
      </c>
      <c r="B2268" s="3359"/>
      <c r="C2268" s="3359"/>
      <c r="D2268" s="3359"/>
      <c r="E2268" s="1397">
        <v>788.17999999999984</v>
      </c>
      <c r="F2268" s="3368"/>
      <c r="G2268" s="3369"/>
      <c r="H2268" s="1247" t="s">
        <v>280</v>
      </c>
    </row>
    <row r="2269" spans="1:9" ht="15.75" x14ac:dyDescent="0.25">
      <c r="A2269" s="3356" t="s">
        <v>4073</v>
      </c>
      <c r="B2269" s="3357"/>
      <c r="C2269" s="3357"/>
      <c r="D2269" s="3357"/>
      <c r="E2269" s="1396">
        <v>315.86</v>
      </c>
      <c r="F2269" s="3368"/>
      <c r="G2269" s="3369"/>
    </row>
    <row r="2270" spans="1:9" ht="15.75" x14ac:dyDescent="0.25">
      <c r="A2270" s="3358" t="s">
        <v>4074</v>
      </c>
      <c r="B2270" s="3359"/>
      <c r="C2270" s="3359"/>
      <c r="D2270" s="3359"/>
      <c r="E2270" s="3359"/>
      <c r="F2270" s="3360"/>
      <c r="G2270" s="1457">
        <f>G2258+G2259+G2260+G2261+G2262+G2263+G2264+G2265</f>
        <v>435.53000000000003</v>
      </c>
    </row>
    <row r="2271" spans="1:9" ht="17.25" customHeight="1" thickBot="1" x14ac:dyDescent="0.3">
      <c r="A2271" s="3356" t="s">
        <v>4075</v>
      </c>
      <c r="B2271" s="3357"/>
      <c r="C2271" s="3357"/>
      <c r="D2271" s="3357"/>
      <c r="E2271" s="1388">
        <f>E2267-E2268</f>
        <v>511.82000000000016</v>
      </c>
    </row>
    <row r="2272" spans="1:9" ht="17.25" customHeight="1" thickBot="1" x14ac:dyDescent="0.3">
      <c r="I2272" s="2866" t="s">
        <v>135</v>
      </c>
    </row>
    <row r="2273" spans="1:9" ht="19.5" thickBot="1" x14ac:dyDescent="0.35">
      <c r="A2273" s="3361" t="s">
        <v>4902</v>
      </c>
      <c r="B2273" s="3336"/>
      <c r="C2273" s="3336"/>
      <c r="D2273" s="3336"/>
      <c r="E2273" s="3336"/>
      <c r="F2273" s="3336"/>
      <c r="G2273" s="3337"/>
    </row>
    <row r="2274" spans="1:9" ht="16.5" thickBot="1" x14ac:dyDescent="0.3">
      <c r="A2274" s="1361" t="s">
        <v>4206</v>
      </c>
      <c r="B2274" s="1361" t="s">
        <v>4206</v>
      </c>
      <c r="C2274" s="3370" t="s">
        <v>3</v>
      </c>
      <c r="D2274" s="3371"/>
      <c r="E2274" s="1363" t="s">
        <v>4190</v>
      </c>
      <c r="F2274" s="1363" t="s">
        <v>4191</v>
      </c>
      <c r="G2274" s="1364" t="s">
        <v>382</v>
      </c>
    </row>
    <row r="2275" spans="1:9" x14ac:dyDescent="0.25">
      <c r="A2275" s="1428">
        <v>42655</v>
      </c>
      <c r="B2275" s="1428">
        <v>42655</v>
      </c>
      <c r="C2275" s="3397" t="s">
        <v>4903</v>
      </c>
      <c r="D2275" s="3398"/>
      <c r="E2275" s="1357">
        <v>179.8</v>
      </c>
      <c r="F2275" s="1358">
        <v>3</v>
      </c>
      <c r="G2275" s="1359">
        <f>E2275/F2275</f>
        <v>59.933333333333337</v>
      </c>
    </row>
    <row r="2276" spans="1:9" x14ac:dyDescent="0.25">
      <c r="A2276" s="1428">
        <v>42671</v>
      </c>
      <c r="B2276" s="1428">
        <v>42671</v>
      </c>
      <c r="C2276" s="3397" t="s">
        <v>4904</v>
      </c>
      <c r="D2276" s="3398"/>
      <c r="E2276" s="1357">
        <v>109.9</v>
      </c>
      <c r="F2276" s="1358">
        <v>2</v>
      </c>
      <c r="G2276" s="1359">
        <f>E2276/F2276</f>
        <v>54.95</v>
      </c>
    </row>
    <row r="2277" spans="1:9" x14ac:dyDescent="0.25">
      <c r="A2277" s="1428">
        <v>42672</v>
      </c>
      <c r="B2277" s="1428">
        <v>42672</v>
      </c>
      <c r="C2277" s="3397" t="s">
        <v>1241</v>
      </c>
      <c r="D2277" s="3398"/>
      <c r="E2277" s="1357">
        <v>25</v>
      </c>
      <c r="F2277" s="1358">
        <v>1</v>
      </c>
      <c r="G2277" s="1359">
        <f>E2277/F2277</f>
        <v>25</v>
      </c>
    </row>
    <row r="2278" spans="1:9" x14ac:dyDescent="0.25">
      <c r="A2278" s="1428">
        <v>42685</v>
      </c>
      <c r="B2278" s="1428">
        <v>42685</v>
      </c>
      <c r="C2278" s="3397" t="s">
        <v>4905</v>
      </c>
      <c r="D2278" s="3398"/>
      <c r="E2278" s="1357">
        <v>120</v>
      </c>
      <c r="F2278" s="1358">
        <v>1</v>
      </c>
      <c r="G2278" s="1359">
        <f>E2278/F2278</f>
        <v>120</v>
      </c>
    </row>
    <row r="2279" spans="1:9" x14ac:dyDescent="0.25">
      <c r="A2279" s="1428">
        <v>42699</v>
      </c>
      <c r="B2279" s="1428">
        <v>42699</v>
      </c>
      <c r="C2279" s="3397" t="s">
        <v>4906</v>
      </c>
      <c r="D2279" s="3398"/>
      <c r="E2279" s="1357">
        <v>279.89999999999998</v>
      </c>
      <c r="F2279" s="1358">
        <v>5</v>
      </c>
      <c r="G2279" s="1359">
        <f>E2279/F2279</f>
        <v>55.98</v>
      </c>
    </row>
    <row r="2280" spans="1:9" x14ac:dyDescent="0.25">
      <c r="A2280" s="1369"/>
      <c r="B2280" s="1369"/>
      <c r="C2280" s="3397"/>
      <c r="D2280" s="3398"/>
      <c r="E2280" s="1357"/>
      <c r="F2280" s="1358"/>
      <c r="G2280" s="1359"/>
    </row>
    <row r="2281" spans="1:9" ht="15.75" x14ac:dyDescent="0.25">
      <c r="A2281" s="3356" t="s">
        <v>4071</v>
      </c>
      <c r="B2281" s="3357"/>
      <c r="C2281" s="3357"/>
      <c r="D2281" s="3357"/>
      <c r="E2281" s="1396">
        <v>1300</v>
      </c>
      <c r="F2281" s="3366"/>
      <c r="G2281" s="3367"/>
    </row>
    <row r="2282" spans="1:9" ht="15.75" x14ac:dyDescent="0.25">
      <c r="A2282" s="3358" t="s">
        <v>4072</v>
      </c>
      <c r="B2282" s="3359"/>
      <c r="C2282" s="3359"/>
      <c r="D2282" s="3359"/>
      <c r="E2282" s="1397">
        <v>854.65999999999985</v>
      </c>
      <c r="F2282" s="3368"/>
      <c r="G2282" s="3369"/>
      <c r="H2282" s="1247" t="s">
        <v>280</v>
      </c>
    </row>
    <row r="2283" spans="1:9" ht="15.75" x14ac:dyDescent="0.25">
      <c r="A2283" s="3356" t="s">
        <v>4073</v>
      </c>
      <c r="B2283" s="3357"/>
      <c r="C2283" s="3357"/>
      <c r="D2283" s="3357"/>
      <c r="E2283" s="1396">
        <v>365.92</v>
      </c>
      <c r="F2283" s="3368"/>
      <c r="G2283" s="3369"/>
    </row>
    <row r="2284" spans="1:9" ht="15.75" x14ac:dyDescent="0.25">
      <c r="A2284" s="3358" t="s">
        <v>4074</v>
      </c>
      <c r="B2284" s="3359"/>
      <c r="C2284" s="3359"/>
      <c r="D2284" s="3359"/>
      <c r="E2284" s="3359"/>
      <c r="F2284" s="3360"/>
      <c r="G2284" s="1457">
        <f>G2275+G2276+G2277+G2278+G2279</f>
        <v>315.86333333333334</v>
      </c>
    </row>
    <row r="2285" spans="1:9" ht="17.25" customHeight="1" thickBot="1" x14ac:dyDescent="0.3">
      <c r="A2285" s="3356" t="s">
        <v>4075</v>
      </c>
      <c r="B2285" s="3357"/>
      <c r="C2285" s="3357"/>
      <c r="D2285" s="3357"/>
      <c r="E2285" s="1388">
        <f>E2281-E2282</f>
        <v>445.34000000000015</v>
      </c>
    </row>
    <row r="2286" spans="1:9" ht="17.25" customHeight="1" thickBot="1" x14ac:dyDescent="0.3">
      <c r="I2286" s="2866" t="s">
        <v>135</v>
      </c>
    </row>
    <row r="2287" spans="1:9" ht="19.5" thickBot="1" x14ac:dyDescent="0.35">
      <c r="A2287" s="3361" t="s">
        <v>4907</v>
      </c>
      <c r="B2287" s="3336"/>
      <c r="C2287" s="3336"/>
      <c r="D2287" s="3336"/>
      <c r="E2287" s="3336"/>
      <c r="F2287" s="3336"/>
      <c r="G2287" s="3337"/>
    </row>
    <row r="2288" spans="1:9" ht="16.5" thickBot="1" x14ac:dyDescent="0.3">
      <c r="A2288" s="1361" t="s">
        <v>4206</v>
      </c>
      <c r="B2288" s="1361" t="s">
        <v>4206</v>
      </c>
      <c r="C2288" s="3370" t="s">
        <v>3</v>
      </c>
      <c r="D2288" s="3371"/>
      <c r="E2288" s="1363" t="s">
        <v>4190</v>
      </c>
      <c r="F2288" s="1363" t="s">
        <v>4191</v>
      </c>
      <c r="G2288" s="1364" t="s">
        <v>382</v>
      </c>
    </row>
    <row r="2289" spans="1:9" x14ac:dyDescent="0.25">
      <c r="A2289" s="1428">
        <v>42628</v>
      </c>
      <c r="B2289" s="1428">
        <v>42628</v>
      </c>
      <c r="C2289" s="3397" t="s">
        <v>4908</v>
      </c>
      <c r="D2289" s="3398"/>
      <c r="E2289" s="1357">
        <v>500</v>
      </c>
      <c r="F2289" s="1358">
        <v>2</v>
      </c>
      <c r="G2289" s="1359">
        <f>E2289/F2289</f>
        <v>250</v>
      </c>
    </row>
    <row r="2290" spans="1:9" x14ac:dyDescent="0.25">
      <c r="A2290" s="1428">
        <v>42655</v>
      </c>
      <c r="B2290" s="1428">
        <v>42655</v>
      </c>
      <c r="C2290" s="3397" t="s">
        <v>4909</v>
      </c>
      <c r="D2290" s="3398"/>
      <c r="E2290" s="1357">
        <v>179.8</v>
      </c>
      <c r="F2290" s="1358">
        <v>3</v>
      </c>
      <c r="G2290" s="1359">
        <f>E2290/F2290</f>
        <v>59.933333333333337</v>
      </c>
    </row>
    <row r="2291" spans="1:9" x14ac:dyDescent="0.25">
      <c r="A2291" s="1428">
        <v>42656</v>
      </c>
      <c r="B2291" s="1428">
        <v>42656</v>
      </c>
      <c r="C2291" s="3397" t="s">
        <v>4910</v>
      </c>
      <c r="D2291" s="3398"/>
      <c r="E2291" s="1357">
        <v>30</v>
      </c>
      <c r="F2291" s="1358">
        <v>1</v>
      </c>
      <c r="G2291" s="1359">
        <f>E2291/F2291</f>
        <v>30</v>
      </c>
    </row>
    <row r="2292" spans="1:9" x14ac:dyDescent="0.25">
      <c r="A2292" s="1428">
        <v>42664</v>
      </c>
      <c r="B2292" s="1428">
        <v>42664</v>
      </c>
      <c r="C2292" s="3397" t="s">
        <v>4911</v>
      </c>
      <c r="D2292" s="3398"/>
      <c r="E2292" s="1357">
        <v>25.99</v>
      </c>
      <c r="F2292" s="1358">
        <v>1</v>
      </c>
      <c r="G2292" s="1359">
        <f>E2292/F2292</f>
        <v>25.99</v>
      </c>
    </row>
    <row r="2293" spans="1:9" x14ac:dyDescent="0.25">
      <c r="A2293" s="1369"/>
      <c r="B2293" s="1369"/>
      <c r="C2293" s="3397"/>
      <c r="D2293" s="3398"/>
      <c r="E2293" s="1357"/>
      <c r="F2293" s="1358"/>
      <c r="G2293" s="1359"/>
    </row>
    <row r="2294" spans="1:9" ht="15.75" x14ac:dyDescent="0.25">
      <c r="A2294" s="3356" t="s">
        <v>4071</v>
      </c>
      <c r="B2294" s="3357"/>
      <c r="C2294" s="3357"/>
      <c r="D2294" s="3357"/>
      <c r="E2294" s="1396">
        <v>1300</v>
      </c>
      <c r="F2294" s="3366"/>
      <c r="G2294" s="3367"/>
    </row>
    <row r="2295" spans="1:9" ht="15.75" x14ac:dyDescent="0.25">
      <c r="A2295" s="3358" t="s">
        <v>4072</v>
      </c>
      <c r="B2295" s="3359"/>
      <c r="C2295" s="3359"/>
      <c r="D2295" s="3359"/>
      <c r="E2295" s="1397">
        <v>485.78</v>
      </c>
      <c r="F2295" s="3368"/>
      <c r="G2295" s="3369"/>
      <c r="H2295" s="1247" t="s">
        <v>280</v>
      </c>
    </row>
    <row r="2296" spans="1:9" ht="15.75" x14ac:dyDescent="0.25">
      <c r="A2296" s="3356" t="s">
        <v>4073</v>
      </c>
      <c r="B2296" s="3357"/>
      <c r="C2296" s="3357"/>
      <c r="D2296" s="3357"/>
      <c r="E2296" s="1396">
        <v>513.33000000000004</v>
      </c>
      <c r="F2296" s="3368"/>
      <c r="G2296" s="3369"/>
    </row>
    <row r="2297" spans="1:9" ht="15.75" x14ac:dyDescent="0.25">
      <c r="A2297" s="3358" t="s">
        <v>4074</v>
      </c>
      <c r="B2297" s="3359"/>
      <c r="C2297" s="3359"/>
      <c r="D2297" s="3359"/>
      <c r="E2297" s="3359"/>
      <c r="F2297" s="3360"/>
      <c r="G2297" s="1457">
        <f>G2289+G2290+G2291+G2292</f>
        <v>365.92333333333335</v>
      </c>
    </row>
    <row r="2298" spans="1:9" ht="17.25" customHeight="1" thickBot="1" x14ac:dyDescent="0.3">
      <c r="A2298" s="3356" t="s">
        <v>4075</v>
      </c>
      <c r="B2298" s="3357"/>
      <c r="C2298" s="3357"/>
      <c r="D2298" s="3357"/>
      <c r="E2298" s="1388">
        <f>E2294-E2295</f>
        <v>814.22</v>
      </c>
    </row>
    <row r="2299" spans="1:9" ht="17.25" customHeight="1" thickBot="1" x14ac:dyDescent="0.3">
      <c r="I2299" s="2866" t="s">
        <v>135</v>
      </c>
    </row>
    <row r="2300" spans="1:9" ht="19.5" thickBot="1" x14ac:dyDescent="0.35">
      <c r="A2300" s="3361" t="s">
        <v>4912</v>
      </c>
      <c r="B2300" s="3336"/>
      <c r="C2300" s="3336"/>
      <c r="D2300" s="3336"/>
      <c r="E2300" s="3336"/>
      <c r="F2300" s="3336"/>
      <c r="G2300" s="3337"/>
    </row>
    <row r="2301" spans="1:9" ht="16.5" thickBot="1" x14ac:dyDescent="0.3">
      <c r="A2301" s="1361" t="s">
        <v>4206</v>
      </c>
      <c r="B2301" s="1361" t="s">
        <v>4206</v>
      </c>
      <c r="C2301" s="3370" t="s">
        <v>3</v>
      </c>
      <c r="D2301" s="3371"/>
      <c r="E2301" s="1363" t="s">
        <v>4190</v>
      </c>
      <c r="F2301" s="1363" t="s">
        <v>4191</v>
      </c>
      <c r="G2301" s="1364" t="s">
        <v>382</v>
      </c>
    </row>
    <row r="2302" spans="1:9" ht="14.25" customHeight="1" x14ac:dyDescent="0.25">
      <c r="A2302" s="1428">
        <v>42563</v>
      </c>
      <c r="B2302" s="1428">
        <v>42563</v>
      </c>
      <c r="C2302" s="3397" t="s">
        <v>4913</v>
      </c>
      <c r="D2302" s="3398"/>
      <c r="E2302" s="1357">
        <v>100</v>
      </c>
      <c r="F2302" s="1358">
        <v>3</v>
      </c>
      <c r="G2302" s="1359">
        <f>E2302/F2302</f>
        <v>33.333333333333336</v>
      </c>
    </row>
    <row r="2303" spans="1:9" x14ac:dyDescent="0.25">
      <c r="A2303" s="1428">
        <v>42584</v>
      </c>
      <c r="B2303" s="1428">
        <v>42584</v>
      </c>
      <c r="C2303" s="3397" t="s">
        <v>4914</v>
      </c>
      <c r="D2303" s="3398"/>
      <c r="E2303" s="1357">
        <v>200</v>
      </c>
      <c r="F2303" s="1358">
        <v>2</v>
      </c>
      <c r="G2303" s="1359">
        <v>100</v>
      </c>
    </row>
    <row r="2304" spans="1:9" x14ac:dyDescent="0.25">
      <c r="A2304" s="1428">
        <v>42611</v>
      </c>
      <c r="B2304" s="1428">
        <v>42611</v>
      </c>
      <c r="C2304" s="3397" t="s">
        <v>1241</v>
      </c>
      <c r="D2304" s="3398"/>
      <c r="E2304" s="1357">
        <v>25</v>
      </c>
      <c r="F2304" s="1358">
        <v>1</v>
      </c>
      <c r="G2304" s="1359">
        <v>25</v>
      </c>
    </row>
    <row r="2305" spans="1:9" x14ac:dyDescent="0.25">
      <c r="A2305" s="1428">
        <v>42622</v>
      </c>
      <c r="B2305" s="1428">
        <v>42622</v>
      </c>
      <c r="C2305" s="3397" t="s">
        <v>4915</v>
      </c>
      <c r="D2305" s="3398"/>
      <c r="E2305" s="1357">
        <v>65</v>
      </c>
      <c r="F2305" s="1358">
        <v>1</v>
      </c>
      <c r="G2305" s="1359">
        <f>E2305/F2305</f>
        <v>65</v>
      </c>
    </row>
    <row r="2306" spans="1:9" x14ac:dyDescent="0.25">
      <c r="A2306" s="1428">
        <v>42628</v>
      </c>
      <c r="B2306" s="1428">
        <v>42628</v>
      </c>
      <c r="C2306" s="3397" t="s">
        <v>4916</v>
      </c>
      <c r="D2306" s="3398"/>
      <c r="E2306" s="1357">
        <v>500</v>
      </c>
      <c r="F2306" s="1358">
        <v>2</v>
      </c>
      <c r="G2306" s="1359">
        <f>E2306/F2306</f>
        <v>250</v>
      </c>
    </row>
    <row r="2307" spans="1:9" x14ac:dyDescent="0.25">
      <c r="A2307" s="1428">
        <v>42629</v>
      </c>
      <c r="B2307" s="1428">
        <v>42629</v>
      </c>
      <c r="C2307" s="3397" t="s">
        <v>4917</v>
      </c>
      <c r="D2307" s="3398"/>
      <c r="E2307" s="1357">
        <v>40</v>
      </c>
      <c r="F2307" s="1358">
        <v>1</v>
      </c>
      <c r="G2307" s="1359">
        <f>E2307/F2307</f>
        <v>40</v>
      </c>
    </row>
    <row r="2308" spans="1:9" x14ac:dyDescent="0.25">
      <c r="A2308" s="1369"/>
      <c r="B2308" s="1369"/>
      <c r="C2308" s="3397"/>
      <c r="D2308" s="3398"/>
      <c r="E2308" s="1357"/>
      <c r="F2308" s="1358"/>
      <c r="G2308" s="1359"/>
    </row>
    <row r="2309" spans="1:9" ht="15.75" x14ac:dyDescent="0.25">
      <c r="A2309" s="3356" t="s">
        <v>4071</v>
      </c>
      <c r="B2309" s="3357"/>
      <c r="C2309" s="3357"/>
      <c r="D2309" s="3357"/>
      <c r="E2309" s="1396">
        <v>1300</v>
      </c>
      <c r="F2309" s="3366"/>
      <c r="G2309" s="3367"/>
    </row>
    <row r="2310" spans="1:9" ht="15.75" x14ac:dyDescent="0.25">
      <c r="A2310" s="3358" t="s">
        <v>4072</v>
      </c>
      <c r="B2310" s="3359"/>
      <c r="C2310" s="3359"/>
      <c r="D2310" s="3359"/>
      <c r="E2310" s="1397">
        <v>763.33</v>
      </c>
      <c r="F2310" s="3368"/>
      <c r="G2310" s="3369"/>
      <c r="H2310" s="1247" t="s">
        <v>280</v>
      </c>
    </row>
    <row r="2311" spans="1:9" ht="15.75" x14ac:dyDescent="0.25">
      <c r="A2311" s="3356" t="s">
        <v>4073</v>
      </c>
      <c r="B2311" s="3357"/>
      <c r="C2311" s="3357"/>
      <c r="D2311" s="3357"/>
      <c r="E2311" s="1396">
        <v>353.13</v>
      </c>
      <c r="F2311" s="3368"/>
      <c r="G2311" s="3369"/>
    </row>
    <row r="2312" spans="1:9" ht="15.75" x14ac:dyDescent="0.25">
      <c r="A2312" s="3358" t="s">
        <v>4074</v>
      </c>
      <c r="B2312" s="3359"/>
      <c r="C2312" s="3359"/>
      <c r="D2312" s="3359"/>
      <c r="E2312" s="3359"/>
      <c r="F2312" s="3360"/>
      <c r="G2312" s="1457">
        <f>G2302+G2303+G2305+G2304+G2306+G2307</f>
        <v>513.33333333333337</v>
      </c>
    </row>
    <row r="2313" spans="1:9" ht="17.25" customHeight="1" thickBot="1" x14ac:dyDescent="0.3">
      <c r="A2313" s="3356" t="s">
        <v>4075</v>
      </c>
      <c r="B2313" s="3357"/>
      <c r="C2313" s="3357"/>
      <c r="D2313" s="3357"/>
      <c r="E2313" s="1388">
        <f>E2309-E2310</f>
        <v>536.66999999999996</v>
      </c>
    </row>
    <row r="2314" spans="1:9" ht="17.25" customHeight="1" thickBot="1" x14ac:dyDescent="0.3">
      <c r="I2314" s="2866" t="s">
        <v>135</v>
      </c>
    </row>
    <row r="2315" spans="1:9" ht="19.5" thickBot="1" x14ac:dyDescent="0.35">
      <c r="A2315" s="3361" t="s">
        <v>4918</v>
      </c>
      <c r="B2315" s="3336"/>
      <c r="C2315" s="3336"/>
      <c r="D2315" s="3336"/>
      <c r="E2315" s="3336"/>
      <c r="F2315" s="3336"/>
      <c r="G2315" s="3337"/>
    </row>
    <row r="2316" spans="1:9" ht="16.5" thickBot="1" x14ac:dyDescent="0.3">
      <c r="A2316" s="1361" t="s">
        <v>4206</v>
      </c>
      <c r="B2316" s="1361" t="s">
        <v>4206</v>
      </c>
      <c r="C2316" s="3370" t="s">
        <v>3</v>
      </c>
      <c r="D2316" s="3371"/>
      <c r="E2316" s="1363" t="s">
        <v>4190</v>
      </c>
      <c r="F2316" s="1363" t="s">
        <v>4191</v>
      </c>
      <c r="G2316" s="1364" t="s">
        <v>382</v>
      </c>
    </row>
    <row r="2317" spans="1:9" x14ac:dyDescent="0.25">
      <c r="A2317" s="1428">
        <v>42389</v>
      </c>
      <c r="B2317" s="1428">
        <v>42389</v>
      </c>
      <c r="C2317" s="3397" t="s">
        <v>4919</v>
      </c>
      <c r="D2317" s="3398"/>
      <c r="E2317" s="1357">
        <v>1011</v>
      </c>
      <c r="F2317" s="1358">
        <v>8</v>
      </c>
      <c r="G2317" s="1359">
        <f>E2317/F2317</f>
        <v>126.375</v>
      </c>
    </row>
    <row r="2318" spans="1:9" x14ac:dyDescent="0.25">
      <c r="A2318" s="1428">
        <v>42560</v>
      </c>
      <c r="B2318" s="1428">
        <v>42560</v>
      </c>
      <c r="C2318" s="3397" t="s">
        <v>4920</v>
      </c>
      <c r="D2318" s="3398"/>
      <c r="E2318" s="1357">
        <v>114</v>
      </c>
      <c r="F2318" s="1358">
        <v>2</v>
      </c>
      <c r="G2318" s="1359">
        <f>E2318/F2318</f>
        <v>57</v>
      </c>
    </row>
    <row r="2319" spans="1:9" x14ac:dyDescent="0.25">
      <c r="A2319" s="1428">
        <v>42563</v>
      </c>
      <c r="B2319" s="1428">
        <v>42563</v>
      </c>
      <c r="C2319" s="3397" t="s">
        <v>4921</v>
      </c>
      <c r="D2319" s="3398"/>
      <c r="E2319" s="1357">
        <v>100</v>
      </c>
      <c r="F2319" s="1358">
        <v>3</v>
      </c>
      <c r="G2319" s="1359">
        <f>E2319/F2319</f>
        <v>33.333333333333336</v>
      </c>
    </row>
    <row r="2320" spans="1:9" x14ac:dyDescent="0.25">
      <c r="A2320" s="1428">
        <v>42581</v>
      </c>
      <c r="B2320" s="1428">
        <v>42581</v>
      </c>
      <c r="C2320" s="3397" t="s">
        <v>4922</v>
      </c>
      <c r="D2320" s="3398"/>
      <c r="E2320" s="1357">
        <v>36.42</v>
      </c>
      <c r="F2320" s="1358">
        <v>1</v>
      </c>
      <c r="G2320" s="1359">
        <f>E2320/F2320</f>
        <v>36.42</v>
      </c>
    </row>
    <row r="2321" spans="1:10" x14ac:dyDescent="0.25">
      <c r="A2321" s="1428">
        <v>42584</v>
      </c>
      <c r="B2321" s="1428">
        <v>42584</v>
      </c>
      <c r="C2321" s="3397" t="s">
        <v>4923</v>
      </c>
      <c r="D2321" s="3398"/>
      <c r="E2321" s="1357">
        <v>200</v>
      </c>
      <c r="F2321" s="1358">
        <v>2</v>
      </c>
      <c r="G2321" s="1359">
        <f>E2321/F2321</f>
        <v>100</v>
      </c>
    </row>
    <row r="2322" spans="1:10" x14ac:dyDescent="0.25">
      <c r="A2322" s="1369"/>
      <c r="B2322" s="1369"/>
      <c r="C2322" s="3397"/>
      <c r="D2322" s="3398"/>
      <c r="E2322" s="1357"/>
      <c r="F2322" s="1358"/>
      <c r="G2322" s="1359"/>
    </row>
    <row r="2323" spans="1:10" ht="15.75" x14ac:dyDescent="0.25">
      <c r="A2323" s="3356" t="s">
        <v>4071</v>
      </c>
      <c r="B2323" s="3357"/>
      <c r="C2323" s="3357"/>
      <c r="D2323" s="3357"/>
      <c r="E2323" s="1396">
        <v>1300</v>
      </c>
      <c r="F2323" s="3366"/>
      <c r="G2323" s="3367"/>
    </row>
    <row r="2324" spans="1:10" ht="15.75" x14ac:dyDescent="0.25">
      <c r="A2324" s="3358" t="s">
        <v>4072</v>
      </c>
      <c r="B2324" s="3359"/>
      <c r="C2324" s="3359"/>
      <c r="D2324" s="3359"/>
      <c r="E2324" s="1397">
        <v>480.04</v>
      </c>
      <c r="F2324" s="3368"/>
      <c r="G2324" s="3369"/>
      <c r="H2324" s="1247" t="s">
        <v>280</v>
      </c>
    </row>
    <row r="2325" spans="1:10" ht="15.75" x14ac:dyDescent="0.25">
      <c r="A2325" s="3356" t="s">
        <v>4073</v>
      </c>
      <c r="B2325" s="3357"/>
      <c r="C2325" s="3357"/>
      <c r="D2325" s="3357"/>
      <c r="E2325" s="1396">
        <v>306.98</v>
      </c>
      <c r="F2325" s="3368"/>
      <c r="G2325" s="3369"/>
    </row>
    <row r="2326" spans="1:10" ht="15.75" x14ac:dyDescent="0.25">
      <c r="A2326" s="3358" t="s">
        <v>4074</v>
      </c>
      <c r="B2326" s="3359"/>
      <c r="C2326" s="3359"/>
      <c r="D2326" s="3359"/>
      <c r="E2326" s="3359"/>
      <c r="F2326" s="3360"/>
      <c r="G2326" s="1457">
        <f>G2317+G2318+G2319+G2320+G2321</f>
        <v>353.12833333333333</v>
      </c>
    </row>
    <row r="2327" spans="1:10" ht="17.25" customHeight="1" thickBot="1" x14ac:dyDescent="0.3">
      <c r="A2327" s="3356" t="s">
        <v>4075</v>
      </c>
      <c r="B2327" s="3357"/>
      <c r="C2327" s="3357"/>
      <c r="D2327" s="3357"/>
      <c r="E2327" s="1388">
        <f>E2323-E2324</f>
        <v>819.96</v>
      </c>
    </row>
    <row r="2328" spans="1:10" ht="17.25" customHeight="1" thickBot="1" x14ac:dyDescent="0.3">
      <c r="I2328" s="2866" t="s">
        <v>135</v>
      </c>
    </row>
    <row r="2329" spans="1:10" ht="19.5" thickBot="1" x14ac:dyDescent="0.35">
      <c r="A2329" s="3361" t="s">
        <v>4924</v>
      </c>
      <c r="B2329" s="3336"/>
      <c r="C2329" s="3336"/>
      <c r="D2329" s="3336"/>
      <c r="E2329" s="3336"/>
      <c r="F2329" s="3336"/>
      <c r="G2329" s="3337"/>
    </row>
    <row r="2330" spans="1:10" ht="16.5" thickBot="1" x14ac:dyDescent="0.3">
      <c r="A2330" s="1361" t="s">
        <v>4206</v>
      </c>
      <c r="B2330" s="1361" t="s">
        <v>4206</v>
      </c>
      <c r="C2330" s="3370" t="s">
        <v>3</v>
      </c>
      <c r="D2330" s="3371"/>
      <c r="E2330" s="1363" t="s">
        <v>4190</v>
      </c>
      <c r="F2330" s="1363" t="s">
        <v>4191</v>
      </c>
      <c r="G2330" s="1364" t="s">
        <v>382</v>
      </c>
    </row>
    <row r="2331" spans="1:10" x14ac:dyDescent="0.25">
      <c r="A2331" s="1428">
        <v>42389</v>
      </c>
      <c r="B2331" s="1428">
        <v>42389</v>
      </c>
      <c r="C2331" s="3397" t="s">
        <v>4925</v>
      </c>
      <c r="D2331" s="3398"/>
      <c r="E2331" s="1357">
        <v>1011</v>
      </c>
      <c r="F2331" s="1358">
        <v>8</v>
      </c>
      <c r="G2331" s="1359">
        <f t="shared" ref="G2331:G2336" si="294">E2331/F2331</f>
        <v>126.375</v>
      </c>
    </row>
    <row r="2332" spans="1:10" x14ac:dyDescent="0.25">
      <c r="A2332" s="1428">
        <v>42527</v>
      </c>
      <c r="B2332" s="1428">
        <v>42527</v>
      </c>
      <c r="C2332" s="3389" t="s">
        <v>4926</v>
      </c>
      <c r="D2332" s="3390"/>
      <c r="E2332" s="1429">
        <v>80</v>
      </c>
      <c r="F2332" s="1430">
        <v>2</v>
      </c>
      <c r="G2332" s="1359">
        <f t="shared" si="294"/>
        <v>40</v>
      </c>
    </row>
    <row r="2333" spans="1:10" x14ac:dyDescent="0.25">
      <c r="A2333" s="1428">
        <v>42550</v>
      </c>
      <c r="B2333" s="1428">
        <v>42550</v>
      </c>
      <c r="C2333" s="3397" t="s">
        <v>1241</v>
      </c>
      <c r="D2333" s="3398"/>
      <c r="E2333" s="1357">
        <v>25</v>
      </c>
      <c r="F2333" s="1358">
        <v>1</v>
      </c>
      <c r="G2333" s="1359">
        <f t="shared" si="294"/>
        <v>25</v>
      </c>
      <c r="J2333" s="1341"/>
    </row>
    <row r="2334" spans="1:10" x14ac:dyDescent="0.25">
      <c r="A2334" s="1428">
        <v>42560</v>
      </c>
      <c r="B2334" s="1428">
        <v>42560</v>
      </c>
      <c r="C2334" s="3397" t="s">
        <v>4927</v>
      </c>
      <c r="D2334" s="3398"/>
      <c r="E2334" s="1357">
        <v>114.54</v>
      </c>
      <c r="F2334" s="1358">
        <v>2</v>
      </c>
      <c r="G2334" s="1359">
        <f t="shared" si="294"/>
        <v>57.27</v>
      </c>
    </row>
    <row r="2335" spans="1:10" x14ac:dyDescent="0.25">
      <c r="A2335" s="1428">
        <v>42563</v>
      </c>
      <c r="B2335" s="1428">
        <v>42563</v>
      </c>
      <c r="C2335" s="3397" t="s">
        <v>4928</v>
      </c>
      <c r="D2335" s="3398"/>
      <c r="E2335" s="1357">
        <v>100</v>
      </c>
      <c r="F2335" s="1358">
        <v>3</v>
      </c>
      <c r="G2335" s="1359">
        <f t="shared" si="294"/>
        <v>33.333333333333336</v>
      </c>
    </row>
    <row r="2336" spans="1:10" x14ac:dyDescent="0.25">
      <c r="A2336" s="1428">
        <v>42577</v>
      </c>
      <c r="B2336" s="1428">
        <v>42577</v>
      </c>
      <c r="C2336" s="3397" t="s">
        <v>1241</v>
      </c>
      <c r="D2336" s="3398"/>
      <c r="E2336" s="1357">
        <v>25</v>
      </c>
      <c r="F2336" s="1358">
        <v>1</v>
      </c>
      <c r="G2336" s="1359">
        <f t="shared" si="294"/>
        <v>25</v>
      </c>
    </row>
    <row r="2337" spans="1:9" x14ac:dyDescent="0.25">
      <c r="A2337" s="1369"/>
      <c r="B2337" s="1369"/>
      <c r="C2337" s="3397"/>
      <c r="D2337" s="3398"/>
      <c r="E2337" s="1357"/>
      <c r="F2337" s="1358"/>
      <c r="G2337" s="1359"/>
    </row>
    <row r="2338" spans="1:9" ht="15.75" x14ac:dyDescent="0.25">
      <c r="A2338" s="3356" t="s">
        <v>4071</v>
      </c>
      <c r="B2338" s="3357"/>
      <c r="C2338" s="3357"/>
      <c r="D2338" s="3357"/>
      <c r="E2338" s="1396">
        <v>1300</v>
      </c>
      <c r="F2338" s="3366"/>
      <c r="G2338" s="3367"/>
    </row>
    <row r="2339" spans="1:9" ht="15.75" x14ac:dyDescent="0.25">
      <c r="A2339" s="3358" t="s">
        <v>4072</v>
      </c>
      <c r="B2339" s="3359"/>
      <c r="C2339" s="3359"/>
      <c r="D2339" s="3359"/>
      <c r="E2339" s="1397">
        <v>557.29</v>
      </c>
      <c r="F2339" s="3368"/>
      <c r="G2339" s="3369"/>
      <c r="H2339" s="1247" t="s">
        <v>280</v>
      </c>
    </row>
    <row r="2340" spans="1:9" ht="15.75" x14ac:dyDescent="0.25">
      <c r="A2340" s="3356" t="s">
        <v>4073</v>
      </c>
      <c r="B2340" s="3357"/>
      <c r="C2340" s="3357"/>
      <c r="D2340" s="3357"/>
      <c r="E2340" s="1396">
        <v>433.04</v>
      </c>
      <c r="F2340" s="3368"/>
      <c r="G2340" s="3369"/>
    </row>
    <row r="2341" spans="1:9" ht="15.75" x14ac:dyDescent="0.25">
      <c r="A2341" s="3358" t="s">
        <v>4074</v>
      </c>
      <c r="B2341" s="3359"/>
      <c r="C2341" s="3359"/>
      <c r="D2341" s="3359"/>
      <c r="E2341" s="3359"/>
      <c r="F2341" s="3360"/>
      <c r="G2341" s="1457">
        <f>G2331+G2332+G2333+G2334+G2335+G2336</f>
        <v>306.97833333333335</v>
      </c>
    </row>
    <row r="2342" spans="1:9" ht="17.25" customHeight="1" thickBot="1" x14ac:dyDescent="0.3">
      <c r="A2342" s="3356" t="s">
        <v>4075</v>
      </c>
      <c r="B2342" s="3357"/>
      <c r="C2342" s="3357"/>
      <c r="D2342" s="3357"/>
      <c r="E2342" s="1388">
        <f>E2338-E2339</f>
        <v>742.71</v>
      </c>
    </row>
    <row r="2343" spans="1:9" ht="17.25" customHeight="1" thickBot="1" x14ac:dyDescent="0.3">
      <c r="I2343" s="2866" t="s">
        <v>135</v>
      </c>
    </row>
    <row r="2344" spans="1:9" ht="19.5" thickBot="1" x14ac:dyDescent="0.35">
      <c r="A2344" s="3361" t="s">
        <v>4929</v>
      </c>
      <c r="B2344" s="3336"/>
      <c r="C2344" s="3336"/>
      <c r="D2344" s="3336"/>
      <c r="E2344" s="3336"/>
      <c r="F2344" s="3336"/>
      <c r="G2344" s="3337"/>
    </row>
    <row r="2345" spans="1:9" ht="16.5" thickBot="1" x14ac:dyDescent="0.3">
      <c r="A2345" s="1361" t="s">
        <v>4206</v>
      </c>
      <c r="B2345" s="1361" t="s">
        <v>4206</v>
      </c>
      <c r="C2345" s="3370" t="s">
        <v>3</v>
      </c>
      <c r="D2345" s="3371"/>
      <c r="E2345" s="1363" t="s">
        <v>4190</v>
      </c>
      <c r="F2345" s="1363" t="s">
        <v>4191</v>
      </c>
      <c r="G2345" s="1364" t="s">
        <v>382</v>
      </c>
    </row>
    <row r="2346" spans="1:9" x14ac:dyDescent="0.25">
      <c r="A2346" s="1428">
        <v>42389</v>
      </c>
      <c r="B2346" s="1428">
        <v>42389</v>
      </c>
      <c r="C2346" s="3397" t="s">
        <v>4930</v>
      </c>
      <c r="D2346" s="3398"/>
      <c r="E2346" s="1357">
        <v>1011</v>
      </c>
      <c r="F2346" s="1358">
        <v>8</v>
      </c>
      <c r="G2346" s="1359">
        <f>E2346/F2346</f>
        <v>126.375</v>
      </c>
    </row>
    <row r="2347" spans="1:9" x14ac:dyDescent="0.25">
      <c r="A2347" s="1428">
        <v>42480</v>
      </c>
      <c r="B2347" s="1428">
        <v>42480</v>
      </c>
      <c r="C2347" s="3389" t="s">
        <v>4931</v>
      </c>
      <c r="D2347" s="3390"/>
      <c r="E2347" s="1429">
        <v>140</v>
      </c>
      <c r="F2347" s="1430">
        <v>3</v>
      </c>
      <c r="G2347" s="1431">
        <f>E2347/F2347</f>
        <v>46.666666666666664</v>
      </c>
    </row>
    <row r="2348" spans="1:9" x14ac:dyDescent="0.25">
      <c r="A2348" s="1428">
        <v>42493</v>
      </c>
      <c r="B2348" s="1428">
        <v>42493</v>
      </c>
      <c r="C2348" s="3389" t="s">
        <v>4932</v>
      </c>
      <c r="D2348" s="3390"/>
      <c r="E2348" s="1429">
        <v>440</v>
      </c>
      <c r="F2348" s="1430">
        <v>2</v>
      </c>
      <c r="G2348" s="1431">
        <f>E2348/F2348</f>
        <v>220</v>
      </c>
    </row>
    <row r="2349" spans="1:9" x14ac:dyDescent="0.25">
      <c r="A2349" s="1428">
        <v>42527</v>
      </c>
      <c r="B2349" s="1428">
        <v>42527</v>
      </c>
      <c r="C2349" s="3389" t="s">
        <v>4933</v>
      </c>
      <c r="D2349" s="3390"/>
      <c r="E2349" s="1429">
        <v>80</v>
      </c>
      <c r="F2349" s="1430">
        <v>2</v>
      </c>
      <c r="G2349" s="1431">
        <f>E2349/F2349</f>
        <v>40</v>
      </c>
    </row>
    <row r="2350" spans="1:9" x14ac:dyDescent="0.25">
      <c r="A2350" s="1369"/>
      <c r="B2350" s="1369"/>
      <c r="C2350" s="3397"/>
      <c r="D2350" s="3398"/>
      <c r="E2350" s="1357"/>
      <c r="F2350" s="1358"/>
      <c r="G2350" s="1359"/>
    </row>
    <row r="2351" spans="1:9" ht="15.75" x14ac:dyDescent="0.25">
      <c r="A2351" s="3356" t="s">
        <v>4071</v>
      </c>
      <c r="B2351" s="3357"/>
      <c r="C2351" s="3357"/>
      <c r="D2351" s="3357"/>
      <c r="E2351" s="1396">
        <v>1300</v>
      </c>
      <c r="F2351" s="3366"/>
      <c r="G2351" s="3367"/>
    </row>
    <row r="2352" spans="1:9" ht="15.75" x14ac:dyDescent="0.25">
      <c r="A2352" s="3358" t="s">
        <v>4072</v>
      </c>
      <c r="B2352" s="3359"/>
      <c r="C2352" s="3359"/>
      <c r="D2352" s="3359"/>
      <c r="E2352" s="1397">
        <v>725.80999999999983</v>
      </c>
      <c r="F2352" s="3368"/>
      <c r="G2352" s="3369"/>
      <c r="H2352" s="1247" t="s">
        <v>280</v>
      </c>
    </row>
    <row r="2353" spans="1:9" ht="15.75" x14ac:dyDescent="0.25">
      <c r="A2353" s="3356" t="s">
        <v>4073</v>
      </c>
      <c r="B2353" s="3357"/>
      <c r="C2353" s="3357"/>
      <c r="D2353" s="3357"/>
      <c r="E2353" s="1396">
        <v>605.04</v>
      </c>
      <c r="F2353" s="3368"/>
      <c r="G2353" s="3369"/>
    </row>
    <row r="2354" spans="1:9" ht="15.75" x14ac:dyDescent="0.25">
      <c r="A2354" s="3358" t="s">
        <v>4074</v>
      </c>
      <c r="B2354" s="3359"/>
      <c r="C2354" s="3359"/>
      <c r="D2354" s="3359"/>
      <c r="E2354" s="3359"/>
      <c r="F2354" s="3360"/>
      <c r="G2354" s="1457">
        <f>G2346+G2347+G2348+G2349</f>
        <v>433.04166666666663</v>
      </c>
    </row>
    <row r="2355" spans="1:9" ht="17.25" customHeight="1" thickBot="1" x14ac:dyDescent="0.3">
      <c r="A2355" s="3356" t="s">
        <v>4075</v>
      </c>
      <c r="B2355" s="3357"/>
      <c r="C2355" s="3357"/>
      <c r="D2355" s="3357"/>
      <c r="E2355" s="1388">
        <f>E2351-E2352</f>
        <v>574.19000000000017</v>
      </c>
    </row>
    <row r="2356" spans="1:9" ht="17.25" customHeight="1" thickBot="1" x14ac:dyDescent="0.3">
      <c r="I2356" s="2866" t="s">
        <v>135</v>
      </c>
    </row>
    <row r="2357" spans="1:9" ht="19.5" thickBot="1" x14ac:dyDescent="0.35">
      <c r="A2357" s="3361" t="s">
        <v>4934</v>
      </c>
      <c r="B2357" s="3336"/>
      <c r="C2357" s="3336"/>
      <c r="D2357" s="3336"/>
      <c r="E2357" s="3336"/>
      <c r="F2357" s="3336"/>
      <c r="G2357" s="3337"/>
    </row>
    <row r="2358" spans="1:9" ht="16.5" thickBot="1" x14ac:dyDescent="0.3">
      <c r="A2358" s="1361" t="s">
        <v>4206</v>
      </c>
      <c r="B2358" s="1361" t="s">
        <v>4206</v>
      </c>
      <c r="C2358" s="3370" t="s">
        <v>3</v>
      </c>
      <c r="D2358" s="3371"/>
      <c r="E2358" s="1363" t="s">
        <v>4190</v>
      </c>
      <c r="F2358" s="1363" t="s">
        <v>4191</v>
      </c>
      <c r="G2358" s="1364" t="s">
        <v>382</v>
      </c>
    </row>
    <row r="2359" spans="1:9" x14ac:dyDescent="0.25">
      <c r="A2359" s="1428">
        <v>42389</v>
      </c>
      <c r="B2359" s="1428">
        <v>42389</v>
      </c>
      <c r="C2359" s="3397" t="s">
        <v>4935</v>
      </c>
      <c r="D2359" s="3398"/>
      <c r="E2359" s="1357">
        <v>1011</v>
      </c>
      <c r="F2359" s="1358">
        <v>8</v>
      </c>
      <c r="G2359" s="1359">
        <f t="shared" ref="G2359:G2365" si="295">E2359/F2359</f>
        <v>126.375</v>
      </c>
    </row>
    <row r="2360" spans="1:9" x14ac:dyDescent="0.25">
      <c r="A2360" s="1428">
        <v>42459</v>
      </c>
      <c r="B2360" s="1428">
        <v>42459</v>
      </c>
      <c r="C2360" s="3389" t="s">
        <v>4936</v>
      </c>
      <c r="D2360" s="3390"/>
      <c r="E2360" s="1429">
        <v>84</v>
      </c>
      <c r="F2360" s="1430">
        <v>2</v>
      </c>
      <c r="G2360" s="1431">
        <f t="shared" si="295"/>
        <v>42</v>
      </c>
    </row>
    <row r="2361" spans="1:9" x14ac:dyDescent="0.25">
      <c r="A2361" s="1428">
        <v>42480</v>
      </c>
      <c r="B2361" s="1428">
        <v>42480</v>
      </c>
      <c r="C2361" s="3389" t="s">
        <v>4937</v>
      </c>
      <c r="D2361" s="3390"/>
      <c r="E2361" s="1429">
        <v>140</v>
      </c>
      <c r="F2361" s="1430">
        <v>3</v>
      </c>
      <c r="G2361" s="1431">
        <f t="shared" si="295"/>
        <v>46.666666666666664</v>
      </c>
    </row>
    <row r="2362" spans="1:9" x14ac:dyDescent="0.25">
      <c r="A2362" s="1428">
        <v>42492</v>
      </c>
      <c r="B2362" s="1428">
        <v>42492</v>
      </c>
      <c r="C2362" s="3389" t="s">
        <v>4938</v>
      </c>
      <c r="D2362" s="3390"/>
      <c r="E2362" s="1429">
        <v>120</v>
      </c>
      <c r="F2362" s="1430">
        <v>1</v>
      </c>
      <c r="G2362" s="1431">
        <f t="shared" si="295"/>
        <v>120</v>
      </c>
    </row>
    <row r="2363" spans="1:9" x14ac:dyDescent="0.25">
      <c r="A2363" s="1428">
        <v>42493</v>
      </c>
      <c r="B2363" s="1428">
        <v>42493</v>
      </c>
      <c r="C2363" s="3389" t="s">
        <v>4939</v>
      </c>
      <c r="D2363" s="3390"/>
      <c r="E2363" s="1429">
        <v>440</v>
      </c>
      <c r="F2363" s="1430">
        <v>2</v>
      </c>
      <c r="G2363" s="1431">
        <f t="shared" si="295"/>
        <v>220</v>
      </c>
    </row>
    <row r="2364" spans="1:9" x14ac:dyDescent="0.25">
      <c r="A2364" s="1428">
        <v>42489</v>
      </c>
      <c r="B2364" s="1428">
        <v>42489</v>
      </c>
      <c r="C2364" s="3397" t="s">
        <v>1241</v>
      </c>
      <c r="D2364" s="3398"/>
      <c r="E2364" s="1357">
        <v>25</v>
      </c>
      <c r="F2364" s="1358">
        <v>1</v>
      </c>
      <c r="G2364" s="1359">
        <f t="shared" si="295"/>
        <v>25</v>
      </c>
    </row>
    <row r="2365" spans="1:9" x14ac:dyDescent="0.25">
      <c r="A2365" s="1428">
        <v>42516</v>
      </c>
      <c r="B2365" s="1428">
        <v>42516</v>
      </c>
      <c r="C2365" s="3397" t="s">
        <v>1241</v>
      </c>
      <c r="D2365" s="3398"/>
      <c r="E2365" s="1357">
        <v>25</v>
      </c>
      <c r="F2365" s="1358">
        <v>1</v>
      </c>
      <c r="G2365" s="1359">
        <f t="shared" si="295"/>
        <v>25</v>
      </c>
    </row>
    <row r="2366" spans="1:9" x14ac:dyDescent="0.25">
      <c r="A2366" s="1369"/>
      <c r="B2366" s="1369"/>
      <c r="C2366" s="3397"/>
      <c r="D2366" s="3398"/>
      <c r="E2366" s="1357"/>
      <c r="F2366" s="1358"/>
      <c r="G2366" s="1359"/>
    </row>
    <row r="2367" spans="1:9" ht="15.75" x14ac:dyDescent="0.25">
      <c r="A2367" s="3356" t="s">
        <v>4071</v>
      </c>
      <c r="B2367" s="3357"/>
      <c r="C2367" s="3357"/>
      <c r="D2367" s="3357"/>
      <c r="E2367" s="1396">
        <v>1300</v>
      </c>
      <c r="F2367" s="3366"/>
      <c r="G2367" s="3367"/>
    </row>
    <row r="2368" spans="1:9" ht="15.75" x14ac:dyDescent="0.25">
      <c r="A2368" s="3358" t="s">
        <v>4072</v>
      </c>
      <c r="B2368" s="3359"/>
      <c r="C2368" s="3359"/>
      <c r="D2368" s="3359"/>
      <c r="E2368" s="1397">
        <v>1225.8599999999999</v>
      </c>
      <c r="F2368" s="3368"/>
      <c r="G2368" s="3369"/>
      <c r="H2368" s="1247" t="s">
        <v>280</v>
      </c>
    </row>
    <row r="2369" spans="1:9" ht="15.75" x14ac:dyDescent="0.25">
      <c r="A2369" s="3356" t="s">
        <v>4073</v>
      </c>
      <c r="B2369" s="3357"/>
      <c r="C2369" s="3357"/>
      <c r="D2369" s="3357"/>
      <c r="E2369" s="1396">
        <v>417.92</v>
      </c>
      <c r="F2369" s="3368"/>
      <c r="G2369" s="3369"/>
    </row>
    <row r="2370" spans="1:9" ht="15.75" x14ac:dyDescent="0.25">
      <c r="A2370" s="3358" t="s">
        <v>4074</v>
      </c>
      <c r="B2370" s="3359"/>
      <c r="C2370" s="3359"/>
      <c r="D2370" s="3359"/>
      <c r="E2370" s="3359"/>
      <c r="F2370" s="3360"/>
      <c r="G2370" s="1457">
        <f>G2359+G2360+G2361+G2362+G2363+G2365+G2364</f>
        <v>605.04166666666663</v>
      </c>
    </row>
    <row r="2371" spans="1:9" ht="17.25" customHeight="1" thickBot="1" x14ac:dyDescent="0.3">
      <c r="A2371" s="3356" t="s">
        <v>4075</v>
      </c>
      <c r="B2371" s="3357"/>
      <c r="C2371" s="3357"/>
      <c r="D2371" s="3357"/>
      <c r="E2371" s="1388">
        <f>E2367-E2368</f>
        <v>74.1400000000001</v>
      </c>
    </row>
    <row r="2372" spans="1:9" ht="17.25" customHeight="1" thickBot="1" x14ac:dyDescent="0.3">
      <c r="I2372" s="2866" t="s">
        <v>135</v>
      </c>
    </row>
    <row r="2373" spans="1:9" ht="19.5" thickBot="1" x14ac:dyDescent="0.35">
      <c r="A2373" s="3361" t="s">
        <v>4940</v>
      </c>
      <c r="B2373" s="3336"/>
      <c r="C2373" s="3336"/>
      <c r="D2373" s="3336"/>
      <c r="E2373" s="3336"/>
      <c r="F2373" s="3336"/>
      <c r="G2373" s="3337"/>
    </row>
    <row r="2374" spans="1:9" ht="16.5" thickBot="1" x14ac:dyDescent="0.3">
      <c r="A2374" s="1361" t="s">
        <v>4206</v>
      </c>
      <c r="B2374" s="1361" t="s">
        <v>4206</v>
      </c>
      <c r="C2374" s="3370" t="s">
        <v>3</v>
      </c>
      <c r="D2374" s="3371"/>
      <c r="E2374" s="1363" t="s">
        <v>4190</v>
      </c>
      <c r="F2374" s="1363" t="s">
        <v>4191</v>
      </c>
      <c r="G2374" s="1364" t="s">
        <v>382</v>
      </c>
    </row>
    <row r="2375" spans="1:9" x14ac:dyDescent="0.25">
      <c r="A2375" s="1428">
        <v>42389</v>
      </c>
      <c r="B2375" s="1428">
        <v>42389</v>
      </c>
      <c r="C2375" s="3397" t="s">
        <v>4941</v>
      </c>
      <c r="D2375" s="3398"/>
      <c r="E2375" s="1357">
        <v>1011</v>
      </c>
      <c r="F2375" s="1358">
        <v>8</v>
      </c>
      <c r="G2375" s="1359">
        <f t="shared" ref="G2375:G2380" si="296">E2375/F2375</f>
        <v>126.375</v>
      </c>
    </row>
    <row r="2376" spans="1:9" x14ac:dyDescent="0.25">
      <c r="A2376" s="1428">
        <v>42447</v>
      </c>
      <c r="B2376" s="1428">
        <v>42447</v>
      </c>
      <c r="C2376" s="3389" t="s">
        <v>4942</v>
      </c>
      <c r="D2376" s="3390"/>
      <c r="E2376" s="1429">
        <v>255.75</v>
      </c>
      <c r="F2376" s="1430">
        <v>2</v>
      </c>
      <c r="G2376" s="1431">
        <f t="shared" si="296"/>
        <v>127.875</v>
      </c>
    </row>
    <row r="2377" spans="1:9" x14ac:dyDescent="0.25">
      <c r="A2377" s="1428">
        <v>42450</v>
      </c>
      <c r="B2377" s="1428">
        <v>42450</v>
      </c>
      <c r="C2377" s="3389" t="s">
        <v>4943</v>
      </c>
      <c r="D2377" s="3390"/>
      <c r="E2377" s="1429">
        <v>100</v>
      </c>
      <c r="F2377" s="1430">
        <v>2</v>
      </c>
      <c r="G2377" s="1431">
        <f t="shared" si="296"/>
        <v>50</v>
      </c>
    </row>
    <row r="2378" spans="1:9" x14ac:dyDescent="0.25">
      <c r="A2378" s="1428">
        <v>42459</v>
      </c>
      <c r="B2378" s="1428">
        <v>42459</v>
      </c>
      <c r="C2378" s="3389" t="s">
        <v>4944</v>
      </c>
      <c r="D2378" s="3390"/>
      <c r="E2378" s="1429">
        <v>84</v>
      </c>
      <c r="F2378" s="1430">
        <v>2</v>
      </c>
      <c r="G2378" s="1431">
        <f t="shared" si="296"/>
        <v>42</v>
      </c>
    </row>
    <row r="2379" spans="1:9" x14ac:dyDescent="0.25">
      <c r="A2379" s="1428">
        <v>42469</v>
      </c>
      <c r="B2379" s="1428">
        <v>42469</v>
      </c>
      <c r="C2379" s="3397" t="s">
        <v>1241</v>
      </c>
      <c r="D2379" s="3398"/>
      <c r="E2379" s="1357">
        <v>25</v>
      </c>
      <c r="F2379" s="1358">
        <v>1</v>
      </c>
      <c r="G2379" s="1359">
        <f t="shared" si="296"/>
        <v>25</v>
      </c>
    </row>
    <row r="2380" spans="1:9" x14ac:dyDescent="0.25">
      <c r="A2380" s="1428">
        <v>42480</v>
      </c>
      <c r="B2380" s="1428">
        <v>42480</v>
      </c>
      <c r="C2380" s="3389" t="s">
        <v>4945</v>
      </c>
      <c r="D2380" s="3390"/>
      <c r="E2380" s="1429">
        <v>140</v>
      </c>
      <c r="F2380" s="1430">
        <v>3</v>
      </c>
      <c r="G2380" s="1431">
        <f t="shared" si="296"/>
        <v>46.666666666666664</v>
      </c>
    </row>
    <row r="2381" spans="1:9" x14ac:dyDescent="0.25">
      <c r="A2381" s="1369"/>
      <c r="B2381" s="1369"/>
      <c r="C2381" s="3397"/>
      <c r="D2381" s="3398"/>
      <c r="E2381" s="1357"/>
      <c r="F2381" s="1358"/>
      <c r="G2381" s="1359"/>
    </row>
    <row r="2382" spans="1:9" ht="15.75" x14ac:dyDescent="0.25">
      <c r="A2382" s="3356" t="s">
        <v>4071</v>
      </c>
      <c r="B2382" s="3357"/>
      <c r="C2382" s="3357"/>
      <c r="D2382" s="3357"/>
      <c r="E2382" s="1396">
        <v>1300</v>
      </c>
      <c r="F2382" s="3366"/>
      <c r="G2382" s="3367"/>
    </row>
    <row r="2383" spans="1:9" ht="15.75" x14ac:dyDescent="0.25">
      <c r="A2383" s="3358" t="s">
        <v>4072</v>
      </c>
      <c r="B2383" s="3359"/>
      <c r="C2383" s="3359"/>
      <c r="D2383" s="3359"/>
      <c r="E2383" s="1397">
        <v>1058.79</v>
      </c>
      <c r="F2383" s="3368"/>
      <c r="G2383" s="3369"/>
      <c r="H2383" s="1247" t="s">
        <v>280</v>
      </c>
    </row>
    <row r="2384" spans="1:9" ht="15.75" x14ac:dyDescent="0.25">
      <c r="A2384" s="3356" t="s">
        <v>4073</v>
      </c>
      <c r="B2384" s="3357"/>
      <c r="C2384" s="3357"/>
      <c r="D2384" s="3357"/>
      <c r="E2384" s="1396">
        <v>329.25</v>
      </c>
      <c r="F2384" s="3368"/>
      <c r="G2384" s="3369"/>
    </row>
    <row r="2385" spans="1:9" ht="15.75" x14ac:dyDescent="0.25">
      <c r="A2385" s="3358" t="s">
        <v>4074</v>
      </c>
      <c r="B2385" s="3359"/>
      <c r="C2385" s="3359"/>
      <c r="D2385" s="3359"/>
      <c r="E2385" s="3359"/>
      <c r="F2385" s="3360"/>
      <c r="G2385" s="1457">
        <f>G2375+G2376+G2377+G2380+G2378+G2379</f>
        <v>417.91666666666669</v>
      </c>
    </row>
    <row r="2386" spans="1:9" ht="17.25" customHeight="1" thickBot="1" x14ac:dyDescent="0.3">
      <c r="A2386" s="3356" t="s">
        <v>4075</v>
      </c>
      <c r="B2386" s="3357"/>
      <c r="C2386" s="3357"/>
      <c r="D2386" s="3357"/>
      <c r="E2386" s="1388">
        <f>E2382-E2383</f>
        <v>241.21000000000004</v>
      </c>
    </row>
    <row r="2387" spans="1:9" ht="17.25" customHeight="1" thickBot="1" x14ac:dyDescent="0.3">
      <c r="I2387" s="2866" t="s">
        <v>135</v>
      </c>
    </row>
    <row r="2388" spans="1:9" ht="19.5" thickBot="1" x14ac:dyDescent="0.35">
      <c r="A2388" s="3361" t="s">
        <v>4946</v>
      </c>
      <c r="B2388" s="3336"/>
      <c r="C2388" s="3336"/>
      <c r="D2388" s="3336"/>
      <c r="E2388" s="3336"/>
      <c r="F2388" s="3336"/>
      <c r="G2388" s="3337"/>
    </row>
    <row r="2389" spans="1:9" ht="16.5" thickBot="1" x14ac:dyDescent="0.3">
      <c r="A2389" s="1361" t="s">
        <v>4206</v>
      </c>
      <c r="B2389" s="1361" t="s">
        <v>4206</v>
      </c>
      <c r="C2389" s="3370" t="s">
        <v>3</v>
      </c>
      <c r="D2389" s="3371"/>
      <c r="E2389" s="1363" t="s">
        <v>4190</v>
      </c>
      <c r="F2389" s="1363" t="s">
        <v>4191</v>
      </c>
      <c r="G2389" s="1364" t="s">
        <v>382</v>
      </c>
    </row>
    <row r="2390" spans="1:9" x14ac:dyDescent="0.25">
      <c r="A2390" s="1428">
        <v>42389</v>
      </c>
      <c r="B2390" s="1428">
        <v>42389</v>
      </c>
      <c r="C2390" s="3397" t="s">
        <v>4947</v>
      </c>
      <c r="D2390" s="3398"/>
      <c r="E2390" s="1357">
        <v>1011</v>
      </c>
      <c r="F2390" s="1358">
        <v>8</v>
      </c>
      <c r="G2390" s="1359">
        <f>E2390/F2390</f>
        <v>126.375</v>
      </c>
    </row>
    <row r="2391" spans="1:9" x14ac:dyDescent="0.25">
      <c r="A2391" s="1428">
        <v>42441</v>
      </c>
      <c r="B2391" s="1428">
        <v>42441</v>
      </c>
      <c r="C2391" s="3397" t="s">
        <v>1241</v>
      </c>
      <c r="D2391" s="3398"/>
      <c r="E2391" s="1357">
        <v>25</v>
      </c>
      <c r="F2391" s="1358">
        <v>1</v>
      </c>
      <c r="G2391" s="1359">
        <f>E2391/F2391</f>
        <v>25</v>
      </c>
    </row>
    <row r="2392" spans="1:9" x14ac:dyDescent="0.25">
      <c r="A2392" s="1428">
        <v>42447</v>
      </c>
      <c r="B2392" s="1428">
        <v>42447</v>
      </c>
      <c r="C2392" s="3389" t="s">
        <v>4948</v>
      </c>
      <c r="D2392" s="3390"/>
      <c r="E2392" s="1429">
        <v>255.75</v>
      </c>
      <c r="F2392" s="1430">
        <v>2</v>
      </c>
      <c r="G2392" s="1431">
        <f>E2392/F2392</f>
        <v>127.875</v>
      </c>
    </row>
    <row r="2393" spans="1:9" x14ac:dyDescent="0.25">
      <c r="A2393" s="1428">
        <v>42450</v>
      </c>
      <c r="B2393" s="1428">
        <v>42450</v>
      </c>
      <c r="C2393" s="3389" t="s">
        <v>4949</v>
      </c>
      <c r="D2393" s="3390"/>
      <c r="E2393" s="1429">
        <v>100</v>
      </c>
      <c r="F2393" s="1430">
        <v>2</v>
      </c>
      <c r="G2393" s="1431">
        <f>E2393/F2393</f>
        <v>50</v>
      </c>
    </row>
    <row r="2394" spans="1:9" x14ac:dyDescent="0.25">
      <c r="A2394" s="1369"/>
      <c r="B2394" s="1369"/>
      <c r="C2394" s="3397"/>
      <c r="D2394" s="3398"/>
      <c r="E2394" s="1357"/>
      <c r="F2394" s="1358"/>
      <c r="G2394" s="1359"/>
    </row>
    <row r="2395" spans="1:9" ht="15.75" x14ac:dyDescent="0.25">
      <c r="A2395" s="3356" t="s">
        <v>4071</v>
      </c>
      <c r="B2395" s="3357"/>
      <c r="C2395" s="3357"/>
      <c r="D2395" s="3357"/>
      <c r="E2395" s="1396">
        <v>1550</v>
      </c>
      <c r="F2395" s="3366"/>
      <c r="G2395" s="3367"/>
    </row>
    <row r="2396" spans="1:9" ht="15.75" x14ac:dyDescent="0.25">
      <c r="A2396" s="3358" t="s">
        <v>4072</v>
      </c>
      <c r="B2396" s="3359"/>
      <c r="C2396" s="3359"/>
      <c r="D2396" s="3359"/>
      <c r="E2396" s="1397">
        <v>758.24</v>
      </c>
      <c r="F2396" s="3368"/>
      <c r="G2396" s="3369"/>
      <c r="H2396" s="1247" t="s">
        <v>280</v>
      </c>
    </row>
    <row r="2397" spans="1:9" ht="15.75" x14ac:dyDescent="0.25">
      <c r="A2397" s="3356" t="s">
        <v>4073</v>
      </c>
      <c r="B2397" s="3357"/>
      <c r="C2397" s="3357"/>
      <c r="D2397" s="3357"/>
      <c r="E2397" s="1396">
        <v>186.38</v>
      </c>
      <c r="F2397" s="3368"/>
      <c r="G2397" s="3369"/>
    </row>
    <row r="2398" spans="1:9" ht="15.75" x14ac:dyDescent="0.25">
      <c r="A2398" s="3358" t="s">
        <v>4074</v>
      </c>
      <c r="B2398" s="3359"/>
      <c r="C2398" s="3359"/>
      <c r="D2398" s="3359"/>
      <c r="E2398" s="3359"/>
      <c r="F2398" s="3360"/>
      <c r="G2398" s="1457">
        <f>G2390+G2391+G2392+G2393</f>
        <v>329.25</v>
      </c>
    </row>
    <row r="2399" spans="1:9" ht="17.25" customHeight="1" thickBot="1" x14ac:dyDescent="0.3">
      <c r="A2399" s="3356" t="s">
        <v>4075</v>
      </c>
      <c r="B2399" s="3357"/>
      <c r="C2399" s="3357"/>
      <c r="D2399" s="3357"/>
      <c r="E2399" s="1388">
        <f>E2395-E2396</f>
        <v>791.76</v>
      </c>
    </row>
    <row r="2400" spans="1:9" ht="17.25" customHeight="1" thickBot="1" x14ac:dyDescent="0.3">
      <c r="I2400" s="2866" t="s">
        <v>135</v>
      </c>
    </row>
    <row r="2401" spans="1:9" ht="19.5" thickBot="1" x14ac:dyDescent="0.35">
      <c r="A2401" s="3361" t="s">
        <v>4950</v>
      </c>
      <c r="B2401" s="3336"/>
      <c r="C2401" s="3336"/>
      <c r="D2401" s="3336"/>
      <c r="E2401" s="3336"/>
      <c r="F2401" s="3336"/>
      <c r="G2401" s="3337"/>
    </row>
    <row r="2402" spans="1:9" ht="16.5" thickBot="1" x14ac:dyDescent="0.3">
      <c r="A2402" s="1361" t="s">
        <v>4206</v>
      </c>
      <c r="B2402" s="1361" t="s">
        <v>4206</v>
      </c>
      <c r="C2402" s="3370" t="s">
        <v>3</v>
      </c>
      <c r="D2402" s="3371"/>
      <c r="E2402" s="1363" t="s">
        <v>4190</v>
      </c>
      <c r="F2402" s="1363" t="s">
        <v>4191</v>
      </c>
      <c r="G2402" s="1364" t="s">
        <v>382</v>
      </c>
    </row>
    <row r="2403" spans="1:9" x14ac:dyDescent="0.25">
      <c r="A2403" s="1428">
        <v>42389</v>
      </c>
      <c r="B2403" s="1428">
        <v>42389</v>
      </c>
      <c r="C2403" s="3397" t="s">
        <v>4951</v>
      </c>
      <c r="D2403" s="3398"/>
      <c r="E2403" s="1357">
        <v>1011</v>
      </c>
      <c r="F2403" s="1358">
        <v>8</v>
      </c>
      <c r="G2403" s="1359">
        <f>E2403/F2403</f>
        <v>126.375</v>
      </c>
    </row>
    <row r="2404" spans="1:9" x14ac:dyDescent="0.25">
      <c r="A2404" s="1428">
        <v>42417</v>
      </c>
      <c r="B2404" s="1428">
        <v>42417</v>
      </c>
      <c r="C2404" s="3389" t="s">
        <v>4952</v>
      </c>
      <c r="D2404" s="3390"/>
      <c r="E2404" s="1429">
        <v>35</v>
      </c>
      <c r="F2404" s="1430">
        <v>1</v>
      </c>
      <c r="G2404" s="1431">
        <f>E2404/F2404</f>
        <v>35</v>
      </c>
    </row>
    <row r="2405" spans="1:9" x14ac:dyDescent="0.25">
      <c r="A2405" s="1428">
        <v>42424</v>
      </c>
      <c r="B2405" s="1428">
        <v>42424</v>
      </c>
      <c r="C2405" s="3397" t="s">
        <v>1241</v>
      </c>
      <c r="D2405" s="3398"/>
      <c r="E2405" s="1357">
        <v>25</v>
      </c>
      <c r="F2405" s="1358">
        <v>1</v>
      </c>
      <c r="G2405" s="1359">
        <f>E2405/F2405</f>
        <v>25</v>
      </c>
    </row>
    <row r="2406" spans="1:9" x14ac:dyDescent="0.25">
      <c r="A2406" s="1369"/>
      <c r="B2406" s="1369"/>
      <c r="C2406" s="3397"/>
      <c r="D2406" s="3398"/>
      <c r="E2406" s="1357"/>
      <c r="F2406" s="1358"/>
      <c r="G2406" s="1359"/>
    </row>
    <row r="2407" spans="1:9" ht="15.75" x14ac:dyDescent="0.25">
      <c r="A2407" s="3356" t="s">
        <v>4071</v>
      </c>
      <c r="B2407" s="3357"/>
      <c r="C2407" s="3357"/>
      <c r="D2407" s="3401"/>
      <c r="E2407" s="1396">
        <v>1550</v>
      </c>
      <c r="F2407" s="3366"/>
      <c r="G2407" s="3367"/>
    </row>
    <row r="2408" spans="1:9" ht="15.75" x14ac:dyDescent="0.25">
      <c r="A2408" s="3358" t="s">
        <v>4072</v>
      </c>
      <c r="B2408" s="3359"/>
      <c r="C2408" s="3359"/>
      <c r="D2408" s="3359"/>
      <c r="E2408" s="1397">
        <v>944.66</v>
      </c>
      <c r="F2408" s="3368"/>
      <c r="G2408" s="3369"/>
      <c r="H2408" s="1247" t="s">
        <v>280</v>
      </c>
    </row>
    <row r="2409" spans="1:9" ht="15.75" x14ac:dyDescent="0.25">
      <c r="A2409" s="3356" t="s">
        <v>4073</v>
      </c>
      <c r="B2409" s="3357"/>
      <c r="C2409" s="3357"/>
      <c r="D2409" s="3357"/>
      <c r="E2409" s="1396">
        <v>513.84</v>
      </c>
      <c r="F2409" s="3385"/>
      <c r="G2409" s="3386"/>
    </row>
    <row r="2410" spans="1:9" ht="15.75" x14ac:dyDescent="0.25">
      <c r="A2410" s="3358" t="s">
        <v>4074</v>
      </c>
      <c r="B2410" s="3359"/>
      <c r="C2410" s="3359"/>
      <c r="D2410" s="3359"/>
      <c r="E2410" s="3359"/>
      <c r="F2410" s="3360"/>
      <c r="G2410" s="1457">
        <f>G2403+G2404+G2405</f>
        <v>186.375</v>
      </c>
    </row>
    <row r="2411" spans="1:9" ht="17.25" customHeight="1" thickBot="1" x14ac:dyDescent="0.3">
      <c r="A2411" s="3356" t="s">
        <v>4075</v>
      </c>
      <c r="B2411" s="3357"/>
      <c r="C2411" s="3357"/>
      <c r="D2411" s="3357"/>
      <c r="E2411" s="1388">
        <f>E2407-E2408</f>
        <v>605.34</v>
      </c>
    </row>
    <row r="2412" spans="1:9" ht="17.25" customHeight="1" thickBot="1" x14ac:dyDescent="0.3">
      <c r="I2412" s="2866" t="s">
        <v>135</v>
      </c>
    </row>
    <row r="2413" spans="1:9" ht="19.5" thickBot="1" x14ac:dyDescent="0.35">
      <c r="A2413" s="3361" t="s">
        <v>4953</v>
      </c>
      <c r="B2413" s="3336"/>
      <c r="C2413" s="3336"/>
      <c r="D2413" s="3336"/>
      <c r="E2413" s="3336"/>
      <c r="F2413" s="3336"/>
      <c r="G2413" s="3337"/>
    </row>
    <row r="2414" spans="1:9" ht="16.5" thickBot="1" x14ac:dyDescent="0.3">
      <c r="A2414" s="1361" t="s">
        <v>4206</v>
      </c>
      <c r="B2414" s="1361" t="s">
        <v>4206</v>
      </c>
      <c r="C2414" s="3370" t="s">
        <v>3</v>
      </c>
      <c r="D2414" s="3371"/>
      <c r="E2414" s="1363" t="s">
        <v>4190</v>
      </c>
      <c r="F2414" s="1363" t="s">
        <v>4191</v>
      </c>
      <c r="G2414" s="1364" t="s">
        <v>382</v>
      </c>
    </row>
    <row r="2415" spans="1:9" x14ac:dyDescent="0.25">
      <c r="A2415" s="1428">
        <v>42278</v>
      </c>
      <c r="B2415" s="1428">
        <v>42278</v>
      </c>
      <c r="C2415" s="3389" t="s">
        <v>4954</v>
      </c>
      <c r="D2415" s="3390"/>
      <c r="E2415" s="1429">
        <v>226.18</v>
      </c>
      <c r="F2415" s="1430">
        <v>4</v>
      </c>
      <c r="G2415" s="1431">
        <f t="shared" ref="G2415:G2422" si="297">E2415/F2415</f>
        <v>56.545000000000002</v>
      </c>
    </row>
    <row r="2416" spans="1:9" x14ac:dyDescent="0.25">
      <c r="A2416" s="1428">
        <v>42318</v>
      </c>
      <c r="B2416" s="1428">
        <v>42318</v>
      </c>
      <c r="C2416" s="3389" t="s">
        <v>4955</v>
      </c>
      <c r="D2416" s="3390"/>
      <c r="E2416" s="1429">
        <v>229.89</v>
      </c>
      <c r="F2416" s="1430">
        <v>3</v>
      </c>
      <c r="G2416" s="1431">
        <f t="shared" si="297"/>
        <v>76.63</v>
      </c>
    </row>
    <row r="2417" spans="1:9" x14ac:dyDescent="0.25">
      <c r="A2417" s="1428">
        <v>42356</v>
      </c>
      <c r="B2417" s="1428">
        <v>42356</v>
      </c>
      <c r="C2417" s="3389" t="s">
        <v>4956</v>
      </c>
      <c r="D2417" s="3390"/>
      <c r="E2417" s="1429">
        <v>384</v>
      </c>
      <c r="F2417" s="1430">
        <v>2</v>
      </c>
      <c r="G2417" s="1431">
        <f t="shared" si="297"/>
        <v>192</v>
      </c>
    </row>
    <row r="2418" spans="1:9" x14ac:dyDescent="0.25">
      <c r="A2418" s="1428">
        <v>42367</v>
      </c>
      <c r="B2418" s="1428">
        <v>42367</v>
      </c>
      <c r="C2418" s="3389" t="s">
        <v>4957</v>
      </c>
      <c r="D2418" s="3390"/>
      <c r="E2418" s="1429">
        <v>80</v>
      </c>
      <c r="F2418" s="1430">
        <v>1</v>
      </c>
      <c r="G2418" s="1431">
        <f t="shared" si="297"/>
        <v>80</v>
      </c>
    </row>
    <row r="2419" spans="1:9" x14ac:dyDescent="0.25">
      <c r="A2419" s="1428">
        <v>42370</v>
      </c>
      <c r="B2419" s="1428">
        <v>42370</v>
      </c>
      <c r="C2419" s="3397" t="s">
        <v>1241</v>
      </c>
      <c r="D2419" s="3398"/>
      <c r="E2419" s="1357">
        <v>20</v>
      </c>
      <c r="F2419" s="1358">
        <v>1</v>
      </c>
      <c r="G2419" s="1359">
        <f t="shared" si="297"/>
        <v>20</v>
      </c>
    </row>
    <row r="2420" spans="1:9" x14ac:dyDescent="0.25">
      <c r="A2420" s="1447">
        <v>42376</v>
      </c>
      <c r="B2420" s="1447">
        <v>42376</v>
      </c>
      <c r="C2420" s="3409" t="s">
        <v>4856</v>
      </c>
      <c r="D2420" s="3410"/>
      <c r="E2420" s="1458">
        <v>57.71</v>
      </c>
      <c r="F2420" s="1459">
        <v>1</v>
      </c>
      <c r="G2420" s="1460">
        <f t="shared" si="297"/>
        <v>57.71</v>
      </c>
    </row>
    <row r="2421" spans="1:9" x14ac:dyDescent="0.25">
      <c r="A2421" s="1428">
        <v>42389</v>
      </c>
      <c r="B2421" s="1428">
        <v>42389</v>
      </c>
      <c r="C2421" s="3397" t="s">
        <v>4958</v>
      </c>
      <c r="D2421" s="3398"/>
      <c r="E2421" s="1357">
        <v>1011</v>
      </c>
      <c r="F2421" s="1358">
        <v>8</v>
      </c>
      <c r="G2421" s="1359">
        <f t="shared" si="297"/>
        <v>126.375</v>
      </c>
    </row>
    <row r="2422" spans="1:9" x14ac:dyDescent="0.25">
      <c r="A2422" s="1428">
        <v>42392</v>
      </c>
      <c r="B2422" s="1428">
        <v>42392</v>
      </c>
      <c r="C2422" s="3397" t="s">
        <v>1241</v>
      </c>
      <c r="D2422" s="3398"/>
      <c r="E2422" s="1357">
        <v>20</v>
      </c>
      <c r="F2422" s="1358">
        <v>1</v>
      </c>
      <c r="G2422" s="1359">
        <f t="shared" si="297"/>
        <v>20</v>
      </c>
    </row>
    <row r="2423" spans="1:9" x14ac:dyDescent="0.25">
      <c r="A2423" s="1369"/>
      <c r="B2423" s="1369"/>
      <c r="C2423" s="3397"/>
      <c r="D2423" s="3398"/>
      <c r="E2423" s="1357"/>
      <c r="F2423" s="1358"/>
      <c r="G2423" s="1359"/>
    </row>
    <row r="2424" spans="1:9" ht="15.75" x14ac:dyDescent="0.25">
      <c r="A2424" s="3356" t="s">
        <v>4071</v>
      </c>
      <c r="B2424" s="3357"/>
      <c r="C2424" s="3357"/>
      <c r="D2424" s="3357"/>
      <c r="E2424" s="1396">
        <v>1550</v>
      </c>
      <c r="F2424" s="3366"/>
      <c r="G2424" s="3367"/>
    </row>
    <row r="2425" spans="1:9" ht="15.75" x14ac:dyDescent="0.25">
      <c r="A2425" s="3358" t="s">
        <v>4072</v>
      </c>
      <c r="B2425" s="3359"/>
      <c r="C2425" s="3359"/>
      <c r="D2425" s="3359"/>
      <c r="E2425" s="1397">
        <v>1398.47</v>
      </c>
      <c r="F2425" s="3368"/>
      <c r="G2425" s="3369"/>
      <c r="H2425" s="1247" t="s">
        <v>280</v>
      </c>
    </row>
    <row r="2426" spans="1:9" ht="15.75" x14ac:dyDescent="0.25">
      <c r="A2426" s="3356" t="s">
        <v>4073</v>
      </c>
      <c r="B2426" s="3357"/>
      <c r="C2426" s="3357"/>
      <c r="D2426" s="3357"/>
      <c r="E2426" s="1396">
        <v>192</v>
      </c>
      <c r="F2426" s="3368"/>
      <c r="G2426" s="3369"/>
    </row>
    <row r="2427" spans="1:9" ht="15.75" x14ac:dyDescent="0.25">
      <c r="A2427" s="3358" t="s">
        <v>4074</v>
      </c>
      <c r="B2427" s="3359"/>
      <c r="C2427" s="3359"/>
      <c r="D2427" s="3359"/>
      <c r="E2427" s="3359"/>
      <c r="F2427" s="3360"/>
      <c r="G2427" s="1457">
        <f>G2415+G2416+G2417+G2418+G2419-G2420+G2421+G2422</f>
        <v>513.84</v>
      </c>
    </row>
    <row r="2428" spans="1:9" ht="17.25" customHeight="1" thickBot="1" x14ac:dyDescent="0.3">
      <c r="A2428" s="3356" t="s">
        <v>4075</v>
      </c>
      <c r="B2428" s="3357"/>
      <c r="C2428" s="3357"/>
      <c r="D2428" s="3357"/>
      <c r="E2428" s="1388">
        <f>E2424-E2425</f>
        <v>151.52999999999997</v>
      </c>
    </row>
    <row r="2429" spans="1:9" ht="17.25" customHeight="1" thickBot="1" x14ac:dyDescent="0.3">
      <c r="I2429" s="2866" t="s">
        <v>135</v>
      </c>
    </row>
    <row r="2430" spans="1:9" ht="19.5" thickBot="1" x14ac:dyDescent="0.35">
      <c r="A2430" s="3361" t="s">
        <v>4959</v>
      </c>
      <c r="B2430" s="3336"/>
      <c r="C2430" s="3336"/>
      <c r="D2430" s="3336"/>
      <c r="E2430" s="3336"/>
      <c r="F2430" s="3336"/>
      <c r="G2430" s="3337"/>
    </row>
    <row r="2431" spans="1:9" ht="16.5" thickBot="1" x14ac:dyDescent="0.3">
      <c r="A2431" s="1361" t="s">
        <v>4206</v>
      </c>
      <c r="B2431" s="1361" t="s">
        <v>4206</v>
      </c>
      <c r="C2431" s="3370" t="s">
        <v>3</v>
      </c>
      <c r="D2431" s="3371"/>
      <c r="E2431" s="1363" t="s">
        <v>4190</v>
      </c>
      <c r="F2431" s="1363" t="s">
        <v>4191</v>
      </c>
      <c r="G2431" s="1364" t="s">
        <v>382</v>
      </c>
    </row>
    <row r="2432" spans="1:9" x14ac:dyDescent="0.25">
      <c r="A2432" s="1428">
        <v>42227</v>
      </c>
      <c r="B2432" s="1428">
        <v>42227</v>
      </c>
      <c r="C2432" s="3389" t="s">
        <v>4960</v>
      </c>
      <c r="D2432" s="3390"/>
      <c r="E2432" s="1429">
        <v>271.5</v>
      </c>
      <c r="F2432" s="1430">
        <v>5</v>
      </c>
      <c r="G2432" s="1431">
        <f t="shared" ref="G2432:G2437" si="298">E2432/F2432</f>
        <v>54.3</v>
      </c>
    </row>
    <row r="2433" spans="1:9" x14ac:dyDescent="0.25">
      <c r="A2433" s="1428">
        <v>42240</v>
      </c>
      <c r="B2433" s="1428">
        <v>42240</v>
      </c>
      <c r="C2433" s="3389" t="s">
        <v>4961</v>
      </c>
      <c r="D2433" s="3390"/>
      <c r="E2433" s="1429">
        <v>299</v>
      </c>
      <c r="F2433" s="1430">
        <v>5</v>
      </c>
      <c r="G2433" s="1431">
        <f t="shared" si="298"/>
        <v>59.8</v>
      </c>
    </row>
    <row r="2434" spans="1:9" x14ac:dyDescent="0.25">
      <c r="A2434" s="1428">
        <v>42278</v>
      </c>
      <c r="B2434" s="1428">
        <v>42278</v>
      </c>
      <c r="C2434" s="3389" t="s">
        <v>4962</v>
      </c>
      <c r="D2434" s="3390"/>
      <c r="E2434" s="1429">
        <v>226.18</v>
      </c>
      <c r="F2434" s="1430">
        <v>4</v>
      </c>
      <c r="G2434" s="1431">
        <f t="shared" si="298"/>
        <v>56.545000000000002</v>
      </c>
    </row>
    <row r="2435" spans="1:9" x14ac:dyDescent="0.25">
      <c r="A2435" s="1428">
        <v>42318</v>
      </c>
      <c r="B2435" s="1428">
        <v>42318</v>
      </c>
      <c r="C2435" s="3389" t="s">
        <v>4963</v>
      </c>
      <c r="D2435" s="3390"/>
      <c r="E2435" s="1429">
        <v>229.89</v>
      </c>
      <c r="F2435" s="1430">
        <v>3</v>
      </c>
      <c r="G2435" s="1431">
        <f t="shared" si="298"/>
        <v>76.63</v>
      </c>
    </row>
    <row r="2436" spans="1:9" x14ac:dyDescent="0.25">
      <c r="A2436" s="1447">
        <v>42346</v>
      </c>
      <c r="B2436" s="1447">
        <v>42346</v>
      </c>
      <c r="C2436" s="3409" t="s">
        <v>4725</v>
      </c>
      <c r="D2436" s="3410"/>
      <c r="E2436" s="1458">
        <v>227.2</v>
      </c>
      <c r="F2436" s="1459">
        <v>1</v>
      </c>
      <c r="G2436" s="1460">
        <f t="shared" si="298"/>
        <v>227.2</v>
      </c>
    </row>
    <row r="2437" spans="1:9" x14ac:dyDescent="0.25">
      <c r="A2437" s="1428">
        <v>42356</v>
      </c>
      <c r="B2437" s="1428">
        <v>42356</v>
      </c>
      <c r="C2437" s="3389" t="s">
        <v>4964</v>
      </c>
      <c r="D2437" s="3390"/>
      <c r="E2437" s="1429">
        <v>384</v>
      </c>
      <c r="F2437" s="1430">
        <v>2</v>
      </c>
      <c r="G2437" s="1431">
        <f t="shared" si="298"/>
        <v>192</v>
      </c>
    </row>
    <row r="2438" spans="1:9" x14ac:dyDescent="0.25">
      <c r="A2438" s="1369"/>
      <c r="B2438" s="1369"/>
      <c r="C2438" s="3397"/>
      <c r="D2438" s="3398"/>
      <c r="E2438" s="1357"/>
      <c r="F2438" s="1358"/>
      <c r="G2438" s="1359"/>
    </row>
    <row r="2439" spans="1:9" ht="15.75" x14ac:dyDescent="0.25">
      <c r="A2439" s="3356" t="s">
        <v>4071</v>
      </c>
      <c r="B2439" s="3357"/>
      <c r="C2439" s="3357"/>
      <c r="D2439" s="3357"/>
      <c r="E2439" s="1396">
        <v>1550</v>
      </c>
      <c r="F2439" s="3366"/>
      <c r="G2439" s="3367"/>
    </row>
    <row r="2440" spans="1:9" ht="15.75" x14ac:dyDescent="0.25">
      <c r="A2440" s="3358" t="s">
        <v>4072</v>
      </c>
      <c r="B2440" s="3359"/>
      <c r="C2440" s="3359"/>
      <c r="D2440" s="3359"/>
      <c r="E2440" s="1397">
        <v>227.2</v>
      </c>
      <c r="F2440" s="3368"/>
      <c r="G2440" s="3369"/>
      <c r="H2440" s="1247" t="s">
        <v>280</v>
      </c>
    </row>
    <row r="2441" spans="1:9" ht="15.75" x14ac:dyDescent="0.25">
      <c r="A2441" s="3356" t="s">
        <v>4073</v>
      </c>
      <c r="B2441" s="3357"/>
      <c r="C2441" s="3357"/>
      <c r="D2441" s="3357"/>
      <c r="E2441" s="1396">
        <v>407.28</v>
      </c>
      <c r="F2441" s="3368"/>
      <c r="G2441" s="3369"/>
    </row>
    <row r="2442" spans="1:9" ht="15.75" x14ac:dyDescent="0.25">
      <c r="A2442" s="3356" t="s">
        <v>4965</v>
      </c>
      <c r="B2442" s="3357"/>
      <c r="C2442" s="3357"/>
      <c r="D2442" s="3357"/>
      <c r="E2442" s="1396">
        <v>247.26</v>
      </c>
      <c r="F2442" s="3368"/>
      <c r="G2442" s="3369"/>
    </row>
    <row r="2443" spans="1:9" ht="15.75" x14ac:dyDescent="0.25">
      <c r="A2443" s="3358" t="s">
        <v>4074</v>
      </c>
      <c r="B2443" s="3359"/>
      <c r="C2443" s="3359"/>
      <c r="D2443" s="3359"/>
      <c r="E2443" s="3359"/>
      <c r="F2443" s="3360"/>
      <c r="G2443" s="1457">
        <f>G2437</f>
        <v>192</v>
      </c>
    </row>
    <row r="2444" spans="1:9" ht="17.25" customHeight="1" thickBot="1" x14ac:dyDescent="0.3">
      <c r="A2444" s="3356" t="s">
        <v>4075</v>
      </c>
      <c r="B2444" s="3357"/>
      <c r="C2444" s="3357"/>
      <c r="D2444" s="3357"/>
      <c r="E2444" s="1388">
        <f>E2439-E2440</f>
        <v>1322.8</v>
      </c>
    </row>
    <row r="2445" spans="1:9" ht="17.25" customHeight="1" x14ac:dyDescent="0.25">
      <c r="I2445" s="2866" t="s">
        <v>135</v>
      </c>
    </row>
    <row r="2446" spans="1:9" ht="15.75" x14ac:dyDescent="0.25">
      <c r="A2446" s="1461"/>
      <c r="B2446" s="1461"/>
      <c r="C2446" s="1461"/>
      <c r="D2446" s="1461"/>
      <c r="E2446" s="1461"/>
      <c r="F2446" s="1390"/>
      <c r="G2446" s="1247"/>
    </row>
    <row r="2447" spans="1:9" ht="18.75" x14ac:dyDescent="0.3">
      <c r="A2447" s="3361" t="s">
        <v>4966</v>
      </c>
      <c r="B2447" s="3336"/>
      <c r="C2447" s="3336"/>
      <c r="D2447" s="3336"/>
      <c r="E2447" s="3336"/>
      <c r="F2447" s="3336"/>
      <c r="G2447" s="3337"/>
    </row>
    <row r="2448" spans="1:9" ht="15.75" x14ac:dyDescent="0.25">
      <c r="A2448" s="1361" t="s">
        <v>4206</v>
      </c>
      <c r="B2448" s="1361" t="s">
        <v>4206</v>
      </c>
      <c r="C2448" s="3370" t="s">
        <v>3</v>
      </c>
      <c r="D2448" s="3371"/>
      <c r="E2448" s="1363" t="s">
        <v>4190</v>
      </c>
      <c r="F2448" s="1363" t="s">
        <v>4191</v>
      </c>
      <c r="G2448" s="1364" t="s">
        <v>382</v>
      </c>
    </row>
    <row r="2449" spans="1:9" x14ac:dyDescent="0.25">
      <c r="A2449" s="1428">
        <v>42227</v>
      </c>
      <c r="B2449" s="1428">
        <v>42227</v>
      </c>
      <c r="C2449" s="3389" t="s">
        <v>4967</v>
      </c>
      <c r="D2449" s="3390"/>
      <c r="E2449" s="1429">
        <v>271.5</v>
      </c>
      <c r="F2449" s="1430">
        <v>5</v>
      </c>
      <c r="G2449" s="1431">
        <f t="shared" ref="G2449:G2456" si="299">E2449/F2449</f>
        <v>54.3</v>
      </c>
    </row>
    <row r="2450" spans="1:9" x14ac:dyDescent="0.25">
      <c r="A2450" s="1428">
        <v>42240</v>
      </c>
      <c r="B2450" s="1428">
        <v>42240</v>
      </c>
      <c r="C2450" s="3389" t="s">
        <v>4968</v>
      </c>
      <c r="D2450" s="3390"/>
      <c r="E2450" s="1429">
        <v>299</v>
      </c>
      <c r="F2450" s="1430">
        <v>5</v>
      </c>
      <c r="G2450" s="1431">
        <f t="shared" si="299"/>
        <v>59.8</v>
      </c>
    </row>
    <row r="2451" spans="1:9" x14ac:dyDescent="0.25">
      <c r="A2451" s="1428">
        <v>42278</v>
      </c>
      <c r="B2451" s="1428">
        <v>42278</v>
      </c>
      <c r="C2451" s="3389" t="s">
        <v>4969</v>
      </c>
      <c r="D2451" s="3390"/>
      <c r="E2451" s="1429">
        <v>226.18</v>
      </c>
      <c r="F2451" s="1430">
        <v>4</v>
      </c>
      <c r="G2451" s="1431">
        <f t="shared" si="299"/>
        <v>56.545000000000002</v>
      </c>
    </row>
    <row r="2452" spans="1:9" x14ac:dyDescent="0.25">
      <c r="A2452" s="1369">
        <v>42311</v>
      </c>
      <c r="B2452" s="1369">
        <v>42311</v>
      </c>
      <c r="C2452" s="3397" t="s">
        <v>1241</v>
      </c>
      <c r="D2452" s="3398"/>
      <c r="E2452" s="1357">
        <v>20</v>
      </c>
      <c r="F2452" s="1358">
        <v>1</v>
      </c>
      <c r="G2452" s="1359">
        <f t="shared" si="299"/>
        <v>20</v>
      </c>
    </row>
    <row r="2453" spans="1:9" x14ac:dyDescent="0.25">
      <c r="A2453" s="1428">
        <v>42312</v>
      </c>
      <c r="B2453" s="1428">
        <v>42312</v>
      </c>
      <c r="C2453" s="3389" t="s">
        <v>4970</v>
      </c>
      <c r="D2453" s="3390"/>
      <c r="E2453" s="1429">
        <v>100</v>
      </c>
      <c r="F2453" s="1430">
        <v>1</v>
      </c>
      <c r="G2453" s="1431">
        <f t="shared" si="299"/>
        <v>100</v>
      </c>
    </row>
    <row r="2454" spans="1:9" x14ac:dyDescent="0.25">
      <c r="A2454" s="1428">
        <v>42318</v>
      </c>
      <c r="B2454" s="1428">
        <v>42318</v>
      </c>
      <c r="C2454" s="3389" t="s">
        <v>4971</v>
      </c>
      <c r="D2454" s="3390"/>
      <c r="E2454" s="1429">
        <v>229.89</v>
      </c>
      <c r="F2454" s="1430">
        <v>3</v>
      </c>
      <c r="G2454" s="1431">
        <f t="shared" si="299"/>
        <v>76.63</v>
      </c>
    </row>
    <row r="2455" spans="1:9" x14ac:dyDescent="0.25">
      <c r="A2455" s="1428">
        <v>42326</v>
      </c>
      <c r="B2455" s="1428">
        <v>42326</v>
      </c>
      <c r="C2455" s="3389" t="s">
        <v>4972</v>
      </c>
      <c r="D2455" s="3390"/>
      <c r="E2455" s="1429">
        <v>20</v>
      </c>
      <c r="F2455" s="1430">
        <v>1</v>
      </c>
      <c r="G2455" s="1431">
        <f t="shared" si="299"/>
        <v>20</v>
      </c>
    </row>
    <row r="2456" spans="1:9" x14ac:dyDescent="0.25">
      <c r="A2456" s="1369">
        <v>42331</v>
      </c>
      <c r="B2456" s="1369">
        <v>42331</v>
      </c>
      <c r="C2456" s="3397" t="s">
        <v>1241</v>
      </c>
      <c r="D2456" s="3398"/>
      <c r="E2456" s="1357">
        <v>20</v>
      </c>
      <c r="F2456" s="1358">
        <v>1</v>
      </c>
      <c r="G2456" s="1359">
        <f t="shared" si="299"/>
        <v>20</v>
      </c>
    </row>
    <row r="2457" spans="1:9" x14ac:dyDescent="0.25">
      <c r="A2457" s="1369"/>
      <c r="B2457" s="1369"/>
      <c r="C2457" s="3397"/>
      <c r="D2457" s="3398"/>
      <c r="E2457" s="1357"/>
      <c r="F2457" s="1358"/>
      <c r="G2457" s="1359"/>
    </row>
    <row r="2458" spans="1:9" ht="15.75" x14ac:dyDescent="0.25">
      <c r="A2458" s="3356" t="s">
        <v>4071</v>
      </c>
      <c r="B2458" s="3357"/>
      <c r="C2458" s="3357"/>
      <c r="D2458" s="3357"/>
      <c r="E2458" s="1396">
        <v>1550</v>
      </c>
      <c r="F2458" s="3366"/>
      <c r="G2458" s="3367"/>
    </row>
    <row r="2459" spans="1:9" ht="15.75" x14ac:dyDescent="0.25">
      <c r="A2459" s="3358" t="s">
        <v>4072</v>
      </c>
      <c r="B2459" s="3359"/>
      <c r="C2459" s="3359"/>
      <c r="D2459" s="3359"/>
      <c r="E2459" s="1397">
        <v>767.74</v>
      </c>
      <c r="F2459" s="3368"/>
      <c r="G2459" s="3369"/>
      <c r="H2459" s="1247" t="s">
        <v>280</v>
      </c>
    </row>
    <row r="2460" spans="1:9" ht="15.75" x14ac:dyDescent="0.25">
      <c r="A2460" s="3356" t="s">
        <v>4073</v>
      </c>
      <c r="B2460" s="3357"/>
      <c r="C2460" s="3357"/>
      <c r="D2460" s="3357"/>
      <c r="E2460" s="1396">
        <v>292.54000000000002</v>
      </c>
      <c r="F2460" s="3368"/>
      <c r="G2460" s="3369"/>
    </row>
    <row r="2461" spans="1:9" ht="15.75" x14ac:dyDescent="0.25">
      <c r="A2461" s="3358" t="s">
        <v>4074</v>
      </c>
      <c r="B2461" s="3359"/>
      <c r="C2461" s="3359"/>
      <c r="D2461" s="3359"/>
      <c r="E2461" s="3359"/>
      <c r="F2461" s="3360"/>
      <c r="G2461" s="1457">
        <f>SUM(G2449:G2457)</f>
        <v>407.27499999999998</v>
      </c>
    </row>
    <row r="2462" spans="1:9" ht="17.25" customHeight="1" thickBot="1" x14ac:dyDescent="0.3">
      <c r="A2462" s="3356" t="s">
        <v>4075</v>
      </c>
      <c r="B2462" s="3357"/>
      <c r="C2462" s="3357"/>
      <c r="D2462" s="3357"/>
      <c r="E2462" s="1388">
        <f>E2458-E2459</f>
        <v>782.26</v>
      </c>
    </row>
    <row r="2463" spans="1:9" ht="17.25" customHeight="1" x14ac:dyDescent="0.25">
      <c r="I2463" s="2866" t="s">
        <v>135</v>
      </c>
    </row>
    <row r="2464" spans="1:9" ht="15.75" x14ac:dyDescent="0.25">
      <c r="A2464" s="1461"/>
      <c r="B2464" s="1461"/>
      <c r="C2464" s="1461"/>
      <c r="D2464" s="1461"/>
      <c r="E2464" s="1461"/>
      <c r="F2464" s="1390"/>
      <c r="G2464" s="1247"/>
    </row>
    <row r="2465" spans="1:9" ht="18.75" x14ac:dyDescent="0.3">
      <c r="A2465" s="3361" t="s">
        <v>4973</v>
      </c>
      <c r="B2465" s="3336"/>
      <c r="C2465" s="3336"/>
      <c r="D2465" s="3336"/>
      <c r="E2465" s="3336"/>
      <c r="F2465" s="3336"/>
      <c r="G2465" s="3337"/>
    </row>
    <row r="2466" spans="1:9" ht="15.75" x14ac:dyDescent="0.25">
      <c r="A2466" s="1361" t="s">
        <v>4206</v>
      </c>
      <c r="B2466" s="1361" t="s">
        <v>4206</v>
      </c>
      <c r="C2466" s="3370" t="s">
        <v>3</v>
      </c>
      <c r="D2466" s="3371"/>
      <c r="E2466" s="1363" t="s">
        <v>4190</v>
      </c>
      <c r="F2466" s="1363" t="s">
        <v>4191</v>
      </c>
      <c r="G2466" s="1364" t="s">
        <v>382</v>
      </c>
    </row>
    <row r="2467" spans="1:9" x14ac:dyDescent="0.25">
      <c r="A2467" s="1428">
        <v>42213</v>
      </c>
      <c r="B2467" s="1428">
        <v>42213</v>
      </c>
      <c r="C2467" s="3389" t="s">
        <v>4974</v>
      </c>
      <c r="D2467" s="3390"/>
      <c r="E2467" s="1429">
        <v>185.97</v>
      </c>
      <c r="F2467" s="1430">
        <v>3</v>
      </c>
      <c r="G2467" s="1431">
        <f t="shared" ref="G2467:G2472" si="300">E2467/F2467</f>
        <v>61.99</v>
      </c>
    </row>
    <row r="2468" spans="1:9" x14ac:dyDescent="0.25">
      <c r="A2468" s="1428">
        <v>42227</v>
      </c>
      <c r="B2468" s="1428">
        <v>42227</v>
      </c>
      <c r="C2468" s="3389" t="s">
        <v>4975</v>
      </c>
      <c r="D2468" s="3390"/>
      <c r="E2468" s="1429">
        <v>271.5</v>
      </c>
      <c r="F2468" s="1430">
        <v>5</v>
      </c>
      <c r="G2468" s="1431">
        <f t="shared" si="300"/>
        <v>54.3</v>
      </c>
    </row>
    <row r="2469" spans="1:9" x14ac:dyDescent="0.25">
      <c r="A2469" s="1428">
        <v>42240</v>
      </c>
      <c r="B2469" s="1428">
        <v>42240</v>
      </c>
      <c r="C2469" s="3389" t="s">
        <v>4976</v>
      </c>
      <c r="D2469" s="3390"/>
      <c r="E2469" s="1429">
        <v>299</v>
      </c>
      <c r="F2469" s="1430">
        <v>5</v>
      </c>
      <c r="G2469" s="1431">
        <f t="shared" si="300"/>
        <v>59.8</v>
      </c>
    </row>
    <row r="2470" spans="1:9" x14ac:dyDescent="0.25">
      <c r="A2470" s="1428">
        <v>42278</v>
      </c>
      <c r="B2470" s="1428">
        <v>42278</v>
      </c>
      <c r="C2470" s="3389" t="s">
        <v>4977</v>
      </c>
      <c r="D2470" s="3390"/>
      <c r="E2470" s="1429">
        <v>226.18</v>
      </c>
      <c r="F2470" s="1430">
        <v>4</v>
      </c>
      <c r="G2470" s="1431">
        <f t="shared" si="300"/>
        <v>56.545000000000002</v>
      </c>
    </row>
    <row r="2471" spans="1:9" x14ac:dyDescent="0.25">
      <c r="A2471" s="1428">
        <v>42279</v>
      </c>
      <c r="B2471" s="1428">
        <v>42279</v>
      </c>
      <c r="C2471" s="3389" t="s">
        <v>4978</v>
      </c>
      <c r="D2471" s="3390"/>
      <c r="E2471" s="1429">
        <v>39.9</v>
      </c>
      <c r="F2471" s="1430">
        <v>1</v>
      </c>
      <c r="G2471" s="1431">
        <f t="shared" si="300"/>
        <v>39.9</v>
      </c>
    </row>
    <row r="2472" spans="1:9" x14ac:dyDescent="0.25">
      <c r="A2472" s="1369">
        <v>42289</v>
      </c>
      <c r="B2472" s="1369">
        <v>42289</v>
      </c>
      <c r="C2472" s="3397" t="s">
        <v>1241</v>
      </c>
      <c r="D2472" s="3398"/>
      <c r="E2472" s="1357">
        <v>20</v>
      </c>
      <c r="F2472" s="1358">
        <v>1</v>
      </c>
      <c r="G2472" s="1359">
        <f t="shared" si="300"/>
        <v>20</v>
      </c>
    </row>
    <row r="2473" spans="1:9" x14ac:dyDescent="0.25">
      <c r="A2473" s="1369"/>
      <c r="B2473" s="1369"/>
      <c r="C2473" s="3397"/>
      <c r="D2473" s="3398"/>
      <c r="E2473" s="1357"/>
      <c r="F2473" s="1358"/>
      <c r="G2473" s="1359"/>
    </row>
    <row r="2474" spans="1:9" ht="15.75" x14ac:dyDescent="0.25">
      <c r="A2474" s="3356" t="s">
        <v>4071</v>
      </c>
      <c r="B2474" s="3357"/>
      <c r="C2474" s="3357"/>
      <c r="D2474" s="3357"/>
      <c r="E2474" s="1396">
        <v>1550</v>
      </c>
      <c r="F2474" s="3366"/>
      <c r="G2474" s="3367"/>
    </row>
    <row r="2475" spans="1:9" ht="15.75" x14ac:dyDescent="0.25">
      <c r="A2475" s="3358" t="s">
        <v>4072</v>
      </c>
      <c r="B2475" s="3359"/>
      <c r="C2475" s="3359"/>
      <c r="D2475" s="3359"/>
      <c r="E2475" s="1397">
        <v>690.39</v>
      </c>
      <c r="F2475" s="3368"/>
      <c r="G2475" s="3369"/>
      <c r="H2475" s="1247" t="s">
        <v>280</v>
      </c>
    </row>
    <row r="2476" spans="1:9" ht="15.75" x14ac:dyDescent="0.25">
      <c r="A2476" s="3356" t="s">
        <v>4073</v>
      </c>
      <c r="B2476" s="3357"/>
      <c r="C2476" s="3357"/>
      <c r="D2476" s="3357"/>
      <c r="E2476" s="1396">
        <v>321.39</v>
      </c>
      <c r="F2476" s="3368"/>
      <c r="G2476" s="3369"/>
    </row>
    <row r="2477" spans="1:9" ht="15.75" x14ac:dyDescent="0.25">
      <c r="A2477" s="3358" t="s">
        <v>4074</v>
      </c>
      <c r="B2477" s="3359"/>
      <c r="C2477" s="3359"/>
      <c r="D2477" s="3359"/>
      <c r="E2477" s="3359"/>
      <c r="F2477" s="3360"/>
      <c r="G2477" s="1457">
        <f>SUM(G2467:G2473)</f>
        <v>292.53499999999997</v>
      </c>
    </row>
    <row r="2478" spans="1:9" ht="17.25" customHeight="1" thickBot="1" x14ac:dyDescent="0.3">
      <c r="A2478" s="3356" t="s">
        <v>4075</v>
      </c>
      <c r="B2478" s="3357"/>
      <c r="C2478" s="3357"/>
      <c r="D2478" s="3357"/>
      <c r="E2478" s="1388">
        <f>E2474-E2475</f>
        <v>859.61</v>
      </c>
    </row>
    <row r="2479" spans="1:9" ht="17.25" customHeight="1" x14ac:dyDescent="0.25">
      <c r="I2479" s="2866" t="s">
        <v>135</v>
      </c>
    </row>
    <row r="2480" spans="1:9" ht="15.75" x14ac:dyDescent="0.25">
      <c r="A2480" s="1461"/>
      <c r="B2480" s="1461"/>
      <c r="C2480" s="1461"/>
      <c r="D2480" s="1461"/>
      <c r="E2480" s="1461"/>
      <c r="F2480" s="1390"/>
      <c r="G2480" s="1247"/>
    </row>
    <row r="2481" spans="1:9" ht="18.75" x14ac:dyDescent="0.3">
      <c r="A2481" s="3361" t="s">
        <v>4979</v>
      </c>
      <c r="B2481" s="3336"/>
      <c r="C2481" s="3336"/>
      <c r="D2481" s="3336"/>
      <c r="E2481" s="3336"/>
      <c r="F2481" s="3336"/>
      <c r="G2481" s="3337"/>
    </row>
    <row r="2482" spans="1:9" ht="15.75" x14ac:dyDescent="0.25">
      <c r="A2482" s="1361" t="s">
        <v>4206</v>
      </c>
      <c r="B2482" s="1361" t="s">
        <v>4206</v>
      </c>
      <c r="C2482" s="3370" t="s">
        <v>3</v>
      </c>
      <c r="D2482" s="3371"/>
      <c r="E2482" s="1363" t="s">
        <v>4190</v>
      </c>
      <c r="F2482" s="1363" t="s">
        <v>4191</v>
      </c>
      <c r="G2482" s="1364" t="s">
        <v>382</v>
      </c>
    </row>
    <row r="2483" spans="1:9" x14ac:dyDescent="0.25">
      <c r="A2483" s="1428">
        <v>42213</v>
      </c>
      <c r="B2483" s="1428">
        <v>42213</v>
      </c>
      <c r="C2483" s="3389" t="s">
        <v>4980</v>
      </c>
      <c r="D2483" s="3390"/>
      <c r="E2483" s="1429">
        <v>185.97</v>
      </c>
      <c r="F2483" s="1430">
        <v>3</v>
      </c>
      <c r="G2483" s="1431">
        <f t="shared" ref="G2483:G2489" si="301">E2483/F2483</f>
        <v>61.99</v>
      </c>
    </row>
    <row r="2484" spans="1:9" x14ac:dyDescent="0.25">
      <c r="A2484" s="1428">
        <v>42227</v>
      </c>
      <c r="B2484" s="1428">
        <v>42227</v>
      </c>
      <c r="C2484" s="3389" t="s">
        <v>4981</v>
      </c>
      <c r="D2484" s="3390"/>
      <c r="E2484" s="1429">
        <v>271.5</v>
      </c>
      <c r="F2484" s="1430">
        <v>5</v>
      </c>
      <c r="G2484" s="1431">
        <f t="shared" si="301"/>
        <v>54.3</v>
      </c>
    </row>
    <row r="2485" spans="1:9" x14ac:dyDescent="0.25">
      <c r="A2485" s="1428">
        <v>42240</v>
      </c>
      <c r="B2485" s="1428">
        <v>42240</v>
      </c>
      <c r="C2485" s="3389" t="s">
        <v>4982</v>
      </c>
      <c r="D2485" s="3390"/>
      <c r="E2485" s="1429">
        <v>299</v>
      </c>
      <c r="F2485" s="1430">
        <v>5</v>
      </c>
      <c r="G2485" s="1431">
        <f t="shared" si="301"/>
        <v>59.8</v>
      </c>
    </row>
    <row r="2486" spans="1:9" x14ac:dyDescent="0.25">
      <c r="A2486" s="1428">
        <v>42257</v>
      </c>
      <c r="B2486" s="1428">
        <v>42257</v>
      </c>
      <c r="C2486" s="3389" t="s">
        <v>4983</v>
      </c>
      <c r="D2486" s="3390"/>
      <c r="E2486" s="1429">
        <v>32.4</v>
      </c>
      <c r="F2486" s="1430">
        <v>1</v>
      </c>
      <c r="G2486" s="1431">
        <f t="shared" si="301"/>
        <v>32.4</v>
      </c>
    </row>
    <row r="2487" spans="1:9" x14ac:dyDescent="0.25">
      <c r="A2487" s="1428">
        <v>42258</v>
      </c>
      <c r="B2487" s="1428">
        <v>42258</v>
      </c>
      <c r="C2487" s="3389" t="s">
        <v>1111</v>
      </c>
      <c r="D2487" s="3390"/>
      <c r="E2487" s="1429">
        <v>30</v>
      </c>
      <c r="F2487" s="1430">
        <v>1</v>
      </c>
      <c r="G2487" s="1431">
        <f t="shared" si="301"/>
        <v>30</v>
      </c>
    </row>
    <row r="2488" spans="1:9" x14ac:dyDescent="0.25">
      <c r="A2488" s="1428">
        <v>42262</v>
      </c>
      <c r="B2488" s="1428">
        <v>42262</v>
      </c>
      <c r="C2488" s="3389" t="s">
        <v>1113</v>
      </c>
      <c r="D2488" s="3390"/>
      <c r="E2488" s="1429">
        <v>39.9</v>
      </c>
      <c r="F2488" s="1430">
        <v>1</v>
      </c>
      <c r="G2488" s="1431">
        <f t="shared" si="301"/>
        <v>39.9</v>
      </c>
    </row>
    <row r="2489" spans="1:9" x14ac:dyDescent="0.25">
      <c r="A2489" s="1428">
        <v>42263</v>
      </c>
      <c r="B2489" s="1428">
        <v>42263</v>
      </c>
      <c r="C2489" s="3389" t="s">
        <v>4984</v>
      </c>
      <c r="D2489" s="3390"/>
      <c r="E2489" s="1429">
        <v>43</v>
      </c>
      <c r="F2489" s="1430">
        <v>1</v>
      </c>
      <c r="G2489" s="1431">
        <f t="shared" si="301"/>
        <v>43</v>
      </c>
    </row>
    <row r="2490" spans="1:9" x14ac:dyDescent="0.25">
      <c r="A2490" s="1369"/>
      <c r="B2490" s="1369"/>
      <c r="C2490" s="3397"/>
      <c r="D2490" s="3398"/>
      <c r="E2490" s="1357"/>
      <c r="F2490" s="1358"/>
      <c r="G2490" s="1359"/>
    </row>
    <row r="2491" spans="1:9" ht="15.75" x14ac:dyDescent="0.25">
      <c r="A2491" s="3356" t="s">
        <v>4071</v>
      </c>
      <c r="B2491" s="3357"/>
      <c r="C2491" s="3357"/>
      <c r="D2491" s="3357"/>
      <c r="E2491" s="1396">
        <v>1550</v>
      </c>
      <c r="F2491" s="3366"/>
      <c r="G2491" s="3367"/>
    </row>
    <row r="2492" spans="1:9" ht="15.75" x14ac:dyDescent="0.25">
      <c r="A2492" s="3358" t="s">
        <v>4072</v>
      </c>
      <c r="B2492" s="3359"/>
      <c r="C2492" s="3359"/>
      <c r="D2492" s="3359"/>
      <c r="E2492" s="1397">
        <v>725.27999999999986</v>
      </c>
      <c r="F2492" s="3368"/>
      <c r="G2492" s="3369"/>
      <c r="H2492" s="1247" t="s">
        <v>280</v>
      </c>
    </row>
    <row r="2493" spans="1:9" ht="15.75" x14ac:dyDescent="0.25">
      <c r="A2493" s="3356" t="s">
        <v>4073</v>
      </c>
      <c r="B2493" s="3357"/>
      <c r="C2493" s="3357"/>
      <c r="D2493" s="3357"/>
      <c r="E2493" s="1396">
        <v>244.78</v>
      </c>
      <c r="F2493" s="3368"/>
      <c r="G2493" s="3369"/>
    </row>
    <row r="2494" spans="1:9" ht="15.75" x14ac:dyDescent="0.25">
      <c r="A2494" s="3358" t="s">
        <v>4074</v>
      </c>
      <c r="B2494" s="3359"/>
      <c r="C2494" s="3359"/>
      <c r="D2494" s="3359"/>
      <c r="E2494" s="3359"/>
      <c r="F2494" s="3360"/>
      <c r="G2494" s="1457">
        <f>G2483+G2484+G2485+G2486+G2487+G2488+G2489</f>
        <v>321.39</v>
      </c>
    </row>
    <row r="2495" spans="1:9" ht="17.25" customHeight="1" thickBot="1" x14ac:dyDescent="0.3">
      <c r="A2495" s="3356" t="s">
        <v>4075</v>
      </c>
      <c r="B2495" s="3357"/>
      <c r="C2495" s="3357"/>
      <c r="D2495" s="3357"/>
      <c r="E2495" s="1388">
        <f>E2491-E2492</f>
        <v>824.72000000000014</v>
      </c>
    </row>
    <row r="2496" spans="1:9" ht="17.25" customHeight="1" x14ac:dyDescent="0.25">
      <c r="I2496" s="2866" t="s">
        <v>135</v>
      </c>
    </row>
    <row r="2497" spans="1:8" ht="15.75" x14ac:dyDescent="0.25">
      <c r="A2497" s="1461"/>
      <c r="B2497" s="1461"/>
      <c r="C2497" s="1461"/>
      <c r="D2497" s="1461"/>
      <c r="E2497" s="1461"/>
      <c r="F2497" s="1390"/>
      <c r="G2497" s="1247"/>
    </row>
    <row r="2498" spans="1:8" ht="18.75" x14ac:dyDescent="0.3">
      <c r="A2498" s="3361" t="s">
        <v>4985</v>
      </c>
      <c r="B2498" s="3336"/>
      <c r="C2498" s="3336"/>
      <c r="D2498" s="3336"/>
      <c r="E2498" s="3336"/>
      <c r="F2498" s="3336"/>
      <c r="G2498" s="3337"/>
    </row>
    <row r="2499" spans="1:8" ht="15.75" x14ac:dyDescent="0.25">
      <c r="A2499" s="1361" t="s">
        <v>4206</v>
      </c>
      <c r="B2499" s="1361" t="s">
        <v>4206</v>
      </c>
      <c r="C2499" s="3370" t="s">
        <v>3</v>
      </c>
      <c r="D2499" s="3371"/>
      <c r="E2499" s="1363" t="s">
        <v>4190</v>
      </c>
      <c r="F2499" s="1363" t="s">
        <v>4191</v>
      </c>
      <c r="G2499" s="1364" t="s">
        <v>382</v>
      </c>
    </row>
    <row r="2500" spans="1:8" x14ac:dyDescent="0.25">
      <c r="A2500" s="1428">
        <v>42192</v>
      </c>
      <c r="B2500" s="1428">
        <v>42192</v>
      </c>
      <c r="C2500" s="3389" t="s">
        <v>4986</v>
      </c>
      <c r="D2500" s="3390"/>
      <c r="E2500" s="1429">
        <v>103</v>
      </c>
      <c r="F2500" s="1430">
        <v>2</v>
      </c>
      <c r="G2500" s="1431">
        <f>E2500/F2500</f>
        <v>51.5</v>
      </c>
    </row>
    <row r="2501" spans="1:8" x14ac:dyDescent="0.25">
      <c r="A2501" s="1428">
        <v>42198</v>
      </c>
      <c r="B2501" s="1428">
        <v>42198</v>
      </c>
      <c r="C2501" s="3389" t="s">
        <v>4987</v>
      </c>
      <c r="D2501" s="3390"/>
      <c r="E2501" s="1429">
        <v>112.75</v>
      </c>
      <c r="F2501" s="1430">
        <v>2</v>
      </c>
      <c r="G2501" s="1431">
        <v>75.159999999999982</v>
      </c>
    </row>
    <row r="2502" spans="1:8" x14ac:dyDescent="0.25">
      <c r="A2502" s="1428">
        <v>42213</v>
      </c>
      <c r="B2502" s="1428">
        <v>42213</v>
      </c>
      <c r="C2502" s="3389" t="s">
        <v>4988</v>
      </c>
      <c r="D2502" s="3390"/>
      <c r="E2502" s="1429">
        <v>185.97</v>
      </c>
      <c r="F2502" s="1430">
        <v>3</v>
      </c>
      <c r="G2502" s="1431">
        <f t="shared" ref="G2502:G2508" si="302">E2502/F2502</f>
        <v>61.99</v>
      </c>
    </row>
    <row r="2503" spans="1:8" x14ac:dyDescent="0.25">
      <c r="A2503" s="1428">
        <v>42227</v>
      </c>
      <c r="B2503" s="1428">
        <v>42227</v>
      </c>
      <c r="C2503" s="3389" t="s">
        <v>4989</v>
      </c>
      <c r="D2503" s="3390"/>
      <c r="E2503" s="1429">
        <v>271.5</v>
      </c>
      <c r="F2503" s="1430">
        <v>5</v>
      </c>
      <c r="G2503" s="1431">
        <f t="shared" si="302"/>
        <v>54.3</v>
      </c>
    </row>
    <row r="2504" spans="1:8" x14ac:dyDescent="0.25">
      <c r="A2504" s="1428">
        <v>42235</v>
      </c>
      <c r="B2504" s="1428">
        <v>42235</v>
      </c>
      <c r="C2504" s="3389" t="s">
        <v>4990</v>
      </c>
      <c r="D2504" s="3390"/>
      <c r="E2504" s="1429">
        <v>25</v>
      </c>
      <c r="F2504" s="1430">
        <v>1</v>
      </c>
      <c r="G2504" s="1431">
        <f t="shared" si="302"/>
        <v>25</v>
      </c>
    </row>
    <row r="2505" spans="1:8" x14ac:dyDescent="0.25">
      <c r="A2505" s="1428">
        <v>42237</v>
      </c>
      <c r="B2505" s="1428">
        <v>42237</v>
      </c>
      <c r="C2505" s="3389" t="s">
        <v>4991</v>
      </c>
      <c r="D2505" s="3390"/>
      <c r="E2505" s="1429">
        <v>39.9</v>
      </c>
      <c r="F2505" s="1430">
        <v>1</v>
      </c>
      <c r="G2505" s="1431">
        <f t="shared" si="302"/>
        <v>39.9</v>
      </c>
    </row>
    <row r="2506" spans="1:8" x14ac:dyDescent="0.25">
      <c r="A2506" s="1428">
        <v>42240</v>
      </c>
      <c r="B2506" s="1428">
        <v>42240</v>
      </c>
      <c r="C2506" s="3389" t="s">
        <v>4992</v>
      </c>
      <c r="D2506" s="3390"/>
      <c r="E2506" s="1429">
        <v>299</v>
      </c>
      <c r="F2506" s="1430">
        <v>5</v>
      </c>
      <c r="G2506" s="1431">
        <f t="shared" si="302"/>
        <v>59.8</v>
      </c>
    </row>
    <row r="2507" spans="1:8" x14ac:dyDescent="0.25">
      <c r="A2507" s="1447">
        <v>42228</v>
      </c>
      <c r="B2507" s="1447">
        <v>42228</v>
      </c>
      <c r="C2507" s="3407" t="s">
        <v>4993</v>
      </c>
      <c r="D2507" s="3408"/>
      <c r="E2507" s="1462">
        <v>112.75</v>
      </c>
      <c r="F2507" s="1463">
        <v>1</v>
      </c>
      <c r="G2507" s="1431">
        <f t="shared" si="302"/>
        <v>112.75</v>
      </c>
    </row>
    <row r="2508" spans="1:8" x14ac:dyDescent="0.25">
      <c r="A2508" s="1447">
        <v>42226</v>
      </c>
      <c r="B2508" s="1447">
        <v>42226</v>
      </c>
      <c r="C2508" s="3407" t="s">
        <v>4994</v>
      </c>
      <c r="D2508" s="3408"/>
      <c r="E2508" s="1462">
        <v>10.119999999999999</v>
      </c>
      <c r="F2508" s="1463">
        <v>1</v>
      </c>
      <c r="G2508" s="1431">
        <f t="shared" si="302"/>
        <v>10.119999999999999</v>
      </c>
    </row>
    <row r="2509" spans="1:8" x14ac:dyDescent="0.25">
      <c r="A2509" s="1369"/>
      <c r="B2509" s="1369"/>
      <c r="C2509" s="3397"/>
      <c r="D2509" s="3398"/>
      <c r="E2509" s="1357"/>
      <c r="F2509" s="1358"/>
      <c r="G2509" s="1359"/>
    </row>
    <row r="2510" spans="1:8" ht="15.75" x14ac:dyDescent="0.25">
      <c r="A2510" s="3356" t="s">
        <v>4071</v>
      </c>
      <c r="B2510" s="3357"/>
      <c r="C2510" s="3357"/>
      <c r="D2510" s="3357"/>
      <c r="E2510" s="1396">
        <v>1550</v>
      </c>
      <c r="F2510" s="3366"/>
      <c r="G2510" s="3367"/>
    </row>
    <row r="2511" spans="1:8" ht="15.75" x14ac:dyDescent="0.25">
      <c r="A2511" s="3358" t="s">
        <v>4072</v>
      </c>
      <c r="B2511" s="3359"/>
      <c r="C2511" s="3359"/>
      <c r="D2511" s="3359"/>
      <c r="E2511" s="1397">
        <v>708.83</v>
      </c>
      <c r="F2511" s="3368"/>
      <c r="G2511" s="3369"/>
      <c r="H2511" s="1247" t="s">
        <v>280</v>
      </c>
    </row>
    <row r="2512" spans="1:8" ht="15.75" x14ac:dyDescent="0.25">
      <c r="A2512" s="3356" t="s">
        <v>4073</v>
      </c>
      <c r="B2512" s="3357"/>
      <c r="C2512" s="3357"/>
      <c r="D2512" s="3357"/>
      <c r="E2512" s="1396">
        <v>200.84</v>
      </c>
      <c r="F2512" s="3368"/>
      <c r="G2512" s="3369"/>
    </row>
    <row r="2513" spans="1:9" ht="15.75" x14ac:dyDescent="0.25">
      <c r="A2513" s="3358" t="s">
        <v>4074</v>
      </c>
      <c r="B2513" s="3359"/>
      <c r="C2513" s="3359"/>
      <c r="D2513" s="3359"/>
      <c r="E2513" s="3359"/>
      <c r="F2513" s="3360"/>
      <c r="G2513" s="1457">
        <f>G2500+G2501+G2502+G2503+G2504+G2505+G2506-G2507-G2508</f>
        <v>244.77999999999997</v>
      </c>
    </row>
    <row r="2514" spans="1:9" ht="17.25" customHeight="1" thickBot="1" x14ac:dyDescent="0.3">
      <c r="A2514" s="3356" t="s">
        <v>4075</v>
      </c>
      <c r="B2514" s="3357"/>
      <c r="C2514" s="3357"/>
      <c r="D2514" s="3357"/>
      <c r="E2514" s="1388">
        <f>E2510-E2511</f>
        <v>841.17</v>
      </c>
    </row>
    <row r="2515" spans="1:9" ht="17.25" customHeight="1" x14ac:dyDescent="0.25">
      <c r="I2515" s="2866" t="s">
        <v>135</v>
      </c>
    </row>
    <row r="2516" spans="1:9" ht="15.75" x14ac:dyDescent="0.25">
      <c r="A2516" s="1461"/>
      <c r="B2516" s="1461"/>
      <c r="C2516" s="1461"/>
      <c r="D2516" s="1461"/>
      <c r="E2516" s="1461"/>
      <c r="F2516" s="1390"/>
      <c r="G2516" s="1247"/>
    </row>
    <row r="2517" spans="1:9" ht="18.75" x14ac:dyDescent="0.3">
      <c r="A2517" s="3361" t="s">
        <v>4995</v>
      </c>
      <c r="B2517" s="3336"/>
      <c r="C2517" s="3336"/>
      <c r="D2517" s="3336"/>
      <c r="E2517" s="3336"/>
      <c r="F2517" s="3336"/>
      <c r="G2517" s="3337"/>
    </row>
    <row r="2518" spans="1:9" ht="15.75" x14ac:dyDescent="0.25">
      <c r="A2518" s="1361" t="s">
        <v>4206</v>
      </c>
      <c r="B2518" s="1361" t="s">
        <v>4206</v>
      </c>
      <c r="C2518" s="3370" t="s">
        <v>3</v>
      </c>
      <c r="D2518" s="3371"/>
      <c r="E2518" s="1363" t="s">
        <v>4190</v>
      </c>
      <c r="F2518" s="1363" t="s">
        <v>4191</v>
      </c>
      <c r="G2518" s="1364" t="s">
        <v>382</v>
      </c>
    </row>
    <row r="2519" spans="1:9" x14ac:dyDescent="0.25">
      <c r="A2519" s="1428">
        <v>41990</v>
      </c>
      <c r="B2519" s="1428">
        <v>41990</v>
      </c>
      <c r="C2519" s="3391" t="s">
        <v>4996</v>
      </c>
      <c r="D2519" s="3392"/>
      <c r="E2519" s="1429">
        <v>706.48</v>
      </c>
      <c r="F2519" s="1430">
        <v>8</v>
      </c>
      <c r="G2519" s="1431">
        <f t="shared" ref="G2519:G2524" si="303">E2519/F2519</f>
        <v>88.31</v>
      </c>
    </row>
    <row r="2520" spans="1:9" x14ac:dyDescent="0.25">
      <c r="A2520" s="1428">
        <v>42117</v>
      </c>
      <c r="B2520" s="1428">
        <v>42117</v>
      </c>
      <c r="C2520" s="3389" t="s">
        <v>4997</v>
      </c>
      <c r="D2520" s="3390"/>
      <c r="E2520" s="1429">
        <v>158.16</v>
      </c>
      <c r="F2520" s="1430">
        <v>4</v>
      </c>
      <c r="G2520" s="1431">
        <f t="shared" si="303"/>
        <v>39.54</v>
      </c>
      <c r="H2520" s="1450" t="s">
        <v>135</v>
      </c>
    </row>
    <row r="2521" spans="1:9" x14ac:dyDescent="0.25">
      <c r="A2521" s="1428">
        <v>42137</v>
      </c>
      <c r="B2521" s="1428">
        <v>42137</v>
      </c>
      <c r="C2521" s="3389" t="s">
        <v>4998</v>
      </c>
      <c r="D2521" s="3390"/>
      <c r="E2521" s="1429">
        <v>221.35</v>
      </c>
      <c r="F2521" s="1430">
        <v>3</v>
      </c>
      <c r="G2521" s="1431">
        <f t="shared" si="303"/>
        <v>73.783333333333331</v>
      </c>
    </row>
    <row r="2522" spans="1:9" x14ac:dyDescent="0.25">
      <c r="A2522" s="1428">
        <v>42192</v>
      </c>
      <c r="B2522" s="1428">
        <v>42192</v>
      </c>
      <c r="C2522" s="3389" t="s">
        <v>4999</v>
      </c>
      <c r="D2522" s="3390"/>
      <c r="E2522" s="1429">
        <v>103</v>
      </c>
      <c r="F2522" s="1430">
        <v>2</v>
      </c>
      <c r="G2522" s="1431">
        <f t="shared" si="303"/>
        <v>51.5</v>
      </c>
    </row>
    <row r="2523" spans="1:9" x14ac:dyDescent="0.25">
      <c r="A2523" s="1428">
        <v>42198</v>
      </c>
      <c r="B2523" s="1428">
        <v>42198</v>
      </c>
      <c r="C2523" s="3389" t="s">
        <v>5000</v>
      </c>
      <c r="D2523" s="3390"/>
      <c r="E2523" s="1429">
        <v>112.75</v>
      </c>
      <c r="F2523" s="1430">
        <v>3</v>
      </c>
      <c r="G2523" s="1431">
        <f t="shared" si="303"/>
        <v>37.583333333333336</v>
      </c>
    </row>
    <row r="2524" spans="1:9" x14ac:dyDescent="0.25">
      <c r="A2524" s="1447">
        <v>42206</v>
      </c>
      <c r="B2524" s="1447">
        <v>42206</v>
      </c>
      <c r="C2524" s="3407" t="s">
        <v>4994</v>
      </c>
      <c r="D2524" s="3408"/>
      <c r="E2524" s="1462">
        <v>10.119999999999999</v>
      </c>
      <c r="F2524" s="1463">
        <v>1</v>
      </c>
      <c r="G2524" s="1431">
        <f t="shared" si="303"/>
        <v>10.119999999999999</v>
      </c>
    </row>
    <row r="2525" spans="1:9" x14ac:dyDescent="0.25">
      <c r="A2525" s="1452">
        <v>42205</v>
      </c>
      <c r="B2525" s="1452">
        <v>42205</v>
      </c>
      <c r="C2525" s="3405" t="s">
        <v>5001</v>
      </c>
      <c r="D2525" s="3406"/>
      <c r="E2525" s="1464"/>
      <c r="F2525" s="1465"/>
      <c r="G2525" s="1466">
        <v>100</v>
      </c>
    </row>
    <row r="2526" spans="1:9" ht="16.5" customHeight="1" thickBot="1" x14ac:dyDescent="0.3">
      <c r="A2526" s="1369"/>
      <c r="B2526" s="1369"/>
      <c r="C2526" s="3397"/>
      <c r="D2526" s="3398"/>
      <c r="E2526" s="1357"/>
      <c r="F2526" s="1358"/>
      <c r="G2526" s="1359"/>
    </row>
    <row r="2527" spans="1:9" ht="16.5" thickBot="1" x14ac:dyDescent="0.3">
      <c r="A2527" s="3356" t="s">
        <v>4071</v>
      </c>
      <c r="B2527" s="3357"/>
      <c r="C2527" s="3357"/>
      <c r="D2527" s="3357"/>
      <c r="E2527" s="1396">
        <v>1550</v>
      </c>
      <c r="F2527" s="3366"/>
      <c r="G2527" s="3367"/>
    </row>
    <row r="2528" spans="1:9" ht="16.5" thickBot="1" x14ac:dyDescent="0.3">
      <c r="A2528" s="3358" t="s">
        <v>4072</v>
      </c>
      <c r="B2528" s="3359"/>
      <c r="C2528" s="3359"/>
      <c r="D2528" s="3359"/>
      <c r="E2528" s="1397">
        <v>416.63</v>
      </c>
      <c r="F2528" s="3368"/>
      <c r="G2528" s="3369"/>
      <c r="H2528" s="1247" t="s">
        <v>280</v>
      </c>
    </row>
    <row r="2529" spans="1:9" ht="16.5" thickBot="1" x14ac:dyDescent="0.3">
      <c r="A2529" s="3356" t="s">
        <v>4073</v>
      </c>
      <c r="B2529" s="3357"/>
      <c r="C2529" s="3357"/>
      <c r="D2529" s="3357"/>
      <c r="E2529" s="1396">
        <v>346.38</v>
      </c>
      <c r="F2529" s="3368"/>
      <c r="G2529" s="3369"/>
    </row>
    <row r="2530" spans="1:9" ht="16.5" thickBot="1" x14ac:dyDescent="0.3">
      <c r="A2530" s="3356" t="s">
        <v>5002</v>
      </c>
      <c r="B2530" s="3357"/>
      <c r="C2530" s="3357"/>
      <c r="D2530" s="3357"/>
      <c r="E2530" s="1396">
        <v>100</v>
      </c>
      <c r="F2530" s="3368"/>
      <c r="G2530" s="3369"/>
    </row>
    <row r="2531" spans="1:9" ht="16.5" thickBot="1" x14ac:dyDescent="0.3">
      <c r="A2531" s="3356"/>
      <c r="B2531" s="3357"/>
      <c r="C2531" s="3357"/>
      <c r="D2531" s="3357"/>
      <c r="E2531" s="1396"/>
      <c r="F2531" s="3385"/>
      <c r="G2531" s="3386"/>
    </row>
    <row r="2532" spans="1:9" ht="16.5" thickBot="1" x14ac:dyDescent="0.3">
      <c r="A2532" s="3358" t="s">
        <v>4074</v>
      </c>
      <c r="B2532" s="3359"/>
      <c r="C2532" s="3359"/>
      <c r="D2532" s="3359"/>
      <c r="E2532" s="3359"/>
      <c r="F2532" s="3360"/>
      <c r="G2532" s="1457">
        <f>G2519+G2520+G2521+G2522+G2523-G2525+G2524</f>
        <v>200.83666666666664</v>
      </c>
    </row>
    <row r="2533" spans="1:9" ht="17.25" customHeight="1" thickBot="1" x14ac:dyDescent="0.3">
      <c r="A2533" s="3356" t="s">
        <v>4075</v>
      </c>
      <c r="B2533" s="3357"/>
      <c r="C2533" s="3357"/>
      <c r="D2533" s="3357"/>
      <c r="E2533" s="1388">
        <f>E2527-E2528+E2530</f>
        <v>1233.3699999999999</v>
      </c>
    </row>
    <row r="2534" spans="1:9" ht="17.25" customHeight="1" x14ac:dyDescent="0.25">
      <c r="I2534" s="2866" t="s">
        <v>135</v>
      </c>
    </row>
    <row r="2535" spans="1:9" ht="15.75" x14ac:dyDescent="0.25">
      <c r="A2535" s="1461"/>
      <c r="B2535" s="1461"/>
      <c r="C2535" s="1461"/>
      <c r="D2535" s="1461"/>
      <c r="E2535" s="1461"/>
      <c r="F2535" s="1390"/>
      <c r="G2535" s="1247"/>
    </row>
    <row r="2536" spans="1:9" ht="18.75" x14ac:dyDescent="0.3">
      <c r="A2536" s="3361" t="s">
        <v>5003</v>
      </c>
      <c r="B2536" s="3336"/>
      <c r="C2536" s="3336"/>
      <c r="D2536" s="3336"/>
      <c r="E2536" s="3336"/>
      <c r="F2536" s="3336"/>
      <c r="G2536" s="3337"/>
    </row>
    <row r="2537" spans="1:9" ht="15.75" x14ac:dyDescent="0.25">
      <c r="A2537" s="1361" t="s">
        <v>4206</v>
      </c>
      <c r="B2537" s="1361" t="s">
        <v>4206</v>
      </c>
      <c r="C2537" s="3370" t="s">
        <v>3</v>
      </c>
      <c r="D2537" s="3371"/>
      <c r="E2537" s="1363" t="s">
        <v>4190</v>
      </c>
      <c r="F2537" s="1363" t="s">
        <v>4191</v>
      </c>
      <c r="G2537" s="1364" t="s">
        <v>382</v>
      </c>
    </row>
    <row r="2538" spans="1:9" x14ac:dyDescent="0.25">
      <c r="A2538" s="1428">
        <v>41990</v>
      </c>
      <c r="B2538" s="1428">
        <v>41990</v>
      </c>
      <c r="C2538" s="3391" t="s">
        <v>5004</v>
      </c>
      <c r="D2538" s="3392"/>
      <c r="E2538" s="1429">
        <v>706.48</v>
      </c>
      <c r="F2538" s="1430">
        <v>8</v>
      </c>
      <c r="G2538" s="1431">
        <f>E2538/F2538</f>
        <v>88.31</v>
      </c>
    </row>
    <row r="2539" spans="1:9" x14ac:dyDescent="0.25">
      <c r="A2539" s="1428">
        <v>42071</v>
      </c>
      <c r="B2539" s="1428">
        <v>42071</v>
      </c>
      <c r="C2539" s="3389" t="s">
        <v>5005</v>
      </c>
      <c r="D2539" s="3390"/>
      <c r="E2539" s="1429">
        <v>499</v>
      </c>
      <c r="F2539" s="1430">
        <v>4</v>
      </c>
      <c r="G2539" s="1431">
        <f>E2539/F2539</f>
        <v>124.75</v>
      </c>
    </row>
    <row r="2540" spans="1:9" x14ac:dyDescent="0.25">
      <c r="A2540" s="1428">
        <v>42117</v>
      </c>
      <c r="B2540" s="1428">
        <v>42117</v>
      </c>
      <c r="C2540" s="3389" t="s">
        <v>5006</v>
      </c>
      <c r="D2540" s="3390"/>
      <c r="E2540" s="1429">
        <v>158.16</v>
      </c>
      <c r="F2540" s="1430">
        <v>4</v>
      </c>
      <c r="G2540" s="1431">
        <f>E2540/F2540</f>
        <v>39.54</v>
      </c>
    </row>
    <row r="2541" spans="1:9" x14ac:dyDescent="0.25">
      <c r="A2541" s="1428">
        <v>42137</v>
      </c>
      <c r="B2541" s="1428">
        <v>42137</v>
      </c>
      <c r="C2541" s="3389" t="s">
        <v>5007</v>
      </c>
      <c r="D2541" s="3390"/>
      <c r="E2541" s="1429">
        <v>221.35</v>
      </c>
      <c r="F2541" s="1430">
        <v>3</v>
      </c>
      <c r="G2541" s="1431">
        <f>E2541/F2541</f>
        <v>73.783333333333331</v>
      </c>
    </row>
    <row r="2542" spans="1:9" x14ac:dyDescent="0.25">
      <c r="A2542" s="1369">
        <v>42165</v>
      </c>
      <c r="B2542" s="1369">
        <v>42165</v>
      </c>
      <c r="C2542" s="3397" t="s">
        <v>1241</v>
      </c>
      <c r="D2542" s="3398"/>
      <c r="E2542" s="1357">
        <v>20</v>
      </c>
      <c r="F2542" s="1358">
        <v>1</v>
      </c>
      <c r="G2542" s="1359">
        <f>E2542/F2542</f>
        <v>20</v>
      </c>
    </row>
    <row r="2543" spans="1:9" x14ac:dyDescent="0.25">
      <c r="A2543" s="1369"/>
      <c r="B2543" s="1369"/>
      <c r="C2543" s="3397"/>
      <c r="D2543" s="3398"/>
      <c r="E2543" s="1357"/>
      <c r="F2543" s="1358"/>
      <c r="G2543" s="1359"/>
    </row>
    <row r="2544" spans="1:9" ht="15.75" x14ac:dyDescent="0.25">
      <c r="A2544" s="3356" t="s">
        <v>4071</v>
      </c>
      <c r="B2544" s="3357"/>
      <c r="C2544" s="3357"/>
      <c r="D2544" s="3357"/>
      <c r="E2544" s="1396">
        <v>1050</v>
      </c>
      <c r="F2544" s="3366"/>
      <c r="G2544" s="3367"/>
    </row>
    <row r="2545" spans="1:9" ht="15.75" x14ac:dyDescent="0.25">
      <c r="A2545" s="3358" t="s">
        <v>4072</v>
      </c>
      <c r="B2545" s="3359"/>
      <c r="C2545" s="3359"/>
      <c r="D2545" s="3359"/>
      <c r="E2545" s="1397">
        <v>548.02</v>
      </c>
      <c r="F2545" s="3368"/>
      <c r="G2545" s="3369"/>
      <c r="H2545" s="1247" t="s">
        <v>280</v>
      </c>
    </row>
    <row r="2546" spans="1:9" ht="15.75" x14ac:dyDescent="0.25">
      <c r="A2546" s="3356" t="s">
        <v>4073</v>
      </c>
      <c r="B2546" s="3357"/>
      <c r="C2546" s="3357"/>
      <c r="D2546" s="3357"/>
      <c r="E2546" s="1396">
        <v>501.38</v>
      </c>
      <c r="F2546" s="3368"/>
      <c r="G2546" s="3369"/>
    </row>
    <row r="2547" spans="1:9" ht="15.75" x14ac:dyDescent="0.25">
      <c r="A2547" s="3358" t="s">
        <v>4074</v>
      </c>
      <c r="B2547" s="3359"/>
      <c r="C2547" s="3359"/>
      <c r="D2547" s="3359"/>
      <c r="E2547" s="3359"/>
      <c r="F2547" s="3360"/>
      <c r="G2547" s="1457">
        <f>SUM(G2538:G2542)</f>
        <v>346.38333333333333</v>
      </c>
    </row>
    <row r="2548" spans="1:9" ht="17.25" customHeight="1" thickBot="1" x14ac:dyDescent="0.3">
      <c r="A2548" s="3356" t="s">
        <v>4075</v>
      </c>
      <c r="B2548" s="3357"/>
      <c r="C2548" s="3357"/>
      <c r="D2548" s="3357"/>
      <c r="E2548" s="1388">
        <f>E2544-E2545</f>
        <v>501.98</v>
      </c>
    </row>
    <row r="2549" spans="1:9" ht="17.25" customHeight="1" x14ac:dyDescent="0.25">
      <c r="I2549" s="2866" t="s">
        <v>135</v>
      </c>
    </row>
    <row r="2550" spans="1:9" ht="15.75" x14ac:dyDescent="0.25">
      <c r="A2550" s="1461"/>
      <c r="B2550" s="1461"/>
      <c r="C2550" s="1461"/>
      <c r="D2550" s="1461"/>
      <c r="E2550" s="1461"/>
      <c r="F2550" s="1390"/>
      <c r="G2550" s="1247"/>
    </row>
    <row r="2551" spans="1:9" ht="18.75" x14ac:dyDescent="0.3">
      <c r="A2551" s="3361" t="s">
        <v>5008</v>
      </c>
      <c r="B2551" s="3336"/>
      <c r="C2551" s="3336"/>
      <c r="D2551" s="3336"/>
      <c r="E2551" s="3336"/>
      <c r="F2551" s="3336"/>
      <c r="G2551" s="3337"/>
    </row>
    <row r="2552" spans="1:9" ht="15.75" x14ac:dyDescent="0.25">
      <c r="A2552" s="1361" t="s">
        <v>4206</v>
      </c>
      <c r="B2552" s="1361" t="s">
        <v>4206</v>
      </c>
      <c r="C2552" s="3370" t="s">
        <v>3</v>
      </c>
      <c r="D2552" s="3371"/>
      <c r="E2552" s="1363" t="s">
        <v>4190</v>
      </c>
      <c r="F2552" s="1363" t="s">
        <v>4191</v>
      </c>
      <c r="G2552" s="1364" t="s">
        <v>382</v>
      </c>
    </row>
    <row r="2553" spans="1:9" x14ac:dyDescent="0.25">
      <c r="A2553" s="1428">
        <v>41990</v>
      </c>
      <c r="B2553" s="1428">
        <v>41990</v>
      </c>
      <c r="C2553" s="3391" t="s">
        <v>5009</v>
      </c>
      <c r="D2553" s="3392"/>
      <c r="E2553" s="1429">
        <v>706.48</v>
      </c>
      <c r="F2553" s="1430">
        <v>8</v>
      </c>
      <c r="G2553" s="1431">
        <f t="shared" ref="G2553:G2559" si="304">E2553/F2553</f>
        <v>88.31</v>
      </c>
    </row>
    <row r="2554" spans="1:9" x14ac:dyDescent="0.25">
      <c r="A2554" s="1428">
        <v>42071</v>
      </c>
      <c r="B2554" s="1428">
        <v>42071</v>
      </c>
      <c r="C2554" s="3389" t="s">
        <v>5010</v>
      </c>
      <c r="D2554" s="3390"/>
      <c r="E2554" s="1429">
        <v>499</v>
      </c>
      <c r="F2554" s="1430">
        <v>4</v>
      </c>
      <c r="G2554" s="1431">
        <f t="shared" si="304"/>
        <v>124.75</v>
      </c>
    </row>
    <row r="2555" spans="1:9" x14ac:dyDescent="0.25">
      <c r="A2555" s="1428">
        <v>42105</v>
      </c>
      <c r="B2555" s="1428">
        <v>42105</v>
      </c>
      <c r="C2555" s="3389" t="s">
        <v>5011</v>
      </c>
      <c r="D2555" s="3390"/>
      <c r="E2555" s="1429">
        <v>90</v>
      </c>
      <c r="F2555" s="1430">
        <v>2</v>
      </c>
      <c r="G2555" s="1431">
        <f t="shared" si="304"/>
        <v>45</v>
      </c>
    </row>
    <row r="2556" spans="1:9" x14ac:dyDescent="0.25">
      <c r="A2556" s="1428">
        <v>42117</v>
      </c>
      <c r="B2556" s="1428">
        <v>42117</v>
      </c>
      <c r="C2556" s="3389" t="s">
        <v>5012</v>
      </c>
      <c r="D2556" s="3390"/>
      <c r="E2556" s="1429">
        <v>158.16</v>
      </c>
      <c r="F2556" s="1430">
        <v>4</v>
      </c>
      <c r="G2556" s="1431">
        <f t="shared" si="304"/>
        <v>39.54</v>
      </c>
    </row>
    <row r="2557" spans="1:9" x14ac:dyDescent="0.25">
      <c r="A2557" s="1428">
        <v>42119</v>
      </c>
      <c r="B2557" s="1428">
        <v>42119</v>
      </c>
      <c r="C2557" s="3389" t="s">
        <v>5013</v>
      </c>
      <c r="D2557" s="3390"/>
      <c r="E2557" s="1429">
        <v>50</v>
      </c>
      <c r="F2557" s="1430">
        <v>1</v>
      </c>
      <c r="G2557" s="1431">
        <f t="shared" si="304"/>
        <v>50</v>
      </c>
    </row>
    <row r="2558" spans="1:9" x14ac:dyDescent="0.25">
      <c r="A2558" s="1428">
        <v>42135</v>
      </c>
      <c r="B2558" s="1428">
        <v>42135</v>
      </c>
      <c r="C2558" s="3389" t="s">
        <v>5014</v>
      </c>
      <c r="D2558" s="3390"/>
      <c r="E2558" s="1429">
        <v>80</v>
      </c>
      <c r="F2558" s="1430">
        <v>1</v>
      </c>
      <c r="G2558" s="1431">
        <f t="shared" si="304"/>
        <v>80</v>
      </c>
    </row>
    <row r="2559" spans="1:9" x14ac:dyDescent="0.25">
      <c r="A2559" s="1428">
        <v>42137</v>
      </c>
      <c r="B2559" s="1428">
        <v>42137</v>
      </c>
      <c r="C2559" s="3389" t="s">
        <v>5015</v>
      </c>
      <c r="D2559" s="3390"/>
      <c r="E2559" s="1429">
        <v>221.35</v>
      </c>
      <c r="F2559" s="1430">
        <v>3</v>
      </c>
      <c r="G2559" s="1431">
        <f t="shared" si="304"/>
        <v>73.783333333333331</v>
      </c>
    </row>
    <row r="2560" spans="1:9" x14ac:dyDescent="0.25">
      <c r="A2560" s="1452">
        <v>42142</v>
      </c>
      <c r="B2560" s="1452">
        <v>42142</v>
      </c>
      <c r="C2560" s="3405" t="s">
        <v>5001</v>
      </c>
      <c r="D2560" s="3406"/>
      <c r="E2560" s="1464"/>
      <c r="F2560" s="1465"/>
      <c r="G2560" s="1466">
        <v>180</v>
      </c>
    </row>
    <row r="2561" spans="1:8" x14ac:dyDescent="0.25">
      <c r="A2561" s="1369"/>
      <c r="B2561" s="1369"/>
      <c r="C2561" s="3397"/>
      <c r="D2561" s="3398"/>
      <c r="E2561" s="1357"/>
      <c r="F2561" s="1358"/>
      <c r="G2561" s="1359"/>
    </row>
    <row r="2562" spans="1:8" ht="15.75" x14ac:dyDescent="0.25">
      <c r="A2562" s="3356" t="s">
        <v>4071</v>
      </c>
      <c r="B2562" s="3357"/>
      <c r="C2562" s="3357"/>
      <c r="D2562" s="3357"/>
      <c r="E2562" s="1396">
        <v>1050</v>
      </c>
      <c r="F2562" s="3366"/>
      <c r="G2562" s="3367"/>
    </row>
    <row r="2563" spans="1:8" ht="15.75" x14ac:dyDescent="0.25">
      <c r="A2563" s="3358" t="s">
        <v>4072</v>
      </c>
      <c r="B2563" s="3359"/>
      <c r="C2563" s="3359"/>
      <c r="D2563" s="3359"/>
      <c r="E2563" s="1397">
        <v>849.39999999999986</v>
      </c>
      <c r="F2563" s="3368"/>
      <c r="G2563" s="3369"/>
      <c r="H2563" s="1247" t="s">
        <v>280</v>
      </c>
    </row>
    <row r="2564" spans="1:8" ht="15.75" x14ac:dyDescent="0.25">
      <c r="A2564" s="3356" t="s">
        <v>4073</v>
      </c>
      <c r="B2564" s="3357"/>
      <c r="C2564" s="3357"/>
      <c r="D2564" s="3357"/>
      <c r="E2564" s="1396">
        <v>297.60000000000002</v>
      </c>
      <c r="F2564" s="3368"/>
      <c r="G2564" s="3369"/>
    </row>
    <row r="2565" spans="1:8" ht="15.75" x14ac:dyDescent="0.25">
      <c r="A2565" s="3356" t="s">
        <v>5016</v>
      </c>
      <c r="B2565" s="3357"/>
      <c r="C2565" s="3357"/>
      <c r="D2565" s="3357"/>
      <c r="E2565" s="1396">
        <v>180</v>
      </c>
      <c r="F2565" s="3368"/>
      <c r="G2565" s="3369"/>
    </row>
    <row r="2566" spans="1:8" ht="15.75" x14ac:dyDescent="0.25">
      <c r="A2566" s="3356" t="s">
        <v>5017</v>
      </c>
      <c r="B2566" s="3357"/>
      <c r="C2566" s="3357"/>
      <c r="D2566" s="3357"/>
      <c r="E2566" s="1396">
        <v>321.33999999999997</v>
      </c>
      <c r="F2566" s="3368"/>
      <c r="G2566" s="3369"/>
    </row>
    <row r="2567" spans="1:8" ht="15.75" x14ac:dyDescent="0.25">
      <c r="A2567" s="3358" t="s">
        <v>4074</v>
      </c>
      <c r="B2567" s="3359"/>
      <c r="C2567" s="3359"/>
      <c r="D2567" s="3359"/>
      <c r="E2567" s="3359"/>
      <c r="F2567" s="3360"/>
      <c r="G2567" s="1457">
        <f>SUM(G2553:G2559)</f>
        <v>501.38333333333333</v>
      </c>
    </row>
    <row r="2568" spans="1:8" ht="17.25" customHeight="1" thickBot="1" x14ac:dyDescent="0.3">
      <c r="A2568" s="3356" t="s">
        <v>4075</v>
      </c>
      <c r="B2568" s="3357"/>
      <c r="C2568" s="3357"/>
      <c r="D2568" s="3357"/>
      <c r="E2568" s="1388">
        <f>E2562-E2563</f>
        <v>200.60000000000014</v>
      </c>
    </row>
    <row r="2569" spans="1:8" ht="17.25" customHeight="1" x14ac:dyDescent="0.25"/>
    <row r="2570" spans="1:8" ht="15.75" x14ac:dyDescent="0.25">
      <c r="A2570" s="1461"/>
      <c r="B2570" s="1461"/>
      <c r="C2570" s="1461"/>
      <c r="D2570" s="1461"/>
      <c r="E2570" s="1461"/>
      <c r="F2570" s="1390"/>
      <c r="G2570" s="1247"/>
    </row>
    <row r="2571" spans="1:8" ht="18.75" x14ac:dyDescent="0.3">
      <c r="A2571" s="3361" t="s">
        <v>5018</v>
      </c>
      <c r="B2571" s="3336"/>
      <c r="C2571" s="3336"/>
      <c r="D2571" s="3336"/>
      <c r="E2571" s="3336"/>
      <c r="F2571" s="3336"/>
      <c r="G2571" s="3337"/>
    </row>
    <row r="2572" spans="1:8" ht="15.75" x14ac:dyDescent="0.25">
      <c r="A2572" s="1361" t="s">
        <v>4206</v>
      </c>
      <c r="B2572" s="1361" t="s">
        <v>4206</v>
      </c>
      <c r="C2572" s="3370" t="s">
        <v>3</v>
      </c>
      <c r="D2572" s="3371"/>
      <c r="E2572" s="1363" t="s">
        <v>4190</v>
      </c>
      <c r="F2572" s="1363" t="s">
        <v>4191</v>
      </c>
      <c r="G2572" s="1364" t="s">
        <v>382</v>
      </c>
    </row>
    <row r="2573" spans="1:8" x14ac:dyDescent="0.25">
      <c r="A2573" s="1428">
        <v>41990</v>
      </c>
      <c r="B2573" s="1428">
        <v>41990</v>
      </c>
      <c r="C2573" s="3391" t="s">
        <v>5019</v>
      </c>
      <c r="D2573" s="3392"/>
      <c r="E2573" s="1429">
        <v>706.48</v>
      </c>
      <c r="F2573" s="1430">
        <v>8</v>
      </c>
      <c r="G2573" s="1431">
        <f>E2573/F2573</f>
        <v>88.31</v>
      </c>
    </row>
    <row r="2574" spans="1:8" x14ac:dyDescent="0.25">
      <c r="A2574" s="1428">
        <v>42071</v>
      </c>
      <c r="B2574" s="1428">
        <v>42071</v>
      </c>
      <c r="C2574" s="3389" t="s">
        <v>5020</v>
      </c>
      <c r="D2574" s="3390"/>
      <c r="E2574" s="1429">
        <v>499</v>
      </c>
      <c r="F2574" s="1430">
        <v>4</v>
      </c>
      <c r="G2574" s="1431">
        <f>E2574/F2574</f>
        <v>124.75</v>
      </c>
    </row>
    <row r="2575" spans="1:8" x14ac:dyDescent="0.25">
      <c r="A2575" s="1428">
        <v>42105</v>
      </c>
      <c r="B2575" s="1428">
        <v>42105</v>
      </c>
      <c r="C2575" s="3389" t="s">
        <v>5021</v>
      </c>
      <c r="D2575" s="3390"/>
      <c r="E2575" s="1429">
        <v>90</v>
      </c>
      <c r="F2575" s="1430">
        <v>2</v>
      </c>
      <c r="G2575" s="1431">
        <f>E2575/F2575</f>
        <v>45</v>
      </c>
    </row>
    <row r="2576" spans="1:8" x14ac:dyDescent="0.25">
      <c r="A2576" s="1428">
        <v>42117</v>
      </c>
      <c r="B2576" s="1428">
        <v>42117</v>
      </c>
      <c r="C2576" s="3389" t="s">
        <v>5022</v>
      </c>
      <c r="D2576" s="3390"/>
      <c r="E2576" s="1429">
        <v>158.16</v>
      </c>
      <c r="F2576" s="1430">
        <v>4</v>
      </c>
      <c r="G2576" s="1431">
        <f>E2576/F2576</f>
        <v>39.54</v>
      </c>
    </row>
    <row r="2577" spans="1:8" x14ac:dyDescent="0.25">
      <c r="A2577" s="1369"/>
      <c r="B2577" s="1369"/>
      <c r="C2577" s="3397"/>
      <c r="D2577" s="3398"/>
      <c r="E2577" s="1357"/>
      <c r="F2577" s="1358"/>
      <c r="G2577" s="1359"/>
    </row>
    <row r="2578" spans="1:8" ht="15.75" x14ac:dyDescent="0.25">
      <c r="A2578" s="3356" t="s">
        <v>4071</v>
      </c>
      <c r="B2578" s="3357"/>
      <c r="C2578" s="3357"/>
      <c r="D2578" s="3357"/>
      <c r="E2578" s="1396">
        <v>1050</v>
      </c>
      <c r="F2578" s="3366"/>
      <c r="G2578" s="3367"/>
    </row>
    <row r="2579" spans="1:8" ht="15.75" x14ac:dyDescent="0.25">
      <c r="A2579" s="3358" t="s">
        <v>4072</v>
      </c>
      <c r="B2579" s="3359"/>
      <c r="C2579" s="3359"/>
      <c r="D2579" s="3359"/>
      <c r="E2579" s="1397">
        <v>1025.6500000000001</v>
      </c>
      <c r="F2579" s="3368"/>
      <c r="G2579" s="3369"/>
      <c r="H2579" s="1247" t="s">
        <v>280</v>
      </c>
    </row>
    <row r="2580" spans="1:8" ht="15.75" x14ac:dyDescent="0.25">
      <c r="A2580" s="3356" t="s">
        <v>4073</v>
      </c>
      <c r="B2580" s="3357"/>
      <c r="C2580" s="3357"/>
      <c r="D2580" s="3357"/>
      <c r="E2580" s="1396">
        <v>312.5</v>
      </c>
      <c r="F2580" s="3368"/>
      <c r="G2580" s="3369"/>
    </row>
    <row r="2581" spans="1:8" ht="15.75" x14ac:dyDescent="0.25">
      <c r="A2581" s="3358" t="s">
        <v>4074</v>
      </c>
      <c r="B2581" s="3359"/>
      <c r="C2581" s="3359"/>
      <c r="D2581" s="3359"/>
      <c r="E2581" s="3359"/>
      <c r="F2581" s="3360"/>
      <c r="G2581" s="1457">
        <f>SUM(G2573:G2580)</f>
        <v>297.60000000000002</v>
      </c>
    </row>
    <row r="2582" spans="1:8" ht="17.25" customHeight="1" thickBot="1" x14ac:dyDescent="0.3">
      <c r="A2582" s="3356" t="s">
        <v>4075</v>
      </c>
      <c r="B2582" s="3357"/>
      <c r="C2582" s="3357"/>
      <c r="D2582" s="3357"/>
      <c r="E2582" s="1388">
        <f>E2578-E2579</f>
        <v>24.349999999999909</v>
      </c>
    </row>
    <row r="2583" spans="1:8" ht="17.25" customHeight="1" x14ac:dyDescent="0.25"/>
    <row r="2584" spans="1:8" ht="15.75" x14ac:dyDescent="0.25">
      <c r="A2584" s="1461"/>
      <c r="B2584" s="1461"/>
      <c r="C2584" s="1461"/>
      <c r="D2584" s="1461"/>
      <c r="E2584" s="1461"/>
      <c r="F2584" s="1390"/>
      <c r="G2584" s="1247"/>
    </row>
    <row r="2585" spans="1:8" ht="18.75" x14ac:dyDescent="0.3">
      <c r="A2585" s="3361" t="s">
        <v>5023</v>
      </c>
      <c r="B2585" s="3336"/>
      <c r="C2585" s="3336"/>
      <c r="D2585" s="3336"/>
      <c r="E2585" s="3336"/>
      <c r="F2585" s="3336"/>
      <c r="G2585" s="3337"/>
    </row>
    <row r="2586" spans="1:8" ht="15.75" x14ac:dyDescent="0.25">
      <c r="A2586" s="1361" t="s">
        <v>4206</v>
      </c>
      <c r="B2586" s="1361" t="s">
        <v>4206</v>
      </c>
      <c r="C2586" s="3370" t="s">
        <v>3</v>
      </c>
      <c r="D2586" s="3371"/>
      <c r="E2586" s="1363" t="s">
        <v>4190</v>
      </c>
      <c r="F2586" s="1363" t="s">
        <v>4191</v>
      </c>
      <c r="G2586" s="1364" t="s">
        <v>382</v>
      </c>
    </row>
    <row r="2587" spans="1:8" x14ac:dyDescent="0.25">
      <c r="A2587" s="1428">
        <v>41990</v>
      </c>
      <c r="B2587" s="1428">
        <v>41990</v>
      </c>
      <c r="C2587" s="3391" t="s">
        <v>5024</v>
      </c>
      <c r="D2587" s="3392"/>
      <c r="E2587" s="1429">
        <v>706.48</v>
      </c>
      <c r="F2587" s="1430">
        <v>8</v>
      </c>
      <c r="G2587" s="1431">
        <f>E2587/F2587</f>
        <v>88.31</v>
      </c>
    </row>
    <row r="2588" spans="1:8" x14ac:dyDescent="0.25">
      <c r="A2588" s="1428">
        <v>42049</v>
      </c>
      <c r="B2588" s="1428">
        <v>42049</v>
      </c>
      <c r="C2588" s="3389" t="s">
        <v>5025</v>
      </c>
      <c r="D2588" s="3390"/>
      <c r="E2588" s="1429">
        <v>199.02</v>
      </c>
      <c r="F2588" s="1430">
        <v>2</v>
      </c>
      <c r="G2588" s="1431">
        <f>E2588/F2588</f>
        <v>99.51</v>
      </c>
    </row>
    <row r="2589" spans="1:8" x14ac:dyDescent="0.25">
      <c r="A2589" s="1428">
        <v>42071</v>
      </c>
      <c r="B2589" s="1428">
        <v>42071</v>
      </c>
      <c r="C2589" s="3389" t="s">
        <v>5026</v>
      </c>
      <c r="D2589" s="3390"/>
      <c r="E2589" s="1429">
        <v>499</v>
      </c>
      <c r="F2589" s="1430">
        <v>4</v>
      </c>
      <c r="G2589" s="1431">
        <f>E2589/F2589</f>
        <v>124.75</v>
      </c>
    </row>
    <row r="2590" spans="1:8" x14ac:dyDescent="0.25">
      <c r="A2590" s="1369"/>
      <c r="B2590" s="1369"/>
      <c r="C2590" s="3397"/>
      <c r="D2590" s="3398"/>
      <c r="E2590" s="1357"/>
      <c r="F2590" s="1358"/>
      <c r="G2590" s="1359"/>
    </row>
    <row r="2591" spans="1:8" ht="15.75" x14ac:dyDescent="0.25">
      <c r="A2591" s="3356" t="s">
        <v>4071</v>
      </c>
      <c r="B2591" s="3357"/>
      <c r="C2591" s="3357"/>
      <c r="D2591" s="3357"/>
      <c r="E2591" s="1396">
        <v>1050</v>
      </c>
      <c r="F2591" s="3366"/>
      <c r="G2591" s="3367"/>
    </row>
    <row r="2592" spans="1:8" ht="15.75" x14ac:dyDescent="0.25">
      <c r="A2592" s="3358" t="s">
        <v>4072</v>
      </c>
      <c r="B2592" s="3359"/>
      <c r="C2592" s="3359"/>
      <c r="D2592" s="3359"/>
      <c r="E2592" s="1397">
        <v>1040.06</v>
      </c>
      <c r="F2592" s="3368"/>
      <c r="G2592" s="3369"/>
      <c r="H2592" s="1247" t="s">
        <v>280</v>
      </c>
    </row>
    <row r="2593" spans="1:8" ht="15.75" x14ac:dyDescent="0.25">
      <c r="A2593" s="3356" t="s">
        <v>4073</v>
      </c>
      <c r="B2593" s="3357"/>
      <c r="C2593" s="3357"/>
      <c r="D2593" s="3357"/>
      <c r="E2593" s="1396">
        <v>465.15</v>
      </c>
      <c r="F2593" s="3368"/>
      <c r="G2593" s="3369"/>
    </row>
    <row r="2594" spans="1:8" ht="15.75" x14ac:dyDescent="0.25">
      <c r="A2594" s="3358" t="s">
        <v>4074</v>
      </c>
      <c r="B2594" s="3359"/>
      <c r="C2594" s="3359"/>
      <c r="D2594" s="3359"/>
      <c r="E2594" s="3359"/>
      <c r="F2594" s="3360"/>
      <c r="G2594" s="1457">
        <f>SUM(G2587:G2593)</f>
        <v>312.57</v>
      </c>
    </row>
    <row r="2595" spans="1:8" ht="17.25" customHeight="1" thickBot="1" x14ac:dyDescent="0.3">
      <c r="A2595" s="3356" t="s">
        <v>4075</v>
      </c>
      <c r="B2595" s="3357"/>
      <c r="C2595" s="3357"/>
      <c r="D2595" s="3357"/>
      <c r="E2595" s="1388">
        <f>E2591-E2592</f>
        <v>9.9400000000000546</v>
      </c>
    </row>
    <row r="2596" spans="1:8" ht="17.25" customHeight="1" x14ac:dyDescent="0.25"/>
    <row r="2597" spans="1:8" ht="15.75" x14ac:dyDescent="0.25">
      <c r="A2597" s="1461"/>
      <c r="B2597" s="1461"/>
      <c r="C2597" s="1461"/>
      <c r="D2597" s="1461"/>
      <c r="E2597" s="1461"/>
      <c r="F2597" s="1390"/>
      <c r="G2597" s="1247"/>
    </row>
    <row r="2598" spans="1:8" ht="18.75" x14ac:dyDescent="0.3">
      <c r="A2598" s="3361" t="s">
        <v>5027</v>
      </c>
      <c r="B2598" s="3336"/>
      <c r="C2598" s="3336"/>
      <c r="D2598" s="3336"/>
      <c r="E2598" s="3336"/>
      <c r="F2598" s="3336"/>
      <c r="G2598" s="3337"/>
    </row>
    <row r="2599" spans="1:8" ht="15.75" x14ac:dyDescent="0.25">
      <c r="A2599" s="1361" t="s">
        <v>4206</v>
      </c>
      <c r="B2599" s="1361" t="s">
        <v>4206</v>
      </c>
      <c r="C2599" s="3370" t="s">
        <v>3</v>
      </c>
      <c r="D2599" s="3371"/>
      <c r="E2599" s="1363" t="s">
        <v>4190</v>
      </c>
      <c r="F2599" s="1363" t="s">
        <v>4191</v>
      </c>
      <c r="G2599" s="1364" t="s">
        <v>382</v>
      </c>
    </row>
    <row r="2600" spans="1:8" x14ac:dyDescent="0.25">
      <c r="A2600" s="1428">
        <v>41989</v>
      </c>
      <c r="B2600" s="1428">
        <v>41989</v>
      </c>
      <c r="C2600" s="3391" t="s">
        <v>5028</v>
      </c>
      <c r="D2600" s="3392"/>
      <c r="E2600" s="1429">
        <v>85.08</v>
      </c>
      <c r="F2600" s="1430">
        <v>3</v>
      </c>
      <c r="G2600" s="1431">
        <f t="shared" ref="G2600:G2605" si="305">E2600/F2600</f>
        <v>28.36</v>
      </c>
    </row>
    <row r="2601" spans="1:8" x14ac:dyDescent="0.25">
      <c r="A2601" s="1428">
        <v>41990</v>
      </c>
      <c r="B2601" s="1428">
        <v>41990</v>
      </c>
      <c r="C2601" s="3391" t="s">
        <v>5029</v>
      </c>
      <c r="D2601" s="3392"/>
      <c r="E2601" s="1429">
        <v>706.48</v>
      </c>
      <c r="F2601" s="1430">
        <v>8</v>
      </c>
      <c r="G2601" s="1431">
        <f t="shared" si="305"/>
        <v>88.31</v>
      </c>
    </row>
    <row r="2602" spans="1:8" x14ac:dyDescent="0.25">
      <c r="A2602" s="1428">
        <v>42024</v>
      </c>
      <c r="B2602" s="1428">
        <v>42024</v>
      </c>
      <c r="C2602" s="3391" t="s">
        <v>5030</v>
      </c>
      <c r="D2602" s="3392"/>
      <c r="E2602" s="1429">
        <v>200</v>
      </c>
      <c r="F2602" s="1430">
        <v>2</v>
      </c>
      <c r="G2602" s="1431">
        <f t="shared" si="305"/>
        <v>100</v>
      </c>
    </row>
    <row r="2603" spans="1:8" x14ac:dyDescent="0.25">
      <c r="A2603" s="1428">
        <v>42044</v>
      </c>
      <c r="B2603" s="1428">
        <v>42044</v>
      </c>
      <c r="C2603" s="3391" t="s">
        <v>5031</v>
      </c>
      <c r="D2603" s="3392"/>
      <c r="E2603" s="1429">
        <v>89.9</v>
      </c>
      <c r="F2603" s="1430">
        <v>1</v>
      </c>
      <c r="G2603" s="1431">
        <f t="shared" si="305"/>
        <v>89.9</v>
      </c>
    </row>
    <row r="2604" spans="1:8" x14ac:dyDescent="0.25">
      <c r="A2604" s="1428">
        <v>42049</v>
      </c>
      <c r="B2604" s="1428">
        <v>42049</v>
      </c>
      <c r="C2604" s="3389" t="s">
        <v>5032</v>
      </c>
      <c r="D2604" s="3390"/>
      <c r="E2604" s="1429">
        <v>199.02</v>
      </c>
      <c r="F2604" s="1430">
        <v>2</v>
      </c>
      <c r="G2604" s="1431">
        <f t="shared" si="305"/>
        <v>99.51</v>
      </c>
    </row>
    <row r="2605" spans="1:8" x14ac:dyDescent="0.25">
      <c r="A2605" s="1428">
        <v>42058</v>
      </c>
      <c r="B2605" s="1428">
        <v>42058</v>
      </c>
      <c r="C2605" s="3391" t="s">
        <v>5033</v>
      </c>
      <c r="D2605" s="3392"/>
      <c r="E2605" s="1429">
        <v>58.97</v>
      </c>
      <c r="F2605" s="1430">
        <v>1</v>
      </c>
      <c r="G2605" s="1431">
        <f t="shared" si="305"/>
        <v>58.97</v>
      </c>
    </row>
    <row r="2606" spans="1:8" x14ac:dyDescent="0.25">
      <c r="A2606" s="1369"/>
      <c r="B2606" s="1369"/>
      <c r="C2606" s="3397"/>
      <c r="D2606" s="3398"/>
      <c r="E2606" s="1357"/>
      <c r="F2606" s="1358"/>
      <c r="G2606" s="1359"/>
    </row>
    <row r="2607" spans="1:8" ht="15.75" x14ac:dyDescent="0.25">
      <c r="A2607" s="3356" t="s">
        <v>4071</v>
      </c>
      <c r="B2607" s="3357"/>
      <c r="C2607" s="3357"/>
      <c r="D2607" s="3357"/>
      <c r="E2607" s="1396">
        <v>1050</v>
      </c>
      <c r="F2607" s="3366"/>
      <c r="G2607" s="3367"/>
    </row>
    <row r="2608" spans="1:8" ht="15.75" x14ac:dyDescent="0.25">
      <c r="A2608" s="3358" t="s">
        <v>4072</v>
      </c>
      <c r="B2608" s="3359"/>
      <c r="C2608" s="3359"/>
      <c r="D2608" s="3359"/>
      <c r="E2608" s="1397">
        <v>738.12</v>
      </c>
      <c r="F2608" s="3368"/>
      <c r="G2608" s="3369"/>
      <c r="H2608" s="1247" t="s">
        <v>280</v>
      </c>
    </row>
    <row r="2609" spans="1:8" ht="15.75" x14ac:dyDescent="0.25">
      <c r="A2609" s="3356" t="s">
        <v>4073</v>
      </c>
      <c r="B2609" s="3357"/>
      <c r="C2609" s="3357"/>
      <c r="D2609" s="3357"/>
      <c r="E2609" s="1396">
        <v>239.4</v>
      </c>
      <c r="F2609" s="3368"/>
      <c r="G2609" s="3369"/>
    </row>
    <row r="2610" spans="1:8" ht="15.75" x14ac:dyDescent="0.25">
      <c r="A2610" s="3358" t="s">
        <v>4074</v>
      </c>
      <c r="B2610" s="3359"/>
      <c r="C2610" s="3359"/>
      <c r="D2610" s="3359"/>
      <c r="E2610" s="3359"/>
      <c r="F2610" s="3360"/>
      <c r="G2610" s="1457">
        <f>SUM(G2600:G2609)</f>
        <v>465.05000000000007</v>
      </c>
    </row>
    <row r="2611" spans="1:8" ht="17.25" customHeight="1" thickBot="1" x14ac:dyDescent="0.3">
      <c r="A2611" s="3356" t="s">
        <v>4075</v>
      </c>
      <c r="B2611" s="3357"/>
      <c r="C2611" s="3357"/>
      <c r="D2611" s="3357"/>
      <c r="E2611" s="1388">
        <f>E2607-E2608</f>
        <v>311.88</v>
      </c>
    </row>
    <row r="2612" spans="1:8" ht="17.25" customHeight="1" x14ac:dyDescent="0.25">
      <c r="A2612" s="1461"/>
      <c r="B2612" s="1461"/>
      <c r="C2612" s="1461"/>
      <c r="D2612" s="1461"/>
      <c r="E2612" s="1390"/>
    </row>
    <row r="2613" spans="1:8" ht="15.75" x14ac:dyDescent="0.25">
      <c r="A2613" s="1461"/>
      <c r="B2613" s="1461"/>
      <c r="C2613" s="1461"/>
      <c r="D2613" s="1461"/>
      <c r="E2613" s="1390"/>
    </row>
    <row r="2614" spans="1:8" ht="18.75" x14ac:dyDescent="0.3">
      <c r="A2614" s="3361" t="s">
        <v>5034</v>
      </c>
      <c r="B2614" s="3336"/>
      <c r="C2614" s="3336"/>
      <c r="D2614" s="3336"/>
      <c r="E2614" s="3336"/>
      <c r="F2614" s="3336"/>
      <c r="G2614" s="3337"/>
    </row>
    <row r="2615" spans="1:8" ht="15.75" x14ac:dyDescent="0.25">
      <c r="A2615" s="1361" t="s">
        <v>4206</v>
      </c>
      <c r="B2615" s="1361" t="s">
        <v>4206</v>
      </c>
      <c r="C2615" s="3370" t="s">
        <v>3</v>
      </c>
      <c r="D2615" s="3371"/>
      <c r="E2615" s="1363" t="s">
        <v>4190</v>
      </c>
      <c r="F2615" s="1363" t="s">
        <v>4191</v>
      </c>
      <c r="G2615" s="1364" t="s">
        <v>382</v>
      </c>
    </row>
    <row r="2616" spans="1:8" x14ac:dyDescent="0.25">
      <c r="A2616" s="1428">
        <v>41989</v>
      </c>
      <c r="B2616" s="1428">
        <v>41989</v>
      </c>
      <c r="C2616" s="3391" t="s">
        <v>5035</v>
      </c>
      <c r="D2616" s="3392"/>
      <c r="E2616" s="1429">
        <v>85.08</v>
      </c>
      <c r="F2616" s="1430">
        <v>3</v>
      </c>
      <c r="G2616" s="1431">
        <f>E2616/F2616</f>
        <v>28.36</v>
      </c>
    </row>
    <row r="2617" spans="1:8" x14ac:dyDescent="0.25">
      <c r="A2617" s="1428">
        <v>41990</v>
      </c>
      <c r="B2617" s="1428">
        <v>41990</v>
      </c>
      <c r="C2617" s="3391" t="s">
        <v>5036</v>
      </c>
      <c r="D2617" s="3392"/>
      <c r="E2617" s="1429">
        <v>706.48</v>
      </c>
      <c r="F2617" s="1430">
        <v>8</v>
      </c>
      <c r="G2617" s="1431">
        <f>E2617/F2617</f>
        <v>88.31</v>
      </c>
    </row>
    <row r="2618" spans="1:8" x14ac:dyDescent="0.25">
      <c r="A2618" s="1428">
        <v>41990</v>
      </c>
      <c r="B2618" s="1428">
        <v>41990</v>
      </c>
      <c r="C2618" s="3391" t="s">
        <v>5037</v>
      </c>
      <c r="D2618" s="3392"/>
      <c r="E2618" s="1429">
        <v>2.73</v>
      </c>
      <c r="F2618" s="1430">
        <v>1</v>
      </c>
      <c r="G2618" s="1431">
        <f>E2618/F2618</f>
        <v>2.73</v>
      </c>
    </row>
    <row r="2619" spans="1:8" x14ac:dyDescent="0.25">
      <c r="A2619" s="1428">
        <v>42024</v>
      </c>
      <c r="B2619" s="1428">
        <v>42024</v>
      </c>
      <c r="C2619" s="3391" t="s">
        <v>5038</v>
      </c>
      <c r="D2619" s="3392"/>
      <c r="E2619" s="1429">
        <v>200</v>
      </c>
      <c r="F2619" s="1430">
        <v>2</v>
      </c>
      <c r="G2619" s="1431">
        <f>E2619/F2619</f>
        <v>100</v>
      </c>
    </row>
    <row r="2620" spans="1:8" x14ac:dyDescent="0.25">
      <c r="A2620" s="1369">
        <v>42030</v>
      </c>
      <c r="B2620" s="1369">
        <v>42030</v>
      </c>
      <c r="C2620" s="3397" t="s">
        <v>1241</v>
      </c>
      <c r="D2620" s="3398"/>
      <c r="E2620" s="1357">
        <v>20</v>
      </c>
      <c r="F2620" s="1358">
        <v>1</v>
      </c>
      <c r="G2620" s="1359">
        <f>E2620/F2620</f>
        <v>20</v>
      </c>
    </row>
    <row r="2621" spans="1:8" x14ac:dyDescent="0.25">
      <c r="A2621" s="1369"/>
      <c r="B2621" s="1369"/>
      <c r="C2621" s="3397"/>
      <c r="D2621" s="3398"/>
      <c r="E2621" s="1357"/>
      <c r="F2621" s="1358"/>
      <c r="G2621" s="1359"/>
    </row>
    <row r="2622" spans="1:8" ht="15.75" x14ac:dyDescent="0.25">
      <c r="A2622" s="3356" t="s">
        <v>4071</v>
      </c>
      <c r="B2622" s="3357"/>
      <c r="C2622" s="3357"/>
      <c r="D2622" s="3357"/>
      <c r="E2622" s="1396">
        <v>1050</v>
      </c>
      <c r="F2622" s="3366"/>
      <c r="G2622" s="3367"/>
    </row>
    <row r="2623" spans="1:8" ht="15.75" x14ac:dyDescent="0.25">
      <c r="A2623" s="3358" t="s">
        <v>4072</v>
      </c>
      <c r="B2623" s="3359"/>
      <c r="C2623" s="3359"/>
      <c r="D2623" s="3359"/>
      <c r="E2623" s="1397">
        <v>897.62</v>
      </c>
      <c r="F2623" s="3368"/>
      <c r="G2623" s="3369"/>
      <c r="H2623" s="1247" t="s">
        <v>280</v>
      </c>
    </row>
    <row r="2624" spans="1:8" ht="15.75" x14ac:dyDescent="0.25">
      <c r="A2624" s="3356" t="s">
        <v>4073</v>
      </c>
      <c r="B2624" s="3357"/>
      <c r="C2624" s="3357"/>
      <c r="D2624" s="3357"/>
      <c r="E2624" s="1396">
        <v>248.5</v>
      </c>
      <c r="F2624" s="3368"/>
      <c r="G2624" s="3369"/>
    </row>
    <row r="2625" spans="1:8" ht="15.75" x14ac:dyDescent="0.25">
      <c r="A2625" s="3358" t="s">
        <v>4074</v>
      </c>
      <c r="B2625" s="3359"/>
      <c r="C2625" s="3359"/>
      <c r="D2625" s="3359"/>
      <c r="E2625" s="3359"/>
      <c r="F2625" s="3360"/>
      <c r="G2625" s="1457">
        <f>SUM(G2616:G2624)</f>
        <v>239.4</v>
      </c>
    </row>
    <row r="2626" spans="1:8" ht="17.25" customHeight="1" thickBot="1" x14ac:dyDescent="0.3">
      <c r="A2626" s="3356" t="s">
        <v>4075</v>
      </c>
      <c r="B2626" s="3357"/>
      <c r="C2626" s="3357"/>
      <c r="D2626" s="3357"/>
      <c r="E2626" s="1388">
        <f>E2622-E2623</f>
        <v>152.38</v>
      </c>
    </row>
    <row r="2627" spans="1:8" ht="17.25" customHeight="1" x14ac:dyDescent="0.25">
      <c r="A2627" s="1461"/>
      <c r="B2627" s="1461"/>
      <c r="C2627" s="1461"/>
      <c r="D2627" s="1461"/>
      <c r="E2627" s="1390"/>
    </row>
    <row r="2628" spans="1:8" ht="15.75" x14ac:dyDescent="0.25">
      <c r="A2628" s="1461"/>
      <c r="B2628" s="1461"/>
      <c r="C2628" s="1461"/>
      <c r="D2628" s="1461"/>
      <c r="E2628" s="1390"/>
    </row>
    <row r="2629" spans="1:8" ht="18.75" x14ac:dyDescent="0.3">
      <c r="A2629" s="3361" t="s">
        <v>5039</v>
      </c>
      <c r="B2629" s="3336"/>
      <c r="C2629" s="3336"/>
      <c r="D2629" s="3336"/>
      <c r="E2629" s="3336"/>
      <c r="F2629" s="3336"/>
      <c r="G2629" s="3337"/>
    </row>
    <row r="2630" spans="1:8" ht="15.75" x14ac:dyDescent="0.25">
      <c r="A2630" s="1361" t="s">
        <v>4206</v>
      </c>
      <c r="B2630" s="1361" t="s">
        <v>4206</v>
      </c>
      <c r="C2630" s="3370" t="s">
        <v>3</v>
      </c>
      <c r="D2630" s="3371"/>
      <c r="E2630" s="1363" t="s">
        <v>4190</v>
      </c>
      <c r="F2630" s="1363" t="s">
        <v>4191</v>
      </c>
      <c r="G2630" s="1364" t="s">
        <v>382</v>
      </c>
    </row>
    <row r="2631" spans="1:8" x14ac:dyDescent="0.25">
      <c r="A2631" s="1369">
        <v>41918</v>
      </c>
      <c r="B2631" s="1369">
        <v>41918</v>
      </c>
      <c r="C2631" s="3391" t="s">
        <v>5040</v>
      </c>
      <c r="D2631" s="3392"/>
      <c r="E2631" s="1357">
        <v>190</v>
      </c>
      <c r="F2631" s="1358">
        <v>3</v>
      </c>
      <c r="G2631" s="1359">
        <f>E2631/F2631</f>
        <v>63.333333333333336</v>
      </c>
    </row>
    <row r="2632" spans="1:8" x14ac:dyDescent="0.25">
      <c r="A2632" s="1428">
        <v>41968</v>
      </c>
      <c r="B2632" s="1428">
        <v>41968</v>
      </c>
      <c r="C2632" s="3391" t="s">
        <v>5041</v>
      </c>
      <c r="D2632" s="3392"/>
      <c r="E2632" s="1429">
        <v>137</v>
      </c>
      <c r="F2632" s="1430">
        <v>2</v>
      </c>
      <c r="G2632" s="1431">
        <f>E2632/F2632</f>
        <v>68.5</v>
      </c>
    </row>
    <row r="2633" spans="1:8" x14ac:dyDescent="0.25">
      <c r="A2633" s="1428">
        <v>41989</v>
      </c>
      <c r="B2633" s="1428">
        <v>41989</v>
      </c>
      <c r="C2633" s="3391" t="s">
        <v>5042</v>
      </c>
      <c r="D2633" s="3392"/>
      <c r="E2633" s="1429">
        <v>85.08</v>
      </c>
      <c r="F2633" s="1430">
        <v>3</v>
      </c>
      <c r="G2633" s="1431">
        <f>E2633/F2633</f>
        <v>28.36</v>
      </c>
    </row>
    <row r="2634" spans="1:8" x14ac:dyDescent="0.25">
      <c r="A2634" s="1428">
        <v>41990</v>
      </c>
      <c r="B2634" s="1428">
        <v>41990</v>
      </c>
      <c r="C2634" s="3391" t="s">
        <v>5043</v>
      </c>
      <c r="D2634" s="3392"/>
      <c r="E2634" s="1429">
        <v>706.48</v>
      </c>
      <c r="F2634" s="1430">
        <v>8</v>
      </c>
      <c r="G2634" s="1431">
        <f>E2634/F2634</f>
        <v>88.31</v>
      </c>
    </row>
    <row r="2635" spans="1:8" x14ac:dyDescent="0.25">
      <c r="A2635" s="1369"/>
      <c r="B2635" s="1369"/>
      <c r="C2635" s="3397"/>
      <c r="D2635" s="3398"/>
      <c r="E2635" s="1357"/>
      <c r="F2635" s="1358"/>
      <c r="G2635" s="1359"/>
    </row>
    <row r="2636" spans="1:8" ht="15.75" x14ac:dyDescent="0.25">
      <c r="A2636" s="3356" t="s">
        <v>4071</v>
      </c>
      <c r="B2636" s="3357"/>
      <c r="C2636" s="3357"/>
      <c r="D2636" s="3357"/>
      <c r="E2636" s="1396">
        <v>1050</v>
      </c>
      <c r="F2636" s="3366"/>
      <c r="G2636" s="3367"/>
    </row>
    <row r="2637" spans="1:8" ht="15.75" x14ac:dyDescent="0.25">
      <c r="A2637" s="3358" t="s">
        <v>4072</v>
      </c>
      <c r="B2637" s="3359"/>
      <c r="C2637" s="3359"/>
      <c r="D2637" s="3359"/>
      <c r="E2637" s="1397">
        <v>923.39</v>
      </c>
      <c r="F2637" s="3368"/>
      <c r="G2637" s="3369"/>
      <c r="H2637" s="1247" t="s">
        <v>280</v>
      </c>
    </row>
    <row r="2638" spans="1:8" ht="15.75" x14ac:dyDescent="0.25">
      <c r="A2638" s="3356" t="s">
        <v>4073</v>
      </c>
      <c r="B2638" s="3357"/>
      <c r="C2638" s="3357"/>
      <c r="D2638" s="3357"/>
      <c r="E2638" s="1396">
        <v>406.3</v>
      </c>
      <c r="F2638" s="3368"/>
      <c r="G2638" s="3369"/>
    </row>
    <row r="2639" spans="1:8" ht="15.75" x14ac:dyDescent="0.25">
      <c r="A2639" s="3358" t="s">
        <v>4074</v>
      </c>
      <c r="B2639" s="3359"/>
      <c r="C2639" s="3359"/>
      <c r="D2639" s="3359"/>
      <c r="E2639" s="3359"/>
      <c r="F2639" s="3360"/>
      <c r="G2639" s="1457">
        <f>SUM(G2631:G2638)</f>
        <v>248.50333333333333</v>
      </c>
    </row>
    <row r="2640" spans="1:8" ht="17.25" customHeight="1" thickBot="1" x14ac:dyDescent="0.3">
      <c r="A2640" s="3356" t="s">
        <v>4075</v>
      </c>
      <c r="B2640" s="3357"/>
      <c r="C2640" s="3357"/>
      <c r="D2640" s="3357"/>
      <c r="E2640" s="1388">
        <f>E2636-E2637</f>
        <v>126.61000000000001</v>
      </c>
    </row>
    <row r="2641" spans="1:8" ht="17.25" customHeight="1" x14ac:dyDescent="0.25">
      <c r="A2641" s="1461"/>
      <c r="B2641" s="1461"/>
      <c r="C2641" s="1461"/>
      <c r="D2641" s="1461"/>
      <c r="E2641" s="1390"/>
    </row>
    <row r="2642" spans="1:8" ht="15.75" x14ac:dyDescent="0.25">
      <c r="A2642" s="1461"/>
      <c r="B2642" s="1461"/>
      <c r="C2642" s="1461"/>
      <c r="D2642" s="1461"/>
      <c r="E2642" s="1390"/>
    </row>
    <row r="2643" spans="1:8" ht="18.75" x14ac:dyDescent="0.3">
      <c r="A2643" s="3361" t="s">
        <v>5044</v>
      </c>
      <c r="B2643" s="3336"/>
      <c r="C2643" s="3336"/>
      <c r="D2643" s="3336"/>
      <c r="E2643" s="3336"/>
      <c r="F2643" s="3336"/>
      <c r="G2643" s="3337"/>
    </row>
    <row r="2644" spans="1:8" ht="15.75" x14ac:dyDescent="0.25">
      <c r="A2644" s="1361" t="s">
        <v>4206</v>
      </c>
      <c r="B2644" s="1361" t="s">
        <v>4206</v>
      </c>
      <c r="C2644" s="3370" t="s">
        <v>3</v>
      </c>
      <c r="D2644" s="3371"/>
      <c r="E2644" s="1363" t="s">
        <v>4190</v>
      </c>
      <c r="F2644" s="1363" t="s">
        <v>4191</v>
      </c>
      <c r="G2644" s="1364" t="s">
        <v>382</v>
      </c>
    </row>
    <row r="2645" spans="1:8" x14ac:dyDescent="0.25">
      <c r="A2645" s="1428">
        <v>41834</v>
      </c>
      <c r="B2645" s="1428">
        <v>41834</v>
      </c>
      <c r="C2645" s="3391" t="s">
        <v>5045</v>
      </c>
      <c r="D2645" s="3392"/>
      <c r="E2645" s="1429">
        <v>154</v>
      </c>
      <c r="F2645" s="1430">
        <v>5</v>
      </c>
      <c r="G2645" s="1431">
        <f>E2645/F2645</f>
        <v>30.8</v>
      </c>
    </row>
    <row r="2646" spans="1:8" x14ac:dyDescent="0.25">
      <c r="A2646" s="1369">
        <v>41918</v>
      </c>
      <c r="B2646" s="1369">
        <v>41918</v>
      </c>
      <c r="C2646" s="3391" t="s">
        <v>5046</v>
      </c>
      <c r="D2646" s="3392"/>
      <c r="E2646" s="1357">
        <v>190</v>
      </c>
      <c r="F2646" s="1358">
        <v>3</v>
      </c>
      <c r="G2646" s="1359">
        <f>E2646/F2646</f>
        <v>63.333333333333336</v>
      </c>
    </row>
    <row r="2647" spans="1:8" x14ac:dyDescent="0.25">
      <c r="A2647" s="1369">
        <v>41920</v>
      </c>
      <c r="B2647" s="1369">
        <v>41920</v>
      </c>
      <c r="C2647" s="3397" t="s">
        <v>1241</v>
      </c>
      <c r="D2647" s="3398"/>
      <c r="E2647" s="1357">
        <v>13</v>
      </c>
      <c r="F2647" s="1358">
        <v>1</v>
      </c>
      <c r="G2647" s="1359">
        <f>E2647/F2647</f>
        <v>13</v>
      </c>
    </row>
    <row r="2648" spans="1:8" x14ac:dyDescent="0.25">
      <c r="A2648" s="1369">
        <v>41955</v>
      </c>
      <c r="B2648" s="1369">
        <v>41955</v>
      </c>
      <c r="C2648" s="3397" t="s">
        <v>5047</v>
      </c>
      <c r="D2648" s="3398"/>
      <c r="E2648" s="1357">
        <v>76.989999999999981</v>
      </c>
      <c r="F2648" s="1358">
        <v>1</v>
      </c>
      <c r="G2648" s="1359">
        <f>E2648/F2648</f>
        <v>76.989999999999981</v>
      </c>
    </row>
    <row r="2649" spans="1:8" x14ac:dyDescent="0.25">
      <c r="A2649" s="1428">
        <v>41956</v>
      </c>
      <c r="B2649" s="1428">
        <v>41956</v>
      </c>
      <c r="C2649" s="3391" t="s">
        <v>622</v>
      </c>
      <c r="D2649" s="3392"/>
      <c r="E2649" s="1429">
        <v>60</v>
      </c>
      <c r="F2649" s="1430">
        <v>1</v>
      </c>
      <c r="G2649" s="1431">
        <v>60</v>
      </c>
    </row>
    <row r="2650" spans="1:8" x14ac:dyDescent="0.25">
      <c r="A2650" s="1428">
        <v>41957</v>
      </c>
      <c r="B2650" s="1428">
        <v>41957</v>
      </c>
      <c r="C2650" s="3391" t="s">
        <v>5048</v>
      </c>
      <c r="D2650" s="3392"/>
      <c r="E2650" s="1429">
        <v>60</v>
      </c>
      <c r="F2650" s="1430">
        <v>1</v>
      </c>
      <c r="G2650" s="1431">
        <v>20.68</v>
      </c>
    </row>
    <row r="2651" spans="1:8" x14ac:dyDescent="0.25">
      <c r="A2651" s="1428">
        <v>41965</v>
      </c>
      <c r="B2651" s="1428">
        <v>41965</v>
      </c>
      <c r="C2651" s="3391" t="s">
        <v>5049</v>
      </c>
      <c r="D2651" s="3392"/>
      <c r="E2651" s="1429">
        <v>60</v>
      </c>
      <c r="F2651" s="1430">
        <v>1</v>
      </c>
      <c r="G2651" s="1431">
        <v>60</v>
      </c>
    </row>
    <row r="2652" spans="1:8" x14ac:dyDescent="0.25">
      <c r="A2652" s="1369">
        <v>41967</v>
      </c>
      <c r="B2652" s="1369">
        <v>41967</v>
      </c>
      <c r="C2652" s="3397" t="s">
        <v>1241</v>
      </c>
      <c r="D2652" s="3398"/>
      <c r="E2652" s="1357">
        <v>13</v>
      </c>
      <c r="F2652" s="1358">
        <v>1</v>
      </c>
      <c r="G2652" s="1359">
        <f>E2652/F2652</f>
        <v>13</v>
      </c>
    </row>
    <row r="2653" spans="1:8" x14ac:dyDescent="0.25">
      <c r="A2653" s="1428">
        <v>41968</v>
      </c>
      <c r="B2653" s="1428">
        <v>41968</v>
      </c>
      <c r="C2653" s="3391" t="s">
        <v>5050</v>
      </c>
      <c r="D2653" s="3392"/>
      <c r="E2653" s="1429">
        <v>137</v>
      </c>
      <c r="F2653" s="1430">
        <v>2</v>
      </c>
      <c r="G2653" s="1431">
        <f>E2653/F2653</f>
        <v>68.5</v>
      </c>
    </row>
    <row r="2654" spans="1:8" x14ac:dyDescent="0.25">
      <c r="A2654" s="1428"/>
      <c r="B2654" s="1428"/>
      <c r="C2654" s="3391"/>
      <c r="D2654" s="3392"/>
      <c r="E2654" s="1429"/>
      <c r="F2654" s="1430"/>
      <c r="G2654" s="1431"/>
    </row>
    <row r="2655" spans="1:8" ht="15.75" x14ac:dyDescent="0.25">
      <c r="A2655" s="3356" t="s">
        <v>4071</v>
      </c>
      <c r="B2655" s="3357"/>
      <c r="C2655" s="3357"/>
      <c r="D2655" s="3357"/>
      <c r="E2655" s="1396">
        <v>1050</v>
      </c>
      <c r="F2655" s="3404" t="s">
        <v>135</v>
      </c>
      <c r="G2655" s="3367"/>
    </row>
    <row r="2656" spans="1:8" ht="15.75" x14ac:dyDescent="0.25">
      <c r="A2656" s="3358" t="s">
        <v>4072</v>
      </c>
      <c r="B2656" s="3359"/>
      <c r="C2656" s="3359"/>
      <c r="D2656" s="3359"/>
      <c r="E2656" s="1397">
        <v>525.13</v>
      </c>
      <c r="F2656" s="3368"/>
      <c r="G2656" s="3369"/>
      <c r="H2656" s="1247" t="s">
        <v>280</v>
      </c>
    </row>
    <row r="2657" spans="1:8" ht="15.75" x14ac:dyDescent="0.25">
      <c r="A2657" s="3356" t="s">
        <v>4073</v>
      </c>
      <c r="B2657" s="3357"/>
      <c r="C2657" s="3357"/>
      <c r="D2657" s="3357"/>
      <c r="E2657" s="1396">
        <v>152.04</v>
      </c>
      <c r="F2657" s="3368"/>
      <c r="G2657" s="3369"/>
    </row>
    <row r="2658" spans="1:8" ht="15.75" x14ac:dyDescent="0.25">
      <c r="A2658" s="3358" t="s">
        <v>4074</v>
      </c>
      <c r="B2658" s="3359"/>
      <c r="C2658" s="3359"/>
      <c r="D2658" s="3359"/>
      <c r="E2658" s="3359"/>
      <c r="F2658" s="3360"/>
      <c r="G2658" s="1457">
        <f>SUM(G2645:G2657)</f>
        <v>406.30333333333334</v>
      </c>
    </row>
    <row r="2659" spans="1:8" ht="17.25" customHeight="1" thickBot="1" x14ac:dyDescent="0.3">
      <c r="A2659" s="3356" t="s">
        <v>4075</v>
      </c>
      <c r="B2659" s="3357"/>
      <c r="C2659" s="3357"/>
      <c r="D2659" s="3357"/>
      <c r="E2659" s="1388">
        <f>E2655-E2656</f>
        <v>524.87</v>
      </c>
    </row>
    <row r="2660" spans="1:8" ht="17.25" customHeight="1" x14ac:dyDescent="0.25">
      <c r="A2660" s="1461"/>
      <c r="B2660" s="1461"/>
      <c r="C2660" s="1461"/>
      <c r="D2660" s="1461"/>
      <c r="E2660" s="1390"/>
    </row>
    <row r="2661" spans="1:8" ht="15.75" x14ac:dyDescent="0.25">
      <c r="A2661" s="1461"/>
      <c r="B2661" s="1461"/>
      <c r="C2661" s="1461"/>
      <c r="D2661" s="1461"/>
      <c r="E2661" s="1390"/>
    </row>
    <row r="2662" spans="1:8" ht="18.75" x14ac:dyDescent="0.3">
      <c r="A2662" s="3361" t="s">
        <v>5051</v>
      </c>
      <c r="B2662" s="3336"/>
      <c r="C2662" s="3336"/>
      <c r="D2662" s="3336"/>
      <c r="E2662" s="3336"/>
      <c r="F2662" s="3336"/>
      <c r="G2662" s="3337"/>
    </row>
    <row r="2663" spans="1:8" ht="15.75" x14ac:dyDescent="0.25">
      <c r="A2663" s="1361" t="s">
        <v>4206</v>
      </c>
      <c r="B2663" s="1361" t="s">
        <v>4206</v>
      </c>
      <c r="C2663" s="3370" t="s">
        <v>3</v>
      </c>
      <c r="D2663" s="3371"/>
      <c r="E2663" s="1363" t="s">
        <v>4190</v>
      </c>
      <c r="F2663" s="1363" t="s">
        <v>4191</v>
      </c>
      <c r="G2663" s="1364" t="s">
        <v>382</v>
      </c>
    </row>
    <row r="2664" spans="1:8" x14ac:dyDescent="0.25">
      <c r="A2664" s="1428">
        <v>41834</v>
      </c>
      <c r="B2664" s="1428">
        <v>41834</v>
      </c>
      <c r="C2664" s="3391" t="s">
        <v>5052</v>
      </c>
      <c r="D2664" s="3392"/>
      <c r="E2664" s="1429">
        <v>154</v>
      </c>
      <c r="F2664" s="1430">
        <v>5</v>
      </c>
      <c r="G2664" s="1431">
        <f>E2664/F2664</f>
        <v>30.8</v>
      </c>
    </row>
    <row r="2665" spans="1:8" x14ac:dyDescent="0.25">
      <c r="A2665" s="1369">
        <v>41898</v>
      </c>
      <c r="B2665" s="1369">
        <v>41898</v>
      </c>
      <c r="C2665" s="3391" t="s">
        <v>5053</v>
      </c>
      <c r="D2665" s="3392"/>
      <c r="E2665" s="1357">
        <v>89.799999999999983</v>
      </c>
      <c r="F2665" s="1358">
        <v>2</v>
      </c>
      <c r="G2665" s="1359">
        <f>E2665/F2665</f>
        <v>44.899999999999991</v>
      </c>
    </row>
    <row r="2666" spans="1:8" x14ac:dyDescent="0.25">
      <c r="A2666" s="1369">
        <v>41918</v>
      </c>
      <c r="B2666" s="1369">
        <v>41918</v>
      </c>
      <c r="C2666" s="3391" t="s">
        <v>5054</v>
      </c>
      <c r="D2666" s="3392"/>
      <c r="E2666" s="1357">
        <v>190</v>
      </c>
      <c r="F2666" s="1358">
        <v>3</v>
      </c>
      <c r="G2666" s="1359">
        <f>E2666/F2666</f>
        <v>63.333333333333336</v>
      </c>
    </row>
    <row r="2667" spans="1:8" x14ac:dyDescent="0.25">
      <c r="A2667" s="1369">
        <v>41932</v>
      </c>
      <c r="B2667" s="1369">
        <v>41932</v>
      </c>
      <c r="C2667" s="3397" t="s">
        <v>1241</v>
      </c>
      <c r="D2667" s="3398"/>
      <c r="E2667" s="1357">
        <v>13</v>
      </c>
      <c r="F2667" s="1358">
        <v>1</v>
      </c>
      <c r="G2667" s="1359">
        <f>E2667/F2667</f>
        <v>13</v>
      </c>
    </row>
    <row r="2668" spans="1:8" x14ac:dyDescent="0.25">
      <c r="A2668" s="1428"/>
      <c r="B2668" s="1428"/>
      <c r="C2668" s="3391"/>
      <c r="D2668" s="3392"/>
      <c r="E2668" s="1429"/>
      <c r="F2668" s="1430"/>
      <c r="G2668" s="1431"/>
    </row>
    <row r="2669" spans="1:8" ht="15.75" x14ac:dyDescent="0.25">
      <c r="A2669" s="3356" t="s">
        <v>4071</v>
      </c>
      <c r="B2669" s="3357"/>
      <c r="C2669" s="3357"/>
      <c r="D2669" s="3357"/>
      <c r="E2669" s="1396">
        <v>1050</v>
      </c>
      <c r="F2669" s="3366"/>
      <c r="G2669" s="3367"/>
    </row>
    <row r="2670" spans="1:8" ht="15.75" x14ac:dyDescent="0.25">
      <c r="A2670" s="3358" t="s">
        <v>4072</v>
      </c>
      <c r="B2670" s="3359"/>
      <c r="C2670" s="3359"/>
      <c r="D2670" s="3359"/>
      <c r="E2670" s="1397">
        <v>309.5</v>
      </c>
      <c r="F2670" s="3368"/>
      <c r="G2670" s="3369"/>
      <c r="H2670" s="1247" t="s">
        <v>280</v>
      </c>
    </row>
    <row r="2671" spans="1:8" ht="15.75" x14ac:dyDescent="0.25">
      <c r="A2671" s="3356" t="s">
        <v>4073</v>
      </c>
      <c r="B2671" s="3357"/>
      <c r="C2671" s="3357"/>
      <c r="D2671" s="3357"/>
      <c r="E2671" s="1396">
        <v>210.8</v>
      </c>
      <c r="F2671" s="3368"/>
      <c r="G2671" s="3369"/>
    </row>
    <row r="2672" spans="1:8" ht="15.75" x14ac:dyDescent="0.25">
      <c r="A2672" s="3358" t="s">
        <v>4074</v>
      </c>
      <c r="B2672" s="3359"/>
      <c r="C2672" s="3359"/>
      <c r="D2672" s="3359"/>
      <c r="E2672" s="3359"/>
      <c r="F2672" s="3360"/>
      <c r="G2672" s="1457">
        <f>SUM(G2664:G2671)</f>
        <v>152.03333333333333</v>
      </c>
    </row>
    <row r="2673" spans="1:8" ht="17.25" customHeight="1" thickBot="1" x14ac:dyDescent="0.3">
      <c r="A2673" s="3356" t="s">
        <v>4075</v>
      </c>
      <c r="B2673" s="3357"/>
      <c r="C2673" s="3357"/>
      <c r="D2673" s="3357"/>
      <c r="E2673" s="1388">
        <f>E2669-E2670</f>
        <v>740.5</v>
      </c>
    </row>
    <row r="2674" spans="1:8" ht="17.25" customHeight="1" x14ac:dyDescent="0.25">
      <c r="A2674" s="1461"/>
      <c r="B2674" s="1461"/>
      <c r="C2674" s="1461"/>
      <c r="D2674" s="1461"/>
      <c r="E2674" s="1390"/>
    </row>
    <row r="2675" spans="1:8" ht="15.75" x14ac:dyDescent="0.25">
      <c r="A2675" s="1461"/>
      <c r="B2675" s="1461"/>
      <c r="C2675" s="1461"/>
      <c r="D2675" s="1461"/>
      <c r="E2675" s="1390"/>
    </row>
    <row r="2676" spans="1:8" ht="18.75" x14ac:dyDescent="0.3">
      <c r="A2676" s="3361" t="s">
        <v>5055</v>
      </c>
      <c r="B2676" s="3336"/>
      <c r="C2676" s="3336"/>
      <c r="D2676" s="3336"/>
      <c r="E2676" s="3336"/>
      <c r="F2676" s="3336"/>
      <c r="G2676" s="3337"/>
    </row>
    <row r="2677" spans="1:8" ht="15.75" x14ac:dyDescent="0.25">
      <c r="A2677" s="1361" t="s">
        <v>4206</v>
      </c>
      <c r="B2677" s="1361" t="s">
        <v>4206</v>
      </c>
      <c r="C2677" s="3370" t="s">
        <v>3</v>
      </c>
      <c r="D2677" s="3371"/>
      <c r="E2677" s="1363" t="s">
        <v>4190</v>
      </c>
      <c r="F2677" s="1363" t="s">
        <v>4191</v>
      </c>
      <c r="G2677" s="1364" t="s">
        <v>382</v>
      </c>
    </row>
    <row r="2678" spans="1:8" x14ac:dyDescent="0.25">
      <c r="A2678" s="1369">
        <v>41803</v>
      </c>
      <c r="B2678" s="1369">
        <v>41803</v>
      </c>
      <c r="C2678" s="3389" t="s">
        <v>5056</v>
      </c>
      <c r="D2678" s="3390"/>
      <c r="E2678" s="1357">
        <v>88.4</v>
      </c>
      <c r="F2678" s="1358">
        <v>4</v>
      </c>
      <c r="G2678" s="1359">
        <f t="shared" ref="G2678:G2683" si="306">E2678/F2678</f>
        <v>22.1</v>
      </c>
    </row>
    <row r="2679" spans="1:8" x14ac:dyDescent="0.25">
      <c r="A2679" s="1428">
        <v>41834</v>
      </c>
      <c r="B2679" s="1428">
        <v>41834</v>
      </c>
      <c r="C2679" s="3391" t="s">
        <v>5057</v>
      </c>
      <c r="D2679" s="3392"/>
      <c r="E2679" s="1429">
        <v>154</v>
      </c>
      <c r="F2679" s="1430">
        <v>5</v>
      </c>
      <c r="G2679" s="1431">
        <f t="shared" si="306"/>
        <v>30.8</v>
      </c>
    </row>
    <row r="2680" spans="1:8" x14ac:dyDescent="0.25">
      <c r="A2680" s="1428">
        <v>41863</v>
      </c>
      <c r="B2680" s="1428">
        <v>41863</v>
      </c>
      <c r="C2680" s="3391" t="s">
        <v>5058</v>
      </c>
      <c r="D2680" s="3392"/>
      <c r="E2680" s="1429">
        <v>100</v>
      </c>
      <c r="F2680" s="1430">
        <v>2</v>
      </c>
      <c r="G2680" s="1431">
        <f t="shared" si="306"/>
        <v>50</v>
      </c>
    </row>
    <row r="2681" spans="1:8" x14ac:dyDescent="0.25">
      <c r="A2681" s="1428">
        <v>41888</v>
      </c>
      <c r="B2681" s="1428">
        <v>41888</v>
      </c>
      <c r="C2681" s="3391" t="s">
        <v>577</v>
      </c>
      <c r="D2681" s="3392"/>
      <c r="E2681" s="1429">
        <v>50</v>
      </c>
      <c r="F2681" s="1430">
        <v>1</v>
      </c>
      <c r="G2681" s="1431">
        <f t="shared" si="306"/>
        <v>50</v>
      </c>
    </row>
    <row r="2682" spans="1:8" x14ac:dyDescent="0.25">
      <c r="A2682" s="1369">
        <v>41898</v>
      </c>
      <c r="B2682" s="1369">
        <v>41898</v>
      </c>
      <c r="C2682" s="3391" t="s">
        <v>5059</v>
      </c>
      <c r="D2682" s="3392"/>
      <c r="E2682" s="1357">
        <v>89.799999999999983</v>
      </c>
      <c r="F2682" s="1358">
        <v>2</v>
      </c>
      <c r="G2682" s="1359">
        <f t="shared" si="306"/>
        <v>44.899999999999991</v>
      </c>
    </row>
    <row r="2683" spans="1:8" x14ac:dyDescent="0.25">
      <c r="A2683" s="1369">
        <v>41901</v>
      </c>
      <c r="B2683" s="1369">
        <v>41901</v>
      </c>
      <c r="C2683" s="3397" t="s">
        <v>1241</v>
      </c>
      <c r="D2683" s="3398"/>
      <c r="E2683" s="1357">
        <v>13</v>
      </c>
      <c r="F2683" s="1358">
        <v>1</v>
      </c>
      <c r="G2683" s="1359">
        <f t="shared" si="306"/>
        <v>13</v>
      </c>
    </row>
    <row r="2684" spans="1:8" x14ac:dyDescent="0.25">
      <c r="A2684" s="1428"/>
      <c r="B2684" s="1428"/>
      <c r="C2684" s="3391"/>
      <c r="D2684" s="3392"/>
      <c r="E2684" s="1429"/>
      <c r="F2684" s="1430"/>
      <c r="G2684" s="1431"/>
    </row>
    <row r="2685" spans="1:8" ht="15.75" x14ac:dyDescent="0.25">
      <c r="A2685" s="3356" t="s">
        <v>4071</v>
      </c>
      <c r="B2685" s="3357"/>
      <c r="C2685" s="3357"/>
      <c r="D2685" s="3357"/>
      <c r="E2685" s="1396">
        <v>1050</v>
      </c>
      <c r="F2685" s="3366"/>
      <c r="G2685" s="3367"/>
    </row>
    <row r="2686" spans="1:8" ht="15.75" x14ac:dyDescent="0.25">
      <c r="A2686" s="3358" t="s">
        <v>4072</v>
      </c>
      <c r="B2686" s="3359"/>
      <c r="C2686" s="3359"/>
      <c r="D2686" s="3359"/>
      <c r="E2686" s="1397">
        <v>272.39999999999998</v>
      </c>
      <c r="F2686" s="3368"/>
      <c r="G2686" s="3369"/>
      <c r="H2686" s="1247" t="s">
        <v>280</v>
      </c>
    </row>
    <row r="2687" spans="1:8" ht="15.75" x14ac:dyDescent="0.25">
      <c r="A2687" s="3356" t="s">
        <v>4073</v>
      </c>
      <c r="B2687" s="3357"/>
      <c r="C2687" s="3357"/>
      <c r="D2687" s="3357"/>
      <c r="E2687" s="1396">
        <v>346.52</v>
      </c>
      <c r="F2687" s="3368"/>
      <c r="G2687" s="3369"/>
    </row>
    <row r="2688" spans="1:8" ht="15.75" x14ac:dyDescent="0.25">
      <c r="A2688" s="3358" t="s">
        <v>4074</v>
      </c>
      <c r="B2688" s="3359"/>
      <c r="C2688" s="3359"/>
      <c r="D2688" s="3359"/>
      <c r="E2688" s="3359"/>
      <c r="F2688" s="3360"/>
      <c r="G2688" s="1457">
        <f>SUM(G2678:G2687)</f>
        <v>210.8</v>
      </c>
    </row>
    <row r="2689" spans="1:8" ht="17.25" customHeight="1" thickBot="1" x14ac:dyDescent="0.3">
      <c r="A2689" s="3356" t="s">
        <v>4075</v>
      </c>
      <c r="B2689" s="3357"/>
      <c r="C2689" s="3357"/>
      <c r="D2689" s="3357"/>
      <c r="E2689" s="1388">
        <f>E2685-E2686</f>
        <v>777.6</v>
      </c>
    </row>
    <row r="2690" spans="1:8" ht="17.25" customHeight="1" x14ac:dyDescent="0.25">
      <c r="A2690" s="1461"/>
      <c r="B2690" s="1461"/>
      <c r="C2690" s="1461"/>
      <c r="D2690" s="1461"/>
      <c r="E2690" s="1390"/>
    </row>
    <row r="2691" spans="1:8" ht="15.75" x14ac:dyDescent="0.25">
      <c r="A2691" s="1461"/>
      <c r="B2691" s="1461"/>
      <c r="C2691" s="1461"/>
      <c r="D2691" s="1461"/>
      <c r="E2691" s="1390"/>
    </row>
    <row r="2692" spans="1:8" ht="18.75" x14ac:dyDescent="0.3">
      <c r="A2692" s="3361" t="s">
        <v>5060</v>
      </c>
      <c r="B2692" s="3336"/>
      <c r="C2692" s="3336"/>
      <c r="D2692" s="3336"/>
      <c r="E2692" s="3336"/>
      <c r="F2692" s="3336"/>
      <c r="G2692" s="3337"/>
    </row>
    <row r="2693" spans="1:8" ht="15.75" x14ac:dyDescent="0.25">
      <c r="A2693" s="1361" t="s">
        <v>4206</v>
      </c>
      <c r="B2693" s="1361" t="s">
        <v>4206</v>
      </c>
      <c r="C2693" s="3370" t="s">
        <v>3</v>
      </c>
      <c r="D2693" s="3371"/>
      <c r="E2693" s="1363" t="s">
        <v>4190</v>
      </c>
      <c r="F2693" s="1363" t="s">
        <v>4191</v>
      </c>
      <c r="G2693" s="1364" t="s">
        <v>382</v>
      </c>
    </row>
    <row r="2694" spans="1:8" x14ac:dyDescent="0.25">
      <c r="A2694" s="1369">
        <v>41718</v>
      </c>
      <c r="B2694" s="1369">
        <v>41718</v>
      </c>
      <c r="C2694" s="3387" t="s">
        <v>5061</v>
      </c>
      <c r="D2694" s="3388"/>
      <c r="E2694" s="1357">
        <v>180</v>
      </c>
      <c r="F2694" s="1358">
        <v>6</v>
      </c>
      <c r="G2694" s="1359">
        <f>E2694/F2694</f>
        <v>30</v>
      </c>
    </row>
    <row r="2695" spans="1:8" x14ac:dyDescent="0.25">
      <c r="A2695" s="1369">
        <v>41803</v>
      </c>
      <c r="B2695" s="1369">
        <v>41803</v>
      </c>
      <c r="C2695" s="3389" t="s">
        <v>5062</v>
      </c>
      <c r="D2695" s="3390"/>
      <c r="E2695" s="1357">
        <v>88.4</v>
      </c>
      <c r="F2695" s="1358">
        <v>4</v>
      </c>
      <c r="G2695" s="1359">
        <f>E2695/F2695</f>
        <v>22.1</v>
      </c>
    </row>
    <row r="2696" spans="1:8" x14ac:dyDescent="0.25">
      <c r="A2696" s="1369">
        <v>41808</v>
      </c>
      <c r="B2696" s="1369">
        <v>41808</v>
      </c>
      <c r="C2696" s="3389" t="s">
        <v>5063</v>
      </c>
      <c r="D2696" s="3390"/>
      <c r="E2696" s="1357">
        <v>400.98</v>
      </c>
      <c r="F2696" s="1358">
        <v>3</v>
      </c>
      <c r="G2696" s="1359">
        <v>133.33000000000001</v>
      </c>
    </row>
    <row r="2697" spans="1:8" x14ac:dyDescent="0.25">
      <c r="A2697" s="1428">
        <v>41834</v>
      </c>
      <c r="B2697" s="1428">
        <v>41834</v>
      </c>
      <c r="C2697" s="3391" t="s">
        <v>5064</v>
      </c>
      <c r="D2697" s="3392"/>
      <c r="E2697" s="1429">
        <v>154</v>
      </c>
      <c r="F2697" s="1430">
        <v>5</v>
      </c>
      <c r="G2697" s="1431">
        <f>E2697/F2697</f>
        <v>30.8</v>
      </c>
    </row>
    <row r="2698" spans="1:8" ht="14.25" customHeight="1" x14ac:dyDescent="0.25">
      <c r="A2698" s="1428">
        <v>41854</v>
      </c>
      <c r="B2698" s="1428">
        <v>41854</v>
      </c>
      <c r="C2698" s="3391" t="s">
        <v>56</v>
      </c>
      <c r="D2698" s="3392"/>
      <c r="E2698" s="1429">
        <v>23.1</v>
      </c>
      <c r="F2698" s="1430">
        <v>1</v>
      </c>
      <c r="G2698" s="1431">
        <f>E2698/F2698</f>
        <v>23.1</v>
      </c>
    </row>
    <row r="2699" spans="1:8" x14ac:dyDescent="0.25">
      <c r="A2699" s="1428">
        <v>41863</v>
      </c>
      <c r="B2699" s="1428">
        <v>41863</v>
      </c>
      <c r="C2699" s="3391" t="s">
        <v>5065</v>
      </c>
      <c r="D2699" s="3392"/>
      <c r="E2699" s="1429">
        <v>100</v>
      </c>
      <c r="F2699" s="1430">
        <v>2</v>
      </c>
      <c r="G2699" s="1431">
        <f>E2699/F2699</f>
        <v>50</v>
      </c>
    </row>
    <row r="2700" spans="1:8" x14ac:dyDescent="0.25">
      <c r="A2700" s="1369">
        <v>41871</v>
      </c>
      <c r="B2700" s="1369">
        <v>41871</v>
      </c>
      <c r="C2700" s="3397" t="s">
        <v>1241</v>
      </c>
      <c r="D2700" s="3398"/>
      <c r="E2700" s="1357">
        <v>13</v>
      </c>
      <c r="F2700" s="1358">
        <v>1</v>
      </c>
      <c r="G2700" s="1359">
        <f>E2700/F2700</f>
        <v>13</v>
      </c>
    </row>
    <row r="2701" spans="1:8" x14ac:dyDescent="0.25">
      <c r="A2701" s="1428">
        <v>41872</v>
      </c>
      <c r="B2701" s="1428">
        <v>41872</v>
      </c>
      <c r="C2701" s="3391" t="s">
        <v>5066</v>
      </c>
      <c r="D2701" s="3392"/>
      <c r="E2701" s="1429">
        <v>45</v>
      </c>
      <c r="F2701" s="1430">
        <v>1</v>
      </c>
      <c r="G2701" s="1431">
        <v>44.2</v>
      </c>
    </row>
    <row r="2702" spans="1:8" x14ac:dyDescent="0.25">
      <c r="A2702" s="1428"/>
      <c r="B2702" s="1428"/>
      <c r="C2702" s="3391"/>
      <c r="D2702" s="3392"/>
      <c r="E2702" s="1429"/>
      <c r="F2702" s="1430"/>
      <c r="G2702" s="1431"/>
    </row>
    <row r="2703" spans="1:8" ht="15.75" x14ac:dyDescent="0.25">
      <c r="A2703" s="3356" t="s">
        <v>4071</v>
      </c>
      <c r="B2703" s="3357"/>
      <c r="C2703" s="3357"/>
      <c r="D2703" s="3357"/>
      <c r="E2703" s="1396">
        <v>750</v>
      </c>
      <c r="F2703" s="3366"/>
      <c r="G2703" s="3367"/>
    </row>
    <row r="2704" spans="1:8" ht="15.75" x14ac:dyDescent="0.25">
      <c r="A2704" s="3358" t="s">
        <v>4072</v>
      </c>
      <c r="B2704" s="3359"/>
      <c r="C2704" s="3359"/>
      <c r="D2704" s="3359"/>
      <c r="E2704" s="1397">
        <v>511.83</v>
      </c>
      <c r="F2704" s="3368"/>
      <c r="G2704" s="3369"/>
      <c r="H2704" s="1247" t="s">
        <v>280</v>
      </c>
    </row>
    <row r="2705" spans="1:7" ht="15.75" x14ac:dyDescent="0.25">
      <c r="A2705" s="3356" t="s">
        <v>5067</v>
      </c>
      <c r="B2705" s="3357"/>
      <c r="C2705" s="3357"/>
      <c r="D2705" s="3357"/>
      <c r="E2705" s="1396">
        <v>321.37</v>
      </c>
      <c r="F2705" s="3368"/>
      <c r="G2705" s="3369"/>
    </row>
    <row r="2706" spans="1:7" ht="15.75" x14ac:dyDescent="0.25">
      <c r="A2706" s="3358" t="s">
        <v>4074</v>
      </c>
      <c r="B2706" s="3359"/>
      <c r="C2706" s="3359"/>
      <c r="D2706" s="3359"/>
      <c r="E2706" s="3359"/>
      <c r="F2706" s="3360"/>
      <c r="G2706" s="1457">
        <f>SUM(G2694:G2705)</f>
        <v>346.53000000000003</v>
      </c>
    </row>
    <row r="2707" spans="1:7" ht="17.25" customHeight="1" thickBot="1" x14ac:dyDescent="0.3">
      <c r="A2707" s="3356" t="s">
        <v>4075</v>
      </c>
      <c r="B2707" s="3357"/>
      <c r="C2707" s="3357"/>
      <c r="D2707" s="3357"/>
      <c r="E2707" s="1388">
        <f>E2703-E2704</f>
        <v>238.17000000000002</v>
      </c>
    </row>
    <row r="2708" spans="1:7" ht="17.25" customHeight="1" x14ac:dyDescent="0.25">
      <c r="A2708" s="1461"/>
      <c r="B2708" s="1461"/>
      <c r="C2708" s="1461"/>
      <c r="D2708" s="1461"/>
      <c r="E2708" s="1390"/>
    </row>
    <row r="2709" spans="1:7" ht="15.75" x14ac:dyDescent="0.25">
      <c r="A2709" s="1461"/>
      <c r="B2709" s="1461"/>
      <c r="C2709" s="1461"/>
      <c r="D2709" s="1461"/>
      <c r="E2709" s="1390"/>
    </row>
    <row r="2710" spans="1:7" ht="18.75" x14ac:dyDescent="0.3">
      <c r="A2710" s="3361" t="s">
        <v>5068</v>
      </c>
      <c r="B2710" s="3336"/>
      <c r="C2710" s="3336"/>
      <c r="D2710" s="3336"/>
      <c r="E2710" s="3336"/>
      <c r="F2710" s="3336"/>
      <c r="G2710" s="3337"/>
    </row>
    <row r="2711" spans="1:7" ht="15.75" x14ac:dyDescent="0.25">
      <c r="A2711" s="1361" t="s">
        <v>4206</v>
      </c>
      <c r="B2711" s="1361" t="s">
        <v>4206</v>
      </c>
      <c r="C2711" s="3370" t="s">
        <v>3</v>
      </c>
      <c r="D2711" s="3371"/>
      <c r="E2711" s="1363" t="s">
        <v>4190</v>
      </c>
      <c r="F2711" s="1363" t="s">
        <v>4191</v>
      </c>
      <c r="G2711" s="1364" t="s">
        <v>382</v>
      </c>
    </row>
    <row r="2712" spans="1:7" x14ac:dyDescent="0.25">
      <c r="A2712" s="1369">
        <v>41718</v>
      </c>
      <c r="B2712" s="1369">
        <v>41718</v>
      </c>
      <c r="C2712" s="3387" t="s">
        <v>5069</v>
      </c>
      <c r="D2712" s="3388"/>
      <c r="E2712" s="1357">
        <v>180</v>
      </c>
      <c r="F2712" s="1358">
        <v>6</v>
      </c>
      <c r="G2712" s="1359">
        <f>E2712/F2712</f>
        <v>30</v>
      </c>
    </row>
    <row r="2713" spans="1:7" x14ac:dyDescent="0.25">
      <c r="A2713" s="1369">
        <v>41803</v>
      </c>
      <c r="B2713" s="1369">
        <v>41803</v>
      </c>
      <c r="C2713" s="3389" t="s">
        <v>5070</v>
      </c>
      <c r="D2713" s="3390"/>
      <c r="E2713" s="1357">
        <v>88.4</v>
      </c>
      <c r="F2713" s="1358">
        <v>4</v>
      </c>
      <c r="G2713" s="1359">
        <f>E2713/F2713</f>
        <v>22.1</v>
      </c>
    </row>
    <row r="2714" spans="1:7" x14ac:dyDescent="0.25">
      <c r="A2714" s="1369">
        <v>41808</v>
      </c>
      <c r="B2714" s="1369">
        <v>41808</v>
      </c>
      <c r="C2714" s="3389" t="s">
        <v>5071</v>
      </c>
      <c r="D2714" s="3390"/>
      <c r="E2714" s="1357">
        <v>400.98</v>
      </c>
      <c r="F2714" s="1358">
        <v>3</v>
      </c>
      <c r="G2714" s="1359">
        <v>133.33000000000001</v>
      </c>
    </row>
    <row r="2715" spans="1:7" x14ac:dyDescent="0.25">
      <c r="A2715" s="1428">
        <v>41824</v>
      </c>
      <c r="B2715" s="1428">
        <v>41824</v>
      </c>
      <c r="C2715" s="3391" t="s">
        <v>5072</v>
      </c>
      <c r="D2715" s="3392"/>
      <c r="E2715" s="1429">
        <v>77.459999999999994</v>
      </c>
      <c r="F2715" s="1430">
        <v>1</v>
      </c>
      <c r="G2715" s="1431">
        <f>E2715/F2715</f>
        <v>77.459999999999994</v>
      </c>
    </row>
    <row r="2716" spans="1:7" x14ac:dyDescent="0.25">
      <c r="A2716" s="1428">
        <v>41824</v>
      </c>
      <c r="B2716" s="1428">
        <v>41824</v>
      </c>
      <c r="C2716" s="3391" t="s">
        <v>5073</v>
      </c>
      <c r="D2716" s="3392"/>
      <c r="E2716" s="1429">
        <v>15</v>
      </c>
      <c r="F2716" s="1430">
        <v>1</v>
      </c>
      <c r="G2716" s="1431">
        <v>15.12</v>
      </c>
    </row>
    <row r="2717" spans="1:7" x14ac:dyDescent="0.25">
      <c r="A2717" s="1428">
        <v>41834</v>
      </c>
      <c r="B2717" s="1428">
        <v>41834</v>
      </c>
      <c r="C2717" s="3391" t="s">
        <v>5074</v>
      </c>
      <c r="D2717" s="3392"/>
      <c r="E2717" s="1429">
        <v>154</v>
      </c>
      <c r="F2717" s="1430">
        <v>5</v>
      </c>
      <c r="G2717" s="1431">
        <f>E2717/F2717</f>
        <v>30.8</v>
      </c>
    </row>
    <row r="2718" spans="1:7" x14ac:dyDescent="0.25">
      <c r="A2718" s="1369">
        <v>41841</v>
      </c>
      <c r="B2718" s="1369">
        <v>41841</v>
      </c>
      <c r="C2718" s="3397" t="s">
        <v>1241</v>
      </c>
      <c r="D2718" s="3398"/>
      <c r="E2718" s="1357">
        <v>13</v>
      </c>
      <c r="F2718" s="1358">
        <v>1</v>
      </c>
      <c r="G2718" s="1359">
        <f>E2718/F2718</f>
        <v>13</v>
      </c>
    </row>
    <row r="2719" spans="1:7" x14ac:dyDescent="0.25">
      <c r="A2719" s="1428"/>
      <c r="B2719" s="1428"/>
      <c r="C2719" s="3391"/>
      <c r="D2719" s="3392"/>
      <c r="E2719" s="1429"/>
      <c r="F2719" s="1430"/>
      <c r="G2719" s="1431"/>
    </row>
    <row r="2720" spans="1:7" ht="15.75" x14ac:dyDescent="0.25">
      <c r="A2720" s="3356" t="s">
        <v>4071</v>
      </c>
      <c r="B2720" s="3357"/>
      <c r="C2720" s="3357"/>
      <c r="D2720" s="3357"/>
      <c r="E2720" s="1396">
        <v>750</v>
      </c>
      <c r="F2720" s="3366"/>
      <c r="G2720" s="3367"/>
    </row>
    <row r="2721" spans="1:8" ht="15.75" x14ac:dyDescent="0.25">
      <c r="A2721" s="3358" t="s">
        <v>4072</v>
      </c>
      <c r="B2721" s="3359"/>
      <c r="C2721" s="3359"/>
      <c r="D2721" s="3359"/>
      <c r="E2721" s="1397">
        <v>653.08000000000004</v>
      </c>
      <c r="F2721" s="3368"/>
      <c r="G2721" s="3369"/>
      <c r="H2721" s="1247" t="s">
        <v>280</v>
      </c>
    </row>
    <row r="2722" spans="1:8" ht="15.75" x14ac:dyDescent="0.25">
      <c r="A2722" s="3356" t="s">
        <v>5075</v>
      </c>
      <c r="B2722" s="3357"/>
      <c r="C2722" s="3357"/>
      <c r="D2722" s="3357"/>
      <c r="E2722" s="1396">
        <v>200</v>
      </c>
      <c r="F2722" s="3368"/>
      <c r="G2722" s="3369"/>
    </row>
    <row r="2723" spans="1:8" ht="15.75" x14ac:dyDescent="0.25">
      <c r="A2723" s="3356" t="s">
        <v>5076</v>
      </c>
      <c r="B2723" s="3357"/>
      <c r="C2723" s="3357"/>
      <c r="D2723" s="3357"/>
      <c r="E2723" s="1396">
        <v>56</v>
      </c>
      <c r="F2723" s="3385"/>
      <c r="G2723" s="3386"/>
    </row>
    <row r="2724" spans="1:8" ht="15.75" x14ac:dyDescent="0.25">
      <c r="A2724" s="3358" t="s">
        <v>4074</v>
      </c>
      <c r="B2724" s="3359"/>
      <c r="C2724" s="3359"/>
      <c r="D2724" s="3359"/>
      <c r="E2724" s="3359"/>
      <c r="F2724" s="3360"/>
      <c r="G2724" s="1457">
        <f>SUM(G2712:G2723)</f>
        <v>321.81</v>
      </c>
    </row>
    <row r="2725" spans="1:8" ht="17.25" customHeight="1" thickBot="1" x14ac:dyDescent="0.3">
      <c r="A2725" s="3356" t="s">
        <v>4075</v>
      </c>
      <c r="B2725" s="3357"/>
      <c r="C2725" s="3357"/>
      <c r="D2725" s="3357"/>
      <c r="E2725" s="1388">
        <f>E2720-E2721</f>
        <v>96.919999999999959</v>
      </c>
    </row>
    <row r="2726" spans="1:8" ht="17.25" customHeight="1" x14ac:dyDescent="0.25">
      <c r="A2726" s="1461"/>
      <c r="B2726" s="1461"/>
      <c r="C2726" s="1461"/>
      <c r="D2726" s="1461"/>
      <c r="E2726" s="1390"/>
    </row>
    <row r="2727" spans="1:8" ht="15.75" x14ac:dyDescent="0.25">
      <c r="A2727" s="1461"/>
      <c r="B2727" s="1461"/>
      <c r="C2727" s="1461"/>
      <c r="D2727" s="1461"/>
      <c r="E2727" s="1390"/>
    </row>
    <row r="2728" spans="1:8" ht="18.75" x14ac:dyDescent="0.3">
      <c r="A2728" s="3361" t="s">
        <v>5077</v>
      </c>
      <c r="B2728" s="3336"/>
      <c r="C2728" s="3336"/>
      <c r="D2728" s="3336"/>
      <c r="E2728" s="3336"/>
      <c r="F2728" s="3336"/>
      <c r="G2728" s="3337"/>
    </row>
    <row r="2729" spans="1:8" ht="15.75" x14ac:dyDescent="0.25">
      <c r="A2729" s="1361" t="s">
        <v>4206</v>
      </c>
      <c r="B2729" s="1361" t="s">
        <v>4206</v>
      </c>
      <c r="C2729" s="3370" t="s">
        <v>3</v>
      </c>
      <c r="D2729" s="3371"/>
      <c r="E2729" s="1363" t="s">
        <v>4190</v>
      </c>
      <c r="F2729" s="1363" t="s">
        <v>4191</v>
      </c>
      <c r="G2729" s="1364" t="s">
        <v>382</v>
      </c>
    </row>
    <row r="2730" spans="1:8" x14ac:dyDescent="0.25">
      <c r="A2730" s="1369">
        <v>41718</v>
      </c>
      <c r="B2730" s="1369">
        <v>41718</v>
      </c>
      <c r="C2730" s="3387" t="s">
        <v>5078</v>
      </c>
      <c r="D2730" s="3388"/>
      <c r="E2730" s="1357">
        <v>180</v>
      </c>
      <c r="F2730" s="1358">
        <v>6</v>
      </c>
      <c r="G2730" s="1359">
        <f>E2730/F2730</f>
        <v>30</v>
      </c>
    </row>
    <row r="2731" spans="1:8" x14ac:dyDescent="0.25">
      <c r="A2731" s="1369">
        <v>41770</v>
      </c>
      <c r="B2731" s="1369">
        <v>41770</v>
      </c>
      <c r="C2731" s="3387" t="s">
        <v>5079</v>
      </c>
      <c r="D2731" s="3388"/>
      <c r="E2731" s="1357">
        <v>64.40000000000002</v>
      </c>
      <c r="F2731" s="1358">
        <v>2</v>
      </c>
      <c r="G2731" s="1359">
        <f>E2731/F2731</f>
        <v>32.20000000000001</v>
      </c>
    </row>
    <row r="2732" spans="1:8" x14ac:dyDescent="0.25">
      <c r="A2732" s="1369">
        <v>41803</v>
      </c>
      <c r="B2732" s="1369">
        <v>41803</v>
      </c>
      <c r="C2732" s="3389" t="s">
        <v>5080</v>
      </c>
      <c r="D2732" s="3390"/>
      <c r="E2732" s="1357">
        <v>88.4</v>
      </c>
      <c r="F2732" s="1358">
        <v>4</v>
      </c>
      <c r="G2732" s="1359">
        <f>E2732/F2732</f>
        <v>22.1</v>
      </c>
    </row>
    <row r="2733" spans="1:8" x14ac:dyDescent="0.25">
      <c r="A2733" s="1369">
        <v>41804</v>
      </c>
      <c r="B2733" s="1369">
        <v>41804</v>
      </c>
      <c r="C2733" s="3389" t="s">
        <v>5081</v>
      </c>
      <c r="D2733" s="3390"/>
      <c r="E2733" s="1357">
        <v>52.5</v>
      </c>
      <c r="F2733" s="1358">
        <v>1</v>
      </c>
      <c r="G2733" s="1359">
        <f>E2733/F2733</f>
        <v>52.5</v>
      </c>
    </row>
    <row r="2734" spans="1:8" x14ac:dyDescent="0.25">
      <c r="A2734" s="1369">
        <v>41808</v>
      </c>
      <c r="B2734" s="1369">
        <v>41808</v>
      </c>
      <c r="C2734" s="3389" t="s">
        <v>5082</v>
      </c>
      <c r="D2734" s="3390"/>
      <c r="E2734" s="1357">
        <v>400.98</v>
      </c>
      <c r="F2734" s="1358">
        <v>3</v>
      </c>
      <c r="G2734" s="1359">
        <v>133.33000000000001</v>
      </c>
    </row>
    <row r="2735" spans="1:8" x14ac:dyDescent="0.25">
      <c r="A2735" s="1369">
        <v>41810</v>
      </c>
      <c r="B2735" s="1369">
        <v>41810</v>
      </c>
      <c r="C2735" s="3397" t="s">
        <v>1241</v>
      </c>
      <c r="D2735" s="3398"/>
      <c r="E2735" s="1357">
        <v>13</v>
      </c>
      <c r="F2735" s="1358">
        <v>1</v>
      </c>
      <c r="G2735" s="1359">
        <f>E2735/F2735</f>
        <v>13</v>
      </c>
    </row>
    <row r="2736" spans="1:8" x14ac:dyDescent="0.25">
      <c r="A2736" s="1369">
        <v>41815</v>
      </c>
      <c r="B2736" s="1369">
        <v>41815</v>
      </c>
      <c r="C2736" s="3389" t="s">
        <v>5083</v>
      </c>
      <c r="D2736" s="3390"/>
      <c r="E2736" s="1357">
        <v>50</v>
      </c>
      <c r="F2736" s="1358">
        <v>1</v>
      </c>
      <c r="G2736" s="1359">
        <f>E2736/F2736</f>
        <v>50</v>
      </c>
    </row>
    <row r="2737" spans="1:8" x14ac:dyDescent="0.25">
      <c r="A2737" s="1428"/>
      <c r="B2737" s="1428"/>
      <c r="C2737" s="3391"/>
      <c r="D2737" s="3392"/>
      <c r="E2737" s="1429"/>
      <c r="F2737" s="1430"/>
      <c r="G2737" s="1431"/>
    </row>
    <row r="2738" spans="1:8" ht="15.75" x14ac:dyDescent="0.25">
      <c r="A2738" s="3356" t="s">
        <v>4071</v>
      </c>
      <c r="B2738" s="3357"/>
      <c r="C2738" s="3357"/>
      <c r="D2738" s="3357"/>
      <c r="E2738" s="1396">
        <v>750</v>
      </c>
      <c r="F2738" s="3366"/>
      <c r="G2738" s="3367"/>
    </row>
    <row r="2739" spans="1:8" ht="15.75" x14ac:dyDescent="0.25">
      <c r="A2739" s="3358" t="s">
        <v>4072</v>
      </c>
      <c r="B2739" s="3359"/>
      <c r="C2739" s="3359"/>
      <c r="D2739" s="3359"/>
      <c r="E2739" s="1397">
        <v>727.08</v>
      </c>
      <c r="F2739" s="3368"/>
      <c r="G2739" s="3369"/>
      <c r="H2739" s="1247" t="s">
        <v>280</v>
      </c>
    </row>
    <row r="2740" spans="1:8" ht="15.75" x14ac:dyDescent="0.25">
      <c r="A2740" s="3356" t="s">
        <v>5084</v>
      </c>
      <c r="B2740" s="3357"/>
      <c r="C2740" s="3357"/>
      <c r="D2740" s="3357"/>
      <c r="E2740" s="1396">
        <v>168.48</v>
      </c>
      <c r="F2740" s="3385"/>
      <c r="G2740" s="3386"/>
    </row>
    <row r="2741" spans="1:8" ht="15.75" x14ac:dyDescent="0.25">
      <c r="A2741" s="3358" t="s">
        <v>4074</v>
      </c>
      <c r="B2741" s="3359"/>
      <c r="C2741" s="3359"/>
      <c r="D2741" s="3359"/>
      <c r="E2741" s="3359"/>
      <c r="F2741" s="3360"/>
      <c r="G2741" s="1457">
        <f>SUM(G2730:G2740)</f>
        <v>333.13</v>
      </c>
    </row>
    <row r="2742" spans="1:8" ht="17.25" customHeight="1" thickBot="1" x14ac:dyDescent="0.3">
      <c r="A2742" s="3356" t="s">
        <v>4075</v>
      </c>
      <c r="B2742" s="3357"/>
      <c r="C2742" s="3357"/>
      <c r="D2742" s="3357"/>
      <c r="E2742" s="1388">
        <f>E2738-E2739</f>
        <v>22.919999999999959</v>
      </c>
    </row>
    <row r="2743" spans="1:8" ht="16.5" thickBot="1" x14ac:dyDescent="0.3">
      <c r="A2743" s="1461"/>
      <c r="B2743" s="1461"/>
      <c r="C2743" s="1461"/>
      <c r="D2743" s="1461"/>
      <c r="E2743" s="1390"/>
    </row>
    <row r="2744" spans="1:8" ht="16.5" thickBot="1" x14ac:dyDescent="0.3">
      <c r="A2744" s="1461"/>
      <c r="B2744" s="1461"/>
      <c r="C2744" s="1461"/>
      <c r="D2744" s="1461"/>
      <c r="E2744" s="1390"/>
    </row>
    <row r="2745" spans="1:8" ht="19.5" thickBot="1" x14ac:dyDescent="0.35">
      <c r="A2745" s="3361" t="s">
        <v>5085</v>
      </c>
      <c r="B2745" s="3336"/>
      <c r="C2745" s="3336"/>
      <c r="D2745" s="3336"/>
      <c r="E2745" s="3336"/>
      <c r="F2745" s="3336"/>
      <c r="G2745" s="3337"/>
    </row>
    <row r="2746" spans="1:8" ht="16.5" thickBot="1" x14ac:dyDescent="0.3">
      <c r="A2746" s="1361" t="s">
        <v>4206</v>
      </c>
      <c r="B2746" s="1361" t="s">
        <v>4206</v>
      </c>
      <c r="C2746" s="3370" t="s">
        <v>3</v>
      </c>
      <c r="D2746" s="3371"/>
      <c r="E2746" s="1363" t="s">
        <v>4190</v>
      </c>
      <c r="F2746" s="1363" t="s">
        <v>4191</v>
      </c>
      <c r="G2746" s="1364" t="s">
        <v>382</v>
      </c>
    </row>
    <row r="2747" spans="1:8" x14ac:dyDescent="0.25">
      <c r="A2747" s="1369">
        <v>41718</v>
      </c>
      <c r="B2747" s="1369">
        <v>41718</v>
      </c>
      <c r="C2747" s="3395" t="s">
        <v>5086</v>
      </c>
      <c r="D2747" s="3396"/>
      <c r="E2747" s="1357">
        <v>100</v>
      </c>
      <c r="F2747" s="1358">
        <v>3</v>
      </c>
      <c r="G2747" s="1359">
        <f>E2747/F2747</f>
        <v>33.333333333333336</v>
      </c>
    </row>
    <row r="2748" spans="1:8" x14ac:dyDescent="0.25">
      <c r="A2748" s="1369">
        <v>41718</v>
      </c>
      <c r="B2748" s="1369">
        <v>41718</v>
      </c>
      <c r="C2748" s="3395" t="s">
        <v>5087</v>
      </c>
      <c r="D2748" s="3396"/>
      <c r="E2748" s="1357">
        <v>180</v>
      </c>
      <c r="F2748" s="1358">
        <v>6</v>
      </c>
      <c r="G2748" s="1359">
        <f>E2748/F2748</f>
        <v>30</v>
      </c>
    </row>
    <row r="2749" spans="1:8" ht="15" customHeight="1" x14ac:dyDescent="0.25">
      <c r="A2749" s="1369">
        <v>41738</v>
      </c>
      <c r="B2749" s="1369">
        <v>41738</v>
      </c>
      <c r="C2749" s="3395" t="s">
        <v>5088</v>
      </c>
      <c r="D2749" s="3396"/>
      <c r="E2749" s="1357">
        <v>119.9</v>
      </c>
      <c r="F2749" s="1358">
        <v>2</v>
      </c>
      <c r="G2749" s="1359">
        <f>E2749/F2749</f>
        <v>59.95</v>
      </c>
    </row>
    <row r="2750" spans="1:8" x14ac:dyDescent="0.25">
      <c r="A2750" s="1369">
        <v>41770</v>
      </c>
      <c r="B2750" s="1369">
        <v>41770</v>
      </c>
      <c r="C2750" s="3395" t="s">
        <v>5089</v>
      </c>
      <c r="D2750" s="3396"/>
      <c r="E2750" s="1357">
        <v>64.40000000000002</v>
      </c>
      <c r="F2750" s="1358">
        <v>2</v>
      </c>
      <c r="G2750" s="1359">
        <f>E2750/F2750</f>
        <v>32.20000000000001</v>
      </c>
    </row>
    <row r="2751" spans="1:8" x14ac:dyDescent="0.25">
      <c r="A2751" s="1369">
        <v>41780</v>
      </c>
      <c r="B2751" s="1369">
        <v>41780</v>
      </c>
      <c r="C2751" s="3397" t="s">
        <v>1241</v>
      </c>
      <c r="D2751" s="3398"/>
      <c r="E2751" s="1357">
        <v>13</v>
      </c>
      <c r="F2751" s="1358">
        <v>1</v>
      </c>
      <c r="G2751" s="1359">
        <f>E2751/F2751</f>
        <v>13</v>
      </c>
    </row>
    <row r="2752" spans="1:8" x14ac:dyDescent="0.25">
      <c r="A2752" s="1428"/>
      <c r="B2752" s="1428"/>
      <c r="C2752" s="3391"/>
      <c r="D2752" s="3392"/>
      <c r="E2752" s="1429"/>
      <c r="F2752" s="1430"/>
      <c r="G2752" s="1431"/>
    </row>
    <row r="2753" spans="1:8" ht="15.75" x14ac:dyDescent="0.25">
      <c r="A2753" s="3356" t="s">
        <v>4071</v>
      </c>
      <c r="B2753" s="3357"/>
      <c r="C2753" s="3357"/>
      <c r="D2753" s="3357"/>
      <c r="E2753" s="1396">
        <v>750</v>
      </c>
      <c r="F2753" s="3366"/>
      <c r="G2753" s="3367"/>
    </row>
    <row r="2754" spans="1:8" ht="15.75" x14ac:dyDescent="0.25">
      <c r="A2754" s="3358" t="s">
        <v>4072</v>
      </c>
      <c r="B2754" s="3359"/>
      <c r="C2754" s="3359"/>
      <c r="D2754" s="3359"/>
      <c r="E2754" s="1397">
        <v>277.68</v>
      </c>
      <c r="F2754" s="3368"/>
      <c r="G2754" s="3369"/>
      <c r="H2754" s="1247" t="s">
        <v>280</v>
      </c>
    </row>
    <row r="2755" spans="1:8" ht="15.75" x14ac:dyDescent="0.25">
      <c r="A2755" s="3356" t="s">
        <v>5090</v>
      </c>
      <c r="B2755" s="3357"/>
      <c r="C2755" s="3357"/>
      <c r="D2755" s="3357"/>
      <c r="E2755" s="1396">
        <v>136.27000000000001</v>
      </c>
      <c r="F2755" s="3385"/>
      <c r="G2755" s="3386"/>
    </row>
    <row r="2756" spans="1:8" ht="15.75" x14ac:dyDescent="0.25">
      <c r="A2756" s="3358" t="s">
        <v>4074</v>
      </c>
      <c r="B2756" s="3359"/>
      <c r="C2756" s="3359"/>
      <c r="D2756" s="3359"/>
      <c r="E2756" s="3359"/>
      <c r="F2756" s="3360"/>
      <c r="G2756" s="1457">
        <f>SUM(G2747:G2755)</f>
        <v>168.48333333333335</v>
      </c>
    </row>
    <row r="2757" spans="1:8" ht="17.25" customHeight="1" thickBot="1" x14ac:dyDescent="0.3">
      <c r="A2757" s="3356" t="s">
        <v>4075</v>
      </c>
      <c r="B2757" s="3357"/>
      <c r="C2757" s="3357"/>
      <c r="D2757" s="3357"/>
      <c r="E2757" s="1388">
        <f>E2753-E2754</f>
        <v>472.32</v>
      </c>
    </row>
    <row r="2758" spans="1:8" ht="16.5" thickBot="1" x14ac:dyDescent="0.3">
      <c r="A2758" s="1461"/>
      <c r="B2758" s="1461"/>
      <c r="C2758" s="1461"/>
      <c r="D2758" s="1461"/>
      <c r="E2758" s="1390"/>
    </row>
    <row r="2759" spans="1:8" ht="16.5" thickBot="1" x14ac:dyDescent="0.3">
      <c r="A2759" s="1461"/>
      <c r="B2759" s="1461"/>
      <c r="C2759" s="1461"/>
      <c r="D2759" s="1461"/>
      <c r="E2759" s="1390"/>
    </row>
    <row r="2760" spans="1:8" ht="19.5" thickBot="1" x14ac:dyDescent="0.35">
      <c r="A2760" s="3361" t="s">
        <v>5091</v>
      </c>
      <c r="B2760" s="3336"/>
      <c r="C2760" s="3336"/>
      <c r="D2760" s="3336"/>
      <c r="E2760" s="3336"/>
      <c r="F2760" s="3336"/>
      <c r="G2760" s="3337"/>
    </row>
    <row r="2761" spans="1:8" ht="16.5" thickBot="1" x14ac:dyDescent="0.3">
      <c r="A2761" s="1361" t="s">
        <v>4206</v>
      </c>
      <c r="B2761" s="1361" t="s">
        <v>4206</v>
      </c>
      <c r="C2761" s="3370" t="s">
        <v>3</v>
      </c>
      <c r="D2761" s="3371"/>
      <c r="E2761" s="1363" t="s">
        <v>4190</v>
      </c>
      <c r="F2761" s="1363" t="s">
        <v>4191</v>
      </c>
      <c r="G2761" s="1364" t="s">
        <v>382</v>
      </c>
    </row>
    <row r="2762" spans="1:8" x14ac:dyDescent="0.25">
      <c r="A2762" s="1369">
        <v>41718</v>
      </c>
      <c r="B2762" s="1369">
        <v>41718</v>
      </c>
      <c r="C2762" s="3387" t="s">
        <v>5092</v>
      </c>
      <c r="D2762" s="3388"/>
      <c r="E2762" s="1357">
        <v>100</v>
      </c>
      <c r="F2762" s="1358">
        <v>3</v>
      </c>
      <c r="G2762" s="1359">
        <f>E2762/F2762</f>
        <v>33.333333333333336</v>
      </c>
    </row>
    <row r="2763" spans="1:8" x14ac:dyDescent="0.25">
      <c r="A2763" s="1369">
        <v>41718</v>
      </c>
      <c r="B2763" s="1369">
        <v>41718</v>
      </c>
      <c r="C2763" s="3387" t="s">
        <v>5093</v>
      </c>
      <c r="D2763" s="3388"/>
      <c r="E2763" s="1357">
        <v>180</v>
      </c>
      <c r="F2763" s="1358">
        <v>6</v>
      </c>
      <c r="G2763" s="1359">
        <f>E2763/F2763</f>
        <v>30</v>
      </c>
    </row>
    <row r="2764" spans="1:8" x14ac:dyDescent="0.25">
      <c r="A2764" s="1369">
        <v>41738</v>
      </c>
      <c r="B2764" s="1369">
        <v>41738</v>
      </c>
      <c r="C2764" s="3387" t="s">
        <v>5094</v>
      </c>
      <c r="D2764" s="3388"/>
      <c r="E2764" s="1357">
        <v>119.9</v>
      </c>
      <c r="F2764" s="1358">
        <v>2</v>
      </c>
      <c r="G2764" s="1359">
        <f>E2764/F2764</f>
        <v>59.95</v>
      </c>
    </row>
    <row r="2765" spans="1:8" x14ac:dyDescent="0.25">
      <c r="A2765" s="1369">
        <v>41751</v>
      </c>
      <c r="B2765" s="1369">
        <v>41751</v>
      </c>
      <c r="C2765" s="3389" t="s">
        <v>1241</v>
      </c>
      <c r="D2765" s="3390"/>
      <c r="E2765" s="1357">
        <v>13</v>
      </c>
      <c r="F2765" s="1358">
        <v>1</v>
      </c>
      <c r="G2765" s="1359">
        <f>E2765/F2765</f>
        <v>13</v>
      </c>
    </row>
    <row r="2766" spans="1:8" x14ac:dyDescent="0.25">
      <c r="A2766" s="1428"/>
      <c r="B2766" s="1428"/>
      <c r="C2766" s="3391"/>
      <c r="D2766" s="3392"/>
      <c r="E2766" s="1429"/>
      <c r="F2766" s="1430"/>
      <c r="G2766" s="1431"/>
    </row>
    <row r="2767" spans="1:8" ht="15.75" x14ac:dyDescent="0.25">
      <c r="A2767" s="3356" t="s">
        <v>4071</v>
      </c>
      <c r="B2767" s="3357"/>
      <c r="C2767" s="3357"/>
      <c r="D2767" s="3357"/>
      <c r="E2767" s="1396">
        <v>750</v>
      </c>
      <c r="F2767" s="3366"/>
      <c r="G2767" s="3367"/>
    </row>
    <row r="2768" spans="1:8" ht="15.75" x14ac:dyDescent="0.25">
      <c r="A2768" s="3358" t="s">
        <v>4072</v>
      </c>
      <c r="B2768" s="3359"/>
      <c r="C2768" s="3359"/>
      <c r="D2768" s="3359"/>
      <c r="E2768" s="1397">
        <v>336.56</v>
      </c>
      <c r="F2768" s="3368"/>
      <c r="G2768" s="3369"/>
      <c r="H2768" s="1247" t="s">
        <v>280</v>
      </c>
    </row>
    <row r="2769" spans="1:8" ht="15.75" x14ac:dyDescent="0.25">
      <c r="A2769" s="3356" t="s">
        <v>5095</v>
      </c>
      <c r="B2769" s="3357"/>
      <c r="C2769" s="3357"/>
      <c r="D2769" s="3357"/>
      <c r="E2769" s="1396">
        <f>G2786</f>
        <v>273.73333333333335</v>
      </c>
      <c r="F2769" s="3385"/>
      <c r="G2769" s="3386"/>
    </row>
    <row r="2770" spans="1:8" ht="15.75" x14ac:dyDescent="0.25">
      <c r="A2770" s="3358" t="s">
        <v>4074</v>
      </c>
      <c r="B2770" s="3359"/>
      <c r="C2770" s="3359"/>
      <c r="D2770" s="3359"/>
      <c r="E2770" s="3359"/>
      <c r="F2770" s="3360"/>
      <c r="G2770" s="1457">
        <f>SUM(G2762:G2769)</f>
        <v>136.28333333333333</v>
      </c>
    </row>
    <row r="2771" spans="1:8" ht="17.25" customHeight="1" thickBot="1" x14ac:dyDescent="0.3">
      <c r="A2771" s="3356" t="s">
        <v>4075</v>
      </c>
      <c r="B2771" s="3357"/>
      <c r="C2771" s="3357"/>
      <c r="D2771" s="3357"/>
      <c r="E2771" s="1388">
        <f>E2767-E2768</f>
        <v>413.44</v>
      </c>
    </row>
    <row r="2772" spans="1:8" ht="16.5" thickBot="1" x14ac:dyDescent="0.3">
      <c r="A2772" s="1461"/>
      <c r="B2772" s="1461"/>
      <c r="C2772" s="1461"/>
      <c r="D2772" s="1461"/>
      <c r="E2772" s="1390"/>
    </row>
    <row r="2773" spans="1:8" ht="16.5" thickBot="1" x14ac:dyDescent="0.3">
      <c r="A2773" s="1461"/>
      <c r="B2773" s="1461"/>
      <c r="C2773" s="1461"/>
      <c r="D2773" s="1461"/>
      <c r="E2773" s="1390"/>
    </row>
    <row r="2774" spans="1:8" ht="19.5" thickBot="1" x14ac:dyDescent="0.35">
      <c r="A2774" s="3361" t="s">
        <v>5096</v>
      </c>
      <c r="B2774" s="3336"/>
      <c r="C2774" s="3336"/>
      <c r="D2774" s="3336"/>
      <c r="E2774" s="3336"/>
      <c r="F2774" s="3336"/>
      <c r="G2774" s="3337"/>
    </row>
    <row r="2775" spans="1:8" ht="16.5" thickBot="1" x14ac:dyDescent="0.3">
      <c r="A2775" s="1361" t="s">
        <v>4206</v>
      </c>
      <c r="B2775" s="1361" t="s">
        <v>4206</v>
      </c>
      <c r="C2775" s="3370" t="s">
        <v>3</v>
      </c>
      <c r="D2775" s="3371"/>
      <c r="E2775" s="1363" t="s">
        <v>4190</v>
      </c>
      <c r="F2775" s="1363" t="s">
        <v>4191</v>
      </c>
      <c r="G2775" s="1364" t="s">
        <v>382</v>
      </c>
    </row>
    <row r="2776" spans="1:8" x14ac:dyDescent="0.25">
      <c r="A2776" s="1369">
        <v>41590</v>
      </c>
      <c r="B2776" s="1369">
        <v>41590</v>
      </c>
      <c r="C2776" s="3387" t="s">
        <v>5097</v>
      </c>
      <c r="D2776" s="3388"/>
      <c r="E2776" s="1357">
        <v>100</v>
      </c>
      <c r="F2776" s="1358">
        <v>5</v>
      </c>
      <c r="G2776" s="1359">
        <f t="shared" ref="G2776:G2781" si="307">E2776/F2776</f>
        <v>20</v>
      </c>
    </row>
    <row r="2777" spans="1:8" x14ac:dyDescent="0.25">
      <c r="A2777" s="1428">
        <v>41614</v>
      </c>
      <c r="B2777" s="1428">
        <v>41614</v>
      </c>
      <c r="C2777" s="3391" t="s">
        <v>5098</v>
      </c>
      <c r="D2777" s="3392"/>
      <c r="E2777" s="1429">
        <v>470</v>
      </c>
      <c r="F2777" s="1430">
        <v>4</v>
      </c>
      <c r="G2777" s="1431">
        <f t="shared" si="307"/>
        <v>117.5</v>
      </c>
    </row>
    <row r="2778" spans="1:8" x14ac:dyDescent="0.25">
      <c r="A2778" s="1369">
        <v>41718</v>
      </c>
      <c r="B2778" s="1369">
        <v>41718</v>
      </c>
      <c r="C2778" s="3387" t="s">
        <v>5099</v>
      </c>
      <c r="D2778" s="3388"/>
      <c r="E2778" s="1357">
        <v>59.9</v>
      </c>
      <c r="F2778" s="1358">
        <v>1</v>
      </c>
      <c r="G2778" s="1359">
        <f t="shared" si="307"/>
        <v>59.9</v>
      </c>
    </row>
    <row r="2779" spans="1:8" x14ac:dyDescent="0.25">
      <c r="A2779" s="1369">
        <v>41718</v>
      </c>
      <c r="B2779" s="1369">
        <v>41718</v>
      </c>
      <c r="C2779" s="3387" t="s">
        <v>5100</v>
      </c>
      <c r="D2779" s="3388"/>
      <c r="E2779" s="1357">
        <v>100</v>
      </c>
      <c r="F2779" s="1358">
        <v>3</v>
      </c>
      <c r="G2779" s="1359">
        <f t="shared" si="307"/>
        <v>33.333333333333336</v>
      </c>
    </row>
    <row r="2780" spans="1:8" x14ac:dyDescent="0.25">
      <c r="A2780" s="1369">
        <v>41718</v>
      </c>
      <c r="B2780" s="1369">
        <v>41718</v>
      </c>
      <c r="C2780" s="3387" t="s">
        <v>5101</v>
      </c>
      <c r="D2780" s="3388"/>
      <c r="E2780" s="1357">
        <v>180</v>
      </c>
      <c r="F2780" s="1358">
        <v>6</v>
      </c>
      <c r="G2780" s="1359">
        <f t="shared" si="307"/>
        <v>30</v>
      </c>
    </row>
    <row r="2781" spans="1:8" x14ac:dyDescent="0.25">
      <c r="A2781" s="1369">
        <v>41718</v>
      </c>
      <c r="B2781" s="1369">
        <v>41718</v>
      </c>
      <c r="C2781" s="3389" t="s">
        <v>1241</v>
      </c>
      <c r="D2781" s="3390"/>
      <c r="E2781" s="1357">
        <v>13</v>
      </c>
      <c r="F2781" s="1358">
        <v>1</v>
      </c>
      <c r="G2781" s="1359">
        <f t="shared" si="307"/>
        <v>13</v>
      </c>
    </row>
    <row r="2782" spans="1:8" x14ac:dyDescent="0.25">
      <c r="A2782" s="1428"/>
      <c r="B2782" s="1428"/>
      <c r="C2782" s="3391"/>
      <c r="D2782" s="3392"/>
      <c r="E2782" s="1429"/>
      <c r="F2782" s="1430"/>
      <c r="G2782" s="1431"/>
    </row>
    <row r="2783" spans="1:8" ht="15.75" x14ac:dyDescent="0.25">
      <c r="A2783" s="3356" t="s">
        <v>4071</v>
      </c>
      <c r="B2783" s="3357"/>
      <c r="C2783" s="3357"/>
      <c r="D2783" s="3357"/>
      <c r="E2783" s="1396">
        <v>750</v>
      </c>
      <c r="F2783" s="1467"/>
      <c r="G2783" s="1457"/>
    </row>
    <row r="2784" spans="1:8" ht="15.75" x14ac:dyDescent="0.25">
      <c r="A2784" s="3358" t="s">
        <v>4072</v>
      </c>
      <c r="B2784" s="3359"/>
      <c r="C2784" s="3359"/>
      <c r="D2784" s="3359"/>
      <c r="E2784" s="1397">
        <v>490.39</v>
      </c>
      <c r="F2784" s="1467"/>
      <c r="G2784" s="1457"/>
      <c r="H2784" s="1247" t="s">
        <v>280</v>
      </c>
    </row>
    <row r="2785" spans="1:8" ht="15.75" x14ac:dyDescent="0.25">
      <c r="A2785" s="3356" t="s">
        <v>5102</v>
      </c>
      <c r="B2785" s="3357"/>
      <c r="C2785" s="3357"/>
      <c r="D2785" s="3357"/>
      <c r="E2785" s="1396">
        <v>150.5</v>
      </c>
      <c r="F2785" s="1467"/>
      <c r="G2785" s="1457"/>
    </row>
    <row r="2786" spans="1:8" ht="15.75" x14ac:dyDescent="0.25">
      <c r="A2786" s="3358" t="s">
        <v>4074</v>
      </c>
      <c r="B2786" s="3359"/>
      <c r="C2786" s="3359"/>
      <c r="D2786" s="3359"/>
      <c r="E2786" s="3359"/>
      <c r="F2786" s="3360"/>
      <c r="G2786" s="1457">
        <f>SUM(G2776:G2785)</f>
        <v>273.73333333333335</v>
      </c>
    </row>
    <row r="2787" spans="1:8" ht="15.75" x14ac:dyDescent="0.25">
      <c r="A2787" s="3356" t="s">
        <v>4075</v>
      </c>
      <c r="B2787" s="3357"/>
      <c r="C2787" s="3357"/>
      <c r="D2787" s="3357"/>
      <c r="E2787" s="1388">
        <f>E2783-E2784</f>
        <v>259.61</v>
      </c>
    </row>
    <row r="2788" spans="1:8" ht="15.75" x14ac:dyDescent="0.25">
      <c r="A2788" s="1461"/>
      <c r="B2788" s="1461"/>
      <c r="C2788" s="1461"/>
      <c r="D2788" s="1461"/>
      <c r="E2788" s="1390"/>
    </row>
    <row r="2789" spans="1:8" ht="15.75" x14ac:dyDescent="0.25">
      <c r="A2789" s="1461"/>
      <c r="B2789" s="1461"/>
      <c r="C2789" s="1461"/>
      <c r="D2789" s="1461"/>
      <c r="E2789" s="1390"/>
    </row>
    <row r="2790" spans="1:8" ht="18.75" x14ac:dyDescent="0.3">
      <c r="A2790" s="3361" t="s">
        <v>5103</v>
      </c>
      <c r="B2790" s="3336"/>
      <c r="C2790" s="3336"/>
      <c r="D2790" s="3336"/>
      <c r="E2790" s="3336"/>
      <c r="F2790" s="3336"/>
      <c r="G2790" s="3337"/>
    </row>
    <row r="2791" spans="1:8" ht="15.75" x14ac:dyDescent="0.25">
      <c r="A2791" s="1361" t="s">
        <v>4206</v>
      </c>
      <c r="B2791" s="1361" t="s">
        <v>4206</v>
      </c>
      <c r="C2791" s="3370" t="s">
        <v>3</v>
      </c>
      <c r="D2791" s="3371"/>
      <c r="E2791" s="1363" t="s">
        <v>4190</v>
      </c>
      <c r="F2791" s="1363" t="s">
        <v>4191</v>
      </c>
      <c r="G2791" s="1364" t="s">
        <v>382</v>
      </c>
    </row>
    <row r="2792" spans="1:8" x14ac:dyDescent="0.25">
      <c r="A2792" s="1369">
        <v>41590</v>
      </c>
      <c r="B2792" s="1369">
        <v>41590</v>
      </c>
      <c r="C2792" s="3387" t="s">
        <v>5104</v>
      </c>
      <c r="D2792" s="3388"/>
      <c r="E2792" s="1357">
        <v>100</v>
      </c>
      <c r="F2792" s="1358">
        <v>5</v>
      </c>
      <c r="G2792" s="1359">
        <f>E2792/F2792</f>
        <v>20</v>
      </c>
    </row>
    <row r="2793" spans="1:8" x14ac:dyDescent="0.25">
      <c r="A2793" s="1428">
        <v>41614</v>
      </c>
      <c r="B2793" s="1428">
        <v>41614</v>
      </c>
      <c r="C2793" s="3391" t="s">
        <v>5105</v>
      </c>
      <c r="D2793" s="3392"/>
      <c r="E2793" s="1429">
        <v>470</v>
      </c>
      <c r="F2793" s="1430">
        <v>4</v>
      </c>
      <c r="G2793" s="1431">
        <f>E2793/F2793</f>
        <v>117.5</v>
      </c>
    </row>
    <row r="2794" spans="1:8" x14ac:dyDescent="0.25">
      <c r="A2794" s="1369">
        <v>41690</v>
      </c>
      <c r="B2794" s="1369">
        <v>41690</v>
      </c>
      <c r="C2794" s="3387" t="s">
        <v>1241</v>
      </c>
      <c r="D2794" s="3388"/>
      <c r="E2794" s="1357">
        <v>13</v>
      </c>
      <c r="F2794" s="1358">
        <v>1</v>
      </c>
      <c r="G2794" s="1359">
        <f>E2794/F2794</f>
        <v>13</v>
      </c>
    </row>
    <row r="2795" spans="1:8" x14ac:dyDescent="0.25">
      <c r="A2795" s="1428"/>
      <c r="B2795" s="1428"/>
      <c r="C2795" s="3391"/>
      <c r="D2795" s="3392"/>
      <c r="E2795" s="1429"/>
      <c r="F2795" s="1430"/>
      <c r="G2795" s="1431"/>
    </row>
    <row r="2796" spans="1:8" ht="15.75" x14ac:dyDescent="0.25">
      <c r="A2796" s="3356" t="s">
        <v>4071</v>
      </c>
      <c r="B2796" s="3357"/>
      <c r="C2796" s="3357"/>
      <c r="D2796" s="3357"/>
      <c r="E2796" s="1396">
        <v>750</v>
      </c>
      <c r="F2796" s="1467"/>
      <c r="G2796" s="1457"/>
    </row>
    <row r="2797" spans="1:8" ht="15.75" x14ac:dyDescent="0.25">
      <c r="A2797" s="3358" t="s">
        <v>4072</v>
      </c>
      <c r="B2797" s="3359"/>
      <c r="C2797" s="3359"/>
      <c r="D2797" s="3359"/>
      <c r="E2797" s="1397">
        <v>275</v>
      </c>
      <c r="F2797" s="1467"/>
      <c r="G2797" s="1457"/>
      <c r="H2797" s="1247" t="s">
        <v>280</v>
      </c>
    </row>
    <row r="2798" spans="1:8" ht="15.75" x14ac:dyDescent="0.25">
      <c r="A2798" s="3356" t="s">
        <v>5106</v>
      </c>
      <c r="B2798" s="3357"/>
      <c r="C2798" s="3357"/>
      <c r="D2798" s="3357"/>
      <c r="E2798" s="1396">
        <v>200.49</v>
      </c>
      <c r="F2798" s="1467"/>
      <c r="G2798" s="1457"/>
    </row>
    <row r="2799" spans="1:8" ht="15.75" x14ac:dyDescent="0.25">
      <c r="A2799" s="3358" t="s">
        <v>4074</v>
      </c>
      <c r="B2799" s="3359"/>
      <c r="C2799" s="3359"/>
      <c r="D2799" s="3359"/>
      <c r="E2799" s="3359"/>
      <c r="F2799" s="3360"/>
      <c r="G2799" s="1457">
        <f>SUM(G2792:G2798)</f>
        <v>150.5</v>
      </c>
    </row>
    <row r="2800" spans="1:8" ht="15.75" x14ac:dyDescent="0.25">
      <c r="A2800" s="3356" t="s">
        <v>4075</v>
      </c>
      <c r="B2800" s="3357"/>
      <c r="C2800" s="3357"/>
      <c r="D2800" s="3357"/>
      <c r="E2800" s="1388">
        <f>E2796-E2797</f>
        <v>475</v>
      </c>
    </row>
    <row r="2801" spans="1:8" ht="15.75" x14ac:dyDescent="0.25">
      <c r="A2801" s="1461"/>
      <c r="B2801" s="1461"/>
      <c r="C2801" s="1461"/>
      <c r="D2801" s="1461"/>
      <c r="E2801" s="1390"/>
    </row>
    <row r="2802" spans="1:8" ht="15.75" x14ac:dyDescent="0.25">
      <c r="A2802" s="1461"/>
      <c r="B2802" s="1461"/>
      <c r="C2802" s="1461"/>
      <c r="D2802" s="1461"/>
      <c r="E2802" s="1390"/>
    </row>
    <row r="2803" spans="1:8" ht="18.75" x14ac:dyDescent="0.3">
      <c r="A2803" s="3361" t="s">
        <v>5107</v>
      </c>
      <c r="B2803" s="3336"/>
      <c r="C2803" s="3336"/>
      <c r="D2803" s="3336"/>
      <c r="E2803" s="3336"/>
      <c r="F2803" s="3336"/>
      <c r="G2803" s="3337"/>
    </row>
    <row r="2804" spans="1:8" ht="15.75" x14ac:dyDescent="0.25">
      <c r="A2804" s="1361" t="s">
        <v>4206</v>
      </c>
      <c r="B2804" s="1361" t="s">
        <v>4206</v>
      </c>
      <c r="C2804" s="3370" t="s">
        <v>3</v>
      </c>
      <c r="D2804" s="3371"/>
      <c r="E2804" s="1363" t="s">
        <v>4190</v>
      </c>
      <c r="F2804" s="1363" t="s">
        <v>4191</v>
      </c>
      <c r="G2804" s="1364" t="s">
        <v>382</v>
      </c>
    </row>
    <row r="2805" spans="1:8" x14ac:dyDescent="0.25">
      <c r="A2805" s="1369">
        <v>41526</v>
      </c>
      <c r="B2805" s="1369">
        <v>41526</v>
      </c>
      <c r="C2805" s="3387" t="s">
        <v>5108</v>
      </c>
      <c r="D2805" s="3388"/>
      <c r="E2805" s="1357">
        <v>250</v>
      </c>
      <c r="F2805" s="1358">
        <v>5</v>
      </c>
      <c r="G2805" s="1359">
        <f>E2805/F2805</f>
        <v>50</v>
      </c>
    </row>
    <row r="2806" spans="1:8" x14ac:dyDescent="0.25">
      <c r="A2806" s="1369">
        <v>41590</v>
      </c>
      <c r="B2806" s="1369">
        <v>41590</v>
      </c>
      <c r="C2806" s="3387" t="s">
        <v>5109</v>
      </c>
      <c r="D2806" s="3388"/>
      <c r="E2806" s="1357">
        <v>100</v>
      </c>
      <c r="F2806" s="1358">
        <v>5</v>
      </c>
      <c r="G2806" s="1359">
        <f>E2806/F2806</f>
        <v>20</v>
      </c>
    </row>
    <row r="2807" spans="1:8" ht="12.75" customHeight="1" x14ac:dyDescent="0.25">
      <c r="A2807" s="1428">
        <v>41614</v>
      </c>
      <c r="B2807" s="1428">
        <v>41614</v>
      </c>
      <c r="C2807" s="3391" t="s">
        <v>5110</v>
      </c>
      <c r="D2807" s="3392"/>
      <c r="E2807" s="1429">
        <v>470</v>
      </c>
      <c r="F2807" s="1430">
        <v>4</v>
      </c>
      <c r="G2807" s="1431">
        <f>E2807/F2807</f>
        <v>117.5</v>
      </c>
    </row>
    <row r="2808" spans="1:8" x14ac:dyDescent="0.25">
      <c r="A2808" s="1369">
        <v>41659</v>
      </c>
      <c r="B2808" s="1369">
        <v>41659</v>
      </c>
      <c r="C2808" s="3387" t="s">
        <v>1241</v>
      </c>
      <c r="D2808" s="3388"/>
      <c r="E2808" s="1357">
        <v>13</v>
      </c>
      <c r="F2808" s="1358">
        <v>1</v>
      </c>
      <c r="G2808" s="1359">
        <f>E2808/F2808</f>
        <v>13</v>
      </c>
    </row>
    <row r="2809" spans="1:8" x14ac:dyDescent="0.25">
      <c r="A2809" s="1428"/>
      <c r="B2809" s="1428"/>
      <c r="C2809" s="3391"/>
      <c r="D2809" s="3392"/>
      <c r="E2809" s="1429"/>
      <c r="F2809" s="1430"/>
      <c r="G2809" s="1431"/>
    </row>
    <row r="2810" spans="1:8" ht="15.75" x14ac:dyDescent="0.25">
      <c r="A2810" s="3356" t="s">
        <v>4071</v>
      </c>
      <c r="B2810" s="3357"/>
      <c r="C2810" s="3357"/>
      <c r="D2810" s="3357"/>
      <c r="E2810" s="1396">
        <v>750</v>
      </c>
      <c r="F2810" s="1467"/>
      <c r="G2810" s="1457"/>
    </row>
    <row r="2811" spans="1:8" ht="15.75" x14ac:dyDescent="0.25">
      <c r="A2811" s="3358" t="s">
        <v>4072</v>
      </c>
      <c r="B2811" s="3359"/>
      <c r="C2811" s="3359"/>
      <c r="D2811" s="3359"/>
      <c r="E2811" s="1397">
        <v>462.5</v>
      </c>
      <c r="F2811" s="1467"/>
      <c r="G2811" s="1457"/>
      <c r="H2811" s="1247" t="s">
        <v>280</v>
      </c>
    </row>
    <row r="2812" spans="1:8" ht="15.75" x14ac:dyDescent="0.25">
      <c r="A2812" s="3356" t="s">
        <v>5111</v>
      </c>
      <c r="B2812" s="3357"/>
      <c r="C2812" s="3357"/>
      <c r="D2812" s="3357"/>
      <c r="E2812" s="1396">
        <v>290.29000000000002</v>
      </c>
      <c r="F2812" s="1467"/>
      <c r="G2812" s="1457"/>
    </row>
    <row r="2813" spans="1:8" ht="15.75" x14ac:dyDescent="0.25">
      <c r="A2813" s="3358" t="s">
        <v>4074</v>
      </c>
      <c r="B2813" s="3359"/>
      <c r="C2813" s="3359"/>
      <c r="D2813" s="3359"/>
      <c r="E2813" s="3359"/>
      <c r="F2813" s="3360"/>
      <c r="G2813" s="1457">
        <f>SUM(G2805:G2812)</f>
        <v>200.5</v>
      </c>
    </row>
    <row r="2814" spans="1:8" ht="15.75" x14ac:dyDescent="0.25">
      <c r="A2814" s="3356" t="s">
        <v>4075</v>
      </c>
      <c r="B2814" s="3357"/>
      <c r="C2814" s="3357"/>
      <c r="D2814" s="3357"/>
      <c r="E2814" s="1388">
        <f>E2810-E2811</f>
        <v>287.5</v>
      </c>
    </row>
    <row r="2815" spans="1:8" ht="15.75" x14ac:dyDescent="0.25">
      <c r="A2815" s="1461"/>
      <c r="B2815" s="1461"/>
      <c r="C2815" s="1461"/>
      <c r="D2815" s="1461"/>
      <c r="E2815" s="1390"/>
    </row>
    <row r="2816" spans="1:8" ht="15.75" x14ac:dyDescent="0.25">
      <c r="A2816" s="1461"/>
      <c r="B2816" s="1461"/>
      <c r="C2816" s="1461"/>
      <c r="D2816" s="1461"/>
      <c r="E2816" s="1390"/>
    </row>
    <row r="2817" spans="1:8" ht="18.75" x14ac:dyDescent="0.3">
      <c r="A2817" s="3361" t="s">
        <v>5112</v>
      </c>
      <c r="B2817" s="3336"/>
      <c r="C2817" s="3336"/>
      <c r="D2817" s="3336"/>
      <c r="E2817" s="3336"/>
      <c r="F2817" s="3336"/>
      <c r="G2817" s="3337"/>
    </row>
    <row r="2818" spans="1:8" ht="15.75" x14ac:dyDescent="0.25">
      <c r="A2818" s="1361" t="s">
        <v>4206</v>
      </c>
      <c r="B2818" s="1361" t="s">
        <v>4206</v>
      </c>
      <c r="C2818" s="3370" t="s">
        <v>3</v>
      </c>
      <c r="D2818" s="3371"/>
      <c r="E2818" s="1363" t="s">
        <v>4190</v>
      </c>
      <c r="F2818" s="1363" t="s">
        <v>4191</v>
      </c>
      <c r="G2818" s="1364" t="s">
        <v>382</v>
      </c>
    </row>
    <row r="2819" spans="1:8" x14ac:dyDescent="0.25">
      <c r="A2819" s="1369">
        <v>41526</v>
      </c>
      <c r="B2819" s="1369">
        <v>41526</v>
      </c>
      <c r="C2819" s="3387" t="s">
        <v>5113</v>
      </c>
      <c r="D2819" s="3388"/>
      <c r="E2819" s="1357">
        <v>250</v>
      </c>
      <c r="F2819" s="1358">
        <v>5</v>
      </c>
      <c r="G2819" s="1359">
        <f t="shared" ref="G2819:G2824" si="308">E2819/F2819</f>
        <v>50</v>
      </c>
    </row>
    <row r="2820" spans="1:8" x14ac:dyDescent="0.25">
      <c r="A2820" s="1369">
        <v>41590</v>
      </c>
      <c r="B2820" s="1369">
        <v>41590</v>
      </c>
      <c r="C2820" s="3387" t="s">
        <v>5114</v>
      </c>
      <c r="D2820" s="3388"/>
      <c r="E2820" s="1357">
        <v>119.7</v>
      </c>
      <c r="F2820" s="1358">
        <v>2</v>
      </c>
      <c r="G2820" s="1359">
        <f t="shared" si="308"/>
        <v>59.85</v>
      </c>
    </row>
    <row r="2821" spans="1:8" x14ac:dyDescent="0.25">
      <c r="A2821" s="1369">
        <v>41590</v>
      </c>
      <c r="B2821" s="1369">
        <v>41590</v>
      </c>
      <c r="C2821" s="3387" t="s">
        <v>5115</v>
      </c>
      <c r="D2821" s="3388"/>
      <c r="E2821" s="1357">
        <v>59.9</v>
      </c>
      <c r="F2821" s="1358">
        <v>2</v>
      </c>
      <c r="G2821" s="1359">
        <f t="shared" si="308"/>
        <v>29.95</v>
      </c>
    </row>
    <row r="2822" spans="1:8" x14ac:dyDescent="0.25">
      <c r="A2822" s="1369">
        <v>41590</v>
      </c>
      <c r="B2822" s="1369">
        <v>41590</v>
      </c>
      <c r="C2822" s="3387" t="s">
        <v>5116</v>
      </c>
      <c r="D2822" s="3388"/>
      <c r="E2822" s="1357">
        <v>100</v>
      </c>
      <c r="F2822" s="1358">
        <v>5</v>
      </c>
      <c r="G2822" s="1359">
        <f t="shared" si="308"/>
        <v>20</v>
      </c>
    </row>
    <row r="2823" spans="1:8" x14ac:dyDescent="0.25">
      <c r="A2823" s="1428">
        <v>41614</v>
      </c>
      <c r="B2823" s="1428">
        <v>41614</v>
      </c>
      <c r="C2823" s="3391" t="s">
        <v>5117</v>
      </c>
      <c r="D2823" s="3392"/>
      <c r="E2823" s="1429">
        <v>470</v>
      </c>
      <c r="F2823" s="1430">
        <v>4</v>
      </c>
      <c r="G2823" s="1431">
        <f t="shared" si="308"/>
        <v>117.5</v>
      </c>
    </row>
    <row r="2824" spans="1:8" x14ac:dyDescent="0.25">
      <c r="A2824" s="1369">
        <v>41629</v>
      </c>
      <c r="B2824" s="1369">
        <v>41629</v>
      </c>
      <c r="C2824" s="3387" t="s">
        <v>1241</v>
      </c>
      <c r="D2824" s="3388"/>
      <c r="E2824" s="1357">
        <v>13</v>
      </c>
      <c r="F2824" s="1358">
        <v>1</v>
      </c>
      <c r="G2824" s="1359">
        <f t="shared" si="308"/>
        <v>13</v>
      </c>
    </row>
    <row r="2825" spans="1:8" x14ac:dyDescent="0.25">
      <c r="A2825" s="1428"/>
      <c r="B2825" s="1428"/>
      <c r="C2825" s="3391"/>
      <c r="D2825" s="3392"/>
      <c r="E2825" s="1429"/>
      <c r="F2825" s="1430"/>
      <c r="G2825" s="1431"/>
    </row>
    <row r="2826" spans="1:8" ht="15.75" x14ac:dyDescent="0.25">
      <c r="A2826" s="3356" t="s">
        <v>4071</v>
      </c>
      <c r="B2826" s="3357"/>
      <c r="C2826" s="3357"/>
      <c r="D2826" s="3357"/>
      <c r="E2826" s="1396">
        <v>750</v>
      </c>
      <c r="F2826" s="1467"/>
      <c r="G2826" s="1457"/>
    </row>
    <row r="2827" spans="1:8" ht="15.75" x14ac:dyDescent="0.25">
      <c r="A2827" s="3358" t="s">
        <v>4072</v>
      </c>
      <c r="B2827" s="3359"/>
      <c r="C2827" s="3359"/>
      <c r="D2827" s="3359"/>
      <c r="E2827" s="1397">
        <v>752.79999999999984</v>
      </c>
      <c r="F2827" s="1467"/>
      <c r="G2827" s="1457"/>
      <c r="H2827" s="1247" t="s">
        <v>280</v>
      </c>
    </row>
    <row r="2828" spans="1:8" ht="15.75" x14ac:dyDescent="0.25">
      <c r="A2828" s="3356" t="s">
        <v>5118</v>
      </c>
      <c r="B2828" s="3357"/>
      <c r="C2828" s="3357"/>
      <c r="D2828" s="3357"/>
      <c r="E2828" s="1396">
        <v>302.19</v>
      </c>
      <c r="F2828" s="1467"/>
      <c r="G2828" s="1457"/>
    </row>
    <row r="2829" spans="1:8" ht="15.75" x14ac:dyDescent="0.25">
      <c r="A2829" s="3358" t="s">
        <v>4074</v>
      </c>
      <c r="B2829" s="3359"/>
      <c r="C2829" s="3359"/>
      <c r="D2829" s="3359"/>
      <c r="E2829" s="3359"/>
      <c r="F2829" s="3360"/>
      <c r="G2829" s="1457">
        <f>SUM(G2819:G2828)</f>
        <v>290.29999999999995</v>
      </c>
    </row>
    <row r="2830" spans="1:8" ht="15.75" x14ac:dyDescent="0.25">
      <c r="A2830" s="3356" t="s">
        <v>4075</v>
      </c>
      <c r="B2830" s="3357"/>
      <c r="C2830" s="3357"/>
      <c r="D2830" s="3357"/>
      <c r="E2830" s="1388">
        <f>E2826-E2827</f>
        <v>-2.7999999999998408</v>
      </c>
    </row>
    <row r="2831" spans="1:8" ht="15.75" x14ac:dyDescent="0.25">
      <c r="A2831" s="1461"/>
      <c r="B2831" s="1461"/>
      <c r="C2831" s="1461"/>
      <c r="D2831" s="1461"/>
      <c r="E2831" s="1390"/>
    </row>
    <row r="2832" spans="1:8" ht="15.75" x14ac:dyDescent="0.25">
      <c r="A2832" s="1461"/>
      <c r="B2832" s="1461"/>
      <c r="C2832" s="1461"/>
      <c r="D2832" s="1461"/>
      <c r="E2832" s="1390"/>
    </row>
    <row r="2833" spans="1:8" ht="18.75" x14ac:dyDescent="0.3">
      <c r="A2833" s="3361" t="s">
        <v>5119</v>
      </c>
      <c r="B2833" s="3336"/>
      <c r="C2833" s="3336"/>
      <c r="D2833" s="3336"/>
      <c r="E2833" s="3336"/>
      <c r="F2833" s="3336"/>
      <c r="G2833" s="3337"/>
    </row>
    <row r="2834" spans="1:8" ht="15.75" x14ac:dyDescent="0.25">
      <c r="A2834" s="1361" t="s">
        <v>4206</v>
      </c>
      <c r="B2834" s="1361" t="s">
        <v>4206</v>
      </c>
      <c r="C2834" s="3370" t="s">
        <v>3</v>
      </c>
      <c r="D2834" s="3371"/>
      <c r="E2834" s="1363" t="s">
        <v>4190</v>
      </c>
      <c r="F2834" s="1363" t="s">
        <v>4191</v>
      </c>
      <c r="G2834" s="1364" t="s">
        <v>382</v>
      </c>
    </row>
    <row r="2835" spans="1:8" x14ac:dyDescent="0.25">
      <c r="A2835" s="1369">
        <v>41507</v>
      </c>
      <c r="B2835" s="1369">
        <v>41507</v>
      </c>
      <c r="C2835" s="3387" t="s">
        <v>5120</v>
      </c>
      <c r="D2835" s="3388"/>
      <c r="E2835" s="1357">
        <v>117.68</v>
      </c>
      <c r="F2835" s="1358">
        <v>4</v>
      </c>
      <c r="G2835" s="1359">
        <f>E2835/F2835</f>
        <v>29.42</v>
      </c>
    </row>
    <row r="2836" spans="1:8" x14ac:dyDescent="0.25">
      <c r="A2836" s="1369">
        <v>41526</v>
      </c>
      <c r="B2836" s="1369">
        <v>41526</v>
      </c>
      <c r="C2836" s="3387" t="s">
        <v>5121</v>
      </c>
      <c r="D2836" s="3388"/>
      <c r="E2836" s="1357">
        <v>250</v>
      </c>
      <c r="F2836" s="1358">
        <v>5</v>
      </c>
      <c r="G2836" s="1359">
        <f>E2836/F2836</f>
        <v>50</v>
      </c>
    </row>
    <row r="2837" spans="1:8" x14ac:dyDescent="0.25">
      <c r="A2837" s="1369">
        <v>41570</v>
      </c>
      <c r="B2837" s="1369">
        <v>41570</v>
      </c>
      <c r="C2837" s="3387" t="s">
        <v>5122</v>
      </c>
      <c r="D2837" s="3388"/>
      <c r="E2837" s="1357">
        <v>200</v>
      </c>
      <c r="F2837" s="1358">
        <v>2</v>
      </c>
      <c r="G2837" s="1359">
        <v>100</v>
      </c>
    </row>
    <row r="2838" spans="1:8" x14ac:dyDescent="0.25">
      <c r="A2838" s="1369">
        <v>41590</v>
      </c>
      <c r="B2838" s="1369">
        <v>41590</v>
      </c>
      <c r="C2838" s="3387" t="s">
        <v>5123</v>
      </c>
      <c r="D2838" s="3388"/>
      <c r="E2838" s="1357">
        <v>119.7</v>
      </c>
      <c r="F2838" s="1358">
        <v>2</v>
      </c>
      <c r="G2838" s="1359">
        <f>E2838/F2838</f>
        <v>59.85</v>
      </c>
    </row>
    <row r="2839" spans="1:8" x14ac:dyDescent="0.25">
      <c r="A2839" s="1369">
        <v>41590</v>
      </c>
      <c r="B2839" s="1369">
        <v>41590</v>
      </c>
      <c r="C2839" s="3387" t="s">
        <v>5124</v>
      </c>
      <c r="D2839" s="3388"/>
      <c r="E2839" s="1357">
        <v>59.9</v>
      </c>
      <c r="F2839" s="1358">
        <v>2</v>
      </c>
      <c r="G2839" s="1359">
        <f>E2839/F2839</f>
        <v>29.95</v>
      </c>
    </row>
    <row r="2840" spans="1:8" x14ac:dyDescent="0.25">
      <c r="A2840" s="1369">
        <v>41590</v>
      </c>
      <c r="B2840" s="1369">
        <v>41590</v>
      </c>
      <c r="C2840" s="3387" t="s">
        <v>5125</v>
      </c>
      <c r="D2840" s="3388"/>
      <c r="E2840" s="1357">
        <v>100</v>
      </c>
      <c r="F2840" s="1358">
        <v>5</v>
      </c>
      <c r="G2840" s="1359">
        <f>E2840/F2840</f>
        <v>20</v>
      </c>
    </row>
    <row r="2841" spans="1:8" x14ac:dyDescent="0.25">
      <c r="A2841" s="1369">
        <v>41599</v>
      </c>
      <c r="B2841" s="1369">
        <v>41599</v>
      </c>
      <c r="C2841" s="3387" t="s">
        <v>5126</v>
      </c>
      <c r="D2841" s="3388"/>
      <c r="E2841" s="1357">
        <v>13</v>
      </c>
      <c r="F2841" s="1358">
        <v>1</v>
      </c>
      <c r="G2841" s="1359">
        <f>E2841/F2841</f>
        <v>13</v>
      </c>
    </row>
    <row r="2842" spans="1:8" x14ac:dyDescent="0.25">
      <c r="A2842" s="1428"/>
      <c r="B2842" s="1428"/>
      <c r="C2842" s="3391"/>
      <c r="D2842" s="3392"/>
      <c r="E2842" s="1429"/>
      <c r="F2842" s="1430"/>
      <c r="G2842" s="1431"/>
    </row>
    <row r="2843" spans="1:8" ht="15.75" x14ac:dyDescent="0.25">
      <c r="A2843" s="3356" t="s">
        <v>4071</v>
      </c>
      <c r="B2843" s="3357"/>
      <c r="C2843" s="3357"/>
      <c r="D2843" s="3357"/>
      <c r="E2843" s="1396">
        <v>520</v>
      </c>
      <c r="F2843" s="1467"/>
      <c r="G2843" s="1457"/>
    </row>
    <row r="2844" spans="1:8" ht="15.75" x14ac:dyDescent="0.25">
      <c r="A2844" s="3358" t="s">
        <v>4072</v>
      </c>
      <c r="B2844" s="3359"/>
      <c r="C2844" s="3359"/>
      <c r="D2844" s="3359"/>
      <c r="E2844" s="1397">
        <v>279.42</v>
      </c>
      <c r="F2844" s="1467"/>
      <c r="G2844" s="1457"/>
      <c r="H2844" s="1247" t="s">
        <v>280</v>
      </c>
    </row>
    <row r="2845" spans="1:8" ht="15.75" x14ac:dyDescent="0.25">
      <c r="A2845" s="3356" t="s">
        <v>5127</v>
      </c>
      <c r="B2845" s="3357"/>
      <c r="C2845" s="3357"/>
      <c r="D2845" s="3357"/>
      <c r="E2845" s="1396">
        <v>202.69</v>
      </c>
      <c r="F2845" s="1467"/>
      <c r="G2845" s="1457"/>
    </row>
    <row r="2846" spans="1:8" ht="15.75" x14ac:dyDescent="0.25">
      <c r="A2846" s="3358" t="s">
        <v>4074</v>
      </c>
      <c r="B2846" s="3359"/>
      <c r="C2846" s="3359"/>
      <c r="D2846" s="3359"/>
      <c r="E2846" s="3359"/>
      <c r="F2846" s="3360"/>
      <c r="G2846" s="1457">
        <f>SUM(G2835:G2845)</f>
        <v>302.22000000000003</v>
      </c>
    </row>
    <row r="2847" spans="1:8" ht="15.75" x14ac:dyDescent="0.25">
      <c r="A2847" s="3356" t="s">
        <v>4075</v>
      </c>
      <c r="B2847" s="3357"/>
      <c r="C2847" s="3357"/>
      <c r="D2847" s="3357"/>
      <c r="E2847" s="1388">
        <f>E2843-E2844</f>
        <v>240.57999999999998</v>
      </c>
    </row>
    <row r="2848" spans="1:8" ht="15.75" x14ac:dyDescent="0.25">
      <c r="A2848" s="1461"/>
      <c r="B2848" s="1461"/>
      <c r="C2848" s="1461"/>
      <c r="D2848" s="1461"/>
      <c r="E2848" s="1390"/>
    </row>
    <row r="2849" spans="1:8" ht="15.75" x14ac:dyDescent="0.25">
      <c r="A2849" s="1461"/>
      <c r="B2849" s="1461"/>
      <c r="C2849" s="1461"/>
      <c r="D2849" s="1461"/>
      <c r="E2849" s="1390"/>
    </row>
    <row r="2850" spans="1:8" ht="18.75" x14ac:dyDescent="0.3">
      <c r="A2850" s="3361" t="s">
        <v>5128</v>
      </c>
      <c r="B2850" s="3336"/>
      <c r="C2850" s="3336"/>
      <c r="D2850" s="3336"/>
      <c r="E2850" s="3336"/>
      <c r="F2850" s="3336"/>
      <c r="G2850" s="3337"/>
    </row>
    <row r="2851" spans="1:8" ht="15.75" x14ac:dyDescent="0.25">
      <c r="A2851" s="1361" t="s">
        <v>4206</v>
      </c>
      <c r="B2851" s="1361" t="s">
        <v>4206</v>
      </c>
      <c r="C2851" s="3370" t="s">
        <v>3</v>
      </c>
      <c r="D2851" s="3371"/>
      <c r="E2851" s="1363" t="s">
        <v>4190</v>
      </c>
      <c r="F2851" s="1363" t="s">
        <v>4191</v>
      </c>
      <c r="G2851" s="1364" t="s">
        <v>382</v>
      </c>
    </row>
    <row r="2852" spans="1:8" x14ac:dyDescent="0.25">
      <c r="A2852" s="1369">
        <v>41492</v>
      </c>
      <c r="B2852" s="1369">
        <v>41492</v>
      </c>
      <c r="C2852" s="3387" t="s">
        <v>5129</v>
      </c>
      <c r="D2852" s="3388"/>
      <c r="E2852" s="1357">
        <v>69.90000000000002</v>
      </c>
      <c r="F2852" s="1358">
        <v>3</v>
      </c>
      <c r="G2852" s="1359">
        <f>E2852/F2852</f>
        <v>23.300000000000008</v>
      </c>
    </row>
    <row r="2853" spans="1:8" x14ac:dyDescent="0.25">
      <c r="A2853" s="1369">
        <v>41507</v>
      </c>
      <c r="B2853" s="1369">
        <v>41507</v>
      </c>
      <c r="C2853" s="3387" t="s">
        <v>5130</v>
      </c>
      <c r="D2853" s="3388"/>
      <c r="E2853" s="1357">
        <v>117.68</v>
      </c>
      <c r="F2853" s="1358">
        <v>4</v>
      </c>
      <c r="G2853" s="1359">
        <f>E2853/F2853</f>
        <v>29.42</v>
      </c>
    </row>
    <row r="2854" spans="1:8" x14ac:dyDescent="0.25">
      <c r="A2854" s="1369">
        <v>41526</v>
      </c>
      <c r="B2854" s="1369">
        <v>41526</v>
      </c>
      <c r="C2854" s="3387" t="s">
        <v>5131</v>
      </c>
      <c r="D2854" s="3388"/>
      <c r="E2854" s="1357">
        <v>250</v>
      </c>
      <c r="F2854" s="1358">
        <v>5</v>
      </c>
      <c r="G2854" s="1359">
        <f>E2854/F2854</f>
        <v>50</v>
      </c>
    </row>
    <row r="2855" spans="1:8" x14ac:dyDescent="0.25">
      <c r="A2855" s="1369">
        <v>41570</v>
      </c>
      <c r="B2855" s="1369">
        <v>41570</v>
      </c>
      <c r="C2855" s="3387" t="s">
        <v>5132</v>
      </c>
      <c r="D2855" s="3388"/>
      <c r="E2855" s="1357">
        <v>200</v>
      </c>
      <c r="F2855" s="1358">
        <v>2</v>
      </c>
      <c r="G2855" s="1359">
        <v>100</v>
      </c>
    </row>
    <row r="2856" spans="1:8" x14ac:dyDescent="0.25">
      <c r="A2856" s="1428"/>
      <c r="B2856" s="1428"/>
      <c r="C2856" s="3391"/>
      <c r="D2856" s="3392"/>
      <c r="E2856" s="1429"/>
      <c r="F2856" s="1430"/>
      <c r="G2856" s="1431"/>
    </row>
    <row r="2857" spans="1:8" ht="15.75" x14ac:dyDescent="0.25">
      <c r="A2857" s="3356" t="s">
        <v>4071</v>
      </c>
      <c r="B2857" s="3357"/>
      <c r="C2857" s="3357"/>
      <c r="D2857" s="3357"/>
      <c r="E2857" s="1396">
        <v>520</v>
      </c>
      <c r="F2857" s="1467"/>
      <c r="G2857" s="1457"/>
    </row>
    <row r="2858" spans="1:8" ht="15.75" x14ac:dyDescent="0.25">
      <c r="A2858" s="3358" t="s">
        <v>4072</v>
      </c>
      <c r="B2858" s="3359"/>
      <c r="C2858" s="3359"/>
      <c r="D2858" s="3359"/>
      <c r="E2858" s="1397">
        <v>482.14</v>
      </c>
      <c r="F2858" s="1467"/>
      <c r="G2858" s="1457"/>
      <c r="H2858" s="1247" t="s">
        <v>280</v>
      </c>
    </row>
    <row r="2859" spans="1:8" ht="15.75" x14ac:dyDescent="0.25">
      <c r="A2859" s="3356" t="s">
        <v>5133</v>
      </c>
      <c r="B2859" s="3357"/>
      <c r="C2859" s="3357"/>
      <c r="D2859" s="3357"/>
      <c r="E2859" s="1396">
        <v>210.61</v>
      </c>
      <c r="F2859" s="1467"/>
      <c r="G2859" s="1457"/>
    </row>
    <row r="2860" spans="1:8" ht="15.75" x14ac:dyDescent="0.25">
      <c r="A2860" s="3358" t="s">
        <v>4074</v>
      </c>
      <c r="B2860" s="3359"/>
      <c r="C2860" s="3359"/>
      <c r="D2860" s="3359"/>
      <c r="E2860" s="3359"/>
      <c r="F2860" s="3360"/>
      <c r="G2860" s="1457">
        <f>SUM(G2852:G2859)</f>
        <v>202.72000000000003</v>
      </c>
    </row>
    <row r="2861" spans="1:8" ht="15.75" x14ac:dyDescent="0.25">
      <c r="A2861" s="3356" t="s">
        <v>4075</v>
      </c>
      <c r="B2861" s="3357"/>
      <c r="C2861" s="3357"/>
      <c r="D2861" s="3357"/>
      <c r="E2861" s="1388">
        <f>E2857-E2858</f>
        <v>37.860000000000014</v>
      </c>
    </row>
    <row r="2862" spans="1:8" ht="15.75" x14ac:dyDescent="0.25">
      <c r="A2862" s="1461"/>
      <c r="B2862" s="1461"/>
      <c r="C2862" s="1461"/>
      <c r="D2862" s="1461"/>
      <c r="E2862" s="1390"/>
    </row>
    <row r="2863" spans="1:8" ht="15.75" x14ac:dyDescent="0.25">
      <c r="A2863" s="1461"/>
      <c r="B2863" s="1461"/>
      <c r="C2863" s="1461"/>
      <c r="D2863" s="1461"/>
      <c r="E2863" s="1390"/>
    </row>
    <row r="2864" spans="1:8" ht="18.75" x14ac:dyDescent="0.3">
      <c r="A2864" s="3361" t="s">
        <v>5134</v>
      </c>
      <c r="B2864" s="3336"/>
      <c r="C2864" s="3336"/>
      <c r="D2864" s="3336"/>
      <c r="E2864" s="3336"/>
      <c r="F2864" s="3336"/>
      <c r="G2864" s="3337"/>
    </row>
    <row r="2865" spans="1:8" ht="15.75" x14ac:dyDescent="0.25">
      <c r="A2865" s="1361" t="s">
        <v>4206</v>
      </c>
      <c r="B2865" s="1361" t="s">
        <v>4206</v>
      </c>
      <c r="C2865" s="3370" t="s">
        <v>3</v>
      </c>
      <c r="D2865" s="3371"/>
      <c r="E2865" s="1363" t="s">
        <v>4190</v>
      </c>
      <c r="F2865" s="1363" t="s">
        <v>4191</v>
      </c>
      <c r="G2865" s="1364" t="s">
        <v>382</v>
      </c>
    </row>
    <row r="2866" spans="1:8" x14ac:dyDescent="0.25">
      <c r="A2866" s="1369">
        <v>41421</v>
      </c>
      <c r="B2866" s="1369">
        <v>41421</v>
      </c>
      <c r="C2866" s="3387" t="s">
        <v>5135</v>
      </c>
      <c r="D2866" s="3388"/>
      <c r="E2866" s="1357">
        <v>100</v>
      </c>
      <c r="F2866" s="1358">
        <v>5</v>
      </c>
      <c r="G2866" s="1359">
        <v>19.989999999999998</v>
      </c>
    </row>
    <row r="2867" spans="1:8" x14ac:dyDescent="0.25">
      <c r="A2867" s="1369">
        <v>41453</v>
      </c>
      <c r="B2867" s="1369">
        <v>41453</v>
      </c>
      <c r="C2867" s="3387" t="s">
        <v>5136</v>
      </c>
      <c r="D2867" s="3388"/>
      <c r="E2867" s="1357">
        <v>79.92</v>
      </c>
      <c r="F2867" s="1358">
        <v>3</v>
      </c>
      <c r="G2867" s="1359">
        <f t="shared" ref="G2867:G2874" si="309">E2867/F2867</f>
        <v>26.64</v>
      </c>
    </row>
    <row r="2868" spans="1:8" x14ac:dyDescent="0.25">
      <c r="A2868" s="1369">
        <v>41479</v>
      </c>
      <c r="B2868" s="1369">
        <v>41479</v>
      </c>
      <c r="C2868" s="3387" t="s">
        <v>5137</v>
      </c>
      <c r="D2868" s="3388"/>
      <c r="E2868" s="1357">
        <v>100</v>
      </c>
      <c r="F2868" s="1358">
        <v>3</v>
      </c>
      <c r="G2868" s="1359">
        <f t="shared" si="309"/>
        <v>33.333333333333336</v>
      </c>
    </row>
    <row r="2869" spans="1:8" x14ac:dyDescent="0.25">
      <c r="A2869" s="1369">
        <v>41492</v>
      </c>
      <c r="B2869" s="1369">
        <v>41492</v>
      </c>
      <c r="C2869" s="3387" t="s">
        <v>5138</v>
      </c>
      <c r="D2869" s="3388"/>
      <c r="E2869" s="1357">
        <v>69.90000000000002</v>
      </c>
      <c r="F2869" s="1358">
        <v>3</v>
      </c>
      <c r="G2869" s="1359">
        <f t="shared" si="309"/>
        <v>23.300000000000008</v>
      </c>
    </row>
    <row r="2870" spans="1:8" x14ac:dyDescent="0.25">
      <c r="A2870" s="1369">
        <v>41507</v>
      </c>
      <c r="B2870" s="1369">
        <v>41507</v>
      </c>
      <c r="C2870" s="3387" t="s">
        <v>5139</v>
      </c>
      <c r="D2870" s="3388"/>
      <c r="E2870" s="1357">
        <v>117.68</v>
      </c>
      <c r="F2870" s="1358">
        <v>4</v>
      </c>
      <c r="G2870" s="1359">
        <f t="shared" si="309"/>
        <v>29.42</v>
      </c>
    </row>
    <row r="2871" spans="1:8" x14ac:dyDescent="0.25">
      <c r="A2871" s="1369">
        <v>41519</v>
      </c>
      <c r="B2871" s="1369">
        <v>41519</v>
      </c>
      <c r="C2871" s="3387" t="s">
        <v>5140</v>
      </c>
      <c r="D2871" s="3388"/>
      <c r="E2871" s="1357">
        <v>6</v>
      </c>
      <c r="F2871" s="1358">
        <v>1</v>
      </c>
      <c r="G2871" s="1359">
        <f t="shared" si="309"/>
        <v>6</v>
      </c>
    </row>
    <row r="2872" spans="1:8" x14ac:dyDescent="0.25">
      <c r="A2872" s="1369">
        <v>41521</v>
      </c>
      <c r="B2872" s="1369">
        <v>41521</v>
      </c>
      <c r="C2872" s="3387" t="s">
        <v>5140</v>
      </c>
      <c r="D2872" s="3388"/>
      <c r="E2872" s="1357">
        <v>11</v>
      </c>
      <c r="F2872" s="1358">
        <v>1</v>
      </c>
      <c r="G2872" s="1359">
        <f t="shared" si="309"/>
        <v>11</v>
      </c>
    </row>
    <row r="2873" spans="1:8" x14ac:dyDescent="0.25">
      <c r="A2873" s="1369">
        <v>41526</v>
      </c>
      <c r="B2873" s="1369">
        <v>41526</v>
      </c>
      <c r="C2873" s="3387" t="s">
        <v>5141</v>
      </c>
      <c r="D2873" s="3388"/>
      <c r="E2873" s="1357">
        <v>250</v>
      </c>
      <c r="F2873" s="1358">
        <v>5</v>
      </c>
      <c r="G2873" s="1359">
        <f t="shared" si="309"/>
        <v>50</v>
      </c>
    </row>
    <row r="2874" spans="1:8" x14ac:dyDescent="0.25">
      <c r="A2874" s="1369">
        <v>41535</v>
      </c>
      <c r="B2874" s="1369">
        <v>41535</v>
      </c>
      <c r="C2874" s="3387" t="s">
        <v>5140</v>
      </c>
      <c r="D2874" s="3388"/>
      <c r="E2874" s="1357">
        <v>11</v>
      </c>
      <c r="F2874" s="1358">
        <v>1</v>
      </c>
      <c r="G2874" s="1359">
        <f t="shared" si="309"/>
        <v>11</v>
      </c>
    </row>
    <row r="2875" spans="1:8" x14ac:dyDescent="0.25">
      <c r="A2875" s="1428"/>
      <c r="B2875" s="1428"/>
      <c r="C2875" s="3391"/>
      <c r="D2875" s="3392"/>
      <c r="E2875" s="1429"/>
      <c r="F2875" s="1430"/>
      <c r="G2875" s="1431"/>
    </row>
    <row r="2876" spans="1:8" ht="15.75" x14ac:dyDescent="0.25">
      <c r="A2876" s="3356" t="s">
        <v>4071</v>
      </c>
      <c r="B2876" s="3357"/>
      <c r="C2876" s="3357"/>
      <c r="D2876" s="3357"/>
      <c r="E2876" s="1396">
        <v>520</v>
      </c>
      <c r="F2876" s="1467"/>
      <c r="G2876" s="1457"/>
    </row>
    <row r="2877" spans="1:8" ht="15.75" x14ac:dyDescent="0.25">
      <c r="A2877" s="3358" t="s">
        <v>4072</v>
      </c>
      <c r="B2877" s="3359"/>
      <c r="C2877" s="3359"/>
      <c r="D2877" s="3359"/>
      <c r="E2877" s="1397">
        <v>492.82</v>
      </c>
      <c r="F2877" s="1467"/>
      <c r="G2877" s="1457"/>
      <c r="H2877" s="1247" t="s">
        <v>280</v>
      </c>
    </row>
    <row r="2878" spans="1:8" ht="15.75" x14ac:dyDescent="0.25">
      <c r="A2878" s="3356" t="s">
        <v>5142</v>
      </c>
      <c r="B2878" s="3357"/>
      <c r="C2878" s="3357"/>
      <c r="D2878" s="3357"/>
      <c r="E2878" s="1396">
        <f>G2900</f>
        <v>208.57999999999998</v>
      </c>
      <c r="F2878" s="1467"/>
      <c r="G2878" s="1457"/>
    </row>
    <row r="2879" spans="1:8" ht="15.75" x14ac:dyDescent="0.25">
      <c r="A2879" s="3358" t="s">
        <v>4074</v>
      </c>
      <c r="B2879" s="3359"/>
      <c r="C2879" s="3359"/>
      <c r="D2879" s="3359"/>
      <c r="E2879" s="3359"/>
      <c r="F2879" s="3360"/>
      <c r="G2879" s="1457">
        <f>SUM(G2866:G2878)</f>
        <v>210.68333333333334</v>
      </c>
    </row>
    <row r="2880" spans="1:8" ht="15.75" x14ac:dyDescent="0.25">
      <c r="A2880" s="3356" t="s">
        <v>4075</v>
      </c>
      <c r="B2880" s="3357"/>
      <c r="C2880" s="3357"/>
      <c r="D2880" s="3357"/>
      <c r="E2880" s="1388">
        <f>E2876-E2877</f>
        <v>27.180000000000007</v>
      </c>
    </row>
    <row r="2881" spans="1:7" ht="15.75" x14ac:dyDescent="0.25">
      <c r="A2881" s="1461"/>
      <c r="B2881" s="1461"/>
      <c r="C2881" s="1461"/>
      <c r="D2881" s="1461"/>
      <c r="E2881" s="1390"/>
    </row>
    <row r="2882" spans="1:7" ht="15.75" x14ac:dyDescent="0.25">
      <c r="A2882" s="1461"/>
      <c r="B2882" s="1461"/>
      <c r="C2882" s="1461"/>
      <c r="D2882" s="1461"/>
      <c r="E2882" s="1390"/>
    </row>
    <row r="2883" spans="1:7" ht="18.75" x14ac:dyDescent="0.3">
      <c r="A2883" s="3361" t="s">
        <v>5143</v>
      </c>
      <c r="B2883" s="3336"/>
      <c r="C2883" s="3336"/>
      <c r="D2883" s="3336"/>
      <c r="E2883" s="3336"/>
      <c r="F2883" s="3336"/>
      <c r="G2883" s="3337"/>
    </row>
    <row r="2884" spans="1:7" ht="15.75" x14ac:dyDescent="0.25">
      <c r="A2884" s="1361" t="s">
        <v>4206</v>
      </c>
      <c r="B2884" s="1361" t="s">
        <v>4206</v>
      </c>
      <c r="C2884" s="3370" t="s">
        <v>3</v>
      </c>
      <c r="D2884" s="3371"/>
      <c r="E2884" s="1363" t="s">
        <v>4190</v>
      </c>
      <c r="F2884" s="1363" t="s">
        <v>4191</v>
      </c>
      <c r="G2884" s="1364" t="s">
        <v>382</v>
      </c>
    </row>
    <row r="2885" spans="1:7" x14ac:dyDescent="0.25">
      <c r="A2885" s="1369">
        <v>41421</v>
      </c>
      <c r="B2885" s="1369">
        <v>41421</v>
      </c>
      <c r="C2885" s="3387" t="s">
        <v>5144</v>
      </c>
      <c r="D2885" s="3388"/>
      <c r="E2885" s="1357">
        <v>100</v>
      </c>
      <c r="F2885" s="1358">
        <v>5</v>
      </c>
      <c r="G2885" s="1359">
        <v>19.989999999999998</v>
      </c>
    </row>
    <row r="2886" spans="1:7" x14ac:dyDescent="0.25">
      <c r="A2886" s="1369">
        <v>41433</v>
      </c>
      <c r="B2886" s="1369">
        <v>41433</v>
      </c>
      <c r="C2886" s="3387" t="s">
        <v>5145</v>
      </c>
      <c r="D2886" s="3388"/>
      <c r="E2886" s="1357">
        <v>70</v>
      </c>
      <c r="F2886" s="1358">
        <v>3</v>
      </c>
      <c r="G2886" s="1359">
        <f t="shared" ref="G2886:G2895" si="310">E2886/F2886</f>
        <v>23.333333333333332</v>
      </c>
    </row>
    <row r="2887" spans="1:7" x14ac:dyDescent="0.25">
      <c r="A2887" s="1369">
        <v>41433</v>
      </c>
      <c r="B2887" s="1369">
        <v>41433</v>
      </c>
      <c r="C2887" s="3387" t="s">
        <v>5146</v>
      </c>
      <c r="D2887" s="3388"/>
      <c r="E2887" s="1357">
        <v>25</v>
      </c>
      <c r="F2887" s="1358">
        <v>3</v>
      </c>
      <c r="G2887" s="1359">
        <f t="shared" si="310"/>
        <v>8.3333333333333339</v>
      </c>
    </row>
    <row r="2888" spans="1:7" x14ac:dyDescent="0.25">
      <c r="A2888" s="1369">
        <v>41453</v>
      </c>
      <c r="B2888" s="1369">
        <v>41453</v>
      </c>
      <c r="C2888" s="3387" t="s">
        <v>5147</v>
      </c>
      <c r="D2888" s="3388"/>
      <c r="E2888" s="1357">
        <v>79.92</v>
      </c>
      <c r="F2888" s="1358">
        <v>3</v>
      </c>
      <c r="G2888" s="1359">
        <f t="shared" si="310"/>
        <v>26.64</v>
      </c>
    </row>
    <row r="2889" spans="1:7" x14ac:dyDescent="0.25">
      <c r="A2889" s="1369">
        <v>41479</v>
      </c>
      <c r="B2889" s="1369">
        <v>41479</v>
      </c>
      <c r="C2889" s="3387" t="s">
        <v>5148</v>
      </c>
      <c r="D2889" s="3388"/>
      <c r="E2889" s="1357">
        <v>100</v>
      </c>
      <c r="F2889" s="1358">
        <v>3</v>
      </c>
      <c r="G2889" s="1359">
        <f t="shared" si="310"/>
        <v>33.333333333333336</v>
      </c>
    </row>
    <row r="2890" spans="1:7" x14ac:dyDescent="0.25">
      <c r="A2890" s="1369">
        <v>41482</v>
      </c>
      <c r="B2890" s="1369">
        <v>41482</v>
      </c>
      <c r="C2890" s="3387" t="s">
        <v>5149</v>
      </c>
      <c r="D2890" s="3388"/>
      <c r="E2890" s="1357">
        <v>60</v>
      </c>
      <c r="F2890" s="1358">
        <v>2</v>
      </c>
      <c r="G2890" s="1359">
        <f t="shared" si="310"/>
        <v>30</v>
      </c>
    </row>
    <row r="2891" spans="1:7" x14ac:dyDescent="0.25">
      <c r="A2891" s="1369">
        <v>41492</v>
      </c>
      <c r="B2891" s="1369">
        <v>41492</v>
      </c>
      <c r="C2891" s="3387" t="s">
        <v>5150</v>
      </c>
      <c r="D2891" s="3388"/>
      <c r="E2891" s="1357">
        <v>69.90000000000002</v>
      </c>
      <c r="F2891" s="1358">
        <v>3</v>
      </c>
      <c r="G2891" s="1359">
        <f t="shared" si="310"/>
        <v>23.300000000000008</v>
      </c>
    </row>
    <row r="2892" spans="1:7" x14ac:dyDescent="0.25">
      <c r="A2892" s="1369">
        <v>41504</v>
      </c>
      <c r="B2892" s="1369">
        <v>41504</v>
      </c>
      <c r="C2892" s="3387" t="s">
        <v>5151</v>
      </c>
      <c r="D2892" s="3388"/>
      <c r="E2892" s="1357">
        <v>2.23</v>
      </c>
      <c r="F2892" s="1358">
        <v>1</v>
      </c>
      <c r="G2892" s="1359">
        <f t="shared" si="310"/>
        <v>2.23</v>
      </c>
    </row>
    <row r="2893" spans="1:7" x14ac:dyDescent="0.25">
      <c r="A2893" s="1369">
        <v>41506</v>
      </c>
      <c r="B2893" s="1369">
        <v>41506</v>
      </c>
      <c r="C2893" s="3387" t="s">
        <v>5152</v>
      </c>
      <c r="D2893" s="3388"/>
      <c r="E2893" s="1357">
        <v>6</v>
      </c>
      <c r="F2893" s="1358">
        <v>1</v>
      </c>
      <c r="G2893" s="1359">
        <f t="shared" si="310"/>
        <v>6</v>
      </c>
    </row>
    <row r="2894" spans="1:7" x14ac:dyDescent="0.25">
      <c r="A2894" s="1369">
        <v>41507</v>
      </c>
      <c r="B2894" s="1369">
        <v>41507</v>
      </c>
      <c r="C2894" s="3387" t="s">
        <v>5153</v>
      </c>
      <c r="D2894" s="3388"/>
      <c r="E2894" s="1357">
        <v>117.68</v>
      </c>
      <c r="F2894" s="1358">
        <v>4</v>
      </c>
      <c r="G2894" s="1359">
        <f t="shared" si="310"/>
        <v>29.42</v>
      </c>
    </row>
    <row r="2895" spans="1:7" x14ac:dyDescent="0.25">
      <c r="A2895" s="1369">
        <v>41514</v>
      </c>
      <c r="B2895" s="1369">
        <v>41514</v>
      </c>
      <c r="C2895" s="3387" t="s">
        <v>5152</v>
      </c>
      <c r="D2895" s="3388"/>
      <c r="E2895" s="1357">
        <v>6</v>
      </c>
      <c r="F2895" s="1358">
        <v>1</v>
      </c>
      <c r="G2895" s="1359">
        <f t="shared" si="310"/>
        <v>6</v>
      </c>
    </row>
    <row r="2896" spans="1:7" x14ac:dyDescent="0.25">
      <c r="A2896" s="1428"/>
      <c r="B2896" s="1428"/>
      <c r="C2896" s="3391"/>
      <c r="D2896" s="3392"/>
      <c r="E2896" s="1429"/>
      <c r="F2896" s="1430"/>
      <c r="G2896" s="1431"/>
    </row>
    <row r="2897" spans="1:8" ht="15.75" x14ac:dyDescent="0.25">
      <c r="A2897" s="3356" t="s">
        <v>4071</v>
      </c>
      <c r="B2897" s="3357"/>
      <c r="C2897" s="3357"/>
      <c r="D2897" s="3357"/>
      <c r="E2897" s="1396">
        <v>520</v>
      </c>
      <c r="F2897" s="1467"/>
      <c r="G2897" s="1457"/>
    </row>
    <row r="2898" spans="1:8" ht="15.75" x14ac:dyDescent="0.25">
      <c r="A2898" s="3358" t="s">
        <v>5154</v>
      </c>
      <c r="B2898" s="3359"/>
      <c r="C2898" s="3359"/>
      <c r="D2898" s="3359"/>
      <c r="E2898" s="1397">
        <f>SUM(E2884:E2895)</f>
        <v>636.73</v>
      </c>
      <c r="F2898" s="1467"/>
      <c r="G2898" s="1457"/>
      <c r="H2898" s="1247" t="s">
        <v>280</v>
      </c>
    </row>
    <row r="2899" spans="1:8" ht="15.75" x14ac:dyDescent="0.25">
      <c r="A2899" s="3356" t="s">
        <v>5155</v>
      </c>
      <c r="B2899" s="3357"/>
      <c r="C2899" s="3357"/>
      <c r="D2899" s="3357"/>
      <c r="E2899" s="1396">
        <v>221.41</v>
      </c>
      <c r="F2899" s="1467"/>
      <c r="G2899" s="1457"/>
    </row>
    <row r="2900" spans="1:8" ht="15.75" x14ac:dyDescent="0.25">
      <c r="A2900" s="3358" t="s">
        <v>4074</v>
      </c>
      <c r="B2900" s="3359"/>
      <c r="C2900" s="3359"/>
      <c r="D2900" s="3359"/>
      <c r="E2900" s="3359"/>
      <c r="F2900" s="3360"/>
      <c r="G2900" s="1457">
        <f>SUM(G2885:G2899)</f>
        <v>208.57999999999998</v>
      </c>
    </row>
    <row r="2901" spans="1:8" ht="15.75" x14ac:dyDescent="0.25">
      <c r="A2901" s="3356" t="s">
        <v>4075</v>
      </c>
      <c r="B2901" s="3357"/>
      <c r="C2901" s="3357"/>
      <c r="D2901" s="3357"/>
      <c r="E2901" s="1388">
        <f>E2897-E2898+E2899</f>
        <v>104.67999999999998</v>
      </c>
    </row>
    <row r="2902" spans="1:8" ht="15.75" x14ac:dyDescent="0.25">
      <c r="A2902" s="1461"/>
      <c r="B2902" s="1461"/>
      <c r="C2902" s="1461"/>
      <c r="D2902" s="1461"/>
      <c r="E2902" s="1390"/>
    </row>
    <row r="2903" spans="1:8" ht="15.75" x14ac:dyDescent="0.25">
      <c r="A2903" s="1461"/>
      <c r="B2903" s="1461"/>
      <c r="C2903" s="1461"/>
      <c r="D2903" s="1461"/>
      <c r="E2903" s="1390"/>
    </row>
    <row r="2904" spans="1:8" ht="18.75" x14ac:dyDescent="0.3">
      <c r="A2904" s="3361" t="s">
        <v>5156</v>
      </c>
      <c r="B2904" s="3336"/>
      <c r="C2904" s="3336"/>
      <c r="D2904" s="3336"/>
      <c r="E2904" s="3336"/>
      <c r="F2904" s="3336"/>
      <c r="G2904" s="3337"/>
    </row>
    <row r="2905" spans="1:8" ht="15.75" x14ac:dyDescent="0.25">
      <c r="A2905" s="1361" t="s">
        <v>4206</v>
      </c>
      <c r="B2905" s="1361" t="s">
        <v>4206</v>
      </c>
      <c r="C2905" s="3370" t="s">
        <v>3</v>
      </c>
      <c r="D2905" s="3371"/>
      <c r="E2905" s="1363" t="s">
        <v>4190</v>
      </c>
      <c r="F2905" s="1363" t="s">
        <v>4191</v>
      </c>
      <c r="G2905" s="1364" t="s">
        <v>382</v>
      </c>
    </row>
    <row r="2906" spans="1:8" x14ac:dyDescent="0.25">
      <c r="A2906" s="1369">
        <v>41402</v>
      </c>
      <c r="B2906" s="1369">
        <v>41402</v>
      </c>
      <c r="C2906" s="3387" t="s">
        <v>5157</v>
      </c>
      <c r="D2906" s="3388"/>
      <c r="E2906" s="1357">
        <v>99.9</v>
      </c>
      <c r="F2906" s="1358">
        <v>3</v>
      </c>
      <c r="G2906" s="1359">
        <v>33.26</v>
      </c>
    </row>
    <row r="2907" spans="1:8" x14ac:dyDescent="0.25">
      <c r="A2907" s="1369">
        <v>41402</v>
      </c>
      <c r="B2907" s="1369">
        <v>41402</v>
      </c>
      <c r="C2907" s="3387" t="s">
        <v>5158</v>
      </c>
      <c r="D2907" s="3388"/>
      <c r="E2907" s="1357">
        <v>29.89</v>
      </c>
      <c r="F2907" s="1358">
        <v>3</v>
      </c>
      <c r="G2907" s="1359">
        <f>E2907/F2907</f>
        <v>9.9633333333333329</v>
      </c>
    </row>
    <row r="2908" spans="1:8" x14ac:dyDescent="0.25">
      <c r="A2908" s="1369">
        <v>41407</v>
      </c>
      <c r="B2908" s="1369">
        <v>41407</v>
      </c>
      <c r="C2908" s="3387" t="s">
        <v>5159</v>
      </c>
      <c r="D2908" s="3388"/>
      <c r="E2908" s="1357">
        <v>109.8</v>
      </c>
      <c r="F2908" s="1358">
        <v>3</v>
      </c>
      <c r="G2908" s="1359">
        <f>E2908/F2908</f>
        <v>36.6</v>
      </c>
    </row>
    <row r="2909" spans="1:8" x14ac:dyDescent="0.25">
      <c r="A2909" s="1369">
        <v>41421</v>
      </c>
      <c r="B2909" s="1369">
        <v>41421</v>
      </c>
      <c r="C2909" s="3387" t="s">
        <v>5160</v>
      </c>
      <c r="D2909" s="3388"/>
      <c r="E2909" s="1357">
        <v>100</v>
      </c>
      <c r="F2909" s="1358">
        <v>5</v>
      </c>
      <c r="G2909" s="1359">
        <v>19.989999999999998</v>
      </c>
    </row>
    <row r="2910" spans="1:8" x14ac:dyDescent="0.25">
      <c r="A2910" s="1369">
        <v>41433</v>
      </c>
      <c r="B2910" s="1369">
        <v>41433</v>
      </c>
      <c r="C2910" s="3387" t="s">
        <v>5161</v>
      </c>
      <c r="D2910" s="3388"/>
      <c r="E2910" s="1357">
        <v>70</v>
      </c>
      <c r="F2910" s="1358">
        <v>3</v>
      </c>
      <c r="G2910" s="1359">
        <f>E2910/F2910</f>
        <v>23.333333333333332</v>
      </c>
    </row>
    <row r="2911" spans="1:8" x14ac:dyDescent="0.25">
      <c r="A2911" s="1369">
        <v>41433</v>
      </c>
      <c r="B2911" s="1369">
        <v>41433</v>
      </c>
      <c r="C2911" s="3387" t="s">
        <v>5162</v>
      </c>
      <c r="D2911" s="3388"/>
      <c r="E2911" s="1357">
        <v>25</v>
      </c>
      <c r="F2911" s="1358">
        <v>3</v>
      </c>
      <c r="G2911" s="1359">
        <f>E2911/F2911</f>
        <v>8.3333333333333339</v>
      </c>
    </row>
    <row r="2912" spans="1:8" x14ac:dyDescent="0.25">
      <c r="A2912" s="1369">
        <v>41453</v>
      </c>
      <c r="B2912" s="1369">
        <v>41453</v>
      </c>
      <c r="C2912" s="3387" t="s">
        <v>5163</v>
      </c>
      <c r="D2912" s="3388"/>
      <c r="E2912" s="1357">
        <v>79.92</v>
      </c>
      <c r="F2912" s="1358">
        <v>3</v>
      </c>
      <c r="G2912" s="1359">
        <f>E2912/F2912</f>
        <v>26.64</v>
      </c>
    </row>
    <row r="2913" spans="1:7" x14ac:dyDescent="0.25">
      <c r="A2913" s="1369">
        <v>41479</v>
      </c>
      <c r="B2913" s="1369">
        <v>41479</v>
      </c>
      <c r="C2913" s="3387" t="s">
        <v>5164</v>
      </c>
      <c r="D2913" s="3388"/>
      <c r="E2913" s="1357">
        <v>100</v>
      </c>
      <c r="F2913" s="1358">
        <v>3</v>
      </c>
      <c r="G2913" s="1359">
        <f>E2913/F2913</f>
        <v>33.333333333333336</v>
      </c>
    </row>
    <row r="2914" spans="1:7" x14ac:dyDescent="0.25">
      <c r="A2914" s="1369">
        <v>41482</v>
      </c>
      <c r="B2914" s="1369">
        <v>41482</v>
      </c>
      <c r="C2914" s="3387" t="s">
        <v>5165</v>
      </c>
      <c r="D2914" s="3388"/>
      <c r="E2914" s="1357">
        <v>60</v>
      </c>
      <c r="F2914" s="1358">
        <v>2</v>
      </c>
      <c r="G2914" s="1359">
        <f>E2914/F2914</f>
        <v>30</v>
      </c>
    </row>
    <row r="2915" spans="1:7" x14ac:dyDescent="0.25">
      <c r="A2915" s="1369"/>
      <c r="B2915" s="1369"/>
      <c r="C2915" s="3387"/>
      <c r="D2915" s="3388"/>
      <c r="E2915" s="1357"/>
      <c r="F2915" s="1358"/>
      <c r="G2915" s="1359"/>
    </row>
    <row r="2916" spans="1:7" ht="15.75" x14ac:dyDescent="0.25">
      <c r="A2916" s="3356" t="s">
        <v>4071</v>
      </c>
      <c r="B2916" s="3357"/>
      <c r="C2916" s="3357"/>
      <c r="D2916" s="3357"/>
      <c r="E2916" s="1396">
        <v>520</v>
      </c>
      <c r="F2916" s="1467"/>
      <c r="G2916" s="1457"/>
    </row>
    <row r="2917" spans="1:7" ht="15.75" x14ac:dyDescent="0.25">
      <c r="A2917" s="3358" t="s">
        <v>5154</v>
      </c>
      <c r="B2917" s="3359"/>
      <c r="C2917" s="3359"/>
      <c r="D2917" s="3359"/>
      <c r="E2917" s="1397">
        <f>SUM(E2905:E2915)</f>
        <v>674.51</v>
      </c>
      <c r="F2917" s="1467"/>
      <c r="G2917" s="1457"/>
    </row>
    <row r="2918" spans="1:7" ht="15.75" x14ac:dyDescent="0.25">
      <c r="A2918" s="3356" t="s">
        <v>5166</v>
      </c>
      <c r="B2918" s="3357"/>
      <c r="C2918" s="3357"/>
      <c r="D2918" s="3357"/>
      <c r="E2918" s="1396">
        <f>G2935</f>
        <v>131.47999999999999</v>
      </c>
      <c r="F2918" s="1467"/>
      <c r="G2918" s="1457"/>
    </row>
    <row r="2919" spans="1:7" ht="15.75" x14ac:dyDescent="0.25">
      <c r="A2919" s="3358" t="s">
        <v>4074</v>
      </c>
      <c r="B2919" s="3359"/>
      <c r="C2919" s="3359"/>
      <c r="D2919" s="3359"/>
      <c r="E2919" s="3359"/>
      <c r="F2919" s="3360"/>
      <c r="G2919" s="1457">
        <f>SUM(G2906:G2918)</f>
        <v>221.45333333333335</v>
      </c>
    </row>
    <row r="2920" spans="1:7" ht="15.75" x14ac:dyDescent="0.25">
      <c r="A2920" s="3356" t="s">
        <v>4075</v>
      </c>
      <c r="B2920" s="3357"/>
      <c r="C2920" s="3357"/>
      <c r="D2920" s="3357"/>
      <c r="E2920" s="1388">
        <f>E2916-E2917+E2918</f>
        <v>-23.03</v>
      </c>
    </row>
    <row r="2921" spans="1:7" ht="15.75" x14ac:dyDescent="0.25">
      <c r="A2921" s="1461"/>
      <c r="B2921" s="1461"/>
      <c r="C2921" s="1461"/>
      <c r="D2921" s="1461"/>
      <c r="E2921" s="1390"/>
    </row>
    <row r="2922" spans="1:7" x14ac:dyDescent="0.25">
      <c r="A2922" s="1468"/>
      <c r="B2922" s="1468"/>
      <c r="C2922" s="1468"/>
      <c r="D2922" s="1469"/>
      <c r="E2922" s="1470"/>
    </row>
    <row r="2923" spans="1:7" ht="18.75" x14ac:dyDescent="0.3">
      <c r="A2923" s="3361" t="s">
        <v>5167</v>
      </c>
      <c r="B2923" s="3336"/>
      <c r="C2923" s="3336"/>
      <c r="D2923" s="3336"/>
      <c r="E2923" s="3336"/>
      <c r="F2923" s="3336"/>
      <c r="G2923" s="3337"/>
    </row>
    <row r="2924" spans="1:7" ht="15.75" x14ac:dyDescent="0.25">
      <c r="A2924" s="1361" t="s">
        <v>4206</v>
      </c>
      <c r="B2924" s="1361" t="s">
        <v>4206</v>
      </c>
      <c r="C2924" s="3370" t="s">
        <v>3</v>
      </c>
      <c r="D2924" s="3371"/>
      <c r="E2924" s="1363" t="s">
        <v>4190</v>
      </c>
      <c r="F2924" s="1363" t="s">
        <v>4191</v>
      </c>
      <c r="G2924" s="1364" t="s">
        <v>382</v>
      </c>
    </row>
    <row r="2925" spans="1:7" x14ac:dyDescent="0.25">
      <c r="A2925" s="1369">
        <v>41402</v>
      </c>
      <c r="B2925" s="1369">
        <v>41402</v>
      </c>
      <c r="C2925" s="3387" t="s">
        <v>5168</v>
      </c>
      <c r="D2925" s="3388"/>
      <c r="E2925" s="1357">
        <v>99.9</v>
      </c>
      <c r="F2925" s="1358">
        <v>3</v>
      </c>
      <c r="G2925" s="1359">
        <v>33.26</v>
      </c>
    </row>
    <row r="2926" spans="1:7" x14ac:dyDescent="0.25">
      <c r="A2926" s="1369">
        <v>41402</v>
      </c>
      <c r="B2926" s="1369">
        <v>41402</v>
      </c>
      <c r="C2926" s="3387" t="s">
        <v>5169</v>
      </c>
      <c r="D2926" s="3388"/>
      <c r="E2926" s="1357">
        <v>29.89</v>
      </c>
      <c r="F2926" s="1358">
        <v>3</v>
      </c>
      <c r="G2926" s="1359">
        <f>E2926/F2926</f>
        <v>9.9633333333333329</v>
      </c>
    </row>
    <row r="2927" spans="1:7" x14ac:dyDescent="0.25">
      <c r="A2927" s="1369">
        <v>41407</v>
      </c>
      <c r="B2927" s="1369">
        <v>41407</v>
      </c>
      <c r="C2927" s="3387" t="s">
        <v>5170</v>
      </c>
      <c r="D2927" s="3388"/>
      <c r="E2927" s="1357">
        <v>109.8</v>
      </c>
      <c r="F2927" s="1358">
        <v>3</v>
      </c>
      <c r="G2927" s="1359">
        <f>E2927/F2927</f>
        <v>36.6</v>
      </c>
    </row>
    <row r="2928" spans="1:7" x14ac:dyDescent="0.25">
      <c r="A2928" s="1369">
        <v>41421</v>
      </c>
      <c r="B2928" s="1369">
        <v>41421</v>
      </c>
      <c r="C2928" s="3387" t="s">
        <v>5171</v>
      </c>
      <c r="D2928" s="3388"/>
      <c r="E2928" s="1357">
        <v>100</v>
      </c>
      <c r="F2928" s="1358">
        <v>5</v>
      </c>
      <c r="G2928" s="1359">
        <v>19.989999999999998</v>
      </c>
    </row>
    <row r="2929" spans="1:7" x14ac:dyDescent="0.25">
      <c r="A2929" s="1369">
        <v>41433</v>
      </c>
      <c r="B2929" s="1369">
        <v>41433</v>
      </c>
      <c r="C2929" s="3387" t="s">
        <v>5172</v>
      </c>
      <c r="D2929" s="3388"/>
      <c r="E2929" s="1357">
        <v>70</v>
      </c>
      <c r="F2929" s="1358">
        <v>3</v>
      </c>
      <c r="G2929" s="1359">
        <f>E2929/F2929</f>
        <v>23.333333333333332</v>
      </c>
    </row>
    <row r="2930" spans="1:7" x14ac:dyDescent="0.25">
      <c r="A2930" s="1369">
        <v>41433</v>
      </c>
      <c r="B2930" s="1369">
        <v>41433</v>
      </c>
      <c r="C2930" s="3387" t="s">
        <v>5173</v>
      </c>
      <c r="D2930" s="3388"/>
      <c r="E2930" s="1357">
        <v>25</v>
      </c>
      <c r="F2930" s="1358">
        <v>3</v>
      </c>
      <c r="G2930" s="1359">
        <f>E2930/F2930</f>
        <v>8.3333333333333339</v>
      </c>
    </row>
    <row r="2931" spans="1:7" x14ac:dyDescent="0.25">
      <c r="A2931" s="1369"/>
      <c r="B2931" s="1369"/>
      <c r="C2931" s="3387"/>
      <c r="D2931" s="3388"/>
      <c r="E2931" s="1357"/>
      <c r="F2931" s="1358"/>
      <c r="G2931" s="1359"/>
    </row>
    <row r="2932" spans="1:7" ht="15.75" x14ac:dyDescent="0.25">
      <c r="A2932" s="3356" t="s">
        <v>4071</v>
      </c>
      <c r="B2932" s="3357"/>
      <c r="C2932" s="3357"/>
      <c r="D2932" s="3357"/>
      <c r="E2932" s="1396">
        <v>500</v>
      </c>
      <c r="F2932" s="1467"/>
      <c r="G2932" s="1457"/>
    </row>
    <row r="2933" spans="1:7" ht="15.75" x14ac:dyDescent="0.25">
      <c r="A2933" s="3358" t="s">
        <v>5154</v>
      </c>
      <c r="B2933" s="3359"/>
      <c r="C2933" s="3359"/>
      <c r="D2933" s="3359"/>
      <c r="E2933" s="1397">
        <f>SUM(E2924:E2931)</f>
        <v>434.59000000000003</v>
      </c>
      <c r="F2933" s="1467"/>
      <c r="G2933" s="1457"/>
    </row>
    <row r="2934" spans="1:7" ht="15.75" x14ac:dyDescent="0.25">
      <c r="A2934" s="3356" t="s">
        <v>5174</v>
      </c>
      <c r="B2934" s="3357"/>
      <c r="C2934" s="3357"/>
      <c r="D2934" s="3357"/>
      <c r="E2934" s="1396">
        <f>G2947</f>
        <v>105.86333333333334</v>
      </c>
      <c r="F2934" s="1467"/>
      <c r="G2934" s="1457"/>
    </row>
    <row r="2935" spans="1:7" ht="15.75" x14ac:dyDescent="0.25">
      <c r="A2935" s="3358" t="s">
        <v>4074</v>
      </c>
      <c r="B2935" s="3359"/>
      <c r="C2935" s="3359"/>
      <c r="D2935" s="3359"/>
      <c r="E2935" s="3359"/>
      <c r="F2935" s="3360"/>
      <c r="G2935" s="1457">
        <f>SUM(G2925:G2934)</f>
        <v>131.47999999999999</v>
      </c>
    </row>
    <row r="2936" spans="1:7" ht="15.75" x14ac:dyDescent="0.25">
      <c r="A2936" s="3356" t="s">
        <v>4075</v>
      </c>
      <c r="B2936" s="3357"/>
      <c r="C2936" s="3357"/>
      <c r="D2936" s="3357"/>
      <c r="E2936" s="1388">
        <f>E2932-E2933+E2934</f>
        <v>171.27333333333331</v>
      </c>
    </row>
    <row r="2937" spans="1:7" x14ac:dyDescent="0.25">
      <c r="A2937" s="1468"/>
      <c r="B2937" s="1468"/>
      <c r="C2937" s="1468"/>
      <c r="D2937" s="1469"/>
      <c r="E2937" s="1470"/>
    </row>
    <row r="2939" spans="1:7" ht="18.75" x14ac:dyDescent="0.3">
      <c r="A2939" s="3361" t="s">
        <v>5175</v>
      </c>
      <c r="B2939" s="3336"/>
      <c r="C2939" s="3336"/>
      <c r="D2939" s="3336"/>
      <c r="E2939" s="3336"/>
      <c r="F2939" s="3336"/>
      <c r="G2939" s="3337"/>
    </row>
    <row r="2940" spans="1:7" ht="15" customHeight="1" thickBot="1" x14ac:dyDescent="0.3">
      <c r="A2940" s="1361" t="s">
        <v>4206</v>
      </c>
      <c r="B2940" s="1361" t="s">
        <v>4206</v>
      </c>
      <c r="C2940" s="3370" t="s">
        <v>3</v>
      </c>
      <c r="D2940" s="3371"/>
      <c r="E2940" s="1363" t="s">
        <v>4190</v>
      </c>
      <c r="F2940" s="1363" t="s">
        <v>4191</v>
      </c>
      <c r="G2940" s="1364" t="s">
        <v>382</v>
      </c>
    </row>
    <row r="2941" spans="1:7" ht="15" customHeight="1" x14ac:dyDescent="0.25">
      <c r="A2941" s="1471">
        <v>41400</v>
      </c>
      <c r="B2941" s="1471">
        <v>41400</v>
      </c>
      <c r="C2941" s="3402" t="s">
        <v>5176</v>
      </c>
      <c r="D2941" s="3403"/>
      <c r="E2941" s="1372">
        <v>6</v>
      </c>
      <c r="F2941" s="1373">
        <v>1</v>
      </c>
      <c r="G2941" s="1374">
        <v>6</v>
      </c>
    </row>
    <row r="2942" spans="1:7" x14ac:dyDescent="0.25">
      <c r="A2942" s="1369">
        <v>41402</v>
      </c>
      <c r="B2942" s="1369">
        <v>41402</v>
      </c>
      <c r="C2942" s="3387" t="s">
        <v>5177</v>
      </c>
      <c r="D2942" s="3388"/>
      <c r="E2942" s="1357">
        <v>99.9</v>
      </c>
      <c r="F2942" s="1358">
        <v>3</v>
      </c>
      <c r="G2942" s="1359">
        <f>E2942/F2942</f>
        <v>33.300000000000004</v>
      </c>
    </row>
    <row r="2943" spans="1:7" x14ac:dyDescent="0.25">
      <c r="A2943" s="1369">
        <v>41402</v>
      </c>
      <c r="B2943" s="1369">
        <v>41402</v>
      </c>
      <c r="C2943" s="3387" t="s">
        <v>5178</v>
      </c>
      <c r="D2943" s="3388"/>
      <c r="E2943" s="1357">
        <v>29.89</v>
      </c>
      <c r="F2943" s="1358">
        <v>3</v>
      </c>
      <c r="G2943" s="1359">
        <f>E2943/F2943</f>
        <v>9.9633333333333329</v>
      </c>
    </row>
    <row r="2944" spans="1:7" x14ac:dyDescent="0.25">
      <c r="A2944" s="1369">
        <v>41407</v>
      </c>
      <c r="B2944" s="1369">
        <v>41407</v>
      </c>
      <c r="C2944" s="3387" t="s">
        <v>5179</v>
      </c>
      <c r="D2944" s="3388"/>
      <c r="E2944" s="1357">
        <v>109.8</v>
      </c>
      <c r="F2944" s="1358">
        <v>3</v>
      </c>
      <c r="G2944" s="1359">
        <f>E2944/F2944</f>
        <v>36.6</v>
      </c>
    </row>
    <row r="2945" spans="1:7" ht="14.25" customHeight="1" x14ac:dyDescent="0.25">
      <c r="A2945" s="1369">
        <v>41421</v>
      </c>
      <c r="B2945" s="1369">
        <v>41421</v>
      </c>
      <c r="C2945" s="3387" t="s">
        <v>5180</v>
      </c>
      <c r="D2945" s="3388"/>
      <c r="E2945" s="1357">
        <v>100</v>
      </c>
      <c r="F2945" s="1358">
        <v>5</v>
      </c>
      <c r="G2945" s="1359">
        <f>E2945/F2945</f>
        <v>20</v>
      </c>
    </row>
    <row r="2946" spans="1:7" x14ac:dyDescent="0.25">
      <c r="A2946" s="1369"/>
      <c r="B2946" s="1369"/>
      <c r="C2946" s="3387"/>
      <c r="D2946" s="3388"/>
      <c r="E2946" s="1357"/>
      <c r="F2946" s="1358"/>
      <c r="G2946" s="1359"/>
    </row>
    <row r="2947" spans="1:7" ht="15.75" x14ac:dyDescent="0.25">
      <c r="A2947" s="3358" t="s">
        <v>4074</v>
      </c>
      <c r="B2947" s="3359"/>
      <c r="C2947" s="3359"/>
      <c r="D2947" s="3359"/>
      <c r="E2947" s="3359"/>
      <c r="F2947" s="3360"/>
      <c r="G2947" s="1457">
        <f>SUM(G2941:G2946)</f>
        <v>105.86333333333334</v>
      </c>
    </row>
    <row r="2948" spans="1:7" ht="15.75" x14ac:dyDescent="0.25">
      <c r="A2948" s="3356" t="s">
        <v>4075</v>
      </c>
      <c r="B2948" s="3357"/>
      <c r="C2948" s="3357"/>
      <c r="D2948" s="3401"/>
      <c r="E2948" s="1388">
        <f>500-E2947</f>
        <v>500</v>
      </c>
    </row>
    <row r="2949" spans="1:7" x14ac:dyDescent="0.25">
      <c r="A2949" s="1468"/>
      <c r="B2949" s="1468"/>
      <c r="C2949" s="1468"/>
      <c r="D2949" s="1469"/>
      <c r="E2949" s="1470"/>
      <c r="G2949" s="1247"/>
    </row>
    <row r="2950" spans="1:7" x14ac:dyDescent="0.25">
      <c r="A2950" s="1468"/>
      <c r="B2950" s="1468"/>
      <c r="C2950" s="1468"/>
      <c r="D2950" s="1469"/>
      <c r="E2950" s="1470"/>
      <c r="G2950" s="1247"/>
    </row>
  </sheetData>
  <autoFilter ref="A54:K77" xr:uid="{00000000-0001-0000-8E00-000000000000}">
    <filterColumn colId="2" showButton="0"/>
  </autoFilter>
  <mergeCells count="2962">
    <mergeCell ref="C76:D76"/>
    <mergeCell ref="C50:D50"/>
    <mergeCell ref="C18:D18"/>
    <mergeCell ref="C19:D19"/>
    <mergeCell ref="M19:M20"/>
    <mergeCell ref="O19:O20"/>
    <mergeCell ref="C20:D20"/>
    <mergeCell ref="C21:D21"/>
    <mergeCell ref="C17:D17"/>
    <mergeCell ref="C23:D23"/>
    <mergeCell ref="M23:M24"/>
    <mergeCell ref="O23:O24"/>
    <mergeCell ref="C24:D24"/>
    <mergeCell ref="C22:D22"/>
    <mergeCell ref="A1:K1"/>
    <mergeCell ref="C2:D2"/>
    <mergeCell ref="C3:D3"/>
    <mergeCell ref="C4:D4"/>
    <mergeCell ref="C5:D5"/>
    <mergeCell ref="C6:D6"/>
    <mergeCell ref="M6:M7"/>
    <mergeCell ref="O6:O7"/>
    <mergeCell ref="C7:D7"/>
    <mergeCell ref="M10:M11"/>
    <mergeCell ref="O10:O11"/>
    <mergeCell ref="M14:M15"/>
    <mergeCell ref="O14:O15"/>
    <mergeCell ref="A27:K27"/>
    <mergeCell ref="C28:D28"/>
    <mergeCell ref="C29:D29"/>
    <mergeCell ref="C30:D30"/>
    <mergeCell ref="C31:D31"/>
    <mergeCell ref="C142:D142"/>
    <mergeCell ref="C143:D143"/>
    <mergeCell ref="C144:D144"/>
    <mergeCell ref="C145:D145"/>
    <mergeCell ref="C146:D146"/>
    <mergeCell ref="A124:K124"/>
    <mergeCell ref="C125:D125"/>
    <mergeCell ref="C110:D110"/>
    <mergeCell ref="C112:D112"/>
    <mergeCell ref="C265:D265"/>
    <mergeCell ref="C166:D166"/>
    <mergeCell ref="C155:D155"/>
    <mergeCell ref="C165:D165"/>
    <mergeCell ref="C153:D153"/>
    <mergeCell ref="C132:D132"/>
    <mergeCell ref="C133:D133"/>
    <mergeCell ref="M133:M134"/>
    <mergeCell ref="C221:D221"/>
    <mergeCell ref="C202:D202"/>
    <mergeCell ref="C204:D204"/>
    <mergeCell ref="C200:D200"/>
    <mergeCell ref="C203:D203"/>
    <mergeCell ref="C177:D177"/>
    <mergeCell ref="C178:D178"/>
    <mergeCell ref="C179:D179"/>
    <mergeCell ref="C180:D180"/>
    <mergeCell ref="C181:D181"/>
    <mergeCell ref="C207:D207"/>
    <mergeCell ref="C117:D117"/>
    <mergeCell ref="M183:M184"/>
    <mergeCell ref="M179:M180"/>
    <mergeCell ref="C230:D230"/>
    <mergeCell ref="O179:O180"/>
    <mergeCell ref="O175:O176"/>
    <mergeCell ref="M175:M176"/>
    <mergeCell ref="A170:K170"/>
    <mergeCell ref="C188:D188"/>
    <mergeCell ref="C193:D193"/>
    <mergeCell ref="C194:D194"/>
    <mergeCell ref="C182:D182"/>
    <mergeCell ref="C161:D161"/>
    <mergeCell ref="C159:D159"/>
    <mergeCell ref="C192:D192"/>
    <mergeCell ref="C173:D173"/>
    <mergeCell ref="C174:D174"/>
    <mergeCell ref="C175:D175"/>
    <mergeCell ref="C183:D183"/>
    <mergeCell ref="C184:D184"/>
    <mergeCell ref="C185:D185"/>
    <mergeCell ref="C176:D176"/>
    <mergeCell ref="M189:M190"/>
    <mergeCell ref="M193:M194"/>
    <mergeCell ref="O193:O194"/>
    <mergeCell ref="O189:O190"/>
    <mergeCell ref="O183:O184"/>
    <mergeCell ref="C492:D492"/>
    <mergeCell ref="C493:D493"/>
    <mergeCell ref="C494:D494"/>
    <mergeCell ref="C496:D496"/>
    <mergeCell ref="C491:D491"/>
    <mergeCell ref="C495:D495"/>
    <mergeCell ref="H480:H485"/>
    <mergeCell ref="A481:D481"/>
    <mergeCell ref="C273:D273"/>
    <mergeCell ref="A482:D482"/>
    <mergeCell ref="A483:D483"/>
    <mergeCell ref="A484:D484"/>
    <mergeCell ref="A485:D485"/>
    <mergeCell ref="C471:D471"/>
    <mergeCell ref="C472:D472"/>
    <mergeCell ref="C477:D477"/>
    <mergeCell ref="C478:D478"/>
    <mergeCell ref="H282:H287"/>
    <mergeCell ref="C474:D474"/>
    <mergeCell ref="C277:D277"/>
    <mergeCell ref="A284:D284"/>
    <mergeCell ref="C479:D479"/>
    <mergeCell ref="H455:H460"/>
    <mergeCell ref="C280:D280"/>
    <mergeCell ref="A463:F463"/>
    <mergeCell ref="A430:G430"/>
    <mergeCell ref="C431:D431"/>
    <mergeCell ref="C432:D432"/>
    <mergeCell ref="A427:F427"/>
    <mergeCell ref="C366:D366"/>
    <mergeCell ref="A486:F486"/>
    <mergeCell ref="A490:G490"/>
    <mergeCell ref="C531:D531"/>
    <mergeCell ref="C448:D448"/>
    <mergeCell ref="A455:D455"/>
    <mergeCell ref="F455:G460"/>
    <mergeCell ref="C447:D447"/>
    <mergeCell ref="C439:D439"/>
    <mergeCell ref="C440:D440"/>
    <mergeCell ref="C441:D441"/>
    <mergeCell ref="C442:D442"/>
    <mergeCell ref="C443:D443"/>
    <mergeCell ref="C445:D445"/>
    <mergeCell ref="C446:D446"/>
    <mergeCell ref="A456:D456"/>
    <mergeCell ref="A457:D457"/>
    <mergeCell ref="A458:D458"/>
    <mergeCell ref="A459:D459"/>
    <mergeCell ref="A460:D460"/>
    <mergeCell ref="A514:F514"/>
    <mergeCell ref="A515:F515"/>
    <mergeCell ref="C523:D523"/>
    <mergeCell ref="C524:D524"/>
    <mergeCell ref="C469:D469"/>
    <mergeCell ref="A507:D507"/>
    <mergeCell ref="F507:G512"/>
    <mergeCell ref="C502:D502"/>
    <mergeCell ref="C503:D503"/>
    <mergeCell ref="C470:D470"/>
    <mergeCell ref="A480:D480"/>
    <mergeCell ref="C498:D498"/>
    <mergeCell ref="C499:D499"/>
    <mergeCell ref="C468:D468"/>
    <mergeCell ref="A517:G517"/>
    <mergeCell ref="H507:H512"/>
    <mergeCell ref="F480:G485"/>
    <mergeCell ref="A487:F487"/>
    <mergeCell ref="C497:D497"/>
    <mergeCell ref="C444:D444"/>
    <mergeCell ref="C452:D452"/>
    <mergeCell ref="C451:D451"/>
    <mergeCell ref="C500:D500"/>
    <mergeCell ref="C501:D501"/>
    <mergeCell ref="C475:D475"/>
    <mergeCell ref="C476:D476"/>
    <mergeCell ref="C433:D433"/>
    <mergeCell ref="C434:D434"/>
    <mergeCell ref="C435:D435"/>
    <mergeCell ref="C504:D504"/>
    <mergeCell ref="C505:D505"/>
    <mergeCell ref="C330:D330"/>
    <mergeCell ref="A379:F379"/>
    <mergeCell ref="C436:D436"/>
    <mergeCell ref="C437:D437"/>
    <mergeCell ref="C438:D438"/>
    <mergeCell ref="A461:F461"/>
    <mergeCell ref="A462:F462"/>
    <mergeCell ref="C450:D450"/>
    <mergeCell ref="C454:D454"/>
    <mergeCell ref="C453:D453"/>
    <mergeCell ref="C449:D449"/>
    <mergeCell ref="A488:F488"/>
    <mergeCell ref="A512:D512"/>
    <mergeCell ref="A465:G465"/>
    <mergeCell ref="C466:D466"/>
    <mergeCell ref="C467:D467"/>
    <mergeCell ref="C519:D519"/>
    <mergeCell ref="C520:D520"/>
    <mergeCell ref="C473:D473"/>
    <mergeCell ref="A606:F606"/>
    <mergeCell ref="A569:D569"/>
    <mergeCell ref="F569:G574"/>
    <mergeCell ref="C589:D589"/>
    <mergeCell ref="C590:D590"/>
    <mergeCell ref="C596:D596"/>
    <mergeCell ref="C594:D594"/>
    <mergeCell ref="C592:D592"/>
    <mergeCell ref="C593:D593"/>
    <mergeCell ref="C595:D595"/>
    <mergeCell ref="C597:D597"/>
    <mergeCell ref="C599:D599"/>
    <mergeCell ref="A600:D600"/>
    <mergeCell ref="F600:G605"/>
    <mergeCell ref="C585:D585"/>
    <mergeCell ref="C586:D586"/>
    <mergeCell ref="C506:D506"/>
    <mergeCell ref="C582:D582"/>
    <mergeCell ref="C583:D583"/>
    <mergeCell ref="C584:D584"/>
    <mergeCell ref="C588:D588"/>
    <mergeCell ref="C591:D591"/>
    <mergeCell ref="C598:D598"/>
    <mergeCell ref="C587:D587"/>
    <mergeCell ref="C527:D527"/>
    <mergeCell ref="C529:D529"/>
    <mergeCell ref="C528:D528"/>
    <mergeCell ref="C562:D562"/>
    <mergeCell ref="A513:F513"/>
    <mergeCell ref="C567:D567"/>
    <mergeCell ref="C566:D566"/>
    <mergeCell ref="A508:D508"/>
    <mergeCell ref="A509:D509"/>
    <mergeCell ref="A510:D510"/>
    <mergeCell ref="A511:D511"/>
    <mergeCell ref="A572:D572"/>
    <mergeCell ref="A573:D573"/>
    <mergeCell ref="A574:D574"/>
    <mergeCell ref="A575:F575"/>
    <mergeCell ref="A576:F576"/>
    <mergeCell ref="A577:F577"/>
    <mergeCell ref="C565:D565"/>
    <mergeCell ref="C551:D551"/>
    <mergeCell ref="C563:D563"/>
    <mergeCell ref="C557:D557"/>
    <mergeCell ref="C558:D558"/>
    <mergeCell ref="C559:D559"/>
    <mergeCell ref="C561:D561"/>
    <mergeCell ref="C560:D560"/>
    <mergeCell ref="C526:D526"/>
    <mergeCell ref="C552:D552"/>
    <mergeCell ref="C521:D521"/>
    <mergeCell ref="C522:D522"/>
    <mergeCell ref="C530:D530"/>
    <mergeCell ref="A540:D540"/>
    <mergeCell ref="C564:D564"/>
    <mergeCell ref="C525:D525"/>
    <mergeCell ref="A550:G550"/>
    <mergeCell ref="A546:F546"/>
    <mergeCell ref="A547:F547"/>
    <mergeCell ref="C518:D518"/>
    <mergeCell ref="H540:H545"/>
    <mergeCell ref="A541:D541"/>
    <mergeCell ref="A542:D542"/>
    <mergeCell ref="A543:D543"/>
    <mergeCell ref="A544:D544"/>
    <mergeCell ref="A545:D545"/>
    <mergeCell ref="C535:D535"/>
    <mergeCell ref="C553:D553"/>
    <mergeCell ref="C554:D554"/>
    <mergeCell ref="C555:D555"/>
    <mergeCell ref="C556:D556"/>
    <mergeCell ref="C536:D536"/>
    <mergeCell ref="C532:D532"/>
    <mergeCell ref="C533:D533"/>
    <mergeCell ref="C534:D534"/>
    <mergeCell ref="C539:D539"/>
    <mergeCell ref="C537:D537"/>
    <mergeCell ref="F540:G545"/>
    <mergeCell ref="A548:F548"/>
    <mergeCell ref="C538:D538"/>
    <mergeCell ref="H600:H605"/>
    <mergeCell ref="A601:D601"/>
    <mergeCell ref="A602:D602"/>
    <mergeCell ref="A603:D603"/>
    <mergeCell ref="A604:D604"/>
    <mergeCell ref="A605:D605"/>
    <mergeCell ref="C568:D568"/>
    <mergeCell ref="C617:D617"/>
    <mergeCell ref="A633:D633"/>
    <mergeCell ref="F633:G638"/>
    <mergeCell ref="H633:H638"/>
    <mergeCell ref="A634:D634"/>
    <mergeCell ref="A635:D635"/>
    <mergeCell ref="A636:D636"/>
    <mergeCell ref="A637:D637"/>
    <mergeCell ref="A638:D638"/>
    <mergeCell ref="C618:D618"/>
    <mergeCell ref="C632:D632"/>
    <mergeCell ref="C621:D621"/>
    <mergeCell ref="C622:D622"/>
    <mergeCell ref="C619:D619"/>
    <mergeCell ref="C620:D620"/>
    <mergeCell ref="C630:D630"/>
    <mergeCell ref="C631:D631"/>
    <mergeCell ref="A607:F607"/>
    <mergeCell ref="A608:F608"/>
    <mergeCell ref="A579:G579"/>
    <mergeCell ref="C580:D580"/>
    <mergeCell ref="C581:D581"/>
    <mergeCell ref="H569:H574"/>
    <mergeCell ref="A570:D570"/>
    <mergeCell ref="A571:D571"/>
    <mergeCell ref="C649:D649"/>
    <mergeCell ref="C650:D650"/>
    <mergeCell ref="C647:D647"/>
    <mergeCell ref="C655:D655"/>
    <mergeCell ref="C652:D652"/>
    <mergeCell ref="A656:D656"/>
    <mergeCell ref="F656:G661"/>
    <mergeCell ref="H656:H661"/>
    <mergeCell ref="A657:D657"/>
    <mergeCell ref="A658:D658"/>
    <mergeCell ref="A659:D659"/>
    <mergeCell ref="A660:D660"/>
    <mergeCell ref="A661:D661"/>
    <mergeCell ref="C651:D651"/>
    <mergeCell ref="C645:D645"/>
    <mergeCell ref="C646:D646"/>
    <mergeCell ref="C653:D653"/>
    <mergeCell ref="C654:D654"/>
    <mergeCell ref="C694:D694"/>
    <mergeCell ref="C695:D695"/>
    <mergeCell ref="C696:D696"/>
    <mergeCell ref="C697:D697"/>
    <mergeCell ref="C699:D699"/>
    <mergeCell ref="A703:D703"/>
    <mergeCell ref="F703:G708"/>
    <mergeCell ref="A662:F662"/>
    <mergeCell ref="A663:F663"/>
    <mergeCell ref="A664:F664"/>
    <mergeCell ref="A689:F689"/>
    <mergeCell ref="A690:F690"/>
    <mergeCell ref="A691:F691"/>
    <mergeCell ref="A666:G666"/>
    <mergeCell ref="C667:D667"/>
    <mergeCell ref="C668:D668"/>
    <mergeCell ref="C669:D669"/>
    <mergeCell ref="C670:D670"/>
    <mergeCell ref="A683:D683"/>
    <mergeCell ref="F683:G688"/>
    <mergeCell ref="H703:H708"/>
    <mergeCell ref="A704:D704"/>
    <mergeCell ref="A705:D705"/>
    <mergeCell ref="A706:D706"/>
    <mergeCell ref="A707:D707"/>
    <mergeCell ref="A708:D708"/>
    <mergeCell ref="C698:D698"/>
    <mergeCell ref="C701:D701"/>
    <mergeCell ref="C702:D702"/>
    <mergeCell ref="C700:D700"/>
    <mergeCell ref="A729:F729"/>
    <mergeCell ref="A730:F730"/>
    <mergeCell ref="A713:G713"/>
    <mergeCell ref="C714:D714"/>
    <mergeCell ref="C715:D715"/>
    <mergeCell ref="A722:D722"/>
    <mergeCell ref="F722:G727"/>
    <mergeCell ref="H722:H727"/>
    <mergeCell ref="A723:D723"/>
    <mergeCell ref="A724:D724"/>
    <mergeCell ref="A725:D725"/>
    <mergeCell ref="A726:D726"/>
    <mergeCell ref="A727:D727"/>
    <mergeCell ref="A728:F728"/>
    <mergeCell ref="C716:D716"/>
    <mergeCell ref="C717:D717"/>
    <mergeCell ref="C721:D721"/>
    <mergeCell ref="C719:D719"/>
    <mergeCell ref="C720:D720"/>
    <mergeCell ref="C718:D718"/>
    <mergeCell ref="A709:F709"/>
    <mergeCell ref="A710:F710"/>
    <mergeCell ref="C760:D760"/>
    <mergeCell ref="H761:H766"/>
    <mergeCell ref="H742:H747"/>
    <mergeCell ref="C774:D774"/>
    <mergeCell ref="F823:G825"/>
    <mergeCell ref="C806:D806"/>
    <mergeCell ref="A771:G771"/>
    <mergeCell ref="C772:D772"/>
    <mergeCell ref="A778:D778"/>
    <mergeCell ref="F778:G780"/>
    <mergeCell ref="A779:D779"/>
    <mergeCell ref="A780:D780"/>
    <mergeCell ref="A781:F781"/>
    <mergeCell ref="A782:D782"/>
    <mergeCell ref="A784:G784"/>
    <mergeCell ref="C785:D785"/>
    <mergeCell ref="C786:D786"/>
    <mergeCell ref="C788:D788"/>
    <mergeCell ref="C791:D791"/>
    <mergeCell ref="A792:D792"/>
    <mergeCell ref="F792:G794"/>
    <mergeCell ref="A793:D793"/>
    <mergeCell ref="A794:D794"/>
    <mergeCell ref="A795:F795"/>
    <mergeCell ref="A796:D796"/>
    <mergeCell ref="C804:D804"/>
    <mergeCell ref="C790:D790"/>
    <mergeCell ref="C820:D820"/>
    <mergeCell ref="C821:D821"/>
    <mergeCell ref="C789:D789"/>
    <mergeCell ref="A752:G752"/>
    <mergeCell ref="C759:D759"/>
    <mergeCell ref="A829:G829"/>
    <mergeCell ref="C830:D830"/>
    <mergeCell ref="C831:D831"/>
    <mergeCell ref="A833:D833"/>
    <mergeCell ref="F833:G835"/>
    <mergeCell ref="A834:D834"/>
    <mergeCell ref="A835:D835"/>
    <mergeCell ref="A836:F836"/>
    <mergeCell ref="A837:D837"/>
    <mergeCell ref="A798:G798"/>
    <mergeCell ref="C799:D799"/>
    <mergeCell ref="C800:D800"/>
    <mergeCell ref="C801:D801"/>
    <mergeCell ref="C802:D802"/>
    <mergeCell ref="C803:D803"/>
    <mergeCell ref="C807:D807"/>
    <mergeCell ref="C819:D819"/>
    <mergeCell ref="A827:D827"/>
    <mergeCell ref="A808:D808"/>
    <mergeCell ref="F808:G810"/>
    <mergeCell ref="A809:D809"/>
    <mergeCell ref="A810:D810"/>
    <mergeCell ref="A811:F811"/>
    <mergeCell ref="A812:D812"/>
    <mergeCell ref="C832:D832"/>
    <mergeCell ref="A823:D823"/>
    <mergeCell ref="C822:D822"/>
    <mergeCell ref="A824:D824"/>
    <mergeCell ref="A825:D825"/>
    <mergeCell ref="C775:D775"/>
    <mergeCell ref="C777:D777"/>
    <mergeCell ref="I839:M839"/>
    <mergeCell ref="C885:D885"/>
    <mergeCell ref="I881:I884"/>
    <mergeCell ref="C864:D864"/>
    <mergeCell ref="C859:D859"/>
    <mergeCell ref="C860:D860"/>
    <mergeCell ref="A854:G854"/>
    <mergeCell ref="C855:D855"/>
    <mergeCell ref="C856:D856"/>
    <mergeCell ref="C857:D857"/>
    <mergeCell ref="C858:D858"/>
    <mergeCell ref="A869:D869"/>
    <mergeCell ref="F869:G871"/>
    <mergeCell ref="A870:D870"/>
    <mergeCell ref="A871:D871"/>
    <mergeCell ref="A872:F872"/>
    <mergeCell ref="A873:D873"/>
    <mergeCell ref="C863:D863"/>
    <mergeCell ref="C867:D867"/>
    <mergeCell ref="C865:D865"/>
    <mergeCell ref="C866:D866"/>
    <mergeCell ref="C868:D868"/>
    <mergeCell ref="C846:D846"/>
    <mergeCell ref="C847:D847"/>
    <mergeCell ref="A875:G875"/>
    <mergeCell ref="C876:D876"/>
    <mergeCell ref="C877:D877"/>
    <mergeCell ref="C878:D878"/>
    <mergeCell ref="C879:D879"/>
    <mergeCell ref="A839:G839"/>
    <mergeCell ref="C840:D840"/>
    <mergeCell ref="C841:D841"/>
    <mergeCell ref="A886:D886"/>
    <mergeCell ref="F886:G888"/>
    <mergeCell ref="A887:D887"/>
    <mergeCell ref="A888:D888"/>
    <mergeCell ref="A889:F889"/>
    <mergeCell ref="A890:D890"/>
    <mergeCell ref="A892:G892"/>
    <mergeCell ref="C893:D893"/>
    <mergeCell ref="C894:D894"/>
    <mergeCell ref="C901:D901"/>
    <mergeCell ref="C880:D880"/>
    <mergeCell ref="C881:D881"/>
    <mergeCell ref="C882:D882"/>
    <mergeCell ref="C883:D883"/>
    <mergeCell ref="C884:D884"/>
    <mergeCell ref="C895:D895"/>
    <mergeCell ref="C896:D896"/>
    <mergeCell ref="C897:D897"/>
    <mergeCell ref="C898:D898"/>
    <mergeCell ref="C899:D899"/>
    <mergeCell ref="C842:D842"/>
    <mergeCell ref="C845:D845"/>
    <mergeCell ref="A848:D848"/>
    <mergeCell ref="F848:G850"/>
    <mergeCell ref="A851:F851"/>
    <mergeCell ref="A943:D943"/>
    <mergeCell ref="A944:F944"/>
    <mergeCell ref="C912:D912"/>
    <mergeCell ref="C900:D900"/>
    <mergeCell ref="A921:D921"/>
    <mergeCell ref="F921:G923"/>
    <mergeCell ref="A922:D922"/>
    <mergeCell ref="A923:D923"/>
    <mergeCell ref="A924:F924"/>
    <mergeCell ref="C902:D902"/>
    <mergeCell ref="A903:D903"/>
    <mergeCell ref="F903:G905"/>
    <mergeCell ref="A904:D904"/>
    <mergeCell ref="A905:D905"/>
    <mergeCell ref="A906:F906"/>
    <mergeCell ref="A907:D907"/>
    <mergeCell ref="A909:G909"/>
    <mergeCell ref="C910:D910"/>
    <mergeCell ref="C911:D911"/>
    <mergeCell ref="C913:D913"/>
    <mergeCell ref="C914:D914"/>
    <mergeCell ref="C980:D980"/>
    <mergeCell ref="C968:D968"/>
    <mergeCell ref="C965:D965"/>
    <mergeCell ref="C966:D966"/>
    <mergeCell ref="C967:D967"/>
    <mergeCell ref="A925:D925"/>
    <mergeCell ref="C940:D940"/>
    <mergeCell ref="C938:D938"/>
    <mergeCell ref="C964:D964"/>
    <mergeCell ref="A958:F958"/>
    <mergeCell ref="C937:D937"/>
    <mergeCell ref="C915:D915"/>
    <mergeCell ref="C916:D916"/>
    <mergeCell ref="C919:D919"/>
    <mergeCell ref="C917:D917"/>
    <mergeCell ref="C918:D918"/>
    <mergeCell ref="C920:D920"/>
    <mergeCell ref="A927:G927"/>
    <mergeCell ref="A941:D941"/>
    <mergeCell ref="C953:D953"/>
    <mergeCell ref="C928:D928"/>
    <mergeCell ref="C929:D929"/>
    <mergeCell ref="C930:D930"/>
    <mergeCell ref="C939:D939"/>
    <mergeCell ref="C933:D933"/>
    <mergeCell ref="C934:D934"/>
    <mergeCell ref="C931:D931"/>
    <mergeCell ref="C936:D936"/>
    <mergeCell ref="C932:D932"/>
    <mergeCell ref="C935:D935"/>
    <mergeCell ref="F941:G943"/>
    <mergeCell ref="A942:D942"/>
    <mergeCell ref="N1023:P1023"/>
    <mergeCell ref="C1022:D1022"/>
    <mergeCell ref="C1000:D1000"/>
    <mergeCell ref="C1016:D1016"/>
    <mergeCell ref="A1007:D1007"/>
    <mergeCell ref="A1008:D1008"/>
    <mergeCell ref="C1013:D1013"/>
    <mergeCell ref="C1014:D1014"/>
    <mergeCell ref="A1050:D1050"/>
    <mergeCell ref="C981:D981"/>
    <mergeCell ref="C982:D982"/>
    <mergeCell ref="A972:F972"/>
    <mergeCell ref="A973:D973"/>
    <mergeCell ref="A947:G947"/>
    <mergeCell ref="C948:D948"/>
    <mergeCell ref="C949:D949"/>
    <mergeCell ref="C950:D950"/>
    <mergeCell ref="C951:D951"/>
    <mergeCell ref="C952:D952"/>
    <mergeCell ref="C954:D954"/>
    <mergeCell ref="A955:D955"/>
    <mergeCell ref="F955:G957"/>
    <mergeCell ref="A956:D956"/>
    <mergeCell ref="C1002:D1002"/>
    <mergeCell ref="C1003:D1003"/>
    <mergeCell ref="A975:G975"/>
    <mergeCell ref="C985:D985"/>
    <mergeCell ref="A957:D957"/>
    <mergeCell ref="F969:G971"/>
    <mergeCell ref="A970:D970"/>
    <mergeCell ref="A971:D971"/>
    <mergeCell ref="C986:D986"/>
    <mergeCell ref="A1051:F1051"/>
    <mergeCell ref="A1052:D1052"/>
    <mergeCell ref="F1029:G1031"/>
    <mergeCell ref="A1030:D1030"/>
    <mergeCell ref="A1031:D1031"/>
    <mergeCell ref="A1032:F1032"/>
    <mergeCell ref="A1033:D1033"/>
    <mergeCell ref="A1035:G1035"/>
    <mergeCell ref="A1029:D1029"/>
    <mergeCell ref="F1048:G1050"/>
    <mergeCell ref="A1049:D1049"/>
    <mergeCell ref="K993:M993"/>
    <mergeCell ref="C998:D998"/>
    <mergeCell ref="A1012:G1012"/>
    <mergeCell ref="K1012:M1012"/>
    <mergeCell ref="A1009:F1009"/>
    <mergeCell ref="C1005:D1005"/>
    <mergeCell ref="C1024:D1024"/>
    <mergeCell ref="C1025:D1025"/>
    <mergeCell ref="C1015:D1015"/>
    <mergeCell ref="C1027:D1027"/>
    <mergeCell ref="A1006:D1006"/>
    <mergeCell ref="F1006:G1008"/>
    <mergeCell ref="C1004:D1004"/>
    <mergeCell ref="C994:D994"/>
    <mergeCell ref="C995:D995"/>
    <mergeCell ref="C999:D999"/>
    <mergeCell ref="K1023:M1023"/>
    <mergeCell ref="C996:D996"/>
    <mergeCell ref="C997:D997"/>
    <mergeCell ref="A993:G993"/>
    <mergeCell ref="C1018:D1018"/>
    <mergeCell ref="A1054:G1054"/>
    <mergeCell ref="C1055:D1055"/>
    <mergeCell ref="C1056:D1056"/>
    <mergeCell ref="C1057:D1057"/>
    <mergeCell ref="C1042:D1042"/>
    <mergeCell ref="C1044:D1044"/>
    <mergeCell ref="C1023:D1023"/>
    <mergeCell ref="F1090:G1092"/>
    <mergeCell ref="C1086:D1086"/>
    <mergeCell ref="C1045:D1045"/>
    <mergeCell ref="C1046:D1046"/>
    <mergeCell ref="C1047:D1047"/>
    <mergeCell ref="C1060:D1060"/>
    <mergeCell ref="C1061:D1061"/>
    <mergeCell ref="C1036:D1036"/>
    <mergeCell ref="C1037:D1037"/>
    <mergeCell ref="C1081:D1081"/>
    <mergeCell ref="C1082:D1082"/>
    <mergeCell ref="C1083:D1083"/>
    <mergeCell ref="C1080:D1080"/>
    <mergeCell ref="C1062:D1062"/>
    <mergeCell ref="C1063:D1063"/>
    <mergeCell ref="C1064:D1064"/>
    <mergeCell ref="C1065:D1065"/>
    <mergeCell ref="A1073:F1073"/>
    <mergeCell ref="C1043:D1043"/>
    <mergeCell ref="C1084:D1084"/>
    <mergeCell ref="C1039:D1039"/>
    <mergeCell ref="C1040:D1040"/>
    <mergeCell ref="C1041:D1041"/>
    <mergeCell ref="A1048:D1048"/>
    <mergeCell ref="C1058:D1058"/>
    <mergeCell ref="K1124:M1124"/>
    <mergeCell ref="A1147:F1147"/>
    <mergeCell ref="C1085:D1085"/>
    <mergeCell ref="C1117:D1117"/>
    <mergeCell ref="C1118:D1118"/>
    <mergeCell ref="C1119:D1119"/>
    <mergeCell ref="C1120:D1120"/>
    <mergeCell ref="C1121:D1121"/>
    <mergeCell ref="A1112:G1112"/>
    <mergeCell ref="K1112:M1112"/>
    <mergeCell ref="C1113:D1113"/>
    <mergeCell ref="C1114:D1114"/>
    <mergeCell ref="C1115:D1115"/>
    <mergeCell ref="C1116:D1116"/>
    <mergeCell ref="A1110:D1110"/>
    <mergeCell ref="C1089:D1089"/>
    <mergeCell ref="A1090:D1090"/>
    <mergeCell ref="C1100:D1100"/>
    <mergeCell ref="C1101:D1101"/>
    <mergeCell ref="C1102:D1102"/>
    <mergeCell ref="C1103:D1103"/>
    <mergeCell ref="C1104:D1104"/>
    <mergeCell ref="A1108:D1108"/>
    <mergeCell ref="A1109:F1109"/>
    <mergeCell ref="A1106:D1106"/>
    <mergeCell ref="F1106:G1108"/>
    <mergeCell ref="A1107:D1107"/>
    <mergeCell ref="A1091:D1091"/>
    <mergeCell ref="A1092:D1092"/>
    <mergeCell ref="C1097:D1097"/>
    <mergeCell ref="C1098:D1098"/>
    <mergeCell ref="C1099:D1099"/>
    <mergeCell ref="A1130:F1130"/>
    <mergeCell ref="A1131:D1131"/>
    <mergeCell ref="A1133:G1133"/>
    <mergeCell ref="K1133:M1133"/>
    <mergeCell ref="C1134:D1134"/>
    <mergeCell ref="C1152:D1152"/>
    <mergeCell ref="C1153:D1153"/>
    <mergeCell ref="C1141:D1141"/>
    <mergeCell ref="C1142:D1142"/>
    <mergeCell ref="K1142:M1142"/>
    <mergeCell ref="C1143:D1143"/>
    <mergeCell ref="A1144:D1144"/>
    <mergeCell ref="F1144:G1146"/>
    <mergeCell ref="A1145:D1145"/>
    <mergeCell ref="A1146:D1146"/>
    <mergeCell ref="C1136:D1136"/>
    <mergeCell ref="C1137:D1137"/>
    <mergeCell ref="C1138:D1138"/>
    <mergeCell ref="C1139:D1139"/>
    <mergeCell ref="C1140:D1140"/>
    <mergeCell ref="C1203:D1203"/>
    <mergeCell ref="C1204:D1204"/>
    <mergeCell ref="C1205:D1205"/>
    <mergeCell ref="C1206:D1206"/>
    <mergeCell ref="C1208:D1208"/>
    <mergeCell ref="C1220:D1220"/>
    <mergeCell ref="A1196:F1196"/>
    <mergeCell ref="A1197:D1197"/>
    <mergeCell ref="K1170:M1170"/>
    <mergeCell ref="C1171:D1171"/>
    <mergeCell ref="C1172:D1172"/>
    <mergeCell ref="C1207:D1207"/>
    <mergeCell ref="C1157:D1157"/>
    <mergeCell ref="C1158:D1158"/>
    <mergeCell ref="C1159:D1159"/>
    <mergeCell ref="A1148:D1148"/>
    <mergeCell ref="A1150:G1150"/>
    <mergeCell ref="C1151:D1151"/>
    <mergeCell ref="A1165:D1165"/>
    <mergeCell ref="A1166:D1166"/>
    <mergeCell ref="A1278:F1278"/>
    <mergeCell ref="J1278:K1278"/>
    <mergeCell ref="A1279:D1279"/>
    <mergeCell ref="A1281:G1281"/>
    <mergeCell ref="J1281:M1281"/>
    <mergeCell ref="A1289:F1289"/>
    <mergeCell ref="A1265:G1265"/>
    <mergeCell ref="J1265:M1265"/>
    <mergeCell ref="C1266:D1266"/>
    <mergeCell ref="C1267:D1267"/>
    <mergeCell ref="C1268:D1268"/>
    <mergeCell ref="C1269:D1269"/>
    <mergeCell ref="A1259:D1259"/>
    <mergeCell ref="F1259:G1261"/>
    <mergeCell ref="A1260:D1260"/>
    <mergeCell ref="A1261:D1261"/>
    <mergeCell ref="A1262:F1262"/>
    <mergeCell ref="A1263:D1263"/>
    <mergeCell ref="F1275:G1277"/>
    <mergeCell ref="C1270:D1270"/>
    <mergeCell ref="C1271:D1271"/>
    <mergeCell ref="C1272:D1272"/>
    <mergeCell ref="C1273:D1273"/>
    <mergeCell ref="C1274:D1274"/>
    <mergeCell ref="A1275:D1275"/>
    <mergeCell ref="C1298:D1298"/>
    <mergeCell ref="C1309:D1309"/>
    <mergeCell ref="C1310:D1310"/>
    <mergeCell ref="A1306:D1306"/>
    <mergeCell ref="A1308:G1308"/>
    <mergeCell ref="C1313:D1313"/>
    <mergeCell ref="M1275:M1277"/>
    <mergeCell ref="A1276:D1276"/>
    <mergeCell ref="A1277:D1277"/>
    <mergeCell ref="J1308:M1308"/>
    <mergeCell ref="M1302:M1304"/>
    <mergeCell ref="A1303:D1303"/>
    <mergeCell ref="A1304:D1304"/>
    <mergeCell ref="A1305:F1305"/>
    <mergeCell ref="J1305:K1305"/>
    <mergeCell ref="A1302:D1302"/>
    <mergeCell ref="F1302:G1304"/>
    <mergeCell ref="C1311:D1311"/>
    <mergeCell ref="C1312:D1312"/>
    <mergeCell ref="J1289:K1289"/>
    <mergeCell ref="A1290:D1290"/>
    <mergeCell ref="A1292:G1292"/>
    <mergeCell ref="J1292:M1292"/>
    <mergeCell ref="M1286:M1288"/>
    <mergeCell ref="A1287:D1287"/>
    <mergeCell ref="A1288:D1288"/>
    <mergeCell ref="C1282:D1282"/>
    <mergeCell ref="C1283:D1283"/>
    <mergeCell ref="C1284:D1284"/>
    <mergeCell ref="C1285:D1285"/>
    <mergeCell ref="A1286:D1286"/>
    <mergeCell ref="F1286:G1288"/>
    <mergeCell ref="C1335:D1335"/>
    <mergeCell ref="C1336:D1336"/>
    <mergeCell ref="C1337:D1337"/>
    <mergeCell ref="C1338:D1338"/>
    <mergeCell ref="C1339:D1339"/>
    <mergeCell ref="C1340:D1340"/>
    <mergeCell ref="C1334:D1334"/>
    <mergeCell ref="A1324:F1324"/>
    <mergeCell ref="J1324:K1324"/>
    <mergeCell ref="A1325:D1325"/>
    <mergeCell ref="A1327:G1327"/>
    <mergeCell ref="C1328:D1328"/>
    <mergeCell ref="M1321:M1323"/>
    <mergeCell ref="A1322:D1322"/>
    <mergeCell ref="A1323:D1323"/>
    <mergeCell ref="C1317:D1317"/>
    <mergeCell ref="C1318:D1318"/>
    <mergeCell ref="C1319:D1319"/>
    <mergeCell ref="C1320:D1320"/>
    <mergeCell ref="A1321:D1321"/>
    <mergeCell ref="F1321:G1323"/>
    <mergeCell ref="C1329:D1329"/>
    <mergeCell ref="C1330:D1330"/>
    <mergeCell ref="C1331:D1331"/>
    <mergeCell ref="C1332:D1332"/>
    <mergeCell ref="C1333:D1333"/>
    <mergeCell ref="C1353:D1353"/>
    <mergeCell ref="C1354:D1354"/>
    <mergeCell ref="C1355:D1355"/>
    <mergeCell ref="C1356:D1356"/>
    <mergeCell ref="C1357:D1357"/>
    <mergeCell ref="C1358:D1358"/>
    <mergeCell ref="A1346:D1346"/>
    <mergeCell ref="A1348:G1348"/>
    <mergeCell ref="C1349:D1349"/>
    <mergeCell ref="C1350:D1350"/>
    <mergeCell ref="C1351:D1351"/>
    <mergeCell ref="C1352:D1352"/>
    <mergeCell ref="C1341:D1341"/>
    <mergeCell ref="A1342:D1342"/>
    <mergeCell ref="F1342:G1344"/>
    <mergeCell ref="A1343:D1343"/>
    <mergeCell ref="A1344:D1344"/>
    <mergeCell ref="A1345:F1345"/>
    <mergeCell ref="C1372:D1372"/>
    <mergeCell ref="C1373:D1373"/>
    <mergeCell ref="C1374:D1374"/>
    <mergeCell ref="C1375:D1375"/>
    <mergeCell ref="C1376:D1376"/>
    <mergeCell ref="C1377:D1377"/>
    <mergeCell ref="A1365:F1365"/>
    <mergeCell ref="A1366:D1366"/>
    <mergeCell ref="A1368:G1368"/>
    <mergeCell ref="C1369:D1369"/>
    <mergeCell ref="C1370:D1370"/>
    <mergeCell ref="C1371:D1371"/>
    <mergeCell ref="C1359:D1359"/>
    <mergeCell ref="C1360:D1360"/>
    <mergeCell ref="C1361:D1361"/>
    <mergeCell ref="A1362:D1362"/>
    <mergeCell ref="F1362:G1364"/>
    <mergeCell ref="A1363:D1363"/>
    <mergeCell ref="A1364:D1364"/>
    <mergeCell ref="C1390:D1390"/>
    <mergeCell ref="C1391:D1391"/>
    <mergeCell ref="C1392:D1392"/>
    <mergeCell ref="C1393:D1393"/>
    <mergeCell ref="C1394:D1394"/>
    <mergeCell ref="C1395:D1395"/>
    <mergeCell ref="F1383:G1385"/>
    <mergeCell ref="A1384:D1384"/>
    <mergeCell ref="A1385:D1385"/>
    <mergeCell ref="A1386:F1386"/>
    <mergeCell ref="A1387:D1387"/>
    <mergeCell ref="A1389:G1389"/>
    <mergeCell ref="C1378:D1378"/>
    <mergeCell ref="C1379:D1379"/>
    <mergeCell ref="C1380:D1380"/>
    <mergeCell ref="C1381:D1381"/>
    <mergeCell ref="C1382:D1382"/>
    <mergeCell ref="A1383:D1383"/>
    <mergeCell ref="C1408:D1408"/>
    <mergeCell ref="C1409:D1409"/>
    <mergeCell ref="C1410:D1410"/>
    <mergeCell ref="C1411:D1411"/>
    <mergeCell ref="C1412:D1412"/>
    <mergeCell ref="C1413:D1413"/>
    <mergeCell ref="F1401:G1403"/>
    <mergeCell ref="A1402:D1402"/>
    <mergeCell ref="A1403:D1403"/>
    <mergeCell ref="A1404:F1404"/>
    <mergeCell ref="A1405:D1405"/>
    <mergeCell ref="A1407:G1407"/>
    <mergeCell ref="C1396:D1396"/>
    <mergeCell ref="C1397:D1397"/>
    <mergeCell ref="C1398:D1398"/>
    <mergeCell ref="C1399:D1399"/>
    <mergeCell ref="C1400:D1400"/>
    <mergeCell ref="A1401:D1401"/>
    <mergeCell ref="A1426:F1426"/>
    <mergeCell ref="A1427:D1427"/>
    <mergeCell ref="A1429:G1429"/>
    <mergeCell ref="C1430:D1430"/>
    <mergeCell ref="C1431:D1431"/>
    <mergeCell ref="C1432:D1432"/>
    <mergeCell ref="C1420:D1420"/>
    <mergeCell ref="C1421:D1421"/>
    <mergeCell ref="C1422:D1422"/>
    <mergeCell ref="A1423:D1423"/>
    <mergeCell ref="F1423:G1425"/>
    <mergeCell ref="A1424:D1424"/>
    <mergeCell ref="A1425:D1425"/>
    <mergeCell ref="C1414:D1414"/>
    <mergeCell ref="C1415:D1415"/>
    <mergeCell ref="C1416:D1416"/>
    <mergeCell ref="C1417:D1417"/>
    <mergeCell ref="C1418:D1418"/>
    <mergeCell ref="C1419:D1419"/>
    <mergeCell ref="C1445:D1445"/>
    <mergeCell ref="A1446:D1446"/>
    <mergeCell ref="F1446:G1448"/>
    <mergeCell ref="A1447:D1447"/>
    <mergeCell ref="A1448:D1448"/>
    <mergeCell ref="A1449:F1449"/>
    <mergeCell ref="C1439:D1439"/>
    <mergeCell ref="C1440:D1440"/>
    <mergeCell ref="C1441:D1441"/>
    <mergeCell ref="C1442:D1442"/>
    <mergeCell ref="C1443:D1443"/>
    <mergeCell ref="C1444:D1444"/>
    <mergeCell ref="C1433:D1433"/>
    <mergeCell ref="C1434:D1434"/>
    <mergeCell ref="C1435:D1435"/>
    <mergeCell ref="C1436:D1436"/>
    <mergeCell ref="C1437:D1437"/>
    <mergeCell ref="C1438:D1438"/>
    <mergeCell ref="A1463:F1463"/>
    <mergeCell ref="A1464:D1464"/>
    <mergeCell ref="A1466:G1466"/>
    <mergeCell ref="C1467:D1467"/>
    <mergeCell ref="C1468:D1468"/>
    <mergeCell ref="C1469:D1469"/>
    <mergeCell ref="C1457:D1457"/>
    <mergeCell ref="C1458:D1458"/>
    <mergeCell ref="C1459:D1459"/>
    <mergeCell ref="A1460:D1460"/>
    <mergeCell ref="F1460:G1462"/>
    <mergeCell ref="A1461:D1461"/>
    <mergeCell ref="A1462:D1462"/>
    <mergeCell ref="A1450:D1450"/>
    <mergeCell ref="A1452:G1452"/>
    <mergeCell ref="C1453:D1453"/>
    <mergeCell ref="C1454:D1454"/>
    <mergeCell ref="C1455:D1455"/>
    <mergeCell ref="C1456:D1456"/>
    <mergeCell ref="A1482:G1482"/>
    <mergeCell ref="C1483:D1483"/>
    <mergeCell ref="C1484:D1484"/>
    <mergeCell ref="C1485:D1485"/>
    <mergeCell ref="C1486:D1486"/>
    <mergeCell ref="C1487:D1487"/>
    <mergeCell ref="A1476:D1476"/>
    <mergeCell ref="F1476:G1478"/>
    <mergeCell ref="A1477:D1477"/>
    <mergeCell ref="A1478:D1478"/>
    <mergeCell ref="A1479:F1479"/>
    <mergeCell ref="A1480:D1480"/>
    <mergeCell ref="C1470:D1470"/>
    <mergeCell ref="C1471:D1471"/>
    <mergeCell ref="C1472:D1472"/>
    <mergeCell ref="C1473:D1473"/>
    <mergeCell ref="C1474:D1474"/>
    <mergeCell ref="C1475:D1475"/>
    <mergeCell ref="A1499:G1499"/>
    <mergeCell ref="C1500:D1500"/>
    <mergeCell ref="C1501:D1501"/>
    <mergeCell ref="C1502:D1502"/>
    <mergeCell ref="C1503:D1503"/>
    <mergeCell ref="C1504:D1504"/>
    <mergeCell ref="A1493:D1493"/>
    <mergeCell ref="F1493:G1495"/>
    <mergeCell ref="A1494:D1494"/>
    <mergeCell ref="A1495:D1495"/>
    <mergeCell ref="A1496:F1496"/>
    <mergeCell ref="A1497:D1497"/>
    <mergeCell ref="C1488:D1488"/>
    <mergeCell ref="C1489:D1489"/>
    <mergeCell ref="C1490:D1490"/>
    <mergeCell ref="C1491:D1491"/>
    <mergeCell ref="H1491:H1492"/>
    <mergeCell ref="C1492:D1492"/>
    <mergeCell ref="C1521:D1521"/>
    <mergeCell ref="C1522:D1522"/>
    <mergeCell ref="C1523:D1523"/>
    <mergeCell ref="C1524:D1524"/>
    <mergeCell ref="C1525:D1525"/>
    <mergeCell ref="A1526:D1526"/>
    <mergeCell ref="A1512:F1512"/>
    <mergeCell ref="A1513:D1513"/>
    <mergeCell ref="A1515:G1515"/>
    <mergeCell ref="C1516:D1516"/>
    <mergeCell ref="C1517:D1517"/>
    <mergeCell ref="H1517:H1520"/>
    <mergeCell ref="C1518:D1518"/>
    <mergeCell ref="C1519:D1519"/>
    <mergeCell ref="C1520:D1520"/>
    <mergeCell ref="C1505:D1505"/>
    <mergeCell ref="C1506:D1506"/>
    <mergeCell ref="C1507:D1507"/>
    <mergeCell ref="C1508:D1508"/>
    <mergeCell ref="A1509:D1509"/>
    <mergeCell ref="F1509:G1511"/>
    <mergeCell ref="A1510:D1510"/>
    <mergeCell ref="A1511:D1511"/>
    <mergeCell ref="E1538:F1538"/>
    <mergeCell ref="C1539:D1539"/>
    <mergeCell ref="C1540:D1540"/>
    <mergeCell ref="C1541:D1541"/>
    <mergeCell ref="C1542:D1542"/>
    <mergeCell ref="C1543:D1543"/>
    <mergeCell ref="C1533:D1533"/>
    <mergeCell ref="C1534:D1534"/>
    <mergeCell ref="C1535:D1535"/>
    <mergeCell ref="C1536:D1536"/>
    <mergeCell ref="C1537:D1537"/>
    <mergeCell ref="C1538:D1538"/>
    <mergeCell ref="F1526:G1528"/>
    <mergeCell ref="A1527:D1527"/>
    <mergeCell ref="A1528:D1528"/>
    <mergeCell ref="A1529:F1529"/>
    <mergeCell ref="A1530:D1530"/>
    <mergeCell ref="A1532:G1532"/>
    <mergeCell ref="C1556:D1556"/>
    <mergeCell ref="C1557:D1557"/>
    <mergeCell ref="A1558:D1558"/>
    <mergeCell ref="F1558:G1560"/>
    <mergeCell ref="A1559:D1559"/>
    <mergeCell ref="A1560:D1560"/>
    <mergeCell ref="A1549:F1549"/>
    <mergeCell ref="A1550:D1550"/>
    <mergeCell ref="A1552:G1552"/>
    <mergeCell ref="C1553:D1553"/>
    <mergeCell ref="C1554:D1554"/>
    <mergeCell ref="C1555:D1555"/>
    <mergeCell ref="C1544:D1544"/>
    <mergeCell ref="E1544:F1544"/>
    <mergeCell ref="C1545:D1545"/>
    <mergeCell ref="A1546:D1546"/>
    <mergeCell ref="F1546:G1548"/>
    <mergeCell ref="A1547:D1547"/>
    <mergeCell ref="A1548:D1548"/>
    <mergeCell ref="C1574:D1574"/>
    <mergeCell ref="A1575:D1575"/>
    <mergeCell ref="F1575:G1577"/>
    <mergeCell ref="A1576:D1576"/>
    <mergeCell ref="A1577:D1577"/>
    <mergeCell ref="A1578:F1578"/>
    <mergeCell ref="C1568:D1568"/>
    <mergeCell ref="C1569:D1569"/>
    <mergeCell ref="C1570:D1570"/>
    <mergeCell ref="C1571:D1571"/>
    <mergeCell ref="C1572:D1572"/>
    <mergeCell ref="C1573:D1573"/>
    <mergeCell ref="A1561:F1561"/>
    <mergeCell ref="A1562:D1562"/>
    <mergeCell ref="A1564:G1564"/>
    <mergeCell ref="C1565:D1565"/>
    <mergeCell ref="C1566:D1566"/>
    <mergeCell ref="C1567:D1567"/>
    <mergeCell ref="C1592:D1592"/>
    <mergeCell ref="A1593:D1593"/>
    <mergeCell ref="F1593:G1595"/>
    <mergeCell ref="A1594:D1594"/>
    <mergeCell ref="A1595:D1595"/>
    <mergeCell ref="A1596:F1596"/>
    <mergeCell ref="C1586:D1586"/>
    <mergeCell ref="C1587:D1587"/>
    <mergeCell ref="C1588:D1588"/>
    <mergeCell ref="C1589:D1589"/>
    <mergeCell ref="C1590:D1590"/>
    <mergeCell ref="C1591:D1591"/>
    <mergeCell ref="A1579:D1579"/>
    <mergeCell ref="A1581:G1581"/>
    <mergeCell ref="C1582:D1582"/>
    <mergeCell ref="C1583:D1583"/>
    <mergeCell ref="C1584:D1584"/>
    <mergeCell ref="C1585:D1585"/>
    <mergeCell ref="C1610:D1610"/>
    <mergeCell ref="C1611:D1611"/>
    <mergeCell ref="C1612:D1612"/>
    <mergeCell ref="C1613:D1613"/>
    <mergeCell ref="A1614:D1614"/>
    <mergeCell ref="F1614:G1616"/>
    <mergeCell ref="A1615:D1615"/>
    <mergeCell ref="A1616:D1616"/>
    <mergeCell ref="C1604:D1604"/>
    <mergeCell ref="C1605:D1605"/>
    <mergeCell ref="C1606:D1606"/>
    <mergeCell ref="C1607:D1607"/>
    <mergeCell ref="C1608:D1608"/>
    <mergeCell ref="C1609:D1609"/>
    <mergeCell ref="A1597:D1597"/>
    <mergeCell ref="A1599:G1599"/>
    <mergeCell ref="C1600:D1600"/>
    <mergeCell ref="C1601:D1601"/>
    <mergeCell ref="C1602:D1602"/>
    <mergeCell ref="C1603:D1603"/>
    <mergeCell ref="C1630:D1630"/>
    <mergeCell ref="C1631:D1631"/>
    <mergeCell ref="C1632:D1632"/>
    <mergeCell ref="A1633:D1633"/>
    <mergeCell ref="F1633:G1635"/>
    <mergeCell ref="A1634:D1634"/>
    <mergeCell ref="A1635:D1635"/>
    <mergeCell ref="C1624:D1624"/>
    <mergeCell ref="C1625:D1625"/>
    <mergeCell ref="C1626:D1626"/>
    <mergeCell ref="C1627:D1627"/>
    <mergeCell ref="C1628:D1628"/>
    <mergeCell ref="C1629:D1629"/>
    <mergeCell ref="A1617:F1617"/>
    <mergeCell ref="A1618:D1618"/>
    <mergeCell ref="A1620:G1620"/>
    <mergeCell ref="C1621:D1621"/>
    <mergeCell ref="C1622:D1622"/>
    <mergeCell ref="C1623:D1623"/>
    <mergeCell ref="C1649:D1649"/>
    <mergeCell ref="C1650:D1650"/>
    <mergeCell ref="A1651:D1651"/>
    <mergeCell ref="F1651:G1653"/>
    <mergeCell ref="A1652:D1652"/>
    <mergeCell ref="A1653:D1653"/>
    <mergeCell ref="C1643:D1643"/>
    <mergeCell ref="C1644:D1644"/>
    <mergeCell ref="C1645:D1645"/>
    <mergeCell ref="C1646:D1646"/>
    <mergeCell ref="C1647:D1647"/>
    <mergeCell ref="C1648:D1648"/>
    <mergeCell ref="A1636:F1636"/>
    <mergeCell ref="A1637:D1637"/>
    <mergeCell ref="A1639:G1639"/>
    <mergeCell ref="C1640:D1640"/>
    <mergeCell ref="C1641:D1641"/>
    <mergeCell ref="C1642:D1642"/>
    <mergeCell ref="C1667:D1667"/>
    <mergeCell ref="A1668:D1668"/>
    <mergeCell ref="F1668:G1670"/>
    <mergeCell ref="A1669:D1669"/>
    <mergeCell ref="A1670:D1670"/>
    <mergeCell ref="A1671:F1671"/>
    <mergeCell ref="C1661:D1661"/>
    <mergeCell ref="C1662:D1662"/>
    <mergeCell ref="C1663:D1663"/>
    <mergeCell ref="C1664:D1664"/>
    <mergeCell ref="C1665:D1665"/>
    <mergeCell ref="C1666:D1666"/>
    <mergeCell ref="A1654:F1654"/>
    <mergeCell ref="A1655:D1655"/>
    <mergeCell ref="A1657:G1657"/>
    <mergeCell ref="C1658:D1658"/>
    <mergeCell ref="C1659:D1659"/>
    <mergeCell ref="C1660:D1660"/>
    <mergeCell ref="F1684:G1686"/>
    <mergeCell ref="A1685:D1685"/>
    <mergeCell ref="A1686:D1686"/>
    <mergeCell ref="A1687:F1687"/>
    <mergeCell ref="A1688:D1688"/>
    <mergeCell ref="A1690:G1690"/>
    <mergeCell ref="C1679:D1679"/>
    <mergeCell ref="C1680:D1680"/>
    <mergeCell ref="C1681:D1681"/>
    <mergeCell ref="C1682:D1682"/>
    <mergeCell ref="C1683:D1683"/>
    <mergeCell ref="A1684:D1684"/>
    <mergeCell ref="A1672:D1672"/>
    <mergeCell ref="A1674:G1674"/>
    <mergeCell ref="C1675:D1675"/>
    <mergeCell ref="C1676:D1676"/>
    <mergeCell ref="C1677:D1677"/>
    <mergeCell ref="C1678:D1678"/>
    <mergeCell ref="A1702:D1702"/>
    <mergeCell ref="A1704:G1704"/>
    <mergeCell ref="C1705:D1705"/>
    <mergeCell ref="C1706:D1706"/>
    <mergeCell ref="C1707:D1707"/>
    <mergeCell ref="C1708:D1708"/>
    <mergeCell ref="C1697:D1697"/>
    <mergeCell ref="A1698:D1698"/>
    <mergeCell ref="F1698:G1700"/>
    <mergeCell ref="A1699:D1699"/>
    <mergeCell ref="A1700:D1700"/>
    <mergeCell ref="A1701:F1701"/>
    <mergeCell ref="C1691:D1691"/>
    <mergeCell ref="C1692:D1692"/>
    <mergeCell ref="C1693:D1693"/>
    <mergeCell ref="C1694:D1694"/>
    <mergeCell ref="C1695:D1695"/>
    <mergeCell ref="C1696:D1696"/>
    <mergeCell ref="A1721:G1721"/>
    <mergeCell ref="C1722:D1722"/>
    <mergeCell ref="C1723:D1723"/>
    <mergeCell ref="C1724:D1724"/>
    <mergeCell ref="C1725:D1725"/>
    <mergeCell ref="C1726:D1726"/>
    <mergeCell ref="A1715:D1715"/>
    <mergeCell ref="F1715:G1717"/>
    <mergeCell ref="A1716:D1716"/>
    <mergeCell ref="A1717:D1717"/>
    <mergeCell ref="A1718:F1718"/>
    <mergeCell ref="A1719:D1719"/>
    <mergeCell ref="C1709:D1709"/>
    <mergeCell ref="C1710:D1710"/>
    <mergeCell ref="C1711:D1711"/>
    <mergeCell ref="C1712:D1712"/>
    <mergeCell ref="C1713:D1713"/>
    <mergeCell ref="C1714:D1714"/>
    <mergeCell ref="A1739:G1739"/>
    <mergeCell ref="C1740:D1740"/>
    <mergeCell ref="C1741:D1741"/>
    <mergeCell ref="C1742:D1742"/>
    <mergeCell ref="C1743:D1743"/>
    <mergeCell ref="C1744:D1744"/>
    <mergeCell ref="A1733:D1733"/>
    <mergeCell ref="F1733:G1735"/>
    <mergeCell ref="A1734:D1734"/>
    <mergeCell ref="A1735:D1735"/>
    <mergeCell ref="A1736:F1736"/>
    <mergeCell ref="A1737:D1737"/>
    <mergeCell ref="C1727:D1727"/>
    <mergeCell ref="C1728:D1728"/>
    <mergeCell ref="C1729:D1729"/>
    <mergeCell ref="C1730:D1730"/>
    <mergeCell ref="C1731:D1731"/>
    <mergeCell ref="C1732:D1732"/>
    <mergeCell ref="C1757:D1757"/>
    <mergeCell ref="C1758:D1758"/>
    <mergeCell ref="C1759:D1759"/>
    <mergeCell ref="C1760:D1760"/>
    <mergeCell ref="C1761:D1761"/>
    <mergeCell ref="C1762:D1762"/>
    <mergeCell ref="F1750:G1752"/>
    <mergeCell ref="A1751:D1751"/>
    <mergeCell ref="A1752:D1752"/>
    <mergeCell ref="A1753:F1753"/>
    <mergeCell ref="A1754:D1754"/>
    <mergeCell ref="A1756:G1756"/>
    <mergeCell ref="C1745:D1745"/>
    <mergeCell ref="C1746:D1746"/>
    <mergeCell ref="C1747:D1747"/>
    <mergeCell ref="C1748:D1748"/>
    <mergeCell ref="C1749:D1749"/>
    <mergeCell ref="A1750:D1750"/>
    <mergeCell ref="C1775:D1775"/>
    <mergeCell ref="C1776:D1776"/>
    <mergeCell ref="C1777:D1777"/>
    <mergeCell ref="C1778:D1778"/>
    <mergeCell ref="C1779:D1779"/>
    <mergeCell ref="A1780:D1780"/>
    <mergeCell ref="A1768:F1768"/>
    <mergeCell ref="A1769:D1769"/>
    <mergeCell ref="A1771:G1771"/>
    <mergeCell ref="C1772:D1772"/>
    <mergeCell ref="C1773:D1773"/>
    <mergeCell ref="C1774:D1774"/>
    <mergeCell ref="C1763:D1763"/>
    <mergeCell ref="C1764:D1764"/>
    <mergeCell ref="A1765:D1765"/>
    <mergeCell ref="F1765:G1767"/>
    <mergeCell ref="A1766:D1766"/>
    <mergeCell ref="A1767:D1767"/>
    <mergeCell ref="C1793:D1793"/>
    <mergeCell ref="C1794:D1794"/>
    <mergeCell ref="C1795:D1795"/>
    <mergeCell ref="C1796:D1796"/>
    <mergeCell ref="C1797:D1797"/>
    <mergeCell ref="C1798:D1798"/>
    <mergeCell ref="C1787:D1787"/>
    <mergeCell ref="C1788:D1788"/>
    <mergeCell ref="C1789:D1789"/>
    <mergeCell ref="C1790:D1790"/>
    <mergeCell ref="C1791:D1791"/>
    <mergeCell ref="C1792:D1792"/>
    <mergeCell ref="F1780:G1782"/>
    <mergeCell ref="A1781:D1781"/>
    <mergeCell ref="A1782:D1782"/>
    <mergeCell ref="A1783:F1783"/>
    <mergeCell ref="A1784:D1784"/>
    <mergeCell ref="A1786:G1786"/>
    <mergeCell ref="C1812:D1812"/>
    <mergeCell ref="C1813:D1813"/>
    <mergeCell ref="C1814:D1814"/>
    <mergeCell ref="C1815:D1815"/>
    <mergeCell ref="C1816:D1816"/>
    <mergeCell ref="C1817:D1817"/>
    <mergeCell ref="A1805:F1805"/>
    <mergeCell ref="A1806:D1806"/>
    <mergeCell ref="A1808:G1808"/>
    <mergeCell ref="C1809:D1809"/>
    <mergeCell ref="C1810:D1810"/>
    <mergeCell ref="C1811:D1811"/>
    <mergeCell ref="C1799:D1799"/>
    <mergeCell ref="C1800:D1800"/>
    <mergeCell ref="C1801:D1801"/>
    <mergeCell ref="A1802:D1802"/>
    <mergeCell ref="F1802:G1804"/>
    <mergeCell ref="A1803:D1803"/>
    <mergeCell ref="A1804:D1804"/>
    <mergeCell ref="C1830:D1830"/>
    <mergeCell ref="C1831:D1831"/>
    <mergeCell ref="C1832:D1832"/>
    <mergeCell ref="C1833:D1833"/>
    <mergeCell ref="C1834:D1834"/>
    <mergeCell ref="C1835:D1835"/>
    <mergeCell ref="A1823:F1823"/>
    <mergeCell ref="A1824:D1824"/>
    <mergeCell ref="A1826:G1826"/>
    <mergeCell ref="C1827:D1827"/>
    <mergeCell ref="C1828:D1828"/>
    <mergeCell ref="C1829:D1829"/>
    <mergeCell ref="C1818:D1818"/>
    <mergeCell ref="C1819:D1819"/>
    <mergeCell ref="A1820:D1820"/>
    <mergeCell ref="F1820:G1822"/>
    <mergeCell ref="A1821:D1821"/>
    <mergeCell ref="A1822:D1822"/>
    <mergeCell ref="A1848:F1848"/>
    <mergeCell ref="A1849:D1849"/>
    <mergeCell ref="A1851:G1851"/>
    <mergeCell ref="C1852:D1852"/>
    <mergeCell ref="C1853:D1853"/>
    <mergeCell ref="C1854:D1854"/>
    <mergeCell ref="C1842:D1842"/>
    <mergeCell ref="C1843:D1843"/>
    <mergeCell ref="C1844:D1844"/>
    <mergeCell ref="A1845:D1845"/>
    <mergeCell ref="F1845:G1847"/>
    <mergeCell ref="A1846:D1846"/>
    <mergeCell ref="A1847:D1847"/>
    <mergeCell ref="C1836:D1836"/>
    <mergeCell ref="C1837:D1837"/>
    <mergeCell ref="C1838:D1838"/>
    <mergeCell ref="C1839:D1839"/>
    <mergeCell ref="C1840:D1840"/>
    <mergeCell ref="C1841:D1841"/>
    <mergeCell ref="C1867:D1867"/>
    <mergeCell ref="C1868:D1868"/>
    <mergeCell ref="C1869:D1869"/>
    <mergeCell ref="A1870:D1870"/>
    <mergeCell ref="F1870:G1872"/>
    <mergeCell ref="A1871:D1871"/>
    <mergeCell ref="A1872:D1872"/>
    <mergeCell ref="C1861:D1861"/>
    <mergeCell ref="C1862:D1862"/>
    <mergeCell ref="C1863:D1863"/>
    <mergeCell ref="C1864:D1864"/>
    <mergeCell ref="C1865:D1865"/>
    <mergeCell ref="C1866:D1866"/>
    <mergeCell ref="C1855:D1855"/>
    <mergeCell ref="C1856:D1856"/>
    <mergeCell ref="C1857:D1857"/>
    <mergeCell ref="C1858:D1858"/>
    <mergeCell ref="C1859:D1859"/>
    <mergeCell ref="C1860:D1860"/>
    <mergeCell ref="C1886:D1886"/>
    <mergeCell ref="C1887:D1887"/>
    <mergeCell ref="C1888:D1888"/>
    <mergeCell ref="C1889:D1889"/>
    <mergeCell ref="A1890:D1890"/>
    <mergeCell ref="F1890:G1892"/>
    <mergeCell ref="A1891:D1891"/>
    <mergeCell ref="A1892:D1892"/>
    <mergeCell ref="C1880:D1880"/>
    <mergeCell ref="C1881:D1881"/>
    <mergeCell ref="C1882:D1882"/>
    <mergeCell ref="C1883:D1883"/>
    <mergeCell ref="C1884:D1884"/>
    <mergeCell ref="C1885:D1885"/>
    <mergeCell ref="A1873:F1873"/>
    <mergeCell ref="A1874:D1874"/>
    <mergeCell ref="A1876:G1876"/>
    <mergeCell ref="C1877:D1877"/>
    <mergeCell ref="C1878:D1878"/>
    <mergeCell ref="C1879:D1879"/>
    <mergeCell ref="C1906:D1906"/>
    <mergeCell ref="C1907:D1907"/>
    <mergeCell ref="A1908:D1908"/>
    <mergeCell ref="F1908:G1910"/>
    <mergeCell ref="A1909:D1909"/>
    <mergeCell ref="A1910:D1910"/>
    <mergeCell ref="C1900:D1900"/>
    <mergeCell ref="C1901:D1901"/>
    <mergeCell ref="C1902:D1902"/>
    <mergeCell ref="C1903:D1903"/>
    <mergeCell ref="C1904:D1904"/>
    <mergeCell ref="C1905:D1905"/>
    <mergeCell ref="A1893:F1893"/>
    <mergeCell ref="A1894:D1894"/>
    <mergeCell ref="A1896:G1896"/>
    <mergeCell ref="C1897:D1897"/>
    <mergeCell ref="C1898:D1898"/>
    <mergeCell ref="C1899:D1899"/>
    <mergeCell ref="C1924:D1924"/>
    <mergeCell ref="C1925:D1925"/>
    <mergeCell ref="C1926:D1926"/>
    <mergeCell ref="C1927:D1927"/>
    <mergeCell ref="C1928:D1928"/>
    <mergeCell ref="A1929:D1929"/>
    <mergeCell ref="C1918:D1918"/>
    <mergeCell ref="C1919:D1919"/>
    <mergeCell ref="C1920:D1920"/>
    <mergeCell ref="C1921:D1921"/>
    <mergeCell ref="C1922:D1922"/>
    <mergeCell ref="C1923:D1923"/>
    <mergeCell ref="A1911:F1911"/>
    <mergeCell ref="A1912:D1912"/>
    <mergeCell ref="A1914:G1914"/>
    <mergeCell ref="C1915:D1915"/>
    <mergeCell ref="C1916:D1916"/>
    <mergeCell ref="C1917:D1917"/>
    <mergeCell ref="C1942:D1942"/>
    <mergeCell ref="C1943:D1943"/>
    <mergeCell ref="C1944:D1944"/>
    <mergeCell ref="C1945:D1945"/>
    <mergeCell ref="C1946:D1946"/>
    <mergeCell ref="A1947:D1947"/>
    <mergeCell ref="C1936:D1936"/>
    <mergeCell ref="C1937:D1937"/>
    <mergeCell ref="C1938:D1938"/>
    <mergeCell ref="C1939:D1939"/>
    <mergeCell ref="C1940:D1940"/>
    <mergeCell ref="C1941:D1941"/>
    <mergeCell ref="F1929:G1931"/>
    <mergeCell ref="A1930:D1930"/>
    <mergeCell ref="A1931:D1931"/>
    <mergeCell ref="A1932:F1932"/>
    <mergeCell ref="A1933:D1933"/>
    <mergeCell ref="A1935:G1935"/>
    <mergeCell ref="C1960:D1960"/>
    <mergeCell ref="C1961:D1961"/>
    <mergeCell ref="C1962:D1962"/>
    <mergeCell ref="C1963:D1963"/>
    <mergeCell ref="C1964:D1964"/>
    <mergeCell ref="C1965:D1965"/>
    <mergeCell ref="C1954:D1954"/>
    <mergeCell ref="C1955:D1955"/>
    <mergeCell ref="C1956:D1956"/>
    <mergeCell ref="C1957:D1957"/>
    <mergeCell ref="C1958:D1958"/>
    <mergeCell ref="C1959:D1959"/>
    <mergeCell ref="F1947:G1949"/>
    <mergeCell ref="A1948:D1948"/>
    <mergeCell ref="A1949:D1949"/>
    <mergeCell ref="A1950:F1950"/>
    <mergeCell ref="A1951:D1951"/>
    <mergeCell ref="A1953:G1953"/>
    <mergeCell ref="C1978:D1978"/>
    <mergeCell ref="C1979:D1979"/>
    <mergeCell ref="C1980:D1980"/>
    <mergeCell ref="C1981:D1981"/>
    <mergeCell ref="C1982:D1982"/>
    <mergeCell ref="C1983:D1983"/>
    <mergeCell ref="A1971:F1971"/>
    <mergeCell ref="A1972:D1972"/>
    <mergeCell ref="A1974:G1974"/>
    <mergeCell ref="C1975:D1975"/>
    <mergeCell ref="C1976:D1976"/>
    <mergeCell ref="C1977:D1977"/>
    <mergeCell ref="C1966:D1966"/>
    <mergeCell ref="C1967:D1967"/>
    <mergeCell ref="A1968:D1968"/>
    <mergeCell ref="F1968:G1970"/>
    <mergeCell ref="A1969:D1969"/>
    <mergeCell ref="A1970:D1970"/>
    <mergeCell ref="C1996:D1996"/>
    <mergeCell ref="C1997:D1997"/>
    <mergeCell ref="C1998:D1998"/>
    <mergeCell ref="C1999:D1999"/>
    <mergeCell ref="C2000:D2000"/>
    <mergeCell ref="A2001:D2001"/>
    <mergeCell ref="A1989:D1989"/>
    <mergeCell ref="A1991:G1991"/>
    <mergeCell ref="C1992:D1992"/>
    <mergeCell ref="C1993:D1993"/>
    <mergeCell ref="C1994:D1994"/>
    <mergeCell ref="C1995:D1995"/>
    <mergeCell ref="C1984:D1984"/>
    <mergeCell ref="A1985:D1985"/>
    <mergeCell ref="F1985:G1987"/>
    <mergeCell ref="A1986:D1986"/>
    <mergeCell ref="A1987:D1987"/>
    <mergeCell ref="A1988:F1988"/>
    <mergeCell ref="C2014:D2014"/>
    <mergeCell ref="C2015:D2015"/>
    <mergeCell ref="A2016:D2016"/>
    <mergeCell ref="F2016:G2018"/>
    <mergeCell ref="A2017:D2017"/>
    <mergeCell ref="A2018:D2018"/>
    <mergeCell ref="C2008:D2008"/>
    <mergeCell ref="C2009:D2009"/>
    <mergeCell ref="C2010:D2010"/>
    <mergeCell ref="C2011:D2011"/>
    <mergeCell ref="C2012:D2012"/>
    <mergeCell ref="C2013:D2013"/>
    <mergeCell ref="F2001:G2003"/>
    <mergeCell ref="A2002:D2002"/>
    <mergeCell ref="A2003:D2003"/>
    <mergeCell ref="A2004:F2004"/>
    <mergeCell ref="A2005:D2005"/>
    <mergeCell ref="A2007:G2007"/>
    <mergeCell ref="C2032:D2032"/>
    <mergeCell ref="C2033:D2033"/>
    <mergeCell ref="A2034:D2034"/>
    <mergeCell ref="F2034:G2036"/>
    <mergeCell ref="A2035:D2035"/>
    <mergeCell ref="A2036:D2036"/>
    <mergeCell ref="C2026:D2026"/>
    <mergeCell ref="C2027:D2027"/>
    <mergeCell ref="C2028:D2028"/>
    <mergeCell ref="C2029:D2029"/>
    <mergeCell ref="C2030:D2030"/>
    <mergeCell ref="C2031:D2031"/>
    <mergeCell ref="A2019:F2019"/>
    <mergeCell ref="A2020:D2020"/>
    <mergeCell ref="A2022:G2022"/>
    <mergeCell ref="C2023:D2023"/>
    <mergeCell ref="C2024:D2024"/>
    <mergeCell ref="C2025:D2025"/>
    <mergeCell ref="A2050:D2050"/>
    <mergeCell ref="F2050:G2052"/>
    <mergeCell ref="A2051:D2051"/>
    <mergeCell ref="A2052:D2052"/>
    <mergeCell ref="A2053:F2053"/>
    <mergeCell ref="A2054:D2054"/>
    <mergeCell ref="C2044:D2044"/>
    <mergeCell ref="C2045:D2045"/>
    <mergeCell ref="C2046:D2046"/>
    <mergeCell ref="C2047:D2047"/>
    <mergeCell ref="C2048:D2048"/>
    <mergeCell ref="C2049:D2049"/>
    <mergeCell ref="A2037:F2037"/>
    <mergeCell ref="A2038:D2038"/>
    <mergeCell ref="A2040:G2040"/>
    <mergeCell ref="C2041:D2041"/>
    <mergeCell ref="C2042:D2042"/>
    <mergeCell ref="C2043:D2043"/>
    <mergeCell ref="A2069:F2069"/>
    <mergeCell ref="A2070:D2070"/>
    <mergeCell ref="A2072:G2072"/>
    <mergeCell ref="C2073:D2073"/>
    <mergeCell ref="C2074:D2074"/>
    <mergeCell ref="C2075:D2075"/>
    <mergeCell ref="C2062:D2062"/>
    <mergeCell ref="C2063:D2063"/>
    <mergeCell ref="C2064:D2064"/>
    <mergeCell ref="C2065:D2065"/>
    <mergeCell ref="A2066:D2066"/>
    <mergeCell ref="F2066:G2068"/>
    <mergeCell ref="A2067:D2067"/>
    <mergeCell ref="A2068:D2068"/>
    <mergeCell ref="A2056:G2056"/>
    <mergeCell ref="C2057:D2057"/>
    <mergeCell ref="C2058:D2058"/>
    <mergeCell ref="C2059:D2059"/>
    <mergeCell ref="C2060:D2060"/>
    <mergeCell ref="C2061:D2061"/>
    <mergeCell ref="A2088:G2088"/>
    <mergeCell ref="C2089:D2089"/>
    <mergeCell ref="C2090:D2090"/>
    <mergeCell ref="C2091:D2091"/>
    <mergeCell ref="C2092:D2092"/>
    <mergeCell ref="C2093:D2093"/>
    <mergeCell ref="A2082:D2082"/>
    <mergeCell ref="F2082:G2084"/>
    <mergeCell ref="A2083:D2083"/>
    <mergeCell ref="A2084:D2084"/>
    <mergeCell ref="A2085:F2085"/>
    <mergeCell ref="A2086:D2086"/>
    <mergeCell ref="C2076:D2076"/>
    <mergeCell ref="C2077:D2077"/>
    <mergeCell ref="C2078:D2078"/>
    <mergeCell ref="C2079:D2079"/>
    <mergeCell ref="C2080:D2080"/>
    <mergeCell ref="C2081:D2081"/>
    <mergeCell ref="C2106:D2106"/>
    <mergeCell ref="C2107:D2107"/>
    <mergeCell ref="C2108:D2108"/>
    <mergeCell ref="C2109:D2109"/>
    <mergeCell ref="C2110:D2110"/>
    <mergeCell ref="C2111:D2111"/>
    <mergeCell ref="F2099:G2101"/>
    <mergeCell ref="A2100:D2100"/>
    <mergeCell ref="A2101:D2101"/>
    <mergeCell ref="A2102:F2102"/>
    <mergeCell ref="A2103:D2103"/>
    <mergeCell ref="A2105:G2105"/>
    <mergeCell ref="C2094:D2094"/>
    <mergeCell ref="C2095:D2095"/>
    <mergeCell ref="C2096:D2096"/>
    <mergeCell ref="C2097:D2097"/>
    <mergeCell ref="C2098:D2098"/>
    <mergeCell ref="A2099:D2099"/>
    <mergeCell ref="C2124:D2124"/>
    <mergeCell ref="C2125:D2125"/>
    <mergeCell ref="C2126:D2126"/>
    <mergeCell ref="C2127:D2127"/>
    <mergeCell ref="C2128:D2128"/>
    <mergeCell ref="C2129:D2129"/>
    <mergeCell ref="A2117:F2117"/>
    <mergeCell ref="A2118:D2118"/>
    <mergeCell ref="A2120:G2120"/>
    <mergeCell ref="C2121:D2121"/>
    <mergeCell ref="C2122:D2122"/>
    <mergeCell ref="C2123:D2123"/>
    <mergeCell ref="C2112:D2112"/>
    <mergeCell ref="C2113:D2113"/>
    <mergeCell ref="A2114:D2114"/>
    <mergeCell ref="F2114:G2116"/>
    <mergeCell ref="A2115:D2115"/>
    <mergeCell ref="A2116:D2116"/>
    <mergeCell ref="C2142:D2142"/>
    <mergeCell ref="C2143:D2143"/>
    <mergeCell ref="C2144:D2144"/>
    <mergeCell ref="C2145:D2145"/>
    <mergeCell ref="C2146:D2146"/>
    <mergeCell ref="A2147:D2147"/>
    <mergeCell ref="A2135:D2135"/>
    <mergeCell ref="A2137:G2137"/>
    <mergeCell ref="C2138:D2138"/>
    <mergeCell ref="C2139:D2139"/>
    <mergeCell ref="C2140:D2140"/>
    <mergeCell ref="C2141:D2141"/>
    <mergeCell ref="C2130:D2130"/>
    <mergeCell ref="A2131:D2131"/>
    <mergeCell ref="F2131:G2133"/>
    <mergeCell ref="A2132:D2132"/>
    <mergeCell ref="A2133:D2133"/>
    <mergeCell ref="A2134:F2134"/>
    <mergeCell ref="C2160:D2160"/>
    <mergeCell ref="C2161:D2161"/>
    <mergeCell ref="C2162:D2162"/>
    <mergeCell ref="C2163:D2163"/>
    <mergeCell ref="C2164:D2164"/>
    <mergeCell ref="C2165:D2165"/>
    <mergeCell ref="C2154:D2154"/>
    <mergeCell ref="C2155:D2155"/>
    <mergeCell ref="C2156:D2156"/>
    <mergeCell ref="C2157:D2157"/>
    <mergeCell ref="C2158:D2158"/>
    <mergeCell ref="C2159:D2159"/>
    <mergeCell ref="F2147:G2149"/>
    <mergeCell ref="A2148:D2148"/>
    <mergeCell ref="A2149:D2149"/>
    <mergeCell ref="A2150:F2150"/>
    <mergeCell ref="A2151:D2151"/>
    <mergeCell ref="A2153:G2153"/>
    <mergeCell ref="C2178:D2178"/>
    <mergeCell ref="A2179:D2179"/>
    <mergeCell ref="F2179:G2181"/>
    <mergeCell ref="A2180:D2180"/>
    <mergeCell ref="A2181:D2181"/>
    <mergeCell ref="A2182:F2182"/>
    <mergeCell ref="A2172:G2172"/>
    <mergeCell ref="C2173:D2173"/>
    <mergeCell ref="C2174:D2174"/>
    <mergeCell ref="C2175:D2175"/>
    <mergeCell ref="C2176:D2176"/>
    <mergeCell ref="C2177:D2177"/>
    <mergeCell ref="A2166:D2166"/>
    <mergeCell ref="F2166:G2168"/>
    <mergeCell ref="A2167:D2167"/>
    <mergeCell ref="A2168:D2168"/>
    <mergeCell ref="A2169:F2169"/>
    <mergeCell ref="A2170:D2170"/>
    <mergeCell ref="A2195:F2195"/>
    <mergeCell ref="A2196:D2196"/>
    <mergeCell ref="A2198:G2198"/>
    <mergeCell ref="C2199:D2199"/>
    <mergeCell ref="C2200:D2200"/>
    <mergeCell ref="C2201:D2201"/>
    <mergeCell ref="C2190:D2190"/>
    <mergeCell ref="C2191:D2191"/>
    <mergeCell ref="A2192:D2192"/>
    <mergeCell ref="F2192:G2194"/>
    <mergeCell ref="A2193:D2193"/>
    <mergeCell ref="A2194:D2194"/>
    <mergeCell ref="A2183:D2183"/>
    <mergeCell ref="A2185:G2185"/>
    <mergeCell ref="C2186:D2186"/>
    <mergeCell ref="C2187:D2187"/>
    <mergeCell ref="C2188:D2188"/>
    <mergeCell ref="C2189:D2189"/>
    <mergeCell ref="C2214:D2214"/>
    <mergeCell ref="C2215:D2215"/>
    <mergeCell ref="C2216:D2216"/>
    <mergeCell ref="C2217:D2217"/>
    <mergeCell ref="C2218:D2218"/>
    <mergeCell ref="A2219:D2219"/>
    <mergeCell ref="A2207:F2207"/>
    <mergeCell ref="A2208:D2208"/>
    <mergeCell ref="A2210:G2210"/>
    <mergeCell ref="C2211:D2211"/>
    <mergeCell ref="C2212:D2212"/>
    <mergeCell ref="C2213:D2213"/>
    <mergeCell ref="C2202:D2202"/>
    <mergeCell ref="C2203:D2203"/>
    <mergeCell ref="A2204:D2204"/>
    <mergeCell ref="F2204:G2206"/>
    <mergeCell ref="A2205:D2205"/>
    <mergeCell ref="A2206:D2206"/>
    <mergeCell ref="C2232:D2232"/>
    <mergeCell ref="A2233:D2233"/>
    <mergeCell ref="F2233:G2235"/>
    <mergeCell ref="A2234:D2234"/>
    <mergeCell ref="A2235:D2235"/>
    <mergeCell ref="A2236:F2236"/>
    <mergeCell ref="C2226:D2226"/>
    <mergeCell ref="C2227:D2227"/>
    <mergeCell ref="C2228:D2228"/>
    <mergeCell ref="C2229:D2229"/>
    <mergeCell ref="C2230:D2230"/>
    <mergeCell ref="C2231:D2231"/>
    <mergeCell ref="F2219:G2221"/>
    <mergeCell ref="A2220:D2220"/>
    <mergeCell ref="A2221:D2221"/>
    <mergeCell ref="A2222:F2222"/>
    <mergeCell ref="A2223:D2223"/>
    <mergeCell ref="A2225:G2225"/>
    <mergeCell ref="A2250:D2250"/>
    <mergeCell ref="F2250:G2252"/>
    <mergeCell ref="A2251:D2251"/>
    <mergeCell ref="A2252:D2252"/>
    <mergeCell ref="A2253:F2253"/>
    <mergeCell ref="A2254:D2254"/>
    <mergeCell ref="C2244:D2244"/>
    <mergeCell ref="C2245:D2245"/>
    <mergeCell ref="C2246:D2246"/>
    <mergeCell ref="C2247:D2247"/>
    <mergeCell ref="C2248:D2248"/>
    <mergeCell ref="C2249:D2249"/>
    <mergeCell ref="A2237:D2237"/>
    <mergeCell ref="A2239:G2239"/>
    <mergeCell ref="C2240:D2240"/>
    <mergeCell ref="C2241:D2241"/>
    <mergeCell ref="C2242:D2242"/>
    <mergeCell ref="C2243:D2243"/>
    <mergeCell ref="F2267:G2269"/>
    <mergeCell ref="A2268:D2268"/>
    <mergeCell ref="A2269:D2269"/>
    <mergeCell ref="A2270:F2270"/>
    <mergeCell ref="A2271:D2271"/>
    <mergeCell ref="A2273:G2273"/>
    <mergeCell ref="C2262:D2262"/>
    <mergeCell ref="C2263:D2263"/>
    <mergeCell ref="C2264:D2264"/>
    <mergeCell ref="C2265:D2265"/>
    <mergeCell ref="C2266:D2266"/>
    <mergeCell ref="A2267:D2267"/>
    <mergeCell ref="A2256:G2256"/>
    <mergeCell ref="C2257:D2257"/>
    <mergeCell ref="C2258:D2258"/>
    <mergeCell ref="C2259:D2259"/>
    <mergeCell ref="C2260:D2260"/>
    <mergeCell ref="C2261:D2261"/>
    <mergeCell ref="A2285:D2285"/>
    <mergeCell ref="A2287:G2287"/>
    <mergeCell ref="C2288:D2288"/>
    <mergeCell ref="C2289:D2289"/>
    <mergeCell ref="C2290:D2290"/>
    <mergeCell ref="C2291:D2291"/>
    <mergeCell ref="C2280:D2280"/>
    <mergeCell ref="A2281:D2281"/>
    <mergeCell ref="F2281:G2283"/>
    <mergeCell ref="A2282:D2282"/>
    <mergeCell ref="A2283:D2283"/>
    <mergeCell ref="A2284:F2284"/>
    <mergeCell ref="C2274:D2274"/>
    <mergeCell ref="C2275:D2275"/>
    <mergeCell ref="C2276:D2276"/>
    <mergeCell ref="C2277:D2277"/>
    <mergeCell ref="C2278:D2278"/>
    <mergeCell ref="C2279:D2279"/>
    <mergeCell ref="C2304:D2304"/>
    <mergeCell ref="C2305:D2305"/>
    <mergeCell ref="C2306:D2306"/>
    <mergeCell ref="C2307:D2307"/>
    <mergeCell ref="C2308:D2308"/>
    <mergeCell ref="A2309:D2309"/>
    <mergeCell ref="A2297:F2297"/>
    <mergeCell ref="A2298:D2298"/>
    <mergeCell ref="A2300:G2300"/>
    <mergeCell ref="C2301:D2301"/>
    <mergeCell ref="C2302:D2302"/>
    <mergeCell ref="C2303:D2303"/>
    <mergeCell ref="C2292:D2292"/>
    <mergeCell ref="C2293:D2293"/>
    <mergeCell ref="A2294:D2294"/>
    <mergeCell ref="F2294:G2296"/>
    <mergeCell ref="A2295:D2295"/>
    <mergeCell ref="A2296:D2296"/>
    <mergeCell ref="C2322:D2322"/>
    <mergeCell ref="A2323:D2323"/>
    <mergeCell ref="F2323:G2325"/>
    <mergeCell ref="A2324:D2324"/>
    <mergeCell ref="A2325:D2325"/>
    <mergeCell ref="A2326:F2326"/>
    <mergeCell ref="C2316:D2316"/>
    <mergeCell ref="C2317:D2317"/>
    <mergeCell ref="C2318:D2318"/>
    <mergeCell ref="C2319:D2319"/>
    <mergeCell ref="C2320:D2320"/>
    <mergeCell ref="C2321:D2321"/>
    <mergeCell ref="F2309:G2311"/>
    <mergeCell ref="A2310:D2310"/>
    <mergeCell ref="A2311:D2311"/>
    <mergeCell ref="A2312:F2312"/>
    <mergeCell ref="A2313:D2313"/>
    <mergeCell ref="A2315:G2315"/>
    <mergeCell ref="A2341:F2341"/>
    <mergeCell ref="A2342:D2342"/>
    <mergeCell ref="A2344:G2344"/>
    <mergeCell ref="C2345:D2345"/>
    <mergeCell ref="C2346:D2346"/>
    <mergeCell ref="C2347:D2347"/>
    <mergeCell ref="C2334:D2334"/>
    <mergeCell ref="C2335:D2335"/>
    <mergeCell ref="C2336:D2336"/>
    <mergeCell ref="C2337:D2337"/>
    <mergeCell ref="A2338:D2338"/>
    <mergeCell ref="F2338:G2340"/>
    <mergeCell ref="A2339:D2339"/>
    <mergeCell ref="A2340:D2340"/>
    <mergeCell ref="A2327:D2327"/>
    <mergeCell ref="A2329:G2329"/>
    <mergeCell ref="C2330:D2330"/>
    <mergeCell ref="C2331:D2331"/>
    <mergeCell ref="C2332:D2332"/>
    <mergeCell ref="C2333:D2333"/>
    <mergeCell ref="C2361:D2361"/>
    <mergeCell ref="C2362:D2362"/>
    <mergeCell ref="C2363:D2363"/>
    <mergeCell ref="C2364:D2364"/>
    <mergeCell ref="C2365:D2365"/>
    <mergeCell ref="C2366:D2366"/>
    <mergeCell ref="A2354:F2354"/>
    <mergeCell ref="A2355:D2355"/>
    <mergeCell ref="A2357:G2357"/>
    <mergeCell ref="C2358:D2358"/>
    <mergeCell ref="C2359:D2359"/>
    <mergeCell ref="C2360:D2360"/>
    <mergeCell ref="C2348:D2348"/>
    <mergeCell ref="C2349:D2349"/>
    <mergeCell ref="C2350:D2350"/>
    <mergeCell ref="A2351:D2351"/>
    <mergeCell ref="F2351:G2353"/>
    <mergeCell ref="A2352:D2352"/>
    <mergeCell ref="A2353:D2353"/>
    <mergeCell ref="C2379:D2379"/>
    <mergeCell ref="C2380:D2380"/>
    <mergeCell ref="C2381:D2381"/>
    <mergeCell ref="A2382:D2382"/>
    <mergeCell ref="F2382:G2384"/>
    <mergeCell ref="A2383:D2383"/>
    <mergeCell ref="A2384:D2384"/>
    <mergeCell ref="A2373:G2373"/>
    <mergeCell ref="C2374:D2374"/>
    <mergeCell ref="C2375:D2375"/>
    <mergeCell ref="C2376:D2376"/>
    <mergeCell ref="C2377:D2377"/>
    <mergeCell ref="C2378:D2378"/>
    <mergeCell ref="A2367:D2367"/>
    <mergeCell ref="F2367:G2369"/>
    <mergeCell ref="A2368:D2368"/>
    <mergeCell ref="A2369:D2369"/>
    <mergeCell ref="A2370:F2370"/>
    <mergeCell ref="A2371:D2371"/>
    <mergeCell ref="A2398:F2398"/>
    <mergeCell ref="A2399:D2399"/>
    <mergeCell ref="A2401:G2401"/>
    <mergeCell ref="C2402:D2402"/>
    <mergeCell ref="C2403:D2403"/>
    <mergeCell ref="C2404:D2404"/>
    <mergeCell ref="C2392:D2392"/>
    <mergeCell ref="C2393:D2393"/>
    <mergeCell ref="C2394:D2394"/>
    <mergeCell ref="A2395:D2395"/>
    <mergeCell ref="F2395:G2397"/>
    <mergeCell ref="A2396:D2396"/>
    <mergeCell ref="A2397:D2397"/>
    <mergeCell ref="A2385:F2385"/>
    <mergeCell ref="A2386:D2386"/>
    <mergeCell ref="A2388:G2388"/>
    <mergeCell ref="C2389:D2389"/>
    <mergeCell ref="C2390:D2390"/>
    <mergeCell ref="C2391:D2391"/>
    <mergeCell ref="C2417:D2417"/>
    <mergeCell ref="C2418:D2418"/>
    <mergeCell ref="C2419:D2419"/>
    <mergeCell ref="C2420:D2420"/>
    <mergeCell ref="C2421:D2421"/>
    <mergeCell ref="C2422:D2422"/>
    <mergeCell ref="A2410:F2410"/>
    <mergeCell ref="A2411:D2411"/>
    <mergeCell ref="A2413:G2413"/>
    <mergeCell ref="C2414:D2414"/>
    <mergeCell ref="C2415:D2415"/>
    <mergeCell ref="C2416:D2416"/>
    <mergeCell ref="C2405:D2405"/>
    <mergeCell ref="C2406:D2406"/>
    <mergeCell ref="A2407:D2407"/>
    <mergeCell ref="F2407:G2409"/>
    <mergeCell ref="A2408:D2408"/>
    <mergeCell ref="A2409:D2409"/>
    <mergeCell ref="C2435:D2435"/>
    <mergeCell ref="C2436:D2436"/>
    <mergeCell ref="C2437:D2437"/>
    <mergeCell ref="C2438:D2438"/>
    <mergeCell ref="A2439:D2439"/>
    <mergeCell ref="F2439:G2442"/>
    <mergeCell ref="A2440:D2440"/>
    <mergeCell ref="A2441:D2441"/>
    <mergeCell ref="A2442:D2442"/>
    <mergeCell ref="A2428:D2428"/>
    <mergeCell ref="A2430:G2430"/>
    <mergeCell ref="C2431:D2431"/>
    <mergeCell ref="C2432:D2432"/>
    <mergeCell ref="C2433:D2433"/>
    <mergeCell ref="C2434:D2434"/>
    <mergeCell ref="C2423:D2423"/>
    <mergeCell ref="A2424:D2424"/>
    <mergeCell ref="F2424:G2426"/>
    <mergeCell ref="A2425:D2425"/>
    <mergeCell ref="A2426:D2426"/>
    <mergeCell ref="A2427:F2427"/>
    <mergeCell ref="C2457:D2457"/>
    <mergeCell ref="A2458:D2458"/>
    <mergeCell ref="F2458:G2460"/>
    <mergeCell ref="A2459:D2459"/>
    <mergeCell ref="A2460:D2460"/>
    <mergeCell ref="A2461:F2461"/>
    <mergeCell ref="C2451:D2451"/>
    <mergeCell ref="C2452:D2452"/>
    <mergeCell ref="C2453:D2453"/>
    <mergeCell ref="C2454:D2454"/>
    <mergeCell ref="C2455:D2455"/>
    <mergeCell ref="C2456:D2456"/>
    <mergeCell ref="A2443:F2443"/>
    <mergeCell ref="A2444:D2444"/>
    <mergeCell ref="A2447:G2447"/>
    <mergeCell ref="C2448:D2448"/>
    <mergeCell ref="C2449:D2449"/>
    <mergeCell ref="C2450:D2450"/>
    <mergeCell ref="A2477:F2477"/>
    <mergeCell ref="A2478:D2478"/>
    <mergeCell ref="A2481:G2481"/>
    <mergeCell ref="C2482:D2482"/>
    <mergeCell ref="C2483:D2483"/>
    <mergeCell ref="C2484:D2484"/>
    <mergeCell ref="C2470:D2470"/>
    <mergeCell ref="C2471:D2471"/>
    <mergeCell ref="C2472:D2472"/>
    <mergeCell ref="C2473:D2473"/>
    <mergeCell ref="A2474:D2474"/>
    <mergeCell ref="F2474:G2476"/>
    <mergeCell ref="A2475:D2475"/>
    <mergeCell ref="A2476:D2476"/>
    <mergeCell ref="A2462:D2462"/>
    <mergeCell ref="A2465:G2465"/>
    <mergeCell ref="C2466:D2466"/>
    <mergeCell ref="C2467:D2467"/>
    <mergeCell ref="C2468:D2468"/>
    <mergeCell ref="C2469:D2469"/>
    <mergeCell ref="A2498:G2498"/>
    <mergeCell ref="C2499:D2499"/>
    <mergeCell ref="C2500:D2500"/>
    <mergeCell ref="C2501:D2501"/>
    <mergeCell ref="C2502:D2502"/>
    <mergeCell ref="C2503:D2503"/>
    <mergeCell ref="A2491:D2491"/>
    <mergeCell ref="F2491:G2493"/>
    <mergeCell ref="A2492:D2492"/>
    <mergeCell ref="A2493:D2493"/>
    <mergeCell ref="A2494:F2494"/>
    <mergeCell ref="A2495:D2495"/>
    <mergeCell ref="C2485:D2485"/>
    <mergeCell ref="C2486:D2486"/>
    <mergeCell ref="C2487:D2487"/>
    <mergeCell ref="C2488:D2488"/>
    <mergeCell ref="C2489:D2489"/>
    <mergeCell ref="C2490:D2490"/>
    <mergeCell ref="A2517:G2517"/>
    <mergeCell ref="C2518:D2518"/>
    <mergeCell ref="C2519:D2519"/>
    <mergeCell ref="C2520:D2520"/>
    <mergeCell ref="C2521:D2521"/>
    <mergeCell ref="C2522:D2522"/>
    <mergeCell ref="A2510:D2510"/>
    <mergeCell ref="F2510:G2512"/>
    <mergeCell ref="A2511:D2511"/>
    <mergeCell ref="A2512:D2512"/>
    <mergeCell ref="A2513:F2513"/>
    <mergeCell ref="A2514:D2514"/>
    <mergeCell ref="C2504:D2504"/>
    <mergeCell ref="C2505:D2505"/>
    <mergeCell ref="C2506:D2506"/>
    <mergeCell ref="C2507:D2507"/>
    <mergeCell ref="C2508:D2508"/>
    <mergeCell ref="C2509:D2509"/>
    <mergeCell ref="C2540:D2540"/>
    <mergeCell ref="C2541:D2541"/>
    <mergeCell ref="C2542:D2542"/>
    <mergeCell ref="C2543:D2543"/>
    <mergeCell ref="A2544:D2544"/>
    <mergeCell ref="F2544:G2546"/>
    <mergeCell ref="A2545:D2545"/>
    <mergeCell ref="A2546:D2546"/>
    <mergeCell ref="A2532:F2532"/>
    <mergeCell ref="A2533:D2533"/>
    <mergeCell ref="A2536:G2536"/>
    <mergeCell ref="C2537:D2537"/>
    <mergeCell ref="C2538:D2538"/>
    <mergeCell ref="C2539:D2539"/>
    <mergeCell ref="C2523:D2523"/>
    <mergeCell ref="C2524:D2524"/>
    <mergeCell ref="C2525:D2525"/>
    <mergeCell ref="C2526:D2526"/>
    <mergeCell ref="A2527:D2527"/>
    <mergeCell ref="F2527:G2531"/>
    <mergeCell ref="A2528:D2528"/>
    <mergeCell ref="A2529:D2529"/>
    <mergeCell ref="A2530:D2530"/>
    <mergeCell ref="A2531:D2531"/>
    <mergeCell ref="C2561:D2561"/>
    <mergeCell ref="A2562:D2562"/>
    <mergeCell ref="F2562:G2566"/>
    <mergeCell ref="A2563:D2563"/>
    <mergeCell ref="A2564:D2564"/>
    <mergeCell ref="A2565:D2565"/>
    <mergeCell ref="A2566:D2566"/>
    <mergeCell ref="C2555:D2555"/>
    <mergeCell ref="C2556:D2556"/>
    <mergeCell ref="C2557:D2557"/>
    <mergeCell ref="C2558:D2558"/>
    <mergeCell ref="C2559:D2559"/>
    <mergeCell ref="C2560:D2560"/>
    <mergeCell ref="A2547:F2547"/>
    <mergeCell ref="A2548:D2548"/>
    <mergeCell ref="A2551:G2551"/>
    <mergeCell ref="C2552:D2552"/>
    <mergeCell ref="C2553:D2553"/>
    <mergeCell ref="C2554:D2554"/>
    <mergeCell ref="A2581:F2581"/>
    <mergeCell ref="A2582:D2582"/>
    <mergeCell ref="A2585:G2585"/>
    <mergeCell ref="C2586:D2586"/>
    <mergeCell ref="C2587:D2587"/>
    <mergeCell ref="C2588:D2588"/>
    <mergeCell ref="C2575:D2575"/>
    <mergeCell ref="C2576:D2576"/>
    <mergeCell ref="C2577:D2577"/>
    <mergeCell ref="A2578:D2578"/>
    <mergeCell ref="F2578:G2580"/>
    <mergeCell ref="A2579:D2579"/>
    <mergeCell ref="A2580:D2580"/>
    <mergeCell ref="A2567:F2567"/>
    <mergeCell ref="A2568:D2568"/>
    <mergeCell ref="A2571:G2571"/>
    <mergeCell ref="C2572:D2572"/>
    <mergeCell ref="C2573:D2573"/>
    <mergeCell ref="C2574:D2574"/>
    <mergeCell ref="C2602:D2602"/>
    <mergeCell ref="C2603:D2603"/>
    <mergeCell ref="C2604:D2604"/>
    <mergeCell ref="C2605:D2605"/>
    <mergeCell ref="C2606:D2606"/>
    <mergeCell ref="A2607:D2607"/>
    <mergeCell ref="A2594:F2594"/>
    <mergeCell ref="A2595:D2595"/>
    <mergeCell ref="A2598:G2598"/>
    <mergeCell ref="C2599:D2599"/>
    <mergeCell ref="C2600:D2600"/>
    <mergeCell ref="C2601:D2601"/>
    <mergeCell ref="C2589:D2589"/>
    <mergeCell ref="C2590:D2590"/>
    <mergeCell ref="A2591:D2591"/>
    <mergeCell ref="F2591:G2593"/>
    <mergeCell ref="A2592:D2592"/>
    <mergeCell ref="A2593:D2593"/>
    <mergeCell ref="C2621:D2621"/>
    <mergeCell ref="A2622:D2622"/>
    <mergeCell ref="F2622:G2624"/>
    <mergeCell ref="A2623:D2623"/>
    <mergeCell ref="A2624:D2624"/>
    <mergeCell ref="A2625:F2625"/>
    <mergeCell ref="C2615:D2615"/>
    <mergeCell ref="C2616:D2616"/>
    <mergeCell ref="C2617:D2617"/>
    <mergeCell ref="C2618:D2618"/>
    <mergeCell ref="C2619:D2619"/>
    <mergeCell ref="C2620:D2620"/>
    <mergeCell ref="F2607:G2609"/>
    <mergeCell ref="A2608:D2608"/>
    <mergeCell ref="A2609:D2609"/>
    <mergeCell ref="A2610:F2610"/>
    <mergeCell ref="A2611:D2611"/>
    <mergeCell ref="A2614:G2614"/>
    <mergeCell ref="A2639:F2639"/>
    <mergeCell ref="A2640:D2640"/>
    <mergeCell ref="A2643:G2643"/>
    <mergeCell ref="C2644:D2644"/>
    <mergeCell ref="C2645:D2645"/>
    <mergeCell ref="C2646:D2646"/>
    <mergeCell ref="C2634:D2634"/>
    <mergeCell ref="C2635:D2635"/>
    <mergeCell ref="A2636:D2636"/>
    <mergeCell ref="F2636:G2638"/>
    <mergeCell ref="A2637:D2637"/>
    <mergeCell ref="A2638:D2638"/>
    <mergeCell ref="A2626:D2626"/>
    <mergeCell ref="A2629:G2629"/>
    <mergeCell ref="C2630:D2630"/>
    <mergeCell ref="C2631:D2631"/>
    <mergeCell ref="C2632:D2632"/>
    <mergeCell ref="C2633:D2633"/>
    <mergeCell ref="A2658:F2658"/>
    <mergeCell ref="A2659:D2659"/>
    <mergeCell ref="A2662:G2662"/>
    <mergeCell ref="C2663:D2663"/>
    <mergeCell ref="C2664:D2664"/>
    <mergeCell ref="C2665:D2665"/>
    <mergeCell ref="C2653:D2653"/>
    <mergeCell ref="C2654:D2654"/>
    <mergeCell ref="A2655:D2655"/>
    <mergeCell ref="F2655:G2657"/>
    <mergeCell ref="A2656:D2656"/>
    <mergeCell ref="A2657:D2657"/>
    <mergeCell ref="C2647:D2647"/>
    <mergeCell ref="C2648:D2648"/>
    <mergeCell ref="C2649:D2649"/>
    <mergeCell ref="C2650:D2650"/>
    <mergeCell ref="C2651:D2651"/>
    <mergeCell ref="C2652:D2652"/>
    <mergeCell ref="C2737:D2737"/>
    <mergeCell ref="A2738:D2738"/>
    <mergeCell ref="A2725:D2725"/>
    <mergeCell ref="A2728:G2728"/>
    <mergeCell ref="C2729:D2729"/>
    <mergeCell ref="C2730:D2730"/>
    <mergeCell ref="C2731:D2731"/>
    <mergeCell ref="C2732:D2732"/>
    <mergeCell ref="A2720:D2720"/>
    <mergeCell ref="F2720:G2723"/>
    <mergeCell ref="A2721:D2721"/>
    <mergeCell ref="A2722:D2722"/>
    <mergeCell ref="A2723:D2723"/>
    <mergeCell ref="A2724:F2724"/>
    <mergeCell ref="C2714:D2714"/>
    <mergeCell ref="C2715:D2715"/>
    <mergeCell ref="C2716:D2716"/>
    <mergeCell ref="C2717:D2717"/>
    <mergeCell ref="C2718:D2718"/>
    <mergeCell ref="C2719:D2719"/>
    <mergeCell ref="C2735:D2735"/>
    <mergeCell ref="C2736:D2736"/>
    <mergeCell ref="C2733:D2733"/>
    <mergeCell ref="C2734:D2734"/>
    <mergeCell ref="A2844:D2844"/>
    <mergeCell ref="A2845:D2845"/>
    <mergeCell ref="C2834:D2834"/>
    <mergeCell ref="C2835:D2835"/>
    <mergeCell ref="C2808:D2808"/>
    <mergeCell ref="C2809:D2809"/>
    <mergeCell ref="A2810:D2810"/>
    <mergeCell ref="A2811:D2811"/>
    <mergeCell ref="A2798:D2798"/>
    <mergeCell ref="A2799:F2799"/>
    <mergeCell ref="A2800:D2800"/>
    <mergeCell ref="A2803:G2803"/>
    <mergeCell ref="C2804:D2804"/>
    <mergeCell ref="C2805:D2805"/>
    <mergeCell ref="C2842:D2842"/>
    <mergeCell ref="A2843:D2843"/>
    <mergeCell ref="A2787:D2787"/>
    <mergeCell ref="A2790:G2790"/>
    <mergeCell ref="C2791:D2791"/>
    <mergeCell ref="C2836:D2836"/>
    <mergeCell ref="C2837:D2837"/>
    <mergeCell ref="C2838:D2838"/>
    <mergeCell ref="C2823:D2823"/>
    <mergeCell ref="C2820:D2820"/>
    <mergeCell ref="C2821:D2821"/>
    <mergeCell ref="C2822:D2822"/>
    <mergeCell ref="C2795:D2795"/>
    <mergeCell ref="A2796:D2796"/>
    <mergeCell ref="A2797:D2797"/>
    <mergeCell ref="C2824:D2824"/>
    <mergeCell ref="C2825:D2825"/>
    <mergeCell ref="A2812:D2812"/>
    <mergeCell ref="A2898:D2898"/>
    <mergeCell ref="A2899:D2899"/>
    <mergeCell ref="C2886:D2886"/>
    <mergeCell ref="A2918:D2918"/>
    <mergeCell ref="A2919:F2919"/>
    <mergeCell ref="C2887:D2887"/>
    <mergeCell ref="C2888:D2888"/>
    <mergeCell ref="C2889:D2889"/>
    <mergeCell ref="C2890:D2890"/>
    <mergeCell ref="C2911:D2911"/>
    <mergeCell ref="C2912:D2912"/>
    <mergeCell ref="C2913:D2913"/>
    <mergeCell ref="A2900:F2900"/>
    <mergeCell ref="A2901:D2901"/>
    <mergeCell ref="A2904:G2904"/>
    <mergeCell ref="C2905:D2905"/>
    <mergeCell ref="C2906:D2906"/>
    <mergeCell ref="C2907:D2907"/>
    <mergeCell ref="C2914:D2914"/>
    <mergeCell ref="C2915:D2915"/>
    <mergeCell ref="A2916:D2916"/>
    <mergeCell ref="A2917:D2917"/>
    <mergeCell ref="C2891:D2891"/>
    <mergeCell ref="C2892:D2892"/>
    <mergeCell ref="C2893:D2893"/>
    <mergeCell ref="C2894:D2894"/>
    <mergeCell ref="C2895:D2895"/>
    <mergeCell ref="C2896:D2896"/>
    <mergeCell ref="A2897:D2897"/>
    <mergeCell ref="A2846:F2846"/>
    <mergeCell ref="A2948:D2948"/>
    <mergeCell ref="C2942:D2942"/>
    <mergeCell ref="C2943:D2943"/>
    <mergeCell ref="C2944:D2944"/>
    <mergeCell ref="C2945:D2945"/>
    <mergeCell ref="C2946:D2946"/>
    <mergeCell ref="A2947:F2947"/>
    <mergeCell ref="A2934:D2934"/>
    <mergeCell ref="A2935:F2935"/>
    <mergeCell ref="A2936:D2936"/>
    <mergeCell ref="A2939:G2939"/>
    <mergeCell ref="C2940:D2940"/>
    <mergeCell ref="C2941:D2941"/>
    <mergeCell ref="C2928:D2928"/>
    <mergeCell ref="C2929:D2929"/>
    <mergeCell ref="C2930:D2930"/>
    <mergeCell ref="C2931:D2931"/>
    <mergeCell ref="A2932:D2932"/>
    <mergeCell ref="A2933:D2933"/>
    <mergeCell ref="C2924:D2924"/>
    <mergeCell ref="C2925:D2925"/>
    <mergeCell ref="C2926:D2926"/>
    <mergeCell ref="C2927:D2927"/>
    <mergeCell ref="A2920:D2920"/>
    <mergeCell ref="A2923:G2923"/>
    <mergeCell ref="A2859:D2859"/>
    <mergeCell ref="A2878:D2878"/>
    <mergeCell ref="A2879:F2879"/>
    <mergeCell ref="C2908:D2908"/>
    <mergeCell ref="C2909:D2909"/>
    <mergeCell ref="C2910:D2910"/>
    <mergeCell ref="A2850:G2850"/>
    <mergeCell ref="C2851:D2851"/>
    <mergeCell ref="A2880:D2880"/>
    <mergeCell ref="A2883:G2883"/>
    <mergeCell ref="C2884:D2884"/>
    <mergeCell ref="C2885:D2885"/>
    <mergeCell ref="C2854:D2854"/>
    <mergeCell ref="C2855:D2855"/>
    <mergeCell ref="C2856:D2856"/>
    <mergeCell ref="A2857:D2857"/>
    <mergeCell ref="A2858:D2858"/>
    <mergeCell ref="C2852:D2852"/>
    <mergeCell ref="C2853:D2853"/>
    <mergeCell ref="A2864:G2864"/>
    <mergeCell ref="C2868:D2868"/>
    <mergeCell ref="C2869:D2869"/>
    <mergeCell ref="C2870:D2870"/>
    <mergeCell ref="C2871:D2871"/>
    <mergeCell ref="C2872:D2872"/>
    <mergeCell ref="C2873:D2873"/>
    <mergeCell ref="A2860:F2860"/>
    <mergeCell ref="A2861:D2861"/>
    <mergeCell ref="A2877:D2877"/>
    <mergeCell ref="A2876:D2876"/>
    <mergeCell ref="C2874:D2874"/>
    <mergeCell ref="C2875:D2875"/>
    <mergeCell ref="C2866:D2866"/>
    <mergeCell ref="C2867:D2867"/>
    <mergeCell ref="C2865:D2865"/>
    <mergeCell ref="A2813:F2813"/>
    <mergeCell ref="A2814:D2814"/>
    <mergeCell ref="A2817:G2817"/>
    <mergeCell ref="C2839:D2839"/>
    <mergeCell ref="A2826:D2826"/>
    <mergeCell ref="A2827:D2827"/>
    <mergeCell ref="A2828:D2828"/>
    <mergeCell ref="A2829:F2829"/>
    <mergeCell ref="A2830:D2830"/>
    <mergeCell ref="A2833:G2833"/>
    <mergeCell ref="C1315:D1315"/>
    <mergeCell ref="C2840:D2840"/>
    <mergeCell ref="C2841:D2841"/>
    <mergeCell ref="C2766:D2766"/>
    <mergeCell ref="A2767:D2767"/>
    <mergeCell ref="F2767:G2769"/>
    <mergeCell ref="C2819:D2819"/>
    <mergeCell ref="C2806:D2806"/>
    <mergeCell ref="C2807:D2807"/>
    <mergeCell ref="C2793:D2793"/>
    <mergeCell ref="C2794:D2794"/>
    <mergeCell ref="A2784:D2784"/>
    <mergeCell ref="A2785:D2785"/>
    <mergeCell ref="C2776:D2776"/>
    <mergeCell ref="C2777:D2777"/>
    <mergeCell ref="C2765:D2765"/>
    <mergeCell ref="C2818:D2818"/>
    <mergeCell ref="A2786:F2786"/>
    <mergeCell ref="C2750:D2750"/>
    <mergeCell ref="C2751:D2751"/>
    <mergeCell ref="F2738:G2740"/>
    <mergeCell ref="A2739:D2739"/>
    <mergeCell ref="A2847:D2847"/>
    <mergeCell ref="O1275:O1277"/>
    <mergeCell ref="C1253:D1253"/>
    <mergeCell ref="C1254:D1254"/>
    <mergeCell ref="C1255:D1255"/>
    <mergeCell ref="C1256:D1256"/>
    <mergeCell ref="C1257:D1257"/>
    <mergeCell ref="C1258:D1258"/>
    <mergeCell ref="C1250:D1250"/>
    <mergeCell ref="C1251:D1251"/>
    <mergeCell ref="C1222:D1222"/>
    <mergeCell ref="C1223:D1223"/>
    <mergeCell ref="A1215:G1215"/>
    <mergeCell ref="O1286:O1288"/>
    <mergeCell ref="O1302:O1304"/>
    <mergeCell ref="O1321:O1323"/>
    <mergeCell ref="A852:D852"/>
    <mergeCell ref="M1240:M1241"/>
    <mergeCell ref="C1241:D1241"/>
    <mergeCell ref="A1234:G1234"/>
    <mergeCell ref="J1234:M1234"/>
    <mergeCell ref="C1190:D1190"/>
    <mergeCell ref="C1177:D1177"/>
    <mergeCell ref="C1160:D1160"/>
    <mergeCell ref="C1161:D1161"/>
    <mergeCell ref="C1162:D1162"/>
    <mergeCell ref="C1240:D1240"/>
    <mergeCell ref="K1177:M1177"/>
    <mergeCell ref="C1178:D1178"/>
    <mergeCell ref="C1179:D1179"/>
    <mergeCell ref="C1059:D1059"/>
    <mergeCell ref="A1072:D1072"/>
    <mergeCell ref="A1070:D1070"/>
    <mergeCell ref="N1124:P1124"/>
    <mergeCell ref="N1142:P1142"/>
    <mergeCell ref="N1177:P1177"/>
    <mergeCell ref="N1224:P1224"/>
    <mergeCell ref="O1240:O1241"/>
    <mergeCell ref="K1224:M1224"/>
    <mergeCell ref="C1225:D1225"/>
    <mergeCell ref="C1226:D1226"/>
    <mergeCell ref="C1227:D1227"/>
    <mergeCell ref="K1215:M1215"/>
    <mergeCell ref="C1216:D1216"/>
    <mergeCell ref="C1217:D1217"/>
    <mergeCell ref="C1218:D1218"/>
    <mergeCell ref="C1219:D1219"/>
    <mergeCell ref="A1209:D1209"/>
    <mergeCell ref="F1209:G1211"/>
    <mergeCell ref="C1221:D1221"/>
    <mergeCell ref="C1236:D1236"/>
    <mergeCell ref="C1237:D1237"/>
    <mergeCell ref="C1238:D1238"/>
    <mergeCell ref="C1201:D1201"/>
    <mergeCell ref="C1202:D1202"/>
    <mergeCell ref="C1191:D1191"/>
    <mergeCell ref="C1192:D1192"/>
    <mergeCell ref="A1193:D1193"/>
    <mergeCell ref="F1193:G1195"/>
    <mergeCell ref="A1194:D1194"/>
    <mergeCell ref="A1210:D1210"/>
    <mergeCell ref="A1211:D1211"/>
    <mergeCell ref="A1212:F1212"/>
    <mergeCell ref="A1213:D1213"/>
    <mergeCell ref="A2669:D2669"/>
    <mergeCell ref="C2700:D2700"/>
    <mergeCell ref="C2701:D2701"/>
    <mergeCell ref="C2702:D2702"/>
    <mergeCell ref="A2703:D2703"/>
    <mergeCell ref="F2703:G2705"/>
    <mergeCell ref="A2704:D2704"/>
    <mergeCell ref="A2705:D2705"/>
    <mergeCell ref="C2693:D2693"/>
    <mergeCell ref="C2694:D2694"/>
    <mergeCell ref="C2695:D2695"/>
    <mergeCell ref="C2696:D2696"/>
    <mergeCell ref="C2697:D2697"/>
    <mergeCell ref="C2698:D2698"/>
    <mergeCell ref="F2685:G2687"/>
    <mergeCell ref="A2686:D2686"/>
    <mergeCell ref="A2687:D2687"/>
    <mergeCell ref="A2688:F2688"/>
    <mergeCell ref="A2689:D2689"/>
    <mergeCell ref="A2692:G2692"/>
    <mergeCell ref="A2685:D2685"/>
    <mergeCell ref="F2669:G2671"/>
    <mergeCell ref="A2670:D2670"/>
    <mergeCell ref="A2671:D2671"/>
    <mergeCell ref="C2678:D2678"/>
    <mergeCell ref="A2745:G2745"/>
    <mergeCell ref="C2713:D2713"/>
    <mergeCell ref="C2699:D2699"/>
    <mergeCell ref="C1295:D1295"/>
    <mergeCell ref="C962:D962"/>
    <mergeCell ref="C963:D963"/>
    <mergeCell ref="C1296:D1296"/>
    <mergeCell ref="A1243:D1243"/>
    <mergeCell ref="A1246:D1246"/>
    <mergeCell ref="F1164:G1166"/>
    <mergeCell ref="C1239:D1239"/>
    <mergeCell ref="A1184:F1184"/>
    <mergeCell ref="A1185:D1185"/>
    <mergeCell ref="A1187:G1187"/>
    <mergeCell ref="C1188:D1188"/>
    <mergeCell ref="C1189:D1189"/>
    <mergeCell ref="C1297:D1297"/>
    <mergeCell ref="C1299:D1299"/>
    <mergeCell ref="A2706:F2706"/>
    <mergeCell ref="A2707:D2707"/>
    <mergeCell ref="A1248:G1248"/>
    <mergeCell ref="C1249:D1249"/>
    <mergeCell ref="A1199:G1199"/>
    <mergeCell ref="C1200:D1200"/>
    <mergeCell ref="A1228:D1228"/>
    <mergeCell ref="C1163:D1163"/>
    <mergeCell ref="A1164:D1164"/>
    <mergeCell ref="C977:D977"/>
    <mergeCell ref="C2679:D2679"/>
    <mergeCell ref="C2666:D2666"/>
    <mergeCell ref="C2667:D2667"/>
    <mergeCell ref="C2668:D2668"/>
    <mergeCell ref="A1010:D1010"/>
    <mergeCell ref="C1154:D1154"/>
    <mergeCell ref="A1071:D1071"/>
    <mergeCell ref="C1252:D1252"/>
    <mergeCell ref="C1316:D1316"/>
    <mergeCell ref="A2770:F2770"/>
    <mergeCell ref="A2771:D2771"/>
    <mergeCell ref="A2774:G2774"/>
    <mergeCell ref="C2775:D2775"/>
    <mergeCell ref="C1077:D1077"/>
    <mergeCell ref="C1078:D1078"/>
    <mergeCell ref="C1079:D1079"/>
    <mergeCell ref="C1066:D1066"/>
    <mergeCell ref="C1067:D1067"/>
    <mergeCell ref="C1068:D1068"/>
    <mergeCell ref="C1301:D1301"/>
    <mergeCell ref="C1293:D1293"/>
    <mergeCell ref="C1294:D1294"/>
    <mergeCell ref="A1181:D1181"/>
    <mergeCell ref="A1232:D1232"/>
    <mergeCell ref="C1224:D1224"/>
    <mergeCell ref="A2710:G2710"/>
    <mergeCell ref="C2711:D2711"/>
    <mergeCell ref="C2712:D2712"/>
    <mergeCell ref="C2680:D2680"/>
    <mergeCell ref="C2681:D2681"/>
    <mergeCell ref="C2682:D2682"/>
    <mergeCell ref="C2683:D2683"/>
    <mergeCell ref="C2684:D2684"/>
    <mergeCell ref="A2741:F2741"/>
    <mergeCell ref="C1069:D1069"/>
    <mergeCell ref="A2742:D2742"/>
    <mergeCell ref="C2779:D2779"/>
    <mergeCell ref="C2780:D2780"/>
    <mergeCell ref="C2781:D2781"/>
    <mergeCell ref="C2792:D2792"/>
    <mergeCell ref="C2782:D2782"/>
    <mergeCell ref="A2783:D2783"/>
    <mergeCell ref="C1300:D1300"/>
    <mergeCell ref="A2768:D2768"/>
    <mergeCell ref="A2769:D2769"/>
    <mergeCell ref="A2757:D2757"/>
    <mergeCell ref="A2760:G2760"/>
    <mergeCell ref="C2761:D2761"/>
    <mergeCell ref="C2762:D2762"/>
    <mergeCell ref="C2763:D2763"/>
    <mergeCell ref="C2764:D2764"/>
    <mergeCell ref="C2752:D2752"/>
    <mergeCell ref="A2753:D2753"/>
    <mergeCell ref="F2753:G2755"/>
    <mergeCell ref="A2754:D2754"/>
    <mergeCell ref="A2755:D2755"/>
    <mergeCell ref="C1314:D1314"/>
    <mergeCell ref="A2756:F2756"/>
    <mergeCell ref="C2746:D2746"/>
    <mergeCell ref="C2747:D2747"/>
    <mergeCell ref="C2748:D2748"/>
    <mergeCell ref="C2749:D2749"/>
    <mergeCell ref="A2740:D2740"/>
    <mergeCell ref="A2672:F2672"/>
    <mergeCell ref="A2673:D2673"/>
    <mergeCell ref="A2676:G2676"/>
    <mergeCell ref="C2677:D2677"/>
    <mergeCell ref="C2778:D2778"/>
    <mergeCell ref="C753:D753"/>
    <mergeCell ref="C787:D787"/>
    <mergeCell ref="C805:D805"/>
    <mergeCell ref="C1038:D1038"/>
    <mergeCell ref="C1026:D1026"/>
    <mergeCell ref="A814:G814"/>
    <mergeCell ref="C815:D815"/>
    <mergeCell ref="C816:D816"/>
    <mergeCell ref="C817:D817"/>
    <mergeCell ref="C818:D818"/>
    <mergeCell ref="A826:F826"/>
    <mergeCell ref="C1028:D1028"/>
    <mergeCell ref="C1021:D1021"/>
    <mergeCell ref="C983:D983"/>
    <mergeCell ref="C984:D984"/>
    <mergeCell ref="A989:D989"/>
    <mergeCell ref="A990:F990"/>
    <mergeCell ref="A991:D991"/>
    <mergeCell ref="C1001:D1001"/>
    <mergeCell ref="A987:D987"/>
    <mergeCell ref="F987:G989"/>
    <mergeCell ref="A988:D988"/>
    <mergeCell ref="A945:D945"/>
    <mergeCell ref="C976:D976"/>
    <mergeCell ref="C1017:D1017"/>
    <mergeCell ref="A849:D849"/>
    <mergeCell ref="A850:D850"/>
    <mergeCell ref="A961:G961"/>
    <mergeCell ref="A959:D959"/>
    <mergeCell ref="A969:D969"/>
    <mergeCell ref="C978:D978"/>
    <mergeCell ref="C757:D757"/>
    <mergeCell ref="C754:D754"/>
    <mergeCell ref="C755:D755"/>
    <mergeCell ref="C1235:D1235"/>
    <mergeCell ref="A761:D761"/>
    <mergeCell ref="A764:D764"/>
    <mergeCell ref="A765:D765"/>
    <mergeCell ref="A767:F767"/>
    <mergeCell ref="F761:G766"/>
    <mergeCell ref="A769:F769"/>
    <mergeCell ref="C1088:D1088"/>
    <mergeCell ref="C1135:D1135"/>
    <mergeCell ref="C1125:D1125"/>
    <mergeCell ref="C1126:D1126"/>
    <mergeCell ref="A1127:D1127"/>
    <mergeCell ref="F1127:G1129"/>
    <mergeCell ref="C1105:D1105"/>
    <mergeCell ref="A1093:F1093"/>
    <mergeCell ref="A1094:D1094"/>
    <mergeCell ref="A1074:D1074"/>
    <mergeCell ref="A1076:G1076"/>
    <mergeCell ref="C758:D758"/>
    <mergeCell ref="A762:D762"/>
    <mergeCell ref="A763:D763"/>
    <mergeCell ref="A768:F768"/>
    <mergeCell ref="A766:D766"/>
    <mergeCell ref="C773:D773"/>
    <mergeCell ref="F1070:G1072"/>
    <mergeCell ref="C1019:D1019"/>
    <mergeCell ref="C1020:D1020"/>
    <mergeCell ref="A1231:F1231"/>
    <mergeCell ref="C1180:D1180"/>
    <mergeCell ref="C979:D979"/>
    <mergeCell ref="C734:D734"/>
    <mergeCell ref="A711:F711"/>
    <mergeCell ref="A693:G693"/>
    <mergeCell ref="A1244:D1244"/>
    <mergeCell ref="A1245:F1245"/>
    <mergeCell ref="C1173:D1173"/>
    <mergeCell ref="C1174:D1174"/>
    <mergeCell ref="C1175:D1175"/>
    <mergeCell ref="C1176:D1176"/>
    <mergeCell ref="A1167:F1167"/>
    <mergeCell ref="A1168:D1168"/>
    <mergeCell ref="A1170:G1170"/>
    <mergeCell ref="C1087:D1087"/>
    <mergeCell ref="C1155:D1155"/>
    <mergeCell ref="C1156:D1156"/>
    <mergeCell ref="A1128:D1128"/>
    <mergeCell ref="A1129:D1129"/>
    <mergeCell ref="C1122:D1122"/>
    <mergeCell ref="C1123:D1123"/>
    <mergeCell ref="C1124:D1124"/>
    <mergeCell ref="A1096:G1096"/>
    <mergeCell ref="A1242:D1242"/>
    <mergeCell ref="F1242:G1244"/>
    <mergeCell ref="F1181:G1183"/>
    <mergeCell ref="A1182:D1182"/>
    <mergeCell ref="A1183:D1183"/>
    <mergeCell ref="A1195:D1195"/>
    <mergeCell ref="F1228:G1230"/>
    <mergeCell ref="A1229:D1229"/>
    <mergeCell ref="A1230:D1230"/>
    <mergeCell ref="C776:D776"/>
    <mergeCell ref="C756:D756"/>
    <mergeCell ref="A639:F639"/>
    <mergeCell ref="A640:F640"/>
    <mergeCell ref="A641:F641"/>
    <mergeCell ref="A610:G610"/>
    <mergeCell ref="C611:D611"/>
    <mergeCell ref="C612:D612"/>
    <mergeCell ref="C613:D613"/>
    <mergeCell ref="C615:D615"/>
    <mergeCell ref="C616:D616"/>
    <mergeCell ref="C614:D614"/>
    <mergeCell ref="A643:G643"/>
    <mergeCell ref="C644:D644"/>
    <mergeCell ref="C648:D648"/>
    <mergeCell ref="A748:F748"/>
    <mergeCell ref="A749:F749"/>
    <mergeCell ref="A750:F750"/>
    <mergeCell ref="A732:G732"/>
    <mergeCell ref="C733:D733"/>
    <mergeCell ref="C735:D735"/>
    <mergeCell ref="C736:D736"/>
    <mergeCell ref="C737:D737"/>
    <mergeCell ref="A742:D742"/>
    <mergeCell ref="F742:G747"/>
    <mergeCell ref="A743:D743"/>
    <mergeCell ref="A744:D744"/>
    <mergeCell ref="A745:D745"/>
    <mergeCell ref="A746:D746"/>
    <mergeCell ref="A747:D747"/>
    <mergeCell ref="C739:D739"/>
    <mergeCell ref="C738:D738"/>
    <mergeCell ref="C740:D740"/>
    <mergeCell ref="C741:D741"/>
    <mergeCell ref="H683:H688"/>
    <mergeCell ref="A684:D684"/>
    <mergeCell ref="A685:D685"/>
    <mergeCell ref="A686:D686"/>
    <mergeCell ref="A687:D687"/>
    <mergeCell ref="A688:D688"/>
    <mergeCell ref="C671:D671"/>
    <mergeCell ref="C672:D672"/>
    <mergeCell ref="C673:D673"/>
    <mergeCell ref="C675:D675"/>
    <mergeCell ref="C676:D676"/>
    <mergeCell ref="C677:D677"/>
    <mergeCell ref="C678:D678"/>
    <mergeCell ref="C679:D679"/>
    <mergeCell ref="C680:D680"/>
    <mergeCell ref="C681:D681"/>
    <mergeCell ref="C682:D682"/>
    <mergeCell ref="C674:D674"/>
    <mergeCell ref="A428:F428"/>
    <mergeCell ref="C398:D398"/>
    <mergeCell ref="C405:D405"/>
    <mergeCell ref="C407:D407"/>
    <mergeCell ref="C408:D408"/>
    <mergeCell ref="C406:D406"/>
    <mergeCell ref="C403:D403"/>
    <mergeCell ref="C402:D402"/>
    <mergeCell ref="F420:G425"/>
    <mergeCell ref="C411:D411"/>
    <mergeCell ref="C414:D414"/>
    <mergeCell ref="C415:D415"/>
    <mergeCell ref="C416:D416"/>
    <mergeCell ref="C417:D417"/>
    <mergeCell ref="C418:D418"/>
    <mergeCell ref="C419:D419"/>
    <mergeCell ref="C399:D399"/>
    <mergeCell ref="C409:D409"/>
    <mergeCell ref="A420:D420"/>
    <mergeCell ref="C404:D404"/>
    <mergeCell ref="C401:D401"/>
    <mergeCell ref="A426:F426"/>
    <mergeCell ref="C400:D400"/>
    <mergeCell ref="H332:H337"/>
    <mergeCell ref="C346:D346"/>
    <mergeCell ref="C348:D348"/>
    <mergeCell ref="C349:D349"/>
    <mergeCell ref="C350:D350"/>
    <mergeCell ref="C351:D351"/>
    <mergeCell ref="C352:D352"/>
    <mergeCell ref="C344:D344"/>
    <mergeCell ref="C345:D345"/>
    <mergeCell ref="C355:D355"/>
    <mergeCell ref="C360:D360"/>
    <mergeCell ref="C361:D361"/>
    <mergeCell ref="C359:D359"/>
    <mergeCell ref="C363:D363"/>
    <mergeCell ref="C356:D356"/>
    <mergeCell ref="C362:D362"/>
    <mergeCell ref="C413:D413"/>
    <mergeCell ref="C410:D410"/>
    <mergeCell ref="C412:D412"/>
    <mergeCell ref="C370:D370"/>
    <mergeCell ref="C364:D364"/>
    <mergeCell ref="C367:D367"/>
    <mergeCell ref="C368:D368"/>
    <mergeCell ref="A380:F380"/>
    <mergeCell ref="C365:D365"/>
    <mergeCell ref="A383:G383"/>
    <mergeCell ref="C384:D384"/>
    <mergeCell ref="C385:D385"/>
    <mergeCell ref="C386:D386"/>
    <mergeCell ref="C387:D387"/>
    <mergeCell ref="C388:D388"/>
    <mergeCell ref="C389:D389"/>
    <mergeCell ref="H420:H425"/>
    <mergeCell ref="A421:D421"/>
    <mergeCell ref="A422:D422"/>
    <mergeCell ref="A423:D423"/>
    <mergeCell ref="A424:D424"/>
    <mergeCell ref="A425:D425"/>
    <mergeCell ref="C372:D372"/>
    <mergeCell ref="C397:D397"/>
    <mergeCell ref="C390:D390"/>
    <mergeCell ref="C391:D391"/>
    <mergeCell ref="C392:D392"/>
    <mergeCell ref="C393:D393"/>
    <mergeCell ref="C394:D394"/>
    <mergeCell ref="C395:D395"/>
    <mergeCell ref="C396:D396"/>
    <mergeCell ref="A381:F381"/>
    <mergeCell ref="F373:G378"/>
    <mergeCell ref="H373:H378"/>
    <mergeCell ref="A374:D374"/>
    <mergeCell ref="A375:D375"/>
    <mergeCell ref="A376:D376"/>
    <mergeCell ref="A377:D377"/>
    <mergeCell ref="A378:D378"/>
    <mergeCell ref="A373:D373"/>
    <mergeCell ref="C357:D357"/>
    <mergeCell ref="C358:D358"/>
    <mergeCell ref="C327:D327"/>
    <mergeCell ref="A338:F338"/>
    <mergeCell ref="A339:F339"/>
    <mergeCell ref="A340:F340"/>
    <mergeCell ref="C322:D322"/>
    <mergeCell ref="C323:D323"/>
    <mergeCell ref="C328:D328"/>
    <mergeCell ref="A333:D333"/>
    <mergeCell ref="C353:D353"/>
    <mergeCell ref="C354:D354"/>
    <mergeCell ref="A334:D334"/>
    <mergeCell ref="A335:D335"/>
    <mergeCell ref="A336:D336"/>
    <mergeCell ref="A337:D337"/>
    <mergeCell ref="C326:D326"/>
    <mergeCell ref="C325:D325"/>
    <mergeCell ref="C347:D347"/>
    <mergeCell ref="F332:G337"/>
    <mergeCell ref="A342:G342"/>
    <mergeCell ref="C343:D343"/>
    <mergeCell ref="C331:D331"/>
    <mergeCell ref="A332:D332"/>
    <mergeCell ref="C324:D324"/>
    <mergeCell ref="C371:D371"/>
    <mergeCell ref="C317:D317"/>
    <mergeCell ref="C311:D311"/>
    <mergeCell ref="C312:D312"/>
    <mergeCell ref="C313:D313"/>
    <mergeCell ref="C314:D314"/>
    <mergeCell ref="C261:D261"/>
    <mergeCell ref="C262:D262"/>
    <mergeCell ref="C263:D263"/>
    <mergeCell ref="C264:D264"/>
    <mergeCell ref="C369:D369"/>
    <mergeCell ref="C315:D315"/>
    <mergeCell ref="C310:D310"/>
    <mergeCell ref="A282:D282"/>
    <mergeCell ref="F282:G287"/>
    <mergeCell ref="C308:D308"/>
    <mergeCell ref="C309:D309"/>
    <mergeCell ref="C297:D297"/>
    <mergeCell ref="C296:D296"/>
    <mergeCell ref="C318:D318"/>
    <mergeCell ref="C267:D267"/>
    <mergeCell ref="C266:D266"/>
    <mergeCell ref="C298:D298"/>
    <mergeCell ref="C299:D299"/>
    <mergeCell ref="C300:D300"/>
    <mergeCell ref="C301:D301"/>
    <mergeCell ref="C302:D302"/>
    <mergeCell ref="C319:D319"/>
    <mergeCell ref="C304:D304"/>
    <mergeCell ref="C281:D281"/>
    <mergeCell ref="C307:D307"/>
    <mergeCell ref="C329:D329"/>
    <mergeCell ref="C320:D320"/>
    <mergeCell ref="C321:D321"/>
    <mergeCell ref="C196:D196"/>
    <mergeCell ref="C197:D197"/>
    <mergeCell ref="C198:D198"/>
    <mergeCell ref="C199:D199"/>
    <mergeCell ref="C201:D201"/>
    <mergeCell ref="A288:F288"/>
    <mergeCell ref="A289:F289"/>
    <mergeCell ref="A290:F290"/>
    <mergeCell ref="C208:D208"/>
    <mergeCell ref="C242:D242"/>
    <mergeCell ref="C243:D243"/>
    <mergeCell ref="C233:D233"/>
    <mergeCell ref="C234:D234"/>
    <mergeCell ref="C293:D293"/>
    <mergeCell ref="C294:D294"/>
    <mergeCell ref="C238:D238"/>
    <mergeCell ref="C316:D316"/>
    <mergeCell ref="F244:G249"/>
    <mergeCell ref="C272:D272"/>
    <mergeCell ref="A254:G254"/>
    <mergeCell ref="C255:D255"/>
    <mergeCell ref="C256:D256"/>
    <mergeCell ref="C258:D258"/>
    <mergeCell ref="A244:D244"/>
    <mergeCell ref="C305:D305"/>
    <mergeCell ref="C306:D306"/>
    <mergeCell ref="C269:D269"/>
    <mergeCell ref="C270:D270"/>
    <mergeCell ref="C271:D271"/>
    <mergeCell ref="C227:D227"/>
    <mergeCell ref="C231:D231"/>
    <mergeCell ref="C214:D214"/>
    <mergeCell ref="C215:D215"/>
    <mergeCell ref="C216:D216"/>
    <mergeCell ref="C217:D217"/>
    <mergeCell ref="A287:D287"/>
    <mergeCell ref="C279:D279"/>
    <mergeCell ref="A283:D283"/>
    <mergeCell ref="C189:D189"/>
    <mergeCell ref="C190:D190"/>
    <mergeCell ref="C171:D171"/>
    <mergeCell ref="C172:D172"/>
    <mergeCell ref="C303:D303"/>
    <mergeCell ref="C235:D235"/>
    <mergeCell ref="C237:D237"/>
    <mergeCell ref="C222:D222"/>
    <mergeCell ref="C223:D223"/>
    <mergeCell ref="C224:D224"/>
    <mergeCell ref="C232:D232"/>
    <mergeCell ref="C228:D228"/>
    <mergeCell ref="C229:D229"/>
    <mergeCell ref="C225:D225"/>
    <mergeCell ref="A248:D248"/>
    <mergeCell ref="A249:D249"/>
    <mergeCell ref="A250:F250"/>
    <mergeCell ref="A251:F251"/>
    <mergeCell ref="A252:F252"/>
    <mergeCell ref="C240:D240"/>
    <mergeCell ref="C212:D212"/>
    <mergeCell ref="C226:D226"/>
    <mergeCell ref="C257:D257"/>
    <mergeCell ref="C236:D236"/>
    <mergeCell ref="C218:D218"/>
    <mergeCell ref="C239:D239"/>
    <mergeCell ref="C241:D241"/>
    <mergeCell ref="C259:D259"/>
    <mergeCell ref="C260:D260"/>
    <mergeCell ref="C121:D121"/>
    <mergeCell ref="C106:D106"/>
    <mergeCell ref="C138:D138"/>
    <mergeCell ref="C139:D139"/>
    <mergeCell ref="C140:D140"/>
    <mergeCell ref="C141:D141"/>
    <mergeCell ref="O108:O109"/>
    <mergeCell ref="C295:D295"/>
    <mergeCell ref="A292:G292"/>
    <mergeCell ref="A245:D245"/>
    <mergeCell ref="A246:D246"/>
    <mergeCell ref="A247:D247"/>
    <mergeCell ref="C213:D213"/>
    <mergeCell ref="A211:G211"/>
    <mergeCell ref="C205:D205"/>
    <mergeCell ref="C206:D206"/>
    <mergeCell ref="H244:H249"/>
    <mergeCell ref="C191:D191"/>
    <mergeCell ref="C186:D186"/>
    <mergeCell ref="C187:D187"/>
    <mergeCell ref="C148:D148"/>
    <mergeCell ref="C149:D149"/>
    <mergeCell ref="C150:D150"/>
    <mergeCell ref="C151:D151"/>
    <mergeCell ref="C152:D152"/>
    <mergeCell ref="C268:D268"/>
    <mergeCell ref="A285:D285"/>
    <mergeCell ref="A286:D286"/>
    <mergeCell ref="C276:D276"/>
    <mergeCell ref="C274:D274"/>
    <mergeCell ref="C275:D275"/>
    <mergeCell ref="C278:D278"/>
    <mergeCell ref="C219:D219"/>
    <mergeCell ref="C220:D220"/>
    <mergeCell ref="C135:D135"/>
    <mergeCell ref="C136:D136"/>
    <mergeCell ref="C137:D137"/>
    <mergeCell ref="M137:M138"/>
    <mergeCell ref="O137:O138"/>
    <mergeCell ref="C126:D126"/>
    <mergeCell ref="C127:D127"/>
    <mergeCell ref="C128:D128"/>
    <mergeCell ref="C129:D129"/>
    <mergeCell ref="M129:M130"/>
    <mergeCell ref="O129:O130"/>
    <mergeCell ref="C130:D130"/>
    <mergeCell ref="C131:D131"/>
    <mergeCell ref="C147:D147"/>
    <mergeCell ref="C164:D164"/>
    <mergeCell ref="C162:D162"/>
    <mergeCell ref="C163:D163"/>
    <mergeCell ref="C195:D195"/>
    <mergeCell ref="O133:O134"/>
    <mergeCell ref="C134:D134"/>
    <mergeCell ref="C154:D154"/>
    <mergeCell ref="M143:M144"/>
    <mergeCell ref="O143:O144"/>
    <mergeCell ref="M147:M148"/>
    <mergeCell ref="O147:O148"/>
    <mergeCell ref="C94:D94"/>
    <mergeCell ref="A86:K86"/>
    <mergeCell ref="C87:D87"/>
    <mergeCell ref="C88:D88"/>
    <mergeCell ref="C89:D89"/>
    <mergeCell ref="C90:D90"/>
    <mergeCell ref="C91:D91"/>
    <mergeCell ref="M91:M92"/>
    <mergeCell ref="O91:O92"/>
    <mergeCell ref="C92:D92"/>
    <mergeCell ref="C93:D93"/>
    <mergeCell ref="M77:M78"/>
    <mergeCell ref="M81:M82"/>
    <mergeCell ref="O77:O78"/>
    <mergeCell ref="O81:O82"/>
    <mergeCell ref="C83:D83"/>
    <mergeCell ref="O95:O96"/>
    <mergeCell ref="O104:O105"/>
    <mergeCell ref="M104:M105"/>
    <mergeCell ref="C157:D157"/>
    <mergeCell ref="C160:D160"/>
    <mergeCell ref="C156:D156"/>
    <mergeCell ref="C158:D158"/>
    <mergeCell ref="C107:D107"/>
    <mergeCell ref="M99:M100"/>
    <mergeCell ref="O99:O100"/>
    <mergeCell ref="C95:D95"/>
    <mergeCell ref="C96:D96"/>
    <mergeCell ref="C97:D97"/>
    <mergeCell ref="C98:D98"/>
    <mergeCell ref="C99:D99"/>
    <mergeCell ref="C100:D100"/>
    <mergeCell ref="C101:D101"/>
    <mergeCell ref="C111:D111"/>
    <mergeCell ref="C102:D102"/>
    <mergeCell ref="C103:D103"/>
    <mergeCell ref="C104:D104"/>
    <mergeCell ref="C105:D105"/>
    <mergeCell ref="C109:D109"/>
    <mergeCell ref="C108:D108"/>
    <mergeCell ref="M95:M96"/>
    <mergeCell ref="C118:D118"/>
    <mergeCell ref="C119:D119"/>
    <mergeCell ref="C120:D120"/>
    <mergeCell ref="M108:M109"/>
    <mergeCell ref="C113:D113"/>
    <mergeCell ref="C114:D114"/>
    <mergeCell ref="C115:D115"/>
    <mergeCell ref="C116:D116"/>
    <mergeCell ref="M62:M63"/>
    <mergeCell ref="O62:O63"/>
    <mergeCell ref="M66:M67"/>
    <mergeCell ref="O66:O67"/>
    <mergeCell ref="C35:D35"/>
    <mergeCell ref="C41:D41"/>
    <mergeCell ref="C49:D49"/>
    <mergeCell ref="A53:K53"/>
    <mergeCell ref="C54:D54"/>
    <mergeCell ref="C55:D55"/>
    <mergeCell ref="C56:D56"/>
    <mergeCell ref="C57:D57"/>
    <mergeCell ref="C32:D32"/>
    <mergeCell ref="M32:M33"/>
    <mergeCell ref="O32:O33"/>
    <mergeCell ref="C33:D33"/>
    <mergeCell ref="C34:D34"/>
    <mergeCell ref="M36:M37"/>
    <mergeCell ref="O36:O37"/>
    <mergeCell ref="C36:D36"/>
    <mergeCell ref="M40:M41"/>
    <mergeCell ref="O40:O41"/>
    <mergeCell ref="C42:D42"/>
    <mergeCell ref="C58:D58"/>
    <mergeCell ref="C43:D43"/>
    <mergeCell ref="C44:D44"/>
    <mergeCell ref="M45:M46"/>
    <mergeCell ref="O45:O46"/>
    <mergeCell ref="M49:M50"/>
    <mergeCell ref="O49:O50"/>
    <mergeCell ref="M58:M59"/>
    <mergeCell ref="O58:O59"/>
  </mergeCells>
  <phoneticPr fontId="160" type="noConversion"/>
  <conditionalFormatting sqref="J3:J5 J23:J24 J7:J11">
    <cfRule type="dataBar" priority="2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{9AA3C75C-04FA-4878-A79D-ACB5E910BED7}</x14:id>
        </ext>
      </extLst>
    </cfRule>
  </conditionalFormatting>
  <conditionalFormatting sqref="J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{DF0D9FF9-E403-4690-9283-7487A68C6F58}</x14:id>
        </ext>
      </extLst>
    </cfRule>
  </conditionalFormatting>
  <conditionalFormatting sqref="J12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{0CDBE6F9-A79D-4F38-8623-1EE7645ACB27}</x14:id>
        </ext>
      </extLst>
    </cfRule>
  </conditionalFormatting>
  <conditionalFormatting sqref="J13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{0534552C-59B4-40C7-8887-F092303C613F}</x14:id>
        </ext>
      </extLst>
    </cfRule>
  </conditionalFormatting>
  <conditionalFormatting sqref="J14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{FCDADA68-B4B4-48F0-B0A5-43A956C42A5F}</x14:id>
        </ext>
      </extLst>
    </cfRule>
  </conditionalFormatting>
  <conditionalFormatting sqref="J15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{E3A91A73-0227-4F72-8D92-EC6BBD7C3B65}</x14:id>
        </ext>
      </extLst>
    </cfRule>
  </conditionalFormatting>
  <conditionalFormatting sqref="J16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{4FB43D8B-6DFA-489E-9112-68DBC95898B5}</x14:id>
        </ext>
      </extLst>
    </cfRule>
  </conditionalFormatting>
  <conditionalFormatting sqref="J1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{8C338CA4-6F39-4DC7-A3BE-D9C3882A912C}</x14:id>
        </ext>
      </extLst>
    </cfRule>
  </conditionalFormatting>
  <conditionalFormatting sqref="J18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{AF7FE347-1E1B-45BD-A421-480DBDB8EC77}</x14:id>
        </ext>
      </extLst>
    </cfRule>
  </conditionalFormatting>
  <conditionalFormatting sqref="J19:J22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{10FA680B-48C2-40F2-9585-8CE664CB9A4F}</x14:id>
        </ext>
      </extLst>
    </cfRule>
  </conditionalFormatting>
  <conditionalFormatting sqref="J29:J31 J33:J38 J50">
    <cfRule type="dataBar" priority="18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{40CF7E58-241B-4C63-9F8D-02A95A48CD06}</x14:id>
        </ext>
      </extLst>
    </cfRule>
  </conditionalFormatting>
  <conditionalFormatting sqref="J32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{5269C977-8368-4F2B-8D71-078B5E7C8A01}</x14:id>
        </ext>
      </extLst>
    </cfRule>
  </conditionalFormatting>
  <conditionalFormatting sqref="J39">
    <cfRule type="dataBar" priority="2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{254FADDB-AC46-417B-B8DF-F46EA422C95F}</x14:id>
        </ext>
      </extLst>
    </cfRule>
  </conditionalFormatting>
  <conditionalFormatting sqref="J40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{145B79EE-1C5B-4302-9D4C-E7CA0F43076A}</x14:id>
        </ext>
      </extLst>
    </cfRule>
  </conditionalFormatting>
  <conditionalFormatting sqref="J41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{66D25122-CA60-41BF-B543-51197ABCDD8C}</x14:id>
        </ext>
      </extLst>
    </cfRule>
  </conditionalFormatting>
  <conditionalFormatting sqref="J42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{B595B2F7-E78C-486C-A452-778B3636E4C4}</x14:id>
        </ext>
      </extLst>
    </cfRule>
  </conditionalFormatting>
  <conditionalFormatting sqref="J43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{8C68C2FB-BA2C-4883-9664-32B1F28A2774}</x14:id>
        </ext>
      </extLst>
    </cfRule>
  </conditionalFormatting>
  <conditionalFormatting sqref="J44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{37FFE2F8-2914-4AFC-B137-B1659D506479}</x14:id>
        </ext>
      </extLst>
    </cfRule>
  </conditionalFormatting>
  <conditionalFormatting sqref="J45:J46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{C604F7FF-5FE5-4E04-A58E-3FE97F07F1A2}</x14:id>
        </ext>
      </extLst>
    </cfRule>
  </conditionalFormatting>
  <conditionalFormatting sqref="J4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{E0EFC887-F971-42E4-A9FD-423029D32519}</x14:id>
        </ext>
      </extLst>
    </cfRule>
  </conditionalFormatting>
  <conditionalFormatting sqref="J48:J49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{918A4B08-874E-4FEA-B664-0CD65C6FFB11}</x14:id>
        </ext>
      </extLst>
    </cfRule>
  </conditionalFormatting>
  <conditionalFormatting sqref="J70">
    <cfRule type="dataBar" priority="3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{76BACFE4-F268-4246-BA5E-21AA165CCB2B}</x14:id>
        </ext>
      </extLst>
    </cfRule>
  </conditionalFormatting>
  <conditionalFormatting sqref="J71">
    <cfRule type="dataBar" priority="3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{690B1797-8EE0-453C-B69A-3A2D09E21867}</x14:id>
        </ext>
      </extLst>
    </cfRule>
  </conditionalFormatting>
  <conditionalFormatting sqref="J72">
    <cfRule type="dataBar" priority="3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{2059C16E-43C4-45A0-A160-2B863B089561}</x14:id>
        </ext>
      </extLst>
    </cfRule>
  </conditionalFormatting>
  <conditionalFormatting sqref="J73">
    <cfRule type="dataBar" priority="2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{366C5F49-3BB2-44C5-ABEC-C20E574E434D}</x14:id>
        </ext>
      </extLst>
    </cfRule>
  </conditionalFormatting>
  <conditionalFormatting sqref="J74">
    <cfRule type="dataBar" priority="3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{369BF076-A640-4D24-9F52-3892FC000990}</x14:id>
        </ext>
      </extLst>
    </cfRule>
  </conditionalFormatting>
  <conditionalFormatting sqref="J75">
    <cfRule type="dataBar" priority="2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{D476982F-2C2B-490F-B547-DD5AC15B15C2}</x14:id>
        </ext>
      </extLst>
    </cfRule>
  </conditionalFormatting>
  <conditionalFormatting sqref="J76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{D6A7CD6C-4172-4541-B293-83A6CE4B5096}</x14:id>
        </ext>
      </extLst>
    </cfRule>
  </conditionalFormatting>
  <conditionalFormatting sqref="J77:J78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{A6F2E7BD-D951-4736-9918-F0FB136A68C7}</x14:id>
        </ext>
      </extLst>
    </cfRule>
  </conditionalFormatting>
  <conditionalFormatting sqref="J79:J82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{17D9C186-1035-4F3F-B6EF-1EB0B1210ED5}</x14:id>
        </ext>
      </extLst>
    </cfRule>
  </conditionalFormatting>
  <conditionalFormatting sqref="J88:J104 J111:J117 J121">
    <cfRule type="dataBar" priority="20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{1898159A-FBC6-406C-BC26-92EEC11A653A}</x14:id>
        </ext>
      </extLst>
    </cfRule>
  </conditionalFormatting>
  <conditionalFormatting sqref="J105">
    <cfRule type="dataBar" priority="4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{CD533BD7-F962-4E90-97E3-2875A0CDF8D2}</x14:id>
        </ext>
      </extLst>
    </cfRule>
  </conditionalFormatting>
  <conditionalFormatting sqref="J106">
    <cfRule type="dataBar" priority="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{992A31A2-B707-4AB0-B02C-A9947FC2402E}</x14:id>
        </ext>
      </extLst>
    </cfRule>
  </conditionalFormatting>
  <conditionalFormatting sqref="J107">
    <cfRule type="dataBar" priority="3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{B4579772-3659-49B9-A8B4-0745ACA22E17}</x14:id>
        </ext>
      </extLst>
    </cfRule>
  </conditionalFormatting>
  <conditionalFormatting sqref="J108">
    <cfRule type="dataBar" priority="3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{6BCD4129-E3B5-4DAE-8957-67CA807F4DAB}</x14:id>
        </ext>
      </extLst>
    </cfRule>
  </conditionalFormatting>
  <conditionalFormatting sqref="J109:J110">
    <cfRule type="dataBar" priority="3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{6B3B888C-4F92-4ED0-A0C1-D4FA2D52D326}</x14:id>
        </ext>
      </extLst>
    </cfRule>
  </conditionalFormatting>
  <conditionalFormatting sqref="J118:J120 J83 J55:J69">
    <cfRule type="dataBar" priority="22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{3733AF49-38E4-47D4-8CFF-A2B733B18D60}</x14:id>
        </ext>
      </extLst>
    </cfRule>
  </conditionalFormatting>
  <conditionalFormatting sqref="J126:J150">
    <cfRule type="dataBar" priority="9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{0D511CE1-109A-4CAF-AD07-17FF81C933B5}</x14:id>
        </ext>
      </extLst>
    </cfRule>
  </conditionalFormatting>
  <conditionalFormatting sqref="J151:J165 J207">
    <cfRule type="dataBar" priority="10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{C4302D7A-C004-4A90-A0E0-2512BDEF6F03}</x14:id>
        </ext>
      </extLst>
    </cfRule>
  </conditionalFormatting>
  <conditionalFormatting sqref="J172:J206">
    <cfRule type="dataBar" priority="4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{9A4D7AA7-003F-4006-94F3-3BA43F9EAF98}</x14:id>
        </ext>
      </extLst>
    </cfRule>
  </conditionalFormatting>
  <pageMargins left="9.0277999999999997E-2" right="0.45972200000000002" top="0.15" bottom="0.159722" header="0.15" footer="0.129861"/>
  <pageSetup paperSize="9" scale="95" fitToWidth="0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A3C75C-04FA-4878-A79D-ACB5E910BE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J3:J5 J23:J24 J7:J11</xm:sqref>
        </x14:conditionalFormatting>
        <x14:conditionalFormatting xmlns:xm="http://schemas.microsoft.com/office/excel/2006/main">
          <x14:cfRule type="dataBar" id="{DF0D9FF9-E403-4690-9283-7487A68C6F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J6</xm:sqref>
        </x14:conditionalFormatting>
        <x14:conditionalFormatting xmlns:xm="http://schemas.microsoft.com/office/excel/2006/main">
          <x14:cfRule type="dataBar" id="{0CDBE6F9-A79D-4F38-8623-1EE7645ACB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J12</xm:sqref>
        </x14:conditionalFormatting>
        <x14:conditionalFormatting xmlns:xm="http://schemas.microsoft.com/office/excel/2006/main">
          <x14:cfRule type="dataBar" id="{0534552C-59B4-40C7-8887-F092303C61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J13</xm:sqref>
        </x14:conditionalFormatting>
        <x14:conditionalFormatting xmlns:xm="http://schemas.microsoft.com/office/excel/2006/main">
          <x14:cfRule type="dataBar" id="{FCDADA68-B4B4-48F0-B0A5-43A956C42A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J14</xm:sqref>
        </x14:conditionalFormatting>
        <x14:conditionalFormatting xmlns:xm="http://schemas.microsoft.com/office/excel/2006/main">
          <x14:cfRule type="dataBar" id="{E3A91A73-0227-4F72-8D92-EC6BBD7C3B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J15</xm:sqref>
        </x14:conditionalFormatting>
        <x14:conditionalFormatting xmlns:xm="http://schemas.microsoft.com/office/excel/2006/main">
          <x14:cfRule type="dataBar" id="{4FB43D8B-6DFA-489E-9112-68DBC95898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J16</xm:sqref>
        </x14:conditionalFormatting>
        <x14:conditionalFormatting xmlns:xm="http://schemas.microsoft.com/office/excel/2006/main">
          <x14:cfRule type="dataBar" id="{8C338CA4-6F39-4DC7-A3BE-D9C3882A91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J17</xm:sqref>
        </x14:conditionalFormatting>
        <x14:conditionalFormatting xmlns:xm="http://schemas.microsoft.com/office/excel/2006/main">
          <x14:cfRule type="dataBar" id="{AF7FE347-1E1B-45BD-A421-480DBDB8EC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J18</xm:sqref>
        </x14:conditionalFormatting>
        <x14:conditionalFormatting xmlns:xm="http://schemas.microsoft.com/office/excel/2006/main">
          <x14:cfRule type="dataBar" id="{10FA680B-48C2-40F2-9585-8CE664CB9A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J19:J22</xm:sqref>
        </x14:conditionalFormatting>
        <x14:conditionalFormatting xmlns:xm="http://schemas.microsoft.com/office/excel/2006/main">
          <x14:cfRule type="dataBar" id="{40CF7E58-241B-4C63-9F8D-02A95A48CD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J29:J31 J33:J38 J50</xm:sqref>
        </x14:conditionalFormatting>
        <x14:conditionalFormatting xmlns:xm="http://schemas.microsoft.com/office/excel/2006/main">
          <x14:cfRule type="dataBar" id="{5269C977-8368-4F2B-8D71-078B5E7C8A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J32</xm:sqref>
        </x14:conditionalFormatting>
        <x14:conditionalFormatting xmlns:xm="http://schemas.microsoft.com/office/excel/2006/main">
          <x14:cfRule type="dataBar" id="{254FADDB-AC46-417B-B8DF-F46EA422C9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J39</xm:sqref>
        </x14:conditionalFormatting>
        <x14:conditionalFormatting xmlns:xm="http://schemas.microsoft.com/office/excel/2006/main">
          <x14:cfRule type="dataBar" id="{145B79EE-1C5B-4302-9D4C-E7CA0F4307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J40</xm:sqref>
        </x14:conditionalFormatting>
        <x14:conditionalFormatting xmlns:xm="http://schemas.microsoft.com/office/excel/2006/main">
          <x14:cfRule type="dataBar" id="{66D25122-CA60-41BF-B543-51197ABCDD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J41</xm:sqref>
        </x14:conditionalFormatting>
        <x14:conditionalFormatting xmlns:xm="http://schemas.microsoft.com/office/excel/2006/main">
          <x14:cfRule type="dataBar" id="{B595B2F7-E78C-486C-A452-778B3636E4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J42</xm:sqref>
        </x14:conditionalFormatting>
        <x14:conditionalFormatting xmlns:xm="http://schemas.microsoft.com/office/excel/2006/main">
          <x14:cfRule type="dataBar" id="{8C68C2FB-BA2C-4883-9664-32B1F28A27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J43</xm:sqref>
        </x14:conditionalFormatting>
        <x14:conditionalFormatting xmlns:xm="http://schemas.microsoft.com/office/excel/2006/main">
          <x14:cfRule type="dataBar" id="{37FFE2F8-2914-4AFC-B137-B1659D5064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J44</xm:sqref>
        </x14:conditionalFormatting>
        <x14:conditionalFormatting xmlns:xm="http://schemas.microsoft.com/office/excel/2006/main">
          <x14:cfRule type="dataBar" id="{C604F7FF-5FE5-4E04-A58E-3FE97F07F1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J45:J46</xm:sqref>
        </x14:conditionalFormatting>
        <x14:conditionalFormatting xmlns:xm="http://schemas.microsoft.com/office/excel/2006/main">
          <x14:cfRule type="dataBar" id="{E0EFC887-F971-42E4-A9FD-423029D325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J47</xm:sqref>
        </x14:conditionalFormatting>
        <x14:conditionalFormatting xmlns:xm="http://schemas.microsoft.com/office/excel/2006/main">
          <x14:cfRule type="dataBar" id="{918A4B08-874E-4FEA-B664-0CD65C6FFB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J48:J49</xm:sqref>
        </x14:conditionalFormatting>
        <x14:conditionalFormatting xmlns:xm="http://schemas.microsoft.com/office/excel/2006/main">
          <x14:cfRule type="dataBar" id="{76BACFE4-F268-4246-BA5E-21AA165CCB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J70</xm:sqref>
        </x14:conditionalFormatting>
        <x14:conditionalFormatting xmlns:xm="http://schemas.microsoft.com/office/excel/2006/main">
          <x14:cfRule type="dataBar" id="{690B1797-8EE0-453C-B69A-3A2D09E218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J71</xm:sqref>
        </x14:conditionalFormatting>
        <x14:conditionalFormatting xmlns:xm="http://schemas.microsoft.com/office/excel/2006/main">
          <x14:cfRule type="dataBar" id="{2059C16E-43C4-45A0-A160-2B863B0895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J72</xm:sqref>
        </x14:conditionalFormatting>
        <x14:conditionalFormatting xmlns:xm="http://schemas.microsoft.com/office/excel/2006/main">
          <x14:cfRule type="dataBar" id="{366C5F49-3BB2-44C5-ABEC-C20E574E43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J73</xm:sqref>
        </x14:conditionalFormatting>
        <x14:conditionalFormatting xmlns:xm="http://schemas.microsoft.com/office/excel/2006/main">
          <x14:cfRule type="dataBar" id="{369BF076-A640-4D24-9F52-3892FC0009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J74</xm:sqref>
        </x14:conditionalFormatting>
        <x14:conditionalFormatting xmlns:xm="http://schemas.microsoft.com/office/excel/2006/main">
          <x14:cfRule type="dataBar" id="{D476982F-2C2B-490F-B547-DD5AC15B15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J75</xm:sqref>
        </x14:conditionalFormatting>
        <x14:conditionalFormatting xmlns:xm="http://schemas.microsoft.com/office/excel/2006/main">
          <x14:cfRule type="dataBar" id="{D6A7CD6C-4172-4541-B293-83A6CE4B50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J76</xm:sqref>
        </x14:conditionalFormatting>
        <x14:conditionalFormatting xmlns:xm="http://schemas.microsoft.com/office/excel/2006/main">
          <x14:cfRule type="dataBar" id="{A6F2E7BD-D951-4736-9918-F0FB136A68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J77:J78</xm:sqref>
        </x14:conditionalFormatting>
        <x14:conditionalFormatting xmlns:xm="http://schemas.microsoft.com/office/excel/2006/main">
          <x14:cfRule type="dataBar" id="{17D9C186-1035-4F3F-B6EF-1EB0B1210E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J79:J82</xm:sqref>
        </x14:conditionalFormatting>
        <x14:conditionalFormatting xmlns:xm="http://schemas.microsoft.com/office/excel/2006/main">
          <x14:cfRule type="dataBar" id="{1898159A-FBC6-406C-BC26-92EEC11A65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J88:J104 J111:J117 J121</xm:sqref>
        </x14:conditionalFormatting>
        <x14:conditionalFormatting xmlns:xm="http://schemas.microsoft.com/office/excel/2006/main">
          <x14:cfRule type="dataBar" id="{CD533BD7-F962-4E90-97E3-2875A0CDF8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J105</xm:sqref>
        </x14:conditionalFormatting>
        <x14:conditionalFormatting xmlns:xm="http://schemas.microsoft.com/office/excel/2006/main">
          <x14:cfRule type="dataBar" id="{992A31A2-B707-4AB0-B02C-A9947FC240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J106</xm:sqref>
        </x14:conditionalFormatting>
        <x14:conditionalFormatting xmlns:xm="http://schemas.microsoft.com/office/excel/2006/main">
          <x14:cfRule type="dataBar" id="{B4579772-3659-49B9-A8B4-0745ACA22E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J107</xm:sqref>
        </x14:conditionalFormatting>
        <x14:conditionalFormatting xmlns:xm="http://schemas.microsoft.com/office/excel/2006/main">
          <x14:cfRule type="dataBar" id="{6BCD4129-E3B5-4DAE-8957-67CA807F4D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J108</xm:sqref>
        </x14:conditionalFormatting>
        <x14:conditionalFormatting xmlns:xm="http://schemas.microsoft.com/office/excel/2006/main">
          <x14:cfRule type="dataBar" id="{6B3B888C-4F92-4ED0-A0C1-D4FA2D52D3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J109:J110</xm:sqref>
        </x14:conditionalFormatting>
        <x14:conditionalFormatting xmlns:xm="http://schemas.microsoft.com/office/excel/2006/main">
          <x14:cfRule type="dataBar" id="{3733AF49-38E4-47D4-8CFF-A2B733B18D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J118:J120 J83 J55:J69</xm:sqref>
        </x14:conditionalFormatting>
        <x14:conditionalFormatting xmlns:xm="http://schemas.microsoft.com/office/excel/2006/main">
          <x14:cfRule type="dataBar" id="{0D511CE1-109A-4CAF-AD07-17FF81C933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J126:J150</xm:sqref>
        </x14:conditionalFormatting>
        <x14:conditionalFormatting xmlns:xm="http://schemas.microsoft.com/office/excel/2006/main">
          <x14:cfRule type="dataBar" id="{C4302D7A-C004-4A90-A0E0-2512BDEF6F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J151:J165 J207</xm:sqref>
        </x14:conditionalFormatting>
        <x14:conditionalFormatting xmlns:xm="http://schemas.microsoft.com/office/excel/2006/main">
          <x14:cfRule type="dataBar" id="{9A4D7AA7-003F-4006-94F3-3BA43F9EAF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J172:J206</xm:sqref>
        </x14:conditionalFormatting>
      </x14:conditionalFormattings>
    </ext>
  </extLst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C03BC-B8EE-4AF2-BFD0-9B581913FB2D}">
  <sheetPr codeName="Planilha25"/>
  <dimension ref="A1:Q590"/>
  <sheetViews>
    <sheetView topLeftCell="A488" zoomScaleNormal="100" workbookViewId="0">
      <selection activeCell="F483" sqref="F483:F489"/>
    </sheetView>
  </sheetViews>
  <sheetFormatPr defaultRowHeight="12.75" x14ac:dyDescent="0.2"/>
  <cols>
    <col min="1" max="1" width="10.7109375" customWidth="1"/>
    <col min="2" max="2" width="67" customWidth="1"/>
    <col min="3" max="3" width="15" style="24" customWidth="1"/>
    <col min="4" max="4" width="14.85546875" customWidth="1"/>
    <col min="5" max="5" width="15.42578125" customWidth="1"/>
    <col min="6" max="6" width="13.7109375" customWidth="1"/>
    <col min="7" max="7" width="12.7109375" customWidth="1"/>
    <col min="8" max="8" width="12.7109375" bestFit="1" customWidth="1"/>
    <col min="9" max="9" width="25.7109375" customWidth="1"/>
    <col min="10" max="10" width="22.5703125" bestFit="1" customWidth="1"/>
    <col min="11" max="11" width="14.85546875" customWidth="1"/>
    <col min="12" max="12" width="20" customWidth="1"/>
    <col min="13" max="14" width="12.5703125" bestFit="1" customWidth="1"/>
    <col min="15" max="15" width="15.5703125" customWidth="1"/>
    <col min="16" max="16" width="13.28515625" bestFit="1" customWidth="1"/>
    <col min="17" max="17" width="11.85546875" customWidth="1"/>
  </cols>
  <sheetData>
    <row r="1" spans="1:17" ht="23.25" customHeight="1" thickBot="1" x14ac:dyDescent="0.4">
      <c r="A1" s="3487" t="s">
        <v>6392</v>
      </c>
      <c r="B1" s="3488"/>
      <c r="C1" s="3488"/>
      <c r="D1" s="3488"/>
      <c r="E1" s="3488"/>
      <c r="F1" s="3489"/>
      <c r="G1" s="2667"/>
    </row>
    <row r="2" spans="1:17" s="32" customFormat="1" ht="19.5" customHeight="1" thickBot="1" x14ac:dyDescent="0.3">
      <c r="A2" s="149" t="s">
        <v>4206</v>
      </c>
      <c r="B2" s="787" t="s">
        <v>3</v>
      </c>
      <c r="C2" s="727" t="s">
        <v>7648</v>
      </c>
      <c r="D2" s="2171" t="s">
        <v>6374</v>
      </c>
      <c r="E2" s="2172" t="s">
        <v>6375</v>
      </c>
      <c r="F2" s="2173" t="s">
        <v>5315</v>
      </c>
      <c r="H2" s="3110" t="s">
        <v>8368</v>
      </c>
      <c r="I2" s="3110"/>
      <c r="J2" s="3110"/>
      <c r="K2" s="3110"/>
      <c r="L2" s="3110"/>
      <c r="M2" s="3110"/>
      <c r="N2" s="3110"/>
      <c r="O2" s="3110"/>
      <c r="P2" s="3110"/>
      <c r="Q2"/>
    </row>
    <row r="3" spans="1:17" ht="18" customHeight="1" x14ac:dyDescent="0.25">
      <c r="A3" s="2682">
        <v>45357</v>
      </c>
      <c r="B3" s="2170" t="s">
        <v>8375</v>
      </c>
      <c r="C3" s="2751" t="s">
        <v>1486</v>
      </c>
      <c r="D3" s="2683">
        <v>14538</v>
      </c>
      <c r="E3" s="2684"/>
      <c r="F3" s="2685">
        <f>D3</f>
        <v>14538</v>
      </c>
      <c r="G3" s="841"/>
      <c r="H3" s="32" t="s">
        <v>8374</v>
      </c>
      <c r="I3" s="32"/>
      <c r="J3" s="2936">
        <v>51555.03</v>
      </c>
    </row>
    <row r="4" spans="1:17" ht="18" customHeight="1" x14ac:dyDescent="0.25">
      <c r="A4" s="2156">
        <v>45357</v>
      </c>
      <c r="B4" s="2670" t="s">
        <v>6208</v>
      </c>
      <c r="C4" s="1746" t="s">
        <v>1486</v>
      </c>
      <c r="D4" s="2673">
        <v>500</v>
      </c>
      <c r="E4" s="2159"/>
      <c r="F4" s="2656">
        <f t="shared" ref="F4:F67" si="0">F3+D4-E4</f>
        <v>15038</v>
      </c>
      <c r="G4" s="841"/>
      <c r="I4" s="1160"/>
      <c r="J4" s="1160"/>
      <c r="K4" s="1160"/>
      <c r="L4" s="1160" t="s">
        <v>8370</v>
      </c>
      <c r="M4" s="1160" t="s">
        <v>5426</v>
      </c>
      <c r="N4" s="2499" t="s">
        <v>6829</v>
      </c>
    </row>
    <row r="5" spans="1:17" ht="18" customHeight="1" x14ac:dyDescent="0.25">
      <c r="A5" s="2156">
        <v>45357</v>
      </c>
      <c r="B5" s="2670" t="s">
        <v>6214</v>
      </c>
      <c r="C5" s="1746" t="s">
        <v>1486</v>
      </c>
      <c r="D5" s="2674">
        <v>550</v>
      </c>
      <c r="E5" s="2161"/>
      <c r="F5" s="2656">
        <f t="shared" si="0"/>
        <v>15588</v>
      </c>
      <c r="G5" s="841"/>
      <c r="I5" s="1157">
        <f>J3</f>
        <v>51555.03</v>
      </c>
      <c r="J5" s="2413">
        <f>I5*5%</f>
        <v>2577.7515000000003</v>
      </c>
      <c r="K5" s="2414">
        <v>2900</v>
      </c>
      <c r="L5" s="2411">
        <f>J5+K5</f>
        <v>5477.7515000000003</v>
      </c>
      <c r="M5" s="2412">
        <v>1</v>
      </c>
      <c r="N5" s="2415">
        <v>45566</v>
      </c>
      <c r="O5" s="717" t="s">
        <v>3803</v>
      </c>
    </row>
    <row r="6" spans="1:17" ht="18" customHeight="1" x14ac:dyDescent="0.25">
      <c r="A6" s="2156">
        <v>45364</v>
      </c>
      <c r="B6" s="2670" t="s">
        <v>6988</v>
      </c>
      <c r="C6" s="1746" t="s">
        <v>1486</v>
      </c>
      <c r="D6" s="2674">
        <v>11.45</v>
      </c>
      <c r="E6" s="2161"/>
      <c r="F6" s="2656">
        <f t="shared" si="0"/>
        <v>15599.45</v>
      </c>
      <c r="G6" s="841"/>
      <c r="I6" s="2411">
        <f>I5-L5</f>
        <v>46077.2785</v>
      </c>
      <c r="J6" s="2413">
        <f>I6*5%</f>
        <v>2303.8639250000001</v>
      </c>
      <c r="K6" s="2414">
        <v>2900</v>
      </c>
      <c r="L6" s="2411">
        <f>J6+K6</f>
        <v>5203.8639249999997</v>
      </c>
      <c r="M6" s="2412">
        <v>2</v>
      </c>
      <c r="N6" s="2415">
        <v>45931</v>
      </c>
      <c r="O6" s="717" t="s">
        <v>3803</v>
      </c>
    </row>
    <row r="7" spans="1:17" ht="18" customHeight="1" x14ac:dyDescent="0.25">
      <c r="A7" s="2162">
        <v>45364</v>
      </c>
      <c r="B7" s="2168" t="s">
        <v>7004</v>
      </c>
      <c r="C7" s="1697" t="s">
        <v>7649</v>
      </c>
      <c r="D7" s="2675"/>
      <c r="E7" s="2161">
        <v>1500</v>
      </c>
      <c r="F7" s="2656">
        <f t="shared" si="0"/>
        <v>14099.45</v>
      </c>
      <c r="G7" s="841"/>
      <c r="I7" s="2411">
        <f>I6-L6</f>
        <v>40873.414575000003</v>
      </c>
      <c r="J7" s="2413">
        <f>I7*5%</f>
        <v>2043.6707287500003</v>
      </c>
      <c r="K7" s="2414">
        <v>2900</v>
      </c>
      <c r="L7" s="2411">
        <f>J7+K7</f>
        <v>4943.6707287500003</v>
      </c>
      <c r="M7" s="2412">
        <v>3</v>
      </c>
      <c r="N7" s="2415">
        <v>46296</v>
      </c>
    </row>
    <row r="8" spans="1:17" ht="18" customHeight="1" x14ac:dyDescent="0.25">
      <c r="A8" s="2162">
        <v>45369</v>
      </c>
      <c r="B8" s="2168" t="s">
        <v>6275</v>
      </c>
      <c r="C8" s="1697" t="s">
        <v>7649</v>
      </c>
      <c r="D8" s="2676"/>
      <c r="E8" s="2157">
        <v>652.39</v>
      </c>
      <c r="F8" s="2656">
        <f t="shared" si="0"/>
        <v>13447.060000000001</v>
      </c>
      <c r="G8" s="841"/>
      <c r="I8" s="2411">
        <f>I7-L7</f>
        <v>35929.743846249999</v>
      </c>
      <c r="J8" s="2413">
        <f>I8*5%</f>
        <v>1796.4871923125002</v>
      </c>
      <c r="K8" s="2414">
        <v>2900</v>
      </c>
      <c r="L8" s="2411">
        <f>J8+K8</f>
        <v>4696.4871923125002</v>
      </c>
      <c r="M8" s="2412">
        <v>4</v>
      </c>
      <c r="N8" s="2415">
        <v>46661</v>
      </c>
    </row>
    <row r="9" spans="1:17" ht="18" customHeight="1" x14ac:dyDescent="0.25">
      <c r="A9" s="2156">
        <v>45371</v>
      </c>
      <c r="B9" s="2169" t="s">
        <v>6988</v>
      </c>
      <c r="C9" s="1746" t="s">
        <v>1486</v>
      </c>
      <c r="D9" s="2674">
        <v>11.45</v>
      </c>
      <c r="E9" s="2161"/>
      <c r="F9" s="2656">
        <f t="shared" si="0"/>
        <v>13458.510000000002</v>
      </c>
      <c r="G9" s="841"/>
      <c r="I9" s="2411">
        <f>I8-L8</f>
        <v>31233.2566539375</v>
      </c>
      <c r="J9" s="2413">
        <f>I9*5%</f>
        <v>1561.6628326968751</v>
      </c>
      <c r="K9" s="2414">
        <v>2900</v>
      </c>
      <c r="L9" s="2411">
        <v>3877.17</v>
      </c>
      <c r="M9" s="2412">
        <v>5</v>
      </c>
      <c r="N9" s="2415">
        <v>47027</v>
      </c>
    </row>
    <row r="10" spans="1:17" ht="18" customHeight="1" x14ac:dyDescent="0.25">
      <c r="A10" s="2162">
        <v>45371</v>
      </c>
      <c r="B10" s="2163" t="s">
        <v>6134</v>
      </c>
      <c r="C10" s="1697" t="s">
        <v>7649</v>
      </c>
      <c r="D10" s="2675"/>
      <c r="E10" s="2161">
        <v>364.125</v>
      </c>
      <c r="F10" s="2656">
        <f t="shared" si="0"/>
        <v>13094.385000000002</v>
      </c>
      <c r="G10" s="841"/>
      <c r="I10" s="1158"/>
      <c r="J10" s="1158"/>
      <c r="K10" s="1158"/>
      <c r="L10" s="2935">
        <f>SUM(L5:L9)</f>
        <v>24198.9433460625</v>
      </c>
      <c r="M10" s="1158"/>
      <c r="N10" s="1161"/>
    </row>
    <row r="11" spans="1:17" ht="18" customHeight="1" x14ac:dyDescent="0.25">
      <c r="A11" s="2162">
        <v>45371</v>
      </c>
      <c r="B11" s="2164" t="s">
        <v>6134</v>
      </c>
      <c r="C11" s="1697" t="s">
        <v>7649</v>
      </c>
      <c r="D11" s="2675"/>
      <c r="E11" s="2161">
        <v>402.45</v>
      </c>
      <c r="F11" s="2656">
        <f t="shared" si="0"/>
        <v>12691.935000000001</v>
      </c>
      <c r="G11" s="841"/>
      <c r="P11" s="3110" t="s">
        <v>6202</v>
      </c>
      <c r="Q11" s="3110"/>
    </row>
    <row r="12" spans="1:17" ht="18" customHeight="1" x14ac:dyDescent="0.25">
      <c r="A12" s="2162">
        <v>45371</v>
      </c>
      <c r="B12" s="2165" t="s">
        <v>6134</v>
      </c>
      <c r="C12" s="1697" t="s">
        <v>7649</v>
      </c>
      <c r="D12" s="2676"/>
      <c r="E12" s="2161">
        <v>481.92</v>
      </c>
      <c r="F12" s="2656">
        <f t="shared" si="0"/>
        <v>12210.015000000001</v>
      </c>
      <c r="G12" s="841"/>
      <c r="H12" s="31" t="s">
        <v>8369</v>
      </c>
      <c r="I12" s="32" t="s">
        <v>6203</v>
      </c>
      <c r="J12" s="31" t="s">
        <v>6198</v>
      </c>
      <c r="K12" s="1144" t="s">
        <v>6199</v>
      </c>
      <c r="L12" s="1144" t="s">
        <v>6196</v>
      </c>
      <c r="M12" s="1144" t="s">
        <v>5191</v>
      </c>
      <c r="N12" s="31" t="s">
        <v>5246</v>
      </c>
      <c r="O12" s="31"/>
      <c r="P12" s="51" t="s">
        <v>6200</v>
      </c>
      <c r="Q12" s="51" t="s">
        <v>6201</v>
      </c>
    </row>
    <row r="13" spans="1:17" ht="18" customHeight="1" x14ac:dyDescent="0.25">
      <c r="A13" s="2162">
        <v>45373</v>
      </c>
      <c r="B13" s="2166" t="s">
        <v>7005</v>
      </c>
      <c r="C13" s="1697" t="s">
        <v>7649</v>
      </c>
      <c r="D13" s="2676"/>
      <c r="E13" s="2157">
        <v>1000</v>
      </c>
      <c r="F13" s="2656">
        <f t="shared" si="0"/>
        <v>11210.015000000001</v>
      </c>
      <c r="G13" s="841"/>
      <c r="H13" s="51" t="s">
        <v>6204</v>
      </c>
      <c r="I13" t="s">
        <v>6195</v>
      </c>
      <c r="J13" s="401">
        <v>15000</v>
      </c>
      <c r="K13" s="617">
        <v>24198.86</v>
      </c>
      <c r="L13" s="617">
        <f>K13-J13</f>
        <v>9198.86</v>
      </c>
      <c r="M13" s="617">
        <v>461.12</v>
      </c>
      <c r="N13" s="2479">
        <f>J13-M13</f>
        <v>14538.88</v>
      </c>
      <c r="O13" s="2189" t="s">
        <v>6205</v>
      </c>
      <c r="P13" s="783">
        <v>1.9199999999999998E-2</v>
      </c>
      <c r="Q13" s="783">
        <v>0.26040000000000002</v>
      </c>
    </row>
    <row r="14" spans="1:17" ht="18" customHeight="1" x14ac:dyDescent="0.25">
      <c r="A14" s="2156">
        <v>45376</v>
      </c>
      <c r="B14" s="2170" t="s">
        <v>6988</v>
      </c>
      <c r="C14" s="1746" t="s">
        <v>1486</v>
      </c>
      <c r="D14" s="2674">
        <v>11.5</v>
      </c>
      <c r="E14" s="2161"/>
      <c r="F14" s="2656">
        <f t="shared" si="0"/>
        <v>11221.515000000001</v>
      </c>
      <c r="G14" s="841"/>
    </row>
    <row r="15" spans="1:17" ht="18" customHeight="1" x14ac:dyDescent="0.25">
      <c r="A15" s="2162">
        <v>45376</v>
      </c>
      <c r="B15" s="2167" t="s">
        <v>6314</v>
      </c>
      <c r="C15" s="1697" t="s">
        <v>7649</v>
      </c>
      <c r="D15" s="2676"/>
      <c r="E15" s="2161">
        <v>635.9</v>
      </c>
      <c r="F15" s="2656">
        <f t="shared" si="0"/>
        <v>10585.615000000002</v>
      </c>
      <c r="G15" s="841"/>
    </row>
    <row r="16" spans="1:17" ht="18" customHeight="1" x14ac:dyDescent="0.25">
      <c r="A16" s="2162">
        <v>45378</v>
      </c>
      <c r="B16" s="2168" t="s">
        <v>6314</v>
      </c>
      <c r="C16" s="1697" t="s">
        <v>7649</v>
      </c>
      <c r="D16" s="2675"/>
      <c r="E16" s="2161">
        <v>281.89999999999998</v>
      </c>
      <c r="F16" s="2656">
        <f t="shared" si="0"/>
        <v>10303.715000000002</v>
      </c>
      <c r="G16" s="841"/>
    </row>
    <row r="17" spans="1:17" ht="18" customHeight="1" x14ac:dyDescent="0.25">
      <c r="A17" s="2162">
        <v>45380</v>
      </c>
      <c r="B17" s="2175" t="s">
        <v>7006</v>
      </c>
      <c r="C17" s="1697" t="s">
        <v>7649</v>
      </c>
      <c r="D17" s="2676"/>
      <c r="E17" s="2161">
        <v>1500</v>
      </c>
      <c r="F17" s="2656">
        <f t="shared" si="0"/>
        <v>8803.715000000002</v>
      </c>
      <c r="G17" s="841"/>
      <c r="H17" s="3110" t="s">
        <v>8371</v>
      </c>
      <c r="I17" s="3110"/>
      <c r="J17" s="3110"/>
      <c r="K17" s="3110"/>
      <c r="L17" s="3110"/>
      <c r="M17" s="3110"/>
      <c r="N17" s="3110"/>
      <c r="O17" s="3110"/>
      <c r="P17" s="3110"/>
    </row>
    <row r="18" spans="1:17" ht="18" customHeight="1" x14ac:dyDescent="0.25">
      <c r="A18" s="2156">
        <v>45382</v>
      </c>
      <c r="B18" s="2169" t="s">
        <v>6989</v>
      </c>
      <c r="C18" s="1746" t="s">
        <v>1486</v>
      </c>
      <c r="D18" s="2673">
        <v>8.09</v>
      </c>
      <c r="E18" s="2157"/>
      <c r="F18" s="2656">
        <f t="shared" si="0"/>
        <v>8811.8050000000021</v>
      </c>
      <c r="G18" s="841"/>
      <c r="H18" s="32" t="s">
        <v>8373</v>
      </c>
      <c r="I18" s="32"/>
      <c r="J18" s="2936">
        <v>55659.41</v>
      </c>
    </row>
    <row r="19" spans="1:17" ht="18" customHeight="1" x14ac:dyDescent="0.25">
      <c r="A19" s="2176">
        <v>45384</v>
      </c>
      <c r="B19" s="2177" t="s">
        <v>6988</v>
      </c>
      <c r="C19" s="1746" t="s">
        <v>1486</v>
      </c>
      <c r="D19" s="2673">
        <v>11.45</v>
      </c>
      <c r="E19" s="2161"/>
      <c r="F19" s="2656">
        <f t="shared" si="0"/>
        <v>8823.2550000000028</v>
      </c>
      <c r="G19" s="841"/>
      <c r="I19" s="1160"/>
      <c r="J19" s="1160"/>
      <c r="K19" s="1160"/>
      <c r="L19" s="1160" t="s">
        <v>8370</v>
      </c>
      <c r="M19" s="1160" t="s">
        <v>5426</v>
      </c>
      <c r="N19" s="2499" t="s">
        <v>6829</v>
      </c>
    </row>
    <row r="20" spans="1:17" ht="18" customHeight="1" x14ac:dyDescent="0.25">
      <c r="A20" s="2027">
        <v>45384</v>
      </c>
      <c r="B20" s="2155" t="s">
        <v>6332</v>
      </c>
      <c r="C20" s="1697" t="s">
        <v>7649</v>
      </c>
      <c r="D20" s="2676"/>
      <c r="E20" s="2157">
        <v>91</v>
      </c>
      <c r="F20" s="2656">
        <f t="shared" si="0"/>
        <v>8732.2550000000028</v>
      </c>
      <c r="G20" s="841"/>
      <c r="I20" s="1157">
        <f>J18</f>
        <v>55659.41</v>
      </c>
      <c r="J20" s="2413"/>
      <c r="K20" s="2414">
        <v>739.32</v>
      </c>
      <c r="L20" s="2411">
        <f>J20+K20</f>
        <v>739.32</v>
      </c>
      <c r="M20" s="2412">
        <v>1</v>
      </c>
      <c r="N20" s="2415">
        <v>46296</v>
      </c>
      <c r="O20" s="717"/>
    </row>
    <row r="21" spans="1:17" ht="18" customHeight="1" x14ac:dyDescent="0.25">
      <c r="A21" s="2027">
        <v>45385</v>
      </c>
      <c r="B21" s="2155" t="s">
        <v>6338</v>
      </c>
      <c r="C21" s="1697" t="s">
        <v>7649</v>
      </c>
      <c r="D21" s="2675"/>
      <c r="E21" s="2161">
        <v>48</v>
      </c>
      <c r="F21" s="2656">
        <f t="shared" si="0"/>
        <v>8684.2550000000028</v>
      </c>
      <c r="G21" s="841"/>
      <c r="I21" s="2411">
        <f>I20-L20</f>
        <v>54920.090000000004</v>
      </c>
      <c r="J21" s="2413"/>
      <c r="K21" s="2414">
        <v>702.35</v>
      </c>
      <c r="L21" s="2411">
        <f t="shared" ref="L21:L27" si="1">J21+K21</f>
        <v>702.35</v>
      </c>
      <c r="M21" s="2412">
        <v>2</v>
      </c>
      <c r="N21" s="2415">
        <v>46661</v>
      </c>
      <c r="O21" s="717"/>
    </row>
    <row r="22" spans="1:17" ht="18" customHeight="1" x14ac:dyDescent="0.25">
      <c r="A22" s="2027">
        <v>45385</v>
      </c>
      <c r="B22" s="2155" t="s">
        <v>6338</v>
      </c>
      <c r="C22" s="1697" t="s">
        <v>7649</v>
      </c>
      <c r="D22" s="2676"/>
      <c r="E22" s="2161">
        <v>65</v>
      </c>
      <c r="F22" s="2656">
        <f t="shared" si="0"/>
        <v>8619.2550000000028</v>
      </c>
      <c r="G22" s="841"/>
      <c r="I22" s="2411">
        <f>I21-L21</f>
        <v>54217.740000000005</v>
      </c>
      <c r="J22" s="2413"/>
      <c r="K22" s="2414">
        <v>1251.71</v>
      </c>
      <c r="L22" s="2411">
        <f>J22+K22</f>
        <v>1251.71</v>
      </c>
      <c r="M22" s="2412">
        <v>3</v>
      </c>
      <c r="N22" s="2415">
        <v>47027</v>
      </c>
    </row>
    <row r="23" spans="1:17" ht="18" customHeight="1" x14ac:dyDescent="0.25">
      <c r="A23" s="2027">
        <v>45385</v>
      </c>
      <c r="B23" s="2155" t="s">
        <v>6342</v>
      </c>
      <c r="C23" s="1697" t="s">
        <v>7649</v>
      </c>
      <c r="D23" s="2676"/>
      <c r="E23" s="2157">
        <v>242.45</v>
      </c>
      <c r="F23" s="2656">
        <f t="shared" si="0"/>
        <v>8376.8050000000021</v>
      </c>
      <c r="G23" s="841"/>
      <c r="I23" s="2411">
        <f>I22-L22</f>
        <v>52966.030000000006</v>
      </c>
      <c r="J23" s="2413"/>
      <c r="K23" s="2414">
        <v>4872.43</v>
      </c>
      <c r="L23" s="2411">
        <f t="shared" si="1"/>
        <v>4872.43</v>
      </c>
      <c r="M23" s="2412">
        <v>4</v>
      </c>
      <c r="N23" s="2415">
        <v>47392</v>
      </c>
    </row>
    <row r="24" spans="1:17" ht="18" customHeight="1" x14ac:dyDescent="0.25">
      <c r="A24" s="2027">
        <v>45386</v>
      </c>
      <c r="B24" s="2154" t="s">
        <v>7007</v>
      </c>
      <c r="C24" s="1697" t="s">
        <v>7649</v>
      </c>
      <c r="D24" s="2676"/>
      <c r="E24" s="2157">
        <v>750</v>
      </c>
      <c r="F24" s="2656">
        <f t="shared" si="0"/>
        <v>7626.8050000000021</v>
      </c>
      <c r="G24" s="841"/>
      <c r="I24" s="2411">
        <f>I23-L23</f>
        <v>48093.600000000006</v>
      </c>
      <c r="J24" s="2413"/>
      <c r="K24" s="2414">
        <v>4628.8100000000004</v>
      </c>
      <c r="L24" s="2411">
        <f t="shared" si="1"/>
        <v>4628.8100000000004</v>
      </c>
      <c r="M24" s="2412">
        <v>5</v>
      </c>
      <c r="N24" s="2415">
        <v>47757</v>
      </c>
    </row>
    <row r="25" spans="1:17" ht="18" customHeight="1" x14ac:dyDescent="0.25">
      <c r="A25" s="2176">
        <v>45388</v>
      </c>
      <c r="B25" s="2178" t="s">
        <v>6208</v>
      </c>
      <c r="C25" s="1746" t="s">
        <v>1486</v>
      </c>
      <c r="D25" s="2673">
        <v>850</v>
      </c>
      <c r="E25" s="2157"/>
      <c r="F25" s="2656">
        <f t="shared" si="0"/>
        <v>8476.8050000000021</v>
      </c>
      <c r="G25" s="841"/>
      <c r="I25" s="2411">
        <f t="shared" ref="I25:I27" si="2">I24-L24</f>
        <v>43464.790000000008</v>
      </c>
      <c r="J25" s="2413"/>
      <c r="K25" s="2414">
        <v>4397.37</v>
      </c>
      <c r="L25" s="2411">
        <f t="shared" si="1"/>
        <v>4397.37</v>
      </c>
      <c r="M25" s="2412">
        <v>6</v>
      </c>
      <c r="N25" s="2415">
        <v>48122</v>
      </c>
    </row>
    <row r="26" spans="1:17" ht="18" customHeight="1" x14ac:dyDescent="0.25">
      <c r="A26" s="2176">
        <v>45388</v>
      </c>
      <c r="B26" s="2178" t="s">
        <v>6214</v>
      </c>
      <c r="C26" s="1746" t="s">
        <v>1486</v>
      </c>
      <c r="D26" s="2673">
        <v>650</v>
      </c>
      <c r="E26" s="2157"/>
      <c r="F26" s="2656">
        <f t="shared" si="0"/>
        <v>9126.8050000000021</v>
      </c>
      <c r="G26" s="841"/>
      <c r="I26" s="2411">
        <f t="shared" si="2"/>
        <v>39067.420000000006</v>
      </c>
      <c r="J26" s="2413"/>
      <c r="K26" s="2414">
        <v>4177.5</v>
      </c>
      <c r="L26" s="2411">
        <f t="shared" si="1"/>
        <v>4177.5</v>
      </c>
      <c r="M26" s="2412">
        <v>7</v>
      </c>
      <c r="N26" s="2415">
        <v>48488</v>
      </c>
    </row>
    <row r="27" spans="1:17" ht="18" customHeight="1" x14ac:dyDescent="0.25">
      <c r="A27" s="2176">
        <v>45391</v>
      </c>
      <c r="B27" s="2178" t="s">
        <v>6988</v>
      </c>
      <c r="C27" s="1746" t="s">
        <v>1486</v>
      </c>
      <c r="D27" s="2674">
        <v>11.9</v>
      </c>
      <c r="E27" s="2161"/>
      <c r="F27" s="2656">
        <f t="shared" si="0"/>
        <v>9138.7050000000017</v>
      </c>
      <c r="G27" s="841"/>
      <c r="I27" s="2411">
        <f t="shared" si="2"/>
        <v>34889.920000000006</v>
      </c>
      <c r="J27" s="2413"/>
      <c r="K27" s="2414">
        <v>3968.63</v>
      </c>
      <c r="L27" s="2411">
        <f t="shared" si="1"/>
        <v>3968.63</v>
      </c>
      <c r="M27" s="2412">
        <v>8</v>
      </c>
      <c r="N27" s="2415">
        <v>48853</v>
      </c>
    </row>
    <row r="28" spans="1:17" ht="18" customHeight="1" x14ac:dyDescent="0.25">
      <c r="A28" s="2027">
        <v>45394</v>
      </c>
      <c r="B28" s="2152" t="s">
        <v>7008</v>
      </c>
      <c r="C28" s="1697" t="s">
        <v>7649</v>
      </c>
      <c r="D28" s="2676"/>
      <c r="E28" s="2161">
        <v>750</v>
      </c>
      <c r="F28" s="2656">
        <f t="shared" si="0"/>
        <v>8388.7050000000017</v>
      </c>
      <c r="G28" s="841"/>
      <c r="L28" s="2935">
        <f>SUM(L20:L27)</f>
        <v>24738.120000000003</v>
      </c>
    </row>
    <row r="29" spans="1:17" ht="18" customHeight="1" x14ac:dyDescent="0.25">
      <c r="A29" s="2176">
        <v>45401</v>
      </c>
      <c r="B29" s="2178" t="s">
        <v>6208</v>
      </c>
      <c r="C29" s="1746" t="s">
        <v>1486</v>
      </c>
      <c r="D29" s="2673">
        <v>600</v>
      </c>
      <c r="E29" s="2161"/>
      <c r="F29" s="2656">
        <f t="shared" si="0"/>
        <v>8988.7050000000017</v>
      </c>
      <c r="G29" s="841"/>
      <c r="P29" s="3110" t="s">
        <v>6202</v>
      </c>
      <c r="Q29" s="3110"/>
    </row>
    <row r="30" spans="1:17" ht="18" customHeight="1" x14ac:dyDescent="0.25">
      <c r="A30" s="2027">
        <v>45401</v>
      </c>
      <c r="B30" s="2153" t="s">
        <v>6372</v>
      </c>
      <c r="C30" s="1697" t="s">
        <v>7649</v>
      </c>
      <c r="D30" s="2676"/>
      <c r="E30" s="2157">
        <v>402.45</v>
      </c>
      <c r="F30" s="2656">
        <f t="shared" si="0"/>
        <v>8586.255000000001</v>
      </c>
      <c r="G30" s="841"/>
      <c r="H30" s="31" t="s">
        <v>8369</v>
      </c>
      <c r="I30" s="32" t="s">
        <v>6203</v>
      </c>
      <c r="J30" s="31" t="s">
        <v>6198</v>
      </c>
      <c r="K30" s="1144" t="s">
        <v>6199</v>
      </c>
      <c r="L30" s="1144" t="s">
        <v>6196</v>
      </c>
      <c r="M30" s="1144" t="s">
        <v>5191</v>
      </c>
      <c r="N30" s="31" t="s">
        <v>5246</v>
      </c>
      <c r="O30" s="31"/>
      <c r="P30" s="51" t="s">
        <v>6200</v>
      </c>
      <c r="Q30" s="51" t="s">
        <v>6201</v>
      </c>
    </row>
    <row r="31" spans="1:17" ht="18" customHeight="1" x14ac:dyDescent="0.25">
      <c r="A31" s="2027">
        <v>45401</v>
      </c>
      <c r="B31" s="1861" t="s">
        <v>6372</v>
      </c>
      <c r="C31" s="1697" t="s">
        <v>7649</v>
      </c>
      <c r="D31" s="2675"/>
      <c r="E31" s="2161">
        <v>314.51249999999999</v>
      </c>
      <c r="F31" s="2656">
        <f t="shared" si="0"/>
        <v>8271.7425000000003</v>
      </c>
      <c r="G31" s="841"/>
      <c r="H31" s="51" t="s">
        <v>8372</v>
      </c>
      <c r="I31" s="717" t="s">
        <v>6197</v>
      </c>
      <c r="J31" s="401">
        <f>N31+M31</f>
        <v>9712.18</v>
      </c>
      <c r="K31" s="617">
        <f>L28</f>
        <v>24738.120000000003</v>
      </c>
      <c r="L31" s="617">
        <f>K31-J31</f>
        <v>15025.940000000002</v>
      </c>
      <c r="M31" s="617">
        <v>326.94</v>
      </c>
      <c r="N31" s="2479">
        <v>9385.24</v>
      </c>
      <c r="O31" s="2189" t="s">
        <v>6205</v>
      </c>
      <c r="P31" s="783">
        <v>1.4999999999999999E-2</v>
      </c>
      <c r="Q31" s="783">
        <v>0.1956</v>
      </c>
    </row>
    <row r="32" spans="1:17" ht="18" customHeight="1" x14ac:dyDescent="0.25">
      <c r="A32" s="2027">
        <v>45401</v>
      </c>
      <c r="B32" s="1861" t="s">
        <v>6372</v>
      </c>
      <c r="C32" s="1697" t="s">
        <v>7649</v>
      </c>
      <c r="D32" s="2676"/>
      <c r="E32" s="2161">
        <v>472.5</v>
      </c>
      <c r="F32" s="2656">
        <f t="shared" si="0"/>
        <v>7799.2425000000003</v>
      </c>
      <c r="G32" s="841"/>
    </row>
    <row r="33" spans="1:7" ht="18" customHeight="1" x14ac:dyDescent="0.25">
      <c r="A33" s="2176">
        <v>45405</v>
      </c>
      <c r="B33" s="2178" t="s">
        <v>6208</v>
      </c>
      <c r="C33" s="1746" t="s">
        <v>1486</v>
      </c>
      <c r="D33" s="2673">
        <v>200</v>
      </c>
      <c r="E33" s="2161"/>
      <c r="F33" s="2656">
        <f t="shared" si="0"/>
        <v>7999.2425000000003</v>
      </c>
      <c r="G33" s="841"/>
    </row>
    <row r="34" spans="1:7" ht="18" customHeight="1" x14ac:dyDescent="0.25">
      <c r="A34" s="2027">
        <v>45406</v>
      </c>
      <c r="B34" s="2654" t="s">
        <v>6390</v>
      </c>
      <c r="C34" s="1697" t="s">
        <v>7650</v>
      </c>
      <c r="D34" s="2676"/>
      <c r="E34" s="2157">
        <v>680</v>
      </c>
      <c r="F34" s="2656">
        <f t="shared" si="0"/>
        <v>7319.2425000000003</v>
      </c>
      <c r="G34" s="841"/>
    </row>
    <row r="35" spans="1:7" ht="18" customHeight="1" x14ac:dyDescent="0.25">
      <c r="A35" s="2027">
        <v>45409</v>
      </c>
      <c r="B35" s="2654" t="s">
        <v>6396</v>
      </c>
      <c r="C35" s="1697" t="s">
        <v>7650</v>
      </c>
      <c r="D35" s="2676"/>
      <c r="E35" s="2157">
        <v>175</v>
      </c>
      <c r="F35" s="2656">
        <f t="shared" si="0"/>
        <v>7144.2425000000003</v>
      </c>
      <c r="G35" s="841"/>
    </row>
    <row r="36" spans="1:7" ht="18" customHeight="1" x14ac:dyDescent="0.25">
      <c r="A36" s="2176">
        <v>45411</v>
      </c>
      <c r="B36" s="2178" t="s">
        <v>6988</v>
      </c>
      <c r="C36" s="1746" t="s">
        <v>1486</v>
      </c>
      <c r="D36" s="2674">
        <v>13.1</v>
      </c>
      <c r="E36" s="2161"/>
      <c r="F36" s="2656">
        <f t="shared" si="0"/>
        <v>7157.3425000000007</v>
      </c>
      <c r="G36" s="841"/>
    </row>
    <row r="37" spans="1:7" ht="18" customHeight="1" x14ac:dyDescent="0.25">
      <c r="A37" s="2027">
        <v>45411</v>
      </c>
      <c r="B37" s="2654" t="s">
        <v>6397</v>
      </c>
      <c r="C37" s="1697" t="s">
        <v>7650</v>
      </c>
      <c r="D37" s="2676"/>
      <c r="E37" s="2157">
        <v>158</v>
      </c>
      <c r="F37" s="2656">
        <f t="shared" si="0"/>
        <v>6999.3425000000007</v>
      </c>
      <c r="G37" s="841"/>
    </row>
    <row r="38" spans="1:7" ht="18" customHeight="1" x14ac:dyDescent="0.25">
      <c r="A38" s="2027">
        <v>45411</v>
      </c>
      <c r="B38" s="2154" t="s">
        <v>6403</v>
      </c>
      <c r="C38" s="1697" t="s">
        <v>7650</v>
      </c>
      <c r="D38" s="2676"/>
      <c r="E38" s="2157">
        <v>1000</v>
      </c>
      <c r="F38" s="2656">
        <f t="shared" si="0"/>
        <v>5999.3425000000007</v>
      </c>
      <c r="G38" s="841"/>
    </row>
    <row r="39" spans="1:7" ht="18" customHeight="1" x14ac:dyDescent="0.25">
      <c r="A39" s="2027">
        <v>45411</v>
      </c>
      <c r="B39" s="2154" t="s">
        <v>6404</v>
      </c>
      <c r="C39" s="1697" t="s">
        <v>7650</v>
      </c>
      <c r="D39" s="2676"/>
      <c r="E39" s="2157">
        <v>35</v>
      </c>
      <c r="F39" s="2656">
        <f t="shared" si="0"/>
        <v>5964.3425000000007</v>
      </c>
      <c r="G39" s="841"/>
    </row>
    <row r="40" spans="1:7" ht="18" customHeight="1" x14ac:dyDescent="0.25">
      <c r="A40" s="2176">
        <v>45412</v>
      </c>
      <c r="B40" s="2202" t="s">
        <v>6989</v>
      </c>
      <c r="C40" s="1746" t="s">
        <v>1486</v>
      </c>
      <c r="D40" s="2673">
        <v>53.29</v>
      </c>
      <c r="E40" s="2161"/>
      <c r="F40" s="2656">
        <f t="shared" si="0"/>
        <v>6017.6325000000006</v>
      </c>
      <c r="G40" s="841"/>
    </row>
    <row r="41" spans="1:7" ht="18" customHeight="1" x14ac:dyDescent="0.25">
      <c r="A41" s="2027">
        <v>45414</v>
      </c>
      <c r="B41" s="2654" t="s">
        <v>6396</v>
      </c>
      <c r="C41" s="1697" t="s">
        <v>7650</v>
      </c>
      <c r="D41" s="2676"/>
      <c r="E41" s="2157">
        <v>166.5</v>
      </c>
      <c r="F41" s="2656">
        <f t="shared" si="0"/>
        <v>5851.1325000000006</v>
      </c>
      <c r="G41" s="841"/>
    </row>
    <row r="42" spans="1:7" ht="18" customHeight="1" x14ac:dyDescent="0.25">
      <c r="A42" s="2027">
        <v>45415</v>
      </c>
      <c r="B42" s="2154" t="s">
        <v>6412</v>
      </c>
      <c r="C42" s="1697" t="s">
        <v>7650</v>
      </c>
      <c r="D42" s="2676"/>
      <c r="E42" s="2157">
        <v>1000</v>
      </c>
      <c r="F42" s="2656">
        <f t="shared" si="0"/>
        <v>4851.1325000000006</v>
      </c>
      <c r="G42" s="841"/>
    </row>
    <row r="43" spans="1:7" ht="18" customHeight="1" x14ac:dyDescent="0.25">
      <c r="A43" s="2027">
        <v>45418</v>
      </c>
      <c r="B43" s="2652" t="s">
        <v>6510</v>
      </c>
      <c r="C43" s="1697" t="s">
        <v>7651</v>
      </c>
      <c r="D43" s="2674"/>
      <c r="E43" s="2161">
        <v>155</v>
      </c>
      <c r="F43" s="2656">
        <f t="shared" si="0"/>
        <v>4696.1325000000006</v>
      </c>
      <c r="G43" s="841"/>
    </row>
    <row r="44" spans="1:7" ht="18" customHeight="1" x14ac:dyDescent="0.25">
      <c r="A44" s="2027">
        <v>45418</v>
      </c>
      <c r="B44" s="2652" t="s">
        <v>6508</v>
      </c>
      <c r="C44" s="1697" t="s">
        <v>7651</v>
      </c>
      <c r="D44" s="2674"/>
      <c r="E44" s="2161">
        <v>74.8</v>
      </c>
      <c r="F44" s="2656">
        <f t="shared" si="0"/>
        <v>4621.3325000000004</v>
      </c>
      <c r="G44" s="841"/>
    </row>
    <row r="45" spans="1:7" ht="18" customHeight="1" x14ac:dyDescent="0.25">
      <c r="A45" s="2176">
        <v>45419</v>
      </c>
      <c r="B45" s="2177" t="s">
        <v>6208</v>
      </c>
      <c r="C45" s="1746" t="s">
        <v>1486</v>
      </c>
      <c r="D45" s="2673">
        <v>900</v>
      </c>
      <c r="E45" s="2157"/>
      <c r="F45" s="2656">
        <f t="shared" si="0"/>
        <v>5521.3325000000004</v>
      </c>
      <c r="G45" s="841"/>
    </row>
    <row r="46" spans="1:7" ht="18" customHeight="1" x14ac:dyDescent="0.25">
      <c r="A46" s="2176">
        <v>45419</v>
      </c>
      <c r="B46" s="2177" t="s">
        <v>6214</v>
      </c>
      <c r="C46" s="1746" t="s">
        <v>1486</v>
      </c>
      <c r="D46" s="2673">
        <v>650</v>
      </c>
      <c r="E46" s="2157"/>
      <c r="F46" s="2656">
        <f t="shared" si="0"/>
        <v>6171.3325000000004</v>
      </c>
      <c r="G46" s="841"/>
    </row>
    <row r="47" spans="1:7" ht="18" customHeight="1" x14ac:dyDescent="0.25">
      <c r="A47" s="2027">
        <v>45419</v>
      </c>
      <c r="B47" s="2654" t="s">
        <v>6417</v>
      </c>
      <c r="C47" s="1697" t="s">
        <v>7650</v>
      </c>
      <c r="D47" s="2676"/>
      <c r="E47" s="2157">
        <v>133.19999999999999</v>
      </c>
      <c r="F47" s="2656">
        <f t="shared" si="0"/>
        <v>6038.1325000000006</v>
      </c>
      <c r="G47" s="841"/>
    </row>
    <row r="48" spans="1:7" ht="18" customHeight="1" x14ac:dyDescent="0.25">
      <c r="A48" s="2027">
        <v>45420</v>
      </c>
      <c r="B48" s="2653" t="s">
        <v>6422</v>
      </c>
      <c r="C48" s="1697" t="s">
        <v>7650</v>
      </c>
      <c r="D48" s="2676"/>
      <c r="E48" s="2157">
        <v>135.5</v>
      </c>
      <c r="F48" s="2656">
        <f t="shared" si="0"/>
        <v>5902.6325000000006</v>
      </c>
      <c r="G48" s="841"/>
    </row>
    <row r="49" spans="1:7" ht="18" customHeight="1" x14ac:dyDescent="0.25">
      <c r="A49" s="2027">
        <v>45421</v>
      </c>
      <c r="B49" s="2652" t="s">
        <v>6423</v>
      </c>
      <c r="C49" s="1697" t="s">
        <v>7650</v>
      </c>
      <c r="D49" s="2674"/>
      <c r="E49" s="2161">
        <v>395.5</v>
      </c>
      <c r="F49" s="2656">
        <f t="shared" si="0"/>
        <v>5507.1325000000006</v>
      </c>
      <c r="G49" s="841"/>
    </row>
    <row r="50" spans="1:7" ht="18" customHeight="1" x14ac:dyDescent="0.25">
      <c r="A50" s="2027">
        <v>45421</v>
      </c>
      <c r="B50" s="2155" t="s">
        <v>6426</v>
      </c>
      <c r="C50" s="1697" t="s">
        <v>7650</v>
      </c>
      <c r="D50" s="2676"/>
      <c r="E50" s="2157">
        <v>1000</v>
      </c>
      <c r="F50" s="2656">
        <f t="shared" si="0"/>
        <v>4507.1325000000006</v>
      </c>
      <c r="G50" s="841"/>
    </row>
    <row r="51" spans="1:7" ht="18" customHeight="1" x14ac:dyDescent="0.25">
      <c r="A51" s="2176">
        <v>45422</v>
      </c>
      <c r="B51" s="2177" t="s">
        <v>6208</v>
      </c>
      <c r="C51" s="1746" t="s">
        <v>1486</v>
      </c>
      <c r="D51" s="2673">
        <v>732.65</v>
      </c>
      <c r="E51" s="2157"/>
      <c r="F51" s="2656">
        <f t="shared" si="0"/>
        <v>5239.7825000000003</v>
      </c>
      <c r="G51" s="841"/>
    </row>
    <row r="52" spans="1:7" ht="18" customHeight="1" x14ac:dyDescent="0.25">
      <c r="A52" s="2027">
        <v>45422</v>
      </c>
      <c r="B52" s="2652" t="s">
        <v>6427</v>
      </c>
      <c r="C52" s="1697" t="s">
        <v>7650</v>
      </c>
      <c r="D52" s="2676"/>
      <c r="E52" s="2157">
        <v>66.599999999999994</v>
      </c>
      <c r="F52" s="2656">
        <f t="shared" si="0"/>
        <v>5173.1824999999999</v>
      </c>
      <c r="G52" s="841"/>
    </row>
    <row r="53" spans="1:7" ht="18" customHeight="1" x14ac:dyDescent="0.25">
      <c r="A53" s="2027">
        <v>45425</v>
      </c>
      <c r="B53" s="2653" t="s">
        <v>6446</v>
      </c>
      <c r="C53" s="1697" t="s">
        <v>7650</v>
      </c>
      <c r="D53" s="2676"/>
      <c r="E53" s="2157">
        <v>62</v>
      </c>
      <c r="F53" s="2656">
        <f t="shared" si="0"/>
        <v>5111.1824999999999</v>
      </c>
      <c r="G53" s="841"/>
    </row>
    <row r="54" spans="1:7" ht="18" customHeight="1" x14ac:dyDescent="0.25">
      <c r="A54" s="2176">
        <v>45429</v>
      </c>
      <c r="B54" s="2177" t="s">
        <v>6208</v>
      </c>
      <c r="C54" s="1746" t="s">
        <v>1486</v>
      </c>
      <c r="D54" s="2673">
        <v>1067.57</v>
      </c>
      <c r="E54" s="2157"/>
      <c r="F54" s="2656">
        <f t="shared" si="0"/>
        <v>6178.7524999999996</v>
      </c>
      <c r="G54" s="841"/>
    </row>
    <row r="55" spans="1:7" ht="18" customHeight="1" x14ac:dyDescent="0.25">
      <c r="A55" s="2027">
        <v>45429</v>
      </c>
      <c r="B55" s="2155" t="s">
        <v>6451</v>
      </c>
      <c r="C55" s="1697" t="s">
        <v>7650</v>
      </c>
      <c r="D55" s="2676"/>
      <c r="E55" s="2157">
        <v>700</v>
      </c>
      <c r="F55" s="2656">
        <f t="shared" si="0"/>
        <v>5478.7524999999996</v>
      </c>
      <c r="G55" s="841"/>
    </row>
    <row r="56" spans="1:7" ht="18" customHeight="1" x14ac:dyDescent="0.25">
      <c r="A56" s="2027">
        <v>45432</v>
      </c>
      <c r="B56" s="2654" t="s">
        <v>6380</v>
      </c>
      <c r="C56" s="1697" t="s">
        <v>7649</v>
      </c>
      <c r="D56" s="2673"/>
      <c r="E56" s="2157">
        <v>472.5</v>
      </c>
      <c r="F56" s="2656">
        <f t="shared" si="0"/>
        <v>5006.2524999999996</v>
      </c>
      <c r="G56" s="841"/>
    </row>
    <row r="57" spans="1:7" ht="18" customHeight="1" x14ac:dyDescent="0.25">
      <c r="A57" s="2027">
        <v>45432</v>
      </c>
      <c r="B57" s="2654" t="s">
        <v>6398</v>
      </c>
      <c r="C57" s="1697" t="s">
        <v>7650</v>
      </c>
      <c r="D57" s="2674"/>
      <c r="E57" s="2161">
        <v>770.98</v>
      </c>
      <c r="F57" s="2656">
        <f t="shared" si="0"/>
        <v>4235.2724999999991</v>
      </c>
      <c r="G57" s="841"/>
    </row>
    <row r="58" spans="1:7" ht="18" customHeight="1" x14ac:dyDescent="0.25">
      <c r="A58" s="2027">
        <v>45432</v>
      </c>
      <c r="B58" s="2652" t="s">
        <v>6405</v>
      </c>
      <c r="C58" s="1697" t="s">
        <v>7650</v>
      </c>
      <c r="D58" s="2673"/>
      <c r="E58" s="2157">
        <v>310</v>
      </c>
      <c r="F58" s="2656">
        <f t="shared" si="0"/>
        <v>3925.2724999999991</v>
      </c>
      <c r="G58" s="841"/>
    </row>
    <row r="59" spans="1:7" ht="18" customHeight="1" x14ac:dyDescent="0.25">
      <c r="A59" s="2027">
        <v>45433</v>
      </c>
      <c r="B59" s="2654" t="s">
        <v>6464</v>
      </c>
      <c r="C59" s="1697" t="s">
        <v>7651</v>
      </c>
      <c r="D59" s="2673"/>
      <c r="E59" s="2157">
        <v>100</v>
      </c>
      <c r="F59" s="2656">
        <f t="shared" si="0"/>
        <v>3825.2724999999991</v>
      </c>
      <c r="G59" s="841"/>
    </row>
    <row r="60" spans="1:7" ht="18" customHeight="1" x14ac:dyDescent="0.25">
      <c r="A60" s="2176">
        <v>45433</v>
      </c>
      <c r="B60" s="2177" t="s">
        <v>6208</v>
      </c>
      <c r="C60" s="1746" t="s">
        <v>1486</v>
      </c>
      <c r="D60" s="2673">
        <v>500</v>
      </c>
      <c r="E60" s="2157"/>
      <c r="F60" s="2656">
        <f t="shared" si="0"/>
        <v>4325.2724999999991</v>
      </c>
      <c r="G60" s="841"/>
    </row>
    <row r="61" spans="1:7" ht="18" customHeight="1" x14ac:dyDescent="0.25">
      <c r="A61" s="2027">
        <v>45435</v>
      </c>
      <c r="B61" s="2654" t="s">
        <v>6474</v>
      </c>
      <c r="C61" s="1697" t="s">
        <v>7651</v>
      </c>
      <c r="D61" s="2674"/>
      <c r="E61" s="2161">
        <v>1000</v>
      </c>
      <c r="F61" s="2656">
        <f t="shared" si="0"/>
        <v>3325.2724999999991</v>
      </c>
      <c r="G61" s="841"/>
    </row>
    <row r="62" spans="1:7" ht="18" customHeight="1" x14ac:dyDescent="0.25">
      <c r="A62" s="2027">
        <v>45435</v>
      </c>
      <c r="B62" s="2654" t="s">
        <v>6475</v>
      </c>
      <c r="C62" s="1697" t="s">
        <v>7651</v>
      </c>
      <c r="D62" s="2673"/>
      <c r="E62" s="2157">
        <v>45</v>
      </c>
      <c r="F62" s="2656">
        <f t="shared" si="0"/>
        <v>3280.2724999999991</v>
      </c>
      <c r="G62" s="841"/>
    </row>
    <row r="63" spans="1:7" ht="18" customHeight="1" x14ac:dyDescent="0.25">
      <c r="A63" s="2027">
        <v>45435</v>
      </c>
      <c r="B63" s="2653" t="s">
        <v>6476</v>
      </c>
      <c r="C63" s="1697" t="s">
        <v>7651</v>
      </c>
      <c r="D63" s="2674"/>
      <c r="E63" s="2161">
        <v>35</v>
      </c>
      <c r="F63" s="2656">
        <f t="shared" si="0"/>
        <v>3245.2724999999991</v>
      </c>
      <c r="G63" s="841"/>
    </row>
    <row r="64" spans="1:7" ht="18" customHeight="1" x14ac:dyDescent="0.25">
      <c r="A64" s="2027">
        <v>45435</v>
      </c>
      <c r="B64" s="2654" t="s">
        <v>6488</v>
      </c>
      <c r="C64" s="1697" t="s">
        <v>7651</v>
      </c>
      <c r="D64" s="2673"/>
      <c r="E64" s="2157">
        <v>347.2</v>
      </c>
      <c r="F64" s="2656">
        <f t="shared" si="0"/>
        <v>2898.0724999999993</v>
      </c>
      <c r="G64" s="841"/>
    </row>
    <row r="65" spans="1:17" ht="18" customHeight="1" x14ac:dyDescent="0.25">
      <c r="A65" s="2176">
        <v>45443</v>
      </c>
      <c r="B65" s="2177" t="s">
        <v>6989</v>
      </c>
      <c r="C65" s="1746" t="s">
        <v>1486</v>
      </c>
      <c r="D65" s="2673">
        <v>20.64</v>
      </c>
      <c r="E65" s="2161"/>
      <c r="F65" s="2656">
        <f t="shared" si="0"/>
        <v>2918.7124999999992</v>
      </c>
      <c r="G65" s="841"/>
    </row>
    <row r="66" spans="1:17" ht="18" customHeight="1" x14ac:dyDescent="0.25">
      <c r="A66" s="2027">
        <v>45444</v>
      </c>
      <c r="B66" s="2654" t="s">
        <v>6492</v>
      </c>
      <c r="C66" s="1697" t="s">
        <v>7651</v>
      </c>
      <c r="D66" s="2674"/>
      <c r="E66" s="2161">
        <v>1000</v>
      </c>
      <c r="F66" s="2656">
        <f t="shared" si="0"/>
        <v>1918.7124999999992</v>
      </c>
      <c r="G66" s="841"/>
    </row>
    <row r="67" spans="1:17" ht="18" customHeight="1" x14ac:dyDescent="0.25">
      <c r="A67" s="2027">
        <v>45447</v>
      </c>
      <c r="B67" s="2652" t="s">
        <v>6499</v>
      </c>
      <c r="C67" s="1697" t="s">
        <v>7651</v>
      </c>
      <c r="D67" s="2674"/>
      <c r="E67" s="2161">
        <v>40</v>
      </c>
      <c r="F67" s="2656">
        <f t="shared" si="0"/>
        <v>1878.7124999999992</v>
      </c>
      <c r="G67" s="841"/>
    </row>
    <row r="68" spans="1:17" ht="18" customHeight="1" x14ac:dyDescent="0.25">
      <c r="A68" s="2027">
        <v>45448</v>
      </c>
      <c r="B68" s="2652" t="s">
        <v>6505</v>
      </c>
      <c r="C68" s="1697" t="s">
        <v>7651</v>
      </c>
      <c r="D68" s="2674"/>
      <c r="E68" s="2161">
        <v>50</v>
      </c>
      <c r="F68" s="2656">
        <f t="shared" ref="F68:F131" si="3">F67+D68-E68</f>
        <v>1828.7124999999992</v>
      </c>
      <c r="G68" s="841"/>
    </row>
    <row r="69" spans="1:17" ht="18" customHeight="1" x14ac:dyDescent="0.25">
      <c r="A69" s="2176">
        <v>45449</v>
      </c>
      <c r="B69" s="2177" t="s">
        <v>6208</v>
      </c>
      <c r="C69" s="1746" t="s">
        <v>1486</v>
      </c>
      <c r="D69" s="2673">
        <v>1100</v>
      </c>
      <c r="E69" s="2157"/>
      <c r="F69" s="2656">
        <f t="shared" si="3"/>
        <v>2928.7124999999992</v>
      </c>
      <c r="G69" s="841"/>
    </row>
    <row r="70" spans="1:17" ht="18" customHeight="1" x14ac:dyDescent="0.25">
      <c r="A70" s="2176">
        <v>45449</v>
      </c>
      <c r="B70" s="2177" t="s">
        <v>6214</v>
      </c>
      <c r="C70" s="1746" t="s">
        <v>1486</v>
      </c>
      <c r="D70" s="2673">
        <v>650</v>
      </c>
      <c r="E70" s="2157"/>
      <c r="F70" s="2656">
        <f t="shared" si="3"/>
        <v>3578.7124999999992</v>
      </c>
      <c r="G70" s="841"/>
    </row>
    <row r="71" spans="1:17" ht="18" customHeight="1" x14ac:dyDescent="0.25">
      <c r="A71" s="2027">
        <v>45451</v>
      </c>
      <c r="B71" s="2654" t="s">
        <v>6516</v>
      </c>
      <c r="C71" s="1697" t="s">
        <v>7651</v>
      </c>
      <c r="D71" s="2674"/>
      <c r="E71" s="2161">
        <v>1000</v>
      </c>
      <c r="F71" s="2656">
        <f t="shared" si="3"/>
        <v>2578.7124999999992</v>
      </c>
      <c r="G71" s="841"/>
    </row>
    <row r="72" spans="1:17" ht="18" customHeight="1" x14ac:dyDescent="0.25">
      <c r="A72" s="2027">
        <v>45453</v>
      </c>
      <c r="B72" s="2654" t="s">
        <v>6517</v>
      </c>
      <c r="C72" s="1697" t="s">
        <v>7651</v>
      </c>
      <c r="D72" s="2674"/>
      <c r="E72" s="2161">
        <v>32.5</v>
      </c>
      <c r="F72" s="2656">
        <f t="shared" si="3"/>
        <v>2546.2124999999992</v>
      </c>
      <c r="G72" s="841"/>
    </row>
    <row r="73" spans="1:17" ht="18" customHeight="1" x14ac:dyDescent="0.25">
      <c r="A73" s="2027">
        <v>45454</v>
      </c>
      <c r="B73" s="2654" t="s">
        <v>6543</v>
      </c>
      <c r="C73" s="1697" t="s">
        <v>7651</v>
      </c>
      <c r="D73" s="2674"/>
      <c r="E73" s="2161">
        <v>70</v>
      </c>
      <c r="F73" s="2656">
        <f t="shared" si="3"/>
        <v>2476.2124999999992</v>
      </c>
      <c r="G73" s="841"/>
    </row>
    <row r="74" spans="1:17" ht="18" customHeight="1" x14ac:dyDescent="0.25">
      <c r="A74" s="2176">
        <v>45454</v>
      </c>
      <c r="B74" s="2178" t="s">
        <v>6988</v>
      </c>
      <c r="C74" s="1746" t="s">
        <v>1486</v>
      </c>
      <c r="D74" s="2674">
        <v>12.5</v>
      </c>
      <c r="E74" s="2161"/>
      <c r="F74" s="2656">
        <f t="shared" si="3"/>
        <v>2488.7124999999992</v>
      </c>
      <c r="G74" s="841"/>
      <c r="L74" s="717" t="s">
        <v>5871</v>
      </c>
      <c r="M74" s="717">
        <v>6</v>
      </c>
      <c r="P74" s="32"/>
      <c r="Q74" s="32"/>
    </row>
    <row r="75" spans="1:17" ht="18" customHeight="1" x14ac:dyDescent="0.25">
      <c r="A75" s="2176">
        <v>45456</v>
      </c>
      <c r="B75" s="2178" t="s">
        <v>6990</v>
      </c>
      <c r="C75" s="1746" t="s">
        <v>1486</v>
      </c>
      <c r="D75" s="2674">
        <v>1007.6</v>
      </c>
      <c r="E75" s="2161"/>
      <c r="F75" s="2656">
        <f t="shared" si="3"/>
        <v>3496.3124999999991</v>
      </c>
      <c r="G75" s="841"/>
      <c r="L75" s="717" t="s">
        <v>5871</v>
      </c>
      <c r="M75" s="717">
        <v>4</v>
      </c>
    </row>
    <row r="76" spans="1:17" ht="18" customHeight="1" x14ac:dyDescent="0.25">
      <c r="A76" s="2027">
        <v>45459</v>
      </c>
      <c r="B76" s="2654" t="s">
        <v>6530</v>
      </c>
      <c r="C76" s="1697" t="s">
        <v>7651</v>
      </c>
      <c r="D76" s="2674"/>
      <c r="E76" s="2161">
        <v>1000</v>
      </c>
      <c r="F76" s="2656">
        <f t="shared" si="3"/>
        <v>2496.3124999999991</v>
      </c>
      <c r="G76" s="841"/>
      <c r="L76" s="717" t="s">
        <v>5871</v>
      </c>
      <c r="M76" s="717">
        <v>4</v>
      </c>
    </row>
    <row r="77" spans="1:17" ht="18" customHeight="1" x14ac:dyDescent="0.25">
      <c r="A77" s="2027">
        <v>45461</v>
      </c>
      <c r="B77" s="2654" t="s">
        <v>6554</v>
      </c>
      <c r="C77" s="1697" t="s">
        <v>7651</v>
      </c>
      <c r="D77" s="2674"/>
      <c r="E77" s="2161">
        <v>185.7</v>
      </c>
      <c r="F77" s="2656">
        <f t="shared" si="3"/>
        <v>2310.6124999999993</v>
      </c>
      <c r="G77" s="841"/>
      <c r="L77" s="717" t="s">
        <v>5871</v>
      </c>
      <c r="M77" s="717">
        <v>3</v>
      </c>
    </row>
    <row r="78" spans="1:17" ht="18" customHeight="1" x14ac:dyDescent="0.25">
      <c r="A78" s="2027">
        <v>45463</v>
      </c>
      <c r="B78" s="2654" t="s">
        <v>6415</v>
      </c>
      <c r="C78" s="1697" t="s">
        <v>7650</v>
      </c>
      <c r="D78" s="2674"/>
      <c r="E78" s="2161">
        <v>770.98</v>
      </c>
      <c r="F78" s="2656">
        <f t="shared" si="3"/>
        <v>1539.6324999999993</v>
      </c>
      <c r="G78" s="841"/>
      <c r="L78" s="717" t="s">
        <v>5871</v>
      </c>
      <c r="M78" s="717">
        <v>1.5</v>
      </c>
    </row>
    <row r="79" spans="1:17" ht="18" customHeight="1" x14ac:dyDescent="0.25">
      <c r="A79" s="2027">
        <v>45463</v>
      </c>
      <c r="B79" s="2654" t="s">
        <v>6450</v>
      </c>
      <c r="C79" s="1697" t="s">
        <v>7651</v>
      </c>
      <c r="D79" s="2676"/>
      <c r="E79" s="2157">
        <v>580</v>
      </c>
      <c r="F79" s="2656">
        <f t="shared" si="3"/>
        <v>959.63249999999925</v>
      </c>
      <c r="G79" s="841"/>
      <c r="H79" s="32" t="s">
        <v>6178</v>
      </c>
      <c r="I79" s="32" t="s">
        <v>5993</v>
      </c>
      <c r="J79" s="32" t="s">
        <v>6368</v>
      </c>
      <c r="K79" s="32"/>
      <c r="N79" s="32"/>
      <c r="O79" s="32"/>
    </row>
    <row r="80" spans="1:17" ht="18" customHeight="1" x14ac:dyDescent="0.25">
      <c r="A80" s="2027">
        <v>45463</v>
      </c>
      <c r="B80" s="2654" t="s">
        <v>6471</v>
      </c>
      <c r="C80" s="1697" t="s">
        <v>7651</v>
      </c>
      <c r="D80" s="2675"/>
      <c r="E80" s="2161">
        <v>374.74</v>
      </c>
      <c r="F80" s="2656">
        <f t="shared" si="3"/>
        <v>584.89249999999925</v>
      </c>
      <c r="G80" s="841"/>
      <c r="H80" s="1">
        <v>8000</v>
      </c>
      <c r="I80" s="1">
        <v>10445.81</v>
      </c>
      <c r="J80" t="s">
        <v>6172</v>
      </c>
      <c r="N80" s="717" t="s">
        <v>6519</v>
      </c>
    </row>
    <row r="81" spans="1:17" ht="18" customHeight="1" x14ac:dyDescent="0.25">
      <c r="A81" s="2176">
        <v>45463</v>
      </c>
      <c r="B81" s="2178" t="s">
        <v>6991</v>
      </c>
      <c r="C81" s="1746" t="s">
        <v>1486</v>
      </c>
      <c r="D81" s="2674">
        <v>800</v>
      </c>
      <c r="E81" s="2161"/>
      <c r="F81" s="2656">
        <f t="shared" si="3"/>
        <v>1384.8924999999992</v>
      </c>
      <c r="G81" s="841"/>
      <c r="H81" s="1">
        <v>6000</v>
      </c>
      <c r="I81" s="1">
        <v>7550.65</v>
      </c>
      <c r="J81" s="717" t="s">
        <v>6365</v>
      </c>
    </row>
    <row r="82" spans="1:17" ht="18" customHeight="1" x14ac:dyDescent="0.25">
      <c r="A82" s="2027">
        <v>45465</v>
      </c>
      <c r="B82" s="2654" t="s">
        <v>6569</v>
      </c>
      <c r="C82" s="1697" t="s">
        <v>7651</v>
      </c>
      <c r="D82" s="2674"/>
      <c r="E82" s="2161">
        <v>1000</v>
      </c>
      <c r="F82" s="2656">
        <f t="shared" si="3"/>
        <v>384.89249999999925</v>
      </c>
      <c r="G82" s="841"/>
      <c r="H82" s="1">
        <v>6000</v>
      </c>
      <c r="I82" s="2320">
        <v>12100</v>
      </c>
      <c r="J82" s="717" t="s">
        <v>6428</v>
      </c>
      <c r="M82" s="1"/>
      <c r="N82" s="717" t="s">
        <v>6519</v>
      </c>
    </row>
    <row r="83" spans="1:17" ht="18" customHeight="1" x14ac:dyDescent="0.25">
      <c r="A83" s="2027">
        <v>45465</v>
      </c>
      <c r="B83" s="2654" t="s">
        <v>6571</v>
      </c>
      <c r="C83" s="1697" t="s">
        <v>7651</v>
      </c>
      <c r="D83" s="2674"/>
      <c r="E83" s="2161">
        <v>85</v>
      </c>
      <c r="F83" s="2656">
        <f t="shared" si="3"/>
        <v>299.89249999999925</v>
      </c>
      <c r="G83" s="841"/>
      <c r="H83" s="1">
        <v>3000</v>
      </c>
      <c r="I83" s="2320">
        <v>4000</v>
      </c>
      <c r="J83" s="717" t="s">
        <v>6429</v>
      </c>
      <c r="M83" s="1"/>
      <c r="N83" s="717" t="s">
        <v>6519</v>
      </c>
    </row>
    <row r="84" spans="1:17" ht="18" customHeight="1" x14ac:dyDescent="0.25">
      <c r="A84" s="2410">
        <v>45468</v>
      </c>
      <c r="B84" s="2654" t="s">
        <v>6581</v>
      </c>
      <c r="C84" s="1697" t="s">
        <v>7651</v>
      </c>
      <c r="D84" s="2673"/>
      <c r="E84" s="2157">
        <v>291.66666666666669</v>
      </c>
      <c r="F84" s="2656">
        <f t="shared" si="3"/>
        <v>8.2258333333325595</v>
      </c>
      <c r="G84" s="841"/>
      <c r="H84" s="1">
        <v>3000</v>
      </c>
      <c r="I84" s="2320">
        <v>5800</v>
      </c>
      <c r="J84" s="717" t="s">
        <v>6796</v>
      </c>
      <c r="M84" s="1"/>
      <c r="N84" s="717" t="s">
        <v>6519</v>
      </c>
    </row>
    <row r="85" spans="1:17" ht="18" customHeight="1" x14ac:dyDescent="0.25">
      <c r="A85" s="2027">
        <v>45469</v>
      </c>
      <c r="B85" s="2652" t="s">
        <v>6599</v>
      </c>
      <c r="C85" s="1697" t="s">
        <v>7651</v>
      </c>
      <c r="D85" s="2674"/>
      <c r="E85" s="2161">
        <v>34.200000000000003</v>
      </c>
      <c r="F85" s="2656">
        <f t="shared" si="3"/>
        <v>-25.974166666667443</v>
      </c>
      <c r="G85" s="841"/>
      <c r="H85" s="1">
        <v>3000</v>
      </c>
      <c r="I85" s="2320">
        <v>3013.65</v>
      </c>
      <c r="J85" s="717" t="s">
        <v>6689</v>
      </c>
    </row>
    <row r="86" spans="1:17" ht="18" customHeight="1" x14ac:dyDescent="0.25">
      <c r="A86" s="2410">
        <v>45470</v>
      </c>
      <c r="B86" s="2654" t="s">
        <v>7652</v>
      </c>
      <c r="C86" s="1697" t="s">
        <v>7651</v>
      </c>
      <c r="D86" s="2674"/>
      <c r="E86" s="2161">
        <v>479.16666666666669</v>
      </c>
      <c r="F86" s="2656">
        <f t="shared" si="3"/>
        <v>-505.14083333333411</v>
      </c>
      <c r="G86" s="841"/>
      <c r="H86" s="1">
        <v>2000</v>
      </c>
      <c r="I86" s="2320">
        <v>2134</v>
      </c>
      <c r="J86" s="717" t="s">
        <v>6688</v>
      </c>
      <c r="M86" s="1"/>
    </row>
    <row r="87" spans="1:17" ht="18" customHeight="1" x14ac:dyDescent="0.25">
      <c r="A87" s="2176">
        <v>45471</v>
      </c>
      <c r="B87" s="2202" t="s">
        <v>6419</v>
      </c>
      <c r="C87" s="1746" t="s">
        <v>1486</v>
      </c>
      <c r="D87" s="2673">
        <v>1300</v>
      </c>
      <c r="E87" s="2161"/>
      <c r="F87" s="2656">
        <f t="shared" si="3"/>
        <v>794.85916666666594</v>
      </c>
      <c r="G87" s="841"/>
      <c r="H87" s="1">
        <v>3000</v>
      </c>
      <c r="I87" s="2320">
        <v>3545</v>
      </c>
      <c r="J87" s="717" t="s">
        <v>7083</v>
      </c>
      <c r="M87" s="1"/>
      <c r="N87" s="717" t="s">
        <v>6519</v>
      </c>
    </row>
    <row r="88" spans="1:17" ht="18" customHeight="1" x14ac:dyDescent="0.25">
      <c r="A88" s="2027">
        <v>45471</v>
      </c>
      <c r="B88" s="2654" t="s">
        <v>6606</v>
      </c>
      <c r="C88" s="1697" t="s">
        <v>7651</v>
      </c>
      <c r="D88" s="2674"/>
      <c r="E88" s="2161">
        <v>500</v>
      </c>
      <c r="F88" s="2656">
        <f t="shared" si="3"/>
        <v>294.85916666666594</v>
      </c>
      <c r="G88" s="841"/>
      <c r="H88" s="1">
        <v>4000</v>
      </c>
      <c r="I88" s="2544">
        <v>9299</v>
      </c>
      <c r="J88" s="717" t="s">
        <v>6176</v>
      </c>
      <c r="M88" s="1"/>
      <c r="P88" s="32"/>
      <c r="Q88" s="32"/>
    </row>
    <row r="89" spans="1:17" ht="18" customHeight="1" x14ac:dyDescent="0.25">
      <c r="A89" s="2176">
        <v>45473</v>
      </c>
      <c r="B89" s="2177" t="s">
        <v>6989</v>
      </c>
      <c r="C89" s="1746" t="s">
        <v>1486</v>
      </c>
      <c r="D89" s="2673">
        <v>27.84</v>
      </c>
      <c r="E89" s="2161"/>
      <c r="F89" s="2656">
        <f t="shared" si="3"/>
        <v>322.69916666666592</v>
      </c>
      <c r="G89" s="841"/>
      <c r="H89" s="1">
        <v>8000</v>
      </c>
      <c r="J89" s="717" t="s">
        <v>7539</v>
      </c>
    </row>
    <row r="90" spans="1:17" ht="18" customHeight="1" x14ac:dyDescent="0.25">
      <c r="A90" s="2027">
        <v>45476</v>
      </c>
      <c r="B90" s="2652" t="s">
        <v>6615</v>
      </c>
      <c r="C90" s="1697" t="s">
        <v>7651</v>
      </c>
      <c r="D90" s="2674"/>
      <c r="E90" s="2161">
        <v>500</v>
      </c>
      <c r="F90" s="2656">
        <f t="shared" si="3"/>
        <v>-177.30083333333408</v>
      </c>
      <c r="G90" s="841"/>
      <c r="H90" s="1">
        <v>5000</v>
      </c>
      <c r="I90" s="1"/>
      <c r="J90" s="717" t="s">
        <v>6175</v>
      </c>
    </row>
    <row r="91" spans="1:17" ht="18" customHeight="1" x14ac:dyDescent="0.25">
      <c r="A91" s="2027">
        <v>45478</v>
      </c>
      <c r="B91" s="2153" t="s">
        <v>6629</v>
      </c>
      <c r="C91" s="1697" t="s">
        <v>7651</v>
      </c>
      <c r="D91" s="2674"/>
      <c r="E91" s="2161">
        <v>340</v>
      </c>
      <c r="F91" s="2656">
        <f t="shared" si="3"/>
        <v>-517.30083333333414</v>
      </c>
      <c r="G91" s="841"/>
      <c r="H91" s="1">
        <v>7000</v>
      </c>
      <c r="I91" s="1"/>
      <c r="J91" s="717" t="s">
        <v>6177</v>
      </c>
    </row>
    <row r="92" spans="1:17" ht="18" customHeight="1" x14ac:dyDescent="0.25">
      <c r="A92" s="2176">
        <v>45478</v>
      </c>
      <c r="B92" s="2177" t="s">
        <v>6208</v>
      </c>
      <c r="C92" s="1746" t="s">
        <v>1486</v>
      </c>
      <c r="D92" s="2673">
        <v>950</v>
      </c>
      <c r="E92" s="2157"/>
      <c r="F92" s="2656">
        <f t="shared" si="3"/>
        <v>432.69916666666586</v>
      </c>
      <c r="G92" s="841"/>
      <c r="I92" s="1"/>
    </row>
    <row r="93" spans="1:17" ht="18" customHeight="1" x14ac:dyDescent="0.25">
      <c r="A93" s="2176">
        <v>45478</v>
      </c>
      <c r="B93" s="2177" t="s">
        <v>6214</v>
      </c>
      <c r="C93" s="1746" t="s">
        <v>1486</v>
      </c>
      <c r="D93" s="2673">
        <v>850</v>
      </c>
      <c r="E93" s="2157"/>
      <c r="F93" s="2656">
        <f t="shared" si="3"/>
        <v>1282.6991666666659</v>
      </c>
      <c r="G93" s="841"/>
      <c r="H93" s="607">
        <f>SUM(H80:H92)</f>
        <v>58000</v>
      </c>
      <c r="I93" s="231">
        <f>SUM(I80:I92)</f>
        <v>57888.11</v>
      </c>
      <c r="J93" s="32"/>
      <c r="K93" s="32"/>
      <c r="L93" s="32"/>
      <c r="M93" s="32"/>
      <c r="N93" s="32"/>
      <c r="O93" s="32"/>
    </row>
    <row r="94" spans="1:17" ht="18" customHeight="1" x14ac:dyDescent="0.25">
      <c r="A94" s="2027">
        <v>45479</v>
      </c>
      <c r="B94" s="2654" t="s">
        <v>6633</v>
      </c>
      <c r="C94" s="1697" t="s">
        <v>7651</v>
      </c>
      <c r="D94" s="2674"/>
      <c r="E94" s="2161">
        <v>200</v>
      </c>
      <c r="F94" s="2656">
        <f t="shared" si="3"/>
        <v>1082.6991666666659</v>
      </c>
      <c r="G94" s="841"/>
    </row>
    <row r="95" spans="1:17" ht="18" customHeight="1" x14ac:dyDescent="0.25">
      <c r="A95" s="2176">
        <v>45483</v>
      </c>
      <c r="B95" s="2670" t="s">
        <v>6992</v>
      </c>
      <c r="C95" s="1746" t="s">
        <v>1486</v>
      </c>
      <c r="D95" s="2673">
        <v>1045.54</v>
      </c>
      <c r="E95" s="2157"/>
      <c r="F95" s="2656">
        <f t="shared" si="3"/>
        <v>2128.2391666666658</v>
      </c>
      <c r="G95" s="841"/>
      <c r="H95" s="32"/>
      <c r="I95" s="32"/>
      <c r="J95" s="31" t="s">
        <v>6798</v>
      </c>
      <c r="K95" s="31" t="s">
        <v>6799</v>
      </c>
      <c r="L95" s="31" t="s">
        <v>361</v>
      </c>
    </row>
    <row r="96" spans="1:17" ht="18" customHeight="1" x14ac:dyDescent="0.25">
      <c r="A96" s="2027">
        <v>45483</v>
      </c>
      <c r="B96" s="2654" t="s">
        <v>6669</v>
      </c>
      <c r="C96" s="1697" t="s">
        <v>1496</v>
      </c>
      <c r="D96" s="2674"/>
      <c r="E96" s="2161">
        <v>57</v>
      </c>
      <c r="F96" s="2656">
        <f t="shared" si="3"/>
        <v>2071.2391666666658</v>
      </c>
      <c r="G96" s="841"/>
      <c r="H96" t="s">
        <v>6797</v>
      </c>
      <c r="J96" s="1">
        <v>11000</v>
      </c>
      <c r="K96" s="1">
        <v>9891.619999999999</v>
      </c>
      <c r="L96" s="231">
        <f t="shared" ref="L96:L105" si="4">K96+J96</f>
        <v>20891.62</v>
      </c>
    </row>
    <row r="97" spans="1:12" ht="18" customHeight="1" x14ac:dyDescent="0.25">
      <c r="A97" s="2027">
        <v>45484</v>
      </c>
      <c r="B97" s="2654" t="s">
        <v>6649</v>
      </c>
      <c r="C97" s="1697" t="s">
        <v>1496</v>
      </c>
      <c r="D97" s="2655"/>
      <c r="E97" s="2161">
        <v>672.88</v>
      </c>
      <c r="F97" s="2656">
        <f t="shared" si="3"/>
        <v>1398.3591666666657</v>
      </c>
      <c r="G97" s="841"/>
      <c r="H97" s="717" t="s">
        <v>6800</v>
      </c>
      <c r="J97" s="1">
        <v>3700</v>
      </c>
      <c r="K97" s="1">
        <v>3850.6499999999996</v>
      </c>
      <c r="L97" s="231">
        <f t="shared" si="4"/>
        <v>7550.65</v>
      </c>
    </row>
    <row r="98" spans="1:12" ht="18" customHeight="1" x14ac:dyDescent="0.25">
      <c r="A98" s="2027">
        <v>45489</v>
      </c>
      <c r="B98" s="2654" t="s">
        <v>6681</v>
      </c>
      <c r="C98" s="1697" t="s">
        <v>1496</v>
      </c>
      <c r="D98" s="2673"/>
      <c r="E98" s="2157">
        <v>113.7</v>
      </c>
      <c r="F98" s="2656">
        <f t="shared" si="3"/>
        <v>1284.6591666666657</v>
      </c>
      <c r="G98" s="841"/>
      <c r="H98" s="717" t="s">
        <v>6801</v>
      </c>
      <c r="J98" s="1">
        <v>10700</v>
      </c>
      <c r="K98" s="1">
        <v>21473.1404</v>
      </c>
      <c r="L98" s="231">
        <f t="shared" si="4"/>
        <v>32173.1404</v>
      </c>
    </row>
    <row r="99" spans="1:12" ht="18" customHeight="1" x14ac:dyDescent="0.25">
      <c r="A99" s="2027">
        <v>45489</v>
      </c>
      <c r="B99" s="2654" t="s">
        <v>6686</v>
      </c>
      <c r="C99" s="1697" t="s">
        <v>1496</v>
      </c>
      <c r="D99" s="2677"/>
      <c r="E99" s="2161">
        <v>142.80000000000001</v>
      </c>
      <c r="F99" s="2656">
        <f t="shared" si="3"/>
        <v>1141.8591666666657</v>
      </c>
      <c r="G99" s="841"/>
      <c r="H99" s="717" t="s">
        <v>6802</v>
      </c>
      <c r="J99" s="1">
        <v>4000</v>
      </c>
      <c r="K99" s="401">
        <v>4993.2999999999993</v>
      </c>
      <c r="L99" s="231">
        <f t="shared" si="4"/>
        <v>8993.2999999999993</v>
      </c>
    </row>
    <row r="100" spans="1:12" ht="18" customHeight="1" x14ac:dyDescent="0.25">
      <c r="A100" s="2410">
        <v>45489</v>
      </c>
      <c r="B100" s="2654" t="s">
        <v>6682</v>
      </c>
      <c r="C100" s="1697" t="s">
        <v>1496</v>
      </c>
      <c r="D100" s="2673"/>
      <c r="E100" s="2157">
        <v>396.9</v>
      </c>
      <c r="F100" s="2656">
        <f t="shared" si="3"/>
        <v>744.95916666666574</v>
      </c>
      <c r="G100" s="841"/>
      <c r="H100" s="717" t="s">
        <v>6803</v>
      </c>
      <c r="J100" s="1">
        <v>1900</v>
      </c>
      <c r="K100" s="1">
        <v>706.97</v>
      </c>
      <c r="L100" s="231">
        <f t="shared" si="4"/>
        <v>2606.9700000000003</v>
      </c>
    </row>
    <row r="101" spans="1:12" ht="18" customHeight="1" x14ac:dyDescent="0.25">
      <c r="A101" s="2027">
        <v>45490</v>
      </c>
      <c r="B101" s="2654" t="s">
        <v>6687</v>
      </c>
      <c r="C101" s="1697" t="s">
        <v>1496</v>
      </c>
      <c r="D101" s="2674"/>
      <c r="E101" s="2161">
        <v>582</v>
      </c>
      <c r="F101" s="2656">
        <f t="shared" si="3"/>
        <v>162.95916666666574</v>
      </c>
      <c r="G101" s="841"/>
      <c r="H101" t="s">
        <v>6689</v>
      </c>
      <c r="J101" s="1"/>
      <c r="K101" s="1"/>
      <c r="L101" s="231">
        <f t="shared" si="4"/>
        <v>0</v>
      </c>
    </row>
    <row r="102" spans="1:12" ht="18" customHeight="1" x14ac:dyDescent="0.25">
      <c r="A102" s="2176">
        <v>45492</v>
      </c>
      <c r="B102" s="2177" t="s">
        <v>6696</v>
      </c>
      <c r="C102" s="1746" t="s">
        <v>1486</v>
      </c>
      <c r="D102" s="2673">
        <v>750</v>
      </c>
      <c r="E102" s="2157"/>
      <c r="F102" s="2656">
        <f t="shared" si="3"/>
        <v>912.95916666666574</v>
      </c>
      <c r="G102" s="841"/>
      <c r="H102" s="717" t="s">
        <v>7083</v>
      </c>
      <c r="J102" s="2544"/>
      <c r="K102" s="2544"/>
      <c r="L102" s="231">
        <f t="shared" si="4"/>
        <v>0</v>
      </c>
    </row>
    <row r="103" spans="1:12" ht="18" customHeight="1" x14ac:dyDescent="0.25">
      <c r="A103" s="2176">
        <v>45492</v>
      </c>
      <c r="B103" s="2177" t="s">
        <v>6697</v>
      </c>
      <c r="C103" s="1746" t="s">
        <v>1486</v>
      </c>
      <c r="D103" s="2673">
        <v>800</v>
      </c>
      <c r="E103" s="2157"/>
      <c r="F103" s="2656">
        <f t="shared" si="3"/>
        <v>1712.9591666666656</v>
      </c>
      <c r="G103" s="841"/>
      <c r="J103" s="1"/>
      <c r="K103" s="1"/>
      <c r="L103" s="231">
        <f t="shared" si="4"/>
        <v>0</v>
      </c>
    </row>
    <row r="104" spans="1:12" ht="18" customHeight="1" x14ac:dyDescent="0.25">
      <c r="A104" s="2027">
        <v>45492</v>
      </c>
      <c r="B104" s="2654" t="s">
        <v>6460</v>
      </c>
      <c r="C104" s="1697" t="s">
        <v>7651</v>
      </c>
      <c r="D104" s="2674"/>
      <c r="E104" s="2161">
        <v>580</v>
      </c>
      <c r="F104" s="2656">
        <f t="shared" si="3"/>
        <v>1132.9591666666656</v>
      </c>
      <c r="G104" s="841"/>
      <c r="H104" s="32"/>
      <c r="I104" s="32"/>
      <c r="L104" s="231">
        <f t="shared" si="4"/>
        <v>0</v>
      </c>
    </row>
    <row r="105" spans="1:12" ht="18" customHeight="1" x14ac:dyDescent="0.25">
      <c r="A105" s="2027">
        <v>45492</v>
      </c>
      <c r="B105" s="2654" t="s">
        <v>6472</v>
      </c>
      <c r="C105" s="1697" t="s">
        <v>7651</v>
      </c>
      <c r="D105" s="2673"/>
      <c r="E105" s="2157">
        <v>374.73750000000001</v>
      </c>
      <c r="F105" s="2656">
        <f t="shared" si="3"/>
        <v>758.22166666666567</v>
      </c>
      <c r="G105" s="841"/>
      <c r="L105" s="231">
        <f t="shared" si="4"/>
        <v>0</v>
      </c>
    </row>
    <row r="106" spans="1:12" ht="18" customHeight="1" x14ac:dyDescent="0.25">
      <c r="A106" s="2027">
        <v>45492</v>
      </c>
      <c r="B106" s="2654" t="s">
        <v>6580</v>
      </c>
      <c r="C106" s="1697" t="s">
        <v>7651</v>
      </c>
      <c r="D106" s="2675"/>
      <c r="E106" s="2161">
        <v>291.66666666666669</v>
      </c>
      <c r="F106" s="2656">
        <f t="shared" si="3"/>
        <v>466.55499999999898</v>
      </c>
      <c r="G106" s="841"/>
      <c r="J106" s="231">
        <f>SUM(J96:J103)</f>
        <v>31300</v>
      </c>
      <c r="K106" s="231">
        <f>SUM(K96:K103)</f>
        <v>40915.680399999997</v>
      </c>
      <c r="L106" s="231">
        <f>SUM(L96:L103)</f>
        <v>72215.680399999997</v>
      </c>
    </row>
    <row r="107" spans="1:12" ht="18" customHeight="1" x14ac:dyDescent="0.25">
      <c r="A107" s="2027">
        <v>45492</v>
      </c>
      <c r="B107" s="2654" t="s">
        <v>7653</v>
      </c>
      <c r="C107" s="1697" t="s">
        <v>7651</v>
      </c>
      <c r="D107" s="2676"/>
      <c r="E107" s="2157">
        <v>479.16666666666669</v>
      </c>
      <c r="F107" s="2656">
        <f t="shared" si="3"/>
        <v>-12.611666666667702</v>
      </c>
      <c r="G107" s="841"/>
    </row>
    <row r="108" spans="1:12" ht="18" customHeight="1" x14ac:dyDescent="0.25">
      <c r="A108" s="2027">
        <v>45492</v>
      </c>
      <c r="B108" s="2654" t="s">
        <v>6692</v>
      </c>
      <c r="C108" s="1697" t="s">
        <v>7651</v>
      </c>
      <c r="D108" s="2674"/>
      <c r="E108" s="2161">
        <v>646.5</v>
      </c>
      <c r="F108" s="2656">
        <f t="shared" si="3"/>
        <v>-659.1116666666677</v>
      </c>
      <c r="G108" s="841"/>
    </row>
    <row r="109" spans="1:12" ht="18" customHeight="1" x14ac:dyDescent="0.25">
      <c r="A109" s="2027">
        <v>45492</v>
      </c>
      <c r="B109" s="2653" t="s">
        <v>6693</v>
      </c>
      <c r="C109" s="1697" t="s">
        <v>7651</v>
      </c>
      <c r="D109" s="2673"/>
      <c r="E109" s="2157">
        <v>64.260000000000005</v>
      </c>
      <c r="F109" s="2656">
        <f t="shared" si="3"/>
        <v>-723.37166666666769</v>
      </c>
      <c r="G109" s="841"/>
    </row>
    <row r="110" spans="1:12" ht="18" customHeight="1" x14ac:dyDescent="0.25">
      <c r="A110" s="2027">
        <v>45495</v>
      </c>
      <c r="B110" s="2654" t="s">
        <v>6706</v>
      </c>
      <c r="C110" s="1697" t="s">
        <v>1496</v>
      </c>
      <c r="D110" s="2673"/>
      <c r="E110" s="2157">
        <v>360</v>
      </c>
      <c r="F110" s="2656">
        <f t="shared" si="3"/>
        <v>-1083.3716666666678</v>
      </c>
      <c r="G110" s="841"/>
    </row>
    <row r="111" spans="1:12" ht="18" customHeight="1" x14ac:dyDescent="0.25">
      <c r="A111" s="2027">
        <v>45496</v>
      </c>
      <c r="B111" s="2654" t="s">
        <v>6709</v>
      </c>
      <c r="C111" s="1697" t="s">
        <v>1496</v>
      </c>
      <c r="D111" s="2674"/>
      <c r="E111" s="2161">
        <v>388.8</v>
      </c>
      <c r="F111" s="2656">
        <f t="shared" si="3"/>
        <v>-1472.1716666666678</v>
      </c>
      <c r="G111" s="841"/>
    </row>
    <row r="112" spans="1:12" ht="18" customHeight="1" x14ac:dyDescent="0.25">
      <c r="A112" s="2027">
        <v>45502</v>
      </c>
      <c r="B112" s="2652" t="s">
        <v>6721</v>
      </c>
      <c r="C112" s="1697" t="s">
        <v>1496</v>
      </c>
      <c r="D112" s="2673"/>
      <c r="E112" s="2157">
        <v>188.4</v>
      </c>
      <c r="F112" s="2656">
        <f t="shared" si="3"/>
        <v>-1660.5716666666679</v>
      </c>
      <c r="G112" s="841"/>
    </row>
    <row r="113" spans="1:7" ht="18" customHeight="1" x14ac:dyDescent="0.25">
      <c r="A113" s="2176">
        <v>45504</v>
      </c>
      <c r="B113" s="2178" t="s">
        <v>6989</v>
      </c>
      <c r="C113" s="1746" t="s">
        <v>1486</v>
      </c>
      <c r="D113" s="2673">
        <v>5.9</v>
      </c>
      <c r="E113" s="2161"/>
      <c r="F113" s="2656">
        <f t="shared" si="3"/>
        <v>-1654.6716666666678</v>
      </c>
      <c r="G113" s="841"/>
    </row>
    <row r="114" spans="1:7" ht="18" customHeight="1" x14ac:dyDescent="0.25">
      <c r="A114" s="2176">
        <v>45505</v>
      </c>
      <c r="B114" s="2670" t="s">
        <v>6992</v>
      </c>
      <c r="C114" s="1746" t="s">
        <v>1486</v>
      </c>
      <c r="D114" s="2673">
        <v>514.15</v>
      </c>
      <c r="E114" s="2157"/>
      <c r="F114" s="2656">
        <f t="shared" si="3"/>
        <v>-1140.5216666666679</v>
      </c>
      <c r="G114" s="841"/>
    </row>
    <row r="115" spans="1:7" ht="18" customHeight="1" x14ac:dyDescent="0.25">
      <c r="A115" s="2027">
        <v>45505</v>
      </c>
      <c r="B115" s="2654" t="s">
        <v>6736</v>
      </c>
      <c r="C115" s="1697" t="s">
        <v>1496</v>
      </c>
      <c r="D115" s="2674"/>
      <c r="E115" s="2161">
        <v>132.5</v>
      </c>
      <c r="F115" s="2657">
        <f t="shared" si="3"/>
        <v>-1273.0216666666679</v>
      </c>
      <c r="G115" s="2668"/>
    </row>
    <row r="116" spans="1:7" ht="18" customHeight="1" x14ac:dyDescent="0.25">
      <c r="A116" s="2176">
        <v>45510</v>
      </c>
      <c r="B116" s="2177" t="s">
        <v>6208</v>
      </c>
      <c r="C116" s="1746" t="s">
        <v>1486</v>
      </c>
      <c r="D116" s="2673">
        <v>850</v>
      </c>
      <c r="E116" s="2157"/>
      <c r="F116" s="2656">
        <f t="shared" si="3"/>
        <v>-423.0216666666679</v>
      </c>
      <c r="G116" s="841"/>
    </row>
    <row r="117" spans="1:7" ht="18" customHeight="1" x14ac:dyDescent="0.25">
      <c r="A117" s="2176">
        <v>45510</v>
      </c>
      <c r="B117" s="2177" t="s">
        <v>6214</v>
      </c>
      <c r="C117" s="1746" t="s">
        <v>1486</v>
      </c>
      <c r="D117" s="2673">
        <v>750</v>
      </c>
      <c r="E117" s="2157"/>
      <c r="F117" s="2656">
        <f t="shared" si="3"/>
        <v>326.9783333333321</v>
      </c>
      <c r="G117" s="841"/>
    </row>
    <row r="118" spans="1:7" ht="18" customHeight="1" x14ac:dyDescent="0.25">
      <c r="A118" s="2027">
        <v>45511</v>
      </c>
      <c r="B118" s="2654" t="s">
        <v>6767</v>
      </c>
      <c r="C118" s="1697" t="s">
        <v>1496</v>
      </c>
      <c r="D118" s="2674">
        <v>0</v>
      </c>
      <c r="E118" s="2161">
        <v>300</v>
      </c>
      <c r="F118" s="2656">
        <f t="shared" si="3"/>
        <v>26.978333333332102</v>
      </c>
      <c r="G118" s="841"/>
    </row>
    <row r="119" spans="1:7" ht="18" customHeight="1" x14ac:dyDescent="0.25">
      <c r="A119" s="2027">
        <v>45516</v>
      </c>
      <c r="B119" s="2654" t="s">
        <v>6775</v>
      </c>
      <c r="C119" s="1697" t="s">
        <v>1496</v>
      </c>
      <c r="D119" s="2673"/>
      <c r="E119" s="2157">
        <v>36.9</v>
      </c>
      <c r="F119" s="2656">
        <f t="shared" si="3"/>
        <v>-9.9216666666678961</v>
      </c>
      <c r="G119" s="841"/>
    </row>
    <row r="120" spans="1:7" ht="18" customHeight="1" x14ac:dyDescent="0.25">
      <c r="A120" s="2027">
        <v>45517</v>
      </c>
      <c r="B120" s="2654" t="s">
        <v>6768</v>
      </c>
      <c r="C120" s="1697" t="s">
        <v>7651</v>
      </c>
      <c r="D120" s="2673"/>
      <c r="E120" s="2157">
        <v>693</v>
      </c>
      <c r="F120" s="2656">
        <f t="shared" si="3"/>
        <v>-702.92166666666787</v>
      </c>
      <c r="G120" s="841"/>
    </row>
    <row r="121" spans="1:7" ht="18" customHeight="1" x14ac:dyDescent="0.25">
      <c r="A121" s="2027">
        <v>45523</v>
      </c>
      <c r="B121" s="2654" t="s">
        <v>6735</v>
      </c>
      <c r="C121" s="1697" t="s">
        <v>7650</v>
      </c>
      <c r="D121" s="2674"/>
      <c r="E121" s="2161">
        <v>19.25</v>
      </c>
      <c r="F121" s="2656">
        <f t="shared" si="3"/>
        <v>-722.17166666666787</v>
      </c>
      <c r="G121" s="841"/>
    </row>
    <row r="122" spans="1:7" ht="18" customHeight="1" x14ac:dyDescent="0.25">
      <c r="A122" s="2176">
        <v>45524</v>
      </c>
      <c r="B122" s="2177" t="s">
        <v>6697</v>
      </c>
      <c r="C122" s="1746" t="s">
        <v>1486</v>
      </c>
      <c r="D122" s="2673">
        <v>1122.58</v>
      </c>
      <c r="E122" s="2157"/>
      <c r="F122" s="2656">
        <f t="shared" si="3"/>
        <v>400.40833333333205</v>
      </c>
      <c r="G122" s="841"/>
    </row>
    <row r="123" spans="1:7" ht="18" customHeight="1" x14ac:dyDescent="0.25">
      <c r="A123" s="2176">
        <v>45535</v>
      </c>
      <c r="B123" s="2202" t="s">
        <v>6989</v>
      </c>
      <c r="C123" s="1746" t="s">
        <v>1486</v>
      </c>
      <c r="D123" s="2673">
        <v>0</v>
      </c>
      <c r="E123" s="2161"/>
      <c r="F123" s="2656">
        <f t="shared" si="3"/>
        <v>400.40833333333205</v>
      </c>
      <c r="G123" s="841"/>
    </row>
    <row r="124" spans="1:7" ht="18" customHeight="1" x14ac:dyDescent="0.25">
      <c r="A124" s="2176">
        <v>45541</v>
      </c>
      <c r="B124" s="2178" t="s">
        <v>6208</v>
      </c>
      <c r="C124" s="1746" t="s">
        <v>1486</v>
      </c>
      <c r="D124" s="2673">
        <v>920</v>
      </c>
      <c r="E124" s="2157"/>
      <c r="F124" s="2656">
        <f t="shared" si="3"/>
        <v>1320.4083333333319</v>
      </c>
      <c r="G124" s="841"/>
    </row>
    <row r="125" spans="1:7" ht="18" customHeight="1" x14ac:dyDescent="0.25">
      <c r="A125" s="2176">
        <v>45541</v>
      </c>
      <c r="B125" s="2178" t="s">
        <v>6214</v>
      </c>
      <c r="C125" s="1746" t="s">
        <v>1486</v>
      </c>
      <c r="D125" s="2673">
        <v>700</v>
      </c>
      <c r="E125" s="2157"/>
      <c r="F125" s="2656">
        <f t="shared" si="3"/>
        <v>2020.4083333333319</v>
      </c>
      <c r="G125" s="841"/>
    </row>
    <row r="126" spans="1:7" ht="18" customHeight="1" x14ac:dyDescent="0.25">
      <c r="A126" s="2027">
        <v>45541</v>
      </c>
      <c r="B126" s="2654" t="s">
        <v>6945</v>
      </c>
      <c r="C126" s="1697" t="s">
        <v>1496</v>
      </c>
      <c r="D126" s="2676"/>
      <c r="E126" s="2157">
        <v>700</v>
      </c>
      <c r="F126" s="2656">
        <f t="shared" si="3"/>
        <v>1320.4083333333319</v>
      </c>
      <c r="G126" s="841"/>
    </row>
    <row r="127" spans="1:7" ht="18" customHeight="1" x14ac:dyDescent="0.25">
      <c r="A127" s="2027">
        <v>45544</v>
      </c>
      <c r="B127" s="2654" t="s">
        <v>6866</v>
      </c>
      <c r="C127" s="1697" t="s">
        <v>7650</v>
      </c>
      <c r="D127" s="2674">
        <v>0</v>
      </c>
      <c r="E127" s="2161">
        <v>90</v>
      </c>
      <c r="F127" s="2656">
        <f t="shared" si="3"/>
        <v>1230.4083333333319</v>
      </c>
      <c r="G127" s="841"/>
    </row>
    <row r="128" spans="1:7" ht="18" customHeight="1" x14ac:dyDescent="0.25">
      <c r="A128" s="2027">
        <v>45546</v>
      </c>
      <c r="B128" s="2654" t="s">
        <v>6876</v>
      </c>
      <c r="C128" s="1697" t="s">
        <v>7650</v>
      </c>
      <c r="D128" s="2676"/>
      <c r="E128" s="2157">
        <v>81.7</v>
      </c>
      <c r="F128" s="2656">
        <f t="shared" si="3"/>
        <v>1148.7083333333319</v>
      </c>
      <c r="G128" s="841"/>
    </row>
    <row r="129" spans="1:7" ht="18" customHeight="1" x14ac:dyDescent="0.25">
      <c r="A129" s="2027">
        <v>45547</v>
      </c>
      <c r="B129" s="2654" t="s">
        <v>6877</v>
      </c>
      <c r="C129" s="1697" t="s">
        <v>7650</v>
      </c>
      <c r="D129" s="2674"/>
      <c r="E129" s="2161">
        <v>400</v>
      </c>
      <c r="F129" s="2656">
        <f t="shared" si="3"/>
        <v>748.70833333333189</v>
      </c>
      <c r="G129" s="841"/>
    </row>
    <row r="130" spans="1:7" ht="18" customHeight="1" x14ac:dyDescent="0.25">
      <c r="A130" s="2176">
        <v>45551</v>
      </c>
      <c r="B130" s="2670" t="s">
        <v>6993</v>
      </c>
      <c r="C130" s="1746" t="s">
        <v>1486</v>
      </c>
      <c r="D130" s="2673">
        <v>38.799999999999997</v>
      </c>
      <c r="E130" s="2157"/>
      <c r="F130" s="2656">
        <f t="shared" si="3"/>
        <v>787.50833333333185</v>
      </c>
      <c r="G130" s="841"/>
    </row>
    <row r="131" spans="1:7" ht="18" customHeight="1" x14ac:dyDescent="0.25">
      <c r="A131" s="2027">
        <v>45552</v>
      </c>
      <c r="B131" s="2654" t="s">
        <v>6890</v>
      </c>
      <c r="C131" s="1697" t="s">
        <v>7650</v>
      </c>
      <c r="D131" s="2674"/>
      <c r="E131" s="2161">
        <v>400</v>
      </c>
      <c r="F131" s="2656">
        <f t="shared" si="3"/>
        <v>387.50833333333185</v>
      </c>
      <c r="G131" s="841"/>
    </row>
    <row r="132" spans="1:7" ht="18" customHeight="1" x14ac:dyDescent="0.25">
      <c r="A132" s="2176">
        <v>45555</v>
      </c>
      <c r="B132" s="2177" t="s">
        <v>6697</v>
      </c>
      <c r="C132" s="1746" t="s">
        <v>1486</v>
      </c>
      <c r="D132" s="2673">
        <v>567.32000000000005</v>
      </c>
      <c r="E132" s="2157"/>
      <c r="F132" s="2656">
        <f t="shared" ref="F132:F195" si="5">F131+D132-E132</f>
        <v>954.8283333333319</v>
      </c>
      <c r="G132" s="841"/>
    </row>
    <row r="133" spans="1:7" ht="18" customHeight="1" x14ac:dyDescent="0.25">
      <c r="A133" s="2027">
        <v>45555</v>
      </c>
      <c r="B133" s="2654" t="s">
        <v>6701</v>
      </c>
      <c r="C133" s="1697" t="s">
        <v>7651</v>
      </c>
      <c r="D133" s="2676"/>
      <c r="E133" s="2157">
        <v>291.66666666666669</v>
      </c>
      <c r="F133" s="2656">
        <f t="shared" si="5"/>
        <v>663.16166666666527</v>
      </c>
      <c r="G133" s="841"/>
    </row>
    <row r="134" spans="1:7" ht="18" customHeight="1" x14ac:dyDescent="0.25">
      <c r="A134" s="2027">
        <v>45555</v>
      </c>
      <c r="B134" s="2654" t="s">
        <v>6702</v>
      </c>
      <c r="C134" s="1697" t="s">
        <v>7651</v>
      </c>
      <c r="D134" s="2675"/>
      <c r="E134" s="2161">
        <v>479.16666666666669</v>
      </c>
      <c r="F134" s="2656">
        <f t="shared" si="5"/>
        <v>183.99499999999858</v>
      </c>
      <c r="G134" s="841"/>
    </row>
    <row r="135" spans="1:7" ht="18" customHeight="1" x14ac:dyDescent="0.25">
      <c r="A135" s="2027">
        <v>45555</v>
      </c>
      <c r="B135" s="2654" t="s">
        <v>6875</v>
      </c>
      <c r="C135" s="1697" t="s">
        <v>7650</v>
      </c>
      <c r="D135" s="2673"/>
      <c r="E135" s="2157">
        <v>38.200000000000003</v>
      </c>
      <c r="F135" s="2656">
        <f t="shared" si="5"/>
        <v>145.79499999999859</v>
      </c>
      <c r="G135" s="841"/>
    </row>
    <row r="136" spans="1:7" ht="18" customHeight="1" x14ac:dyDescent="0.25">
      <c r="A136" s="2176">
        <v>45563</v>
      </c>
      <c r="B136" s="2670" t="s">
        <v>6994</v>
      </c>
      <c r="C136" s="1746" t="s">
        <v>1486</v>
      </c>
      <c r="D136" s="2674">
        <v>500</v>
      </c>
      <c r="E136" s="2161"/>
      <c r="F136" s="2656">
        <f t="shared" si="5"/>
        <v>645.79499999999859</v>
      </c>
      <c r="G136" s="841"/>
    </row>
    <row r="137" spans="1:7" ht="18" customHeight="1" x14ac:dyDescent="0.25">
      <c r="A137" s="2027">
        <v>45563</v>
      </c>
      <c r="B137" s="2654" t="s">
        <v>6922</v>
      </c>
      <c r="C137" s="1697" t="s">
        <v>7650</v>
      </c>
      <c r="D137" s="2673"/>
      <c r="E137" s="2157">
        <v>24.5</v>
      </c>
      <c r="F137" s="2656">
        <f t="shared" si="5"/>
        <v>621.29499999999859</v>
      </c>
      <c r="G137" s="841"/>
    </row>
    <row r="138" spans="1:7" ht="18" customHeight="1" x14ac:dyDescent="0.25">
      <c r="A138" s="2027">
        <v>45563</v>
      </c>
      <c r="B138" s="2654" t="s">
        <v>6923</v>
      </c>
      <c r="C138" s="1697" t="s">
        <v>7650</v>
      </c>
      <c r="D138" s="2674"/>
      <c r="E138" s="2161">
        <v>11.8</v>
      </c>
      <c r="F138" s="2656">
        <f t="shared" si="5"/>
        <v>609.49499999999864</v>
      </c>
      <c r="G138" s="841"/>
    </row>
    <row r="139" spans="1:7" ht="18" customHeight="1" x14ac:dyDescent="0.25">
      <c r="A139" s="2027">
        <v>45563</v>
      </c>
      <c r="B139" s="2654" t="s">
        <v>7678</v>
      </c>
      <c r="C139" s="1697" t="s">
        <v>7650</v>
      </c>
      <c r="D139" s="2673"/>
      <c r="E139" s="2157">
        <v>100</v>
      </c>
      <c r="F139" s="2656">
        <f t="shared" si="5"/>
        <v>509.49499999999864</v>
      </c>
      <c r="G139" s="841"/>
    </row>
    <row r="140" spans="1:7" ht="18" customHeight="1" x14ac:dyDescent="0.25">
      <c r="A140" s="2027">
        <v>45564</v>
      </c>
      <c r="B140" s="2654" t="s">
        <v>6927</v>
      </c>
      <c r="C140" s="1697" t="s">
        <v>7650</v>
      </c>
      <c r="D140" s="2674"/>
      <c r="E140" s="2161">
        <v>107.97</v>
      </c>
      <c r="F140" s="2656">
        <f t="shared" si="5"/>
        <v>401.52499999999861</v>
      </c>
      <c r="G140" s="841"/>
    </row>
    <row r="141" spans="1:7" ht="18" customHeight="1" x14ac:dyDescent="0.25">
      <c r="A141" s="2176">
        <v>45566</v>
      </c>
      <c r="B141" s="2670" t="s">
        <v>6930</v>
      </c>
      <c r="C141" s="1746" t="s">
        <v>1486</v>
      </c>
      <c r="D141" s="2673">
        <v>1815</v>
      </c>
      <c r="E141" s="2157"/>
      <c r="F141" s="2656">
        <f t="shared" si="5"/>
        <v>2216.5249999999987</v>
      </c>
      <c r="G141" s="841"/>
    </row>
    <row r="142" spans="1:7" ht="18" customHeight="1" x14ac:dyDescent="0.25">
      <c r="A142" s="2027">
        <v>45566</v>
      </c>
      <c r="B142" s="2654" t="s">
        <v>7679</v>
      </c>
      <c r="C142" s="1697" t="s">
        <v>7650</v>
      </c>
      <c r="D142" s="2673"/>
      <c r="E142" s="2161">
        <v>500</v>
      </c>
      <c r="F142" s="2656">
        <f t="shared" si="5"/>
        <v>1716.5249999999987</v>
      </c>
      <c r="G142" s="841"/>
    </row>
    <row r="143" spans="1:7" ht="18" customHeight="1" x14ac:dyDescent="0.25">
      <c r="A143" s="2027">
        <v>45566</v>
      </c>
      <c r="B143" s="2654" t="s">
        <v>6932</v>
      </c>
      <c r="C143" s="1697" t="s">
        <v>7650</v>
      </c>
      <c r="D143" s="2674"/>
      <c r="E143" s="2161">
        <v>125</v>
      </c>
      <c r="F143" s="2656">
        <f t="shared" si="5"/>
        <v>1591.5249999999987</v>
      </c>
      <c r="G143" s="841"/>
    </row>
    <row r="144" spans="1:7" ht="18" customHeight="1" x14ac:dyDescent="0.25">
      <c r="A144" s="2027">
        <v>45567</v>
      </c>
      <c r="B144" s="2654" t="s">
        <v>6935</v>
      </c>
      <c r="C144" s="1697" t="s">
        <v>7650</v>
      </c>
      <c r="D144" s="2674"/>
      <c r="E144" s="2161">
        <v>445.53</v>
      </c>
      <c r="F144" s="2656">
        <f t="shared" si="5"/>
        <v>1145.9949999999988</v>
      </c>
      <c r="G144" s="841"/>
    </row>
    <row r="145" spans="1:7" ht="18" customHeight="1" x14ac:dyDescent="0.25">
      <c r="A145" s="2176">
        <v>45569</v>
      </c>
      <c r="B145" s="2178" t="s">
        <v>6214</v>
      </c>
      <c r="C145" s="1746" t="s">
        <v>1486</v>
      </c>
      <c r="D145" s="2673">
        <v>700</v>
      </c>
      <c r="E145" s="2157"/>
      <c r="F145" s="2656">
        <f t="shared" si="5"/>
        <v>1845.9949999999988</v>
      </c>
      <c r="G145" s="841"/>
    </row>
    <row r="146" spans="1:7" ht="18" customHeight="1" x14ac:dyDescent="0.25">
      <c r="A146" s="2176">
        <v>45572</v>
      </c>
      <c r="B146" s="2178" t="s">
        <v>6208</v>
      </c>
      <c r="C146" s="1746" t="s">
        <v>1486</v>
      </c>
      <c r="D146" s="2673">
        <v>700</v>
      </c>
      <c r="E146" s="2157"/>
      <c r="F146" s="2656">
        <f t="shared" si="5"/>
        <v>2545.994999999999</v>
      </c>
      <c r="G146" s="841"/>
    </row>
    <row r="147" spans="1:7" ht="18" customHeight="1" x14ac:dyDescent="0.25">
      <c r="A147" s="2027">
        <v>45572</v>
      </c>
      <c r="B147" s="2654" t="s">
        <v>6946</v>
      </c>
      <c r="C147" s="1697" t="s">
        <v>1496</v>
      </c>
      <c r="D147" s="2676"/>
      <c r="E147" s="2157">
        <v>1000</v>
      </c>
      <c r="F147" s="2656">
        <f t="shared" si="5"/>
        <v>1545.994999999999</v>
      </c>
      <c r="G147" s="841"/>
    </row>
    <row r="148" spans="1:7" ht="18" customHeight="1" x14ac:dyDescent="0.25">
      <c r="A148" s="2027">
        <v>45573</v>
      </c>
      <c r="B148" s="2654" t="s">
        <v>6949</v>
      </c>
      <c r="C148" s="1697" t="s">
        <v>7650</v>
      </c>
      <c r="D148" s="2673"/>
      <c r="E148" s="2157">
        <v>19</v>
      </c>
      <c r="F148" s="2656">
        <f t="shared" si="5"/>
        <v>1526.994999999999</v>
      </c>
      <c r="G148" s="841"/>
    </row>
    <row r="149" spans="1:7" ht="18" customHeight="1" x14ac:dyDescent="0.25">
      <c r="A149" s="2176">
        <v>45583</v>
      </c>
      <c r="B149" s="2670" t="s">
        <v>6697</v>
      </c>
      <c r="C149" s="1746" t="s">
        <v>1486</v>
      </c>
      <c r="D149" s="2673">
        <v>700</v>
      </c>
      <c r="E149" s="2157"/>
      <c r="F149" s="2656">
        <f t="shared" si="5"/>
        <v>2226.994999999999</v>
      </c>
      <c r="G149" s="841"/>
    </row>
    <row r="150" spans="1:7" ht="18" customHeight="1" x14ac:dyDescent="0.25">
      <c r="A150" s="2027">
        <v>45583</v>
      </c>
      <c r="B150" s="2654" t="s">
        <v>6809</v>
      </c>
      <c r="C150" s="1697" t="s">
        <v>7651</v>
      </c>
      <c r="D150" s="2674"/>
      <c r="E150" s="2161">
        <v>479</v>
      </c>
      <c r="F150" s="2656">
        <f t="shared" si="5"/>
        <v>1747.994999999999</v>
      </c>
      <c r="G150" s="841"/>
    </row>
    <row r="151" spans="1:7" ht="18" customHeight="1" x14ac:dyDescent="0.25">
      <c r="A151" s="2027">
        <v>45583</v>
      </c>
      <c r="B151" s="2654" t="s">
        <v>6894</v>
      </c>
      <c r="C151" s="1697" t="s">
        <v>7650</v>
      </c>
      <c r="D151" s="2676"/>
      <c r="E151" s="2157">
        <v>204.75</v>
      </c>
      <c r="F151" s="2656">
        <f t="shared" si="5"/>
        <v>1543.244999999999</v>
      </c>
      <c r="G151" s="841"/>
    </row>
    <row r="152" spans="1:7" ht="18" customHeight="1" x14ac:dyDescent="0.25">
      <c r="A152" s="2027">
        <v>45583</v>
      </c>
      <c r="B152" s="2654" t="s">
        <v>6895</v>
      </c>
      <c r="C152" s="1697" t="s">
        <v>7650</v>
      </c>
      <c r="D152" s="2675"/>
      <c r="E152" s="2161">
        <v>214</v>
      </c>
      <c r="F152" s="2656">
        <f t="shared" si="5"/>
        <v>1329.244999999999</v>
      </c>
      <c r="G152" s="841"/>
    </row>
    <row r="153" spans="1:7" ht="18" customHeight="1" x14ac:dyDescent="0.25">
      <c r="A153" s="2027">
        <v>45583</v>
      </c>
      <c r="B153" s="2654" t="s">
        <v>6896</v>
      </c>
      <c r="C153" s="1697" t="s">
        <v>7650</v>
      </c>
      <c r="D153" s="2675"/>
      <c r="E153" s="2161">
        <v>139</v>
      </c>
      <c r="F153" s="2656">
        <f t="shared" si="5"/>
        <v>1190.244999999999</v>
      </c>
      <c r="G153" s="841"/>
    </row>
    <row r="154" spans="1:7" ht="18" customHeight="1" x14ac:dyDescent="0.25">
      <c r="A154" s="2027">
        <v>45583</v>
      </c>
      <c r="B154" s="2654" t="s">
        <v>6897</v>
      </c>
      <c r="C154" s="1697" t="s">
        <v>7650</v>
      </c>
      <c r="D154" s="2675"/>
      <c r="E154" s="2161">
        <v>270.11</v>
      </c>
      <c r="F154" s="2656">
        <f t="shared" si="5"/>
        <v>920.13499999999897</v>
      </c>
      <c r="G154" s="841"/>
    </row>
    <row r="155" spans="1:7" ht="18" customHeight="1" x14ac:dyDescent="0.25">
      <c r="A155" s="2027">
        <v>45583</v>
      </c>
      <c r="B155" s="2654" t="s">
        <v>6904</v>
      </c>
      <c r="C155" s="1697" t="s">
        <v>7650</v>
      </c>
      <c r="D155" s="2676"/>
      <c r="E155" s="2157">
        <v>80.739999999999995</v>
      </c>
      <c r="F155" s="2656">
        <f t="shared" si="5"/>
        <v>839.39499999999896</v>
      </c>
      <c r="G155" s="841"/>
    </row>
    <row r="156" spans="1:7" ht="18" customHeight="1" x14ac:dyDescent="0.25">
      <c r="A156" s="2027">
        <v>45583</v>
      </c>
      <c r="B156" s="2654" t="s">
        <v>6903</v>
      </c>
      <c r="C156" s="1697" t="s">
        <v>7650</v>
      </c>
      <c r="D156" s="2675"/>
      <c r="E156" s="2161">
        <v>51</v>
      </c>
      <c r="F156" s="2656">
        <f t="shared" si="5"/>
        <v>788.39499999999896</v>
      </c>
      <c r="G156" s="841"/>
    </row>
    <row r="157" spans="1:7" ht="18" customHeight="1" x14ac:dyDescent="0.25">
      <c r="A157" s="2027">
        <v>45583</v>
      </c>
      <c r="B157" s="2654" t="s">
        <v>6898</v>
      </c>
      <c r="C157" s="1697" t="s">
        <v>7650</v>
      </c>
      <c r="D157" s="2675"/>
      <c r="E157" s="2161">
        <v>71.56</v>
      </c>
      <c r="F157" s="2656">
        <f t="shared" si="5"/>
        <v>716.8349999999989</v>
      </c>
      <c r="G157" s="841"/>
    </row>
    <row r="158" spans="1:7" ht="18" customHeight="1" x14ac:dyDescent="0.25">
      <c r="A158" s="2027">
        <v>45583</v>
      </c>
      <c r="B158" s="2654" t="s">
        <v>6899</v>
      </c>
      <c r="C158" s="1697" t="s">
        <v>7650</v>
      </c>
      <c r="D158" s="2676"/>
      <c r="E158" s="2157">
        <v>98.5</v>
      </c>
      <c r="F158" s="2656">
        <f t="shared" si="5"/>
        <v>618.3349999999989</v>
      </c>
      <c r="G158" s="841"/>
    </row>
    <row r="159" spans="1:7" ht="18" customHeight="1" x14ac:dyDescent="0.25">
      <c r="A159" s="2027">
        <v>45583</v>
      </c>
      <c r="B159" s="2654" t="s">
        <v>6900</v>
      </c>
      <c r="C159" s="1697" t="s">
        <v>7650</v>
      </c>
      <c r="D159" s="2675"/>
      <c r="E159" s="2161">
        <v>49.25</v>
      </c>
      <c r="F159" s="2656">
        <f t="shared" si="5"/>
        <v>569.0849999999989</v>
      </c>
      <c r="G159" s="841"/>
    </row>
    <row r="160" spans="1:7" ht="18" customHeight="1" x14ac:dyDescent="0.25">
      <c r="A160" s="2027">
        <v>45583</v>
      </c>
      <c r="B160" s="2654" t="s">
        <v>6905</v>
      </c>
      <c r="C160" s="1697" t="s">
        <v>7650</v>
      </c>
      <c r="D160" s="2675"/>
      <c r="E160" s="2161">
        <v>52.050000000000004</v>
      </c>
      <c r="F160" s="2656">
        <f t="shared" si="5"/>
        <v>517.03499999999894</v>
      </c>
      <c r="G160" s="841"/>
    </row>
    <row r="161" spans="1:9" ht="18" customHeight="1" x14ac:dyDescent="0.25">
      <c r="A161" s="2027">
        <v>45583</v>
      </c>
      <c r="B161" s="2654" t="s">
        <v>6901</v>
      </c>
      <c r="C161" s="1697" t="s">
        <v>7650</v>
      </c>
      <c r="D161" s="2676"/>
      <c r="E161" s="2157">
        <v>16.440000000000001</v>
      </c>
      <c r="F161" s="2656">
        <f t="shared" si="5"/>
        <v>500.59499999999895</v>
      </c>
      <c r="G161" s="841"/>
    </row>
    <row r="162" spans="1:9" ht="18" customHeight="1" x14ac:dyDescent="0.25">
      <c r="A162" s="2176">
        <v>45587</v>
      </c>
      <c r="B162" s="2670" t="s">
        <v>6997</v>
      </c>
      <c r="C162" s="1746" t="s">
        <v>1486</v>
      </c>
      <c r="D162" s="2673">
        <v>3021.51</v>
      </c>
      <c r="E162" s="2161"/>
      <c r="F162" s="2656">
        <f t="shared" si="5"/>
        <v>3522.1049999999991</v>
      </c>
      <c r="G162" s="841"/>
      <c r="H162" s="799"/>
      <c r="I162" s="799"/>
    </row>
    <row r="163" spans="1:9" ht="18" customHeight="1" x14ac:dyDescent="0.25">
      <c r="A163" s="2176">
        <v>45587</v>
      </c>
      <c r="B163" s="2670" t="s">
        <v>6998</v>
      </c>
      <c r="C163" s="1746" t="s">
        <v>1486</v>
      </c>
      <c r="D163" s="2673">
        <v>1976.85</v>
      </c>
      <c r="E163" s="2161"/>
      <c r="F163" s="2656">
        <f t="shared" si="5"/>
        <v>5498.954999999999</v>
      </c>
      <c r="G163" s="841"/>
    </row>
    <row r="164" spans="1:9" ht="18" customHeight="1" x14ac:dyDescent="0.25">
      <c r="A164" s="2410">
        <v>45587</v>
      </c>
      <c r="B164" s="2654" t="s">
        <v>7000</v>
      </c>
      <c r="C164" s="1697" t="s">
        <v>7654</v>
      </c>
      <c r="D164" s="2673"/>
      <c r="E164" s="2157">
        <v>1000</v>
      </c>
      <c r="F164" s="2656">
        <f t="shared" si="5"/>
        <v>4498.954999999999</v>
      </c>
      <c r="G164" s="841"/>
    </row>
    <row r="165" spans="1:9" ht="18" customHeight="1" x14ac:dyDescent="0.25">
      <c r="A165" s="2410">
        <v>45588</v>
      </c>
      <c r="B165" s="2654" t="s">
        <v>7680</v>
      </c>
      <c r="C165" s="1697" t="s">
        <v>1496</v>
      </c>
      <c r="D165" s="2674"/>
      <c r="E165" s="2161">
        <v>625</v>
      </c>
      <c r="F165" s="2656">
        <f t="shared" si="5"/>
        <v>3873.954999999999</v>
      </c>
      <c r="G165" s="841"/>
    </row>
    <row r="166" spans="1:9" ht="18" customHeight="1" x14ac:dyDescent="0.25">
      <c r="A166" s="2410">
        <v>45588</v>
      </c>
      <c r="B166" s="2654" t="s">
        <v>7013</v>
      </c>
      <c r="C166" s="1697" t="s">
        <v>1496</v>
      </c>
      <c r="D166" s="2674"/>
      <c r="E166" s="2161">
        <v>1788</v>
      </c>
      <c r="F166" s="2656">
        <f t="shared" si="5"/>
        <v>2085.954999999999</v>
      </c>
      <c r="G166" s="841"/>
    </row>
    <row r="167" spans="1:9" ht="18" customHeight="1" x14ac:dyDescent="0.25">
      <c r="A167" s="2176">
        <v>45603</v>
      </c>
      <c r="B167" s="2670" t="s">
        <v>6214</v>
      </c>
      <c r="C167" s="1746" t="s">
        <v>1486</v>
      </c>
      <c r="D167" s="2674">
        <v>700</v>
      </c>
      <c r="E167" s="2160"/>
      <c r="F167" s="2656">
        <f t="shared" si="5"/>
        <v>2785.954999999999</v>
      </c>
      <c r="G167" s="841"/>
    </row>
    <row r="168" spans="1:9" ht="18" customHeight="1" x14ac:dyDescent="0.25">
      <c r="A168" s="2027">
        <v>45604</v>
      </c>
      <c r="B168" s="2654" t="s">
        <v>6875</v>
      </c>
      <c r="C168" s="1697" t="s">
        <v>1496</v>
      </c>
      <c r="D168" s="2676"/>
      <c r="E168" s="2161">
        <v>37.31</v>
      </c>
      <c r="F168" s="2656">
        <f t="shared" si="5"/>
        <v>2748.6449999999991</v>
      </c>
      <c r="G168" s="841"/>
    </row>
    <row r="169" spans="1:9" ht="18" customHeight="1" x14ac:dyDescent="0.25">
      <c r="A169" s="2027">
        <v>45604</v>
      </c>
      <c r="B169" s="2654" t="s">
        <v>7050</v>
      </c>
      <c r="C169" s="1697" t="s">
        <v>1496</v>
      </c>
      <c r="D169" s="2676"/>
      <c r="E169" s="2161">
        <v>59.25</v>
      </c>
      <c r="F169" s="2656">
        <f t="shared" si="5"/>
        <v>2689.3949999999991</v>
      </c>
      <c r="G169" s="841"/>
    </row>
    <row r="170" spans="1:9" ht="18" customHeight="1" x14ac:dyDescent="0.25">
      <c r="A170" s="2027">
        <v>45604</v>
      </c>
      <c r="B170" s="611" t="s">
        <v>7053</v>
      </c>
      <c r="C170" s="1697" t="s">
        <v>1496</v>
      </c>
      <c r="D170" s="2673"/>
      <c r="E170" s="2161">
        <v>50</v>
      </c>
      <c r="F170" s="2656">
        <f t="shared" si="5"/>
        <v>2639.3949999999991</v>
      </c>
      <c r="G170" s="841"/>
    </row>
    <row r="171" spans="1:9" ht="18" customHeight="1" x14ac:dyDescent="0.25">
      <c r="A171" s="2027">
        <v>45607</v>
      </c>
      <c r="B171" s="2654" t="s">
        <v>7088</v>
      </c>
      <c r="C171" s="1697" t="s">
        <v>7650</v>
      </c>
      <c r="D171" s="2673"/>
      <c r="E171" s="2161">
        <v>85.98</v>
      </c>
      <c r="F171" s="2656">
        <f t="shared" si="5"/>
        <v>2553.4149999999991</v>
      </c>
      <c r="G171" s="841"/>
    </row>
    <row r="172" spans="1:9" ht="18" customHeight="1" x14ac:dyDescent="0.25">
      <c r="A172" s="2027">
        <v>45617</v>
      </c>
      <c r="B172" s="2671" t="s">
        <v>7086</v>
      </c>
      <c r="C172" s="1697" t="s">
        <v>1496</v>
      </c>
      <c r="D172" s="2674"/>
      <c r="E172" s="2161">
        <v>230</v>
      </c>
      <c r="F172" s="2656">
        <f t="shared" si="5"/>
        <v>2323.4149999999991</v>
      </c>
      <c r="G172" s="841"/>
    </row>
    <row r="173" spans="1:9" ht="18" customHeight="1" x14ac:dyDescent="0.25">
      <c r="A173" s="2027">
        <v>45617</v>
      </c>
      <c r="B173" s="2671" t="s">
        <v>6404</v>
      </c>
      <c r="C173" s="1697" t="s">
        <v>1496</v>
      </c>
      <c r="D173" s="2674"/>
      <c r="E173" s="2161">
        <v>203</v>
      </c>
      <c r="F173" s="2656">
        <f t="shared" si="5"/>
        <v>2120.4149999999991</v>
      </c>
      <c r="G173" s="841"/>
    </row>
    <row r="174" spans="1:9" ht="18" customHeight="1" x14ac:dyDescent="0.25">
      <c r="A174" s="2027">
        <v>45617</v>
      </c>
      <c r="B174" s="2651" t="s">
        <v>7080</v>
      </c>
      <c r="C174" s="1697" t="s">
        <v>1496</v>
      </c>
      <c r="D174" s="2674"/>
      <c r="E174" s="2161">
        <v>750</v>
      </c>
      <c r="F174" s="2656">
        <f t="shared" si="5"/>
        <v>1370.4149999999991</v>
      </c>
      <c r="G174" s="841"/>
    </row>
    <row r="175" spans="1:9" ht="18" customHeight="1" x14ac:dyDescent="0.25">
      <c r="A175" s="2027">
        <v>45617</v>
      </c>
      <c r="B175" s="2654" t="s">
        <v>6911</v>
      </c>
      <c r="C175" s="1697" t="s">
        <v>7651</v>
      </c>
      <c r="D175" s="2674"/>
      <c r="E175" s="2161">
        <v>479.16666666666669</v>
      </c>
      <c r="F175" s="2656">
        <f t="shared" si="5"/>
        <v>891.24833333333231</v>
      </c>
      <c r="G175" s="841"/>
    </row>
    <row r="176" spans="1:9" ht="18" customHeight="1" x14ac:dyDescent="0.25">
      <c r="A176" s="2027">
        <v>45617</v>
      </c>
      <c r="B176" s="2654" t="s">
        <v>6968</v>
      </c>
      <c r="C176" s="1697" t="s">
        <v>1496</v>
      </c>
      <c r="D176" s="2674"/>
      <c r="E176" s="2161">
        <v>443.14749999999998</v>
      </c>
      <c r="F176" s="2656">
        <f t="shared" si="5"/>
        <v>448.10083333333233</v>
      </c>
      <c r="G176" s="841"/>
    </row>
    <row r="177" spans="1:9" ht="18" customHeight="1" x14ac:dyDescent="0.25">
      <c r="A177" s="2027">
        <v>45617</v>
      </c>
      <c r="B177" s="2654" t="s">
        <v>6969</v>
      </c>
      <c r="C177" s="1697" t="s">
        <v>1496</v>
      </c>
      <c r="D177" s="2674"/>
      <c r="E177" s="2161">
        <v>658.125</v>
      </c>
      <c r="F177" s="2656">
        <f t="shared" si="5"/>
        <v>-210.02416666666767</v>
      </c>
      <c r="G177" s="841"/>
    </row>
    <row r="178" spans="1:9" ht="18" customHeight="1" x14ac:dyDescent="0.25">
      <c r="A178" s="2027">
        <v>45617</v>
      </c>
      <c r="B178" s="2654" t="s">
        <v>7047</v>
      </c>
      <c r="C178" s="1697" t="s">
        <v>1496</v>
      </c>
      <c r="D178" s="2674"/>
      <c r="E178" s="2161">
        <v>167.625</v>
      </c>
      <c r="F178" s="2656">
        <f t="shared" si="5"/>
        <v>-377.64916666666767</v>
      </c>
      <c r="G178" s="841"/>
    </row>
    <row r="179" spans="1:9" ht="18" customHeight="1" x14ac:dyDescent="0.25">
      <c r="A179" s="2027">
        <v>45618</v>
      </c>
      <c r="B179" s="611" t="s">
        <v>7101</v>
      </c>
      <c r="C179" s="1697" t="s">
        <v>7650</v>
      </c>
      <c r="D179" s="2675"/>
      <c r="E179" s="2161">
        <v>10.98</v>
      </c>
      <c r="F179" s="2656">
        <f t="shared" si="5"/>
        <v>-388.62916666666769</v>
      </c>
      <c r="G179" s="841"/>
    </row>
    <row r="180" spans="1:9" ht="18" customHeight="1" x14ac:dyDescent="0.25">
      <c r="A180" s="2176">
        <v>45618</v>
      </c>
      <c r="B180" s="2670" t="s">
        <v>7048</v>
      </c>
      <c r="C180" s="1746" t="s">
        <v>1486</v>
      </c>
      <c r="D180" s="2673">
        <v>3021.51</v>
      </c>
      <c r="E180" s="2161"/>
      <c r="F180" s="2656">
        <f t="shared" si="5"/>
        <v>2632.8808333333327</v>
      </c>
      <c r="G180" s="841"/>
      <c r="H180" s="799"/>
      <c r="I180" s="799"/>
    </row>
    <row r="181" spans="1:9" ht="18" customHeight="1" x14ac:dyDescent="0.25">
      <c r="A181" s="2176">
        <v>45618</v>
      </c>
      <c r="B181" s="2670" t="s">
        <v>7049</v>
      </c>
      <c r="C181" s="1746" t="s">
        <v>1486</v>
      </c>
      <c r="D181" s="2673">
        <v>1976.85</v>
      </c>
      <c r="E181" s="2161"/>
      <c r="F181" s="2656">
        <f t="shared" si="5"/>
        <v>4609.7308333333331</v>
      </c>
      <c r="G181" s="841"/>
    </row>
    <row r="182" spans="1:9" ht="18" customHeight="1" x14ac:dyDescent="0.25">
      <c r="A182" s="2176">
        <v>45629</v>
      </c>
      <c r="B182" s="2670" t="s">
        <v>7141</v>
      </c>
      <c r="C182" s="1746" t="s">
        <v>1486</v>
      </c>
      <c r="D182" s="2674">
        <v>1000</v>
      </c>
      <c r="E182" s="2160"/>
      <c r="F182" s="2656">
        <f t="shared" si="5"/>
        <v>5609.7308333333331</v>
      </c>
      <c r="G182" s="841"/>
    </row>
    <row r="183" spans="1:9" ht="18" customHeight="1" x14ac:dyDescent="0.25">
      <c r="A183" s="2176">
        <v>45632</v>
      </c>
      <c r="B183" s="2670" t="s">
        <v>7251</v>
      </c>
      <c r="C183" s="1746" t="s">
        <v>1486</v>
      </c>
      <c r="D183" s="2674">
        <v>600</v>
      </c>
      <c r="E183" s="2160"/>
      <c r="F183" s="2656">
        <f t="shared" si="5"/>
        <v>6209.7308333333331</v>
      </c>
      <c r="G183" s="841"/>
    </row>
    <row r="184" spans="1:9" ht="18" customHeight="1" x14ac:dyDescent="0.25">
      <c r="A184" s="2027">
        <v>45632</v>
      </c>
      <c r="B184" s="2654" t="s">
        <v>7156</v>
      </c>
      <c r="C184" s="1697" t="s">
        <v>1496</v>
      </c>
      <c r="D184" s="2674"/>
      <c r="E184" s="2161">
        <v>161</v>
      </c>
      <c r="F184" s="2656">
        <f t="shared" si="5"/>
        <v>6048.7308333333331</v>
      </c>
      <c r="G184" s="841"/>
    </row>
    <row r="185" spans="1:9" ht="18" customHeight="1" x14ac:dyDescent="0.25">
      <c r="A185" s="2027">
        <v>45632</v>
      </c>
      <c r="B185" s="2654" t="s">
        <v>7157</v>
      </c>
      <c r="C185" s="1697" t="s">
        <v>1496</v>
      </c>
      <c r="D185" s="2674"/>
      <c r="E185" s="2161">
        <v>230</v>
      </c>
      <c r="F185" s="2656">
        <f t="shared" si="5"/>
        <v>5818.7308333333331</v>
      </c>
      <c r="G185" s="841"/>
    </row>
    <row r="186" spans="1:9" ht="18" customHeight="1" x14ac:dyDescent="0.25">
      <c r="A186" s="2176">
        <v>45632</v>
      </c>
      <c r="B186" s="2670" t="s">
        <v>7161</v>
      </c>
      <c r="C186" s="1746" t="s">
        <v>1486</v>
      </c>
      <c r="D186" s="2674">
        <v>482</v>
      </c>
      <c r="E186" s="2160"/>
      <c r="F186" s="2656">
        <f t="shared" si="5"/>
        <v>6300.7308333333331</v>
      </c>
      <c r="G186" s="841"/>
    </row>
    <row r="187" spans="1:9" ht="18" customHeight="1" x14ac:dyDescent="0.25">
      <c r="A187" s="2027">
        <v>45634</v>
      </c>
      <c r="B187" s="2654" t="s">
        <v>7169</v>
      </c>
      <c r="C187" s="1697" t="s">
        <v>1496</v>
      </c>
      <c r="D187" s="2674"/>
      <c r="E187" s="2161">
        <v>45.4</v>
      </c>
      <c r="F187" s="2656">
        <f t="shared" si="5"/>
        <v>6255.3308333333334</v>
      </c>
      <c r="G187" s="841"/>
    </row>
    <row r="188" spans="1:9" ht="18" customHeight="1" x14ac:dyDescent="0.25">
      <c r="A188" s="2027">
        <v>45637</v>
      </c>
      <c r="B188" s="2654" t="s">
        <v>7171</v>
      </c>
      <c r="C188" s="1697" t="s">
        <v>1496</v>
      </c>
      <c r="D188" s="2674"/>
      <c r="E188" s="2161">
        <v>29.25</v>
      </c>
      <c r="F188" s="2656">
        <f t="shared" si="5"/>
        <v>6226.0808333333334</v>
      </c>
      <c r="G188" s="841"/>
    </row>
    <row r="189" spans="1:9" ht="18" customHeight="1" x14ac:dyDescent="0.25">
      <c r="A189" s="2027">
        <v>45638</v>
      </c>
      <c r="B189" s="2654" t="s">
        <v>7475</v>
      </c>
      <c r="C189" s="1697" t="s">
        <v>1496</v>
      </c>
      <c r="D189" s="2674"/>
      <c r="E189" s="2161">
        <v>50</v>
      </c>
      <c r="F189" s="2656">
        <f t="shared" si="5"/>
        <v>6176.0808333333334</v>
      </c>
      <c r="G189" s="841"/>
    </row>
    <row r="190" spans="1:9" ht="18" customHeight="1" x14ac:dyDescent="0.25">
      <c r="A190" s="2027">
        <v>45638</v>
      </c>
      <c r="B190" s="2672" t="s">
        <v>7180</v>
      </c>
      <c r="C190" s="1697" t="s">
        <v>1496</v>
      </c>
      <c r="D190" s="2678"/>
      <c r="E190" s="2566">
        <v>220</v>
      </c>
      <c r="F190" s="2656">
        <f t="shared" si="5"/>
        <v>5956.0808333333334</v>
      </c>
      <c r="G190" s="841"/>
    </row>
    <row r="191" spans="1:9" ht="18" customHeight="1" x14ac:dyDescent="0.25">
      <c r="A191" s="2027">
        <v>45643</v>
      </c>
      <c r="B191" s="2654" t="s">
        <v>7184</v>
      </c>
      <c r="C191" s="1697" t="s">
        <v>1496</v>
      </c>
      <c r="D191" s="2674"/>
      <c r="E191" s="2161">
        <v>205</v>
      </c>
      <c r="F191" s="2656">
        <f t="shared" si="5"/>
        <v>5751.0808333333334</v>
      </c>
      <c r="G191" s="841"/>
    </row>
    <row r="192" spans="1:9" ht="18" customHeight="1" x14ac:dyDescent="0.25">
      <c r="A192" s="2027">
        <v>45644</v>
      </c>
      <c r="B192" s="2654" t="s">
        <v>7189</v>
      </c>
      <c r="C192" s="1697" t="s">
        <v>1496</v>
      </c>
      <c r="D192" s="2674"/>
      <c r="E192" s="2161">
        <v>207</v>
      </c>
      <c r="F192" s="2656">
        <f t="shared" si="5"/>
        <v>5544.0808333333334</v>
      </c>
      <c r="G192" s="841"/>
    </row>
    <row r="193" spans="1:9" ht="18" customHeight="1" x14ac:dyDescent="0.25">
      <c r="A193" s="2027">
        <v>45646</v>
      </c>
      <c r="B193" s="2654" t="s">
        <v>6975</v>
      </c>
      <c r="C193" s="1697" t="s">
        <v>7651</v>
      </c>
      <c r="D193" s="2674"/>
      <c r="E193" s="2161">
        <v>479.16666666666669</v>
      </c>
      <c r="F193" s="2656">
        <f t="shared" si="5"/>
        <v>5064.9141666666665</v>
      </c>
      <c r="G193" s="841"/>
    </row>
    <row r="194" spans="1:9" ht="18" customHeight="1" x14ac:dyDescent="0.25">
      <c r="A194" s="2027">
        <v>45646</v>
      </c>
      <c r="B194" s="2654" t="s">
        <v>6977</v>
      </c>
      <c r="C194" s="1697" t="s">
        <v>1496</v>
      </c>
      <c r="D194" s="2674"/>
      <c r="E194" s="2161">
        <v>443.14749999999998</v>
      </c>
      <c r="F194" s="2656">
        <f t="shared" si="5"/>
        <v>4621.7666666666664</v>
      </c>
      <c r="G194" s="841"/>
    </row>
    <row r="195" spans="1:9" ht="18" customHeight="1" x14ac:dyDescent="0.25">
      <c r="A195" s="2176">
        <v>45646</v>
      </c>
      <c r="B195" s="2670" t="s">
        <v>7311</v>
      </c>
      <c r="C195" s="1746" t="s">
        <v>1486</v>
      </c>
      <c r="D195" s="2673">
        <v>3021.51</v>
      </c>
      <c r="E195" s="2161"/>
      <c r="F195" s="2656">
        <f t="shared" si="5"/>
        <v>7643.2766666666666</v>
      </c>
      <c r="G195" s="841"/>
      <c r="H195" s="799"/>
      <c r="I195" s="799"/>
    </row>
    <row r="196" spans="1:9" ht="18" customHeight="1" x14ac:dyDescent="0.25">
      <c r="A196" s="2176">
        <v>45646</v>
      </c>
      <c r="B196" s="2670" t="s">
        <v>7312</v>
      </c>
      <c r="C196" s="1746" t="s">
        <v>1486</v>
      </c>
      <c r="D196" s="2673">
        <v>1976.85</v>
      </c>
      <c r="E196" s="2161"/>
      <c r="F196" s="2656">
        <f t="shared" ref="F196:F259" si="6">F195+D196-E196</f>
        <v>9620.126666666667</v>
      </c>
      <c r="G196" s="841"/>
    </row>
    <row r="197" spans="1:9" ht="18" customHeight="1" x14ac:dyDescent="0.25">
      <c r="A197" s="2027">
        <v>45647</v>
      </c>
      <c r="B197" s="2654" t="s">
        <v>7202</v>
      </c>
      <c r="C197" s="1697" t="s">
        <v>1496</v>
      </c>
      <c r="D197" s="2674"/>
      <c r="E197" s="2161">
        <v>950</v>
      </c>
      <c r="F197" s="2656">
        <f t="shared" si="6"/>
        <v>8670.126666666667</v>
      </c>
      <c r="G197" s="841"/>
    </row>
    <row r="198" spans="1:9" ht="18" customHeight="1" x14ac:dyDescent="0.25">
      <c r="A198" s="2027">
        <v>45647</v>
      </c>
      <c r="B198" s="2654" t="s">
        <v>7226</v>
      </c>
      <c r="C198" s="1697" t="s">
        <v>7650</v>
      </c>
      <c r="D198" s="2674"/>
      <c r="E198" s="2161">
        <v>70</v>
      </c>
      <c r="F198" s="2656">
        <f t="shared" si="6"/>
        <v>8600.126666666667</v>
      </c>
      <c r="G198" s="841"/>
    </row>
    <row r="199" spans="1:9" ht="18" customHeight="1" x14ac:dyDescent="0.25">
      <c r="A199" s="2027">
        <v>45663</v>
      </c>
      <c r="B199" s="2654" t="s">
        <v>7236</v>
      </c>
      <c r="C199" s="1697" t="s">
        <v>1496</v>
      </c>
      <c r="D199" s="2674"/>
      <c r="E199" s="2161">
        <v>91.5</v>
      </c>
      <c r="F199" s="2656">
        <f t="shared" si="6"/>
        <v>8508.626666666667</v>
      </c>
      <c r="G199" s="841"/>
    </row>
    <row r="200" spans="1:9" ht="18" customHeight="1" x14ac:dyDescent="0.25">
      <c r="A200" s="2176">
        <v>45664</v>
      </c>
      <c r="B200" s="2670" t="s">
        <v>7251</v>
      </c>
      <c r="C200" s="1746" t="s">
        <v>1486</v>
      </c>
      <c r="D200" s="2674">
        <v>700</v>
      </c>
      <c r="E200" s="2160"/>
      <c r="F200" s="2656">
        <f t="shared" si="6"/>
        <v>9208.626666666667</v>
      </c>
      <c r="G200" s="841"/>
    </row>
    <row r="201" spans="1:9" ht="18" customHeight="1" x14ac:dyDescent="0.25">
      <c r="A201" s="2027">
        <v>45665</v>
      </c>
      <c r="B201" s="2654" t="s">
        <v>7265</v>
      </c>
      <c r="C201" s="1697" t="s">
        <v>1496</v>
      </c>
      <c r="D201" s="2674"/>
      <c r="E201" s="2161">
        <v>122.75</v>
      </c>
      <c r="F201" s="2656">
        <f t="shared" si="6"/>
        <v>9085.876666666667</v>
      </c>
      <c r="G201" s="841"/>
    </row>
    <row r="202" spans="1:9" ht="18" customHeight="1" x14ac:dyDescent="0.25">
      <c r="A202" s="2027">
        <v>45667</v>
      </c>
      <c r="B202" s="2654" t="s">
        <v>7269</v>
      </c>
      <c r="C202" s="1697" t="s">
        <v>1496</v>
      </c>
      <c r="D202" s="2674"/>
      <c r="E202" s="2161">
        <v>64.25</v>
      </c>
      <c r="F202" s="2656">
        <f t="shared" si="6"/>
        <v>9021.626666666667</v>
      </c>
      <c r="G202" s="841"/>
    </row>
    <row r="203" spans="1:9" ht="18" customHeight="1" x14ac:dyDescent="0.25">
      <c r="A203" s="2027">
        <v>45668</v>
      </c>
      <c r="B203" s="2654" t="s">
        <v>7273</v>
      </c>
      <c r="C203" s="1697" t="s">
        <v>1496</v>
      </c>
      <c r="D203" s="2674"/>
      <c r="E203" s="2161">
        <v>282.73</v>
      </c>
      <c r="F203" s="2656">
        <f t="shared" si="6"/>
        <v>8738.8966666666674</v>
      </c>
      <c r="G203" s="841"/>
    </row>
    <row r="204" spans="1:9" ht="18" customHeight="1" x14ac:dyDescent="0.25">
      <c r="A204" s="2027">
        <v>45670</v>
      </c>
      <c r="B204" s="2654" t="s">
        <v>7292</v>
      </c>
      <c r="C204" s="1697" t="s">
        <v>7650</v>
      </c>
      <c r="D204" s="2674"/>
      <c r="E204" s="2161">
        <v>873.15</v>
      </c>
      <c r="F204" s="2656">
        <f t="shared" si="6"/>
        <v>7865.7466666666678</v>
      </c>
      <c r="G204" s="841"/>
    </row>
    <row r="205" spans="1:9" ht="18" customHeight="1" x14ac:dyDescent="0.25">
      <c r="A205" s="2027">
        <v>45677</v>
      </c>
      <c r="B205" s="2654" t="s">
        <v>7308</v>
      </c>
      <c r="C205" s="1697" t="s">
        <v>7650</v>
      </c>
      <c r="D205" s="2674"/>
      <c r="E205" s="2161">
        <v>21.2</v>
      </c>
      <c r="F205" s="2656">
        <f t="shared" si="6"/>
        <v>7844.546666666668</v>
      </c>
      <c r="G205" s="841"/>
    </row>
    <row r="206" spans="1:9" ht="18" customHeight="1" x14ac:dyDescent="0.25">
      <c r="A206" s="2176">
        <v>45678</v>
      </c>
      <c r="B206" s="2670" t="s">
        <v>7313</v>
      </c>
      <c r="C206" s="1746" t="s">
        <v>1486</v>
      </c>
      <c r="D206" s="2673">
        <v>3021.51</v>
      </c>
      <c r="E206" s="2161"/>
      <c r="F206" s="2656">
        <f t="shared" si="6"/>
        <v>10866.056666666667</v>
      </c>
      <c r="G206" s="841"/>
      <c r="H206" s="799"/>
      <c r="I206" s="799"/>
    </row>
    <row r="207" spans="1:9" ht="18" customHeight="1" x14ac:dyDescent="0.25">
      <c r="A207" s="2176">
        <v>45678</v>
      </c>
      <c r="B207" s="2670" t="s">
        <v>7314</v>
      </c>
      <c r="C207" s="1746" t="s">
        <v>1486</v>
      </c>
      <c r="D207" s="2673">
        <v>1976.85</v>
      </c>
      <c r="E207" s="2161"/>
      <c r="F207" s="2656">
        <f t="shared" si="6"/>
        <v>12842.906666666668</v>
      </c>
      <c r="G207" s="841"/>
    </row>
    <row r="208" spans="1:9" ht="18" customHeight="1" x14ac:dyDescent="0.25">
      <c r="A208" s="2027">
        <v>45678</v>
      </c>
      <c r="B208" s="2654" t="s">
        <v>7316</v>
      </c>
      <c r="C208" s="1697" t="s">
        <v>1496</v>
      </c>
      <c r="D208" s="2674"/>
      <c r="E208" s="2161">
        <v>89.97</v>
      </c>
      <c r="F208" s="2656">
        <f t="shared" si="6"/>
        <v>12752.936666666668</v>
      </c>
      <c r="G208" s="841"/>
    </row>
    <row r="209" spans="1:9" ht="18" customHeight="1" x14ac:dyDescent="0.25">
      <c r="A209" s="2027">
        <v>45680</v>
      </c>
      <c r="B209" s="2654" t="s">
        <v>7322</v>
      </c>
      <c r="C209" s="1697" t="s">
        <v>7650</v>
      </c>
      <c r="D209" s="2674"/>
      <c r="E209" s="2161">
        <v>110</v>
      </c>
      <c r="F209" s="2656">
        <f t="shared" si="6"/>
        <v>12642.936666666668</v>
      </c>
      <c r="G209" s="841"/>
    </row>
    <row r="210" spans="1:9" ht="18" customHeight="1" x14ac:dyDescent="0.25">
      <c r="A210" s="2027">
        <v>45680</v>
      </c>
      <c r="B210" s="2654" t="s">
        <v>7328</v>
      </c>
      <c r="C210" s="1697" t="s">
        <v>7650</v>
      </c>
      <c r="D210" s="2674"/>
      <c r="E210" s="2161">
        <v>150</v>
      </c>
      <c r="F210" s="2656">
        <f t="shared" si="6"/>
        <v>12492.936666666668</v>
      </c>
      <c r="G210" s="841"/>
    </row>
    <row r="211" spans="1:9" ht="18" customHeight="1" x14ac:dyDescent="0.25">
      <c r="A211" s="2027">
        <v>45680</v>
      </c>
      <c r="B211" s="2654" t="s">
        <v>7681</v>
      </c>
      <c r="C211" s="1697" t="s">
        <v>7650</v>
      </c>
      <c r="D211" s="2674"/>
      <c r="E211" s="2161">
        <v>500</v>
      </c>
      <c r="F211" s="2656">
        <f t="shared" si="6"/>
        <v>11992.936666666668</v>
      </c>
      <c r="G211" s="841"/>
    </row>
    <row r="212" spans="1:9" ht="18" customHeight="1" x14ac:dyDescent="0.25">
      <c r="A212" s="2027">
        <v>45684</v>
      </c>
      <c r="B212" s="2654" t="s">
        <v>7338</v>
      </c>
      <c r="C212" s="1697" t="s">
        <v>1496</v>
      </c>
      <c r="D212" s="2674"/>
      <c r="E212" s="2161">
        <v>87.26</v>
      </c>
      <c r="F212" s="2656">
        <f t="shared" si="6"/>
        <v>11905.676666666668</v>
      </c>
      <c r="G212" s="841"/>
    </row>
    <row r="213" spans="1:9" ht="18" customHeight="1" x14ac:dyDescent="0.25">
      <c r="A213" s="2027">
        <v>45684</v>
      </c>
      <c r="B213" s="2654" t="s">
        <v>7339</v>
      </c>
      <c r="C213" s="1697" t="s">
        <v>7650</v>
      </c>
      <c r="D213" s="2674"/>
      <c r="E213" s="2161">
        <v>46.31</v>
      </c>
      <c r="F213" s="2656">
        <f t="shared" si="6"/>
        <v>11859.366666666669</v>
      </c>
      <c r="G213" s="841"/>
    </row>
    <row r="214" spans="1:9" ht="18" customHeight="1" x14ac:dyDescent="0.25">
      <c r="A214" s="2027">
        <v>45684</v>
      </c>
      <c r="B214" s="2654" t="s">
        <v>7340</v>
      </c>
      <c r="C214" s="1697" t="s">
        <v>1496</v>
      </c>
      <c r="D214" s="2674"/>
      <c r="E214" s="2161">
        <v>66.5</v>
      </c>
      <c r="F214" s="2656">
        <f t="shared" si="6"/>
        <v>11792.866666666669</v>
      </c>
      <c r="G214" s="841"/>
    </row>
    <row r="215" spans="1:9" ht="18" customHeight="1" x14ac:dyDescent="0.25">
      <c r="A215" s="2027">
        <v>45688</v>
      </c>
      <c r="B215" s="2654" t="s">
        <v>7683</v>
      </c>
      <c r="C215" s="1697" t="s">
        <v>7650</v>
      </c>
      <c r="D215" s="2674"/>
      <c r="E215" s="2161">
        <v>500</v>
      </c>
      <c r="F215" s="2656">
        <f t="shared" si="6"/>
        <v>11292.866666666669</v>
      </c>
      <c r="G215" s="841"/>
    </row>
    <row r="216" spans="1:9" ht="18" customHeight="1" x14ac:dyDescent="0.25">
      <c r="A216" s="2176">
        <v>45688</v>
      </c>
      <c r="B216" s="2202" t="s">
        <v>6989</v>
      </c>
      <c r="C216" s="1746" t="s">
        <v>1486</v>
      </c>
      <c r="D216" s="2673">
        <v>9</v>
      </c>
      <c r="E216" s="2161"/>
      <c r="F216" s="2656">
        <f t="shared" si="6"/>
        <v>11301.866666666669</v>
      </c>
      <c r="G216" s="841"/>
      <c r="I216" s="1"/>
    </row>
    <row r="217" spans="1:9" ht="18" customHeight="1" x14ac:dyDescent="0.25">
      <c r="A217" s="2027">
        <v>45690</v>
      </c>
      <c r="B217" s="2654" t="s">
        <v>7364</v>
      </c>
      <c r="C217" s="1697" t="s">
        <v>1496</v>
      </c>
      <c r="D217" s="2674"/>
      <c r="E217" s="2161">
        <v>30</v>
      </c>
      <c r="F217" s="2656">
        <f t="shared" si="6"/>
        <v>11271.866666666669</v>
      </c>
      <c r="G217" s="841"/>
    </row>
    <row r="218" spans="1:9" ht="18" customHeight="1" x14ac:dyDescent="0.25">
      <c r="A218" s="2027">
        <v>45690</v>
      </c>
      <c r="B218" s="2654" t="s">
        <v>7366</v>
      </c>
      <c r="C218" s="1697" t="s">
        <v>1496</v>
      </c>
      <c r="D218" s="2674"/>
      <c r="E218" s="2161">
        <v>97</v>
      </c>
      <c r="F218" s="2656">
        <f t="shared" si="6"/>
        <v>11174.866666666669</v>
      </c>
      <c r="G218" s="841"/>
    </row>
    <row r="219" spans="1:9" ht="18" customHeight="1" x14ac:dyDescent="0.25">
      <c r="A219" s="2027">
        <v>45691</v>
      </c>
      <c r="B219" s="2654" t="s">
        <v>7682</v>
      </c>
      <c r="C219" s="1697" t="s">
        <v>1496</v>
      </c>
      <c r="D219" s="2674"/>
      <c r="E219" s="2161">
        <v>250</v>
      </c>
      <c r="F219" s="2656">
        <f t="shared" si="6"/>
        <v>10924.866666666669</v>
      </c>
      <c r="G219" s="841"/>
    </row>
    <row r="220" spans="1:9" ht="18" customHeight="1" x14ac:dyDescent="0.25">
      <c r="A220" s="2027">
        <v>45691</v>
      </c>
      <c r="B220" s="2654" t="s">
        <v>7370</v>
      </c>
      <c r="C220" s="1697" t="s">
        <v>7650</v>
      </c>
      <c r="D220" s="2674"/>
      <c r="E220" s="2161">
        <v>50</v>
      </c>
      <c r="F220" s="2656">
        <f t="shared" si="6"/>
        <v>10874.866666666669</v>
      </c>
      <c r="G220" s="841"/>
    </row>
    <row r="221" spans="1:9" ht="18" customHeight="1" x14ac:dyDescent="0.25">
      <c r="A221" s="2027">
        <v>45691</v>
      </c>
      <c r="B221" s="2654" t="s">
        <v>7374</v>
      </c>
      <c r="C221" s="1697" t="s">
        <v>7650</v>
      </c>
      <c r="D221" s="2674"/>
      <c r="E221" s="2161">
        <v>61</v>
      </c>
      <c r="F221" s="2656">
        <f t="shared" si="6"/>
        <v>10813.866666666669</v>
      </c>
      <c r="G221" s="841"/>
    </row>
    <row r="222" spans="1:9" ht="18" customHeight="1" x14ac:dyDescent="0.25">
      <c r="A222" s="2027">
        <v>45706</v>
      </c>
      <c r="B222" s="2654" t="s">
        <v>7576</v>
      </c>
      <c r="C222" s="1697" t="s">
        <v>7650</v>
      </c>
      <c r="D222" s="2674"/>
      <c r="E222" s="2161">
        <v>95</v>
      </c>
      <c r="F222" s="2656">
        <f t="shared" si="6"/>
        <v>10718.866666666669</v>
      </c>
      <c r="G222" s="841"/>
    </row>
    <row r="223" spans="1:9" ht="18" customHeight="1" x14ac:dyDescent="0.25">
      <c r="A223" s="2027">
        <v>45706</v>
      </c>
      <c r="B223" s="2654" t="s">
        <v>7425</v>
      </c>
      <c r="C223" s="1697" t="s">
        <v>7649</v>
      </c>
      <c r="D223" s="2674"/>
      <c r="E223" s="2161">
        <v>100</v>
      </c>
      <c r="F223" s="2656">
        <f t="shared" si="6"/>
        <v>10618.866666666669</v>
      </c>
      <c r="G223" s="841"/>
    </row>
    <row r="224" spans="1:9" ht="18" customHeight="1" x14ac:dyDescent="0.25">
      <c r="A224" s="2176">
        <v>45707</v>
      </c>
      <c r="B224" s="2670" t="s">
        <v>6214</v>
      </c>
      <c r="C224" s="1746" t="s">
        <v>1486</v>
      </c>
      <c r="D224" s="2674">
        <v>700</v>
      </c>
      <c r="E224" s="2161"/>
      <c r="F224" s="2656">
        <f t="shared" si="6"/>
        <v>11318.866666666669</v>
      </c>
      <c r="G224" s="841"/>
    </row>
    <row r="225" spans="1:9" ht="18" customHeight="1" x14ac:dyDescent="0.25">
      <c r="A225" s="2027">
        <v>45707</v>
      </c>
      <c r="B225" s="2654" t="s">
        <v>7437</v>
      </c>
      <c r="C225" s="1697" t="s">
        <v>7650</v>
      </c>
      <c r="D225" s="2674"/>
      <c r="E225" s="2161">
        <v>150</v>
      </c>
      <c r="F225" s="2656">
        <f t="shared" si="6"/>
        <v>11168.866666666669</v>
      </c>
      <c r="G225" s="841"/>
    </row>
    <row r="226" spans="1:9" ht="18" customHeight="1" x14ac:dyDescent="0.25">
      <c r="A226" s="2027">
        <v>45708</v>
      </c>
      <c r="B226" s="2654" t="s">
        <v>7456</v>
      </c>
      <c r="C226" s="1697" t="s">
        <v>7649</v>
      </c>
      <c r="D226" s="2674"/>
      <c r="E226" s="2161">
        <v>840</v>
      </c>
      <c r="F226" s="2656">
        <f t="shared" si="6"/>
        <v>10328.866666666669</v>
      </c>
      <c r="G226" s="841"/>
    </row>
    <row r="227" spans="1:9" ht="18" customHeight="1" x14ac:dyDescent="0.25">
      <c r="A227" s="2176">
        <v>45709</v>
      </c>
      <c r="B227" s="2670" t="s">
        <v>7457</v>
      </c>
      <c r="C227" s="1746" t="s">
        <v>1486</v>
      </c>
      <c r="D227" s="2673">
        <v>3021.51</v>
      </c>
      <c r="E227" s="2161"/>
      <c r="F227" s="2656">
        <f t="shared" si="6"/>
        <v>13350.376666666669</v>
      </c>
      <c r="G227" s="841"/>
      <c r="H227" s="799"/>
      <c r="I227" s="799"/>
    </row>
    <row r="228" spans="1:9" ht="18" customHeight="1" x14ac:dyDescent="0.25">
      <c r="A228" s="2176">
        <v>45709</v>
      </c>
      <c r="B228" s="2670" t="s">
        <v>7458</v>
      </c>
      <c r="C228" s="1746" t="s">
        <v>1486</v>
      </c>
      <c r="D228" s="2673">
        <v>1976.85</v>
      </c>
      <c r="E228" s="2161"/>
      <c r="F228" s="2656">
        <f t="shared" si="6"/>
        <v>15327.226666666669</v>
      </c>
      <c r="G228" s="841"/>
    </row>
    <row r="229" spans="1:9" ht="18" customHeight="1" x14ac:dyDescent="0.25">
      <c r="A229" s="2176">
        <v>45716</v>
      </c>
      <c r="B229" s="2202" t="s">
        <v>6989</v>
      </c>
      <c r="C229" s="1746" t="s">
        <v>1486</v>
      </c>
      <c r="D229" s="2673">
        <v>99</v>
      </c>
      <c r="E229" s="2161"/>
      <c r="F229" s="2656">
        <f t="shared" si="6"/>
        <v>15426.226666666669</v>
      </c>
      <c r="G229" s="841"/>
      <c r="I229" s="1"/>
    </row>
    <row r="230" spans="1:9" ht="18" customHeight="1" x14ac:dyDescent="0.25">
      <c r="A230" s="2027">
        <v>45721</v>
      </c>
      <c r="B230" s="2654" t="s">
        <v>7471</v>
      </c>
      <c r="C230" s="1697" t="s">
        <v>7649</v>
      </c>
      <c r="D230" s="2674"/>
      <c r="E230" s="2161">
        <v>370</v>
      </c>
      <c r="F230" s="2656">
        <f t="shared" si="6"/>
        <v>15056.226666666669</v>
      </c>
      <c r="G230" s="841"/>
    </row>
    <row r="231" spans="1:9" ht="18" customHeight="1" x14ac:dyDescent="0.25">
      <c r="A231" s="2027">
        <v>45721</v>
      </c>
      <c r="B231" s="2654" t="s">
        <v>7476</v>
      </c>
      <c r="C231" s="1697" t="s">
        <v>7650</v>
      </c>
      <c r="D231" s="2674"/>
      <c r="E231" s="2161">
        <v>408</v>
      </c>
      <c r="F231" s="2656">
        <f t="shared" si="6"/>
        <v>14648.226666666669</v>
      </c>
      <c r="G231" s="841"/>
    </row>
    <row r="232" spans="1:9" ht="18" customHeight="1" x14ac:dyDescent="0.25">
      <c r="A232" s="2027">
        <v>45721</v>
      </c>
      <c r="B232" s="2654" t="s">
        <v>7475</v>
      </c>
      <c r="C232" s="1697" t="s">
        <v>7650</v>
      </c>
      <c r="D232" s="2674"/>
      <c r="E232" s="2161">
        <v>50</v>
      </c>
      <c r="F232" s="2656">
        <f t="shared" si="6"/>
        <v>14598.226666666669</v>
      </c>
      <c r="G232" s="841"/>
    </row>
    <row r="233" spans="1:9" ht="18" customHeight="1" x14ac:dyDescent="0.25">
      <c r="A233" s="2027">
        <v>45721</v>
      </c>
      <c r="B233" s="2654" t="s">
        <v>7486</v>
      </c>
      <c r="C233" s="1697" t="s">
        <v>7650</v>
      </c>
      <c r="D233" s="2674"/>
      <c r="E233" s="2161">
        <v>47.9</v>
      </c>
      <c r="F233" s="2656">
        <f t="shared" si="6"/>
        <v>14550.32666666667</v>
      </c>
      <c r="G233" s="841"/>
    </row>
    <row r="234" spans="1:9" ht="18" customHeight="1" x14ac:dyDescent="0.25">
      <c r="A234" s="2176">
        <v>45722</v>
      </c>
      <c r="B234" s="2670" t="s">
        <v>6214</v>
      </c>
      <c r="C234" s="1746" t="s">
        <v>1486</v>
      </c>
      <c r="D234" s="2674">
        <v>700</v>
      </c>
      <c r="E234" s="2161"/>
      <c r="F234" s="2656">
        <f t="shared" si="6"/>
        <v>15250.32666666667</v>
      </c>
      <c r="G234" s="841"/>
    </row>
    <row r="235" spans="1:9" ht="18" customHeight="1" x14ac:dyDescent="0.25">
      <c r="A235" s="2027">
        <v>45722</v>
      </c>
      <c r="B235" s="2654" t="s">
        <v>7489</v>
      </c>
      <c r="C235" s="1697" t="s">
        <v>7650</v>
      </c>
      <c r="D235" s="2674"/>
      <c r="E235" s="2161">
        <v>250</v>
      </c>
      <c r="F235" s="2656">
        <f t="shared" si="6"/>
        <v>15000.32666666667</v>
      </c>
      <c r="G235" s="841"/>
    </row>
    <row r="236" spans="1:9" ht="18" customHeight="1" x14ac:dyDescent="0.25">
      <c r="A236" s="2027">
        <v>45723</v>
      </c>
      <c r="B236" s="2654" t="s">
        <v>7501</v>
      </c>
      <c r="C236" s="1697" t="s">
        <v>7650</v>
      </c>
      <c r="D236" s="2674"/>
      <c r="E236" s="2161">
        <v>38</v>
      </c>
      <c r="F236" s="2656">
        <f t="shared" si="6"/>
        <v>14962.32666666667</v>
      </c>
      <c r="G236" s="841"/>
    </row>
    <row r="237" spans="1:9" ht="18" customHeight="1" x14ac:dyDescent="0.25">
      <c r="A237" s="2027">
        <v>45723</v>
      </c>
      <c r="B237" s="2654" t="s">
        <v>7504</v>
      </c>
      <c r="C237" s="1697" t="s">
        <v>7650</v>
      </c>
      <c r="D237" s="2674"/>
      <c r="E237" s="2161">
        <v>667</v>
      </c>
      <c r="F237" s="2656">
        <f t="shared" si="6"/>
        <v>14295.32666666667</v>
      </c>
      <c r="G237" s="841"/>
    </row>
    <row r="238" spans="1:9" ht="18" customHeight="1" x14ac:dyDescent="0.25">
      <c r="A238" s="2027">
        <v>45724</v>
      </c>
      <c r="B238" s="2654" t="s">
        <v>7684</v>
      </c>
      <c r="C238" s="1697" t="s">
        <v>7650</v>
      </c>
      <c r="D238" s="2674"/>
      <c r="E238" s="2161">
        <v>560</v>
      </c>
      <c r="F238" s="2656">
        <f t="shared" si="6"/>
        <v>13735.32666666667</v>
      </c>
      <c r="G238" s="841"/>
    </row>
    <row r="239" spans="1:9" ht="18" customHeight="1" x14ac:dyDescent="0.25">
      <c r="A239" s="2027">
        <v>45724</v>
      </c>
      <c r="B239" s="2654" t="s">
        <v>7475</v>
      </c>
      <c r="C239" s="1697" t="s">
        <v>7650</v>
      </c>
      <c r="D239" s="2674"/>
      <c r="E239" s="2161">
        <v>40</v>
      </c>
      <c r="F239" s="2656">
        <f t="shared" si="6"/>
        <v>13695.32666666667</v>
      </c>
      <c r="G239" s="841"/>
    </row>
    <row r="240" spans="1:9" ht="18" customHeight="1" x14ac:dyDescent="0.25">
      <c r="A240" s="2027">
        <v>45726</v>
      </c>
      <c r="B240" s="2654" t="s">
        <v>7655</v>
      </c>
      <c r="C240" s="1697" t="s">
        <v>7650</v>
      </c>
      <c r="D240" s="2674"/>
      <c r="E240" s="2161">
        <v>1000</v>
      </c>
      <c r="F240" s="2656">
        <f t="shared" si="6"/>
        <v>12695.32666666667</v>
      </c>
      <c r="G240" s="841"/>
    </row>
    <row r="241" spans="1:9" ht="18" customHeight="1" x14ac:dyDescent="0.25">
      <c r="A241" s="2027">
        <v>45726</v>
      </c>
      <c r="B241" s="2654" t="s">
        <v>7516</v>
      </c>
      <c r="C241" s="1697" t="s">
        <v>7650</v>
      </c>
      <c r="D241" s="2674"/>
      <c r="E241" s="2161">
        <v>48.5</v>
      </c>
      <c r="F241" s="2656">
        <f t="shared" si="6"/>
        <v>12646.82666666667</v>
      </c>
      <c r="G241" s="841"/>
    </row>
    <row r="242" spans="1:9" ht="18" customHeight="1" x14ac:dyDescent="0.25">
      <c r="A242" s="2027">
        <v>45727</v>
      </c>
      <c r="B242" s="2654" t="s">
        <v>7520</v>
      </c>
      <c r="C242" s="1697" t="s">
        <v>7650</v>
      </c>
      <c r="D242" s="2674"/>
      <c r="E242" s="2161">
        <v>415</v>
      </c>
      <c r="F242" s="2656">
        <f t="shared" si="6"/>
        <v>12231.82666666667</v>
      </c>
      <c r="G242" s="841"/>
    </row>
    <row r="243" spans="1:9" ht="18" customHeight="1" x14ac:dyDescent="0.25">
      <c r="A243" s="2027">
        <v>45729</v>
      </c>
      <c r="B243" s="2654" t="s">
        <v>7685</v>
      </c>
      <c r="C243" s="1697" t="s">
        <v>7650</v>
      </c>
      <c r="D243" s="2674"/>
      <c r="E243" s="2161">
        <v>100</v>
      </c>
      <c r="F243" s="2656">
        <f t="shared" si="6"/>
        <v>12131.82666666667</v>
      </c>
      <c r="G243" s="841"/>
    </row>
    <row r="244" spans="1:9" ht="18" customHeight="1" x14ac:dyDescent="0.25">
      <c r="A244" s="2027">
        <v>45729</v>
      </c>
      <c r="B244" s="2654" t="s">
        <v>7523</v>
      </c>
      <c r="C244" s="1697" t="s">
        <v>7650</v>
      </c>
      <c r="D244" s="2674"/>
      <c r="E244" s="2161">
        <v>100</v>
      </c>
      <c r="F244" s="2656">
        <f t="shared" si="6"/>
        <v>12031.82666666667</v>
      </c>
      <c r="G244" s="841"/>
    </row>
    <row r="245" spans="1:9" ht="18" customHeight="1" x14ac:dyDescent="0.25">
      <c r="A245" s="2027">
        <v>45730</v>
      </c>
      <c r="B245" s="2654" t="s">
        <v>7526</v>
      </c>
      <c r="C245" s="1697" t="s">
        <v>7650</v>
      </c>
      <c r="D245" s="2674"/>
      <c r="E245" s="2161">
        <v>537.5</v>
      </c>
      <c r="F245" s="2656">
        <f t="shared" si="6"/>
        <v>11494.32666666667</v>
      </c>
      <c r="G245" s="841"/>
    </row>
    <row r="246" spans="1:9" ht="18" customHeight="1" x14ac:dyDescent="0.25">
      <c r="A246" s="2027">
        <v>45733</v>
      </c>
      <c r="B246" s="2654" t="s">
        <v>7686</v>
      </c>
      <c r="C246" s="1697" t="s">
        <v>7650</v>
      </c>
      <c r="D246" s="2674"/>
      <c r="E246" s="2161">
        <v>1000</v>
      </c>
      <c r="F246" s="2656">
        <f t="shared" si="6"/>
        <v>10494.32666666667</v>
      </c>
      <c r="G246" s="841"/>
    </row>
    <row r="247" spans="1:9" ht="18" customHeight="1" x14ac:dyDescent="0.25">
      <c r="A247" s="2027">
        <v>45734</v>
      </c>
      <c r="B247" s="611" t="s">
        <v>7475</v>
      </c>
      <c r="C247" s="1697" t="s">
        <v>7650</v>
      </c>
      <c r="D247" s="2674"/>
      <c r="E247" s="2161">
        <v>50</v>
      </c>
      <c r="F247" s="2656">
        <f t="shared" si="6"/>
        <v>10444.32666666667</v>
      </c>
      <c r="G247" s="841"/>
    </row>
    <row r="248" spans="1:9" ht="18" customHeight="1" x14ac:dyDescent="0.25">
      <c r="A248" s="2027">
        <v>45736</v>
      </c>
      <c r="B248" s="2654" t="s">
        <v>7484</v>
      </c>
      <c r="C248" s="1697" t="s">
        <v>7649</v>
      </c>
      <c r="D248" s="2674"/>
      <c r="E248" s="2161">
        <v>474.9</v>
      </c>
      <c r="F248" s="2656">
        <f t="shared" si="6"/>
        <v>9969.4266666666699</v>
      </c>
      <c r="G248" s="841"/>
    </row>
    <row r="249" spans="1:9" ht="18" customHeight="1" x14ac:dyDescent="0.25">
      <c r="A249" s="2027">
        <v>45736</v>
      </c>
      <c r="B249" s="2654" t="s">
        <v>7485</v>
      </c>
      <c r="C249" s="1697" t="s">
        <v>7649</v>
      </c>
      <c r="D249" s="2674"/>
      <c r="E249" s="2161">
        <v>54.8</v>
      </c>
      <c r="F249" s="2656">
        <f t="shared" si="6"/>
        <v>9914.6266666666706</v>
      </c>
      <c r="G249" s="841"/>
    </row>
    <row r="250" spans="1:9" ht="18" customHeight="1" x14ac:dyDescent="0.25">
      <c r="A250" s="2027">
        <v>45736</v>
      </c>
      <c r="B250" s="2654" t="s">
        <v>7482</v>
      </c>
      <c r="C250" s="1697" t="s">
        <v>7649</v>
      </c>
      <c r="D250" s="2674"/>
      <c r="E250" s="2161">
        <v>474.9</v>
      </c>
      <c r="F250" s="2656">
        <f t="shared" si="6"/>
        <v>9439.726666666671</v>
      </c>
      <c r="G250" s="841"/>
    </row>
    <row r="251" spans="1:9" ht="18" customHeight="1" x14ac:dyDescent="0.25">
      <c r="A251" s="2027">
        <v>45736</v>
      </c>
      <c r="B251" s="2654" t="s">
        <v>7483</v>
      </c>
      <c r="C251" s="1697" t="s">
        <v>7649</v>
      </c>
      <c r="D251" s="2674"/>
      <c r="E251" s="2161">
        <v>54.8</v>
      </c>
      <c r="F251" s="2656">
        <f t="shared" si="6"/>
        <v>9384.9266666666717</v>
      </c>
      <c r="G251" s="841"/>
    </row>
    <row r="252" spans="1:9" ht="18" customHeight="1" x14ac:dyDescent="0.25">
      <c r="A252" s="2027">
        <v>45736</v>
      </c>
      <c r="B252" s="2654" t="s">
        <v>7505</v>
      </c>
      <c r="C252" s="1697" t="s">
        <v>7650</v>
      </c>
      <c r="D252" s="2674"/>
      <c r="E252" s="2161">
        <v>149.76</v>
      </c>
      <c r="F252" s="2656">
        <f t="shared" si="6"/>
        <v>9235.1666666666715</v>
      </c>
      <c r="G252" s="841"/>
    </row>
    <row r="253" spans="1:9" ht="18" customHeight="1" x14ac:dyDescent="0.25">
      <c r="A253" s="2027">
        <v>45736</v>
      </c>
      <c r="B253" s="2654" t="s">
        <v>7526</v>
      </c>
      <c r="C253" s="1697" t="s">
        <v>7650</v>
      </c>
      <c r="D253" s="2674"/>
      <c r="E253" s="2161">
        <v>427</v>
      </c>
      <c r="F253" s="2656">
        <f t="shared" si="6"/>
        <v>8808.1666666666715</v>
      </c>
      <c r="G253" s="841"/>
    </row>
    <row r="254" spans="1:9" ht="18" customHeight="1" x14ac:dyDescent="0.25">
      <c r="A254" s="2176">
        <v>45736</v>
      </c>
      <c r="B254" s="2670" t="s">
        <v>6697</v>
      </c>
      <c r="C254" s="1746" t="s">
        <v>1486</v>
      </c>
      <c r="D254" s="2674">
        <v>1000</v>
      </c>
      <c r="E254" s="2161"/>
      <c r="F254" s="2656">
        <f t="shared" si="6"/>
        <v>9808.1666666666715</v>
      </c>
      <c r="G254" s="841"/>
    </row>
    <row r="255" spans="1:9" ht="18" customHeight="1" x14ac:dyDescent="0.25">
      <c r="A255" s="2176">
        <v>45737</v>
      </c>
      <c r="B255" s="2670" t="s">
        <v>7540</v>
      </c>
      <c r="C255" s="1746" t="s">
        <v>1486</v>
      </c>
      <c r="D255" s="2673">
        <v>3021.51</v>
      </c>
      <c r="E255" s="2161"/>
      <c r="F255" s="2656">
        <f t="shared" si="6"/>
        <v>12829.676666666672</v>
      </c>
      <c r="G255" s="841"/>
      <c r="I255" s="799"/>
    </row>
    <row r="256" spans="1:9" ht="18" customHeight="1" x14ac:dyDescent="0.25">
      <c r="A256" s="2176">
        <v>45737</v>
      </c>
      <c r="B256" s="2670" t="s">
        <v>7541</v>
      </c>
      <c r="C256" s="1746" t="s">
        <v>1486</v>
      </c>
      <c r="D256" s="2673">
        <v>1976.85</v>
      </c>
      <c r="E256" s="2161"/>
      <c r="F256" s="2656">
        <f t="shared" si="6"/>
        <v>14806.526666666672</v>
      </c>
      <c r="G256" s="841"/>
    </row>
    <row r="257" spans="1:7" ht="18" customHeight="1" x14ac:dyDescent="0.25">
      <c r="A257" s="2027">
        <v>45740</v>
      </c>
      <c r="B257" s="2654" t="s">
        <v>7687</v>
      </c>
      <c r="C257" s="1697" t="s">
        <v>7650</v>
      </c>
      <c r="D257" s="2674"/>
      <c r="E257" s="2161">
        <v>2000</v>
      </c>
      <c r="F257" s="2656">
        <f t="shared" si="6"/>
        <v>12806.526666666672</v>
      </c>
      <c r="G257" s="841"/>
    </row>
    <row r="258" spans="1:7" ht="18" customHeight="1" x14ac:dyDescent="0.25">
      <c r="A258" s="2638">
        <v>45741</v>
      </c>
      <c r="B258" s="2654" t="s">
        <v>7583</v>
      </c>
      <c r="C258" s="1697" t="s">
        <v>7650</v>
      </c>
      <c r="D258" s="2675"/>
      <c r="E258" s="2161">
        <v>28.9</v>
      </c>
      <c r="F258" s="2656">
        <f t="shared" si="6"/>
        <v>12777.626666666672</v>
      </c>
      <c r="G258" s="841"/>
    </row>
    <row r="259" spans="1:7" ht="18" customHeight="1" x14ac:dyDescent="0.25">
      <c r="A259" s="2638">
        <v>45741</v>
      </c>
      <c r="B259" s="2654" t="s">
        <v>7611</v>
      </c>
      <c r="C259" s="1697" t="s">
        <v>7650</v>
      </c>
      <c r="D259" s="2675"/>
      <c r="E259" s="2161">
        <v>23.2</v>
      </c>
      <c r="F259" s="2656">
        <f t="shared" si="6"/>
        <v>12754.426666666672</v>
      </c>
      <c r="G259" s="841"/>
    </row>
    <row r="260" spans="1:7" ht="18" customHeight="1" x14ac:dyDescent="0.25">
      <c r="A260" s="2027">
        <v>45743</v>
      </c>
      <c r="B260" s="2654" t="s">
        <v>7625</v>
      </c>
      <c r="C260" s="1697" t="s">
        <v>7650</v>
      </c>
      <c r="D260" s="2679">
        <v>0</v>
      </c>
      <c r="E260" s="2161">
        <v>502</v>
      </c>
      <c r="F260" s="2656">
        <f t="shared" ref="F260:F323" si="7">F259+D260-E260</f>
        <v>12252.426666666672</v>
      </c>
      <c r="G260" s="841"/>
    </row>
    <row r="261" spans="1:7" ht="18" customHeight="1" x14ac:dyDescent="0.25">
      <c r="A261" s="2027">
        <v>45744</v>
      </c>
      <c r="B261" s="2654" t="s">
        <v>7688</v>
      </c>
      <c r="C261" s="1697" t="s">
        <v>7650</v>
      </c>
      <c r="D261" s="2674"/>
      <c r="E261" s="2161">
        <v>1000</v>
      </c>
      <c r="F261" s="2656">
        <f t="shared" si="7"/>
        <v>11252.426666666672</v>
      </c>
      <c r="G261" s="841"/>
    </row>
    <row r="262" spans="1:7" ht="18" customHeight="1" x14ac:dyDescent="0.25">
      <c r="A262" s="2176">
        <v>45747</v>
      </c>
      <c r="B262" s="2177" t="s">
        <v>6989</v>
      </c>
      <c r="C262" s="1746" t="s">
        <v>1486</v>
      </c>
      <c r="D262" s="2673">
        <f>'Março-25'!K186</f>
        <v>96.14</v>
      </c>
      <c r="E262" s="2161"/>
      <c r="F262" s="2656">
        <f t="shared" si="7"/>
        <v>11348.566666666671</v>
      </c>
      <c r="G262" s="841"/>
    </row>
    <row r="263" spans="1:7" ht="18" customHeight="1" x14ac:dyDescent="0.25">
      <c r="A263" s="2027">
        <v>45748</v>
      </c>
      <c r="B263" s="2653" t="s">
        <v>7645</v>
      </c>
      <c r="C263" s="1697" t="s">
        <v>7650</v>
      </c>
      <c r="D263" s="2674"/>
      <c r="E263" s="2161">
        <v>440</v>
      </c>
      <c r="F263" s="2656">
        <f t="shared" si="7"/>
        <v>10908.566666666671</v>
      </c>
      <c r="G263" s="841"/>
    </row>
    <row r="264" spans="1:7" ht="18" customHeight="1" x14ac:dyDescent="0.25">
      <c r="A264" s="2027">
        <v>45748</v>
      </c>
      <c r="B264" s="2654" t="s">
        <v>7689</v>
      </c>
      <c r="C264" s="1697" t="s">
        <v>7650</v>
      </c>
      <c r="D264" s="2674"/>
      <c r="E264" s="2161">
        <v>1200</v>
      </c>
      <c r="F264" s="2656">
        <f t="shared" si="7"/>
        <v>9708.5666666666712</v>
      </c>
      <c r="G264" s="841"/>
    </row>
    <row r="265" spans="1:7" ht="18" customHeight="1" x14ac:dyDescent="0.25">
      <c r="A265" s="2027">
        <v>45749</v>
      </c>
      <c r="B265" s="2654" t="s">
        <v>7667</v>
      </c>
      <c r="C265" s="1697" t="s">
        <v>7650</v>
      </c>
      <c r="D265" s="2674"/>
      <c r="E265" s="2161">
        <v>155.75</v>
      </c>
      <c r="F265" s="2656">
        <f t="shared" si="7"/>
        <v>9552.8166666666712</v>
      </c>
      <c r="G265" s="841"/>
    </row>
    <row r="266" spans="1:7" ht="18" customHeight="1" x14ac:dyDescent="0.25">
      <c r="A266" s="2027">
        <v>45749</v>
      </c>
      <c r="B266" s="2654" t="s">
        <v>7668</v>
      </c>
      <c r="C266" s="1697" t="s">
        <v>7650</v>
      </c>
      <c r="D266" s="2674"/>
      <c r="E266" s="2161">
        <v>40</v>
      </c>
      <c r="F266" s="2656">
        <f t="shared" si="7"/>
        <v>9512.8166666666712</v>
      </c>
      <c r="G266" s="841"/>
    </row>
    <row r="267" spans="1:7" ht="18" customHeight="1" x14ac:dyDescent="0.25">
      <c r="A267" s="2027">
        <v>45751</v>
      </c>
      <c r="B267" s="2654" t="s">
        <v>7696</v>
      </c>
      <c r="C267" s="1697" t="s">
        <v>7650</v>
      </c>
      <c r="D267" s="2674"/>
      <c r="E267" s="2161">
        <v>91.8</v>
      </c>
      <c r="F267" s="2656">
        <f t="shared" si="7"/>
        <v>9421.0166666666719</v>
      </c>
      <c r="G267" s="841"/>
    </row>
    <row r="268" spans="1:7" ht="18" customHeight="1" x14ac:dyDescent="0.25">
      <c r="A268" s="2027">
        <v>45751</v>
      </c>
      <c r="B268" s="2654" t="s">
        <v>7698</v>
      </c>
      <c r="C268" s="1697" t="s">
        <v>7650</v>
      </c>
      <c r="D268" s="2674"/>
      <c r="E268" s="2161">
        <v>193.7</v>
      </c>
      <c r="F268" s="2656">
        <f t="shared" si="7"/>
        <v>9227.3166666666712</v>
      </c>
      <c r="G268" s="841"/>
    </row>
    <row r="269" spans="1:7" ht="18" customHeight="1" x14ac:dyDescent="0.25">
      <c r="A269" s="2027">
        <v>45751</v>
      </c>
      <c r="B269" s="2654" t="s">
        <v>7970</v>
      </c>
      <c r="C269" s="1697" t="s">
        <v>7650</v>
      </c>
      <c r="D269" s="2674"/>
      <c r="E269" s="2161">
        <v>600</v>
      </c>
      <c r="F269" s="2656">
        <f t="shared" si="7"/>
        <v>8627.3166666666712</v>
      </c>
      <c r="G269" s="841"/>
    </row>
    <row r="270" spans="1:7" ht="18" customHeight="1" x14ac:dyDescent="0.25">
      <c r="A270" s="2176">
        <v>45751</v>
      </c>
      <c r="B270" s="2670" t="s">
        <v>7701</v>
      </c>
      <c r="C270" s="1746" t="s">
        <v>1486</v>
      </c>
      <c r="D270" s="2674">
        <v>1100</v>
      </c>
      <c r="E270" s="2161"/>
      <c r="F270" s="2656">
        <f t="shared" si="7"/>
        <v>9727.3166666666712</v>
      </c>
      <c r="G270" s="841"/>
    </row>
    <row r="271" spans="1:7" ht="18" customHeight="1" x14ac:dyDescent="0.25">
      <c r="A271" s="2176">
        <v>45751</v>
      </c>
      <c r="B271" s="2670" t="s">
        <v>7706</v>
      </c>
      <c r="C271" s="1746" t="s">
        <v>1486</v>
      </c>
      <c r="D271" s="2674">
        <v>900</v>
      </c>
      <c r="E271" s="2161"/>
      <c r="F271" s="2656">
        <f t="shared" si="7"/>
        <v>10627.316666666671</v>
      </c>
      <c r="G271" s="841"/>
    </row>
    <row r="272" spans="1:7" ht="18" customHeight="1" x14ac:dyDescent="0.25">
      <c r="A272" s="2027">
        <v>45755</v>
      </c>
      <c r="B272" s="2654" t="s">
        <v>7723</v>
      </c>
      <c r="C272" s="1697" t="s">
        <v>7650</v>
      </c>
      <c r="D272" s="2674"/>
      <c r="E272" s="2161">
        <v>500</v>
      </c>
      <c r="F272" s="2656">
        <f t="shared" si="7"/>
        <v>10127.316666666671</v>
      </c>
      <c r="G272" s="841"/>
    </row>
    <row r="273" spans="1:10" ht="18" customHeight="1" x14ac:dyDescent="0.25">
      <c r="A273" s="2027">
        <v>45755</v>
      </c>
      <c r="B273" s="2654" t="s">
        <v>7715</v>
      </c>
      <c r="C273" s="1697" t="s">
        <v>7650</v>
      </c>
      <c r="D273" s="2675"/>
      <c r="E273" s="2161">
        <v>100</v>
      </c>
      <c r="F273" s="2656">
        <f t="shared" si="7"/>
        <v>10027.316666666671</v>
      </c>
      <c r="G273" s="841"/>
    </row>
    <row r="274" spans="1:10" ht="18" customHeight="1" x14ac:dyDescent="0.25">
      <c r="A274" s="2027">
        <v>45755</v>
      </c>
      <c r="B274" s="2654" t="s">
        <v>7722</v>
      </c>
      <c r="C274" s="1753" t="s">
        <v>7650</v>
      </c>
      <c r="D274" s="2675"/>
      <c r="E274" s="2161">
        <v>291.45</v>
      </c>
      <c r="F274" s="2656">
        <f t="shared" si="7"/>
        <v>9735.8666666666704</v>
      </c>
      <c r="G274" s="841"/>
      <c r="H274" s="717"/>
    </row>
    <row r="275" spans="1:10" ht="18" customHeight="1" x14ac:dyDescent="0.25">
      <c r="A275" s="2027">
        <v>45756</v>
      </c>
      <c r="B275" s="611" t="s">
        <v>7727</v>
      </c>
      <c r="C275" s="1753" t="s">
        <v>7650</v>
      </c>
      <c r="D275" s="2674"/>
      <c r="E275" s="2161">
        <v>106.6</v>
      </c>
      <c r="F275" s="2656">
        <f t="shared" si="7"/>
        <v>9629.2666666666701</v>
      </c>
      <c r="G275" s="841"/>
    </row>
    <row r="276" spans="1:10" ht="18" customHeight="1" x14ac:dyDescent="0.25">
      <c r="A276" s="2027">
        <v>45757</v>
      </c>
      <c r="B276" s="2654" t="s">
        <v>7732</v>
      </c>
      <c r="C276" s="1697" t="s">
        <v>7650</v>
      </c>
      <c r="D276" s="2674"/>
      <c r="E276" s="2161">
        <v>85.7</v>
      </c>
      <c r="F276" s="2656">
        <f t="shared" si="7"/>
        <v>9543.5666666666693</v>
      </c>
      <c r="G276" s="841"/>
    </row>
    <row r="277" spans="1:10" ht="18" customHeight="1" x14ac:dyDescent="0.25">
      <c r="A277" s="2027">
        <v>45758</v>
      </c>
      <c r="B277" s="2654" t="s">
        <v>7734</v>
      </c>
      <c r="C277" s="1697" t="s">
        <v>7650</v>
      </c>
      <c r="D277" s="2674"/>
      <c r="E277" s="2161">
        <v>27</v>
      </c>
      <c r="F277" s="2656">
        <f t="shared" si="7"/>
        <v>9516.5666666666693</v>
      </c>
      <c r="G277" s="841"/>
    </row>
    <row r="278" spans="1:10" ht="18" customHeight="1" x14ac:dyDescent="0.25">
      <c r="A278" s="2027">
        <v>45761</v>
      </c>
      <c r="B278" s="2654" t="s">
        <v>7740</v>
      </c>
      <c r="C278" s="1697" t="s">
        <v>7650</v>
      </c>
      <c r="D278" s="2674"/>
      <c r="E278" s="2161">
        <v>1900</v>
      </c>
      <c r="F278" s="2656">
        <f t="shared" si="7"/>
        <v>7616.5666666666693</v>
      </c>
      <c r="G278" s="841"/>
    </row>
    <row r="279" spans="1:10" ht="18" customHeight="1" x14ac:dyDescent="0.25">
      <c r="A279" s="2027">
        <v>45761</v>
      </c>
      <c r="B279" s="2654" t="s">
        <v>7793</v>
      </c>
      <c r="C279" s="1697" t="s">
        <v>7650</v>
      </c>
      <c r="D279" s="2674"/>
      <c r="E279" s="2161">
        <v>2970</v>
      </c>
      <c r="F279" s="2656">
        <f t="shared" si="7"/>
        <v>4646.5666666666693</v>
      </c>
      <c r="G279" s="841"/>
    </row>
    <row r="280" spans="1:10" ht="18" customHeight="1" x14ac:dyDescent="0.25">
      <c r="A280" s="2027">
        <v>45762</v>
      </c>
      <c r="B280" s="2654" t="s">
        <v>7749</v>
      </c>
      <c r="C280" s="1697" t="s">
        <v>7650</v>
      </c>
      <c r="D280" s="2674"/>
      <c r="E280" s="2161">
        <v>804.54</v>
      </c>
      <c r="F280" s="2656">
        <f t="shared" si="7"/>
        <v>3842.0266666666694</v>
      </c>
      <c r="G280" s="841"/>
      <c r="H280" s="717"/>
      <c r="I280" s="786"/>
      <c r="J280" s="786"/>
    </row>
    <row r="281" spans="1:10" ht="18" customHeight="1" x14ac:dyDescent="0.25">
      <c r="A281" s="2176">
        <v>45764</v>
      </c>
      <c r="B281" s="2670" t="s">
        <v>7700</v>
      </c>
      <c r="C281" s="1746" t="s">
        <v>1486</v>
      </c>
      <c r="D281" s="2674">
        <v>700</v>
      </c>
      <c r="E281" s="2161"/>
      <c r="F281" s="2656">
        <f t="shared" si="7"/>
        <v>4542.0266666666694</v>
      </c>
      <c r="G281" s="841"/>
    </row>
    <row r="282" spans="1:10" ht="18" customHeight="1" x14ac:dyDescent="0.25">
      <c r="A282" s="2176">
        <v>45764</v>
      </c>
      <c r="B282" s="2670" t="s">
        <v>7795</v>
      </c>
      <c r="C282" s="1746" t="s">
        <v>1486</v>
      </c>
      <c r="D282" s="2673">
        <v>3021.51</v>
      </c>
      <c r="E282" s="2161"/>
      <c r="F282" s="2656">
        <f t="shared" si="7"/>
        <v>7563.5366666666696</v>
      </c>
      <c r="G282" s="841"/>
    </row>
    <row r="283" spans="1:10" ht="18" customHeight="1" x14ac:dyDescent="0.25">
      <c r="A283" s="2176">
        <v>45764</v>
      </c>
      <c r="B283" s="2670" t="s">
        <v>7794</v>
      </c>
      <c r="C283" s="1746" t="s">
        <v>1486</v>
      </c>
      <c r="D283" s="2673">
        <v>1976.85</v>
      </c>
      <c r="E283" s="2161"/>
      <c r="F283" s="2656">
        <f t="shared" si="7"/>
        <v>9540.386666666669</v>
      </c>
      <c r="G283" s="841"/>
    </row>
    <row r="284" spans="1:10" ht="18" customHeight="1" x14ac:dyDescent="0.25">
      <c r="A284" s="2027">
        <v>45764</v>
      </c>
      <c r="B284" s="2654" t="s">
        <v>7559</v>
      </c>
      <c r="C284" s="1753" t="s">
        <v>7650</v>
      </c>
      <c r="D284" s="2676"/>
      <c r="E284" s="2161">
        <v>147.4975</v>
      </c>
      <c r="F284" s="2656">
        <f t="shared" si="7"/>
        <v>9392.8891666666696</v>
      </c>
      <c r="G284" s="841"/>
    </row>
    <row r="285" spans="1:10" ht="18" customHeight="1" x14ac:dyDescent="0.25">
      <c r="A285" s="2027">
        <v>45764</v>
      </c>
      <c r="B285" s="2654" t="s">
        <v>7549</v>
      </c>
      <c r="C285" s="1753" t="s">
        <v>7650</v>
      </c>
      <c r="D285" s="2676"/>
      <c r="E285" s="2161">
        <v>147.4975</v>
      </c>
      <c r="F285" s="2656">
        <f t="shared" si="7"/>
        <v>9245.3916666666701</v>
      </c>
      <c r="G285" s="841"/>
    </row>
    <row r="286" spans="1:10" ht="18" customHeight="1" x14ac:dyDescent="0.25">
      <c r="A286" s="2027">
        <v>45764</v>
      </c>
      <c r="B286" s="2654" t="s">
        <v>7548</v>
      </c>
      <c r="C286" s="1753" t="s">
        <v>7650</v>
      </c>
      <c r="D286" s="2676"/>
      <c r="E286" s="2161">
        <v>474.9975</v>
      </c>
      <c r="F286" s="2656">
        <f t="shared" si="7"/>
        <v>8770.3941666666706</v>
      </c>
      <c r="G286" s="841"/>
    </row>
    <row r="287" spans="1:10" ht="18" customHeight="1" x14ac:dyDescent="0.25">
      <c r="A287" s="2027">
        <v>45764</v>
      </c>
      <c r="B287" s="2654" t="s">
        <v>7547</v>
      </c>
      <c r="C287" s="1753" t="s">
        <v>7650</v>
      </c>
      <c r="D287" s="2676"/>
      <c r="E287" s="2161">
        <v>174.9975</v>
      </c>
      <c r="F287" s="2656">
        <f t="shared" si="7"/>
        <v>8595.3966666666711</v>
      </c>
      <c r="G287" s="841"/>
    </row>
    <row r="288" spans="1:10" ht="18" customHeight="1" x14ac:dyDescent="0.25">
      <c r="A288" s="2027">
        <v>45764</v>
      </c>
      <c r="B288" s="2654" t="s">
        <v>7546</v>
      </c>
      <c r="C288" s="1753" t="s">
        <v>7650</v>
      </c>
      <c r="D288" s="2676"/>
      <c r="E288" s="2161">
        <v>157.4975</v>
      </c>
      <c r="F288" s="2656">
        <f t="shared" si="7"/>
        <v>8437.8991666666716</v>
      </c>
      <c r="G288" s="841"/>
    </row>
    <row r="289" spans="1:7" ht="18" customHeight="1" x14ac:dyDescent="0.25">
      <c r="A289" s="2027">
        <v>45764</v>
      </c>
      <c r="B289" s="2654" t="s">
        <v>7545</v>
      </c>
      <c r="C289" s="1753" t="s">
        <v>7650</v>
      </c>
      <c r="D289" s="2676"/>
      <c r="E289" s="2161">
        <v>274.9975</v>
      </c>
      <c r="F289" s="2656">
        <f t="shared" si="7"/>
        <v>8162.9016666666712</v>
      </c>
      <c r="G289" s="841"/>
    </row>
    <row r="290" spans="1:7" ht="18" customHeight="1" x14ac:dyDescent="0.25">
      <c r="A290" s="2027">
        <v>45764</v>
      </c>
      <c r="B290" s="2654" t="s">
        <v>7544</v>
      </c>
      <c r="C290" s="1753" t="s">
        <v>7650</v>
      </c>
      <c r="D290" s="2676"/>
      <c r="E290" s="2161">
        <v>149.9975</v>
      </c>
      <c r="F290" s="2656">
        <f t="shared" si="7"/>
        <v>8012.9041666666708</v>
      </c>
      <c r="G290" s="841"/>
    </row>
    <row r="291" spans="1:7" ht="18" customHeight="1" x14ac:dyDescent="0.25">
      <c r="A291" s="2027">
        <v>45764</v>
      </c>
      <c r="B291" s="2654" t="s">
        <v>7543</v>
      </c>
      <c r="C291" s="1753" t="s">
        <v>7650</v>
      </c>
      <c r="D291" s="2676"/>
      <c r="E291" s="2161">
        <v>15</v>
      </c>
      <c r="F291" s="2656">
        <f t="shared" si="7"/>
        <v>7997.9041666666708</v>
      </c>
      <c r="G291" s="841"/>
    </row>
    <row r="292" spans="1:7" ht="18" customHeight="1" x14ac:dyDescent="0.25">
      <c r="A292" s="2027">
        <v>45764</v>
      </c>
      <c r="B292" s="2654" t="s">
        <v>7604</v>
      </c>
      <c r="C292" s="1753" t="s">
        <v>7650</v>
      </c>
      <c r="D292" s="2676"/>
      <c r="E292" s="2161">
        <v>114.42</v>
      </c>
      <c r="F292" s="2656">
        <f t="shared" si="7"/>
        <v>7883.4841666666707</v>
      </c>
      <c r="G292" s="841"/>
    </row>
    <row r="293" spans="1:7" ht="18" customHeight="1" x14ac:dyDescent="0.25">
      <c r="A293" s="2027">
        <v>45764</v>
      </c>
      <c r="B293" s="2654" t="s">
        <v>7646</v>
      </c>
      <c r="C293" s="1753" t="s">
        <v>7650</v>
      </c>
      <c r="D293" s="2676"/>
      <c r="E293" s="2161">
        <v>299.55</v>
      </c>
      <c r="F293" s="2656">
        <f t="shared" si="7"/>
        <v>7583.9341666666705</v>
      </c>
      <c r="G293" s="841"/>
    </row>
    <row r="294" spans="1:7" ht="18" customHeight="1" x14ac:dyDescent="0.25">
      <c r="A294" s="2027">
        <v>45764</v>
      </c>
      <c r="B294" s="2654" t="s">
        <v>7665</v>
      </c>
      <c r="C294" s="1753" t="s">
        <v>7650</v>
      </c>
      <c r="D294" s="2676"/>
      <c r="E294" s="2161">
        <v>83.98</v>
      </c>
      <c r="F294" s="2656">
        <f t="shared" si="7"/>
        <v>7499.954166666671</v>
      </c>
      <c r="G294" s="841"/>
    </row>
    <row r="295" spans="1:7" ht="18" customHeight="1" x14ac:dyDescent="0.25">
      <c r="A295" s="2027">
        <v>45764</v>
      </c>
      <c r="B295" s="2654" t="s">
        <v>7674</v>
      </c>
      <c r="C295" s="1753" t="s">
        <v>7650</v>
      </c>
      <c r="D295" s="2673"/>
      <c r="E295" s="2161">
        <v>250</v>
      </c>
      <c r="F295" s="2656">
        <f t="shared" si="7"/>
        <v>7249.954166666671</v>
      </c>
      <c r="G295" s="841"/>
    </row>
    <row r="296" spans="1:7" ht="18" customHeight="1" x14ac:dyDescent="0.25">
      <c r="A296" s="2027">
        <v>45766</v>
      </c>
      <c r="B296" s="2654" t="s">
        <v>7364</v>
      </c>
      <c r="C296" s="1753" t="s">
        <v>7650</v>
      </c>
      <c r="D296" s="2673"/>
      <c r="E296" s="2161">
        <v>40</v>
      </c>
      <c r="F296" s="2656">
        <f t="shared" si="7"/>
        <v>7209.954166666671</v>
      </c>
      <c r="G296" s="841"/>
    </row>
    <row r="297" spans="1:7" ht="18" customHeight="1" x14ac:dyDescent="0.25">
      <c r="A297" s="2027">
        <v>45769</v>
      </c>
      <c r="B297" s="2654" t="s">
        <v>7808</v>
      </c>
      <c r="C297" s="1753" t="s">
        <v>7650</v>
      </c>
      <c r="D297" s="2673"/>
      <c r="E297" s="2161">
        <v>39.6</v>
      </c>
      <c r="F297" s="2656">
        <f t="shared" si="7"/>
        <v>7170.3541666666706</v>
      </c>
      <c r="G297" s="841"/>
    </row>
    <row r="298" spans="1:7" ht="18" customHeight="1" x14ac:dyDescent="0.25">
      <c r="A298" s="2027">
        <v>45769</v>
      </c>
      <c r="B298" s="2654" t="s">
        <v>7809</v>
      </c>
      <c r="C298" s="1753" t="s">
        <v>7650</v>
      </c>
      <c r="D298" s="2673"/>
      <c r="E298" s="2161">
        <v>875</v>
      </c>
      <c r="F298" s="2656">
        <f t="shared" si="7"/>
        <v>6295.3541666666706</v>
      </c>
      <c r="G298" s="841"/>
    </row>
    <row r="299" spans="1:7" ht="18" customHeight="1" x14ac:dyDescent="0.25">
      <c r="A299" s="2176">
        <v>45777</v>
      </c>
      <c r="B299" s="2202" t="s">
        <v>6989</v>
      </c>
      <c r="C299" s="1746" t="s">
        <v>1486</v>
      </c>
      <c r="D299" s="2680">
        <f>'Abril-25'!K163</f>
        <v>60.37</v>
      </c>
      <c r="E299" s="2161"/>
      <c r="F299" s="2656">
        <f t="shared" si="7"/>
        <v>6355.7241666666705</v>
      </c>
      <c r="G299" s="841"/>
    </row>
    <row r="300" spans="1:7" ht="18" customHeight="1" x14ac:dyDescent="0.25">
      <c r="A300" s="2027">
        <v>45778</v>
      </c>
      <c r="B300" s="2654" t="s">
        <v>7823</v>
      </c>
      <c r="C300" s="1753" t="s">
        <v>7650</v>
      </c>
      <c r="D300" s="2676"/>
      <c r="E300" s="2161">
        <v>600</v>
      </c>
      <c r="F300" s="2656">
        <f t="shared" si="7"/>
        <v>5755.7241666666705</v>
      </c>
      <c r="G300" s="841"/>
    </row>
    <row r="301" spans="1:7" ht="18" customHeight="1" x14ac:dyDescent="0.25">
      <c r="A301" s="2176">
        <v>45784</v>
      </c>
      <c r="B301" s="2670" t="s">
        <v>7701</v>
      </c>
      <c r="C301" s="1746" t="s">
        <v>1486</v>
      </c>
      <c r="D301" s="2673">
        <v>1092.74</v>
      </c>
      <c r="E301" s="2161"/>
      <c r="F301" s="2656">
        <f t="shared" si="7"/>
        <v>6848.4641666666703</v>
      </c>
      <c r="G301" s="841"/>
    </row>
    <row r="302" spans="1:7" ht="18" customHeight="1" x14ac:dyDescent="0.25">
      <c r="A302" s="2176">
        <v>45784</v>
      </c>
      <c r="B302" s="2670" t="s">
        <v>7848</v>
      </c>
      <c r="C302" s="1746" t="s">
        <v>1486</v>
      </c>
      <c r="D302" s="2673">
        <v>1188.8699999999999</v>
      </c>
      <c r="E302" s="2161"/>
      <c r="F302" s="2656">
        <f t="shared" si="7"/>
        <v>8037.3341666666702</v>
      </c>
      <c r="G302" s="841"/>
    </row>
    <row r="303" spans="1:7" ht="18" customHeight="1" x14ac:dyDescent="0.25">
      <c r="A303" s="2176">
        <v>45784</v>
      </c>
      <c r="B303" s="2670" t="s">
        <v>7849</v>
      </c>
      <c r="C303" s="1746" t="s">
        <v>1486</v>
      </c>
      <c r="D303" s="2673">
        <v>718.39</v>
      </c>
      <c r="E303" s="2161"/>
      <c r="F303" s="2656">
        <f t="shared" si="7"/>
        <v>8755.7241666666705</v>
      </c>
      <c r="G303" s="841"/>
    </row>
    <row r="304" spans="1:7" ht="18" customHeight="1" x14ac:dyDescent="0.25">
      <c r="A304" s="2027">
        <v>45790</v>
      </c>
      <c r="B304" s="2654" t="s">
        <v>7647</v>
      </c>
      <c r="C304" s="1753" t="s">
        <v>7650</v>
      </c>
      <c r="D304" s="2673"/>
      <c r="E304" s="2161">
        <v>299.55</v>
      </c>
      <c r="F304" s="2656">
        <f t="shared" si="7"/>
        <v>8456.1741666666712</v>
      </c>
      <c r="G304" s="841"/>
    </row>
    <row r="305" spans="1:12" ht="18" customHeight="1" x14ac:dyDescent="0.25">
      <c r="A305" s="2027">
        <v>45790</v>
      </c>
      <c r="B305" s="2654" t="s">
        <v>7677</v>
      </c>
      <c r="C305" s="1753" t="s">
        <v>7650</v>
      </c>
      <c r="D305" s="2673"/>
      <c r="E305" s="2161">
        <v>250</v>
      </c>
      <c r="F305" s="2656">
        <f t="shared" si="7"/>
        <v>8206.1741666666712</v>
      </c>
      <c r="G305" s="841"/>
    </row>
    <row r="306" spans="1:12" ht="18" customHeight="1" x14ac:dyDescent="0.25">
      <c r="A306" s="2027">
        <v>45790</v>
      </c>
      <c r="B306" s="2654" t="s">
        <v>7872</v>
      </c>
      <c r="C306" s="1753" t="s">
        <v>7650</v>
      </c>
      <c r="D306" s="2673"/>
      <c r="E306" s="2161">
        <v>31.69</v>
      </c>
      <c r="F306" s="2656">
        <f t="shared" si="7"/>
        <v>8174.4841666666716</v>
      </c>
      <c r="G306" s="841"/>
    </row>
    <row r="307" spans="1:12" ht="18" customHeight="1" x14ac:dyDescent="0.25">
      <c r="A307" s="2027">
        <v>45790</v>
      </c>
      <c r="B307" s="2654" t="s">
        <v>7783</v>
      </c>
      <c r="C307" s="1753" t="s">
        <v>7650</v>
      </c>
      <c r="D307" s="2673"/>
      <c r="E307" s="2161">
        <v>48</v>
      </c>
      <c r="F307" s="2656">
        <f t="shared" si="7"/>
        <v>8126.4841666666716</v>
      </c>
      <c r="G307" s="841"/>
    </row>
    <row r="308" spans="1:12" ht="18" customHeight="1" x14ac:dyDescent="0.25">
      <c r="A308" s="2027">
        <v>45790</v>
      </c>
      <c r="B308" s="2654" t="s">
        <v>7784</v>
      </c>
      <c r="C308" s="1753" t="s">
        <v>7650</v>
      </c>
      <c r="D308" s="2673"/>
      <c r="E308" s="2161">
        <v>48</v>
      </c>
      <c r="F308" s="2656">
        <f t="shared" si="7"/>
        <v>8078.4841666666716</v>
      </c>
      <c r="G308" s="841"/>
    </row>
    <row r="309" spans="1:12" ht="18" customHeight="1" thickBot="1" x14ac:dyDescent="0.3">
      <c r="A309" s="2027">
        <v>45790</v>
      </c>
      <c r="B309" s="2654" t="s">
        <v>7785</v>
      </c>
      <c r="C309" s="1753" t="s">
        <v>7650</v>
      </c>
      <c r="D309" s="2673"/>
      <c r="E309" s="2161">
        <v>44.52</v>
      </c>
      <c r="F309" s="2656">
        <f t="shared" si="7"/>
        <v>8033.9641666666712</v>
      </c>
      <c r="G309" s="841"/>
    </row>
    <row r="310" spans="1:12" ht="18" customHeight="1" thickBot="1" x14ac:dyDescent="0.3">
      <c r="A310" s="2027">
        <v>45790</v>
      </c>
      <c r="B310" s="2654" t="s">
        <v>7785</v>
      </c>
      <c r="C310" s="1753" t="s">
        <v>7650</v>
      </c>
      <c r="D310" s="2673"/>
      <c r="E310" s="2161">
        <v>44.52</v>
      </c>
      <c r="F310" s="2656">
        <f t="shared" si="7"/>
        <v>7989.4441666666708</v>
      </c>
      <c r="G310" s="841"/>
      <c r="I310" s="3506" t="s">
        <v>6964</v>
      </c>
      <c r="J310" s="3507"/>
      <c r="K310" s="3507"/>
      <c r="L310" s="3508"/>
    </row>
    <row r="311" spans="1:12" ht="18" customHeight="1" thickBot="1" x14ac:dyDescent="0.3">
      <c r="A311" s="2027">
        <v>45790</v>
      </c>
      <c r="B311" s="2654" t="s">
        <v>7803</v>
      </c>
      <c r="C311" s="1753" t="s">
        <v>7650</v>
      </c>
      <c r="D311" s="2673"/>
      <c r="E311" s="2161">
        <v>26.88</v>
      </c>
      <c r="F311" s="2656">
        <f t="shared" si="7"/>
        <v>7962.5641666666706</v>
      </c>
      <c r="G311" s="841"/>
      <c r="I311" s="4" t="s">
        <v>5393</v>
      </c>
      <c r="J311" s="2586" t="s">
        <v>4206</v>
      </c>
      <c r="K311" s="2586" t="s">
        <v>6999</v>
      </c>
      <c r="L311" s="2587" t="s">
        <v>5315</v>
      </c>
    </row>
    <row r="312" spans="1:12" ht="18" customHeight="1" x14ac:dyDescent="0.25">
      <c r="A312" s="2027">
        <v>45790</v>
      </c>
      <c r="B312" s="2654" t="s">
        <v>7802</v>
      </c>
      <c r="C312" s="1753" t="s">
        <v>7650</v>
      </c>
      <c r="D312" s="2673"/>
      <c r="E312" s="2161">
        <v>73.34</v>
      </c>
      <c r="F312" s="2656">
        <f t="shared" si="7"/>
        <v>7889.2241666666705</v>
      </c>
      <c r="G312" s="841"/>
      <c r="I312" s="2565">
        <v>0</v>
      </c>
      <c r="J312" s="2742"/>
      <c r="K312" s="2742"/>
      <c r="L312" s="2743">
        <v>39986.870000000003</v>
      </c>
    </row>
    <row r="313" spans="1:12" ht="18" customHeight="1" x14ac:dyDescent="0.25">
      <c r="A313" s="2027">
        <v>45790</v>
      </c>
      <c r="B313" s="2654" t="s">
        <v>7873</v>
      </c>
      <c r="C313" s="1753" t="s">
        <v>7650</v>
      </c>
      <c r="D313" s="2673"/>
      <c r="E313" s="2161">
        <v>68.63</v>
      </c>
      <c r="F313" s="2656">
        <f t="shared" si="7"/>
        <v>7820.5941666666704</v>
      </c>
      <c r="G313" s="841"/>
      <c r="I313" s="2744">
        <v>1</v>
      </c>
      <c r="J313" s="2745">
        <v>45587</v>
      </c>
      <c r="K313" s="2746">
        <v>4998.3599999999997</v>
      </c>
      <c r="L313" s="2747">
        <f t="shared" ref="L313:L320" si="8">L312-K313</f>
        <v>34988.51</v>
      </c>
    </row>
    <row r="314" spans="1:12" ht="18" customHeight="1" x14ac:dyDescent="0.25">
      <c r="A314" s="2027">
        <v>45793</v>
      </c>
      <c r="B314" s="2654" t="s">
        <v>7878</v>
      </c>
      <c r="C314" s="1753" t="s">
        <v>7650</v>
      </c>
      <c r="D314" s="2673"/>
      <c r="E314" s="2161">
        <v>22.5</v>
      </c>
      <c r="F314" s="2656">
        <f t="shared" si="7"/>
        <v>7798.0941666666704</v>
      </c>
      <c r="G314" s="841"/>
      <c r="I314" s="2748">
        <v>2</v>
      </c>
      <c r="J314" s="2745">
        <v>45618</v>
      </c>
      <c r="K314" s="2746">
        <v>4998.3599999999997</v>
      </c>
      <c r="L314" s="2747">
        <f t="shared" si="8"/>
        <v>29990.15</v>
      </c>
    </row>
    <row r="315" spans="1:12" ht="18" customHeight="1" x14ac:dyDescent="0.25">
      <c r="A315" s="2027">
        <v>45794</v>
      </c>
      <c r="B315" s="2654" t="s">
        <v>7879</v>
      </c>
      <c r="C315" s="1753" t="s">
        <v>7650</v>
      </c>
      <c r="D315" s="2676"/>
      <c r="E315" s="2161">
        <v>202.91</v>
      </c>
      <c r="F315" s="2656">
        <f t="shared" si="7"/>
        <v>7595.1841666666705</v>
      </c>
      <c r="G315" s="841"/>
      <c r="I315" s="2748">
        <v>3</v>
      </c>
      <c r="J315" s="2745">
        <v>45648</v>
      </c>
      <c r="K315" s="2746">
        <v>4998.3599999999997</v>
      </c>
      <c r="L315" s="2747">
        <f t="shared" si="8"/>
        <v>24991.79</v>
      </c>
    </row>
    <row r="316" spans="1:12" ht="18" customHeight="1" x14ac:dyDescent="0.25">
      <c r="A316" s="2027">
        <v>45796</v>
      </c>
      <c r="B316" s="2654" t="s">
        <v>7878</v>
      </c>
      <c r="C316" s="1753" t="s">
        <v>7650</v>
      </c>
      <c r="D316" s="2673"/>
      <c r="E316" s="2161">
        <v>22.5</v>
      </c>
      <c r="F316" s="2656">
        <f t="shared" si="7"/>
        <v>7572.6841666666705</v>
      </c>
      <c r="G316" s="841"/>
      <c r="I316" s="2748">
        <v>4</v>
      </c>
      <c r="J316" s="2745">
        <v>45679</v>
      </c>
      <c r="K316" s="2746">
        <v>4998.3599999999997</v>
      </c>
      <c r="L316" s="2747">
        <f t="shared" si="8"/>
        <v>19993.43</v>
      </c>
    </row>
    <row r="317" spans="1:12" ht="18" customHeight="1" x14ac:dyDescent="0.25">
      <c r="A317" s="2027">
        <v>45797</v>
      </c>
      <c r="B317" s="2654" t="s">
        <v>7754</v>
      </c>
      <c r="C317" s="1753" t="s">
        <v>7650</v>
      </c>
      <c r="D317" s="2673"/>
      <c r="E317" s="2161">
        <v>147.4975</v>
      </c>
      <c r="F317" s="2656">
        <f t="shared" si="7"/>
        <v>7425.1866666666701</v>
      </c>
      <c r="G317" s="841"/>
      <c r="I317" s="2748">
        <v>5</v>
      </c>
      <c r="J317" s="2749">
        <v>45710</v>
      </c>
      <c r="K317" s="2750">
        <v>4998.3599999999997</v>
      </c>
      <c r="L317" s="2747">
        <f t="shared" si="8"/>
        <v>14995.07</v>
      </c>
    </row>
    <row r="318" spans="1:12" ht="18" customHeight="1" x14ac:dyDescent="0.25">
      <c r="A318" s="2027">
        <v>45797</v>
      </c>
      <c r="B318" s="2654" t="s">
        <v>7551</v>
      </c>
      <c r="C318" s="1753" t="s">
        <v>7650</v>
      </c>
      <c r="D318" s="2673"/>
      <c r="E318" s="2161">
        <v>147.4975</v>
      </c>
      <c r="F318" s="2656">
        <f t="shared" si="7"/>
        <v>7277.6891666666697</v>
      </c>
      <c r="G318" s="841"/>
      <c r="I318" s="2748">
        <v>6</v>
      </c>
      <c r="J318" s="2745">
        <v>45738</v>
      </c>
      <c r="K318" s="2746">
        <v>4998.3599999999997</v>
      </c>
      <c r="L318" s="2747">
        <f t="shared" si="8"/>
        <v>9996.7099999999991</v>
      </c>
    </row>
    <row r="319" spans="1:12" ht="18" customHeight="1" x14ac:dyDescent="0.25">
      <c r="A319" s="2027">
        <v>45797</v>
      </c>
      <c r="B319" s="2654" t="s">
        <v>7552</v>
      </c>
      <c r="C319" s="1753" t="s">
        <v>7650</v>
      </c>
      <c r="D319" s="2673"/>
      <c r="E319" s="2161">
        <v>474.9975</v>
      </c>
      <c r="F319" s="2656">
        <f t="shared" si="7"/>
        <v>6802.6916666666693</v>
      </c>
      <c r="G319" s="841"/>
      <c r="I319" s="2748">
        <v>7</v>
      </c>
      <c r="J319" s="2745">
        <v>45769</v>
      </c>
      <c r="K319" s="2746">
        <v>4998.3599999999997</v>
      </c>
      <c r="L319" s="2747">
        <f t="shared" si="8"/>
        <v>4998.3499999999995</v>
      </c>
    </row>
    <row r="320" spans="1:12" ht="18" customHeight="1" thickBot="1" x14ac:dyDescent="0.3">
      <c r="A320" s="2027">
        <v>45797</v>
      </c>
      <c r="B320" s="2654" t="s">
        <v>7553</v>
      </c>
      <c r="C320" s="1753" t="s">
        <v>7650</v>
      </c>
      <c r="D320" s="2673"/>
      <c r="E320" s="2161">
        <v>174.9975</v>
      </c>
      <c r="F320" s="2656">
        <f t="shared" si="7"/>
        <v>6627.6941666666689</v>
      </c>
      <c r="G320" s="841"/>
      <c r="I320" s="2738">
        <v>8</v>
      </c>
      <c r="J320" s="2739">
        <v>45799</v>
      </c>
      <c r="K320" s="2740">
        <v>4998.3599999999997</v>
      </c>
      <c r="L320" s="2741">
        <f t="shared" si="8"/>
        <v>-1.0000000000218279E-2</v>
      </c>
    </row>
    <row r="321" spans="1:7" ht="18" customHeight="1" x14ac:dyDescent="0.25">
      <c r="A321" s="2027">
        <v>45797</v>
      </c>
      <c r="B321" s="2654" t="s">
        <v>7554</v>
      </c>
      <c r="C321" s="1753" t="s">
        <v>7650</v>
      </c>
      <c r="D321" s="2673"/>
      <c r="E321" s="2161">
        <v>157.4975</v>
      </c>
      <c r="F321" s="2656">
        <f t="shared" si="7"/>
        <v>6470.1966666666685</v>
      </c>
      <c r="G321" s="841"/>
    </row>
    <row r="322" spans="1:7" ht="18" customHeight="1" x14ac:dyDescent="0.25">
      <c r="A322" s="2027">
        <v>45797</v>
      </c>
      <c r="B322" s="2654" t="s">
        <v>7555</v>
      </c>
      <c r="C322" s="1753" t="s">
        <v>7650</v>
      </c>
      <c r="D322" s="2673"/>
      <c r="E322" s="2161">
        <v>274.9975</v>
      </c>
      <c r="F322" s="2656">
        <f t="shared" si="7"/>
        <v>6195.1991666666681</v>
      </c>
      <c r="G322" s="841"/>
    </row>
    <row r="323" spans="1:7" ht="18" customHeight="1" x14ac:dyDescent="0.25">
      <c r="A323" s="2027">
        <v>45797</v>
      </c>
      <c r="B323" s="2654" t="s">
        <v>7556</v>
      </c>
      <c r="C323" s="1753" t="s">
        <v>7650</v>
      </c>
      <c r="D323" s="2673"/>
      <c r="E323" s="2161">
        <v>149.9975</v>
      </c>
      <c r="F323" s="2656">
        <f t="shared" si="7"/>
        <v>6045.2016666666677</v>
      </c>
      <c r="G323" s="841"/>
    </row>
    <row r="324" spans="1:7" ht="18" customHeight="1" x14ac:dyDescent="0.25">
      <c r="A324" s="2027">
        <v>45797</v>
      </c>
      <c r="B324" s="2654" t="s">
        <v>7581</v>
      </c>
      <c r="C324" s="1753" t="s">
        <v>7650</v>
      </c>
      <c r="D324" s="2673"/>
      <c r="E324" s="2161">
        <v>15</v>
      </c>
      <c r="F324" s="2656">
        <f t="shared" ref="F324:F389" si="9">F323+D324-E324</f>
        <v>6030.2016666666677</v>
      </c>
      <c r="G324" s="841"/>
    </row>
    <row r="325" spans="1:7" ht="18" customHeight="1" x14ac:dyDescent="0.25">
      <c r="A325" s="2027">
        <v>45797</v>
      </c>
      <c r="B325" s="2654" t="s">
        <v>7797</v>
      </c>
      <c r="C325" s="1753" t="s">
        <v>7650</v>
      </c>
      <c r="D325" s="2673"/>
      <c r="E325" s="2161">
        <v>1500</v>
      </c>
      <c r="F325" s="2656">
        <f t="shared" si="9"/>
        <v>4530.2016666666677</v>
      </c>
      <c r="G325" s="841"/>
    </row>
    <row r="326" spans="1:7" ht="18" customHeight="1" x14ac:dyDescent="0.25">
      <c r="A326" s="2027">
        <v>45797</v>
      </c>
      <c r="B326" s="2654" t="s">
        <v>7867</v>
      </c>
      <c r="C326" s="1753" t="s">
        <v>7650</v>
      </c>
      <c r="D326" s="2673"/>
      <c r="E326" s="2161">
        <v>118.136</v>
      </c>
      <c r="F326" s="2656">
        <f t="shared" si="9"/>
        <v>4412.0656666666673</v>
      </c>
      <c r="G326" s="841"/>
    </row>
    <row r="327" spans="1:7" ht="18" customHeight="1" x14ac:dyDescent="0.25">
      <c r="A327" s="2027">
        <v>45797</v>
      </c>
      <c r="B327" s="2654" t="s">
        <v>7874</v>
      </c>
      <c r="C327" s="1753" t="s">
        <v>7650</v>
      </c>
      <c r="D327" s="2673"/>
      <c r="E327" s="2161">
        <v>68.3</v>
      </c>
      <c r="F327" s="2656">
        <f t="shared" si="9"/>
        <v>4343.7656666666671</v>
      </c>
      <c r="G327" s="841"/>
    </row>
    <row r="328" spans="1:7" ht="18" customHeight="1" x14ac:dyDescent="0.25">
      <c r="A328" s="2176">
        <v>45797</v>
      </c>
      <c r="B328" s="2670" t="s">
        <v>7896</v>
      </c>
      <c r="C328" s="1746" t="s">
        <v>1486</v>
      </c>
      <c r="D328" s="2673">
        <v>3021.51</v>
      </c>
      <c r="E328" s="2161"/>
      <c r="F328" s="2656">
        <f t="shared" si="9"/>
        <v>7365.2756666666673</v>
      </c>
      <c r="G328" s="841"/>
    </row>
    <row r="329" spans="1:7" ht="18" customHeight="1" x14ac:dyDescent="0.25">
      <c r="A329" s="2176">
        <v>45797</v>
      </c>
      <c r="B329" s="2670" t="s">
        <v>7897</v>
      </c>
      <c r="C329" s="1746" t="s">
        <v>1486</v>
      </c>
      <c r="D329" s="2673">
        <v>1976.85</v>
      </c>
      <c r="E329" s="2161"/>
      <c r="F329" s="2656">
        <f t="shared" si="9"/>
        <v>9342.1256666666668</v>
      </c>
      <c r="G329" s="841"/>
    </row>
    <row r="330" spans="1:7" ht="18" customHeight="1" x14ac:dyDescent="0.25">
      <c r="A330" s="2176">
        <v>45797</v>
      </c>
      <c r="B330" s="2670" t="s">
        <v>7903</v>
      </c>
      <c r="C330" s="1746" t="s">
        <v>1486</v>
      </c>
      <c r="D330" s="2673">
        <v>400</v>
      </c>
      <c r="E330" s="2676"/>
      <c r="F330" s="2656">
        <f t="shared" si="9"/>
        <v>9742.1256666666668</v>
      </c>
      <c r="G330" s="841"/>
    </row>
    <row r="331" spans="1:7" ht="18" customHeight="1" x14ac:dyDescent="0.25">
      <c r="A331" s="2027">
        <v>45799</v>
      </c>
      <c r="B331" s="2654" t="s">
        <v>7898</v>
      </c>
      <c r="C331" s="1753" t="s">
        <v>7650</v>
      </c>
      <c r="D331" s="2676"/>
      <c r="E331" s="2676">
        <v>10</v>
      </c>
      <c r="F331" s="2656">
        <f t="shared" si="9"/>
        <v>9732.1256666666668</v>
      </c>
      <c r="G331" s="841"/>
    </row>
    <row r="332" spans="1:7" ht="18" customHeight="1" x14ac:dyDescent="0.25">
      <c r="A332" s="2027">
        <v>45799</v>
      </c>
      <c r="B332" s="2654" t="s">
        <v>7899</v>
      </c>
      <c r="C332" s="1753" t="s">
        <v>7650</v>
      </c>
      <c r="D332" s="2676"/>
      <c r="E332" s="2676">
        <v>560</v>
      </c>
      <c r="F332" s="2656">
        <f t="shared" si="9"/>
        <v>9172.1256666666668</v>
      </c>
      <c r="G332" s="841"/>
    </row>
    <row r="333" spans="1:7" ht="18" customHeight="1" x14ac:dyDescent="0.25">
      <c r="A333" s="2176">
        <v>45808</v>
      </c>
      <c r="B333" s="2202" t="s">
        <v>6989</v>
      </c>
      <c r="C333" s="1746" t="s">
        <v>1486</v>
      </c>
      <c r="D333" s="2680">
        <f>'Maio-25'!K176</f>
        <v>54.24</v>
      </c>
      <c r="E333" s="2161"/>
      <c r="F333" s="2656">
        <f t="shared" si="9"/>
        <v>9226.3656666666666</v>
      </c>
      <c r="G333" s="841"/>
    </row>
    <row r="334" spans="1:7" ht="18" customHeight="1" x14ac:dyDescent="0.25">
      <c r="A334" s="2027">
        <v>45810</v>
      </c>
      <c r="B334" s="2654" t="s">
        <v>7951</v>
      </c>
      <c r="C334" s="1753" t="s">
        <v>7650</v>
      </c>
      <c r="D334" s="2676"/>
      <c r="E334" s="2676">
        <v>145</v>
      </c>
      <c r="F334" s="2656">
        <f t="shared" si="9"/>
        <v>9081.3656666666666</v>
      </c>
      <c r="G334" s="841"/>
    </row>
    <row r="335" spans="1:7" ht="18" customHeight="1" x14ac:dyDescent="0.25">
      <c r="A335" s="2027">
        <v>45814</v>
      </c>
      <c r="B335" s="2654" t="s">
        <v>7966</v>
      </c>
      <c r="C335" s="1753" t="s">
        <v>7650</v>
      </c>
      <c r="D335" s="2676"/>
      <c r="E335" s="2676">
        <v>600</v>
      </c>
      <c r="F335" s="2656">
        <f t="shared" si="9"/>
        <v>8481.3656666666666</v>
      </c>
      <c r="G335" s="841"/>
    </row>
    <row r="336" spans="1:7" ht="18" customHeight="1" x14ac:dyDescent="0.25">
      <c r="A336" s="2176">
        <v>45814</v>
      </c>
      <c r="B336" s="2670" t="s">
        <v>7849</v>
      </c>
      <c r="C336" s="1746" t="s">
        <v>1486</v>
      </c>
      <c r="D336" s="2673">
        <v>1000</v>
      </c>
      <c r="E336" s="2676"/>
      <c r="F336" s="2656">
        <f t="shared" si="9"/>
        <v>9481.3656666666666</v>
      </c>
      <c r="G336" s="841"/>
    </row>
    <row r="337" spans="1:7" ht="18" customHeight="1" x14ac:dyDescent="0.25">
      <c r="A337" s="2027">
        <v>45817</v>
      </c>
      <c r="B337" s="2654" t="s">
        <v>7973</v>
      </c>
      <c r="C337" s="1753" t="s">
        <v>7650</v>
      </c>
      <c r="D337" s="2676"/>
      <c r="E337" s="2676">
        <v>147.5</v>
      </c>
      <c r="F337" s="2656">
        <f t="shared" si="9"/>
        <v>9333.8656666666666</v>
      </c>
      <c r="G337" s="841"/>
    </row>
    <row r="338" spans="1:7" ht="18" customHeight="1" x14ac:dyDescent="0.25">
      <c r="A338" s="2027">
        <v>45822</v>
      </c>
      <c r="B338" s="2654" t="s">
        <v>7980</v>
      </c>
      <c r="C338" s="1753" t="s">
        <v>7650</v>
      </c>
      <c r="D338" s="2676"/>
      <c r="E338" s="2676">
        <v>325</v>
      </c>
      <c r="F338" s="2656">
        <f t="shared" si="9"/>
        <v>9008.8656666666666</v>
      </c>
      <c r="G338" s="841"/>
    </row>
    <row r="339" spans="1:7" ht="18" customHeight="1" x14ac:dyDescent="0.25">
      <c r="A339" s="2027">
        <v>45824</v>
      </c>
      <c r="B339" s="2654" t="s">
        <v>7777</v>
      </c>
      <c r="C339" s="1753" t="s">
        <v>7650</v>
      </c>
      <c r="D339" s="2676"/>
      <c r="E339" s="2676">
        <v>147.4975</v>
      </c>
      <c r="F339" s="2656">
        <f t="shared" si="9"/>
        <v>8861.3681666666671</v>
      </c>
      <c r="G339" s="841"/>
    </row>
    <row r="340" spans="1:7" ht="18" customHeight="1" x14ac:dyDescent="0.25">
      <c r="A340" s="2027">
        <v>45824</v>
      </c>
      <c r="B340" s="2654" t="s">
        <v>7756</v>
      </c>
      <c r="C340" s="1753" t="s">
        <v>7650</v>
      </c>
      <c r="D340" s="2676"/>
      <c r="E340" s="2676">
        <v>147.4975</v>
      </c>
      <c r="F340" s="2656">
        <f t="shared" si="9"/>
        <v>8713.8706666666676</v>
      </c>
      <c r="G340" s="841"/>
    </row>
    <row r="341" spans="1:7" ht="18" customHeight="1" x14ac:dyDescent="0.25">
      <c r="A341" s="2027">
        <v>45824</v>
      </c>
      <c r="B341" s="2654" t="s">
        <v>7757</v>
      </c>
      <c r="C341" s="1753" t="s">
        <v>7650</v>
      </c>
      <c r="D341" s="2676"/>
      <c r="E341" s="2676">
        <v>474.9975</v>
      </c>
      <c r="F341" s="2656">
        <f t="shared" si="9"/>
        <v>8238.8731666666681</v>
      </c>
      <c r="G341" s="841"/>
    </row>
    <row r="342" spans="1:7" ht="18" customHeight="1" x14ac:dyDescent="0.25">
      <c r="A342" s="2027">
        <v>45824</v>
      </c>
      <c r="B342" s="2654" t="s">
        <v>7758</v>
      </c>
      <c r="C342" s="1753" t="s">
        <v>7650</v>
      </c>
      <c r="D342" s="2676"/>
      <c r="E342" s="2676">
        <v>174.9975</v>
      </c>
      <c r="F342" s="2656">
        <f t="shared" si="9"/>
        <v>8063.8756666666677</v>
      </c>
      <c r="G342" s="841"/>
    </row>
    <row r="343" spans="1:7" ht="18" customHeight="1" x14ac:dyDescent="0.25">
      <c r="A343" s="2027">
        <v>45824</v>
      </c>
      <c r="B343" s="2654" t="s">
        <v>7759</v>
      </c>
      <c r="C343" s="1753" t="s">
        <v>7650</v>
      </c>
      <c r="D343" s="2676"/>
      <c r="E343" s="2676">
        <v>157.4975</v>
      </c>
      <c r="F343" s="2656">
        <f t="shared" si="9"/>
        <v>7906.3781666666673</v>
      </c>
      <c r="G343" s="841"/>
    </row>
    <row r="344" spans="1:7" ht="18" customHeight="1" x14ac:dyDescent="0.25">
      <c r="A344" s="2027">
        <v>45824</v>
      </c>
      <c r="B344" s="2654" t="s">
        <v>7760</v>
      </c>
      <c r="C344" s="1753" t="s">
        <v>7650</v>
      </c>
      <c r="D344" s="2676"/>
      <c r="E344" s="2676">
        <v>274.9975</v>
      </c>
      <c r="F344" s="2656">
        <f t="shared" si="9"/>
        <v>7631.3806666666669</v>
      </c>
      <c r="G344" s="841"/>
    </row>
    <row r="345" spans="1:7" ht="18" customHeight="1" x14ac:dyDescent="0.25">
      <c r="A345" s="2027">
        <v>45824</v>
      </c>
      <c r="B345" s="2654" t="s">
        <v>7761</v>
      </c>
      <c r="C345" s="1753" t="s">
        <v>7650</v>
      </c>
      <c r="D345" s="2676"/>
      <c r="E345" s="2676">
        <v>149.9975</v>
      </c>
      <c r="F345" s="2656">
        <f t="shared" si="9"/>
        <v>7481.3831666666665</v>
      </c>
      <c r="G345" s="841"/>
    </row>
    <row r="346" spans="1:7" ht="18" customHeight="1" x14ac:dyDescent="0.25">
      <c r="A346" s="2027">
        <v>45824</v>
      </c>
      <c r="B346" s="2654" t="s">
        <v>7762</v>
      </c>
      <c r="C346" s="1753" t="s">
        <v>7650</v>
      </c>
      <c r="D346" s="2676"/>
      <c r="E346" s="2676">
        <v>15</v>
      </c>
      <c r="F346" s="2656">
        <f t="shared" si="9"/>
        <v>7466.3831666666665</v>
      </c>
      <c r="G346" s="841"/>
    </row>
    <row r="347" spans="1:7" ht="18" customHeight="1" x14ac:dyDescent="0.25">
      <c r="A347" s="2027">
        <v>45824</v>
      </c>
      <c r="B347" s="2654" t="s">
        <v>7798</v>
      </c>
      <c r="C347" s="1753" t="s">
        <v>7650</v>
      </c>
      <c r="D347" s="2676"/>
      <c r="E347" s="2676">
        <v>1500</v>
      </c>
      <c r="F347" s="2656">
        <f t="shared" si="9"/>
        <v>5966.3831666666665</v>
      </c>
      <c r="G347" s="841"/>
    </row>
    <row r="348" spans="1:7" ht="18" customHeight="1" x14ac:dyDescent="0.25">
      <c r="A348" s="2027">
        <v>45824</v>
      </c>
      <c r="B348" s="2654" t="s">
        <v>7900</v>
      </c>
      <c r="C348" s="1753" t="s">
        <v>7650</v>
      </c>
      <c r="D348" s="2676"/>
      <c r="E348" s="2676">
        <v>118.136</v>
      </c>
      <c r="F348" s="2656">
        <f t="shared" si="9"/>
        <v>5848.2471666666661</v>
      </c>
      <c r="G348" s="841"/>
    </row>
    <row r="349" spans="1:7" ht="18" customHeight="1" x14ac:dyDescent="0.25">
      <c r="A349" s="2027">
        <v>45824</v>
      </c>
      <c r="B349" s="2654" t="s">
        <v>7901</v>
      </c>
      <c r="C349" s="1753" t="s">
        <v>7650</v>
      </c>
      <c r="D349" s="2676"/>
      <c r="E349" s="2676">
        <v>159.66999999999999</v>
      </c>
      <c r="F349" s="2656">
        <f t="shared" si="9"/>
        <v>5688.577166666666</v>
      </c>
      <c r="G349" s="841"/>
    </row>
    <row r="350" spans="1:7" ht="18" customHeight="1" x14ac:dyDescent="0.25">
      <c r="A350" s="2027">
        <v>45824</v>
      </c>
      <c r="B350" s="2654" t="s">
        <v>7912</v>
      </c>
      <c r="C350" s="1753" t="s">
        <v>7650</v>
      </c>
      <c r="D350" s="2676"/>
      <c r="E350" s="2676">
        <v>253.465</v>
      </c>
      <c r="F350" s="2656">
        <f t="shared" si="9"/>
        <v>5435.1121666666659</v>
      </c>
      <c r="G350" s="841"/>
    </row>
    <row r="351" spans="1:7" ht="18" customHeight="1" x14ac:dyDescent="0.25">
      <c r="A351" s="2027">
        <v>45824</v>
      </c>
      <c r="B351" s="2654" t="s">
        <v>7913</v>
      </c>
      <c r="C351" s="1753" t="s">
        <v>7650</v>
      </c>
      <c r="D351" s="2676"/>
      <c r="E351" s="2676">
        <v>60.656666666666666</v>
      </c>
      <c r="F351" s="2656">
        <f t="shared" si="9"/>
        <v>5374.4554999999991</v>
      </c>
      <c r="G351" s="841"/>
    </row>
    <row r="352" spans="1:7" ht="18" customHeight="1" x14ac:dyDescent="0.25">
      <c r="A352" s="2027">
        <v>45824</v>
      </c>
      <c r="B352" s="2654" t="s">
        <v>7914</v>
      </c>
      <c r="C352" s="1753" t="s">
        <v>7650</v>
      </c>
      <c r="D352" s="2676"/>
      <c r="E352" s="2676">
        <v>44.985000000000007</v>
      </c>
      <c r="F352" s="2656">
        <f t="shared" si="9"/>
        <v>5329.4704999999994</v>
      </c>
      <c r="G352" s="841"/>
    </row>
    <row r="353" spans="1:8" ht="18" customHeight="1" x14ac:dyDescent="0.25">
      <c r="A353" s="2027">
        <v>45824</v>
      </c>
      <c r="B353" s="2654" t="s">
        <v>7915</v>
      </c>
      <c r="C353" s="1753" t="s">
        <v>7650</v>
      </c>
      <c r="D353" s="2676"/>
      <c r="E353" s="2676">
        <v>8.9949999999999992</v>
      </c>
      <c r="F353" s="2656">
        <f t="shared" si="9"/>
        <v>5320.4754999999996</v>
      </c>
      <c r="G353" s="841"/>
    </row>
    <row r="354" spans="1:8" ht="18" customHeight="1" x14ac:dyDescent="0.25">
      <c r="A354" s="2027">
        <v>45824</v>
      </c>
      <c r="B354" s="2654" t="s">
        <v>7931</v>
      </c>
      <c r="C354" s="1753" t="s">
        <v>7650</v>
      </c>
      <c r="D354" s="2676"/>
      <c r="E354" s="2676">
        <v>8.3333333333333339</v>
      </c>
      <c r="F354" s="2656">
        <f t="shared" si="9"/>
        <v>5312.1421666666665</v>
      </c>
      <c r="G354" s="841"/>
    </row>
    <row r="355" spans="1:8" ht="18" customHeight="1" x14ac:dyDescent="0.25">
      <c r="A355" s="2027">
        <v>45824</v>
      </c>
      <c r="B355" s="2654" t="s">
        <v>7955</v>
      </c>
      <c r="C355" s="1753" t="s">
        <v>7650</v>
      </c>
      <c r="D355" s="2676"/>
      <c r="E355" s="2676">
        <v>50.857142857142854</v>
      </c>
      <c r="F355" s="2656">
        <f t="shared" si="9"/>
        <v>5261.2850238095234</v>
      </c>
      <c r="G355" s="841"/>
    </row>
    <row r="356" spans="1:8" ht="18" customHeight="1" x14ac:dyDescent="0.25">
      <c r="A356" s="2027">
        <v>45824</v>
      </c>
      <c r="B356" s="2654" t="s">
        <v>7963</v>
      </c>
      <c r="C356" s="1753" t="s">
        <v>7650</v>
      </c>
      <c r="D356" s="2676"/>
      <c r="E356" s="2676">
        <v>111.4</v>
      </c>
      <c r="F356" s="2656">
        <f t="shared" si="9"/>
        <v>5149.8850238095238</v>
      </c>
      <c r="G356" s="841"/>
    </row>
    <row r="357" spans="1:8" ht="18" customHeight="1" x14ac:dyDescent="0.25">
      <c r="A357" s="2027">
        <v>45824</v>
      </c>
      <c r="B357" s="2654" t="s">
        <v>7986</v>
      </c>
      <c r="C357" s="1753" t="s">
        <v>7650</v>
      </c>
      <c r="D357" s="2676"/>
      <c r="E357" s="2676">
        <v>600</v>
      </c>
      <c r="F357" s="2656">
        <f t="shared" si="9"/>
        <v>4549.8850238095238</v>
      </c>
      <c r="G357" s="841"/>
    </row>
    <row r="358" spans="1:8" ht="18" customHeight="1" x14ac:dyDescent="0.25">
      <c r="A358" s="2027">
        <v>45824</v>
      </c>
      <c r="B358" s="2654" t="s">
        <v>8018</v>
      </c>
      <c r="C358" s="1753" t="s">
        <v>7650</v>
      </c>
      <c r="D358" s="2676"/>
      <c r="E358" s="2676">
        <v>24</v>
      </c>
      <c r="F358" s="2656">
        <f t="shared" si="9"/>
        <v>4525.8850238095238</v>
      </c>
      <c r="G358" s="841"/>
    </row>
    <row r="359" spans="1:8" ht="18" customHeight="1" x14ac:dyDescent="0.25">
      <c r="A359" s="2176">
        <v>45831</v>
      </c>
      <c r="B359" s="2670" t="s">
        <v>7903</v>
      </c>
      <c r="C359" s="1746" t="s">
        <v>1486</v>
      </c>
      <c r="D359" s="2673">
        <v>1000</v>
      </c>
      <c r="E359" s="2676"/>
      <c r="F359" s="2656">
        <f t="shared" si="9"/>
        <v>5525.8850238095238</v>
      </c>
      <c r="G359" s="841"/>
    </row>
    <row r="360" spans="1:8" ht="18" customHeight="1" x14ac:dyDescent="0.25">
      <c r="A360" s="2027">
        <v>45834</v>
      </c>
      <c r="B360" s="2654" t="s">
        <v>8031</v>
      </c>
      <c r="C360" s="1753" t="s">
        <v>7650</v>
      </c>
      <c r="D360" s="2676"/>
      <c r="E360" s="2676">
        <v>600</v>
      </c>
      <c r="F360" s="2656">
        <f t="shared" si="9"/>
        <v>4925.8850238095238</v>
      </c>
      <c r="G360" s="841"/>
    </row>
    <row r="361" spans="1:8" ht="18" customHeight="1" x14ac:dyDescent="0.25">
      <c r="A361" s="2027">
        <v>45837</v>
      </c>
      <c r="B361" s="2654" t="s">
        <v>8034</v>
      </c>
      <c r="C361" s="1753" t="s">
        <v>7650</v>
      </c>
      <c r="D361" s="2676"/>
      <c r="E361" s="2676">
        <v>600</v>
      </c>
      <c r="F361" s="2656">
        <f t="shared" si="9"/>
        <v>4325.8850238095238</v>
      </c>
      <c r="G361" s="841"/>
    </row>
    <row r="362" spans="1:8" ht="18" customHeight="1" x14ac:dyDescent="0.25">
      <c r="A362" s="2176">
        <v>45838</v>
      </c>
      <c r="B362" s="2202" t="s">
        <v>6989</v>
      </c>
      <c r="C362" s="1746" t="s">
        <v>1486</v>
      </c>
      <c r="D362" s="2674">
        <f>'Junho-25'!K165</f>
        <v>67.7</v>
      </c>
      <c r="E362" s="2161"/>
      <c r="F362" s="2656">
        <f t="shared" si="9"/>
        <v>4393.5850238095236</v>
      </c>
      <c r="G362" s="841"/>
      <c r="H362" s="1"/>
    </row>
    <row r="363" spans="1:8" ht="18" customHeight="1" x14ac:dyDescent="0.25">
      <c r="A363" s="2027">
        <v>45840</v>
      </c>
      <c r="B363" s="2654" t="s">
        <v>8047</v>
      </c>
      <c r="C363" s="1753" t="s">
        <v>7650</v>
      </c>
      <c r="D363" s="2676"/>
      <c r="E363" s="2676">
        <v>192</v>
      </c>
      <c r="F363" s="2656">
        <f t="shared" si="9"/>
        <v>4201.5850238095236</v>
      </c>
      <c r="G363" s="841"/>
    </row>
    <row r="364" spans="1:8" ht="18" customHeight="1" x14ac:dyDescent="0.25">
      <c r="A364" s="2176">
        <v>45842</v>
      </c>
      <c r="B364" s="2670" t="s">
        <v>7849</v>
      </c>
      <c r="C364" s="1746" t="s">
        <v>1486</v>
      </c>
      <c r="D364" s="2673">
        <v>900</v>
      </c>
      <c r="E364" s="2676"/>
      <c r="F364" s="2656">
        <f t="shared" si="9"/>
        <v>5101.5850238095236</v>
      </c>
      <c r="G364" s="841"/>
    </row>
    <row r="365" spans="1:8" ht="18" customHeight="1" x14ac:dyDescent="0.25">
      <c r="A365" s="2027">
        <v>45842</v>
      </c>
      <c r="B365" s="2654" t="s">
        <v>8071</v>
      </c>
      <c r="C365" s="1753" t="s">
        <v>7650</v>
      </c>
      <c r="D365" s="2676"/>
      <c r="E365" s="2676">
        <v>600</v>
      </c>
      <c r="F365" s="2656">
        <f t="shared" si="9"/>
        <v>4501.5850238095236</v>
      </c>
      <c r="G365" s="841"/>
    </row>
    <row r="366" spans="1:8" ht="18" customHeight="1" x14ac:dyDescent="0.25">
      <c r="A366" s="2176">
        <v>45845</v>
      </c>
      <c r="B366" s="2670" t="s">
        <v>7849</v>
      </c>
      <c r="C366" s="1746" t="s">
        <v>1486</v>
      </c>
      <c r="D366" s="2673">
        <v>220</v>
      </c>
      <c r="E366" s="2676"/>
      <c r="F366" s="2656">
        <f t="shared" si="9"/>
        <v>4721.5850238095236</v>
      </c>
      <c r="G366" s="841"/>
    </row>
    <row r="367" spans="1:8" ht="18" customHeight="1" x14ac:dyDescent="0.25">
      <c r="A367" s="2027">
        <v>45845</v>
      </c>
      <c r="B367" s="2654" t="s">
        <v>8077</v>
      </c>
      <c r="C367" s="1753" t="s">
        <v>7650</v>
      </c>
      <c r="D367" s="2676"/>
      <c r="E367" s="2676">
        <v>20</v>
      </c>
      <c r="F367" s="2656">
        <f t="shared" si="9"/>
        <v>4701.5850238095236</v>
      </c>
      <c r="G367" s="841"/>
    </row>
    <row r="368" spans="1:8" ht="18" customHeight="1" x14ac:dyDescent="0.25">
      <c r="A368" s="2027">
        <v>45846</v>
      </c>
      <c r="B368" s="2654" t="s">
        <v>8086</v>
      </c>
      <c r="C368" s="1753" t="s">
        <v>7650</v>
      </c>
      <c r="D368" s="2676"/>
      <c r="E368" s="2676">
        <v>35.979999999999997</v>
      </c>
      <c r="F368" s="2656">
        <f t="shared" si="9"/>
        <v>4665.605023809524</v>
      </c>
      <c r="G368" s="841"/>
    </row>
    <row r="369" spans="1:7" ht="18" customHeight="1" x14ac:dyDescent="0.25">
      <c r="A369" s="2027">
        <v>45848</v>
      </c>
      <c r="B369" s="2654" t="s">
        <v>8087</v>
      </c>
      <c r="C369" s="1753" t="s">
        <v>7650</v>
      </c>
      <c r="D369" s="2676"/>
      <c r="E369" s="2676">
        <v>59</v>
      </c>
      <c r="F369" s="2656">
        <f t="shared" si="9"/>
        <v>4606.605023809524</v>
      </c>
      <c r="G369" s="841"/>
    </row>
    <row r="370" spans="1:7" ht="18" customHeight="1" x14ac:dyDescent="0.25">
      <c r="A370" s="2027">
        <v>45848</v>
      </c>
      <c r="B370" s="2654" t="s">
        <v>8090</v>
      </c>
      <c r="C370" s="1753" t="s">
        <v>7650</v>
      </c>
      <c r="D370" s="2676"/>
      <c r="E370" s="2676">
        <v>108</v>
      </c>
      <c r="F370" s="2656">
        <f t="shared" si="9"/>
        <v>4498.605023809524</v>
      </c>
      <c r="G370" s="841"/>
    </row>
    <row r="371" spans="1:7" ht="18" customHeight="1" x14ac:dyDescent="0.25">
      <c r="A371" s="2027">
        <v>45848</v>
      </c>
      <c r="B371" s="2654" t="s">
        <v>8104</v>
      </c>
      <c r="C371" s="1753" t="s">
        <v>7650</v>
      </c>
      <c r="D371" s="2676"/>
      <c r="E371" s="2676">
        <v>1000</v>
      </c>
      <c r="F371" s="2656">
        <f t="shared" si="9"/>
        <v>3498.605023809524</v>
      </c>
      <c r="G371" s="841"/>
    </row>
    <row r="372" spans="1:7" ht="18" customHeight="1" x14ac:dyDescent="0.25">
      <c r="A372" s="2027">
        <v>45852</v>
      </c>
      <c r="B372" s="2654" t="s">
        <v>8114</v>
      </c>
      <c r="C372" s="1753" t="s">
        <v>7650</v>
      </c>
      <c r="D372" s="2676"/>
      <c r="E372" s="2676">
        <v>600</v>
      </c>
      <c r="F372" s="2656">
        <f t="shared" si="9"/>
        <v>2898.605023809524</v>
      </c>
      <c r="G372" s="841"/>
    </row>
    <row r="373" spans="1:7" ht="18" customHeight="1" x14ac:dyDescent="0.25">
      <c r="A373" s="2027">
        <v>45852</v>
      </c>
      <c r="B373" s="2654" t="s">
        <v>8115</v>
      </c>
      <c r="C373" s="1753" t="s">
        <v>7650</v>
      </c>
      <c r="D373" s="2676"/>
      <c r="E373" s="2676">
        <v>200</v>
      </c>
      <c r="F373" s="2656">
        <f t="shared" si="9"/>
        <v>2698.605023809524</v>
      </c>
      <c r="G373" s="841"/>
    </row>
    <row r="374" spans="1:7" ht="18" customHeight="1" x14ac:dyDescent="0.25">
      <c r="A374" s="2176">
        <v>45856</v>
      </c>
      <c r="B374" s="2670" t="s">
        <v>7848</v>
      </c>
      <c r="C374" s="1746" t="s">
        <v>1486</v>
      </c>
      <c r="D374" s="2673">
        <v>2341.21</v>
      </c>
      <c r="E374" s="2676"/>
      <c r="F374" s="2656">
        <f t="shared" si="9"/>
        <v>5039.8150238095241</v>
      </c>
      <c r="G374" s="841"/>
    </row>
    <row r="375" spans="1:7" ht="18" customHeight="1" x14ac:dyDescent="0.25">
      <c r="A375" s="2176">
        <v>45856</v>
      </c>
      <c r="B375" s="2670" t="s">
        <v>7903</v>
      </c>
      <c r="C375" s="1746" t="s">
        <v>1486</v>
      </c>
      <c r="D375" s="2673">
        <v>800</v>
      </c>
      <c r="E375" s="2676"/>
      <c r="F375" s="2656">
        <f t="shared" si="9"/>
        <v>5839.8150238095241</v>
      </c>
      <c r="G375" s="841"/>
    </row>
    <row r="376" spans="1:7" ht="18" customHeight="1" x14ac:dyDescent="0.25">
      <c r="A376" s="2027">
        <v>45856</v>
      </c>
      <c r="B376" s="2654" t="s">
        <v>7776</v>
      </c>
      <c r="C376" s="1753" t="s">
        <v>7650</v>
      </c>
      <c r="D376" s="2676"/>
      <c r="E376" s="2676">
        <v>147.4975</v>
      </c>
      <c r="F376" s="2656">
        <f t="shared" si="9"/>
        <v>5692.3175238095237</v>
      </c>
      <c r="G376" s="841"/>
    </row>
    <row r="377" spans="1:7" ht="18" customHeight="1" x14ac:dyDescent="0.25">
      <c r="A377" s="2027">
        <v>45856</v>
      </c>
      <c r="B377" s="2654" t="s">
        <v>7769</v>
      </c>
      <c r="C377" s="1753" t="s">
        <v>7650</v>
      </c>
      <c r="D377" s="2676"/>
      <c r="E377" s="2676">
        <v>147.4975</v>
      </c>
      <c r="F377" s="2656">
        <f t="shared" si="9"/>
        <v>5544.8200238095233</v>
      </c>
      <c r="G377" s="841"/>
    </row>
    <row r="378" spans="1:7" ht="18" customHeight="1" x14ac:dyDescent="0.25">
      <c r="A378" s="2027">
        <v>45856</v>
      </c>
      <c r="B378" s="2654" t="s">
        <v>7770</v>
      </c>
      <c r="C378" s="1753" t="s">
        <v>7650</v>
      </c>
      <c r="D378" s="2676"/>
      <c r="E378" s="2676">
        <v>474.9975</v>
      </c>
      <c r="F378" s="2656">
        <f t="shared" si="9"/>
        <v>5069.8225238095229</v>
      </c>
      <c r="G378" s="841"/>
    </row>
    <row r="379" spans="1:7" ht="18" customHeight="1" x14ac:dyDescent="0.25">
      <c r="A379" s="2027">
        <v>45856</v>
      </c>
      <c r="B379" s="2654" t="s">
        <v>7771</v>
      </c>
      <c r="C379" s="1753" t="s">
        <v>7650</v>
      </c>
      <c r="D379" s="2676"/>
      <c r="E379" s="2676">
        <v>174.9975</v>
      </c>
      <c r="F379" s="2657">
        <f t="shared" si="9"/>
        <v>4894.8250238095225</v>
      </c>
      <c r="G379" s="841"/>
    </row>
    <row r="380" spans="1:7" ht="18" customHeight="1" x14ac:dyDescent="0.25">
      <c r="A380" s="2027">
        <v>45856</v>
      </c>
      <c r="B380" s="2654" t="s">
        <v>7772</v>
      </c>
      <c r="C380" s="1753" t="s">
        <v>7650</v>
      </c>
      <c r="D380" s="2676"/>
      <c r="E380" s="2676">
        <v>157.4975</v>
      </c>
      <c r="F380" s="2657">
        <f t="shared" si="9"/>
        <v>4737.3275238095221</v>
      </c>
      <c r="G380" s="841"/>
    </row>
    <row r="381" spans="1:7" ht="18" customHeight="1" x14ac:dyDescent="0.25">
      <c r="A381" s="2027">
        <v>45856</v>
      </c>
      <c r="B381" s="2654" t="s">
        <v>7773</v>
      </c>
      <c r="C381" s="1753" t="s">
        <v>7650</v>
      </c>
      <c r="D381" s="2676"/>
      <c r="E381" s="2676">
        <v>274.9975</v>
      </c>
      <c r="F381" s="2657">
        <f t="shared" si="9"/>
        <v>4462.3300238095217</v>
      </c>
      <c r="G381" s="841"/>
    </row>
    <row r="382" spans="1:7" ht="18" customHeight="1" x14ac:dyDescent="0.25">
      <c r="A382" s="2027">
        <v>45856</v>
      </c>
      <c r="B382" s="2654" t="s">
        <v>7774</v>
      </c>
      <c r="C382" s="1753" t="s">
        <v>7650</v>
      </c>
      <c r="D382" s="2676"/>
      <c r="E382" s="2676">
        <v>149.9975</v>
      </c>
      <c r="F382" s="2657">
        <f t="shared" si="9"/>
        <v>4312.3325238095213</v>
      </c>
      <c r="G382" s="841"/>
    </row>
    <row r="383" spans="1:7" ht="18" customHeight="1" x14ac:dyDescent="0.25">
      <c r="A383" s="2027">
        <v>45856</v>
      </c>
      <c r="B383" s="2654" t="s">
        <v>7775</v>
      </c>
      <c r="C383" s="1753" t="s">
        <v>7650</v>
      </c>
      <c r="D383" s="2676"/>
      <c r="E383" s="2676">
        <v>15</v>
      </c>
      <c r="F383" s="2657">
        <f t="shared" si="9"/>
        <v>4297.3325238095213</v>
      </c>
      <c r="G383" s="841"/>
    </row>
    <row r="384" spans="1:7" ht="18" customHeight="1" x14ac:dyDescent="0.25">
      <c r="A384" s="2027">
        <v>45856</v>
      </c>
      <c r="B384" s="2654" t="s">
        <v>7888</v>
      </c>
      <c r="C384" s="1753" t="s">
        <v>7650</v>
      </c>
      <c r="D384" s="2676"/>
      <c r="E384" s="2676">
        <v>1500</v>
      </c>
      <c r="F384" s="2657">
        <f t="shared" si="9"/>
        <v>2797.3325238095213</v>
      </c>
      <c r="G384" s="841"/>
    </row>
    <row r="385" spans="1:7" ht="18" customHeight="1" x14ac:dyDescent="0.25">
      <c r="A385" s="2027">
        <v>45856</v>
      </c>
      <c r="B385" s="2654" t="s">
        <v>7869</v>
      </c>
      <c r="C385" s="1753" t="s">
        <v>7650</v>
      </c>
      <c r="D385" s="2676"/>
      <c r="E385" s="2676">
        <v>118.136</v>
      </c>
      <c r="F385" s="2657">
        <f t="shared" si="9"/>
        <v>2679.1965238095213</v>
      </c>
      <c r="G385" s="841"/>
    </row>
    <row r="386" spans="1:7" ht="18" customHeight="1" x14ac:dyDescent="0.25">
      <c r="A386" s="2027">
        <v>45856</v>
      </c>
      <c r="B386" s="2654" t="s">
        <v>7916</v>
      </c>
      <c r="C386" s="1753" t="s">
        <v>7650</v>
      </c>
      <c r="D386" s="2676"/>
      <c r="E386" s="2676">
        <v>253.465</v>
      </c>
      <c r="F386" s="2657">
        <f t="shared" si="9"/>
        <v>2425.7315238095211</v>
      </c>
      <c r="G386" s="841"/>
    </row>
    <row r="387" spans="1:7" ht="18" customHeight="1" x14ac:dyDescent="0.25">
      <c r="A387" s="2027">
        <v>45856</v>
      </c>
      <c r="B387" s="2654" t="s">
        <v>7917</v>
      </c>
      <c r="C387" s="1753" t="s">
        <v>7650</v>
      </c>
      <c r="D387" s="2676"/>
      <c r="E387" s="2676">
        <v>60.656666666666666</v>
      </c>
      <c r="F387" s="2657">
        <f t="shared" si="9"/>
        <v>2365.0748571428544</v>
      </c>
      <c r="G387" s="841"/>
    </row>
    <row r="388" spans="1:7" ht="18" customHeight="1" x14ac:dyDescent="0.25">
      <c r="A388" s="2027">
        <v>45856</v>
      </c>
      <c r="B388" s="2654" t="s">
        <v>7918</v>
      </c>
      <c r="C388" s="1753" t="s">
        <v>7650</v>
      </c>
      <c r="D388" s="2676"/>
      <c r="E388" s="2676">
        <v>44.985000000000007</v>
      </c>
      <c r="F388" s="2657">
        <f t="shared" si="9"/>
        <v>2320.0898571428543</v>
      </c>
      <c r="G388" s="841"/>
    </row>
    <row r="389" spans="1:7" ht="18" customHeight="1" x14ac:dyDescent="0.25">
      <c r="A389" s="2027">
        <v>45856</v>
      </c>
      <c r="B389" s="2654" t="s">
        <v>7919</v>
      </c>
      <c r="C389" s="1753" t="s">
        <v>7650</v>
      </c>
      <c r="D389" s="2676"/>
      <c r="E389" s="2676">
        <v>8.9949999999999992</v>
      </c>
      <c r="F389" s="2657">
        <f t="shared" si="9"/>
        <v>2311.0948571428544</v>
      </c>
      <c r="G389" s="841"/>
    </row>
    <row r="390" spans="1:7" ht="18" customHeight="1" x14ac:dyDescent="0.25">
      <c r="A390" s="2027">
        <v>45856</v>
      </c>
      <c r="B390" s="2654" t="s">
        <v>7932</v>
      </c>
      <c r="C390" s="1753" t="s">
        <v>7650</v>
      </c>
      <c r="D390" s="2676"/>
      <c r="E390" s="2676">
        <v>8.3333333333333339</v>
      </c>
      <c r="F390" s="2657">
        <f>F389+D390-E390</f>
        <v>2302.7615238095209</v>
      </c>
      <c r="G390" s="841"/>
    </row>
    <row r="391" spans="1:7" ht="18" customHeight="1" x14ac:dyDescent="0.25">
      <c r="A391" s="2027">
        <v>45856</v>
      </c>
      <c r="B391" s="2654" t="s">
        <v>7956</v>
      </c>
      <c r="C391" s="1753" t="s">
        <v>7650</v>
      </c>
      <c r="D391" s="2676"/>
      <c r="E391" s="2676">
        <v>50.857142857142854</v>
      </c>
      <c r="F391" s="2657">
        <f t="shared" ref="F391:F394" si="10">F390+D391-E391</f>
        <v>2251.9043809523782</v>
      </c>
      <c r="G391" s="841"/>
    </row>
    <row r="392" spans="1:7" ht="18" customHeight="1" x14ac:dyDescent="0.25">
      <c r="A392" s="2027">
        <v>45856</v>
      </c>
      <c r="B392" s="2654" t="s">
        <v>7964</v>
      </c>
      <c r="C392" s="1753" t="s">
        <v>7650</v>
      </c>
      <c r="D392" s="2676"/>
      <c r="E392" s="2676">
        <v>111.4</v>
      </c>
      <c r="F392" s="2657">
        <f t="shared" si="10"/>
        <v>2140.5043809523781</v>
      </c>
      <c r="G392" s="841"/>
    </row>
    <row r="393" spans="1:7" ht="18" customHeight="1" x14ac:dyDescent="0.25">
      <c r="A393" s="2027">
        <v>45856</v>
      </c>
      <c r="B393" s="2654" t="s">
        <v>8041</v>
      </c>
      <c r="C393" s="1753" t="s">
        <v>7650</v>
      </c>
      <c r="D393" s="2676"/>
      <c r="E393" s="2676">
        <v>430</v>
      </c>
      <c r="F393" s="2657">
        <f t="shared" si="10"/>
        <v>1710.5043809523781</v>
      </c>
      <c r="G393" s="841"/>
    </row>
    <row r="394" spans="1:7" ht="18" customHeight="1" x14ac:dyDescent="0.25">
      <c r="A394" s="2027">
        <v>45856</v>
      </c>
      <c r="B394" s="2654" t="s">
        <v>7975</v>
      </c>
      <c r="C394" s="1753" t="s">
        <v>7650</v>
      </c>
      <c r="D394" s="2810"/>
      <c r="E394" s="2159">
        <v>110.26</v>
      </c>
      <c r="F394" s="2657">
        <f t="shared" si="10"/>
        <v>1600.2443809523782</v>
      </c>
      <c r="G394" s="841"/>
    </row>
    <row r="395" spans="1:7" ht="18" customHeight="1" x14ac:dyDescent="0.25">
      <c r="A395" s="2027">
        <v>45856</v>
      </c>
      <c r="B395" s="2654" t="s">
        <v>8023</v>
      </c>
      <c r="C395" s="1753" t="s">
        <v>7650</v>
      </c>
      <c r="D395" s="2810"/>
      <c r="E395" s="2159">
        <v>148.78</v>
      </c>
      <c r="F395" s="2657">
        <f>F394+D395-E395</f>
        <v>1451.4643809523782</v>
      </c>
      <c r="G395" s="841"/>
    </row>
    <row r="396" spans="1:7" ht="18" customHeight="1" x14ac:dyDescent="0.25">
      <c r="A396" s="2027">
        <v>45856</v>
      </c>
      <c r="B396" s="2654" t="s">
        <v>8042</v>
      </c>
      <c r="C396" s="1753" t="s">
        <v>7650</v>
      </c>
      <c r="D396" s="2810"/>
      <c r="E396" s="2159">
        <v>252.59</v>
      </c>
      <c r="F396" s="2657">
        <f t="shared" ref="F396:F460" si="11">F395+D396-E396</f>
        <v>1198.8743809523783</v>
      </c>
      <c r="G396" s="841"/>
    </row>
    <row r="397" spans="1:7" ht="18" customHeight="1" x14ac:dyDescent="0.25">
      <c r="A397" s="2027">
        <v>45856</v>
      </c>
      <c r="B397" s="2654" t="s">
        <v>8111</v>
      </c>
      <c r="C397" s="1753" t="s">
        <v>7650</v>
      </c>
      <c r="E397" s="2159">
        <v>53.591428571428573</v>
      </c>
      <c r="F397" s="2657">
        <f t="shared" si="11"/>
        <v>1145.2829523809496</v>
      </c>
      <c r="G397" s="841"/>
    </row>
    <row r="398" spans="1:7" ht="18" customHeight="1" x14ac:dyDescent="0.25">
      <c r="A398" s="2176">
        <v>45869</v>
      </c>
      <c r="B398" s="2670" t="s">
        <v>6989</v>
      </c>
      <c r="C398" s="1746" t="s">
        <v>1486</v>
      </c>
      <c r="D398" s="2811">
        <f>'Julho-25'!K184</f>
        <v>44.79</v>
      </c>
      <c r="E398" s="2159"/>
      <c r="F398" s="2657">
        <f t="shared" si="11"/>
        <v>1190.0729523809496</v>
      </c>
      <c r="G398" s="841"/>
    </row>
    <row r="399" spans="1:7" ht="18" customHeight="1" x14ac:dyDescent="0.25">
      <c r="A399" s="2176">
        <v>45875</v>
      </c>
      <c r="B399" s="2670" t="s">
        <v>7849</v>
      </c>
      <c r="C399" s="1746" t="s">
        <v>1486</v>
      </c>
      <c r="D399" s="2812">
        <v>700</v>
      </c>
      <c r="E399" s="2159"/>
      <c r="F399" s="2657">
        <f t="shared" si="11"/>
        <v>1890.0729523809496</v>
      </c>
      <c r="G399" s="841"/>
    </row>
    <row r="400" spans="1:7" ht="18" customHeight="1" x14ac:dyDescent="0.25">
      <c r="A400" s="2027">
        <v>45875</v>
      </c>
      <c r="B400" s="2654" t="s">
        <v>8187</v>
      </c>
      <c r="C400" s="1753" t="s">
        <v>7650</v>
      </c>
      <c r="D400" s="2676"/>
      <c r="E400" s="2676">
        <v>43.14</v>
      </c>
      <c r="F400" s="2657">
        <f t="shared" si="11"/>
        <v>1846.9329523809495</v>
      </c>
      <c r="G400" s="841"/>
    </row>
    <row r="401" spans="1:12" ht="18" customHeight="1" x14ac:dyDescent="0.25">
      <c r="A401" s="2027">
        <v>45875</v>
      </c>
      <c r="B401" s="2654" t="s">
        <v>8191</v>
      </c>
      <c r="C401" s="1753" t="s">
        <v>7650</v>
      </c>
      <c r="D401" s="2676"/>
      <c r="E401" s="2676">
        <v>157</v>
      </c>
      <c r="F401" s="2657">
        <f t="shared" si="11"/>
        <v>1689.9329523809495</v>
      </c>
      <c r="G401" s="841"/>
    </row>
    <row r="402" spans="1:12" ht="18" customHeight="1" x14ac:dyDescent="0.25">
      <c r="A402" s="2027">
        <v>45882</v>
      </c>
      <c r="B402" s="2654" t="s">
        <v>8204</v>
      </c>
      <c r="C402" s="1753" t="s">
        <v>7650</v>
      </c>
      <c r="D402" s="2674"/>
      <c r="E402" s="2161">
        <v>102.05</v>
      </c>
      <c r="F402" s="2657">
        <f t="shared" si="11"/>
        <v>1587.8829523809495</v>
      </c>
      <c r="G402" s="841"/>
      <c r="H402" s="717"/>
      <c r="I402" s="717"/>
      <c r="J402" s="717"/>
      <c r="K402" s="717"/>
      <c r="L402" s="717"/>
    </row>
    <row r="403" spans="1:12" ht="18" customHeight="1" x14ac:dyDescent="0.25">
      <c r="A403" s="2027">
        <v>45883</v>
      </c>
      <c r="B403" s="2654" t="s">
        <v>8210</v>
      </c>
      <c r="C403" s="1753" t="s">
        <v>7650</v>
      </c>
      <c r="D403" s="2674"/>
      <c r="E403" s="2161">
        <v>29</v>
      </c>
      <c r="F403" s="2657">
        <f t="shared" si="11"/>
        <v>1558.8829523809495</v>
      </c>
      <c r="G403" s="841"/>
      <c r="H403" s="1543"/>
      <c r="I403" s="1543"/>
      <c r="J403" s="717"/>
    </row>
    <row r="404" spans="1:12" ht="18" customHeight="1" x14ac:dyDescent="0.25">
      <c r="A404" s="2027">
        <v>45883</v>
      </c>
      <c r="B404" s="2654" t="s">
        <v>8206</v>
      </c>
      <c r="C404" s="1753" t="s">
        <v>7650</v>
      </c>
      <c r="D404" s="2674"/>
      <c r="E404" s="2675">
        <v>400</v>
      </c>
      <c r="F404" s="2657">
        <f t="shared" si="11"/>
        <v>1158.8829523809495</v>
      </c>
      <c r="G404" s="841"/>
      <c r="H404" s="1543"/>
      <c r="I404" s="1543"/>
      <c r="J404" s="717"/>
    </row>
    <row r="405" spans="1:12" ht="18" customHeight="1" x14ac:dyDescent="0.25">
      <c r="A405" s="2176">
        <v>45889</v>
      </c>
      <c r="B405" s="2670" t="s">
        <v>7903</v>
      </c>
      <c r="C405" s="1746" t="s">
        <v>1486</v>
      </c>
      <c r="D405" s="2673">
        <v>700</v>
      </c>
      <c r="E405" s="2675"/>
      <c r="F405" s="2657">
        <f t="shared" si="11"/>
        <v>1858.8829523809495</v>
      </c>
      <c r="G405" s="841"/>
      <c r="H405" s="1543"/>
      <c r="I405" s="1543"/>
      <c r="J405" s="717"/>
    </row>
    <row r="406" spans="1:12" ht="18" customHeight="1" x14ac:dyDescent="0.25">
      <c r="A406" s="2027">
        <v>45889</v>
      </c>
      <c r="B406" s="2654" t="s">
        <v>7889</v>
      </c>
      <c r="C406" s="1753" t="s">
        <v>7650</v>
      </c>
      <c r="D406" s="2673"/>
      <c r="E406" s="2675">
        <v>118.136</v>
      </c>
      <c r="F406" s="2657">
        <f t="shared" si="11"/>
        <v>1740.7469523809496</v>
      </c>
      <c r="G406" s="841"/>
      <c r="H406" s="1543"/>
      <c r="I406" s="1543"/>
      <c r="J406" s="717"/>
    </row>
    <row r="407" spans="1:12" ht="18" customHeight="1" x14ac:dyDescent="0.25">
      <c r="A407" s="2027">
        <v>45889</v>
      </c>
      <c r="B407" s="2654" t="s">
        <v>7920</v>
      </c>
      <c r="C407" s="1753" t="s">
        <v>7650</v>
      </c>
      <c r="D407" s="2673"/>
      <c r="E407" s="2675">
        <v>253.465</v>
      </c>
      <c r="F407" s="2657">
        <f t="shared" si="11"/>
        <v>1487.2819523809496</v>
      </c>
      <c r="G407" s="841"/>
      <c r="H407" s="1543"/>
      <c r="I407" s="1543"/>
      <c r="J407" s="717"/>
    </row>
    <row r="408" spans="1:12" ht="18" customHeight="1" x14ac:dyDescent="0.25">
      <c r="A408" s="2027">
        <v>45889</v>
      </c>
      <c r="B408" s="2654" t="s">
        <v>7921</v>
      </c>
      <c r="C408" s="1753" t="s">
        <v>7650</v>
      </c>
      <c r="D408" s="2673"/>
      <c r="E408" s="2675">
        <v>60.656666666666666</v>
      </c>
      <c r="F408" s="2657">
        <f t="shared" si="11"/>
        <v>1426.6252857142829</v>
      </c>
      <c r="G408" s="841"/>
      <c r="H408" s="1543"/>
      <c r="I408" s="1543"/>
      <c r="J408" s="717"/>
    </row>
    <row r="409" spans="1:12" ht="18" customHeight="1" x14ac:dyDescent="0.25">
      <c r="A409" s="2027">
        <v>45889</v>
      </c>
      <c r="B409" s="2654" t="s">
        <v>7922</v>
      </c>
      <c r="C409" s="1753" t="s">
        <v>7650</v>
      </c>
      <c r="D409" s="2673"/>
      <c r="E409" s="2675">
        <v>44.985000000000007</v>
      </c>
      <c r="F409" s="2657">
        <f t="shared" si="11"/>
        <v>1381.640285714283</v>
      </c>
      <c r="G409" s="841"/>
      <c r="H409" s="1543"/>
      <c r="I409" s="1543"/>
      <c r="J409" s="717"/>
    </row>
    <row r="410" spans="1:12" ht="18" customHeight="1" x14ac:dyDescent="0.25">
      <c r="A410" s="2027">
        <v>45889</v>
      </c>
      <c r="B410" s="2654" t="s">
        <v>7923</v>
      </c>
      <c r="C410" s="1753" t="s">
        <v>7650</v>
      </c>
      <c r="D410" s="2673"/>
      <c r="E410" s="2675">
        <v>8.9949999999999992</v>
      </c>
      <c r="F410" s="2657">
        <f t="shared" si="11"/>
        <v>1372.6452857142831</v>
      </c>
      <c r="G410" s="841"/>
      <c r="H410" s="1543"/>
      <c r="I410" s="1543"/>
      <c r="J410" s="717"/>
    </row>
    <row r="411" spans="1:12" ht="18" customHeight="1" x14ac:dyDescent="0.25">
      <c r="A411" s="2027">
        <v>45889</v>
      </c>
      <c r="B411" s="2654" t="s">
        <v>7933</v>
      </c>
      <c r="C411" s="1753" t="s">
        <v>7650</v>
      </c>
      <c r="D411" s="2673"/>
      <c r="E411" s="2675">
        <v>8.3333333333333339</v>
      </c>
      <c r="F411" s="2657">
        <f t="shared" si="11"/>
        <v>1364.3119523809498</v>
      </c>
      <c r="G411" s="841"/>
      <c r="H411" s="1543"/>
      <c r="I411" s="1543"/>
      <c r="J411" s="717"/>
    </row>
    <row r="412" spans="1:12" ht="18" customHeight="1" x14ac:dyDescent="0.25">
      <c r="A412" s="2027">
        <v>45889</v>
      </c>
      <c r="B412" s="2654" t="s">
        <v>7957</v>
      </c>
      <c r="C412" s="1753" t="s">
        <v>7650</v>
      </c>
      <c r="D412" s="2673"/>
      <c r="E412" s="2675">
        <v>50.857142857142854</v>
      </c>
      <c r="F412" s="2657">
        <f t="shared" si="11"/>
        <v>1313.4548095238069</v>
      </c>
      <c r="G412" s="841"/>
      <c r="H412" s="1543"/>
      <c r="I412" s="1543"/>
      <c r="J412" s="717"/>
    </row>
    <row r="413" spans="1:12" ht="18" customHeight="1" x14ac:dyDescent="0.25">
      <c r="A413" s="2027">
        <v>45889</v>
      </c>
      <c r="B413" s="2654" t="s">
        <v>7965</v>
      </c>
      <c r="C413" s="1753" t="s">
        <v>7650</v>
      </c>
      <c r="D413" s="2673"/>
      <c r="E413" s="2675">
        <v>111.4</v>
      </c>
      <c r="F413" s="2657">
        <f t="shared" si="11"/>
        <v>1202.0548095238069</v>
      </c>
      <c r="G413" s="841"/>
      <c r="H413" s="1543"/>
      <c r="I413" s="1543"/>
      <c r="J413" s="717"/>
    </row>
    <row r="414" spans="1:12" ht="18" customHeight="1" x14ac:dyDescent="0.25">
      <c r="A414" s="2027">
        <v>45889</v>
      </c>
      <c r="B414" s="2654" t="s">
        <v>8130</v>
      </c>
      <c r="C414" s="1753" t="s">
        <v>7650</v>
      </c>
      <c r="D414" s="2674"/>
      <c r="E414" s="2675">
        <v>430</v>
      </c>
      <c r="F414" s="2657">
        <f t="shared" si="11"/>
        <v>772.05480952380685</v>
      </c>
      <c r="G414" s="841"/>
      <c r="H414" s="1543"/>
      <c r="I414" s="1543"/>
      <c r="J414" s="717"/>
    </row>
    <row r="415" spans="1:12" ht="18" customHeight="1" x14ac:dyDescent="0.25">
      <c r="A415" s="2027">
        <v>45889</v>
      </c>
      <c r="B415" s="2654" t="s">
        <v>8051</v>
      </c>
      <c r="C415" s="1753" t="s">
        <v>7650</v>
      </c>
      <c r="D415" s="2674"/>
      <c r="E415" s="2675">
        <v>252.59</v>
      </c>
      <c r="F415" s="2657">
        <f t="shared" si="11"/>
        <v>519.46480952380682</v>
      </c>
      <c r="G415" s="841"/>
      <c r="H415" s="1543"/>
      <c r="I415" s="1543"/>
      <c r="J415" s="717"/>
    </row>
    <row r="416" spans="1:12" ht="18" customHeight="1" x14ac:dyDescent="0.25">
      <c r="A416" s="2027">
        <v>45889</v>
      </c>
      <c r="B416" s="2654" t="s">
        <v>8112</v>
      </c>
      <c r="C416" s="1753" t="s">
        <v>7650</v>
      </c>
      <c r="D416" s="2674"/>
      <c r="E416" s="2675">
        <v>53.591428571428573</v>
      </c>
      <c r="F416" s="2657">
        <f t="shared" si="11"/>
        <v>465.87338095237823</v>
      </c>
      <c r="G416" s="841"/>
      <c r="H416" s="1543"/>
      <c r="I416" s="1543"/>
      <c r="J416" s="717"/>
    </row>
    <row r="417" spans="1:10" ht="18" customHeight="1" x14ac:dyDescent="0.25">
      <c r="A417" s="2027">
        <v>45889</v>
      </c>
      <c r="B417" s="2654" t="s">
        <v>8085</v>
      </c>
      <c r="C417" s="1753" t="s">
        <v>7650</v>
      </c>
      <c r="D417" s="2674"/>
      <c r="E417" s="2675">
        <v>29.44</v>
      </c>
      <c r="F417" s="2657">
        <f t="shared" si="11"/>
        <v>436.43338095237823</v>
      </c>
      <c r="G417" s="841"/>
      <c r="H417" s="1543"/>
      <c r="I417" s="1543"/>
      <c r="J417" s="717"/>
    </row>
    <row r="418" spans="1:10" ht="18" customHeight="1" x14ac:dyDescent="0.25">
      <c r="A418" s="2027">
        <v>45889</v>
      </c>
      <c r="B418" s="2654" t="s">
        <v>8173</v>
      </c>
      <c r="C418" s="1753" t="s">
        <v>7650</v>
      </c>
      <c r="D418" s="2674"/>
      <c r="E418" s="2675">
        <v>149.10666666666665</v>
      </c>
      <c r="F418" s="2657">
        <f t="shared" si="11"/>
        <v>287.32671428571155</v>
      </c>
      <c r="G418" s="841"/>
      <c r="H418" s="1543"/>
      <c r="I418" s="1543"/>
      <c r="J418" s="717"/>
    </row>
    <row r="419" spans="1:10" ht="18" customHeight="1" x14ac:dyDescent="0.25">
      <c r="A419" s="2176">
        <v>45900</v>
      </c>
      <c r="B419" s="2202" t="s">
        <v>6989</v>
      </c>
      <c r="C419" s="1746" t="s">
        <v>1486</v>
      </c>
      <c r="D419" s="1860">
        <f>'Agosto-25'!K169</f>
        <v>9.11</v>
      </c>
      <c r="E419" s="2161"/>
      <c r="F419" s="2657">
        <f t="shared" si="11"/>
        <v>296.43671428571156</v>
      </c>
      <c r="G419" s="841"/>
      <c r="H419" s="1543"/>
      <c r="I419" s="1543"/>
      <c r="J419" s="717"/>
    </row>
    <row r="420" spans="1:10" ht="18" customHeight="1" x14ac:dyDescent="0.25">
      <c r="A420" s="2176">
        <v>45905</v>
      </c>
      <c r="B420" s="2670" t="s">
        <v>7849</v>
      </c>
      <c r="C420" s="1746" t="s">
        <v>1486</v>
      </c>
      <c r="D420" s="2812">
        <v>800</v>
      </c>
      <c r="E420" s="2161"/>
      <c r="F420" s="2657">
        <f t="shared" si="11"/>
        <v>1096.4367142857116</v>
      </c>
      <c r="G420" s="841"/>
      <c r="H420" s="1543"/>
      <c r="I420" s="1543"/>
      <c r="J420" s="717"/>
    </row>
    <row r="421" spans="1:10" ht="18" customHeight="1" x14ac:dyDescent="0.25">
      <c r="A421" s="2176">
        <v>45919</v>
      </c>
      <c r="B421" s="2670" t="s">
        <v>8276</v>
      </c>
      <c r="C421" s="1746" t="s">
        <v>1486</v>
      </c>
      <c r="D421" s="2812">
        <v>800</v>
      </c>
      <c r="E421" s="2161"/>
      <c r="F421" s="2657">
        <f t="shared" si="11"/>
        <v>1896.4367142857116</v>
      </c>
      <c r="G421" s="841"/>
      <c r="H421" s="1543"/>
      <c r="I421" s="1543"/>
      <c r="J421" s="717"/>
    </row>
    <row r="422" spans="1:10" ht="18" customHeight="1" x14ac:dyDescent="0.25">
      <c r="A422" s="2027">
        <v>45910</v>
      </c>
      <c r="B422" s="2654" t="s">
        <v>8249</v>
      </c>
      <c r="C422" s="1753" t="s">
        <v>7650</v>
      </c>
      <c r="D422" s="2674"/>
      <c r="E422" s="2675">
        <v>24.9</v>
      </c>
      <c r="F422" s="2657">
        <f t="shared" si="11"/>
        <v>1871.5367142857115</v>
      </c>
      <c r="G422" s="841"/>
      <c r="H422" s="1543"/>
      <c r="I422" s="1543"/>
      <c r="J422" s="717"/>
    </row>
    <row r="423" spans="1:10" ht="18" customHeight="1" x14ac:dyDescent="0.25">
      <c r="A423" s="2027">
        <v>45910</v>
      </c>
      <c r="B423" s="2654" t="s">
        <v>8250</v>
      </c>
      <c r="C423" s="1753" t="s">
        <v>7650</v>
      </c>
      <c r="D423" s="2674"/>
      <c r="E423" s="2675">
        <v>61.7</v>
      </c>
      <c r="F423" s="2657">
        <f t="shared" si="11"/>
        <v>1809.8367142857114</v>
      </c>
      <c r="G423" s="841"/>
      <c r="H423" s="1543"/>
      <c r="I423" s="1543"/>
      <c r="J423" s="717"/>
    </row>
    <row r="424" spans="1:10" ht="18" customHeight="1" x14ac:dyDescent="0.25">
      <c r="A424" s="2027">
        <v>45910</v>
      </c>
      <c r="B424" s="2654" t="s">
        <v>8251</v>
      </c>
      <c r="C424" s="1753" t="s">
        <v>7650</v>
      </c>
      <c r="D424" s="2674"/>
      <c r="E424" s="2675">
        <v>71.7</v>
      </c>
      <c r="F424" s="2657">
        <f t="shared" si="11"/>
        <v>1738.1367142857114</v>
      </c>
      <c r="G424" s="841"/>
      <c r="H424" s="1543"/>
      <c r="I424" s="1543"/>
      <c r="J424" s="717"/>
    </row>
    <row r="425" spans="1:10" ht="18" customHeight="1" x14ac:dyDescent="0.25">
      <c r="A425" s="2027">
        <v>45919</v>
      </c>
      <c r="B425" s="2654" t="s">
        <v>8009</v>
      </c>
      <c r="C425" s="1753" t="s">
        <v>7650</v>
      </c>
      <c r="D425" s="2674"/>
      <c r="E425" s="2675">
        <v>118.136</v>
      </c>
      <c r="F425" s="2657">
        <f t="shared" si="11"/>
        <v>1620.0007142857114</v>
      </c>
      <c r="G425" s="841"/>
      <c r="H425" s="1543"/>
      <c r="I425" s="1543"/>
      <c r="J425" s="717"/>
    </row>
    <row r="426" spans="1:10" ht="18" customHeight="1" x14ac:dyDescent="0.25">
      <c r="A426" s="2027">
        <v>45919</v>
      </c>
      <c r="B426" s="2654" t="s">
        <v>8010</v>
      </c>
      <c r="C426" s="1753" t="s">
        <v>7650</v>
      </c>
      <c r="D426" s="2674"/>
      <c r="E426" s="2675">
        <v>253.465</v>
      </c>
      <c r="F426" s="2657">
        <f t="shared" si="11"/>
        <v>1366.5357142857115</v>
      </c>
      <c r="G426" s="841"/>
      <c r="H426" s="1543"/>
      <c r="I426" s="1543"/>
      <c r="J426" s="717"/>
    </row>
    <row r="427" spans="1:10" ht="18" customHeight="1" x14ac:dyDescent="0.25">
      <c r="A427" s="2027">
        <v>45919</v>
      </c>
      <c r="B427" s="2654" t="s">
        <v>8011</v>
      </c>
      <c r="C427" s="1753" t="s">
        <v>7650</v>
      </c>
      <c r="D427" s="2674"/>
      <c r="E427" s="2675">
        <v>60.656666666666666</v>
      </c>
      <c r="F427" s="2657">
        <f t="shared" si="11"/>
        <v>1305.8790476190447</v>
      </c>
      <c r="G427" s="841"/>
      <c r="H427" s="1543"/>
      <c r="I427" s="1543"/>
      <c r="J427" s="717"/>
    </row>
    <row r="428" spans="1:10" ht="18" customHeight="1" x14ac:dyDescent="0.25">
      <c r="A428" s="2027">
        <v>45919</v>
      </c>
      <c r="B428" s="2654" t="s">
        <v>8012</v>
      </c>
      <c r="C428" s="1753" t="s">
        <v>7650</v>
      </c>
      <c r="D428" s="2674"/>
      <c r="E428" s="2675">
        <v>44.985000000000007</v>
      </c>
      <c r="F428" s="2657">
        <f t="shared" si="11"/>
        <v>1260.8940476190448</v>
      </c>
      <c r="G428" s="841"/>
      <c r="H428" s="1543"/>
      <c r="I428" s="1543"/>
      <c r="J428" s="717"/>
    </row>
    <row r="429" spans="1:10" ht="18" customHeight="1" x14ac:dyDescent="0.25">
      <c r="A429" s="2027">
        <v>45919</v>
      </c>
      <c r="B429" s="2654" t="s">
        <v>8013</v>
      </c>
      <c r="C429" s="1753" t="s">
        <v>7650</v>
      </c>
      <c r="D429" s="2674"/>
      <c r="E429" s="2675">
        <v>8.9949999999999992</v>
      </c>
      <c r="F429" s="2657">
        <f t="shared" si="11"/>
        <v>1251.8990476190449</v>
      </c>
      <c r="G429" s="841"/>
      <c r="H429" s="1543"/>
      <c r="I429" s="1543"/>
      <c r="J429" s="717"/>
    </row>
    <row r="430" spans="1:10" ht="18" customHeight="1" x14ac:dyDescent="0.25">
      <c r="A430" s="2027">
        <v>45919</v>
      </c>
      <c r="B430" s="2654" t="s">
        <v>8014</v>
      </c>
      <c r="C430" s="1753" t="s">
        <v>7650</v>
      </c>
      <c r="D430" s="2674"/>
      <c r="E430" s="2675">
        <v>8.3333333333333339</v>
      </c>
      <c r="F430" s="2657">
        <f t="shared" si="11"/>
        <v>1243.5657142857117</v>
      </c>
      <c r="G430" s="841"/>
      <c r="H430" s="1543"/>
      <c r="I430" s="1543"/>
      <c r="J430" s="717"/>
    </row>
    <row r="431" spans="1:10" ht="18" customHeight="1" x14ac:dyDescent="0.25">
      <c r="A431" s="2027">
        <v>45919</v>
      </c>
      <c r="B431" s="2654" t="s">
        <v>8015</v>
      </c>
      <c r="C431" s="1753" t="s">
        <v>7650</v>
      </c>
      <c r="D431" s="2674"/>
      <c r="E431" s="2675">
        <v>50.857142857142854</v>
      </c>
      <c r="F431" s="2657">
        <f t="shared" si="11"/>
        <v>1192.7085714285688</v>
      </c>
      <c r="G431" s="841"/>
      <c r="H431" s="1543"/>
      <c r="I431" s="1543"/>
      <c r="J431" s="717"/>
    </row>
    <row r="432" spans="1:10" ht="18" customHeight="1" x14ac:dyDescent="0.25">
      <c r="A432" s="2027">
        <v>45919</v>
      </c>
      <c r="B432" s="2654" t="s">
        <v>8016</v>
      </c>
      <c r="C432" s="1753" t="s">
        <v>7650</v>
      </c>
      <c r="D432" s="2674"/>
      <c r="E432" s="2675">
        <v>111.4</v>
      </c>
      <c r="F432" s="2657">
        <f t="shared" si="11"/>
        <v>1081.3085714285687</v>
      </c>
      <c r="G432" s="841"/>
      <c r="H432" s="1543"/>
      <c r="I432" s="1543"/>
      <c r="J432" s="717"/>
    </row>
    <row r="433" spans="1:10" ht="18" customHeight="1" x14ac:dyDescent="0.25">
      <c r="A433" s="2027">
        <v>45919</v>
      </c>
      <c r="B433" s="2654" t="s">
        <v>8131</v>
      </c>
      <c r="C433" s="1753" t="s">
        <v>7650</v>
      </c>
      <c r="D433" s="2674"/>
      <c r="E433" s="2675">
        <v>430</v>
      </c>
      <c r="F433" s="2657">
        <f t="shared" si="11"/>
        <v>651.30857142856871</v>
      </c>
      <c r="G433" s="841"/>
      <c r="H433" s="1543"/>
      <c r="I433" s="1543"/>
      <c r="J433" s="717"/>
    </row>
    <row r="434" spans="1:10" ht="18" customHeight="1" x14ac:dyDescent="0.25">
      <c r="A434" s="2027">
        <v>45919</v>
      </c>
      <c r="B434" s="2654" t="s">
        <v>8053</v>
      </c>
      <c r="C434" s="1753" t="s">
        <v>7650</v>
      </c>
      <c r="D434" s="2674"/>
      <c r="E434" s="2675">
        <v>252.59</v>
      </c>
      <c r="F434" s="2657">
        <f t="shared" si="11"/>
        <v>398.71857142856868</v>
      </c>
      <c r="G434" s="841"/>
      <c r="H434" s="1543"/>
      <c r="I434" s="1543"/>
      <c r="J434" s="717"/>
    </row>
    <row r="435" spans="1:10" ht="18" customHeight="1" x14ac:dyDescent="0.25">
      <c r="A435" s="2027">
        <v>45919</v>
      </c>
      <c r="B435" s="2654" t="s">
        <v>8113</v>
      </c>
      <c r="C435" s="1753" t="s">
        <v>7650</v>
      </c>
      <c r="D435" s="2674"/>
      <c r="E435" s="2675">
        <v>53.591428571428573</v>
      </c>
      <c r="F435" s="2657">
        <f t="shared" si="11"/>
        <v>345.12714285714009</v>
      </c>
      <c r="G435" s="841"/>
      <c r="H435" s="1543"/>
      <c r="I435" s="1543"/>
      <c r="J435" s="717"/>
    </row>
    <row r="436" spans="1:10" ht="18" customHeight="1" x14ac:dyDescent="0.25">
      <c r="A436" s="2027">
        <v>45919</v>
      </c>
      <c r="B436" s="2654" t="s">
        <v>8174</v>
      </c>
      <c r="C436" s="1753" t="s">
        <v>7650</v>
      </c>
      <c r="D436" s="2811"/>
      <c r="E436" s="2161">
        <v>149.10666666666665</v>
      </c>
      <c r="F436" s="2657">
        <f t="shared" si="11"/>
        <v>196.02047619047343</v>
      </c>
      <c r="G436" s="841"/>
      <c r="H436" s="1543"/>
      <c r="I436" s="1543"/>
      <c r="J436" s="717"/>
    </row>
    <row r="437" spans="1:10" ht="18" customHeight="1" x14ac:dyDescent="0.25">
      <c r="A437" s="2176">
        <v>45930</v>
      </c>
      <c r="B437" s="2202" t="s">
        <v>6989</v>
      </c>
      <c r="C437" s="1746" t="s">
        <v>1486</v>
      </c>
      <c r="D437" s="1860">
        <f>'Setembro-25'!K158</f>
        <v>3.95</v>
      </c>
      <c r="E437" s="2161"/>
      <c r="F437" s="2657">
        <f t="shared" si="11"/>
        <v>199.97047619047342</v>
      </c>
      <c r="G437" s="841"/>
      <c r="H437" s="1543"/>
      <c r="I437" s="1543"/>
      <c r="J437" s="717"/>
    </row>
    <row r="438" spans="1:10" ht="18" customHeight="1" x14ac:dyDescent="0.25">
      <c r="A438" s="2176">
        <v>45937</v>
      </c>
      <c r="B438" s="2670" t="s">
        <v>7849</v>
      </c>
      <c r="C438" s="1746" t="s">
        <v>1486</v>
      </c>
      <c r="D438" s="2812">
        <v>800</v>
      </c>
      <c r="E438" s="2161"/>
      <c r="F438" s="2657">
        <f t="shared" si="11"/>
        <v>999.97047619047339</v>
      </c>
      <c r="G438" s="841"/>
      <c r="H438" s="1543"/>
      <c r="I438" s="1543"/>
      <c r="J438" s="717"/>
    </row>
    <row r="439" spans="1:10" ht="18" customHeight="1" x14ac:dyDescent="0.25">
      <c r="A439" s="2176">
        <v>45945</v>
      </c>
      <c r="B439" s="2170" t="s">
        <v>8376</v>
      </c>
      <c r="C439" s="2751" t="s">
        <v>1486</v>
      </c>
      <c r="D439" s="2937">
        <v>9385.24</v>
      </c>
      <c r="E439" s="2161"/>
      <c r="F439" s="2657">
        <f t="shared" si="11"/>
        <v>10385.210476190474</v>
      </c>
      <c r="G439" s="841"/>
      <c r="H439" s="1543"/>
      <c r="I439" s="1543"/>
      <c r="J439" s="717"/>
    </row>
    <row r="440" spans="1:10" ht="18" customHeight="1" x14ac:dyDescent="0.25">
      <c r="A440" s="2027">
        <v>45950</v>
      </c>
      <c r="B440" s="2653" t="s">
        <v>8139</v>
      </c>
      <c r="C440" s="1753" t="s">
        <v>7650</v>
      </c>
      <c r="D440" s="2674"/>
      <c r="E440" s="2675">
        <v>118.136</v>
      </c>
      <c r="F440" s="2657">
        <f t="shared" si="11"/>
        <v>10267.074476190473</v>
      </c>
      <c r="G440" s="841"/>
      <c r="H440" s="1543"/>
      <c r="I440" s="1543"/>
      <c r="J440" s="717"/>
    </row>
    <row r="441" spans="1:10" ht="18" customHeight="1" x14ac:dyDescent="0.25">
      <c r="A441" s="2027">
        <v>45950</v>
      </c>
      <c r="B441" s="2653" t="s">
        <v>8140</v>
      </c>
      <c r="C441" s="1753" t="s">
        <v>7650</v>
      </c>
      <c r="D441" s="2674"/>
      <c r="E441" s="2675">
        <v>253.465</v>
      </c>
      <c r="F441" s="2657">
        <f t="shared" si="11"/>
        <v>10013.609476190473</v>
      </c>
      <c r="G441" s="841"/>
      <c r="H441" s="1543"/>
      <c r="I441" s="1543"/>
      <c r="J441" s="717"/>
    </row>
    <row r="442" spans="1:10" ht="18" customHeight="1" x14ac:dyDescent="0.25">
      <c r="A442" s="2027">
        <v>45950</v>
      </c>
      <c r="B442" s="2653" t="s">
        <v>8141</v>
      </c>
      <c r="C442" s="1753" t="s">
        <v>7650</v>
      </c>
      <c r="D442" s="2674"/>
      <c r="E442" s="2675">
        <v>60.656666666666666</v>
      </c>
      <c r="F442" s="2657">
        <f t="shared" si="11"/>
        <v>9952.9528095238074</v>
      </c>
      <c r="G442" s="841"/>
      <c r="H442" s="1543"/>
      <c r="I442" s="1543"/>
      <c r="J442" s="717"/>
    </row>
    <row r="443" spans="1:10" ht="18" customHeight="1" x14ac:dyDescent="0.25">
      <c r="A443" s="2027">
        <v>45950</v>
      </c>
      <c r="B443" s="2653" t="s">
        <v>8142</v>
      </c>
      <c r="C443" s="1753" t="s">
        <v>7650</v>
      </c>
      <c r="D443" s="2674"/>
      <c r="E443" s="2675">
        <v>44.985000000000007</v>
      </c>
      <c r="F443" s="2657">
        <f t="shared" si="11"/>
        <v>9907.9678095238069</v>
      </c>
      <c r="G443" s="841"/>
      <c r="H443" s="1543"/>
      <c r="I443" s="1543"/>
      <c r="J443" s="717"/>
    </row>
    <row r="444" spans="1:10" ht="18" customHeight="1" x14ac:dyDescent="0.25">
      <c r="A444" s="2027">
        <v>45950</v>
      </c>
      <c r="B444" s="2653" t="s">
        <v>8143</v>
      </c>
      <c r="C444" s="1753" t="s">
        <v>7650</v>
      </c>
      <c r="D444" s="2674"/>
      <c r="E444" s="2675">
        <v>8.9949999999999992</v>
      </c>
      <c r="F444" s="2657">
        <f t="shared" si="11"/>
        <v>9898.9728095238061</v>
      </c>
      <c r="G444" s="841"/>
      <c r="H444" s="1543"/>
      <c r="I444" s="1543"/>
      <c r="J444" s="717"/>
    </row>
    <row r="445" spans="1:10" ht="18" customHeight="1" x14ac:dyDescent="0.25">
      <c r="A445" s="2027">
        <v>45950</v>
      </c>
      <c r="B445" s="2653" t="s">
        <v>8144</v>
      </c>
      <c r="C445" s="1753" t="s">
        <v>7650</v>
      </c>
      <c r="D445" s="2674"/>
      <c r="E445" s="2675">
        <v>8.3333333333333339</v>
      </c>
      <c r="F445" s="2657">
        <f t="shared" si="11"/>
        <v>9890.6394761904721</v>
      </c>
      <c r="G445" s="841"/>
      <c r="H445" s="1543"/>
      <c r="I445" s="1543"/>
      <c r="J445" s="717"/>
    </row>
    <row r="446" spans="1:10" ht="18" customHeight="1" x14ac:dyDescent="0.25">
      <c r="A446" s="2027">
        <v>45950</v>
      </c>
      <c r="B446" s="2653" t="s">
        <v>8145</v>
      </c>
      <c r="C446" s="1753" t="s">
        <v>7650</v>
      </c>
      <c r="D446" s="2674"/>
      <c r="E446" s="2675">
        <v>50.857142857142854</v>
      </c>
      <c r="F446" s="2657">
        <f t="shared" si="11"/>
        <v>9839.782333333329</v>
      </c>
      <c r="G446" s="841"/>
      <c r="H446" s="1543"/>
      <c r="I446" s="1543"/>
      <c r="J446" s="717"/>
    </row>
    <row r="447" spans="1:10" ht="18" customHeight="1" x14ac:dyDescent="0.25">
      <c r="A447" s="2027">
        <v>45950</v>
      </c>
      <c r="B447" s="2653" t="s">
        <v>8146</v>
      </c>
      <c r="C447" s="1753" t="s">
        <v>7650</v>
      </c>
      <c r="D447" s="2674"/>
      <c r="E447" s="2675">
        <v>111.4</v>
      </c>
      <c r="F447" s="2657">
        <f t="shared" si="11"/>
        <v>9728.3823333333294</v>
      </c>
      <c r="G447" s="841"/>
      <c r="H447" s="1543"/>
      <c r="I447" s="1543"/>
      <c r="J447" s="717"/>
    </row>
    <row r="448" spans="1:10" ht="18" customHeight="1" x14ac:dyDescent="0.25">
      <c r="A448" s="2027">
        <v>45950</v>
      </c>
      <c r="B448" s="2653" t="s">
        <v>8147</v>
      </c>
      <c r="C448" s="1753" t="s">
        <v>7650</v>
      </c>
      <c r="D448" s="2674"/>
      <c r="E448" s="2675">
        <v>430</v>
      </c>
      <c r="F448" s="2657">
        <f t="shared" si="11"/>
        <v>9298.3823333333294</v>
      </c>
      <c r="G448" s="841"/>
      <c r="H448" s="1543"/>
      <c r="I448" s="1543"/>
      <c r="J448" s="717"/>
    </row>
    <row r="449" spans="1:10" ht="18" customHeight="1" x14ac:dyDescent="0.25">
      <c r="A449" s="2027">
        <v>45950</v>
      </c>
      <c r="B449" s="2653" t="s">
        <v>8150</v>
      </c>
      <c r="C449" s="1753" t="s">
        <v>7650</v>
      </c>
      <c r="D449" s="2674"/>
      <c r="E449" s="2675">
        <v>53.591428571428573</v>
      </c>
      <c r="F449" s="2657">
        <f t="shared" si="11"/>
        <v>9244.7909047619014</v>
      </c>
      <c r="G449" s="841"/>
      <c r="H449" s="1543"/>
      <c r="I449" s="1543"/>
      <c r="J449" s="717"/>
    </row>
    <row r="450" spans="1:10" ht="18" customHeight="1" x14ac:dyDescent="0.25">
      <c r="A450" s="2027">
        <v>45950</v>
      </c>
      <c r="B450" s="2653" t="s">
        <v>8175</v>
      </c>
      <c r="C450" s="1753" t="s">
        <v>7650</v>
      </c>
      <c r="D450" s="2674"/>
      <c r="E450" s="2675">
        <v>149.10666666666665</v>
      </c>
      <c r="F450" s="2657">
        <f t="shared" si="11"/>
        <v>9095.6842380952348</v>
      </c>
      <c r="G450" s="841"/>
      <c r="H450" s="1543"/>
      <c r="I450" s="1543"/>
      <c r="J450" s="717"/>
    </row>
    <row r="451" spans="1:10" ht="18" customHeight="1" x14ac:dyDescent="0.25">
      <c r="A451" s="2027">
        <v>45950</v>
      </c>
      <c r="B451" s="2653" t="s">
        <v>8277</v>
      </c>
      <c r="C451" s="1753" t="s">
        <v>7650</v>
      </c>
      <c r="D451" s="2674"/>
      <c r="E451" s="2675">
        <v>29.76</v>
      </c>
      <c r="F451" s="2657">
        <f t="shared" si="11"/>
        <v>9065.9242380952346</v>
      </c>
      <c r="G451" s="841"/>
      <c r="H451" s="1543"/>
      <c r="I451" s="1543"/>
      <c r="J451" s="717"/>
    </row>
    <row r="452" spans="1:10" ht="18" customHeight="1" x14ac:dyDescent="0.25">
      <c r="A452" s="2162">
        <v>45950</v>
      </c>
      <c r="B452" s="2653" t="s">
        <v>8278</v>
      </c>
      <c r="C452" s="2983" t="s">
        <v>7650</v>
      </c>
      <c r="D452" s="2674"/>
      <c r="E452" s="2675">
        <v>29.92</v>
      </c>
      <c r="F452" s="2657">
        <f t="shared" si="11"/>
        <v>9036.0042380952345</v>
      </c>
      <c r="G452" s="841"/>
      <c r="H452" s="1543"/>
      <c r="I452" s="1543"/>
      <c r="J452" s="717"/>
    </row>
    <row r="453" spans="1:10" ht="18" customHeight="1" x14ac:dyDescent="0.25">
      <c r="A453" s="2162">
        <v>45950</v>
      </c>
      <c r="B453" s="2653" t="s">
        <v>8279</v>
      </c>
      <c r="C453" s="2983" t="s">
        <v>7650</v>
      </c>
      <c r="D453" s="2674"/>
      <c r="E453" s="2675">
        <v>19</v>
      </c>
      <c r="F453" s="2657">
        <f t="shared" si="11"/>
        <v>9017.0042380952345</v>
      </c>
      <c r="G453" s="841"/>
      <c r="H453" s="1543"/>
      <c r="I453" s="1543"/>
      <c r="J453" s="717"/>
    </row>
    <row r="454" spans="1:10" ht="18" customHeight="1" x14ac:dyDescent="0.25">
      <c r="A454" s="2162">
        <v>45950</v>
      </c>
      <c r="B454" s="2653" t="s">
        <v>8280</v>
      </c>
      <c r="C454" s="2983" t="s">
        <v>7650</v>
      </c>
      <c r="D454" s="2674"/>
      <c r="E454" s="2675">
        <v>59.74</v>
      </c>
      <c r="F454" s="2657">
        <f t="shared" si="11"/>
        <v>8957.2642380952348</v>
      </c>
      <c r="G454" s="841"/>
      <c r="H454" s="1543"/>
      <c r="I454" s="1543"/>
      <c r="J454" s="717"/>
    </row>
    <row r="455" spans="1:10" ht="18" customHeight="1" x14ac:dyDescent="0.25">
      <c r="A455" s="2162">
        <v>45950</v>
      </c>
      <c r="B455" s="2653" t="s">
        <v>8405</v>
      </c>
      <c r="C455" s="2983" t="s">
        <v>7650</v>
      </c>
      <c r="D455" s="2674"/>
      <c r="E455" s="2675">
        <v>99.666666666666671</v>
      </c>
      <c r="F455" s="2657">
        <f t="shared" si="11"/>
        <v>8857.5975714285687</v>
      </c>
      <c r="G455" s="841"/>
      <c r="H455" s="1543"/>
      <c r="I455" s="1543"/>
      <c r="J455" s="717"/>
    </row>
    <row r="456" spans="1:10" ht="18" customHeight="1" x14ac:dyDescent="0.25">
      <c r="A456" s="2981">
        <v>45950</v>
      </c>
      <c r="B456" s="2670" t="s">
        <v>8276</v>
      </c>
      <c r="C456" s="2984" t="s">
        <v>1486</v>
      </c>
      <c r="D456" s="2812">
        <v>300</v>
      </c>
      <c r="E456" s="2161"/>
      <c r="F456" s="2657">
        <f t="shared" si="11"/>
        <v>9157.5975714285687</v>
      </c>
      <c r="G456" s="841"/>
      <c r="H456" s="1543"/>
      <c r="I456" s="1543"/>
      <c r="J456" s="717"/>
    </row>
    <row r="457" spans="1:10" ht="18" customHeight="1" x14ac:dyDescent="0.25">
      <c r="A457" s="2981">
        <v>45961</v>
      </c>
      <c r="B457" s="2670" t="s">
        <v>8496</v>
      </c>
      <c r="C457" s="2984" t="s">
        <v>1486</v>
      </c>
      <c r="D457" s="2985">
        <f>'Outubro-25'!K180</f>
        <v>60.94</v>
      </c>
      <c r="E457" s="2160"/>
      <c r="F457" s="2657">
        <f t="shared" si="11"/>
        <v>9218.5375714285692</v>
      </c>
      <c r="G457" s="841"/>
    </row>
    <row r="458" spans="1:10" ht="18" customHeight="1" x14ac:dyDescent="0.25">
      <c r="A458" s="2981">
        <v>45961</v>
      </c>
      <c r="B458" s="2982" t="s">
        <v>6989</v>
      </c>
      <c r="C458" s="2984" t="s">
        <v>1486</v>
      </c>
      <c r="D458" s="2985">
        <f>'Outubro-25'!K181</f>
        <v>1.0900000000000001</v>
      </c>
      <c r="E458" s="2160"/>
      <c r="F458" s="2657">
        <f t="shared" si="11"/>
        <v>9219.6275714285694</v>
      </c>
      <c r="G458" s="841"/>
    </row>
    <row r="459" spans="1:10" ht="18" customHeight="1" x14ac:dyDescent="0.25">
      <c r="A459" s="2981">
        <v>45967</v>
      </c>
      <c r="B459" s="2670" t="s">
        <v>7849</v>
      </c>
      <c r="C459" s="2984" t="s">
        <v>1486</v>
      </c>
      <c r="D459" s="2812">
        <v>163.43</v>
      </c>
      <c r="E459" s="2960"/>
      <c r="F459" s="2657">
        <f t="shared" si="11"/>
        <v>9383.0575714285696</v>
      </c>
      <c r="G459" s="841"/>
    </row>
    <row r="460" spans="1:10" ht="18" customHeight="1" x14ac:dyDescent="0.25">
      <c r="A460" s="2991">
        <v>45980</v>
      </c>
      <c r="B460" s="2165" t="s">
        <v>8380</v>
      </c>
      <c r="C460" s="2983" t="s">
        <v>7650</v>
      </c>
      <c r="D460" s="2986"/>
      <c r="E460" s="2566">
        <v>118.136</v>
      </c>
      <c r="F460" s="2657">
        <f t="shared" si="11"/>
        <v>9264.9215714285692</v>
      </c>
      <c r="G460" s="841"/>
    </row>
    <row r="461" spans="1:10" ht="18" customHeight="1" x14ac:dyDescent="0.25">
      <c r="A461" s="2991">
        <v>45980</v>
      </c>
      <c r="B461" s="2165" t="s">
        <v>8381</v>
      </c>
      <c r="C461" s="2983" t="s">
        <v>7650</v>
      </c>
      <c r="D461" s="2986"/>
      <c r="E461" s="2566">
        <v>253.465</v>
      </c>
      <c r="F461" s="2657">
        <f t="shared" ref="F461:F489" si="12">F460+D461-E461</f>
        <v>9011.4565714285691</v>
      </c>
      <c r="G461" s="841"/>
    </row>
    <row r="462" spans="1:10" ht="18" customHeight="1" x14ac:dyDescent="0.25">
      <c r="A462" s="2991">
        <v>45980</v>
      </c>
      <c r="B462" s="2165" t="s">
        <v>8382</v>
      </c>
      <c r="C462" s="2983" t="s">
        <v>7650</v>
      </c>
      <c r="D462" s="2986"/>
      <c r="E462" s="2566">
        <v>60.656666666666666</v>
      </c>
      <c r="F462" s="2657">
        <f t="shared" si="12"/>
        <v>8950.7999047619032</v>
      </c>
      <c r="G462" s="841"/>
    </row>
    <row r="463" spans="1:10" ht="18" customHeight="1" x14ac:dyDescent="0.25">
      <c r="A463" s="2991">
        <v>45980</v>
      </c>
      <c r="B463" s="2165" t="s">
        <v>8383</v>
      </c>
      <c r="C463" s="2983" t="s">
        <v>7650</v>
      </c>
      <c r="D463" s="2986"/>
      <c r="E463" s="2566">
        <v>44.985000000000007</v>
      </c>
      <c r="F463" s="2657">
        <f t="shared" si="12"/>
        <v>8905.8149047619027</v>
      </c>
      <c r="G463" s="841"/>
    </row>
    <row r="464" spans="1:10" ht="18" customHeight="1" x14ac:dyDescent="0.25">
      <c r="A464" s="2991">
        <v>45980</v>
      </c>
      <c r="B464" s="2165" t="s">
        <v>8384</v>
      </c>
      <c r="C464" s="2983" t="s">
        <v>7650</v>
      </c>
      <c r="D464" s="2986"/>
      <c r="E464" s="2566">
        <v>8.9949999999999992</v>
      </c>
      <c r="F464" s="2657">
        <f t="shared" si="12"/>
        <v>8896.8199047619019</v>
      </c>
      <c r="G464" s="841"/>
    </row>
    <row r="465" spans="1:7" ht="18" customHeight="1" x14ac:dyDescent="0.25">
      <c r="A465" s="2991">
        <v>45980</v>
      </c>
      <c r="B465" s="2165" t="s">
        <v>8385</v>
      </c>
      <c r="C465" s="2983" t="s">
        <v>7650</v>
      </c>
      <c r="D465" s="2986"/>
      <c r="E465" s="2566">
        <v>8.3333333333333339</v>
      </c>
      <c r="F465" s="2657">
        <f t="shared" si="12"/>
        <v>8888.4865714285679</v>
      </c>
      <c r="G465" s="841"/>
    </row>
    <row r="466" spans="1:7" ht="18" customHeight="1" x14ac:dyDescent="0.25">
      <c r="A466" s="2991">
        <v>45980</v>
      </c>
      <c r="B466" s="2165" t="s">
        <v>8386</v>
      </c>
      <c r="C466" s="2983" t="s">
        <v>7650</v>
      </c>
      <c r="D466" s="2986"/>
      <c r="E466" s="2566">
        <v>50.857142857142854</v>
      </c>
      <c r="F466" s="2657">
        <f t="shared" si="12"/>
        <v>8837.6294285714248</v>
      </c>
      <c r="G466" s="841"/>
    </row>
    <row r="467" spans="1:7" ht="18" customHeight="1" x14ac:dyDescent="0.25">
      <c r="A467" s="2991">
        <v>45980</v>
      </c>
      <c r="B467" s="2989" t="s">
        <v>8387</v>
      </c>
      <c r="C467" s="2983" t="s">
        <v>7650</v>
      </c>
      <c r="D467" s="2986"/>
      <c r="E467" s="2566">
        <v>430</v>
      </c>
      <c r="F467" s="2657">
        <f t="shared" si="12"/>
        <v>8407.6294285714248</v>
      </c>
      <c r="G467" s="841"/>
    </row>
    <row r="468" spans="1:7" ht="18" customHeight="1" x14ac:dyDescent="0.25">
      <c r="A468" s="2991">
        <v>45980</v>
      </c>
      <c r="B468" s="2989" t="s">
        <v>8388</v>
      </c>
      <c r="C468" s="2983" t="s">
        <v>7650</v>
      </c>
      <c r="D468" s="2986"/>
      <c r="E468" s="2566">
        <v>53.591428571428573</v>
      </c>
      <c r="F468" s="2657">
        <f t="shared" si="12"/>
        <v>8354.0379999999968</v>
      </c>
      <c r="G468" s="841"/>
    </row>
    <row r="469" spans="1:7" ht="18" customHeight="1" x14ac:dyDescent="0.25">
      <c r="A469" s="2991">
        <v>45980</v>
      </c>
      <c r="B469" s="2989" t="s">
        <v>8390</v>
      </c>
      <c r="C469" s="2983" t="s">
        <v>7650</v>
      </c>
      <c r="D469" s="2986"/>
      <c r="E469" s="2566">
        <v>149.10666666666665</v>
      </c>
      <c r="F469" s="2657">
        <f t="shared" si="12"/>
        <v>8204.9313333333303</v>
      </c>
      <c r="G469" s="841"/>
    </row>
    <row r="470" spans="1:7" ht="18" customHeight="1" x14ac:dyDescent="0.25">
      <c r="A470" s="2991">
        <v>45980</v>
      </c>
      <c r="B470" s="2990" t="s">
        <v>8539</v>
      </c>
      <c r="C470" s="2983" t="s">
        <v>7650</v>
      </c>
      <c r="D470" s="2959"/>
      <c r="E470" s="2566">
        <v>99.666666666666671</v>
      </c>
      <c r="F470" s="2657">
        <f t="shared" si="12"/>
        <v>8105.2646666666633</v>
      </c>
      <c r="G470" s="841"/>
    </row>
    <row r="471" spans="1:7" ht="18" customHeight="1" x14ac:dyDescent="0.25">
      <c r="A471" s="2176">
        <v>45991</v>
      </c>
      <c r="B471" s="2670" t="s">
        <v>8496</v>
      </c>
      <c r="C471" s="1746" t="s">
        <v>1486</v>
      </c>
      <c r="D471" s="2959">
        <f>'Novembro-25'!K168</f>
        <v>83.35</v>
      </c>
      <c r="E471" s="2566"/>
      <c r="F471" s="2657">
        <f t="shared" si="12"/>
        <v>8188.6146666666637</v>
      </c>
      <c r="G471" s="841"/>
    </row>
    <row r="472" spans="1:7" ht="18" customHeight="1" x14ac:dyDescent="0.25">
      <c r="A472" s="2991">
        <v>45995</v>
      </c>
      <c r="B472" s="2990" t="s">
        <v>8579</v>
      </c>
      <c r="C472" s="2983" t="s">
        <v>7650</v>
      </c>
      <c r="D472" s="2959"/>
      <c r="E472" s="2566">
        <v>559.05999999999995</v>
      </c>
      <c r="F472" s="2657">
        <f t="shared" si="12"/>
        <v>7629.5546666666633</v>
      </c>
      <c r="G472" s="841"/>
    </row>
    <row r="473" spans="1:7" ht="18" customHeight="1" x14ac:dyDescent="0.25">
      <c r="A473" s="3005">
        <v>46000</v>
      </c>
      <c r="B473" s="2965" t="s">
        <v>7706</v>
      </c>
      <c r="C473" s="2984" t="s">
        <v>1486</v>
      </c>
      <c r="D473" s="2959">
        <v>344.54</v>
      </c>
      <c r="E473" s="2566"/>
      <c r="F473" s="2657">
        <f t="shared" si="12"/>
        <v>7974.0946666666632</v>
      </c>
      <c r="G473" s="841"/>
    </row>
    <row r="474" spans="1:7" ht="18" customHeight="1" x14ac:dyDescent="0.25">
      <c r="A474" s="2991">
        <v>46003</v>
      </c>
      <c r="B474" s="2990" t="s">
        <v>8428</v>
      </c>
      <c r="C474" s="2983" t="s">
        <v>7650</v>
      </c>
      <c r="D474" s="2959"/>
      <c r="E474" s="2566">
        <v>118.136</v>
      </c>
      <c r="F474" s="2657">
        <f t="shared" si="12"/>
        <v>7855.9586666666628</v>
      </c>
      <c r="G474" s="841"/>
    </row>
    <row r="475" spans="1:7" ht="18" customHeight="1" x14ac:dyDescent="0.25">
      <c r="A475" s="2991">
        <v>46003</v>
      </c>
      <c r="B475" s="2990" t="s">
        <v>8429</v>
      </c>
      <c r="C475" s="2983" t="s">
        <v>7650</v>
      </c>
      <c r="D475" s="2959"/>
      <c r="E475" s="2566">
        <v>50.857142857142854</v>
      </c>
      <c r="F475" s="2657">
        <f t="shared" si="12"/>
        <v>7805.1015238095197</v>
      </c>
      <c r="G475" s="841"/>
    </row>
    <row r="476" spans="1:7" ht="18" customHeight="1" x14ac:dyDescent="0.25">
      <c r="A476" s="2991">
        <v>46003</v>
      </c>
      <c r="B476" s="2990" t="s">
        <v>8430</v>
      </c>
      <c r="C476" s="2983" t="s">
        <v>7650</v>
      </c>
      <c r="D476" s="2959"/>
      <c r="E476" s="2566">
        <v>430</v>
      </c>
      <c r="F476" s="2657">
        <f t="shared" si="12"/>
        <v>7375.1015238095197</v>
      </c>
      <c r="G476" s="841"/>
    </row>
    <row r="477" spans="1:7" ht="18" customHeight="1" x14ac:dyDescent="0.25">
      <c r="A477" s="2991">
        <v>46003</v>
      </c>
      <c r="B477" s="2990" t="s">
        <v>8431</v>
      </c>
      <c r="C477" s="2983" t="s">
        <v>7650</v>
      </c>
      <c r="D477" s="2959"/>
      <c r="E477" s="2566">
        <v>53.591428571428573</v>
      </c>
      <c r="F477" s="2657">
        <f t="shared" si="12"/>
        <v>7321.5100952380908</v>
      </c>
      <c r="G477" s="841"/>
    </row>
    <row r="478" spans="1:7" ht="18" customHeight="1" x14ac:dyDescent="0.25">
      <c r="A478" s="2991">
        <v>46003</v>
      </c>
      <c r="B478" s="2990" t="s">
        <v>8433</v>
      </c>
      <c r="C478" s="2983" t="s">
        <v>7650</v>
      </c>
      <c r="D478" s="2959"/>
      <c r="E478" s="2566">
        <v>149.10666666666665</v>
      </c>
      <c r="F478" s="2657">
        <f t="shared" si="12"/>
        <v>7172.4034285714242</v>
      </c>
      <c r="G478" s="841"/>
    </row>
    <row r="479" spans="1:7" ht="18" customHeight="1" x14ac:dyDescent="0.25">
      <c r="A479" s="2991">
        <v>46003</v>
      </c>
      <c r="B479" s="2990" t="s">
        <v>8606</v>
      </c>
      <c r="C479" s="2983" t="s">
        <v>7650</v>
      </c>
      <c r="D479" s="2959"/>
      <c r="E479" s="2566">
        <v>99.666666666666671</v>
      </c>
      <c r="F479" s="2657">
        <f t="shared" si="12"/>
        <v>7072.7367619047573</v>
      </c>
      <c r="G479" s="841"/>
    </row>
    <row r="480" spans="1:7" ht="18" customHeight="1" x14ac:dyDescent="0.25">
      <c r="A480" s="2991">
        <v>46003</v>
      </c>
      <c r="B480" s="2990" t="s">
        <v>8604</v>
      </c>
      <c r="C480" s="2983" t="s">
        <v>7650</v>
      </c>
      <c r="D480" s="2959"/>
      <c r="E480" s="2566">
        <v>106.35</v>
      </c>
      <c r="F480" s="2657">
        <f t="shared" si="12"/>
        <v>6966.3867619047569</v>
      </c>
      <c r="G480" s="841"/>
    </row>
    <row r="481" spans="1:7" ht="18" customHeight="1" x14ac:dyDescent="0.25">
      <c r="A481" s="3005">
        <v>46004</v>
      </c>
      <c r="B481" s="2965" t="s">
        <v>8616</v>
      </c>
      <c r="C481" s="2984" t="s">
        <v>1486</v>
      </c>
      <c r="D481" s="2959">
        <v>1200</v>
      </c>
      <c r="E481" s="2566"/>
      <c r="F481" s="2657">
        <f t="shared" si="12"/>
        <v>8166.3867619047569</v>
      </c>
      <c r="G481" s="841"/>
    </row>
    <row r="482" spans="1:7" ht="18" customHeight="1" x14ac:dyDescent="0.25">
      <c r="A482" s="2176">
        <v>46022</v>
      </c>
      <c r="B482" s="2670" t="s">
        <v>8496</v>
      </c>
      <c r="C482" s="1746" t="s">
        <v>1486</v>
      </c>
      <c r="D482" s="2959">
        <f>'Dezembro-25'!K197</f>
        <v>80.25</v>
      </c>
      <c r="E482" s="2960"/>
      <c r="F482" s="2657">
        <f t="shared" si="12"/>
        <v>8246.636761904756</v>
      </c>
      <c r="G482" s="841"/>
    </row>
    <row r="483" spans="1:7" ht="18" customHeight="1" x14ac:dyDescent="0.25">
      <c r="A483" s="2991">
        <v>46028</v>
      </c>
      <c r="B483" s="2990" t="s">
        <v>8701</v>
      </c>
      <c r="C483" s="2983" t="s">
        <v>3017</v>
      </c>
      <c r="D483" s="2959"/>
      <c r="E483" s="2566">
        <v>1000</v>
      </c>
      <c r="F483" s="2657">
        <f t="shared" si="12"/>
        <v>7246.636761904756</v>
      </c>
      <c r="G483" s="841"/>
    </row>
    <row r="484" spans="1:7" ht="18" customHeight="1" x14ac:dyDescent="0.25">
      <c r="A484" s="2991">
        <v>46042</v>
      </c>
      <c r="B484" s="2990" t="s">
        <v>8483</v>
      </c>
      <c r="C484" s="2983" t="s">
        <v>7650</v>
      </c>
      <c r="D484" s="2959"/>
      <c r="E484" s="2566">
        <v>118.136</v>
      </c>
      <c r="F484" s="2657">
        <f t="shared" si="12"/>
        <v>7128.5007619047556</v>
      </c>
      <c r="G484" s="841"/>
    </row>
    <row r="485" spans="1:7" ht="18" customHeight="1" x14ac:dyDescent="0.25">
      <c r="A485" s="2991">
        <v>46042</v>
      </c>
      <c r="B485" s="2990" t="s">
        <v>8484</v>
      </c>
      <c r="C485" s="2983" t="s">
        <v>7650</v>
      </c>
      <c r="D485" s="2959"/>
      <c r="E485" s="2566">
        <v>430</v>
      </c>
      <c r="F485" s="2657">
        <f t="shared" si="12"/>
        <v>6698.5007619047556</v>
      </c>
      <c r="G485" s="841"/>
    </row>
    <row r="486" spans="1:7" ht="18" customHeight="1" x14ac:dyDescent="0.25">
      <c r="A486" s="2991">
        <v>46042</v>
      </c>
      <c r="B486" s="2990" t="s">
        <v>8485</v>
      </c>
      <c r="C486" s="2983" t="s">
        <v>7650</v>
      </c>
      <c r="D486" s="2959"/>
      <c r="E486" s="2566">
        <v>53.591428571428573</v>
      </c>
      <c r="F486" s="2657">
        <f t="shared" si="12"/>
        <v>6644.9093333333267</v>
      </c>
      <c r="G486" s="841"/>
    </row>
    <row r="487" spans="1:7" ht="18" customHeight="1" x14ac:dyDescent="0.25">
      <c r="A487" s="2991">
        <v>46042</v>
      </c>
      <c r="B487" s="2990" t="s">
        <v>8487</v>
      </c>
      <c r="C487" s="2983" t="s">
        <v>7650</v>
      </c>
      <c r="D487" s="2959"/>
      <c r="E487" s="2566">
        <v>149.10666666666665</v>
      </c>
      <c r="F487" s="2657">
        <f t="shared" si="12"/>
        <v>6495.8026666666601</v>
      </c>
      <c r="G487" s="841"/>
    </row>
    <row r="488" spans="1:7" ht="18" customHeight="1" x14ac:dyDescent="0.25">
      <c r="A488" s="2991"/>
      <c r="B488" s="2990"/>
      <c r="C488" s="2983"/>
      <c r="D488" s="2959"/>
      <c r="E488" s="2566"/>
      <c r="F488" s="2657">
        <f t="shared" si="12"/>
        <v>6495.8026666666601</v>
      </c>
      <c r="G488" s="841"/>
    </row>
    <row r="489" spans="1:7" ht="18" customHeight="1" x14ac:dyDescent="0.25">
      <c r="A489" s="2991"/>
      <c r="B489" s="2990"/>
      <c r="C489" s="2983"/>
      <c r="D489" s="2959"/>
      <c r="E489" s="2566"/>
      <c r="F489" s="2657">
        <f t="shared" si="12"/>
        <v>6495.8026666666601</v>
      </c>
      <c r="G489" s="841"/>
    </row>
    <row r="490" spans="1:7" ht="18" customHeight="1" x14ac:dyDescent="0.25">
      <c r="A490" s="2991"/>
      <c r="B490" s="2990"/>
      <c r="C490" s="2983"/>
      <c r="D490" s="2959"/>
      <c r="E490" s="2566"/>
      <c r="F490" s="2657"/>
      <c r="G490" s="841"/>
    </row>
    <row r="491" spans="1:7" ht="18" customHeight="1" x14ac:dyDescent="0.25">
      <c r="A491" s="2991"/>
      <c r="B491" s="2990"/>
      <c r="C491" s="2983"/>
      <c r="D491" s="2959"/>
      <c r="E491" s="2566"/>
      <c r="F491" s="2993"/>
      <c r="G491" s="841"/>
    </row>
    <row r="492" spans="1:7" ht="18" customHeight="1" x14ac:dyDescent="0.25">
      <c r="A492" s="2991"/>
      <c r="B492" s="2990"/>
      <c r="C492" s="2983"/>
      <c r="D492" s="2959"/>
      <c r="E492" s="2566"/>
      <c r="F492" s="2993"/>
      <c r="G492" s="841"/>
    </row>
    <row r="493" spans="1:7" ht="18" customHeight="1" x14ac:dyDescent="0.25">
      <c r="A493" s="2991"/>
      <c r="B493" s="2990"/>
      <c r="C493" s="2983"/>
      <c r="D493" s="2959"/>
      <c r="E493" s="2566"/>
      <c r="F493" s="2993"/>
      <c r="G493" s="841"/>
    </row>
    <row r="494" spans="1:7" ht="18" customHeight="1" x14ac:dyDescent="0.25">
      <c r="A494" s="2991"/>
      <c r="B494" s="2990"/>
      <c r="C494" s="2983"/>
      <c r="D494" s="2959"/>
      <c r="E494" s="2566"/>
      <c r="F494" s="2993"/>
      <c r="G494" s="841"/>
    </row>
    <row r="495" spans="1:7" ht="18" customHeight="1" x14ac:dyDescent="0.25">
      <c r="A495" s="2991"/>
      <c r="B495" s="2990"/>
      <c r="C495" s="2983"/>
      <c r="D495" s="2959"/>
      <c r="E495" s="2566"/>
      <c r="F495" s="2993"/>
      <c r="G495" s="841"/>
    </row>
    <row r="496" spans="1:7" ht="18" customHeight="1" x14ac:dyDescent="0.25">
      <c r="A496" s="2991"/>
      <c r="B496" s="2990"/>
      <c r="C496" s="2983"/>
      <c r="D496" s="2959"/>
      <c r="E496" s="2566"/>
      <c r="F496" s="2993"/>
      <c r="G496" s="841"/>
    </row>
    <row r="497" spans="1:12" ht="18" customHeight="1" x14ac:dyDescent="0.25">
      <c r="A497" s="2991"/>
      <c r="B497" s="2990"/>
      <c r="C497" s="2983"/>
      <c r="D497" s="2959"/>
      <c r="E497" s="2566"/>
      <c r="F497" s="2993"/>
      <c r="G497" s="841"/>
    </row>
    <row r="498" spans="1:12" ht="18" customHeight="1" x14ac:dyDescent="0.25">
      <c r="A498" s="2991"/>
      <c r="B498" s="2990"/>
      <c r="C498" s="2983"/>
      <c r="D498" s="2959"/>
      <c r="E498" s="2566"/>
      <c r="F498" s="2993"/>
      <c r="G498" s="841"/>
    </row>
    <row r="499" spans="1:12" ht="18" customHeight="1" x14ac:dyDescent="0.25">
      <c r="A499" s="2964"/>
      <c r="B499" s="2965"/>
      <c r="C499" s="1746"/>
      <c r="D499" s="2959"/>
      <c r="E499" s="2960"/>
      <c r="F499" s="2961"/>
      <c r="G499" s="841"/>
    </row>
    <row r="500" spans="1:12" ht="18" customHeight="1" x14ac:dyDescent="0.25">
      <c r="A500" s="2964"/>
      <c r="B500" s="2965"/>
      <c r="C500" s="1746"/>
      <c r="D500" s="2959"/>
      <c r="E500" s="2960"/>
      <c r="F500" s="2961"/>
      <c r="G500" s="841"/>
    </row>
    <row r="501" spans="1:12" ht="18" customHeight="1" x14ac:dyDescent="0.25">
      <c r="A501" s="2964"/>
      <c r="B501" s="2965"/>
      <c r="C501" s="1746"/>
      <c r="D501" s="2959"/>
      <c r="E501" s="2960"/>
      <c r="F501" s="2657"/>
      <c r="G501" s="841"/>
    </row>
    <row r="502" spans="1:12" ht="18" customHeight="1" x14ac:dyDescent="0.25">
      <c r="A502" s="2964"/>
      <c r="B502" s="2965"/>
      <c r="C502" s="1746"/>
      <c r="D502" s="2959"/>
      <c r="E502" s="2960"/>
      <c r="F502" s="2961"/>
      <c r="G502" s="841"/>
    </row>
    <row r="503" spans="1:12" ht="18" customHeight="1" x14ac:dyDescent="0.25">
      <c r="A503" s="2176">
        <v>46053</v>
      </c>
      <c r="B503" s="2670" t="s">
        <v>8496</v>
      </c>
      <c r="C503" s="1746" t="s">
        <v>1486</v>
      </c>
      <c r="D503" s="2959">
        <f>'Janeiro-26'!K196</f>
        <v>63.44</v>
      </c>
      <c r="E503" s="2960"/>
      <c r="F503" s="2961"/>
      <c r="G503" s="841"/>
    </row>
    <row r="504" spans="1:12" ht="18" customHeight="1" x14ac:dyDescent="0.25">
      <c r="A504" s="2964"/>
      <c r="B504" s="2965"/>
      <c r="C504" s="1746"/>
      <c r="D504" s="2959"/>
      <c r="E504" s="2960"/>
      <c r="F504" s="2961"/>
      <c r="G504" s="841"/>
    </row>
    <row r="505" spans="1:12" ht="18" customHeight="1" thickBot="1" x14ac:dyDescent="0.3">
      <c r="A505" s="2962"/>
      <c r="B505" s="2963"/>
      <c r="C505" s="51"/>
      <c r="D505" s="2179"/>
      <c r="E505" s="2180"/>
      <c r="F505" s="2658"/>
      <c r="G505" s="841"/>
    </row>
    <row r="506" spans="1:12" ht="20.25" customHeight="1" thickBot="1" x14ac:dyDescent="0.3">
      <c r="A506" s="170"/>
      <c r="B506" s="54"/>
      <c r="C506" s="2689" t="s">
        <v>6376</v>
      </c>
      <c r="D506" s="2666">
        <f>SUM(D3:D505)</f>
        <v>115224.99000000002</v>
      </c>
      <c r="E506" s="2665"/>
      <c r="F506" s="382"/>
    </row>
    <row r="507" spans="1:12" ht="20.25" customHeight="1" thickBot="1" x14ac:dyDescent="0.3">
      <c r="A507" s="40"/>
      <c r="B507" s="2660"/>
      <c r="C507" s="1193"/>
      <c r="D507" s="2661" t="s">
        <v>7003</v>
      </c>
      <c r="E507" s="2663">
        <f>SUM(E3:E506)</f>
        <v>108665.74733333317</v>
      </c>
      <c r="F507" s="2662"/>
      <c r="G507" s="2669"/>
    </row>
    <row r="508" spans="1:12" ht="20.25" customHeight="1" thickBot="1" x14ac:dyDescent="0.3">
      <c r="B508" s="2659"/>
      <c r="D508" s="2659"/>
      <c r="E508" s="2681" t="s">
        <v>6377</v>
      </c>
      <c r="F508" s="2664">
        <f>'Fundo construção'!$D506-'Fundo construção'!$E507</f>
        <v>6559.2426666668471</v>
      </c>
      <c r="G508" s="2690">
        <f>Tabela2[[#This Row],[Saldo]]/D3</f>
        <v>0.45117916265420599</v>
      </c>
    </row>
    <row r="509" spans="1:12" ht="13.5" customHeight="1" x14ac:dyDescent="0.2"/>
    <row r="510" spans="1:12" ht="13.5" customHeight="1" x14ac:dyDescent="0.2">
      <c r="B510" s="2693" t="s">
        <v>3769</v>
      </c>
      <c r="C510" s="2232">
        <f>SUMIF(B3:B505,"*joise*",D3:D505)</f>
        <v>27279.799999999996</v>
      </c>
      <c r="D510" s="2695">
        <f>C510/C512</f>
        <v>0.23675246142351578</v>
      </c>
      <c r="E510" s="18"/>
      <c r="G510" s="717"/>
      <c r="L510" s="32"/>
    </row>
    <row r="511" spans="1:12" x14ac:dyDescent="0.2">
      <c r="B511" s="2693" t="s">
        <v>7693</v>
      </c>
      <c r="C511" s="2232">
        <f>SUMIF(B3:B505,"*alexandre*",D3:D505)</f>
        <v>87945.190000000017</v>
      </c>
      <c r="D511" s="2695">
        <f>C511/C512</f>
        <v>0.7632475385764842</v>
      </c>
      <c r="E511" s="18"/>
      <c r="G511" s="717"/>
    </row>
    <row r="512" spans="1:12" x14ac:dyDescent="0.2">
      <c r="B512" s="228"/>
      <c r="C512" s="2696">
        <f>SUM(C510:C511)</f>
        <v>115224.99000000002</v>
      </c>
      <c r="D512" s="2697">
        <f>SUM(D510:D511)</f>
        <v>1</v>
      </c>
      <c r="E512" s="18"/>
      <c r="G512" s="717"/>
      <c r="H512" s="670"/>
    </row>
    <row r="513" spans="1:17" x14ac:dyDescent="0.2">
      <c r="D513" s="2694"/>
      <c r="E513" s="18"/>
      <c r="G513" s="717"/>
    </row>
    <row r="514" spans="1:17" x14ac:dyDescent="0.2">
      <c r="B514" s="2693" t="s">
        <v>7691</v>
      </c>
      <c r="C514" s="914" t="s">
        <v>1496</v>
      </c>
      <c r="D514" s="3">
        <f>SUMIF(C3:C506,C514,E3:E506)</f>
        <v>13806.094999999999</v>
      </c>
      <c r="E514" s="18"/>
      <c r="G514" s="717"/>
    </row>
    <row r="515" spans="1:17" x14ac:dyDescent="0.2">
      <c r="B515" s="2693" t="s">
        <v>7690</v>
      </c>
      <c r="C515" s="914" t="s">
        <v>7650</v>
      </c>
      <c r="D515" s="3">
        <f>SUMIF(C3:C506,C515,E3:E506)</f>
        <v>65205.683999999972</v>
      </c>
      <c r="E515" s="32"/>
      <c r="F515" s="746"/>
      <c r="G515" s="746"/>
    </row>
    <row r="516" spans="1:17" x14ac:dyDescent="0.2">
      <c r="B516" s="2693" t="s">
        <v>7692</v>
      </c>
      <c r="C516" s="914" t="s">
        <v>7654</v>
      </c>
      <c r="D516" s="3">
        <f>SUMIF(C4:C507,C516,E4:E507)</f>
        <v>1000</v>
      </c>
    </row>
    <row r="517" spans="1:17" x14ac:dyDescent="0.2">
      <c r="B517" s="2693" t="s">
        <v>7361</v>
      </c>
      <c r="C517" s="914" t="s">
        <v>7649</v>
      </c>
      <c r="D517" s="3">
        <f>SUMIF(C5:C508,C517,E5:E508)</f>
        <v>12796.497499999998</v>
      </c>
    </row>
    <row r="518" spans="1:17" x14ac:dyDescent="0.2">
      <c r="B518" s="2693" t="s">
        <v>6418</v>
      </c>
      <c r="C518" s="914" t="s">
        <v>7651</v>
      </c>
      <c r="D518" s="3">
        <f>SUMIF(C6:C509,C518,E6:E509)</f>
        <v>14857.470833333329</v>
      </c>
    </row>
    <row r="519" spans="1:17" x14ac:dyDescent="0.2">
      <c r="B519" s="3499" t="s">
        <v>772</v>
      </c>
      <c r="C519" s="3500"/>
      <c r="D519" s="2692">
        <f>SUM(D514:D518)</f>
        <v>107665.74733333329</v>
      </c>
      <c r="E519" s="670">
        <f>D519-D523</f>
        <v>0</v>
      </c>
    </row>
    <row r="521" spans="1:17" x14ac:dyDescent="0.2">
      <c r="B521" s="2693" t="s">
        <v>5893</v>
      </c>
      <c r="C521" s="1696">
        <f>D521/D523</f>
        <v>0.28971823233091271</v>
      </c>
      <c r="D521" s="3">
        <f>SUMIF(B3:B505,"*MÃO DE OBRA*",E3:E505)</f>
        <v>31192.73</v>
      </c>
    </row>
    <row r="522" spans="1:17" ht="15.75" x14ac:dyDescent="0.25">
      <c r="B522" s="2693" t="s">
        <v>6250</v>
      </c>
      <c r="C522" s="1696">
        <f>D522/D523</f>
        <v>0.71028176766908735</v>
      </c>
      <c r="D522" s="3">
        <f>D523-D521</f>
        <v>76473.017333333293</v>
      </c>
      <c r="G522" s="2769"/>
      <c r="H522" s="2769"/>
      <c r="I522" s="2769"/>
      <c r="J522" s="2769"/>
    </row>
    <row r="523" spans="1:17" x14ac:dyDescent="0.2">
      <c r="B523" s="2083" t="s">
        <v>772</v>
      </c>
      <c r="C523" s="2697">
        <f>SUM(C521:C522)</f>
        <v>1</v>
      </c>
      <c r="D523" s="2692">
        <f>D519</f>
        <v>107665.74733333329</v>
      </c>
      <c r="H523" s="2729"/>
      <c r="I523" s="32"/>
      <c r="J523" s="32"/>
    </row>
    <row r="524" spans="1:17" x14ac:dyDescent="0.2">
      <c r="H524" s="2730"/>
      <c r="I524" s="717"/>
      <c r="J524" s="1802"/>
    </row>
    <row r="525" spans="1:17" x14ac:dyDescent="0.2">
      <c r="H525" s="786"/>
      <c r="I525" s="717"/>
      <c r="J525" s="1802"/>
    </row>
    <row r="526" spans="1:17" ht="13.5" thickBot="1" x14ac:dyDescent="0.25">
      <c r="H526" s="786"/>
      <c r="I526" s="717"/>
      <c r="J526" s="1802"/>
    </row>
    <row r="527" spans="1:17" ht="22.5" customHeight="1" thickBot="1" x14ac:dyDescent="0.25">
      <c r="A527" s="3501" t="s">
        <v>7517</v>
      </c>
      <c r="B527" s="3502"/>
      <c r="C527" s="3502"/>
      <c r="D527" s="3502"/>
      <c r="E527" s="3503"/>
      <c r="H527" s="786"/>
      <c r="I527" s="2731"/>
      <c r="J527" s="1802"/>
    </row>
    <row r="528" spans="1:17" s="32" customFormat="1" ht="19.5" customHeight="1" thickBot="1" x14ac:dyDescent="0.3">
      <c r="A528" s="149" t="s">
        <v>4206</v>
      </c>
      <c r="B528" s="787" t="s">
        <v>3</v>
      </c>
      <c r="C528" s="2171" t="s">
        <v>6374</v>
      </c>
      <c r="D528" s="2172" t="s">
        <v>6375</v>
      </c>
      <c r="E528" s="2173" t="s">
        <v>5315</v>
      </c>
      <c r="G528"/>
      <c r="H528" s="786"/>
      <c r="I528" s="2731"/>
      <c r="J528" s="1802"/>
      <c r="K528" s="717"/>
      <c r="L528" s="717"/>
      <c r="M528" s="717"/>
      <c r="N528" s="717"/>
      <c r="O528" s="717"/>
      <c r="P528" s="717"/>
      <c r="Q528"/>
    </row>
    <row r="529" spans="1:13" ht="18" customHeight="1" x14ac:dyDescent="0.25">
      <c r="A529" s="452"/>
      <c r="B529" s="2620" t="s">
        <v>7518</v>
      </c>
      <c r="C529" s="2686"/>
      <c r="D529" s="2619"/>
      <c r="E529" s="2621">
        <f>F508</f>
        <v>6559.2426666668471</v>
      </c>
      <c r="H529" s="2730"/>
      <c r="I529" s="2731"/>
      <c r="J529" s="1802"/>
    </row>
    <row r="530" spans="1:13" ht="18" customHeight="1" x14ac:dyDescent="0.25">
      <c r="A530" s="2027"/>
      <c r="B530" s="2196"/>
      <c r="C530" s="2158"/>
      <c r="D530" s="2161"/>
      <c r="E530" s="2621">
        <f t="shared" ref="E530:E536" si="13">E529+C530-D530</f>
        <v>6559.2426666668471</v>
      </c>
    </row>
    <row r="531" spans="1:13" ht="18" customHeight="1" x14ac:dyDescent="0.25">
      <c r="A531" s="2027"/>
      <c r="B531" s="2196" t="s">
        <v>7725</v>
      </c>
      <c r="C531" s="2158"/>
      <c r="D531" s="2161">
        <v>2160</v>
      </c>
      <c r="E531" s="2621">
        <f t="shared" si="13"/>
        <v>4399.2426666668471</v>
      </c>
      <c r="H531" s="786"/>
      <c r="I531" s="2731"/>
      <c r="J531" s="1802"/>
      <c r="K531" s="670"/>
    </row>
    <row r="532" spans="1:13" ht="18" customHeight="1" x14ac:dyDescent="0.25">
      <c r="A532" s="2027"/>
      <c r="B532" s="2196"/>
      <c r="C532" s="2158"/>
      <c r="D532" s="2161"/>
      <c r="E532" s="2621">
        <f t="shared" si="13"/>
        <v>4399.2426666668471</v>
      </c>
      <c r="H532" s="786"/>
      <c r="I532" s="2731"/>
      <c r="J532" s="1802"/>
      <c r="K532" s="670"/>
    </row>
    <row r="533" spans="1:13" ht="18" customHeight="1" x14ac:dyDescent="0.25">
      <c r="A533" s="2027"/>
      <c r="B533" s="2196"/>
      <c r="C533" s="2158"/>
      <c r="D533" s="2161"/>
      <c r="E533" s="2621">
        <f t="shared" si="13"/>
        <v>4399.2426666668471</v>
      </c>
      <c r="H533" s="786"/>
      <c r="I533" s="2731"/>
      <c r="J533" s="1802"/>
      <c r="K533" s="670"/>
    </row>
    <row r="534" spans="1:13" ht="18" customHeight="1" x14ac:dyDescent="0.25">
      <c r="A534" s="2027"/>
      <c r="B534" s="2196" t="s">
        <v>7716</v>
      </c>
      <c r="C534" s="2158"/>
      <c r="D534" s="2161">
        <v>8000</v>
      </c>
      <c r="E534" s="2621">
        <f t="shared" si="13"/>
        <v>-3600.7573333331529</v>
      </c>
      <c r="H534" s="786"/>
      <c r="I534" s="2731"/>
      <c r="J534" s="1802"/>
      <c r="K534" s="670"/>
    </row>
    <row r="535" spans="1:13" ht="18" customHeight="1" x14ac:dyDescent="0.25">
      <c r="A535" s="2027"/>
      <c r="B535" s="2196" t="s">
        <v>7837</v>
      </c>
      <c r="C535" s="2158"/>
      <c r="D535" s="2161">
        <v>2000</v>
      </c>
      <c r="E535" s="2621">
        <f t="shared" si="13"/>
        <v>-5600.7573333331529</v>
      </c>
      <c r="G535" s="2187"/>
      <c r="H535" s="786"/>
      <c r="I535" s="2731"/>
      <c r="J535" s="1802"/>
      <c r="K535" s="670"/>
    </row>
    <row r="536" spans="1:13" ht="18" customHeight="1" x14ac:dyDescent="0.25">
      <c r="A536" s="2027"/>
      <c r="B536" s="2196" t="s">
        <v>7838</v>
      </c>
      <c r="C536" s="2158"/>
      <c r="D536" s="2161">
        <v>4500</v>
      </c>
      <c r="E536" s="2621">
        <f t="shared" si="13"/>
        <v>-10100.757333333153</v>
      </c>
      <c r="G536" s="2188"/>
      <c r="H536" s="786"/>
      <c r="I536" s="2731"/>
      <c r="J536" s="1802"/>
      <c r="K536" s="670"/>
    </row>
    <row r="537" spans="1:13" ht="18" customHeight="1" x14ac:dyDescent="0.25">
      <c r="A537" s="2027"/>
      <c r="B537" s="2196"/>
      <c r="C537" s="2158"/>
      <c r="D537" s="2161"/>
      <c r="E537" s="2174"/>
      <c r="H537" s="786"/>
      <c r="I537" s="2731"/>
      <c r="J537" s="1802"/>
      <c r="K537" s="670"/>
    </row>
    <row r="538" spans="1:13" ht="18" customHeight="1" x14ac:dyDescent="0.25">
      <c r="A538" s="2027"/>
      <c r="B538" s="2196"/>
      <c r="C538" s="2158"/>
      <c r="D538" s="2161"/>
      <c r="E538" s="2174"/>
      <c r="H538" s="786"/>
      <c r="I538" s="2731"/>
      <c r="J538" s="1802"/>
      <c r="K538" s="670"/>
    </row>
    <row r="539" spans="1:13" ht="18" customHeight="1" x14ac:dyDescent="0.25">
      <c r="A539" s="2027"/>
      <c r="B539" s="2196"/>
      <c r="C539" s="2158"/>
      <c r="D539" s="2161"/>
      <c r="E539" s="2174"/>
      <c r="H539" s="786"/>
      <c r="I539" s="2731"/>
      <c r="J539" s="1802"/>
      <c r="K539" s="670"/>
    </row>
    <row r="540" spans="1:13" ht="18" customHeight="1" thickBot="1" x14ac:dyDescent="0.3">
      <c r="A540" s="2027"/>
      <c r="B540" s="2196"/>
      <c r="C540" s="2158"/>
      <c r="D540" s="2161"/>
      <c r="E540" s="2174"/>
    </row>
    <row r="541" spans="1:13" ht="20.25" customHeight="1" thickBot="1" x14ac:dyDescent="0.3">
      <c r="A541" s="3504" t="s">
        <v>6376</v>
      </c>
      <c r="B541" s="3505"/>
      <c r="C541" s="2183">
        <f>SUM(C529:C540)+E529</f>
        <v>6559.2426666668471</v>
      </c>
      <c r="D541" s="2184"/>
      <c r="E541" s="2182"/>
    </row>
    <row r="542" spans="1:13" ht="20.25" customHeight="1" thickBot="1" x14ac:dyDescent="0.3">
      <c r="A542" s="3493" t="s">
        <v>7003</v>
      </c>
      <c r="B542" s="3494"/>
      <c r="C542" s="3495"/>
      <c r="D542" s="2185">
        <f>SUM(D529:D541)</f>
        <v>16660</v>
      </c>
      <c r="E542" s="2186"/>
      <c r="F542" s="2187"/>
      <c r="I542" s="1150"/>
      <c r="J542" s="1827"/>
      <c r="K542" s="717"/>
      <c r="L542" s="717"/>
    </row>
    <row r="543" spans="1:13" ht="20.25" customHeight="1" thickBot="1" x14ac:dyDescent="0.3">
      <c r="A543" s="3496" t="s">
        <v>6377</v>
      </c>
      <c r="B543" s="3497"/>
      <c r="C543" s="3497"/>
      <c r="D543" s="3498"/>
      <c r="E543" s="2181">
        <f>'Fundo construção'!$C541-'Fundo construção'!$D542</f>
        <v>-10100.757333333153</v>
      </c>
      <c r="F543" s="2188"/>
      <c r="I543" s="1859"/>
      <c r="J543" s="2732"/>
      <c r="K543" s="24"/>
      <c r="L543" s="670"/>
      <c r="M543" s="799"/>
    </row>
    <row r="544" spans="1:13" ht="13.5" customHeight="1" x14ac:dyDescent="0.2">
      <c r="J544" s="1097"/>
      <c r="K544" s="670"/>
      <c r="L544" s="717"/>
      <c r="M544" s="799"/>
    </row>
    <row r="545" spans="5:13" x14ac:dyDescent="0.2">
      <c r="I545" s="2639"/>
      <c r="J545" s="231"/>
      <c r="K545" s="1099"/>
      <c r="L545" s="32"/>
      <c r="M545" s="32"/>
    </row>
    <row r="546" spans="5:13" x14ac:dyDescent="0.2">
      <c r="I546" s="239"/>
      <c r="J546" s="1"/>
      <c r="K546" s="2640"/>
      <c r="L546" s="1"/>
      <c r="M546" s="783"/>
    </row>
    <row r="547" spans="5:13" x14ac:dyDescent="0.2">
      <c r="I547" s="2637"/>
      <c r="J547" s="1"/>
      <c r="K547" s="670"/>
    </row>
    <row r="548" spans="5:13" x14ac:dyDescent="0.2">
      <c r="I548" s="2637"/>
      <c r="J548" s="1"/>
      <c r="K548" s="670"/>
    </row>
    <row r="549" spans="5:13" x14ac:dyDescent="0.2">
      <c r="I549" s="2716"/>
      <c r="J549" s="18"/>
      <c r="K549" s="670"/>
      <c r="M549" s="799"/>
    </row>
    <row r="550" spans="5:13" ht="12.75" customHeight="1" x14ac:dyDescent="0.25">
      <c r="E550" s="166"/>
      <c r="F550" s="166"/>
      <c r="G550" s="166"/>
      <c r="H550" s="166"/>
      <c r="I550" s="166"/>
    </row>
    <row r="564" spans="1:9" ht="13.5" thickBot="1" x14ac:dyDescent="0.25"/>
    <row r="565" spans="1:9" ht="21.75" thickBot="1" x14ac:dyDescent="0.4">
      <c r="A565" s="3487" t="s">
        <v>6392</v>
      </c>
      <c r="B565" s="3488"/>
      <c r="C565" s="3488"/>
      <c r="D565" s="3489"/>
      <c r="E565" s="2824"/>
      <c r="F565" s="2824"/>
    </row>
    <row r="566" spans="1:9" ht="15.75" thickBot="1" x14ac:dyDescent="0.3">
      <c r="A566" s="149" t="s">
        <v>4206</v>
      </c>
      <c r="B566" s="787" t="s">
        <v>3</v>
      </c>
      <c r="C566" s="727" t="s">
        <v>7648</v>
      </c>
      <c r="D566" s="2825" t="s">
        <v>6374</v>
      </c>
      <c r="E566" s="970"/>
      <c r="F566" s="32"/>
    </row>
    <row r="567" spans="1:9" ht="15" x14ac:dyDescent="0.25">
      <c r="A567" s="2156">
        <v>45357</v>
      </c>
      <c r="B567" s="2670" t="s">
        <v>6214</v>
      </c>
      <c r="C567" s="1746" t="s">
        <v>1486</v>
      </c>
      <c r="D567" s="2826">
        <v>550</v>
      </c>
      <c r="E567" s="2822"/>
      <c r="F567" s="841"/>
    </row>
    <row r="568" spans="1:9" ht="15" x14ac:dyDescent="0.25">
      <c r="A568" s="2176">
        <v>45388</v>
      </c>
      <c r="B568" s="2178" t="s">
        <v>6214</v>
      </c>
      <c r="C568" s="1746" t="s">
        <v>1486</v>
      </c>
      <c r="D568" s="2827">
        <v>650</v>
      </c>
      <c r="E568" s="2823"/>
      <c r="F568" s="841"/>
    </row>
    <row r="569" spans="1:9" ht="15" x14ac:dyDescent="0.25">
      <c r="A569" s="2176">
        <v>45419</v>
      </c>
      <c r="B569" s="2177" t="s">
        <v>6214</v>
      </c>
      <c r="C569" s="1746" t="s">
        <v>1486</v>
      </c>
      <c r="D569" s="2827">
        <v>650</v>
      </c>
      <c r="E569" s="2823"/>
      <c r="F569" s="841"/>
    </row>
    <row r="570" spans="1:9" ht="15" x14ac:dyDescent="0.25">
      <c r="A570" s="2176">
        <v>45449</v>
      </c>
      <c r="B570" s="2177" t="s">
        <v>6214</v>
      </c>
      <c r="C570" s="1746" t="s">
        <v>1486</v>
      </c>
      <c r="D570" s="2827">
        <v>650</v>
      </c>
      <c r="E570" s="2823"/>
      <c r="F570" s="841"/>
    </row>
    <row r="571" spans="1:9" ht="15" x14ac:dyDescent="0.25">
      <c r="A571" s="2176">
        <v>45478</v>
      </c>
      <c r="B571" s="2177" t="s">
        <v>6214</v>
      </c>
      <c r="C571" s="1746" t="s">
        <v>1486</v>
      </c>
      <c r="D571" s="2827">
        <v>850</v>
      </c>
      <c r="E571" s="2823"/>
      <c r="F571" s="841"/>
    </row>
    <row r="572" spans="1:9" ht="15" x14ac:dyDescent="0.25">
      <c r="A572" s="2176">
        <v>45492</v>
      </c>
      <c r="B572" s="2177" t="s">
        <v>6696</v>
      </c>
      <c r="C572" s="1746" t="s">
        <v>1486</v>
      </c>
      <c r="D572" s="2827">
        <v>750</v>
      </c>
      <c r="E572" s="2823"/>
      <c r="F572" s="841"/>
    </row>
    <row r="573" spans="1:9" ht="15" x14ac:dyDescent="0.25">
      <c r="A573" s="2176">
        <v>45510</v>
      </c>
      <c r="B573" s="2177" t="s">
        <v>6214</v>
      </c>
      <c r="C573" s="1746" t="s">
        <v>1486</v>
      </c>
      <c r="D573" s="2827">
        <v>750</v>
      </c>
      <c r="E573" s="2823"/>
      <c r="F573" s="841"/>
    </row>
    <row r="574" spans="1:9" ht="15" x14ac:dyDescent="0.25">
      <c r="A574" s="2176">
        <v>45541</v>
      </c>
      <c r="B574" s="2178" t="s">
        <v>6214</v>
      </c>
      <c r="C574" s="1746" t="s">
        <v>1486</v>
      </c>
      <c r="D574" s="2827">
        <v>700</v>
      </c>
      <c r="E574" s="2823"/>
      <c r="F574" s="841"/>
    </row>
    <row r="575" spans="1:9" ht="15" x14ac:dyDescent="0.25">
      <c r="A575" s="2176">
        <v>45566</v>
      </c>
      <c r="B575" s="2670" t="s">
        <v>6930</v>
      </c>
      <c r="C575" s="1746" t="s">
        <v>1486</v>
      </c>
      <c r="D575" s="2827">
        <v>1815</v>
      </c>
      <c r="E575" s="2823"/>
      <c r="F575" s="841"/>
      <c r="I575" s="717" t="s">
        <v>8259</v>
      </c>
    </row>
    <row r="576" spans="1:9" ht="15" x14ac:dyDescent="0.25">
      <c r="A576" s="2176">
        <v>45569</v>
      </c>
      <c r="B576" s="2178" t="s">
        <v>6214</v>
      </c>
      <c r="C576" s="1746" t="s">
        <v>1486</v>
      </c>
      <c r="D576" s="2827">
        <v>700</v>
      </c>
      <c r="E576" s="2823"/>
      <c r="F576" s="841"/>
      <c r="G576" s="783">
        <v>0.26500000000000001</v>
      </c>
    </row>
    <row r="577" spans="1:7" ht="15" x14ac:dyDescent="0.25">
      <c r="A577" s="2176">
        <v>45587</v>
      </c>
      <c r="B577" s="2670" t="s">
        <v>8260</v>
      </c>
      <c r="C577" s="1746" t="s">
        <v>1486</v>
      </c>
      <c r="D577" s="2827">
        <v>1324.5654</v>
      </c>
      <c r="E577" s="2822"/>
      <c r="F577" s="841">
        <v>4998.3599999999997</v>
      </c>
      <c r="G577" s="670">
        <f>F577*G576</f>
        <v>1324.5654</v>
      </c>
    </row>
    <row r="578" spans="1:7" ht="15" x14ac:dyDescent="0.25">
      <c r="A578" s="2176">
        <v>45603</v>
      </c>
      <c r="B578" s="2670" t="s">
        <v>6214</v>
      </c>
      <c r="C578" s="1746" t="s">
        <v>1486</v>
      </c>
      <c r="D578" s="2826">
        <v>700</v>
      </c>
      <c r="E578" s="2655"/>
      <c r="F578" s="841"/>
    </row>
    <row r="579" spans="1:7" ht="15" x14ac:dyDescent="0.25">
      <c r="A579" s="2176">
        <v>45618</v>
      </c>
      <c r="B579" s="2670" t="s">
        <v>8261</v>
      </c>
      <c r="C579" s="1746" t="s">
        <v>1486</v>
      </c>
      <c r="D579" s="2827">
        <v>1324.5654</v>
      </c>
      <c r="E579" s="2822"/>
      <c r="F579" s="841">
        <v>4998.3599999999997</v>
      </c>
    </row>
    <row r="580" spans="1:7" ht="15" x14ac:dyDescent="0.25">
      <c r="A580" s="2176">
        <v>45632</v>
      </c>
      <c r="B580" s="2670" t="s">
        <v>7251</v>
      </c>
      <c r="C580" s="1746" t="s">
        <v>1486</v>
      </c>
      <c r="D580" s="2826">
        <v>600</v>
      </c>
      <c r="E580" s="2655"/>
      <c r="F580" s="841"/>
    </row>
    <row r="581" spans="1:7" ht="15" x14ac:dyDescent="0.25">
      <c r="A581" s="2176">
        <v>45646</v>
      </c>
      <c r="B581" s="2670" t="s">
        <v>8262</v>
      </c>
      <c r="C581" s="1746" t="s">
        <v>1486</v>
      </c>
      <c r="D581" s="2827">
        <v>1324.5654</v>
      </c>
      <c r="E581" s="2822"/>
      <c r="F581" s="841">
        <v>4998.3599999999997</v>
      </c>
    </row>
    <row r="582" spans="1:7" ht="15" x14ac:dyDescent="0.25">
      <c r="A582" s="2176">
        <v>45664</v>
      </c>
      <c r="B582" s="2670" t="s">
        <v>7251</v>
      </c>
      <c r="C582" s="1746" t="s">
        <v>1486</v>
      </c>
      <c r="D582" s="2826">
        <v>700</v>
      </c>
      <c r="E582" s="2655"/>
      <c r="F582" s="841"/>
    </row>
    <row r="583" spans="1:7" ht="15" x14ac:dyDescent="0.25">
      <c r="A583" s="2176">
        <v>45678</v>
      </c>
      <c r="B583" s="2670" t="s">
        <v>8263</v>
      </c>
      <c r="C583" s="1746" t="s">
        <v>1486</v>
      </c>
      <c r="D583" s="2827">
        <v>1324.5654</v>
      </c>
      <c r="E583" s="2822"/>
      <c r="F583" s="841">
        <v>4998.3599999999997</v>
      </c>
    </row>
    <row r="584" spans="1:7" ht="15" x14ac:dyDescent="0.25">
      <c r="A584" s="2176">
        <v>45707</v>
      </c>
      <c r="B584" s="2670" t="s">
        <v>6214</v>
      </c>
      <c r="C584" s="1746" t="s">
        <v>1486</v>
      </c>
      <c r="D584" s="2826">
        <v>700</v>
      </c>
      <c r="E584" s="2822"/>
      <c r="F584" s="841"/>
    </row>
    <row r="585" spans="1:7" ht="15" x14ac:dyDescent="0.25">
      <c r="A585" s="2176">
        <v>45709</v>
      </c>
      <c r="B585" s="2670" t="s">
        <v>8264</v>
      </c>
      <c r="C585" s="1746" t="s">
        <v>1486</v>
      </c>
      <c r="D585" s="2827">
        <v>1324.5654</v>
      </c>
      <c r="E585" s="2822"/>
      <c r="F585" s="841">
        <v>4998.3599999999997</v>
      </c>
    </row>
    <row r="586" spans="1:7" ht="15" x14ac:dyDescent="0.25">
      <c r="A586" s="2176">
        <v>45722</v>
      </c>
      <c r="B586" s="2670" t="s">
        <v>6214</v>
      </c>
      <c r="C586" s="1746" t="s">
        <v>1486</v>
      </c>
      <c r="D586" s="2826">
        <v>700</v>
      </c>
      <c r="E586" s="2822"/>
      <c r="F586" s="841"/>
    </row>
    <row r="587" spans="1:7" ht="15" x14ac:dyDescent="0.25">
      <c r="A587" s="2176">
        <v>45737</v>
      </c>
      <c r="B587" s="2670" t="s">
        <v>8265</v>
      </c>
      <c r="C587" s="1746" t="s">
        <v>1486</v>
      </c>
      <c r="D587" s="2827">
        <v>1324.5654</v>
      </c>
      <c r="E587" s="2822"/>
      <c r="F587" s="841">
        <v>4998.3599999999997</v>
      </c>
    </row>
    <row r="588" spans="1:7" ht="15" x14ac:dyDescent="0.25">
      <c r="A588" s="2176">
        <v>45764</v>
      </c>
      <c r="B588" s="2670" t="s">
        <v>8266</v>
      </c>
      <c r="C588" s="1746" t="s">
        <v>1486</v>
      </c>
      <c r="D588" s="2827">
        <v>1324.5654</v>
      </c>
      <c r="E588" s="2822"/>
      <c r="F588" s="841">
        <v>4998.3599999999997</v>
      </c>
    </row>
    <row r="589" spans="1:7" ht="15.75" thickBot="1" x14ac:dyDescent="0.3">
      <c r="A589" s="2828">
        <v>45797</v>
      </c>
      <c r="B589" s="2829" t="s">
        <v>8267</v>
      </c>
      <c r="C589" s="2830" t="s">
        <v>1486</v>
      </c>
      <c r="D589" s="2831">
        <v>1324.5654</v>
      </c>
      <c r="E589" s="2822"/>
      <c r="F589" s="841">
        <v>4998.3599999999997</v>
      </c>
    </row>
    <row r="590" spans="1:7" ht="19.5" customHeight="1" thickBot="1" x14ac:dyDescent="0.25">
      <c r="A590" s="3490" t="s">
        <v>8258</v>
      </c>
      <c r="B590" s="3491"/>
      <c r="C590" s="3492"/>
      <c r="D590" s="2832">
        <f>SUM(D567:D589)</f>
        <v>22061.523199999996</v>
      </c>
    </row>
  </sheetData>
  <sortState xmlns:xlrd2="http://schemas.microsoft.com/office/spreadsheetml/2017/richdata2" ref="D516:E521">
    <sortCondition ref="E516:E521"/>
  </sortState>
  <dataConsolidate>
    <dataRefs count="1">
      <dataRef ref="A2:F104" sheet="Fundo construção"/>
    </dataRefs>
  </dataConsolidate>
  <mergeCells count="13">
    <mergeCell ref="A1:F1"/>
    <mergeCell ref="A541:B541"/>
    <mergeCell ref="H2:P2"/>
    <mergeCell ref="I310:L310"/>
    <mergeCell ref="P11:Q11"/>
    <mergeCell ref="H17:P17"/>
    <mergeCell ref="P29:Q29"/>
    <mergeCell ref="A565:D565"/>
    <mergeCell ref="A590:C590"/>
    <mergeCell ref="A542:C542"/>
    <mergeCell ref="A543:D543"/>
    <mergeCell ref="B519:C519"/>
    <mergeCell ref="A527:E527"/>
  </mergeCells>
  <dataValidations disablePrompts="1" count="1">
    <dataValidation type="list" allowBlank="1" showInputMessage="1" showErrorMessage="1" sqref="J403:J456" xr:uid="{9BC00414-9122-4A20-8A2B-74B16A60C0AD}">
      <formula1>$C$3:$C$277</formula1>
    </dataValidation>
  </dataValidations>
  <pageMargins left="0.19685039370078741" right="0.15748031496062992" top="0.35433070866141736" bottom="0.35433070866141736" header="0.31496062992125984" footer="0.31496062992125984"/>
  <pageSetup paperSize="9" scale="73" orientation="landscape" r:id="rId1"/>
  <drawing r:id="rId2"/>
  <tableParts count="1">
    <tablePart r:id="rId3"/>
  </tablePart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B0C52-43E2-4208-8C41-0656FB1CF3B8}">
  <sheetPr>
    <tabColor rgb="FF92D050"/>
  </sheetPr>
  <dimension ref="A1:Q37"/>
  <sheetViews>
    <sheetView zoomScaleNormal="100" workbookViewId="0">
      <selection activeCell="I23" sqref="I23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4.710937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1.75" customHeight="1" thickBot="1" x14ac:dyDescent="0.25">
      <c r="A1" s="51"/>
      <c r="B1" s="1543"/>
      <c r="C1" s="1543"/>
      <c r="D1" s="717"/>
      <c r="E1" s="717"/>
      <c r="F1" s="2277"/>
      <c r="G1" s="2277"/>
      <c r="H1" s="52"/>
      <c r="I1" s="52"/>
      <c r="J1" s="2205"/>
      <c r="K1" s="746"/>
    </row>
    <row r="2" spans="1:17" ht="27" thickBot="1" x14ac:dyDescent="0.45">
      <c r="A2" s="3104" t="s">
        <v>8134</v>
      </c>
      <c r="B2" s="3105"/>
      <c r="C2" s="3105"/>
      <c r="D2" s="3105"/>
      <c r="E2" s="3105"/>
      <c r="F2" s="3105"/>
      <c r="G2" s="3105"/>
      <c r="H2" s="3105"/>
      <c r="I2" s="3105"/>
      <c r="J2" s="3509"/>
      <c r="K2" s="2084"/>
    </row>
    <row r="3" spans="1:17" ht="40.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7863</v>
      </c>
      <c r="K3" s="32"/>
      <c r="M3" s="32"/>
      <c r="N3" s="31"/>
      <c r="O3" s="32"/>
    </row>
    <row r="4" spans="1:17" ht="21.75" customHeight="1" x14ac:dyDescent="0.2">
      <c r="A4" s="1493"/>
      <c r="B4" s="1499">
        <v>45789</v>
      </c>
      <c r="C4" s="1499" t="s">
        <v>7669</v>
      </c>
      <c r="D4" s="1496" t="s">
        <v>7862</v>
      </c>
      <c r="E4" s="1496" t="s">
        <v>7864</v>
      </c>
      <c r="F4" s="2348" t="s">
        <v>6186</v>
      </c>
      <c r="G4" s="2041">
        <v>6</v>
      </c>
      <c r="H4" s="1638">
        <v>159.57</v>
      </c>
      <c r="I4" s="2127">
        <f>H4*G4</f>
        <v>957.42</v>
      </c>
      <c r="J4" s="2197" t="s">
        <v>7866</v>
      </c>
      <c r="K4" s="746"/>
      <c r="M4" s="1"/>
      <c r="N4" s="231"/>
    </row>
    <row r="5" spans="1:17" ht="21.75" customHeight="1" x14ac:dyDescent="0.2">
      <c r="A5" s="1493"/>
      <c r="B5" s="1499">
        <v>45789</v>
      </c>
      <c r="C5" s="1499" t="s">
        <v>7669</v>
      </c>
      <c r="D5" s="1496" t="s">
        <v>7862</v>
      </c>
      <c r="E5" s="2724" t="s">
        <v>8006</v>
      </c>
      <c r="F5" s="2041" t="s">
        <v>6186</v>
      </c>
      <c r="G5" s="2041">
        <v>6</v>
      </c>
      <c r="H5" s="1638">
        <v>28.99</v>
      </c>
      <c r="I5" s="2127">
        <f t="shared" ref="I5:I6" si="0">H5*G5</f>
        <v>173.94</v>
      </c>
      <c r="J5" s="2197"/>
      <c r="M5" s="1"/>
      <c r="N5" s="231"/>
      <c r="O5" s="1704"/>
      <c r="P5" s="1704"/>
      <c r="Q5" s="1704"/>
    </row>
    <row r="6" spans="1:17" ht="21.75" customHeight="1" x14ac:dyDescent="0.2">
      <c r="A6" s="1493"/>
      <c r="B6" s="1499">
        <v>45789</v>
      </c>
      <c r="C6" s="1499" t="s">
        <v>7669</v>
      </c>
      <c r="D6" s="1496" t="s">
        <v>7862</v>
      </c>
      <c r="E6" s="1496" t="s">
        <v>7449</v>
      </c>
      <c r="F6" s="2041" t="s">
        <v>6186</v>
      </c>
      <c r="G6" s="2041">
        <v>1</v>
      </c>
      <c r="H6" s="1638">
        <v>50</v>
      </c>
      <c r="I6" s="2127">
        <f t="shared" si="0"/>
        <v>50</v>
      </c>
      <c r="J6" s="2197"/>
      <c r="L6" s="2139"/>
      <c r="M6" s="1"/>
      <c r="N6" s="231"/>
      <c r="O6" s="1704"/>
      <c r="P6" s="1704"/>
      <c r="Q6" s="1704"/>
    </row>
    <row r="7" spans="1:17" ht="21.75" customHeight="1" x14ac:dyDescent="0.2">
      <c r="A7" s="1493" t="s">
        <v>6244</v>
      </c>
      <c r="B7" s="1499"/>
      <c r="C7" s="1499"/>
      <c r="D7" s="1496"/>
      <c r="E7" s="1496"/>
      <c r="F7" s="2041"/>
      <c r="G7" s="2041"/>
      <c r="H7" s="1638"/>
      <c r="I7" s="2209">
        <f>SUM(I4:I6)</f>
        <v>1181.3599999999999</v>
      </c>
      <c r="J7" s="2197" t="s">
        <v>7865</v>
      </c>
      <c r="L7" s="2139"/>
      <c r="M7" s="1"/>
      <c r="N7" s="231"/>
      <c r="O7" s="1704"/>
      <c r="P7" s="1704"/>
      <c r="Q7" s="1704"/>
    </row>
    <row r="8" spans="1:17" ht="21.75" customHeight="1" x14ac:dyDescent="0.2">
      <c r="A8" s="1493"/>
      <c r="B8" s="1499"/>
      <c r="C8" s="1499"/>
      <c r="D8" s="1496"/>
      <c r="E8" s="1496"/>
      <c r="F8" s="2041"/>
      <c r="G8" s="2041"/>
      <c r="H8" s="1638"/>
      <c r="I8" s="2127"/>
      <c r="J8" s="2197"/>
      <c r="K8" s="746"/>
      <c r="L8" s="2139"/>
      <c r="M8" s="1"/>
      <c r="N8" s="231"/>
      <c r="O8" s="1704"/>
      <c r="P8" s="1704"/>
      <c r="Q8" s="1704"/>
    </row>
    <row r="9" spans="1:17" ht="21.75" customHeight="1" x14ac:dyDescent="0.2">
      <c r="A9" s="1493"/>
      <c r="B9" s="1499"/>
      <c r="C9" s="1499"/>
      <c r="D9" s="1496"/>
      <c r="E9" s="1496"/>
      <c r="F9" s="2041"/>
      <c r="G9" s="2041"/>
      <c r="H9" s="1638"/>
      <c r="I9" s="2209"/>
      <c r="J9" s="2197"/>
      <c r="L9" s="2139"/>
      <c r="M9" s="1"/>
      <c r="N9" s="231"/>
      <c r="O9" s="1704"/>
      <c r="P9" s="1704"/>
      <c r="Q9" s="1704"/>
    </row>
    <row r="10" spans="1:17" ht="21.75" customHeight="1" x14ac:dyDescent="0.2">
      <c r="A10" s="1493" t="s">
        <v>6245</v>
      </c>
      <c r="B10" s="1499"/>
      <c r="C10" s="1499"/>
      <c r="D10" s="1496"/>
      <c r="E10" s="1496" t="s">
        <v>8121</v>
      </c>
      <c r="F10" s="1604" t="s">
        <v>6186</v>
      </c>
      <c r="G10" s="2041">
        <v>1</v>
      </c>
      <c r="H10" s="1638">
        <v>6000</v>
      </c>
      <c r="I10" s="2209">
        <f>H10*G10</f>
        <v>6000</v>
      </c>
      <c r="J10" s="2197"/>
    </row>
    <row r="11" spans="1:17" ht="21.75" customHeight="1" x14ac:dyDescent="0.2">
      <c r="A11" s="1493"/>
      <c r="B11" s="1499"/>
      <c r="C11" s="1499"/>
      <c r="D11" s="1496"/>
      <c r="E11" s="1496"/>
      <c r="F11" s="2041"/>
      <c r="G11" s="2041"/>
      <c r="H11" s="1638"/>
      <c r="I11" s="2209"/>
      <c r="J11" s="2197"/>
      <c r="L11" s="2139"/>
      <c r="M11" s="1"/>
      <c r="N11" s="231"/>
      <c r="O11" s="1704"/>
      <c r="P11" s="1704"/>
      <c r="Q11" s="1704"/>
    </row>
    <row r="12" spans="1:17" ht="21.75" customHeight="1" x14ac:dyDescent="0.2">
      <c r="A12" s="1493"/>
      <c r="B12" s="1499"/>
      <c r="C12" s="1499"/>
      <c r="D12" s="1496"/>
      <c r="E12" s="1496"/>
      <c r="F12" s="2132"/>
      <c r="G12" s="2041"/>
      <c r="H12" s="1638"/>
      <c r="I12" s="2127"/>
      <c r="J12" s="2197"/>
    </row>
    <row r="13" spans="1:17" ht="21.75" customHeight="1" x14ac:dyDescent="0.2">
      <c r="A13" s="1493"/>
      <c r="B13" s="1499"/>
      <c r="C13" s="1499"/>
      <c r="D13" s="1496"/>
      <c r="E13" s="1496"/>
      <c r="F13" s="2041"/>
      <c r="G13" s="2041"/>
      <c r="H13" s="1638"/>
      <c r="I13" s="2127"/>
      <c r="J13" s="2197"/>
      <c r="L13" s="2139"/>
      <c r="M13" s="1"/>
      <c r="N13" s="231"/>
      <c r="O13" s="1704"/>
      <c r="P13" s="1704"/>
      <c r="Q13" s="1704"/>
    </row>
    <row r="14" spans="1:17" ht="21.75" customHeight="1" x14ac:dyDescent="0.2">
      <c r="A14" s="1493"/>
      <c r="B14" s="1499"/>
      <c r="C14" s="1499"/>
      <c r="D14" s="1496"/>
      <c r="E14" s="1496"/>
      <c r="F14" s="2041"/>
      <c r="G14" s="2041"/>
      <c r="H14" s="1638"/>
      <c r="I14" s="2127"/>
      <c r="J14" s="2197"/>
    </row>
    <row r="15" spans="1:17" ht="21.75" customHeight="1" x14ac:dyDescent="0.2">
      <c r="A15" s="1493"/>
      <c r="B15" s="1499"/>
      <c r="C15" s="1499"/>
      <c r="D15" s="1496"/>
      <c r="E15" s="1496"/>
      <c r="F15" s="2132"/>
      <c r="G15" s="2041"/>
      <c r="H15" s="1638"/>
      <c r="I15" s="2209"/>
      <c r="J15" s="2197"/>
    </row>
    <row r="16" spans="1:17" ht="21.75" customHeight="1" x14ac:dyDescent="0.2">
      <c r="A16" s="1493"/>
      <c r="B16" s="1499"/>
      <c r="C16" s="1499"/>
      <c r="D16" s="1496"/>
      <c r="E16" s="1496"/>
      <c r="F16" s="2041"/>
      <c r="G16" s="2041"/>
      <c r="H16" s="1638"/>
      <c r="I16" s="2127"/>
      <c r="J16" s="2197"/>
      <c r="K16" s="746"/>
      <c r="L16" s="2139"/>
      <c r="M16" s="1"/>
      <c r="N16" s="231"/>
      <c r="O16" s="1704"/>
      <c r="P16" s="1704"/>
      <c r="Q16" s="1704"/>
    </row>
    <row r="17" spans="1:17" ht="21.75" customHeight="1" x14ac:dyDescent="0.2">
      <c r="A17" s="1493"/>
      <c r="B17" s="1499"/>
      <c r="C17" s="1499"/>
      <c r="D17" s="1496"/>
      <c r="E17" s="1496"/>
      <c r="F17" s="2041"/>
      <c r="G17" s="2041"/>
      <c r="H17" s="1638"/>
      <c r="I17" s="2209"/>
      <c r="J17" s="2197"/>
      <c r="L17" s="2139"/>
      <c r="M17" s="1"/>
      <c r="N17" s="231"/>
      <c r="O17" s="1704"/>
      <c r="P17" s="1704"/>
      <c r="Q17" s="1704"/>
    </row>
    <row r="18" spans="1:17" ht="21.75" customHeight="1" x14ac:dyDescent="0.2">
      <c r="A18" s="1493"/>
      <c r="B18" s="1499"/>
      <c r="C18" s="1499"/>
      <c r="D18" s="1496"/>
      <c r="E18" s="1496"/>
      <c r="F18" s="2041"/>
      <c r="G18" s="2041"/>
      <c r="H18" s="1638"/>
      <c r="I18" s="2127"/>
      <c r="J18" s="2197"/>
    </row>
    <row r="19" spans="1:17" ht="21.75" customHeight="1" x14ac:dyDescent="0.2">
      <c r="A19" s="1493"/>
      <c r="B19" s="1499"/>
      <c r="C19" s="1499"/>
      <c r="D19" s="1496"/>
      <c r="E19" s="1496"/>
      <c r="F19" s="2132"/>
      <c r="G19" s="2041"/>
      <c r="H19" s="1638"/>
      <c r="I19" s="2209"/>
      <c r="J19" s="2197"/>
      <c r="K19" s="746"/>
      <c r="M19" s="1"/>
      <c r="N19" s="231"/>
    </row>
    <row r="20" spans="1:17" ht="21.75" customHeight="1" x14ac:dyDescent="0.2">
      <c r="A20" s="1493"/>
      <c r="B20" s="1499"/>
      <c r="C20" s="1499"/>
      <c r="D20" s="1496"/>
      <c r="E20" s="2724"/>
      <c r="F20" s="1604"/>
      <c r="G20" s="2041"/>
      <c r="H20" s="1638"/>
      <c r="I20" s="2127"/>
      <c r="J20" s="2197"/>
      <c r="M20" s="1"/>
      <c r="N20" s="231"/>
      <c r="O20" s="1704"/>
      <c r="P20" s="1704"/>
      <c r="Q20" s="1704"/>
    </row>
    <row r="21" spans="1:17" ht="21.75" customHeight="1" x14ac:dyDescent="0.2">
      <c r="A21" s="1493"/>
      <c r="B21" s="1499"/>
      <c r="C21" s="1499"/>
      <c r="D21" s="1496"/>
      <c r="E21" s="1496"/>
      <c r="F21" s="2132"/>
      <c r="G21" s="2041"/>
      <c r="H21" s="1638"/>
      <c r="I21" s="2209"/>
      <c r="J21" s="2197"/>
      <c r="K21" s="746"/>
      <c r="M21" s="1"/>
      <c r="N21" s="231"/>
    </row>
    <row r="22" spans="1:17" ht="21.75" customHeight="1" x14ac:dyDescent="0.2">
      <c r="A22" s="1493"/>
      <c r="B22" s="1499"/>
      <c r="C22" s="1499"/>
      <c r="D22" s="1496"/>
      <c r="E22" s="2724"/>
      <c r="F22" s="1604"/>
      <c r="G22" s="2041"/>
      <c r="H22" s="1638"/>
      <c r="I22" s="2127"/>
      <c r="J22" s="2197"/>
      <c r="M22" s="1"/>
      <c r="N22" s="231"/>
      <c r="O22" s="1704"/>
      <c r="P22" s="1704"/>
      <c r="Q22" s="1704"/>
    </row>
    <row r="23" spans="1:17" ht="21.75" customHeight="1" x14ac:dyDescent="0.2">
      <c r="A23" s="1493"/>
      <c r="B23" s="1499"/>
      <c r="C23" s="1499"/>
      <c r="D23" s="1496"/>
      <c r="E23" s="1496"/>
      <c r="F23" s="1604"/>
      <c r="G23" s="2041"/>
      <c r="H23" s="1638"/>
      <c r="I23" s="2209"/>
      <c r="J23" s="2197"/>
      <c r="K23" s="746"/>
      <c r="M23" s="239"/>
      <c r="N23" s="2618"/>
      <c r="O23" s="2206"/>
      <c r="P23" s="2615"/>
    </row>
    <row r="24" spans="1:17" ht="21.75" customHeight="1" thickBot="1" x14ac:dyDescent="0.25">
      <c r="A24" s="1493"/>
      <c r="B24" s="1499"/>
      <c r="C24" s="1499"/>
      <c r="D24" s="1496"/>
      <c r="E24" s="1496"/>
      <c r="F24" s="2132"/>
      <c r="G24" s="2041"/>
      <c r="H24" s="1638"/>
      <c r="I24" s="2127"/>
      <c r="J24" s="2197"/>
    </row>
    <row r="25" spans="1:17" ht="21.75" customHeight="1" thickBot="1" x14ac:dyDescent="0.25">
      <c r="A25" s="3510" t="s">
        <v>772</v>
      </c>
      <c r="B25" s="3511"/>
      <c r="C25" s="3511"/>
      <c r="D25" s="3511"/>
      <c r="E25" s="3511"/>
      <c r="F25" s="3511"/>
      <c r="G25" s="3511"/>
      <c r="H25" s="3512"/>
      <c r="I25" s="175">
        <f>SUMIF(A4:A24,"mo",I4:I24)+SUMIF(A4:A24,"mat",I4:I24)</f>
        <v>7181.36</v>
      </c>
      <c r="J25" s="2342"/>
      <c r="K25" s="746"/>
    </row>
    <row r="26" spans="1:17" ht="21.75" customHeight="1" x14ac:dyDescent="0.2">
      <c r="A26" s="51"/>
      <c r="B26" s="1543"/>
      <c r="C26" s="1543"/>
      <c r="D26" s="717"/>
      <c r="E26" s="717"/>
      <c r="F26" s="2277"/>
      <c r="G26" s="2277"/>
      <c r="H26" s="52"/>
      <c r="I26" s="52"/>
      <c r="J26" s="2205"/>
      <c r="K26" s="746"/>
    </row>
    <row r="27" spans="1:17" ht="21.75" customHeight="1" x14ac:dyDescent="0.2">
      <c r="A27" s="51"/>
      <c r="B27" s="1543"/>
      <c r="C27" s="1543"/>
      <c r="D27" s="717"/>
      <c r="E27" s="717"/>
      <c r="F27" s="2277"/>
      <c r="G27" s="2277"/>
      <c r="H27" s="52"/>
      <c r="I27" s="52"/>
      <c r="J27" s="2205"/>
      <c r="K27" s="746"/>
    </row>
    <row r="28" spans="1:17" ht="21.75" customHeight="1" x14ac:dyDescent="0.2">
      <c r="A28" s="51"/>
      <c r="B28" s="1543"/>
      <c r="C28" s="1543"/>
      <c r="D28" s="717"/>
      <c r="E28" s="1505" t="s">
        <v>7994</v>
      </c>
      <c r="F28" s="2277"/>
      <c r="G28" s="2277"/>
      <c r="H28" s="52" t="e">
        <f>SUMIF($E$4:$E$24,"*porcelanato*",$I$4:$I$24)+SUMIF(#REF!,"*porcelanato*",#REF!)+SUMIF(#REF!,"*porcelanato*",#REF!)</f>
        <v>#REF!</v>
      </c>
      <c r="I28" s="2772" t="e">
        <f>H28/$H$34</f>
        <v>#REF!</v>
      </c>
      <c r="J28" s="2205"/>
      <c r="K28" s="746"/>
    </row>
    <row r="29" spans="1:17" ht="21.75" customHeight="1" x14ac:dyDescent="0.2">
      <c r="A29" s="51"/>
      <c r="B29" s="1543"/>
      <c r="C29" s="1543"/>
      <c r="D29" s="717"/>
      <c r="E29" s="1505" t="s">
        <v>923</v>
      </c>
      <c r="F29" s="2277"/>
      <c r="G29" s="2277"/>
      <c r="H29" s="52" t="e">
        <f>SUMIF($E$4:$E$24,"*ARGAMASSA*",$I$4:$I$24)+SUMIF(#REF!,"*ARGAMASSA*",#REF!)+SUMIF(#REF!,"*ARGAMASSA*",#REF!)</f>
        <v>#REF!</v>
      </c>
      <c r="I29" s="2772" t="e">
        <f t="shared" ref="I29:I34" si="1">H29/$H$34</f>
        <v>#REF!</v>
      </c>
      <c r="J29" s="2205"/>
      <c r="K29" s="746"/>
    </row>
    <row r="30" spans="1:17" ht="21.75" customHeight="1" x14ac:dyDescent="0.2">
      <c r="A30" s="51"/>
      <c r="B30" s="1543"/>
      <c r="C30" s="1543"/>
      <c r="D30" s="717"/>
      <c r="E30" s="1505" t="s">
        <v>7995</v>
      </c>
      <c r="F30" s="2277"/>
      <c r="G30" s="2277"/>
      <c r="H30" s="52" t="e">
        <f>SUMIF($E$4:$E$24,"*REJUNTE*",$I$4:$I$24)+SUMIF(#REF!,"*REJUNTE*",#REF!)+SUMIF(#REF!,"*REJUNTE*",#REF!)</f>
        <v>#REF!</v>
      </c>
      <c r="I30" s="2772" t="e">
        <f t="shared" si="1"/>
        <v>#REF!</v>
      </c>
      <c r="J30" s="2205"/>
      <c r="K30" s="746"/>
    </row>
    <row r="31" spans="1:17" ht="21.75" customHeight="1" x14ac:dyDescent="0.2">
      <c r="A31" s="51"/>
      <c r="B31" s="1543"/>
      <c r="C31" s="1543"/>
      <c r="D31" s="717"/>
      <c r="E31" s="1505" t="s">
        <v>7996</v>
      </c>
      <c r="F31" s="2277"/>
      <c r="G31" s="2277"/>
      <c r="H31" s="52" t="e">
        <f>SUM(#REF!+#REF!+I25)-H28-H29-H30-H32-H33</f>
        <v>#REF!</v>
      </c>
      <c r="I31" s="2772" t="e">
        <f t="shared" si="1"/>
        <v>#REF!</v>
      </c>
      <c r="J31" s="2205"/>
      <c r="K31" s="746"/>
    </row>
    <row r="32" spans="1:17" ht="21.75" customHeight="1" x14ac:dyDescent="0.2">
      <c r="A32" s="51"/>
      <c r="B32" s="1543"/>
      <c r="C32" s="1543"/>
      <c r="D32" s="717"/>
      <c r="E32" s="1505" t="s">
        <v>1012</v>
      </c>
      <c r="H32" s="52" t="e">
        <f>SUMIF($E$4:$E$24,"*frete*",$I$4:$I$24)+SUMIF(#REF!,"*frete*",#REF!)+SUMIF(#REF!,"*frete*",#REF!)</f>
        <v>#REF!</v>
      </c>
      <c r="I32" s="2772" t="e">
        <f t="shared" si="1"/>
        <v>#REF!</v>
      </c>
      <c r="J32" s="2205"/>
      <c r="K32" s="746"/>
    </row>
    <row r="33" spans="1:11" ht="21.75" customHeight="1" x14ac:dyDescent="0.2">
      <c r="A33" s="51"/>
      <c r="B33" s="1543"/>
      <c r="C33" s="1543"/>
      <c r="D33" s="717"/>
      <c r="E33" s="1505" t="s">
        <v>5761</v>
      </c>
      <c r="F33" s="2277"/>
      <c r="G33" s="2277"/>
      <c r="H33" s="52" t="e">
        <f>SUMIF($E$4:$E$24,"*M.O*",$I$4:$I$24)+SUMIF(#REF!,"*M.O*",#REF!)+SUMIF(#REF!,"*M.O*",#REF!)</f>
        <v>#REF!</v>
      </c>
      <c r="I33" s="2772" t="e">
        <f>H33/$H$34</f>
        <v>#REF!</v>
      </c>
      <c r="J33" s="2205"/>
      <c r="K33" s="746"/>
    </row>
    <row r="34" spans="1:11" ht="21.75" customHeight="1" x14ac:dyDescent="0.2">
      <c r="A34" s="51"/>
      <c r="B34" s="1543"/>
      <c r="C34" s="1543"/>
      <c r="D34" s="717"/>
      <c r="E34" s="1505"/>
      <c r="F34" s="2277"/>
      <c r="G34" s="2277"/>
      <c r="H34" s="82" t="e">
        <f>SUM(H28:H33)</f>
        <v>#REF!</v>
      </c>
      <c r="I34" s="2773" t="e">
        <f t="shared" si="1"/>
        <v>#REF!</v>
      </c>
      <c r="J34" s="2205"/>
      <c r="K34" s="746"/>
    </row>
    <row r="35" spans="1:11" ht="21.75" customHeight="1" x14ac:dyDescent="0.2">
      <c r="A35" s="51"/>
      <c r="B35" s="1543"/>
      <c r="C35" s="1543"/>
      <c r="D35" s="717"/>
      <c r="E35" s="1505"/>
      <c r="F35" s="2277"/>
      <c r="G35" s="2277"/>
      <c r="I35" s="52"/>
      <c r="J35" s="2205"/>
      <c r="K35" s="746"/>
    </row>
    <row r="36" spans="1:11" ht="21.75" customHeight="1" x14ac:dyDescent="0.2">
      <c r="A36" s="51"/>
      <c r="B36" s="1543"/>
      <c r="C36" s="1543"/>
      <c r="D36" s="717"/>
      <c r="E36" s="1505"/>
      <c r="F36" s="2277"/>
      <c r="G36" s="2277"/>
      <c r="H36" s="52"/>
      <c r="I36" s="52"/>
      <c r="J36" s="2205"/>
      <c r="K36" s="746"/>
    </row>
    <row r="37" spans="1:11" ht="21.75" customHeight="1" x14ac:dyDescent="0.2">
      <c r="A37" s="51"/>
      <c r="B37" s="1543"/>
      <c r="C37" s="1543"/>
      <c r="D37" s="717"/>
      <c r="E37" s="1505"/>
      <c r="F37" s="2277"/>
      <c r="G37" s="2277"/>
      <c r="H37" s="52"/>
      <c r="I37" s="52"/>
      <c r="J37" s="2205"/>
      <c r="K37" s="746"/>
    </row>
  </sheetData>
  <mergeCells count="2">
    <mergeCell ref="A2:J2"/>
    <mergeCell ref="A25:H25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3417E-3935-4764-85C2-6D263F31EC2E}">
  <sheetPr codeName="Planilha26"/>
  <dimension ref="A1:Q129"/>
  <sheetViews>
    <sheetView topLeftCell="B138" zoomScaleNormal="100" workbookViewId="0">
      <selection activeCell="O110" sqref="G109:O110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68.7109375" bestFit="1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8.5703125" customWidth="1"/>
    <col min="12" max="12" width="18" style="24" customWidth="1"/>
    <col min="13" max="13" width="12.7109375" style="24" customWidth="1"/>
    <col min="14" max="14" width="16.42578125" style="24" customWidth="1"/>
    <col min="15" max="15" width="14.140625" customWidth="1"/>
    <col min="16" max="16" width="12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7" thickBot="1" x14ac:dyDescent="0.45">
      <c r="A1" s="3104" t="s">
        <v>6892</v>
      </c>
      <c r="B1" s="3105"/>
      <c r="C1" s="3105"/>
      <c r="D1" s="3105"/>
      <c r="E1" s="3105"/>
      <c r="F1" s="3105"/>
      <c r="G1" s="3105"/>
      <c r="H1" s="3105"/>
      <c r="I1" s="3105"/>
      <c r="J1" s="3509"/>
      <c r="K1" s="2084"/>
    </row>
    <row r="2" spans="1:17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7" ht="21.75" customHeight="1" x14ac:dyDescent="0.2">
      <c r="A3" s="2345"/>
      <c r="B3" s="2346">
        <v>45544</v>
      </c>
      <c r="C3" s="1499" t="s">
        <v>6868</v>
      </c>
      <c r="D3" s="1610" t="s">
        <v>6869</v>
      </c>
      <c r="E3" s="1610" t="s">
        <v>6870</v>
      </c>
      <c r="F3" s="1604" t="s">
        <v>6186</v>
      </c>
      <c r="G3" s="2348">
        <v>15</v>
      </c>
      <c r="H3" s="2349">
        <v>1.51</v>
      </c>
      <c r="I3" s="2350">
        <f>H3*G3</f>
        <v>22.65</v>
      </c>
      <c r="J3" s="2351"/>
      <c r="K3" s="717"/>
      <c r="L3" s="2138"/>
      <c r="M3" s="2138"/>
      <c r="N3" s="2138"/>
      <c r="O3" s="2117"/>
      <c r="P3" s="2117"/>
      <c r="Q3" s="2117"/>
    </row>
    <row r="4" spans="1:17" ht="21.75" customHeight="1" x14ac:dyDescent="0.2">
      <c r="A4" s="1493"/>
      <c r="B4" s="1499">
        <v>45544</v>
      </c>
      <c r="C4" s="1499" t="s">
        <v>6868</v>
      </c>
      <c r="D4" s="1496" t="s">
        <v>6869</v>
      </c>
      <c r="E4" s="1496" t="s">
        <v>6871</v>
      </c>
      <c r="F4" s="1604" t="s">
        <v>6186</v>
      </c>
      <c r="G4" s="2041">
        <v>10</v>
      </c>
      <c r="H4" s="1638">
        <v>2.09</v>
      </c>
      <c r="I4" s="2127">
        <f>H4*G4</f>
        <v>20.9</v>
      </c>
      <c r="J4" s="2197"/>
      <c r="K4" s="746"/>
    </row>
    <row r="5" spans="1:17" ht="21.75" customHeight="1" x14ac:dyDescent="0.2">
      <c r="A5" s="1493" t="s">
        <v>6244</v>
      </c>
      <c r="B5" s="1499"/>
      <c r="C5" s="1499"/>
      <c r="D5" s="1496"/>
      <c r="E5" s="2195" t="s">
        <v>772</v>
      </c>
      <c r="F5" s="1604"/>
      <c r="G5" s="2041"/>
      <c r="H5" s="1638"/>
      <c r="I5" s="2209">
        <f>SUM(I3:I4)</f>
        <v>43.55</v>
      </c>
      <c r="J5" s="2197" t="s">
        <v>6246</v>
      </c>
      <c r="K5" s="746"/>
    </row>
    <row r="6" spans="1:17" ht="21.75" customHeight="1" x14ac:dyDescent="0.2">
      <c r="A6" s="1494"/>
      <c r="B6" s="1499"/>
      <c r="C6" s="1490"/>
      <c r="D6" s="1491"/>
      <c r="E6" s="1491"/>
      <c r="F6" s="1604"/>
      <c r="G6" s="2132"/>
      <c r="H6" s="1635"/>
      <c r="I6" s="2379"/>
      <c r="J6" s="2378"/>
      <c r="K6" s="717"/>
      <c r="L6" s="2138"/>
      <c r="M6" s="2138"/>
      <c r="N6" s="2138"/>
      <c r="O6" s="2117"/>
      <c r="P6" s="2117"/>
      <c r="Q6" s="2117"/>
    </row>
    <row r="7" spans="1:17" ht="21.75" customHeight="1" x14ac:dyDescent="0.2">
      <c r="A7" s="1493"/>
      <c r="B7" s="1499">
        <v>45546</v>
      </c>
      <c r="C7" s="1499"/>
      <c r="D7" s="1496" t="s">
        <v>6874</v>
      </c>
      <c r="E7" s="1496" t="s">
        <v>757</v>
      </c>
      <c r="F7" s="1604" t="s">
        <v>6186</v>
      </c>
      <c r="G7" s="2041">
        <v>1</v>
      </c>
      <c r="H7" s="1638">
        <v>34.9</v>
      </c>
      <c r="I7" s="2127">
        <f>H7*G7</f>
        <v>34.9</v>
      </c>
      <c r="J7" s="2197"/>
      <c r="K7" s="717"/>
      <c r="L7" s="2138"/>
      <c r="M7" s="2138"/>
      <c r="N7" s="2138"/>
      <c r="O7" s="2117"/>
      <c r="P7" s="2117"/>
      <c r="Q7" s="2117"/>
    </row>
    <row r="8" spans="1:17" ht="21.75" customHeight="1" x14ac:dyDescent="0.2">
      <c r="A8" s="1493"/>
      <c r="B8" s="1499">
        <v>45546</v>
      </c>
      <c r="C8" s="1499"/>
      <c r="D8" s="1496" t="s">
        <v>6874</v>
      </c>
      <c r="E8" s="1496" t="s">
        <v>6873</v>
      </c>
      <c r="F8" s="1604" t="s">
        <v>6186</v>
      </c>
      <c r="G8" s="2041">
        <v>8</v>
      </c>
      <c r="H8" s="1638">
        <v>5.85</v>
      </c>
      <c r="I8" s="2127">
        <f>H8*G8</f>
        <v>46.8</v>
      </c>
      <c r="J8" s="2197"/>
      <c r="K8" s="717"/>
      <c r="L8" s="2138"/>
      <c r="M8" s="2138"/>
      <c r="N8" s="2138"/>
      <c r="O8" s="2117"/>
      <c r="P8" s="2117"/>
      <c r="Q8" s="2117"/>
    </row>
    <row r="9" spans="1:17" ht="21.75" customHeight="1" x14ac:dyDescent="0.2">
      <c r="A9" s="1493" t="s">
        <v>6244</v>
      </c>
      <c r="B9" s="1499"/>
      <c r="C9" s="1499"/>
      <c r="D9" s="1496"/>
      <c r="E9" s="2195" t="s">
        <v>772</v>
      </c>
      <c r="F9" s="1604"/>
      <c r="G9" s="2041"/>
      <c r="H9" s="1638"/>
      <c r="I9" s="2209">
        <f>SUM(I6:I8)</f>
        <v>81.699999999999989</v>
      </c>
      <c r="J9" s="2197" t="s">
        <v>6246</v>
      </c>
      <c r="K9" s="746"/>
    </row>
    <row r="10" spans="1:17" ht="21.75" customHeight="1" x14ac:dyDescent="0.2">
      <c r="A10" s="1493"/>
      <c r="B10" s="1499"/>
      <c r="C10" s="1499"/>
      <c r="D10" s="1496"/>
      <c r="E10" s="1496"/>
      <c r="F10" s="1604"/>
      <c r="G10" s="2041"/>
      <c r="H10" s="1638"/>
      <c r="I10" s="2127"/>
      <c r="J10" s="2197"/>
      <c r="K10" s="746"/>
    </row>
    <row r="11" spans="1:17" ht="21.75" customHeight="1" x14ac:dyDescent="0.2">
      <c r="A11" s="1493" t="s">
        <v>6245</v>
      </c>
      <c r="B11" s="1499">
        <v>45552</v>
      </c>
      <c r="C11" s="1499"/>
      <c r="D11" s="1496" t="s">
        <v>6869</v>
      </c>
      <c r="E11" s="1496" t="s">
        <v>6872</v>
      </c>
      <c r="F11" s="2199" t="s">
        <v>6186</v>
      </c>
      <c r="G11" s="2200">
        <v>1</v>
      </c>
      <c r="H11" s="1638">
        <v>800</v>
      </c>
      <c r="I11" s="2209">
        <f>H11*G11</f>
        <v>800</v>
      </c>
      <c r="J11" s="2197" t="s">
        <v>6246</v>
      </c>
      <c r="K11" s="746"/>
      <c r="L11" s="2138"/>
      <c r="M11" s="2138"/>
      <c r="N11" s="2138"/>
      <c r="O11" s="2117"/>
      <c r="P11" s="2117"/>
      <c r="Q11" s="2117"/>
    </row>
    <row r="12" spans="1:17" ht="21.75" customHeight="1" thickBot="1" x14ac:dyDescent="0.25">
      <c r="A12" s="1493"/>
      <c r="B12" s="1499"/>
      <c r="C12" s="1499"/>
      <c r="D12" s="1496"/>
      <c r="E12" s="1496"/>
      <c r="F12" s="1604"/>
      <c r="G12" s="2041"/>
      <c r="H12" s="1638"/>
      <c r="I12" s="2127"/>
      <c r="J12" s="2197"/>
      <c r="K12" s="746"/>
    </row>
    <row r="13" spans="1:17" ht="21.75" customHeight="1" thickBot="1" x14ac:dyDescent="0.25">
      <c r="A13" s="3510" t="s">
        <v>772</v>
      </c>
      <c r="B13" s="3511"/>
      <c r="C13" s="3511"/>
      <c r="D13" s="3511"/>
      <c r="E13" s="3511"/>
      <c r="F13" s="3511"/>
      <c r="G13" s="3511"/>
      <c r="H13" s="3512"/>
      <c r="I13" s="175">
        <f>I5+I9+I11</f>
        <v>925.25</v>
      </c>
      <c r="J13" s="2342"/>
      <c r="K13" s="746"/>
    </row>
    <row r="14" spans="1:17" ht="21.75" customHeight="1" thickBot="1" x14ac:dyDescent="0.25">
      <c r="A14" s="51"/>
      <c r="B14" s="1543"/>
      <c r="C14" s="1543"/>
      <c r="D14" s="717"/>
      <c r="E14" s="358"/>
      <c r="F14" s="2277"/>
      <c r="G14" s="2277"/>
      <c r="H14" s="1870"/>
      <c r="I14" s="2116"/>
      <c r="J14" s="2205"/>
      <c r="K14" s="746"/>
    </row>
    <row r="15" spans="1:17" ht="27" thickBot="1" x14ac:dyDescent="0.45">
      <c r="A15" s="3104" t="s">
        <v>6893</v>
      </c>
      <c r="B15" s="3105"/>
      <c r="C15" s="3105"/>
      <c r="D15" s="3105"/>
      <c r="E15" s="3105"/>
      <c r="F15" s="3105"/>
      <c r="G15" s="3105"/>
      <c r="H15" s="3105"/>
      <c r="I15" s="3105"/>
      <c r="J15" s="3509"/>
      <c r="K15" s="2084"/>
    </row>
    <row r="16" spans="1:17" ht="40.5" customHeight="1" thickBot="1" x14ac:dyDescent="0.25">
      <c r="A16" s="8" t="s">
        <v>5546</v>
      </c>
      <c r="B16" s="11" t="s">
        <v>721</v>
      </c>
      <c r="C16" s="11" t="s">
        <v>6233</v>
      </c>
      <c r="D16" s="75" t="s">
        <v>6183</v>
      </c>
      <c r="E16" s="75" t="s">
        <v>722</v>
      </c>
      <c r="F16" s="2040" t="s">
        <v>6186</v>
      </c>
      <c r="G16" s="11" t="s">
        <v>723</v>
      </c>
      <c r="H16" s="398" t="s">
        <v>724</v>
      </c>
      <c r="I16" s="2047" t="s">
        <v>725</v>
      </c>
      <c r="J16" s="75" t="s">
        <v>6227</v>
      </c>
      <c r="K16" s="32"/>
    </row>
    <row r="17" spans="1:17" ht="21.75" customHeight="1" x14ac:dyDescent="0.2">
      <c r="A17" s="2345"/>
      <c r="B17" s="2346">
        <v>45554</v>
      </c>
      <c r="C17" s="1499" t="s">
        <v>6868</v>
      </c>
      <c r="D17" s="1610" t="s">
        <v>6869</v>
      </c>
      <c r="E17" s="1610" t="s">
        <v>6894</v>
      </c>
      <c r="F17" s="1604" t="s">
        <v>6186</v>
      </c>
      <c r="G17" s="2348">
        <v>1</v>
      </c>
      <c r="H17" s="2349">
        <v>204.75</v>
      </c>
      <c r="I17" s="2350">
        <f>H17*G17</f>
        <v>204.75</v>
      </c>
      <c r="J17" s="2351"/>
      <c r="K17" s="717"/>
      <c r="L17" s="2138"/>
      <c r="M17" s="2138"/>
      <c r="N17" s="2138"/>
      <c r="O17" s="2117"/>
      <c r="P17" s="2117"/>
      <c r="Q17" s="2117"/>
    </row>
    <row r="18" spans="1:17" ht="21.75" customHeight="1" x14ac:dyDescent="0.2">
      <c r="A18" s="1493"/>
      <c r="B18" s="1499">
        <v>45554</v>
      </c>
      <c r="C18" s="1499" t="s">
        <v>6868</v>
      </c>
      <c r="D18" s="1496" t="s">
        <v>6869</v>
      </c>
      <c r="E18" s="1491" t="s">
        <v>6895</v>
      </c>
      <c r="F18" s="1604" t="s">
        <v>6186</v>
      </c>
      <c r="G18" s="2041">
        <v>1</v>
      </c>
      <c r="H18" s="1638">
        <v>214</v>
      </c>
      <c r="I18" s="2127">
        <f>H18*G18</f>
        <v>214</v>
      </c>
      <c r="J18" s="2197"/>
      <c r="K18" s="746"/>
    </row>
    <row r="19" spans="1:17" ht="21.75" customHeight="1" x14ac:dyDescent="0.2">
      <c r="A19" s="1493"/>
      <c r="B19" s="1499">
        <v>45554</v>
      </c>
      <c r="C19" s="1499" t="s">
        <v>6868</v>
      </c>
      <c r="D19" s="1496" t="s">
        <v>6869</v>
      </c>
      <c r="E19" s="1491" t="s">
        <v>6896</v>
      </c>
      <c r="F19" s="1604" t="s">
        <v>6186</v>
      </c>
      <c r="G19" s="2041">
        <v>1</v>
      </c>
      <c r="H19" s="1638">
        <v>139</v>
      </c>
      <c r="I19" s="2127">
        <f>H19*G19</f>
        <v>139</v>
      </c>
      <c r="J19" s="2197"/>
      <c r="K19" s="746"/>
    </row>
    <row r="20" spans="1:17" ht="21.75" customHeight="1" x14ac:dyDescent="0.2">
      <c r="A20" s="1493"/>
      <c r="B20" s="1499">
        <v>45554</v>
      </c>
      <c r="C20" s="1499" t="s">
        <v>6868</v>
      </c>
      <c r="D20" s="1496" t="s">
        <v>6869</v>
      </c>
      <c r="E20" s="1491" t="s">
        <v>6897</v>
      </c>
      <c r="F20" s="1604" t="s">
        <v>6186</v>
      </c>
      <c r="G20" s="2041">
        <v>1</v>
      </c>
      <c r="H20" s="1638">
        <v>270.11</v>
      </c>
      <c r="I20" s="2127">
        <f>H20*G20</f>
        <v>270.11</v>
      </c>
      <c r="J20" s="2197"/>
      <c r="K20" s="746"/>
    </row>
    <row r="21" spans="1:17" ht="21.75" customHeight="1" x14ac:dyDescent="0.2">
      <c r="A21" s="1493" t="s">
        <v>6244</v>
      </c>
      <c r="B21" s="1499"/>
      <c r="C21" s="1499"/>
      <c r="D21" s="1496"/>
      <c r="E21" s="2195" t="s">
        <v>772</v>
      </c>
      <c r="F21" s="1604"/>
      <c r="G21" s="2041"/>
      <c r="H21" s="1638"/>
      <c r="I21" s="2209">
        <f>SUM(I17:I20)</f>
        <v>827.86</v>
      </c>
      <c r="J21" s="2197" t="s">
        <v>6906</v>
      </c>
      <c r="K21" s="746"/>
    </row>
    <row r="22" spans="1:17" ht="21.75" customHeight="1" x14ac:dyDescent="0.2">
      <c r="A22" s="1493"/>
      <c r="B22" s="1499"/>
      <c r="C22" s="1499"/>
      <c r="D22" s="1496"/>
      <c r="E22" s="1496"/>
      <c r="F22" s="1604"/>
      <c r="G22" s="2041"/>
      <c r="H22" s="1638"/>
      <c r="I22" s="2127"/>
      <c r="J22" s="2197"/>
      <c r="K22" s="717"/>
      <c r="L22" s="2138"/>
      <c r="M22" s="2138"/>
      <c r="N22" s="2138"/>
      <c r="O22" s="2117"/>
      <c r="P22" s="2117"/>
      <c r="Q22" s="2117"/>
    </row>
    <row r="23" spans="1:17" ht="21.75" customHeight="1" x14ac:dyDescent="0.2">
      <c r="A23" s="1494"/>
      <c r="B23" s="1499">
        <v>45554</v>
      </c>
      <c r="C23" s="1490" t="s">
        <v>6868</v>
      </c>
      <c r="D23" s="1491" t="s">
        <v>6869</v>
      </c>
      <c r="E23" s="1491" t="s">
        <v>6904</v>
      </c>
      <c r="F23" s="2049" t="s">
        <v>6186</v>
      </c>
      <c r="G23" s="2132">
        <v>1</v>
      </c>
      <c r="H23" s="1635">
        <v>80.739999999999995</v>
      </c>
      <c r="I23" s="2379">
        <f t="shared" ref="I23:I29" si="0">H23*G23</f>
        <v>80.739999999999995</v>
      </c>
      <c r="J23" s="2378"/>
      <c r="K23" s="717"/>
      <c r="L23" s="2475"/>
      <c r="M23" s="2476"/>
      <c r="N23" s="2138"/>
      <c r="O23" s="2117"/>
      <c r="P23" s="2117"/>
      <c r="Q23" s="2117"/>
    </row>
    <row r="24" spans="1:17" ht="21.75" customHeight="1" x14ac:dyDescent="0.2">
      <c r="A24" s="1493"/>
      <c r="B24" s="1499">
        <v>45554</v>
      </c>
      <c r="C24" s="1499" t="s">
        <v>6868</v>
      </c>
      <c r="D24" s="1496" t="s">
        <v>6869</v>
      </c>
      <c r="E24" s="1491" t="s">
        <v>6903</v>
      </c>
      <c r="F24" s="1604" t="s">
        <v>6186</v>
      </c>
      <c r="G24" s="2041">
        <v>1</v>
      </c>
      <c r="H24" s="1638">
        <v>51</v>
      </c>
      <c r="I24" s="2127">
        <f t="shared" si="0"/>
        <v>51</v>
      </c>
      <c r="J24" s="2197"/>
      <c r="K24" s="1826"/>
      <c r="L24" s="2475"/>
      <c r="M24" s="2476"/>
    </row>
    <row r="25" spans="1:17" ht="21.75" customHeight="1" x14ac:dyDescent="0.2">
      <c r="A25" s="1493"/>
      <c r="B25" s="1499">
        <v>45554</v>
      </c>
      <c r="C25" s="1499" t="s">
        <v>6868</v>
      </c>
      <c r="D25" s="1496" t="s">
        <v>6869</v>
      </c>
      <c r="E25" s="1491" t="s">
        <v>6898</v>
      </c>
      <c r="F25" s="1604" t="s">
        <v>6186</v>
      </c>
      <c r="G25" s="2041">
        <v>4</v>
      </c>
      <c r="H25" s="1638">
        <v>17.89</v>
      </c>
      <c r="I25" s="2127">
        <f t="shared" si="0"/>
        <v>71.56</v>
      </c>
      <c r="J25" s="2197"/>
      <c r="K25" s="1826"/>
      <c r="L25" s="2475"/>
      <c r="M25" s="2476"/>
    </row>
    <row r="26" spans="1:17" ht="21.75" customHeight="1" x14ac:dyDescent="0.2">
      <c r="A26" s="1493"/>
      <c r="B26" s="1499">
        <v>45554</v>
      </c>
      <c r="C26" s="1499" t="s">
        <v>6868</v>
      </c>
      <c r="D26" s="1496" t="s">
        <v>6869</v>
      </c>
      <c r="E26" s="1491" t="s">
        <v>6899</v>
      </c>
      <c r="F26" s="1604" t="s">
        <v>6186</v>
      </c>
      <c r="G26" s="2041">
        <v>2</v>
      </c>
      <c r="H26" s="1638">
        <v>49.25</v>
      </c>
      <c r="I26" s="2127">
        <f t="shared" si="0"/>
        <v>98.5</v>
      </c>
      <c r="J26" s="2197"/>
      <c r="K26" s="1826"/>
      <c r="L26" s="2475"/>
      <c r="M26" s="2476"/>
    </row>
    <row r="27" spans="1:17" ht="21.75" customHeight="1" x14ac:dyDescent="0.2">
      <c r="A27" s="1493"/>
      <c r="B27" s="1499">
        <v>45554</v>
      </c>
      <c r="C27" s="1499" t="s">
        <v>6868</v>
      </c>
      <c r="D27" s="1496" t="s">
        <v>6869</v>
      </c>
      <c r="E27" s="1491" t="s">
        <v>6900</v>
      </c>
      <c r="F27" s="1604" t="s">
        <v>6186</v>
      </c>
      <c r="G27" s="2041">
        <v>1</v>
      </c>
      <c r="H27" s="1638">
        <v>49.25</v>
      </c>
      <c r="I27" s="2127">
        <f t="shared" si="0"/>
        <v>49.25</v>
      </c>
      <c r="J27" s="2197"/>
      <c r="K27" s="1826"/>
      <c r="L27" s="2475"/>
      <c r="M27" s="2476"/>
    </row>
    <row r="28" spans="1:17" ht="21.75" customHeight="1" x14ac:dyDescent="0.2">
      <c r="A28" s="1493"/>
      <c r="B28" s="1499">
        <v>45554</v>
      </c>
      <c r="C28" s="1499" t="s">
        <v>6868</v>
      </c>
      <c r="D28" s="1496" t="s">
        <v>6869</v>
      </c>
      <c r="E28" s="1491" t="s">
        <v>6905</v>
      </c>
      <c r="F28" s="1604" t="s">
        <v>6186</v>
      </c>
      <c r="G28" s="2041">
        <v>3</v>
      </c>
      <c r="H28" s="1638">
        <v>17.350000000000001</v>
      </c>
      <c r="I28" s="2127">
        <f t="shared" si="0"/>
        <v>52.050000000000004</v>
      </c>
      <c r="J28" s="2197"/>
      <c r="K28" s="1826"/>
      <c r="L28" s="2475"/>
      <c r="M28" s="2476"/>
    </row>
    <row r="29" spans="1:17" ht="21.75" customHeight="1" x14ac:dyDescent="0.2">
      <c r="A29" s="1493"/>
      <c r="B29" s="1499">
        <v>45554</v>
      </c>
      <c r="C29" s="1499" t="s">
        <v>6868</v>
      </c>
      <c r="D29" s="1496" t="s">
        <v>6869</v>
      </c>
      <c r="E29" s="1491" t="s">
        <v>6901</v>
      </c>
      <c r="F29" s="1604" t="s">
        <v>6186</v>
      </c>
      <c r="G29" s="2041">
        <v>1</v>
      </c>
      <c r="H29" s="1638">
        <v>16.440000000000001</v>
      </c>
      <c r="I29" s="2127">
        <f t="shared" si="0"/>
        <v>16.440000000000001</v>
      </c>
      <c r="J29" s="2197"/>
      <c r="K29" s="1826"/>
      <c r="L29" s="2475"/>
      <c r="M29" s="2476"/>
    </row>
    <row r="30" spans="1:17" ht="21.75" customHeight="1" x14ac:dyDescent="0.2">
      <c r="A30" s="1493" t="s">
        <v>6244</v>
      </c>
      <c r="B30" s="1499"/>
      <c r="C30" s="1499"/>
      <c r="D30" s="1496"/>
      <c r="E30" s="2195" t="s">
        <v>772</v>
      </c>
      <c r="F30" s="1604"/>
      <c r="G30" s="2041"/>
      <c r="H30" s="1638"/>
      <c r="I30" s="2209">
        <f>SUM(I23:I29)</f>
        <v>419.54</v>
      </c>
      <c r="J30" s="2197" t="s">
        <v>6906</v>
      </c>
      <c r="K30" s="746"/>
      <c r="L30" s="2477"/>
      <c r="M30" s="2478"/>
    </row>
    <row r="31" spans="1:17" ht="21.75" customHeight="1" x14ac:dyDescent="0.2">
      <c r="A31" s="1493"/>
      <c r="B31" s="1499"/>
      <c r="C31" s="1499"/>
      <c r="D31" s="1496"/>
      <c r="E31" s="1496"/>
      <c r="F31" s="1604"/>
      <c r="G31" s="2041"/>
      <c r="H31" s="1638"/>
      <c r="I31" s="2127"/>
      <c r="J31" s="2197"/>
      <c r="K31" s="717"/>
      <c r="L31" s="2138"/>
      <c r="M31" s="2138"/>
      <c r="N31" s="2138"/>
      <c r="O31" s="2117"/>
      <c r="P31" s="2117"/>
      <c r="Q31" s="2117"/>
    </row>
    <row r="32" spans="1:17" ht="21.75" customHeight="1" x14ac:dyDescent="0.2">
      <c r="A32" s="1493"/>
      <c r="B32" s="1499" t="s">
        <v>280</v>
      </c>
      <c r="C32" s="1499"/>
      <c r="D32" s="1496" t="s">
        <v>6869</v>
      </c>
      <c r="E32" s="1491" t="s">
        <v>6902</v>
      </c>
      <c r="F32" s="1604" t="s">
        <v>6186</v>
      </c>
      <c r="G32" s="2041">
        <v>1</v>
      </c>
      <c r="H32" s="1638">
        <v>8</v>
      </c>
      <c r="I32" s="2127">
        <f>H32*G32</f>
        <v>8</v>
      </c>
      <c r="J32" s="2197"/>
      <c r="K32" s="1826"/>
      <c r="L32" s="2475"/>
      <c r="M32" s="2476"/>
    </row>
    <row r="33" spans="1:17" ht="21.75" customHeight="1" x14ac:dyDescent="0.2">
      <c r="A33" s="1493" t="s">
        <v>6244</v>
      </c>
      <c r="B33" s="1499"/>
      <c r="C33" s="1499"/>
      <c r="D33" s="1496"/>
      <c r="E33" s="2195"/>
      <c r="F33" s="1604"/>
      <c r="G33" s="2041"/>
      <c r="H33" s="1638"/>
      <c r="I33" s="2209">
        <f>SUM(I32:I32)</f>
        <v>8</v>
      </c>
      <c r="J33" s="2197"/>
      <c r="K33" s="746"/>
    </row>
    <row r="34" spans="1:17" ht="21.75" customHeight="1" x14ac:dyDescent="0.2">
      <c r="A34" s="1493"/>
      <c r="B34" s="1499"/>
      <c r="C34" s="1499"/>
      <c r="D34" s="1496"/>
      <c r="E34" s="1496"/>
      <c r="F34" s="1604"/>
      <c r="G34" s="2041"/>
      <c r="H34" s="1638"/>
      <c r="I34" s="2127"/>
      <c r="J34" s="2197"/>
      <c r="K34" s="746"/>
    </row>
    <row r="35" spans="1:17" ht="21.75" customHeight="1" x14ac:dyDescent="0.2">
      <c r="A35" s="1493"/>
      <c r="B35" s="1499">
        <v>45565</v>
      </c>
      <c r="C35" s="1499" t="s">
        <v>733</v>
      </c>
      <c r="D35" s="1496" t="s">
        <v>6869</v>
      </c>
      <c r="E35" s="1496" t="s">
        <v>6763</v>
      </c>
      <c r="F35" s="1604" t="s">
        <v>6186</v>
      </c>
      <c r="G35" s="2041">
        <v>3</v>
      </c>
      <c r="H35" s="1638">
        <v>6</v>
      </c>
      <c r="I35" s="2127">
        <f>H35*G35</f>
        <v>18</v>
      </c>
      <c r="J35" s="2197"/>
      <c r="K35" s="746"/>
    </row>
    <row r="36" spans="1:17" ht="21.75" customHeight="1" x14ac:dyDescent="0.2">
      <c r="A36" s="1494"/>
      <c r="B36" s="1499">
        <v>45565</v>
      </c>
      <c r="C36" s="1490" t="s">
        <v>733</v>
      </c>
      <c r="D36" s="1496" t="s">
        <v>6869</v>
      </c>
      <c r="E36" s="1491" t="s">
        <v>6764</v>
      </c>
      <c r="F36" s="1604" t="s">
        <v>6186</v>
      </c>
      <c r="G36" s="2132">
        <v>3</v>
      </c>
      <c r="H36" s="1635">
        <v>30</v>
      </c>
      <c r="I36" s="2379">
        <f>H36*G36</f>
        <v>90</v>
      </c>
      <c r="J36" s="2378"/>
      <c r="K36" s="717"/>
      <c r="L36" s="2138"/>
      <c r="M36" s="2138"/>
      <c r="N36" s="2138"/>
      <c r="O36" s="2117"/>
      <c r="P36" s="2117"/>
      <c r="Q36" s="2117"/>
    </row>
    <row r="37" spans="1:17" ht="21.75" customHeight="1" x14ac:dyDescent="0.2">
      <c r="A37" s="1493" t="s">
        <v>6244</v>
      </c>
      <c r="B37" s="1499"/>
      <c r="C37" s="1499"/>
      <c r="D37" s="1496"/>
      <c r="E37" s="2195"/>
      <c r="F37" s="1604"/>
      <c r="G37" s="2041"/>
      <c r="H37" s="1638"/>
      <c r="I37" s="2209">
        <f>SUM(I35:I36)</f>
        <v>108</v>
      </c>
      <c r="J37" s="2197"/>
      <c r="K37" s="746"/>
    </row>
    <row r="38" spans="1:17" ht="21.75" customHeight="1" x14ac:dyDescent="0.2">
      <c r="A38" s="1493"/>
      <c r="B38" s="1499"/>
      <c r="C38" s="1499"/>
      <c r="D38" s="1496"/>
      <c r="E38" s="1496"/>
      <c r="F38" s="1604"/>
      <c r="G38" s="2041"/>
      <c r="H38" s="1638"/>
      <c r="I38" s="2127"/>
      <c r="J38" s="2197"/>
      <c r="K38" s="746"/>
    </row>
    <row r="39" spans="1:17" ht="21.75" customHeight="1" x14ac:dyDescent="0.2">
      <c r="A39" s="1493"/>
      <c r="B39" s="1499">
        <v>45566</v>
      </c>
      <c r="C39" s="1499"/>
      <c r="D39" s="1496" t="s">
        <v>6869</v>
      </c>
      <c r="E39" s="1496" t="s">
        <v>6936</v>
      </c>
      <c r="F39" s="1604" t="s">
        <v>6186</v>
      </c>
      <c r="G39" s="2041">
        <v>1</v>
      </c>
      <c r="H39" s="1638">
        <v>125</v>
      </c>
      <c r="I39" s="2127">
        <f>H39*G39</f>
        <v>125</v>
      </c>
      <c r="J39" s="2197"/>
      <c r="K39" s="746"/>
    </row>
    <row r="40" spans="1:17" ht="21.75" customHeight="1" x14ac:dyDescent="0.2">
      <c r="A40" s="1493" t="s">
        <v>6244</v>
      </c>
      <c r="B40" s="1499"/>
      <c r="C40" s="1499"/>
      <c r="D40" s="1496"/>
      <c r="E40" s="2195"/>
      <c r="F40" s="1604"/>
      <c r="G40" s="2041"/>
      <c r="H40" s="1638"/>
      <c r="I40" s="2209">
        <f>SUM(I39:I39)</f>
        <v>125</v>
      </c>
      <c r="J40" s="2197"/>
      <c r="K40" s="746"/>
    </row>
    <row r="41" spans="1:17" ht="21.75" customHeight="1" x14ac:dyDescent="0.2">
      <c r="A41" s="1493"/>
      <c r="B41" s="1499"/>
      <c r="C41" s="1499"/>
      <c r="D41" s="1496"/>
      <c r="E41" s="1496"/>
      <c r="F41" s="1604"/>
      <c r="G41" s="2041"/>
      <c r="H41" s="1638"/>
      <c r="I41" s="2127"/>
      <c r="J41" s="2197"/>
      <c r="K41" s="746"/>
    </row>
    <row r="42" spans="1:17" ht="21.75" customHeight="1" x14ac:dyDescent="0.2">
      <c r="A42" s="1493" t="s">
        <v>6245</v>
      </c>
      <c r="B42" s="1499">
        <v>45566</v>
      </c>
      <c r="C42" s="1499"/>
      <c r="D42" s="1496" t="s">
        <v>6869</v>
      </c>
      <c r="E42" s="1496" t="s">
        <v>6907</v>
      </c>
      <c r="F42" s="2199" t="s">
        <v>6186</v>
      </c>
      <c r="G42" s="2200">
        <v>1</v>
      </c>
      <c r="H42" s="1638">
        <v>500</v>
      </c>
      <c r="I42" s="2209">
        <v>600</v>
      </c>
      <c r="J42" s="2197"/>
      <c r="K42" s="746"/>
      <c r="L42" s="2138"/>
      <c r="M42" s="2138"/>
      <c r="N42" s="2138"/>
      <c r="O42" s="2117"/>
      <c r="P42" s="2117"/>
      <c r="Q42" s="2117"/>
    </row>
    <row r="43" spans="1:17" ht="21.75" customHeight="1" thickBot="1" x14ac:dyDescent="0.25">
      <c r="A43" s="1493"/>
      <c r="B43" s="1499"/>
      <c r="C43" s="1499"/>
      <c r="D43" s="1496"/>
      <c r="E43" s="1496"/>
      <c r="F43" s="2199"/>
      <c r="G43" s="2200"/>
      <c r="H43" s="1638"/>
      <c r="I43" s="2209"/>
      <c r="J43" s="2197"/>
      <c r="K43" s="746"/>
      <c r="L43" s="2138"/>
      <c r="M43" s="2138"/>
      <c r="N43" s="2138"/>
      <c r="O43" s="2117"/>
      <c r="P43" s="2117"/>
      <c r="Q43" s="2117"/>
    </row>
    <row r="44" spans="1:17" ht="21.75" customHeight="1" thickBot="1" x14ac:dyDescent="0.25">
      <c r="A44" s="3510" t="s">
        <v>772</v>
      </c>
      <c r="B44" s="3511"/>
      <c r="C44" s="3511"/>
      <c r="D44" s="3511"/>
      <c r="E44" s="3511"/>
      <c r="F44" s="3511"/>
      <c r="G44" s="3511"/>
      <c r="H44" s="3512"/>
      <c r="I44" s="175">
        <f>I21+I30+I33+I37+I40+I42</f>
        <v>2088.4</v>
      </c>
      <c r="J44" s="2342"/>
      <c r="K44" s="746"/>
    </row>
    <row r="45" spans="1:17" ht="21.75" customHeight="1" x14ac:dyDescent="0.2">
      <c r="A45" s="51"/>
      <c r="B45" s="1543"/>
      <c r="C45" s="1543"/>
      <c r="D45" s="717"/>
      <c r="E45" s="717"/>
      <c r="F45" s="2277"/>
      <c r="G45" s="2277"/>
      <c r="H45" s="52"/>
      <c r="I45" s="52"/>
      <c r="J45" s="2205"/>
      <c r="K45" s="746"/>
    </row>
    <row r="46" spans="1:17" ht="22.5" customHeight="1" x14ac:dyDescent="0.2">
      <c r="F46" s="3109" t="s">
        <v>5893</v>
      </c>
      <c r="G46" s="3109"/>
      <c r="H46" s="3109"/>
      <c r="I46" s="401">
        <f>SUMIF($A$3:$A$43,"MO",$I$3:$I$43)</f>
        <v>1400</v>
      </c>
      <c r="J46" s="2216">
        <f>I46/I48</f>
        <v>0.46455295074079606</v>
      </c>
    </row>
    <row r="47" spans="1:17" ht="22.5" customHeight="1" x14ac:dyDescent="0.2">
      <c r="F47" s="3102" t="s">
        <v>6250</v>
      </c>
      <c r="G47" s="3102"/>
      <c r="H47" s="3102"/>
      <c r="I47" s="401">
        <f>SUMIF($A$3:$A$43,"MAT",$I$3:$I$43)</f>
        <v>1613.65</v>
      </c>
      <c r="J47" s="2216">
        <f>I47/I48</f>
        <v>0.53544704925920394</v>
      </c>
    </row>
    <row r="48" spans="1:17" ht="22.5" customHeight="1" x14ac:dyDescent="0.2">
      <c r="F48" s="3513" t="s">
        <v>772</v>
      </c>
      <c r="G48" s="3513"/>
      <c r="H48" s="3513"/>
      <c r="I48" s="231">
        <f>SUM(I46:I47)</f>
        <v>3013.65</v>
      </c>
      <c r="J48" s="2217"/>
    </row>
    <row r="50" spans="1:17" ht="13.5" thickBot="1" x14ac:dyDescent="0.25"/>
    <row r="51" spans="1:17" ht="27" thickBot="1" x14ac:dyDescent="0.45">
      <c r="A51" s="3104" t="s">
        <v>7584</v>
      </c>
      <c r="B51" s="3105"/>
      <c r="C51" s="3105"/>
      <c r="D51" s="3105"/>
      <c r="E51" s="3105"/>
      <c r="F51" s="3105"/>
      <c r="G51" s="3105"/>
      <c r="H51" s="3105"/>
      <c r="I51" s="3105"/>
      <c r="J51" s="3509"/>
      <c r="K51" s="2084"/>
    </row>
    <row r="52" spans="1:17" ht="40.5" customHeight="1" thickBot="1" x14ac:dyDescent="0.25">
      <c r="A52" s="8" t="s">
        <v>5546</v>
      </c>
      <c r="B52" s="11" t="s">
        <v>721</v>
      </c>
      <c r="C52" s="11" t="s">
        <v>6233</v>
      </c>
      <c r="D52" s="75" t="s">
        <v>6183</v>
      </c>
      <c r="E52" s="75" t="s">
        <v>722</v>
      </c>
      <c r="F52" s="2040" t="s">
        <v>6186</v>
      </c>
      <c r="G52" s="11" t="s">
        <v>723</v>
      </c>
      <c r="H52" s="398" t="s">
        <v>724</v>
      </c>
      <c r="I52" s="2047" t="s">
        <v>725</v>
      </c>
      <c r="J52" s="75" t="s">
        <v>6227</v>
      </c>
      <c r="K52" s="32"/>
      <c r="M52" s="51" t="s">
        <v>6234</v>
      </c>
    </row>
    <row r="53" spans="1:17" ht="21.75" customHeight="1" x14ac:dyDescent="0.2">
      <c r="A53" s="2345"/>
      <c r="B53" s="2346">
        <v>45670</v>
      </c>
      <c r="C53" s="1499" t="s">
        <v>7287</v>
      </c>
      <c r="D53" s="1610" t="s">
        <v>7288</v>
      </c>
      <c r="E53" s="2571" t="s">
        <v>7286</v>
      </c>
      <c r="F53" s="1604" t="s">
        <v>6225</v>
      </c>
      <c r="G53" s="2572">
        <v>31</v>
      </c>
      <c r="H53" s="2349">
        <v>14.75</v>
      </c>
      <c r="I53" s="2350">
        <f>H53*G53</f>
        <v>457.25</v>
      </c>
      <c r="J53" s="2351"/>
      <c r="K53" s="717"/>
      <c r="L53" s="618"/>
      <c r="M53" s="618">
        <v>15.82</v>
      </c>
      <c r="N53" s="617">
        <f t="shared" ref="N53:N65" si="1">M53*G53</f>
        <v>490.42</v>
      </c>
      <c r="P53" s="2117"/>
      <c r="Q53" s="2117"/>
    </row>
    <row r="54" spans="1:17" ht="21.75" customHeight="1" x14ac:dyDescent="0.2">
      <c r="A54" s="1493"/>
      <c r="B54" s="1499">
        <v>45670</v>
      </c>
      <c r="C54" s="1499" t="s">
        <v>7287</v>
      </c>
      <c r="D54" s="1496" t="s">
        <v>7288</v>
      </c>
      <c r="E54" s="1491" t="s">
        <v>7274</v>
      </c>
      <c r="F54" s="1604" t="s">
        <v>6186</v>
      </c>
      <c r="G54" s="2200">
        <v>6</v>
      </c>
      <c r="H54" s="1638">
        <v>6.9</v>
      </c>
      <c r="I54" s="2127">
        <f>H54*G54</f>
        <v>41.400000000000006</v>
      </c>
      <c r="J54" s="2197"/>
      <c r="K54" s="746"/>
      <c r="L54" s="2344"/>
      <c r="M54" s="2344">
        <v>5</v>
      </c>
      <c r="N54" s="617">
        <f t="shared" si="1"/>
        <v>30</v>
      </c>
    </row>
    <row r="55" spans="1:17" ht="21.75" customHeight="1" x14ac:dyDescent="0.2">
      <c r="A55" s="1493"/>
      <c r="B55" s="1499">
        <v>45670</v>
      </c>
      <c r="C55" s="1499" t="s">
        <v>7287</v>
      </c>
      <c r="D55" s="1496" t="s">
        <v>7288</v>
      </c>
      <c r="E55" s="1496" t="s">
        <v>7275</v>
      </c>
      <c r="F55" s="1604" t="s">
        <v>6186</v>
      </c>
      <c r="G55" s="2200">
        <v>3</v>
      </c>
      <c r="H55" s="1638">
        <v>9.9</v>
      </c>
      <c r="I55" s="2127">
        <f t="shared" ref="I55:I64" si="2">H55*G55</f>
        <v>29.700000000000003</v>
      </c>
      <c r="J55" s="2197"/>
      <c r="K55" s="746"/>
      <c r="L55" s="2344"/>
      <c r="M55" s="2344">
        <v>11</v>
      </c>
      <c r="N55" s="617">
        <f t="shared" si="1"/>
        <v>33</v>
      </c>
    </row>
    <row r="56" spans="1:17" ht="21.75" customHeight="1" x14ac:dyDescent="0.2">
      <c r="A56" s="1493"/>
      <c r="B56" s="1499">
        <v>45670</v>
      </c>
      <c r="C56" s="1499" t="s">
        <v>7287</v>
      </c>
      <c r="D56" s="1496" t="s">
        <v>7288</v>
      </c>
      <c r="E56" s="1491" t="s">
        <v>7276</v>
      </c>
      <c r="F56" s="1604" t="s">
        <v>6186</v>
      </c>
      <c r="G56" s="2200">
        <v>2</v>
      </c>
      <c r="H56" s="1638">
        <v>5.9</v>
      </c>
      <c r="I56" s="2127">
        <f t="shared" si="2"/>
        <v>11.8</v>
      </c>
      <c r="J56" s="2197"/>
      <c r="K56" s="746"/>
      <c r="L56" s="2344"/>
      <c r="M56" s="2344">
        <v>7.5</v>
      </c>
      <c r="N56" s="617">
        <f t="shared" si="1"/>
        <v>15</v>
      </c>
    </row>
    <row r="57" spans="1:17" ht="21.75" customHeight="1" x14ac:dyDescent="0.2">
      <c r="A57" s="1493"/>
      <c r="B57" s="1499">
        <v>45670</v>
      </c>
      <c r="C57" s="1499" t="s">
        <v>7287</v>
      </c>
      <c r="D57" s="1496" t="s">
        <v>7288</v>
      </c>
      <c r="E57" s="1491" t="s">
        <v>7277</v>
      </c>
      <c r="F57" s="1604" t="s">
        <v>6225</v>
      </c>
      <c r="G57" s="2200">
        <v>8</v>
      </c>
      <c r="H57" s="1638">
        <v>5.9</v>
      </c>
      <c r="I57" s="2127">
        <f t="shared" si="2"/>
        <v>47.2</v>
      </c>
      <c r="J57" s="2197"/>
      <c r="K57" s="746"/>
      <c r="L57" s="2344"/>
      <c r="M57" s="2344">
        <v>5.9</v>
      </c>
      <c r="N57" s="617">
        <f t="shared" si="1"/>
        <v>47.2</v>
      </c>
    </row>
    <row r="58" spans="1:17" ht="21.75" customHeight="1" x14ac:dyDescent="0.2">
      <c r="A58" s="1493"/>
      <c r="B58" s="1499">
        <v>45670</v>
      </c>
      <c r="C58" s="1499" t="s">
        <v>7287</v>
      </c>
      <c r="D58" s="1496" t="s">
        <v>7288</v>
      </c>
      <c r="E58" s="1491" t="s">
        <v>7278</v>
      </c>
      <c r="F58" s="1604" t="s">
        <v>6186</v>
      </c>
      <c r="G58" s="2200">
        <v>1</v>
      </c>
      <c r="H58" s="1638">
        <v>1.5</v>
      </c>
      <c r="I58" s="2127">
        <f t="shared" si="2"/>
        <v>1.5</v>
      </c>
      <c r="J58" s="2197"/>
      <c r="K58" s="746"/>
      <c r="L58" s="2344"/>
      <c r="M58" s="2344">
        <v>5</v>
      </c>
      <c r="N58" s="617">
        <f t="shared" si="1"/>
        <v>5</v>
      </c>
    </row>
    <row r="59" spans="1:17" ht="21.75" customHeight="1" x14ac:dyDescent="0.2">
      <c r="A59" s="1493"/>
      <c r="B59" s="1499">
        <v>45670</v>
      </c>
      <c r="C59" s="1499" t="s">
        <v>7287</v>
      </c>
      <c r="D59" s="1496" t="s">
        <v>7288</v>
      </c>
      <c r="E59" s="1491" t="s">
        <v>7279</v>
      </c>
      <c r="F59" s="1604" t="s">
        <v>6186</v>
      </c>
      <c r="G59" s="2200">
        <v>2</v>
      </c>
      <c r="H59" s="1638">
        <v>1.5</v>
      </c>
      <c r="I59" s="2127">
        <f t="shared" si="2"/>
        <v>3</v>
      </c>
      <c r="J59" s="2197"/>
      <c r="K59" s="746"/>
      <c r="L59" s="2344"/>
      <c r="M59" s="2344">
        <v>1.5</v>
      </c>
      <c r="N59" s="617">
        <f t="shared" si="1"/>
        <v>3</v>
      </c>
    </row>
    <row r="60" spans="1:17" ht="21.75" customHeight="1" x14ac:dyDescent="0.2">
      <c r="A60" s="1493"/>
      <c r="B60" s="1499">
        <v>45670</v>
      </c>
      <c r="C60" s="1499" t="s">
        <v>7287</v>
      </c>
      <c r="D60" s="1496" t="s">
        <v>7288</v>
      </c>
      <c r="E60" s="1491" t="s">
        <v>7283</v>
      </c>
      <c r="F60" s="1604" t="s">
        <v>6186</v>
      </c>
      <c r="G60" s="2200">
        <v>1</v>
      </c>
      <c r="H60" s="1638">
        <v>29.9</v>
      </c>
      <c r="I60" s="2127">
        <f>H60*G60</f>
        <v>29.9</v>
      </c>
      <c r="J60" s="2197"/>
      <c r="K60" s="746"/>
      <c r="L60" s="2344"/>
      <c r="M60" s="2344">
        <v>28</v>
      </c>
      <c r="N60" s="617">
        <f t="shared" si="1"/>
        <v>28</v>
      </c>
    </row>
    <row r="61" spans="1:17" ht="21.75" customHeight="1" x14ac:dyDescent="0.2">
      <c r="A61" s="1493"/>
      <c r="B61" s="1499">
        <v>45670</v>
      </c>
      <c r="C61" s="1499" t="s">
        <v>7287</v>
      </c>
      <c r="D61" s="1496" t="s">
        <v>7288</v>
      </c>
      <c r="E61" s="1491" t="s">
        <v>7284</v>
      </c>
      <c r="F61" s="2199" t="s">
        <v>6186</v>
      </c>
      <c r="G61" s="2200">
        <v>1</v>
      </c>
      <c r="H61" s="1638">
        <v>9.9</v>
      </c>
      <c r="I61" s="2127">
        <f>H61*G61</f>
        <v>9.9</v>
      </c>
      <c r="J61" s="2197"/>
      <c r="K61" s="746"/>
      <c r="L61" s="2344"/>
      <c r="M61" s="2344">
        <v>10</v>
      </c>
      <c r="N61" s="617">
        <f t="shared" si="1"/>
        <v>10</v>
      </c>
    </row>
    <row r="62" spans="1:17" ht="21.75" customHeight="1" x14ac:dyDescent="0.2">
      <c r="A62" s="1493"/>
      <c r="B62" s="1499">
        <v>45670</v>
      </c>
      <c r="C62" s="1499" t="s">
        <v>7287</v>
      </c>
      <c r="D62" s="1496" t="s">
        <v>7288</v>
      </c>
      <c r="E62" s="1491" t="s">
        <v>7280</v>
      </c>
      <c r="F62" s="2199" t="s">
        <v>6186</v>
      </c>
      <c r="G62" s="2200">
        <v>1</v>
      </c>
      <c r="H62" s="1638">
        <v>5.5</v>
      </c>
      <c r="I62" s="2127">
        <f t="shared" si="2"/>
        <v>5.5</v>
      </c>
      <c r="J62" s="2197"/>
      <c r="K62" s="746"/>
      <c r="L62" s="2344"/>
      <c r="M62" s="2344">
        <v>3</v>
      </c>
      <c r="N62" s="617">
        <f t="shared" si="1"/>
        <v>3</v>
      </c>
    </row>
    <row r="63" spans="1:17" ht="21.75" customHeight="1" x14ac:dyDescent="0.2">
      <c r="A63" s="1493"/>
      <c r="B63" s="1499">
        <v>45670</v>
      </c>
      <c r="C63" s="1499" t="s">
        <v>7287</v>
      </c>
      <c r="D63" s="1496" t="s">
        <v>7288</v>
      </c>
      <c r="E63" s="1491" t="s">
        <v>7282</v>
      </c>
      <c r="F63" s="2199" t="s">
        <v>6186</v>
      </c>
      <c r="G63" s="2200">
        <v>1</v>
      </c>
      <c r="H63" s="1638">
        <v>489.9</v>
      </c>
      <c r="I63" s="2127">
        <f>H63*G63</f>
        <v>489.9</v>
      </c>
      <c r="J63" s="2197" t="s">
        <v>6212</v>
      </c>
      <c r="K63" s="746"/>
      <c r="L63" s="2344"/>
      <c r="M63" s="2344">
        <v>532.5</v>
      </c>
      <c r="N63" s="617">
        <f t="shared" si="1"/>
        <v>532.5</v>
      </c>
    </row>
    <row r="64" spans="1:17" ht="21.75" customHeight="1" x14ac:dyDescent="0.2">
      <c r="A64" s="1493"/>
      <c r="B64" s="1499">
        <v>45670</v>
      </c>
      <c r="C64" s="1499" t="s">
        <v>7287</v>
      </c>
      <c r="D64" s="1496" t="s">
        <v>7288</v>
      </c>
      <c r="E64" s="1491" t="s">
        <v>7281</v>
      </c>
      <c r="F64" s="2199" t="s">
        <v>6186</v>
      </c>
      <c r="G64" s="2200">
        <v>1</v>
      </c>
      <c r="H64" s="1638">
        <v>37.9</v>
      </c>
      <c r="I64" s="2127">
        <f t="shared" si="2"/>
        <v>37.9</v>
      </c>
      <c r="J64" s="2197" t="s">
        <v>6212</v>
      </c>
      <c r="K64" s="746"/>
      <c r="L64" s="2344"/>
      <c r="M64" s="2344">
        <v>39.5</v>
      </c>
      <c r="N64" s="617">
        <f t="shared" si="1"/>
        <v>39.5</v>
      </c>
    </row>
    <row r="65" spans="1:17" ht="21.75" customHeight="1" x14ac:dyDescent="0.2">
      <c r="A65" s="1493"/>
      <c r="B65" s="1499">
        <v>45670</v>
      </c>
      <c r="C65" s="1499" t="s">
        <v>7287</v>
      </c>
      <c r="D65" s="1496" t="s">
        <v>7288</v>
      </c>
      <c r="E65" s="1491" t="s">
        <v>7296</v>
      </c>
      <c r="F65" s="2199" t="s">
        <v>6186</v>
      </c>
      <c r="G65" s="2200">
        <v>1</v>
      </c>
      <c r="H65" s="1638">
        <v>29.9</v>
      </c>
      <c r="I65" s="2127">
        <f>H65*G65</f>
        <v>29.9</v>
      </c>
      <c r="J65" s="2197" t="s">
        <v>6212</v>
      </c>
      <c r="K65" s="746"/>
      <c r="L65" s="2344"/>
      <c r="M65" s="2344">
        <v>31</v>
      </c>
      <c r="N65" s="617">
        <f t="shared" si="1"/>
        <v>31</v>
      </c>
    </row>
    <row r="66" spans="1:17" ht="21.75" customHeight="1" x14ac:dyDescent="0.2">
      <c r="A66" s="1493"/>
      <c r="B66" s="1499">
        <v>45670</v>
      </c>
      <c r="C66" s="1499" t="s">
        <v>7287</v>
      </c>
      <c r="D66" s="1496" t="s">
        <v>7288</v>
      </c>
      <c r="E66" s="1491" t="s">
        <v>7297</v>
      </c>
      <c r="F66" s="2199" t="s">
        <v>6186</v>
      </c>
      <c r="G66" s="2200">
        <v>1</v>
      </c>
      <c r="H66" s="1638">
        <v>16.899999999999999</v>
      </c>
      <c r="I66" s="2127">
        <f>H66*G66</f>
        <v>16.899999999999999</v>
      </c>
      <c r="J66" s="2197"/>
      <c r="K66" s="746"/>
      <c r="L66" s="2344"/>
      <c r="M66" s="2344">
        <v>16.899999999999999</v>
      </c>
      <c r="N66" s="617">
        <f t="shared" ref="N66" si="3">M66*G66</f>
        <v>16.899999999999999</v>
      </c>
    </row>
    <row r="67" spans="1:17" ht="21.75" customHeight="1" x14ac:dyDescent="0.2">
      <c r="A67" s="1493"/>
      <c r="B67" s="1499"/>
      <c r="C67" s="1499"/>
      <c r="D67" s="1496"/>
      <c r="E67" s="1491" t="s">
        <v>7289</v>
      </c>
      <c r="F67" s="1604"/>
      <c r="G67" s="2041"/>
      <c r="H67" s="1638"/>
      <c r="I67" s="2127"/>
      <c r="J67" s="2197"/>
      <c r="K67" s="746"/>
      <c r="L67" s="2344"/>
      <c r="N67" s="619">
        <f>SUM(N53:N66)</f>
        <v>1284.5200000000002</v>
      </c>
    </row>
    <row r="68" spans="1:17" ht="21.75" customHeight="1" x14ac:dyDescent="0.2">
      <c r="A68" s="1493"/>
      <c r="B68" s="1499"/>
      <c r="C68" s="1499"/>
      <c r="D68" s="1496"/>
      <c r="E68" s="2574" t="s">
        <v>7290</v>
      </c>
      <c r="F68" s="2575"/>
      <c r="G68" s="2576"/>
      <c r="H68" s="2577"/>
      <c r="I68" s="2578">
        <v>59.67</v>
      </c>
      <c r="J68" s="2197"/>
      <c r="K68" s="746"/>
    </row>
    <row r="69" spans="1:17" ht="21.75" customHeight="1" x14ac:dyDescent="0.2">
      <c r="A69" s="1493" t="s">
        <v>6244</v>
      </c>
      <c r="B69" s="1499"/>
      <c r="C69" s="1499"/>
      <c r="D69" s="1496"/>
      <c r="E69" s="2195" t="s">
        <v>772</v>
      </c>
      <c r="F69" s="1604"/>
      <c r="G69" s="2041"/>
      <c r="H69" s="1638"/>
      <c r="I69" s="2209">
        <f>SUM(I53:I66)-I68</f>
        <v>1152.0800000000002</v>
      </c>
      <c r="J69" s="2197" t="s">
        <v>6246</v>
      </c>
      <c r="K69" s="746"/>
    </row>
    <row r="70" spans="1:17" ht="21.75" customHeight="1" x14ac:dyDescent="0.2">
      <c r="A70" s="1493"/>
      <c r="B70" s="1499"/>
      <c r="C70" s="1499"/>
      <c r="D70" s="1496"/>
      <c r="E70" s="1496"/>
      <c r="F70" s="1604"/>
      <c r="G70" s="2041"/>
      <c r="H70" s="1638"/>
      <c r="I70" s="2127"/>
      <c r="J70" s="2197"/>
      <c r="K70" s="717"/>
      <c r="L70" s="2138"/>
      <c r="M70" s="2138"/>
      <c r="N70" s="2138"/>
      <c r="O70" s="2117"/>
      <c r="P70" s="2117"/>
      <c r="Q70" s="2117"/>
    </row>
    <row r="71" spans="1:17" ht="21.75" customHeight="1" x14ac:dyDescent="0.2">
      <c r="A71" s="1493" t="s">
        <v>6244</v>
      </c>
      <c r="B71" s="1499">
        <v>45678</v>
      </c>
      <c r="C71" s="1499" t="s">
        <v>7287</v>
      </c>
      <c r="D71" s="1496" t="s">
        <v>7288</v>
      </c>
      <c r="E71" s="1491" t="s">
        <v>7318</v>
      </c>
      <c r="F71" s="2199" t="s">
        <v>6186</v>
      </c>
      <c r="G71" s="2200">
        <v>1</v>
      </c>
      <c r="H71" s="1638">
        <v>111</v>
      </c>
      <c r="I71" s="2209">
        <f>H71*G71</f>
        <v>111</v>
      </c>
      <c r="J71" s="2197"/>
      <c r="K71" s="746"/>
      <c r="L71" s="2344"/>
      <c r="M71" s="2344"/>
      <c r="N71" s="617"/>
    </row>
    <row r="72" spans="1:17" ht="21.75" customHeight="1" x14ac:dyDescent="0.2">
      <c r="A72" s="1493"/>
      <c r="B72" s="1499"/>
      <c r="C72" s="1499"/>
      <c r="D72" s="1496"/>
      <c r="E72" s="1491"/>
      <c r="F72" s="1604"/>
      <c r="G72" s="2041"/>
      <c r="H72" s="1638"/>
      <c r="I72" s="2127"/>
      <c r="J72" s="2197"/>
      <c r="K72" s="746"/>
      <c r="L72" s="2344"/>
      <c r="N72" s="2573"/>
    </row>
    <row r="73" spans="1:17" ht="21.75" customHeight="1" x14ac:dyDescent="0.2">
      <c r="A73" s="1493" t="s">
        <v>6244</v>
      </c>
      <c r="B73" s="1499">
        <v>45679</v>
      </c>
      <c r="C73" s="1499" t="s">
        <v>7287</v>
      </c>
      <c r="D73" s="1496" t="s">
        <v>7288</v>
      </c>
      <c r="E73" s="1491" t="s">
        <v>7329</v>
      </c>
      <c r="F73" s="2199" t="s">
        <v>6186</v>
      </c>
      <c r="G73" s="2200">
        <v>1</v>
      </c>
      <c r="H73" s="1638">
        <v>150</v>
      </c>
      <c r="I73" s="2209">
        <f>H73*G73</f>
        <v>150</v>
      </c>
      <c r="J73" s="2197"/>
      <c r="K73" s="746"/>
      <c r="L73" s="2344"/>
      <c r="M73" s="2344"/>
      <c r="N73" s="617"/>
    </row>
    <row r="74" spans="1:17" ht="21.75" customHeight="1" x14ac:dyDescent="0.2">
      <c r="A74" s="1493"/>
      <c r="B74" s="1499"/>
      <c r="C74" s="1499"/>
      <c r="D74" s="1496"/>
      <c r="E74" s="1491"/>
      <c r="F74" s="1604"/>
      <c r="G74" s="2041"/>
      <c r="H74" s="1638"/>
      <c r="I74" s="2127"/>
      <c r="J74" s="2197"/>
      <c r="K74" s="746"/>
      <c r="L74" s="2344"/>
      <c r="N74" s="2573"/>
    </row>
    <row r="75" spans="1:17" ht="21.75" customHeight="1" x14ac:dyDescent="0.2">
      <c r="A75" s="1493" t="s">
        <v>6245</v>
      </c>
      <c r="B75" s="1499">
        <v>45680</v>
      </c>
      <c r="C75" s="1499"/>
      <c r="D75" s="1496" t="s">
        <v>6869</v>
      </c>
      <c r="E75" s="1496" t="s">
        <v>7323</v>
      </c>
      <c r="F75" s="2199" t="s">
        <v>6186</v>
      </c>
      <c r="G75" s="2200">
        <v>1</v>
      </c>
      <c r="H75" s="1638">
        <v>1000</v>
      </c>
      <c r="I75" s="2209">
        <v>500</v>
      </c>
      <c r="J75" s="2197"/>
      <c r="K75" s="746"/>
      <c r="L75" s="2138"/>
      <c r="M75" s="2138"/>
      <c r="N75" s="2138"/>
      <c r="O75" s="2117"/>
      <c r="P75" s="2117"/>
      <c r="Q75" s="2117"/>
    </row>
    <row r="76" spans="1:17" ht="21.75" customHeight="1" x14ac:dyDescent="0.2">
      <c r="A76" s="1493"/>
      <c r="B76" s="1499"/>
      <c r="C76" s="1499"/>
      <c r="D76" s="1496"/>
      <c r="E76" s="2195"/>
      <c r="F76" s="1604"/>
      <c r="G76" s="2041"/>
      <c r="H76" s="1638"/>
      <c r="I76" s="2209"/>
      <c r="J76" s="2197"/>
      <c r="K76" s="746"/>
    </row>
    <row r="77" spans="1:17" ht="21.75" customHeight="1" x14ac:dyDescent="0.2">
      <c r="A77" s="1493" t="s">
        <v>6245</v>
      </c>
      <c r="B77" s="1499">
        <v>45688</v>
      </c>
      <c r="C77" s="1499"/>
      <c r="D77" s="1496" t="s">
        <v>6869</v>
      </c>
      <c r="E77" s="1496" t="s">
        <v>7324</v>
      </c>
      <c r="F77" s="2199" t="s">
        <v>6186</v>
      </c>
      <c r="G77" s="2200">
        <v>1</v>
      </c>
      <c r="H77" s="1638">
        <v>1000</v>
      </c>
      <c r="I77" s="2209">
        <v>500</v>
      </c>
      <c r="J77" s="2197"/>
      <c r="K77" s="746"/>
      <c r="L77" s="2138"/>
      <c r="M77" s="2138"/>
      <c r="N77" s="2138"/>
      <c r="O77" s="2117"/>
      <c r="P77" s="2117"/>
      <c r="Q77" s="2117"/>
    </row>
    <row r="78" spans="1:17" ht="21.75" customHeight="1" thickBot="1" x14ac:dyDescent="0.25">
      <c r="A78" s="1493"/>
      <c r="B78" s="1499"/>
      <c r="C78" s="1499"/>
      <c r="D78" s="1496"/>
      <c r="E78" s="1496"/>
      <c r="F78" s="1604"/>
      <c r="G78" s="2041"/>
      <c r="H78" s="1638"/>
      <c r="I78" s="2127"/>
      <c r="J78" s="2197"/>
      <c r="K78" s="746"/>
    </row>
    <row r="79" spans="1:17" ht="21.75" customHeight="1" thickBot="1" x14ac:dyDescent="0.25">
      <c r="A79" s="3510" t="s">
        <v>772</v>
      </c>
      <c r="B79" s="3511"/>
      <c r="C79" s="3511"/>
      <c r="D79" s="3511"/>
      <c r="E79" s="3511"/>
      <c r="F79" s="3511"/>
      <c r="G79" s="3511"/>
      <c r="H79" s="3512"/>
      <c r="I79" s="175">
        <f>I69+I71+I73+I75+I77</f>
        <v>2413.08</v>
      </c>
      <c r="J79" s="2342"/>
      <c r="K79" s="746"/>
    </row>
    <row r="80" spans="1:17" ht="21.75" customHeight="1" x14ac:dyDescent="0.2">
      <c r="A80" s="51"/>
      <c r="B80" s="1543"/>
      <c r="C80" s="1543"/>
      <c r="D80" s="717"/>
      <c r="E80" s="717"/>
      <c r="F80" s="2277"/>
      <c r="G80" s="2277"/>
      <c r="H80" s="52"/>
      <c r="I80" s="52"/>
      <c r="J80" s="2205"/>
      <c r="K80" s="746"/>
    </row>
    <row r="81" spans="1:17" x14ac:dyDescent="0.2">
      <c r="I81" s="670">
        <f>SUM(I63:I65)/2</f>
        <v>278.84999999999997</v>
      </c>
    </row>
    <row r="82" spans="1:17" ht="22.5" customHeight="1" x14ac:dyDescent="0.2">
      <c r="F82" s="717"/>
      <c r="G82" s="717"/>
      <c r="H82" s="717"/>
      <c r="I82" s="231">
        <f>I79-I81</f>
        <v>2134.23</v>
      </c>
      <c r="J82" s="2216"/>
    </row>
    <row r="83" spans="1:17" ht="22.5" customHeight="1" thickBot="1" x14ac:dyDescent="0.25">
      <c r="F83" s="2579"/>
      <c r="G83" s="2579"/>
      <c r="H83" s="2579"/>
      <c r="I83" s="401"/>
      <c r="J83" s="2216"/>
    </row>
    <row r="84" spans="1:17" ht="27" thickBot="1" x14ac:dyDescent="0.45">
      <c r="A84" s="3104" t="s">
        <v>7585</v>
      </c>
      <c r="B84" s="3105"/>
      <c r="C84" s="3105"/>
      <c r="D84" s="3105"/>
      <c r="E84" s="3105"/>
      <c r="F84" s="3105"/>
      <c r="G84" s="3105"/>
      <c r="H84" s="3105"/>
      <c r="I84" s="3105"/>
      <c r="J84" s="3509"/>
      <c r="K84" s="2084"/>
    </row>
    <row r="85" spans="1:17" ht="40.5" customHeight="1" thickBot="1" x14ac:dyDescent="0.25">
      <c r="A85" s="8" t="s">
        <v>5546</v>
      </c>
      <c r="B85" s="11" t="s">
        <v>721</v>
      </c>
      <c r="C85" s="11" t="s">
        <v>6233</v>
      </c>
      <c r="D85" s="75" t="s">
        <v>6183</v>
      </c>
      <c r="E85" s="75" t="s">
        <v>722</v>
      </c>
      <c r="F85" s="2040" t="s">
        <v>6186</v>
      </c>
      <c r="G85" s="11" t="s">
        <v>723</v>
      </c>
      <c r="H85" s="398" t="s">
        <v>724</v>
      </c>
      <c r="I85" s="2047" t="s">
        <v>725</v>
      </c>
      <c r="J85" s="75" t="s">
        <v>6227</v>
      </c>
      <c r="K85" s="32"/>
      <c r="M85" s="51"/>
    </row>
    <row r="86" spans="1:17" ht="21.75" customHeight="1" x14ac:dyDescent="0.2">
      <c r="A86" s="2345"/>
      <c r="B86" s="2346">
        <v>45741</v>
      </c>
      <c r="C86" s="1499" t="s">
        <v>7287</v>
      </c>
      <c r="D86" s="1610" t="s">
        <v>7288</v>
      </c>
      <c r="E86" s="2571" t="s">
        <v>7586</v>
      </c>
      <c r="F86" s="1604" t="s">
        <v>6186</v>
      </c>
      <c r="G86" s="2572">
        <v>3</v>
      </c>
      <c r="H86" s="2349">
        <v>59.9</v>
      </c>
      <c r="I86" s="2350">
        <f>H86*G86</f>
        <v>179.7</v>
      </c>
      <c r="J86" s="2351"/>
      <c r="K86" s="717"/>
      <c r="L86" s="618"/>
      <c r="M86" s="618"/>
      <c r="N86" s="617"/>
      <c r="P86" s="2117"/>
      <c r="Q86" s="2117"/>
    </row>
    <row r="87" spans="1:17" ht="21.75" customHeight="1" x14ac:dyDescent="0.2">
      <c r="A87" s="1493"/>
      <c r="B87" s="1499">
        <v>45741</v>
      </c>
      <c r="C87" s="1499" t="s">
        <v>7287</v>
      </c>
      <c r="D87" s="1496" t="s">
        <v>7288</v>
      </c>
      <c r="E87" s="1491" t="s">
        <v>7587</v>
      </c>
      <c r="F87" s="1604" t="s">
        <v>6186</v>
      </c>
      <c r="G87" s="2200">
        <v>1</v>
      </c>
      <c r="H87" s="1638">
        <v>54.9</v>
      </c>
      <c r="I87" s="2127">
        <f>H87*G87</f>
        <v>54.9</v>
      </c>
      <c r="J87" s="2197"/>
      <c r="K87" s="746"/>
      <c r="L87" s="2344"/>
      <c r="M87" s="2344"/>
      <c r="N87" s="617"/>
    </row>
    <row r="88" spans="1:17" ht="21.75" customHeight="1" x14ac:dyDescent="0.2">
      <c r="A88" s="1493"/>
      <c r="B88" s="1499">
        <v>45741</v>
      </c>
      <c r="C88" s="1499" t="s">
        <v>7287</v>
      </c>
      <c r="D88" s="1496" t="s">
        <v>7288</v>
      </c>
      <c r="E88" s="1496" t="s">
        <v>7588</v>
      </c>
      <c r="F88" s="1604" t="s">
        <v>6186</v>
      </c>
      <c r="G88" s="2200">
        <v>10</v>
      </c>
      <c r="H88" s="1638">
        <v>1.5</v>
      </c>
      <c r="I88" s="2127">
        <f t="shared" ref="I88:I92" si="4">H88*G88</f>
        <v>15</v>
      </c>
      <c r="J88" s="2197"/>
      <c r="K88" s="746"/>
      <c r="L88" s="2344"/>
      <c r="M88" s="2344"/>
      <c r="N88" s="617"/>
    </row>
    <row r="89" spans="1:17" ht="21.75" customHeight="1" x14ac:dyDescent="0.2">
      <c r="A89" s="1493"/>
      <c r="B89" s="1499">
        <v>45741</v>
      </c>
      <c r="C89" s="1499" t="s">
        <v>7287</v>
      </c>
      <c r="D89" s="1496" t="s">
        <v>7288</v>
      </c>
      <c r="E89" s="1491" t="s">
        <v>7589</v>
      </c>
      <c r="F89" s="1604" t="s">
        <v>6186</v>
      </c>
      <c r="G89" s="2200">
        <v>5</v>
      </c>
      <c r="H89" s="1638">
        <v>7.9</v>
      </c>
      <c r="I89" s="2127">
        <f t="shared" si="4"/>
        <v>39.5</v>
      </c>
      <c r="J89" s="2197"/>
      <c r="K89" s="746"/>
      <c r="L89" s="2344"/>
      <c r="M89" s="2344"/>
      <c r="N89" s="617"/>
    </row>
    <row r="90" spans="1:17" ht="21.75" customHeight="1" x14ac:dyDescent="0.2">
      <c r="A90" s="1493"/>
      <c r="B90" s="1499">
        <v>45741</v>
      </c>
      <c r="C90" s="1499" t="s">
        <v>7287</v>
      </c>
      <c r="D90" s="1496" t="s">
        <v>7288</v>
      </c>
      <c r="E90" s="1491" t="s">
        <v>750</v>
      </c>
      <c r="F90" s="1604" t="s">
        <v>6225</v>
      </c>
      <c r="G90" s="2200">
        <v>4</v>
      </c>
      <c r="H90" s="1638">
        <v>2</v>
      </c>
      <c r="I90" s="2127">
        <f t="shared" si="4"/>
        <v>8</v>
      </c>
      <c r="J90" s="2197"/>
      <c r="K90" s="746"/>
      <c r="L90" s="2344"/>
      <c r="M90" s="2344"/>
      <c r="N90" s="617"/>
    </row>
    <row r="91" spans="1:17" ht="21.75" customHeight="1" x14ac:dyDescent="0.2">
      <c r="A91" s="1493"/>
      <c r="B91" s="1499">
        <v>45741</v>
      </c>
      <c r="C91" s="1499" t="s">
        <v>7287</v>
      </c>
      <c r="D91" s="1496" t="s">
        <v>7288</v>
      </c>
      <c r="E91" s="1491" t="s">
        <v>7590</v>
      </c>
      <c r="F91" s="1604" t="s">
        <v>6186</v>
      </c>
      <c r="G91" s="2200">
        <v>6</v>
      </c>
      <c r="H91" s="1638">
        <v>1.5</v>
      </c>
      <c r="I91" s="2127">
        <f t="shared" si="4"/>
        <v>9</v>
      </c>
      <c r="J91" s="2197"/>
      <c r="K91" s="746"/>
      <c r="L91" s="2344"/>
      <c r="M91" s="2344"/>
      <c r="N91" s="617"/>
    </row>
    <row r="92" spans="1:17" ht="21.75" customHeight="1" x14ac:dyDescent="0.2">
      <c r="A92" s="1493"/>
      <c r="B92" s="1499">
        <v>45741</v>
      </c>
      <c r="C92" s="1499" t="s">
        <v>7287</v>
      </c>
      <c r="D92" s="1496" t="s">
        <v>7288</v>
      </c>
      <c r="E92" s="1491" t="s">
        <v>7591</v>
      </c>
      <c r="F92" s="1604" t="s">
        <v>6186</v>
      </c>
      <c r="G92" s="2200">
        <v>5</v>
      </c>
      <c r="H92" s="1638">
        <v>3.9</v>
      </c>
      <c r="I92" s="2127">
        <f t="shared" si="4"/>
        <v>19.5</v>
      </c>
      <c r="J92" s="2197"/>
      <c r="K92" s="746"/>
      <c r="L92" s="2344"/>
      <c r="M92" s="2344"/>
      <c r="N92" s="617"/>
    </row>
    <row r="93" spans="1:17" ht="21.75" customHeight="1" x14ac:dyDescent="0.2">
      <c r="A93" s="1493"/>
      <c r="B93" s="1499">
        <v>45741</v>
      </c>
      <c r="C93" s="1499" t="s">
        <v>7287</v>
      </c>
      <c r="D93" s="1496" t="s">
        <v>7288</v>
      </c>
      <c r="E93" s="1491" t="s">
        <v>7592</v>
      </c>
      <c r="F93" s="1604" t="s">
        <v>6186</v>
      </c>
      <c r="G93" s="2200">
        <v>5</v>
      </c>
      <c r="H93" s="1638">
        <v>1.8</v>
      </c>
      <c r="I93" s="2127">
        <f>H93*G93</f>
        <v>9</v>
      </c>
      <c r="J93" s="2197"/>
      <c r="K93" s="746"/>
      <c r="L93" s="2344"/>
      <c r="M93" s="2344"/>
      <c r="N93" s="617"/>
    </row>
    <row r="94" spans="1:17" ht="21.75" customHeight="1" x14ac:dyDescent="0.2">
      <c r="A94" s="1493"/>
      <c r="B94" s="1499">
        <v>45741</v>
      </c>
      <c r="C94" s="1499" t="s">
        <v>7287</v>
      </c>
      <c r="D94" s="1496" t="s">
        <v>7288</v>
      </c>
      <c r="E94" s="1491" t="s">
        <v>7593</v>
      </c>
      <c r="F94" s="2199" t="s">
        <v>6186</v>
      </c>
      <c r="G94" s="2200">
        <v>1</v>
      </c>
      <c r="H94" s="1638">
        <v>76.900000000000006</v>
      </c>
      <c r="I94" s="2127">
        <f>H94*G94</f>
        <v>76.900000000000006</v>
      </c>
      <c r="J94" s="2197"/>
      <c r="K94" s="746"/>
      <c r="L94" s="2344"/>
      <c r="M94" s="2344"/>
      <c r="N94" s="617"/>
    </row>
    <row r="95" spans="1:17" ht="21.75" customHeight="1" x14ac:dyDescent="0.2">
      <c r="A95" s="1493"/>
      <c r="B95" s="1499">
        <v>45741</v>
      </c>
      <c r="C95" s="1499" t="s">
        <v>7287</v>
      </c>
      <c r="D95" s="1496" t="s">
        <v>7288</v>
      </c>
      <c r="E95" s="1491" t="s">
        <v>7594</v>
      </c>
      <c r="F95" s="2199" t="s">
        <v>6186</v>
      </c>
      <c r="G95" s="2200">
        <v>2</v>
      </c>
      <c r="H95" s="1638">
        <v>33.9</v>
      </c>
      <c r="I95" s="2127">
        <f t="shared" ref="I95" si="5">H95*G95</f>
        <v>67.8</v>
      </c>
      <c r="J95" s="2197"/>
      <c r="K95" s="746"/>
      <c r="L95" s="2344"/>
      <c r="M95" s="2344"/>
      <c r="N95" s="617"/>
    </row>
    <row r="96" spans="1:17" ht="21.75" customHeight="1" x14ac:dyDescent="0.2">
      <c r="A96" s="1493"/>
      <c r="B96" s="1499">
        <v>45741</v>
      </c>
      <c r="C96" s="1499" t="s">
        <v>7287</v>
      </c>
      <c r="D96" s="1496" t="s">
        <v>7288</v>
      </c>
      <c r="E96" s="1491" t="s">
        <v>7595</v>
      </c>
      <c r="F96" s="2199" t="s">
        <v>6186</v>
      </c>
      <c r="G96" s="2200">
        <v>1</v>
      </c>
      <c r="H96" s="1638">
        <v>106.9</v>
      </c>
      <c r="I96" s="2127">
        <f t="shared" ref="I96" si="6">H96*G96</f>
        <v>106.9</v>
      </c>
      <c r="J96" s="2197"/>
      <c r="K96" s="746"/>
      <c r="L96" s="2344"/>
      <c r="M96" s="2344"/>
      <c r="N96" s="617"/>
    </row>
    <row r="97" spans="1:17" ht="21.75" customHeight="1" x14ac:dyDescent="0.2">
      <c r="A97" s="1493"/>
      <c r="B97" s="1499">
        <v>45741</v>
      </c>
      <c r="C97" s="1499" t="s">
        <v>7287</v>
      </c>
      <c r="D97" s="1496" t="s">
        <v>7288</v>
      </c>
      <c r="E97" s="1491" t="s">
        <v>7596</v>
      </c>
      <c r="F97" s="2199" t="s">
        <v>6186</v>
      </c>
      <c r="G97" s="2200">
        <v>1</v>
      </c>
      <c r="H97" s="1638">
        <v>12.9</v>
      </c>
      <c r="I97" s="2127">
        <f>H97*G97</f>
        <v>12.9</v>
      </c>
      <c r="J97" s="2197"/>
      <c r="K97" s="746"/>
      <c r="L97" s="2344"/>
      <c r="M97" s="2344"/>
      <c r="N97" s="617"/>
    </row>
    <row r="98" spans="1:17" ht="21.75" customHeight="1" x14ac:dyDescent="0.2">
      <c r="A98" s="1493" t="s">
        <v>6244</v>
      </c>
      <c r="B98" s="1499"/>
      <c r="C98" s="1499"/>
      <c r="D98" s="1496"/>
      <c r="E98" s="2195" t="s">
        <v>772</v>
      </c>
      <c r="F98" s="1604"/>
      <c r="G98" s="2041"/>
      <c r="H98" s="1638"/>
      <c r="I98" s="2209">
        <f>SUM(I86:I97)</f>
        <v>599.1</v>
      </c>
      <c r="J98" s="2197" t="s">
        <v>7597</v>
      </c>
      <c r="K98" s="746"/>
    </row>
    <row r="99" spans="1:17" ht="21.75" customHeight="1" x14ac:dyDescent="0.2">
      <c r="A99" s="1493"/>
      <c r="B99" s="1499"/>
      <c r="C99" s="1499"/>
      <c r="D99" s="1496"/>
      <c r="E99" s="2195"/>
      <c r="F99" s="1604"/>
      <c r="G99" s="2041"/>
      <c r="H99" s="1638"/>
      <c r="I99" s="2209"/>
      <c r="J99" s="2197"/>
      <c r="K99" s="746"/>
    </row>
    <row r="100" spans="1:17" ht="21.75" customHeight="1" x14ac:dyDescent="0.2">
      <c r="A100" s="1493"/>
      <c r="B100" s="1499">
        <v>45741</v>
      </c>
      <c r="C100" s="1499" t="s">
        <v>7287</v>
      </c>
      <c r="D100" s="1496" t="s">
        <v>7288</v>
      </c>
      <c r="E100" s="1491" t="s">
        <v>7598</v>
      </c>
      <c r="F100" s="2199" t="s">
        <v>6186</v>
      </c>
      <c r="G100" s="2200">
        <v>7</v>
      </c>
      <c r="H100" s="1638">
        <v>1.9</v>
      </c>
      <c r="I100" s="2127">
        <f t="shared" ref="I100" si="7">H100*G100</f>
        <v>13.299999999999999</v>
      </c>
      <c r="J100" s="2197"/>
      <c r="K100" s="746"/>
      <c r="L100" s="2344"/>
      <c r="M100" s="2344"/>
      <c r="N100" s="617"/>
    </row>
    <row r="101" spans="1:17" ht="21.75" customHeight="1" x14ac:dyDescent="0.2">
      <c r="A101" s="1493"/>
      <c r="B101" s="1499">
        <v>45741</v>
      </c>
      <c r="C101" s="1499" t="s">
        <v>7287</v>
      </c>
      <c r="D101" s="1496" t="s">
        <v>7288</v>
      </c>
      <c r="E101" s="1491" t="s">
        <v>7599</v>
      </c>
      <c r="F101" s="2199" t="s">
        <v>6186</v>
      </c>
      <c r="G101" s="2200">
        <v>1</v>
      </c>
      <c r="H101" s="1638">
        <v>9.9</v>
      </c>
      <c r="I101" s="2127">
        <f>H101*G101</f>
        <v>9.9</v>
      </c>
      <c r="J101" s="2197"/>
      <c r="K101" s="746"/>
      <c r="L101" s="2344"/>
      <c r="M101" s="2344"/>
      <c r="N101" s="617"/>
    </row>
    <row r="102" spans="1:17" ht="21.75" customHeight="1" x14ac:dyDescent="0.2">
      <c r="A102" s="1493" t="s">
        <v>6244</v>
      </c>
      <c r="B102" s="1499"/>
      <c r="C102" s="1499"/>
      <c r="D102" s="1496"/>
      <c r="E102" s="2195" t="s">
        <v>772</v>
      </c>
      <c r="F102" s="1604"/>
      <c r="G102" s="2041"/>
      <c r="H102" s="1638"/>
      <c r="I102" s="2209">
        <f>SUM(I100:I101)</f>
        <v>23.2</v>
      </c>
      <c r="J102" s="2197" t="s">
        <v>6246</v>
      </c>
      <c r="K102" s="746"/>
    </row>
    <row r="103" spans="1:17" ht="21.75" customHeight="1" x14ac:dyDescent="0.2">
      <c r="A103" s="1493"/>
      <c r="B103" s="1499"/>
      <c r="C103" s="1499"/>
      <c r="D103" s="1496"/>
      <c r="E103" s="2195"/>
      <c r="F103" s="1604"/>
      <c r="G103" s="2041"/>
      <c r="H103" s="1638"/>
      <c r="I103" s="2209"/>
      <c r="J103" s="2197"/>
      <c r="K103" s="746"/>
    </row>
    <row r="104" spans="1:17" ht="21.75" customHeight="1" x14ac:dyDescent="0.2">
      <c r="A104" s="1493" t="s">
        <v>6244</v>
      </c>
      <c r="B104" s="1499">
        <v>45741</v>
      </c>
      <c r="C104" s="1499" t="s">
        <v>7493</v>
      </c>
      <c r="D104" s="1496" t="s">
        <v>7288</v>
      </c>
      <c r="E104" s="1491" t="s">
        <v>7605</v>
      </c>
      <c r="F104" s="2199"/>
      <c r="G104" s="2200">
        <v>2</v>
      </c>
      <c r="H104" s="1638">
        <v>57.21</v>
      </c>
      <c r="I104" s="2209">
        <f t="shared" ref="I104" si="8">H104*G104</f>
        <v>114.42</v>
      </c>
      <c r="J104" s="2197" t="s">
        <v>7606</v>
      </c>
      <c r="K104" s="746"/>
      <c r="L104" s="2344"/>
      <c r="M104" s="2344"/>
      <c r="N104" s="617"/>
    </row>
    <row r="105" spans="1:17" ht="21.75" customHeight="1" x14ac:dyDescent="0.2">
      <c r="B105" s="1499"/>
      <c r="C105" s="1499"/>
      <c r="D105" s="1496"/>
      <c r="E105" s="2195" t="s">
        <v>772</v>
      </c>
      <c r="F105" s="1604"/>
      <c r="G105" s="2041"/>
      <c r="H105" s="1638"/>
      <c r="I105" s="2209"/>
      <c r="J105" s="2197"/>
      <c r="K105" s="746"/>
    </row>
    <row r="106" spans="1:17" ht="21.75" customHeight="1" x14ac:dyDescent="0.2">
      <c r="A106" s="1493"/>
      <c r="B106" s="1499">
        <v>45751</v>
      </c>
      <c r="C106" s="1499" t="s">
        <v>7287</v>
      </c>
      <c r="D106" s="1496" t="s">
        <v>7288</v>
      </c>
      <c r="E106" s="1491" t="s">
        <v>7671</v>
      </c>
      <c r="F106" s="1604" t="s">
        <v>6186</v>
      </c>
      <c r="G106" s="2200">
        <v>2</v>
      </c>
      <c r="H106" s="1638">
        <v>45.9</v>
      </c>
      <c r="I106" s="2127">
        <f t="shared" ref="I106" si="9">H106*G106</f>
        <v>91.8</v>
      </c>
      <c r="J106" s="2197"/>
      <c r="K106" s="746"/>
      <c r="L106" s="2344"/>
      <c r="M106" s="2344"/>
      <c r="N106" s="617"/>
    </row>
    <row r="107" spans="1:17" ht="21.75" customHeight="1" x14ac:dyDescent="0.2">
      <c r="A107" s="1493"/>
      <c r="B107" s="1499">
        <v>45751</v>
      </c>
      <c r="C107" s="1499" t="s">
        <v>7287</v>
      </c>
      <c r="D107" s="1496" t="s">
        <v>7288</v>
      </c>
      <c r="E107" s="1491" t="s">
        <v>7672</v>
      </c>
      <c r="F107" s="1604" t="s">
        <v>6186</v>
      </c>
      <c r="G107" s="2200">
        <v>1</v>
      </c>
      <c r="H107" s="1638">
        <v>1.8</v>
      </c>
      <c r="I107" s="2127">
        <v>193.7</v>
      </c>
      <c r="J107" s="2197"/>
      <c r="K107" s="746"/>
      <c r="L107" s="2344"/>
      <c r="M107" s="2344"/>
      <c r="N107" s="617"/>
    </row>
    <row r="108" spans="1:17" ht="21.75" customHeight="1" x14ac:dyDescent="0.2">
      <c r="A108" s="1493" t="s">
        <v>6244</v>
      </c>
      <c r="B108" s="1499"/>
      <c r="C108" s="1499"/>
      <c r="D108" s="1496"/>
      <c r="E108" s="2195" t="s">
        <v>772</v>
      </c>
      <c r="F108" s="1604"/>
      <c r="G108" s="2041"/>
      <c r="H108" s="1638"/>
      <c r="I108" s="2209">
        <f>SUM(I106:I107)</f>
        <v>285.5</v>
      </c>
      <c r="J108" s="2197"/>
      <c r="K108" s="746"/>
    </row>
    <row r="109" spans="1:17" ht="21.75" customHeight="1" x14ac:dyDescent="0.2">
      <c r="A109" s="1493"/>
      <c r="B109" s="1499"/>
      <c r="C109" s="1499"/>
      <c r="D109" s="1496"/>
      <c r="E109" s="2195"/>
      <c r="F109" s="1604"/>
      <c r="G109" s="2041"/>
      <c r="H109" s="1638"/>
      <c r="I109" s="2209"/>
      <c r="J109" s="2197"/>
      <c r="K109" s="746"/>
    </row>
    <row r="110" spans="1:17" ht="21.75" customHeight="1" x14ac:dyDescent="0.2">
      <c r="A110" s="1493" t="s">
        <v>6245</v>
      </c>
      <c r="B110" s="1499">
        <v>45751</v>
      </c>
      <c r="C110" s="1499"/>
      <c r="D110" s="1496" t="s">
        <v>7288</v>
      </c>
      <c r="E110" s="1496" t="s">
        <v>7695</v>
      </c>
      <c r="F110" s="2199" t="s">
        <v>6186</v>
      </c>
      <c r="G110" s="2200">
        <v>1</v>
      </c>
      <c r="H110" s="1638">
        <v>600</v>
      </c>
      <c r="I110" s="2209">
        <f>G110*H110</f>
        <v>600</v>
      </c>
      <c r="J110" s="2197"/>
      <c r="K110" s="746"/>
      <c r="L110" s="2138"/>
      <c r="M110" s="2138"/>
      <c r="N110" s="2138"/>
      <c r="O110" s="2117"/>
      <c r="P110" s="2117"/>
      <c r="Q110" s="2117"/>
    </row>
    <row r="111" spans="1:17" ht="21.75" customHeight="1" x14ac:dyDescent="0.2">
      <c r="A111" s="1493"/>
      <c r="B111" s="1499"/>
      <c r="C111" s="1499"/>
      <c r="D111" s="1496"/>
      <c r="E111" s="2195"/>
      <c r="F111" s="1604"/>
      <c r="G111" s="2041"/>
      <c r="H111" s="1638"/>
      <c r="I111" s="2209"/>
      <c r="J111" s="2197"/>
      <c r="K111" s="746"/>
    </row>
    <row r="112" spans="1:17" ht="21.75" customHeight="1" x14ac:dyDescent="0.2">
      <c r="A112" s="1493" t="s">
        <v>6245</v>
      </c>
      <c r="B112" s="1499">
        <v>45875</v>
      </c>
      <c r="C112" s="1499"/>
      <c r="D112" s="1496" t="s">
        <v>7288</v>
      </c>
      <c r="E112" s="1496" t="s">
        <v>8192</v>
      </c>
      <c r="F112" s="2199" t="s">
        <v>6186</v>
      </c>
      <c r="G112" s="2200">
        <v>1</v>
      </c>
      <c r="H112" s="1638">
        <v>157</v>
      </c>
      <c r="I112" s="2209">
        <f>G112*H112</f>
        <v>157</v>
      </c>
      <c r="J112" s="2197"/>
      <c r="K112" s="746"/>
      <c r="L112" s="2138"/>
      <c r="M112" s="2138"/>
      <c r="N112" s="2138"/>
      <c r="O112" s="2117"/>
      <c r="P112" s="2117"/>
      <c r="Q112" s="2117"/>
    </row>
    <row r="113" spans="1:17" ht="21.75" customHeight="1" thickBot="1" x14ac:dyDescent="0.25">
      <c r="A113" s="1493"/>
      <c r="B113" s="1499"/>
      <c r="C113" s="1499"/>
      <c r="D113" s="1496"/>
      <c r="E113" s="2195"/>
      <c r="F113" s="1604"/>
      <c r="G113" s="2041"/>
      <c r="H113" s="1638"/>
      <c r="I113" s="2209"/>
      <c r="J113" s="2197"/>
      <c r="K113" s="746"/>
    </row>
    <row r="114" spans="1:17" ht="21.75" customHeight="1" thickBot="1" x14ac:dyDescent="0.25">
      <c r="A114" s="3510" t="s">
        <v>772</v>
      </c>
      <c r="B114" s="3511"/>
      <c r="C114" s="3511"/>
      <c r="D114" s="3511"/>
      <c r="E114" s="3511"/>
      <c r="F114" s="3511"/>
      <c r="G114" s="3511"/>
      <c r="H114" s="3512"/>
      <c r="I114" s="175">
        <f>I98+I102+I104+I108+I110+I112</f>
        <v>1779.22</v>
      </c>
      <c r="J114" s="2342"/>
      <c r="K114" s="746"/>
    </row>
    <row r="115" spans="1:17" ht="22.5" customHeight="1" thickBot="1" x14ac:dyDescent="0.25">
      <c r="F115" s="2580"/>
      <c r="G115" s="2580"/>
      <c r="H115" s="2580"/>
      <c r="I115" s="231"/>
      <c r="J115" s="2217"/>
    </row>
    <row r="116" spans="1:17" ht="27" thickBot="1" x14ac:dyDescent="0.45">
      <c r="A116" s="3104" t="s">
        <v>7585</v>
      </c>
      <c r="B116" s="3105"/>
      <c r="C116" s="3105"/>
      <c r="D116" s="3105"/>
      <c r="E116" s="3105"/>
      <c r="F116" s="3105"/>
      <c r="G116" s="3105"/>
      <c r="H116" s="3105"/>
      <c r="I116" s="3105"/>
      <c r="J116" s="3509"/>
      <c r="K116" s="2084"/>
    </row>
    <row r="117" spans="1:17" ht="40.5" customHeight="1" thickBot="1" x14ac:dyDescent="0.25">
      <c r="A117" s="8" t="s">
        <v>5546</v>
      </c>
      <c r="B117" s="11" t="s">
        <v>721</v>
      </c>
      <c r="C117" s="11" t="s">
        <v>6233</v>
      </c>
      <c r="D117" s="75" t="s">
        <v>6183</v>
      </c>
      <c r="E117" s="75" t="s">
        <v>722</v>
      </c>
      <c r="F117" s="2040" t="s">
        <v>6186</v>
      </c>
      <c r="G117" s="11" t="s">
        <v>723</v>
      </c>
      <c r="H117" s="398" t="s">
        <v>724</v>
      </c>
      <c r="I117" s="2047" t="s">
        <v>725</v>
      </c>
      <c r="J117" s="75" t="s">
        <v>6227</v>
      </c>
      <c r="K117" s="32"/>
      <c r="M117" s="51"/>
    </row>
    <row r="118" spans="1:17" ht="21.75" customHeight="1" x14ac:dyDescent="0.2">
      <c r="A118" s="2345" t="s">
        <v>6245</v>
      </c>
      <c r="B118" s="2346">
        <v>45875</v>
      </c>
      <c r="C118" s="1499"/>
      <c r="D118" s="1610" t="s">
        <v>7288</v>
      </c>
      <c r="E118" s="2571" t="s">
        <v>8244</v>
      </c>
      <c r="F118" s="1604" t="s">
        <v>6186</v>
      </c>
      <c r="G118" s="2572">
        <v>1</v>
      </c>
      <c r="H118" s="2349">
        <v>157</v>
      </c>
      <c r="I118" s="2821">
        <f>H118*G118</f>
        <v>157</v>
      </c>
      <c r="J118" s="2351"/>
      <c r="K118" s="717"/>
      <c r="L118" s="618"/>
      <c r="M118" s="618"/>
      <c r="N118" s="617"/>
      <c r="P118" s="2117"/>
      <c r="Q118" s="2117"/>
    </row>
    <row r="119" spans="1:17" ht="21.75" customHeight="1" x14ac:dyDescent="0.2">
      <c r="A119" s="1493"/>
      <c r="B119" s="1499"/>
      <c r="C119" s="1499"/>
      <c r="D119" s="1496"/>
      <c r="E119" s="1491"/>
      <c r="F119" s="1604"/>
      <c r="G119" s="2200"/>
      <c r="H119" s="1638"/>
      <c r="I119" s="2127"/>
      <c r="J119" s="2197"/>
      <c r="K119" s="746"/>
      <c r="L119" s="2344"/>
      <c r="M119" s="2344"/>
      <c r="N119" s="617"/>
    </row>
    <row r="120" spans="1:17" ht="21.75" customHeight="1" x14ac:dyDescent="0.2">
      <c r="A120" s="1493"/>
      <c r="B120" s="1499">
        <v>45910</v>
      </c>
      <c r="C120" s="1499" t="s">
        <v>7493</v>
      </c>
      <c r="D120" s="1496"/>
      <c r="E120" s="1491" t="s">
        <v>8249</v>
      </c>
      <c r="F120" s="1604" t="s">
        <v>6186</v>
      </c>
      <c r="G120" s="2200">
        <v>1</v>
      </c>
      <c r="H120" s="1638">
        <f>I120/G120</f>
        <v>24.9</v>
      </c>
      <c r="I120" s="2127">
        <v>24.9</v>
      </c>
      <c r="J120" s="2197"/>
      <c r="K120" s="746"/>
      <c r="L120" s="2344"/>
      <c r="M120" s="2344"/>
      <c r="N120" s="617"/>
    </row>
    <row r="121" spans="1:17" ht="21.75" customHeight="1" x14ac:dyDescent="0.2">
      <c r="A121" s="1493"/>
      <c r="B121" s="1499">
        <v>45910</v>
      </c>
      <c r="C121" s="1499" t="s">
        <v>7493</v>
      </c>
      <c r="D121" s="1496"/>
      <c r="E121" s="1491" t="s">
        <v>8250</v>
      </c>
      <c r="F121" s="1604" t="s">
        <v>6186</v>
      </c>
      <c r="G121" s="2200">
        <v>5</v>
      </c>
      <c r="H121" s="1638">
        <f t="shared" ref="H121:H122" si="10">I121/G121</f>
        <v>12.34</v>
      </c>
      <c r="I121" s="2127">
        <v>61.7</v>
      </c>
      <c r="J121" s="2197"/>
      <c r="K121" s="746"/>
      <c r="L121" s="2344"/>
      <c r="M121" s="2344"/>
      <c r="N121" s="617"/>
    </row>
    <row r="122" spans="1:17" ht="21.75" customHeight="1" x14ac:dyDescent="0.2">
      <c r="A122" s="1493"/>
      <c r="B122" s="1499">
        <v>45910</v>
      </c>
      <c r="C122" s="1499" t="s">
        <v>7493</v>
      </c>
      <c r="D122" s="1496"/>
      <c r="E122" s="1491" t="s">
        <v>8251</v>
      </c>
      <c r="F122" s="1604" t="s">
        <v>6186</v>
      </c>
      <c r="G122" s="2200">
        <v>6</v>
      </c>
      <c r="H122" s="1638">
        <f t="shared" si="10"/>
        <v>11.950000000000001</v>
      </c>
      <c r="I122" s="2127">
        <v>71.7</v>
      </c>
      <c r="J122" s="2197"/>
      <c r="K122" s="746"/>
      <c r="L122" s="2344"/>
      <c r="M122" s="2138"/>
      <c r="N122" s="2138"/>
      <c r="O122" s="2117"/>
      <c r="P122" s="2117"/>
      <c r="Q122" s="2117"/>
    </row>
    <row r="123" spans="1:17" ht="21.75" customHeight="1" x14ac:dyDescent="0.2">
      <c r="A123" s="1493"/>
      <c r="B123" s="1499"/>
      <c r="C123" s="1499"/>
      <c r="D123" s="1496"/>
      <c r="E123" s="1491"/>
      <c r="F123" s="1604"/>
      <c r="G123" s="2200"/>
      <c r="H123" s="1638"/>
      <c r="I123" s="2127"/>
      <c r="J123" s="2197"/>
      <c r="K123" s="746"/>
      <c r="L123" s="2344"/>
      <c r="M123" s="2344"/>
      <c r="N123" s="617"/>
    </row>
    <row r="124" spans="1:17" ht="21.75" customHeight="1" x14ac:dyDescent="0.2">
      <c r="A124" s="1493"/>
      <c r="B124" s="1499"/>
      <c r="C124" s="1499"/>
      <c r="D124" s="1496"/>
      <c r="E124" s="2195"/>
      <c r="F124" s="1604"/>
      <c r="G124" s="2041"/>
      <c r="H124" s="1638"/>
      <c r="I124" s="2209"/>
      <c r="J124" s="2197"/>
      <c r="K124" s="746"/>
    </row>
    <row r="125" spans="1:17" ht="21.75" customHeight="1" x14ac:dyDescent="0.2">
      <c r="A125" s="1493"/>
      <c r="B125" s="1499"/>
      <c r="C125" s="1499"/>
      <c r="D125" s="1496"/>
      <c r="E125" s="1491"/>
      <c r="F125" s="1604"/>
      <c r="G125" s="2200"/>
      <c r="H125" s="1638"/>
      <c r="I125" s="2127"/>
      <c r="J125" s="2197"/>
      <c r="K125" s="746"/>
      <c r="L125" s="2344"/>
      <c r="M125" s="2344"/>
      <c r="N125" s="617"/>
    </row>
    <row r="126" spans="1:17" ht="21.75" customHeight="1" thickBot="1" x14ac:dyDescent="0.25">
      <c r="A126" s="1493"/>
      <c r="B126" s="1499"/>
      <c r="C126" s="1499"/>
      <c r="D126" s="1496"/>
      <c r="E126" s="2195"/>
      <c r="F126" s="1604"/>
      <c r="G126" s="2041"/>
      <c r="H126" s="1638"/>
      <c r="I126" s="2209"/>
      <c r="J126" s="2197"/>
      <c r="K126" s="746"/>
    </row>
    <row r="127" spans="1:17" ht="21.75" customHeight="1" thickBot="1" x14ac:dyDescent="0.25">
      <c r="A127" s="3510" t="s">
        <v>772</v>
      </c>
      <c r="B127" s="3511"/>
      <c r="C127" s="3511"/>
      <c r="D127" s="3511"/>
      <c r="E127" s="3511"/>
      <c r="F127" s="3511"/>
      <c r="G127" s="3511"/>
      <c r="H127" s="3512"/>
      <c r="I127" s="175">
        <f>SUM(I118:I126)</f>
        <v>315.3</v>
      </c>
      <c r="J127" s="2342"/>
      <c r="K127" s="746"/>
    </row>
    <row r="128" spans="1:17" ht="22.5" customHeight="1" x14ac:dyDescent="0.2">
      <c r="F128" s="2580"/>
      <c r="G128" s="2580"/>
      <c r="H128" s="2580"/>
      <c r="I128" s="231"/>
      <c r="J128" s="2217"/>
    </row>
    <row r="129" ht="22.5" customHeight="1" x14ac:dyDescent="0.2"/>
  </sheetData>
  <mergeCells count="13">
    <mergeCell ref="A116:J116"/>
    <mergeCell ref="A127:H127"/>
    <mergeCell ref="A1:J1"/>
    <mergeCell ref="A13:H13"/>
    <mergeCell ref="A15:J15"/>
    <mergeCell ref="A44:H44"/>
    <mergeCell ref="A51:J51"/>
    <mergeCell ref="A84:J84"/>
    <mergeCell ref="A114:H114"/>
    <mergeCell ref="A79:H79"/>
    <mergeCell ref="F46:H46"/>
    <mergeCell ref="F47:H47"/>
    <mergeCell ref="F48:H48"/>
  </mergeCells>
  <pageMargins left="0.23622047244094491" right="0.15748031496062992" top="0.51181102362204722" bottom="0.51181102362204722" header="0.23622047244094491" footer="0.51181102362204722"/>
  <pageSetup paperSize="9" orientation="portrait" r:id="rId1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12999-B4B5-4CB3-8D29-52F9E0429BA1}">
  <dimension ref="A1:Q90"/>
  <sheetViews>
    <sheetView topLeftCell="A19" zoomScaleNormal="100" workbookViewId="0">
      <selection activeCell="M18" sqref="A15:M18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4.710937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1.75" customHeight="1" thickBot="1" x14ac:dyDescent="0.25">
      <c r="A1" s="51"/>
      <c r="B1" s="1543"/>
      <c r="C1" s="1543"/>
      <c r="D1" s="717"/>
      <c r="E1" s="1505"/>
      <c r="F1" s="2277"/>
      <c r="G1" s="2277"/>
      <c r="H1" s="52"/>
      <c r="I1" s="52"/>
      <c r="J1" s="2205"/>
      <c r="K1" s="746"/>
    </row>
    <row r="2" spans="1:17" ht="27" thickBot="1" x14ac:dyDescent="0.45">
      <c r="A2" s="3104" t="s">
        <v>8091</v>
      </c>
      <c r="B2" s="3105"/>
      <c r="C2" s="3105"/>
      <c r="D2" s="3105"/>
      <c r="E2" s="3105"/>
      <c r="F2" s="3105"/>
      <c r="G2" s="3105"/>
      <c r="H2" s="3105"/>
      <c r="I2" s="3105"/>
      <c r="J2" s="3509"/>
      <c r="K2" s="2084"/>
    </row>
    <row r="3" spans="1:17" ht="40.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6227</v>
      </c>
      <c r="K3" s="32"/>
    </row>
    <row r="4" spans="1:17" ht="21.75" customHeight="1" x14ac:dyDescent="0.2">
      <c r="A4" s="1493"/>
      <c r="B4" s="1499">
        <v>45840</v>
      </c>
      <c r="C4" s="1499" t="s">
        <v>7493</v>
      </c>
      <c r="D4" s="1496"/>
      <c r="E4" s="1496" t="s">
        <v>8202</v>
      </c>
      <c r="F4" s="1604" t="s">
        <v>6186</v>
      </c>
      <c r="G4" s="2041">
        <v>1</v>
      </c>
      <c r="H4" s="1638">
        <v>343</v>
      </c>
      <c r="I4" s="2127">
        <f>H4*G4</f>
        <v>343</v>
      </c>
      <c r="J4" s="2197"/>
      <c r="K4" s="746"/>
    </row>
    <row r="5" spans="1:17" ht="21.75" customHeight="1" x14ac:dyDescent="0.2">
      <c r="A5" s="1493"/>
      <c r="B5" s="1499">
        <v>45843</v>
      </c>
      <c r="C5" s="1499" t="s">
        <v>7287</v>
      </c>
      <c r="D5" s="1496"/>
      <c r="E5" s="1496" t="s">
        <v>8073</v>
      </c>
      <c r="F5" s="1604" t="s">
        <v>6186</v>
      </c>
      <c r="G5" s="2041">
        <v>1</v>
      </c>
      <c r="H5" s="1638">
        <v>19.8</v>
      </c>
      <c r="I5" s="2127">
        <f t="shared" ref="I5:I8" si="0">H5*G5</f>
        <v>19.8</v>
      </c>
      <c r="J5" s="2197"/>
      <c r="L5" s="2139"/>
      <c r="M5" s="2139"/>
      <c r="N5" s="2139"/>
      <c r="O5" s="1704"/>
      <c r="P5" s="1704"/>
      <c r="Q5" s="1704"/>
    </row>
    <row r="6" spans="1:17" ht="21.75" customHeight="1" x14ac:dyDescent="0.2">
      <c r="A6" s="1493"/>
      <c r="B6" s="1499">
        <v>45845</v>
      </c>
      <c r="C6" s="1499" t="s">
        <v>7493</v>
      </c>
      <c r="D6" s="1496"/>
      <c r="E6" s="1496" t="s">
        <v>8079</v>
      </c>
      <c r="F6" s="1604" t="s">
        <v>6186</v>
      </c>
      <c r="G6" s="2041">
        <v>1</v>
      </c>
      <c r="H6" s="1638">
        <v>200.31</v>
      </c>
      <c r="I6" s="2127">
        <f t="shared" si="0"/>
        <v>200.31</v>
      </c>
      <c r="J6" s="2197"/>
      <c r="L6" s="2139"/>
      <c r="M6" s="2139"/>
      <c r="N6" s="2139"/>
      <c r="O6" s="1704"/>
      <c r="P6" s="1704"/>
      <c r="Q6" s="1704"/>
    </row>
    <row r="7" spans="1:17" ht="21.75" customHeight="1" x14ac:dyDescent="0.2">
      <c r="A7" s="1493"/>
      <c r="B7" s="1499">
        <v>45845</v>
      </c>
      <c r="C7" s="1499" t="s">
        <v>7493</v>
      </c>
      <c r="D7" s="1496"/>
      <c r="E7" s="1496" t="s">
        <v>8078</v>
      </c>
      <c r="F7" s="1604" t="s">
        <v>6186</v>
      </c>
      <c r="G7" s="2041">
        <v>1</v>
      </c>
      <c r="H7" s="1638">
        <v>27.08</v>
      </c>
      <c r="I7" s="2127">
        <f>H7*G7</f>
        <v>27.08</v>
      </c>
      <c r="J7" s="2197"/>
      <c r="K7" s="746"/>
    </row>
    <row r="8" spans="1:17" ht="21.75" customHeight="1" x14ac:dyDescent="0.2">
      <c r="A8" s="1493"/>
      <c r="B8" s="1499">
        <v>45846</v>
      </c>
      <c r="C8" s="1499" t="s">
        <v>7493</v>
      </c>
      <c r="D8" s="1496"/>
      <c r="E8" s="1496" t="s">
        <v>8084</v>
      </c>
      <c r="F8" s="1604" t="s">
        <v>6186</v>
      </c>
      <c r="G8" s="2041">
        <v>1</v>
      </c>
      <c r="H8" s="1638">
        <v>58.88</v>
      </c>
      <c r="I8" s="2127">
        <f t="shared" si="0"/>
        <v>58.88</v>
      </c>
      <c r="J8" s="2197"/>
      <c r="L8" s="2139"/>
      <c r="M8" s="2139"/>
      <c r="N8" s="2139"/>
      <c r="O8" s="1704"/>
      <c r="P8" s="1704"/>
      <c r="Q8" s="1704"/>
    </row>
    <row r="9" spans="1:17" ht="21.75" customHeight="1" x14ac:dyDescent="0.2">
      <c r="A9" s="1493"/>
      <c r="B9" s="1499">
        <v>45869</v>
      </c>
      <c r="C9" s="1499" t="s">
        <v>7493</v>
      </c>
      <c r="D9" s="1496"/>
      <c r="E9" s="1496" t="s">
        <v>8172</v>
      </c>
      <c r="F9" s="1604" t="s">
        <v>6186</v>
      </c>
      <c r="G9" s="2041">
        <v>1</v>
      </c>
      <c r="H9" s="1638">
        <v>75.63</v>
      </c>
      <c r="I9" s="2127">
        <f t="shared" ref="I9" si="1">H9*G9</f>
        <v>75.63</v>
      </c>
      <c r="J9" s="2197"/>
      <c r="K9" s="746"/>
      <c r="L9" s="2139"/>
      <c r="M9" s="2139"/>
      <c r="N9" s="2139"/>
      <c r="O9" s="1704"/>
      <c r="P9" s="1704"/>
      <c r="Q9" s="1704"/>
    </row>
    <row r="10" spans="1:17" ht="21.75" customHeight="1" x14ac:dyDescent="0.2">
      <c r="A10" s="1493"/>
      <c r="B10" s="1499">
        <v>45869</v>
      </c>
      <c r="C10" s="1499" t="s">
        <v>7493</v>
      </c>
      <c r="D10" s="1496"/>
      <c r="E10" s="1496" t="s">
        <v>8173</v>
      </c>
      <c r="F10" s="1604" t="s">
        <v>6186</v>
      </c>
      <c r="G10" s="2041">
        <v>1</v>
      </c>
      <c r="H10" s="1638">
        <v>894.64</v>
      </c>
      <c r="I10" s="2127">
        <f t="shared" ref="I10:I12" si="2">H10*G10</f>
        <v>894.64</v>
      </c>
      <c r="J10" s="2197"/>
      <c r="K10" s="746"/>
      <c r="L10" s="2139"/>
      <c r="M10" s="2139"/>
      <c r="N10" s="2139"/>
      <c r="O10" s="1704"/>
      <c r="P10" s="1704"/>
      <c r="Q10" s="1704"/>
    </row>
    <row r="11" spans="1:17" ht="21.75" customHeight="1" x14ac:dyDescent="0.2">
      <c r="A11" s="1493"/>
      <c r="B11" s="1499">
        <v>45881</v>
      </c>
      <c r="C11" s="1499" t="s">
        <v>8201</v>
      </c>
      <c r="D11" s="1496"/>
      <c r="E11" s="1496" t="s">
        <v>8200</v>
      </c>
      <c r="F11" s="1604" t="s">
        <v>6186</v>
      </c>
      <c r="G11" s="2041">
        <v>1</v>
      </c>
      <c r="H11" s="1638">
        <v>37.9</v>
      </c>
      <c r="I11" s="2127">
        <f t="shared" si="2"/>
        <v>37.9</v>
      </c>
      <c r="J11" s="2197"/>
      <c r="K11" s="746"/>
      <c r="L11" s="2139"/>
      <c r="M11" s="2139"/>
      <c r="N11" s="2139"/>
      <c r="O11" s="1704"/>
      <c r="P11" s="1704"/>
      <c r="Q11" s="1704"/>
    </row>
    <row r="12" spans="1:17" ht="21.75" customHeight="1" x14ac:dyDescent="0.2">
      <c r="A12" s="1493"/>
      <c r="B12" s="1499">
        <v>45881</v>
      </c>
      <c r="C12" s="1499" t="s">
        <v>8201</v>
      </c>
      <c r="D12" s="1496"/>
      <c r="E12" s="1496" t="s">
        <v>8199</v>
      </c>
      <c r="F12" s="1604" t="s">
        <v>6186</v>
      </c>
      <c r="G12" s="2041">
        <v>1</v>
      </c>
      <c r="H12" s="1638">
        <v>19</v>
      </c>
      <c r="I12" s="2127">
        <f t="shared" si="2"/>
        <v>19</v>
      </c>
      <c r="J12" s="2197"/>
      <c r="K12" s="746"/>
      <c r="L12" s="2139"/>
      <c r="M12" s="2139"/>
      <c r="N12" s="2139"/>
      <c r="O12" s="1704"/>
      <c r="P12" s="1704"/>
      <c r="Q12" s="1704"/>
    </row>
    <row r="13" spans="1:17" ht="21.75" customHeight="1" x14ac:dyDescent="0.2">
      <c r="A13" s="1493"/>
      <c r="B13" s="1499"/>
      <c r="C13" s="1499"/>
      <c r="D13" s="1496"/>
      <c r="E13" s="1496"/>
      <c r="F13" s="1604"/>
      <c r="G13" s="2041"/>
      <c r="H13" s="1638"/>
      <c r="I13" s="2127"/>
      <c r="J13" s="2197"/>
      <c r="K13" s="746"/>
      <c r="L13" s="2139"/>
      <c r="M13" s="2139"/>
      <c r="N13" s="2139"/>
      <c r="O13" s="1704"/>
      <c r="P13" s="1704"/>
      <c r="Q13" s="1704"/>
    </row>
    <row r="14" spans="1:17" ht="21.75" customHeight="1" x14ac:dyDescent="0.2">
      <c r="A14" s="1493"/>
      <c r="B14" s="1499"/>
      <c r="C14" s="1499"/>
      <c r="D14" s="1496"/>
      <c r="E14" s="1496"/>
      <c r="F14" s="1604"/>
      <c r="G14" s="2041"/>
      <c r="H14" s="1638"/>
      <c r="I14" s="2127"/>
      <c r="J14" s="2197"/>
      <c r="K14" s="746"/>
      <c r="L14" s="2139"/>
      <c r="M14" s="2139"/>
      <c r="N14" s="2139"/>
      <c r="O14" s="1704"/>
      <c r="P14" s="1704"/>
      <c r="Q14" s="1704"/>
    </row>
    <row r="15" spans="1:17" ht="21.75" customHeight="1" x14ac:dyDescent="0.2">
      <c r="A15" s="1493"/>
      <c r="B15" s="1499"/>
      <c r="C15" s="1499"/>
      <c r="D15" s="1496"/>
      <c r="E15" s="1496"/>
      <c r="F15" s="1604"/>
      <c r="G15" s="2041"/>
      <c r="H15" s="1638"/>
      <c r="I15" s="2127"/>
      <c r="J15" s="2197"/>
      <c r="K15" s="746"/>
      <c r="L15" s="2139"/>
      <c r="M15" s="2139"/>
      <c r="N15" s="2139"/>
      <c r="O15" s="1704"/>
      <c r="P15" s="1704"/>
      <c r="Q15" s="1704"/>
    </row>
    <row r="16" spans="1:17" ht="21.75" customHeight="1" x14ac:dyDescent="0.2">
      <c r="A16" s="1493"/>
      <c r="B16" s="1499"/>
      <c r="C16" s="1499"/>
      <c r="D16" s="1496"/>
      <c r="E16" s="1496"/>
      <c r="F16" s="1604"/>
      <c r="G16" s="2041"/>
      <c r="H16" s="1638"/>
      <c r="I16" s="2127"/>
      <c r="J16" s="2197"/>
      <c r="K16" s="746"/>
      <c r="L16" s="2139"/>
      <c r="M16" s="2139"/>
      <c r="N16" s="2139"/>
      <c r="O16" s="1704"/>
      <c r="P16" s="1704"/>
      <c r="Q16" s="1704"/>
    </row>
    <row r="17" spans="1:17" ht="21.75" customHeight="1" thickBot="1" x14ac:dyDescent="0.25">
      <c r="A17" s="1493"/>
      <c r="B17" s="1499"/>
      <c r="C17" s="1499"/>
      <c r="D17" s="1496"/>
      <c r="E17" s="1496"/>
      <c r="F17" s="1604"/>
      <c r="G17" s="2041"/>
      <c r="H17" s="1219"/>
      <c r="I17" s="2097"/>
      <c r="J17" s="2197"/>
      <c r="K17" s="746"/>
    </row>
    <row r="18" spans="1:17" ht="21.75" customHeight="1" thickBot="1" x14ac:dyDescent="0.25">
      <c r="A18" s="3510" t="s">
        <v>772</v>
      </c>
      <c r="B18" s="3511"/>
      <c r="C18" s="3511"/>
      <c r="D18" s="3511"/>
      <c r="E18" s="3511"/>
      <c r="F18" s="3511"/>
      <c r="G18" s="3511"/>
      <c r="H18" s="3512"/>
      <c r="I18" s="175">
        <f>SUM(I4:I17)</f>
        <v>1676.2400000000002</v>
      </c>
      <c r="J18" s="2342"/>
      <c r="K18" s="746"/>
    </row>
    <row r="19" spans="1:17" ht="21.75" customHeight="1" x14ac:dyDescent="0.2">
      <c r="A19" s="51"/>
      <c r="B19" s="1543"/>
      <c r="C19" s="1543"/>
      <c r="D19" s="717"/>
      <c r="E19" s="717"/>
      <c r="F19" s="2277"/>
      <c r="G19" s="2277"/>
      <c r="H19" s="52"/>
      <c r="I19" s="52"/>
      <c r="J19" s="2205"/>
      <c r="K19" s="746"/>
    </row>
    <row r="22" spans="1:17" ht="21.75" customHeight="1" thickBot="1" x14ac:dyDescent="0.25">
      <c r="A22" s="51"/>
      <c r="B22" s="1543"/>
      <c r="C22" s="1543"/>
      <c r="D22" s="717"/>
      <c r="E22" s="1505"/>
      <c r="F22" s="2277"/>
      <c r="G22" s="2277"/>
      <c r="H22" s="52"/>
      <c r="I22" s="52"/>
      <c r="J22" s="2205"/>
      <c r="K22" s="746"/>
    </row>
    <row r="23" spans="1:17" ht="27" thickBot="1" x14ac:dyDescent="0.45">
      <c r="A23" s="3104" t="s">
        <v>7614</v>
      </c>
      <c r="B23" s="3105"/>
      <c r="C23" s="3105"/>
      <c r="D23" s="3105"/>
      <c r="E23" s="3105"/>
      <c r="F23" s="3105"/>
      <c r="G23" s="3105"/>
      <c r="H23" s="3105"/>
      <c r="I23" s="3105"/>
      <c r="J23" s="3509"/>
      <c r="K23" s="2084"/>
    </row>
    <row r="24" spans="1:17" ht="40.5" customHeight="1" thickBot="1" x14ac:dyDescent="0.25">
      <c r="A24" s="8" t="s">
        <v>5546</v>
      </c>
      <c r="B24" s="11" t="s">
        <v>721</v>
      </c>
      <c r="C24" s="11" t="s">
        <v>6233</v>
      </c>
      <c r="D24" s="75" t="s">
        <v>6183</v>
      </c>
      <c r="E24" s="75" t="s">
        <v>722</v>
      </c>
      <c r="F24" s="2040" t="s">
        <v>6186</v>
      </c>
      <c r="G24" s="11" t="s">
        <v>723</v>
      </c>
      <c r="H24" s="398" t="s">
        <v>724</v>
      </c>
      <c r="I24" s="2047" t="s">
        <v>725</v>
      </c>
      <c r="J24" s="75" t="s">
        <v>6227</v>
      </c>
      <c r="K24" s="32"/>
    </row>
    <row r="25" spans="1:17" ht="21.75" customHeight="1" x14ac:dyDescent="0.2">
      <c r="A25" s="1493"/>
      <c r="B25" s="1499"/>
      <c r="C25" s="1499"/>
      <c r="D25" s="1496"/>
      <c r="E25" s="1496" t="s">
        <v>7615</v>
      </c>
      <c r="F25" s="1604" t="s">
        <v>6186</v>
      </c>
      <c r="G25" s="2041">
        <v>1</v>
      </c>
      <c r="H25" s="1638">
        <v>5000</v>
      </c>
      <c r="I25" s="2127">
        <f>H25*G25</f>
        <v>5000</v>
      </c>
      <c r="J25" s="2197"/>
      <c r="K25" s="746"/>
    </row>
    <row r="26" spans="1:17" ht="21.75" customHeight="1" x14ac:dyDescent="0.2">
      <c r="A26" s="1493"/>
      <c r="B26" s="1499"/>
      <c r="C26" s="1499"/>
      <c r="D26" s="1496"/>
      <c r="E26" s="1496" t="s">
        <v>7616</v>
      </c>
      <c r="F26" s="1604" t="s">
        <v>6186</v>
      </c>
      <c r="G26" s="2041">
        <v>1</v>
      </c>
      <c r="H26" s="1638">
        <v>2000</v>
      </c>
      <c r="I26" s="2127">
        <f t="shared" ref="I26:I34" si="3">H26*G26</f>
        <v>2000</v>
      </c>
      <c r="J26" s="2197"/>
      <c r="L26" s="2139"/>
      <c r="M26" s="2139"/>
      <c r="N26" s="2139"/>
      <c r="O26" s="1704"/>
      <c r="P26" s="1704"/>
      <c r="Q26" s="1704"/>
    </row>
    <row r="27" spans="1:17" ht="21.75" customHeight="1" x14ac:dyDescent="0.2">
      <c r="A27" s="1493"/>
      <c r="B27" s="1499"/>
      <c r="C27" s="1499"/>
      <c r="D27" s="1496"/>
      <c r="E27" s="1496" t="s">
        <v>7617</v>
      </c>
      <c r="F27" s="1604" t="s">
        <v>6186</v>
      </c>
      <c r="G27" s="2041">
        <v>1</v>
      </c>
      <c r="H27" s="1638">
        <v>3000</v>
      </c>
      <c r="I27" s="2127">
        <f t="shared" si="3"/>
        <v>3000</v>
      </c>
      <c r="J27" s="2197"/>
      <c r="L27" s="2139"/>
      <c r="M27" s="2139"/>
      <c r="N27" s="2139"/>
      <c r="O27" s="1704"/>
      <c r="P27" s="1704"/>
      <c r="Q27" s="1704"/>
    </row>
    <row r="28" spans="1:17" ht="21.75" customHeight="1" x14ac:dyDescent="0.2">
      <c r="A28" s="1493"/>
      <c r="B28" s="1499"/>
      <c r="C28" s="1499"/>
      <c r="D28" s="1496"/>
      <c r="E28" s="1496" t="s">
        <v>7618</v>
      </c>
      <c r="F28" s="1604" t="s">
        <v>6186</v>
      </c>
      <c r="G28" s="2041">
        <v>1</v>
      </c>
      <c r="H28" s="1638">
        <v>3000</v>
      </c>
      <c r="I28" s="2127">
        <f t="shared" si="3"/>
        <v>3000</v>
      </c>
      <c r="J28" s="2197"/>
      <c r="K28" s="746"/>
    </row>
    <row r="29" spans="1:17" ht="21.75" customHeight="1" x14ac:dyDescent="0.2">
      <c r="A29" s="1493"/>
      <c r="B29" s="1499"/>
      <c r="C29" s="1499"/>
      <c r="D29" s="1496"/>
      <c r="E29" s="1496" t="s">
        <v>7619</v>
      </c>
      <c r="F29" s="1604" t="s">
        <v>6186</v>
      </c>
      <c r="G29" s="2041">
        <v>1</v>
      </c>
      <c r="H29" s="1638">
        <v>600</v>
      </c>
      <c r="I29" s="2127">
        <f t="shared" si="3"/>
        <v>600</v>
      </c>
      <c r="J29" s="2197"/>
      <c r="L29" s="2139"/>
      <c r="M29" s="2139"/>
      <c r="N29" s="2139"/>
      <c r="O29" s="1704"/>
      <c r="P29" s="1704"/>
      <c r="Q29" s="1704"/>
    </row>
    <row r="30" spans="1:17" ht="21.75" customHeight="1" x14ac:dyDescent="0.2">
      <c r="A30" s="1493"/>
      <c r="B30" s="1499"/>
      <c r="C30" s="1499"/>
      <c r="D30" s="1496"/>
      <c r="E30" s="1496" t="s">
        <v>7620</v>
      </c>
      <c r="F30" s="1604" t="s">
        <v>6186</v>
      </c>
      <c r="G30" s="2041">
        <v>1</v>
      </c>
      <c r="H30" s="1638">
        <v>1000</v>
      </c>
      <c r="I30" s="2127">
        <f t="shared" si="3"/>
        <v>1000</v>
      </c>
      <c r="J30" s="2197"/>
      <c r="K30" s="746"/>
      <c r="L30" s="2139"/>
      <c r="M30" s="2139"/>
      <c r="N30" s="2139"/>
      <c r="O30" s="1704"/>
      <c r="P30" s="1704"/>
      <c r="Q30" s="1704"/>
    </row>
    <row r="31" spans="1:17" ht="21.75" customHeight="1" x14ac:dyDescent="0.2">
      <c r="A31" s="1493"/>
      <c r="B31" s="1499"/>
      <c r="C31" s="1499"/>
      <c r="D31" s="1496"/>
      <c r="E31" s="1496" t="s">
        <v>8133</v>
      </c>
      <c r="F31" s="1604" t="s">
        <v>6186</v>
      </c>
      <c r="G31" s="2041">
        <v>1</v>
      </c>
      <c r="H31" s="1638">
        <v>1000</v>
      </c>
      <c r="I31" s="2127">
        <f t="shared" ref="I31" si="4">H31*G31</f>
        <v>1000</v>
      </c>
      <c r="J31" s="2197"/>
      <c r="K31" s="746"/>
      <c r="L31" s="2139"/>
      <c r="M31" s="2139"/>
      <c r="N31" s="2139"/>
      <c r="O31" s="1704"/>
      <c r="P31" s="1704"/>
      <c r="Q31" s="1704"/>
    </row>
    <row r="32" spans="1:17" ht="21.75" customHeight="1" x14ac:dyDescent="0.2">
      <c r="A32" s="1493"/>
      <c r="B32" s="1499"/>
      <c r="C32" s="1499"/>
      <c r="D32" s="1496"/>
      <c r="E32" s="1496" t="s">
        <v>7621</v>
      </c>
      <c r="F32" s="1604" t="s">
        <v>6186</v>
      </c>
      <c r="G32" s="2041">
        <v>1</v>
      </c>
      <c r="H32" s="1638">
        <v>4000</v>
      </c>
      <c r="I32" s="2127">
        <f t="shared" si="3"/>
        <v>4000</v>
      </c>
      <c r="J32" s="2197"/>
      <c r="K32" s="746"/>
      <c r="L32" s="2139"/>
      <c r="M32" s="2139"/>
      <c r="N32" s="2139"/>
      <c r="O32" s="1704"/>
      <c r="P32" s="1704"/>
      <c r="Q32" s="1704"/>
    </row>
    <row r="33" spans="1:17" ht="21.75" customHeight="1" x14ac:dyDescent="0.2">
      <c r="A33" s="1493"/>
      <c r="B33" s="1499"/>
      <c r="C33" s="1499"/>
      <c r="D33" s="1496"/>
      <c r="E33" s="1496" t="s">
        <v>7622</v>
      </c>
      <c r="F33" s="1604" t="s">
        <v>6186</v>
      </c>
      <c r="G33" s="2041">
        <v>1</v>
      </c>
      <c r="H33" s="1638">
        <v>5000</v>
      </c>
      <c r="I33" s="2127">
        <f t="shared" si="3"/>
        <v>5000</v>
      </c>
      <c r="J33" s="2197"/>
      <c r="K33" s="746"/>
      <c r="L33" s="2139"/>
      <c r="M33" s="2139"/>
      <c r="N33" s="2139"/>
      <c r="O33" s="1704"/>
      <c r="P33" s="1704"/>
      <c r="Q33" s="1704"/>
    </row>
    <row r="34" spans="1:17" ht="21.75" customHeight="1" x14ac:dyDescent="0.2">
      <c r="A34" s="1493"/>
      <c r="B34" s="1499"/>
      <c r="C34" s="1499"/>
      <c r="D34" s="1496"/>
      <c r="E34" s="1496" t="s">
        <v>7830</v>
      </c>
      <c r="F34" s="1604" t="s">
        <v>6186</v>
      </c>
      <c r="G34" s="2041">
        <v>1</v>
      </c>
      <c r="H34" s="1638">
        <v>3500</v>
      </c>
      <c r="I34" s="2127">
        <f t="shared" si="3"/>
        <v>3500</v>
      </c>
      <c r="J34" s="2197"/>
      <c r="K34" s="746"/>
      <c r="L34" s="2139"/>
      <c r="M34" s="2139"/>
      <c r="N34" s="2139"/>
      <c r="O34" s="1704"/>
      <c r="P34" s="1704"/>
      <c r="Q34" s="1704"/>
    </row>
    <row r="35" spans="1:17" ht="21.75" customHeight="1" thickBot="1" x14ac:dyDescent="0.25">
      <c r="A35" s="1493"/>
      <c r="B35" s="1499"/>
      <c r="C35" s="1499"/>
      <c r="D35" s="1496"/>
      <c r="E35" s="1496"/>
      <c r="F35" s="1604"/>
      <c r="G35" s="2041"/>
      <c r="H35" s="1219"/>
      <c r="I35" s="2097"/>
      <c r="J35" s="2197"/>
      <c r="K35" s="746"/>
    </row>
    <row r="36" spans="1:17" ht="21.75" customHeight="1" thickBot="1" x14ac:dyDescent="0.25">
      <c r="A36" s="3510" t="s">
        <v>772</v>
      </c>
      <c r="B36" s="3511"/>
      <c r="C36" s="3511"/>
      <c r="D36" s="3511"/>
      <c r="E36" s="3511"/>
      <c r="F36" s="3511"/>
      <c r="G36" s="3511"/>
      <c r="H36" s="3512"/>
      <c r="I36" s="175">
        <f>SUM(I25:I35)</f>
        <v>28100</v>
      </c>
      <c r="J36" s="2342"/>
      <c r="K36" s="746"/>
    </row>
    <row r="37" spans="1:17" ht="21.75" customHeight="1" x14ac:dyDescent="0.2">
      <c r="A37" s="51"/>
      <c r="B37" s="1543"/>
      <c r="C37" s="1543"/>
      <c r="D37" s="717"/>
      <c r="E37" s="717"/>
      <c r="F37" s="2277"/>
      <c r="G37" s="2277"/>
      <c r="H37" s="52"/>
      <c r="I37" s="52"/>
      <c r="J37" s="2205"/>
      <c r="K37" s="746"/>
    </row>
    <row r="89" spans="5:5" x14ac:dyDescent="0.2">
      <c r="E89" t="s">
        <v>8200</v>
      </c>
    </row>
    <row r="90" spans="5:5" x14ac:dyDescent="0.2">
      <c r="E90" t="s">
        <v>8199</v>
      </c>
    </row>
  </sheetData>
  <mergeCells count="4">
    <mergeCell ref="A18:H18"/>
    <mergeCell ref="A23:J23"/>
    <mergeCell ref="A36:H36"/>
    <mergeCell ref="A2:J2"/>
  </mergeCells>
  <phoneticPr fontId="153" type="noConversion"/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5CE5A-5C44-4328-A75E-E7C1C1832172}">
  <dimension ref="A1:AF86"/>
  <sheetViews>
    <sheetView zoomScale="85" zoomScaleNormal="85" workbookViewId="0">
      <selection activeCell="D19" sqref="D19"/>
    </sheetView>
  </sheetViews>
  <sheetFormatPr defaultColWidth="9.140625" defaultRowHeight="15" x14ac:dyDescent="0.25"/>
  <cols>
    <col min="1" max="1" width="38.42578125" style="79" bestFit="1" customWidth="1"/>
    <col min="2" max="2" width="16.7109375" style="79" bestFit="1" customWidth="1"/>
    <col min="3" max="3" width="19" style="89" bestFit="1" customWidth="1"/>
    <col min="4" max="4" width="15.5703125" style="85" bestFit="1" customWidth="1"/>
    <col min="5" max="5" width="14.28515625" style="85" bestFit="1" customWidth="1"/>
    <col min="6" max="6" width="14.28515625" style="89" bestFit="1" customWidth="1"/>
    <col min="7" max="7" width="15.5703125" style="79" bestFit="1" customWidth="1"/>
    <col min="8" max="8" width="15" style="79" bestFit="1" customWidth="1"/>
    <col min="9" max="9" width="16.5703125" style="79" bestFit="1" customWidth="1"/>
    <col min="10" max="10" width="19.28515625" style="79" bestFit="1" customWidth="1"/>
    <col min="11" max="11" width="17.140625" style="79" customWidth="1"/>
    <col min="12" max="12" width="16.7109375" style="79" bestFit="1" customWidth="1"/>
    <col min="13" max="13" width="19" style="79" bestFit="1" customWidth="1"/>
    <col min="14" max="14" width="15.5703125" style="79" bestFit="1" customWidth="1"/>
    <col min="15" max="16" width="14.28515625" style="79" bestFit="1" customWidth="1"/>
    <col min="17" max="17" width="15.5703125" style="79" bestFit="1" customWidth="1"/>
    <col min="18" max="18" width="15" style="79" bestFit="1" customWidth="1"/>
    <col min="19" max="19" width="16.5703125" style="79" bestFit="1" customWidth="1"/>
    <col min="20" max="20" width="19.28515625" style="79" bestFit="1" customWidth="1"/>
    <col min="21" max="21" width="17.5703125" style="79" bestFit="1" customWidth="1"/>
    <col min="22" max="22" width="19.5703125" style="79" bestFit="1" customWidth="1"/>
    <col min="23" max="16384" width="9.140625" style="79"/>
  </cols>
  <sheetData>
    <row r="1" spans="1:18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18" ht="15.75" x14ac:dyDescent="0.25">
      <c r="A2" s="333" t="s">
        <v>8703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  <c r="P2" s="3042" t="s">
        <v>8730</v>
      </c>
      <c r="Q2" s="3042" t="s">
        <v>8731</v>
      </c>
    </row>
    <row r="3" spans="1:18" x14ac:dyDescent="0.25">
      <c r="A3" s="329" t="s">
        <v>32</v>
      </c>
      <c r="B3" s="336">
        <f>C3/1</f>
        <v>0</v>
      </c>
      <c r="C3" s="1042">
        <f>SUM(Tabela14[[#This Row],[Janeiro]:[Dezembro]])</f>
        <v>0</v>
      </c>
      <c r="D3" s="549">
        <f>'Janeiro-26'!D201</f>
        <v>0</v>
      </c>
      <c r="E3" s="587"/>
      <c r="F3" s="588"/>
      <c r="G3" s="588"/>
      <c r="H3" s="588"/>
      <c r="I3" s="588"/>
      <c r="J3" s="588"/>
      <c r="K3" s="588"/>
      <c r="L3" s="588"/>
      <c r="M3" s="565"/>
      <c r="N3" s="565"/>
      <c r="O3" s="565"/>
      <c r="P3" s="3043">
        <v>474</v>
      </c>
      <c r="Q3" s="3043">
        <f>Tabela14[[#This Row],[Dezembro2]]-Tabela14[[#This Row],[Janeiro]]</f>
        <v>474</v>
      </c>
      <c r="R3" s="609"/>
    </row>
    <row r="4" spans="1:18" x14ac:dyDescent="0.25">
      <c r="A4" s="329" t="s">
        <v>2187</v>
      </c>
      <c r="B4" s="336">
        <f t="shared" ref="B4:B19" si="0">C4/1</f>
        <v>50</v>
      </c>
      <c r="C4" s="1042">
        <f>SUM(Tabela14[[#This Row],[Janeiro]:[Dezembro]])</f>
        <v>50</v>
      </c>
      <c r="D4" s="588">
        <f>'Janeiro-26'!D207</f>
        <v>50</v>
      </c>
      <c r="E4" s="587"/>
      <c r="F4" s="588"/>
      <c r="G4" s="588"/>
      <c r="H4" s="588"/>
      <c r="I4" s="588"/>
      <c r="J4" s="588"/>
      <c r="K4" s="588"/>
      <c r="L4" s="588"/>
      <c r="M4" s="565"/>
      <c r="N4" s="565"/>
      <c r="O4" s="565"/>
      <c r="P4" s="3043">
        <v>415.8</v>
      </c>
      <c r="Q4" s="3043">
        <f>Tabela14[[#This Row],[Dezembro2]]-Tabela14[[#This Row],[Janeiro]]</f>
        <v>365.8</v>
      </c>
      <c r="R4" s="609"/>
    </row>
    <row r="5" spans="1:18" x14ac:dyDescent="0.25">
      <c r="A5" s="329" t="s">
        <v>50</v>
      </c>
      <c r="B5" s="336">
        <f t="shared" si="0"/>
        <v>436.90999999999991</v>
      </c>
      <c r="C5" s="1042">
        <f>SUM(Tabela14[[#This Row],[Janeiro]:[Dezembro]])</f>
        <v>436.90999999999991</v>
      </c>
      <c r="D5" s="588">
        <f>'Janeiro-26'!D208</f>
        <v>436.90999999999991</v>
      </c>
      <c r="E5" s="587"/>
      <c r="F5" s="588"/>
      <c r="G5" s="588"/>
      <c r="H5" s="588"/>
      <c r="I5" s="588"/>
      <c r="J5" s="588"/>
      <c r="K5" s="588"/>
      <c r="L5" s="588"/>
      <c r="M5" s="565"/>
      <c r="N5" s="565"/>
      <c r="O5" s="565"/>
      <c r="P5" s="3043">
        <v>541.45999999999992</v>
      </c>
      <c r="Q5" s="3043">
        <f>Tabela14[[#This Row],[Dezembro2]]-Tabela14[[#This Row],[Janeiro]]</f>
        <v>104.55000000000001</v>
      </c>
      <c r="R5" s="609"/>
    </row>
    <row r="6" spans="1:18" x14ac:dyDescent="0.25">
      <c r="A6" s="329" t="s">
        <v>14</v>
      </c>
      <c r="B6" s="336">
        <f t="shared" si="0"/>
        <v>240.36</v>
      </c>
      <c r="C6" s="1042">
        <f>SUM(Tabela14[[#This Row],[Janeiro]:[Dezembro]])</f>
        <v>240.36</v>
      </c>
      <c r="D6" s="549">
        <f>'Janeiro-26'!D209</f>
        <v>240.36</v>
      </c>
      <c r="E6" s="587"/>
      <c r="F6" s="588"/>
      <c r="G6" s="588"/>
      <c r="H6" s="588"/>
      <c r="I6" s="588"/>
      <c r="J6" s="588"/>
      <c r="K6" s="588"/>
      <c r="L6" s="588"/>
      <c r="M6" s="565"/>
      <c r="N6" s="565"/>
      <c r="O6" s="565"/>
      <c r="P6" s="3043">
        <v>107.17</v>
      </c>
      <c r="Q6" s="3043">
        <f>Tabela14[[#This Row],[Dezembro2]]-Tabela14[[#This Row],[Janeiro]]</f>
        <v>-133.19</v>
      </c>
      <c r="R6" s="609"/>
    </row>
    <row r="7" spans="1:18" x14ac:dyDescent="0.25">
      <c r="A7" s="329" t="s">
        <v>358</v>
      </c>
      <c r="B7" s="336">
        <f t="shared" si="0"/>
        <v>74.34</v>
      </c>
      <c r="C7" s="1042">
        <f>SUM(Tabela14[[#This Row],[Janeiro]:[Dezembro]])</f>
        <v>74.34</v>
      </c>
      <c r="D7" s="588">
        <f>'Janeiro-26'!D210</f>
        <v>74.34</v>
      </c>
      <c r="E7" s="587"/>
      <c r="F7" s="588"/>
      <c r="G7" s="588"/>
      <c r="H7" s="588"/>
      <c r="I7" s="588"/>
      <c r="J7" s="588"/>
      <c r="K7" s="588"/>
      <c r="L7" s="588"/>
      <c r="M7" s="565"/>
      <c r="N7" s="565"/>
      <c r="O7" s="565"/>
      <c r="P7" s="3043">
        <v>204.17</v>
      </c>
      <c r="Q7" s="3043">
        <f>Tabela14[[#This Row],[Dezembro2]]-Tabela14[[#This Row],[Janeiro]]</f>
        <v>129.82999999999998</v>
      </c>
      <c r="R7" s="609"/>
    </row>
    <row r="8" spans="1:18" x14ac:dyDescent="0.25">
      <c r="A8" s="329" t="s">
        <v>2189</v>
      </c>
      <c r="B8" s="336">
        <f t="shared" si="0"/>
        <v>100</v>
      </c>
      <c r="C8" s="1042">
        <f>SUM(Tabela14[[#This Row],[Janeiro]:[Dezembro]])</f>
        <v>100</v>
      </c>
      <c r="D8" s="588">
        <f>'Janeiro-26'!D211</f>
        <v>100</v>
      </c>
      <c r="E8" s="587"/>
      <c r="F8" s="588"/>
      <c r="G8" s="588"/>
      <c r="H8" s="588"/>
      <c r="I8" s="588"/>
      <c r="J8" s="588"/>
      <c r="K8" s="588"/>
      <c r="L8" s="588"/>
      <c r="M8" s="565"/>
      <c r="N8" s="565"/>
      <c r="O8" s="565"/>
      <c r="P8" s="3043">
        <v>100</v>
      </c>
      <c r="Q8" s="3043">
        <f>Tabela14[[#This Row],[Dezembro2]]-Tabela14[[#This Row],[Janeiro]]</f>
        <v>0</v>
      </c>
      <c r="R8" s="609"/>
    </row>
    <row r="9" spans="1:18" x14ac:dyDescent="0.25">
      <c r="A9" s="329" t="s">
        <v>53</v>
      </c>
      <c r="B9" s="336">
        <f t="shared" si="0"/>
        <v>1899.7399999999998</v>
      </c>
      <c r="C9" s="1042">
        <f>SUM(Tabela14[[#This Row],[Janeiro]:[Dezembro]])</f>
        <v>1899.7399999999998</v>
      </c>
      <c r="D9" s="549">
        <f>'Janeiro-26'!D212</f>
        <v>1899.7399999999998</v>
      </c>
      <c r="E9" s="587"/>
      <c r="F9" s="588"/>
      <c r="G9" s="588"/>
      <c r="H9" s="588"/>
      <c r="I9" s="588"/>
      <c r="J9" s="588"/>
      <c r="K9" s="588"/>
      <c r="L9" s="588"/>
      <c r="M9" s="565"/>
      <c r="N9" s="565"/>
      <c r="O9" s="565"/>
      <c r="P9" s="3043">
        <v>57.31</v>
      </c>
      <c r="Q9" s="3043">
        <f>Tabela14[[#This Row],[Dezembro2]]-Tabela14[[#This Row],[Janeiro]]</f>
        <v>-1842.4299999999998</v>
      </c>
      <c r="R9" s="609"/>
    </row>
    <row r="10" spans="1:18" x14ac:dyDescent="0.25">
      <c r="A10" s="329" t="s">
        <v>3048</v>
      </c>
      <c r="B10" s="336">
        <f t="shared" si="0"/>
        <v>1119.8629999999998</v>
      </c>
      <c r="C10" s="1042">
        <f>SUM(Tabela14[[#This Row],[Janeiro]:[Dezembro]])</f>
        <v>1119.8629999999998</v>
      </c>
      <c r="D10" s="588">
        <f>'Janeiro-26'!D213</f>
        <v>1119.8629999999998</v>
      </c>
      <c r="E10" s="587"/>
      <c r="F10" s="588"/>
      <c r="G10" s="588"/>
      <c r="H10" s="588"/>
      <c r="I10" s="588"/>
      <c r="J10" s="588"/>
      <c r="K10" s="588"/>
      <c r="L10" s="588"/>
      <c r="M10" s="565"/>
      <c r="N10" s="565"/>
      <c r="O10" s="565"/>
      <c r="P10" s="3043">
        <v>1335.4500000000003</v>
      </c>
      <c r="Q10" s="3043">
        <f>Tabela14[[#This Row],[Dezembro2]]-Tabela14[[#This Row],[Janeiro]]</f>
        <v>215.58700000000044</v>
      </c>
      <c r="R10" s="609"/>
    </row>
    <row r="11" spans="1:18" x14ac:dyDescent="0.25">
      <c r="A11" s="329" t="s">
        <v>1686</v>
      </c>
      <c r="B11" s="336">
        <f t="shared" si="0"/>
        <v>260.90999999999997</v>
      </c>
      <c r="C11" s="1042">
        <f>SUM(Tabela14[[#This Row],[Janeiro]:[Dezembro]])</f>
        <v>260.90999999999997</v>
      </c>
      <c r="D11" s="588">
        <f>'Janeiro-26'!D214</f>
        <v>260.90999999999997</v>
      </c>
      <c r="E11" s="587"/>
      <c r="F11" s="588"/>
      <c r="G11" s="588"/>
      <c r="H11" s="588"/>
      <c r="I11" s="588"/>
      <c r="J11" s="588"/>
      <c r="K11" s="588"/>
      <c r="L11" s="588"/>
      <c r="M11" s="565"/>
      <c r="N11" s="565"/>
      <c r="O11" s="565"/>
      <c r="P11" s="3043">
        <v>461.40999999999997</v>
      </c>
      <c r="Q11" s="3043">
        <f>Tabela14[[#This Row],[Dezembro2]]-Tabela14[[#This Row],[Janeiro]]</f>
        <v>200.5</v>
      </c>
      <c r="R11" s="609"/>
    </row>
    <row r="12" spans="1:18" x14ac:dyDescent="0.25">
      <c r="A12" s="329" t="s">
        <v>418</v>
      </c>
      <c r="B12" s="336">
        <f t="shared" si="0"/>
        <v>750.83409523809519</v>
      </c>
      <c r="C12" s="1042">
        <f>SUM(Tabela14[[#This Row],[Janeiro]:[Dezembro]])</f>
        <v>750.83409523809519</v>
      </c>
      <c r="D12" s="588">
        <f>'Janeiro-26'!D215</f>
        <v>750.83409523809519</v>
      </c>
      <c r="E12" s="587"/>
      <c r="F12" s="588"/>
      <c r="G12" s="588"/>
      <c r="H12" s="588"/>
      <c r="I12" s="588"/>
      <c r="J12" s="588"/>
      <c r="K12" s="588"/>
      <c r="L12" s="588"/>
      <c r="M12" s="565"/>
      <c r="N12" s="565"/>
      <c r="O12" s="565"/>
      <c r="P12" s="3043">
        <v>1566.7679047619047</v>
      </c>
      <c r="Q12" s="3043">
        <f>Tabela14[[#This Row],[Dezembro2]]-Tabela14[[#This Row],[Janeiro]]</f>
        <v>815.93380952380949</v>
      </c>
      <c r="R12" s="609"/>
    </row>
    <row r="13" spans="1:18" x14ac:dyDescent="0.25">
      <c r="A13" s="329" t="s">
        <v>6732</v>
      </c>
      <c r="B13" s="336">
        <f t="shared" si="0"/>
        <v>1026.47</v>
      </c>
      <c r="C13" s="1042">
        <f>SUM(Tabela14[[#This Row],[Janeiro]:[Dezembro]])</f>
        <v>1026.47</v>
      </c>
      <c r="D13" s="549">
        <f>'Janeiro-26'!D216</f>
        <v>1026.47</v>
      </c>
      <c r="E13" s="587"/>
      <c r="F13" s="588"/>
      <c r="G13" s="588"/>
      <c r="H13" s="588"/>
      <c r="I13" s="588"/>
      <c r="J13" s="588"/>
      <c r="K13" s="588"/>
      <c r="L13" s="588"/>
      <c r="M13" s="565"/>
      <c r="N13" s="565"/>
      <c r="O13" s="565"/>
      <c r="P13" s="3043">
        <v>983.98</v>
      </c>
      <c r="Q13" s="3043">
        <f>Tabela14[[#This Row],[Dezembro2]]-Tabela14[[#This Row],[Janeiro]]</f>
        <v>-42.490000000000009</v>
      </c>
      <c r="R13" s="609"/>
    </row>
    <row r="14" spans="1:18" x14ac:dyDescent="0.25">
      <c r="A14" s="329" t="s">
        <v>6733</v>
      </c>
      <c r="B14" s="336">
        <f t="shared" si="0"/>
        <v>962.00000000000011</v>
      </c>
      <c r="C14" s="1042">
        <f>SUM(Tabela14[[#This Row],[Janeiro]:[Dezembro]])</f>
        <v>962.00000000000011</v>
      </c>
      <c r="D14" s="588">
        <f>'Janeiro-26'!D217</f>
        <v>962.00000000000011</v>
      </c>
      <c r="E14" s="587"/>
      <c r="F14" s="588"/>
      <c r="G14" s="588"/>
      <c r="H14" s="588"/>
      <c r="I14" s="588"/>
      <c r="J14" s="588"/>
      <c r="K14" s="588"/>
      <c r="L14" s="588"/>
      <c r="M14" s="565"/>
      <c r="N14" s="565"/>
      <c r="O14" s="565"/>
      <c r="P14" s="3043">
        <v>1361.02</v>
      </c>
      <c r="Q14" s="3043">
        <f>Tabela14[[#This Row],[Dezembro2]]-Tabela14[[#This Row],[Janeiro]]</f>
        <v>399.01999999999987</v>
      </c>
      <c r="R14" s="609"/>
    </row>
    <row r="15" spans="1:18" x14ac:dyDescent="0.25">
      <c r="A15" s="329" t="s">
        <v>5439</v>
      </c>
      <c r="B15" s="336">
        <f t="shared" si="0"/>
        <v>829.85424999999998</v>
      </c>
      <c r="C15" s="1042">
        <f>SUM(Tabela14[[#This Row],[Janeiro]:[Dezembro]])</f>
        <v>829.85424999999998</v>
      </c>
      <c r="D15" s="549">
        <f>'Janeiro-26'!D218</f>
        <v>829.85424999999998</v>
      </c>
      <c r="E15" s="587"/>
      <c r="F15" s="588"/>
      <c r="G15" s="588"/>
      <c r="H15" s="588"/>
      <c r="I15" s="588"/>
      <c r="J15" s="588"/>
      <c r="K15" s="588"/>
      <c r="L15" s="588"/>
      <c r="M15" s="565"/>
      <c r="N15" s="565"/>
      <c r="O15" s="565"/>
      <c r="P15" s="3043">
        <v>782.50225</v>
      </c>
      <c r="Q15" s="3043">
        <f>Tabela14[[#This Row],[Dezembro2]]-Tabela14[[#This Row],[Janeiro]]</f>
        <v>-47.351999999999975</v>
      </c>
      <c r="R15" s="609"/>
    </row>
    <row r="16" spans="1:18" x14ac:dyDescent="0.25">
      <c r="A16" s="329" t="s">
        <v>1526</v>
      </c>
      <c r="B16" s="336">
        <f t="shared" si="0"/>
        <v>233.01000000000002</v>
      </c>
      <c r="C16" s="1042">
        <f>SUM(Tabela14[[#This Row],[Janeiro]:[Dezembro]])</f>
        <v>233.01000000000002</v>
      </c>
      <c r="D16" s="549">
        <f>'Janeiro-26'!D219</f>
        <v>233.01000000000002</v>
      </c>
      <c r="E16" s="587"/>
      <c r="F16" s="588"/>
      <c r="G16" s="588"/>
      <c r="H16" s="588"/>
      <c r="I16" s="588"/>
      <c r="J16" s="588"/>
      <c r="K16" s="588"/>
      <c r="L16" s="588"/>
      <c r="M16" s="565"/>
      <c r="N16" s="565"/>
      <c r="O16" s="565"/>
      <c r="P16" s="3043">
        <v>218.01</v>
      </c>
      <c r="Q16" s="3043">
        <f>Tabela14[[#This Row],[Dezembro2]]-Tabela14[[#This Row],[Janeiro]]</f>
        <v>-15.000000000000028</v>
      </c>
      <c r="R16" s="609"/>
    </row>
    <row r="17" spans="1:32" x14ac:dyDescent="0.25">
      <c r="A17" s="329" t="s">
        <v>2343</v>
      </c>
      <c r="B17" s="336">
        <f t="shared" si="0"/>
        <v>0</v>
      </c>
      <c r="C17" s="1042">
        <f>SUM(Tabela14[[#This Row],[Janeiro]:[Dezembro]])</f>
        <v>0</v>
      </c>
      <c r="D17" s="588">
        <f>'Janeiro-26'!D220</f>
        <v>0</v>
      </c>
      <c r="E17" s="587"/>
      <c r="F17" s="588"/>
      <c r="G17" s="588"/>
      <c r="H17" s="588"/>
      <c r="I17" s="588"/>
      <c r="J17" s="588"/>
      <c r="K17" s="588"/>
      <c r="L17" s="588"/>
      <c r="M17" s="565"/>
      <c r="N17" s="565"/>
      <c r="O17" s="565"/>
      <c r="P17" s="3043">
        <v>0</v>
      </c>
      <c r="Q17" s="3043">
        <f>Tabela14[[#This Row],[Dezembro2]]-Tabela14[[#This Row],[Janeiro]]</f>
        <v>0</v>
      </c>
      <c r="R17" s="609"/>
    </row>
    <row r="18" spans="1:32" x14ac:dyDescent="0.25">
      <c r="A18" s="329" t="s">
        <v>3019</v>
      </c>
      <c r="B18" s="336">
        <f t="shared" si="0"/>
        <v>1519.1</v>
      </c>
      <c r="C18" s="1042">
        <f>SUM(Tabela14[[#This Row],[Janeiro]:[Dezembro]])</f>
        <v>1519.1</v>
      </c>
      <c r="D18" s="549">
        <f>'Janeiro-26'!D221</f>
        <v>1519.1</v>
      </c>
      <c r="E18" s="587"/>
      <c r="F18" s="588"/>
      <c r="G18" s="588"/>
      <c r="H18" s="588"/>
      <c r="I18" s="588"/>
      <c r="J18" s="588"/>
      <c r="K18" s="588"/>
      <c r="L18" s="588"/>
      <c r="M18" s="565"/>
      <c r="N18" s="565"/>
      <c r="O18" s="565"/>
      <c r="P18" s="3043">
        <v>180</v>
      </c>
      <c r="Q18" s="3043">
        <f>Tabela14[[#This Row],[Dezembro2]]-Tabela14[[#This Row],[Janeiro]]</f>
        <v>-1339.1</v>
      </c>
      <c r="R18" s="609"/>
    </row>
    <row r="19" spans="1:32" x14ac:dyDescent="0.25">
      <c r="A19" s="329" t="s">
        <v>1527</v>
      </c>
      <c r="B19" s="336">
        <f t="shared" si="0"/>
        <v>723.43000000000006</v>
      </c>
      <c r="C19" s="1042">
        <f>SUM(Tabela14[[#This Row],[Janeiro]:[Dezembro]])</f>
        <v>723.43000000000006</v>
      </c>
      <c r="D19" s="549">
        <f>'Janeiro-26'!D222</f>
        <v>723.43000000000006</v>
      </c>
      <c r="E19" s="587"/>
      <c r="F19" s="588"/>
      <c r="G19" s="588"/>
      <c r="H19" s="588"/>
      <c r="I19" s="588"/>
      <c r="J19" s="588"/>
      <c r="K19" s="588"/>
      <c r="L19" s="588"/>
      <c r="M19" s="565"/>
      <c r="N19" s="565"/>
      <c r="O19" s="565"/>
      <c r="P19" s="3043">
        <v>703.86999999999978</v>
      </c>
      <c r="Q19" s="3043">
        <f>Tabela14[[#This Row],[Dezembro2]]-Tabela14[[#This Row],[Janeiro]]</f>
        <v>-19.560000000000286</v>
      </c>
      <c r="R19" s="609"/>
    </row>
    <row r="20" spans="1:32" ht="15.75" x14ac:dyDescent="0.25">
      <c r="A20" s="1041" t="s">
        <v>361</v>
      </c>
      <c r="B20" s="552">
        <f t="shared" ref="B20:N20" si="1">SUM(B3:B19)</f>
        <v>10226.821345238095</v>
      </c>
      <c r="C20" s="552">
        <f t="shared" si="1"/>
        <v>10226.821345238095</v>
      </c>
      <c r="D20" s="552">
        <f t="shared" si="1"/>
        <v>10226.821345238095</v>
      </c>
      <c r="E20" s="552">
        <f t="shared" si="1"/>
        <v>0</v>
      </c>
      <c r="F20" s="552">
        <f t="shared" si="1"/>
        <v>0</v>
      </c>
      <c r="G20" s="552">
        <f t="shared" si="1"/>
        <v>0</v>
      </c>
      <c r="H20" s="552">
        <f t="shared" si="1"/>
        <v>0</v>
      </c>
      <c r="I20" s="552">
        <f t="shared" si="1"/>
        <v>0</v>
      </c>
      <c r="J20" s="552">
        <f t="shared" si="1"/>
        <v>0</v>
      </c>
      <c r="K20" s="552">
        <f t="shared" si="1"/>
        <v>0</v>
      </c>
      <c r="L20" s="552">
        <f t="shared" si="1"/>
        <v>0</v>
      </c>
      <c r="M20" s="552">
        <f t="shared" si="1"/>
        <v>0</v>
      </c>
      <c r="N20" s="552">
        <f t="shared" si="1"/>
        <v>0</v>
      </c>
      <c r="O20" s="552">
        <f>SUM(O3:O19)</f>
        <v>0</v>
      </c>
      <c r="P20" s="3043"/>
      <c r="Q20" s="3043">
        <f>Tabela14[[#This Row],[Dezembro2]]-Tabela14[[#This Row],[Janeiro]]</f>
        <v>-10226.821345238095</v>
      </c>
    </row>
    <row r="21" spans="1:32" ht="15.75" x14ac:dyDescent="0.25">
      <c r="A21" s="389"/>
      <c r="B21" s="551"/>
      <c r="C21" s="552"/>
      <c r="D21" s="552"/>
      <c r="E21" s="552"/>
      <c r="F21" s="552"/>
      <c r="G21" s="552"/>
      <c r="H21" s="552"/>
      <c r="I21" s="552"/>
      <c r="J21" s="552"/>
      <c r="K21" s="552"/>
      <c r="L21" s="552"/>
      <c r="M21" s="552"/>
      <c r="N21" s="552"/>
      <c r="O21" s="552"/>
    </row>
    <row r="22" spans="1:32" x14ac:dyDescent="0.25">
      <c r="A22" s="2396" t="s">
        <v>6789</v>
      </c>
      <c r="B22" s="2409">
        <f>C22/1</f>
        <v>490.59999999999997</v>
      </c>
      <c r="C22" s="616">
        <f>SUM(D22:O22)</f>
        <v>490.59999999999997</v>
      </c>
      <c r="D22" s="2397">
        <f>'Janeiro-26'!D223</f>
        <v>490.59999999999997</v>
      </c>
      <c r="E22" s="2398"/>
      <c r="F22" s="2398"/>
      <c r="G22" s="2397"/>
      <c r="H22" s="2397"/>
      <c r="I22" s="2397"/>
      <c r="J22" s="2397"/>
      <c r="K22" s="2397"/>
      <c r="L22" s="2397"/>
      <c r="M22" s="2397"/>
      <c r="N22" s="2397"/>
      <c r="O22" s="2397"/>
    </row>
    <row r="23" spans="1:32" x14ac:dyDescent="0.25">
      <c r="A23" s="2396"/>
      <c r="B23"/>
      <c r="C23"/>
      <c r="D23"/>
      <c r="E23" s="2398"/>
      <c r="F23" s="2397"/>
      <c r="G23" s="2397"/>
      <c r="H23" s="2397"/>
      <c r="I23" s="2397"/>
      <c r="J23" s="2397"/>
      <c r="K23" s="2397"/>
      <c r="L23" s="2397"/>
      <c r="M23" s="2397"/>
      <c r="N23" s="2397"/>
      <c r="O23" s="2949" t="s">
        <v>8419</v>
      </c>
      <c r="P23" s="85" t="s">
        <v>5580</v>
      </c>
      <c r="Q23" s="2125" t="s">
        <v>8420</v>
      </c>
    </row>
    <row r="24" spans="1:32" x14ac:dyDescent="0.25">
      <c r="B24"/>
      <c r="C24"/>
      <c r="D24"/>
      <c r="E24"/>
      <c r="N24" s="329" t="s">
        <v>32</v>
      </c>
      <c r="O24" s="861" cm="1">
        <f t="array" ref="O24">MAX(IF($A$2:$A$19=N24, $D$2:$O$19))</f>
        <v>0</v>
      </c>
      <c r="P24" s="85" t="e" cm="1">
        <f t="array" ref="P24">INDEX(A2:A19, MATCH(MAX(IF(D2:M19,D2:M19)), IF(Tabela14[[#Headers],[Janeiro]:[Outubro]],D2:M19), 0))</f>
        <v>#VALUE!</v>
      </c>
      <c r="Q24" s="2722" cm="1">
        <f t="array" ref="Q24">MIN(IF($A$2:$A$19=N24,$D$2:$N$19))</f>
        <v>0</v>
      </c>
    </row>
    <row r="25" spans="1:32" x14ac:dyDescent="0.25">
      <c r="A25" s="333"/>
      <c r="B25"/>
      <c r="C25"/>
      <c r="D25"/>
      <c r="E25"/>
      <c r="N25" s="329" t="s">
        <v>2187</v>
      </c>
      <c r="O25" s="861" cm="1">
        <f t="array" ref="O25">MAX(IF($A$2:$A$19=N25, $D$2:$O$19))</f>
        <v>50</v>
      </c>
      <c r="P25" s="85" t="e" cm="1">
        <f t="array" ref="P25">INDEX(A3:A20, MATCH(MAX(IF(D3:M20,D3:M20)), IF(Tabela14[[#Headers],[Janeiro]:[Outubro]],D3:M20), 0))</f>
        <v>#N/A</v>
      </c>
      <c r="Q25" s="2722" cm="1">
        <f t="array" ref="Q25">MIN(IF($A$2:$A$19=N25,$D$2:$N$19))</f>
        <v>0</v>
      </c>
    </row>
    <row r="26" spans="1:32" x14ac:dyDescent="0.25">
      <c r="N26" s="329" t="s">
        <v>50</v>
      </c>
      <c r="O26" s="861" cm="1">
        <f t="array" ref="O26">MAX(IF($A$2:$A$19=N26, $D$2:$O$19))</f>
        <v>436.90999999999991</v>
      </c>
      <c r="P26" s="85" t="e" cm="1">
        <f t="array" ref="P26">INDEX(A4:A21, MATCH(MAX(IF(D4:M21,D4:M21)), IF(Tabela14[[#Headers],[Janeiro]:[Outubro]],D4:M21), 0))</f>
        <v>#N/A</v>
      </c>
      <c r="Q26" s="2722" cm="1">
        <f t="array" ref="Q26">MIN(IF($A$2:$A$19=N26,$D$2:$N$19))</f>
        <v>0</v>
      </c>
    </row>
    <row r="27" spans="1:32" x14ac:dyDescent="0.25">
      <c r="N27" s="329" t="s">
        <v>14</v>
      </c>
      <c r="O27" s="861" cm="1">
        <f t="array" ref="O27">MAX(IF($A$2:$A$19=N27, $D$2:$O$19))</f>
        <v>240.36</v>
      </c>
      <c r="P27" s="85" t="e" cm="1">
        <f t="array" ref="P27">INDEX(A5:A22, MATCH(MAX(IF(D5:M22,D5:M22)), IF(Tabela14[[#Headers],[Janeiro]:[Outubro]],D5:M22), 0))</f>
        <v>#N/A</v>
      </c>
      <c r="Q27" s="2722" cm="1">
        <f t="array" ref="Q27">MIN(IF($A$2:$A$19=N27,$D$2:$N$19))</f>
        <v>0</v>
      </c>
      <c r="V27" t="s">
        <v>6104</v>
      </c>
      <c r="W27" t="s">
        <v>6092</v>
      </c>
      <c r="X27" t="s">
        <v>6093</v>
      </c>
      <c r="Y27" t="s">
        <v>6094</v>
      </c>
      <c r="Z27" t="s">
        <v>6095</v>
      </c>
      <c r="AA27" t="s">
        <v>6096</v>
      </c>
      <c r="AB27" t="s">
        <v>6097</v>
      </c>
      <c r="AC27" t="s">
        <v>6098</v>
      </c>
      <c r="AD27" t="s">
        <v>6099</v>
      </c>
      <c r="AE27" t="s">
        <v>6100</v>
      </c>
      <c r="AF27" t="s">
        <v>6101</v>
      </c>
    </row>
    <row r="28" spans="1:32" x14ac:dyDescent="0.25">
      <c r="N28" s="329" t="s">
        <v>358</v>
      </c>
      <c r="O28" s="861" cm="1">
        <f t="array" ref="O28">MAX(IF($A$2:$A$19=N28, $D$2:$O$19))</f>
        <v>74.34</v>
      </c>
      <c r="P28" s="85" t="e" cm="1">
        <f t="array" ref="P28">INDEX(A6:A23, MATCH(MAX(IF(D6:M23,D6:M23)), IF(Tabela14[[#Headers],[Janeiro]:[Outubro]],D6:M23), 0))</f>
        <v>#N/A</v>
      </c>
      <c r="Q28" s="2722" cm="1">
        <f t="array" ref="Q28">MIN(IF($A$2:$A$19=N28,$D$2:$N$19))</f>
        <v>0</v>
      </c>
      <c r="V28" s="202" t="s">
        <v>2189</v>
      </c>
      <c r="W28" s="442">
        <v>170.3</v>
      </c>
      <c r="X28" s="442">
        <v>100</v>
      </c>
      <c r="Y28" s="442">
        <v>100</v>
      </c>
      <c r="Z28" s="442">
        <v>100</v>
      </c>
      <c r="AA28" s="442">
        <v>168.63</v>
      </c>
      <c r="AB28" s="442">
        <v>153.9</v>
      </c>
      <c r="AC28" s="442">
        <v>100</v>
      </c>
      <c r="AD28" s="442">
        <v>100</v>
      </c>
      <c r="AE28" s="442">
        <v>100</v>
      </c>
      <c r="AF28" s="442">
        <v>184.07999999999998</v>
      </c>
    </row>
    <row r="29" spans="1:32" x14ac:dyDescent="0.25">
      <c r="N29" s="329" t="s">
        <v>2189</v>
      </c>
      <c r="O29" s="861" cm="1">
        <f t="array" ref="O29">MAX(IF($A$2:$A$19=N29, $D$2:$O$19))</f>
        <v>100</v>
      </c>
      <c r="P29" s="85" t="e" cm="1">
        <f t="array" ref="P29">INDEX(A7:A24, MATCH(MAX(IF(D7:M24,D7:M24)), IF(Tabela14[[#Headers],[Janeiro]:[Outubro]],D7:M24), 0))</f>
        <v>#N/A</v>
      </c>
      <c r="Q29" s="2722" cm="1">
        <f t="array" ref="Q29">MIN(IF($A$2:$A$19=N29,$D$2:$N$19))</f>
        <v>0</v>
      </c>
      <c r="V29" s="202" t="s">
        <v>32</v>
      </c>
      <c r="W29" s="442">
        <v>441.5</v>
      </c>
      <c r="X29" s="442">
        <v>430</v>
      </c>
      <c r="Y29" s="442">
        <v>459.9</v>
      </c>
      <c r="Z29" s="442">
        <v>355</v>
      </c>
      <c r="AA29" s="442">
        <v>507.77000000000004</v>
      </c>
      <c r="AB29" s="442">
        <v>343</v>
      </c>
      <c r="AC29" s="442">
        <v>397.76</v>
      </c>
      <c r="AD29" s="442">
        <v>415.84</v>
      </c>
      <c r="AE29" s="442">
        <v>466</v>
      </c>
      <c r="AF29" s="442">
        <v>200</v>
      </c>
    </row>
    <row r="30" spans="1:32" x14ac:dyDescent="0.25">
      <c r="N30" s="329" t="s">
        <v>53</v>
      </c>
      <c r="O30" s="861" cm="1">
        <f t="array" ref="O30">MAX(IF($A$2:$A$19=N30, $D$2:$O$19))</f>
        <v>1899.7399999999998</v>
      </c>
      <c r="P30" s="85" t="e" cm="1">
        <f t="array" ref="P30">INDEX(A8:A25, MATCH(MAX(IF(D8:M25,D8:M25)), IF(Tabela14[[#Headers],[Janeiro]:[Outubro]],D8:M25), 0))</f>
        <v>#N/A</v>
      </c>
      <c r="Q30" s="2722" cm="1">
        <f t="array" ref="Q30">MIN(IF($A$2:$A$19=N30,$D$2:$N$19))</f>
        <v>0</v>
      </c>
      <c r="V30" s="202" t="s">
        <v>3048</v>
      </c>
      <c r="W30" s="442">
        <v>224</v>
      </c>
      <c r="X30" s="442">
        <v>564.01</v>
      </c>
      <c r="Y30" s="442">
        <v>116.81</v>
      </c>
      <c r="Z30" s="442">
        <v>44.6</v>
      </c>
      <c r="AA30" s="442">
        <v>49.7</v>
      </c>
      <c r="AB30" s="442">
        <v>82.92</v>
      </c>
      <c r="AC30" s="442">
        <v>103</v>
      </c>
      <c r="AD30" s="442">
        <v>76.739999999999995</v>
      </c>
      <c r="AE30" s="442">
        <v>112.88</v>
      </c>
      <c r="AF30" s="442">
        <v>27</v>
      </c>
    </row>
    <row r="31" spans="1:32" x14ac:dyDescent="0.25">
      <c r="N31" s="329" t="s">
        <v>3048</v>
      </c>
      <c r="O31" s="861" cm="1">
        <f t="array" ref="O31">MAX(IF($A$2:$A$19=N31, $D$2:$O$19))</f>
        <v>1119.8629999999998</v>
      </c>
      <c r="P31" s="85" t="e" cm="1">
        <f t="array" ref="P31">INDEX(A9:A26, MATCH(MAX(IF(D9:M26,D9:M26)), IF(Tabela14[[#Headers],[Janeiro]:[Outubro]],D9:M26), 0))</f>
        <v>#N/A</v>
      </c>
      <c r="Q31" s="2722" cm="1">
        <f t="array" ref="Q31">MIN(IF($A$2:$A$19=N31,$D$2:$N$19))</f>
        <v>0</v>
      </c>
      <c r="V31" s="202" t="s">
        <v>14</v>
      </c>
      <c r="W31" s="442">
        <v>190.69000000000003</v>
      </c>
      <c r="X31" s="442">
        <v>138.74</v>
      </c>
      <c r="Y31" s="442">
        <v>200.84</v>
      </c>
      <c r="Z31" s="442">
        <v>179.32999999999998</v>
      </c>
      <c r="AA31" s="442">
        <v>168.95000000000002</v>
      </c>
      <c r="AB31" s="442">
        <v>269.43</v>
      </c>
      <c r="AC31" s="442">
        <v>228.62</v>
      </c>
      <c r="AD31" s="442">
        <v>199.02199999999999</v>
      </c>
      <c r="AE31" s="442">
        <v>232.17</v>
      </c>
      <c r="AF31" s="442">
        <v>104.18</v>
      </c>
    </row>
    <row r="32" spans="1:32" x14ac:dyDescent="0.25">
      <c r="N32" s="329" t="s">
        <v>1686</v>
      </c>
      <c r="O32" s="861" cm="1">
        <f t="array" ref="O32">MAX(IF($A$2:$A$19=N32, $D$2:$O$19))</f>
        <v>260.90999999999997</v>
      </c>
      <c r="P32" s="85" t="e" cm="1">
        <f t="array" ref="P32">INDEX(A10:A27, MATCH(MAX(IF(D10:M27,D10:M27)), IF(Tabela14[[#Headers],[Janeiro]:[Outubro]],D10:M27), 0))</f>
        <v>#N/A</v>
      </c>
      <c r="Q32" s="2722" cm="1">
        <f t="array" ref="Q32">MIN(IF($A$2:$A$19=N32,$D$2:$N$19))</f>
        <v>0</v>
      </c>
      <c r="V32" s="202" t="s">
        <v>418</v>
      </c>
      <c r="W32" s="442">
        <v>3005.6200000000003</v>
      </c>
      <c r="X32" s="442">
        <v>1578</v>
      </c>
      <c r="Y32" s="442">
        <v>10872.16</v>
      </c>
      <c r="Z32" s="442">
        <v>12751.572499999997</v>
      </c>
      <c r="AA32" s="442">
        <v>5513.3285000000005</v>
      </c>
      <c r="AB32" s="442">
        <v>6900.4806428571428</v>
      </c>
      <c r="AC32" s="442">
        <v>7509.5120714285722</v>
      </c>
      <c r="AD32" s="442">
        <v>2302.7462380952379</v>
      </c>
      <c r="AE32" s="442">
        <v>1700.416238095238</v>
      </c>
      <c r="AF32" s="442">
        <v>0</v>
      </c>
    </row>
    <row r="33" spans="1:32" x14ac:dyDescent="0.25">
      <c r="N33" s="329" t="s">
        <v>418</v>
      </c>
      <c r="O33" s="861" cm="1">
        <f t="array" ref="O33">MAX(IF($A$2:$A$19=N33, $D$2:$O$19))</f>
        <v>750.83409523809519</v>
      </c>
      <c r="P33" s="85" t="e" cm="1">
        <f t="array" ref="P33">INDEX(A11:A28, MATCH(MAX(IF(D11:M28,D11:M28)), IF(Tabela14[[#Headers],[Janeiro]:[Outubro]],D11:M28), 0))</f>
        <v>#N/A</v>
      </c>
      <c r="Q33" s="2722" cm="1">
        <f t="array" ref="Q33">MIN(IF($A$2:$A$19=N33,$D$2:$N$19))</f>
        <v>0</v>
      </c>
      <c r="V33" s="202" t="s">
        <v>358</v>
      </c>
      <c r="W33" s="442">
        <v>255.32</v>
      </c>
      <c r="X33" s="442">
        <v>156.91</v>
      </c>
      <c r="Y33" s="442">
        <v>168.53</v>
      </c>
      <c r="Z33" s="442">
        <v>159.08000000000001</v>
      </c>
      <c r="AA33" s="442">
        <v>96.31</v>
      </c>
      <c r="AB33" s="442">
        <v>125.73</v>
      </c>
      <c r="AC33" s="442">
        <v>120</v>
      </c>
      <c r="AD33" s="442">
        <v>133.29</v>
      </c>
      <c r="AE33" s="442">
        <v>157.27000000000001</v>
      </c>
      <c r="AF33" s="442">
        <v>285.56</v>
      </c>
    </row>
    <row r="34" spans="1:32" x14ac:dyDescent="0.25">
      <c r="N34" s="329" t="s">
        <v>6732</v>
      </c>
      <c r="O34" s="861" cm="1">
        <f t="array" ref="O34">MAX(IF($A$2:$A$19=N34, $D$2:$O$19))</f>
        <v>1026.47</v>
      </c>
      <c r="P34" s="85" t="e" cm="1">
        <f t="array" ref="P34">INDEX(A12:A29, MATCH(MAX(IF(D12:M29,D12:M29)), IF(Tabela14[[#Headers],[Janeiro]:[Outubro]],D12:M29), 0))</f>
        <v>#N/A</v>
      </c>
      <c r="Q34" s="2722" cm="1">
        <f t="array" ref="Q34">MIN(IF($A$2:$A$19=N34,$D$2:$N$19))</f>
        <v>0</v>
      </c>
      <c r="V34" s="202" t="s">
        <v>53</v>
      </c>
      <c r="W34" s="442">
        <v>1675.66</v>
      </c>
      <c r="X34" s="442">
        <v>26.5</v>
      </c>
      <c r="Y34" s="442">
        <v>0</v>
      </c>
      <c r="Z34" s="442">
        <v>0</v>
      </c>
      <c r="AA34" s="442">
        <v>200.5</v>
      </c>
      <c r="AB34" s="442">
        <v>266.66666666666669</v>
      </c>
      <c r="AC34" s="442">
        <v>266.66666666666669</v>
      </c>
      <c r="AD34" s="442">
        <v>266.66666666666669</v>
      </c>
      <c r="AE34" s="442">
        <v>692</v>
      </c>
      <c r="AF34" s="442">
        <v>0</v>
      </c>
    </row>
    <row r="35" spans="1:32" x14ac:dyDescent="0.25">
      <c r="N35" s="329" t="s">
        <v>6733</v>
      </c>
      <c r="O35" s="861" cm="1">
        <f t="array" ref="O35">MAX(IF($A$2:$A$19=N35, $D$2:$O$19))</f>
        <v>962.00000000000011</v>
      </c>
      <c r="P35" s="85" t="e" cm="1">
        <f t="array" ref="P35">INDEX(A13:A30, MATCH(MAX(IF(D13:M30,D13:M30)), IF(Tabela14[[#Headers],[Janeiro]:[Outubro]],D13:M30), 0))</f>
        <v>#N/A</v>
      </c>
      <c r="Q35" s="2722" cm="1">
        <f t="array" ref="Q35">MIN(IF($A$2:$A$19=N35,$D$2:$N$19))</f>
        <v>0</v>
      </c>
      <c r="V35" s="202" t="s">
        <v>2343</v>
      </c>
      <c r="W35" s="442">
        <v>0</v>
      </c>
      <c r="X35" s="442">
        <v>0</v>
      </c>
      <c r="Y35" s="442">
        <v>0</v>
      </c>
      <c r="Z35" s="442">
        <v>0</v>
      </c>
      <c r="AA35" s="442">
        <v>0</v>
      </c>
      <c r="AB35" s="442">
        <v>0</v>
      </c>
      <c r="AC35" s="442">
        <v>0</v>
      </c>
      <c r="AD35" s="442">
        <v>0</v>
      </c>
      <c r="AE35" s="442">
        <v>0</v>
      </c>
      <c r="AF35" s="442">
        <v>0</v>
      </c>
    </row>
    <row r="36" spans="1:32" x14ac:dyDescent="0.25">
      <c r="N36" s="329" t="s">
        <v>5439</v>
      </c>
      <c r="O36" s="861" cm="1">
        <f t="array" ref="O36">MAX(IF($A$2:$A$19=N36, $D$2:$O$19))</f>
        <v>829.85424999999998</v>
      </c>
      <c r="P36" s="85" t="e" cm="1">
        <f t="array" ref="P36">INDEX(A14:A31, MATCH(MAX(IF(D14:M31,D14:M31)), IF(Tabela14[[#Headers],[Janeiro]:[Outubro]],D14:M31), 0))</f>
        <v>#N/A</v>
      </c>
      <c r="Q36" s="2722" cm="1">
        <f t="array" ref="Q36">MIN(IF($A$2:$A$19=N36,$D$2:$N$19))</f>
        <v>0</v>
      </c>
      <c r="V36" s="202" t="s">
        <v>5439</v>
      </c>
      <c r="W36" s="442">
        <v>715.56000000000006</v>
      </c>
      <c r="X36" s="442">
        <v>460.95</v>
      </c>
      <c r="Y36" s="442">
        <v>162</v>
      </c>
      <c r="Z36" s="442">
        <v>155.85</v>
      </c>
      <c r="AA36" s="442">
        <v>236.5</v>
      </c>
      <c r="AB36" s="442">
        <v>45</v>
      </c>
      <c r="AC36" s="442">
        <v>622.36483333333331</v>
      </c>
      <c r="AD36" s="442">
        <v>401.02483333333333</v>
      </c>
      <c r="AE36" s="442">
        <v>483.2448333333333</v>
      </c>
      <c r="AF36" s="442">
        <v>296.63625000000002</v>
      </c>
    </row>
    <row r="37" spans="1:32" x14ac:dyDescent="0.25">
      <c r="N37" s="329" t="s">
        <v>1526</v>
      </c>
      <c r="O37" s="861" cm="1">
        <f t="array" ref="O37">MAX(IF($A$2:$A$19=N37, $D$2:$O$19))</f>
        <v>233.01000000000002</v>
      </c>
      <c r="P37" s="85" t="e" cm="1">
        <f t="array" ref="P37">INDEX(A15:A32, MATCH(MAX(IF(D15:M32,D15:M32)), IF(Tabela14[[#Headers],[Janeiro]:[Outubro]],D15:M32), 0))</f>
        <v>#N/A</v>
      </c>
      <c r="Q37" s="2722" cm="1">
        <f t="array" ref="Q37">MIN(IF($A$2:$A$19=N37,$D$2:$N$19))</f>
        <v>0</v>
      </c>
      <c r="V37" s="202" t="s">
        <v>6732</v>
      </c>
      <c r="W37" s="442">
        <v>1196.9000000000001</v>
      </c>
      <c r="X37" s="442">
        <v>1060.98</v>
      </c>
      <c r="Y37" s="442">
        <v>983.98</v>
      </c>
      <c r="Z37" s="442">
        <v>963.88</v>
      </c>
      <c r="AA37" s="442">
        <v>933.98</v>
      </c>
      <c r="AB37" s="442">
        <v>933.98</v>
      </c>
      <c r="AC37" s="442">
        <v>963.98</v>
      </c>
      <c r="AD37" s="442">
        <v>937.48</v>
      </c>
      <c r="AE37" s="442">
        <v>1025.1133333333332</v>
      </c>
      <c r="AF37" s="442">
        <v>705.11333333333334</v>
      </c>
    </row>
    <row r="38" spans="1:32" x14ac:dyDescent="0.25">
      <c r="N38" s="329" t="s">
        <v>2343</v>
      </c>
      <c r="O38" s="861" cm="1">
        <f t="array" ref="O38">MAX(IF($A$2:$A$19=N38, $D$2:$O$19))</f>
        <v>0</v>
      </c>
      <c r="P38" s="85" t="e" cm="1">
        <f t="array" ref="P38">INDEX(A16:A33, MATCH(MAX(IF(D16:M33,D16:M33)), IF(Tabela14[[#Headers],[Janeiro]:[Outubro]],D16:M33), 0))</f>
        <v>#N/A</v>
      </c>
      <c r="Q38" s="2722" cm="1">
        <f t="array" ref="Q38">MIN(IF($A$2:$A$19=N38,$D$2:$N$19))</f>
        <v>0</v>
      </c>
      <c r="V38" s="202" t="s">
        <v>6733</v>
      </c>
      <c r="W38" s="442">
        <v>213.96</v>
      </c>
      <c r="X38" s="442">
        <v>131.46</v>
      </c>
      <c r="Y38" s="442">
        <v>258.57</v>
      </c>
      <c r="Z38" s="442">
        <v>852.07999999999993</v>
      </c>
      <c r="AA38" s="442">
        <v>196.76333333333332</v>
      </c>
      <c r="AB38" s="442">
        <v>408.3966666666667</v>
      </c>
      <c r="AC38" s="442">
        <v>477.7766666666667</v>
      </c>
      <c r="AD38" s="442">
        <v>356.755</v>
      </c>
      <c r="AE38" s="442">
        <v>783.93</v>
      </c>
      <c r="AF38" s="442">
        <v>652.59</v>
      </c>
    </row>
    <row r="39" spans="1:32" x14ac:dyDescent="0.25">
      <c r="N39" s="329" t="s">
        <v>3019</v>
      </c>
      <c r="O39" s="861" cm="1">
        <f t="array" ref="O39">MAX(IF($A$2:$A$19=N39, $D$2:$O$19))</f>
        <v>1519.1</v>
      </c>
      <c r="P39" s="85" t="e" cm="1">
        <f t="array" ref="P39">INDEX(A17:A34, MATCH(MAX(IF(D17:M34,D17:M34)), IF(Tabela14[[#Headers],[Janeiro]:[Outubro]],D17:M34), 0))</f>
        <v>#N/A</v>
      </c>
      <c r="Q39" s="2722" cm="1">
        <f t="array" ref="Q39">MIN(IF($A$2:$A$19=N39,$D$2:$N$19))</f>
        <v>0</v>
      </c>
      <c r="V39" s="202" t="s">
        <v>2187</v>
      </c>
      <c r="W39" s="442">
        <v>30</v>
      </c>
      <c r="X39" s="442">
        <v>0</v>
      </c>
      <c r="Y39" s="442">
        <v>0</v>
      </c>
      <c r="Z39" s="442">
        <v>0</v>
      </c>
      <c r="AA39" s="442">
        <v>0</v>
      </c>
      <c r="AB39" s="442">
        <v>0</v>
      </c>
      <c r="AC39" s="442">
        <v>0</v>
      </c>
      <c r="AD39" s="442">
        <v>50</v>
      </c>
      <c r="AE39" s="442">
        <v>0</v>
      </c>
      <c r="AF39" s="442">
        <v>0</v>
      </c>
    </row>
    <row r="40" spans="1:32" x14ac:dyDescent="0.25">
      <c r="N40" s="329" t="s">
        <v>1527</v>
      </c>
      <c r="O40" s="861" cm="1">
        <f t="array" ref="O40">MAX(IF($A$2:$A$19=N40, $D$2:$O$19))</f>
        <v>723.43000000000006</v>
      </c>
      <c r="P40" s="85" t="e" cm="1">
        <f t="array" ref="P40">INDEX(A18:A35, MATCH(MAX(IF(D18:M35,D18:M35)), IF(Tabela14[[#Headers],[Janeiro]:[Outubro]],D18:M35), 0))</f>
        <v>#N/A</v>
      </c>
      <c r="Q40" s="2722" cm="1">
        <f t="array" ref="Q40">MIN(IF($A$2:$A$19=N40,$D$2:$N$19))</f>
        <v>0</v>
      </c>
      <c r="V40" s="202" t="s">
        <v>3019</v>
      </c>
      <c r="W40" s="442">
        <v>0</v>
      </c>
      <c r="X40" s="442">
        <v>0</v>
      </c>
      <c r="Y40" s="442">
        <v>0</v>
      </c>
      <c r="Z40" s="442">
        <v>0</v>
      </c>
      <c r="AA40" s="442">
        <v>0</v>
      </c>
      <c r="AB40" s="442">
        <v>0</v>
      </c>
      <c r="AC40" s="442">
        <v>0</v>
      </c>
      <c r="AD40" s="442">
        <v>0</v>
      </c>
      <c r="AE40" s="442">
        <v>0</v>
      </c>
      <c r="AF40" s="442">
        <v>0</v>
      </c>
    </row>
    <row r="41" spans="1:32" x14ac:dyDescent="0.25">
      <c r="V41" s="202" t="s">
        <v>1526</v>
      </c>
      <c r="W41" s="442">
        <v>160.80666666666667</v>
      </c>
      <c r="X41" s="442">
        <v>161.80666666666667</v>
      </c>
      <c r="Y41" s="442">
        <v>242.79666666666668</v>
      </c>
      <c r="Z41" s="442">
        <v>162.79666666666668</v>
      </c>
      <c r="AA41" s="442">
        <v>167.80666666666667</v>
      </c>
      <c r="AB41" s="442">
        <v>223.69666666666666</v>
      </c>
      <c r="AC41" s="442">
        <v>143.69666666666666</v>
      </c>
      <c r="AD41" s="442">
        <v>301.39</v>
      </c>
      <c r="AE41" s="442">
        <v>238.10999999999999</v>
      </c>
      <c r="AF41" s="442">
        <v>73.89</v>
      </c>
    </row>
    <row r="42" spans="1:32" x14ac:dyDescent="0.25">
      <c r="V42" s="202" t="s">
        <v>50</v>
      </c>
      <c r="W42" s="442">
        <v>221.35</v>
      </c>
      <c r="X42" s="442">
        <v>262.78000000000003</v>
      </c>
      <c r="Y42" s="442">
        <v>271</v>
      </c>
      <c r="Z42" s="442">
        <v>249.49</v>
      </c>
      <c r="AA42" s="442">
        <v>352.01</v>
      </c>
      <c r="AB42" s="442">
        <v>392.88000000000005</v>
      </c>
      <c r="AC42" s="442">
        <v>386.31</v>
      </c>
      <c r="AD42" s="442">
        <v>489.71999999999997</v>
      </c>
      <c r="AE42" s="442">
        <v>222.62999999999997</v>
      </c>
      <c r="AF42" s="442">
        <v>121.4</v>
      </c>
    </row>
    <row r="43" spans="1:32" x14ac:dyDescent="0.25">
      <c r="V43" s="202" t="s">
        <v>1527</v>
      </c>
      <c r="W43" s="442">
        <v>426.22</v>
      </c>
      <c r="X43" s="442">
        <v>502</v>
      </c>
      <c r="Y43" s="442">
        <v>650.20000000000005</v>
      </c>
      <c r="Z43" s="442">
        <v>404.30999999999995</v>
      </c>
      <c r="AA43" s="442">
        <v>1794.3649999999998</v>
      </c>
      <c r="AB43" s="442">
        <v>2985.9049999999997</v>
      </c>
      <c r="AC43" s="442">
        <v>304.51</v>
      </c>
      <c r="AD43" s="442">
        <v>556.94333333333338</v>
      </c>
      <c r="AE43" s="442">
        <v>662.96333333333337</v>
      </c>
      <c r="AF43" s="442">
        <v>278.44333333333333</v>
      </c>
    </row>
    <row r="44" spans="1:32" x14ac:dyDescent="0.25">
      <c r="V44" s="202" t="s">
        <v>1686</v>
      </c>
      <c r="W44" s="442">
        <v>420</v>
      </c>
      <c r="X44" s="442">
        <v>887.29</v>
      </c>
      <c r="Y44" s="442">
        <v>304</v>
      </c>
      <c r="Z44" s="442">
        <v>344</v>
      </c>
      <c r="AA44" s="442">
        <v>372.9</v>
      </c>
      <c r="AB44" s="442">
        <v>151</v>
      </c>
      <c r="AC44" s="442">
        <v>195.32666666666665</v>
      </c>
      <c r="AD44" s="442">
        <v>179.32666666666665</v>
      </c>
      <c r="AE44" s="442">
        <v>223.44666666666666</v>
      </c>
      <c r="AF44" s="442">
        <v>195</v>
      </c>
    </row>
    <row r="45" spans="1:32" x14ac:dyDescent="0.25">
      <c r="A45"/>
      <c r="B45"/>
      <c r="C45"/>
      <c r="D45"/>
      <c r="E45"/>
      <c r="F45"/>
      <c r="G45"/>
      <c r="H45"/>
      <c r="I45"/>
      <c r="J45"/>
      <c r="V45" s="202" t="s">
        <v>6105</v>
      </c>
      <c r="W45" s="442">
        <v>9347.8866666666672</v>
      </c>
      <c r="X45" s="442">
        <v>6461.4266666666663</v>
      </c>
      <c r="Y45" s="442">
        <v>14790.786666666667</v>
      </c>
      <c r="Z45" s="442">
        <v>16721.989166666663</v>
      </c>
      <c r="AA45" s="442">
        <v>10759.513500000001</v>
      </c>
      <c r="AB45" s="442">
        <v>13282.985642857144</v>
      </c>
      <c r="AC45" s="442">
        <v>11819.52357142857</v>
      </c>
      <c r="AD45" s="442">
        <v>6766.9447380952388</v>
      </c>
      <c r="AE45" s="442">
        <v>7100.174404761904</v>
      </c>
      <c r="AF45" s="442">
        <v>3123.8929166666667</v>
      </c>
    </row>
    <row r="46" spans="1:32" x14ac:dyDescent="0.25">
      <c r="F46" s="79"/>
    </row>
    <row r="47" spans="1:32" x14ac:dyDescent="0.25">
      <c r="F47" s="79"/>
    </row>
    <row r="48" spans="1:32" x14ac:dyDescent="0.25">
      <c r="B48" s="3016" t="s">
        <v>7481</v>
      </c>
      <c r="F48" s="79"/>
    </row>
    <row r="49" spans="1:16" s="200" customFormat="1" ht="18" customHeight="1" x14ac:dyDescent="0.3">
      <c r="A49" s="198" t="s">
        <v>362</v>
      </c>
      <c r="B49" s="3017">
        <v>6300</v>
      </c>
      <c r="F49" s="196"/>
      <c r="G49" s="196"/>
      <c r="H49" s="196"/>
      <c r="I49" s="196"/>
      <c r="J49" s="196"/>
      <c r="K49" s="196"/>
      <c r="L49" s="196"/>
      <c r="M49" s="196"/>
    </row>
    <row r="50" spans="1:16" s="200" customFormat="1" ht="17.25" customHeight="1" x14ac:dyDescent="0.3">
      <c r="A50" s="198"/>
      <c r="I50" s="196"/>
      <c r="J50" s="196"/>
      <c r="K50" s="196"/>
      <c r="L50" s="196"/>
      <c r="M50" s="196"/>
      <c r="N50" s="196"/>
    </row>
    <row r="51" spans="1:16" ht="15.75" x14ac:dyDescent="0.25">
      <c r="A51" s="197" t="s">
        <v>5452</v>
      </c>
      <c r="B51" s="278" t="s">
        <v>5444</v>
      </c>
      <c r="C51" s="278" t="s">
        <v>345</v>
      </c>
      <c r="D51" s="195" t="s">
        <v>346</v>
      </c>
      <c r="E51" s="195" t="s">
        <v>347</v>
      </c>
      <c r="F51" s="195" t="s">
        <v>348</v>
      </c>
      <c r="G51" s="195" t="s">
        <v>349</v>
      </c>
      <c r="H51" s="195" t="s">
        <v>364</v>
      </c>
      <c r="I51" s="195" t="s">
        <v>351</v>
      </c>
      <c r="J51" s="195" t="s">
        <v>352</v>
      </c>
      <c r="K51" s="195" t="s">
        <v>353</v>
      </c>
      <c r="L51" s="195" t="s">
        <v>354</v>
      </c>
      <c r="M51" s="195" t="s">
        <v>355</v>
      </c>
      <c r="N51" s="195" t="s">
        <v>365</v>
      </c>
      <c r="O51" s="195" t="s">
        <v>357</v>
      </c>
      <c r="P51" s="193"/>
    </row>
    <row r="52" spans="1:16" x14ac:dyDescent="0.25">
      <c r="A52" s="79" t="s">
        <v>366</v>
      </c>
      <c r="B52" s="633">
        <f>C52/12</f>
        <v>0</v>
      </c>
      <c r="C52" s="633">
        <f>SUM(D52:O52)</f>
        <v>0</v>
      </c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629"/>
    </row>
    <row r="53" spans="1:16" x14ac:dyDescent="0.25">
      <c r="A53" s="79" t="s">
        <v>367</v>
      </c>
      <c r="B53" s="633">
        <f t="shared" ref="B53:B62" si="2">C53/12</f>
        <v>0</v>
      </c>
      <c r="C53" s="633">
        <f t="shared" ref="C53:C62" si="3">SUM(D53:O53)</f>
        <v>0</v>
      </c>
      <c r="D53" s="1112"/>
      <c r="E53" s="1003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216"/>
    </row>
    <row r="54" spans="1:16" x14ac:dyDescent="0.25">
      <c r="A54" s="79" t="s">
        <v>2506</v>
      </c>
      <c r="B54" s="633">
        <f t="shared" si="2"/>
        <v>0</v>
      </c>
      <c r="C54" s="633">
        <f t="shared" si="3"/>
        <v>0</v>
      </c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216"/>
    </row>
    <row r="55" spans="1:16" x14ac:dyDescent="0.25">
      <c r="A55" s="79" t="s">
        <v>6772</v>
      </c>
      <c r="B55" s="633">
        <f t="shared" si="2"/>
        <v>0</v>
      </c>
      <c r="C55" s="633">
        <f t="shared" si="3"/>
        <v>0</v>
      </c>
      <c r="D55" s="1112"/>
      <c r="E55" s="1112"/>
      <c r="F55" s="1112"/>
      <c r="G55" s="1112"/>
      <c r="H55" s="1112"/>
      <c r="I55" s="1112"/>
      <c r="J55" s="1112"/>
      <c r="K55" s="1112"/>
      <c r="L55" s="1112"/>
      <c r="M55" s="1112"/>
      <c r="N55" s="1112"/>
      <c r="O55" s="1112"/>
      <c r="P55" s="216"/>
    </row>
    <row r="56" spans="1:16" x14ac:dyDescent="0.25">
      <c r="A56" s="79" t="s">
        <v>368</v>
      </c>
      <c r="B56" s="633">
        <f t="shared" si="2"/>
        <v>0</v>
      </c>
      <c r="C56" s="633">
        <f t="shared" si="3"/>
        <v>0</v>
      </c>
      <c r="D56" s="1112"/>
      <c r="E56" s="1112"/>
      <c r="F56" s="1112"/>
      <c r="G56" s="1112"/>
      <c r="H56" s="1112"/>
      <c r="I56" s="1112"/>
      <c r="J56" s="1112"/>
      <c r="K56" s="1112"/>
      <c r="L56" s="1112"/>
      <c r="M56" s="1113"/>
      <c r="N56" s="1113"/>
      <c r="O56" s="1113"/>
      <c r="P56" s="216"/>
    </row>
    <row r="57" spans="1:16" x14ac:dyDescent="0.25">
      <c r="A57" s="79" t="s">
        <v>369</v>
      </c>
      <c r="B57" s="633">
        <f t="shared" si="2"/>
        <v>0</v>
      </c>
      <c r="C57" s="633">
        <f t="shared" si="3"/>
        <v>0</v>
      </c>
      <c r="D57" s="1112"/>
      <c r="E57" s="1112"/>
      <c r="F57" s="1112"/>
      <c r="G57" s="1112"/>
      <c r="H57" s="1112"/>
      <c r="I57" s="1112"/>
      <c r="J57" s="1112"/>
      <c r="K57" s="1112"/>
      <c r="L57" s="1112"/>
      <c r="M57" s="1113"/>
      <c r="N57" s="1038"/>
      <c r="O57" s="1113"/>
      <c r="P57" s="216"/>
    </row>
    <row r="58" spans="1:16" x14ac:dyDescent="0.25">
      <c r="A58" s="79" t="s">
        <v>6329</v>
      </c>
      <c r="B58" s="633">
        <f t="shared" si="2"/>
        <v>41.666666666666664</v>
      </c>
      <c r="C58" s="633">
        <f t="shared" si="3"/>
        <v>500</v>
      </c>
      <c r="D58" s="1112">
        <f>'Janeiro-26'!D224</f>
        <v>500</v>
      </c>
      <c r="E58" s="1112"/>
      <c r="F58" s="1112"/>
      <c r="G58" s="1112"/>
      <c r="H58" s="1112"/>
      <c r="I58" s="1112"/>
      <c r="J58" s="1112"/>
      <c r="K58" s="1112"/>
      <c r="L58" s="1112"/>
      <c r="M58" s="1113"/>
      <c r="N58" s="1038"/>
      <c r="O58" s="1113"/>
      <c r="P58" s="216"/>
    </row>
    <row r="59" spans="1:16" x14ac:dyDescent="0.25">
      <c r="A59" s="79" t="s">
        <v>5436</v>
      </c>
      <c r="B59" s="633">
        <f t="shared" si="2"/>
        <v>0</v>
      </c>
      <c r="C59" s="633">
        <f t="shared" si="3"/>
        <v>0</v>
      </c>
      <c r="D59" s="1112"/>
      <c r="E59" s="1112"/>
      <c r="F59" s="1112"/>
      <c r="G59" s="1112"/>
      <c r="H59" s="1112"/>
      <c r="I59" s="1112"/>
      <c r="J59" s="1112"/>
      <c r="K59" s="1112"/>
      <c r="L59" s="1112"/>
      <c r="M59" s="1113"/>
      <c r="N59" s="1038"/>
      <c r="O59" s="1113"/>
      <c r="P59" s="216"/>
    </row>
    <row r="60" spans="1:16" x14ac:dyDescent="0.25">
      <c r="A60" s="79" t="s">
        <v>6219</v>
      </c>
      <c r="B60" s="633">
        <f t="shared" si="2"/>
        <v>0</v>
      </c>
      <c r="C60" s="633">
        <f t="shared" si="3"/>
        <v>0</v>
      </c>
      <c r="D60" s="1112"/>
      <c r="E60" s="1112"/>
      <c r="F60" s="1112"/>
      <c r="G60" s="1112"/>
      <c r="H60" s="1112"/>
      <c r="I60" s="1112"/>
      <c r="J60" s="1112"/>
      <c r="K60" s="1112"/>
      <c r="L60" s="1112"/>
      <c r="M60" s="1113"/>
      <c r="N60" s="1038"/>
      <c r="O60" s="1113"/>
      <c r="P60" s="216"/>
    </row>
    <row r="61" spans="1:16" x14ac:dyDescent="0.25">
      <c r="A61" s="79" t="s">
        <v>8705</v>
      </c>
      <c r="B61" s="633">
        <f t="shared" si="2"/>
        <v>0</v>
      </c>
      <c r="C61" s="633">
        <f t="shared" si="3"/>
        <v>0</v>
      </c>
      <c r="D61" s="1112"/>
      <c r="E61" s="1112"/>
      <c r="F61" s="1112"/>
      <c r="G61" s="1112"/>
      <c r="H61" s="1112"/>
      <c r="I61" s="1112"/>
      <c r="J61" s="1112"/>
      <c r="K61" s="1112"/>
      <c r="L61" s="1112"/>
      <c r="M61" s="1113"/>
      <c r="N61" s="1038"/>
      <c r="O61" s="1113"/>
      <c r="P61" s="216"/>
    </row>
    <row r="62" spans="1:16" x14ac:dyDescent="0.25">
      <c r="A62" s="79" t="s">
        <v>5447</v>
      </c>
      <c r="B62" s="633">
        <f t="shared" si="2"/>
        <v>0</v>
      </c>
      <c r="C62" s="633">
        <f t="shared" si="3"/>
        <v>0</v>
      </c>
      <c r="D62" s="1112"/>
      <c r="E62" s="1112"/>
      <c r="F62" s="1112"/>
      <c r="G62" s="1112"/>
      <c r="H62" s="1112"/>
      <c r="I62" s="1112"/>
      <c r="J62" s="1112"/>
      <c r="K62" s="1112"/>
      <c r="L62" s="1112"/>
      <c r="M62" s="1113"/>
      <c r="N62" s="1038"/>
      <c r="O62" s="1113"/>
      <c r="P62" s="216"/>
    </row>
    <row r="63" spans="1:16" ht="15.75" x14ac:dyDescent="0.25">
      <c r="A63" s="280" t="s">
        <v>361</v>
      </c>
      <c r="B63" s="206">
        <f t="shared" ref="B63:O63" si="4">SUM(B52:B62)</f>
        <v>41.666666666666664</v>
      </c>
      <c r="C63" s="206">
        <f t="shared" si="4"/>
        <v>500</v>
      </c>
      <c r="D63" s="206">
        <f t="shared" si="4"/>
        <v>500</v>
      </c>
      <c r="E63" s="206">
        <f t="shared" si="4"/>
        <v>0</v>
      </c>
      <c r="F63" s="206">
        <f t="shared" si="4"/>
        <v>0</v>
      </c>
      <c r="G63" s="206">
        <f t="shared" si="4"/>
        <v>0</v>
      </c>
      <c r="H63" s="206">
        <f t="shared" si="4"/>
        <v>0</v>
      </c>
      <c r="I63" s="206">
        <f t="shared" si="4"/>
        <v>0</v>
      </c>
      <c r="J63" s="206">
        <f t="shared" si="4"/>
        <v>0</v>
      </c>
      <c r="K63" s="206">
        <f t="shared" si="4"/>
        <v>0</v>
      </c>
      <c r="L63" s="206">
        <f t="shared" si="4"/>
        <v>0</v>
      </c>
      <c r="M63" s="206">
        <f t="shared" si="4"/>
        <v>0</v>
      </c>
      <c r="N63" s="206">
        <f t="shared" si="4"/>
        <v>0</v>
      </c>
      <c r="O63" s="206">
        <f t="shared" si="4"/>
        <v>0</v>
      </c>
      <c r="P63" s="633"/>
    </row>
    <row r="64" spans="1:16" ht="15.75" x14ac:dyDescent="0.25">
      <c r="A64" s="280"/>
      <c r="B64" s="206"/>
      <c r="C64" s="216"/>
      <c r="D64" s="865"/>
      <c r="E64" s="1112"/>
      <c r="F64" s="865"/>
      <c r="G64" s="865"/>
      <c r="H64" s="865"/>
      <c r="I64" s="865"/>
      <c r="J64" s="865"/>
      <c r="K64" s="865"/>
      <c r="L64" s="865"/>
      <c r="M64" s="865"/>
      <c r="N64" s="865"/>
      <c r="O64" s="865"/>
      <c r="P64" s="633"/>
    </row>
    <row r="65" spans="1:32" x14ac:dyDescent="0.25">
      <c r="B65" s="206"/>
      <c r="C65" s="865"/>
      <c r="D65" s="865"/>
      <c r="E65" s="865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865"/>
    </row>
    <row r="66" spans="1:32" x14ac:dyDescent="0.25">
      <c r="B66" s="206"/>
      <c r="C66" s="865"/>
      <c r="D66" s="865"/>
      <c r="E66" s="865"/>
      <c r="F66" s="865"/>
      <c r="G66" s="865"/>
      <c r="H66" s="865"/>
      <c r="I66" s="865"/>
      <c r="J66" s="865"/>
      <c r="K66" s="865"/>
      <c r="L66" s="865"/>
      <c r="M66" s="865"/>
      <c r="N66" s="865"/>
      <c r="O66" s="865"/>
      <c r="P66" s="216"/>
    </row>
    <row r="67" spans="1:32" ht="17.25" customHeight="1" x14ac:dyDescent="0.3">
      <c r="A67" s="353" t="s">
        <v>5448</v>
      </c>
      <c r="B67" s="200" t="s">
        <v>381</v>
      </c>
      <c r="C67" s="1094" t="s">
        <v>382</v>
      </c>
      <c r="D67" s="355" t="s">
        <v>383</v>
      </c>
    </row>
    <row r="68" spans="1:32" ht="18.75" x14ac:dyDescent="0.3">
      <c r="A68" s="353">
        <f>B63</f>
        <v>41.666666666666664</v>
      </c>
      <c r="B68" s="329" t="s">
        <v>32</v>
      </c>
      <c r="C68" s="338">
        <f t="shared" ref="C68:C84" si="5">B3</f>
        <v>0</v>
      </c>
      <c r="D68" s="225">
        <f>C68/$A$68</f>
        <v>0</v>
      </c>
      <c r="F68" s="801"/>
      <c r="G68" s="629"/>
      <c r="I68" s="629"/>
    </row>
    <row r="69" spans="1:32" x14ac:dyDescent="0.25">
      <c r="B69" s="329" t="s">
        <v>2187</v>
      </c>
      <c r="C69" s="338">
        <f t="shared" si="5"/>
        <v>50</v>
      </c>
      <c r="D69" s="225">
        <f t="shared" ref="D69:D84" si="6">C69/$A$68</f>
        <v>1.2000000000000002</v>
      </c>
      <c r="E69" s="177"/>
      <c r="F69" s="801"/>
      <c r="G69" s="629"/>
      <c r="I69" s="629"/>
    </row>
    <row r="70" spans="1:32" x14ac:dyDescent="0.25">
      <c r="B70" s="329" t="s">
        <v>50</v>
      </c>
      <c r="C70" s="338">
        <f t="shared" si="5"/>
        <v>436.90999999999991</v>
      </c>
      <c r="D70" s="225">
        <f t="shared" si="6"/>
        <v>10.485839999999998</v>
      </c>
      <c r="E70" s="177"/>
      <c r="F70" s="801"/>
      <c r="G70" s="629"/>
      <c r="I70" s="629"/>
    </row>
    <row r="71" spans="1:32" x14ac:dyDescent="0.25">
      <c r="B71" s="329" t="s">
        <v>14</v>
      </c>
      <c r="C71" s="338">
        <f t="shared" si="5"/>
        <v>240.36</v>
      </c>
      <c r="D71" s="225">
        <f t="shared" si="6"/>
        <v>5.7686400000000004</v>
      </c>
      <c r="E71" s="177"/>
      <c r="F71" s="801"/>
      <c r="G71" s="629"/>
      <c r="I71" s="629"/>
    </row>
    <row r="72" spans="1:32" x14ac:dyDescent="0.25">
      <c r="B72" s="329" t="s">
        <v>358</v>
      </c>
      <c r="C72" s="338">
        <f t="shared" si="5"/>
        <v>74.34</v>
      </c>
      <c r="D72" s="225">
        <f t="shared" si="6"/>
        <v>1.7841600000000002</v>
      </c>
      <c r="E72" s="177"/>
      <c r="F72" s="801"/>
      <c r="G72" s="629"/>
      <c r="I72" s="629"/>
    </row>
    <row r="73" spans="1:32" x14ac:dyDescent="0.25">
      <c r="B73" s="329" t="s">
        <v>2189</v>
      </c>
      <c r="C73" s="338">
        <f t="shared" si="5"/>
        <v>100</v>
      </c>
      <c r="D73" s="225">
        <f t="shared" si="6"/>
        <v>2.4000000000000004</v>
      </c>
      <c r="E73" s="177"/>
      <c r="F73" s="801"/>
      <c r="G73" s="629"/>
      <c r="I73" s="629"/>
    </row>
    <row r="74" spans="1:32" x14ac:dyDescent="0.25">
      <c r="B74" s="329" t="s">
        <v>53</v>
      </c>
      <c r="C74" s="338">
        <f t="shared" si="5"/>
        <v>1899.7399999999998</v>
      </c>
      <c r="D74" s="225">
        <f t="shared" si="6"/>
        <v>45.593759999999996</v>
      </c>
      <c r="E74" s="177"/>
      <c r="F74" s="801"/>
      <c r="G74" s="629"/>
      <c r="I74" s="629"/>
    </row>
    <row r="75" spans="1:32" x14ac:dyDescent="0.25">
      <c r="B75" s="329" t="s">
        <v>56</v>
      </c>
      <c r="C75" s="338">
        <f t="shared" si="5"/>
        <v>1119.8629999999998</v>
      </c>
      <c r="D75" s="225">
        <f t="shared" si="6"/>
        <v>26.876711999999998</v>
      </c>
      <c r="E75" s="177"/>
      <c r="F75" s="801"/>
      <c r="G75" s="629"/>
      <c r="I75" s="629"/>
    </row>
    <row r="76" spans="1:32" ht="14.25" customHeight="1" x14ac:dyDescent="0.25">
      <c r="B76" s="329" t="s">
        <v>1686</v>
      </c>
      <c r="C76" s="338">
        <f t="shared" si="5"/>
        <v>260.90999999999997</v>
      </c>
      <c r="D76" s="225">
        <f t="shared" si="6"/>
        <v>6.2618399999999994</v>
      </c>
      <c r="F76" s="801"/>
      <c r="G76" s="629"/>
      <c r="I76" s="629"/>
    </row>
    <row r="77" spans="1:32" x14ac:dyDescent="0.25">
      <c r="B77" s="329" t="s">
        <v>418</v>
      </c>
      <c r="C77" s="338">
        <f t="shared" si="5"/>
        <v>750.83409523809519</v>
      </c>
      <c r="D77" s="225">
        <f t="shared" si="6"/>
        <v>18.020018285714286</v>
      </c>
      <c r="F77" s="801"/>
      <c r="G77" s="629"/>
      <c r="I77" s="629"/>
    </row>
    <row r="78" spans="1:32" x14ac:dyDescent="0.25">
      <c r="B78" s="329" t="s">
        <v>6732</v>
      </c>
      <c r="C78" s="338">
        <f t="shared" si="5"/>
        <v>1026.47</v>
      </c>
      <c r="D78" s="225">
        <f>C78/$A$68</f>
        <v>24.635280000000002</v>
      </c>
      <c r="F78" s="801"/>
    </row>
    <row r="79" spans="1:32" x14ac:dyDescent="0.25">
      <c r="B79" s="329" t="s">
        <v>6733</v>
      </c>
      <c r="C79" s="338">
        <f t="shared" si="5"/>
        <v>962.00000000000011</v>
      </c>
      <c r="D79" s="225">
        <f t="shared" si="6"/>
        <v>23.088000000000005</v>
      </c>
    </row>
    <row r="80" spans="1:32" s="89" customFormat="1" x14ac:dyDescent="0.25">
      <c r="A80" s="79"/>
      <c r="B80" s="329" t="s">
        <v>911</v>
      </c>
      <c r="C80" s="338">
        <f t="shared" si="5"/>
        <v>829.85424999999998</v>
      </c>
      <c r="D80" s="225">
        <f t="shared" si="6"/>
        <v>19.916502000000001</v>
      </c>
      <c r="E80" s="85" t="s">
        <v>280</v>
      </c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</row>
    <row r="81" spans="1:32" s="89" customFormat="1" x14ac:dyDescent="0.25">
      <c r="A81" s="79"/>
      <c r="B81" s="329" t="s">
        <v>1526</v>
      </c>
      <c r="C81" s="338">
        <f t="shared" si="5"/>
        <v>233.01000000000002</v>
      </c>
      <c r="D81" s="225">
        <f t="shared" si="6"/>
        <v>5.5922400000000012</v>
      </c>
      <c r="E81" s="85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</row>
    <row r="82" spans="1:32" s="89" customFormat="1" x14ac:dyDescent="0.25">
      <c r="A82" s="79"/>
      <c r="B82" s="329" t="s">
        <v>2343</v>
      </c>
      <c r="C82" s="338">
        <f t="shared" si="5"/>
        <v>0</v>
      </c>
      <c r="D82" s="225">
        <f t="shared" si="6"/>
        <v>0</v>
      </c>
      <c r="E82" s="85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</row>
    <row r="83" spans="1:32" s="89" customFormat="1" x14ac:dyDescent="0.25">
      <c r="A83" s="79"/>
      <c r="B83" s="329" t="s">
        <v>3019</v>
      </c>
      <c r="C83" s="338">
        <f t="shared" si="5"/>
        <v>1519.1</v>
      </c>
      <c r="D83" s="225">
        <f t="shared" si="6"/>
        <v>36.458399999999997</v>
      </c>
      <c r="E83" s="85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</row>
    <row r="84" spans="1:32" s="89" customFormat="1" x14ac:dyDescent="0.25">
      <c r="A84" s="79"/>
      <c r="B84" s="329" t="s">
        <v>1527</v>
      </c>
      <c r="C84" s="338">
        <f t="shared" si="5"/>
        <v>723.43000000000006</v>
      </c>
      <c r="D84" s="225">
        <f t="shared" si="6"/>
        <v>17.362320000000004</v>
      </c>
      <c r="E84" s="85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</row>
    <row r="85" spans="1:32" s="89" customFormat="1" x14ac:dyDescent="0.25">
      <c r="A85" s="79"/>
      <c r="B85" s="79"/>
      <c r="C85" s="867"/>
      <c r="D85" s="1122"/>
      <c r="E85" s="85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</row>
    <row r="86" spans="1:32" s="89" customFormat="1" ht="18.75" x14ac:dyDescent="0.3">
      <c r="A86" s="79"/>
      <c r="B86" s="200" t="s">
        <v>388</v>
      </c>
      <c r="C86" s="1095">
        <f>SUM(C68:C84)</f>
        <v>10226.821345238095</v>
      </c>
      <c r="D86" s="1087">
        <f>SUM(D68:D84)</f>
        <v>245.4437122857143</v>
      </c>
      <c r="E86" s="85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</row>
  </sheetData>
  <scenarios current="0" show="0">
    <scenario name="teste" locked="1" count="24" user="Alexandre" comment="Criado por Alexandre em 31/10/2024">
      <inputCells r="D2" val="Janeiro"/>
      <inputCells r="E2" val="Fevereiro"/>
      <inputCells r="F2" val="Março"/>
      <inputCells r="G2" val="Abril"/>
      <inputCells r="H2" val="Maio"/>
      <inputCells r="I2" val="Junho"/>
      <inputCells r="J2" val="Julho"/>
      <inputCells r="K2" val="Agosto"/>
      <inputCells r="L2" val="Setembro"/>
      <inputCells r="M2" val="Outubro"/>
      <inputCells r="N2" val="Novembro"/>
      <inputCells r="O2" val="Dezembro"/>
      <inputCells r="D3" val="316,8"/>
      <inputCells r="E3" val="378,4"/>
      <inputCells r="F3" val="389,85"/>
      <inputCells r="G3" val="426,35"/>
      <inputCells r="H3" val="452,8"/>
      <inputCells r="I3" val="450,4"/>
      <inputCells r="J3" val="479,9"/>
      <inputCells r="K3" val="468,5"/>
      <inputCells r="L3" val="508"/>
      <inputCells r="M3" val="431,9"/>
      <inputCells r="N3" val="0"/>
      <inputCells r="O3" val="0"/>
    </scenario>
  </scenarios>
  <phoneticPr fontId="180" type="noConversion"/>
  <conditionalFormatting sqref="G3:G6">
    <cfRule type="cellIs" dxfId="8" priority="1" operator="greaterThan">
      <formula>$F$3</formula>
    </cfRule>
  </conditionalFormatting>
  <conditionalFormatting sqref="L3:L19">
    <cfRule type="cellIs" dxfId="7" priority="3" operator="greaterThan">
      <formula>K3</formula>
    </cfRule>
  </conditionalFormatting>
  <conditionalFormatting sqref="M3:O19">
    <cfRule type="cellIs" dxfId="6" priority="2" operator="greaterThan">
      <formula>L3</formula>
    </cfRule>
  </conditionalFormatting>
  <pageMargins left="0.78740157499999996" right="0.78740157499999996" top="0.984251969" bottom="0.984251969" header="0.49212598499999999" footer="0.49212598499999999"/>
  <pageSetup paperSize="9" orientation="landscape" horizontalDpi="4294967294" r:id="rId2"/>
  <headerFooter alignWithMargins="0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47CC3-5969-44DD-B30C-F3F4164807D2}">
  <dimension ref="A1:AF87"/>
  <sheetViews>
    <sheetView topLeftCell="A4" zoomScale="85" zoomScaleNormal="85" workbookViewId="0">
      <selection activeCell="A13" sqref="A13:O13"/>
    </sheetView>
  </sheetViews>
  <sheetFormatPr defaultColWidth="9.140625" defaultRowHeight="15" x14ac:dyDescent="0.25"/>
  <cols>
    <col min="1" max="1" width="38.42578125" style="79" bestFit="1" customWidth="1"/>
    <col min="2" max="2" width="16.7109375" style="79" bestFit="1" customWidth="1"/>
    <col min="3" max="3" width="19" style="89" bestFit="1" customWidth="1"/>
    <col min="4" max="4" width="15.5703125" style="85" bestFit="1" customWidth="1"/>
    <col min="5" max="5" width="14.28515625" style="85" bestFit="1" customWidth="1"/>
    <col min="6" max="6" width="14.28515625" style="89" bestFit="1" customWidth="1"/>
    <col min="7" max="7" width="15.5703125" style="79" bestFit="1" customWidth="1"/>
    <col min="8" max="8" width="15" style="79" bestFit="1" customWidth="1"/>
    <col min="9" max="9" width="16.5703125" style="79" bestFit="1" customWidth="1"/>
    <col min="10" max="10" width="19.28515625" style="79" bestFit="1" customWidth="1"/>
    <col min="11" max="11" width="17.140625" style="79" customWidth="1"/>
    <col min="12" max="12" width="16.7109375" style="79" bestFit="1" customWidth="1"/>
    <col min="13" max="13" width="19" style="79" bestFit="1" customWidth="1"/>
    <col min="14" max="14" width="15.5703125" style="79" bestFit="1" customWidth="1"/>
    <col min="15" max="16" width="14.28515625" style="79" bestFit="1" customWidth="1"/>
    <col min="17" max="17" width="15.5703125" style="79" bestFit="1" customWidth="1"/>
    <col min="18" max="18" width="15" style="79" bestFit="1" customWidth="1"/>
    <col min="19" max="19" width="16.5703125" style="79" bestFit="1" customWidth="1"/>
    <col min="20" max="20" width="19.28515625" style="79" bestFit="1" customWidth="1"/>
    <col min="21" max="21" width="17.5703125" style="79" bestFit="1" customWidth="1"/>
    <col min="22" max="22" width="19.5703125" style="79" bestFit="1" customWidth="1"/>
    <col min="23" max="16384" width="9.140625" style="79"/>
  </cols>
  <sheetData>
    <row r="1" spans="1:18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18" ht="15.75" x14ac:dyDescent="0.25">
      <c r="A2" s="333" t="s">
        <v>7242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</row>
    <row r="3" spans="1:18" x14ac:dyDescent="0.25">
      <c r="A3" s="329" t="s">
        <v>32</v>
      </c>
      <c r="B3" s="336">
        <f t="shared" ref="B3:B19" ca="1" si="0">C3/12</f>
        <v>425.02583333333337</v>
      </c>
      <c r="C3" s="1042">
        <f ca="1">SUM(Tabela1[[#This Row],[Janeiro]:[Dezembro]])</f>
        <v>5100.3100000000004</v>
      </c>
      <c r="D3" s="549">
        <f>'Janeiro-25'!D180</f>
        <v>441.5</v>
      </c>
      <c r="E3" s="587">
        <f>'Fevereiro-25'!D156</f>
        <v>430</v>
      </c>
      <c r="F3" s="549">
        <f>'Março-25'!D191</f>
        <v>459.9</v>
      </c>
      <c r="G3" s="588">
        <f>'Abril-25'!D168</f>
        <v>355</v>
      </c>
      <c r="H3" s="549">
        <f>'Maio-25'!D181</f>
        <v>507.77000000000004</v>
      </c>
      <c r="I3" s="588">
        <f>'Junho-25'!D170</f>
        <v>343</v>
      </c>
      <c r="J3" s="549">
        <f>'Julho-25'!D189</f>
        <v>397.76</v>
      </c>
      <c r="K3" s="549">
        <f ca="1">'Agosto-25'!D174</f>
        <v>415.84</v>
      </c>
      <c r="L3" s="588">
        <f>'Setembro-25'!D163</f>
        <v>466</v>
      </c>
      <c r="M3" s="565">
        <f>'Outubro-25'!D186</f>
        <v>396</v>
      </c>
      <c r="N3" s="565">
        <f>'Novembro-25'!D173</f>
        <v>413.54</v>
      </c>
      <c r="O3" s="565">
        <f>'Dezembro-25'!D202</f>
        <v>474</v>
      </c>
      <c r="P3" s="609"/>
      <c r="Q3" s="216"/>
      <c r="R3" s="609"/>
    </row>
    <row r="4" spans="1:18" x14ac:dyDescent="0.25">
      <c r="A4" s="329" t="s">
        <v>2187</v>
      </c>
      <c r="B4" s="336">
        <f t="shared" ca="1" si="0"/>
        <v>45.647500000000001</v>
      </c>
      <c r="C4" s="1042">
        <f ca="1">SUM(Tabela1[[#This Row],[Janeiro]:[Dezembro]])</f>
        <v>547.77</v>
      </c>
      <c r="D4" s="549">
        <f>'Janeiro-25'!D181</f>
        <v>30</v>
      </c>
      <c r="E4" s="587">
        <f>'Fevereiro-25'!D157</f>
        <v>0</v>
      </c>
      <c r="F4" s="588">
        <f>'Março-25'!D192</f>
        <v>0</v>
      </c>
      <c r="G4" s="588">
        <f>'Abril-25'!D169</f>
        <v>0</v>
      </c>
      <c r="H4" s="588">
        <f>'Maio-25'!D182</f>
        <v>0</v>
      </c>
      <c r="I4" s="588">
        <f>'Junho-25'!D171</f>
        <v>0</v>
      </c>
      <c r="J4" s="588">
        <f>'Julho-25'!D190</f>
        <v>0</v>
      </c>
      <c r="K4" s="549">
        <f ca="1">'Agosto-25'!D175</f>
        <v>50</v>
      </c>
      <c r="L4" s="588">
        <f>'Setembro-25'!D164</f>
        <v>0</v>
      </c>
      <c r="M4" s="565">
        <f>'Outubro-25'!D187</f>
        <v>20</v>
      </c>
      <c r="N4" s="565">
        <f>'Novembro-25'!D174</f>
        <v>31.97</v>
      </c>
      <c r="O4" s="565">
        <f>'Dezembro-25'!D203</f>
        <v>415.8</v>
      </c>
      <c r="P4" s="609"/>
      <c r="Q4" s="216"/>
      <c r="R4" s="609"/>
    </row>
    <row r="5" spans="1:18" x14ac:dyDescent="0.25">
      <c r="A5" s="329" t="s">
        <v>50</v>
      </c>
      <c r="B5" s="336">
        <f t="shared" ca="1" si="0"/>
        <v>326.57166666666666</v>
      </c>
      <c r="C5" s="1042">
        <f ca="1">SUM(Tabela1[[#This Row],[Janeiro]:[Dezembro]])</f>
        <v>3918.86</v>
      </c>
      <c r="D5" s="588">
        <f>'Janeiro-25'!D182</f>
        <v>221.35</v>
      </c>
      <c r="E5" s="547">
        <f>'Fevereiro-25'!D158</f>
        <v>262.78000000000003</v>
      </c>
      <c r="F5" s="549">
        <f>'Março-25'!D193</f>
        <v>271</v>
      </c>
      <c r="G5" s="588">
        <f>'Abril-25'!D170</f>
        <v>249.49</v>
      </c>
      <c r="H5" s="549">
        <f>'Maio-25'!D183</f>
        <v>352.01</v>
      </c>
      <c r="I5" s="2774">
        <f>'Junho-25'!D172</f>
        <v>392.88000000000005</v>
      </c>
      <c r="J5" s="588">
        <f>'Julho-25'!D191</f>
        <v>386.31</v>
      </c>
      <c r="K5" s="549">
        <f ca="1">'Agosto-25'!D176</f>
        <v>489.71999999999997</v>
      </c>
      <c r="L5" s="588">
        <f>'Setembro-25'!D165</f>
        <v>222.62999999999997</v>
      </c>
      <c r="M5" s="565">
        <f>'Outubro-25'!D188</f>
        <v>318.28999999999996</v>
      </c>
      <c r="N5" s="565">
        <f>'Novembro-25'!D175</f>
        <v>210.94</v>
      </c>
      <c r="O5" s="565">
        <f>'Dezembro-25'!D204</f>
        <v>541.45999999999992</v>
      </c>
      <c r="P5" s="609"/>
      <c r="Q5" s="216"/>
      <c r="R5" s="609"/>
    </row>
    <row r="6" spans="1:18" x14ac:dyDescent="0.25">
      <c r="A6" s="329" t="s">
        <v>14</v>
      </c>
      <c r="B6" s="336">
        <f t="shared" ca="1" si="0"/>
        <v>191.64933333333337</v>
      </c>
      <c r="C6" s="1042">
        <f ca="1">SUM(Tabela1[[#This Row],[Janeiro]:[Dezembro]])</f>
        <v>2299.7920000000004</v>
      </c>
      <c r="D6" s="588">
        <f>'Janeiro-25'!D183</f>
        <v>190.69000000000003</v>
      </c>
      <c r="E6" s="587">
        <f>'Fevereiro-25'!D159</f>
        <v>138.74</v>
      </c>
      <c r="F6" s="549">
        <f>'Março-25'!D194</f>
        <v>200.84</v>
      </c>
      <c r="G6" s="588">
        <f>'Abril-25'!D171</f>
        <v>179.32999999999998</v>
      </c>
      <c r="H6" s="588">
        <f>'Maio-25'!D184</f>
        <v>168.95000000000002</v>
      </c>
      <c r="I6" s="549">
        <f>'Junho-25'!D173</f>
        <v>269.43</v>
      </c>
      <c r="J6" s="588">
        <f>'Julho-25'!D192</f>
        <v>228.62</v>
      </c>
      <c r="K6" s="588">
        <f ca="1">'Agosto-25'!D177</f>
        <v>199.02199999999999</v>
      </c>
      <c r="L6" s="588">
        <f>'Setembro-25'!D166</f>
        <v>232.17</v>
      </c>
      <c r="M6" s="565">
        <f>'Outubro-25'!D189</f>
        <v>150.35999999999999</v>
      </c>
      <c r="N6" s="565">
        <f>'Novembro-25'!D176</f>
        <v>234.47</v>
      </c>
      <c r="O6" s="565">
        <f>'Dezembro-25'!D205</f>
        <v>107.17</v>
      </c>
      <c r="P6" s="609"/>
      <c r="Q6" s="216"/>
      <c r="R6" s="609"/>
    </row>
    <row r="7" spans="1:18" x14ac:dyDescent="0.25">
      <c r="A7" s="329" t="s">
        <v>358</v>
      </c>
      <c r="B7" s="336">
        <f t="shared" ca="1" si="0"/>
        <v>171.71333333333334</v>
      </c>
      <c r="C7" s="1042">
        <f ca="1">SUM(Tabela1[[#This Row],[Janeiro]:[Dezembro]])</f>
        <v>2060.56</v>
      </c>
      <c r="D7" s="549">
        <f>'Janeiro-25'!D184</f>
        <v>255.32</v>
      </c>
      <c r="E7" s="587">
        <f>'Fevereiro-25'!D160</f>
        <v>156.91</v>
      </c>
      <c r="F7" s="549">
        <f>'Março-25'!D195</f>
        <v>168.53</v>
      </c>
      <c r="G7" s="588">
        <f>'Abril-25'!D172</f>
        <v>159.08000000000001</v>
      </c>
      <c r="H7" s="588">
        <f>'Maio-25'!D185</f>
        <v>96.31</v>
      </c>
      <c r="I7" s="549">
        <f>'Junho-25'!D174</f>
        <v>125.73</v>
      </c>
      <c r="J7" s="588">
        <f>'Julho-25'!D193</f>
        <v>120</v>
      </c>
      <c r="K7" s="549">
        <f ca="1">'Agosto-25'!D178</f>
        <v>133.29</v>
      </c>
      <c r="L7" s="588">
        <f>'Setembro-25'!D167</f>
        <v>157.27000000000001</v>
      </c>
      <c r="M7" s="565">
        <f>'Outubro-25'!D190</f>
        <v>285.56</v>
      </c>
      <c r="N7" s="565">
        <f>'Novembro-25'!D177</f>
        <v>198.39</v>
      </c>
      <c r="O7" s="565">
        <f>'Dezembro-25'!D206</f>
        <v>204.17</v>
      </c>
      <c r="P7" s="609"/>
      <c r="Q7" s="216"/>
      <c r="R7" s="609"/>
    </row>
    <row r="8" spans="1:18" x14ac:dyDescent="0.25">
      <c r="A8" s="329" t="s">
        <v>2189</v>
      </c>
      <c r="B8" s="336">
        <f t="shared" ca="1" si="0"/>
        <v>123.07583333333332</v>
      </c>
      <c r="C8" s="1042">
        <f ca="1">SUM(Tabela1[[#This Row],[Janeiro]:[Dezembro]])</f>
        <v>1476.9099999999999</v>
      </c>
      <c r="D8" s="549">
        <f>'Janeiro-25'!D185</f>
        <v>170.3</v>
      </c>
      <c r="E8" s="587">
        <f>'Fevereiro-25'!D161</f>
        <v>100</v>
      </c>
      <c r="F8" s="588">
        <f>'Março-25'!D196</f>
        <v>100</v>
      </c>
      <c r="G8" s="588">
        <f>'Abril-25'!D173</f>
        <v>100</v>
      </c>
      <c r="H8" s="549">
        <f>'Maio-25'!D186</f>
        <v>168.63</v>
      </c>
      <c r="I8" s="588">
        <f>'Junho-25'!D175</f>
        <v>153.9</v>
      </c>
      <c r="J8" s="588">
        <f>'Julho-25'!D194</f>
        <v>100</v>
      </c>
      <c r="K8" s="588">
        <f ca="1">'Agosto-25'!D179</f>
        <v>100</v>
      </c>
      <c r="L8" s="588">
        <f>'Setembro-25'!D168</f>
        <v>100</v>
      </c>
      <c r="M8" s="565">
        <f>'Outubro-25'!D191</f>
        <v>184.07999999999998</v>
      </c>
      <c r="N8" s="565">
        <f>'Novembro-25'!D178</f>
        <v>100</v>
      </c>
      <c r="O8" s="565">
        <f>'Dezembro-25'!D207</f>
        <v>100</v>
      </c>
      <c r="P8" s="609"/>
      <c r="Q8" s="216"/>
      <c r="R8" s="609"/>
    </row>
    <row r="9" spans="1:18" x14ac:dyDescent="0.25">
      <c r="A9" s="329" t="s">
        <v>53</v>
      </c>
      <c r="B9" s="336">
        <f t="shared" ca="1" si="0"/>
        <v>301.64249999999998</v>
      </c>
      <c r="C9" s="1042">
        <f ca="1">SUM(Tabela1[[#This Row],[Janeiro]:[Dezembro]])</f>
        <v>3619.7099999999996</v>
      </c>
      <c r="D9" s="549">
        <f>'Janeiro-25'!D186</f>
        <v>1675.66</v>
      </c>
      <c r="E9" s="587">
        <f>'Fevereiro-25'!D162</f>
        <v>26.5</v>
      </c>
      <c r="F9" s="588">
        <f>'Março-25'!D197</f>
        <v>0</v>
      </c>
      <c r="G9" s="588">
        <f>'Abril-25'!D174</f>
        <v>0</v>
      </c>
      <c r="H9" s="549">
        <f>'Maio-25'!D187</f>
        <v>200.5</v>
      </c>
      <c r="I9" s="549">
        <f>'Junho-25'!D176</f>
        <v>266.66666666666669</v>
      </c>
      <c r="J9" s="588">
        <f>'Julho-25'!D195</f>
        <v>266.66666666666669</v>
      </c>
      <c r="K9" s="588">
        <f ca="1">'Agosto-25'!D180</f>
        <v>266.66666666666669</v>
      </c>
      <c r="L9" s="588">
        <f>'Setembro-25'!D169</f>
        <v>692</v>
      </c>
      <c r="M9" s="565">
        <f>'Outubro-25'!D192</f>
        <v>0</v>
      </c>
      <c r="N9" s="565">
        <f>'Novembro-25'!D179</f>
        <v>167.74</v>
      </c>
      <c r="O9" s="565">
        <f>'Dezembro-25'!D208</f>
        <v>57.31</v>
      </c>
      <c r="P9" s="609"/>
      <c r="Q9" s="216"/>
      <c r="R9" s="609"/>
    </row>
    <row r="10" spans="1:18" x14ac:dyDescent="0.25">
      <c r="A10" s="329" t="s">
        <v>3048</v>
      </c>
      <c r="B10" s="336">
        <f t="shared" ca="1" si="0"/>
        <v>272.00416666666666</v>
      </c>
      <c r="C10" s="1042">
        <f ca="1">SUM(Tabela1[[#This Row],[Janeiro]:[Dezembro]])</f>
        <v>3264.05</v>
      </c>
      <c r="D10" s="588">
        <f>'Janeiro-25'!D187</f>
        <v>224</v>
      </c>
      <c r="E10" s="547">
        <f>'Fevereiro-25'!D163</f>
        <v>564.01</v>
      </c>
      <c r="F10" s="588">
        <f>'Março-25'!D198</f>
        <v>116.81</v>
      </c>
      <c r="G10" s="588">
        <f>'Abril-25'!D175</f>
        <v>44.6</v>
      </c>
      <c r="H10" s="588">
        <f>'Maio-25'!D188</f>
        <v>49.7</v>
      </c>
      <c r="I10" s="549">
        <f>'Junho-25'!D177</f>
        <v>82.92</v>
      </c>
      <c r="J10" s="549">
        <f>'Julho-25'!D196</f>
        <v>103</v>
      </c>
      <c r="K10" s="588">
        <f ca="1">'Agosto-25'!D181</f>
        <v>76.739999999999995</v>
      </c>
      <c r="L10" s="588">
        <f>'Setembro-25'!D170</f>
        <v>112.88</v>
      </c>
      <c r="M10" s="565">
        <f>'Outubro-25'!D193</f>
        <v>27</v>
      </c>
      <c r="N10" s="565">
        <f>'Novembro-25'!D180</f>
        <v>526.93999999999994</v>
      </c>
      <c r="O10" s="565">
        <f>'Dezembro-25'!D209</f>
        <v>1335.4500000000003</v>
      </c>
      <c r="P10" s="609"/>
      <c r="Q10" s="216"/>
      <c r="R10" s="609"/>
    </row>
    <row r="11" spans="1:18" x14ac:dyDescent="0.25">
      <c r="A11" s="329" t="s">
        <v>1686</v>
      </c>
      <c r="B11" s="336">
        <f t="shared" ca="1" si="0"/>
        <v>376.55</v>
      </c>
      <c r="C11" s="1042">
        <f ca="1">SUM(Tabela1[[#This Row],[Janeiro]:[Dezembro]])</f>
        <v>4518.6000000000004</v>
      </c>
      <c r="D11" s="549">
        <f>'Janeiro-25'!D188</f>
        <v>420</v>
      </c>
      <c r="E11" s="547">
        <f>'Fevereiro-25'!D164</f>
        <v>887.29</v>
      </c>
      <c r="F11" s="588">
        <f>'Março-25'!D199</f>
        <v>304</v>
      </c>
      <c r="G11" s="549">
        <f>'Abril-25'!D176</f>
        <v>344</v>
      </c>
      <c r="H11" s="549">
        <f>'Maio-25'!D189</f>
        <v>372.9</v>
      </c>
      <c r="I11" s="588">
        <f>'Junho-25'!D178</f>
        <v>151</v>
      </c>
      <c r="J11" s="2774">
        <f>'Julho-25'!D197</f>
        <v>195.32666666666665</v>
      </c>
      <c r="K11" s="588">
        <f ca="1">'Agosto-25'!D182</f>
        <v>179.32666666666665</v>
      </c>
      <c r="L11" s="588">
        <f>'Setembro-25'!D171</f>
        <v>223.44666666666666</v>
      </c>
      <c r="M11" s="565">
        <f>'Outubro-25'!D194</f>
        <v>425</v>
      </c>
      <c r="N11" s="565">
        <f>'Novembro-25'!D181</f>
        <v>554.9</v>
      </c>
      <c r="O11" s="565">
        <f>'Dezembro-25'!D210</f>
        <v>461.40999999999997</v>
      </c>
      <c r="P11" s="609"/>
      <c r="Q11" s="216"/>
      <c r="R11" s="609"/>
    </row>
    <row r="12" spans="1:18" x14ac:dyDescent="0.25">
      <c r="A12" s="329" t="s">
        <v>418</v>
      </c>
      <c r="B12" s="336">
        <f t="shared" ca="1" si="0"/>
        <v>4708.8341587301584</v>
      </c>
      <c r="C12" s="1042">
        <f ca="1">SUM(Tabela1[[#This Row],[Janeiro]:[Dezembro]])</f>
        <v>56506.009904761901</v>
      </c>
      <c r="D12" s="588">
        <f>'Janeiro-25'!D189</f>
        <v>3005.6200000000003</v>
      </c>
      <c r="E12" s="587">
        <f>'Fevereiro-25'!D165</f>
        <v>1578</v>
      </c>
      <c r="F12" s="549">
        <f>'Março-25'!D200</f>
        <v>10872.16</v>
      </c>
      <c r="G12" s="549">
        <f>'Abril-25'!D177</f>
        <v>12751.572499999997</v>
      </c>
      <c r="H12" s="588">
        <f>'Maio-25'!D190</f>
        <v>5513.3285000000005</v>
      </c>
      <c r="I12" s="549">
        <f>'Junho-25'!D179</f>
        <v>6900.4806428571428</v>
      </c>
      <c r="J12" s="549">
        <f>'Julho-25'!D198</f>
        <v>7509.5120714285722</v>
      </c>
      <c r="K12" s="588">
        <f ca="1">'Agosto-25'!D183</f>
        <v>2302.7462380952379</v>
      </c>
      <c r="L12" s="588">
        <f>'Setembro-25'!D172</f>
        <v>1700.416238095238</v>
      </c>
      <c r="M12" s="565">
        <f>'Outubro-25'!D195</f>
        <v>1527.6129047619047</v>
      </c>
      <c r="N12" s="565">
        <f>'Novembro-25'!D182</f>
        <v>1277.7929047619048</v>
      </c>
      <c r="O12" s="565">
        <f>'Dezembro-25'!D211</f>
        <v>1566.7679047619047</v>
      </c>
      <c r="P12" s="609"/>
      <c r="Q12" s="216"/>
      <c r="R12" s="609"/>
    </row>
    <row r="13" spans="1:18" x14ac:dyDescent="0.25">
      <c r="A13" s="329" t="s">
        <v>6732</v>
      </c>
      <c r="B13" s="336">
        <f t="shared" ca="1" si="0"/>
        <v>1010.0399999999996</v>
      </c>
      <c r="C13" s="1042">
        <f ca="1">SUM(Tabela1[[#This Row],[Janeiro]:[Dezembro]])</f>
        <v>12120.479999999996</v>
      </c>
      <c r="D13" s="588">
        <f>'Janeiro-25'!D190</f>
        <v>1196.9000000000001</v>
      </c>
      <c r="E13" s="587">
        <f>'Fevereiro-25'!D166</f>
        <v>1060.98</v>
      </c>
      <c r="F13" s="588">
        <f>'Março-25'!D201</f>
        <v>983.98</v>
      </c>
      <c r="G13" s="588">
        <f>'Abril-25'!D178</f>
        <v>963.88</v>
      </c>
      <c r="H13" s="588">
        <f>'Maio-25'!D191</f>
        <v>933.98</v>
      </c>
      <c r="I13" s="588">
        <f>'Junho-25'!D180</f>
        <v>933.98</v>
      </c>
      <c r="J13" s="549">
        <f>'Julho-25'!D199</f>
        <v>963.98</v>
      </c>
      <c r="K13" s="588">
        <f ca="1">'Agosto-25'!D184</f>
        <v>937.48</v>
      </c>
      <c r="L13" s="588">
        <f>'Setembro-25'!D173</f>
        <v>1025.1133333333332</v>
      </c>
      <c r="M13" s="565">
        <f>'Outubro-25'!D196</f>
        <v>1105.1133333333332</v>
      </c>
      <c r="N13" s="565">
        <f>'Novembro-25'!D183</f>
        <v>1031.1133333333332</v>
      </c>
      <c r="O13" s="565">
        <f>'Dezembro-25'!D212</f>
        <v>983.98</v>
      </c>
      <c r="P13" s="609"/>
      <c r="Q13" s="216"/>
      <c r="R13" s="609"/>
    </row>
    <row r="14" spans="1:18" x14ac:dyDescent="0.25">
      <c r="A14" s="329" t="s">
        <v>6733</v>
      </c>
      <c r="B14" s="336">
        <f t="shared" ca="1" si="0"/>
        <v>563.88930555555555</v>
      </c>
      <c r="C14" s="1042">
        <f ca="1">SUM(Tabela1[[#This Row],[Janeiro]:[Dezembro]])</f>
        <v>6766.6716666666671</v>
      </c>
      <c r="D14" s="588">
        <f>'Janeiro-25'!D191</f>
        <v>213.96</v>
      </c>
      <c r="E14" s="587">
        <f>'Fevereiro-25'!D167</f>
        <v>131.46</v>
      </c>
      <c r="F14" s="549">
        <f>'Março-25'!D202</f>
        <v>258.57</v>
      </c>
      <c r="G14" s="549">
        <f>'Abril-25'!D179</f>
        <v>852.07999999999993</v>
      </c>
      <c r="H14" s="588">
        <f>'Maio-25'!D192</f>
        <v>196.76333333333332</v>
      </c>
      <c r="I14" s="549">
        <f>'Junho-25'!D181</f>
        <v>408.3966666666667</v>
      </c>
      <c r="J14" s="549">
        <f>'Julho-25'!D200</f>
        <v>477.7766666666667</v>
      </c>
      <c r="K14" s="588">
        <f ca="1">'Agosto-25'!D185</f>
        <v>356.755</v>
      </c>
      <c r="L14" s="588">
        <f>'Setembro-25'!D174</f>
        <v>783.93</v>
      </c>
      <c r="M14" s="565">
        <f>'Outubro-25'!D197</f>
        <v>850.43000000000006</v>
      </c>
      <c r="N14" s="565">
        <f>'Novembro-25'!D184</f>
        <v>875.53000000000009</v>
      </c>
      <c r="O14" s="565">
        <f>'Dezembro-25'!D213</f>
        <v>1361.02</v>
      </c>
      <c r="P14" s="609"/>
      <c r="Q14" s="216"/>
      <c r="R14" s="609"/>
    </row>
    <row r="15" spans="1:18" x14ac:dyDescent="0.25">
      <c r="A15" s="329" t="s">
        <v>5439</v>
      </c>
      <c r="B15" s="336">
        <f t="shared" ca="1" si="0"/>
        <v>480.45343750000001</v>
      </c>
      <c r="C15" s="1042">
        <f ca="1">SUM(Tabela1[[#This Row],[Janeiro]:[Dezembro]])</f>
        <v>5765.4412499999999</v>
      </c>
      <c r="D15" s="588">
        <f>'Janeiro-25'!D192</f>
        <v>715.56000000000006</v>
      </c>
      <c r="E15" s="587">
        <f>'Fevereiro-25'!D168</f>
        <v>460.95</v>
      </c>
      <c r="F15" s="588">
        <f>'Março-25'!D203</f>
        <v>162</v>
      </c>
      <c r="G15" s="588">
        <f>'Abril-25'!D180</f>
        <v>155.85</v>
      </c>
      <c r="H15" s="549">
        <f>'Maio-25'!D193</f>
        <v>236.5</v>
      </c>
      <c r="I15" s="588">
        <f>'Junho-25'!D182</f>
        <v>45</v>
      </c>
      <c r="J15" s="2774">
        <f>'Julho-25'!D201</f>
        <v>622.36483333333331</v>
      </c>
      <c r="K15" s="588">
        <f ca="1">'Agosto-25'!D186</f>
        <v>401.02483333333333</v>
      </c>
      <c r="L15" s="588">
        <f>'Setembro-25'!D175</f>
        <v>483.2448333333333</v>
      </c>
      <c r="M15" s="565">
        <f>'Outubro-25'!D198</f>
        <v>531.40224999999998</v>
      </c>
      <c r="N15" s="565">
        <f>'Novembro-25'!D185</f>
        <v>1169.04225</v>
      </c>
      <c r="O15" s="565">
        <f>'Dezembro-25'!D214</f>
        <v>782.50225</v>
      </c>
      <c r="P15" s="609"/>
      <c r="Q15" s="216"/>
      <c r="R15" s="609"/>
    </row>
    <row r="16" spans="1:18" x14ac:dyDescent="0.25">
      <c r="A16" s="329" t="s">
        <v>1526</v>
      </c>
      <c r="B16" s="336">
        <f t="shared" ca="1" si="0"/>
        <v>210.99472222222221</v>
      </c>
      <c r="C16" s="1042">
        <f ca="1">SUM(Tabela1[[#This Row],[Janeiro]:[Dezembro]])</f>
        <v>2531.9366666666665</v>
      </c>
      <c r="D16" s="588">
        <f>'Janeiro-25'!D193</f>
        <v>160.80666666666667</v>
      </c>
      <c r="E16" s="547">
        <f>'Fevereiro-25'!D169</f>
        <v>161.80666666666667</v>
      </c>
      <c r="F16" s="549">
        <f>'Março-25'!D204</f>
        <v>242.79666666666668</v>
      </c>
      <c r="G16" s="588">
        <f>'Abril-25'!D181</f>
        <v>162.79666666666668</v>
      </c>
      <c r="H16" s="549">
        <f>'Maio-25'!D194</f>
        <v>167.80666666666667</v>
      </c>
      <c r="I16" s="2774">
        <f>'Junho-25'!D183</f>
        <v>223.69666666666666</v>
      </c>
      <c r="J16" s="588">
        <f>'Julho-25'!D202</f>
        <v>143.69666666666666</v>
      </c>
      <c r="K16" s="549">
        <f ca="1">'Agosto-25'!D187</f>
        <v>301.39</v>
      </c>
      <c r="L16" s="588">
        <f>'Setembro-25'!D176</f>
        <v>238.10999999999999</v>
      </c>
      <c r="M16" s="565">
        <f>'Outubro-25'!D199</f>
        <v>218.01</v>
      </c>
      <c r="N16" s="565">
        <f>'Novembro-25'!D186</f>
        <v>293.01</v>
      </c>
      <c r="O16" s="565">
        <f>'Dezembro-25'!D215</f>
        <v>218.01</v>
      </c>
      <c r="P16" s="609"/>
      <c r="Q16" s="216"/>
      <c r="R16" s="609"/>
    </row>
    <row r="17" spans="1:32" x14ac:dyDescent="0.25">
      <c r="A17" s="329" t="s">
        <v>2343</v>
      </c>
      <c r="B17" s="336">
        <f t="shared" ca="1" si="0"/>
        <v>0</v>
      </c>
      <c r="C17" s="1042">
        <f ca="1">SUM(Tabela1[[#This Row],[Janeiro]:[Dezembro]])</f>
        <v>0</v>
      </c>
      <c r="D17" s="588">
        <f>'Janeiro-25'!D194</f>
        <v>0</v>
      </c>
      <c r="E17" s="587">
        <f>'Fevereiro-25'!D170</f>
        <v>0</v>
      </c>
      <c r="F17" s="588">
        <f>'Março-25'!D205</f>
        <v>0</v>
      </c>
      <c r="G17" s="588">
        <f>'Abril-25'!D182</f>
        <v>0</v>
      </c>
      <c r="H17" s="588">
        <f>'Maio-25'!D195</f>
        <v>0</v>
      </c>
      <c r="I17" s="588">
        <f>'Junho-25'!D184</f>
        <v>0</v>
      </c>
      <c r="J17" s="588">
        <f>'Julho-25'!D203</f>
        <v>0</v>
      </c>
      <c r="K17" s="588">
        <f ca="1">'Agosto-25'!D188</f>
        <v>0</v>
      </c>
      <c r="L17" s="588">
        <f>'Setembro-25'!D177</f>
        <v>0</v>
      </c>
      <c r="M17" s="565">
        <f>'Outubro-25'!D200</f>
        <v>0</v>
      </c>
      <c r="N17" s="565">
        <f>'Novembro-25'!D187</f>
        <v>0</v>
      </c>
      <c r="O17" s="565">
        <f>'Dezembro-25'!D216</f>
        <v>0</v>
      </c>
      <c r="P17" s="609"/>
      <c r="Q17" s="216"/>
      <c r="R17" s="609"/>
    </row>
    <row r="18" spans="1:32" x14ac:dyDescent="0.25">
      <c r="A18" s="329" t="s">
        <v>3019</v>
      </c>
      <c r="B18" s="336">
        <f t="shared" ca="1" si="0"/>
        <v>15</v>
      </c>
      <c r="C18" s="1042">
        <f ca="1">SUM(Tabela1[[#This Row],[Janeiro]:[Dezembro]])</f>
        <v>180</v>
      </c>
      <c r="D18" s="588">
        <f>'Janeiro-25'!D195</f>
        <v>0</v>
      </c>
      <c r="E18" s="587">
        <f>'Fevereiro-25'!D171</f>
        <v>0</v>
      </c>
      <c r="F18" s="588">
        <f>'Março-25'!D206</f>
        <v>0</v>
      </c>
      <c r="G18" s="588">
        <f>'Abril-25'!D183</f>
        <v>0</v>
      </c>
      <c r="H18" s="588">
        <f>'Maio-25'!D196</f>
        <v>0</v>
      </c>
      <c r="I18" s="588">
        <f>'Junho-25'!D185</f>
        <v>0</v>
      </c>
      <c r="J18" s="588">
        <f>'Julho-25'!D204</f>
        <v>0</v>
      </c>
      <c r="K18" s="588">
        <f ca="1">'Agosto-25'!D189</f>
        <v>0</v>
      </c>
      <c r="L18" s="588">
        <f>'Setembro-25'!D178</f>
        <v>0</v>
      </c>
      <c r="M18" s="565">
        <f>'Outubro-25'!D201</f>
        <v>0</v>
      </c>
      <c r="N18" s="565">
        <f>'Novembro-25'!D188</f>
        <v>0</v>
      </c>
      <c r="O18" s="565">
        <f>'Dezembro-25'!D217</f>
        <v>180</v>
      </c>
      <c r="P18" s="609"/>
      <c r="Q18" s="216"/>
      <c r="R18" s="609"/>
    </row>
    <row r="19" spans="1:32" x14ac:dyDescent="0.25">
      <c r="A19" s="329" t="s">
        <v>1527</v>
      </c>
      <c r="B19" s="336">
        <f t="shared" ca="1" si="0"/>
        <v>862.65750000000014</v>
      </c>
      <c r="C19" s="1042">
        <f ca="1">SUM(Tabela1[[#This Row],[Janeiro]:[Dezembro]])</f>
        <v>10351.890000000001</v>
      </c>
      <c r="D19" s="588">
        <f>'Janeiro-25'!D196</f>
        <v>426.22</v>
      </c>
      <c r="E19" s="547">
        <f>'Fevereiro-25'!D172</f>
        <v>502</v>
      </c>
      <c r="F19" s="549">
        <f>'Março-25'!D207</f>
        <v>650.20000000000005</v>
      </c>
      <c r="G19" s="588">
        <f>'Abril-25'!D184</f>
        <v>404.30999999999995</v>
      </c>
      <c r="H19" s="549">
        <f>'Maio-25'!D197</f>
        <v>1794.3649999999998</v>
      </c>
      <c r="I19" s="2774">
        <f>'Junho-25'!D186</f>
        <v>2985.9049999999997</v>
      </c>
      <c r="J19" s="588">
        <f>'Julho-25'!D205</f>
        <v>304.51</v>
      </c>
      <c r="K19" s="549">
        <f ca="1">'Agosto-25'!D190</f>
        <v>556.94333333333338</v>
      </c>
      <c r="L19" s="588">
        <f>'Setembro-25'!D179</f>
        <v>662.96333333333337</v>
      </c>
      <c r="M19" s="565">
        <f>'Outubro-25'!D202</f>
        <v>700.56333333333339</v>
      </c>
      <c r="N19" s="565">
        <f>'Novembro-25'!D189</f>
        <v>660.04000000000008</v>
      </c>
      <c r="O19" s="565">
        <f>'Dezembro-25'!D218</f>
        <v>703.86999999999978</v>
      </c>
      <c r="P19" s="609"/>
      <c r="Q19" s="216"/>
      <c r="R19" s="609"/>
    </row>
    <row r="20" spans="1:32" ht="15.75" x14ac:dyDescent="0.25">
      <c r="A20" s="1041" t="s">
        <v>361</v>
      </c>
      <c r="B20" s="552">
        <f t="shared" ref="B20:O20" ca="1" si="1">SUM(B3:B19)</f>
        <v>10085.749290674603</v>
      </c>
      <c r="C20" s="552">
        <f t="shared" ca="1" si="1"/>
        <v>121028.99148809521</v>
      </c>
      <c r="D20" s="552">
        <f t="shared" si="1"/>
        <v>9347.8866666666672</v>
      </c>
      <c r="E20" s="552">
        <f t="shared" si="1"/>
        <v>6461.4266666666654</v>
      </c>
      <c r="F20" s="552">
        <f t="shared" si="1"/>
        <v>14790.786666666667</v>
      </c>
      <c r="G20" s="552">
        <f t="shared" si="1"/>
        <v>16721.989166666663</v>
      </c>
      <c r="H20" s="552">
        <f t="shared" si="1"/>
        <v>10759.513499999999</v>
      </c>
      <c r="I20" s="552">
        <f t="shared" si="1"/>
        <v>13282.985642857144</v>
      </c>
      <c r="J20" s="552">
        <f t="shared" si="1"/>
        <v>11819.523571428572</v>
      </c>
      <c r="K20" s="552">
        <f t="shared" ca="1" si="1"/>
        <v>6766.9447380952379</v>
      </c>
      <c r="L20" s="552">
        <f t="shared" si="1"/>
        <v>7100.174404761904</v>
      </c>
      <c r="M20" s="552">
        <f t="shared" si="1"/>
        <v>6739.421821428572</v>
      </c>
      <c r="N20" s="552">
        <f t="shared" si="1"/>
        <v>7745.4184880952371</v>
      </c>
      <c r="O20" s="552">
        <f t="shared" si="1"/>
        <v>9492.9201547619032</v>
      </c>
    </row>
    <row r="21" spans="1:32" ht="15.75" x14ac:dyDescent="0.25">
      <c r="A21" s="389"/>
      <c r="B21" s="551"/>
      <c r="C21" s="552"/>
      <c r="D21" s="552"/>
      <c r="E21" s="552"/>
      <c r="F21" s="552"/>
      <c r="G21" s="552"/>
      <c r="H21" s="552"/>
      <c r="I21" s="552"/>
      <c r="J21" s="552"/>
      <c r="K21" s="552"/>
      <c r="L21" s="552"/>
      <c r="M21" s="552"/>
      <c r="N21" s="552"/>
      <c r="O21" s="552"/>
    </row>
    <row r="22" spans="1:32" x14ac:dyDescent="0.25">
      <c r="A22" s="2396" t="s">
        <v>6789</v>
      </c>
      <c r="B22" s="2409">
        <f>C22/12</f>
        <v>488.03666666666669</v>
      </c>
      <c r="C22" s="616">
        <f>SUM(D22:O22)</f>
        <v>5856.4400000000005</v>
      </c>
      <c r="D22" s="2397">
        <f>'Janeiro-25'!D197</f>
        <v>475.2</v>
      </c>
      <c r="E22" s="2398">
        <f>'Fevereiro-25'!D173</f>
        <v>483.12</v>
      </c>
      <c r="F22" s="2398">
        <f>'Março-25'!D208</f>
        <v>483.12</v>
      </c>
      <c r="G22" s="2397">
        <f>'Abril-25'!D185</f>
        <v>483.12</v>
      </c>
      <c r="H22" s="2397">
        <f>'Maio-25'!D198</f>
        <v>486.12</v>
      </c>
      <c r="I22" s="2397">
        <f>'Junho-25'!D187</f>
        <v>487.12</v>
      </c>
      <c r="J22" s="2397">
        <f>'Julho-25'!D206</f>
        <v>487.20000000000005</v>
      </c>
      <c r="K22" s="2397">
        <f>'Agosto-25'!D191</f>
        <v>494.56000000000006</v>
      </c>
      <c r="L22" s="2397">
        <f>'Setembro-25'!D180</f>
        <v>498.96000000000004</v>
      </c>
      <c r="M22" s="2397">
        <f>'Outubro-25'!D203</f>
        <v>498.96</v>
      </c>
      <c r="N22" s="2397">
        <f>'Novembro-25'!D190</f>
        <v>492.64</v>
      </c>
      <c r="O22" s="2397">
        <f>'Dezembro-25'!D219</f>
        <v>486.32</v>
      </c>
    </row>
    <row r="23" spans="1:32" x14ac:dyDescent="0.25">
      <c r="A23" s="2396"/>
      <c r="B23"/>
      <c r="C23"/>
      <c r="D23"/>
      <c r="E23" s="2398"/>
      <c r="F23" s="2397"/>
      <c r="G23" s="2397"/>
      <c r="H23" s="2397"/>
      <c r="I23" s="2397"/>
      <c r="J23" s="2397"/>
      <c r="K23" s="2397"/>
      <c r="L23" s="2397"/>
      <c r="M23" s="2397"/>
      <c r="N23" s="2397"/>
      <c r="O23" s="2949" t="s">
        <v>8419</v>
      </c>
      <c r="P23" s="85" t="s">
        <v>5580</v>
      </c>
      <c r="Q23" s="2125" t="s">
        <v>8420</v>
      </c>
    </row>
    <row r="24" spans="1:32" x14ac:dyDescent="0.25">
      <c r="B24"/>
      <c r="C24"/>
      <c r="D24"/>
      <c r="E24"/>
      <c r="N24" s="329" t="s">
        <v>32</v>
      </c>
      <c r="O24" s="861" cm="1">
        <f t="array" aca="1" ref="O24" ca="1">MAX(IF($A$2:$A$19=N24, $D$2:$O$19))</f>
        <v>507.77000000000004</v>
      </c>
      <c r="P24" s="85" t="e" cm="1">
        <f t="array" ref="P24">INDEX(A2:A19, MATCH(MAX(IF(D2:M19,D2:M19)), IF(Tabela1[[#Headers],[Janeiro]:[Outubro]],D2:M19), 0))</f>
        <v>#VALUE!</v>
      </c>
      <c r="Q24" s="2722" cm="1">
        <f t="array" aca="1" ref="Q24" ca="1">MIN(IF($A$2:$A$19=N24,$D$2:$N$19))</f>
        <v>343</v>
      </c>
    </row>
    <row r="25" spans="1:32" x14ac:dyDescent="0.25">
      <c r="A25" s="333"/>
      <c r="B25"/>
      <c r="C25"/>
      <c r="D25"/>
      <c r="E25"/>
      <c r="N25" s="329" t="s">
        <v>2187</v>
      </c>
      <c r="O25" s="861" cm="1">
        <f t="array" aca="1" ref="O25" ca="1">MAX(IF($A$2:$A$19=N25, $D$2:$O$19))</f>
        <v>415.8</v>
      </c>
      <c r="P25" s="85" t="e" cm="1">
        <f t="array" aca="1" ref="P25" ca="1">INDEX(A3:A20, MATCH(MAX(IF(D3:M20,D3:M20)), IF(Tabela1[[#Headers],[Janeiro]:[Outubro]],D3:M20), 0))</f>
        <v>#N/A</v>
      </c>
      <c r="Q25" s="2722" cm="1">
        <f t="array" aca="1" ref="Q25" ca="1">MIN(IF($A$2:$A$19=N25,$D$2:$N$19))</f>
        <v>0</v>
      </c>
    </row>
    <row r="26" spans="1:32" x14ac:dyDescent="0.25">
      <c r="N26" s="329" t="s">
        <v>50</v>
      </c>
      <c r="O26" s="861" cm="1">
        <f t="array" aca="1" ref="O26" ca="1">MAX(IF($A$2:$A$19=N26, $D$2:$O$19))</f>
        <v>541.45999999999992</v>
      </c>
      <c r="P26" s="85" t="e" cm="1">
        <f t="array" aca="1" ref="P26" ca="1">INDEX(A4:A21, MATCH(MAX(IF(D4:M21,D4:M21)), IF(Tabela1[[#Headers],[Janeiro]:[Outubro]],D4:M21), 0))</f>
        <v>#N/A</v>
      </c>
      <c r="Q26" s="2722" cm="1">
        <f t="array" aca="1" ref="Q26" ca="1">MIN(IF($A$2:$A$19=N26,$D$2:$N$19))</f>
        <v>210.94</v>
      </c>
    </row>
    <row r="27" spans="1:32" x14ac:dyDescent="0.25">
      <c r="N27" s="329" t="s">
        <v>14</v>
      </c>
      <c r="O27" s="861" cm="1">
        <f t="array" aca="1" ref="O27" ca="1">MAX(IF($A$2:$A$19=N27, $D$2:$O$19))</f>
        <v>269.43</v>
      </c>
      <c r="P27" s="85" t="e" cm="1">
        <f t="array" aca="1" ref="P27" ca="1">INDEX(A5:A22, MATCH(MAX(IF(D5:M22,D5:M22)), IF(Tabela1[[#Headers],[Janeiro]:[Outubro]],D5:M22), 0))</f>
        <v>#N/A</v>
      </c>
      <c r="Q27" s="2722" cm="1">
        <f t="array" aca="1" ref="Q27" ca="1">MIN(IF($A$2:$A$19=N27,$D$2:$N$19))</f>
        <v>138.74</v>
      </c>
      <c r="V27" s="2019" t="s">
        <v>6104</v>
      </c>
      <c r="W27" t="s">
        <v>6092</v>
      </c>
      <c r="X27" t="s">
        <v>6093</v>
      </c>
      <c r="Y27" t="s">
        <v>6094</v>
      </c>
      <c r="Z27" t="s">
        <v>6095</v>
      </c>
      <c r="AA27" t="s">
        <v>6096</v>
      </c>
      <c r="AB27" t="s">
        <v>6097</v>
      </c>
      <c r="AC27" t="s">
        <v>6098</v>
      </c>
      <c r="AD27" t="s">
        <v>6099</v>
      </c>
      <c r="AE27" t="s">
        <v>6100</v>
      </c>
      <c r="AF27" t="s">
        <v>6101</v>
      </c>
    </row>
    <row r="28" spans="1:32" x14ac:dyDescent="0.25">
      <c r="N28" s="329" t="s">
        <v>358</v>
      </c>
      <c r="O28" s="861" cm="1">
        <f t="array" aca="1" ref="O28" ca="1">MAX(IF($A$2:$A$19=N28, $D$2:$O$19))</f>
        <v>285.56</v>
      </c>
      <c r="P28" s="85" t="e" cm="1">
        <f t="array" aca="1" ref="P28" ca="1">INDEX(A6:A23, MATCH(MAX(IF(D6:M23,D6:M23)), IF(Tabela1[[#Headers],[Janeiro]:[Outubro]],D6:M23), 0))</f>
        <v>#N/A</v>
      </c>
      <c r="Q28" s="2722" cm="1">
        <f t="array" aca="1" ref="Q28" ca="1">MIN(IF($A$2:$A$19=N28,$D$2:$N$19))</f>
        <v>96.31</v>
      </c>
      <c r="V28" s="202" t="s">
        <v>2189</v>
      </c>
      <c r="W28" s="442">
        <v>170.3</v>
      </c>
      <c r="X28" s="442">
        <v>100</v>
      </c>
      <c r="Y28" s="442">
        <v>100</v>
      </c>
      <c r="Z28" s="442">
        <v>100</v>
      </c>
      <c r="AA28" s="442">
        <v>168.63</v>
      </c>
      <c r="AB28" s="442">
        <v>153.9</v>
      </c>
      <c r="AC28" s="442">
        <v>100</v>
      </c>
      <c r="AD28" s="442">
        <v>100</v>
      </c>
      <c r="AE28" s="442">
        <v>100</v>
      </c>
      <c r="AF28" s="442">
        <v>184.07999999999998</v>
      </c>
    </row>
    <row r="29" spans="1:32" x14ac:dyDescent="0.25">
      <c r="N29" s="329" t="s">
        <v>2189</v>
      </c>
      <c r="O29" s="861" cm="1">
        <f t="array" aca="1" ref="O29" ca="1">MAX(IF($A$2:$A$19=N29, $D$2:$O$19))</f>
        <v>184.07999999999998</v>
      </c>
      <c r="P29" s="85" t="e" cm="1">
        <f t="array" aca="1" ref="P29" ca="1">INDEX(A7:A24, MATCH(MAX(IF(D7:M24,D7:M24)), IF(Tabela1[[#Headers],[Janeiro]:[Outubro]],D7:M24), 0))</f>
        <v>#N/A</v>
      </c>
      <c r="Q29" s="2722" cm="1">
        <f t="array" aca="1" ref="Q29" ca="1">MIN(IF($A$2:$A$19=N29,$D$2:$N$19))</f>
        <v>100</v>
      </c>
      <c r="V29" s="202" t="s">
        <v>32</v>
      </c>
      <c r="W29" s="442">
        <v>441.5</v>
      </c>
      <c r="X29" s="442">
        <v>430</v>
      </c>
      <c r="Y29" s="442">
        <v>459.9</v>
      </c>
      <c r="Z29" s="442">
        <v>355</v>
      </c>
      <c r="AA29" s="442">
        <v>507.77000000000004</v>
      </c>
      <c r="AB29" s="442">
        <v>343</v>
      </c>
      <c r="AC29" s="442">
        <v>397.76</v>
      </c>
      <c r="AD29" s="442">
        <v>415.84</v>
      </c>
      <c r="AE29" s="442">
        <v>466</v>
      </c>
      <c r="AF29" s="442">
        <v>200</v>
      </c>
    </row>
    <row r="30" spans="1:32" x14ac:dyDescent="0.25">
      <c r="N30" s="329" t="s">
        <v>53</v>
      </c>
      <c r="O30" s="861" cm="1">
        <f t="array" aca="1" ref="O30" ca="1">MAX(IF($A$2:$A$19=N30, $D$2:$O$19))</f>
        <v>1675.66</v>
      </c>
      <c r="P30" s="85" t="e" cm="1">
        <f t="array" aca="1" ref="P30" ca="1">INDEX(A8:A25, MATCH(MAX(IF(D8:M25,D8:M25)), IF(Tabela1[[#Headers],[Janeiro]:[Outubro]],D8:M25), 0))</f>
        <v>#N/A</v>
      </c>
      <c r="Q30" s="2722" cm="1">
        <f t="array" aca="1" ref="Q30" ca="1">MIN(IF($A$2:$A$19=N30,$D$2:$N$19))</f>
        <v>0</v>
      </c>
      <c r="V30" s="202" t="s">
        <v>3048</v>
      </c>
      <c r="W30" s="442">
        <v>224</v>
      </c>
      <c r="X30" s="442">
        <v>564.01</v>
      </c>
      <c r="Y30" s="442">
        <v>116.81</v>
      </c>
      <c r="Z30" s="442">
        <v>44.6</v>
      </c>
      <c r="AA30" s="442">
        <v>49.7</v>
      </c>
      <c r="AB30" s="442">
        <v>82.92</v>
      </c>
      <c r="AC30" s="442">
        <v>103</v>
      </c>
      <c r="AD30" s="442">
        <v>76.739999999999995</v>
      </c>
      <c r="AE30" s="442">
        <v>112.88</v>
      </c>
      <c r="AF30" s="442">
        <v>27</v>
      </c>
    </row>
    <row r="31" spans="1:32" x14ac:dyDescent="0.25">
      <c r="N31" s="329" t="s">
        <v>3048</v>
      </c>
      <c r="O31" s="861" cm="1">
        <f t="array" aca="1" ref="O31" ca="1">MAX(IF($A$2:$A$19=N31, $D$2:$O$19))</f>
        <v>1335.4500000000003</v>
      </c>
      <c r="P31" s="85" t="e" cm="1">
        <f t="array" aca="1" ref="P31" ca="1">INDEX(A9:A26, MATCH(MAX(IF(D9:M26,D9:M26)), IF(Tabela1[[#Headers],[Janeiro]:[Outubro]],D9:M26), 0))</f>
        <v>#N/A</v>
      </c>
      <c r="Q31" s="2722" cm="1">
        <f t="array" aca="1" ref="Q31" ca="1">MIN(IF($A$2:$A$19=N31,$D$2:$N$19))</f>
        <v>27</v>
      </c>
      <c r="V31" s="202" t="s">
        <v>14</v>
      </c>
      <c r="W31" s="442">
        <v>190.69000000000003</v>
      </c>
      <c r="X31" s="442">
        <v>138.74</v>
      </c>
      <c r="Y31" s="442">
        <v>200.84</v>
      </c>
      <c r="Z31" s="442">
        <v>179.32999999999998</v>
      </c>
      <c r="AA31" s="442">
        <v>168.95000000000002</v>
      </c>
      <c r="AB31" s="442">
        <v>269.43</v>
      </c>
      <c r="AC31" s="442">
        <v>228.62</v>
      </c>
      <c r="AD31" s="442">
        <v>199.02199999999999</v>
      </c>
      <c r="AE31" s="442">
        <v>232.17</v>
      </c>
      <c r="AF31" s="442">
        <v>104.18</v>
      </c>
    </row>
    <row r="32" spans="1:32" x14ac:dyDescent="0.25">
      <c r="N32" s="329" t="s">
        <v>1686</v>
      </c>
      <c r="O32" s="861" cm="1">
        <f t="array" aca="1" ref="O32" ca="1">MAX(IF($A$2:$A$19=N32, $D$2:$O$19))</f>
        <v>887.29</v>
      </c>
      <c r="P32" s="85" t="e" cm="1">
        <f t="array" aca="1" ref="P32" ca="1">INDEX(A10:A27, MATCH(MAX(IF(D10:M27,D10:M27)), IF(Tabela1[[#Headers],[Janeiro]:[Outubro]],D10:M27), 0))</f>
        <v>#N/A</v>
      </c>
      <c r="Q32" s="2722" cm="1">
        <f t="array" aca="1" ref="Q32" ca="1">MIN(IF($A$2:$A$19=N32,$D$2:$N$19))</f>
        <v>151</v>
      </c>
      <c r="V32" s="202" t="s">
        <v>418</v>
      </c>
      <c r="W32" s="442">
        <v>3005.6200000000003</v>
      </c>
      <c r="X32" s="442">
        <v>1578</v>
      </c>
      <c r="Y32" s="442">
        <v>10872.16</v>
      </c>
      <c r="Z32" s="442">
        <v>12751.572499999997</v>
      </c>
      <c r="AA32" s="442">
        <v>5513.3285000000005</v>
      </c>
      <c r="AB32" s="442">
        <v>6900.4806428571428</v>
      </c>
      <c r="AC32" s="442">
        <v>7509.5120714285722</v>
      </c>
      <c r="AD32" s="442">
        <v>2302.7462380952379</v>
      </c>
      <c r="AE32" s="442">
        <v>1700.416238095238</v>
      </c>
      <c r="AF32" s="442">
        <v>0</v>
      </c>
    </row>
    <row r="33" spans="1:32" x14ac:dyDescent="0.25">
      <c r="N33" s="329" t="s">
        <v>418</v>
      </c>
      <c r="O33" s="861" cm="1">
        <f t="array" aca="1" ref="O33" ca="1">MAX(IF($A$2:$A$19=N33, $D$2:$O$19))</f>
        <v>12751.572499999997</v>
      </c>
      <c r="P33" s="85" t="e" cm="1">
        <f t="array" aca="1" ref="P33" ca="1">INDEX(A11:A28, MATCH(MAX(IF(D11:M28,D11:M28)), IF(Tabela1[[#Headers],[Janeiro]:[Outubro]],D11:M28), 0))</f>
        <v>#N/A</v>
      </c>
      <c r="Q33" s="2722" cm="1">
        <f t="array" aca="1" ref="Q33" ca="1">MIN(IF($A$2:$A$19=N33,$D$2:$N$19))</f>
        <v>1277.7929047619048</v>
      </c>
      <c r="V33" s="202" t="s">
        <v>358</v>
      </c>
      <c r="W33" s="442">
        <v>255.32</v>
      </c>
      <c r="X33" s="442">
        <v>156.91</v>
      </c>
      <c r="Y33" s="442">
        <v>168.53</v>
      </c>
      <c r="Z33" s="442">
        <v>159.08000000000001</v>
      </c>
      <c r="AA33" s="442">
        <v>96.31</v>
      </c>
      <c r="AB33" s="442">
        <v>125.73</v>
      </c>
      <c r="AC33" s="442">
        <v>120</v>
      </c>
      <c r="AD33" s="442">
        <v>133.29</v>
      </c>
      <c r="AE33" s="442">
        <v>157.27000000000001</v>
      </c>
      <c r="AF33" s="442">
        <v>285.56</v>
      </c>
    </row>
    <row r="34" spans="1:32" x14ac:dyDescent="0.25">
      <c r="N34" s="329" t="s">
        <v>6732</v>
      </c>
      <c r="O34" s="861" cm="1">
        <f t="array" aca="1" ref="O34" ca="1">MAX(IF($A$2:$A$19=N34, $D$2:$O$19))</f>
        <v>1196.9000000000001</v>
      </c>
      <c r="P34" s="85" t="e" cm="1">
        <f t="array" aca="1" ref="P34" ca="1">INDEX(A12:A29, MATCH(MAX(IF(D12:M29,D12:M29)), IF(Tabela1[[#Headers],[Janeiro]:[Outubro]],D12:M29), 0))</f>
        <v>#N/A</v>
      </c>
      <c r="Q34" s="2722" cm="1">
        <f t="array" aca="1" ref="Q34" ca="1">MIN(IF($A$2:$A$19=N34,$D$2:$N$19))</f>
        <v>933.98</v>
      </c>
      <c r="V34" s="202" t="s">
        <v>53</v>
      </c>
      <c r="W34" s="442">
        <v>1675.66</v>
      </c>
      <c r="X34" s="442">
        <v>26.5</v>
      </c>
      <c r="Y34" s="442">
        <v>0</v>
      </c>
      <c r="Z34" s="442">
        <v>0</v>
      </c>
      <c r="AA34" s="442">
        <v>200.5</v>
      </c>
      <c r="AB34" s="442">
        <v>266.66666666666669</v>
      </c>
      <c r="AC34" s="442">
        <v>266.66666666666669</v>
      </c>
      <c r="AD34" s="442">
        <v>266.66666666666669</v>
      </c>
      <c r="AE34" s="442">
        <v>692</v>
      </c>
      <c r="AF34" s="442">
        <v>0</v>
      </c>
    </row>
    <row r="35" spans="1:32" x14ac:dyDescent="0.25">
      <c r="N35" s="329" t="s">
        <v>6733</v>
      </c>
      <c r="O35" s="861" cm="1">
        <f t="array" aca="1" ref="O35" ca="1">MAX(IF($A$2:$A$19=N35, $D$2:$O$19))</f>
        <v>1361.02</v>
      </c>
      <c r="P35" s="85" t="e" cm="1">
        <f t="array" aca="1" ref="P35" ca="1">INDEX(A13:A30, MATCH(MAX(IF(D13:M30,D13:M30)), IF(Tabela1[[#Headers],[Janeiro]:[Outubro]],D13:M30), 0))</f>
        <v>#N/A</v>
      </c>
      <c r="Q35" s="2722" cm="1">
        <f t="array" aca="1" ref="Q35" ca="1">MIN(IF($A$2:$A$19=N35,$D$2:$N$19))</f>
        <v>131.46</v>
      </c>
      <c r="V35" s="202" t="s">
        <v>2343</v>
      </c>
      <c r="W35" s="442">
        <v>0</v>
      </c>
      <c r="X35" s="442">
        <v>0</v>
      </c>
      <c r="Y35" s="442">
        <v>0</v>
      </c>
      <c r="Z35" s="442">
        <v>0</v>
      </c>
      <c r="AA35" s="442">
        <v>0</v>
      </c>
      <c r="AB35" s="442">
        <v>0</v>
      </c>
      <c r="AC35" s="442">
        <v>0</v>
      </c>
      <c r="AD35" s="442">
        <v>0</v>
      </c>
      <c r="AE35" s="442">
        <v>0</v>
      </c>
      <c r="AF35" s="442">
        <v>0</v>
      </c>
    </row>
    <row r="36" spans="1:32" x14ac:dyDescent="0.25">
      <c r="N36" s="329" t="s">
        <v>5439</v>
      </c>
      <c r="O36" s="861" cm="1">
        <f t="array" aca="1" ref="O36" ca="1">MAX(IF($A$2:$A$19=N36, $D$2:$O$19))</f>
        <v>1169.04225</v>
      </c>
      <c r="P36" s="85" t="e" cm="1">
        <f t="array" aca="1" ref="P36" ca="1">INDEX(A14:A31, MATCH(MAX(IF(D14:M31,D14:M31)), IF(Tabela1[[#Headers],[Janeiro]:[Outubro]],D14:M31), 0))</f>
        <v>#N/A</v>
      </c>
      <c r="Q36" s="2722" cm="1">
        <f t="array" aca="1" ref="Q36" ca="1">MIN(IF($A$2:$A$19=N36,$D$2:$N$19))</f>
        <v>45</v>
      </c>
      <c r="V36" s="202" t="s">
        <v>5439</v>
      </c>
      <c r="W36" s="442">
        <v>715.56000000000006</v>
      </c>
      <c r="X36" s="442">
        <v>460.95</v>
      </c>
      <c r="Y36" s="442">
        <v>162</v>
      </c>
      <c r="Z36" s="442">
        <v>155.85</v>
      </c>
      <c r="AA36" s="442">
        <v>236.5</v>
      </c>
      <c r="AB36" s="442">
        <v>45</v>
      </c>
      <c r="AC36" s="442">
        <v>622.36483333333331</v>
      </c>
      <c r="AD36" s="442">
        <v>401.02483333333333</v>
      </c>
      <c r="AE36" s="442">
        <v>483.2448333333333</v>
      </c>
      <c r="AF36" s="442">
        <v>296.63625000000002</v>
      </c>
    </row>
    <row r="37" spans="1:32" x14ac:dyDescent="0.25">
      <c r="N37" s="329" t="s">
        <v>1526</v>
      </c>
      <c r="O37" s="861" cm="1">
        <f t="array" aca="1" ref="O37" ca="1">MAX(IF($A$2:$A$19=N37, $D$2:$O$19))</f>
        <v>301.39</v>
      </c>
      <c r="P37" s="85" t="e" cm="1">
        <f t="array" aca="1" ref="P37" ca="1">INDEX(A15:A32, MATCH(MAX(IF(D15:M32,D15:M32)), IF(Tabela1[[#Headers],[Janeiro]:[Outubro]],D15:M32), 0))</f>
        <v>#N/A</v>
      </c>
      <c r="Q37" s="2722" cm="1">
        <f t="array" aca="1" ref="Q37" ca="1">MIN(IF($A$2:$A$19=N37,$D$2:$N$19))</f>
        <v>143.69666666666666</v>
      </c>
      <c r="V37" s="202" t="s">
        <v>6732</v>
      </c>
      <c r="W37" s="442">
        <v>1196.9000000000001</v>
      </c>
      <c r="X37" s="442">
        <v>1060.98</v>
      </c>
      <c r="Y37" s="442">
        <v>983.98</v>
      </c>
      <c r="Z37" s="442">
        <v>963.88</v>
      </c>
      <c r="AA37" s="442">
        <v>933.98</v>
      </c>
      <c r="AB37" s="442">
        <v>933.98</v>
      </c>
      <c r="AC37" s="442">
        <v>963.98</v>
      </c>
      <c r="AD37" s="442">
        <v>937.48</v>
      </c>
      <c r="AE37" s="442">
        <v>1025.1133333333332</v>
      </c>
      <c r="AF37" s="442">
        <v>705.11333333333334</v>
      </c>
    </row>
    <row r="38" spans="1:32" x14ac:dyDescent="0.25">
      <c r="N38" s="329" t="s">
        <v>2343</v>
      </c>
      <c r="O38" s="861" cm="1">
        <f t="array" aca="1" ref="O38" ca="1">MAX(IF($A$2:$A$19=N38, $D$2:$O$19))</f>
        <v>0</v>
      </c>
      <c r="P38" s="85" t="e" cm="1">
        <f t="array" aca="1" ref="P38" ca="1">INDEX(A16:A33, MATCH(MAX(IF(D16:M33,D16:M33)), IF(Tabela1[[#Headers],[Janeiro]:[Outubro]],D16:M33), 0))</f>
        <v>#N/A</v>
      </c>
      <c r="Q38" s="2722" cm="1">
        <f t="array" aca="1" ref="Q38" ca="1">MIN(IF($A$2:$A$19=N38,$D$2:$N$19))</f>
        <v>0</v>
      </c>
      <c r="V38" s="202" t="s">
        <v>6733</v>
      </c>
      <c r="W38" s="442">
        <v>213.96</v>
      </c>
      <c r="X38" s="442">
        <v>131.46</v>
      </c>
      <c r="Y38" s="442">
        <v>258.57</v>
      </c>
      <c r="Z38" s="442">
        <v>852.07999999999993</v>
      </c>
      <c r="AA38" s="442">
        <v>196.76333333333332</v>
      </c>
      <c r="AB38" s="442">
        <v>408.3966666666667</v>
      </c>
      <c r="AC38" s="442">
        <v>477.7766666666667</v>
      </c>
      <c r="AD38" s="442">
        <v>356.755</v>
      </c>
      <c r="AE38" s="442">
        <v>783.93</v>
      </c>
      <c r="AF38" s="442">
        <v>652.59</v>
      </c>
    </row>
    <row r="39" spans="1:32" x14ac:dyDescent="0.25">
      <c r="N39" s="329" t="s">
        <v>3019</v>
      </c>
      <c r="O39" s="861" cm="1">
        <f t="array" aca="1" ref="O39" ca="1">MAX(IF($A$2:$A$19=N39, $D$2:$O$19))</f>
        <v>180</v>
      </c>
      <c r="P39" s="85" t="e" cm="1">
        <f t="array" aca="1" ref="P39" ca="1">INDEX(A17:A34, MATCH(MAX(IF(D17:M34,D17:M34)), IF(Tabela1[[#Headers],[Janeiro]:[Outubro]],D17:M34), 0))</f>
        <v>#N/A</v>
      </c>
      <c r="Q39" s="2722" cm="1">
        <f t="array" aca="1" ref="Q39" ca="1">MIN(IF($A$2:$A$19=N39,$D$2:$N$19))</f>
        <v>0</v>
      </c>
      <c r="V39" s="202" t="s">
        <v>2187</v>
      </c>
      <c r="W39" s="442">
        <v>30</v>
      </c>
      <c r="X39" s="442">
        <v>0</v>
      </c>
      <c r="Y39" s="442">
        <v>0</v>
      </c>
      <c r="Z39" s="442">
        <v>0</v>
      </c>
      <c r="AA39" s="442">
        <v>0</v>
      </c>
      <c r="AB39" s="442">
        <v>0</v>
      </c>
      <c r="AC39" s="442">
        <v>0</v>
      </c>
      <c r="AD39" s="442">
        <v>50</v>
      </c>
      <c r="AE39" s="442">
        <v>0</v>
      </c>
      <c r="AF39" s="442">
        <v>0</v>
      </c>
    </row>
    <row r="40" spans="1:32" x14ac:dyDescent="0.25">
      <c r="N40" s="329" t="s">
        <v>1527</v>
      </c>
      <c r="O40" s="861" cm="1">
        <f t="array" aca="1" ref="O40" ca="1">MAX(IF($A$2:$A$19=N40, $D$2:$O$19))</f>
        <v>2985.9049999999997</v>
      </c>
      <c r="P40" s="85" t="e" cm="1">
        <f t="array" aca="1" ref="P40" ca="1">INDEX(A18:A35, MATCH(MAX(IF(D18:M35,D18:M35)), IF(Tabela1[[#Headers],[Janeiro]:[Outubro]],D18:M35), 0))</f>
        <v>#N/A</v>
      </c>
      <c r="Q40" s="2722" cm="1">
        <f t="array" aca="1" ref="Q40" ca="1">MIN(IF($A$2:$A$19=N40,$D$2:$N$19))</f>
        <v>304.51</v>
      </c>
      <c r="V40" s="202" t="s">
        <v>3019</v>
      </c>
      <c r="W40" s="442">
        <v>0</v>
      </c>
      <c r="X40" s="442">
        <v>0</v>
      </c>
      <c r="Y40" s="442">
        <v>0</v>
      </c>
      <c r="Z40" s="442">
        <v>0</v>
      </c>
      <c r="AA40" s="442">
        <v>0</v>
      </c>
      <c r="AB40" s="442">
        <v>0</v>
      </c>
      <c r="AC40" s="442">
        <v>0</v>
      </c>
      <c r="AD40" s="442">
        <v>0</v>
      </c>
      <c r="AE40" s="442">
        <v>0</v>
      </c>
      <c r="AF40" s="442">
        <v>0</v>
      </c>
    </row>
    <row r="41" spans="1:32" x14ac:dyDescent="0.25">
      <c r="V41" s="202" t="s">
        <v>1526</v>
      </c>
      <c r="W41" s="442">
        <v>160.80666666666667</v>
      </c>
      <c r="X41" s="442">
        <v>161.80666666666667</v>
      </c>
      <c r="Y41" s="442">
        <v>242.79666666666668</v>
      </c>
      <c r="Z41" s="442">
        <v>162.79666666666668</v>
      </c>
      <c r="AA41" s="442">
        <v>167.80666666666667</v>
      </c>
      <c r="AB41" s="442">
        <v>223.69666666666666</v>
      </c>
      <c r="AC41" s="442">
        <v>143.69666666666666</v>
      </c>
      <c r="AD41" s="442">
        <v>301.39</v>
      </c>
      <c r="AE41" s="442">
        <v>238.10999999999999</v>
      </c>
      <c r="AF41" s="442">
        <v>73.89</v>
      </c>
    </row>
    <row r="42" spans="1:32" x14ac:dyDescent="0.25">
      <c r="V42" s="202" t="s">
        <v>50</v>
      </c>
      <c r="W42" s="442">
        <v>221.35</v>
      </c>
      <c r="X42" s="442">
        <v>262.78000000000003</v>
      </c>
      <c r="Y42" s="442">
        <v>271</v>
      </c>
      <c r="Z42" s="442">
        <v>249.49</v>
      </c>
      <c r="AA42" s="442">
        <v>352.01</v>
      </c>
      <c r="AB42" s="442">
        <v>392.88000000000005</v>
      </c>
      <c r="AC42" s="442">
        <v>386.31</v>
      </c>
      <c r="AD42" s="442">
        <v>489.71999999999997</v>
      </c>
      <c r="AE42" s="442">
        <v>222.62999999999997</v>
      </c>
      <c r="AF42" s="442">
        <v>121.4</v>
      </c>
    </row>
    <row r="43" spans="1:32" x14ac:dyDescent="0.25">
      <c r="V43" s="202" t="s">
        <v>1527</v>
      </c>
      <c r="W43" s="442">
        <v>426.22</v>
      </c>
      <c r="X43" s="442">
        <v>502</v>
      </c>
      <c r="Y43" s="442">
        <v>650.20000000000005</v>
      </c>
      <c r="Z43" s="442">
        <v>404.30999999999995</v>
      </c>
      <c r="AA43" s="442">
        <v>1794.3649999999998</v>
      </c>
      <c r="AB43" s="442">
        <v>2985.9049999999997</v>
      </c>
      <c r="AC43" s="442">
        <v>304.51</v>
      </c>
      <c r="AD43" s="442">
        <v>556.94333333333338</v>
      </c>
      <c r="AE43" s="442">
        <v>662.96333333333337</v>
      </c>
      <c r="AF43" s="442">
        <v>278.44333333333333</v>
      </c>
    </row>
    <row r="44" spans="1:32" x14ac:dyDescent="0.25">
      <c r="V44" s="202" t="s">
        <v>1686</v>
      </c>
      <c r="W44" s="442">
        <v>420</v>
      </c>
      <c r="X44" s="442">
        <v>887.29</v>
      </c>
      <c r="Y44" s="442">
        <v>304</v>
      </c>
      <c r="Z44" s="442">
        <v>344</v>
      </c>
      <c r="AA44" s="442">
        <v>372.9</v>
      </c>
      <c r="AB44" s="442">
        <v>151</v>
      </c>
      <c r="AC44" s="442">
        <v>195.32666666666665</v>
      </c>
      <c r="AD44" s="442">
        <v>179.32666666666665</v>
      </c>
      <c r="AE44" s="442">
        <v>223.44666666666666</v>
      </c>
      <c r="AF44" s="442">
        <v>195</v>
      </c>
    </row>
    <row r="45" spans="1:32" x14ac:dyDescent="0.25">
      <c r="A45"/>
      <c r="B45"/>
      <c r="C45"/>
      <c r="D45"/>
      <c r="E45"/>
      <c r="F45"/>
      <c r="G45"/>
      <c r="H45"/>
      <c r="I45"/>
      <c r="J45"/>
      <c r="V45" s="202" t="s">
        <v>6105</v>
      </c>
      <c r="W45" s="442">
        <v>9347.8866666666672</v>
      </c>
      <c r="X45" s="442">
        <v>6461.4266666666663</v>
      </c>
      <c r="Y45" s="442">
        <v>14790.786666666667</v>
      </c>
      <c r="Z45" s="442">
        <v>16721.989166666663</v>
      </c>
      <c r="AA45" s="442">
        <v>10759.513500000001</v>
      </c>
      <c r="AB45" s="442">
        <v>13282.985642857144</v>
      </c>
      <c r="AC45" s="442">
        <v>11819.52357142857</v>
      </c>
      <c r="AD45" s="442">
        <v>6766.9447380952388</v>
      </c>
      <c r="AE45" s="442">
        <v>7100.174404761904</v>
      </c>
      <c r="AF45" s="442">
        <v>3123.8929166666667</v>
      </c>
    </row>
    <row r="46" spans="1:32" x14ac:dyDescent="0.25">
      <c r="F46" s="79"/>
    </row>
    <row r="47" spans="1:32" x14ac:dyDescent="0.25">
      <c r="F47" s="79"/>
    </row>
    <row r="48" spans="1:32" x14ac:dyDescent="0.25">
      <c r="B48" s="864" t="s">
        <v>7480</v>
      </c>
      <c r="C48" s="864" t="s">
        <v>7481</v>
      </c>
      <c r="F48" s="79"/>
    </row>
    <row r="49" spans="1:16" s="200" customFormat="1" ht="18" customHeight="1" x14ac:dyDescent="0.3">
      <c r="A49" s="198" t="s">
        <v>362</v>
      </c>
      <c r="B49" s="846">
        <v>6000</v>
      </c>
      <c r="C49" s="846">
        <v>6300</v>
      </c>
      <c r="F49" s="196"/>
      <c r="G49" s="196"/>
      <c r="H49" s="196"/>
      <c r="I49" s="196"/>
      <c r="J49" s="196"/>
      <c r="K49" s="196"/>
      <c r="L49" s="196"/>
      <c r="M49" s="196"/>
    </row>
    <row r="50" spans="1:16" s="200" customFormat="1" ht="17.25" customHeight="1" x14ac:dyDescent="0.3">
      <c r="A50" s="198"/>
      <c r="I50" s="196"/>
      <c r="J50" s="196"/>
      <c r="K50" s="196"/>
      <c r="L50" s="196"/>
      <c r="M50" s="196"/>
      <c r="N50" s="196"/>
    </row>
    <row r="51" spans="1:16" ht="15.75" x14ac:dyDescent="0.25">
      <c r="A51" s="197" t="s">
        <v>5452</v>
      </c>
      <c r="B51" s="278" t="s">
        <v>5444</v>
      </c>
      <c r="C51" s="278" t="s">
        <v>345</v>
      </c>
      <c r="D51" s="195" t="s">
        <v>346</v>
      </c>
      <c r="E51" s="195" t="s">
        <v>347</v>
      </c>
      <c r="F51" s="195" t="s">
        <v>348</v>
      </c>
      <c r="G51" s="195" t="s">
        <v>349</v>
      </c>
      <c r="H51" s="195" t="s">
        <v>364</v>
      </c>
      <c r="I51" s="195" t="s">
        <v>351</v>
      </c>
      <c r="J51" s="195" t="s">
        <v>352</v>
      </c>
      <c r="K51" s="195" t="s">
        <v>353</v>
      </c>
      <c r="L51" s="195" t="s">
        <v>354</v>
      </c>
      <c r="M51" s="195" t="s">
        <v>355</v>
      </c>
      <c r="N51" s="195" t="s">
        <v>365</v>
      </c>
      <c r="O51" s="195" t="s">
        <v>357</v>
      </c>
      <c r="P51" s="193"/>
    </row>
    <row r="52" spans="1:16" x14ac:dyDescent="0.25">
      <c r="A52" s="79" t="s">
        <v>366</v>
      </c>
      <c r="B52" s="633">
        <f>C52/12</f>
        <v>2471.6666666666665</v>
      </c>
      <c r="C52" s="633">
        <f>SUM(D52:O52)</f>
        <v>29660</v>
      </c>
      <c r="D52" s="1112">
        <v>2080</v>
      </c>
      <c r="E52" s="1112">
        <v>2400</v>
      </c>
      <c r="F52" s="1112">
        <v>2520</v>
      </c>
      <c r="G52" s="1112">
        <v>2520</v>
      </c>
      <c r="H52" s="1112">
        <v>2520</v>
      </c>
      <c r="I52" s="1112">
        <v>2520</v>
      </c>
      <c r="J52" s="1112">
        <v>2520</v>
      </c>
      <c r="K52" s="1112">
        <v>2520</v>
      </c>
      <c r="L52" s="1112">
        <v>2520</v>
      </c>
      <c r="M52" s="1112">
        <v>2520</v>
      </c>
      <c r="N52" s="1112">
        <v>2520</v>
      </c>
      <c r="O52" s="1112">
        <v>2500</v>
      </c>
      <c r="P52" s="629"/>
    </row>
    <row r="53" spans="1:16" x14ac:dyDescent="0.25">
      <c r="A53" s="79" t="s">
        <v>367</v>
      </c>
      <c r="B53" s="633">
        <f t="shared" ref="B53:B63" si="2">C53/12</f>
        <v>2703.2766666666666</v>
      </c>
      <c r="C53" s="633">
        <f t="shared" ref="C53:C63" si="3">SUM(D53:O53)</f>
        <v>32439.32</v>
      </c>
      <c r="D53" s="1112">
        <v>2268.87</v>
      </c>
      <c r="E53" s="1003">
        <v>2716.5</v>
      </c>
      <c r="F53" s="1112">
        <v>2596.48</v>
      </c>
      <c r="G53" s="1112">
        <v>2596.48</v>
      </c>
      <c r="H53" s="1112">
        <v>2609.23</v>
      </c>
      <c r="I53" s="1112">
        <v>2609.23</v>
      </c>
      <c r="J53" s="1112">
        <v>2609.23</v>
      </c>
      <c r="K53" s="1112">
        <v>2609.23</v>
      </c>
      <c r="L53" s="1112">
        <v>2609.23</v>
      </c>
      <c r="M53" s="1112">
        <v>2609.23</v>
      </c>
      <c r="N53" s="1112">
        <v>2609.23</v>
      </c>
      <c r="O53" s="1112">
        <v>3996.38</v>
      </c>
      <c r="P53" s="216" t="s">
        <v>8686</v>
      </c>
    </row>
    <row r="54" spans="1:16" x14ac:dyDescent="0.25">
      <c r="A54" s="79" t="s">
        <v>2506</v>
      </c>
      <c r="B54" s="633">
        <f t="shared" si="2"/>
        <v>195.83333333333334</v>
      </c>
      <c r="C54" s="633">
        <f t="shared" si="3"/>
        <v>2350</v>
      </c>
      <c r="D54" s="1112">
        <v>150</v>
      </c>
      <c r="E54" s="1112">
        <v>200</v>
      </c>
      <c r="F54" s="1112">
        <v>200</v>
      </c>
      <c r="G54" s="1112">
        <v>200</v>
      </c>
      <c r="H54" s="1112">
        <v>200</v>
      </c>
      <c r="I54" s="1112">
        <v>200</v>
      </c>
      <c r="J54" s="1112">
        <v>200</v>
      </c>
      <c r="K54" s="1112">
        <v>200</v>
      </c>
      <c r="L54" s="1112">
        <v>200</v>
      </c>
      <c r="M54" s="1112">
        <v>200</v>
      </c>
      <c r="N54" s="1112">
        <v>200</v>
      </c>
      <c r="O54" s="1112">
        <v>200</v>
      </c>
      <c r="P54" s="216"/>
    </row>
    <row r="55" spans="1:16" x14ac:dyDescent="0.25">
      <c r="A55" s="79" t="s">
        <v>6772</v>
      </c>
      <c r="B55" s="633">
        <f t="shared" si="2"/>
        <v>488.03666666666669</v>
      </c>
      <c r="C55" s="633">
        <f t="shared" si="3"/>
        <v>5856.4400000000005</v>
      </c>
      <c r="D55" s="1112">
        <f>D22</f>
        <v>475.2</v>
      </c>
      <c r="E55" s="1112">
        <f>E22</f>
        <v>483.12</v>
      </c>
      <c r="F55" s="1112">
        <f>F22</f>
        <v>483.12</v>
      </c>
      <c r="G55" s="1112">
        <f t="shared" ref="G55" si="4">G22</f>
        <v>483.12</v>
      </c>
      <c r="H55" s="1112">
        <f>H22</f>
        <v>486.12</v>
      </c>
      <c r="I55" s="1112">
        <f>I22</f>
        <v>487.12</v>
      </c>
      <c r="J55" s="1112">
        <f>J22</f>
        <v>487.20000000000005</v>
      </c>
      <c r="K55" s="1112">
        <f>K22</f>
        <v>494.56000000000006</v>
      </c>
      <c r="L55" s="1112">
        <f>L22</f>
        <v>498.96000000000004</v>
      </c>
      <c r="M55" s="1112">
        <f t="shared" ref="M55" si="5">M22</f>
        <v>498.96</v>
      </c>
      <c r="N55" s="1112">
        <f>N22</f>
        <v>492.64</v>
      </c>
      <c r="O55" s="1112">
        <f>O22</f>
        <v>486.32</v>
      </c>
      <c r="P55" s="216"/>
    </row>
    <row r="56" spans="1:16" x14ac:dyDescent="0.25">
      <c r="A56" s="79" t="s">
        <v>368</v>
      </c>
      <c r="B56" s="633">
        <f t="shared" si="2"/>
        <v>628.3216666666666</v>
      </c>
      <c r="C56" s="633">
        <f t="shared" si="3"/>
        <v>7539.86</v>
      </c>
      <c r="D56" s="1112"/>
      <c r="E56" s="1112"/>
      <c r="F56" s="1112"/>
      <c r="G56" s="1112"/>
      <c r="H56" s="1112"/>
      <c r="I56" s="1112"/>
      <c r="J56" s="1112"/>
      <c r="K56" s="1112"/>
      <c r="L56" s="1112"/>
      <c r="M56" s="1113"/>
      <c r="N56" s="1113"/>
      <c r="O56" s="1113">
        <v>7539.86</v>
      </c>
      <c r="P56" s="216"/>
    </row>
    <row r="57" spans="1:16" x14ac:dyDescent="0.25">
      <c r="A57" s="79" t="s">
        <v>369</v>
      </c>
      <c r="B57" s="633">
        <f t="shared" si="2"/>
        <v>427.60416666666669</v>
      </c>
      <c r="C57" s="633">
        <f t="shared" si="3"/>
        <v>5131.25</v>
      </c>
      <c r="D57" s="1112"/>
      <c r="E57" s="1112"/>
      <c r="F57" s="1112"/>
      <c r="G57" s="1112"/>
      <c r="H57" s="1112"/>
      <c r="I57" s="1112"/>
      <c r="J57" s="1112"/>
      <c r="K57" s="1112"/>
      <c r="L57" s="1112"/>
      <c r="M57" s="1113"/>
      <c r="N57" s="1038">
        <v>3150</v>
      </c>
      <c r="O57" s="1113">
        <v>1981.25</v>
      </c>
      <c r="P57" s="216"/>
    </row>
    <row r="58" spans="1:16" x14ac:dyDescent="0.25">
      <c r="A58" s="79" t="s">
        <v>6329</v>
      </c>
      <c r="B58" s="633">
        <f t="shared" si="2"/>
        <v>468.75</v>
      </c>
      <c r="C58" s="633">
        <f t="shared" si="3"/>
        <v>5625</v>
      </c>
      <c r="D58" s="1112">
        <f>'Janeiro-25'!D198</f>
        <v>400</v>
      </c>
      <c r="E58" s="1112">
        <f>'Fevereiro-25'!D174</f>
        <v>400</v>
      </c>
      <c r="F58" s="1112">
        <f>'Março-25'!D209</f>
        <v>400</v>
      </c>
      <c r="G58" s="1112">
        <f>'Abril-25'!D186</f>
        <v>500</v>
      </c>
      <c r="H58" s="1112">
        <f>'Maio-25'!D199</f>
        <v>400</v>
      </c>
      <c r="I58" s="1112">
        <f>'Junho-25'!D188</f>
        <v>400</v>
      </c>
      <c r="J58" s="1112">
        <f>'Julho-25'!D207</f>
        <v>500</v>
      </c>
      <c r="K58" s="1112">
        <f>'Agosto-25'!D192</f>
        <v>500</v>
      </c>
      <c r="L58" s="1112">
        <f>'Setembro-25'!D181</f>
        <v>625</v>
      </c>
      <c r="M58" s="1113">
        <f>'Outubro-25'!D204</f>
        <v>375</v>
      </c>
      <c r="N58" s="1038">
        <f>'Novembro-25'!D191</f>
        <v>500</v>
      </c>
      <c r="O58" s="1113">
        <f>'Dezembro-25'!D220</f>
        <v>625</v>
      </c>
      <c r="P58" s="216"/>
    </row>
    <row r="59" spans="1:16" x14ac:dyDescent="0.25">
      <c r="A59" s="79" t="s">
        <v>5436</v>
      </c>
      <c r="B59" s="633">
        <f t="shared" si="2"/>
        <v>12.5</v>
      </c>
      <c r="C59" s="633">
        <f t="shared" si="3"/>
        <v>150</v>
      </c>
      <c r="D59" s="1112"/>
      <c r="E59" s="1112"/>
      <c r="F59" s="1112"/>
      <c r="G59" s="1112"/>
      <c r="H59" s="1112">
        <v>150</v>
      </c>
      <c r="I59" s="1112"/>
      <c r="J59" s="1112"/>
      <c r="K59" s="1112"/>
      <c r="L59" s="1112"/>
      <c r="M59" s="1113"/>
      <c r="N59" s="1038"/>
      <c r="O59" s="1113"/>
      <c r="P59" s="216"/>
    </row>
    <row r="60" spans="1:16" x14ac:dyDescent="0.25">
      <c r="A60" s="79" t="s">
        <v>6219</v>
      </c>
      <c r="B60" s="633">
        <f t="shared" si="2"/>
        <v>782.10333333333335</v>
      </c>
      <c r="C60" s="633">
        <f t="shared" si="3"/>
        <v>9385.24</v>
      </c>
      <c r="D60" s="1112"/>
      <c r="E60" s="1112"/>
      <c r="F60" s="1112"/>
      <c r="G60" s="1112"/>
      <c r="H60" s="1112"/>
      <c r="I60" s="1112"/>
      <c r="J60" s="1112"/>
      <c r="K60" s="1112"/>
      <c r="L60" s="1112"/>
      <c r="M60" s="1113">
        <v>9385.24</v>
      </c>
      <c r="N60" s="1038"/>
      <c r="O60" s="1113"/>
      <c r="P60" s="216"/>
    </row>
    <row r="61" spans="1:16" x14ac:dyDescent="0.25">
      <c r="A61" s="79" t="s">
        <v>8704</v>
      </c>
      <c r="B61" s="633">
        <f t="shared" si="2"/>
        <v>0</v>
      </c>
      <c r="C61" s="633">
        <f t="shared" si="3"/>
        <v>0</v>
      </c>
      <c r="D61" s="1112"/>
      <c r="E61" s="1112"/>
      <c r="F61" s="1112"/>
      <c r="G61" s="1112"/>
      <c r="H61" s="1112"/>
      <c r="I61" s="1112"/>
      <c r="J61" s="1112"/>
      <c r="K61" s="1112"/>
      <c r="L61" s="1112"/>
      <c r="M61" s="1113"/>
      <c r="N61" s="1038"/>
      <c r="O61" s="1113"/>
      <c r="P61" s="216"/>
    </row>
    <row r="62" spans="1:16" x14ac:dyDescent="0.25">
      <c r="A62" s="79" t="s">
        <v>7001</v>
      </c>
      <c r="B62" s="633">
        <f t="shared" si="2"/>
        <v>2082.65</v>
      </c>
      <c r="C62" s="633">
        <f t="shared" si="3"/>
        <v>24991.8</v>
      </c>
      <c r="D62" s="1112">
        <v>4998.3599999999997</v>
      </c>
      <c r="E62" s="1112">
        <v>4998.3599999999997</v>
      </c>
      <c r="F62" s="1112">
        <v>4998.3599999999997</v>
      </c>
      <c r="G62" s="1112">
        <v>4998.3599999999997</v>
      </c>
      <c r="H62" s="1112">
        <v>4998.3599999999997</v>
      </c>
      <c r="I62" s="1112"/>
      <c r="J62" s="1112"/>
      <c r="K62" s="1112"/>
      <c r="L62" s="1112"/>
      <c r="M62" s="1113"/>
      <c r="N62" s="1113"/>
      <c r="O62" s="1113"/>
      <c r="P62" s="216"/>
    </row>
    <row r="63" spans="1:16" x14ac:dyDescent="0.25">
      <c r="A63" s="79" t="s">
        <v>5447</v>
      </c>
      <c r="B63" s="633">
        <f t="shared" si="2"/>
        <v>0</v>
      </c>
      <c r="C63" s="633">
        <f t="shared" si="3"/>
        <v>0</v>
      </c>
      <c r="D63" s="1112"/>
      <c r="E63" s="1112"/>
      <c r="F63" s="1112"/>
      <c r="G63" s="1112"/>
      <c r="H63" s="1112"/>
      <c r="I63" s="1112"/>
      <c r="J63" s="1112"/>
      <c r="K63" s="1112"/>
      <c r="L63" s="1112"/>
      <c r="M63" s="1113"/>
      <c r="N63" s="1038"/>
      <c r="O63" s="1113"/>
      <c r="P63" s="216"/>
    </row>
    <row r="64" spans="1:16" ht="15.75" x14ac:dyDescent="0.25">
      <c r="A64" s="280" t="s">
        <v>361</v>
      </c>
      <c r="B64" s="206">
        <f t="shared" ref="B64:H64" si="6">SUM(B52:B63)</f>
        <v>10260.7425</v>
      </c>
      <c r="C64" s="206">
        <f t="shared" si="6"/>
        <v>123128.91</v>
      </c>
      <c r="D64" s="206">
        <f t="shared" si="6"/>
        <v>10372.43</v>
      </c>
      <c r="E64" s="206">
        <f t="shared" si="6"/>
        <v>11197.98</v>
      </c>
      <c r="F64" s="206">
        <f t="shared" si="6"/>
        <v>11197.96</v>
      </c>
      <c r="G64" s="206">
        <f t="shared" si="6"/>
        <v>11297.96</v>
      </c>
      <c r="H64" s="206">
        <f t="shared" si="6"/>
        <v>11363.71</v>
      </c>
      <c r="I64" s="206">
        <f t="shared" ref="I64:O64" si="7">SUM(I52:I63)</f>
        <v>6216.3499999999995</v>
      </c>
      <c r="J64" s="206">
        <f>SUM(J52:J63)</f>
        <v>6316.4299999999994</v>
      </c>
      <c r="K64" s="206">
        <f t="shared" si="7"/>
        <v>6323.79</v>
      </c>
      <c r="L64" s="206">
        <f t="shared" si="7"/>
        <v>6453.19</v>
      </c>
      <c r="M64" s="206">
        <f t="shared" si="7"/>
        <v>15588.43</v>
      </c>
      <c r="N64" s="206">
        <f>SUM(N52:N63)</f>
        <v>9471.869999999999</v>
      </c>
      <c r="O64" s="206">
        <f t="shared" si="7"/>
        <v>17328.809999999998</v>
      </c>
      <c r="P64" s="633"/>
    </row>
    <row r="65" spans="1:16" ht="15.75" x14ac:dyDescent="0.25">
      <c r="A65" s="280"/>
      <c r="B65" s="206"/>
      <c r="C65" s="216"/>
      <c r="D65" s="865"/>
      <c r="E65" s="1112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633"/>
    </row>
    <row r="66" spans="1:16" x14ac:dyDescent="0.25">
      <c r="B66" s="206"/>
      <c r="C66" s="865"/>
      <c r="D66" s="865"/>
      <c r="E66" s="865"/>
      <c r="F66" s="865"/>
      <c r="G66" s="865"/>
      <c r="H66" s="865"/>
      <c r="I66" s="865"/>
      <c r="J66" s="865"/>
      <c r="K66" s="865"/>
      <c r="L66" s="865"/>
      <c r="M66" s="865"/>
      <c r="N66" s="865"/>
      <c r="O66" s="865"/>
      <c r="P66" s="865"/>
    </row>
    <row r="67" spans="1:16" x14ac:dyDescent="0.25">
      <c r="B67" s="206"/>
      <c r="C67" s="865"/>
      <c r="D67" s="865"/>
      <c r="E67" s="865"/>
      <c r="F67" s="865"/>
      <c r="G67" s="865"/>
      <c r="H67" s="865"/>
      <c r="I67" s="865"/>
      <c r="J67" s="865"/>
      <c r="K67" s="865"/>
      <c r="L67" s="865"/>
      <c r="M67" s="865"/>
      <c r="N67" s="865"/>
      <c r="O67" s="865"/>
      <c r="P67" s="216"/>
    </row>
    <row r="68" spans="1:16" ht="17.25" customHeight="1" x14ac:dyDescent="0.3">
      <c r="A68" s="353" t="s">
        <v>5448</v>
      </c>
      <c r="B68" s="200" t="s">
        <v>381</v>
      </c>
      <c r="C68" s="1094" t="s">
        <v>382</v>
      </c>
      <c r="D68" s="355" t="s">
        <v>383</v>
      </c>
    </row>
    <row r="69" spans="1:16" ht="18.75" x14ac:dyDescent="0.3">
      <c r="A69" s="353">
        <f>B64</f>
        <v>10260.7425</v>
      </c>
      <c r="B69" s="329" t="s">
        <v>32</v>
      </c>
      <c r="C69" s="338">
        <f t="shared" ref="C69:C85" ca="1" si="8">B3</f>
        <v>425.02583333333337</v>
      </c>
      <c r="D69" s="225">
        <f ca="1">C69/$A$69</f>
        <v>4.1422522135540714E-2</v>
      </c>
      <c r="F69" s="801"/>
      <c r="G69" s="629"/>
      <c r="I69" s="629"/>
    </row>
    <row r="70" spans="1:16" x14ac:dyDescent="0.25">
      <c r="B70" s="329" t="s">
        <v>2187</v>
      </c>
      <c r="C70" s="338">
        <f t="shared" ca="1" si="8"/>
        <v>45.647500000000001</v>
      </c>
      <c r="D70" s="225">
        <f t="shared" ref="D70:D85" ca="1" si="9">C70/$A$69</f>
        <v>4.4487521249071396E-3</v>
      </c>
      <c r="E70" s="177"/>
      <c r="F70" s="801"/>
      <c r="G70" s="629"/>
      <c r="I70" s="629"/>
    </row>
    <row r="71" spans="1:16" x14ac:dyDescent="0.25">
      <c r="B71" s="329" t="s">
        <v>50</v>
      </c>
      <c r="C71" s="338">
        <f t="shared" ca="1" si="8"/>
        <v>326.57166666666666</v>
      </c>
      <c r="D71" s="225">
        <f t="shared" ca="1" si="9"/>
        <v>3.1827293849998342E-2</v>
      </c>
      <c r="E71" s="177"/>
      <c r="F71" s="801"/>
      <c r="G71" s="629"/>
      <c r="I71" s="629"/>
    </row>
    <row r="72" spans="1:16" x14ac:dyDescent="0.25">
      <c r="B72" s="329" t="s">
        <v>14</v>
      </c>
      <c r="C72" s="338">
        <f t="shared" ca="1" si="8"/>
        <v>191.64933333333337</v>
      </c>
      <c r="D72" s="225">
        <f t="shared" ca="1" si="9"/>
        <v>1.8677920563091158E-2</v>
      </c>
      <c r="E72" s="177"/>
      <c r="F72" s="801"/>
      <c r="G72" s="629"/>
      <c r="I72" s="629"/>
    </row>
    <row r="73" spans="1:16" x14ac:dyDescent="0.25">
      <c r="B73" s="329" t="s">
        <v>358</v>
      </c>
      <c r="C73" s="338">
        <f t="shared" ca="1" si="8"/>
        <v>171.71333333333334</v>
      </c>
      <c r="D73" s="225">
        <f t="shared" ca="1" si="9"/>
        <v>1.6734981248514261E-2</v>
      </c>
      <c r="E73" s="177"/>
      <c r="F73" s="801"/>
      <c r="G73" s="629"/>
      <c r="I73" s="629"/>
    </row>
    <row r="74" spans="1:16" x14ac:dyDescent="0.25">
      <c r="B74" s="329" t="s">
        <v>2189</v>
      </c>
      <c r="C74" s="338">
        <f t="shared" ca="1" si="8"/>
        <v>123.07583333333332</v>
      </c>
      <c r="D74" s="225">
        <f t="shared" ca="1" si="9"/>
        <v>1.1994827209954184E-2</v>
      </c>
      <c r="E74" s="177"/>
      <c r="F74" s="801"/>
      <c r="G74" s="629"/>
      <c r="I74" s="629"/>
    </row>
    <row r="75" spans="1:16" x14ac:dyDescent="0.25">
      <c r="B75" s="329" t="s">
        <v>53</v>
      </c>
      <c r="C75" s="338">
        <f t="shared" ca="1" si="8"/>
        <v>301.64249999999998</v>
      </c>
      <c r="D75" s="225">
        <f t="shared" ca="1" si="9"/>
        <v>2.9397726334132249E-2</v>
      </c>
      <c r="E75" s="177"/>
      <c r="F75" s="801"/>
      <c r="G75" s="629"/>
      <c r="I75" s="629"/>
    </row>
    <row r="76" spans="1:16" x14ac:dyDescent="0.25">
      <c r="B76" s="329" t="s">
        <v>56</v>
      </c>
      <c r="C76" s="338">
        <f t="shared" ca="1" si="8"/>
        <v>272.00416666666666</v>
      </c>
      <c r="D76" s="225">
        <f t="shared" ca="1" si="9"/>
        <v>2.6509208925832282E-2</v>
      </c>
      <c r="E76" s="177"/>
      <c r="F76" s="801"/>
      <c r="G76" s="629"/>
      <c r="I76" s="629"/>
    </row>
    <row r="77" spans="1:16" ht="14.25" customHeight="1" x14ac:dyDescent="0.25">
      <c r="B77" s="329" t="s">
        <v>1686</v>
      </c>
      <c r="C77" s="338">
        <f t="shared" ca="1" si="8"/>
        <v>376.55</v>
      </c>
      <c r="D77" s="225">
        <f t="shared" ca="1" si="9"/>
        <v>3.6698123941810254E-2</v>
      </c>
      <c r="F77" s="801"/>
      <c r="G77" s="629"/>
      <c r="I77" s="629"/>
    </row>
    <row r="78" spans="1:16" x14ac:dyDescent="0.25">
      <c r="B78" s="329" t="s">
        <v>418</v>
      </c>
      <c r="C78" s="338">
        <f t="shared" ca="1" si="8"/>
        <v>4708.8341587301584</v>
      </c>
      <c r="D78" s="225">
        <f t="shared" ca="1" si="9"/>
        <v>0.45891748659808568</v>
      </c>
      <c r="F78" s="801"/>
      <c r="G78" s="629"/>
      <c r="I78" s="629"/>
    </row>
    <row r="79" spans="1:16" x14ac:dyDescent="0.25">
      <c r="B79" s="329" t="s">
        <v>6732</v>
      </c>
      <c r="C79" s="338">
        <f t="shared" ca="1" si="8"/>
        <v>1010.0399999999996</v>
      </c>
      <c r="D79" s="225">
        <f ca="1">C79/$A$69</f>
        <v>9.8437320690973343E-2</v>
      </c>
      <c r="F79" s="801"/>
    </row>
    <row r="80" spans="1:16" x14ac:dyDescent="0.25">
      <c r="B80" s="329" t="s">
        <v>6733</v>
      </c>
      <c r="C80" s="338">
        <f t="shared" ca="1" si="8"/>
        <v>563.88930555555555</v>
      </c>
      <c r="D80" s="225">
        <f t="shared" ca="1" si="9"/>
        <v>5.4955994223181759E-2</v>
      </c>
    </row>
    <row r="81" spans="2:5" x14ac:dyDescent="0.25">
      <c r="B81" s="329" t="s">
        <v>911</v>
      </c>
      <c r="C81" s="338">
        <f t="shared" ca="1" si="8"/>
        <v>480.45343750000001</v>
      </c>
      <c r="D81" s="225">
        <f t="shared" ca="1" si="9"/>
        <v>4.6824431808906615E-2</v>
      </c>
      <c r="E81" s="85" t="s">
        <v>280</v>
      </c>
    </row>
    <row r="82" spans="2:5" x14ac:dyDescent="0.25">
      <c r="B82" s="329" t="s">
        <v>1526</v>
      </c>
      <c r="C82" s="338">
        <f t="shared" ca="1" si="8"/>
        <v>210.99472222222221</v>
      </c>
      <c r="D82" s="225">
        <f t="shared" ca="1" si="9"/>
        <v>2.0563299607433107E-2</v>
      </c>
    </row>
    <row r="83" spans="2:5" x14ac:dyDescent="0.25">
      <c r="B83" s="329" t="s">
        <v>2343</v>
      </c>
      <c r="C83" s="338">
        <f t="shared" ca="1" si="8"/>
        <v>0</v>
      </c>
      <c r="D83" s="225">
        <f t="shared" ca="1" si="9"/>
        <v>0</v>
      </c>
    </row>
    <row r="84" spans="2:5" x14ac:dyDescent="0.25">
      <c r="B84" s="329" t="s">
        <v>3019</v>
      </c>
      <c r="C84" s="338">
        <f t="shared" ca="1" si="8"/>
        <v>15</v>
      </c>
      <c r="D84" s="225">
        <f t="shared" ca="1" si="9"/>
        <v>1.4618825099645565E-3</v>
      </c>
    </row>
    <row r="85" spans="2:5" x14ac:dyDescent="0.25">
      <c r="B85" s="329" t="s">
        <v>1527</v>
      </c>
      <c r="C85" s="338">
        <f t="shared" ca="1" si="8"/>
        <v>862.65750000000014</v>
      </c>
      <c r="D85" s="225">
        <f t="shared" ca="1" si="9"/>
        <v>8.4073594089316653E-2</v>
      </c>
    </row>
    <row r="86" spans="2:5" x14ac:dyDescent="0.25">
      <c r="C86" s="867"/>
      <c r="D86" s="1122"/>
    </row>
    <row r="87" spans="2:5" ht="18.75" x14ac:dyDescent="0.3">
      <c r="B87" s="200" t="s">
        <v>388</v>
      </c>
      <c r="C87" s="1095">
        <f ca="1">SUM(C69:C85)</f>
        <v>10085.749290674603</v>
      </c>
      <c r="D87" s="1087">
        <f ca="1">SUM(D69:D85)</f>
        <v>0.98294536586164238</v>
      </c>
    </row>
  </sheetData>
  <scenarios current="0" show="0">
    <scenario name="teste" locked="1" count="24" user="Alexandre" comment="Criado por Alexandre em 31/10/2024">
      <inputCells r="D2" val="Janeiro"/>
      <inputCells r="E2" val="Fevereiro"/>
      <inputCells r="F2" val="Março"/>
      <inputCells r="G2" val="Abril"/>
      <inputCells r="H2" val="Maio"/>
      <inputCells r="I2" val="Junho"/>
      <inputCells r="J2" val="Julho"/>
      <inputCells r="K2" val="Agosto"/>
      <inputCells r="L2" val="Setembro"/>
      <inputCells r="M2" val="Outubro"/>
      <inputCells r="N2" val="Novembro"/>
      <inputCells r="O2" val="Dezembro"/>
      <inputCells r="D3" val="316,8"/>
      <inputCells r="E3" val="378,4"/>
      <inputCells r="F3" val="389,85"/>
      <inputCells r="G3" val="426,35"/>
      <inputCells r="H3" val="452,8"/>
      <inputCells r="I3" val="450,4"/>
      <inputCells r="J3" val="479,9"/>
      <inputCells r="K3" val="468,5"/>
      <inputCells r="L3" val="508"/>
      <inputCells r="M3" val="431,9"/>
      <inputCells r="N3" val="0"/>
      <inputCells r="O3" val="0"/>
    </scenario>
  </scenarios>
  <conditionalFormatting sqref="G3:G6">
    <cfRule type="cellIs" dxfId="5" priority="1" operator="greaterThan">
      <formula>$F$3</formula>
    </cfRule>
  </conditionalFormatting>
  <conditionalFormatting sqref="L3:L19">
    <cfRule type="cellIs" dxfId="4" priority="3" operator="greaterThan">
      <formula>K3</formula>
    </cfRule>
  </conditionalFormatting>
  <conditionalFormatting sqref="M3:O19">
    <cfRule type="cellIs" dxfId="3" priority="2" operator="greaterThan">
      <formula>L3</formula>
    </cfRule>
  </conditionalFormatting>
  <pageMargins left="0.78740157499999996" right="0.78740157499999996" top="0.984251969" bottom="0.984251969" header="0.49212598499999999" footer="0.49212598499999999"/>
  <pageSetup paperSize="9" orientation="landscape" horizontalDpi="4294967294" r:id="rId2"/>
  <headerFooter alignWithMargins="0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41D1-E49D-4710-84E7-21E3B067C77D}">
  <sheetPr codeName="Planilha33"/>
  <dimension ref="A1:R86"/>
  <sheetViews>
    <sheetView topLeftCell="A34" zoomScale="85" zoomScaleNormal="85" workbookViewId="0">
      <selection activeCell="A60" sqref="A60"/>
    </sheetView>
  </sheetViews>
  <sheetFormatPr defaultColWidth="9.140625" defaultRowHeight="15" x14ac:dyDescent="0.25"/>
  <cols>
    <col min="1" max="1" width="34.5703125" style="79" customWidth="1"/>
    <col min="2" max="2" width="21.28515625" style="79" customWidth="1"/>
    <col min="3" max="3" width="15.140625" style="89" customWidth="1"/>
    <col min="4" max="4" width="15.140625" style="85" customWidth="1"/>
    <col min="5" max="5" width="15.5703125" style="85" customWidth="1"/>
    <col min="6" max="6" width="14.5703125" style="89" customWidth="1"/>
    <col min="7" max="7" width="13.85546875" style="79" customWidth="1"/>
    <col min="8" max="8" width="14.28515625" style="79" bestFit="1" customWidth="1"/>
    <col min="9" max="9" width="14.7109375" style="79" customWidth="1"/>
    <col min="10" max="11" width="13.85546875" style="79" customWidth="1"/>
    <col min="12" max="13" width="13.7109375" style="79" customWidth="1"/>
    <col min="14" max="14" width="14.85546875" style="79" customWidth="1"/>
    <col min="15" max="15" width="13.7109375" style="79" customWidth="1"/>
    <col min="16" max="16" width="15.28515625" style="79" bestFit="1" customWidth="1"/>
    <col min="17" max="17" width="11.7109375" style="79" bestFit="1" customWidth="1"/>
    <col min="18" max="18" width="14.7109375" style="79" customWidth="1"/>
    <col min="19" max="16384" width="9.140625" style="79"/>
  </cols>
  <sheetData>
    <row r="1" spans="1:18" x14ac:dyDescent="0.25">
      <c r="A1" s="329"/>
      <c r="B1" s="329"/>
      <c r="C1" s="330"/>
      <c r="D1" s="331"/>
      <c r="E1" s="331"/>
      <c r="F1" s="330"/>
      <c r="G1" s="329"/>
      <c r="H1" s="329"/>
      <c r="I1" s="329"/>
      <c r="J1" s="329"/>
      <c r="K1" s="329"/>
      <c r="L1" s="329"/>
      <c r="M1" s="329"/>
      <c r="N1" s="329"/>
    </row>
    <row r="2" spans="1:18" ht="15.75" x14ac:dyDescent="0.25">
      <c r="A2" s="333" t="s">
        <v>6078</v>
      </c>
      <c r="B2" s="334" t="s">
        <v>344</v>
      </c>
      <c r="C2" s="1041" t="s">
        <v>345</v>
      </c>
      <c r="D2" s="334" t="s">
        <v>346</v>
      </c>
      <c r="E2" s="334" t="s">
        <v>347</v>
      </c>
      <c r="F2" s="334" t="s">
        <v>348</v>
      </c>
      <c r="G2" s="334" t="s">
        <v>349</v>
      </c>
      <c r="H2" s="334" t="s">
        <v>350</v>
      </c>
      <c r="I2" s="334" t="s">
        <v>351</v>
      </c>
      <c r="J2" s="334" t="s">
        <v>352</v>
      </c>
      <c r="K2" s="334" t="s">
        <v>353</v>
      </c>
      <c r="L2" s="334" t="s">
        <v>354</v>
      </c>
      <c r="M2" s="334" t="s">
        <v>355</v>
      </c>
      <c r="N2" s="334" t="s">
        <v>356</v>
      </c>
      <c r="O2" s="334" t="s">
        <v>357</v>
      </c>
    </row>
    <row r="3" spans="1:18" x14ac:dyDescent="0.25">
      <c r="A3" s="329" t="s">
        <v>32</v>
      </c>
      <c r="B3" s="336">
        <f>C3/12</f>
        <v>429.77416666666664</v>
      </c>
      <c r="C3" s="1042">
        <f>D3+E3+F3+G3+H3+I3+J3+K3+L3+M3+N3+O3</f>
        <v>5157.29</v>
      </c>
      <c r="D3" s="549">
        <f>'Janeiro-24'!D126</f>
        <v>316.8</v>
      </c>
      <c r="E3" s="547">
        <f>'Fevereiro-24'!D115</f>
        <v>378.40000000000003</v>
      </c>
      <c r="F3" s="549">
        <f>'Março-24'!D150</f>
        <v>389.85</v>
      </c>
      <c r="G3" s="549">
        <f>'Abril-24'!D136</f>
        <v>426.34999999999997</v>
      </c>
      <c r="H3" s="549">
        <f>'Maio-24'!D151</f>
        <v>452.79999999999995</v>
      </c>
      <c r="I3" s="588">
        <f>'Junho-24'!D153</f>
        <v>450.4</v>
      </c>
      <c r="J3" s="549">
        <f>'Julho-24'!D147</f>
        <v>479.9</v>
      </c>
      <c r="K3" s="588">
        <f>'Agosto-24'!D152</f>
        <v>468.5</v>
      </c>
      <c r="L3" s="588">
        <f>'Setembro-24'!D149</f>
        <v>508</v>
      </c>
      <c r="M3" s="565">
        <f>'Outubro-24'!D169</f>
        <v>431.9</v>
      </c>
      <c r="N3" s="565">
        <f>'Novembro-24'!D187</f>
        <v>442.8</v>
      </c>
      <c r="O3" s="565">
        <f>'Dezembro-24'!D188</f>
        <v>411.59</v>
      </c>
      <c r="P3" s="609"/>
      <c r="Q3" s="216"/>
      <c r="R3" s="609"/>
    </row>
    <row r="4" spans="1:18" x14ac:dyDescent="0.25">
      <c r="A4" s="329" t="s">
        <v>2187</v>
      </c>
      <c r="B4" s="336">
        <f t="shared" ref="B4:B19" si="0">C4/12</f>
        <v>267.33666666666664</v>
      </c>
      <c r="C4" s="1042">
        <f t="shared" ref="C4:C18" si="1">D4+E4+F4+G4+H4+I4+J4+K4+L4+M4+N4+O4</f>
        <v>3208.04</v>
      </c>
      <c r="D4" s="549">
        <f>'Janeiro-24'!D127</f>
        <v>496.92</v>
      </c>
      <c r="E4" s="587">
        <f>'Fevereiro-24'!D116</f>
        <v>400</v>
      </c>
      <c r="F4" s="588">
        <f>'Março-24'!D151</f>
        <v>390</v>
      </c>
      <c r="G4" s="549">
        <f>'Abril-24'!D137</f>
        <v>400</v>
      </c>
      <c r="H4" s="549">
        <f>'Maio-24'!D152</f>
        <v>422.79</v>
      </c>
      <c r="I4" s="588">
        <f>'Junho-24'!D154</f>
        <v>390.58</v>
      </c>
      <c r="J4" s="549">
        <f>'Julho-24'!D148</f>
        <v>449.72999999999996</v>
      </c>
      <c r="K4" s="588">
        <f>'Agosto-24'!D153</f>
        <v>190</v>
      </c>
      <c r="L4" s="588">
        <f>'Setembro-24'!D150</f>
        <v>48.02</v>
      </c>
      <c r="M4" s="565">
        <f>'Outubro-24'!D170</f>
        <v>0</v>
      </c>
      <c r="N4" s="565">
        <f>'Novembro-24'!D188</f>
        <v>20</v>
      </c>
      <c r="O4" s="565">
        <f>'Dezembro-24'!D189</f>
        <v>0</v>
      </c>
      <c r="P4" s="609"/>
      <c r="Q4" s="216"/>
      <c r="R4" s="609"/>
    </row>
    <row r="5" spans="1:18" x14ac:dyDescent="0.25">
      <c r="A5" s="329" t="s">
        <v>50</v>
      </c>
      <c r="B5" s="336">
        <f t="shared" si="0"/>
        <v>323.95416666666665</v>
      </c>
      <c r="C5" s="1042">
        <f t="shared" si="1"/>
        <v>3887.45</v>
      </c>
      <c r="D5" s="588">
        <f>'Janeiro-24'!D128</f>
        <v>330.25999999999993</v>
      </c>
      <c r="E5" s="587">
        <f>'Fevereiro-24'!D117</f>
        <v>255.74</v>
      </c>
      <c r="F5" s="549">
        <f>'Março-24'!D152</f>
        <v>526.75</v>
      </c>
      <c r="G5" s="588">
        <f>'Abril-24'!D138</f>
        <v>227</v>
      </c>
      <c r="H5" s="549">
        <f>'Maio-24'!D153</f>
        <v>325.32000000000005</v>
      </c>
      <c r="I5" s="549">
        <f>'Junho-24'!D155</f>
        <v>329.83</v>
      </c>
      <c r="J5" s="588">
        <f>'Julho-24'!D149</f>
        <v>305.33000000000004</v>
      </c>
      <c r="K5" s="549">
        <f>'Agosto-24'!D154</f>
        <v>342.69</v>
      </c>
      <c r="L5" s="588">
        <f>'Setembro-24'!D151</f>
        <v>393.28</v>
      </c>
      <c r="M5" s="565">
        <f>'Outubro-24'!D171</f>
        <v>287.09000000000003</v>
      </c>
      <c r="N5" s="565">
        <f>'Novembro-24'!D189</f>
        <v>294.17</v>
      </c>
      <c r="O5" s="565">
        <f>'Dezembro-24'!D190</f>
        <v>269.99</v>
      </c>
      <c r="P5" s="609"/>
      <c r="Q5" s="216"/>
      <c r="R5" s="609"/>
    </row>
    <row r="6" spans="1:18" x14ac:dyDescent="0.25">
      <c r="A6" s="329" t="s">
        <v>14</v>
      </c>
      <c r="B6" s="336">
        <f t="shared" si="0"/>
        <v>137.54583333333332</v>
      </c>
      <c r="C6" s="1042">
        <f t="shared" si="1"/>
        <v>1650.5499999999997</v>
      </c>
      <c r="D6" s="588">
        <f>'Janeiro-24'!D129</f>
        <v>101.8</v>
      </c>
      <c r="E6" s="587">
        <f>'Fevereiro-24'!D118</f>
        <v>75.88</v>
      </c>
      <c r="F6" s="549">
        <f>'Março-24'!D153</f>
        <v>113.05999999999999</v>
      </c>
      <c r="G6" s="588">
        <f>'Abril-24'!D139</f>
        <v>87.16</v>
      </c>
      <c r="H6" s="549">
        <f>'Maio-24'!D154</f>
        <v>143.54</v>
      </c>
      <c r="I6" s="588">
        <f>'Junho-24'!D156</f>
        <v>142.03</v>
      </c>
      <c r="J6" s="588">
        <f>'Julho-24'!D150</f>
        <v>103.11</v>
      </c>
      <c r="K6" s="549">
        <f>'Agosto-24'!D155</f>
        <v>166.47000000000003</v>
      </c>
      <c r="L6" s="588">
        <f>'Setembro-24'!D152</f>
        <v>78.28</v>
      </c>
      <c r="M6" s="565">
        <f>'Outubro-24'!D172</f>
        <v>178.44</v>
      </c>
      <c r="N6" s="565">
        <f>'Novembro-24'!D190</f>
        <v>222.35999999999999</v>
      </c>
      <c r="O6" s="565">
        <f>'Dezembro-24'!D191</f>
        <v>238.41999999999993</v>
      </c>
      <c r="P6" s="609"/>
      <c r="Q6" s="216"/>
      <c r="R6" s="609"/>
    </row>
    <row r="7" spans="1:18" x14ac:dyDescent="0.25">
      <c r="A7" s="329" t="s">
        <v>358</v>
      </c>
      <c r="B7" s="336">
        <f t="shared" si="0"/>
        <v>121.68166666666666</v>
      </c>
      <c r="C7" s="1042">
        <f t="shared" si="1"/>
        <v>1460.1799999999998</v>
      </c>
      <c r="D7" s="549">
        <f>'Janeiro-24'!D130</f>
        <v>82.69</v>
      </c>
      <c r="E7" s="547">
        <f>'Fevereiro-24'!D119</f>
        <v>140.25</v>
      </c>
      <c r="F7" s="588">
        <f>'Março-24'!D154</f>
        <v>80.2</v>
      </c>
      <c r="G7" s="549">
        <f>'Abril-24'!D140</f>
        <v>213.93</v>
      </c>
      <c r="H7" s="588">
        <f>'Maio-24'!D155</f>
        <v>125.75</v>
      </c>
      <c r="I7" s="588">
        <f>'Junho-24'!D157</f>
        <v>85.84</v>
      </c>
      <c r="J7" s="549">
        <f>'Julho-24'!D151</f>
        <v>144.63999999999999</v>
      </c>
      <c r="K7" s="588">
        <f>'Agosto-24'!D156</f>
        <v>131.16</v>
      </c>
      <c r="L7" s="588">
        <f>'Setembro-24'!D153</f>
        <v>69.430000000000007</v>
      </c>
      <c r="M7" s="565">
        <f>'Outubro-24'!D173</f>
        <v>110.84</v>
      </c>
      <c r="N7" s="565">
        <f>'Novembro-24'!D191</f>
        <v>95</v>
      </c>
      <c r="O7" s="565">
        <f>'Dezembro-24'!D192</f>
        <v>180.45</v>
      </c>
      <c r="P7" s="609"/>
      <c r="Q7" s="216"/>
      <c r="R7" s="609"/>
    </row>
    <row r="8" spans="1:18" x14ac:dyDescent="0.25">
      <c r="A8" s="329" t="s">
        <v>2189</v>
      </c>
      <c r="B8" s="336">
        <f t="shared" si="0"/>
        <v>117.35208333333333</v>
      </c>
      <c r="C8" s="1043">
        <f t="shared" si="1"/>
        <v>1408.2249999999999</v>
      </c>
      <c r="D8" s="588">
        <f>'Janeiro-24'!D131</f>
        <v>90</v>
      </c>
      <c r="E8" s="547">
        <f>'Fevereiro-24'!D120</f>
        <v>129.285</v>
      </c>
      <c r="F8" s="588">
        <f>'Março-24'!D155</f>
        <v>129.38999999999999</v>
      </c>
      <c r="G8" s="549">
        <f>'Abril-24'!D141</f>
        <v>164.11</v>
      </c>
      <c r="H8" s="588">
        <f>'Maio-24'!D156</f>
        <v>90</v>
      </c>
      <c r="I8" s="588">
        <f>'Junho-24'!D158</f>
        <v>90</v>
      </c>
      <c r="J8" s="588">
        <f>'Julho-24'!D152</f>
        <v>90</v>
      </c>
      <c r="K8" s="549">
        <f>'Agosto-24'!D157</f>
        <v>165.48000000000002</v>
      </c>
      <c r="L8" s="588">
        <f>'Setembro-24'!D154</f>
        <v>100</v>
      </c>
      <c r="M8" s="565">
        <f>'Outubro-24'!D174</f>
        <v>100</v>
      </c>
      <c r="N8" s="565">
        <f>'Novembro-24'!D192</f>
        <v>100</v>
      </c>
      <c r="O8" s="565">
        <f>'Dezembro-24'!D193</f>
        <v>159.96</v>
      </c>
      <c r="P8" s="609"/>
      <c r="Q8" s="216"/>
      <c r="R8" s="609"/>
    </row>
    <row r="9" spans="1:18" x14ac:dyDescent="0.25">
      <c r="A9" s="329" t="s">
        <v>53</v>
      </c>
      <c r="B9" s="336">
        <f t="shared" si="0"/>
        <v>363.74208333333331</v>
      </c>
      <c r="C9" s="1043">
        <f>D9+E9+F9+G9+H9+I9+J9+K9+L9+M9+N9+O9</f>
        <v>4364.9049999999997</v>
      </c>
      <c r="D9" s="588">
        <f>'Janeiro-24'!D132</f>
        <v>800</v>
      </c>
      <c r="E9" s="547">
        <f>'Fevereiro-24'!D121</f>
        <v>1568.49</v>
      </c>
      <c r="F9" s="588">
        <f>'Março-24'!D156</f>
        <v>545.97</v>
      </c>
      <c r="G9" s="588">
        <f>'Abril-24'!D142</f>
        <v>475.65499999999997</v>
      </c>
      <c r="H9" s="588">
        <f>'Maio-24'!D157</f>
        <v>69.66</v>
      </c>
      <c r="I9" s="588">
        <f>'Junho-24'!D159</f>
        <v>67.67</v>
      </c>
      <c r="J9" s="549">
        <f>'Julho-24'!D153</f>
        <v>361.57</v>
      </c>
      <c r="K9" s="588">
        <f>'Agosto-24'!D158</f>
        <v>56.67</v>
      </c>
      <c r="L9" s="588">
        <f>'Setembro-24'!D155</f>
        <v>115</v>
      </c>
      <c r="M9" s="565">
        <f>'Outubro-24'!D175</f>
        <v>0</v>
      </c>
      <c r="N9" s="565">
        <f>'Novembro-24'!D193</f>
        <v>20</v>
      </c>
      <c r="O9" s="565">
        <f>'Dezembro-24'!D194</f>
        <v>284.22000000000003</v>
      </c>
      <c r="P9" s="609"/>
      <c r="Q9" s="216"/>
      <c r="R9" s="609"/>
    </row>
    <row r="10" spans="1:18" x14ac:dyDescent="0.25">
      <c r="A10" s="329" t="s">
        <v>3048</v>
      </c>
      <c r="B10" s="336">
        <f ca="1">C10/12</f>
        <v>174.19333333333336</v>
      </c>
      <c r="C10" s="1042">
        <f ca="1">D10+E10+F10+G10+H10+I10+J10+K10+L10+M10+N10+O10</f>
        <v>2090.3200000000002</v>
      </c>
      <c r="D10" s="549">
        <f ca="1">'Janeiro-24'!D133</f>
        <v>976.33</v>
      </c>
      <c r="E10" s="587">
        <f ca="1">'Fevereiro-24'!D122</f>
        <v>205.07999999999998</v>
      </c>
      <c r="F10" s="588">
        <f ca="1">'Março-24'!D157</f>
        <v>55</v>
      </c>
      <c r="G10" s="588">
        <f ca="1">'Abril-24'!D143</f>
        <v>18</v>
      </c>
      <c r="H10" s="549">
        <f ca="1">'Maio-24'!D158</f>
        <v>40</v>
      </c>
      <c r="I10" s="549">
        <f ca="1">'Junho-24'!D160</f>
        <v>70.97</v>
      </c>
      <c r="J10" s="588">
        <f ca="1">'Julho-24'!D154</f>
        <v>0</v>
      </c>
      <c r="K10" s="549">
        <f ca="1">'Agosto-24'!D159</f>
        <v>57</v>
      </c>
      <c r="L10" s="588">
        <f ca="1">'Setembro-24'!D156</f>
        <v>99.77000000000001</v>
      </c>
      <c r="M10" s="565">
        <f>'Outubro-24'!D176</f>
        <v>0</v>
      </c>
      <c r="N10" s="565">
        <f>'Novembro-24'!D194</f>
        <v>158.37</v>
      </c>
      <c r="O10" s="565">
        <f>'Dezembro-24'!D195</f>
        <v>409.8</v>
      </c>
      <c r="P10" s="609"/>
      <c r="Q10" s="216"/>
      <c r="R10" s="609"/>
    </row>
    <row r="11" spans="1:18" x14ac:dyDescent="0.25">
      <c r="A11" s="329" t="s">
        <v>1686</v>
      </c>
      <c r="B11" s="336">
        <f t="shared" si="0"/>
        <v>215.83541666666665</v>
      </c>
      <c r="C11" s="1042">
        <f t="shared" si="1"/>
        <v>2590.0249999999996</v>
      </c>
      <c r="D11" s="588">
        <f>'Janeiro-24'!D134</f>
        <v>305.375</v>
      </c>
      <c r="E11" s="587">
        <f>'Fevereiro-24'!D123</f>
        <v>150</v>
      </c>
      <c r="F11" s="588">
        <f>'Março-24'!D158</f>
        <v>95.9</v>
      </c>
      <c r="G11" s="549">
        <f>'Abril-24'!D144</f>
        <v>116</v>
      </c>
      <c r="H11" s="549">
        <f>'Maio-24'!D159</f>
        <v>307.77999999999997</v>
      </c>
      <c r="I11" s="588">
        <f>'Junho-24'!D161</f>
        <v>216.88000000000002</v>
      </c>
      <c r="J11" s="588">
        <f>'Julho-24'!D155</f>
        <v>60</v>
      </c>
      <c r="K11" s="549">
        <f>'Agosto-24'!D160</f>
        <v>312.66666666666669</v>
      </c>
      <c r="L11" s="588">
        <f>'Setembro-24'!D157</f>
        <v>176.66666666666669</v>
      </c>
      <c r="M11" s="565">
        <f>'Outubro-24'!D177</f>
        <v>371.76666666666665</v>
      </c>
      <c r="N11" s="565">
        <f>'Novembro-24'!D195</f>
        <v>207</v>
      </c>
      <c r="O11" s="565">
        <f>'Dezembro-24'!D196</f>
        <v>269.99</v>
      </c>
      <c r="P11" s="609"/>
      <c r="Q11" s="216"/>
      <c r="R11" s="609"/>
    </row>
    <row r="12" spans="1:18" x14ac:dyDescent="0.25">
      <c r="A12" s="329" t="s">
        <v>418</v>
      </c>
      <c r="B12" s="336">
        <f t="shared" si="0"/>
        <v>3975.1429166666662</v>
      </c>
      <c r="C12" s="1042">
        <f t="shared" si="1"/>
        <v>47701.714999999997</v>
      </c>
      <c r="D12" s="588">
        <f>'Janeiro-24'!D135</f>
        <v>18</v>
      </c>
      <c r="E12" s="587">
        <f>'Fevereiro-24'!D124</f>
        <v>0</v>
      </c>
      <c r="F12" s="549">
        <f>'Março-24'!D159</f>
        <v>6298.6749999999993</v>
      </c>
      <c r="G12" s="588">
        <f>'Abril-24'!D145</f>
        <v>4567.7325000000001</v>
      </c>
      <c r="H12" s="549">
        <f>'Maio-24'!D160</f>
        <v>6759.9749999999995</v>
      </c>
      <c r="I12" s="549">
        <f>'Junho-24'!D162</f>
        <v>6952.9199999999992</v>
      </c>
      <c r="J12" s="588">
        <f>'Julho-24'!D156</f>
        <v>5399.9108333333334</v>
      </c>
      <c r="K12" s="588">
        <f>'Agosto-24'!D161</f>
        <v>2931.3833333333337</v>
      </c>
      <c r="L12" s="588">
        <f>'Setembro-24'!D158</f>
        <v>2725.0033333333331</v>
      </c>
      <c r="M12" s="565">
        <f>'Outubro-24'!D178</f>
        <v>5783.5666666666666</v>
      </c>
      <c r="N12" s="565">
        <f>'Novembro-24'!D196</f>
        <v>3174.584166666667</v>
      </c>
      <c r="O12" s="565">
        <f>'Dezembro-24'!D197</f>
        <v>3089.9641666666666</v>
      </c>
      <c r="P12" s="609"/>
      <c r="Q12" s="216"/>
      <c r="R12" s="609"/>
    </row>
    <row r="13" spans="1:18" x14ac:dyDescent="0.25">
      <c r="A13" s="329" t="s">
        <v>6732</v>
      </c>
      <c r="B13" s="336">
        <f t="shared" si="0"/>
        <v>1037.5883333333334</v>
      </c>
      <c r="C13" s="1042">
        <f t="shared" si="1"/>
        <v>12451.06</v>
      </c>
      <c r="D13" s="588">
        <f>'Janeiro-24'!D136</f>
        <v>905.5</v>
      </c>
      <c r="E13" s="547">
        <f>'Fevereiro-24'!D125</f>
        <v>919.9</v>
      </c>
      <c r="F13" s="588">
        <f>'Março-24'!D160</f>
        <v>921.9</v>
      </c>
      <c r="G13" s="588">
        <f>'Abril-24'!D146</f>
        <v>800</v>
      </c>
      <c r="H13" s="549">
        <f>'Maio-24'!D161</f>
        <v>1002.8</v>
      </c>
      <c r="I13" s="549">
        <f>'Junho-24'!D163</f>
        <v>1021.9</v>
      </c>
      <c r="J13" s="588">
        <f>'Julho-24'!D157</f>
        <v>911.9</v>
      </c>
      <c r="K13" s="549">
        <f>'Agosto-24'!D162</f>
        <v>979.8</v>
      </c>
      <c r="L13" s="588">
        <f>'Setembro-24'!D159</f>
        <v>1591.9</v>
      </c>
      <c r="M13" s="565">
        <f>'Outubro-24'!D179</f>
        <v>911.9</v>
      </c>
      <c r="N13" s="565">
        <f>'Novembro-24'!D197</f>
        <v>1074.57</v>
      </c>
      <c r="O13" s="565">
        <f>'Dezembro-24'!D198</f>
        <v>1408.99</v>
      </c>
      <c r="P13" s="609"/>
      <c r="Q13" s="216"/>
      <c r="R13" s="609"/>
    </row>
    <row r="14" spans="1:18" x14ac:dyDescent="0.25">
      <c r="A14" s="329" t="s">
        <v>6733</v>
      </c>
      <c r="B14" s="336">
        <f t="shared" si="0"/>
        <v>101.95583333333332</v>
      </c>
      <c r="C14" s="1042">
        <f t="shared" ref="C14" si="2">D14+E14+F14+G14+H14+I14+J14+K14+L14+M14+N14+O14</f>
        <v>1223.4699999999998</v>
      </c>
      <c r="D14" s="588">
        <v>0</v>
      </c>
      <c r="E14" s="587">
        <v>0</v>
      </c>
      <c r="F14" s="588">
        <v>0</v>
      </c>
      <c r="G14" s="588">
        <f>'Abril-24'!D147</f>
        <v>0</v>
      </c>
      <c r="H14" s="588">
        <f>'Maio-24'!D162</f>
        <v>0</v>
      </c>
      <c r="I14" s="588">
        <v>0</v>
      </c>
      <c r="J14" s="549">
        <f>'Julho-24'!D158</f>
        <v>20</v>
      </c>
      <c r="K14" s="549">
        <f>'Agosto-24'!D163</f>
        <v>21.97</v>
      </c>
      <c r="L14" s="588">
        <f>'Setembro-24'!D160</f>
        <v>118.33</v>
      </c>
      <c r="M14" s="565">
        <f>'Outubro-24'!D180</f>
        <v>535.54</v>
      </c>
      <c r="N14" s="565">
        <f>'Novembro-24'!D198</f>
        <v>230.88</v>
      </c>
      <c r="O14" s="565">
        <f>'Dezembro-24'!D199</f>
        <v>296.75</v>
      </c>
      <c r="P14" s="609"/>
      <c r="Q14" s="216"/>
      <c r="R14" s="609"/>
    </row>
    <row r="15" spans="1:18" x14ac:dyDescent="0.25">
      <c r="A15" s="329" t="s">
        <v>5439</v>
      </c>
      <c r="B15" s="336">
        <f t="shared" si="0"/>
        <v>394.95374999999996</v>
      </c>
      <c r="C15" s="1042">
        <f>D15+E15+F15+G15+H15+I15+J15+K15+L15+M15+N15+O15</f>
        <v>4739.4449999999997</v>
      </c>
      <c r="D15" s="588">
        <f>'Janeiro-24'!D137</f>
        <v>186.9</v>
      </c>
      <c r="E15" s="587">
        <f>'Fevereiro-24'!D126</f>
        <v>186.9</v>
      </c>
      <c r="F15" s="588">
        <f>'Março-24'!D161</f>
        <v>35</v>
      </c>
      <c r="G15" s="588">
        <f>'Abril-24'!D147</f>
        <v>0</v>
      </c>
      <c r="H15" s="588">
        <f>'Maio-24'!D162</f>
        <v>0</v>
      </c>
      <c r="I15" s="549">
        <f>'Junho-24'!D164</f>
        <v>20</v>
      </c>
      <c r="J15" s="588">
        <f>'Julho-24'!D159</f>
        <v>0</v>
      </c>
      <c r="K15" s="588">
        <f>'Agosto-24'!D164</f>
        <v>0</v>
      </c>
      <c r="L15" s="588">
        <f>'Setembro-24'!D161</f>
        <v>47.98</v>
      </c>
      <c r="M15" s="565">
        <f>'Outubro-24'!D181</f>
        <v>41.96</v>
      </c>
      <c r="N15" s="565">
        <f>'Novembro-24'!D199</f>
        <v>3326.9749999999999</v>
      </c>
      <c r="O15" s="565">
        <f>'Dezembro-24'!D200</f>
        <v>893.73</v>
      </c>
      <c r="P15" s="609"/>
      <c r="Q15" s="216"/>
      <c r="R15" s="609"/>
    </row>
    <row r="16" spans="1:18" x14ac:dyDescent="0.25">
      <c r="A16" s="329" t="s">
        <v>1526</v>
      </c>
      <c r="B16" s="336">
        <f t="shared" si="0"/>
        <v>166.80444444444441</v>
      </c>
      <c r="C16" s="1042">
        <f t="shared" si="1"/>
        <v>2001.653333333333</v>
      </c>
      <c r="D16" s="588">
        <f>'Janeiro-24'!D138</f>
        <v>157.9</v>
      </c>
      <c r="E16" s="547">
        <f>'Fevereiro-24'!D127</f>
        <v>169.85</v>
      </c>
      <c r="F16" s="588">
        <f>'Março-24'!D162</f>
        <v>158</v>
      </c>
      <c r="G16" s="549">
        <f>'Abril-24'!D148</f>
        <v>159.80000000000001</v>
      </c>
      <c r="H16" s="588">
        <f>'Maio-24'!D163</f>
        <v>159.9</v>
      </c>
      <c r="I16" s="588">
        <f>'Junho-24'!D165</f>
        <v>149.80000000000001</v>
      </c>
      <c r="J16" s="549">
        <f>'Julho-24'!D160</f>
        <v>155</v>
      </c>
      <c r="K16" s="588">
        <f>'Agosto-24'!D165</f>
        <v>99.806666666666672</v>
      </c>
      <c r="L16" s="588">
        <f>'Setembro-24'!D162</f>
        <v>185.59666666666666</v>
      </c>
      <c r="M16" s="565">
        <f>'Outubro-24'!D182</f>
        <v>185.59666666666666</v>
      </c>
      <c r="N16" s="565">
        <f>'Novembro-24'!D200</f>
        <v>185.59666666666666</v>
      </c>
      <c r="O16" s="565">
        <f>'Dezembro-24'!D201</f>
        <v>234.80666666666667</v>
      </c>
      <c r="P16" s="609"/>
      <c r="Q16" s="216"/>
      <c r="R16" s="609"/>
    </row>
    <row r="17" spans="1:18" x14ac:dyDescent="0.25">
      <c r="A17" s="329" t="s">
        <v>2343</v>
      </c>
      <c r="B17" s="336">
        <f t="shared" si="0"/>
        <v>0</v>
      </c>
      <c r="C17" s="1042">
        <f t="shared" si="1"/>
        <v>0</v>
      </c>
      <c r="D17" s="588">
        <f>'Janeiro-24'!D139</f>
        <v>0</v>
      </c>
      <c r="E17" s="587">
        <f>'Fevereiro-24'!D128</f>
        <v>0</v>
      </c>
      <c r="F17" s="588">
        <f>'Março-24'!D163</f>
        <v>0</v>
      </c>
      <c r="G17" s="588">
        <f>'Abril-24'!D149</f>
        <v>0</v>
      </c>
      <c r="H17" s="588">
        <f>'Maio-24'!D164</f>
        <v>0</v>
      </c>
      <c r="I17" s="588">
        <f>'Junho-24'!D166</f>
        <v>0</v>
      </c>
      <c r="J17" s="588">
        <f>'Julho-24'!D161</f>
        <v>0</v>
      </c>
      <c r="K17" s="588">
        <f>'Agosto-24'!D166</f>
        <v>0</v>
      </c>
      <c r="L17" s="588">
        <f>'Setembro-24'!D163</f>
        <v>0</v>
      </c>
      <c r="M17" s="565">
        <f>'Outubro-24'!D183</f>
        <v>0</v>
      </c>
      <c r="N17" s="565">
        <f>'Novembro-24'!D201</f>
        <v>0</v>
      </c>
      <c r="O17" s="565">
        <f>'Dezembro-24'!D202</f>
        <v>0</v>
      </c>
      <c r="P17" s="609"/>
      <c r="Q17" s="216"/>
      <c r="R17" s="609"/>
    </row>
    <row r="18" spans="1:18" x14ac:dyDescent="0.25">
      <c r="A18" s="329" t="s">
        <v>3019</v>
      </c>
      <c r="B18" s="336">
        <f t="shared" si="0"/>
        <v>90.47166666666665</v>
      </c>
      <c r="C18" s="1042">
        <f t="shared" si="1"/>
        <v>1085.6599999999999</v>
      </c>
      <c r="D18" s="549">
        <f>'Janeiro-24'!D140</f>
        <v>541.28</v>
      </c>
      <c r="E18" s="547">
        <f>'Fevereiro-24'!D129</f>
        <v>544.38</v>
      </c>
      <c r="F18" s="588">
        <f>'Março-24'!D164</f>
        <v>0</v>
      </c>
      <c r="G18" s="588">
        <f>'Abril-24'!D150</f>
        <v>0</v>
      </c>
      <c r="H18" s="588">
        <f>'Maio-24'!D165</f>
        <v>0</v>
      </c>
      <c r="I18" s="588">
        <f>'Junho-24'!D167</f>
        <v>0</v>
      </c>
      <c r="J18" s="588">
        <f>'Julho-24'!D162</f>
        <v>0</v>
      </c>
      <c r="K18" s="588">
        <f>'Agosto-24'!D167</f>
        <v>0</v>
      </c>
      <c r="L18" s="588">
        <f>'Setembro-24'!D164</f>
        <v>0</v>
      </c>
      <c r="M18" s="565">
        <f>'Outubro-24'!D184</f>
        <v>0</v>
      </c>
      <c r="N18" s="565">
        <f>'Novembro-24'!D202</f>
        <v>0</v>
      </c>
      <c r="O18" s="565">
        <f>'Dezembro-24'!D203</f>
        <v>0</v>
      </c>
      <c r="P18" s="609"/>
      <c r="Q18" s="216"/>
      <c r="R18" s="609"/>
    </row>
    <row r="19" spans="1:18" x14ac:dyDescent="0.25">
      <c r="A19" s="329" t="s">
        <v>1527</v>
      </c>
      <c r="B19" s="336">
        <f t="shared" si="0"/>
        <v>635.27499999999998</v>
      </c>
      <c r="C19" s="1042">
        <f>D19+E19+F19+G19+H19+I19+J19+K19+L19+M19+N19+O19</f>
        <v>7623.3</v>
      </c>
      <c r="D19" s="549">
        <f>'Janeiro-24'!D141</f>
        <v>386.07</v>
      </c>
      <c r="E19" s="547">
        <f>'Fevereiro-24'!D130</f>
        <v>838.17000000000007</v>
      </c>
      <c r="F19" s="588">
        <f>'Março-24'!D165</f>
        <v>583.30999999999995</v>
      </c>
      <c r="G19" s="588">
        <f>'Abril-24'!D151</f>
        <v>541.46</v>
      </c>
      <c r="H19" s="588">
        <f>'Maio-24'!D166</f>
        <v>531.08000000000004</v>
      </c>
      <c r="I19" s="588">
        <f>'Junho-24'!D168</f>
        <v>436.04</v>
      </c>
      <c r="J19" s="549">
        <f>'Julho-24'!D163</f>
        <v>413.90999999999997</v>
      </c>
      <c r="K19" s="549">
        <f>'Agosto-24'!D168</f>
        <v>569.87000000000012</v>
      </c>
      <c r="L19" s="588">
        <f>'Setembro-24'!D165</f>
        <v>470.06</v>
      </c>
      <c r="M19" s="565">
        <f>'Outubro-24'!D185</f>
        <v>673.33</v>
      </c>
      <c r="N19" s="565">
        <f>'Novembro-24'!D203</f>
        <v>1032.78</v>
      </c>
      <c r="O19" s="565">
        <f>'Dezembro-24'!D204</f>
        <v>1147.22</v>
      </c>
      <c r="P19" s="609"/>
      <c r="Q19" s="216"/>
      <c r="R19" s="609"/>
    </row>
    <row r="20" spans="1:18" ht="15.75" x14ac:dyDescent="0.25">
      <c r="A20" s="1041" t="s">
        <v>361</v>
      </c>
      <c r="B20" s="552">
        <f t="shared" ref="B20:L20" ca="1" si="3">SUM(B3:B19)</f>
        <v>8553.6073611111096</v>
      </c>
      <c r="C20" s="552">
        <f t="shared" ca="1" si="3"/>
        <v>102643.28833333333</v>
      </c>
      <c r="D20" s="552">
        <f t="shared" ca="1" si="3"/>
        <v>5695.8249999999989</v>
      </c>
      <c r="E20" s="552">
        <f t="shared" ca="1" si="3"/>
        <v>5962.3249999999998</v>
      </c>
      <c r="F20" s="552">
        <f t="shared" ca="1" si="3"/>
        <v>10323.004999999999</v>
      </c>
      <c r="G20" s="552">
        <f t="shared" ca="1" si="3"/>
        <v>8197.1975000000002</v>
      </c>
      <c r="H20" s="552">
        <f t="shared" ca="1" si="3"/>
        <v>10431.394999999999</v>
      </c>
      <c r="I20" s="552">
        <f t="shared" ca="1" si="3"/>
        <v>10424.859999999999</v>
      </c>
      <c r="J20" s="552">
        <f t="shared" ca="1" si="3"/>
        <v>8895.0008333333335</v>
      </c>
      <c r="K20" s="552">
        <f t="shared" ca="1" si="3"/>
        <v>6493.4666666666672</v>
      </c>
      <c r="L20" s="552">
        <f t="shared" ca="1" si="3"/>
        <v>6727.3166666666666</v>
      </c>
      <c r="M20" s="552">
        <f t="shared" ref="M20:O20" si="4">SUM(M3:M19)</f>
        <v>9611.9299999999985</v>
      </c>
      <c r="N20" s="552">
        <f t="shared" si="4"/>
        <v>10585.085833333333</v>
      </c>
      <c r="O20" s="552">
        <f t="shared" si="4"/>
        <v>9295.8808333333327</v>
      </c>
    </row>
    <row r="21" spans="1:18" ht="15.75" x14ac:dyDescent="0.25">
      <c r="A21" s="389"/>
      <c r="B21" s="551"/>
      <c r="C21" s="552"/>
      <c r="D21" s="552"/>
      <c r="E21" s="552"/>
      <c r="F21" s="552"/>
      <c r="G21" s="552"/>
      <c r="H21" s="552"/>
      <c r="I21" s="552"/>
      <c r="J21" s="552"/>
      <c r="K21" s="552"/>
      <c r="L21" s="552"/>
      <c r="M21" s="552"/>
      <c r="N21" s="552"/>
      <c r="O21" s="552"/>
    </row>
    <row r="22" spans="1:18" x14ac:dyDescent="0.25">
      <c r="A22" s="2396" t="s">
        <v>6789</v>
      </c>
      <c r="B22" s="2409">
        <f>C22/10</f>
        <v>237.72200000000004</v>
      </c>
      <c r="C22" s="616">
        <f>D22+E22+F22+G22+H22+I22+J22+K22+L22+M22+N22+O22</f>
        <v>2377.2200000000003</v>
      </c>
      <c r="D22" s="2397">
        <f>'Janeiro-24'!D142</f>
        <v>0</v>
      </c>
      <c r="E22" s="2398">
        <f>'Fevereiro-24'!D131</f>
        <v>0</v>
      </c>
      <c r="F22" s="2397">
        <f>'Março-24'!D166</f>
        <v>0</v>
      </c>
      <c r="G22" s="2397">
        <f>'Abril-24'!D152</f>
        <v>0</v>
      </c>
      <c r="H22" s="2397">
        <f>'Maio-24'!D167</f>
        <v>0</v>
      </c>
      <c r="I22" s="2397">
        <f>'Junho-24'!D169</f>
        <v>0</v>
      </c>
      <c r="J22" s="2397">
        <f>'Julho-24'!D164</f>
        <v>0</v>
      </c>
      <c r="K22" s="2397">
        <f>'Agosto-24'!D169</f>
        <v>476.02</v>
      </c>
      <c r="L22" s="2397">
        <f>'Setembro-24'!D166</f>
        <v>475.6</v>
      </c>
      <c r="M22" s="2397">
        <f>'Outubro-24'!D186</f>
        <v>475.20000000000005</v>
      </c>
      <c r="N22" s="2397">
        <f>'Novembro-24'!D204</f>
        <v>475.2</v>
      </c>
      <c r="O22" s="2397">
        <f>'Dezembro-24'!D205</f>
        <v>475.2</v>
      </c>
    </row>
    <row r="23" spans="1:18" x14ac:dyDescent="0.25">
      <c r="A23" s="2396"/>
      <c r="B23" s="2409"/>
      <c r="C23" s="616"/>
      <c r="D23" s="2397"/>
      <c r="E23" s="2398"/>
      <c r="F23" s="2397"/>
      <c r="G23" s="2397"/>
      <c r="H23" s="2397"/>
      <c r="I23" s="2397"/>
      <c r="J23" s="2397"/>
      <c r="K23" s="2397"/>
      <c r="L23" s="2397"/>
      <c r="M23" s="2397"/>
      <c r="N23" s="2397"/>
      <c r="O23" s="2397"/>
    </row>
    <row r="24" spans="1:18" x14ac:dyDescent="0.25">
      <c r="F24" s="79"/>
    </row>
    <row r="25" spans="1:18" ht="15.75" x14ac:dyDescent="0.25">
      <c r="A25" s="333" t="s">
        <v>6078</v>
      </c>
      <c r="B25" s="334" t="s">
        <v>5440</v>
      </c>
      <c r="C25" s="1041" t="s">
        <v>345</v>
      </c>
      <c r="D25" s="334" t="s">
        <v>346</v>
      </c>
      <c r="E25" s="334" t="s">
        <v>347</v>
      </c>
      <c r="F25" s="334" t="s">
        <v>348</v>
      </c>
      <c r="G25" s="334" t="s">
        <v>349</v>
      </c>
      <c r="H25" s="334" t="s">
        <v>350</v>
      </c>
      <c r="I25" s="334" t="s">
        <v>351</v>
      </c>
      <c r="J25" s="334" t="s">
        <v>352</v>
      </c>
      <c r="K25" s="334" t="s">
        <v>353</v>
      </c>
      <c r="L25" s="334" t="s">
        <v>354</v>
      </c>
      <c r="M25" s="334" t="s">
        <v>355</v>
      </c>
      <c r="N25" s="334" t="s">
        <v>356</v>
      </c>
      <c r="O25" s="334" t="s">
        <v>357</v>
      </c>
    </row>
    <row r="26" spans="1:18" x14ac:dyDescent="0.25">
      <c r="A26" s="329" t="s">
        <v>32</v>
      </c>
      <c r="B26" s="336">
        <f>C26/12</f>
        <v>14.097593777036215</v>
      </c>
      <c r="C26" s="1042">
        <f t="shared" ref="C26:C31" si="5">D26+E26+F26+G26+H26+I26+J26+K26+L26+M26+N26+O26</f>
        <v>169.17112532443457</v>
      </c>
      <c r="D26" s="588">
        <f>'Janeiro-24'!E126</f>
        <v>10.219354838709679</v>
      </c>
      <c r="E26" s="587">
        <f>'Fevereiro-24'!E115</f>
        <v>13.048275862068966</v>
      </c>
      <c r="F26" s="587">
        <f>'Março-24'!E150</f>
        <v>12.575806451612904</v>
      </c>
      <c r="G26" s="588">
        <f>'Abril-24'!E136</f>
        <v>14.211666666666666</v>
      </c>
      <c r="H26" s="588">
        <f>'Maio-24'!E151</f>
        <v>14.606451612903225</v>
      </c>
      <c r="I26" s="588">
        <f>'Junho-24'!E153</f>
        <v>15.013333333333332</v>
      </c>
      <c r="J26" s="588">
        <f>'Julho-24'!E147</f>
        <v>15.480645161290322</v>
      </c>
      <c r="K26" s="588">
        <f>'Agosto-24'!E152</f>
        <v>15.112903225806452</v>
      </c>
      <c r="L26" s="588">
        <f>'Setembro-24'!E149</f>
        <v>16.933333333333334</v>
      </c>
      <c r="M26" s="565">
        <f>'Outubro-24'!E169</f>
        <v>13.932258064516128</v>
      </c>
      <c r="N26" s="565">
        <f>'Novembro-24'!E187</f>
        <v>14.76</v>
      </c>
      <c r="O26" s="565">
        <f>'Dezembro-24'!E188</f>
        <v>13.277096774193547</v>
      </c>
    </row>
    <row r="27" spans="1:18" x14ac:dyDescent="0.25">
      <c r="A27" s="329" t="s">
        <v>2187</v>
      </c>
      <c r="B27" s="336">
        <f t="shared" ref="B27:B42" si="6">C27/12</f>
        <v>8.774855394883204</v>
      </c>
      <c r="C27" s="1042">
        <f t="shared" si="5"/>
        <v>105.29826473859845</v>
      </c>
      <c r="D27" s="588">
        <f>'Janeiro-24'!E127</f>
        <v>16.02967741935484</v>
      </c>
      <c r="E27" s="587">
        <f>'Fevereiro-24'!E116</f>
        <v>13.793103448275861</v>
      </c>
      <c r="F27" s="587">
        <f>'Março-24'!E151</f>
        <v>12.580645161290322</v>
      </c>
      <c r="G27" s="588">
        <f>'Abril-24'!E137</f>
        <v>13.333333333333334</v>
      </c>
      <c r="H27" s="588">
        <f>'Maio-24'!E152</f>
        <v>13.638387096774194</v>
      </c>
      <c r="I27" s="588">
        <f>'Junho-24'!E154</f>
        <v>13.019333333333332</v>
      </c>
      <c r="J27" s="588">
        <f>'Julho-24'!E148</f>
        <v>14.507419354838708</v>
      </c>
      <c r="K27" s="588">
        <f>'Agosto-24'!E153</f>
        <v>6.129032258064516</v>
      </c>
      <c r="L27" s="588">
        <f>'Setembro-24'!E150</f>
        <v>1.6006666666666667</v>
      </c>
      <c r="M27" s="565">
        <f>'Outubro-24'!E170</f>
        <v>0</v>
      </c>
      <c r="N27" s="565">
        <f>'Novembro-24'!E188</f>
        <v>0.66666666666666663</v>
      </c>
      <c r="O27" s="565">
        <f>'Dezembro-24'!E189</f>
        <v>0</v>
      </c>
    </row>
    <row r="28" spans="1:18" x14ac:dyDescent="0.25">
      <c r="A28" s="329" t="s">
        <v>50</v>
      </c>
      <c r="B28" s="336">
        <f t="shared" si="6"/>
        <v>10.609040971449758</v>
      </c>
      <c r="C28" s="1042">
        <f t="shared" si="5"/>
        <v>127.3084916573971</v>
      </c>
      <c r="D28" s="588">
        <f>'Janeiro-24'!E128</f>
        <v>10.653548387096771</v>
      </c>
      <c r="E28" s="587">
        <f>'Fevereiro-24'!E117</f>
        <v>8.8186206896551731</v>
      </c>
      <c r="F28" s="587">
        <f>'Março-24'!E152</f>
        <v>16.991935483870968</v>
      </c>
      <c r="G28" s="588">
        <f>'Abril-24'!E138</f>
        <v>7.5666666666666664</v>
      </c>
      <c r="H28" s="588">
        <f>'Maio-24'!E153</f>
        <v>10.494193548387099</v>
      </c>
      <c r="I28" s="588">
        <f>'Junho-24'!E155</f>
        <v>10.994333333333334</v>
      </c>
      <c r="J28" s="588">
        <f>'Julho-24'!E149</f>
        <v>9.8493548387096794</v>
      </c>
      <c r="K28" s="588">
        <f>'Agosto-24'!E154</f>
        <v>11.054516129032258</v>
      </c>
      <c r="L28" s="588">
        <f>'Setembro-24'!E151</f>
        <v>13.109333333333332</v>
      </c>
      <c r="M28" s="565">
        <f>'Outubro-24'!E171</f>
        <v>9.2609677419354846</v>
      </c>
      <c r="N28" s="565">
        <f>'Novembro-24'!E189</f>
        <v>9.8056666666666672</v>
      </c>
      <c r="O28" s="565">
        <f>'Dezembro-24'!E190</f>
        <v>8.7093548387096771</v>
      </c>
    </row>
    <row r="29" spans="1:18" x14ac:dyDescent="0.25">
      <c r="A29" s="329" t="s">
        <v>14</v>
      </c>
      <c r="B29" s="336">
        <f t="shared" si="6"/>
        <v>4.4985056544308497</v>
      </c>
      <c r="C29" s="1042">
        <f t="shared" si="5"/>
        <v>53.982067853170193</v>
      </c>
      <c r="D29" s="588">
        <f>'Janeiro-24'!E129</f>
        <v>3.2838709677419353</v>
      </c>
      <c r="E29" s="587">
        <f>'Fevereiro-24'!E118</f>
        <v>2.6165517241379308</v>
      </c>
      <c r="F29" s="587">
        <f>'Março-24'!E153</f>
        <v>3.6470967741935478</v>
      </c>
      <c r="G29" s="588">
        <f>'Abril-24'!E139</f>
        <v>2.9053333333333331</v>
      </c>
      <c r="H29" s="588">
        <f>'Maio-24'!E154</f>
        <v>4.6303225806451609</v>
      </c>
      <c r="I29" s="588">
        <f>'Junho-24'!E156</f>
        <v>4.7343333333333337</v>
      </c>
      <c r="J29" s="588">
        <f>'Julho-24'!E150</f>
        <v>3.3261290322580646</v>
      </c>
      <c r="K29" s="588">
        <f>'Agosto-24'!E155</f>
        <v>5.370000000000001</v>
      </c>
      <c r="L29" s="588">
        <f>'Setembro-24'!E152</f>
        <v>2.6093333333333333</v>
      </c>
      <c r="M29" s="565">
        <f>'Outubro-24'!E172</f>
        <v>5.7561290322580643</v>
      </c>
      <c r="N29" s="565">
        <f>'Novembro-24'!E190</f>
        <v>7.4119999999999999</v>
      </c>
      <c r="O29" s="565">
        <f>'Dezembro-24'!E191</f>
        <v>7.6909677419354816</v>
      </c>
    </row>
    <row r="30" spans="1:18" x14ac:dyDescent="0.25">
      <c r="A30" s="329" t="s">
        <v>358</v>
      </c>
      <c r="B30" s="336">
        <f t="shared" si="6"/>
        <v>3.9928111481893462</v>
      </c>
      <c r="C30" s="1042">
        <f t="shared" si="5"/>
        <v>47.913733778272153</v>
      </c>
      <c r="D30" s="588">
        <f>'Janeiro-24'!E130</f>
        <v>2.6674193548387097</v>
      </c>
      <c r="E30" s="587">
        <f>'Fevereiro-24'!E119</f>
        <v>4.8362068965517242</v>
      </c>
      <c r="F30" s="587">
        <f>'Março-24'!E154</f>
        <v>2.5870967741935487</v>
      </c>
      <c r="G30" s="588">
        <f>'Abril-24'!E140</f>
        <v>7.1310000000000002</v>
      </c>
      <c r="H30" s="588">
        <f>'Maio-24'!E155</f>
        <v>4.056451612903226</v>
      </c>
      <c r="I30" s="588">
        <f>'Junho-24'!E157</f>
        <v>2.8613333333333335</v>
      </c>
      <c r="J30" s="588">
        <f>'Julho-24'!E151</f>
        <v>4.6658064516129025</v>
      </c>
      <c r="K30" s="588">
        <f>'Agosto-24'!E156</f>
        <v>4.2309677419354834</v>
      </c>
      <c r="L30" s="588">
        <f>'Setembro-24'!E153</f>
        <v>2.3143333333333334</v>
      </c>
      <c r="M30" s="565">
        <f>'Outubro-24'!E173</f>
        <v>3.5754838709677421</v>
      </c>
      <c r="N30" s="565">
        <f>'Novembro-24'!E191</f>
        <v>3.1666666666666665</v>
      </c>
      <c r="O30" s="565">
        <f>'Dezembro-24'!E192</f>
        <v>5.8209677419354833</v>
      </c>
    </row>
    <row r="31" spans="1:18" x14ac:dyDescent="0.25">
      <c r="A31" s="329" t="s">
        <v>2189</v>
      </c>
      <c r="B31" s="336">
        <f t="shared" si="6"/>
        <v>3.8502102335928812</v>
      </c>
      <c r="C31" s="1042">
        <f t="shared" si="5"/>
        <v>46.202522803114576</v>
      </c>
      <c r="D31" s="588">
        <f>'Janeiro-24'!E131</f>
        <v>2.903225806451613</v>
      </c>
      <c r="E31" s="587">
        <f>'Fevereiro-24'!E120</f>
        <v>4.4581034482758621</v>
      </c>
      <c r="F31" s="587">
        <f>'Março-24'!E155</f>
        <v>4.1738709677419354</v>
      </c>
      <c r="G31" s="588">
        <f>'Abril-24'!E141</f>
        <v>5.4703333333333335</v>
      </c>
      <c r="H31" s="588">
        <f>'Maio-24'!E156</f>
        <v>2.903225806451613</v>
      </c>
      <c r="I31" s="588">
        <f>'Junho-24'!E158</f>
        <v>3</v>
      </c>
      <c r="J31" s="588">
        <f>'Julho-24'!E152</f>
        <v>2.903225806451613</v>
      </c>
      <c r="K31" s="588">
        <f>'Agosto-24'!E157</f>
        <v>5.338064516129033</v>
      </c>
      <c r="L31" s="588">
        <f>'Setembro-24'!E154</f>
        <v>3.3333333333333335</v>
      </c>
      <c r="M31" s="565">
        <f>'Outubro-24'!E174</f>
        <v>3.225806451612903</v>
      </c>
      <c r="N31" s="565">
        <f>'Novembro-24'!E192</f>
        <v>3.3333333333333335</v>
      </c>
      <c r="O31" s="565">
        <f>'Dezembro-24'!E193</f>
        <v>5.16</v>
      </c>
    </row>
    <row r="32" spans="1:18" x14ac:dyDescent="0.25">
      <c r="A32" s="329" t="s">
        <v>53</v>
      </c>
      <c r="B32" s="336">
        <f t="shared" si="6"/>
        <v>12.085181606105548</v>
      </c>
      <c r="C32" s="1042">
        <f t="shared" ref="C32" si="7">D32+E32+F32+G32+H32+I32+J32+K32+L32+M32+N32+O32</f>
        <v>145.02217927326657</v>
      </c>
      <c r="D32" s="588">
        <f>'Janeiro-24'!E132</f>
        <v>25.806451612903224</v>
      </c>
      <c r="E32" s="587">
        <f>'Fevereiro-24'!E121</f>
        <v>54.085862068965518</v>
      </c>
      <c r="F32" s="587">
        <f>'Março-24'!E156</f>
        <v>17.611935483870969</v>
      </c>
      <c r="G32" s="588">
        <f>'Abril-24'!E142</f>
        <v>15.855166666666666</v>
      </c>
      <c r="H32" s="588">
        <f>'Maio-24'!E157</f>
        <v>2.2470967741935484</v>
      </c>
      <c r="I32" s="588">
        <f>'Junho-24'!E159</f>
        <v>2.2556666666666669</v>
      </c>
      <c r="J32" s="588">
        <f>'Julho-24'!E153</f>
        <v>11.663548387096775</v>
      </c>
      <c r="K32" s="588">
        <f>'Agosto-24'!E158</f>
        <v>1.8280645161290323</v>
      </c>
      <c r="L32" s="588">
        <f>'Setembro-24'!E155</f>
        <v>3.8333333333333335</v>
      </c>
      <c r="M32" s="565">
        <f>'Outubro-24'!E175</f>
        <v>0</v>
      </c>
      <c r="N32" s="565">
        <f>'Novembro-24'!E193</f>
        <v>0.66666666666666663</v>
      </c>
      <c r="O32" s="565">
        <f>'Dezembro-24'!E194</f>
        <v>9.1683870967741949</v>
      </c>
    </row>
    <row r="33" spans="1:15" x14ac:dyDescent="0.25">
      <c r="A33" s="329" t="s">
        <v>3048</v>
      </c>
      <c r="B33" s="336">
        <f ca="1">C33/12</f>
        <v>5.6882628537881601</v>
      </c>
      <c r="C33" s="1042">
        <f ca="1">D33+E33+F33+G33+H33+I33+J33+K33+L33+M33+N33+O33</f>
        <v>68.259154245457921</v>
      </c>
      <c r="D33" s="588">
        <f ca="1">'Janeiro-24'!E133</f>
        <v>31.494516129032259</v>
      </c>
      <c r="E33" s="587">
        <f ca="1">'Fevereiro-24'!E122</f>
        <v>7.0717241379310343</v>
      </c>
      <c r="F33" s="587">
        <f ca="1">'Março-24'!E157</f>
        <v>1.7741935483870968</v>
      </c>
      <c r="G33" s="588">
        <f ca="1">'Abril-24'!E143</f>
        <v>0.6</v>
      </c>
      <c r="H33" s="588">
        <f ca="1">'Maio-24'!E158</f>
        <v>1.2903225806451613</v>
      </c>
      <c r="I33" s="588">
        <f ca="1">'Junho-24'!E160</f>
        <v>2.3656666666666668</v>
      </c>
      <c r="J33" s="588">
        <f ca="1">'Julho-24'!E154</f>
        <v>0</v>
      </c>
      <c r="K33" s="588">
        <f ca="1">'Agosto-24'!E159</f>
        <v>1.8387096774193548</v>
      </c>
      <c r="L33" s="588">
        <f ca="1">'Setembro-24'!E156</f>
        <v>3.3256666666666672</v>
      </c>
      <c r="M33" s="565">
        <f>'Outubro-24'!E176</f>
        <v>0</v>
      </c>
      <c r="N33" s="565">
        <f>'Novembro-24'!E194</f>
        <v>5.2789999999999999</v>
      </c>
      <c r="O33" s="565">
        <f>'Dezembro-24'!E195</f>
        <v>13.219354838709679</v>
      </c>
    </row>
    <row r="34" spans="1:15" x14ac:dyDescent="0.25">
      <c r="A34" s="329" t="s">
        <v>1686</v>
      </c>
      <c r="B34" s="336">
        <f t="shared" si="6"/>
        <v>7.0544481625674615</v>
      </c>
      <c r="C34" s="1042">
        <f>D34+E34+F34+G34+H34+I34+J34+K34+L34+M34+N34+O34</f>
        <v>84.653377950809542</v>
      </c>
      <c r="D34" s="588">
        <f>'Janeiro-24'!E134</f>
        <v>9.8508064516129039</v>
      </c>
      <c r="E34" s="587">
        <f>'Fevereiro-24'!E123</f>
        <v>5.1724137931034484</v>
      </c>
      <c r="F34" s="587">
        <f>'Março-24'!E158</f>
        <v>3.0935483870967744</v>
      </c>
      <c r="G34" s="588">
        <f>'Abril-24'!E144</f>
        <v>3.8666666666666667</v>
      </c>
      <c r="H34" s="588">
        <f>'Maio-24'!E159</f>
        <v>9.928387096774193</v>
      </c>
      <c r="I34" s="588">
        <f>'Junho-24'!E161</f>
        <v>7.2293333333333338</v>
      </c>
      <c r="J34" s="588">
        <f>'Julho-24'!E155</f>
        <v>1.935483870967742</v>
      </c>
      <c r="K34" s="588">
        <f>'Agosto-24'!E160</f>
        <v>10.086021505376344</v>
      </c>
      <c r="L34" s="588">
        <f>'Setembro-24'!E157</f>
        <v>5.8888888888888893</v>
      </c>
      <c r="M34" s="565">
        <f>'Outubro-24'!E177</f>
        <v>11.99247311827957</v>
      </c>
      <c r="N34" s="565">
        <f>'Novembro-24'!E195</f>
        <v>6.9</v>
      </c>
      <c r="O34" s="565">
        <f>'Dezembro-24'!E196</f>
        <v>8.7093548387096771</v>
      </c>
    </row>
    <row r="35" spans="1:15" x14ac:dyDescent="0.25">
      <c r="A35" s="329" t="s">
        <v>418</v>
      </c>
      <c r="B35" s="336">
        <f t="shared" si="6"/>
        <v>129.79137007168455</v>
      </c>
      <c r="C35" s="1042">
        <f>D35+E35+F35+G35+H35+I35+J35+K35+L35+M35+N35+O35</f>
        <v>1557.4964408602148</v>
      </c>
      <c r="D35" s="588">
        <f>'Janeiro-24'!E135</f>
        <v>0.58064516129032262</v>
      </c>
      <c r="E35" s="587">
        <f>'Fevereiro-24'!E124</f>
        <v>0</v>
      </c>
      <c r="F35" s="587">
        <f>'Março-24'!E159</f>
        <v>203.18306451612901</v>
      </c>
      <c r="G35" s="588">
        <f>'Abril-24'!E145</f>
        <v>152.25775000000002</v>
      </c>
      <c r="H35" s="588">
        <f>'Maio-24'!E160</f>
        <v>218.06370967741933</v>
      </c>
      <c r="I35" s="588">
        <f>'Junho-24'!E162</f>
        <v>231.76399999999998</v>
      </c>
      <c r="J35" s="588">
        <f>'Julho-24'!E156</f>
        <v>174.19067204301075</v>
      </c>
      <c r="K35" s="588">
        <f>'Agosto-24'!E161</f>
        <v>94.560752688172059</v>
      </c>
      <c r="L35" s="588">
        <f>'Setembro-24'!E158</f>
        <v>90.833444444444439</v>
      </c>
      <c r="M35" s="565">
        <f>'Outubro-24'!E178</f>
        <v>186.56666666666666</v>
      </c>
      <c r="N35" s="565">
        <f>'Novembro-24'!E196</f>
        <v>105.81947222222223</v>
      </c>
      <c r="O35" s="565">
        <f>'Dezembro-24'!E197</f>
        <v>99.676263440860211</v>
      </c>
    </row>
    <row r="36" spans="1:15" x14ac:dyDescent="0.25">
      <c r="A36" s="329" t="s">
        <v>6732</v>
      </c>
      <c r="B36" s="336">
        <f t="shared" si="6"/>
        <v>34.043316431837845</v>
      </c>
      <c r="C36" s="1042">
        <f t="shared" ref="C36:C40" si="8">D36+E36+F36+G36+H36+I36+J36+K36+L36+M36+N36+O36</f>
        <v>408.51979718205416</v>
      </c>
      <c r="D36" s="588">
        <f>'Janeiro-24'!E136</f>
        <v>29.20967741935484</v>
      </c>
      <c r="E36" s="587">
        <f>'Fevereiro-24'!E125</f>
        <v>31.720689655172414</v>
      </c>
      <c r="F36" s="587">
        <f>'Março-24'!E160</f>
        <v>29.738709677419354</v>
      </c>
      <c r="G36" s="588">
        <f>'Abril-24'!E146</f>
        <v>26.666666666666668</v>
      </c>
      <c r="H36" s="588">
        <f>'Maio-24'!E161</f>
        <v>32.348387096774189</v>
      </c>
      <c r="I36" s="588">
        <f>'Junho-24'!E163</f>
        <v>34.063333333333333</v>
      </c>
      <c r="J36" s="588">
        <f>'Julho-24'!E157</f>
        <v>29.416129032258063</v>
      </c>
      <c r="K36" s="588">
        <f>'Agosto-24'!E162</f>
        <v>31.606451612903225</v>
      </c>
      <c r="L36" s="588">
        <f>'Setembro-24'!E159</f>
        <v>53.06333333333334</v>
      </c>
      <c r="M36" s="565">
        <f>'Outubro-24'!E179</f>
        <v>29.416129032258063</v>
      </c>
      <c r="N36" s="565">
        <f>'Novembro-24'!E197</f>
        <v>35.818999999999996</v>
      </c>
      <c r="O36" s="565">
        <f>'Dezembro-24'!E198</f>
        <v>45.451290322580647</v>
      </c>
    </row>
    <row r="37" spans="1:15" x14ac:dyDescent="0.25">
      <c r="A37" s="329" t="s">
        <v>6733</v>
      </c>
      <c r="B37" s="336">
        <f t="shared" si="6"/>
        <v>3.3757446236559137</v>
      </c>
      <c r="C37" s="1042">
        <f t="shared" ref="C37" si="9">D37+E37+F37+G37+H37+I37+J37+K37+L37+M37+N37+O37</f>
        <v>40.508935483870964</v>
      </c>
      <c r="D37" s="588">
        <v>0</v>
      </c>
      <c r="E37" s="587">
        <v>0</v>
      </c>
      <c r="F37" s="587">
        <v>0</v>
      </c>
      <c r="G37" s="588">
        <f>'Abril-24'!E147</f>
        <v>0</v>
      </c>
      <c r="H37" s="588">
        <f>'Maio-24'!E162</f>
        <v>0</v>
      </c>
      <c r="I37" s="588">
        <f>'Junho-24'!E164</f>
        <v>0.66666666666666663</v>
      </c>
      <c r="J37" s="588">
        <f>'Julho-24'!E158</f>
        <v>0.64516129032258063</v>
      </c>
      <c r="K37" s="588">
        <f>'Agosto-24'!E163</f>
        <v>0.70870967741935476</v>
      </c>
      <c r="L37" s="588">
        <f>'Setembro-24'!E160</f>
        <v>3.9443333333333332</v>
      </c>
      <c r="M37" s="565">
        <f>'Outubro-24'!E180</f>
        <v>17.27548387096774</v>
      </c>
      <c r="N37" s="565">
        <f>'Novembro-24'!E198</f>
        <v>7.6959999999999997</v>
      </c>
      <c r="O37" s="565">
        <f>'Dezembro-24'!E199</f>
        <v>9.57258064516129</v>
      </c>
    </row>
    <row r="38" spans="1:15" x14ac:dyDescent="0.25">
      <c r="A38" s="329" t="s">
        <v>911</v>
      </c>
      <c r="B38" s="336">
        <f t="shared" si="6"/>
        <v>13.079300596341616</v>
      </c>
      <c r="C38" s="1042">
        <f t="shared" si="8"/>
        <v>156.95160715609939</v>
      </c>
      <c r="D38" s="588">
        <f>'Janeiro-24'!E137</f>
        <v>6.0290322580645164</v>
      </c>
      <c r="E38" s="587">
        <f>'Fevereiro-24'!E126</f>
        <v>6.4448275862068964</v>
      </c>
      <c r="F38" s="587">
        <f>'Março-24'!E161</f>
        <v>1.1290322580645162</v>
      </c>
      <c r="G38" s="588">
        <f>'Abril-24'!E147</f>
        <v>0</v>
      </c>
      <c r="H38" s="588">
        <f>'Maio-24'!E162</f>
        <v>0</v>
      </c>
      <c r="I38" s="588">
        <f>'Junho-24'!E164</f>
        <v>0.66666666666666663</v>
      </c>
      <c r="J38" s="588">
        <f>'Julho-24'!E159</f>
        <v>0</v>
      </c>
      <c r="K38" s="588">
        <f>'Agosto-24'!E164</f>
        <v>0</v>
      </c>
      <c r="L38" s="588">
        <f>'Setembro-24'!E161</f>
        <v>1.5993333333333333</v>
      </c>
      <c r="M38" s="565">
        <f>'Outubro-24'!E181</f>
        <v>1.3535483870967742</v>
      </c>
      <c r="N38" s="565">
        <f>'Novembro-24'!E199</f>
        <v>110.89916666666666</v>
      </c>
      <c r="O38" s="565">
        <f>'Dezembro-24'!E200</f>
        <v>28.830000000000002</v>
      </c>
    </row>
    <row r="39" spans="1:15" x14ac:dyDescent="0.25">
      <c r="A39" s="329" t="s">
        <v>1526</v>
      </c>
      <c r="B39" s="336">
        <f t="shared" si="6"/>
        <v>5.4732802084620777</v>
      </c>
      <c r="C39" s="1042">
        <f t="shared" si="8"/>
        <v>65.679362501544929</v>
      </c>
      <c r="D39" s="588">
        <f>'Janeiro-24'!E138</f>
        <v>5.0935483870967744</v>
      </c>
      <c r="E39" s="587">
        <f>'Fevereiro-24'!E127</f>
        <v>5.8568965517241374</v>
      </c>
      <c r="F39" s="587">
        <f>'Março-24'!E162</f>
        <v>5.096774193548387</v>
      </c>
      <c r="G39" s="588">
        <f>'Abril-24'!E148</f>
        <v>5.3266666666666671</v>
      </c>
      <c r="H39" s="588">
        <f>'Maio-24'!E163</f>
        <v>5.1580645161290324</v>
      </c>
      <c r="I39" s="588">
        <f>'Junho-24'!E165</f>
        <v>4.9933333333333341</v>
      </c>
      <c r="J39" s="588">
        <f>'Julho-24'!E160</f>
        <v>5</v>
      </c>
      <c r="K39" s="588">
        <f>'Agosto-24'!E165</f>
        <v>3.2195698924731184</v>
      </c>
      <c r="L39" s="588">
        <f>'Setembro-24'!E162</f>
        <v>6.1865555555555556</v>
      </c>
      <c r="M39" s="565">
        <f>'Outubro-24'!E182</f>
        <v>5.9869892473118282</v>
      </c>
      <c r="N39" s="565">
        <f>'Novembro-24'!E200</f>
        <v>6.1865555555555556</v>
      </c>
      <c r="O39" s="565">
        <f>'Dezembro-24'!E201</f>
        <v>7.5744086021505375</v>
      </c>
    </row>
    <row r="40" spans="1:15" x14ac:dyDescent="0.25">
      <c r="A40" s="329" t="s">
        <v>2343</v>
      </c>
      <c r="B40" s="336">
        <f t="shared" si="6"/>
        <v>0</v>
      </c>
      <c r="C40" s="1043">
        <f t="shared" si="8"/>
        <v>0</v>
      </c>
      <c r="D40" s="588">
        <f>'Janeiro-24'!E139</f>
        <v>0</v>
      </c>
      <c r="E40" s="587">
        <f>'Fevereiro-24'!E128</f>
        <v>0</v>
      </c>
      <c r="F40" s="587">
        <f>'Março-24'!E163</f>
        <v>0</v>
      </c>
      <c r="G40" s="588">
        <f>'Abril-24'!E149</f>
        <v>0</v>
      </c>
      <c r="H40" s="588">
        <f>'Maio-24'!E164</f>
        <v>0</v>
      </c>
      <c r="I40" s="588">
        <f>'Junho-24'!E166</f>
        <v>0</v>
      </c>
      <c r="J40" s="588">
        <f>'Julho-24'!E161</f>
        <v>0</v>
      </c>
      <c r="K40" s="588">
        <f>'Agosto-24'!E166</f>
        <v>0</v>
      </c>
      <c r="L40" s="588">
        <f>'Setembro-24'!E163</f>
        <v>0</v>
      </c>
      <c r="M40" s="565">
        <f>'Outubro-24'!E183</f>
        <v>0</v>
      </c>
      <c r="N40" s="565">
        <f>'Novembro-24'!E201</f>
        <v>0</v>
      </c>
      <c r="O40" s="565">
        <f>'Dezembro-24'!E202</f>
        <v>0</v>
      </c>
    </row>
    <row r="41" spans="1:15" x14ac:dyDescent="0.25">
      <c r="A41" s="329" t="s">
        <v>3019</v>
      </c>
      <c r="B41" s="336">
        <f t="shared" si="6"/>
        <v>3.0193641082684466</v>
      </c>
      <c r="C41" s="1043">
        <f>D41+E41+F41+G41+H41+I41+J41+K41+L41+M41+N41+O41</f>
        <v>36.232369299221361</v>
      </c>
      <c r="D41" s="588">
        <f>'Janeiro-24'!E140</f>
        <v>17.460645161290323</v>
      </c>
      <c r="E41" s="587">
        <f>'Fevereiro-24'!E129</f>
        <v>18.771724137931034</v>
      </c>
      <c r="F41" s="587">
        <f>'Março-24'!E164</f>
        <v>0</v>
      </c>
      <c r="G41" s="588">
        <f>'Abril-24'!E150</f>
        <v>0</v>
      </c>
      <c r="H41" s="588">
        <f>'Maio-24'!E165</f>
        <v>0</v>
      </c>
      <c r="I41" s="588">
        <f>'Junho-24'!E167</f>
        <v>0</v>
      </c>
      <c r="J41" s="588">
        <f>'Julho-24'!E162</f>
        <v>0</v>
      </c>
      <c r="K41" s="588">
        <f>'Agosto-24'!E167</f>
        <v>0</v>
      </c>
      <c r="L41" s="588">
        <f>'Setembro-24'!E164</f>
        <v>0</v>
      </c>
      <c r="M41" s="565">
        <f>'Outubro-24'!E184</f>
        <v>0</v>
      </c>
      <c r="N41" s="565">
        <f>'Novembro-24'!E202</f>
        <v>0</v>
      </c>
      <c r="O41" s="565">
        <f>'Dezembro-24'!E203</f>
        <v>0</v>
      </c>
    </row>
    <row r="42" spans="1:15" x14ac:dyDescent="0.25">
      <c r="A42" s="329" t="s">
        <v>1527</v>
      </c>
      <c r="B42" s="336">
        <f t="shared" si="6"/>
        <v>20.870383945124214</v>
      </c>
      <c r="C42" s="1042">
        <f>D42+E42+F42+G42+H42+I42+J42+K42+L42+M42+N42+O42</f>
        <v>250.44460734149055</v>
      </c>
      <c r="D42" s="588">
        <f>'Janeiro-24'!E141</f>
        <v>12.453870967741935</v>
      </c>
      <c r="E42" s="587">
        <f>'Fevereiro-24'!E130</f>
        <v>28.902413793103452</v>
      </c>
      <c r="F42" s="587">
        <f>'Março-24'!E165</f>
        <v>18.816451612903226</v>
      </c>
      <c r="G42" s="588">
        <f>'Abril-24'!E151</f>
        <v>18.048666666666669</v>
      </c>
      <c r="H42" s="588">
        <f>'Maio-24'!E166</f>
        <v>17.131612903225808</v>
      </c>
      <c r="I42" s="588">
        <f>'Junho-24'!E168</f>
        <v>14.534666666666668</v>
      </c>
      <c r="J42" s="588">
        <f>'Julho-24'!E163</f>
        <v>13.351935483870967</v>
      </c>
      <c r="K42" s="588">
        <f>'Agosto-24'!E168</f>
        <v>18.382903225806455</v>
      </c>
      <c r="L42" s="588">
        <f>'Setembro-24'!E165</f>
        <v>15.668666666666667</v>
      </c>
      <c r="M42" s="565">
        <f>'Outubro-24'!E185</f>
        <v>21.720322580645163</v>
      </c>
      <c r="N42" s="565">
        <f>'Novembro-24'!E203</f>
        <v>34.426000000000002</v>
      </c>
      <c r="O42" s="565">
        <f>'Dezembro-24'!E204</f>
        <v>37.007096774193549</v>
      </c>
    </row>
    <row r="43" spans="1:15" ht="15.75" x14ac:dyDescent="0.25">
      <c r="A43" s="389" t="s">
        <v>361</v>
      </c>
      <c r="B43" s="551">
        <f t="shared" ref="B43:L43" ca="1" si="10">SUM(B26:B42)</f>
        <v>280.30366978741813</v>
      </c>
      <c r="C43" s="552">
        <f t="shared" ca="1" si="10"/>
        <v>3363.6440374490167</v>
      </c>
      <c r="D43" s="552">
        <f t="shared" ca="1" si="10"/>
        <v>183.73629032258066</v>
      </c>
      <c r="E43" s="552">
        <f t="shared" ca="1" si="10"/>
        <v>205.59741379310344</v>
      </c>
      <c r="F43" s="552">
        <f t="shared" ca="1" si="10"/>
        <v>333.00016129032258</v>
      </c>
      <c r="G43" s="552">
        <f t="shared" ca="1" si="10"/>
        <v>273.23991666666666</v>
      </c>
      <c r="H43" s="552">
        <f t="shared" ca="1" si="10"/>
        <v>336.49661290322575</v>
      </c>
      <c r="I43" s="552">
        <f t="shared" ca="1" si="10"/>
        <v>348.16200000000003</v>
      </c>
      <c r="J43" s="552">
        <f t="shared" ca="1" si="10"/>
        <v>286.93551075268817</v>
      </c>
      <c r="K43" s="552">
        <f t="shared" ca="1" si="10"/>
        <v>209.46666666666667</v>
      </c>
      <c r="L43" s="552">
        <f t="shared" ca="1" si="10"/>
        <v>224.24388888888888</v>
      </c>
      <c r="M43" s="552">
        <f t="shared" ref="M43:N43" si="11">SUM(M26:M42)</f>
        <v>310.06225806451619</v>
      </c>
      <c r="N43" s="552">
        <f t="shared" si="11"/>
        <v>352.83619444444446</v>
      </c>
      <c r="O43" s="552">
        <f>SUM(O26:O42)</f>
        <v>299.86712365591399</v>
      </c>
    </row>
    <row r="44" spans="1:15" x14ac:dyDescent="0.25">
      <c r="F44" s="79"/>
      <c r="K44" s="552"/>
    </row>
    <row r="45" spans="1:15" x14ac:dyDescent="0.25">
      <c r="F45" s="79"/>
    </row>
    <row r="46" spans="1:15" x14ac:dyDescent="0.25">
      <c r="F46" s="79"/>
    </row>
    <row r="47" spans="1:15" x14ac:dyDescent="0.25">
      <c r="B47" s="864" t="s">
        <v>6179</v>
      </c>
      <c r="C47" s="864" t="s">
        <v>6827</v>
      </c>
      <c r="D47" s="864" t="s">
        <v>6828</v>
      </c>
      <c r="F47" s="79"/>
    </row>
    <row r="48" spans="1:15" s="200" customFormat="1" ht="18" customHeight="1" x14ac:dyDescent="0.3">
      <c r="A48" s="198" t="s">
        <v>362</v>
      </c>
      <c r="B48" s="846">
        <v>5250</v>
      </c>
      <c r="C48" s="846">
        <v>5591.25</v>
      </c>
      <c r="D48" s="846">
        <v>6000</v>
      </c>
      <c r="F48" s="196"/>
      <c r="G48" s="196"/>
      <c r="H48" s="196"/>
      <c r="I48" s="196"/>
      <c r="J48" s="196"/>
      <c r="K48" s="196"/>
      <c r="L48" s="196"/>
      <c r="M48" s="196"/>
    </row>
    <row r="49" spans="1:16" s="200" customFormat="1" ht="17.25" customHeight="1" x14ac:dyDescent="0.3">
      <c r="A49" s="198"/>
      <c r="I49" s="196"/>
      <c r="J49" s="196"/>
      <c r="K49" s="196"/>
      <c r="L49" s="196"/>
      <c r="M49" s="196"/>
      <c r="N49" s="196"/>
    </row>
    <row r="50" spans="1:16" ht="15.75" x14ac:dyDescent="0.25">
      <c r="A50" s="197" t="s">
        <v>5452</v>
      </c>
      <c r="B50" s="278" t="s">
        <v>5444</v>
      </c>
      <c r="C50" s="278" t="s">
        <v>345</v>
      </c>
      <c r="D50" s="195" t="s">
        <v>346</v>
      </c>
      <c r="E50" s="195" t="s">
        <v>347</v>
      </c>
      <c r="F50" s="195" t="s">
        <v>348</v>
      </c>
      <c r="G50" s="195" t="s">
        <v>349</v>
      </c>
      <c r="H50" s="195" t="s">
        <v>364</v>
      </c>
      <c r="I50" s="195" t="s">
        <v>351</v>
      </c>
      <c r="J50" s="195" t="s">
        <v>352</v>
      </c>
      <c r="K50" s="195" t="s">
        <v>353</v>
      </c>
      <c r="L50" s="195" t="s">
        <v>354</v>
      </c>
      <c r="M50" s="195" t="s">
        <v>355</v>
      </c>
      <c r="N50" s="195" t="s">
        <v>365</v>
      </c>
      <c r="O50" s="195" t="s">
        <v>357</v>
      </c>
      <c r="P50" s="193"/>
    </row>
    <row r="51" spans="1:16" x14ac:dyDescent="0.25">
      <c r="A51" s="79" t="s">
        <v>366</v>
      </c>
      <c r="B51" s="633">
        <f>C51/12</f>
        <v>1906.875</v>
      </c>
      <c r="C51" s="633">
        <f t="shared" ref="C51:C62" si="12">D51+E51+F51+G51+H51+I51+J51+K51+L51+M51+N51+O51</f>
        <v>22882.5</v>
      </c>
      <c r="D51" s="1112">
        <v>0</v>
      </c>
      <c r="E51" s="1112">
        <v>2100</v>
      </c>
      <c r="F51" s="1112">
        <v>2236.5</v>
      </c>
      <c r="G51" s="1112">
        <v>2236.5</v>
      </c>
      <c r="H51" s="1112">
        <v>2236.5</v>
      </c>
      <c r="I51" s="1112">
        <v>2236.5</v>
      </c>
      <c r="J51" s="1112">
        <v>2236.5</v>
      </c>
      <c r="K51" s="1112">
        <v>2400</v>
      </c>
      <c r="L51" s="1112">
        <v>2400</v>
      </c>
      <c r="M51" s="1112">
        <v>2400</v>
      </c>
      <c r="N51" s="1112">
        <v>2400</v>
      </c>
      <c r="O51" s="1112"/>
      <c r="P51" s="629"/>
    </row>
    <row r="52" spans="1:16" x14ac:dyDescent="0.25">
      <c r="A52" s="79" t="s">
        <v>367</v>
      </c>
      <c r="B52" s="633">
        <f t="shared" ref="B52:B62" si="13">C52/12</f>
        <v>2523.5625</v>
      </c>
      <c r="C52" s="633">
        <f>D52+E52+F52+G52+H52+I52+J52+K52+L52+M52+N52+O52</f>
        <v>30282.75</v>
      </c>
      <c r="D52" s="1112">
        <v>2116.5700000000002</v>
      </c>
      <c r="E52" s="177">
        <v>2286.12</v>
      </c>
      <c r="F52" s="1112">
        <v>2377.06</v>
      </c>
      <c r="G52" s="1112">
        <v>2377.06</v>
      </c>
      <c r="H52" s="1112">
        <v>2377.06</v>
      </c>
      <c r="I52" s="1112">
        <v>2377.06</v>
      </c>
      <c r="J52" s="1112">
        <v>2377.06</v>
      </c>
      <c r="K52" s="1112">
        <v>2471.12</v>
      </c>
      <c r="L52" s="1112">
        <v>2471.12</v>
      </c>
      <c r="M52" s="1112">
        <v>2523.2600000000002</v>
      </c>
      <c r="N52" s="1112">
        <v>2523.2600000000002</v>
      </c>
      <c r="O52" s="1112">
        <v>4006</v>
      </c>
    </row>
    <row r="53" spans="1:16" x14ac:dyDescent="0.25">
      <c r="A53" s="79" t="s">
        <v>2506</v>
      </c>
      <c r="B53" s="633">
        <f t="shared" si="13"/>
        <v>145.83333333333334</v>
      </c>
      <c r="C53" s="633">
        <f>D53+E53+F53+G53+H53+I53+J53+K53+L53+M53+N53+O53</f>
        <v>1750</v>
      </c>
      <c r="D53" s="1112">
        <v>100</v>
      </c>
      <c r="E53" s="1112">
        <v>150</v>
      </c>
      <c r="F53" s="1112">
        <v>150</v>
      </c>
      <c r="G53" s="1112">
        <v>150</v>
      </c>
      <c r="H53" s="1112">
        <v>150</v>
      </c>
      <c r="I53" s="1112">
        <v>150</v>
      </c>
      <c r="J53" s="1112">
        <v>150</v>
      </c>
      <c r="K53" s="1112">
        <v>150</v>
      </c>
      <c r="L53" s="1112">
        <v>150</v>
      </c>
      <c r="M53" s="1112">
        <v>150</v>
      </c>
      <c r="N53" s="1112">
        <v>150</v>
      </c>
      <c r="O53" s="1112">
        <v>150</v>
      </c>
      <c r="P53" s="216"/>
    </row>
    <row r="54" spans="1:16" x14ac:dyDescent="0.25">
      <c r="A54" s="79" t="s">
        <v>6772</v>
      </c>
      <c r="B54" s="633">
        <f t="shared" si="13"/>
        <v>198.10166666666669</v>
      </c>
      <c r="C54" s="633">
        <f>D54+E54+F54+G54+H54+I54+J54+K54+L54+M54+N54+O54</f>
        <v>2377.2200000000003</v>
      </c>
      <c r="D54" s="1112"/>
      <c r="E54" s="1112"/>
      <c r="F54" s="1112"/>
      <c r="G54" s="1112"/>
      <c r="H54" s="1112"/>
      <c r="I54" s="1112"/>
      <c r="J54" s="1112"/>
      <c r="K54" s="1112">
        <f>K22</f>
        <v>476.02</v>
      </c>
      <c r="L54" s="1112">
        <f>L22</f>
        <v>475.6</v>
      </c>
      <c r="M54" s="1112">
        <f>M22</f>
        <v>475.20000000000005</v>
      </c>
      <c r="N54" s="1112">
        <f>N22</f>
        <v>475.2</v>
      </c>
      <c r="O54" s="1112">
        <f>O22</f>
        <v>475.2</v>
      </c>
      <c r="P54" s="216"/>
    </row>
    <row r="55" spans="1:16" x14ac:dyDescent="0.25">
      <c r="A55" s="79" t="s">
        <v>368</v>
      </c>
      <c r="B55" s="633">
        <f t="shared" si="13"/>
        <v>600.52083333333337</v>
      </c>
      <c r="C55" s="633">
        <f>D55+E55+F55+G55+H55+I55+J55+K55+L55+M55+N55+O55</f>
        <v>7206.25</v>
      </c>
      <c r="D55" s="1112"/>
      <c r="E55" s="1112"/>
      <c r="F55" s="1112"/>
      <c r="G55" s="1112"/>
      <c r="H55" s="1112"/>
      <c r="I55" s="1112"/>
      <c r="J55" s="1112"/>
      <c r="K55" s="1112"/>
      <c r="L55" s="1112"/>
      <c r="M55" s="1113"/>
      <c r="N55" s="1113"/>
      <c r="O55" s="1113">
        <v>7206.25</v>
      </c>
      <c r="P55" s="216"/>
    </row>
    <row r="56" spans="1:16" x14ac:dyDescent="0.25">
      <c r="A56" s="79" t="s">
        <v>369</v>
      </c>
      <c r="B56" s="633">
        <f>C56/12</f>
        <v>410.39833333333331</v>
      </c>
      <c r="C56" s="633">
        <f t="shared" si="12"/>
        <v>4924.78</v>
      </c>
      <c r="D56" s="1112"/>
      <c r="E56" s="1112"/>
      <c r="F56" s="1112"/>
      <c r="G56" s="1112"/>
      <c r="H56" s="1112"/>
      <c r="I56" s="1112"/>
      <c r="J56" s="1112"/>
      <c r="K56" s="1112"/>
      <c r="L56" s="1112"/>
      <c r="M56" s="1113"/>
      <c r="N56" s="1038">
        <v>3000</v>
      </c>
      <c r="O56" s="1113">
        <v>1924.78</v>
      </c>
      <c r="P56" s="216"/>
    </row>
    <row r="57" spans="1:16" x14ac:dyDescent="0.25">
      <c r="A57" s="79" t="s">
        <v>6335</v>
      </c>
      <c r="B57" s="633">
        <f t="shared" si="13"/>
        <v>333.33333333333331</v>
      </c>
      <c r="C57" s="633">
        <f t="shared" ref="C57" si="14">D57+E57+F57+G57+H57+I57+J57+K57+L57+M57+N57+O57</f>
        <v>4000</v>
      </c>
      <c r="D57" s="1112"/>
      <c r="E57" s="1112"/>
      <c r="F57" s="1112"/>
      <c r="G57" s="1112">
        <v>500</v>
      </c>
      <c r="H57" s="1112">
        <v>400</v>
      </c>
      <c r="I57" s="1112">
        <v>400</v>
      </c>
      <c r="J57" s="1112">
        <v>500</v>
      </c>
      <c r="K57" s="1112">
        <v>400</v>
      </c>
      <c r="L57" s="1112">
        <v>500</v>
      </c>
      <c r="M57" s="1113">
        <v>400</v>
      </c>
      <c r="N57" s="1038">
        <f>'Novembro-24'!D205</f>
        <v>400</v>
      </c>
      <c r="O57" s="1113">
        <f>'Dezembro-24'!D206</f>
        <v>500</v>
      </c>
      <c r="P57" s="216"/>
    </row>
    <row r="58" spans="1:16" x14ac:dyDescent="0.25">
      <c r="A58" s="79" t="s">
        <v>5436</v>
      </c>
      <c r="B58" s="633">
        <f t="shared" si="13"/>
        <v>50</v>
      </c>
      <c r="C58" s="633">
        <f t="shared" si="12"/>
        <v>600</v>
      </c>
      <c r="D58" s="1112"/>
      <c r="E58" s="1112"/>
      <c r="F58" s="1112"/>
      <c r="G58" s="1112"/>
      <c r="H58" s="1112"/>
      <c r="I58" s="1112"/>
      <c r="J58" s="1112"/>
      <c r="K58" s="1112"/>
      <c r="L58" s="1112"/>
      <c r="M58" s="1113">
        <v>450</v>
      </c>
      <c r="N58" s="1038">
        <v>150</v>
      </c>
      <c r="O58" s="1113"/>
      <c r="P58" s="216"/>
    </row>
    <row r="59" spans="1:16" x14ac:dyDescent="0.25">
      <c r="A59" s="79" t="s">
        <v>6219</v>
      </c>
      <c r="B59" s="633">
        <f t="shared" si="13"/>
        <v>1211.5</v>
      </c>
      <c r="C59" s="633">
        <f t="shared" si="12"/>
        <v>14538</v>
      </c>
      <c r="D59" s="1112"/>
      <c r="E59" s="1112"/>
      <c r="F59" s="1112">
        <v>14538</v>
      </c>
      <c r="G59" s="1112"/>
      <c r="H59" s="1112"/>
      <c r="I59" s="1112"/>
      <c r="J59" s="1112"/>
      <c r="K59" s="1112"/>
      <c r="L59" s="1112"/>
      <c r="M59" s="1113"/>
      <c r="N59" s="1038"/>
      <c r="O59" s="1113"/>
      <c r="P59" s="216"/>
    </row>
    <row r="60" spans="1:16" x14ac:dyDescent="0.25">
      <c r="A60" s="79" t="s">
        <v>3758</v>
      </c>
      <c r="B60" s="633">
        <f t="shared" si="13"/>
        <v>114.87583333333333</v>
      </c>
      <c r="C60" s="633">
        <f t="shared" si="12"/>
        <v>1378.51</v>
      </c>
      <c r="D60" s="1112"/>
      <c r="E60" s="1112"/>
      <c r="F60" s="1112"/>
      <c r="G60" s="1112"/>
      <c r="H60" s="1112"/>
      <c r="I60" s="1112">
        <v>1378.51</v>
      </c>
      <c r="J60" s="1112"/>
      <c r="K60" s="1112"/>
      <c r="L60" s="1112"/>
      <c r="M60" s="1113"/>
      <c r="N60" s="1038"/>
      <c r="O60" s="1113"/>
      <c r="P60" s="216"/>
    </row>
    <row r="61" spans="1:16" x14ac:dyDescent="0.25">
      <c r="A61" s="79" t="s">
        <v>7001</v>
      </c>
      <c r="B61" s="633">
        <f t="shared" si="13"/>
        <v>1249.5899999999999</v>
      </c>
      <c r="C61" s="633">
        <f t="shared" ref="C61" si="15">D61+E61+F61+G61+H61+I61+J61+K61+L61+M61+N61+O61</f>
        <v>14995.079999999998</v>
      </c>
      <c r="D61" s="1112"/>
      <c r="E61" s="1112"/>
      <c r="F61" s="1112"/>
      <c r="G61" s="1112"/>
      <c r="H61" s="1112"/>
      <c r="I61" s="1112"/>
      <c r="J61" s="1112"/>
      <c r="K61" s="1112"/>
      <c r="L61" s="1112"/>
      <c r="M61" s="1113">
        <v>4998.3599999999997</v>
      </c>
      <c r="N61" s="1113">
        <v>4998.3599999999997</v>
      </c>
      <c r="O61" s="1113">
        <v>4998.3599999999997</v>
      </c>
      <c r="P61" s="216"/>
    </row>
    <row r="62" spans="1:16" x14ac:dyDescent="0.25">
      <c r="A62" s="79" t="s">
        <v>5447</v>
      </c>
      <c r="B62" s="633">
        <f t="shared" si="13"/>
        <v>83.333333333333329</v>
      </c>
      <c r="C62" s="633">
        <f t="shared" si="12"/>
        <v>1000</v>
      </c>
      <c r="D62" s="1112"/>
      <c r="E62" s="1112"/>
      <c r="F62" s="1112"/>
      <c r="G62" s="1112"/>
      <c r="H62" s="1112"/>
      <c r="I62" s="1112"/>
      <c r="J62" s="1112"/>
      <c r="K62" s="1112"/>
      <c r="L62" s="1112"/>
      <c r="M62" s="1113"/>
      <c r="N62" s="1038"/>
      <c r="O62" s="1113">
        <v>1000</v>
      </c>
      <c r="P62" s="216"/>
    </row>
    <row r="63" spans="1:16" ht="15.75" x14ac:dyDescent="0.25">
      <c r="A63" s="280" t="s">
        <v>361</v>
      </c>
      <c r="B63" s="206">
        <f>SUM(B51:B62)</f>
        <v>8827.9241666666658</v>
      </c>
      <c r="C63" s="206">
        <f t="shared" ref="C63:O63" si="16">SUM(C51:C62)</f>
        <v>105935.09</v>
      </c>
      <c r="D63" s="206">
        <f t="shared" si="16"/>
        <v>2216.5700000000002</v>
      </c>
      <c r="E63" s="206">
        <f t="shared" si="16"/>
        <v>4536.12</v>
      </c>
      <c r="F63" s="206">
        <f t="shared" si="16"/>
        <v>19301.559999999998</v>
      </c>
      <c r="G63" s="206">
        <f>SUM(G51:G62)</f>
        <v>5263.5599999999995</v>
      </c>
      <c r="H63" s="206">
        <f t="shared" si="16"/>
        <v>5163.5599999999995</v>
      </c>
      <c r="I63" s="206">
        <f t="shared" si="16"/>
        <v>6542.07</v>
      </c>
      <c r="J63" s="206">
        <f t="shared" si="16"/>
        <v>5263.5599999999995</v>
      </c>
      <c r="K63" s="206">
        <f t="shared" si="16"/>
        <v>5897.1399999999994</v>
      </c>
      <c r="L63" s="206">
        <f t="shared" si="16"/>
        <v>5996.72</v>
      </c>
      <c r="M63" s="206">
        <f t="shared" si="16"/>
        <v>11396.82</v>
      </c>
      <c r="N63" s="206">
        <f>SUM(N51:N62)</f>
        <v>14096.82</v>
      </c>
      <c r="O63" s="206">
        <f t="shared" si="16"/>
        <v>20260.59</v>
      </c>
      <c r="P63" s="633"/>
    </row>
    <row r="64" spans="1:16" ht="15.75" x14ac:dyDescent="0.25">
      <c r="A64" s="280"/>
      <c r="B64" s="206"/>
      <c r="C64" s="216"/>
      <c r="D64" s="865"/>
      <c r="E64" s="1112"/>
      <c r="F64" s="865"/>
      <c r="G64" s="865"/>
      <c r="H64" s="865"/>
      <c r="I64" s="865"/>
      <c r="J64" s="865"/>
      <c r="K64" s="865"/>
      <c r="L64" s="865"/>
      <c r="M64" s="865"/>
      <c r="N64" s="865"/>
      <c r="O64" s="865"/>
      <c r="P64" s="633"/>
    </row>
    <row r="65" spans="1:16" x14ac:dyDescent="0.25">
      <c r="B65" s="206"/>
      <c r="C65" s="865"/>
      <c r="D65" s="865"/>
      <c r="E65" s="865"/>
      <c r="F65" s="865"/>
      <c r="G65" s="865"/>
      <c r="H65" s="865"/>
      <c r="I65" s="865"/>
      <c r="J65" s="865"/>
      <c r="K65" s="865"/>
      <c r="L65" s="865"/>
      <c r="M65" s="865"/>
      <c r="N65" s="865"/>
      <c r="O65" s="865"/>
      <c r="P65" s="865"/>
    </row>
    <row r="66" spans="1:16" x14ac:dyDescent="0.25">
      <c r="B66" s="206"/>
      <c r="C66" s="865"/>
      <c r="D66" s="865"/>
      <c r="E66" s="865"/>
      <c r="F66" s="865"/>
      <c r="G66" s="865"/>
      <c r="H66" s="865"/>
      <c r="I66" s="865"/>
      <c r="J66" s="865"/>
      <c r="K66" s="865"/>
      <c r="L66" s="865"/>
      <c r="M66" s="865"/>
      <c r="N66" s="865"/>
      <c r="O66" s="865"/>
      <c r="P66" s="216"/>
    </row>
    <row r="67" spans="1:16" ht="17.25" customHeight="1" x14ac:dyDescent="0.3">
      <c r="A67" s="353" t="s">
        <v>5448</v>
      </c>
      <c r="B67" s="200" t="s">
        <v>381</v>
      </c>
      <c r="C67" s="1094" t="s">
        <v>382</v>
      </c>
      <c r="D67" s="355" t="s">
        <v>383</v>
      </c>
    </row>
    <row r="68" spans="1:16" ht="18.75" x14ac:dyDescent="0.3">
      <c r="A68" s="353">
        <f>B63</f>
        <v>8827.9241666666658</v>
      </c>
      <c r="B68" s="329" t="s">
        <v>32</v>
      </c>
      <c r="C68" s="338">
        <f t="shared" ref="C68:C81" si="17">B3</f>
        <v>429.77416666666664</v>
      </c>
      <c r="D68" s="225">
        <f>C68/$A$68</f>
        <v>4.8683490994343805E-2</v>
      </c>
      <c r="F68" s="801"/>
      <c r="G68" s="629"/>
      <c r="I68" s="629"/>
    </row>
    <row r="69" spans="1:16" x14ac:dyDescent="0.25">
      <c r="B69" s="329" t="s">
        <v>2187</v>
      </c>
      <c r="C69" s="338">
        <f t="shared" si="17"/>
        <v>267.33666666666664</v>
      </c>
      <c r="D69" s="225">
        <f t="shared" ref="D69:D84" si="18">C69/$A$68</f>
        <v>3.0283072398390374E-2</v>
      </c>
      <c r="E69" s="177"/>
      <c r="F69" s="801"/>
      <c r="G69" s="629"/>
      <c r="I69" s="629"/>
    </row>
    <row r="70" spans="1:16" x14ac:dyDescent="0.25">
      <c r="B70" s="329" t="s">
        <v>50</v>
      </c>
      <c r="C70" s="338">
        <f t="shared" si="17"/>
        <v>323.95416666666665</v>
      </c>
      <c r="D70" s="225">
        <f t="shared" si="18"/>
        <v>3.6696528034289681E-2</v>
      </c>
      <c r="E70" s="177"/>
      <c r="F70" s="801"/>
      <c r="G70" s="629"/>
      <c r="I70" s="629"/>
    </row>
    <row r="71" spans="1:16" x14ac:dyDescent="0.25">
      <c r="B71" s="329" t="s">
        <v>14</v>
      </c>
      <c r="C71" s="338">
        <f t="shared" si="17"/>
        <v>137.54583333333332</v>
      </c>
      <c r="D71" s="225">
        <f t="shared" si="18"/>
        <v>1.5580767430319831E-2</v>
      </c>
      <c r="E71" s="177"/>
      <c r="F71" s="801"/>
      <c r="G71" s="629"/>
      <c r="I71" s="629"/>
    </row>
    <row r="72" spans="1:16" x14ac:dyDescent="0.25">
      <c r="B72" s="329" t="s">
        <v>358</v>
      </c>
      <c r="C72" s="338">
        <f t="shared" si="17"/>
        <v>121.68166666666666</v>
      </c>
      <c r="D72" s="225">
        <f t="shared" si="18"/>
        <v>1.3783723599045415E-2</v>
      </c>
      <c r="E72" s="177"/>
      <c r="F72" s="801"/>
      <c r="G72" s="629"/>
      <c r="I72" s="629"/>
    </row>
    <row r="73" spans="1:16" x14ac:dyDescent="0.25">
      <c r="B73" s="329" t="s">
        <v>2189</v>
      </c>
      <c r="C73" s="338">
        <f t="shared" si="17"/>
        <v>117.35208333333333</v>
      </c>
      <c r="D73" s="225">
        <f t="shared" si="18"/>
        <v>1.329328176338926E-2</v>
      </c>
      <c r="E73" s="177"/>
      <c r="F73" s="801"/>
      <c r="G73" s="629"/>
      <c r="I73" s="629"/>
    </row>
    <row r="74" spans="1:16" x14ac:dyDescent="0.25">
      <c r="B74" s="329" t="s">
        <v>53</v>
      </c>
      <c r="C74" s="338">
        <f t="shared" si="17"/>
        <v>363.74208333333331</v>
      </c>
      <c r="D74" s="225">
        <f t="shared" si="18"/>
        <v>4.1203580418915017E-2</v>
      </c>
      <c r="E74" s="177"/>
      <c r="F74" s="801"/>
      <c r="G74" s="629"/>
      <c r="I74" s="629"/>
    </row>
    <row r="75" spans="1:16" x14ac:dyDescent="0.25">
      <c r="B75" s="329" t="s">
        <v>56</v>
      </c>
      <c r="C75" s="338">
        <f ca="1">B10</f>
        <v>174.19333333333336</v>
      </c>
      <c r="D75" s="225">
        <f ca="1">C75/$A$68</f>
        <v>1.9732083108628128E-2</v>
      </c>
      <c r="E75" s="177"/>
      <c r="F75" s="801"/>
      <c r="G75" s="629"/>
      <c r="I75" s="629"/>
    </row>
    <row r="76" spans="1:16" ht="14.25" customHeight="1" x14ac:dyDescent="0.25">
      <c r="B76" s="329" t="s">
        <v>1686</v>
      </c>
      <c r="C76" s="338">
        <f t="shared" si="17"/>
        <v>215.83541666666665</v>
      </c>
      <c r="D76" s="225">
        <f t="shared" si="18"/>
        <v>2.4449169769903439E-2</v>
      </c>
      <c r="F76" s="801"/>
      <c r="G76" s="629"/>
      <c r="I76" s="629"/>
    </row>
    <row r="77" spans="1:16" x14ac:dyDescent="0.25">
      <c r="B77" s="329" t="s">
        <v>418</v>
      </c>
      <c r="C77" s="338">
        <f t="shared" si="17"/>
        <v>3975.1429166666662</v>
      </c>
      <c r="D77" s="225">
        <f t="shared" si="18"/>
        <v>0.45029191932531515</v>
      </c>
      <c r="F77" s="801"/>
      <c r="G77" s="629"/>
      <c r="I77" s="629"/>
    </row>
    <row r="78" spans="1:16" x14ac:dyDescent="0.25">
      <c r="B78" s="329" t="s">
        <v>6732</v>
      </c>
      <c r="C78" s="338">
        <f t="shared" si="17"/>
        <v>1037.5883333333334</v>
      </c>
      <c r="D78" s="225">
        <f>C78/$A$68</f>
        <v>0.11753480362361519</v>
      </c>
      <c r="F78" s="801"/>
    </row>
    <row r="79" spans="1:16" x14ac:dyDescent="0.25">
      <c r="B79" s="329" t="s">
        <v>6733</v>
      </c>
      <c r="C79" s="338">
        <f t="shared" si="17"/>
        <v>101.95583333333332</v>
      </c>
      <c r="D79" s="225">
        <f t="shared" si="18"/>
        <v>1.1549242087772804E-2</v>
      </c>
    </row>
    <row r="80" spans="1:16" x14ac:dyDescent="0.25">
      <c r="B80" s="329" t="s">
        <v>911</v>
      </c>
      <c r="C80" s="338">
        <f t="shared" si="17"/>
        <v>394.95374999999996</v>
      </c>
      <c r="D80" s="225">
        <f t="shared" si="18"/>
        <v>4.4739141676284976E-2</v>
      </c>
      <c r="E80" s="85" t="s">
        <v>280</v>
      </c>
    </row>
    <row r="81" spans="2:4" x14ac:dyDescent="0.25">
      <c r="B81" s="329" t="s">
        <v>1526</v>
      </c>
      <c r="C81" s="338">
        <f t="shared" si="17"/>
        <v>166.80444444444441</v>
      </c>
      <c r="D81" s="225">
        <f t="shared" si="18"/>
        <v>1.8895092582951818E-2</v>
      </c>
    </row>
    <row r="82" spans="2:4" x14ac:dyDescent="0.25">
      <c r="B82" s="329" t="s">
        <v>2343</v>
      </c>
      <c r="C82" s="338">
        <f t="shared" ref="C82" si="19">B17</f>
        <v>0</v>
      </c>
      <c r="D82" s="225">
        <f t="shared" si="18"/>
        <v>0</v>
      </c>
    </row>
    <row r="83" spans="2:4" x14ac:dyDescent="0.25">
      <c r="B83" s="329" t="s">
        <v>3019</v>
      </c>
      <c r="C83" s="338">
        <f>B18</f>
        <v>90.47166666666665</v>
      </c>
      <c r="D83" s="225">
        <f t="shared" si="18"/>
        <v>1.0248351136530869E-2</v>
      </c>
    </row>
    <row r="84" spans="2:4" x14ac:dyDescent="0.25">
      <c r="B84" s="329" t="s">
        <v>1527</v>
      </c>
      <c r="C84" s="338">
        <f>B19</f>
        <v>635.27499999999998</v>
      </c>
      <c r="D84" s="225">
        <f t="shared" si="18"/>
        <v>7.1961991064528288E-2</v>
      </c>
    </row>
    <row r="85" spans="2:4" x14ac:dyDescent="0.25">
      <c r="C85" s="867"/>
      <c r="D85" s="1122"/>
    </row>
    <row r="86" spans="2:4" ht="18.75" x14ac:dyDescent="0.3">
      <c r="B86" s="200" t="s">
        <v>388</v>
      </c>
      <c r="C86" s="1095">
        <f ca="1">SUM(C68:C84)</f>
        <v>8553.6073611111096</v>
      </c>
      <c r="D86" s="1087">
        <f ca="1">SUM(D68:D84)</f>
        <v>0.96892623901422414</v>
      </c>
    </row>
  </sheetData>
  <scenarios current="0" show="0">
    <scenario name="teste" locked="1" count="24" user="Alexandre" comment="Criado por Alexandre em 31/10/2024">
      <inputCells r="D2" val="Janeiro"/>
      <inputCells r="E2" val="Fevereiro"/>
      <inputCells r="F2" val="Março"/>
      <inputCells r="G2" val="Abril"/>
      <inputCells r="H2" val="Maio"/>
      <inputCells r="I2" val="Junho"/>
      <inputCells r="J2" val="Julho"/>
      <inputCells r="K2" val="Agosto"/>
      <inputCells r="L2" val="Setembro"/>
      <inputCells r="M2" val="Outubro"/>
      <inputCells r="N2" val="Novembro"/>
      <inputCells r="O2" val="Dezembro"/>
      <inputCells r="D3" val="316,8"/>
      <inputCells r="E3" val="378,4"/>
      <inputCells r="F3" val="389,85"/>
      <inputCells r="G3" val="426,35"/>
      <inputCells r="H3" val="452,8"/>
      <inputCells r="I3" val="450,4"/>
      <inputCells r="J3" val="479,9"/>
      <inputCells r="K3" val="468,5"/>
      <inputCells r="L3" val="508"/>
      <inputCells r="M3" val="431,9"/>
      <inputCells r="N3" val="0"/>
      <inputCells r="O3" val="0"/>
    </scenario>
  </scenarios>
  <phoneticPr fontId="43" type="noConversion"/>
  <conditionalFormatting sqref="K18">
    <cfRule type="cellIs" dxfId="2" priority="7" operator="greaterThan">
      <formula>$M$3+$M$3:$M$19</formula>
    </cfRule>
  </conditionalFormatting>
  <conditionalFormatting sqref="L3:L19">
    <cfRule type="cellIs" dxfId="1" priority="4" operator="greaterThan">
      <formula>K3</formula>
    </cfRule>
  </conditionalFormatting>
  <conditionalFormatting sqref="M3:O19">
    <cfRule type="cellIs" dxfId="0" priority="1" operator="greaterThan">
      <formula>L3</formula>
    </cfRule>
  </conditionalFormatting>
  <pageMargins left="0.78740157499999996" right="0.78740157499999996" top="0.984251969" bottom="0.984251969" header="0.49212598499999999" footer="0.49212598499999999"/>
  <pageSetup paperSize="9" orientation="landscape" horizontalDpi="4294967294" r:id="rId1"/>
  <headerFooter alignWithMargin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Plan67"/>
  <dimension ref="A1:AK253"/>
  <sheetViews>
    <sheetView topLeftCell="A4" zoomScale="85" zoomScaleNormal="85" workbookViewId="0">
      <pane xSplit="3" topLeftCell="D1" activePane="topRight" state="frozen"/>
      <selection pane="topRight" activeCell="F32" sqref="F32"/>
    </sheetView>
  </sheetViews>
  <sheetFormatPr defaultColWidth="9.140625" defaultRowHeight="15" x14ac:dyDescent="0.25"/>
  <cols>
    <col min="1" max="1" width="26.7109375" style="79" customWidth="1"/>
    <col min="2" max="2" width="21.7109375" style="79" customWidth="1"/>
    <col min="3" max="3" width="16.140625" style="89" customWidth="1"/>
    <col min="4" max="5" width="12.28515625" style="85" customWidth="1"/>
    <col min="6" max="6" width="18.28515625" style="89" customWidth="1"/>
    <col min="7" max="7" width="19.140625" style="79" customWidth="1"/>
    <col min="8" max="8" width="18.5703125" style="79" customWidth="1"/>
    <col min="9" max="10" width="19.140625" style="79" customWidth="1"/>
    <col min="11" max="12" width="14.7109375" style="79" customWidth="1"/>
    <col min="13" max="13" width="19.42578125" style="79" bestFit="1" customWidth="1"/>
    <col min="14" max="14" width="14.42578125" style="79" bestFit="1" customWidth="1"/>
    <col min="15" max="16" width="14.5703125" style="79" bestFit="1" customWidth="1"/>
    <col min="17" max="19" width="15.5703125" style="79" bestFit="1" customWidth="1"/>
    <col min="20" max="23" width="13.85546875" style="79" bestFit="1" customWidth="1"/>
    <col min="24" max="24" width="19.42578125" style="79" bestFit="1" customWidth="1"/>
    <col min="25" max="37" width="13.85546875" style="79" bestFit="1" customWidth="1"/>
    <col min="38" max="16384" width="9.140625" style="79"/>
  </cols>
  <sheetData>
    <row r="1" spans="1:20" ht="23.25" customHeight="1" x14ac:dyDescent="0.25">
      <c r="A1" s="333" t="s">
        <v>5454</v>
      </c>
      <c r="B1" s="334" t="s">
        <v>5455</v>
      </c>
      <c r="C1" s="433" t="s">
        <v>5456</v>
      </c>
      <c r="D1" s="334">
        <v>2011</v>
      </c>
      <c r="E1" s="334">
        <v>2012</v>
      </c>
      <c r="F1" s="334">
        <v>2013</v>
      </c>
      <c r="G1" s="334">
        <v>2014</v>
      </c>
      <c r="H1" s="334">
        <v>2015</v>
      </c>
      <c r="I1" s="334">
        <v>2016</v>
      </c>
      <c r="J1" s="334">
        <v>2017</v>
      </c>
      <c r="K1" s="334">
        <v>2018</v>
      </c>
      <c r="L1" s="334">
        <v>2019</v>
      </c>
      <c r="M1" s="334">
        <v>2020</v>
      </c>
      <c r="N1" s="334">
        <v>2021</v>
      </c>
      <c r="O1" s="334">
        <v>2022</v>
      </c>
      <c r="P1" s="334">
        <v>2023</v>
      </c>
      <c r="Q1" s="334">
        <v>2024</v>
      </c>
      <c r="R1" s="334">
        <v>2025</v>
      </c>
      <c r="S1" s="334">
        <v>2026</v>
      </c>
    </row>
    <row r="2" spans="1:20" x14ac:dyDescent="0.25">
      <c r="A2" s="329" t="s">
        <v>32</v>
      </c>
      <c r="B2" s="336">
        <f ca="1">C2/13</f>
        <v>3879.3884615384613</v>
      </c>
      <c r="C2" s="332">
        <f ca="1">SUM(D2:R2)</f>
        <v>50432.049999999996</v>
      </c>
      <c r="D2" s="338">
        <v>0</v>
      </c>
      <c r="E2" s="338">
        <v>0</v>
      </c>
      <c r="F2" s="549">
        <f>'Acumulado 2013'!C3</f>
        <v>1387.69</v>
      </c>
      <c r="G2" s="549">
        <f>'Acumulado 2014'!C3</f>
        <v>2101.65</v>
      </c>
      <c r="H2" s="549">
        <f>'Acumulado 2015'!C3</f>
        <v>2998.21</v>
      </c>
      <c r="I2" s="549">
        <f>'Acumulado 2016'!C3</f>
        <v>3562.04</v>
      </c>
      <c r="J2" s="549">
        <f>'Acumulado 2017'!C3</f>
        <v>3930.2</v>
      </c>
      <c r="K2" s="549">
        <f>'Acumulado 2018'!C3</f>
        <v>4172.9900000000007</v>
      </c>
      <c r="L2" s="549">
        <f>'Acumulado 2019'!C3</f>
        <v>4183.8900000000003</v>
      </c>
      <c r="M2" s="388">
        <f>'Acumulado 2020'!C3</f>
        <v>4042.21</v>
      </c>
      <c r="N2" s="561">
        <f>'Acumulado 2021'!C3</f>
        <v>4436.68</v>
      </c>
      <c r="O2" s="561">
        <f>'Acumulado 2022'!C3</f>
        <v>4464.9699999999993</v>
      </c>
      <c r="P2" s="561">
        <f>'Acumulado 2023'!C3</f>
        <v>4893.92</v>
      </c>
      <c r="Q2" s="561">
        <f>'Acumulado 2024'!C3</f>
        <v>5157.29</v>
      </c>
      <c r="R2" s="2570">
        <f ca="1">'Acumulado 2025'!C3</f>
        <v>5100.3100000000004</v>
      </c>
      <c r="S2" s="2570">
        <f>'Acumulado 2026'!C3</f>
        <v>0</v>
      </c>
      <c r="T2" s="2940">
        <f ca="1">SUM(Q2-R2)/Q2</f>
        <v>1.1048438230155675E-2</v>
      </c>
    </row>
    <row r="3" spans="1:20" x14ac:dyDescent="0.25">
      <c r="A3" s="329" t="s">
        <v>2187</v>
      </c>
      <c r="B3" s="336">
        <f t="shared" ref="B3:B20" ca="1" si="0">C3/13</f>
        <v>3814.8123076923075</v>
      </c>
      <c r="C3" s="332">
        <f t="shared" ref="C3:C20" ca="1" si="1">SUM(D3:R3)</f>
        <v>49592.56</v>
      </c>
      <c r="D3" s="338">
        <v>0</v>
      </c>
      <c r="E3" s="338">
        <v>0</v>
      </c>
      <c r="F3" s="549">
        <f>'Acumulado 2013'!C4</f>
        <v>2284.75</v>
      </c>
      <c r="G3" s="549">
        <f>'Acumulado 2014'!C4</f>
        <v>2854.5</v>
      </c>
      <c r="H3" s="588">
        <f>'Acumulado 2015'!C4</f>
        <v>2779.9</v>
      </c>
      <c r="I3" s="549">
        <f>'Acumulado 2016'!C4</f>
        <v>3748.44</v>
      </c>
      <c r="J3" s="549">
        <f>'Acumulado 2017'!C4</f>
        <v>4260.1500000000005</v>
      </c>
      <c r="K3" s="549">
        <f>'Acumulado 2018'!C4</f>
        <v>4948.41</v>
      </c>
      <c r="L3" s="337">
        <f>'Acumulado 2019'!C4</f>
        <v>3994.4700000000003</v>
      </c>
      <c r="M3" s="388">
        <f>'Acumulado 2020'!C4</f>
        <v>3956.96</v>
      </c>
      <c r="N3" s="561">
        <f>'Acumulado 2021'!C4</f>
        <v>4950.09</v>
      </c>
      <c r="O3" s="561">
        <f>'Acumulado 2022'!C4</f>
        <v>6559.08</v>
      </c>
      <c r="P3" s="388">
        <f>'Acumulado 2023'!C4</f>
        <v>5500</v>
      </c>
      <c r="Q3" s="388">
        <f>'Acumulado 2024'!C4</f>
        <v>3208.04</v>
      </c>
      <c r="R3" s="2570">
        <f ca="1">'Acumulado 2025'!C4</f>
        <v>547.77</v>
      </c>
      <c r="S3" s="2570">
        <f>'Acumulado 2026'!C4</f>
        <v>50</v>
      </c>
      <c r="T3" s="2940">
        <f t="shared" ref="T3:T20" ca="1" si="2">SUM(Q3-R3)/Q3</f>
        <v>0.82925088215857656</v>
      </c>
    </row>
    <row r="4" spans="1:20" x14ac:dyDescent="0.25">
      <c r="A4" s="329" t="s">
        <v>2188</v>
      </c>
      <c r="B4" s="336">
        <f t="shared" si="0"/>
        <v>121.06000000000002</v>
      </c>
      <c r="C4" s="332">
        <f t="shared" si="1"/>
        <v>1573.7800000000002</v>
      </c>
      <c r="D4" s="338">
        <v>0</v>
      </c>
      <c r="E4" s="338">
        <v>0</v>
      </c>
      <c r="F4" s="588">
        <v>0</v>
      </c>
      <c r="G4" s="588">
        <v>0</v>
      </c>
      <c r="H4" s="588">
        <v>0</v>
      </c>
      <c r="I4" s="588">
        <v>0</v>
      </c>
      <c r="J4" s="588">
        <v>0</v>
      </c>
      <c r="K4" s="588">
        <v>0</v>
      </c>
      <c r="L4" s="549">
        <f>'Acumulado 2019'!C5</f>
        <v>288.34000000000003</v>
      </c>
      <c r="M4" s="561">
        <f>'Acumulado 2020'!C5</f>
        <v>301.34000000000003</v>
      </c>
      <c r="N4" s="561">
        <f>'Acumulado 2021'!C5</f>
        <v>914.1</v>
      </c>
      <c r="O4" s="565">
        <f>'Acumulado 2022'!C5</f>
        <v>70</v>
      </c>
      <c r="P4" s="388">
        <f>'Acumulado 2023'!C5</f>
        <v>0</v>
      </c>
      <c r="Q4" s="388">
        <v>0</v>
      </c>
      <c r="R4" s="2570">
        <v>0</v>
      </c>
      <c r="S4" s="2570">
        <v>0</v>
      </c>
      <c r="T4" s="2940"/>
    </row>
    <row r="5" spans="1:20" x14ac:dyDescent="0.25">
      <c r="A5" s="329" t="s">
        <v>50</v>
      </c>
      <c r="B5" s="336">
        <f t="shared" ca="1" si="0"/>
        <v>2615.9584615384615</v>
      </c>
      <c r="C5" s="332">
        <f t="shared" ca="1" si="1"/>
        <v>34007.46</v>
      </c>
      <c r="D5" s="338">
        <v>0</v>
      </c>
      <c r="E5" s="338">
        <v>0</v>
      </c>
      <c r="F5" s="549">
        <f>'Acumulado 2013'!C5</f>
        <v>663.49</v>
      </c>
      <c r="G5" s="549">
        <f>'Acumulado 2014'!C5</f>
        <v>1782.1399999999999</v>
      </c>
      <c r="H5" s="337">
        <f>'Acumulado 2015'!C5</f>
        <v>1752.7000000000003</v>
      </c>
      <c r="I5" s="337">
        <f>'Acumulado 2016'!C5</f>
        <v>1672.17</v>
      </c>
      <c r="J5" s="549">
        <f>'Acumulado 2017'!C5</f>
        <v>2421.5</v>
      </c>
      <c r="K5" s="337">
        <f>'Acumulado 2018'!C5</f>
        <v>1736.6599999999996</v>
      </c>
      <c r="L5" s="549">
        <f>'Acumulado 2019'!C6</f>
        <v>2596.92</v>
      </c>
      <c r="M5" s="561">
        <f>'Acumulado 2020'!C6</f>
        <v>3190.0600000000004</v>
      </c>
      <c r="N5" s="561">
        <f>'Acumulado 2021'!C6</f>
        <v>3248.1699999999992</v>
      </c>
      <c r="O5" s="561">
        <f>'Acumulado 2022'!C6</f>
        <v>3425.5</v>
      </c>
      <c r="P5" s="561">
        <f>'Acumulado 2023'!C6</f>
        <v>3711.8399999999997</v>
      </c>
      <c r="Q5" s="388">
        <f>'Acumulado 2024'!C5</f>
        <v>3887.45</v>
      </c>
      <c r="R5" s="2570">
        <f ca="1">'Acumulado 2025'!C5</f>
        <v>3918.86</v>
      </c>
      <c r="S5" s="2570">
        <f>Tabela14[[#This Row],[Total do Ano]]</f>
        <v>436.90999999999991</v>
      </c>
      <c r="T5" s="2940">
        <f t="shared" ca="1" si="2"/>
        <v>-8.0798466861310911E-3</v>
      </c>
    </row>
    <row r="6" spans="1:20" x14ac:dyDescent="0.25">
      <c r="A6" s="329" t="s">
        <v>14</v>
      </c>
      <c r="B6" s="336">
        <f t="shared" ca="1" si="0"/>
        <v>1606.2432307692309</v>
      </c>
      <c r="C6" s="332">
        <f t="shared" ca="1" si="1"/>
        <v>20881.162</v>
      </c>
      <c r="D6" s="338">
        <v>0</v>
      </c>
      <c r="E6" s="338">
        <v>0</v>
      </c>
      <c r="F6" s="549">
        <f>'Acumulado 2013'!C6</f>
        <v>274.47000000000003</v>
      </c>
      <c r="G6" s="549">
        <f>'Acumulado 2014'!C6</f>
        <v>1483.5</v>
      </c>
      <c r="H6" s="549">
        <f>'Acumulado 2015'!C6</f>
        <v>1548.0400000000002</v>
      </c>
      <c r="I6" s="549">
        <f>'Acumulado 2016'!C6</f>
        <v>2091.16</v>
      </c>
      <c r="J6" s="337">
        <f>'Acumulado 2017'!C6</f>
        <v>1977.32</v>
      </c>
      <c r="K6" s="337">
        <f>'Acumulado 2018'!C6</f>
        <v>1471.3800000000003</v>
      </c>
      <c r="L6" s="549">
        <f>'Acumulado 2019'!C7</f>
        <v>1640.0299999999997</v>
      </c>
      <c r="M6" s="561">
        <f>'Acumulado 2020'!C7</f>
        <v>1647.17</v>
      </c>
      <c r="N6" s="561">
        <f>'Acumulado 2021'!C7</f>
        <v>1806.4699999999998</v>
      </c>
      <c r="O6" s="388">
        <f>'Acumulado 2022'!C7</f>
        <v>1488.8</v>
      </c>
      <c r="P6" s="561">
        <f>'Acumulado 2023'!C7</f>
        <v>1502.48</v>
      </c>
      <c r="Q6" s="561">
        <f>'Acumulado 2024'!C6</f>
        <v>1650.5499999999997</v>
      </c>
      <c r="R6" s="2721">
        <f ca="1">'Acumulado 2025'!C6</f>
        <v>2299.7920000000004</v>
      </c>
      <c r="S6" s="2570">
        <f>Tabela14[[#This Row],[Total do Ano]]</f>
        <v>240.36</v>
      </c>
      <c r="T6" s="2940">
        <f t="shared" ca="1" si="2"/>
        <v>-0.39334888370543197</v>
      </c>
    </row>
    <row r="7" spans="1:20" x14ac:dyDescent="0.25">
      <c r="A7" s="329" t="s">
        <v>358</v>
      </c>
      <c r="B7" s="336">
        <f t="shared" ca="1" si="0"/>
        <v>1214.1169230769233</v>
      </c>
      <c r="C7" s="332">
        <f t="shared" ca="1" si="1"/>
        <v>15783.520000000002</v>
      </c>
      <c r="D7" s="338">
        <v>0</v>
      </c>
      <c r="E7" s="338">
        <v>0</v>
      </c>
      <c r="F7" s="337">
        <f>'Acumulado 2013'!C7</f>
        <v>902.67</v>
      </c>
      <c r="G7" s="337">
        <f>'Acumulado 2014'!C7</f>
        <v>829.64999999999986</v>
      </c>
      <c r="H7" s="549">
        <f>'Acumulado 2015'!C7</f>
        <v>915.38</v>
      </c>
      <c r="I7" s="549">
        <f>'Acumulado 2016'!C7</f>
        <v>1239.71</v>
      </c>
      <c r="J7" s="337">
        <f>'Acumulado 2017'!C7</f>
        <v>1220.0200000000002</v>
      </c>
      <c r="K7" s="549">
        <f>'Acumulado 2018'!C7</f>
        <v>1321.0500000000002</v>
      </c>
      <c r="L7" s="337">
        <f>'Acumulado 2019'!C8</f>
        <v>1186.49</v>
      </c>
      <c r="M7" s="561">
        <f>'Acumulado 2020'!C8</f>
        <v>1222.4100000000003</v>
      </c>
      <c r="N7" s="561">
        <f>'Acumulado 2021'!C8</f>
        <v>1233.9199999999998</v>
      </c>
      <c r="O7" s="561">
        <f>'Acumulado 2022'!C8</f>
        <v>1276.69</v>
      </c>
      <c r="P7" s="388">
        <f>'Acumulado 2023'!C8</f>
        <v>914.79</v>
      </c>
      <c r="Q7" s="561">
        <f>'Acumulado 2024'!C7</f>
        <v>1460.1799999999998</v>
      </c>
      <c r="R7" s="2721">
        <f ca="1">'Acumulado 2025'!C7</f>
        <v>2060.56</v>
      </c>
      <c r="S7" s="2570">
        <f>Tabela14[[#This Row],[Total do Ano]]</f>
        <v>74.34</v>
      </c>
      <c r="T7" s="2940">
        <f t="shared" ca="1" si="2"/>
        <v>-0.41116848607705914</v>
      </c>
    </row>
    <row r="8" spans="1:20" x14ac:dyDescent="0.25">
      <c r="A8" s="329" t="s">
        <v>2189</v>
      </c>
      <c r="B8" s="336">
        <f t="shared" ca="1" si="0"/>
        <v>1060.7921794871795</v>
      </c>
      <c r="C8" s="332">
        <f t="shared" ca="1" si="1"/>
        <v>13790.298333333334</v>
      </c>
      <c r="D8" s="338">
        <v>0</v>
      </c>
      <c r="E8" s="338">
        <v>0</v>
      </c>
      <c r="F8" s="549">
        <f>'Acumulado 2013'!C8</f>
        <v>620.26</v>
      </c>
      <c r="G8" s="337">
        <f>'Acumulado 2014'!C8</f>
        <v>560</v>
      </c>
      <c r="H8" s="337">
        <f>'Acumulado 2015'!C8</f>
        <v>0</v>
      </c>
      <c r="I8" s="549">
        <f>'Acumulado 2016'!C8</f>
        <v>600</v>
      </c>
      <c r="J8" s="549">
        <f>'Acumulado 2017'!C8</f>
        <v>910</v>
      </c>
      <c r="K8" s="549">
        <f>'Acumulado 2018'!C8</f>
        <v>1431.65</v>
      </c>
      <c r="L8" s="337">
        <f>'Acumulado 2019'!C9</f>
        <v>1186.46</v>
      </c>
      <c r="M8" s="388">
        <f>'Acumulado 2020'!C9</f>
        <v>1091.4033333333332</v>
      </c>
      <c r="N8" s="561">
        <f>'Acumulado 2021'!C9</f>
        <v>1252.23</v>
      </c>
      <c r="O8" s="561">
        <f>'Acumulado 2022'!C9</f>
        <v>1724.12</v>
      </c>
      <c r="P8" s="388">
        <f>'Acumulado 2023'!C9</f>
        <v>1529.04</v>
      </c>
      <c r="Q8" s="388">
        <f>'Acumulado 2024'!C8</f>
        <v>1408.2249999999999</v>
      </c>
      <c r="R8" s="2721">
        <f ca="1">'Acumulado 2025'!C8</f>
        <v>1476.9099999999999</v>
      </c>
      <c r="S8" s="2570">
        <f>Tabela14[[#This Row],[Total do Ano]]</f>
        <v>100</v>
      </c>
      <c r="T8" s="2940">
        <f t="shared" ca="1" si="2"/>
        <v>-4.8774166060111097E-2</v>
      </c>
    </row>
    <row r="9" spans="1:20" x14ac:dyDescent="0.25">
      <c r="A9" s="329" t="s">
        <v>53</v>
      </c>
      <c r="B9" s="336">
        <f t="shared" ca="1" si="0"/>
        <v>4889.8530512820507</v>
      </c>
      <c r="C9" s="332">
        <f t="shared" ca="1" si="1"/>
        <v>63568.089666666659</v>
      </c>
      <c r="D9" s="338">
        <v>0</v>
      </c>
      <c r="E9" s="338">
        <v>0</v>
      </c>
      <c r="F9" s="337">
        <f>'Acumulado 2013'!C9</f>
        <v>2794.91</v>
      </c>
      <c r="G9" s="337">
        <f>'Acumulado 2014'!C9</f>
        <v>1764.7399999999998</v>
      </c>
      <c r="H9" s="549">
        <f>'Acumulado 2015'!C9</f>
        <v>9329.2199999999993</v>
      </c>
      <c r="I9" s="337">
        <f>'Acumulado 2016'!C9</f>
        <v>5232.9400000000005</v>
      </c>
      <c r="J9" s="337">
        <f>'Acumulado 2017'!C9</f>
        <v>4376.6499999999996</v>
      </c>
      <c r="K9" s="337">
        <f>'Acumulado 2018'!C9</f>
        <v>2193.16</v>
      </c>
      <c r="L9" s="549">
        <f>'Acumulado 2019'!C10</f>
        <v>2360.083333333333</v>
      </c>
      <c r="M9" s="561">
        <f>'Acumulado 2020'!C10</f>
        <v>3279.6699999999996</v>
      </c>
      <c r="N9" s="388">
        <f>'Acumulado 2021'!C10</f>
        <v>2669.0699999999997</v>
      </c>
      <c r="O9" s="561">
        <f>'Acumulado 2022'!C10</f>
        <v>5455.9000000000015</v>
      </c>
      <c r="P9" s="561">
        <f>'Acumulado 2023'!C10</f>
        <v>16127.131333333333</v>
      </c>
      <c r="Q9" s="388">
        <f>'Acumulado 2024'!C9</f>
        <v>4364.9049999999997</v>
      </c>
      <c r="R9" s="2570">
        <f ca="1">'Acumulado 2025'!C9</f>
        <v>3619.7099999999996</v>
      </c>
      <c r="S9" s="2570">
        <f>Tabela14[[#This Row],[Total do Ano]]</f>
        <v>1899.7399999999998</v>
      </c>
      <c r="T9" s="2940">
        <f t="shared" ca="1" si="2"/>
        <v>0.17072421965655615</v>
      </c>
    </row>
    <row r="10" spans="1:20" x14ac:dyDescent="0.25">
      <c r="A10" s="906" t="s">
        <v>2149</v>
      </c>
      <c r="B10" s="336">
        <f t="shared" si="0"/>
        <v>1064.69</v>
      </c>
      <c r="C10" s="332">
        <f t="shared" si="1"/>
        <v>13840.97</v>
      </c>
      <c r="D10" s="338">
        <v>0</v>
      </c>
      <c r="E10" s="338">
        <v>0</v>
      </c>
      <c r="F10" s="337">
        <v>0</v>
      </c>
      <c r="G10" s="337">
        <v>0</v>
      </c>
      <c r="H10" s="337">
        <v>0</v>
      </c>
      <c r="I10" s="588">
        <v>0</v>
      </c>
      <c r="J10" s="337">
        <v>0</v>
      </c>
      <c r="K10" s="337">
        <v>0</v>
      </c>
      <c r="L10" s="549">
        <f>'Acumulado 2019'!C11</f>
        <v>11513.369999999999</v>
      </c>
      <c r="M10" s="388">
        <f>'Acumulado 2020'!C11</f>
        <v>743.04</v>
      </c>
      <c r="N10" s="561">
        <f>'Acumulado 2021'!C11</f>
        <v>1500.06</v>
      </c>
      <c r="O10" s="388">
        <f>'Acumulado 2022'!C11</f>
        <v>84.5</v>
      </c>
      <c r="P10" s="388">
        <f>'Acumulado 2023'!C11</f>
        <v>0</v>
      </c>
      <c r="Q10" s="388">
        <v>0</v>
      </c>
      <c r="R10" s="2570">
        <v>0</v>
      </c>
      <c r="S10" s="2570">
        <v>0</v>
      </c>
      <c r="T10" s="2940"/>
    </row>
    <row r="11" spans="1:20" x14ac:dyDescent="0.25">
      <c r="A11" s="329" t="s">
        <v>54</v>
      </c>
      <c r="B11" s="336">
        <f t="shared" si="0"/>
        <v>894.33923076923065</v>
      </c>
      <c r="C11" s="332">
        <f t="shared" si="1"/>
        <v>11626.409999999998</v>
      </c>
      <c r="D11" s="338">
        <v>0</v>
      </c>
      <c r="E11" s="338">
        <v>0</v>
      </c>
      <c r="F11" s="337">
        <f>'Acumulado 2013'!C10</f>
        <v>1470.73</v>
      </c>
      <c r="G11" s="337">
        <v>0</v>
      </c>
      <c r="H11" s="337">
        <v>0</v>
      </c>
      <c r="I11" s="549">
        <f>'Acumulado 2016'!C10</f>
        <v>6822.3599999999979</v>
      </c>
      <c r="J11" s="337">
        <f>'Acumulado 2017'!C10</f>
        <v>3333.32</v>
      </c>
      <c r="K11" s="337">
        <f>'Acumulado 2018'!E10</f>
        <v>0</v>
      </c>
      <c r="L11" s="588">
        <v>0</v>
      </c>
      <c r="M11" s="388">
        <v>0</v>
      </c>
      <c r="N11" s="388">
        <v>0</v>
      </c>
      <c r="O11" s="388">
        <v>0</v>
      </c>
      <c r="P11" s="388">
        <v>0</v>
      </c>
      <c r="Q11" s="388">
        <v>0</v>
      </c>
      <c r="R11" s="2570">
        <v>0</v>
      </c>
      <c r="S11" s="2570">
        <f>'Acumulado 2026'!C12</f>
        <v>750.83409523809519</v>
      </c>
      <c r="T11" s="2940"/>
    </row>
    <row r="12" spans="1:20" x14ac:dyDescent="0.25">
      <c r="A12" s="329" t="s">
        <v>2504</v>
      </c>
      <c r="B12" s="336">
        <f t="shared" ca="1" si="0"/>
        <v>1433.2111538461538</v>
      </c>
      <c r="C12" s="332">
        <f t="shared" ca="1" si="1"/>
        <v>18631.744999999999</v>
      </c>
      <c r="D12" s="338">
        <v>0</v>
      </c>
      <c r="E12" s="338">
        <v>0</v>
      </c>
      <c r="F12" s="337">
        <f>'Acumulado 2013'!C12</f>
        <v>921.79000000000019</v>
      </c>
      <c r="G12" s="388">
        <f>'Acumulado 2014'!C10</f>
        <v>638.54000000000008</v>
      </c>
      <c r="H12" s="388">
        <f>'Acumulado 2015'!C10</f>
        <v>310.85000000000002</v>
      </c>
      <c r="I12" s="388">
        <f>'Acumulado 2016'!C11</f>
        <v>309.04000000000002</v>
      </c>
      <c r="J12" s="388">
        <f>'Acumulado 2017'!C11</f>
        <v>253.79</v>
      </c>
      <c r="K12" s="549">
        <f>'Acumulado 2018'!C11</f>
        <v>593.77</v>
      </c>
      <c r="L12" s="549">
        <f>'Acumulado 2019'!C12</f>
        <v>1355.47</v>
      </c>
      <c r="M12" s="561">
        <f>'Acumulado 2020'!C12</f>
        <v>1366.8899999999999</v>
      </c>
      <c r="N12" s="561">
        <f ca="1">'Acumulado 2021'!C12</f>
        <v>2023.49</v>
      </c>
      <c r="O12" s="561">
        <f ca="1">'Acumulado 2022'!C12</f>
        <v>2676.8150000000001</v>
      </c>
      <c r="P12" s="561">
        <f ca="1">'Acumulado 2023'!C12</f>
        <v>2826.93</v>
      </c>
      <c r="Q12" s="388">
        <f ca="1">'Acumulado 2024'!C10</f>
        <v>2090.3200000000002</v>
      </c>
      <c r="R12" s="2570">
        <f ca="1">'Acumulado 2025'!C10</f>
        <v>3264.05</v>
      </c>
      <c r="S12" s="2570">
        <f>'Acumulado 2026'!C10</f>
        <v>1119.8629999999998</v>
      </c>
      <c r="T12" s="2940">
        <f t="shared" ca="1" si="2"/>
        <v>-0.56150732902139378</v>
      </c>
    </row>
    <row r="13" spans="1:20" x14ac:dyDescent="0.25">
      <c r="A13" s="329" t="s">
        <v>1686</v>
      </c>
      <c r="B13" s="336">
        <f t="shared" ca="1" si="0"/>
        <v>3243.7684615384619</v>
      </c>
      <c r="C13" s="332">
        <f t="shared" ca="1" si="1"/>
        <v>42168.990000000005</v>
      </c>
      <c r="D13" s="420">
        <v>0</v>
      </c>
      <c r="E13" s="338">
        <v>0</v>
      </c>
      <c r="F13" s="337">
        <f>'Acumulado 2013'!C13</f>
        <v>2140.59</v>
      </c>
      <c r="G13" s="388">
        <f>'Acumulado 2014'!C11</f>
        <v>963.59000000000015</v>
      </c>
      <c r="H13" s="561">
        <f>'Acumulado 2015'!C11</f>
        <v>2995.2000000000003</v>
      </c>
      <c r="I13" s="561">
        <f>'Acumulado 2016'!C12</f>
        <v>3148.98</v>
      </c>
      <c r="J13" s="561">
        <f>'Acumulado 2017'!C12</f>
        <v>3930.21</v>
      </c>
      <c r="K13" s="549">
        <f>'Acumulado 2018'!C12</f>
        <v>4015.54</v>
      </c>
      <c r="L13" s="337">
        <f>'Acumulado 2019'!C13</f>
        <v>3324.25</v>
      </c>
      <c r="M13" s="549">
        <f>'Acumulado 2020'!C13</f>
        <v>4053.9300000000003</v>
      </c>
      <c r="N13" s="388">
        <f>'Acumulado 2021'!C13</f>
        <v>3169.4700000000003</v>
      </c>
      <c r="O13" s="561">
        <f ca="1">'Acumulado 2022'!C13</f>
        <v>4461.34</v>
      </c>
      <c r="P13" s="388">
        <f>'Acumulado 2023'!C13</f>
        <v>2857.2650000000003</v>
      </c>
      <c r="Q13" s="388">
        <f>'Acumulado 2024'!C11</f>
        <v>2590.0249999999996</v>
      </c>
      <c r="R13" s="2795">
        <f ca="1">'Acumulado 2025'!C11</f>
        <v>4518.6000000000004</v>
      </c>
      <c r="S13" s="2570">
        <f>'Acumulado 2026'!C11</f>
        <v>260.90999999999997</v>
      </c>
      <c r="T13" s="2940">
        <f t="shared" ca="1" si="2"/>
        <v>-0.74461636470690473</v>
      </c>
    </row>
    <row r="14" spans="1:20" x14ac:dyDescent="0.25">
      <c r="A14" s="329" t="s">
        <v>418</v>
      </c>
      <c r="B14" s="336">
        <f t="shared" ca="1" si="0"/>
        <v>9507.5065311355302</v>
      </c>
      <c r="C14" s="332">
        <f ca="1">SUM(D14:R14)</f>
        <v>123597.5849047619</v>
      </c>
      <c r="D14" s="420">
        <v>0</v>
      </c>
      <c r="E14" s="338">
        <v>0</v>
      </c>
      <c r="F14" s="337">
        <v>0</v>
      </c>
      <c r="G14" s="565">
        <f>'Acumulado 2014'!C13</f>
        <v>4650.99</v>
      </c>
      <c r="H14" s="561">
        <f>'Acumulado 2015'!C13</f>
        <v>6111.48</v>
      </c>
      <c r="I14" s="388">
        <f>'Acumulado 2016'!C13</f>
        <v>0</v>
      </c>
      <c r="J14" s="561">
        <f>'Acumulado 2017'!C13</f>
        <v>540</v>
      </c>
      <c r="K14" s="549">
        <f>'Acumulado 2018'!C13</f>
        <v>3641.0299999999997</v>
      </c>
      <c r="L14" s="337">
        <f>'Acumulado 2019'!C14</f>
        <v>1476.27</v>
      </c>
      <c r="M14" s="388">
        <f>'Acumulado 2020'!C14</f>
        <v>1294.96</v>
      </c>
      <c r="N14" s="388">
        <f>'Acumulado 2021'!C14</f>
        <v>129.66</v>
      </c>
      <c r="O14" s="561">
        <f>'Acumulado 2022'!C14</f>
        <v>517.4</v>
      </c>
      <c r="P14" s="561">
        <f>'Acumulado 2023'!C14</f>
        <v>1028.07</v>
      </c>
      <c r="Q14" s="561">
        <f>'Acumulado 2024'!C12</f>
        <v>47701.714999999997</v>
      </c>
      <c r="R14" s="2721">
        <f ca="1">'Acumulado 2025'!C12</f>
        <v>56506.009904761901</v>
      </c>
      <c r="S14" s="2570">
        <f>'Acumulado 2026'!C12</f>
        <v>750.83409523809519</v>
      </c>
      <c r="T14" s="2940">
        <f t="shared" ca="1" si="2"/>
        <v>-0.18456977709841049</v>
      </c>
    </row>
    <row r="15" spans="1:20" x14ac:dyDescent="0.25">
      <c r="A15" s="329" t="s">
        <v>6732</v>
      </c>
      <c r="B15" s="336">
        <f t="shared" ca="1" si="0"/>
        <v>7459.9776923076906</v>
      </c>
      <c r="C15" s="332">
        <f t="shared" ca="1" si="1"/>
        <v>96979.709999999977</v>
      </c>
      <c r="D15" s="420">
        <v>0</v>
      </c>
      <c r="E15" s="338">
        <v>0</v>
      </c>
      <c r="F15" s="337">
        <v>0</v>
      </c>
      <c r="G15" s="565">
        <f>'Acumulado 2014'!C14</f>
        <v>1346.4099999999999</v>
      </c>
      <c r="H15" s="561">
        <f>'Acumulado 2015'!C14</f>
        <v>6684.6200000000008</v>
      </c>
      <c r="I15" s="561">
        <f>'Acumulado 2016'!C14</f>
        <v>8320.7900000000009</v>
      </c>
      <c r="J15" s="388">
        <f>'Acumulado 2017'!C14</f>
        <v>6909.32</v>
      </c>
      <c r="K15" s="337">
        <f>'Acumulado 2018'!C14</f>
        <v>6345.3899999999994</v>
      </c>
      <c r="L15" s="549">
        <f>'Acumulado 2019'!C15</f>
        <v>7106.31</v>
      </c>
      <c r="M15" s="388">
        <f>'Acumulado 2020'!C15</f>
        <v>6978.56</v>
      </c>
      <c r="N15" s="561">
        <f>'Acumulado 2021'!C15</f>
        <v>8668.4500000000007</v>
      </c>
      <c r="O15" s="561">
        <f>'Acumulado 2022'!C15</f>
        <v>10196.029999999999</v>
      </c>
      <c r="P15" s="388">
        <f>'Acumulado 2023'!C15</f>
        <v>9852.2900000000009</v>
      </c>
      <c r="Q15" s="561">
        <f>'Acumulado 2024'!C13</f>
        <v>12451.06</v>
      </c>
      <c r="R15" s="2570">
        <f ca="1">'Acumulado 2025'!C13</f>
        <v>12120.479999999996</v>
      </c>
      <c r="S15" s="2570">
        <f>'Acumulado 2026'!C13</f>
        <v>1026.47</v>
      </c>
      <c r="T15" s="2940">
        <f t="shared" ca="1" si="2"/>
        <v>2.6550349930046405E-2</v>
      </c>
    </row>
    <row r="16" spans="1:20" x14ac:dyDescent="0.25">
      <c r="A16" s="329" t="s">
        <v>6733</v>
      </c>
      <c r="B16" s="336">
        <f t="shared" ca="1" si="0"/>
        <v>614.62628205128203</v>
      </c>
      <c r="C16" s="332">
        <f t="shared" ca="1" si="1"/>
        <v>7990.1416666666664</v>
      </c>
      <c r="D16" s="420">
        <v>0</v>
      </c>
      <c r="E16" s="338">
        <v>0</v>
      </c>
      <c r="F16" s="588">
        <v>0</v>
      </c>
      <c r="G16" s="565">
        <v>0</v>
      </c>
      <c r="H16" s="565">
        <v>0</v>
      </c>
      <c r="I16" s="565">
        <v>0</v>
      </c>
      <c r="J16" s="565">
        <v>0</v>
      </c>
      <c r="K16" s="588">
        <v>0</v>
      </c>
      <c r="L16" s="588">
        <v>0</v>
      </c>
      <c r="M16" s="565">
        <v>0</v>
      </c>
      <c r="N16" s="565">
        <v>0</v>
      </c>
      <c r="O16" s="565">
        <v>0</v>
      </c>
      <c r="P16" s="565">
        <v>0</v>
      </c>
      <c r="Q16" s="561">
        <f>'Acumulado 2024'!C14</f>
        <v>1223.4699999999998</v>
      </c>
      <c r="R16" s="2721">
        <f ca="1">'Acumulado 2025'!C14</f>
        <v>6766.6716666666671</v>
      </c>
      <c r="S16" s="2570">
        <f>'Acumulado 2026'!C14</f>
        <v>962.00000000000011</v>
      </c>
      <c r="T16" s="2940">
        <f t="shared" ca="1" si="2"/>
        <v>-4.5307213635533925</v>
      </c>
    </row>
    <row r="17" spans="1:37" x14ac:dyDescent="0.25">
      <c r="A17" s="329" t="s">
        <v>911</v>
      </c>
      <c r="B17" s="336">
        <f t="shared" ca="1" si="0"/>
        <v>2546.0626923076925</v>
      </c>
      <c r="C17" s="332">
        <f t="shared" ca="1" si="1"/>
        <v>33098.815000000002</v>
      </c>
      <c r="D17" s="420">
        <v>0</v>
      </c>
      <c r="E17" s="338">
        <v>0</v>
      </c>
      <c r="F17" s="337">
        <v>0</v>
      </c>
      <c r="G17" s="565">
        <v>0</v>
      </c>
      <c r="H17" s="561">
        <f>'Acumulado 2015'!C15</f>
        <v>3322.5</v>
      </c>
      <c r="I17" s="565">
        <f>'Acumulado 2016'!C15</f>
        <v>268.20999999999998</v>
      </c>
      <c r="J17" s="561">
        <f>'Acumulado 2017'!C15</f>
        <v>1281.8400000000001</v>
      </c>
      <c r="K17" s="337">
        <f>'Acumulado 2018'!C15</f>
        <v>877.63000000000011</v>
      </c>
      <c r="L17" s="549">
        <f>'Acumulado 2019'!C16</f>
        <v>4338.2</v>
      </c>
      <c r="M17" s="561">
        <f>'Acumulado 2020'!C16</f>
        <v>4686.1887500000003</v>
      </c>
      <c r="N17" s="388">
        <f>'Acumulado 2021'!C16</f>
        <v>723.8900000000001</v>
      </c>
      <c r="O17" s="561">
        <f>'Acumulado 2022'!C16</f>
        <v>4231.5599999999995</v>
      </c>
      <c r="P17" s="388">
        <f>'Acumulado 2023'!C16</f>
        <v>2863.91</v>
      </c>
      <c r="Q17" s="561">
        <f>'Acumulado 2024'!C15</f>
        <v>4739.4449999999997</v>
      </c>
      <c r="R17" s="2570">
        <f ca="1">'Acumulado 2025'!C15</f>
        <v>5765.4412499999999</v>
      </c>
      <c r="S17" s="2570">
        <f>'Acumulado 2026'!C15</f>
        <v>829.85424999999998</v>
      </c>
      <c r="T17" s="2940">
        <f t="shared" ca="1" si="2"/>
        <v>-0.21648025243462055</v>
      </c>
    </row>
    <row r="18" spans="1:37" x14ac:dyDescent="0.25">
      <c r="A18" s="329" t="s">
        <v>1526</v>
      </c>
      <c r="B18" s="336">
        <f t="shared" ca="1" si="0"/>
        <v>1351.4461538461537</v>
      </c>
      <c r="C18" s="332">
        <f t="shared" ca="1" si="1"/>
        <v>17568.8</v>
      </c>
      <c r="D18" s="420">
        <v>0</v>
      </c>
      <c r="E18" s="338">
        <v>0</v>
      </c>
      <c r="F18" s="337">
        <v>0</v>
      </c>
      <c r="G18" s="565">
        <v>0</v>
      </c>
      <c r="H18" s="565">
        <v>0</v>
      </c>
      <c r="I18" s="565">
        <v>0</v>
      </c>
      <c r="J18" s="561">
        <f>'Acumulado 2017'!C16</f>
        <v>1759.08</v>
      </c>
      <c r="K18" s="337">
        <f>'Acumulado 2018'!C16</f>
        <v>1756.9199999999996</v>
      </c>
      <c r="L18" s="549">
        <f>'Acumulado 2019'!C17</f>
        <v>2088.15</v>
      </c>
      <c r="M18" s="561">
        <f>'Acumulado 2020'!C17</f>
        <v>2291.71</v>
      </c>
      <c r="N18" s="388">
        <f>'Acumulado 2021'!C17</f>
        <v>1557.3700000000003</v>
      </c>
      <c r="O18" s="561">
        <f>'Acumulado 2022'!C17</f>
        <v>1740.73</v>
      </c>
      <c r="P18" s="561">
        <f>'Acumulado 2023'!C17</f>
        <v>1841.2500000000005</v>
      </c>
      <c r="Q18" s="561">
        <f>'Acumulado 2024'!C16</f>
        <v>2001.653333333333</v>
      </c>
      <c r="R18" s="2721">
        <f ca="1">'Acumulado 2025'!C16</f>
        <v>2531.9366666666665</v>
      </c>
      <c r="S18" s="2570">
        <f>'Acumulado 2026'!C16</f>
        <v>233.01000000000002</v>
      </c>
      <c r="T18" s="2940">
        <f t="shared" ca="1" si="2"/>
        <v>-0.26492266393115038</v>
      </c>
    </row>
    <row r="19" spans="1:37" x14ac:dyDescent="0.25">
      <c r="A19" s="329" t="s">
        <v>2343</v>
      </c>
      <c r="B19" s="336">
        <f t="shared" ca="1" si="0"/>
        <v>39.57692307692308</v>
      </c>
      <c r="C19" s="332">
        <f t="shared" ca="1" si="1"/>
        <v>514.5</v>
      </c>
      <c r="D19" s="420">
        <v>0</v>
      </c>
      <c r="E19" s="338">
        <v>0</v>
      </c>
      <c r="F19" s="337">
        <v>0</v>
      </c>
      <c r="G19" s="588">
        <v>0</v>
      </c>
      <c r="H19" s="565">
        <v>0</v>
      </c>
      <c r="I19" s="565">
        <v>0</v>
      </c>
      <c r="J19" s="565">
        <v>0</v>
      </c>
      <c r="K19" s="588">
        <v>0</v>
      </c>
      <c r="L19" s="549">
        <f>'Acumulado 2019'!C18</f>
        <v>396.3</v>
      </c>
      <c r="M19" s="388">
        <f>'Acumulado 2020'!C18</f>
        <v>118.2</v>
      </c>
      <c r="N19" s="388">
        <f>'Acumulado 2021'!C18</f>
        <v>0</v>
      </c>
      <c r="O19" s="561">
        <f>'Acumulado 2022'!C18</f>
        <v>0</v>
      </c>
      <c r="P19" s="388">
        <f>'Acumulado 2023'!C18</f>
        <v>0</v>
      </c>
      <c r="Q19" s="388">
        <f>'Acumulado 2024'!C17</f>
        <v>0</v>
      </c>
      <c r="R19" s="2570">
        <f ca="1">'Acumulado 2025'!C17</f>
        <v>0</v>
      </c>
      <c r="S19" s="2570">
        <f>'Acumulado 2026'!C17</f>
        <v>0</v>
      </c>
      <c r="T19" s="2940"/>
    </row>
    <row r="20" spans="1:37" x14ac:dyDescent="0.25">
      <c r="A20" s="329" t="s">
        <v>3019</v>
      </c>
      <c r="B20" s="336">
        <f t="shared" ca="1" si="0"/>
        <v>2078.7023076923074</v>
      </c>
      <c r="C20" s="332">
        <f t="shared" ca="1" si="1"/>
        <v>27023.129999999997</v>
      </c>
      <c r="D20" s="336">
        <v>0</v>
      </c>
      <c r="E20" s="336">
        <v>0</v>
      </c>
      <c r="F20" s="337">
        <v>0</v>
      </c>
      <c r="G20" s="337">
        <v>0</v>
      </c>
      <c r="H20" s="388">
        <v>0</v>
      </c>
      <c r="I20" s="388">
        <v>0</v>
      </c>
      <c r="J20" s="388">
        <v>0</v>
      </c>
      <c r="K20" s="388">
        <v>0</v>
      </c>
      <c r="L20" s="388">
        <v>0</v>
      </c>
      <c r="M20" s="388">
        <v>0</v>
      </c>
      <c r="N20" s="561">
        <f>'Acumulado 2021'!C19</f>
        <v>7162.6399999999994</v>
      </c>
      <c r="O20" s="561">
        <f>'Acumulado 2022'!C19</f>
        <v>9439.6400000000012</v>
      </c>
      <c r="P20" s="388">
        <f>'Acumulado 2023'!C19</f>
        <v>9155.1899999999987</v>
      </c>
      <c r="Q20" s="388">
        <f>'Acumulado 2024'!C18</f>
        <v>1085.6599999999999</v>
      </c>
      <c r="R20" s="2570">
        <f ca="1">'Acumulado 2025'!C18</f>
        <v>180</v>
      </c>
      <c r="S20" s="2570">
        <f>'Acumulado 2026'!C18</f>
        <v>1519.1</v>
      </c>
      <c r="T20" s="2940">
        <f t="shared" ca="1" si="2"/>
        <v>0.83420223642761082</v>
      </c>
      <c r="X20" s="216"/>
    </row>
    <row r="21" spans="1:37" x14ac:dyDescent="0.25">
      <c r="A21" s="329" t="s">
        <v>1527</v>
      </c>
      <c r="B21" s="336">
        <f ca="1">C21/13</f>
        <v>4142.9123076923079</v>
      </c>
      <c r="C21" s="332">
        <f ca="1">SUM(D21:R21)</f>
        <v>53857.86</v>
      </c>
      <c r="D21" s="420">
        <v>0</v>
      </c>
      <c r="E21" s="338">
        <v>0</v>
      </c>
      <c r="F21" s="337">
        <v>0</v>
      </c>
      <c r="G21" s="565">
        <v>0</v>
      </c>
      <c r="H21" s="565">
        <v>0</v>
      </c>
      <c r="I21" s="565">
        <v>0</v>
      </c>
      <c r="J21" s="561">
        <f>'Acumulado 2017'!C17</f>
        <v>4748.79</v>
      </c>
      <c r="K21" s="549">
        <f>'Acumulado 2018'!C17</f>
        <v>5761.83</v>
      </c>
      <c r="L21" s="549">
        <f>'Acumulado 2019'!C19</f>
        <v>6150.1799999999994</v>
      </c>
      <c r="M21" s="388">
        <f>'Acumulado 2020'!C19</f>
        <v>5129.0800000000008</v>
      </c>
      <c r="N21" s="388">
        <f>'Acumulado 2021'!C20</f>
        <v>4735.21</v>
      </c>
      <c r="O21" s="561">
        <f>'Acumulado 2022'!C20</f>
        <v>5230.2166666666662</v>
      </c>
      <c r="P21" s="388">
        <f>'Acumulado 2023'!C20</f>
        <v>4127.3633333333328</v>
      </c>
      <c r="Q21" s="561">
        <f>'Acumulado 2024'!C19</f>
        <v>7623.3</v>
      </c>
      <c r="R21" s="2721">
        <f ca="1">'Acumulado 2025'!C19</f>
        <v>10351.890000000001</v>
      </c>
      <c r="S21" s="2570">
        <f>'Acumulado 2026'!C19</f>
        <v>723.43000000000006</v>
      </c>
      <c r="T21" s="2940">
        <f ca="1">SUM(Q21-R21)/Q21</f>
        <v>-0.35792766911967272</v>
      </c>
    </row>
    <row r="22" spans="1:37" ht="15.75" x14ac:dyDescent="0.25">
      <c r="A22" s="389" t="s">
        <v>361</v>
      </c>
      <c r="B22" s="390">
        <f t="shared" ref="B22:C22" ca="1" si="3">SUM(B2:B21)</f>
        <v>53579.04435164835</v>
      </c>
      <c r="C22" s="332">
        <f t="shared" ca="1" si="3"/>
        <v>696527.57657142845</v>
      </c>
      <c r="D22" s="552">
        <f>SUM(D2:D21)</f>
        <v>0</v>
      </c>
      <c r="E22" s="552">
        <f t="shared" ref="E22:O22" si="4">SUM(E2:E21)</f>
        <v>0</v>
      </c>
      <c r="F22" s="552">
        <f t="shared" si="4"/>
        <v>13461.350000000002</v>
      </c>
      <c r="G22" s="552">
        <f t="shared" si="4"/>
        <v>18975.71</v>
      </c>
      <c r="H22" s="552">
        <f t="shared" si="4"/>
        <v>38748.1</v>
      </c>
      <c r="I22" s="552">
        <f t="shared" si="4"/>
        <v>37015.839999999997</v>
      </c>
      <c r="J22" s="552">
        <f t="shared" si="4"/>
        <v>41852.189999999995</v>
      </c>
      <c r="K22" s="552">
        <f t="shared" si="4"/>
        <v>40267.410000000003</v>
      </c>
      <c r="L22" s="2771">
        <f t="shared" si="4"/>
        <v>55185.183333333327</v>
      </c>
      <c r="M22" s="2771">
        <f t="shared" si="4"/>
        <v>45393.782083333332</v>
      </c>
      <c r="N22" s="2771">
        <f t="shared" ca="1" si="4"/>
        <v>50180.97</v>
      </c>
      <c r="O22" s="2771">
        <f t="shared" ca="1" si="4"/>
        <v>63043.291666666664</v>
      </c>
      <c r="P22" s="2771">
        <f t="shared" ref="P22:Q22" ca="1" si="5">SUM(P2:P21)</f>
        <v>68731.469666666657</v>
      </c>
      <c r="Q22" s="2771">
        <f t="shared" ca="1" si="5"/>
        <v>102643.28833333333</v>
      </c>
      <c r="R22" s="2771">
        <f ca="1">SUM(R2:R21)</f>
        <v>121028.99148809521</v>
      </c>
      <c r="S22" s="2771">
        <f>SUM(S2:S21)</f>
        <v>10977.65544047619</v>
      </c>
    </row>
    <row r="23" spans="1:37" ht="15.75" customHeight="1" x14ac:dyDescent="0.25">
      <c r="F23" s="85"/>
      <c r="G23" s="89"/>
    </row>
    <row r="24" spans="1:37" x14ac:dyDescent="0.25">
      <c r="A24" s="2396" t="s">
        <v>6789</v>
      </c>
      <c r="C24" s="616">
        <f>Q24+R24+S24</f>
        <v>8724.26</v>
      </c>
      <c r="D24" s="2597"/>
      <c r="E24" s="2597"/>
      <c r="F24" s="2597"/>
      <c r="G24" s="616"/>
      <c r="H24" s="616"/>
      <c r="I24" s="616"/>
      <c r="J24" s="616"/>
      <c r="K24" s="616"/>
      <c r="L24" s="616"/>
      <c r="M24" s="616"/>
      <c r="N24" s="616"/>
      <c r="O24" s="616"/>
      <c r="P24" s="616"/>
      <c r="Q24" s="2770">
        <f>'Acumulado 2024'!C54</f>
        <v>2377.2200000000003</v>
      </c>
      <c r="R24" s="2770">
        <f>'Acumulado 2025'!C55</f>
        <v>5856.4400000000005</v>
      </c>
      <c r="S24" s="2770">
        <f>'Acumulado 2026'!C22</f>
        <v>490.59999999999997</v>
      </c>
      <c r="T24" s="616"/>
    </row>
    <row r="25" spans="1:37" ht="15.75" thickBot="1" x14ac:dyDescent="0.3">
      <c r="A25" s="2396" t="s">
        <v>7414</v>
      </c>
      <c r="C25" s="616">
        <f>Q25+R25+S25</f>
        <v>10125</v>
      </c>
      <c r="D25" s="2597"/>
      <c r="E25" s="2597"/>
      <c r="F25" s="2597"/>
      <c r="G25" s="616"/>
      <c r="H25" s="616"/>
      <c r="I25" s="616"/>
      <c r="J25" s="616"/>
      <c r="K25" s="616"/>
      <c r="L25" s="616"/>
      <c r="M25" s="616"/>
      <c r="N25" s="616"/>
      <c r="O25" s="616"/>
      <c r="P25" s="616"/>
      <c r="Q25" s="2770">
        <f>'Acumulado 2024'!C57</f>
        <v>4000</v>
      </c>
      <c r="R25" s="2770">
        <f>'Acumulado 2025'!C58</f>
        <v>5625</v>
      </c>
      <c r="S25" s="2770">
        <f>'Acumulado 2026'!C58</f>
        <v>500</v>
      </c>
      <c r="T25" s="616"/>
    </row>
    <row r="26" spans="1:37" ht="30" customHeight="1" thickBot="1" x14ac:dyDescent="0.3">
      <c r="A26" s="2456" t="s">
        <v>6832</v>
      </c>
      <c r="B26" s="2457" t="s">
        <v>6833</v>
      </c>
      <c r="C26" s="2458" t="s">
        <v>6145</v>
      </c>
      <c r="D26" s="2458" t="s">
        <v>6831</v>
      </c>
      <c r="E26" s="2458" t="s">
        <v>5480</v>
      </c>
      <c r="F26" s="2458" t="s">
        <v>6158</v>
      </c>
      <c r="G26" s="2459" t="s">
        <v>5353</v>
      </c>
      <c r="H26" s="2459" t="s">
        <v>1479</v>
      </c>
      <c r="I26" s="2459" t="s">
        <v>5457</v>
      </c>
      <c r="J26" s="2460" t="s">
        <v>5194</v>
      </c>
      <c r="K26" s="2461" t="s">
        <v>361</v>
      </c>
      <c r="L26" s="2462" t="s">
        <v>6849</v>
      </c>
      <c r="M26" s="2463" t="s">
        <v>383</v>
      </c>
    </row>
    <row r="27" spans="1:37" ht="22.5" customHeight="1" x14ac:dyDescent="0.25">
      <c r="A27" s="2432">
        <v>2017</v>
      </c>
      <c r="B27" s="2433" t="s">
        <v>6830</v>
      </c>
      <c r="C27" s="2434"/>
      <c r="D27" s="2435">
        <v>3775.78</v>
      </c>
      <c r="E27" s="2435">
        <f>D27/3</f>
        <v>1258.5933333333335</v>
      </c>
      <c r="F27" s="2436">
        <f>C27+E27+D27</f>
        <v>5034.3733333333339</v>
      </c>
      <c r="G27" s="2437">
        <v>553.78</v>
      </c>
      <c r="H27" s="2437">
        <v>329</v>
      </c>
      <c r="I27" s="2438">
        <f>H27+G27</f>
        <v>882.78</v>
      </c>
      <c r="J27" s="2451">
        <f>F27-I27</f>
        <v>4151.5933333333342</v>
      </c>
      <c r="K27" s="3514">
        <f>J27+J28</f>
        <v>7391.213333333335</v>
      </c>
      <c r="L27" s="3516">
        <v>0</v>
      </c>
      <c r="M27" s="3518">
        <v>0</v>
      </c>
      <c r="N27" s="79" t="s">
        <v>280</v>
      </c>
    </row>
    <row r="28" spans="1:37" ht="15.75" thickBot="1" x14ac:dyDescent="0.3">
      <c r="A28" s="2439">
        <v>2017</v>
      </c>
      <c r="B28" s="2440" t="s">
        <v>6834</v>
      </c>
      <c r="C28" s="2441">
        <v>3775.78</v>
      </c>
      <c r="D28" s="2441"/>
      <c r="E28" s="2441"/>
      <c r="F28" s="2442">
        <f t="shared" ref="F28:F42" si="6">C28+E28+D28</f>
        <v>3775.78</v>
      </c>
      <c r="G28" s="2443">
        <v>415.34</v>
      </c>
      <c r="H28" s="2443">
        <v>120.82</v>
      </c>
      <c r="I28" s="2444">
        <f t="shared" ref="I28:I42" si="7">H28+G28</f>
        <v>536.16</v>
      </c>
      <c r="J28" s="2452">
        <f t="shared" ref="J28:J42" si="8">F28-I28</f>
        <v>3239.6200000000003</v>
      </c>
      <c r="K28" s="3515"/>
      <c r="L28" s="3517"/>
      <c r="M28" s="3519"/>
      <c r="AE28"/>
      <c r="AF28"/>
      <c r="AG28"/>
      <c r="AH28"/>
      <c r="AI28"/>
      <c r="AJ28"/>
      <c r="AK28"/>
    </row>
    <row r="29" spans="1:37" x14ac:dyDescent="0.25">
      <c r="A29" s="2416">
        <v>2018</v>
      </c>
      <c r="B29" s="2417" t="s">
        <v>6835</v>
      </c>
      <c r="C29" s="2418"/>
      <c r="D29" s="2418">
        <v>4000</v>
      </c>
      <c r="E29" s="2418">
        <f>D29/3</f>
        <v>1333.3333333333333</v>
      </c>
      <c r="F29" s="2419">
        <f t="shared" si="6"/>
        <v>5333.333333333333</v>
      </c>
      <c r="G29" s="2420">
        <v>586.66999999999996</v>
      </c>
      <c r="H29" s="2420">
        <v>346.55</v>
      </c>
      <c r="I29" s="1889">
        <f t="shared" si="7"/>
        <v>933.22</v>
      </c>
      <c r="J29" s="2453">
        <f t="shared" si="8"/>
        <v>4400.1133333333328</v>
      </c>
      <c r="K29" s="3520">
        <f>J29+J30</f>
        <v>7837.7933333333331</v>
      </c>
      <c r="L29" s="3522">
        <f>K29-K27</f>
        <v>446.57999999999811</v>
      </c>
      <c r="M29" s="3524">
        <f>K29/K27-1</f>
        <v>6.042039105893271E-2</v>
      </c>
      <c r="AE29"/>
      <c r="AF29"/>
      <c r="AG29"/>
      <c r="AH29"/>
      <c r="AI29"/>
      <c r="AJ29"/>
      <c r="AK29"/>
    </row>
    <row r="30" spans="1:37" ht="15.75" thickBot="1" x14ac:dyDescent="0.3">
      <c r="A30" s="2421">
        <v>2018</v>
      </c>
      <c r="B30" s="2422" t="s">
        <v>6836</v>
      </c>
      <c r="C30" s="2423">
        <v>4000</v>
      </c>
      <c r="D30" s="2423"/>
      <c r="E30" s="2423"/>
      <c r="F30" s="2424">
        <f t="shared" si="6"/>
        <v>4000</v>
      </c>
      <c r="G30" s="2425">
        <v>440</v>
      </c>
      <c r="H30" s="2425">
        <v>122.32</v>
      </c>
      <c r="I30" s="2426">
        <f t="shared" si="7"/>
        <v>562.31999999999994</v>
      </c>
      <c r="J30" s="2454">
        <f t="shared" si="8"/>
        <v>3437.6800000000003</v>
      </c>
      <c r="K30" s="3521"/>
      <c r="L30" s="3523"/>
      <c r="M30" s="3525"/>
      <c r="AE30"/>
      <c r="AF30"/>
      <c r="AG30"/>
      <c r="AH30"/>
      <c r="AI30"/>
      <c r="AJ30"/>
      <c r="AK30"/>
    </row>
    <row r="31" spans="1:37" x14ac:dyDescent="0.25">
      <c r="A31" s="2445">
        <v>2019</v>
      </c>
      <c r="B31" s="2446" t="s">
        <v>6837</v>
      </c>
      <c r="C31" s="2447"/>
      <c r="D31" s="2447">
        <v>4150</v>
      </c>
      <c r="E31" s="2447">
        <f>D31/3</f>
        <v>1383.3333333333333</v>
      </c>
      <c r="F31" s="2448">
        <f t="shared" si="6"/>
        <v>5533.333333333333</v>
      </c>
      <c r="G31" s="2449">
        <v>608.66999999999996</v>
      </c>
      <c r="H31" s="2449">
        <v>346.55</v>
      </c>
      <c r="I31" s="2450">
        <f t="shared" si="7"/>
        <v>955.22</v>
      </c>
      <c r="J31" s="2455">
        <f t="shared" si="8"/>
        <v>4578.1133333333328</v>
      </c>
      <c r="K31" s="3526">
        <f>J31+J32</f>
        <v>8149.2933333333331</v>
      </c>
      <c r="L31" s="3516">
        <f>K31-K29</f>
        <v>311.5</v>
      </c>
      <c r="M31" s="3527">
        <f>K31/K29-1</f>
        <v>3.9743329117294168E-2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</row>
    <row r="32" spans="1:37" ht="15.75" thickBot="1" x14ac:dyDescent="0.3">
      <c r="A32" s="2439">
        <v>2019</v>
      </c>
      <c r="B32" s="2440" t="s">
        <v>6838</v>
      </c>
      <c r="C32" s="2441">
        <v>4150</v>
      </c>
      <c r="D32" s="2441"/>
      <c r="E32" s="2441"/>
      <c r="F32" s="2442">
        <f t="shared" si="6"/>
        <v>4150</v>
      </c>
      <c r="G32" s="2443">
        <v>456.5</v>
      </c>
      <c r="H32" s="2443">
        <v>122.32</v>
      </c>
      <c r="I32" s="2444">
        <f t="shared" si="7"/>
        <v>578.81999999999994</v>
      </c>
      <c r="J32" s="2452">
        <f t="shared" si="8"/>
        <v>3571.1800000000003</v>
      </c>
      <c r="K32" s="3515"/>
      <c r="L32" s="3517"/>
      <c r="M32" s="3528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</row>
    <row r="33" spans="1:37" x14ac:dyDescent="0.25">
      <c r="A33" s="2416">
        <v>2020</v>
      </c>
      <c r="B33" s="2417" t="s">
        <v>6839</v>
      </c>
      <c r="C33" s="2418"/>
      <c r="D33" s="2418">
        <v>4150</v>
      </c>
      <c r="E33" s="2418">
        <f>D33/3</f>
        <v>1383.3333333333333</v>
      </c>
      <c r="F33" s="2419">
        <f t="shared" si="6"/>
        <v>5533.333333333333</v>
      </c>
      <c r="G33" s="2420">
        <v>608.66999999999996</v>
      </c>
      <c r="H33" s="2420">
        <v>346.55</v>
      </c>
      <c r="I33" s="1889">
        <f t="shared" si="7"/>
        <v>955.22</v>
      </c>
      <c r="J33" s="2453">
        <f t="shared" si="8"/>
        <v>4578.1133333333328</v>
      </c>
      <c r="K33" s="3520">
        <f>J33+J34</f>
        <v>8149.2933333333331</v>
      </c>
      <c r="L33" s="3522">
        <f>K33-K31</f>
        <v>0</v>
      </c>
      <c r="M33" s="3524">
        <f>K33/K31-1</f>
        <v>0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</row>
    <row r="34" spans="1:37" ht="15.75" thickBot="1" x14ac:dyDescent="0.3">
      <c r="A34" s="2421">
        <v>2020</v>
      </c>
      <c r="B34" s="2422" t="s">
        <v>6840</v>
      </c>
      <c r="C34" s="2423">
        <v>4150</v>
      </c>
      <c r="D34" s="2423"/>
      <c r="E34" s="2423"/>
      <c r="F34" s="2424">
        <f t="shared" si="6"/>
        <v>4150</v>
      </c>
      <c r="G34" s="2425">
        <v>456.5</v>
      </c>
      <c r="H34" s="2425">
        <v>122.32</v>
      </c>
      <c r="I34" s="2426">
        <f t="shared" si="7"/>
        <v>578.81999999999994</v>
      </c>
      <c r="J34" s="2454">
        <f t="shared" si="8"/>
        <v>3571.1800000000003</v>
      </c>
      <c r="K34" s="3521"/>
      <c r="L34" s="3523"/>
      <c r="M34" s="3525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</row>
    <row r="35" spans="1:37" x14ac:dyDescent="0.25">
      <c r="A35" s="2445">
        <v>2021</v>
      </c>
      <c r="B35" s="2446" t="s">
        <v>6841</v>
      </c>
      <c r="C35" s="2447"/>
      <c r="D35" s="2447">
        <v>4600</v>
      </c>
      <c r="E35" s="2447">
        <f>D35/3</f>
        <v>1533.3333333333333</v>
      </c>
      <c r="F35" s="2448">
        <f t="shared" si="6"/>
        <v>6133.333333333333</v>
      </c>
      <c r="G35" s="2449">
        <v>709.96</v>
      </c>
      <c r="H35" s="2449">
        <v>517.64</v>
      </c>
      <c r="I35" s="2450">
        <f t="shared" si="7"/>
        <v>1227.5999999999999</v>
      </c>
      <c r="J35" s="2455">
        <f t="shared" si="8"/>
        <v>4905.7333333333336</v>
      </c>
      <c r="K35" s="3526">
        <f>J35+J36</f>
        <v>8806.4233333333341</v>
      </c>
      <c r="L35" s="3516">
        <f>K35-K33</f>
        <v>657.13000000000102</v>
      </c>
      <c r="M35" s="3527">
        <f>K35/K33-1</f>
        <v>8.0636439642210345E-2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</row>
    <row r="36" spans="1:37" ht="15.75" thickBot="1" x14ac:dyDescent="0.3">
      <c r="A36" s="2439">
        <v>2021</v>
      </c>
      <c r="B36" s="2440" t="s">
        <v>6842</v>
      </c>
      <c r="C36" s="2441">
        <v>4600</v>
      </c>
      <c r="D36" s="2441"/>
      <c r="E36" s="2441"/>
      <c r="F36" s="2442">
        <f t="shared" si="6"/>
        <v>4600</v>
      </c>
      <c r="G36" s="2443">
        <v>495.29</v>
      </c>
      <c r="H36" s="2443">
        <v>204.02</v>
      </c>
      <c r="I36" s="2444">
        <f t="shared" si="7"/>
        <v>699.31000000000006</v>
      </c>
      <c r="J36" s="2452">
        <f t="shared" si="8"/>
        <v>3900.69</v>
      </c>
      <c r="K36" s="3515"/>
      <c r="L36" s="3517"/>
      <c r="M36" s="3528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</row>
    <row r="37" spans="1:37" x14ac:dyDescent="0.25">
      <c r="A37" s="2416">
        <v>2022</v>
      </c>
      <c r="B37" s="2417" t="s">
        <v>6843</v>
      </c>
      <c r="C37" s="2418"/>
      <c r="D37" s="2418">
        <v>5000</v>
      </c>
      <c r="E37" s="2418">
        <f>D37/3</f>
        <v>1666.6666666666667</v>
      </c>
      <c r="F37" s="2419">
        <f t="shared" si="6"/>
        <v>6666.666666666667</v>
      </c>
      <c r="G37" s="2420">
        <v>640.21</v>
      </c>
      <c r="H37" s="2420">
        <v>683.64</v>
      </c>
      <c r="I37" s="1889">
        <f t="shared" si="7"/>
        <v>1323.85</v>
      </c>
      <c r="J37" s="2453">
        <f t="shared" si="8"/>
        <v>5342.8166666666675</v>
      </c>
      <c r="K37" s="3520">
        <f>J37+J38</f>
        <v>9523.7266666666674</v>
      </c>
      <c r="L37" s="3522">
        <f>K37-K35</f>
        <v>717.30333333333328</v>
      </c>
      <c r="M37" s="3524">
        <f>K37/K35-1</f>
        <v>8.1452288424320507E-2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</row>
    <row r="38" spans="1:37" ht="15.75" thickBot="1" x14ac:dyDescent="0.3">
      <c r="A38" s="2421">
        <v>2022</v>
      </c>
      <c r="B38" s="2422" t="s">
        <v>6844</v>
      </c>
      <c r="C38" s="2423">
        <v>5000</v>
      </c>
      <c r="D38" s="2423"/>
      <c r="E38" s="2423"/>
      <c r="F38" s="2424">
        <f t="shared" si="6"/>
        <v>5000</v>
      </c>
      <c r="G38" s="2425">
        <v>536.17999999999995</v>
      </c>
      <c r="H38" s="2425">
        <v>282.91000000000003</v>
      </c>
      <c r="I38" s="2426">
        <f t="shared" si="7"/>
        <v>819.08999999999992</v>
      </c>
      <c r="J38" s="2454">
        <f t="shared" si="8"/>
        <v>4180.91</v>
      </c>
      <c r="K38" s="3521"/>
      <c r="L38" s="3523"/>
      <c r="M38" s="3525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</row>
    <row r="39" spans="1:37" x14ac:dyDescent="0.25">
      <c r="A39" s="2445">
        <v>2023</v>
      </c>
      <c r="B39" s="2446" t="s">
        <v>6845</v>
      </c>
      <c r="C39" s="2447"/>
      <c r="D39" s="2447">
        <v>5250</v>
      </c>
      <c r="E39" s="2447">
        <f>D39/3</f>
        <v>1750</v>
      </c>
      <c r="F39" s="2448">
        <f t="shared" si="6"/>
        <v>7000</v>
      </c>
      <c r="G39" s="2449">
        <v>646.1</v>
      </c>
      <c r="H39" s="2449">
        <v>758.08</v>
      </c>
      <c r="I39" s="2450">
        <f t="shared" si="7"/>
        <v>1404.18</v>
      </c>
      <c r="J39" s="2455">
        <f t="shared" si="8"/>
        <v>5595.82</v>
      </c>
      <c r="K39" s="3526">
        <f>J39+J40</f>
        <v>9966.9</v>
      </c>
      <c r="L39" s="3516">
        <f>K39-K37</f>
        <v>443.17333333333227</v>
      </c>
      <c r="M39" s="3527">
        <f>K39/K37-1</f>
        <v>4.6533604842361909E-2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</row>
    <row r="40" spans="1:37" ht="15.75" thickBot="1" x14ac:dyDescent="0.3">
      <c r="A40" s="2439">
        <v>2023</v>
      </c>
      <c r="B40" s="2440" t="s">
        <v>6846</v>
      </c>
      <c r="C40" s="2441">
        <v>5250</v>
      </c>
      <c r="D40" s="2441"/>
      <c r="E40" s="2441"/>
      <c r="F40" s="2442">
        <f t="shared" si="6"/>
        <v>5250</v>
      </c>
      <c r="G40" s="2443">
        <v>560.91999999999996</v>
      </c>
      <c r="H40" s="2443">
        <v>318</v>
      </c>
      <c r="I40" s="2444">
        <f t="shared" si="7"/>
        <v>878.92</v>
      </c>
      <c r="J40" s="2452">
        <f t="shared" si="8"/>
        <v>4371.08</v>
      </c>
      <c r="K40" s="3515"/>
      <c r="L40" s="3517"/>
      <c r="M40" s="3528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</row>
    <row r="41" spans="1:37" x14ac:dyDescent="0.25">
      <c r="A41" s="2416">
        <v>2024</v>
      </c>
      <c r="B41" s="2417" t="s">
        <v>6847</v>
      </c>
      <c r="C41" s="2418"/>
      <c r="D41" s="2418">
        <v>6000</v>
      </c>
      <c r="E41" s="2418">
        <f>D41/3</f>
        <v>2000</v>
      </c>
      <c r="F41" s="2419">
        <f t="shared" si="6"/>
        <v>8000</v>
      </c>
      <c r="G41" s="2420">
        <v>938.82</v>
      </c>
      <c r="H41" s="2420">
        <v>889.41</v>
      </c>
      <c r="I41" s="1889">
        <f t="shared" si="7"/>
        <v>1828.23</v>
      </c>
      <c r="J41" s="2453">
        <f t="shared" si="8"/>
        <v>6171.77</v>
      </c>
      <c r="K41" s="3520">
        <f>J41+J42</f>
        <v>11096.54</v>
      </c>
      <c r="L41" s="3522">
        <f>K41-K39</f>
        <v>1129.6400000000012</v>
      </c>
      <c r="M41" s="3524">
        <f>K41/K39-1</f>
        <v>0.11333915259508998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</row>
    <row r="42" spans="1:37" ht="15.75" thickBot="1" x14ac:dyDescent="0.3">
      <c r="A42" s="2421">
        <v>2024</v>
      </c>
      <c r="B42" s="2422" t="s">
        <v>6848</v>
      </c>
      <c r="C42" s="2423">
        <v>6000</v>
      </c>
      <c r="D42" s="2423"/>
      <c r="E42" s="2423"/>
      <c r="F42" s="2424">
        <f t="shared" si="6"/>
        <v>6000</v>
      </c>
      <c r="G42" s="2425">
        <v>658.82</v>
      </c>
      <c r="H42" s="2425">
        <v>416.41</v>
      </c>
      <c r="I42" s="2426">
        <f t="shared" si="7"/>
        <v>1075.23</v>
      </c>
      <c r="J42" s="2454">
        <f t="shared" si="8"/>
        <v>4924.7700000000004</v>
      </c>
      <c r="K42" s="3521"/>
      <c r="L42" s="3523"/>
      <c r="M42" s="3525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</row>
    <row r="43" spans="1:37" x14ac:dyDescent="0.25">
      <c r="A43" s="2416">
        <v>2025</v>
      </c>
      <c r="B43" s="2417" t="s">
        <v>7826</v>
      </c>
      <c r="C43" s="2418"/>
      <c r="D43" s="2418">
        <v>6300</v>
      </c>
      <c r="E43" s="2418">
        <f>D43/3</f>
        <v>2100</v>
      </c>
      <c r="F43" s="2419">
        <f t="shared" ref="F43:F44" si="9">C43+E43+D43</f>
        <v>8400</v>
      </c>
      <c r="G43" s="2420">
        <v>951.62</v>
      </c>
      <c r="H43" s="2420">
        <v>983.16</v>
      </c>
      <c r="I43" s="1889">
        <f t="shared" ref="I43:I44" si="10">H43+G43</f>
        <v>1934.78</v>
      </c>
      <c r="J43" s="2453">
        <f>F43-I43</f>
        <v>6465.22</v>
      </c>
      <c r="K43" s="3520">
        <f>J43+J44</f>
        <v>11583.720000000001</v>
      </c>
      <c r="L43" s="3522">
        <f>K43-K41</f>
        <v>487.18000000000029</v>
      </c>
      <c r="M43" s="3524">
        <f>K43/K41-1</f>
        <v>4.3903775411074042E-2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</row>
    <row r="44" spans="1:37" ht="15.75" thickBot="1" x14ac:dyDescent="0.3">
      <c r="A44" s="2421">
        <v>2025</v>
      </c>
      <c r="B44" s="2422" t="s">
        <v>7827</v>
      </c>
      <c r="C44" s="2423">
        <v>6300</v>
      </c>
      <c r="D44" s="2423"/>
      <c r="E44" s="2423"/>
      <c r="F44" s="2424">
        <f t="shared" si="9"/>
        <v>6300</v>
      </c>
      <c r="G44" s="2425">
        <v>691.6</v>
      </c>
      <c r="H44" s="2425">
        <v>489.9</v>
      </c>
      <c r="I44" s="2426">
        <f t="shared" si="10"/>
        <v>1181.5</v>
      </c>
      <c r="J44" s="2454">
        <f t="shared" ref="J44" si="11">F44-I44</f>
        <v>5118.5</v>
      </c>
      <c r="K44" s="3521"/>
      <c r="L44" s="3523"/>
      <c r="M44" s="3525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</row>
    <row r="45" spans="1:37" ht="18.75" thickBot="1" x14ac:dyDescent="0.3">
      <c r="A45" s="2427"/>
      <c r="B45" s="2428"/>
      <c r="C45" s="2428"/>
      <c r="D45" s="2428"/>
      <c r="E45" s="2428"/>
      <c r="F45" s="2429">
        <f>SUM(F27:F42)</f>
        <v>86160.153333333335</v>
      </c>
      <c r="G45" s="2430">
        <f>SUM(G27:G42)</f>
        <v>9312.43</v>
      </c>
      <c r="H45" s="2430">
        <f>SUM(H27:H42)</f>
        <v>5926.5399999999991</v>
      </c>
      <c r="I45" s="2430">
        <f>SUM(I27:I42)</f>
        <v>15238.97</v>
      </c>
      <c r="J45" s="2431">
        <f>SUM(J27:J42)</f>
        <v>70921.183333333349</v>
      </c>
      <c r="K45" s="24"/>
      <c r="L45"/>
      <c r="M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</row>
    <row r="46" spans="1:37" x14ac:dyDescent="0.25"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</row>
    <row r="47" spans="1:37" x14ac:dyDescent="0.25"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</row>
    <row r="48" spans="1:37" x14ac:dyDescent="0.25"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</row>
    <row r="49" spans="13:37" x14ac:dyDescent="0.25"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</row>
    <row r="50" spans="13:37" x14ac:dyDescent="0.25"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</row>
    <row r="51" spans="13:37" x14ac:dyDescent="0.25"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</row>
    <row r="52" spans="13:37" x14ac:dyDescent="0.25"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</row>
    <row r="53" spans="13:37" x14ac:dyDescent="0.25"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</row>
    <row r="54" spans="13:37" x14ac:dyDescent="0.25"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</row>
    <row r="55" spans="13:37" x14ac:dyDescent="0.25"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</row>
    <row r="56" spans="13:37" x14ac:dyDescent="0.25">
      <c r="X56" s="2019" t="s">
        <v>6104</v>
      </c>
      <c r="Y56" t="s">
        <v>8406</v>
      </c>
      <c r="Z56" t="s">
        <v>8407</v>
      </c>
      <c r="AA56" t="s">
        <v>8408</v>
      </c>
      <c r="AB56" t="s">
        <v>8409</v>
      </c>
      <c r="AC56" t="s">
        <v>8410</v>
      </c>
      <c r="AD56" t="s">
        <v>8411</v>
      </c>
      <c r="AE56" t="s">
        <v>8412</v>
      </c>
      <c r="AF56" t="s">
        <v>8413</v>
      </c>
      <c r="AG56" t="s">
        <v>8414</v>
      </c>
      <c r="AH56" t="s">
        <v>8415</v>
      </c>
      <c r="AI56" t="s">
        <v>8416</v>
      </c>
      <c r="AJ56" t="s">
        <v>8417</v>
      </c>
      <c r="AK56" t="s">
        <v>8418</v>
      </c>
    </row>
    <row r="57" spans="13:37" x14ac:dyDescent="0.25">
      <c r="X57" s="202" t="s">
        <v>50</v>
      </c>
      <c r="Y57" s="442">
        <v>663.49</v>
      </c>
      <c r="Z57" s="442">
        <v>1782.1399999999999</v>
      </c>
      <c r="AA57" s="442">
        <v>1752.7000000000003</v>
      </c>
      <c r="AB57" s="442">
        <v>1672.17</v>
      </c>
      <c r="AC57" s="442">
        <v>2421.5</v>
      </c>
      <c r="AD57" s="442">
        <v>1736.6599999999996</v>
      </c>
      <c r="AE57" s="442">
        <v>2596.92</v>
      </c>
      <c r="AF57" s="442">
        <v>3190.0600000000004</v>
      </c>
      <c r="AG57" s="442">
        <v>3248.1699999999992</v>
      </c>
      <c r="AH57" s="442">
        <v>3425.5</v>
      </c>
      <c r="AI57" s="442">
        <v>3711.8399999999997</v>
      </c>
      <c r="AJ57" s="442">
        <v>3887.45</v>
      </c>
      <c r="AK57" s="670">
        <v>3225.16</v>
      </c>
    </row>
    <row r="58" spans="13:37" x14ac:dyDescent="0.25">
      <c r="X58" s="202" t="s">
        <v>6105</v>
      </c>
      <c r="Y58" s="442">
        <v>663.49</v>
      </c>
      <c r="Z58" s="442">
        <v>1782.1399999999999</v>
      </c>
      <c r="AA58" s="442">
        <v>1752.7000000000003</v>
      </c>
      <c r="AB58" s="442">
        <v>1672.17</v>
      </c>
      <c r="AC58" s="442">
        <v>2421.5</v>
      </c>
      <c r="AD58" s="442">
        <v>1736.6599999999996</v>
      </c>
      <c r="AE58" s="442">
        <v>2596.92</v>
      </c>
      <c r="AF58" s="442">
        <v>3190.0600000000004</v>
      </c>
      <c r="AG58" s="442">
        <v>3248.1699999999992</v>
      </c>
      <c r="AH58" s="442">
        <v>3425.5</v>
      </c>
      <c r="AI58" s="442">
        <v>3711.8399999999997</v>
      </c>
      <c r="AJ58" s="442">
        <v>3887.45</v>
      </c>
      <c r="AK58" s="670">
        <v>3225.16</v>
      </c>
    </row>
    <row r="59" spans="13:37" x14ac:dyDescent="0.25"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</row>
    <row r="60" spans="13:37" x14ac:dyDescent="0.25"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</row>
    <row r="61" spans="13:37" x14ac:dyDescent="0.25"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</row>
    <row r="62" spans="13:37" x14ac:dyDescent="0.25"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</row>
    <row r="63" spans="13:37" x14ac:dyDescent="0.25"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</row>
    <row r="64" spans="13:37" x14ac:dyDescent="0.25"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</row>
    <row r="65" spans="13:37" x14ac:dyDescent="0.25"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</row>
    <row r="66" spans="13:37" x14ac:dyDescent="0.25"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</row>
    <row r="67" spans="13:37" x14ac:dyDescent="0.25"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</row>
    <row r="68" spans="13:37" x14ac:dyDescent="0.25"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</row>
    <row r="69" spans="13:37" x14ac:dyDescent="0.25"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</row>
    <row r="70" spans="13:37" x14ac:dyDescent="0.25"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</row>
    <row r="71" spans="13:37" x14ac:dyDescent="0.25"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</row>
    <row r="72" spans="13:37" x14ac:dyDescent="0.25"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</row>
    <row r="73" spans="13:37" x14ac:dyDescent="0.25"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</row>
    <row r="74" spans="13:37" x14ac:dyDescent="0.25"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</row>
    <row r="75" spans="13:37" x14ac:dyDescent="0.25"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</row>
    <row r="76" spans="13:37" x14ac:dyDescent="0.25"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</row>
    <row r="77" spans="13:37" x14ac:dyDescent="0.25"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</row>
    <row r="78" spans="13:37" x14ac:dyDescent="0.25"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</row>
    <row r="79" spans="13:37" x14ac:dyDescent="0.25"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</row>
    <row r="80" spans="13:37" x14ac:dyDescent="0.25"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</row>
    <row r="81" spans="15:37" x14ac:dyDescent="0.25"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</row>
    <row r="82" spans="15:37" x14ac:dyDescent="0.25"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</row>
    <row r="83" spans="15:37" x14ac:dyDescent="0.25"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</row>
    <row r="84" spans="15:37" x14ac:dyDescent="0.25"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</row>
    <row r="85" spans="15:37" x14ac:dyDescent="0.25"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</row>
    <row r="86" spans="15:37" x14ac:dyDescent="0.25"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</row>
    <row r="87" spans="15:37" x14ac:dyDescent="0.25"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</row>
    <row r="88" spans="15:37" x14ac:dyDescent="0.25"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</row>
    <row r="89" spans="15:37" x14ac:dyDescent="0.25"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</row>
    <row r="90" spans="15:37" x14ac:dyDescent="0.25"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</row>
    <row r="91" spans="15:37" x14ac:dyDescent="0.25"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</row>
    <row r="92" spans="15:37" x14ac:dyDescent="0.25"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</row>
    <row r="93" spans="15:37" x14ac:dyDescent="0.25"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</row>
    <row r="94" spans="15:37" x14ac:dyDescent="0.25"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</row>
    <row r="95" spans="15:37" x14ac:dyDescent="0.25"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</row>
    <row r="96" spans="15:37" x14ac:dyDescent="0.25"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</row>
    <row r="97" spans="15:37" x14ac:dyDescent="0.25"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</row>
    <row r="98" spans="15:37" x14ac:dyDescent="0.25"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5:37" x14ac:dyDescent="0.25"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5:37" x14ac:dyDescent="0.25"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5:37" x14ac:dyDescent="0.25"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5:37" x14ac:dyDescent="0.25"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5:37" x14ac:dyDescent="0.25"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5:37" x14ac:dyDescent="0.25"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5:37" x14ac:dyDescent="0.25"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5:37" x14ac:dyDescent="0.25"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5:37" x14ac:dyDescent="0.25"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5:37" x14ac:dyDescent="0.25"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5:37" x14ac:dyDescent="0.25"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5:37" x14ac:dyDescent="0.25"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5:37" x14ac:dyDescent="0.25"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5:37" x14ac:dyDescent="0.25"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5:37" x14ac:dyDescent="0.25"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5:37" x14ac:dyDescent="0.25"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5:37" x14ac:dyDescent="0.25"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5:37" x14ac:dyDescent="0.25"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5:37" x14ac:dyDescent="0.25"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5:37" x14ac:dyDescent="0.25"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5:37" x14ac:dyDescent="0.25"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5:37" x14ac:dyDescent="0.25"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5:37" x14ac:dyDescent="0.25"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5:37" x14ac:dyDescent="0.25"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5:37" x14ac:dyDescent="0.25"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5:37" x14ac:dyDescent="0.25"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5:37" x14ac:dyDescent="0.25"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5:37" x14ac:dyDescent="0.25"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5:37" x14ac:dyDescent="0.25"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5:37" x14ac:dyDescent="0.25"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5:37" x14ac:dyDescent="0.25"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5:37" x14ac:dyDescent="0.25"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5:37" x14ac:dyDescent="0.25"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5:37" x14ac:dyDescent="0.25"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5:37" x14ac:dyDescent="0.25"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5:37" x14ac:dyDescent="0.25"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5:37" x14ac:dyDescent="0.25"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5:37" x14ac:dyDescent="0.25"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5:37" x14ac:dyDescent="0.25"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5:37" x14ac:dyDescent="0.25"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5:37" x14ac:dyDescent="0.25"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5:37" x14ac:dyDescent="0.25"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5:37" x14ac:dyDescent="0.25"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5:37" x14ac:dyDescent="0.25"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5:37" x14ac:dyDescent="0.25"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5:37" x14ac:dyDescent="0.25"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5:37" x14ac:dyDescent="0.25"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5:37" x14ac:dyDescent="0.25"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5:37" x14ac:dyDescent="0.25"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5:37" x14ac:dyDescent="0.25"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5:37" x14ac:dyDescent="0.25"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5:37" x14ac:dyDescent="0.25"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5:37" x14ac:dyDescent="0.25"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5:37" x14ac:dyDescent="0.25"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5:37" x14ac:dyDescent="0.25"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5:37" x14ac:dyDescent="0.25"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5:37" x14ac:dyDescent="0.25"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5:37" x14ac:dyDescent="0.25"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5:37" x14ac:dyDescent="0.25"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5:37" x14ac:dyDescent="0.25"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5:37" x14ac:dyDescent="0.25"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5:37" x14ac:dyDescent="0.25"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5:37" x14ac:dyDescent="0.25"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5:37" x14ac:dyDescent="0.25"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5:37" x14ac:dyDescent="0.25"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5:37" x14ac:dyDescent="0.25"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5:37" x14ac:dyDescent="0.25"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5:37" x14ac:dyDescent="0.25"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5:37" x14ac:dyDescent="0.25"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5:37" x14ac:dyDescent="0.25"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5:37" x14ac:dyDescent="0.25"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5:37" x14ac:dyDescent="0.25"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5:37" x14ac:dyDescent="0.25"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  <row r="172" spans="15:37" x14ac:dyDescent="0.25"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</row>
    <row r="173" spans="15:37" x14ac:dyDescent="0.25"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</row>
    <row r="174" spans="15:37" x14ac:dyDescent="0.25"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</row>
    <row r="175" spans="15:37" x14ac:dyDescent="0.25"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</row>
    <row r="176" spans="15:37" x14ac:dyDescent="0.25"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</row>
    <row r="177" spans="15:37" x14ac:dyDescent="0.25"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</row>
    <row r="178" spans="15:37" x14ac:dyDescent="0.25"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</row>
    <row r="179" spans="15:37" x14ac:dyDescent="0.25"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</row>
    <row r="180" spans="15:37" x14ac:dyDescent="0.25"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</row>
    <row r="181" spans="15:37" x14ac:dyDescent="0.25"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</row>
    <row r="182" spans="15:37" x14ac:dyDescent="0.25"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</row>
    <row r="183" spans="15:37" x14ac:dyDescent="0.25"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</row>
    <row r="184" spans="15:37" x14ac:dyDescent="0.25"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</row>
    <row r="185" spans="15:37" x14ac:dyDescent="0.25"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</row>
    <row r="186" spans="15:37" x14ac:dyDescent="0.25"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</row>
    <row r="187" spans="15:37" x14ac:dyDescent="0.25"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</row>
    <row r="188" spans="15:37" x14ac:dyDescent="0.25"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</row>
    <row r="189" spans="15:37" x14ac:dyDescent="0.25"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</row>
    <row r="190" spans="15:37" x14ac:dyDescent="0.25"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</row>
    <row r="191" spans="15:37" x14ac:dyDescent="0.25"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</row>
    <row r="192" spans="15:37" x14ac:dyDescent="0.25"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</row>
    <row r="193" spans="15:37" x14ac:dyDescent="0.25"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</row>
    <row r="194" spans="15:37" x14ac:dyDescent="0.25"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</row>
    <row r="195" spans="15:37" x14ac:dyDescent="0.25"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</row>
    <row r="196" spans="15:37" x14ac:dyDescent="0.25"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</row>
    <row r="197" spans="15:37" x14ac:dyDescent="0.25"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</row>
    <row r="198" spans="15:37" x14ac:dyDescent="0.25"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</row>
    <row r="199" spans="15:37" x14ac:dyDescent="0.25"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</row>
    <row r="200" spans="15:37" x14ac:dyDescent="0.25"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</row>
    <row r="201" spans="15:37" x14ac:dyDescent="0.25"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</row>
    <row r="202" spans="15:37" x14ac:dyDescent="0.25"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</row>
    <row r="203" spans="15:37" x14ac:dyDescent="0.25"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</row>
    <row r="204" spans="15:37" x14ac:dyDescent="0.25"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</row>
    <row r="205" spans="15:37" x14ac:dyDescent="0.25"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</row>
    <row r="206" spans="15:37" x14ac:dyDescent="0.25"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</row>
    <row r="207" spans="15:37" x14ac:dyDescent="0.25"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</row>
    <row r="208" spans="15:37" x14ac:dyDescent="0.25"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</row>
    <row r="209" spans="15:37" x14ac:dyDescent="0.25"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</row>
    <row r="210" spans="15:37" x14ac:dyDescent="0.25"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</row>
    <row r="211" spans="15:37" x14ac:dyDescent="0.25"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</row>
    <row r="212" spans="15:37" x14ac:dyDescent="0.25"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</row>
    <row r="213" spans="15:37" x14ac:dyDescent="0.25"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</row>
    <row r="214" spans="15:37" x14ac:dyDescent="0.25"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</row>
    <row r="215" spans="15:37" x14ac:dyDescent="0.25"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</row>
    <row r="216" spans="15:37" x14ac:dyDescent="0.25"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</row>
    <row r="217" spans="15:37" x14ac:dyDescent="0.25"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</row>
    <row r="218" spans="15:37" x14ac:dyDescent="0.25"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</row>
    <row r="219" spans="15:37" x14ac:dyDescent="0.25"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</row>
    <row r="220" spans="15:37" x14ac:dyDescent="0.25"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</row>
    <row r="221" spans="15:37" x14ac:dyDescent="0.25"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</row>
    <row r="222" spans="15:37" x14ac:dyDescent="0.25"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</row>
    <row r="223" spans="15:37" x14ac:dyDescent="0.25"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</row>
    <row r="224" spans="15:37" x14ac:dyDescent="0.25"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</row>
    <row r="225" spans="15:37" x14ac:dyDescent="0.25"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</row>
    <row r="226" spans="15:37" x14ac:dyDescent="0.25"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</row>
    <row r="227" spans="15:37" x14ac:dyDescent="0.25"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</row>
    <row r="228" spans="15:37" x14ac:dyDescent="0.25"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</row>
    <row r="229" spans="15:37" x14ac:dyDescent="0.25"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</row>
    <row r="230" spans="15:37" x14ac:dyDescent="0.25"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</row>
    <row r="231" spans="15:37" x14ac:dyDescent="0.25"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</row>
    <row r="232" spans="15:37" x14ac:dyDescent="0.25"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</row>
    <row r="233" spans="15:37" x14ac:dyDescent="0.25"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</row>
    <row r="234" spans="15:37" x14ac:dyDescent="0.25"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</row>
    <row r="235" spans="15:37" x14ac:dyDescent="0.25"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</row>
    <row r="236" spans="15:37" x14ac:dyDescent="0.25"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</row>
    <row r="237" spans="15:37" x14ac:dyDescent="0.25"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</row>
    <row r="238" spans="15:37" x14ac:dyDescent="0.25"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</row>
    <row r="239" spans="15:37" x14ac:dyDescent="0.25"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</row>
    <row r="240" spans="15:37" x14ac:dyDescent="0.25"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</row>
    <row r="241" spans="15:37" x14ac:dyDescent="0.25"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</row>
    <row r="242" spans="15:37" x14ac:dyDescent="0.25"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</row>
    <row r="243" spans="15:37" x14ac:dyDescent="0.25"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</row>
    <row r="244" spans="15:37" x14ac:dyDescent="0.25"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</row>
    <row r="245" spans="15:37" x14ac:dyDescent="0.25"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</row>
    <row r="246" spans="15:37" x14ac:dyDescent="0.25"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</row>
    <row r="247" spans="15:37" x14ac:dyDescent="0.25"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</row>
    <row r="248" spans="15:37" x14ac:dyDescent="0.25"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</row>
    <row r="249" spans="15:37" x14ac:dyDescent="0.25"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</row>
    <row r="250" spans="15:37" x14ac:dyDescent="0.25"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</row>
    <row r="251" spans="15:37" x14ac:dyDescent="0.25"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</row>
    <row r="252" spans="15:37" x14ac:dyDescent="0.25"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</row>
    <row r="253" spans="15:37" x14ac:dyDescent="0.25"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</row>
  </sheetData>
  <mergeCells count="27">
    <mergeCell ref="K43:K44"/>
    <mergeCell ref="L43:L44"/>
    <mergeCell ref="M43:M44"/>
    <mergeCell ref="K39:K40"/>
    <mergeCell ref="L39:L40"/>
    <mergeCell ref="M39:M40"/>
    <mergeCell ref="K41:K42"/>
    <mergeCell ref="L41:L42"/>
    <mergeCell ref="M41:M42"/>
    <mergeCell ref="K35:K36"/>
    <mergeCell ref="L35:L36"/>
    <mergeCell ref="M35:M36"/>
    <mergeCell ref="K37:K38"/>
    <mergeCell ref="L37:L38"/>
    <mergeCell ref="M37:M38"/>
    <mergeCell ref="K31:K32"/>
    <mergeCell ref="L31:L32"/>
    <mergeCell ref="M31:M32"/>
    <mergeCell ref="K33:K34"/>
    <mergeCell ref="L33:L34"/>
    <mergeCell ref="M33:M34"/>
    <mergeCell ref="K27:K28"/>
    <mergeCell ref="L27:L28"/>
    <mergeCell ref="M27:M28"/>
    <mergeCell ref="K29:K30"/>
    <mergeCell ref="L29:L30"/>
    <mergeCell ref="M29:M30"/>
  </mergeCells>
  <conditionalFormatting sqref="T2:T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{38A268A6-C04A-400B-99A9-DB08B4BDBA7B}</x14:id>
        </ext>
      </extLst>
    </cfRule>
  </conditionalFormatting>
  <pageMargins left="0.16" right="0.16" top="0.38" bottom="0.44" header="0.28999999999999998" footer="0.41"/>
  <pageSetup paperSize="9" scale="96" orientation="portrait" r:id="rId2"/>
  <headerFooter alignWithMargins="0"/>
  <colBreaks count="1" manualBreakCount="1">
    <brk id="6" max="1048575" man="1"/>
  </colBreaks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A268A6-C04A-400B-99A9-DB08B4BDBA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T2:T21</xm:sqref>
        </x14:conditionalFormatting>
      </x14:conditionalFormattings>
    </ext>
  </extLst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Planilha35"/>
  <dimension ref="A1:W60"/>
  <sheetViews>
    <sheetView topLeftCell="A13" workbookViewId="0">
      <selection activeCell="I39" sqref="I39"/>
    </sheetView>
  </sheetViews>
  <sheetFormatPr defaultColWidth="9.140625" defaultRowHeight="15" x14ac:dyDescent="0.25"/>
  <cols>
    <col min="1" max="2" width="5.85546875" style="1717" customWidth="1"/>
    <col min="3" max="3" width="6.5703125" style="1717" customWidth="1"/>
    <col min="4" max="4" width="10.42578125" style="1717" customWidth="1"/>
    <col min="5" max="5" width="18.28515625" style="1718" customWidth="1"/>
    <col min="6" max="6" width="15.28515625" style="1719" customWidth="1"/>
    <col min="7" max="7" width="14.28515625" style="1718" customWidth="1"/>
    <col min="8" max="8" width="13.85546875" style="1718" customWidth="1"/>
    <col min="9" max="9" width="14" style="1718" customWidth="1"/>
    <col min="10" max="10" width="12.28515625" style="1718" customWidth="1"/>
    <col min="11" max="11" width="14.5703125" style="1718" customWidth="1"/>
    <col min="12" max="12" width="12" style="1718" customWidth="1"/>
    <col min="13" max="13" width="13.5703125" style="1718" customWidth="1"/>
    <col min="14" max="14" width="12.7109375" style="1718" customWidth="1"/>
    <col min="15" max="15" width="14.7109375" style="1718" customWidth="1"/>
    <col min="16" max="16" width="13.5703125" style="1718" customWidth="1"/>
    <col min="17" max="17" width="12.140625" style="1718" customWidth="1"/>
    <col min="18" max="19" width="11.85546875" style="1718" customWidth="1"/>
    <col min="20" max="20" width="11.5703125" style="1718" customWidth="1"/>
    <col min="21" max="21" width="10.28515625" style="1718" customWidth="1"/>
    <col min="22" max="22" width="12" style="1718" bestFit="1" customWidth="1"/>
    <col min="23" max="23" width="12.28515625" style="1718" customWidth="1"/>
    <col min="24" max="24" width="10.5703125" style="1718" bestFit="1" customWidth="1"/>
    <col min="25" max="25" width="10.28515625" style="1718" customWidth="1"/>
    <col min="26" max="16384" width="9.140625" style="1718"/>
  </cols>
  <sheetData>
    <row r="1" spans="1:20" ht="22.5" customHeight="1" thickBot="1" x14ac:dyDescent="0.3">
      <c r="G1" s="1717"/>
    </row>
    <row r="2" spans="1:20" ht="54.75" customHeight="1" thickBot="1" x14ac:dyDescent="0.3">
      <c r="A2" s="2339" t="s">
        <v>5546</v>
      </c>
      <c r="B2" s="1727" t="s">
        <v>5460</v>
      </c>
      <c r="C2" s="1727" t="s">
        <v>5461</v>
      </c>
      <c r="D2" s="1727" t="s">
        <v>5462</v>
      </c>
      <c r="E2" s="1728" t="s">
        <v>3762</v>
      </c>
      <c r="F2" s="1729" t="s">
        <v>5463</v>
      </c>
      <c r="G2" s="1730" t="s">
        <v>5464</v>
      </c>
      <c r="H2" s="1905" t="s">
        <v>5465</v>
      </c>
      <c r="I2" s="1730" t="s">
        <v>5466</v>
      </c>
      <c r="J2" s="1730" t="s">
        <v>5467</v>
      </c>
      <c r="K2" s="1730" t="s">
        <v>6665</v>
      </c>
      <c r="L2" s="1730" t="s">
        <v>8162</v>
      </c>
      <c r="M2" s="1730" t="s">
        <v>5468</v>
      </c>
      <c r="N2" s="1731" t="s">
        <v>5469</v>
      </c>
      <c r="O2" s="1731" t="s">
        <v>5470</v>
      </c>
      <c r="P2" s="1732" t="s">
        <v>5471</v>
      </c>
      <c r="Q2" s="1732" t="s">
        <v>6712</v>
      </c>
      <c r="S2" s="1723" t="s">
        <v>383</v>
      </c>
    </row>
    <row r="3" spans="1:20" ht="24" customHeight="1" x14ac:dyDescent="0.25">
      <c r="A3" s="2340" t="s">
        <v>6713</v>
      </c>
      <c r="B3" s="2331">
        <v>504</v>
      </c>
      <c r="C3" s="2331" t="s">
        <v>5472</v>
      </c>
      <c r="D3" s="2331">
        <v>1009</v>
      </c>
      <c r="E3" s="2332" t="s">
        <v>5473</v>
      </c>
      <c r="F3" s="2333">
        <v>6300</v>
      </c>
      <c r="G3" s="2334">
        <f>F3/12</f>
        <v>525</v>
      </c>
      <c r="H3" s="2335">
        <f>G3/3+G3</f>
        <v>700</v>
      </c>
      <c r="I3" s="2336">
        <f>SUM(F3:H3)*8%</f>
        <v>602</v>
      </c>
      <c r="J3" s="2336">
        <f>I3*40%</f>
        <v>240.8</v>
      </c>
      <c r="K3" s="2336">
        <f>SUM(F3:H3)*1.5%</f>
        <v>112.875</v>
      </c>
      <c r="L3" s="2336">
        <f>SUM(F3:H3)*5.8%</f>
        <v>436.45</v>
      </c>
      <c r="M3" s="2336">
        <f>SUM(F3:H3)*20%</f>
        <v>1505</v>
      </c>
      <c r="N3" s="2337">
        <v>293</v>
      </c>
      <c r="O3" s="2337">
        <v>200</v>
      </c>
      <c r="P3" s="2338">
        <f>SUM(F3:O3)</f>
        <v>10915.125</v>
      </c>
      <c r="Q3" s="2338">
        <f>P3*12</f>
        <v>130981.5</v>
      </c>
      <c r="S3" s="1726">
        <f>SUM(G3:O3)/F3</f>
        <v>0.73255952380952383</v>
      </c>
    </row>
    <row r="4" spans="1:20" ht="24" customHeight="1" thickBot="1" x14ac:dyDescent="0.3">
      <c r="A4" s="2341" t="s">
        <v>5481</v>
      </c>
      <c r="B4" s="2323"/>
      <c r="C4" s="2323" t="s">
        <v>5472</v>
      </c>
      <c r="D4" s="2323">
        <v>1009</v>
      </c>
      <c r="E4" s="2324" t="s">
        <v>5473</v>
      </c>
      <c r="F4" s="2325">
        <v>10000</v>
      </c>
      <c r="G4" s="2326">
        <v>0</v>
      </c>
      <c r="H4" s="2327">
        <f>G4/3+G4</f>
        <v>0</v>
      </c>
      <c r="I4" s="2328">
        <v>0</v>
      </c>
      <c r="J4" s="2328">
        <f>I4*40%</f>
        <v>0</v>
      </c>
      <c r="K4" s="2328">
        <v>0</v>
      </c>
      <c r="L4" s="2328">
        <v>0</v>
      </c>
      <c r="M4" s="2328">
        <v>0</v>
      </c>
      <c r="N4" s="2329">
        <v>0</v>
      </c>
      <c r="O4" s="2329">
        <v>0</v>
      </c>
      <c r="P4" s="2330">
        <f>SUM(F4:O4)</f>
        <v>10000</v>
      </c>
      <c r="Q4" s="2330">
        <f>P4*12</f>
        <v>120000</v>
      </c>
      <c r="R4" s="2313">
        <f>Q3-Q4</f>
        <v>10981.5</v>
      </c>
      <c r="S4" s="1726">
        <f>SUM(G4:O4)/F4</f>
        <v>0</v>
      </c>
    </row>
    <row r="5" spans="1:20" x14ac:dyDescent="0.25">
      <c r="A5" s="1724"/>
      <c r="B5" s="1724"/>
      <c r="C5" s="1724"/>
      <c r="D5" s="1724"/>
      <c r="E5" s="1721"/>
      <c r="F5" s="1843"/>
      <c r="G5" s="1844"/>
      <c r="H5" s="1906"/>
      <c r="I5" s="1843"/>
      <c r="J5" s="1843"/>
      <c r="K5" s="1843"/>
      <c r="L5" s="1843"/>
      <c r="M5" s="1843"/>
      <c r="N5" s="1845"/>
      <c r="O5" s="1843"/>
      <c r="P5" s="1843"/>
      <c r="Q5" s="1843"/>
      <c r="R5" s="1843"/>
      <c r="S5" s="1843"/>
      <c r="T5" s="1846"/>
    </row>
    <row r="6" spans="1:20" x14ac:dyDescent="0.25">
      <c r="A6" s="1724"/>
      <c r="B6" s="1724"/>
      <c r="C6" s="1724"/>
      <c r="D6" s="1724"/>
      <c r="E6" s="1721"/>
      <c r="F6" s="1720"/>
      <c r="G6" s="1820"/>
      <c r="H6" s="1907"/>
      <c r="I6" s="1821"/>
      <c r="J6" s="1821"/>
      <c r="K6" s="1821"/>
      <c r="L6" s="1821"/>
      <c r="M6" s="1821"/>
      <c r="N6" s="1821"/>
      <c r="O6" s="1821"/>
      <c r="P6" s="1821"/>
      <c r="Q6" s="1821"/>
      <c r="R6" s="1821"/>
      <c r="S6" s="1821"/>
      <c r="T6" s="1721"/>
    </row>
    <row r="7" spans="1:20" x14ac:dyDescent="0.25">
      <c r="A7" s="1724"/>
      <c r="B7" s="1724"/>
      <c r="C7" s="1724"/>
      <c r="D7" s="1724"/>
      <c r="E7" s="1721"/>
      <c r="F7" s="1720"/>
      <c r="G7" s="1820"/>
      <c r="H7" s="1907"/>
      <c r="I7" s="1821"/>
      <c r="J7" s="1821"/>
      <c r="K7" s="1821"/>
      <c r="L7" s="1821"/>
      <c r="M7" s="1821"/>
      <c r="N7" s="1821"/>
      <c r="O7" s="1821"/>
      <c r="Q7" s="1821"/>
      <c r="R7" s="1821"/>
      <c r="S7" s="1821"/>
      <c r="T7" s="1721"/>
    </row>
    <row r="8" spans="1:20" x14ac:dyDescent="0.25">
      <c r="C8" s="1718"/>
      <c r="D8" s="1719"/>
      <c r="E8" s="1801" t="s">
        <v>7976</v>
      </c>
      <c r="F8" s="1765">
        <f>F10/E10</f>
        <v>0.10977777777777778</v>
      </c>
      <c r="G8" s="1765">
        <f>G10/E10</f>
        <v>7.5741269841269845E-2</v>
      </c>
      <c r="H8" s="1765">
        <f>H10/E10</f>
        <v>0</v>
      </c>
      <c r="I8" s="1837">
        <f>I10/E10</f>
        <v>0.18551904761904761</v>
      </c>
      <c r="J8" s="2031">
        <f>J10/E10</f>
        <v>0.81448095238095231</v>
      </c>
      <c r="K8" s="1999"/>
      <c r="L8" s="3531" t="s">
        <v>8135</v>
      </c>
      <c r="M8" s="3531"/>
      <c r="N8" s="3531"/>
      <c r="O8" s="1909">
        <f>F4</f>
        <v>10000</v>
      </c>
      <c r="P8" s="1821"/>
      <c r="Q8" s="1821"/>
      <c r="R8" s="1999"/>
      <c r="S8" s="1999"/>
    </row>
    <row r="9" spans="1:20" x14ac:dyDescent="0.25">
      <c r="C9" s="1721"/>
      <c r="D9" s="1720"/>
      <c r="E9" s="1722" t="s">
        <v>5475</v>
      </c>
      <c r="F9" s="1822" t="s">
        <v>5353</v>
      </c>
      <c r="G9" s="1822" t="s">
        <v>1479</v>
      </c>
      <c r="H9" s="1822" t="s">
        <v>5476</v>
      </c>
      <c r="I9" s="1822" t="s">
        <v>5477</v>
      </c>
      <c r="J9" s="1823" t="s">
        <v>5194</v>
      </c>
      <c r="K9" s="1824"/>
      <c r="L9" s="3530" t="s">
        <v>5482</v>
      </c>
      <c r="M9" s="3530"/>
      <c r="N9" s="1841">
        <v>9.2999999999999999E-2</v>
      </c>
      <c r="O9" s="1908">
        <f>O8*N9</f>
        <v>930</v>
      </c>
      <c r="P9" s="1821"/>
      <c r="Q9" s="1821"/>
      <c r="R9" s="1821"/>
      <c r="S9" s="1999"/>
    </row>
    <row r="10" spans="1:20" x14ac:dyDescent="0.25">
      <c r="C10" s="1721"/>
      <c r="D10" s="1720"/>
      <c r="E10" s="1825">
        <f>F3</f>
        <v>6300</v>
      </c>
      <c r="F10" s="1908">
        <v>691.6</v>
      </c>
      <c r="G10" s="1826">
        <v>477.17</v>
      </c>
      <c r="H10" s="1826">
        <v>0</v>
      </c>
      <c r="I10" s="1827">
        <f>F10+G10+H10</f>
        <v>1168.77</v>
      </c>
      <c r="J10" s="1823">
        <f>E10-I10</f>
        <v>5131.2299999999996</v>
      </c>
      <c r="K10" s="1821"/>
      <c r="M10" s="1720"/>
      <c r="N10" s="1821"/>
      <c r="O10" s="1910">
        <f>O8-O9</f>
        <v>9070</v>
      </c>
      <c r="P10" s="1821">
        <f>O10*40%</f>
        <v>3628</v>
      </c>
      <c r="Q10" s="1821" t="s">
        <v>5483</v>
      </c>
      <c r="R10" s="1999"/>
      <c r="S10" s="1999">
        <f>P10-E11</f>
        <v>1108</v>
      </c>
    </row>
    <row r="11" spans="1:20" x14ac:dyDescent="0.25">
      <c r="C11" s="1828" t="s">
        <v>5483</v>
      </c>
      <c r="D11" s="1719"/>
      <c r="E11" s="1802">
        <f>E10*40%</f>
        <v>2520</v>
      </c>
      <c r="F11" s="1907"/>
      <c r="G11" s="1821"/>
      <c r="H11" s="1821"/>
      <c r="I11" s="1999"/>
      <c r="J11" s="1821"/>
      <c r="K11" s="1821"/>
      <c r="M11" s="1720"/>
      <c r="N11" s="1842">
        <v>12</v>
      </c>
      <c r="O11" s="1909">
        <f>O10*12</f>
        <v>108840</v>
      </c>
      <c r="P11" s="1821">
        <f>O10-P10</f>
        <v>5442</v>
      </c>
      <c r="Q11" s="1821" t="s">
        <v>5301</v>
      </c>
      <c r="R11" s="1999"/>
      <c r="S11" s="1999">
        <f>P11-E12</f>
        <v>2830.77</v>
      </c>
    </row>
    <row r="12" spans="1:20" x14ac:dyDescent="0.25">
      <c r="C12" s="1828" t="s">
        <v>5301</v>
      </c>
      <c r="D12" s="1719"/>
      <c r="E12" s="1802">
        <f>E10-E11-I10</f>
        <v>2611.23</v>
      </c>
      <c r="F12" s="1907"/>
      <c r="G12" s="1821"/>
      <c r="H12" s="1999"/>
      <c r="I12" s="1828" t="s">
        <v>5466</v>
      </c>
      <c r="J12" s="1829">
        <f>E10*8%</f>
        <v>504</v>
      </c>
      <c r="K12" s="1821"/>
      <c r="M12" s="1719"/>
      <c r="N12" s="1999"/>
      <c r="O12" s="2000"/>
      <c r="P12" s="1999"/>
      <c r="Q12" s="1999"/>
      <c r="R12" s="1999"/>
      <c r="S12" s="2817">
        <f>SUM(S10:S11)</f>
        <v>3938.77</v>
      </c>
    </row>
    <row r="13" spans="1:20" x14ac:dyDescent="0.25">
      <c r="C13" s="1718"/>
      <c r="D13" s="1719"/>
      <c r="E13" s="1802"/>
      <c r="F13" s="1907"/>
      <c r="G13" s="1821"/>
      <c r="H13" s="1999"/>
      <c r="I13" s="1828" t="s">
        <v>5478</v>
      </c>
      <c r="J13" s="1829">
        <f>E10/12</f>
        <v>525</v>
      </c>
      <c r="K13" s="1821"/>
      <c r="M13" s="1719"/>
      <c r="N13" s="1999"/>
      <c r="O13" s="2000"/>
      <c r="P13" s="1999"/>
      <c r="Q13" s="3041">
        <f>O11-M19</f>
        <v>24117.240000000005</v>
      </c>
      <c r="R13" s="3041" t="s">
        <v>7315</v>
      </c>
      <c r="S13" s="1999"/>
    </row>
    <row r="14" spans="1:20" x14ac:dyDescent="0.25">
      <c r="C14" s="1718"/>
      <c r="D14" s="1719"/>
      <c r="E14" s="1802"/>
      <c r="F14" s="1907"/>
      <c r="G14" s="1821"/>
      <c r="H14" s="1999"/>
      <c r="I14" s="1828" t="s">
        <v>5479</v>
      </c>
      <c r="J14" s="1829">
        <f>E10/12</f>
        <v>525</v>
      </c>
      <c r="K14" s="1821"/>
      <c r="L14" s="1721"/>
      <c r="M14" s="1721"/>
      <c r="N14" s="1829"/>
      <c r="O14" s="1821"/>
      <c r="P14" s="1999"/>
      <c r="Q14" s="1999"/>
      <c r="R14" s="1999"/>
      <c r="S14" s="1999"/>
    </row>
    <row r="15" spans="1:20" x14ac:dyDescent="0.25">
      <c r="C15" s="1718"/>
      <c r="D15" s="1719"/>
      <c r="E15" s="1802"/>
      <c r="F15" s="1907"/>
      <c r="G15" s="1821"/>
      <c r="H15" s="1999"/>
      <c r="I15" s="1828" t="s">
        <v>5480</v>
      </c>
      <c r="J15" s="1829">
        <f>J14/3</f>
        <v>175</v>
      </c>
      <c r="K15" s="1821"/>
      <c r="L15" s="1721"/>
      <c r="M15" s="1721"/>
      <c r="N15" s="1829"/>
      <c r="O15" s="1821"/>
      <c r="P15" s="1999"/>
      <c r="Q15" s="1999"/>
      <c r="R15" s="1999"/>
      <c r="S15" s="1999"/>
    </row>
    <row r="16" spans="1:20" x14ac:dyDescent="0.25">
      <c r="C16" s="1718"/>
      <c r="D16" s="1719"/>
      <c r="E16" s="1802"/>
      <c r="F16" s="1907"/>
      <c r="G16" s="1821"/>
      <c r="H16" s="1999"/>
      <c r="I16" s="1828" t="s">
        <v>5470</v>
      </c>
      <c r="J16" s="1829">
        <v>200</v>
      </c>
      <c r="K16" s="1821"/>
      <c r="L16" s="2951"/>
      <c r="M16" s="1721"/>
      <c r="N16" s="1829"/>
      <c r="O16" s="1821"/>
      <c r="P16" s="1999"/>
      <c r="Q16" s="1999"/>
      <c r="R16" s="1999"/>
      <c r="S16" s="1999"/>
    </row>
    <row r="17" spans="3:23" x14ac:dyDescent="0.25">
      <c r="C17" s="1718"/>
      <c r="D17" s="1719"/>
      <c r="E17" s="1802"/>
      <c r="F17" s="1907"/>
      <c r="G17" s="1821"/>
      <c r="H17" s="1999"/>
      <c r="I17" s="1828" t="s">
        <v>5476</v>
      </c>
      <c r="J17" s="1829">
        <v>0</v>
      </c>
      <c r="K17" s="1821"/>
      <c r="L17" s="1721"/>
      <c r="M17" s="1721"/>
      <c r="N17" s="1829"/>
      <c r="O17" s="1821"/>
      <c r="P17" s="1999"/>
      <c r="Q17" s="1999"/>
      <c r="R17" s="1999"/>
      <c r="S17" s="1999"/>
    </row>
    <row r="18" spans="3:23" x14ac:dyDescent="0.25">
      <c r="C18" s="1718"/>
      <c r="D18" s="1719"/>
      <c r="E18" s="1802"/>
      <c r="F18" s="1907"/>
      <c r="G18" s="1821"/>
      <c r="H18" s="1821"/>
      <c r="I18" s="1829"/>
      <c r="J18" s="1723" t="s">
        <v>5580</v>
      </c>
      <c r="K18" s="1723" t="s">
        <v>8454</v>
      </c>
      <c r="L18" s="1723" t="s">
        <v>8455</v>
      </c>
      <c r="M18" s="1723" t="s">
        <v>6832</v>
      </c>
      <c r="N18" s="1829"/>
      <c r="O18" s="1821"/>
      <c r="P18" s="1999"/>
      <c r="Q18" s="1999"/>
      <c r="R18" s="1999"/>
      <c r="S18" s="1999"/>
    </row>
    <row r="19" spans="3:23" x14ac:dyDescent="0.25">
      <c r="I19" s="2952" t="s">
        <v>8453</v>
      </c>
      <c r="J19" s="1910">
        <f>SUM(J10:J17)</f>
        <v>7060.23</v>
      </c>
      <c r="K19" s="2953">
        <f>J19/30</f>
        <v>235.34099999999998</v>
      </c>
      <c r="L19" s="2953">
        <f>J19/220</f>
        <v>32.091954545454541</v>
      </c>
      <c r="M19" s="1910">
        <f>J19*12</f>
        <v>84722.76</v>
      </c>
      <c r="N19" s="1824"/>
      <c r="O19" s="1821"/>
      <c r="P19" s="1999"/>
      <c r="Q19" s="1999"/>
      <c r="R19" s="1999"/>
      <c r="S19" s="1999"/>
    </row>
    <row r="20" spans="3:23" x14ac:dyDescent="0.25">
      <c r="E20" s="1721"/>
      <c r="L20" s="1999"/>
      <c r="M20" s="1821"/>
      <c r="N20" s="1999"/>
      <c r="O20" s="1821"/>
      <c r="P20" s="1999"/>
      <c r="Q20" s="1999"/>
      <c r="R20" s="1999"/>
      <c r="S20" s="1999"/>
    </row>
    <row r="21" spans="3:23" ht="14.25" customHeight="1" x14ac:dyDescent="0.25">
      <c r="D21" s="2804"/>
      <c r="E21" s="1721"/>
      <c r="G21" s="3018"/>
      <c r="L21" s="1999"/>
      <c r="M21" s="1821"/>
      <c r="N21" s="1821"/>
      <c r="O21" s="1821"/>
      <c r="P21" s="1999"/>
      <c r="Q21" s="1999"/>
      <c r="R21" s="1999"/>
      <c r="S21" s="1999"/>
    </row>
    <row r="22" spans="3:23" x14ac:dyDescent="0.25">
      <c r="E22" s="1721"/>
      <c r="F22" s="1799"/>
      <c r="G22" s="1998"/>
      <c r="H22" s="1911"/>
      <c r="I22" s="2001"/>
      <c r="J22" s="1830"/>
      <c r="K22" s="2001"/>
      <c r="L22" s="1830"/>
      <c r="M22" s="2001"/>
      <c r="N22" s="1837"/>
      <c r="O22" s="1999"/>
      <c r="P22" s="1821"/>
      <c r="Q22" s="3529" t="s">
        <v>6758</v>
      </c>
      <c r="R22" s="3529"/>
      <c r="S22" s="2356"/>
    </row>
    <row r="23" spans="3:23" s="1831" customFormat="1" ht="30" x14ac:dyDescent="0.25">
      <c r="E23" s="1832"/>
      <c r="F23" s="1833" t="s">
        <v>5475</v>
      </c>
      <c r="G23" s="1835" t="s">
        <v>5353</v>
      </c>
      <c r="H23" s="1835" t="s">
        <v>383</v>
      </c>
      <c r="I23" s="1835" t="s">
        <v>1479</v>
      </c>
      <c r="J23" s="1835" t="s">
        <v>383</v>
      </c>
      <c r="K23" s="1835" t="s">
        <v>5476</v>
      </c>
      <c r="L23" s="1835" t="s">
        <v>383</v>
      </c>
      <c r="M23" s="1835" t="s">
        <v>5477</v>
      </c>
      <c r="N23" s="1847" t="s">
        <v>383</v>
      </c>
      <c r="O23" s="1836" t="s">
        <v>5194</v>
      </c>
      <c r="P23" s="2359" t="s">
        <v>6144</v>
      </c>
      <c r="Q23" s="2359" t="s">
        <v>5470</v>
      </c>
      <c r="R23" s="2360" t="s">
        <v>6759</v>
      </c>
      <c r="S23" s="2355" t="s">
        <v>6760</v>
      </c>
      <c r="T23" s="1831" t="s">
        <v>6761</v>
      </c>
      <c r="U23" s="1834" t="s">
        <v>5483</v>
      </c>
      <c r="V23" s="1834" t="s">
        <v>5301</v>
      </c>
      <c r="W23" s="1832" t="s">
        <v>371</v>
      </c>
    </row>
    <row r="24" spans="3:23" x14ac:dyDescent="0.25">
      <c r="E24" s="1724">
        <v>2023</v>
      </c>
      <c r="F24" s="1720">
        <v>5250</v>
      </c>
      <c r="G24" s="1908">
        <v>553.82000000000005</v>
      </c>
      <c r="H24" s="1840">
        <f t="shared" ref="H24:H28" si="0">G24/F24</f>
        <v>0.10548952380952382</v>
      </c>
      <c r="I24" s="1838">
        <v>308.55</v>
      </c>
      <c r="J24" s="1840">
        <f t="shared" ref="J24:J28" si="1">I24/F24</f>
        <v>5.8771428571428572E-2</v>
      </c>
      <c r="K24" s="2344">
        <v>160</v>
      </c>
      <c r="L24" s="1840">
        <f t="shared" ref="L24:L28" si="2">K24/F24</f>
        <v>3.0476190476190476E-2</v>
      </c>
      <c r="M24" s="1822">
        <f t="shared" ref="M24:M26" si="3">G24+I24+K24</f>
        <v>1022.3700000000001</v>
      </c>
      <c r="N24" s="1840">
        <f t="shared" ref="N24:N26" si="4">M24/F24</f>
        <v>0.19473714285714289</v>
      </c>
      <c r="O24" s="1823">
        <f>F24-M24</f>
        <v>4227.63</v>
      </c>
      <c r="P24" s="2361">
        <v>0</v>
      </c>
      <c r="Q24" s="2362">
        <v>100</v>
      </c>
      <c r="R24" s="2357">
        <v>0</v>
      </c>
      <c r="S24" s="2358">
        <f>O24+Q24+R24</f>
        <v>4327.63</v>
      </c>
      <c r="U24" s="1820">
        <f t="shared" ref="U24:U27" si="5">F24*40%</f>
        <v>2100</v>
      </c>
      <c r="V24" s="1820">
        <f t="shared" ref="V24:V27" si="6">F24-G24-I24-K24-U24</f>
        <v>2127.63</v>
      </c>
      <c r="W24" s="1725">
        <f t="shared" ref="W24:W28" si="7">F24*8%</f>
        <v>420</v>
      </c>
    </row>
    <row r="25" spans="3:23" x14ac:dyDescent="0.25">
      <c r="E25" s="1724">
        <v>2024</v>
      </c>
      <c r="F25" s="1720">
        <v>5591.25</v>
      </c>
      <c r="G25" s="1908">
        <v>601.59</v>
      </c>
      <c r="H25" s="1840">
        <f t="shared" si="0"/>
        <v>0.10759490274983233</v>
      </c>
      <c r="I25" s="1838">
        <v>374.59</v>
      </c>
      <c r="J25" s="1840">
        <f t="shared" si="1"/>
        <v>6.6995752291526933E-2</v>
      </c>
      <c r="K25" s="2344">
        <v>0</v>
      </c>
      <c r="L25" s="1840">
        <f t="shared" si="2"/>
        <v>0</v>
      </c>
      <c r="M25" s="1822">
        <f t="shared" si="3"/>
        <v>976.18000000000006</v>
      </c>
      <c r="N25" s="1840">
        <f t="shared" si="4"/>
        <v>0.17459065504135929</v>
      </c>
      <c r="O25" s="1823">
        <f t="shared" ref="O25" si="8">F25-M25</f>
        <v>4615.07</v>
      </c>
      <c r="P25" s="2361">
        <f>O25-O24</f>
        <v>387.4399999999996</v>
      </c>
      <c r="Q25" s="2362">
        <v>150</v>
      </c>
      <c r="R25" s="2357">
        <v>0</v>
      </c>
      <c r="S25" s="2358">
        <f t="shared" ref="S25" si="9">O25+Q25+R25</f>
        <v>4765.07</v>
      </c>
      <c r="T25" s="2313">
        <f>S25-S24</f>
        <v>437.4399999999996</v>
      </c>
      <c r="U25" s="1820">
        <f t="shared" si="5"/>
        <v>2236.5</v>
      </c>
      <c r="V25" s="1820">
        <f t="shared" si="6"/>
        <v>2378.5699999999997</v>
      </c>
      <c r="W25" s="1725">
        <f t="shared" si="7"/>
        <v>447.3</v>
      </c>
    </row>
    <row r="26" spans="3:23" x14ac:dyDescent="0.25">
      <c r="D26" s="2608">
        <v>45505</v>
      </c>
      <c r="E26" s="1724">
        <v>2024</v>
      </c>
      <c r="F26" s="1839">
        <v>6000</v>
      </c>
      <c r="G26" s="2609">
        <v>658.82</v>
      </c>
      <c r="H26" s="1902">
        <f t="shared" si="0"/>
        <v>0.10980333333333334</v>
      </c>
      <c r="I26" s="1901">
        <v>468.54</v>
      </c>
      <c r="J26" s="1902">
        <f t="shared" si="1"/>
        <v>7.8090000000000007E-2</v>
      </c>
      <c r="K26" s="2343">
        <v>0</v>
      </c>
      <c r="L26" s="1902">
        <f t="shared" si="2"/>
        <v>0</v>
      </c>
      <c r="M26" s="2610">
        <f t="shared" si="3"/>
        <v>1127.3600000000001</v>
      </c>
      <c r="N26" s="1902">
        <f t="shared" si="4"/>
        <v>0.18789333333333336</v>
      </c>
      <c r="O26" s="1903">
        <f>F26-M26</f>
        <v>4872.6399999999994</v>
      </c>
      <c r="P26" s="2611">
        <f>O26-O24</f>
        <v>645.00999999999931</v>
      </c>
      <c r="Q26" s="2612">
        <v>150</v>
      </c>
      <c r="R26" s="2613">
        <v>480</v>
      </c>
      <c r="S26" s="2358">
        <f>O26+Q26+R26</f>
        <v>5502.6399999999994</v>
      </c>
      <c r="T26" s="2313">
        <f>S26-S24</f>
        <v>1175.0099999999993</v>
      </c>
      <c r="U26" s="1904">
        <f t="shared" si="5"/>
        <v>2400</v>
      </c>
      <c r="V26" s="1904">
        <f t="shared" si="6"/>
        <v>2472.6400000000003</v>
      </c>
      <c r="W26" s="1725">
        <f t="shared" si="7"/>
        <v>480</v>
      </c>
    </row>
    <row r="27" spans="3:23" x14ac:dyDescent="0.25">
      <c r="D27" s="2376">
        <v>45689</v>
      </c>
      <c r="E27" s="2306">
        <v>2025</v>
      </c>
      <c r="F27" s="2363">
        <v>6300</v>
      </c>
      <c r="G27" s="2364">
        <f>I39</f>
        <v>683.5100000000001</v>
      </c>
      <c r="H27" s="2365">
        <f>G27/F27</f>
        <v>0.10849365079365081</v>
      </c>
      <c r="I27" s="2366">
        <f>P40</f>
        <v>391.72800000000007</v>
      </c>
      <c r="J27" s="2365">
        <f>I27/F27</f>
        <v>6.2179047619047627E-2</v>
      </c>
      <c r="K27" s="2367">
        <v>0</v>
      </c>
      <c r="L27" s="2365">
        <f t="shared" si="2"/>
        <v>0</v>
      </c>
      <c r="M27" s="2368">
        <f>G27+I27+K27</f>
        <v>1075.2380000000003</v>
      </c>
      <c r="N27" s="2365">
        <f>M27/F27</f>
        <v>0.17067269841269847</v>
      </c>
      <c r="O27" s="2369">
        <f>F27-M27</f>
        <v>5224.7619999999997</v>
      </c>
      <c r="P27" s="2370">
        <f>O27-O24</f>
        <v>997.13199999999961</v>
      </c>
      <c r="Q27" s="2371">
        <v>200</v>
      </c>
      <c r="R27" s="2372">
        <v>480</v>
      </c>
      <c r="S27" s="2373">
        <f>O27+Q27+R27</f>
        <v>5904.7619999999997</v>
      </c>
      <c r="T27" s="2377">
        <f>S27-S24</f>
        <v>1577.1319999999996</v>
      </c>
      <c r="U27" s="2374">
        <f t="shared" si="5"/>
        <v>2520</v>
      </c>
      <c r="V27" s="2374">
        <f t="shared" si="6"/>
        <v>2704.7619999999997</v>
      </c>
      <c r="W27" s="2375">
        <f t="shared" si="7"/>
        <v>504</v>
      </c>
    </row>
    <row r="28" spans="3:23" x14ac:dyDescent="0.25">
      <c r="E28" s="1800">
        <f>F28/F27-1</f>
        <v>4.7619047619047672E-2</v>
      </c>
      <c r="F28" s="1720">
        <v>6600</v>
      </c>
      <c r="G28" s="1908">
        <f>I48</f>
        <v>725.5100000000001</v>
      </c>
      <c r="H28" s="1840">
        <f t="shared" si="0"/>
        <v>0.10992575757575759</v>
      </c>
      <c r="I28" s="1838">
        <f>P49</f>
        <v>502.62150000000008</v>
      </c>
      <c r="J28" s="1840">
        <f t="shared" si="1"/>
        <v>7.6154772727272738E-2</v>
      </c>
      <c r="K28" s="2344">
        <v>0</v>
      </c>
      <c r="L28" s="1840">
        <f t="shared" si="2"/>
        <v>0</v>
      </c>
      <c r="M28" s="1822">
        <f>G28+I28+K28</f>
        <v>1228.1315000000002</v>
      </c>
      <c r="N28" s="1840">
        <f>M28/F28</f>
        <v>0.18608053030303034</v>
      </c>
      <c r="O28" s="1823">
        <f>F28-M28</f>
        <v>5371.8684999999996</v>
      </c>
      <c r="P28" s="2361">
        <f>O28-O27</f>
        <v>147.10649999999987</v>
      </c>
      <c r="Q28" s="2362">
        <v>200</v>
      </c>
      <c r="R28" s="2357">
        <v>480</v>
      </c>
      <c r="S28" s="2358">
        <f>O28+Q28+R28</f>
        <v>6051.8684999999996</v>
      </c>
      <c r="T28" s="2313">
        <f>S28-S27</f>
        <v>147.10649999999987</v>
      </c>
      <c r="U28" s="1820">
        <f>F28*40%</f>
        <v>2640</v>
      </c>
      <c r="V28" s="1820">
        <f>F28-G28-I28-K28-U28</f>
        <v>2731.8684999999996</v>
      </c>
      <c r="W28" s="1725">
        <f t="shared" si="7"/>
        <v>528</v>
      </c>
    </row>
    <row r="29" spans="3:23" x14ac:dyDescent="0.25">
      <c r="E29" s="1800">
        <f>F29/F27-1</f>
        <v>0.11111111111111116</v>
      </c>
      <c r="F29" s="1720">
        <v>7000</v>
      </c>
      <c r="G29" s="1908">
        <f>I57</f>
        <v>781.5100000000001</v>
      </c>
      <c r="H29" s="1840">
        <f>G29/F29</f>
        <v>0.11164428571428572</v>
      </c>
      <c r="I29" s="1838">
        <f>P58</f>
        <v>650.47950000000003</v>
      </c>
      <c r="J29" s="1840">
        <f>I29/F29</f>
        <v>9.2925642857142859E-2</v>
      </c>
      <c r="K29" s="2344">
        <v>0</v>
      </c>
      <c r="L29" s="1840">
        <f>K29/F29</f>
        <v>0</v>
      </c>
      <c r="M29" s="1822">
        <f>G29+I29+K29</f>
        <v>1431.9895000000001</v>
      </c>
      <c r="N29" s="1840">
        <f>M29/F29</f>
        <v>0.20456992857142858</v>
      </c>
      <c r="O29" s="1823">
        <f>F29-M29</f>
        <v>5568.0105000000003</v>
      </c>
      <c r="P29" s="2361">
        <f>O29-O27</f>
        <v>343.2485000000006</v>
      </c>
      <c r="Q29" s="2362">
        <v>200</v>
      </c>
      <c r="R29" s="2357">
        <v>480</v>
      </c>
      <c r="S29" s="2358">
        <f>O29+Q29+R29</f>
        <v>6248.0105000000003</v>
      </c>
      <c r="T29" s="2313">
        <f>S29-S27</f>
        <v>343.2485000000006</v>
      </c>
      <c r="U29" s="1820">
        <f>F29*40%</f>
        <v>2800</v>
      </c>
      <c r="V29" s="1820">
        <f>F29-G29-I29-K29-U29</f>
        <v>2768.0104999999994</v>
      </c>
      <c r="W29" s="1725">
        <f>F29*8%</f>
        <v>560</v>
      </c>
    </row>
    <row r="30" spans="3:23" x14ac:dyDescent="0.25">
      <c r="E30" s="1800"/>
      <c r="F30" s="1718"/>
      <c r="W30" s="1721"/>
    </row>
    <row r="33" spans="4:19" ht="18.75" x14ac:dyDescent="0.3">
      <c r="E33" s="81" t="s">
        <v>8709</v>
      </c>
      <c r="F33" s="838"/>
      <c r="G33" s="81" t="s">
        <v>5353</v>
      </c>
      <c r="H33" s="81"/>
      <c r="I33" s="79"/>
      <c r="J33" s="79"/>
      <c r="K33" s="81"/>
      <c r="L33" s="79"/>
      <c r="M33" s="985"/>
      <c r="N33" s="81" t="s">
        <v>1479</v>
      </c>
      <c r="O33" s="985"/>
      <c r="P33" s="81"/>
      <c r="Q33" s="220"/>
      <c r="R33" s="79"/>
      <c r="S33" s="79"/>
    </row>
    <row r="34" spans="4:19" ht="15.75" x14ac:dyDescent="0.25">
      <c r="E34" s="216">
        <f>F27</f>
        <v>6300</v>
      </c>
      <c r="F34" s="839"/>
      <c r="G34" s="79"/>
      <c r="H34" s="79"/>
      <c r="I34" s="79"/>
      <c r="J34" s="79"/>
      <c r="K34" s="79"/>
      <c r="L34" s="216"/>
      <c r="M34" s="867" t="s">
        <v>6784</v>
      </c>
      <c r="N34" s="867" t="s">
        <v>6785</v>
      </c>
      <c r="O34" s="2037" t="s">
        <v>6786</v>
      </c>
      <c r="P34" s="3025" t="s">
        <v>5190</v>
      </c>
      <c r="Q34" s="867"/>
      <c r="R34" s="867"/>
      <c r="S34" s="867"/>
    </row>
    <row r="35" spans="4:19" ht="15.75" x14ac:dyDescent="0.25">
      <c r="E35" s="79"/>
      <c r="F35" s="840"/>
      <c r="G35" s="79"/>
      <c r="H35" s="79" t="s">
        <v>8708</v>
      </c>
      <c r="I35" s="79"/>
      <c r="J35" s="79"/>
      <c r="K35" s="985" t="s">
        <v>6781</v>
      </c>
      <c r="L35" s="484">
        <v>189.59</v>
      </c>
      <c r="M35" s="225">
        <v>7.4999999999999997E-2</v>
      </c>
      <c r="N35" s="609">
        <f>$L$39*M35</f>
        <v>392.79824999999994</v>
      </c>
      <c r="O35" s="484">
        <v>182.16</v>
      </c>
      <c r="P35" s="3026"/>
      <c r="Q35" s="867"/>
      <c r="R35" s="867"/>
      <c r="S35" s="867"/>
    </row>
    <row r="36" spans="4:19" ht="15.75" x14ac:dyDescent="0.25">
      <c r="E36" s="216">
        <v>1621</v>
      </c>
      <c r="F36" s="216"/>
      <c r="G36" s="991">
        <v>7.4999999999999997E-2</v>
      </c>
      <c r="H36" s="216">
        <v>0</v>
      </c>
      <c r="I36" s="3019" t="str">
        <f>IF($E$34&lt;=F36,$E$34*G36,"-")</f>
        <v>-</v>
      </c>
      <c r="J36" s="79"/>
      <c r="K36" s="985" t="s">
        <v>6782</v>
      </c>
      <c r="L36" s="484">
        <v>189.59</v>
      </c>
      <c r="M36" s="225">
        <v>0.15</v>
      </c>
      <c r="N36" s="609">
        <f>$L$39*M36</f>
        <v>785.59649999999988</v>
      </c>
      <c r="O36" s="484">
        <v>394.16</v>
      </c>
      <c r="P36" s="3026"/>
      <c r="Q36" s="867"/>
      <c r="R36" s="867"/>
      <c r="S36" s="867"/>
    </row>
    <row r="37" spans="4:19" ht="15.75" x14ac:dyDescent="0.25">
      <c r="E37" s="216">
        <v>1621.01</v>
      </c>
      <c r="F37" s="216">
        <v>2902.84</v>
      </c>
      <c r="G37" s="991">
        <v>0.09</v>
      </c>
      <c r="H37" s="216">
        <v>24.32</v>
      </c>
      <c r="I37" s="3019" t="str">
        <f>IF($E$34&lt;=F37,$E$34*G37,"-")</f>
        <v>-</v>
      </c>
      <c r="J37" s="79"/>
      <c r="K37" s="985"/>
      <c r="L37" s="484"/>
      <c r="M37" s="225">
        <v>0.22500000000000001</v>
      </c>
      <c r="N37" s="609">
        <f>$L$39*M37</f>
        <v>1178.3947499999999</v>
      </c>
      <c r="O37" s="484">
        <v>675.49</v>
      </c>
      <c r="P37" s="3026"/>
      <c r="Q37" s="3027"/>
      <c r="R37" s="3027"/>
      <c r="S37" s="867"/>
    </row>
    <row r="38" spans="4:19" ht="15.75" x14ac:dyDescent="0.25">
      <c r="E38" s="216">
        <f>F37+0.01</f>
        <v>2902.8500000000004</v>
      </c>
      <c r="F38" s="216">
        <v>4354.2700000000004</v>
      </c>
      <c r="G38" s="991">
        <v>0.12</v>
      </c>
      <c r="H38" s="216">
        <v>111.4</v>
      </c>
      <c r="I38" s="3019" t="str">
        <f>IF($E$34&lt;=F38,$E$34*G38,"-")</f>
        <v>-</v>
      </c>
      <c r="J38" s="79"/>
      <c r="K38" s="985"/>
      <c r="L38" s="484"/>
      <c r="M38" s="225">
        <v>0.27500000000000002</v>
      </c>
      <c r="N38" s="609">
        <f>$L$39*M38</f>
        <v>1440.26025</v>
      </c>
      <c r="O38" s="484">
        <v>908.73</v>
      </c>
      <c r="P38" s="3029">
        <f>N38-O38</f>
        <v>531.53025000000002</v>
      </c>
      <c r="Q38" s="3030">
        <f>P38/E34</f>
        <v>8.436988095238096E-2</v>
      </c>
      <c r="R38" s="3027" t="s">
        <v>8717</v>
      </c>
      <c r="S38" s="867"/>
    </row>
    <row r="39" spans="4:19" ht="15.75" x14ac:dyDescent="0.25">
      <c r="E39" s="216">
        <f>F38+0.01</f>
        <v>4354.2800000000007</v>
      </c>
      <c r="F39" s="216">
        <v>8475.5499999999993</v>
      </c>
      <c r="G39" s="991">
        <v>0.14000000000000001</v>
      </c>
      <c r="H39" s="216">
        <v>198.49</v>
      </c>
      <c r="I39" s="2395">
        <f>IF($E$34&lt;=F39,$E$34*G39,"-")-H39</f>
        <v>683.5100000000001</v>
      </c>
      <c r="J39" s="79"/>
      <c r="K39" s="2392" t="s">
        <v>6783</v>
      </c>
      <c r="L39" s="2393">
        <f>E34-L35-L36-I39</f>
        <v>5237.3099999999995</v>
      </c>
      <c r="M39" s="79"/>
      <c r="N39" s="79"/>
      <c r="O39" s="79"/>
      <c r="P39" s="3031">
        <f>IF(E34&lt;=7350,7350*0.133145-E34*0.133145,"0")</f>
        <v>139.80224999999996</v>
      </c>
      <c r="Q39" s="3032">
        <f>P39/E34</f>
        <v>2.2190833333333326E-2</v>
      </c>
      <c r="R39" s="3028" t="s">
        <v>8719</v>
      </c>
      <c r="S39" s="79"/>
    </row>
    <row r="40" spans="4:19" ht="15.75" x14ac:dyDescent="0.25">
      <c r="E40" s="216"/>
      <c r="F40" s="216"/>
      <c r="G40" s="79"/>
      <c r="H40" s="79"/>
      <c r="J40" s="79"/>
      <c r="K40" s="79"/>
      <c r="L40" s="79"/>
      <c r="M40" s="79"/>
      <c r="N40" s="79"/>
      <c r="O40" s="225"/>
      <c r="P40" s="3033">
        <f>P38-P39</f>
        <v>391.72800000000007</v>
      </c>
      <c r="Q40" s="3024">
        <f>P40/E34</f>
        <v>6.2179047619047627E-2</v>
      </c>
      <c r="R40" s="3034" t="s">
        <v>8718</v>
      </c>
      <c r="S40" s="3035"/>
    </row>
    <row r="41" spans="4:19" ht="15.75" thickBot="1" x14ac:dyDescent="0.3">
      <c r="D41" s="3036"/>
      <c r="E41" s="3037"/>
      <c r="F41" s="3038"/>
      <c r="G41" s="3037"/>
      <c r="H41" s="3037"/>
      <c r="I41" s="3037"/>
      <c r="J41" s="3037"/>
      <c r="K41" s="3037"/>
      <c r="L41" s="3037"/>
      <c r="M41" s="3037"/>
      <c r="N41" s="3037"/>
      <c r="O41" s="3037"/>
      <c r="P41" s="3037"/>
      <c r="Q41" s="3037"/>
      <c r="R41" s="3037"/>
      <c r="S41" s="3037"/>
    </row>
    <row r="42" spans="4:19" ht="18.75" x14ac:dyDescent="0.3">
      <c r="E42" s="81" t="s">
        <v>8709</v>
      </c>
      <c r="F42" s="838"/>
      <c r="G42" s="81" t="s">
        <v>5353</v>
      </c>
      <c r="H42" s="81"/>
      <c r="I42" s="79"/>
      <c r="J42" s="79"/>
      <c r="K42" s="81"/>
      <c r="L42" s="79"/>
      <c r="M42" s="985"/>
      <c r="N42" s="81" t="s">
        <v>1479</v>
      </c>
      <c r="O42" s="985"/>
      <c r="P42" s="81"/>
      <c r="Q42" s="220"/>
      <c r="R42" s="79"/>
      <c r="S42" s="79"/>
    </row>
    <row r="43" spans="4:19" ht="15.75" x14ac:dyDescent="0.25">
      <c r="E43" s="216">
        <f>F28</f>
        <v>6600</v>
      </c>
      <c r="F43" s="839"/>
      <c r="G43" s="79"/>
      <c r="H43" s="79"/>
      <c r="I43" s="79"/>
      <c r="J43" s="79"/>
      <c r="K43" s="79"/>
      <c r="L43" s="216"/>
      <c r="M43" s="867" t="s">
        <v>6784</v>
      </c>
      <c r="N43" s="867" t="s">
        <v>6785</v>
      </c>
      <c r="O43" s="2037" t="s">
        <v>6786</v>
      </c>
      <c r="P43" s="3025" t="s">
        <v>5190</v>
      </c>
      <c r="Q43" s="867"/>
      <c r="R43" s="867"/>
      <c r="S43" s="867"/>
    </row>
    <row r="44" spans="4:19" ht="15.75" x14ac:dyDescent="0.25">
      <c r="E44" s="79"/>
      <c r="F44" s="840"/>
      <c r="G44" s="79"/>
      <c r="H44" s="79" t="s">
        <v>8708</v>
      </c>
      <c r="I44" s="79"/>
      <c r="J44" s="79"/>
      <c r="K44" s="985" t="s">
        <v>6781</v>
      </c>
      <c r="L44" s="484">
        <v>189.59</v>
      </c>
      <c r="M44" s="225">
        <v>7.4999999999999997E-2</v>
      </c>
      <c r="N44" s="609">
        <f>$L$48*M44</f>
        <v>412.14824999999996</v>
      </c>
      <c r="O44" s="484">
        <v>182.16</v>
      </c>
      <c r="P44" s="3026"/>
      <c r="Q44" s="867"/>
      <c r="R44" s="867"/>
      <c r="S44" s="867"/>
    </row>
    <row r="45" spans="4:19" ht="15.75" x14ac:dyDescent="0.25">
      <c r="E45" s="216">
        <v>1621</v>
      </c>
      <c r="F45" s="216"/>
      <c r="G45" s="991">
        <v>7.4999999999999997E-2</v>
      </c>
      <c r="H45" s="216">
        <v>0</v>
      </c>
      <c r="I45" s="3019" t="str">
        <f>IF($E$34&lt;=F45,$E$34*G45,"-")</f>
        <v>-</v>
      </c>
      <c r="J45" s="79"/>
      <c r="K45" s="985" t="s">
        <v>6782</v>
      </c>
      <c r="L45" s="484">
        <v>189.59</v>
      </c>
      <c r="M45" s="225">
        <v>0.15</v>
      </c>
      <c r="N45" s="609">
        <f>$L$48*M45</f>
        <v>824.29649999999992</v>
      </c>
      <c r="O45" s="484">
        <v>384.16</v>
      </c>
      <c r="P45" s="3026"/>
      <c r="Q45" s="867"/>
      <c r="R45" s="867"/>
      <c r="S45" s="867"/>
    </row>
    <row r="46" spans="4:19" ht="15.75" x14ac:dyDescent="0.25">
      <c r="E46" s="216">
        <v>1621.01</v>
      </c>
      <c r="F46" s="216">
        <v>2902.84</v>
      </c>
      <c r="G46" s="991">
        <v>0.09</v>
      </c>
      <c r="H46" s="216">
        <v>24.32</v>
      </c>
      <c r="I46" s="3019" t="str">
        <f t="shared" ref="I46:I47" si="10">IF($E$34&lt;=F46,$E$34*G46,"-")</f>
        <v>-</v>
      </c>
      <c r="J46" s="79"/>
      <c r="K46" s="985"/>
      <c r="L46" s="484"/>
      <c r="M46" s="225">
        <v>0.22500000000000001</v>
      </c>
      <c r="N46" s="609">
        <f>$L$48*M46</f>
        <v>1236.4447499999999</v>
      </c>
      <c r="O46" s="484">
        <v>675.49</v>
      </c>
      <c r="P46" s="3026"/>
      <c r="Q46" s="3027"/>
      <c r="R46" s="3027"/>
      <c r="S46" s="867"/>
    </row>
    <row r="47" spans="4:19" ht="15.75" x14ac:dyDescent="0.25">
      <c r="E47" s="216">
        <f>F46+0.01</f>
        <v>2902.8500000000004</v>
      </c>
      <c r="F47" s="216">
        <v>4354.2700000000004</v>
      </c>
      <c r="G47" s="991">
        <v>0.12</v>
      </c>
      <c r="H47" s="216">
        <v>111.4</v>
      </c>
      <c r="I47" s="3019" t="str">
        <f t="shared" si="10"/>
        <v>-</v>
      </c>
      <c r="J47" s="79"/>
      <c r="K47" s="985"/>
      <c r="L47" s="484"/>
      <c r="M47" s="225">
        <v>0.27500000000000002</v>
      </c>
      <c r="N47" s="609">
        <f>$L$48*M47</f>
        <v>1511.2102500000001</v>
      </c>
      <c r="O47" s="484">
        <v>908.73</v>
      </c>
      <c r="P47" s="3029">
        <f>N47-O47</f>
        <v>602.48025000000007</v>
      </c>
      <c r="Q47" s="3030">
        <f>P47/E43</f>
        <v>9.1284886363636381E-2</v>
      </c>
      <c r="R47" s="3027" t="s">
        <v>8717</v>
      </c>
      <c r="S47" s="867"/>
    </row>
    <row r="48" spans="4:19" ht="15.75" x14ac:dyDescent="0.25">
      <c r="E48" s="216">
        <f>F47+0.01</f>
        <v>4354.2800000000007</v>
      </c>
      <c r="F48" s="216">
        <v>8475.5499999999993</v>
      </c>
      <c r="G48" s="991">
        <v>0.14000000000000001</v>
      </c>
      <c r="H48" s="216">
        <v>198.49</v>
      </c>
      <c r="I48" s="2395">
        <f>IF($E$43&lt;=F48,$E$43*G48,"-")-H48</f>
        <v>725.5100000000001</v>
      </c>
      <c r="J48" s="79"/>
      <c r="K48" s="2392" t="s">
        <v>6783</v>
      </c>
      <c r="L48" s="2393">
        <f>E43-L44-L45-I48</f>
        <v>5495.3099999999995</v>
      </c>
      <c r="M48" s="79"/>
      <c r="N48" s="79"/>
      <c r="O48" s="79"/>
      <c r="P48" s="3031">
        <f>IF(E43&lt;=7350,7350*0.133145-E43*0.133145,"0")</f>
        <v>99.858749999999986</v>
      </c>
      <c r="Q48" s="3032">
        <f>P48/E43</f>
        <v>1.5130113636363634E-2</v>
      </c>
      <c r="R48" s="3028" t="s">
        <v>8719</v>
      </c>
      <c r="S48" s="79"/>
    </row>
    <row r="49" spans="4:19" ht="15.75" x14ac:dyDescent="0.25">
      <c r="E49" s="216"/>
      <c r="F49" s="216"/>
      <c r="G49" s="79"/>
      <c r="H49" s="79"/>
      <c r="J49" s="79"/>
      <c r="K49" s="79"/>
      <c r="L49" s="79"/>
      <c r="M49" s="79"/>
      <c r="N49" s="79"/>
      <c r="O49" s="225"/>
      <c r="P49" s="3033">
        <f>P47-P48</f>
        <v>502.62150000000008</v>
      </c>
      <c r="Q49" s="3024">
        <f>P49/E43</f>
        <v>7.6154772727272738E-2</v>
      </c>
      <c r="R49" s="3034" t="s">
        <v>8718</v>
      </c>
      <c r="S49" s="3035"/>
    </row>
    <row r="50" spans="4:19" ht="15.75" thickBot="1" x14ac:dyDescent="0.3">
      <c r="D50" s="3036"/>
      <c r="E50" s="3037"/>
      <c r="F50" s="3038"/>
      <c r="G50" s="3037"/>
      <c r="H50" s="3037"/>
      <c r="I50" s="3037"/>
      <c r="J50" s="3037"/>
      <c r="K50" s="3037"/>
      <c r="L50" s="3037"/>
      <c r="M50" s="3037"/>
      <c r="N50" s="3037"/>
      <c r="O50" s="3037"/>
      <c r="P50" s="3037"/>
      <c r="Q50" s="3037"/>
      <c r="R50" s="3037"/>
      <c r="S50" s="3037"/>
    </row>
    <row r="51" spans="4:19" ht="18.75" x14ac:dyDescent="0.3">
      <c r="E51" s="81" t="s">
        <v>8709</v>
      </c>
      <c r="F51" s="838"/>
      <c r="G51" s="81" t="s">
        <v>5353</v>
      </c>
      <c r="H51" s="81"/>
      <c r="I51" s="79"/>
      <c r="J51" s="79"/>
      <c r="K51" s="81"/>
      <c r="L51" s="79"/>
      <c r="M51" s="985"/>
      <c r="N51" s="81" t="s">
        <v>1479</v>
      </c>
      <c r="O51" s="985"/>
      <c r="P51" s="81"/>
      <c r="Q51" s="220"/>
      <c r="R51" s="79"/>
      <c r="S51" s="79"/>
    </row>
    <row r="52" spans="4:19" ht="15.75" x14ac:dyDescent="0.25">
      <c r="E52" s="216">
        <f>F29</f>
        <v>7000</v>
      </c>
      <c r="F52" s="839"/>
      <c r="G52" s="79"/>
      <c r="H52" s="79"/>
      <c r="I52" s="79"/>
      <c r="J52" s="79"/>
      <c r="K52" s="79"/>
      <c r="L52" s="216"/>
      <c r="M52" s="867" t="s">
        <v>6784</v>
      </c>
      <c r="N52" s="867" t="s">
        <v>6785</v>
      </c>
      <c r="O52" s="2037" t="s">
        <v>6786</v>
      </c>
      <c r="P52" s="3025" t="s">
        <v>5190</v>
      </c>
      <c r="Q52" s="867"/>
      <c r="R52" s="867"/>
      <c r="S52" s="867"/>
    </row>
    <row r="53" spans="4:19" ht="15.75" x14ac:dyDescent="0.25">
      <c r="E53" s="79"/>
      <c r="F53" s="840"/>
      <c r="G53" s="79"/>
      <c r="H53" s="79" t="s">
        <v>8708</v>
      </c>
      <c r="I53" s="79"/>
      <c r="J53" s="79"/>
      <c r="K53" s="985" t="s">
        <v>6781</v>
      </c>
      <c r="L53" s="484">
        <v>189.59</v>
      </c>
      <c r="M53" s="225">
        <v>7.4999999999999997E-2</v>
      </c>
      <c r="N53" s="609">
        <f>$L$57*M53</f>
        <v>437.94824999999997</v>
      </c>
      <c r="O53" s="484">
        <v>182.16</v>
      </c>
      <c r="P53" s="3026"/>
      <c r="Q53" s="867"/>
      <c r="R53" s="867"/>
      <c r="S53" s="867"/>
    </row>
    <row r="54" spans="4:19" ht="15.75" x14ac:dyDescent="0.25">
      <c r="E54" s="216">
        <v>1621</v>
      </c>
      <c r="F54" s="216"/>
      <c r="G54" s="991">
        <v>7.4999999999999997E-2</v>
      </c>
      <c r="H54" s="216">
        <v>0</v>
      </c>
      <c r="I54" s="3019" t="str">
        <f>IF($E$34&lt;=F54,$E$34*G54,"-")</f>
        <v>-</v>
      </c>
      <c r="J54" s="79"/>
      <c r="K54" s="985" t="s">
        <v>6782</v>
      </c>
      <c r="L54" s="484">
        <v>189.59</v>
      </c>
      <c r="M54" s="225">
        <v>0.15</v>
      </c>
      <c r="N54" s="609">
        <f t="shared" ref="N54:N56" si="11">$L$57*M54</f>
        <v>875.89649999999995</v>
      </c>
      <c r="O54" s="484">
        <v>384.16</v>
      </c>
      <c r="P54" s="3026"/>
      <c r="Q54" s="867"/>
      <c r="R54" s="867"/>
      <c r="S54" s="867"/>
    </row>
    <row r="55" spans="4:19" ht="15.75" x14ac:dyDescent="0.25">
      <c r="E55" s="216">
        <v>1621.01</v>
      </c>
      <c r="F55" s="216">
        <v>2902.84</v>
      </c>
      <c r="G55" s="991">
        <v>0.09</v>
      </c>
      <c r="H55" s="216">
        <v>24.32</v>
      </c>
      <c r="I55" s="3019" t="str">
        <f t="shared" ref="I55:I56" si="12">IF($E$34&lt;=F55,$E$34*G55,"-")</f>
        <v>-</v>
      </c>
      <c r="J55" s="79"/>
      <c r="K55" s="985"/>
      <c r="L55" s="484"/>
      <c r="M55" s="225">
        <v>0.22500000000000001</v>
      </c>
      <c r="N55" s="609">
        <f t="shared" si="11"/>
        <v>1313.84475</v>
      </c>
      <c r="O55" s="484">
        <v>675.49</v>
      </c>
      <c r="P55" s="3026"/>
      <c r="Q55" s="3027"/>
      <c r="R55" s="3027"/>
      <c r="S55" s="867"/>
    </row>
    <row r="56" spans="4:19" ht="15.75" x14ac:dyDescent="0.25">
      <c r="E56" s="216">
        <f>F55+0.01</f>
        <v>2902.8500000000004</v>
      </c>
      <c r="F56" s="216">
        <v>4354.2700000000004</v>
      </c>
      <c r="G56" s="991">
        <v>0.12</v>
      </c>
      <c r="H56" s="216">
        <v>111.4</v>
      </c>
      <c r="I56" s="3019" t="str">
        <f t="shared" si="12"/>
        <v>-</v>
      </c>
      <c r="J56" s="79"/>
      <c r="K56" s="985"/>
      <c r="L56" s="484"/>
      <c r="M56" s="225">
        <v>0.27500000000000002</v>
      </c>
      <c r="N56" s="609">
        <f t="shared" si="11"/>
        <v>1605.81025</v>
      </c>
      <c r="O56" s="484">
        <v>908.73</v>
      </c>
      <c r="P56" s="3029">
        <f>N56-O56</f>
        <v>697.08024999999998</v>
      </c>
      <c r="Q56" s="3030">
        <f>P56/E52</f>
        <v>9.9582892857142849E-2</v>
      </c>
      <c r="R56" s="3027" t="s">
        <v>8717</v>
      </c>
      <c r="S56" s="867"/>
    </row>
    <row r="57" spans="4:19" ht="15.75" x14ac:dyDescent="0.25">
      <c r="E57" s="216">
        <f>F56+0.01</f>
        <v>4354.2800000000007</v>
      </c>
      <c r="F57" s="216">
        <v>8475.5499999999993</v>
      </c>
      <c r="G57" s="991">
        <v>0.14000000000000001</v>
      </c>
      <c r="H57" s="216">
        <v>198.49</v>
      </c>
      <c r="I57" s="2395">
        <f>IF($E$52&lt;=F57,$E$52*G57,"-")-H57</f>
        <v>781.5100000000001</v>
      </c>
      <c r="J57" s="79"/>
      <c r="K57" s="2392" t="s">
        <v>6783</v>
      </c>
      <c r="L57" s="2393">
        <f>E52-L53-L54-I57</f>
        <v>5839.3099999999995</v>
      </c>
      <c r="M57" s="79"/>
      <c r="N57" s="79"/>
      <c r="O57" s="79"/>
      <c r="P57" s="3031">
        <f>IF(E52&lt;=7350,7350*0.133145-E52*0.133145,"0")</f>
        <v>46.600749999999948</v>
      </c>
      <c r="Q57" s="3032">
        <f>P57/E52</f>
        <v>6.6572499999999922E-3</v>
      </c>
      <c r="R57" s="3028" t="s">
        <v>8719</v>
      </c>
      <c r="S57" s="79"/>
    </row>
    <row r="58" spans="4:19" ht="15.75" x14ac:dyDescent="0.25">
      <c r="E58" s="216"/>
      <c r="F58" s="216"/>
      <c r="G58" s="79"/>
      <c r="H58" s="79"/>
      <c r="J58" s="79"/>
      <c r="K58" s="79"/>
      <c r="L58" s="79"/>
      <c r="M58" s="79"/>
      <c r="N58" s="79"/>
      <c r="O58" s="225"/>
      <c r="P58" s="3033">
        <f>P56-P57</f>
        <v>650.47950000000003</v>
      </c>
      <c r="Q58" s="3024">
        <f>P58/E52</f>
        <v>9.2925642857142859E-2</v>
      </c>
      <c r="R58" s="3034" t="s">
        <v>8718</v>
      </c>
      <c r="S58" s="3035"/>
    </row>
    <row r="60" spans="4:19" ht="15.75" x14ac:dyDescent="0.25">
      <c r="P60" s="3031"/>
    </row>
  </sheetData>
  <autoFilter ref="B2:F5" xr:uid="{00000000-0009-0000-0000-000099000000}"/>
  <mergeCells count="3">
    <mergeCell ref="Q22:R22"/>
    <mergeCell ref="L9:M9"/>
    <mergeCell ref="L8:N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C9AA0-1666-4CB5-985F-D7F12966835A}">
  <dimension ref="A1:Q195"/>
  <sheetViews>
    <sheetView topLeftCell="A106" zoomScaleNormal="100" workbookViewId="0">
      <selection activeCell="M101" sqref="D101:M101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4.710937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1.75" customHeight="1" thickBot="1" x14ac:dyDescent="0.25">
      <c r="A1" s="51"/>
      <c r="B1" s="1543"/>
      <c r="C1" s="1543"/>
      <c r="D1" s="717"/>
      <c r="E1" s="717"/>
      <c r="F1" s="2277"/>
      <c r="G1" s="2277"/>
      <c r="H1" s="52"/>
      <c r="I1" s="52"/>
      <c r="J1" s="2205"/>
      <c r="K1" s="746"/>
    </row>
    <row r="2" spans="1:17" ht="27" thickBot="1" x14ac:dyDescent="0.45">
      <c r="A2" s="3104" t="s">
        <v>7906</v>
      </c>
      <c r="B2" s="3105"/>
      <c r="C2" s="3105"/>
      <c r="D2" s="3105"/>
      <c r="E2" s="3105"/>
      <c r="F2" s="3105"/>
      <c r="G2" s="3105"/>
      <c r="H2" s="3105"/>
      <c r="I2" s="3105"/>
      <c r="J2" s="3509"/>
      <c r="K2" s="2084"/>
    </row>
    <row r="3" spans="1:17" ht="40.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7863</v>
      </c>
      <c r="K3" s="32"/>
      <c r="M3" s="32"/>
      <c r="N3" s="31"/>
      <c r="O3" s="32"/>
    </row>
    <row r="4" spans="1:17" ht="21.75" customHeight="1" x14ac:dyDescent="0.2">
      <c r="A4" s="1493"/>
      <c r="B4" s="1499">
        <v>45789</v>
      </c>
      <c r="C4" s="1499" t="s">
        <v>7669</v>
      </c>
      <c r="D4" s="1496" t="s">
        <v>7862</v>
      </c>
      <c r="E4" s="1496" t="s">
        <v>7864</v>
      </c>
      <c r="F4" s="2348" t="s">
        <v>6186</v>
      </c>
      <c r="G4" s="2041">
        <v>6</v>
      </c>
      <c r="H4" s="1638">
        <v>159.57</v>
      </c>
      <c r="I4" s="2127">
        <f>H4*G4</f>
        <v>957.42</v>
      </c>
      <c r="J4" s="2197" t="s">
        <v>7866</v>
      </c>
      <c r="K4" s="746"/>
      <c r="M4" s="1"/>
      <c r="N4" s="231"/>
    </row>
    <row r="5" spans="1:17" ht="21.75" customHeight="1" x14ac:dyDescent="0.2">
      <c r="A5" s="1493"/>
      <c r="B5" s="1499">
        <v>45789</v>
      </c>
      <c r="C5" s="1499" t="s">
        <v>7669</v>
      </c>
      <c r="D5" s="1496" t="s">
        <v>7862</v>
      </c>
      <c r="E5" s="2724" t="s">
        <v>8006</v>
      </c>
      <c r="F5" s="2041" t="s">
        <v>6186</v>
      </c>
      <c r="G5" s="2041">
        <v>6</v>
      </c>
      <c r="H5" s="1638">
        <v>28.99</v>
      </c>
      <c r="I5" s="2127">
        <f t="shared" ref="I5:I6" si="0">H5*G5</f>
        <v>173.94</v>
      </c>
      <c r="J5" s="2197"/>
      <c r="M5" s="1"/>
      <c r="N5" s="231"/>
      <c r="O5" s="1704"/>
      <c r="P5" s="1704"/>
      <c r="Q5" s="1704"/>
    </row>
    <row r="6" spans="1:17" ht="21.75" customHeight="1" x14ac:dyDescent="0.2">
      <c r="A6" s="1493"/>
      <c r="B6" s="1499">
        <v>45789</v>
      </c>
      <c r="C6" s="1499" t="s">
        <v>7669</v>
      </c>
      <c r="D6" s="1496" t="s">
        <v>7862</v>
      </c>
      <c r="E6" s="1496" t="s">
        <v>7449</v>
      </c>
      <c r="F6" s="2041" t="s">
        <v>6186</v>
      </c>
      <c r="G6" s="2041">
        <v>1</v>
      </c>
      <c r="H6" s="1638">
        <v>50</v>
      </c>
      <c r="I6" s="2127">
        <f t="shared" si="0"/>
        <v>50</v>
      </c>
      <c r="J6" s="2197"/>
      <c r="L6" s="2139"/>
      <c r="M6" s="1"/>
      <c r="N6" s="231"/>
      <c r="O6" s="1704"/>
      <c r="P6" s="1704"/>
      <c r="Q6" s="1704"/>
    </row>
    <row r="7" spans="1:17" ht="21.75" customHeight="1" x14ac:dyDescent="0.2">
      <c r="A7" s="1493" t="s">
        <v>6244</v>
      </c>
      <c r="B7" s="1499"/>
      <c r="C7" s="1499"/>
      <c r="D7" s="1496"/>
      <c r="E7" s="1496"/>
      <c r="F7" s="2041"/>
      <c r="G7" s="2041"/>
      <c r="H7" s="1638"/>
      <c r="I7" s="2209">
        <f>SUM(I4:I6)</f>
        <v>1181.3599999999999</v>
      </c>
      <c r="J7" s="2197" t="s">
        <v>7865</v>
      </c>
      <c r="L7" s="2139"/>
      <c r="M7" s="1"/>
      <c r="N7" s="231"/>
      <c r="O7" s="1704"/>
      <c r="P7" s="1704"/>
      <c r="Q7" s="1704"/>
    </row>
    <row r="8" spans="1:17" ht="21.75" customHeight="1" x14ac:dyDescent="0.2">
      <c r="A8" s="1493"/>
      <c r="B8" s="1499"/>
      <c r="C8" s="1499"/>
      <c r="D8" s="1496"/>
      <c r="E8" s="1496"/>
      <c r="F8" s="2041"/>
      <c r="G8" s="2041"/>
      <c r="H8" s="1638"/>
      <c r="I8" s="2127"/>
      <c r="J8" s="2197"/>
      <c r="K8" s="746"/>
      <c r="L8" s="2139"/>
      <c r="M8" s="1"/>
      <c r="N8" s="231"/>
      <c r="O8" s="1704"/>
      <c r="P8" s="1704"/>
      <c r="Q8" s="1704"/>
    </row>
    <row r="9" spans="1:17" ht="21.75" customHeight="1" x14ac:dyDescent="0.2">
      <c r="A9" s="1493" t="s">
        <v>6244</v>
      </c>
      <c r="B9" s="1499">
        <v>45790</v>
      </c>
      <c r="C9" s="1499" t="s">
        <v>7493</v>
      </c>
      <c r="D9" s="1496" t="s">
        <v>7862</v>
      </c>
      <c r="E9" s="1496" t="s">
        <v>7876</v>
      </c>
      <c r="F9" s="2041" t="s">
        <v>6186</v>
      </c>
      <c r="G9" s="2041">
        <v>1</v>
      </c>
      <c r="H9" s="1638">
        <v>68.3</v>
      </c>
      <c r="I9" s="2209">
        <f>H9*G9</f>
        <v>68.3</v>
      </c>
      <c r="J9" s="2197" t="s">
        <v>7606</v>
      </c>
      <c r="L9" s="2139"/>
      <c r="M9" s="1"/>
      <c r="N9" s="231"/>
      <c r="O9" s="1704"/>
      <c r="P9" s="1704"/>
      <c r="Q9" s="1704"/>
    </row>
    <row r="10" spans="1:17" ht="21.75" customHeight="1" x14ac:dyDescent="0.2">
      <c r="A10" s="1493"/>
      <c r="B10" s="1499"/>
      <c r="C10" s="1499"/>
      <c r="D10" s="1496"/>
      <c r="E10" s="1496"/>
      <c r="F10" s="2132"/>
      <c r="G10" s="2041"/>
      <c r="H10" s="1638"/>
      <c r="I10" s="2127"/>
      <c r="J10" s="2197"/>
    </row>
    <row r="11" spans="1:17" ht="21.75" customHeight="1" x14ac:dyDescent="0.2">
      <c r="A11" s="1493" t="s">
        <v>6244</v>
      </c>
      <c r="B11" s="1499">
        <v>45793</v>
      </c>
      <c r="C11" s="1499" t="s">
        <v>6234</v>
      </c>
      <c r="D11" s="1496" t="s">
        <v>7862</v>
      </c>
      <c r="E11" s="1496" t="s">
        <v>8022</v>
      </c>
      <c r="F11" s="2041" t="s">
        <v>6186</v>
      </c>
      <c r="G11" s="2041">
        <v>1</v>
      </c>
      <c r="H11" s="1638">
        <v>22.5</v>
      </c>
      <c r="I11" s="2209">
        <f>H11*G11</f>
        <v>22.5</v>
      </c>
      <c r="J11" s="2197" t="s">
        <v>6246</v>
      </c>
      <c r="L11" s="2139"/>
      <c r="M11" s="1"/>
      <c r="N11" s="231"/>
      <c r="O11" s="1704"/>
      <c r="P11" s="1704"/>
      <c r="Q11" s="1704"/>
    </row>
    <row r="12" spans="1:17" ht="21.75" customHeight="1" x14ac:dyDescent="0.2">
      <c r="A12" s="1493"/>
      <c r="B12" s="1499"/>
      <c r="C12" s="1499"/>
      <c r="D12" s="1496"/>
      <c r="E12" s="1496"/>
      <c r="F12" s="2132"/>
      <c r="G12" s="2041"/>
      <c r="H12" s="1638"/>
      <c r="I12" s="2127"/>
      <c r="J12" s="2197"/>
    </row>
    <row r="13" spans="1:17" ht="21.75" customHeight="1" x14ac:dyDescent="0.2">
      <c r="A13" s="1493"/>
      <c r="B13" s="1499">
        <v>45794</v>
      </c>
      <c r="C13" s="1499" t="s">
        <v>7669</v>
      </c>
      <c r="D13" s="1496" t="s">
        <v>7862</v>
      </c>
      <c r="E13" s="1496" t="s">
        <v>8005</v>
      </c>
      <c r="F13" s="2041" t="s">
        <v>6186</v>
      </c>
      <c r="G13" s="2041">
        <v>4</v>
      </c>
      <c r="H13" s="1638">
        <v>31.9</v>
      </c>
      <c r="I13" s="2127">
        <f>H13*G13</f>
        <v>127.6</v>
      </c>
      <c r="J13" s="2197"/>
      <c r="L13" s="2139"/>
      <c r="M13" s="1"/>
      <c r="N13" s="231"/>
      <c r="O13" s="1704"/>
      <c r="P13" s="1704"/>
      <c r="Q13" s="1704"/>
    </row>
    <row r="14" spans="1:17" ht="21.75" customHeight="1" x14ac:dyDescent="0.2">
      <c r="A14" s="1493"/>
      <c r="B14" s="1499">
        <v>45794</v>
      </c>
      <c r="C14" s="1499" t="s">
        <v>7669</v>
      </c>
      <c r="D14" s="1496" t="s">
        <v>7862</v>
      </c>
      <c r="E14" s="1496" t="s">
        <v>7880</v>
      </c>
      <c r="F14" s="2041" t="s">
        <v>6186</v>
      </c>
      <c r="G14" s="2041">
        <v>5</v>
      </c>
      <c r="H14" s="1638">
        <v>15.06</v>
      </c>
      <c r="I14" s="2127">
        <f>H14*G14</f>
        <v>75.3</v>
      </c>
      <c r="J14" s="2197"/>
    </row>
    <row r="15" spans="1:17" ht="21.75" customHeight="1" x14ac:dyDescent="0.2">
      <c r="A15" s="1493" t="s">
        <v>6244</v>
      </c>
      <c r="B15" s="1499"/>
      <c r="C15" s="1499"/>
      <c r="D15" s="1496"/>
      <c r="E15" s="1496"/>
      <c r="F15" s="2132"/>
      <c r="G15" s="2041"/>
      <c r="H15" s="1638"/>
      <c r="I15" s="2209">
        <f>SUM(I13:I14)</f>
        <v>202.89999999999998</v>
      </c>
      <c r="J15" s="2197" t="s">
        <v>6246</v>
      </c>
    </row>
    <row r="16" spans="1:17" ht="21.75" customHeight="1" x14ac:dyDescent="0.2">
      <c r="A16" s="1493"/>
      <c r="B16" s="1499"/>
      <c r="C16" s="1499"/>
      <c r="D16" s="1496"/>
      <c r="E16" s="1496"/>
      <c r="F16" s="2041"/>
      <c r="G16" s="2041"/>
      <c r="H16" s="1638"/>
      <c r="I16" s="2127"/>
      <c r="J16" s="2197"/>
      <c r="K16" s="746"/>
      <c r="L16" s="2139"/>
      <c r="M16" s="1"/>
      <c r="N16" s="231"/>
      <c r="O16" s="1704"/>
      <c r="P16" s="1704"/>
      <c r="Q16" s="1704"/>
    </row>
    <row r="17" spans="1:17" ht="21.75" customHeight="1" x14ac:dyDescent="0.2">
      <c r="A17" s="1493" t="s">
        <v>6244</v>
      </c>
      <c r="B17" s="1499">
        <v>45796</v>
      </c>
      <c r="C17" s="1499" t="s">
        <v>6234</v>
      </c>
      <c r="D17" s="1496" t="s">
        <v>7862</v>
      </c>
      <c r="E17" s="1496" t="s">
        <v>8022</v>
      </c>
      <c r="F17" s="2041" t="s">
        <v>6186</v>
      </c>
      <c r="G17" s="2041">
        <v>1</v>
      </c>
      <c r="H17" s="1638">
        <v>22.5</v>
      </c>
      <c r="I17" s="2209">
        <f>H17*G17</f>
        <v>22.5</v>
      </c>
      <c r="J17" s="2197" t="s">
        <v>6246</v>
      </c>
      <c r="L17" s="2139"/>
      <c r="M17" s="1"/>
      <c r="N17" s="231"/>
      <c r="O17" s="1704"/>
      <c r="P17" s="1704"/>
      <c r="Q17" s="1704"/>
    </row>
    <row r="18" spans="1:17" ht="21.75" customHeight="1" x14ac:dyDescent="0.2">
      <c r="A18" s="1493"/>
      <c r="B18" s="1499"/>
      <c r="C18" s="1499"/>
      <c r="D18" s="1496"/>
      <c r="E18" s="1496"/>
      <c r="F18" s="2041"/>
      <c r="G18" s="2041"/>
      <c r="H18" s="1638"/>
      <c r="I18" s="2127"/>
      <c r="J18" s="2197"/>
    </row>
    <row r="19" spans="1:17" ht="21.75" customHeight="1" x14ac:dyDescent="0.2">
      <c r="A19" s="1493" t="s">
        <v>6244</v>
      </c>
      <c r="B19" s="1499">
        <v>45797</v>
      </c>
      <c r="C19" s="1499" t="s">
        <v>7669</v>
      </c>
      <c r="D19" s="1496" t="s">
        <v>7862</v>
      </c>
      <c r="E19" s="1496" t="s">
        <v>7864</v>
      </c>
      <c r="F19" s="2132" t="s">
        <v>6186</v>
      </c>
      <c r="G19" s="2041">
        <v>1</v>
      </c>
      <c r="H19" s="1638">
        <v>159.57</v>
      </c>
      <c r="I19" s="2209">
        <f>H19*G19</f>
        <v>159.57</v>
      </c>
      <c r="J19" s="2197"/>
      <c r="K19" s="746"/>
      <c r="M19" s="1"/>
      <c r="N19" s="231"/>
    </row>
    <row r="20" spans="1:17" ht="21.75" customHeight="1" x14ac:dyDescent="0.2">
      <c r="A20" s="1493"/>
      <c r="B20" s="1499"/>
      <c r="C20" s="1499"/>
      <c r="D20" s="1496"/>
      <c r="E20" s="2724"/>
      <c r="F20" s="1604"/>
      <c r="G20" s="2041"/>
      <c r="H20" s="1638"/>
      <c r="I20" s="2127"/>
      <c r="J20" s="2197"/>
      <c r="M20" s="1"/>
      <c r="N20" s="231"/>
      <c r="O20" s="1704"/>
      <c r="P20" s="1704"/>
      <c r="Q20" s="1704"/>
    </row>
    <row r="21" spans="1:17" ht="21.75" customHeight="1" x14ac:dyDescent="0.2">
      <c r="A21" s="1493" t="s">
        <v>6244</v>
      </c>
      <c r="B21" s="1499">
        <v>45797</v>
      </c>
      <c r="C21" s="1499" t="s">
        <v>7287</v>
      </c>
      <c r="D21" s="1496" t="s">
        <v>7862</v>
      </c>
      <c r="E21" s="1496" t="s">
        <v>7902</v>
      </c>
      <c r="F21" s="2132" t="s">
        <v>6186</v>
      </c>
      <c r="G21" s="2041">
        <v>1</v>
      </c>
      <c r="H21" s="1638">
        <v>10</v>
      </c>
      <c r="I21" s="2209">
        <f>H21*G21</f>
        <v>10</v>
      </c>
      <c r="J21" s="2197"/>
      <c r="K21" s="746"/>
      <c r="M21" s="1"/>
      <c r="N21" s="231"/>
    </row>
    <row r="22" spans="1:17" ht="21.75" customHeight="1" x14ac:dyDescent="0.2">
      <c r="A22" s="1493"/>
      <c r="B22" s="1499"/>
      <c r="C22" s="1499"/>
      <c r="D22" s="1496"/>
      <c r="E22" s="2724"/>
      <c r="F22" s="1604"/>
      <c r="G22" s="2041"/>
      <c r="H22" s="1638"/>
      <c r="I22" s="2127"/>
      <c r="J22" s="2197"/>
      <c r="M22" s="1"/>
      <c r="N22" s="231"/>
      <c r="O22" s="1704"/>
      <c r="P22" s="1704"/>
      <c r="Q22" s="1704"/>
    </row>
    <row r="23" spans="1:17" ht="21.75" customHeight="1" x14ac:dyDescent="0.2">
      <c r="A23" s="1493" t="s">
        <v>6245</v>
      </c>
      <c r="B23" s="1499">
        <v>45799</v>
      </c>
      <c r="C23" s="1499"/>
      <c r="D23" s="1496"/>
      <c r="E23" s="1496" t="s">
        <v>8000</v>
      </c>
      <c r="F23" s="1604" t="s">
        <v>6186</v>
      </c>
      <c r="G23" s="2041">
        <v>14</v>
      </c>
      <c r="H23" s="1638">
        <v>40</v>
      </c>
      <c r="I23" s="2209">
        <f>H23*G23</f>
        <v>560</v>
      </c>
      <c r="J23" s="2197"/>
      <c r="K23" s="746"/>
      <c r="M23" s="239"/>
      <c r="N23" s="2618"/>
      <c r="O23" s="2206"/>
      <c r="P23" s="2615"/>
    </row>
    <row r="24" spans="1:17" ht="21.75" customHeight="1" thickBot="1" x14ac:dyDescent="0.25">
      <c r="A24" s="1493"/>
      <c r="B24" s="1499"/>
      <c r="C24" s="1499"/>
      <c r="D24" s="1496"/>
      <c r="E24" s="1496"/>
      <c r="F24" s="2132"/>
      <c r="G24" s="2041"/>
      <c r="H24" s="1638"/>
      <c r="I24" s="2127"/>
      <c r="J24" s="2197"/>
    </row>
    <row r="25" spans="1:17" ht="21.75" customHeight="1" thickBot="1" x14ac:dyDescent="0.25">
      <c r="A25" s="3510" t="s">
        <v>772</v>
      </c>
      <c r="B25" s="3511"/>
      <c r="C25" s="3511"/>
      <c r="D25" s="3511"/>
      <c r="E25" s="3511"/>
      <c r="F25" s="3511"/>
      <c r="G25" s="3511"/>
      <c r="H25" s="3512"/>
      <c r="I25" s="175">
        <f>SUMIF(A4:A24,"mo",I4:I24)+SUMIF(A4:A24,"mat",I4:I24)</f>
        <v>2227.13</v>
      </c>
      <c r="J25" s="2342"/>
      <c r="K25" s="746"/>
    </row>
    <row r="26" spans="1:17" ht="21.75" customHeight="1" thickBot="1" x14ac:dyDescent="0.25">
      <c r="A26" s="51"/>
      <c r="B26" s="1543"/>
      <c r="C26" s="1543"/>
      <c r="D26" s="717"/>
      <c r="E26" s="717"/>
      <c r="F26" s="2277"/>
      <c r="G26" s="2277"/>
      <c r="H26" s="52"/>
      <c r="I26" s="52"/>
      <c r="J26" s="2205"/>
      <c r="K26" s="746"/>
    </row>
    <row r="27" spans="1:17" ht="27" thickBot="1" x14ac:dyDescent="0.45">
      <c r="A27" s="3104" t="s">
        <v>7907</v>
      </c>
      <c r="B27" s="3105"/>
      <c r="C27" s="3105"/>
      <c r="D27" s="3105"/>
      <c r="E27" s="3105"/>
      <c r="F27" s="3105"/>
      <c r="G27" s="3105"/>
      <c r="H27" s="3105"/>
      <c r="I27" s="3105"/>
      <c r="J27" s="3509"/>
      <c r="K27" s="2084"/>
    </row>
    <row r="28" spans="1:17" ht="40.5" customHeight="1" thickBot="1" x14ac:dyDescent="0.25">
      <c r="A28" s="8" t="s">
        <v>5546</v>
      </c>
      <c r="B28" s="11" t="s">
        <v>721</v>
      </c>
      <c r="C28" s="11" t="s">
        <v>6233</v>
      </c>
      <c r="D28" s="75" t="s">
        <v>6183</v>
      </c>
      <c r="E28" s="75" t="s">
        <v>722</v>
      </c>
      <c r="F28" s="2040" t="s">
        <v>6186</v>
      </c>
      <c r="G28" s="11" t="s">
        <v>723</v>
      </c>
      <c r="H28" s="398" t="s">
        <v>724</v>
      </c>
      <c r="I28" s="2047" t="s">
        <v>725</v>
      </c>
      <c r="J28" s="75" t="s">
        <v>7863</v>
      </c>
      <c r="K28" s="32"/>
      <c r="M28" s="32"/>
      <c r="N28" s="31"/>
      <c r="O28" s="32"/>
    </row>
    <row r="29" spans="1:17" ht="21.75" customHeight="1" x14ac:dyDescent="0.2">
      <c r="A29" s="1493"/>
      <c r="B29" s="1499">
        <v>45803</v>
      </c>
      <c r="C29" s="1499" t="s">
        <v>7669</v>
      </c>
      <c r="D29" s="1496" t="s">
        <v>7927</v>
      </c>
      <c r="E29" s="1496" t="s">
        <v>7924</v>
      </c>
      <c r="F29" s="1604" t="s">
        <v>6186</v>
      </c>
      <c r="G29" s="2041">
        <v>12</v>
      </c>
      <c r="H29" s="1638">
        <v>126.73</v>
      </c>
      <c r="I29" s="2127">
        <f>H29*G29</f>
        <v>1520.76</v>
      </c>
      <c r="J29" s="2197" t="s">
        <v>7928</v>
      </c>
      <c r="K29" s="746"/>
      <c r="M29" s="1"/>
      <c r="N29" s="231"/>
    </row>
    <row r="30" spans="1:17" ht="21.75" customHeight="1" x14ac:dyDescent="0.2">
      <c r="A30" s="1493"/>
      <c r="B30" s="1499">
        <v>45803</v>
      </c>
      <c r="C30" s="1499" t="s">
        <v>7669</v>
      </c>
      <c r="D30" s="1496" t="s">
        <v>7927</v>
      </c>
      <c r="E30" s="1496" t="s">
        <v>7925</v>
      </c>
      <c r="F30" s="1604" t="s">
        <v>6186</v>
      </c>
      <c r="G30" s="2041">
        <v>2</v>
      </c>
      <c r="H30" s="1638">
        <v>181.97</v>
      </c>
      <c r="I30" s="2127">
        <f t="shared" ref="I30:I32" si="1">H30*G30</f>
        <v>363.94</v>
      </c>
      <c r="J30" s="2197" t="s">
        <v>7929</v>
      </c>
      <c r="M30" s="1"/>
      <c r="N30" s="231"/>
      <c r="O30" s="1704"/>
      <c r="P30" s="1704"/>
      <c r="Q30" s="1704"/>
    </row>
    <row r="31" spans="1:17" ht="21.75" customHeight="1" x14ac:dyDescent="0.2">
      <c r="A31" s="1493"/>
      <c r="B31" s="1499">
        <v>45803</v>
      </c>
      <c r="C31" s="1499" t="s">
        <v>7669</v>
      </c>
      <c r="D31" s="1496" t="s">
        <v>7927</v>
      </c>
      <c r="E31" s="1496" t="s">
        <v>8004</v>
      </c>
      <c r="F31" s="1604" t="s">
        <v>6186</v>
      </c>
      <c r="G31" s="2041">
        <v>9</v>
      </c>
      <c r="H31" s="1638">
        <v>29.99</v>
      </c>
      <c r="I31" s="2127">
        <f t="shared" si="1"/>
        <v>269.90999999999997</v>
      </c>
      <c r="J31" s="2197"/>
      <c r="L31" s="202"/>
      <c r="M31" s="1"/>
      <c r="N31" s="231"/>
      <c r="O31" s="1704"/>
      <c r="P31" s="1704"/>
      <c r="Q31" s="1704"/>
    </row>
    <row r="32" spans="1:17" ht="21.75" customHeight="1" x14ac:dyDescent="0.2">
      <c r="A32" s="1493"/>
      <c r="B32" s="1499">
        <v>45803</v>
      </c>
      <c r="C32" s="1499" t="s">
        <v>7669</v>
      </c>
      <c r="D32" s="1496" t="s">
        <v>7927</v>
      </c>
      <c r="E32" s="1496" t="s">
        <v>7926</v>
      </c>
      <c r="F32" s="1604" t="s">
        <v>6186</v>
      </c>
      <c r="G32" s="2041">
        <v>3</v>
      </c>
      <c r="H32" s="1638">
        <v>18</v>
      </c>
      <c r="I32" s="2127">
        <f t="shared" si="1"/>
        <v>54</v>
      </c>
      <c r="J32" s="2197"/>
      <c r="L32" s="202"/>
      <c r="M32" s="1"/>
      <c r="N32" s="231"/>
      <c r="O32" s="1704"/>
      <c r="P32" s="1704"/>
      <c r="Q32" s="1704"/>
    </row>
    <row r="33" spans="1:17" ht="21.75" customHeight="1" x14ac:dyDescent="0.2">
      <c r="A33" s="1493"/>
      <c r="B33" s="1499"/>
      <c r="C33" s="1499"/>
      <c r="D33" s="1496"/>
      <c r="E33" s="1496" t="s">
        <v>7449</v>
      </c>
      <c r="F33" s="1604"/>
      <c r="G33" s="2041"/>
      <c r="H33" s="1638"/>
      <c r="I33" s="2127">
        <v>50</v>
      </c>
      <c r="J33" s="2197"/>
      <c r="L33" s="202"/>
      <c r="M33" s="1"/>
      <c r="N33" s="231"/>
      <c r="O33" s="1704"/>
      <c r="P33" s="1704"/>
      <c r="Q33" s="1704"/>
    </row>
    <row r="34" spans="1:17" ht="21.75" customHeight="1" x14ac:dyDescent="0.2">
      <c r="A34" s="1493" t="s">
        <v>6244</v>
      </c>
      <c r="B34" s="1499"/>
      <c r="C34" s="1499"/>
      <c r="D34" s="1496"/>
      <c r="E34" s="1496"/>
      <c r="F34" s="2041"/>
      <c r="G34" s="2041"/>
      <c r="H34" s="1638"/>
      <c r="I34" s="2209">
        <f>SUM(I29:I33)</f>
        <v>2258.61</v>
      </c>
      <c r="J34" s="2737" t="s">
        <v>7930</v>
      </c>
      <c r="K34" s="746"/>
      <c r="L34" s="2139"/>
      <c r="M34" s="1"/>
      <c r="N34" s="231"/>
      <c r="O34" s="1704"/>
      <c r="P34" s="1704"/>
      <c r="Q34" s="1704"/>
    </row>
    <row r="35" spans="1:17" ht="21.75" customHeight="1" x14ac:dyDescent="0.2">
      <c r="A35" s="1493"/>
      <c r="B35" s="1499"/>
      <c r="C35" s="1499"/>
      <c r="D35" s="1496"/>
      <c r="E35" s="1496"/>
      <c r="F35" s="2041"/>
      <c r="G35" s="2041"/>
      <c r="H35" s="1638"/>
      <c r="I35" s="2209"/>
      <c r="J35" s="2197"/>
      <c r="L35" s="2139"/>
      <c r="M35" s="1"/>
      <c r="N35" s="231"/>
      <c r="O35" s="1704"/>
      <c r="P35" s="1704"/>
      <c r="Q35" s="1704"/>
    </row>
    <row r="36" spans="1:17" ht="21.75" customHeight="1" x14ac:dyDescent="0.2">
      <c r="A36" s="1493" t="s">
        <v>6244</v>
      </c>
      <c r="B36" s="1499">
        <v>45810</v>
      </c>
      <c r="C36" s="1499" t="s">
        <v>7397</v>
      </c>
      <c r="D36" s="1496" t="s">
        <v>7927</v>
      </c>
      <c r="E36" s="1496" t="s">
        <v>8003</v>
      </c>
      <c r="F36" s="2041" t="s">
        <v>6186</v>
      </c>
      <c r="G36" s="2041">
        <v>1</v>
      </c>
      <c r="H36" s="1638">
        <v>110</v>
      </c>
      <c r="I36" s="2209">
        <f>H36*G36</f>
        <v>110</v>
      </c>
      <c r="J36" s="2737" t="s">
        <v>6246</v>
      </c>
      <c r="L36" s="2139"/>
      <c r="M36" s="1"/>
      <c r="N36" s="231"/>
      <c r="O36" s="1704"/>
      <c r="P36" s="1704"/>
      <c r="Q36" s="1704"/>
    </row>
    <row r="37" spans="1:17" ht="21.75" customHeight="1" x14ac:dyDescent="0.2">
      <c r="A37" s="1493"/>
      <c r="B37" s="1499"/>
      <c r="C37" s="1499"/>
      <c r="D37" s="1496"/>
      <c r="E37" s="1496"/>
      <c r="F37" s="2132"/>
      <c r="G37" s="2041"/>
      <c r="H37" s="1638"/>
      <c r="I37" s="2127"/>
      <c r="J37" s="2737"/>
    </row>
    <row r="38" spans="1:17" ht="21.75" customHeight="1" x14ac:dyDescent="0.2">
      <c r="A38" s="1493" t="s">
        <v>6244</v>
      </c>
      <c r="B38" s="1499">
        <v>45810</v>
      </c>
      <c r="C38" s="1499" t="s">
        <v>7493</v>
      </c>
      <c r="D38" s="1496" t="s">
        <v>7927</v>
      </c>
      <c r="E38" s="1496" t="s">
        <v>8002</v>
      </c>
      <c r="F38" s="2041" t="s">
        <v>6186</v>
      </c>
      <c r="G38" s="2041">
        <v>1</v>
      </c>
      <c r="H38" s="1638">
        <v>356</v>
      </c>
      <c r="I38" s="2209">
        <f>H38*G38</f>
        <v>356</v>
      </c>
      <c r="J38" s="2737" t="s">
        <v>7959</v>
      </c>
      <c r="L38" s="2139"/>
      <c r="M38" s="1"/>
      <c r="N38" s="231"/>
      <c r="O38" s="1704"/>
      <c r="P38" s="1704"/>
      <c r="Q38" s="1704"/>
    </row>
    <row r="39" spans="1:17" ht="21.75" customHeight="1" x14ac:dyDescent="0.2">
      <c r="A39" s="1493"/>
      <c r="B39" s="1499"/>
      <c r="C39" s="1499"/>
      <c r="D39" s="1496"/>
      <c r="E39" s="1496"/>
      <c r="F39" s="2132"/>
      <c r="G39" s="2041"/>
      <c r="H39" s="1638"/>
      <c r="I39" s="2127"/>
      <c r="J39" s="2737"/>
    </row>
    <row r="40" spans="1:17" ht="21.75" customHeight="1" x14ac:dyDescent="0.2">
      <c r="A40" s="1493" t="s">
        <v>6244</v>
      </c>
      <c r="B40" s="1499">
        <v>45812</v>
      </c>
      <c r="C40" s="1499" t="s">
        <v>7397</v>
      </c>
      <c r="D40" s="1496" t="s">
        <v>7927</v>
      </c>
      <c r="E40" s="1496" t="s">
        <v>7958</v>
      </c>
      <c r="F40" s="2041" t="s">
        <v>6186</v>
      </c>
      <c r="G40" s="2041">
        <v>1</v>
      </c>
      <c r="H40" s="1638">
        <v>25</v>
      </c>
      <c r="I40" s="2209">
        <f>H40*G40</f>
        <v>25</v>
      </c>
      <c r="J40" s="2737" t="s">
        <v>6246</v>
      </c>
      <c r="L40" s="2139"/>
      <c r="M40" s="1"/>
      <c r="N40" s="231"/>
      <c r="O40" s="1704"/>
      <c r="P40" s="1704"/>
      <c r="Q40" s="1704"/>
    </row>
    <row r="41" spans="1:17" ht="21.75" customHeight="1" x14ac:dyDescent="0.2">
      <c r="A41" s="1493"/>
      <c r="B41" s="1499"/>
      <c r="C41" s="1499"/>
      <c r="D41" s="1496"/>
      <c r="E41" s="1496"/>
      <c r="F41" s="2132"/>
      <c r="G41" s="2041"/>
      <c r="H41" s="1638"/>
      <c r="I41" s="2127"/>
      <c r="J41" s="2737"/>
    </row>
    <row r="42" spans="1:17" ht="21.75" customHeight="1" x14ac:dyDescent="0.2">
      <c r="A42" s="1493"/>
      <c r="B42" s="1499">
        <v>45813</v>
      </c>
      <c r="C42" s="1499" t="s">
        <v>7669</v>
      </c>
      <c r="D42" s="1496" t="s">
        <v>7927</v>
      </c>
      <c r="E42" s="1496" t="s">
        <v>7960</v>
      </c>
      <c r="F42" s="1604" t="s">
        <v>6186</v>
      </c>
      <c r="G42" s="2041">
        <v>5</v>
      </c>
      <c r="H42" s="1638">
        <v>101.4</v>
      </c>
      <c r="I42" s="2127">
        <f>H42*G42</f>
        <v>507</v>
      </c>
      <c r="J42" s="2197" t="s">
        <v>7962</v>
      </c>
      <c r="K42" s="746"/>
      <c r="M42" s="1"/>
      <c r="N42" s="231"/>
    </row>
    <row r="43" spans="1:17" ht="21.75" customHeight="1" x14ac:dyDescent="0.2">
      <c r="A43" s="1493"/>
      <c r="B43" s="1499"/>
      <c r="C43" s="1499"/>
      <c r="D43" s="1496"/>
      <c r="E43" s="1496" t="s">
        <v>7449</v>
      </c>
      <c r="F43" s="1604"/>
      <c r="G43" s="2041"/>
      <c r="H43" s="1638"/>
      <c r="I43" s="2127">
        <v>50</v>
      </c>
      <c r="J43" s="2197"/>
      <c r="L43" s="202"/>
      <c r="M43" s="1"/>
      <c r="N43" s="231"/>
      <c r="O43" s="1704"/>
      <c r="P43" s="1704"/>
      <c r="Q43" s="1704"/>
    </row>
    <row r="44" spans="1:17" ht="21.75" customHeight="1" x14ac:dyDescent="0.2">
      <c r="A44" s="1493" t="s">
        <v>6244</v>
      </c>
      <c r="B44" s="1499"/>
      <c r="C44" s="1499"/>
      <c r="D44" s="1496"/>
      <c r="E44" s="1496"/>
      <c r="F44" s="2041"/>
      <c r="G44" s="2041"/>
      <c r="H44" s="1638"/>
      <c r="I44" s="2209">
        <f>SUM(I42:I43)</f>
        <v>557</v>
      </c>
      <c r="J44" s="2737" t="s">
        <v>7961</v>
      </c>
      <c r="K44" s="746"/>
      <c r="L44" s="2139"/>
      <c r="M44" s="1"/>
      <c r="N44" s="231"/>
      <c r="O44" s="1704"/>
      <c r="P44" s="1704"/>
      <c r="Q44" s="1704"/>
    </row>
    <row r="45" spans="1:17" ht="21.75" customHeight="1" x14ac:dyDescent="0.2">
      <c r="A45" s="1493"/>
      <c r="B45" s="1499"/>
      <c r="C45" s="1499"/>
      <c r="D45" s="1496"/>
      <c r="E45" s="1496"/>
      <c r="F45" s="1604"/>
      <c r="G45" s="2041"/>
      <c r="H45" s="1638"/>
      <c r="I45" s="2127"/>
      <c r="J45" s="2197"/>
      <c r="K45" s="746"/>
      <c r="L45" s="202"/>
      <c r="M45" s="1"/>
      <c r="N45" s="231"/>
    </row>
    <row r="46" spans="1:17" ht="21.75" customHeight="1" x14ac:dyDescent="0.2">
      <c r="A46" s="1493" t="s">
        <v>6244</v>
      </c>
      <c r="B46" s="1499">
        <v>45817</v>
      </c>
      <c r="C46" s="1499" t="s">
        <v>6234</v>
      </c>
      <c r="D46" s="1496" t="s">
        <v>7927</v>
      </c>
      <c r="E46" s="1496" t="s">
        <v>8001</v>
      </c>
      <c r="F46" s="1604" t="s">
        <v>6186</v>
      </c>
      <c r="G46" s="2041">
        <v>5</v>
      </c>
      <c r="H46" s="1638">
        <v>29.5</v>
      </c>
      <c r="I46" s="2209">
        <f t="shared" ref="I46" si="2">H46*G46</f>
        <v>147.5</v>
      </c>
      <c r="J46" s="2197"/>
      <c r="L46" s="202"/>
      <c r="M46" s="1"/>
      <c r="N46" s="231"/>
      <c r="O46" s="1704"/>
      <c r="P46" s="1704"/>
      <c r="Q46" s="1704"/>
    </row>
    <row r="47" spans="1:17" ht="21.75" customHeight="1" x14ac:dyDescent="0.2">
      <c r="A47" s="1493"/>
      <c r="B47" s="1499"/>
      <c r="C47" s="1499"/>
      <c r="D47" s="1496"/>
      <c r="E47" s="1496"/>
      <c r="F47" s="1604"/>
      <c r="G47" s="2041"/>
      <c r="H47" s="1638"/>
      <c r="I47" s="2127"/>
      <c r="J47" s="2197"/>
      <c r="L47" s="202"/>
      <c r="M47" s="1"/>
      <c r="N47" s="231"/>
      <c r="O47" s="1704"/>
      <c r="P47" s="1704"/>
      <c r="Q47" s="1704"/>
    </row>
    <row r="48" spans="1:17" ht="21.75" customHeight="1" x14ac:dyDescent="0.2">
      <c r="A48" s="1493" t="s">
        <v>6245</v>
      </c>
      <c r="B48" s="1499">
        <v>45814</v>
      </c>
      <c r="C48" s="1499"/>
      <c r="D48" s="1496" t="s">
        <v>7927</v>
      </c>
      <c r="E48" s="1496" t="s">
        <v>7999</v>
      </c>
      <c r="F48" s="1604" t="s">
        <v>6186</v>
      </c>
      <c r="G48" s="2041">
        <v>27</v>
      </c>
      <c r="H48" s="1638">
        <v>40</v>
      </c>
      <c r="I48" s="2209">
        <v>600</v>
      </c>
      <c r="J48" s="2737"/>
      <c r="K48" s="746"/>
      <c r="N48" s="2618"/>
      <c r="O48" s="2206"/>
      <c r="P48" s="2615"/>
    </row>
    <row r="49" spans="1:17" ht="21.75" customHeight="1" x14ac:dyDescent="0.2">
      <c r="A49" s="1493"/>
      <c r="B49" s="1499"/>
      <c r="C49" s="1499"/>
      <c r="D49" s="1496"/>
      <c r="E49" s="1496"/>
      <c r="F49" s="2132"/>
      <c r="G49" s="2041"/>
      <c r="H49" s="1638"/>
      <c r="I49" s="2209"/>
      <c r="J49" s="2197"/>
      <c r="K49" s="746"/>
      <c r="M49" s="239"/>
      <c r="N49" s="231"/>
    </row>
    <row r="50" spans="1:17" ht="21.75" customHeight="1" x14ac:dyDescent="0.2">
      <c r="A50" s="1493" t="s">
        <v>6244</v>
      </c>
      <c r="B50" s="1499">
        <v>45821</v>
      </c>
      <c r="C50" s="1499" t="s">
        <v>7669</v>
      </c>
      <c r="D50" s="1496" t="s">
        <v>7927</v>
      </c>
      <c r="E50" s="1496" t="s">
        <v>7975</v>
      </c>
      <c r="F50" s="1604" t="s">
        <v>6186</v>
      </c>
      <c r="G50" s="2041">
        <v>1</v>
      </c>
      <c r="H50" s="1638">
        <v>110.26</v>
      </c>
      <c r="I50" s="2209">
        <f t="shared" ref="I50" si="3">H50*G50</f>
        <v>110.26</v>
      </c>
      <c r="J50" s="2197"/>
      <c r="L50" s="202"/>
      <c r="M50" s="1"/>
      <c r="N50" s="231"/>
      <c r="O50" s="1704"/>
      <c r="P50" s="1704"/>
      <c r="Q50" s="1704"/>
    </row>
    <row r="51" spans="1:17" ht="21.75" customHeight="1" x14ac:dyDescent="0.2">
      <c r="A51" s="1493"/>
      <c r="B51" s="1499"/>
      <c r="C51" s="1499"/>
      <c r="D51" s="1496"/>
      <c r="E51" s="1496"/>
      <c r="F51" s="1604"/>
      <c r="G51" s="2041"/>
      <c r="H51" s="1638"/>
      <c r="I51" s="2127"/>
      <c r="J51" s="2197"/>
      <c r="L51" s="202"/>
      <c r="M51" s="1"/>
      <c r="N51" s="231"/>
      <c r="O51" s="1704"/>
      <c r="P51" s="1704"/>
      <c r="Q51" s="1704"/>
    </row>
    <row r="52" spans="1:17" ht="21.75" customHeight="1" x14ac:dyDescent="0.2">
      <c r="A52" s="1493" t="s">
        <v>6244</v>
      </c>
      <c r="B52" s="1499">
        <v>45821</v>
      </c>
      <c r="C52" s="1499" t="s">
        <v>7669</v>
      </c>
      <c r="D52" s="1496" t="s">
        <v>7927</v>
      </c>
      <c r="E52" s="1496" t="s">
        <v>8018</v>
      </c>
      <c r="F52" s="1604" t="s">
        <v>6186</v>
      </c>
      <c r="G52" s="2041">
        <v>1</v>
      </c>
      <c r="H52" s="1638">
        <v>24</v>
      </c>
      <c r="I52" s="2209">
        <f t="shared" ref="I52" si="4">H52*G52</f>
        <v>24</v>
      </c>
      <c r="J52" s="2197"/>
      <c r="L52" s="202"/>
      <c r="M52" s="1"/>
      <c r="N52" s="231"/>
      <c r="O52" s="1704"/>
      <c r="P52" s="1704"/>
      <c r="Q52" s="1704"/>
    </row>
    <row r="53" spans="1:17" ht="21.75" customHeight="1" x14ac:dyDescent="0.2">
      <c r="A53" s="1493"/>
      <c r="B53" s="1499"/>
      <c r="C53" s="1499"/>
      <c r="D53" s="1496"/>
      <c r="E53" s="1496"/>
      <c r="F53" s="1604"/>
      <c r="G53" s="2041"/>
      <c r="H53" s="1638"/>
      <c r="I53" s="2127"/>
      <c r="J53" s="2197"/>
      <c r="L53" s="202"/>
      <c r="M53" s="1"/>
      <c r="N53" s="231"/>
      <c r="O53" s="1704"/>
      <c r="P53" s="1704"/>
      <c r="Q53" s="1704"/>
    </row>
    <row r="54" spans="1:17" ht="21.75" customHeight="1" x14ac:dyDescent="0.2">
      <c r="A54" s="1493" t="s">
        <v>6244</v>
      </c>
      <c r="B54" s="1499">
        <v>45822</v>
      </c>
      <c r="C54" s="1499" t="s">
        <v>7669</v>
      </c>
      <c r="D54" s="1496" t="s">
        <v>7927</v>
      </c>
      <c r="E54" s="1496" t="s">
        <v>7981</v>
      </c>
      <c r="F54" s="1604" t="s">
        <v>6186</v>
      </c>
      <c r="G54" s="2041">
        <v>1</v>
      </c>
      <c r="H54" s="1638">
        <v>42.51</v>
      </c>
      <c r="I54" s="2209">
        <f t="shared" ref="I54" si="5">H54*G54</f>
        <v>42.51</v>
      </c>
      <c r="J54" s="2197"/>
      <c r="L54" s="202"/>
      <c r="M54" s="1"/>
      <c r="N54" s="231"/>
      <c r="O54" s="1704"/>
      <c r="P54" s="1704"/>
      <c r="Q54" s="1704"/>
    </row>
    <row r="55" spans="1:17" ht="21.75" customHeight="1" x14ac:dyDescent="0.2">
      <c r="A55" s="1493"/>
      <c r="B55" s="1499"/>
      <c r="C55" s="1499"/>
      <c r="D55" s="1496"/>
      <c r="E55" s="1496"/>
      <c r="F55" s="1604"/>
      <c r="G55" s="2041"/>
      <c r="H55" s="1638"/>
      <c r="I55" s="2127"/>
      <c r="J55" s="2197"/>
      <c r="L55" s="202"/>
      <c r="M55" s="1"/>
      <c r="N55" s="231"/>
      <c r="O55" s="1704"/>
      <c r="P55" s="1704"/>
      <c r="Q55" s="1704"/>
    </row>
    <row r="56" spans="1:17" ht="21.75" customHeight="1" x14ac:dyDescent="0.2">
      <c r="A56" s="1493" t="s">
        <v>6245</v>
      </c>
      <c r="B56" s="1499">
        <v>45824</v>
      </c>
      <c r="C56" s="1499"/>
      <c r="D56" s="1496" t="s">
        <v>7927</v>
      </c>
      <c r="E56" s="1496" t="s">
        <v>7997</v>
      </c>
      <c r="F56" s="2199" t="s">
        <v>6186</v>
      </c>
      <c r="G56" s="2200">
        <v>27</v>
      </c>
      <c r="H56" s="1638">
        <v>40</v>
      </c>
      <c r="I56" s="2209">
        <v>500</v>
      </c>
      <c r="J56" s="2737"/>
      <c r="K56" s="746"/>
      <c r="N56" s="2618"/>
      <c r="O56" s="2206"/>
      <c r="P56" s="2615"/>
    </row>
    <row r="57" spans="1:17" ht="21.75" customHeight="1" x14ac:dyDescent="0.2">
      <c r="A57" s="1493"/>
      <c r="B57" s="1499"/>
      <c r="C57" s="1499"/>
      <c r="D57" s="1496"/>
      <c r="E57" s="1496"/>
      <c r="F57" s="2319"/>
      <c r="G57" s="2200"/>
      <c r="H57" s="1638"/>
      <c r="I57" s="2209"/>
      <c r="J57" s="2197"/>
      <c r="K57" s="746"/>
      <c r="M57" s="239"/>
      <c r="N57" s="231"/>
    </row>
    <row r="58" spans="1:17" ht="21.75" customHeight="1" x14ac:dyDescent="0.2">
      <c r="A58" s="1493" t="s">
        <v>6245</v>
      </c>
      <c r="B58" s="1499">
        <v>45824</v>
      </c>
      <c r="C58" s="1499"/>
      <c r="D58" s="1496" t="s">
        <v>7927</v>
      </c>
      <c r="E58" s="1496" t="s">
        <v>7998</v>
      </c>
      <c r="F58" s="2199" t="s">
        <v>6186</v>
      </c>
      <c r="G58" s="2200">
        <v>1</v>
      </c>
      <c r="H58" s="1638">
        <v>100</v>
      </c>
      <c r="I58" s="2209">
        <f>H58*G58</f>
        <v>100</v>
      </c>
      <c r="J58" s="2197"/>
      <c r="K58" s="746"/>
      <c r="L58" s="202"/>
      <c r="M58" s="239"/>
      <c r="N58" s="2618"/>
      <c r="O58" s="2206"/>
      <c r="P58" s="2615"/>
    </row>
    <row r="59" spans="1:17" ht="21.75" customHeight="1" thickBot="1" x14ac:dyDescent="0.25">
      <c r="A59" s="1493"/>
      <c r="B59" s="1499"/>
      <c r="C59" s="1499"/>
      <c r="D59" s="1496"/>
      <c r="E59" s="2724"/>
      <c r="F59" s="2199"/>
      <c r="G59" s="2200"/>
      <c r="H59" s="1638"/>
      <c r="I59" s="2127"/>
      <c r="J59" s="2197"/>
      <c r="M59" s="1"/>
      <c r="N59" s="231"/>
      <c r="O59" s="1704"/>
      <c r="P59" s="1704"/>
      <c r="Q59" s="1704"/>
    </row>
    <row r="60" spans="1:17" ht="21.75" customHeight="1" thickBot="1" x14ac:dyDescent="0.25">
      <c r="A60" s="3510" t="s">
        <v>772</v>
      </c>
      <c r="B60" s="3511"/>
      <c r="C60" s="3511"/>
      <c r="D60" s="3511"/>
      <c r="E60" s="3511"/>
      <c r="F60" s="3511"/>
      <c r="G60" s="3511"/>
      <c r="H60" s="3512"/>
      <c r="I60" s="175">
        <f>SUMIF(A29:A59,"mo",I29:I59)+SUMIF(A29:A59,"mat",I29:I59)</f>
        <v>4830.880000000001</v>
      </c>
      <c r="J60" s="2342"/>
      <c r="K60" s="746"/>
    </row>
    <row r="61" spans="1:17" ht="21.75" customHeight="1" thickBot="1" x14ac:dyDescent="0.25">
      <c r="A61" s="51"/>
      <c r="B61" s="1543"/>
      <c r="C61" s="1543"/>
      <c r="D61" s="717"/>
      <c r="E61" s="717"/>
      <c r="F61" s="2277"/>
      <c r="G61" s="2277"/>
      <c r="H61" s="52"/>
      <c r="I61" s="52"/>
      <c r="J61" s="2205"/>
      <c r="K61" s="746"/>
    </row>
    <row r="62" spans="1:17" ht="27" thickBot="1" x14ac:dyDescent="0.45">
      <c r="A62" s="3104" t="s">
        <v>7982</v>
      </c>
      <c r="B62" s="3105"/>
      <c r="C62" s="3105"/>
      <c r="D62" s="3105"/>
      <c r="E62" s="3105"/>
      <c r="F62" s="3105"/>
      <c r="G62" s="3105"/>
      <c r="H62" s="3105"/>
      <c r="I62" s="3105"/>
      <c r="J62" s="3509"/>
      <c r="K62" s="2084"/>
    </row>
    <row r="63" spans="1:17" ht="40.5" customHeight="1" thickBot="1" x14ac:dyDescent="0.25">
      <c r="A63" s="8" t="s">
        <v>5546</v>
      </c>
      <c r="B63" s="11" t="s">
        <v>721</v>
      </c>
      <c r="C63" s="11" t="s">
        <v>6233</v>
      </c>
      <c r="D63" s="75" t="s">
        <v>6183</v>
      </c>
      <c r="E63" s="75" t="s">
        <v>722</v>
      </c>
      <c r="F63" s="2040" t="s">
        <v>6186</v>
      </c>
      <c r="G63" s="11" t="s">
        <v>723</v>
      </c>
      <c r="H63" s="398" t="s">
        <v>724</v>
      </c>
      <c r="I63" s="2047" t="s">
        <v>725</v>
      </c>
      <c r="J63" s="75" t="s">
        <v>7863</v>
      </c>
      <c r="K63" s="32"/>
      <c r="M63" s="32"/>
      <c r="N63" s="31"/>
      <c r="O63" s="32"/>
    </row>
    <row r="64" spans="1:17" ht="21.75" customHeight="1" x14ac:dyDescent="0.2">
      <c r="A64" s="1493"/>
      <c r="B64" s="1499">
        <v>45822</v>
      </c>
      <c r="C64" s="1499" t="s">
        <v>7669</v>
      </c>
      <c r="D64" s="1496" t="s">
        <v>7987</v>
      </c>
      <c r="E64" s="1496" t="s">
        <v>7988</v>
      </c>
      <c r="F64" s="1604" t="s">
        <v>6186</v>
      </c>
      <c r="G64" s="2041">
        <v>18</v>
      </c>
      <c r="H64" s="1638">
        <v>187.57</v>
      </c>
      <c r="I64" s="2127">
        <f>H64*G64</f>
        <v>3376.2599999999998</v>
      </c>
      <c r="J64" s="2197" t="s">
        <v>7989</v>
      </c>
      <c r="K64" s="746"/>
      <c r="M64" s="1"/>
      <c r="N64" s="231"/>
    </row>
    <row r="65" spans="1:17" ht="21.75" customHeight="1" x14ac:dyDescent="0.2">
      <c r="A65" s="1493"/>
      <c r="B65" s="1499">
        <v>45822</v>
      </c>
      <c r="C65" s="1499" t="s">
        <v>7669</v>
      </c>
      <c r="D65" s="1496" t="s">
        <v>7987</v>
      </c>
      <c r="E65" s="1496" t="s">
        <v>7990</v>
      </c>
      <c r="F65" s="1604" t="s">
        <v>6186</v>
      </c>
      <c r="G65" s="2041">
        <v>8</v>
      </c>
      <c r="H65" s="1638">
        <v>17.05</v>
      </c>
      <c r="I65" s="2127">
        <f t="shared" ref="I65:I67" si="6">H65*G65</f>
        <v>136.4</v>
      </c>
      <c r="J65" s="2197"/>
      <c r="M65" s="1"/>
      <c r="N65" s="231"/>
      <c r="O65" s="1704"/>
      <c r="P65" s="1704"/>
      <c r="Q65" s="1704"/>
    </row>
    <row r="66" spans="1:17" ht="21.75" customHeight="1" x14ac:dyDescent="0.2">
      <c r="A66" s="1493"/>
      <c r="B66" s="1499">
        <v>45822</v>
      </c>
      <c r="C66" s="1499" t="s">
        <v>7669</v>
      </c>
      <c r="D66" s="1496" t="s">
        <v>7987</v>
      </c>
      <c r="E66" s="1496" t="s">
        <v>7991</v>
      </c>
      <c r="F66" s="1604" t="s">
        <v>6186</v>
      </c>
      <c r="G66" s="2041">
        <v>20</v>
      </c>
      <c r="H66" s="1638">
        <v>35.99</v>
      </c>
      <c r="I66" s="2127">
        <f t="shared" si="6"/>
        <v>719.80000000000007</v>
      </c>
      <c r="J66" s="2197"/>
      <c r="L66" s="202"/>
      <c r="M66" s="1"/>
      <c r="N66" s="231"/>
      <c r="O66" s="1704"/>
      <c r="P66" s="1704"/>
      <c r="Q66" s="1704"/>
    </row>
    <row r="67" spans="1:17" ht="21.75" customHeight="1" x14ac:dyDescent="0.2">
      <c r="A67" s="1493"/>
      <c r="B67" s="1499">
        <v>45822</v>
      </c>
      <c r="C67" s="1499" t="s">
        <v>7669</v>
      </c>
      <c r="D67" s="1496" t="s">
        <v>7987</v>
      </c>
      <c r="E67" s="1496" t="s">
        <v>7993</v>
      </c>
      <c r="F67" s="1604" t="s">
        <v>6186</v>
      </c>
      <c r="G67" s="2041">
        <v>12</v>
      </c>
      <c r="H67" s="1638">
        <v>24.99</v>
      </c>
      <c r="I67" s="2127">
        <f t="shared" si="6"/>
        <v>299.88</v>
      </c>
      <c r="J67" s="2197"/>
      <c r="L67" s="202"/>
      <c r="M67" s="1"/>
      <c r="N67" s="231"/>
      <c r="O67" s="1704"/>
      <c r="P67" s="1704"/>
      <c r="Q67" s="1704"/>
    </row>
    <row r="68" spans="1:17" ht="21.75" customHeight="1" x14ac:dyDescent="0.2">
      <c r="A68" s="1493" t="s">
        <v>6244</v>
      </c>
      <c r="B68" s="1499"/>
      <c r="C68" s="1499"/>
      <c r="D68" s="1496"/>
      <c r="E68" s="1496"/>
      <c r="F68" s="2041"/>
      <c r="G68" s="2041"/>
      <c r="H68" s="1638"/>
      <c r="I68" s="2209">
        <f>SUM(I64:I67)</f>
        <v>4532.34</v>
      </c>
      <c r="J68" s="2737" t="s">
        <v>7992</v>
      </c>
      <c r="K68" s="746"/>
      <c r="L68" s="2139"/>
      <c r="M68" s="1"/>
      <c r="N68" s="231"/>
      <c r="O68" s="1704"/>
      <c r="P68" s="1704"/>
      <c r="Q68" s="1704"/>
    </row>
    <row r="69" spans="1:17" ht="21.75" customHeight="1" x14ac:dyDescent="0.2">
      <c r="A69" s="1493"/>
      <c r="B69" s="1499"/>
      <c r="C69" s="1499"/>
      <c r="D69" s="1496"/>
      <c r="E69" s="1496"/>
      <c r="F69" s="2041"/>
      <c r="G69" s="2041"/>
      <c r="H69" s="1638"/>
      <c r="I69" s="2209"/>
      <c r="J69" s="2197"/>
      <c r="L69" s="2139"/>
      <c r="M69" s="1"/>
      <c r="N69" s="231"/>
      <c r="O69" s="1704"/>
      <c r="P69" s="1704"/>
      <c r="Q69" s="1704"/>
    </row>
    <row r="70" spans="1:17" ht="21.75" customHeight="1" x14ac:dyDescent="0.2">
      <c r="A70" s="1493" t="s">
        <v>6244</v>
      </c>
      <c r="B70" s="1499">
        <v>45826</v>
      </c>
      <c r="C70" s="1499" t="s">
        <v>7493</v>
      </c>
      <c r="D70" s="1496" t="s">
        <v>7987</v>
      </c>
      <c r="E70" s="1496" t="s">
        <v>8024</v>
      </c>
      <c r="F70" s="2041" t="s">
        <v>6186</v>
      </c>
      <c r="G70" s="2041">
        <v>1</v>
      </c>
      <c r="H70" s="1638">
        <v>148.78</v>
      </c>
      <c r="I70" s="2209">
        <f>H70*G70</f>
        <v>148.78</v>
      </c>
      <c r="J70" s="2737"/>
      <c r="L70" s="2139"/>
      <c r="M70" s="1"/>
      <c r="N70" s="231"/>
      <c r="O70" s="1704"/>
      <c r="P70" s="1704"/>
      <c r="Q70" s="1704"/>
    </row>
    <row r="71" spans="1:17" ht="21.75" customHeight="1" x14ac:dyDescent="0.2">
      <c r="A71" s="1493"/>
      <c r="B71" s="1499"/>
      <c r="C71" s="1499"/>
      <c r="D71" s="1496"/>
      <c r="E71" s="1496"/>
      <c r="F71" s="1604"/>
      <c r="G71" s="2041"/>
      <c r="H71" s="1638"/>
      <c r="I71" s="2209"/>
      <c r="J71" s="2197"/>
      <c r="L71" s="202"/>
      <c r="M71" s="1"/>
      <c r="N71" s="231"/>
      <c r="O71" s="1704"/>
      <c r="P71" s="1704"/>
      <c r="Q71" s="1704"/>
    </row>
    <row r="72" spans="1:17" ht="21.75" customHeight="1" x14ac:dyDescent="0.2">
      <c r="A72" s="1493" t="s">
        <v>6245</v>
      </c>
      <c r="B72" s="1499">
        <v>45834</v>
      </c>
      <c r="C72" s="1499"/>
      <c r="D72" s="1496" t="s">
        <v>7987</v>
      </c>
      <c r="E72" s="1496" t="s">
        <v>8108</v>
      </c>
      <c r="F72" s="1604" t="s">
        <v>6186</v>
      </c>
      <c r="G72" s="2041">
        <v>62</v>
      </c>
      <c r="H72" s="1638">
        <v>55</v>
      </c>
      <c r="I72" s="2209">
        <v>600</v>
      </c>
      <c r="J72" s="2737"/>
      <c r="K72" s="1867"/>
      <c r="L72" s="239"/>
      <c r="M72" s="239"/>
      <c r="N72" s="2618"/>
      <c r="O72" s="2206"/>
      <c r="P72" s="2615"/>
    </row>
    <row r="73" spans="1:17" ht="21.75" customHeight="1" x14ac:dyDescent="0.2">
      <c r="A73" s="1493"/>
      <c r="B73" s="1499"/>
      <c r="C73" s="1499"/>
      <c r="D73" s="1496"/>
      <c r="E73" s="1496"/>
      <c r="F73" s="2132"/>
      <c r="G73" s="2041"/>
      <c r="H73" s="1638"/>
      <c r="I73" s="2209"/>
      <c r="J73" s="2197"/>
      <c r="K73" s="746"/>
      <c r="M73" s="239"/>
      <c r="N73" s="231"/>
    </row>
    <row r="74" spans="1:17" ht="21.75" customHeight="1" x14ac:dyDescent="0.2">
      <c r="A74" s="1493" t="s">
        <v>6245</v>
      </c>
      <c r="B74" s="1499">
        <v>45837</v>
      </c>
      <c r="C74" s="1499"/>
      <c r="D74" s="1496" t="s">
        <v>7987</v>
      </c>
      <c r="E74" s="1496" t="s">
        <v>8107</v>
      </c>
      <c r="F74" s="1604" t="s">
        <v>6186</v>
      </c>
      <c r="G74" s="2041">
        <v>62</v>
      </c>
      <c r="H74" s="1638">
        <v>55</v>
      </c>
      <c r="I74" s="2209">
        <v>600</v>
      </c>
      <c r="J74" s="2737"/>
      <c r="K74" s="1867"/>
      <c r="L74" s="239"/>
      <c r="M74" s="239"/>
      <c r="N74" s="2618"/>
      <c r="O74" s="2206"/>
      <c r="P74" s="2615"/>
    </row>
    <row r="75" spans="1:17" ht="21.75" customHeight="1" x14ac:dyDescent="0.2">
      <c r="A75" s="1493"/>
      <c r="B75" s="1499"/>
      <c r="C75" s="1499"/>
      <c r="D75" s="1496"/>
      <c r="E75" s="1496"/>
      <c r="F75" s="2132"/>
      <c r="G75" s="2041"/>
      <c r="H75" s="1638"/>
      <c r="I75" s="2209"/>
      <c r="J75" s="2197"/>
      <c r="K75" s="746"/>
      <c r="M75" s="239"/>
      <c r="N75" s="231"/>
    </row>
    <row r="76" spans="1:17" ht="21.75" customHeight="1" x14ac:dyDescent="0.2">
      <c r="A76" s="1493" t="s">
        <v>6244</v>
      </c>
      <c r="B76" s="1499">
        <v>45839</v>
      </c>
      <c r="C76" s="1499" t="s">
        <v>7669</v>
      </c>
      <c r="D76" s="1496" t="s">
        <v>7987</v>
      </c>
      <c r="E76" s="1496" t="s">
        <v>8043</v>
      </c>
      <c r="F76" s="1604" t="s">
        <v>6186</v>
      </c>
      <c r="G76" s="2041">
        <v>4</v>
      </c>
      <c r="H76" s="1638">
        <v>187.57</v>
      </c>
      <c r="I76" s="2209">
        <f>H76*G76</f>
        <v>750.28</v>
      </c>
      <c r="J76" s="2197" t="s">
        <v>8044</v>
      </c>
      <c r="K76" s="746"/>
      <c r="M76" s="1"/>
      <c r="N76" s="231"/>
    </row>
    <row r="77" spans="1:17" ht="21.75" customHeight="1" x14ac:dyDescent="0.2">
      <c r="B77" s="1499"/>
      <c r="C77" s="1499"/>
      <c r="D77" s="1496"/>
      <c r="E77" s="1496"/>
      <c r="F77" s="2041"/>
      <c r="G77" s="2041"/>
      <c r="H77" s="1638"/>
      <c r="I77" s="2209"/>
      <c r="J77" s="2737"/>
      <c r="K77" s="746"/>
      <c r="L77" s="3532" t="s">
        <v>5761</v>
      </c>
      <c r="M77" s="3532"/>
      <c r="N77" s="3532"/>
      <c r="O77" s="1704"/>
      <c r="P77" s="1704"/>
      <c r="Q77" s="1704"/>
    </row>
    <row r="78" spans="1:17" ht="21.75" customHeight="1" x14ac:dyDescent="0.2">
      <c r="A78" s="1493" t="s">
        <v>6244</v>
      </c>
      <c r="B78" s="1499">
        <v>45840</v>
      </c>
      <c r="C78" s="1499" t="s">
        <v>8049</v>
      </c>
      <c r="D78" s="1496" t="s">
        <v>7987</v>
      </c>
      <c r="E78" s="1496" t="s">
        <v>8048</v>
      </c>
      <c r="F78" s="1604" t="s">
        <v>6186</v>
      </c>
      <c r="G78" s="2041">
        <v>1</v>
      </c>
      <c r="H78" s="1638">
        <v>192</v>
      </c>
      <c r="I78" s="2209">
        <f>H78*G78</f>
        <v>192</v>
      </c>
      <c r="J78" s="2197"/>
      <c r="L78" s="31" t="s">
        <v>8100</v>
      </c>
      <c r="M78" s="2206" t="s">
        <v>8118</v>
      </c>
      <c r="N78" s="2206" t="s">
        <v>361</v>
      </c>
      <c r="O78" s="1704"/>
      <c r="P78" s="1704"/>
      <c r="Q78" s="1704"/>
    </row>
    <row r="79" spans="1:17" ht="21.75" customHeight="1" x14ac:dyDescent="0.2">
      <c r="A79" s="1493"/>
      <c r="B79" s="1499"/>
      <c r="C79" s="1499"/>
      <c r="D79" s="1496"/>
      <c r="E79" s="1496"/>
      <c r="F79" s="1604"/>
      <c r="G79" s="2041"/>
      <c r="H79" s="1638"/>
      <c r="I79" s="2209"/>
      <c r="J79" s="2197"/>
      <c r="L79" s="51">
        <v>62</v>
      </c>
      <c r="M79" s="1">
        <v>55</v>
      </c>
      <c r="N79" s="617">
        <f>L79*M79</f>
        <v>3410</v>
      </c>
      <c r="O79" s="1704"/>
      <c r="P79" s="1704"/>
      <c r="Q79" s="1704"/>
    </row>
    <row r="80" spans="1:17" ht="21.75" customHeight="1" x14ac:dyDescent="0.2">
      <c r="A80" s="1493" t="s">
        <v>6245</v>
      </c>
      <c r="B80" s="1499">
        <v>45842</v>
      </c>
      <c r="C80" s="1499"/>
      <c r="D80" s="1496" t="s">
        <v>7987</v>
      </c>
      <c r="E80" s="1496" t="s">
        <v>8106</v>
      </c>
      <c r="F80" s="1604" t="s">
        <v>6186</v>
      </c>
      <c r="G80" s="2041">
        <v>62</v>
      </c>
      <c r="H80" s="1638">
        <v>55</v>
      </c>
      <c r="I80" s="2209">
        <v>600</v>
      </c>
      <c r="J80" s="2737"/>
      <c r="K80" s="1867"/>
      <c r="L80" s="3533" t="s">
        <v>8101</v>
      </c>
      <c r="M80" s="3533"/>
      <c r="N80" s="2344">
        <v>200</v>
      </c>
      <c r="O80" s="2206"/>
      <c r="P80" s="2615"/>
    </row>
    <row r="81" spans="1:17" ht="21.75" customHeight="1" x14ac:dyDescent="0.2">
      <c r="A81" s="1493"/>
      <c r="B81" s="1499"/>
      <c r="C81" s="1499"/>
      <c r="D81" s="1496"/>
      <c r="E81" s="1496"/>
      <c r="F81" s="1604"/>
      <c r="G81" s="2041"/>
      <c r="H81" s="1638"/>
      <c r="I81" s="2209"/>
      <c r="J81" s="2197"/>
      <c r="L81" s="2816"/>
      <c r="M81" s="2801" t="s">
        <v>361</v>
      </c>
      <c r="N81" s="2802">
        <f>SUM(N79:N80)</f>
        <v>3610</v>
      </c>
      <c r="O81" s="1704"/>
      <c r="P81" s="1704"/>
      <c r="Q81" s="1704"/>
    </row>
    <row r="82" spans="1:17" ht="21.75" customHeight="1" x14ac:dyDescent="0.2">
      <c r="A82" s="1493" t="s">
        <v>6244</v>
      </c>
      <c r="B82" s="1499">
        <v>45845</v>
      </c>
      <c r="C82" s="1499" t="s">
        <v>7669</v>
      </c>
      <c r="D82" s="1496" t="s">
        <v>7987</v>
      </c>
      <c r="E82" s="1496" t="s">
        <v>8082</v>
      </c>
      <c r="F82" s="1604" t="s">
        <v>6186</v>
      </c>
      <c r="G82" s="2041">
        <v>2</v>
      </c>
      <c r="H82" s="1638">
        <v>187.57</v>
      </c>
      <c r="I82" s="2209">
        <f>H82*G82</f>
        <v>375.14</v>
      </c>
      <c r="J82" s="2197" t="s">
        <v>8083</v>
      </c>
      <c r="K82" s="746"/>
      <c r="M82" s="2525" t="s">
        <v>8103</v>
      </c>
      <c r="N82" s="1860">
        <v>1800</v>
      </c>
    </row>
    <row r="83" spans="1:17" ht="21.75" customHeight="1" x14ac:dyDescent="0.2">
      <c r="B83" s="1499"/>
      <c r="C83" s="1499"/>
      <c r="D83" s="1496"/>
      <c r="E83" s="1496"/>
      <c r="F83" s="2041"/>
      <c r="G83" s="2041"/>
      <c r="H83" s="1638"/>
      <c r="I83" s="2209"/>
      <c r="J83" s="2737"/>
      <c r="K83" s="746"/>
      <c r="M83" s="1505" t="s">
        <v>8102</v>
      </c>
      <c r="N83" s="2591">
        <f>N81-N82</f>
        <v>1810</v>
      </c>
      <c r="O83" s="1704"/>
      <c r="P83" s="1704"/>
      <c r="Q83" s="1704"/>
    </row>
    <row r="84" spans="1:17" ht="21.75" customHeight="1" x14ac:dyDescent="0.2">
      <c r="A84" s="1493" t="s">
        <v>6244</v>
      </c>
      <c r="B84" s="1499">
        <v>45846</v>
      </c>
      <c r="C84" s="1499" t="s">
        <v>7669</v>
      </c>
      <c r="D84" s="1496" t="s">
        <v>7987</v>
      </c>
      <c r="E84" s="1496" t="s">
        <v>7990</v>
      </c>
      <c r="F84" s="1604" t="s">
        <v>6186</v>
      </c>
      <c r="G84" s="2041">
        <v>2</v>
      </c>
      <c r="H84" s="1638">
        <v>18</v>
      </c>
      <c r="I84" s="2209">
        <f t="shared" ref="I84" si="7">H84*G84</f>
        <v>36</v>
      </c>
      <c r="J84" s="2197"/>
      <c r="M84" s="1"/>
      <c r="N84" s="231"/>
      <c r="O84" s="1704"/>
      <c r="P84" s="1704"/>
      <c r="Q84" s="1704"/>
    </row>
    <row r="85" spans="1:17" ht="21.75" customHeight="1" x14ac:dyDescent="0.2">
      <c r="A85" s="1493"/>
      <c r="B85" s="1499"/>
      <c r="C85" s="1499"/>
      <c r="D85" s="1496"/>
      <c r="E85" s="1496"/>
      <c r="F85" s="2041"/>
      <c r="G85" s="2041"/>
      <c r="H85" s="1638"/>
      <c r="I85" s="2209"/>
      <c r="J85" s="2197"/>
      <c r="O85" s="1704"/>
      <c r="P85" s="1704"/>
      <c r="Q85" s="1704"/>
    </row>
    <row r="86" spans="1:17" ht="21.75" customHeight="1" x14ac:dyDescent="0.2">
      <c r="A86" s="1493" t="s">
        <v>6244</v>
      </c>
      <c r="B86" s="1499">
        <v>45848</v>
      </c>
      <c r="C86" s="1499" t="s">
        <v>6234</v>
      </c>
      <c r="D86" s="1496" t="s">
        <v>7987</v>
      </c>
      <c r="E86" s="1496" t="s">
        <v>8088</v>
      </c>
      <c r="F86" s="1604" t="s">
        <v>6186</v>
      </c>
      <c r="G86" s="2041">
        <v>2</v>
      </c>
      <c r="H86" s="1638">
        <v>29.5</v>
      </c>
      <c r="I86" s="2209">
        <f t="shared" ref="I86" si="8">H86*G86</f>
        <v>59</v>
      </c>
      <c r="J86" s="2197"/>
      <c r="O86" s="1704"/>
      <c r="P86" s="1704"/>
      <c r="Q86" s="1704"/>
    </row>
    <row r="87" spans="1:17" ht="21.75" customHeight="1" x14ac:dyDescent="0.2">
      <c r="B87" s="1499"/>
      <c r="C87" s="1499"/>
      <c r="D87" s="1496"/>
      <c r="E87" s="1496"/>
      <c r="F87" s="2200"/>
      <c r="G87" s="2200"/>
      <c r="H87" s="1638"/>
      <c r="I87" s="2209"/>
      <c r="J87" s="2737"/>
      <c r="K87" s="746"/>
      <c r="O87" s="1704"/>
      <c r="P87" s="1704"/>
      <c r="Q87" s="1704"/>
    </row>
    <row r="88" spans="1:17" ht="21.75" customHeight="1" x14ac:dyDescent="0.2">
      <c r="A88" s="1493" t="s">
        <v>6245</v>
      </c>
      <c r="B88" s="1499">
        <v>45848</v>
      </c>
      <c r="C88" s="1499"/>
      <c r="D88" s="1496" t="s">
        <v>7987</v>
      </c>
      <c r="E88" s="1496" t="s">
        <v>8105</v>
      </c>
      <c r="F88" s="2199" t="s">
        <v>6186</v>
      </c>
      <c r="G88" s="2200">
        <v>62</v>
      </c>
      <c r="H88" s="1638">
        <v>55</v>
      </c>
      <c r="I88" s="2209">
        <v>1000</v>
      </c>
      <c r="J88" s="2737"/>
      <c r="K88" s="1867"/>
      <c r="L88" s="3533"/>
      <c r="M88" s="3533"/>
      <c r="N88" s="2344"/>
      <c r="O88" s="2206"/>
      <c r="P88" s="2615"/>
    </row>
    <row r="89" spans="1:17" ht="21.75" customHeight="1" x14ac:dyDescent="0.2">
      <c r="A89" s="1493"/>
      <c r="B89" s="1499"/>
      <c r="C89" s="1499"/>
      <c r="D89" s="1496"/>
      <c r="E89" s="1496"/>
      <c r="F89" s="2199"/>
      <c r="G89" s="2200"/>
      <c r="H89" s="1638"/>
      <c r="I89" s="2209"/>
      <c r="J89" s="2197"/>
      <c r="O89" s="1704"/>
      <c r="P89" s="1704"/>
      <c r="Q89" s="1704"/>
    </row>
    <row r="90" spans="1:17" ht="21.75" customHeight="1" x14ac:dyDescent="0.2">
      <c r="A90" s="1493" t="s">
        <v>6245</v>
      </c>
      <c r="B90" s="1499">
        <v>45852</v>
      </c>
      <c r="C90" s="1499"/>
      <c r="D90" s="1496" t="s">
        <v>7987</v>
      </c>
      <c r="E90" s="1496" t="s">
        <v>8109</v>
      </c>
      <c r="F90" s="2199" t="s">
        <v>6186</v>
      </c>
      <c r="G90" s="2200">
        <v>58</v>
      </c>
      <c r="H90" s="1638">
        <v>55</v>
      </c>
      <c r="I90" s="2209">
        <v>600</v>
      </c>
      <c r="J90" s="2737"/>
      <c r="K90" s="1867"/>
      <c r="L90" s="3533"/>
      <c r="M90" s="3533"/>
      <c r="N90" s="2344"/>
      <c r="O90" s="2206"/>
      <c r="P90" s="2615"/>
    </row>
    <row r="91" spans="1:17" ht="21.75" customHeight="1" x14ac:dyDescent="0.2">
      <c r="A91" s="1493"/>
      <c r="B91" s="1499"/>
      <c r="C91" s="1499"/>
      <c r="D91" s="1496"/>
      <c r="E91" s="1496"/>
      <c r="F91" s="2199"/>
      <c r="G91" s="2200"/>
      <c r="H91" s="1638"/>
      <c r="I91" s="2209"/>
      <c r="J91" s="2197"/>
      <c r="O91" s="1704"/>
      <c r="P91" s="1704"/>
      <c r="Q91" s="1704"/>
    </row>
    <row r="92" spans="1:17" ht="21.75" customHeight="1" x14ac:dyDescent="0.2">
      <c r="A92" s="1493" t="s">
        <v>6245</v>
      </c>
      <c r="B92" s="1499">
        <v>45852</v>
      </c>
      <c r="C92" s="1499"/>
      <c r="D92" s="1496" t="s">
        <v>7987</v>
      </c>
      <c r="E92" s="1496" t="s">
        <v>8110</v>
      </c>
      <c r="F92" s="2199" t="s">
        <v>6186</v>
      </c>
      <c r="G92" s="2200">
        <v>2</v>
      </c>
      <c r="H92" s="1638">
        <v>100</v>
      </c>
      <c r="I92" s="2209">
        <f>H92*G92</f>
        <v>200</v>
      </c>
      <c r="J92" s="2737"/>
      <c r="K92" s="1867"/>
      <c r="L92" s="3533"/>
      <c r="M92" s="3533"/>
      <c r="N92" s="2344"/>
      <c r="O92" s="2206"/>
      <c r="P92" s="2615"/>
    </row>
    <row r="93" spans="1:17" ht="21.75" customHeight="1" thickBot="1" x14ac:dyDescent="0.25">
      <c r="A93" s="1493"/>
      <c r="B93" s="1499"/>
      <c r="C93" s="1499"/>
      <c r="D93" s="1496"/>
      <c r="E93" s="2724"/>
      <c r="F93" s="1604"/>
      <c r="G93" s="2041"/>
      <c r="H93" s="1638"/>
      <c r="I93" s="2127"/>
      <c r="J93" s="2197"/>
      <c r="O93" s="1704"/>
      <c r="P93" s="1704"/>
      <c r="Q93" s="1704"/>
    </row>
    <row r="94" spans="1:17" ht="21.75" customHeight="1" thickBot="1" x14ac:dyDescent="0.25">
      <c r="A94" s="3510" t="s">
        <v>772</v>
      </c>
      <c r="B94" s="3511"/>
      <c r="C94" s="3511"/>
      <c r="D94" s="3511"/>
      <c r="E94" s="3511"/>
      <c r="F94" s="3511"/>
      <c r="G94" s="3511"/>
      <c r="H94" s="3512"/>
      <c r="I94" s="175">
        <f>SUMIF(A64:A93,"mo",I64:I93)+SUMIF(A64:A93,"mat",I64:I93)</f>
        <v>9693.5400000000009</v>
      </c>
      <c r="J94" s="2342"/>
      <c r="K94" s="746"/>
    </row>
    <row r="95" spans="1:17" ht="21.75" customHeight="1" x14ac:dyDescent="0.2">
      <c r="A95" s="51"/>
      <c r="B95" s="1543"/>
      <c r="C95" s="1543"/>
      <c r="D95" s="717"/>
      <c r="E95" s="717"/>
      <c r="F95" s="2277"/>
      <c r="G95" s="2277"/>
      <c r="H95" s="52"/>
      <c r="I95" s="52"/>
      <c r="J95" s="2205"/>
      <c r="K95" s="746"/>
    </row>
    <row r="96" spans="1:17" ht="21.75" customHeight="1" x14ac:dyDescent="0.2">
      <c r="A96" s="51"/>
      <c r="B96" s="1543"/>
      <c r="C96" s="1543"/>
      <c r="D96" s="717"/>
      <c r="E96" s="1505" t="s">
        <v>7994</v>
      </c>
      <c r="F96" s="2277"/>
      <c r="G96" s="2277"/>
      <c r="H96" s="52">
        <f>SUMIF($E$4:$E$24,"*porcelanato*",$I$4:$I$24)+SUMIF($E$29:$E$59,"*porcelanato*",$I$29:$I$59)+SUMIF($E$64:$E$93,"*porcelanato*",$I$64:$I$93)</f>
        <v>8010.37</v>
      </c>
      <c r="I96" s="2772">
        <f>H96/$H$102</f>
        <v>0.47818679465482289</v>
      </c>
      <c r="J96" s="2205"/>
      <c r="K96" s="746"/>
    </row>
    <row r="97" spans="1:14" ht="21.75" customHeight="1" x14ac:dyDescent="0.2">
      <c r="A97" s="51"/>
      <c r="B97" s="1543"/>
      <c r="C97" s="1543"/>
      <c r="D97" s="717"/>
      <c r="E97" s="1505" t="s">
        <v>923</v>
      </c>
      <c r="F97" s="2277"/>
      <c r="G97" s="2277"/>
      <c r="H97" s="52">
        <f>SUMIF($E$4:$E$24,"*ARGAMASSA*",$I$4:$I$24)+SUMIF($E$29:$E$59,"*ARGAMASSA*",$I$29:$I$59)+SUMIF($E$64:$E$93,"*ARGAMASSA*",$I$64:$I$93)</f>
        <v>1797.63</v>
      </c>
      <c r="I97" s="2772">
        <f t="shared" ref="I97:I102" si="9">H97/$H$102</f>
        <v>0.10731126373380373</v>
      </c>
      <c r="J97" s="2205"/>
      <c r="K97" s="746"/>
    </row>
    <row r="98" spans="1:14" ht="21.75" customHeight="1" x14ac:dyDescent="0.2">
      <c r="A98" s="51"/>
      <c r="B98" s="1543"/>
      <c r="C98" s="1543"/>
      <c r="D98" s="717"/>
      <c r="E98" s="1505" t="s">
        <v>7995</v>
      </c>
      <c r="F98" s="2277"/>
      <c r="G98" s="2277"/>
      <c r="H98" s="52">
        <f>SUMIF($E$4:$E$24,"*REJUNTE*",$I$4:$I$24)+SUMIF($E$29:$E$59,"*REJUNTE*",$I$29:$I$59)+SUMIF($E$64:$E$93,"*REJUNTE*",$I$64:$I$93)</f>
        <v>354.21000000000004</v>
      </c>
      <c r="I98" s="2772">
        <f t="shared" si="9"/>
        <v>2.114490897857213E-2</v>
      </c>
      <c r="J98" s="2205"/>
      <c r="K98" s="746"/>
    </row>
    <row r="99" spans="1:14" ht="21.75" customHeight="1" x14ac:dyDescent="0.2">
      <c r="A99" s="51"/>
      <c r="B99" s="1543"/>
      <c r="C99" s="1543"/>
      <c r="D99" s="717"/>
      <c r="E99" s="1505" t="s">
        <v>8340</v>
      </c>
      <c r="F99" s="2277"/>
      <c r="G99" s="2277"/>
      <c r="H99" s="52">
        <f>SUM(I94+I60+I25)-H96-H97-H98-H100-H101</f>
        <v>1079.3400000000038</v>
      </c>
      <c r="I99" s="2772">
        <f t="shared" si="9"/>
        <v>6.4432246568228227E-2</v>
      </c>
      <c r="J99" s="2205"/>
      <c r="K99" s="746"/>
    </row>
    <row r="100" spans="1:14" ht="21.75" customHeight="1" x14ac:dyDescent="0.2">
      <c r="A100" s="51"/>
      <c r="B100" s="1543"/>
      <c r="C100" s="1543"/>
      <c r="D100" s="717"/>
      <c r="E100" s="1505" t="s">
        <v>1012</v>
      </c>
      <c r="H100" s="52">
        <f>SUMIF($E$4:$E$24,"*frete*",$I$4:$I$24)+SUMIF($E$29:$E$59,"*frete*",$I$29:$I$59)+SUMIF($E$64:$E$93,"*frete*",$I$64:$I$93)</f>
        <v>150</v>
      </c>
      <c r="I100" s="2772">
        <f t="shared" si="9"/>
        <v>8.9543952649157824E-3</v>
      </c>
      <c r="J100" s="2205"/>
      <c r="K100" s="746"/>
    </row>
    <row r="101" spans="1:14" ht="21.75" customHeight="1" x14ac:dyDescent="0.2">
      <c r="A101" s="51"/>
      <c r="B101" s="1543"/>
      <c r="C101" s="1543"/>
      <c r="D101" s="717"/>
      <c r="E101" s="1505" t="s">
        <v>5761</v>
      </c>
      <c r="F101" s="2277"/>
      <c r="G101" s="2277"/>
      <c r="H101" s="52">
        <f>SUMIF($E$4:$E$24,"*M.O*",$I$4:$I$24)+SUMIF($E$29:$E$59,"*M.O*",$I$29:$I$59)+SUMIF($E$64:$E$93,"*M.O*",$I$64:$I$93)</f>
        <v>5360</v>
      </c>
      <c r="I101" s="2772">
        <f t="shared" si="9"/>
        <v>0.31997039079965728</v>
      </c>
      <c r="J101" s="2205"/>
      <c r="K101" s="746"/>
    </row>
    <row r="102" spans="1:14" ht="21.75" customHeight="1" x14ac:dyDescent="0.2">
      <c r="A102" s="51"/>
      <c r="B102" s="1543"/>
      <c r="C102" s="1543"/>
      <c r="D102" s="717"/>
      <c r="E102" s="1505" t="s">
        <v>280</v>
      </c>
      <c r="F102" s="2205"/>
      <c r="G102" s="2277"/>
      <c r="H102" s="82">
        <f>SUM(H96:H101)</f>
        <v>16751.550000000003</v>
      </c>
      <c r="I102" s="2773">
        <f t="shared" si="9"/>
        <v>1</v>
      </c>
      <c r="J102" s="2205"/>
      <c r="K102" s="746"/>
    </row>
    <row r="103" spans="1:14" ht="21.75" customHeight="1" x14ac:dyDescent="0.2">
      <c r="A103" s="51"/>
      <c r="B103" s="1543"/>
      <c r="C103" s="1543"/>
      <c r="D103" s="717"/>
      <c r="E103" s="1505"/>
      <c r="F103" s="2277"/>
      <c r="G103" s="2277"/>
      <c r="I103" s="52"/>
      <c r="K103" s="746"/>
    </row>
    <row r="104" spans="1:14" ht="21.75" customHeight="1" x14ac:dyDescent="0.2">
      <c r="A104" s="51"/>
      <c r="B104" s="1543"/>
      <c r="C104" s="1543"/>
      <c r="D104" s="717"/>
      <c r="E104" s="1505"/>
      <c r="F104" s="2277"/>
      <c r="G104" s="2277"/>
      <c r="H104" s="52"/>
      <c r="I104" s="52"/>
      <c r="J104" s="2205"/>
      <c r="K104" s="746"/>
    </row>
    <row r="105" spans="1:14" ht="21.75" customHeight="1" x14ac:dyDescent="0.2">
      <c r="A105" s="51"/>
      <c r="B105" s="1543"/>
      <c r="C105" s="1543"/>
      <c r="D105" s="717"/>
      <c r="E105" s="1505"/>
      <c r="F105" s="2277"/>
      <c r="G105" s="2277"/>
      <c r="H105" s="52"/>
      <c r="I105" s="52"/>
      <c r="J105" s="2205"/>
      <c r="K105" s="746"/>
    </row>
    <row r="108" spans="1:14" x14ac:dyDescent="0.2">
      <c r="C108" s="24"/>
      <c r="H108"/>
      <c r="L108"/>
      <c r="M108"/>
      <c r="N108"/>
    </row>
    <row r="109" spans="1:14" x14ac:dyDescent="0.2">
      <c r="C109" s="24"/>
      <c r="H109"/>
      <c r="L109"/>
      <c r="M109"/>
      <c r="N109"/>
    </row>
    <row r="110" spans="1:14" x14ac:dyDescent="0.2">
      <c r="C110" s="24"/>
      <c r="H110"/>
      <c r="L110"/>
      <c r="M110"/>
      <c r="N110"/>
    </row>
    <row r="111" spans="1:14" x14ac:dyDescent="0.2">
      <c r="C111" s="24"/>
      <c r="H111"/>
      <c r="L111"/>
      <c r="M111"/>
      <c r="N111"/>
    </row>
    <row r="112" spans="1:14" x14ac:dyDescent="0.2">
      <c r="C112" s="24"/>
      <c r="H112"/>
      <c r="L112"/>
      <c r="M112"/>
      <c r="N112"/>
    </row>
    <row r="113" spans="3:14" x14ac:dyDescent="0.2">
      <c r="C113" s="24"/>
      <c r="H113"/>
      <c r="L113"/>
      <c r="M113"/>
      <c r="N113"/>
    </row>
    <row r="114" spans="3:14" x14ac:dyDescent="0.2">
      <c r="C114" s="24"/>
      <c r="H114"/>
      <c r="L114"/>
      <c r="M114"/>
      <c r="N114"/>
    </row>
    <row r="115" spans="3:14" x14ac:dyDescent="0.2">
      <c r="C115" s="24"/>
      <c r="H115"/>
      <c r="L115"/>
      <c r="M115"/>
      <c r="N115"/>
    </row>
    <row r="116" spans="3:14" x14ac:dyDescent="0.2">
      <c r="C116" s="24"/>
      <c r="H116"/>
      <c r="L116"/>
      <c r="M116"/>
      <c r="N116"/>
    </row>
    <row r="117" spans="3:14" x14ac:dyDescent="0.2">
      <c r="C117" s="24"/>
      <c r="H117"/>
      <c r="L117"/>
      <c r="M117"/>
      <c r="N117"/>
    </row>
    <row r="118" spans="3:14" x14ac:dyDescent="0.2">
      <c r="C118" s="24"/>
      <c r="H118"/>
      <c r="L118"/>
      <c r="M118"/>
      <c r="N118"/>
    </row>
    <row r="119" spans="3:14" x14ac:dyDescent="0.2">
      <c r="C119" s="24"/>
      <c r="H119"/>
      <c r="L119"/>
      <c r="M119"/>
      <c r="N119"/>
    </row>
    <row r="120" spans="3:14" x14ac:dyDescent="0.2">
      <c r="C120" s="24"/>
      <c r="H120"/>
      <c r="L120"/>
      <c r="M120"/>
      <c r="N120"/>
    </row>
    <row r="121" spans="3:14" x14ac:dyDescent="0.2">
      <c r="C121" s="24"/>
      <c r="H121"/>
      <c r="L121"/>
      <c r="M121"/>
      <c r="N121"/>
    </row>
    <row r="122" spans="3:14" x14ac:dyDescent="0.2">
      <c r="C122" s="24"/>
      <c r="H122"/>
      <c r="L122"/>
      <c r="M122"/>
      <c r="N122"/>
    </row>
    <row r="123" spans="3:14" x14ac:dyDescent="0.2">
      <c r="C123" s="24"/>
      <c r="H123"/>
      <c r="L123"/>
      <c r="M123"/>
      <c r="N123"/>
    </row>
    <row r="124" spans="3:14" x14ac:dyDescent="0.2">
      <c r="C124" s="24"/>
      <c r="H124"/>
      <c r="L124"/>
      <c r="M124"/>
      <c r="N124"/>
    </row>
    <row r="125" spans="3:14" x14ac:dyDescent="0.2">
      <c r="C125" s="24"/>
      <c r="H125"/>
      <c r="L125"/>
      <c r="M125"/>
      <c r="N125"/>
    </row>
    <row r="126" spans="3:14" x14ac:dyDescent="0.2">
      <c r="C126" s="24"/>
      <c r="H126"/>
      <c r="L126"/>
      <c r="M126"/>
      <c r="N126"/>
    </row>
    <row r="127" spans="3:14" x14ac:dyDescent="0.2">
      <c r="C127" s="24"/>
      <c r="H127"/>
      <c r="L127"/>
      <c r="M127"/>
      <c r="N127"/>
    </row>
    <row r="128" spans="3:14" x14ac:dyDescent="0.2">
      <c r="C128" s="24"/>
      <c r="H128"/>
      <c r="L128"/>
      <c r="M128"/>
      <c r="N128"/>
    </row>
    <row r="129" spans="2:16" x14ac:dyDescent="0.2">
      <c r="C129" s="24"/>
      <c r="H129"/>
      <c r="L129"/>
      <c r="M129"/>
      <c r="N129"/>
    </row>
    <row r="130" spans="2:16" x14ac:dyDescent="0.2">
      <c r="C130" s="24"/>
      <c r="H130"/>
      <c r="L130"/>
      <c r="M130"/>
      <c r="N130"/>
    </row>
    <row r="131" spans="2:16" x14ac:dyDescent="0.2">
      <c r="C131" s="24"/>
      <c r="H131"/>
      <c r="L131"/>
      <c r="M131"/>
      <c r="N131"/>
    </row>
    <row r="132" spans="2:16" x14ac:dyDescent="0.2">
      <c r="C132" s="24"/>
      <c r="H132"/>
      <c r="L132"/>
      <c r="M132"/>
      <c r="N132"/>
    </row>
    <row r="133" spans="2:16" x14ac:dyDescent="0.2">
      <c r="C133" s="24"/>
      <c r="H133"/>
      <c r="L133"/>
      <c r="M133"/>
      <c r="N133"/>
    </row>
    <row r="134" spans="2:16" x14ac:dyDescent="0.2">
      <c r="C134" s="24"/>
      <c r="H134"/>
      <c r="J134" s="2728"/>
      <c r="L134"/>
      <c r="M134"/>
      <c r="N134"/>
    </row>
    <row r="135" spans="2:16" x14ac:dyDescent="0.2">
      <c r="C135" s="24"/>
      <c r="D135" s="717" t="s">
        <v>7828</v>
      </c>
      <c r="E135" s="1">
        <v>40</v>
      </c>
      <c r="G135" s="717" t="s">
        <v>7829</v>
      </c>
      <c r="H135" s="1">
        <v>52</v>
      </c>
      <c r="L135"/>
      <c r="M135"/>
      <c r="N135"/>
    </row>
    <row r="136" spans="2:16" ht="19.5" customHeight="1" x14ac:dyDescent="0.25">
      <c r="C136" s="3540" t="s">
        <v>7634</v>
      </c>
      <c r="D136" s="3541"/>
      <c r="E136" s="3541"/>
      <c r="F136" s="3541"/>
      <c r="G136" s="3541"/>
      <c r="H136" s="3541"/>
      <c r="I136" s="3541"/>
      <c r="J136" s="3541"/>
      <c r="K136" s="3541"/>
      <c r="L136" s="3541"/>
      <c r="M136" s="3541"/>
      <c r="N136" s="3541"/>
      <c r="O136" s="3542"/>
    </row>
    <row r="137" spans="2:16" ht="19.5" customHeight="1" x14ac:dyDescent="0.2">
      <c r="C137" s="2646" t="s">
        <v>7626</v>
      </c>
      <c r="D137" s="3545" t="s">
        <v>7627</v>
      </c>
      <c r="E137" s="3546"/>
      <c r="F137" s="3534" t="s">
        <v>7628</v>
      </c>
      <c r="G137" s="3535"/>
      <c r="H137" s="3536"/>
      <c r="I137" s="3545" t="s">
        <v>7629</v>
      </c>
      <c r="J137" s="3546"/>
      <c r="K137" s="3534" t="s">
        <v>7630</v>
      </c>
      <c r="L137" s="3536"/>
      <c r="M137" s="3545" t="s">
        <v>7631</v>
      </c>
      <c r="N137" s="3546"/>
      <c r="O137" s="2643" t="s">
        <v>361</v>
      </c>
    </row>
    <row r="138" spans="2:16" ht="19.5" customHeight="1" x14ac:dyDescent="0.2">
      <c r="C138" s="2645">
        <v>11</v>
      </c>
      <c r="D138" s="3543">
        <v>3.7</v>
      </c>
      <c r="E138" s="3544"/>
      <c r="F138" s="3537">
        <v>18</v>
      </c>
      <c r="G138" s="3538"/>
      <c r="H138" s="3539"/>
      <c r="I138" s="3543">
        <v>2.1</v>
      </c>
      <c r="J138" s="3544"/>
      <c r="K138" s="3537">
        <v>4.5</v>
      </c>
      <c r="L138" s="3539"/>
      <c r="M138" s="3543">
        <v>13</v>
      </c>
      <c r="N138" s="3544"/>
      <c r="O138" s="2644">
        <f>SUM(C138:N138)</f>
        <v>52.300000000000004</v>
      </c>
    </row>
    <row r="139" spans="2:16" x14ac:dyDescent="0.2">
      <c r="C139" s="38"/>
      <c r="D139" s="2642"/>
      <c r="H139"/>
      <c r="L139"/>
      <c r="M139"/>
      <c r="N139"/>
    </row>
    <row r="140" spans="2:16" ht="19.5" customHeight="1" x14ac:dyDescent="0.25">
      <c r="C140" s="3540" t="s">
        <v>7708</v>
      </c>
      <c r="D140" s="3541"/>
      <c r="E140" s="3541"/>
      <c r="F140" s="3541"/>
      <c r="G140" s="3541"/>
      <c r="H140" s="3541"/>
      <c r="I140" s="3541"/>
      <c r="J140" s="3541"/>
      <c r="K140" s="3541"/>
      <c r="L140" s="3541"/>
      <c r="M140" s="3541"/>
      <c r="N140" s="3541"/>
      <c r="O140" s="3542"/>
    </row>
    <row r="141" spans="2:16" ht="19.5" customHeight="1" x14ac:dyDescent="0.2">
      <c r="B141" s="717" t="s">
        <v>7843</v>
      </c>
      <c r="C141" s="2646" t="s">
        <v>7626</v>
      </c>
      <c r="D141" s="3548" t="s">
        <v>7627</v>
      </c>
      <c r="E141" s="3548"/>
      <c r="F141" s="3549" t="s">
        <v>7844</v>
      </c>
      <c r="G141" s="3549"/>
      <c r="H141" s="3549"/>
      <c r="I141" s="3548" t="s">
        <v>7629</v>
      </c>
      <c r="J141" s="3548"/>
      <c r="K141" s="3549" t="s">
        <v>7833</v>
      </c>
      <c r="L141" s="3549"/>
      <c r="M141" s="3548" t="s">
        <v>7631</v>
      </c>
      <c r="N141" s="3548"/>
      <c r="O141" s="2643" t="s">
        <v>361</v>
      </c>
    </row>
    <row r="142" spans="2:16" ht="19.5" customHeight="1" x14ac:dyDescent="0.2">
      <c r="B142" s="717" t="s">
        <v>7834</v>
      </c>
      <c r="C142" s="2645">
        <v>0</v>
      </c>
      <c r="D142" s="3547">
        <v>0</v>
      </c>
      <c r="E142" s="3547"/>
      <c r="F142" s="3562">
        <v>22.5</v>
      </c>
      <c r="G142" s="3562"/>
      <c r="H142" s="3562"/>
      <c r="I142" s="3547">
        <v>0</v>
      </c>
      <c r="J142" s="3547"/>
      <c r="K142" s="3562">
        <v>21.33</v>
      </c>
      <c r="L142" s="3562"/>
      <c r="M142" s="3547">
        <v>0</v>
      </c>
      <c r="N142" s="3547"/>
      <c r="O142" s="2644">
        <f>SUM(C142:N142)</f>
        <v>43.83</v>
      </c>
    </row>
    <row r="143" spans="2:16" x14ac:dyDescent="0.2">
      <c r="C143" s="24"/>
      <c r="H143"/>
      <c r="I143" s="31"/>
      <c r="L143"/>
      <c r="M143"/>
      <c r="N143"/>
    </row>
    <row r="144" spans="2:16" ht="20.25" customHeight="1" x14ac:dyDescent="0.25">
      <c r="C144" s="2649">
        <f>C138+C142</f>
        <v>11</v>
      </c>
      <c r="D144" s="3561">
        <f>D138+D142</f>
        <v>3.7</v>
      </c>
      <c r="E144" s="3561"/>
      <c r="F144" s="3563">
        <f>F138+F142</f>
        <v>40.5</v>
      </c>
      <c r="G144" s="3563"/>
      <c r="H144" s="3563"/>
      <c r="I144" s="3561">
        <f>I138+I142</f>
        <v>2.1</v>
      </c>
      <c r="J144" s="3561"/>
      <c r="K144" s="3563">
        <f>K138+K142</f>
        <v>25.83</v>
      </c>
      <c r="L144" s="3563"/>
      <c r="M144" s="3561">
        <f>M138+M142</f>
        <v>13</v>
      </c>
      <c r="N144" s="3561"/>
      <c r="O144" s="2647">
        <f>O138+O142</f>
        <v>96.13</v>
      </c>
      <c r="P144" s="2642"/>
    </row>
    <row r="145" spans="2:15" x14ac:dyDescent="0.2">
      <c r="C145" s="24"/>
      <c r="H145"/>
      <c r="I145" s="31"/>
      <c r="L145"/>
      <c r="M145"/>
      <c r="N145"/>
    </row>
    <row r="146" spans="2:15" ht="20.25" customHeight="1" x14ac:dyDescent="0.2">
      <c r="B146" s="358" t="s">
        <v>7635</v>
      </c>
      <c r="C146" s="2687">
        <f>H135</f>
        <v>52</v>
      </c>
      <c r="D146" s="3558">
        <f>H135</f>
        <v>52</v>
      </c>
      <c r="E146" s="3559">
        <v>40</v>
      </c>
      <c r="F146" s="3550">
        <f>H135</f>
        <v>52</v>
      </c>
      <c r="G146" s="3554"/>
      <c r="H146" s="3551">
        <v>40</v>
      </c>
      <c r="I146" s="3558">
        <f>H135</f>
        <v>52</v>
      </c>
      <c r="J146" s="3559">
        <v>40</v>
      </c>
      <c r="K146" s="3550">
        <f>H135</f>
        <v>52</v>
      </c>
      <c r="L146" s="3551">
        <v>40</v>
      </c>
      <c r="M146" s="3558">
        <v>59.98</v>
      </c>
      <c r="N146" s="3559">
        <v>40</v>
      </c>
      <c r="O146" s="1733">
        <f>SUM(C146*C144+D146*D144+F146*F144+I146*I144+K146*K144+M146*M144)</f>
        <v>5102.5</v>
      </c>
    </row>
    <row r="147" spans="2:15" x14ac:dyDescent="0.2">
      <c r="C147" s="239"/>
      <c r="D147" s="1"/>
      <c r="E147" s="1"/>
      <c r="F147" s="2648"/>
      <c r="G147" s="2648"/>
      <c r="H147" s="2648"/>
      <c r="I147" s="2206"/>
      <c r="J147" s="1"/>
      <c r="K147" s="1"/>
      <c r="L147" s="1"/>
      <c r="M147" s="1"/>
      <c r="N147" s="1"/>
      <c r="O147" s="1151"/>
    </row>
    <row r="148" spans="2:15" ht="20.25" customHeight="1" x14ac:dyDescent="0.2">
      <c r="B148" s="358" t="s">
        <v>7633</v>
      </c>
      <c r="C148" s="2687">
        <f>E135</f>
        <v>40</v>
      </c>
      <c r="D148" s="3558">
        <f>E135</f>
        <v>40</v>
      </c>
      <c r="E148" s="3559">
        <f>E146</f>
        <v>40</v>
      </c>
      <c r="F148" s="3550">
        <f>E135</f>
        <v>40</v>
      </c>
      <c r="G148" s="3554"/>
      <c r="H148" s="3551">
        <f>H146</f>
        <v>40</v>
      </c>
      <c r="I148" s="3558">
        <f>E135</f>
        <v>40</v>
      </c>
      <c r="J148" s="3559">
        <f>J146</f>
        <v>40</v>
      </c>
      <c r="K148" s="3550">
        <f>E135</f>
        <v>40</v>
      </c>
      <c r="L148" s="3551">
        <f>L146</f>
        <v>40</v>
      </c>
      <c r="M148" s="3558">
        <f>E135</f>
        <v>40</v>
      </c>
      <c r="N148" s="3559">
        <f>N146</f>
        <v>40</v>
      </c>
      <c r="O148" s="1733">
        <f>SUM(C148*C144+D148*D144+F148*F144+I148*I144+K148*K144+M148*M144)</f>
        <v>3845.2</v>
      </c>
    </row>
    <row r="149" spans="2:15" x14ac:dyDescent="0.2">
      <c r="C149" s="24"/>
      <c r="H149"/>
      <c r="I149" s="38"/>
      <c r="L149"/>
      <c r="M149"/>
      <c r="N149"/>
    </row>
    <row r="150" spans="2:15" ht="28.5" customHeight="1" x14ac:dyDescent="0.25">
      <c r="B150" s="358" t="s">
        <v>7632</v>
      </c>
      <c r="C150" s="2688">
        <f>SUM(C146+C148)*C144</f>
        <v>1012</v>
      </c>
      <c r="D150" s="3556">
        <f>SUM(D146+D148)*D144</f>
        <v>340.40000000000003</v>
      </c>
      <c r="E150" s="3557">
        <f>SUM(E146+E148)*E144</f>
        <v>0</v>
      </c>
      <c r="F150" s="3552">
        <f>SUM(F146+F148)*F144</f>
        <v>3726</v>
      </c>
      <c r="G150" s="3555"/>
      <c r="H150" s="3553">
        <f t="shared" ref="H150:N150" si="10">SUM(H146+H148)*H144</f>
        <v>0</v>
      </c>
      <c r="I150" s="3556">
        <f t="shared" si="10"/>
        <v>193.20000000000002</v>
      </c>
      <c r="J150" s="3557">
        <f t="shared" si="10"/>
        <v>0</v>
      </c>
      <c r="K150" s="3552">
        <f t="shared" si="10"/>
        <v>2376.3599999999997</v>
      </c>
      <c r="L150" s="3553">
        <f t="shared" si="10"/>
        <v>0</v>
      </c>
      <c r="M150" s="3556">
        <f t="shared" si="10"/>
        <v>1299.7399999999998</v>
      </c>
      <c r="N150" s="3557">
        <f t="shared" si="10"/>
        <v>0</v>
      </c>
      <c r="O150" s="2650">
        <f>SUM(O146:O149)</f>
        <v>8947.7000000000007</v>
      </c>
    </row>
    <row r="151" spans="2:15" x14ac:dyDescent="0.2">
      <c r="C151" s="24"/>
      <c r="H151"/>
      <c r="I151" s="38"/>
      <c r="L151"/>
      <c r="M151"/>
      <c r="N151"/>
    </row>
    <row r="152" spans="2:15" x14ac:dyDescent="0.2">
      <c r="C152" s="24"/>
      <c r="H152"/>
      <c r="L152"/>
      <c r="M152"/>
      <c r="N152"/>
    </row>
    <row r="153" spans="2:15" x14ac:dyDescent="0.2">
      <c r="C153" s="24"/>
      <c r="H153"/>
      <c r="L153"/>
      <c r="M153"/>
      <c r="N153"/>
    </row>
    <row r="154" spans="2:15" x14ac:dyDescent="0.2">
      <c r="C154" s="24"/>
      <c r="F154" s="2752"/>
      <c r="H154"/>
      <c r="L154"/>
      <c r="M154"/>
      <c r="N154"/>
    </row>
    <row r="155" spans="2:15" x14ac:dyDescent="0.2">
      <c r="C155" s="24"/>
      <c r="F155" s="2752"/>
      <c r="H155"/>
      <c r="L155"/>
      <c r="M155"/>
      <c r="N155"/>
    </row>
    <row r="156" spans="2:15" x14ac:dyDescent="0.2">
      <c r="C156" s="24"/>
      <c r="H156"/>
      <c r="L156"/>
      <c r="M156"/>
      <c r="N156"/>
    </row>
    <row r="157" spans="2:15" x14ac:dyDescent="0.2">
      <c r="C157" s="24"/>
      <c r="H157"/>
      <c r="L157"/>
      <c r="M157"/>
      <c r="N157"/>
    </row>
    <row r="158" spans="2:15" x14ac:dyDescent="0.2">
      <c r="C158" s="24"/>
      <c r="H158"/>
      <c r="L158"/>
      <c r="M158"/>
      <c r="N158"/>
    </row>
    <row r="159" spans="2:15" x14ac:dyDescent="0.2">
      <c r="C159" s="24"/>
      <c r="H159"/>
      <c r="L159"/>
      <c r="M159"/>
      <c r="N159"/>
    </row>
    <row r="160" spans="2:15" x14ac:dyDescent="0.2">
      <c r="C160" s="24"/>
      <c r="H160"/>
      <c r="L160"/>
      <c r="M160"/>
      <c r="N160"/>
    </row>
    <row r="161" spans="3:14" x14ac:dyDescent="0.2">
      <c r="C161" s="24"/>
      <c r="H161"/>
      <c r="L161"/>
      <c r="M161"/>
      <c r="N161"/>
    </row>
    <row r="162" spans="3:14" x14ac:dyDescent="0.2">
      <c r="C162" s="24"/>
      <c r="H162"/>
      <c r="L162"/>
      <c r="M162"/>
      <c r="N162"/>
    </row>
    <row r="163" spans="3:14" x14ac:dyDescent="0.2">
      <c r="C163" s="24"/>
      <c r="H163"/>
      <c r="L163"/>
      <c r="M163"/>
      <c r="N163"/>
    </row>
    <row r="164" spans="3:14" x14ac:dyDescent="0.2">
      <c r="C164" s="24"/>
      <c r="H164"/>
      <c r="L164"/>
      <c r="M164"/>
      <c r="N164"/>
    </row>
    <row r="165" spans="3:14" x14ac:dyDescent="0.2">
      <c r="C165" s="24"/>
      <c r="H165"/>
      <c r="L165"/>
      <c r="M165"/>
      <c r="N165"/>
    </row>
    <row r="166" spans="3:14" x14ac:dyDescent="0.2">
      <c r="C166" s="24"/>
      <c r="H166"/>
      <c r="L166"/>
      <c r="M166"/>
      <c r="N166"/>
    </row>
    <row r="167" spans="3:14" x14ac:dyDescent="0.2">
      <c r="C167" s="24"/>
      <c r="H167"/>
      <c r="L167"/>
      <c r="M167"/>
      <c r="N167"/>
    </row>
    <row r="168" spans="3:14" x14ac:dyDescent="0.2">
      <c r="C168" s="24"/>
      <c r="H168"/>
      <c r="L168"/>
      <c r="M168"/>
      <c r="N168"/>
    </row>
    <row r="169" spans="3:14" x14ac:dyDescent="0.2">
      <c r="C169" s="24"/>
      <c r="H169"/>
      <c r="L169"/>
      <c r="M169"/>
      <c r="N169"/>
    </row>
    <row r="170" spans="3:14" x14ac:dyDescent="0.2">
      <c r="C170" s="24"/>
      <c r="H170" s="3560"/>
      <c r="I170" s="3560"/>
      <c r="L170"/>
      <c r="M170"/>
      <c r="N170"/>
    </row>
    <row r="171" spans="3:14" x14ac:dyDescent="0.2">
      <c r="C171" s="24"/>
      <c r="H171" s="3560"/>
      <c r="I171" s="3560"/>
      <c r="L171"/>
      <c r="M171"/>
      <c r="N171"/>
    </row>
    <row r="172" spans="3:14" x14ac:dyDescent="0.2">
      <c r="C172" s="24"/>
      <c r="H172" s="3560"/>
      <c r="I172" s="3560"/>
      <c r="L172"/>
      <c r="M172"/>
      <c r="N172"/>
    </row>
    <row r="173" spans="3:14" x14ac:dyDescent="0.2">
      <c r="C173" s="24"/>
      <c r="H173" s="3560"/>
      <c r="I173" s="3560"/>
      <c r="L173"/>
      <c r="M173"/>
      <c r="N173"/>
    </row>
    <row r="174" spans="3:14" x14ac:dyDescent="0.2">
      <c r="C174" s="24"/>
      <c r="H174" s="3560"/>
      <c r="I174" s="3560"/>
      <c r="L174"/>
      <c r="M174"/>
      <c r="N174"/>
    </row>
    <row r="175" spans="3:14" x14ac:dyDescent="0.2">
      <c r="C175" s="24"/>
      <c r="H175" s="3560"/>
      <c r="I175" s="3560"/>
      <c r="L175"/>
      <c r="M175"/>
      <c r="N175"/>
    </row>
    <row r="176" spans="3:14" x14ac:dyDescent="0.2">
      <c r="C176" s="24"/>
      <c r="H176" s="3560"/>
      <c r="I176" s="3560"/>
      <c r="L176"/>
      <c r="M176"/>
      <c r="N176"/>
    </row>
    <row r="177" spans="3:14" x14ac:dyDescent="0.2">
      <c r="C177" s="24"/>
      <c r="H177" s="3560"/>
      <c r="I177" s="3560"/>
      <c r="L177"/>
      <c r="M177"/>
      <c r="N177"/>
    </row>
    <row r="178" spans="3:14" x14ac:dyDescent="0.2">
      <c r="C178" s="24"/>
      <c r="H178" s="3560"/>
      <c r="I178" s="3560"/>
      <c r="L178"/>
      <c r="M178"/>
      <c r="N178"/>
    </row>
    <row r="179" spans="3:14" x14ac:dyDescent="0.2">
      <c r="C179" s="24"/>
      <c r="H179" s="3560"/>
      <c r="I179" s="3560"/>
      <c r="L179"/>
      <c r="M179"/>
      <c r="N179"/>
    </row>
    <row r="180" spans="3:14" x14ac:dyDescent="0.2">
      <c r="C180" s="24"/>
      <c r="H180" s="3560"/>
      <c r="I180" s="3560"/>
      <c r="L180"/>
      <c r="M180"/>
      <c r="N180"/>
    </row>
    <row r="181" spans="3:14" x14ac:dyDescent="0.2">
      <c r="C181" s="24"/>
      <c r="H181" s="3560"/>
      <c r="I181" s="3560"/>
      <c r="L181"/>
      <c r="M181"/>
      <c r="N181"/>
    </row>
    <row r="182" spans="3:14" x14ac:dyDescent="0.2">
      <c r="C182" s="24"/>
      <c r="H182" s="3560"/>
      <c r="I182" s="3560"/>
      <c r="L182"/>
      <c r="M182"/>
      <c r="N182"/>
    </row>
    <row r="183" spans="3:14" x14ac:dyDescent="0.2">
      <c r="C183" s="24"/>
      <c r="H183" s="3560"/>
      <c r="I183" s="3560"/>
      <c r="L183"/>
      <c r="M183"/>
      <c r="N183"/>
    </row>
    <row r="184" spans="3:14" x14ac:dyDescent="0.2">
      <c r="C184" s="24"/>
      <c r="H184" s="3560"/>
      <c r="I184" s="3560"/>
      <c r="L184"/>
      <c r="M184"/>
      <c r="N184"/>
    </row>
    <row r="185" spans="3:14" x14ac:dyDescent="0.2">
      <c r="C185" s="24"/>
      <c r="H185" s="3560"/>
      <c r="I185" s="3560"/>
      <c r="L185"/>
      <c r="M185"/>
      <c r="N185"/>
    </row>
    <row r="186" spans="3:14" x14ac:dyDescent="0.2">
      <c r="C186" s="24"/>
      <c r="H186" s="3560"/>
      <c r="I186" s="3560"/>
      <c r="L186"/>
      <c r="M186"/>
      <c r="N186"/>
    </row>
    <row r="187" spans="3:14" x14ac:dyDescent="0.2">
      <c r="C187" s="24"/>
      <c r="H187"/>
      <c r="L187"/>
      <c r="M187"/>
      <c r="N187"/>
    </row>
    <row r="188" spans="3:14" x14ac:dyDescent="0.2">
      <c r="C188" s="31" t="s">
        <v>8095</v>
      </c>
      <c r="D188" s="31" t="s">
        <v>8094</v>
      </c>
      <c r="H188"/>
      <c r="L188"/>
      <c r="M188"/>
      <c r="N188"/>
    </row>
    <row r="189" spans="3:14" x14ac:dyDescent="0.2">
      <c r="C189" s="24" t="s">
        <v>8093</v>
      </c>
      <c r="D189" s="35">
        <v>11</v>
      </c>
      <c r="H189"/>
      <c r="L189"/>
      <c r="M189"/>
      <c r="N189"/>
    </row>
    <row r="190" spans="3:14" x14ac:dyDescent="0.2">
      <c r="C190" s="51" t="s">
        <v>8096</v>
      </c>
      <c r="D190" s="35">
        <v>3.6</v>
      </c>
      <c r="H190"/>
      <c r="L190"/>
      <c r="M190"/>
      <c r="N190"/>
    </row>
    <row r="191" spans="3:14" x14ac:dyDescent="0.2">
      <c r="C191" s="51" t="s">
        <v>8097</v>
      </c>
      <c r="D191" s="35">
        <v>18</v>
      </c>
      <c r="H191"/>
      <c r="L191"/>
      <c r="M191"/>
      <c r="N191"/>
    </row>
    <row r="192" spans="3:14" x14ac:dyDescent="0.2">
      <c r="C192" s="51" t="s">
        <v>8098</v>
      </c>
      <c r="D192" s="35">
        <v>22.5</v>
      </c>
      <c r="H192"/>
      <c r="L192"/>
      <c r="M192"/>
      <c r="N192"/>
    </row>
    <row r="193" spans="3:14" x14ac:dyDescent="0.2">
      <c r="C193" s="51" t="s">
        <v>8099</v>
      </c>
      <c r="D193" s="35">
        <v>2</v>
      </c>
      <c r="H193"/>
      <c r="L193"/>
      <c r="M193"/>
      <c r="N193"/>
    </row>
    <row r="194" spans="3:14" x14ac:dyDescent="0.2">
      <c r="C194" s="2799" t="s">
        <v>361</v>
      </c>
      <c r="D194" s="2800">
        <f>SUM(D189:D193)</f>
        <v>57.1</v>
      </c>
      <c r="H194"/>
      <c r="L194"/>
      <c r="M194"/>
      <c r="N194"/>
    </row>
    <row r="195" spans="3:14" x14ac:dyDescent="0.2">
      <c r="C195" s="24"/>
      <c r="H195"/>
      <c r="L195"/>
      <c r="M195"/>
      <c r="N195"/>
    </row>
  </sheetData>
  <mergeCells count="54">
    <mergeCell ref="H170:I186"/>
    <mergeCell ref="D146:E146"/>
    <mergeCell ref="D137:E137"/>
    <mergeCell ref="D138:E138"/>
    <mergeCell ref="D144:E144"/>
    <mergeCell ref="C140:O140"/>
    <mergeCell ref="K141:L141"/>
    <mergeCell ref="M144:N144"/>
    <mergeCell ref="I144:J144"/>
    <mergeCell ref="F142:H142"/>
    <mergeCell ref="F144:H144"/>
    <mergeCell ref="K142:L142"/>
    <mergeCell ref="K144:L144"/>
    <mergeCell ref="M141:N141"/>
    <mergeCell ref="I146:J146"/>
    <mergeCell ref="M146:N146"/>
    <mergeCell ref="D150:E150"/>
    <mergeCell ref="I150:J150"/>
    <mergeCell ref="M150:N150"/>
    <mergeCell ref="D148:E148"/>
    <mergeCell ref="F148:H148"/>
    <mergeCell ref="I148:J148"/>
    <mergeCell ref="K148:L148"/>
    <mergeCell ref="M148:N148"/>
    <mergeCell ref="K146:L146"/>
    <mergeCell ref="K150:L150"/>
    <mergeCell ref="F146:H146"/>
    <mergeCell ref="F150:H150"/>
    <mergeCell ref="I142:J142"/>
    <mergeCell ref="M142:N142"/>
    <mergeCell ref="D141:E141"/>
    <mergeCell ref="I141:J141"/>
    <mergeCell ref="F141:H141"/>
    <mergeCell ref="D142:E142"/>
    <mergeCell ref="F137:H137"/>
    <mergeCell ref="F138:H138"/>
    <mergeCell ref="C136:O136"/>
    <mergeCell ref="I138:J138"/>
    <mergeCell ref="M137:N137"/>
    <mergeCell ref="M138:N138"/>
    <mergeCell ref="I137:J137"/>
    <mergeCell ref="K137:L137"/>
    <mergeCell ref="K138:L138"/>
    <mergeCell ref="A94:H94"/>
    <mergeCell ref="A2:J2"/>
    <mergeCell ref="A25:H25"/>
    <mergeCell ref="A27:J27"/>
    <mergeCell ref="A60:H60"/>
    <mergeCell ref="A62:J62"/>
    <mergeCell ref="L77:N77"/>
    <mergeCell ref="L80:M80"/>
    <mergeCell ref="L88:M88"/>
    <mergeCell ref="L90:M90"/>
    <mergeCell ref="L92:M92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20F7A-D4F4-4882-BD89-1C9D74265B0E}">
  <dimension ref="A2:Q67"/>
  <sheetViews>
    <sheetView topLeftCell="A16" zoomScaleNormal="100" workbookViewId="0">
      <selection activeCell="F54" sqref="F54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2" spans="1:17" ht="27" thickBot="1" x14ac:dyDescent="0.45">
      <c r="A2" s="3564" t="s">
        <v>7639</v>
      </c>
      <c r="B2" s="3565"/>
      <c r="C2" s="3565"/>
      <c r="D2" s="3565"/>
      <c r="E2" s="3565"/>
      <c r="F2" s="3565"/>
      <c r="G2" s="3565"/>
      <c r="H2" s="3565"/>
      <c r="I2" s="3565"/>
      <c r="J2" s="3566"/>
      <c r="K2" s="2084"/>
    </row>
    <row r="3" spans="1:17" ht="40.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6227</v>
      </c>
      <c r="K3" s="32"/>
    </row>
    <row r="4" spans="1:17" ht="21.75" customHeight="1" x14ac:dyDescent="0.2">
      <c r="A4" s="1493"/>
      <c r="B4" s="1499">
        <v>45716</v>
      </c>
      <c r="C4" s="1499" t="s">
        <v>7397</v>
      </c>
      <c r="D4" s="1496" t="s">
        <v>7613</v>
      </c>
      <c r="E4" s="1496" t="s">
        <v>7623</v>
      </c>
      <c r="F4" s="1604" t="s">
        <v>6186</v>
      </c>
      <c r="G4" s="2124">
        <v>1</v>
      </c>
      <c r="H4" s="1638">
        <v>289.99</v>
      </c>
      <c r="I4" s="2127">
        <f>H4*G4</f>
        <v>289.99</v>
      </c>
      <c r="J4" s="2197"/>
      <c r="K4" s="746"/>
    </row>
    <row r="5" spans="1:17" ht="21.75" customHeight="1" x14ac:dyDescent="0.2">
      <c r="A5" s="1493"/>
      <c r="B5" s="1499">
        <v>45716</v>
      </c>
      <c r="C5" s="1499" t="s">
        <v>7397</v>
      </c>
      <c r="D5" s="1496" t="s">
        <v>7613</v>
      </c>
      <c r="E5" s="1496" t="s">
        <v>757</v>
      </c>
      <c r="F5" s="1604" t="s">
        <v>6186</v>
      </c>
      <c r="G5" s="2041">
        <v>2</v>
      </c>
      <c r="H5" s="1638">
        <v>38</v>
      </c>
      <c r="I5" s="2127">
        <f t="shared" ref="I5:I7" si="0">H5*G5</f>
        <v>76</v>
      </c>
      <c r="J5" s="2197"/>
      <c r="L5" s="2139"/>
      <c r="M5" s="3567" t="s">
        <v>7508</v>
      </c>
      <c r="N5" s="3567"/>
      <c r="O5" s="3567"/>
      <c r="P5" s="3567"/>
      <c r="Q5" s="1704"/>
    </row>
    <row r="6" spans="1:17" ht="21.75" customHeight="1" x14ac:dyDescent="0.2">
      <c r="A6" s="1493"/>
      <c r="B6" s="1499">
        <v>45716</v>
      </c>
      <c r="C6" s="1499" t="s">
        <v>7397</v>
      </c>
      <c r="D6" s="1496" t="s">
        <v>7613</v>
      </c>
      <c r="E6" s="1496" t="s">
        <v>7490</v>
      </c>
      <c r="F6" s="1604" t="s">
        <v>6225</v>
      </c>
      <c r="G6" s="2041">
        <v>150</v>
      </c>
      <c r="H6" s="1638">
        <v>0.8</v>
      </c>
      <c r="I6" s="2127">
        <f t="shared" si="0"/>
        <v>120</v>
      </c>
      <c r="J6" s="2197"/>
      <c r="L6" s="2139"/>
      <c r="M6" s="24" t="s">
        <v>7507</v>
      </c>
      <c r="N6" s="24" t="s">
        <v>7506</v>
      </c>
      <c r="O6" s="51" t="s">
        <v>772</v>
      </c>
      <c r="P6" s="2117"/>
      <c r="Q6" s="1704"/>
    </row>
    <row r="7" spans="1:17" ht="21.75" customHeight="1" x14ac:dyDescent="0.2">
      <c r="A7" s="1493"/>
      <c r="B7" s="1499">
        <v>45716</v>
      </c>
      <c r="C7" s="1499" t="s">
        <v>7397</v>
      </c>
      <c r="D7" s="1496" t="s">
        <v>7613</v>
      </c>
      <c r="E7" s="1496" t="s">
        <v>7624</v>
      </c>
      <c r="F7" s="1604" t="s">
        <v>6225</v>
      </c>
      <c r="G7" s="2041">
        <v>2</v>
      </c>
      <c r="H7" s="1638">
        <v>16</v>
      </c>
      <c r="I7" s="2127">
        <f t="shared" si="0"/>
        <v>32</v>
      </c>
      <c r="J7" s="2197"/>
      <c r="L7" s="2139"/>
      <c r="M7" s="24" t="s">
        <v>7507</v>
      </c>
      <c r="N7" s="24" t="s">
        <v>7506</v>
      </c>
      <c r="O7" s="51" t="s">
        <v>772</v>
      </c>
      <c r="P7" s="2117"/>
      <c r="Q7" s="1704"/>
    </row>
    <row r="8" spans="1:17" ht="21.75" customHeight="1" x14ac:dyDescent="0.2">
      <c r="A8" s="1493"/>
      <c r="B8" s="1499"/>
      <c r="C8" s="1499"/>
      <c r="D8" s="1496"/>
      <c r="E8" s="2190" t="s">
        <v>7290</v>
      </c>
      <c r="F8" s="2191"/>
      <c r="G8" s="2192"/>
      <c r="H8" s="2598"/>
      <c r="I8" s="2599">
        <v>15.99</v>
      </c>
      <c r="J8" s="2197"/>
      <c r="K8" s="717"/>
      <c r="L8" s="51"/>
      <c r="M8" s="51"/>
      <c r="N8" s="51"/>
      <c r="O8" s="717"/>
      <c r="P8" s="2117"/>
      <c r="Q8" s="2117"/>
    </row>
    <row r="9" spans="1:17" ht="21.75" customHeight="1" x14ac:dyDescent="0.2">
      <c r="A9" s="1493" t="s">
        <v>6244</v>
      </c>
      <c r="B9" s="1499"/>
      <c r="C9" s="1499"/>
      <c r="D9" s="1496"/>
      <c r="E9" s="1496"/>
      <c r="F9" s="2199"/>
      <c r="G9" s="2200"/>
      <c r="H9" s="1638"/>
      <c r="I9" s="2209">
        <f>SUM(I4:I7)-I8</f>
        <v>502</v>
      </c>
      <c r="J9" s="2197"/>
      <c r="K9" s="746"/>
      <c r="M9" s="239">
        <v>35</v>
      </c>
      <c r="N9" s="2618">
        <v>39</v>
      </c>
      <c r="O9" s="2206">
        <f>N9*M9</f>
        <v>1365</v>
      </c>
      <c r="P9" s="2615"/>
    </row>
    <row r="10" spans="1:17" ht="21.75" customHeight="1" x14ac:dyDescent="0.2">
      <c r="B10" s="1499"/>
      <c r="C10" s="1499"/>
      <c r="D10" s="1496"/>
      <c r="E10" s="1496"/>
      <c r="F10" s="1604"/>
      <c r="G10" s="2041"/>
      <c r="H10" s="1638"/>
      <c r="J10" s="2197"/>
      <c r="L10" s="2139"/>
      <c r="O10" s="24"/>
      <c r="Q10" s="1704"/>
    </row>
    <row r="11" spans="1:17" ht="21.75" customHeight="1" x14ac:dyDescent="0.2">
      <c r="A11" s="1493"/>
      <c r="B11" s="1499">
        <v>45747</v>
      </c>
      <c r="C11" s="1499" t="s">
        <v>7397</v>
      </c>
      <c r="D11" s="1496" t="s">
        <v>7613</v>
      </c>
      <c r="E11" s="1496" t="s">
        <v>7641</v>
      </c>
      <c r="F11" s="1604" t="s">
        <v>6186</v>
      </c>
      <c r="G11" s="2124">
        <v>1</v>
      </c>
      <c r="H11" s="1638">
        <v>260</v>
      </c>
      <c r="I11" s="2127">
        <f>H11*G11</f>
        <v>260</v>
      </c>
      <c r="J11" s="2197"/>
      <c r="K11" s="746"/>
      <c r="L11" s="2139"/>
      <c r="M11" s="3567" t="s">
        <v>7509</v>
      </c>
      <c r="N11" s="3567"/>
      <c r="O11" s="3567"/>
      <c r="P11" s="3567"/>
      <c r="Q11" s="1704"/>
    </row>
    <row r="12" spans="1:17" ht="21.75" customHeight="1" x14ac:dyDescent="0.2">
      <c r="A12" s="1493"/>
      <c r="B12" s="1499">
        <v>45747</v>
      </c>
      <c r="C12" s="1499" t="s">
        <v>7397</v>
      </c>
      <c r="D12" s="1496" t="s">
        <v>7613</v>
      </c>
      <c r="E12" s="1496" t="s">
        <v>757</v>
      </c>
      <c r="F12" s="1604" t="s">
        <v>6186</v>
      </c>
      <c r="G12" s="2041">
        <v>4</v>
      </c>
      <c r="H12" s="1638">
        <v>38</v>
      </c>
      <c r="I12" s="2127">
        <f t="shared" ref="I12:I13" si="1">H12*G12</f>
        <v>152</v>
      </c>
      <c r="J12" s="2197"/>
      <c r="K12" s="746"/>
      <c r="L12" s="2139"/>
      <c r="M12" s="24" t="s">
        <v>7507</v>
      </c>
      <c r="N12" s="24" t="s">
        <v>7506</v>
      </c>
      <c r="O12" s="31" t="s">
        <v>5963</v>
      </c>
      <c r="Q12" s="1704"/>
    </row>
    <row r="13" spans="1:17" ht="21.75" customHeight="1" x14ac:dyDescent="0.2">
      <c r="A13" s="1493"/>
      <c r="B13" s="1499">
        <v>45747</v>
      </c>
      <c r="C13" s="1499" t="s">
        <v>7397</v>
      </c>
      <c r="D13" s="1496" t="s">
        <v>7613</v>
      </c>
      <c r="E13" s="1496" t="s">
        <v>7642</v>
      </c>
      <c r="F13" s="1604" t="s">
        <v>6225</v>
      </c>
      <c r="G13" s="2041">
        <v>30</v>
      </c>
      <c r="H13" s="1638">
        <v>1.35</v>
      </c>
      <c r="I13" s="2127">
        <f t="shared" si="1"/>
        <v>40.5</v>
      </c>
      <c r="J13" s="2197"/>
      <c r="K13" s="746"/>
      <c r="M13" s="239">
        <v>35</v>
      </c>
      <c r="N13" s="2618">
        <v>25</v>
      </c>
      <c r="O13" s="2206">
        <f>N13*M13</f>
        <v>875</v>
      </c>
      <c r="P13" s="2615"/>
    </row>
    <row r="14" spans="1:17" ht="21.75" customHeight="1" x14ac:dyDescent="0.2">
      <c r="A14" s="1493"/>
      <c r="B14" s="1499"/>
      <c r="C14" s="1499"/>
      <c r="D14" s="1496"/>
      <c r="E14" s="2190" t="s">
        <v>7290</v>
      </c>
      <c r="F14" s="2191"/>
      <c r="G14" s="2192"/>
      <c r="H14" s="2598"/>
      <c r="I14" s="2599">
        <v>12.5</v>
      </c>
      <c r="J14" s="2197"/>
      <c r="L14" s="2139"/>
      <c r="O14" s="51"/>
      <c r="P14" s="2117"/>
      <c r="Q14" s="1704"/>
    </row>
    <row r="15" spans="1:17" ht="21.75" customHeight="1" x14ac:dyDescent="0.2">
      <c r="A15" s="1493" t="s">
        <v>6244</v>
      </c>
      <c r="B15" s="1499"/>
      <c r="C15" s="1499"/>
      <c r="D15" s="1496"/>
      <c r="E15" s="1496"/>
      <c r="F15" s="2199"/>
      <c r="G15" s="2200"/>
      <c r="H15" s="1638"/>
      <c r="I15" s="2209">
        <f>SUM(I11:I13)-I14</f>
        <v>440</v>
      </c>
      <c r="J15" s="2197"/>
      <c r="L15" s="2139"/>
      <c r="O15" s="51"/>
      <c r="P15" s="2117"/>
      <c r="Q15" s="1704"/>
    </row>
    <row r="16" spans="1:17" ht="21.75" customHeight="1" x14ac:dyDescent="0.2">
      <c r="B16" s="1499"/>
      <c r="C16" s="1499"/>
      <c r="D16" s="1496"/>
      <c r="E16" s="1496"/>
      <c r="F16" s="1604"/>
      <c r="G16" s="2041"/>
      <c r="H16" s="1638"/>
      <c r="J16" s="2197"/>
      <c r="K16" s="717"/>
      <c r="L16" s="51"/>
      <c r="M16" s="51"/>
      <c r="N16" s="51"/>
      <c r="O16" s="717"/>
      <c r="P16" s="2117"/>
      <c r="Q16" s="2117"/>
    </row>
    <row r="17" spans="1:17" ht="21.75" customHeight="1" x14ac:dyDescent="0.2">
      <c r="A17" s="1493" t="s">
        <v>6245</v>
      </c>
      <c r="B17" s="1499">
        <v>45755</v>
      </c>
      <c r="C17" s="1499"/>
      <c r="D17" s="1496"/>
      <c r="E17" s="1496" t="s">
        <v>7640</v>
      </c>
      <c r="F17" s="2199" t="s">
        <v>6186</v>
      </c>
      <c r="G17" s="2200">
        <v>1</v>
      </c>
      <c r="H17" s="1638">
        <v>500</v>
      </c>
      <c r="I17" s="2209">
        <f>H17*G17</f>
        <v>500</v>
      </c>
      <c r="J17" s="2197"/>
      <c r="K17" s="746"/>
      <c r="M17" s="239"/>
      <c r="N17" s="2618"/>
      <c r="O17" s="2206"/>
      <c r="P17" s="2615"/>
    </row>
    <row r="18" spans="1:17" ht="21.75" customHeight="1" x14ac:dyDescent="0.2">
      <c r="A18" s="1493"/>
      <c r="B18" s="1499"/>
      <c r="C18" s="1499"/>
      <c r="D18" s="1496"/>
      <c r="E18" s="1496"/>
      <c r="F18" s="1604"/>
      <c r="G18" s="2041"/>
      <c r="H18" s="1638"/>
      <c r="I18" s="2127"/>
      <c r="J18" s="2197"/>
      <c r="L18" s="2139"/>
      <c r="O18" s="24"/>
      <c r="Q18" s="1704"/>
    </row>
    <row r="19" spans="1:17" ht="21.75" customHeight="1" x14ac:dyDescent="0.2">
      <c r="A19" s="1493" t="s">
        <v>6245</v>
      </c>
      <c r="B19" s="1499">
        <v>45769</v>
      </c>
      <c r="C19" s="1499"/>
      <c r="D19" s="1496"/>
      <c r="E19" s="1496" t="s">
        <v>7657</v>
      </c>
      <c r="F19" s="1604" t="s">
        <v>6186</v>
      </c>
      <c r="G19" s="2041">
        <v>25</v>
      </c>
      <c r="H19" s="1638">
        <v>35</v>
      </c>
      <c r="I19" s="2209">
        <f>H19*G19</f>
        <v>875</v>
      </c>
      <c r="J19" s="2197"/>
      <c r="K19" s="746"/>
      <c r="M19" s="239"/>
      <c r="N19" s="2618"/>
      <c r="O19" s="2206"/>
      <c r="P19" s="2615"/>
    </row>
    <row r="20" spans="1:17" ht="21.75" customHeight="1" x14ac:dyDescent="0.2">
      <c r="A20" s="1493"/>
      <c r="B20" s="1499"/>
      <c r="C20" s="1499"/>
      <c r="D20" s="1496"/>
      <c r="E20" s="1496"/>
      <c r="F20" s="1604"/>
      <c r="G20" s="2041"/>
      <c r="H20" s="1638"/>
      <c r="I20" s="2127"/>
      <c r="J20" s="2197"/>
      <c r="K20" s="746"/>
    </row>
    <row r="21" spans="1:17" ht="21.75" customHeight="1" x14ac:dyDescent="0.2">
      <c r="A21" s="1493"/>
      <c r="B21" s="1499"/>
      <c r="C21" s="1499"/>
      <c r="D21" s="1496"/>
      <c r="E21" s="1496"/>
      <c r="F21" s="1604"/>
      <c r="G21" s="2041"/>
      <c r="H21" s="1638"/>
      <c r="I21" s="2209"/>
      <c r="J21" s="2197"/>
      <c r="K21" s="746"/>
    </row>
    <row r="22" spans="1:17" ht="21.75" customHeight="1" thickBot="1" x14ac:dyDescent="0.25">
      <c r="A22" s="1493"/>
      <c r="B22" s="1499"/>
      <c r="C22" s="1499"/>
      <c r="D22" s="1496"/>
      <c r="E22" s="1496"/>
      <c r="F22" s="1604"/>
      <c r="G22" s="2041"/>
      <c r="H22" s="1219"/>
      <c r="I22" s="2097"/>
      <c r="J22" s="2197"/>
      <c r="K22" s="746"/>
    </row>
    <row r="23" spans="1:17" ht="21.75" customHeight="1" thickBot="1" x14ac:dyDescent="0.25">
      <c r="A23" s="3510" t="s">
        <v>772</v>
      </c>
      <c r="B23" s="3511"/>
      <c r="C23" s="3511"/>
      <c r="D23" s="3511"/>
      <c r="E23" s="3511"/>
      <c r="F23" s="3511"/>
      <c r="G23" s="3511"/>
      <c r="H23" s="3512"/>
      <c r="I23" s="175">
        <f>SUMIF(A4:A22,"mo",I4:I22)+SUMIF(A4:A22,"mat",I4:I22)</f>
        <v>2317</v>
      </c>
      <c r="J23" s="2342"/>
      <c r="K23" s="746"/>
    </row>
    <row r="24" spans="1:17" ht="21.75" customHeight="1" x14ac:dyDescent="0.2">
      <c r="A24" s="51"/>
      <c r="B24" s="1543"/>
      <c r="C24" s="1543"/>
      <c r="D24" s="717"/>
      <c r="E24" s="717"/>
      <c r="F24" s="2277"/>
      <c r="G24" s="2277"/>
      <c r="H24" s="52"/>
      <c r="I24" s="52"/>
      <c r="J24" s="2205"/>
      <c r="K24" s="746"/>
    </row>
    <row r="25" spans="1:17" ht="13.5" thickBot="1" x14ac:dyDescent="0.25"/>
    <row r="26" spans="1:17" ht="27" thickBot="1" x14ac:dyDescent="0.45">
      <c r="A26" s="3104" t="s">
        <v>7527</v>
      </c>
      <c r="B26" s="3105"/>
      <c r="C26" s="3105"/>
      <c r="D26" s="3105"/>
      <c r="E26" s="3105"/>
      <c r="F26" s="3105"/>
      <c r="G26" s="3105"/>
      <c r="H26" s="3105"/>
      <c r="I26" s="3105"/>
      <c r="J26" s="3509"/>
      <c r="K26" s="2084"/>
    </row>
    <row r="27" spans="1:17" ht="40.5" customHeight="1" thickBot="1" x14ac:dyDescent="0.25">
      <c r="A27" s="8" t="s">
        <v>5546</v>
      </c>
      <c r="B27" s="11" t="s">
        <v>721</v>
      </c>
      <c r="C27" s="11" t="s">
        <v>6233</v>
      </c>
      <c r="D27" s="75" t="s">
        <v>6183</v>
      </c>
      <c r="E27" s="75" t="s">
        <v>722</v>
      </c>
      <c r="F27" s="2040" t="s">
        <v>6186</v>
      </c>
      <c r="G27" s="11" t="s">
        <v>723</v>
      </c>
      <c r="H27" s="398" t="s">
        <v>724</v>
      </c>
      <c r="I27" s="2047" t="s">
        <v>725</v>
      </c>
      <c r="J27" s="75" t="s">
        <v>6227</v>
      </c>
      <c r="K27" s="32"/>
      <c r="M27" s="32"/>
      <c r="N27" s="31"/>
      <c r="O27" s="32"/>
    </row>
    <row r="28" spans="1:17" ht="21.75" customHeight="1" x14ac:dyDescent="0.2">
      <c r="A28" s="1493"/>
      <c r="B28" s="1499">
        <v>45731</v>
      </c>
      <c r="C28" s="1499" t="s">
        <v>798</v>
      </c>
      <c r="D28" s="1496" t="s">
        <v>7527</v>
      </c>
      <c r="E28" s="1496" t="s">
        <v>7528</v>
      </c>
      <c r="F28" s="2348" t="s">
        <v>6186</v>
      </c>
      <c r="G28" s="2041">
        <v>1</v>
      </c>
      <c r="H28" s="1638">
        <v>589.99</v>
      </c>
      <c r="I28" s="2127">
        <f>H28*G28</f>
        <v>589.99</v>
      </c>
      <c r="J28" s="2197"/>
      <c r="K28" s="746"/>
      <c r="M28" s="1"/>
      <c r="N28" s="231"/>
    </row>
    <row r="29" spans="1:17" ht="21.75" customHeight="1" x14ac:dyDescent="0.2">
      <c r="A29" s="1493"/>
      <c r="B29" s="1499">
        <v>45731</v>
      </c>
      <c r="C29" s="1499" t="s">
        <v>798</v>
      </c>
      <c r="D29" s="1496" t="s">
        <v>7527</v>
      </c>
      <c r="E29" s="1496" t="s">
        <v>7529</v>
      </c>
      <c r="F29" s="2041" t="s">
        <v>6186</v>
      </c>
      <c r="G29" s="2041">
        <v>1</v>
      </c>
      <c r="H29" s="1638">
        <v>589.99</v>
      </c>
      <c r="I29" s="2127">
        <f t="shared" ref="I29:I30" si="2">H29*G29</f>
        <v>589.99</v>
      </c>
      <c r="J29" s="2197"/>
      <c r="L29" s="2139"/>
      <c r="M29" s="1"/>
      <c r="N29" s="231"/>
      <c r="O29" s="1704"/>
      <c r="P29" s="1704"/>
      <c r="Q29" s="1704"/>
    </row>
    <row r="30" spans="1:17" ht="21.75" customHeight="1" x14ac:dyDescent="0.2">
      <c r="A30" s="1493"/>
      <c r="B30" s="1499">
        <v>45731</v>
      </c>
      <c r="C30" s="1499" t="s">
        <v>798</v>
      </c>
      <c r="D30" s="1496" t="s">
        <v>7527</v>
      </c>
      <c r="E30" s="1496" t="s">
        <v>7712</v>
      </c>
      <c r="F30" s="2041" t="s">
        <v>6186</v>
      </c>
      <c r="G30" s="2041">
        <v>1</v>
      </c>
      <c r="H30" s="1638">
        <v>2000</v>
      </c>
      <c r="I30" s="2127">
        <f t="shared" si="2"/>
        <v>2000</v>
      </c>
      <c r="J30" s="2197"/>
      <c r="L30" s="2139"/>
      <c r="M30" s="1"/>
      <c r="N30" s="231"/>
      <c r="O30" s="1704"/>
      <c r="P30" s="1704"/>
      <c r="Q30" s="1704"/>
    </row>
    <row r="31" spans="1:17" ht="21.75" customHeight="1" x14ac:dyDescent="0.2">
      <c r="A31" s="1493"/>
      <c r="B31" s="1499">
        <v>45731</v>
      </c>
      <c r="C31" s="1499" t="s">
        <v>798</v>
      </c>
      <c r="D31" s="1496" t="s">
        <v>7527</v>
      </c>
      <c r="E31" s="1496" t="s">
        <v>7531</v>
      </c>
      <c r="F31" s="2041" t="s">
        <v>6186</v>
      </c>
      <c r="G31" s="2041">
        <v>1</v>
      </c>
      <c r="H31" s="1638">
        <v>699.99</v>
      </c>
      <c r="I31" s="2127">
        <f>H31*G31</f>
        <v>699.99</v>
      </c>
      <c r="J31" s="2197"/>
      <c r="K31" s="746" t="s">
        <v>7533</v>
      </c>
      <c r="M31" s="1"/>
      <c r="N31" s="231"/>
    </row>
    <row r="32" spans="1:17" ht="21.75" customHeight="1" x14ac:dyDescent="0.2">
      <c r="A32" s="1493"/>
      <c r="B32" s="1499">
        <v>45731</v>
      </c>
      <c r="C32" s="1499" t="s">
        <v>798</v>
      </c>
      <c r="D32" s="1496" t="s">
        <v>7527</v>
      </c>
      <c r="E32" s="1496" t="s">
        <v>7530</v>
      </c>
      <c r="F32" s="2041" t="s">
        <v>6186</v>
      </c>
      <c r="G32" s="2041">
        <v>1</v>
      </c>
      <c r="H32" s="1638">
        <v>629.99</v>
      </c>
      <c r="I32" s="2127">
        <f t="shared" ref="I32:I35" si="3">H32*G32</f>
        <v>629.99</v>
      </c>
      <c r="J32" s="2197"/>
      <c r="K32" t="s">
        <v>7534</v>
      </c>
      <c r="L32" s="2139"/>
      <c r="M32" s="1"/>
      <c r="N32" s="231"/>
      <c r="O32" s="1704"/>
      <c r="P32" s="1704"/>
      <c r="Q32" s="1704"/>
    </row>
    <row r="33" spans="1:17" ht="21.75" customHeight="1" x14ac:dyDescent="0.2">
      <c r="A33" s="1493"/>
      <c r="B33" s="1499">
        <v>45731</v>
      </c>
      <c r="C33" s="1499" t="s">
        <v>798</v>
      </c>
      <c r="D33" s="1496" t="s">
        <v>7527</v>
      </c>
      <c r="E33" s="1496" t="s">
        <v>7532</v>
      </c>
      <c r="F33" s="2041" t="s">
        <v>6186</v>
      </c>
      <c r="G33" s="2041">
        <v>1</v>
      </c>
      <c r="H33" s="1638">
        <v>1099.99</v>
      </c>
      <c r="I33" s="2127">
        <f t="shared" si="3"/>
        <v>1099.99</v>
      </c>
      <c r="J33" s="2197"/>
      <c r="K33" s="746" t="s">
        <v>7533</v>
      </c>
      <c r="L33" s="2139"/>
      <c r="M33" s="1"/>
      <c r="N33" s="231"/>
      <c r="O33" s="1704"/>
      <c r="P33" s="1704"/>
      <c r="Q33" s="1704"/>
    </row>
    <row r="34" spans="1:17" ht="21.75" customHeight="1" x14ac:dyDescent="0.2">
      <c r="A34" s="1493"/>
      <c r="B34" s="1499">
        <v>45731</v>
      </c>
      <c r="C34" s="1499" t="s">
        <v>798</v>
      </c>
      <c r="D34" s="1496" t="s">
        <v>7527</v>
      </c>
      <c r="E34" s="1496" t="s">
        <v>7535</v>
      </c>
      <c r="F34" s="2041" t="s">
        <v>6186</v>
      </c>
      <c r="G34" s="2041">
        <v>1</v>
      </c>
      <c r="H34" s="1638">
        <v>599.99</v>
      </c>
      <c r="I34" s="2127">
        <f t="shared" si="3"/>
        <v>599.99</v>
      </c>
      <c r="J34" s="2197"/>
      <c r="K34" s="746"/>
      <c r="L34" s="2139"/>
      <c r="M34" s="1"/>
      <c r="N34" s="231"/>
      <c r="O34" s="1704"/>
      <c r="P34" s="1704"/>
      <c r="Q34" s="1704"/>
    </row>
    <row r="35" spans="1:17" ht="21.75" customHeight="1" x14ac:dyDescent="0.2">
      <c r="A35" s="1493"/>
      <c r="B35" s="1499">
        <v>45731</v>
      </c>
      <c r="C35" s="1499" t="s">
        <v>798</v>
      </c>
      <c r="D35" s="1496" t="s">
        <v>7527</v>
      </c>
      <c r="E35" s="1496" t="s">
        <v>7449</v>
      </c>
      <c r="F35" s="2041" t="s">
        <v>6186</v>
      </c>
      <c r="G35" s="2041">
        <v>1</v>
      </c>
      <c r="H35" s="1638">
        <v>60</v>
      </c>
      <c r="I35" s="2127">
        <f t="shared" si="3"/>
        <v>60</v>
      </c>
      <c r="J35" s="2197"/>
      <c r="K35" s="746"/>
      <c r="L35" s="2139"/>
      <c r="M35" s="231"/>
      <c r="N35" s="2139"/>
      <c r="O35" s="1704"/>
      <c r="P35" s="1704"/>
      <c r="Q35" s="1704"/>
    </row>
    <row r="36" spans="1:17" ht="21.75" customHeight="1" x14ac:dyDescent="0.2">
      <c r="A36" s="1493" t="s">
        <v>6244</v>
      </c>
      <c r="B36" s="1499"/>
      <c r="C36" s="1499"/>
      <c r="D36" s="1496"/>
      <c r="E36" s="1496"/>
      <c r="F36" s="2041"/>
      <c r="G36" s="2041"/>
      <c r="H36" s="1219"/>
      <c r="I36" s="2059">
        <f>SUM(I28:I35)</f>
        <v>6269.94</v>
      </c>
      <c r="J36" s="2197"/>
      <c r="K36" s="746"/>
      <c r="M36" s="51"/>
      <c r="N36" s="51"/>
      <c r="O36" s="51"/>
    </row>
    <row r="37" spans="1:17" ht="21.75" customHeight="1" x14ac:dyDescent="0.2">
      <c r="A37" s="1493"/>
      <c r="B37" s="1499"/>
      <c r="C37" s="1499"/>
      <c r="D37" s="1496"/>
      <c r="E37" s="1496"/>
      <c r="F37" s="2041"/>
      <c r="G37" s="2041"/>
      <c r="H37" s="1219"/>
      <c r="I37" s="2097"/>
      <c r="J37" s="2197"/>
      <c r="K37" s="746"/>
      <c r="M37" s="51"/>
      <c r="N37" s="51"/>
      <c r="O37" s="24"/>
    </row>
    <row r="38" spans="1:17" ht="21.75" customHeight="1" x14ac:dyDescent="0.2">
      <c r="A38" s="1493"/>
      <c r="B38" s="1499">
        <v>45749</v>
      </c>
      <c r="C38" s="1499" t="s">
        <v>6234</v>
      </c>
      <c r="D38" s="1496" t="s">
        <v>7538</v>
      </c>
      <c r="E38" s="1496" t="s">
        <v>7664</v>
      </c>
      <c r="F38" s="2041" t="s">
        <v>6186</v>
      </c>
      <c r="G38" s="2124">
        <v>15</v>
      </c>
      <c r="H38" s="1638">
        <v>5.85</v>
      </c>
      <c r="I38" s="2127">
        <f>H38*G38</f>
        <v>87.75</v>
      </c>
      <c r="J38" s="2197"/>
      <c r="K38" s="746"/>
      <c r="M38" s="51"/>
    </row>
    <row r="39" spans="1:17" ht="21.75" customHeight="1" x14ac:dyDescent="0.2">
      <c r="A39" s="1493"/>
      <c r="B39" s="1499">
        <v>45749</v>
      </c>
      <c r="C39" s="1499" t="s">
        <v>6234</v>
      </c>
      <c r="D39" s="1496" t="s">
        <v>7538</v>
      </c>
      <c r="E39" s="1496" t="s">
        <v>757</v>
      </c>
      <c r="F39" s="2041" t="s">
        <v>6186</v>
      </c>
      <c r="G39" s="2041">
        <v>2</v>
      </c>
      <c r="H39" s="1638">
        <v>34</v>
      </c>
      <c r="I39" s="2127">
        <f t="shared" ref="I39" si="4">H39*G39</f>
        <v>68</v>
      </c>
      <c r="J39" s="2197"/>
      <c r="P39" s="1704"/>
      <c r="Q39" s="1704"/>
    </row>
    <row r="40" spans="1:17" ht="21.75" customHeight="1" x14ac:dyDescent="0.2">
      <c r="A40" s="1493" t="s">
        <v>6244</v>
      </c>
      <c r="B40" s="1499"/>
      <c r="C40" s="1499"/>
      <c r="D40" s="1496"/>
      <c r="E40" s="1496"/>
      <c r="F40" s="2200"/>
      <c r="G40" s="2200"/>
      <c r="H40" s="1638"/>
      <c r="I40" s="2209">
        <f>SUM(I38:I39)</f>
        <v>155.75</v>
      </c>
      <c r="J40" s="2197"/>
      <c r="K40" s="746"/>
    </row>
    <row r="41" spans="1:17" ht="21.75" customHeight="1" x14ac:dyDescent="0.2">
      <c r="A41" s="1493"/>
      <c r="B41" s="1499"/>
      <c r="C41" s="1499"/>
      <c r="D41" s="1496"/>
      <c r="E41" s="1496"/>
      <c r="F41" s="2041"/>
      <c r="G41" s="2041"/>
      <c r="H41" s="1638"/>
      <c r="I41" s="2209"/>
      <c r="J41" s="2197"/>
      <c r="K41" s="746"/>
    </row>
    <row r="42" spans="1:17" ht="21.75" customHeight="1" x14ac:dyDescent="0.2">
      <c r="A42" s="1493" t="s">
        <v>6244</v>
      </c>
      <c r="B42" s="1499">
        <v>45749</v>
      </c>
      <c r="C42" s="1499" t="s">
        <v>7493</v>
      </c>
      <c r="D42" s="1496" t="s">
        <v>7538</v>
      </c>
      <c r="E42" s="1496" t="s">
        <v>7666</v>
      </c>
      <c r="F42" s="2041" t="s">
        <v>6186</v>
      </c>
      <c r="G42" s="2124">
        <v>3</v>
      </c>
      <c r="H42" s="1638">
        <v>28</v>
      </c>
      <c r="I42" s="2209">
        <f>H42*G42</f>
        <v>84</v>
      </c>
      <c r="J42" s="2197"/>
      <c r="K42" s="746"/>
      <c r="M42" s="51"/>
    </row>
    <row r="43" spans="1:17" ht="21.75" customHeight="1" x14ac:dyDescent="0.2">
      <c r="A43" s="1493"/>
      <c r="B43" s="1499"/>
      <c r="C43" s="1499"/>
      <c r="D43" s="1496"/>
      <c r="E43" s="1496"/>
      <c r="F43" s="2041"/>
      <c r="G43" s="2041"/>
      <c r="H43" s="1638"/>
      <c r="I43" s="2127"/>
      <c r="J43" s="2197"/>
      <c r="P43" s="1704"/>
      <c r="Q43" s="1704"/>
    </row>
    <row r="44" spans="1:17" ht="21.75" customHeight="1" x14ac:dyDescent="0.2">
      <c r="A44" s="1493" t="s">
        <v>6244</v>
      </c>
      <c r="B44" s="1499">
        <v>45749</v>
      </c>
      <c r="C44" s="1499" t="s">
        <v>7669</v>
      </c>
      <c r="D44" s="1496" t="s">
        <v>7538</v>
      </c>
      <c r="E44" s="1496" t="s">
        <v>7670</v>
      </c>
      <c r="F44" s="2041" t="s">
        <v>6186</v>
      </c>
      <c r="G44" s="2124">
        <v>1</v>
      </c>
      <c r="H44" s="1638">
        <v>40</v>
      </c>
      <c r="I44" s="2209">
        <f>H44*G44</f>
        <v>40</v>
      </c>
      <c r="J44" s="2197"/>
      <c r="K44" s="746"/>
      <c r="M44" s="51"/>
    </row>
    <row r="45" spans="1:17" ht="21.75" customHeight="1" x14ac:dyDescent="0.2">
      <c r="A45" s="1493"/>
      <c r="B45" s="1499"/>
      <c r="C45" s="1499"/>
      <c r="D45" s="1496"/>
      <c r="E45" s="1496"/>
      <c r="F45" s="2041"/>
      <c r="G45" s="2041"/>
      <c r="H45" s="1638"/>
      <c r="I45" s="2127"/>
      <c r="J45" s="2197"/>
      <c r="P45" s="1704"/>
      <c r="Q45" s="1704"/>
    </row>
    <row r="46" spans="1:17" ht="21.75" customHeight="1" x14ac:dyDescent="0.2">
      <c r="A46" s="1493" t="s">
        <v>6244</v>
      </c>
      <c r="B46" s="1499">
        <v>45750</v>
      </c>
      <c r="C46" s="1499" t="s">
        <v>7675</v>
      </c>
      <c r="D46" s="1496" t="s">
        <v>7538</v>
      </c>
      <c r="E46" s="2691" t="s">
        <v>7676</v>
      </c>
      <c r="F46" s="2041" t="s">
        <v>6186</v>
      </c>
      <c r="G46" s="2124">
        <v>1</v>
      </c>
      <c r="H46" s="1638">
        <v>500</v>
      </c>
      <c r="I46" s="2209">
        <f>H46*G46</f>
        <v>500</v>
      </c>
      <c r="J46" s="2197"/>
      <c r="K46" s="746"/>
      <c r="M46" s="51"/>
    </row>
    <row r="47" spans="1:17" ht="21.75" customHeight="1" x14ac:dyDescent="0.2">
      <c r="A47" s="1493"/>
      <c r="B47" s="1499"/>
      <c r="C47" s="1499"/>
      <c r="D47" s="1496"/>
      <c r="E47" s="1496"/>
      <c r="F47" s="2041"/>
      <c r="G47" s="2041"/>
      <c r="H47" s="1638"/>
      <c r="I47" s="2209"/>
      <c r="J47" s="2197"/>
      <c r="K47" s="746"/>
    </row>
    <row r="48" spans="1:17" ht="21.75" customHeight="1" x14ac:dyDescent="0.2">
      <c r="A48" s="1493"/>
      <c r="B48" s="1499">
        <v>45756</v>
      </c>
      <c r="C48" s="1499" t="s">
        <v>7287</v>
      </c>
      <c r="D48" s="1496" t="s">
        <v>7538</v>
      </c>
      <c r="E48" s="1496" t="s">
        <v>7666</v>
      </c>
      <c r="F48" s="2041" t="s">
        <v>6186</v>
      </c>
      <c r="G48" s="2124">
        <v>3</v>
      </c>
      <c r="H48" s="1638">
        <v>28.9</v>
      </c>
      <c r="I48" s="2127">
        <f>H48*G48</f>
        <v>86.699999999999989</v>
      </c>
      <c r="J48" s="2197"/>
      <c r="K48" s="746"/>
      <c r="M48" s="51"/>
    </row>
    <row r="49" spans="1:17" ht="21.75" customHeight="1" x14ac:dyDescent="0.2">
      <c r="A49" s="1493"/>
      <c r="B49" s="1499">
        <v>45756</v>
      </c>
      <c r="C49" s="1499" t="s">
        <v>7287</v>
      </c>
      <c r="D49" s="1496" t="s">
        <v>7538</v>
      </c>
      <c r="E49" s="1496" t="s">
        <v>7726</v>
      </c>
      <c r="F49" s="2041" t="s">
        <v>6186</v>
      </c>
      <c r="G49" s="2124">
        <v>1</v>
      </c>
      <c r="H49" s="1638">
        <v>19.899999999999999</v>
      </c>
      <c r="I49" s="2127">
        <f>H49*G49</f>
        <v>19.899999999999999</v>
      </c>
      <c r="J49" s="2197"/>
      <c r="K49" s="746"/>
      <c r="M49" s="51"/>
    </row>
    <row r="50" spans="1:17" ht="21.75" customHeight="1" x14ac:dyDescent="0.2">
      <c r="A50" s="1493" t="s">
        <v>6244</v>
      </c>
      <c r="B50" s="1499"/>
      <c r="C50" s="1499"/>
      <c r="D50" s="1496"/>
      <c r="E50" s="1496"/>
      <c r="F50" s="2200"/>
      <c r="G50" s="2200"/>
      <c r="H50" s="1638"/>
      <c r="I50" s="2209">
        <f>SUM(I48:I49)</f>
        <v>106.6</v>
      </c>
      <c r="J50" s="2197"/>
      <c r="K50" s="746"/>
    </row>
    <row r="51" spans="1:17" ht="21.75" customHeight="1" x14ac:dyDescent="0.2">
      <c r="A51" s="1493"/>
      <c r="B51" s="1499"/>
      <c r="C51" s="1499"/>
      <c r="D51" s="1496"/>
      <c r="E51" s="1496"/>
      <c r="F51" s="2041"/>
      <c r="G51" s="2041"/>
      <c r="H51" s="1638"/>
      <c r="I51" s="2209"/>
      <c r="J51" s="2197"/>
      <c r="K51" s="746"/>
    </row>
    <row r="52" spans="1:17" ht="21.75" customHeight="1" x14ac:dyDescent="0.2">
      <c r="A52" s="1493"/>
      <c r="B52" s="1499">
        <v>45757</v>
      </c>
      <c r="C52" s="1499" t="s">
        <v>7287</v>
      </c>
      <c r="D52" s="1496" t="s">
        <v>7538</v>
      </c>
      <c r="E52" s="1496" t="s">
        <v>7666</v>
      </c>
      <c r="F52" s="2041" t="s">
        <v>6186</v>
      </c>
      <c r="G52" s="2124">
        <v>2</v>
      </c>
      <c r="H52" s="1638">
        <v>28.9</v>
      </c>
      <c r="I52" s="2127">
        <f>H52*G52</f>
        <v>57.8</v>
      </c>
      <c r="J52" s="2197"/>
      <c r="K52" s="746"/>
      <c r="M52" s="51"/>
    </row>
    <row r="53" spans="1:17" ht="21.75" customHeight="1" x14ac:dyDescent="0.2">
      <c r="A53" s="1493"/>
      <c r="B53" s="1499">
        <v>45757</v>
      </c>
      <c r="C53" s="1499" t="s">
        <v>7287</v>
      </c>
      <c r="D53" s="1496" t="s">
        <v>7538</v>
      </c>
      <c r="E53" s="1496" t="s">
        <v>7730</v>
      </c>
      <c r="F53" s="2041" t="s">
        <v>6186</v>
      </c>
      <c r="G53" s="2124">
        <v>1</v>
      </c>
      <c r="H53" s="1638">
        <v>5.9</v>
      </c>
      <c r="I53" s="2127">
        <f>H53*G53</f>
        <v>5.9</v>
      </c>
      <c r="J53" s="2197"/>
      <c r="K53" s="746"/>
      <c r="M53" s="51"/>
    </row>
    <row r="54" spans="1:17" ht="21.75" customHeight="1" x14ac:dyDescent="0.2">
      <c r="A54" s="1493"/>
      <c r="B54" s="1499">
        <v>45757</v>
      </c>
      <c r="C54" s="1499" t="s">
        <v>7287</v>
      </c>
      <c r="D54" s="1496" t="s">
        <v>7538</v>
      </c>
      <c r="E54" s="1496" t="s">
        <v>7733</v>
      </c>
      <c r="F54" s="2041" t="s">
        <v>6186</v>
      </c>
      <c r="G54" s="2124">
        <v>1</v>
      </c>
      <c r="H54" s="1638">
        <v>22</v>
      </c>
      <c r="I54" s="2127">
        <f>H54*G54</f>
        <v>22</v>
      </c>
      <c r="J54" s="2197"/>
      <c r="K54" s="746"/>
      <c r="M54" s="51"/>
    </row>
    <row r="55" spans="1:17" ht="21.75" customHeight="1" x14ac:dyDescent="0.2">
      <c r="A55" s="1493" t="s">
        <v>6244</v>
      </c>
      <c r="B55" s="1499"/>
      <c r="C55" s="1499"/>
      <c r="D55" s="1496"/>
      <c r="E55" s="1496"/>
      <c r="F55" s="2200"/>
      <c r="G55" s="2200"/>
      <c r="H55" s="1638"/>
      <c r="I55" s="2209">
        <f>SUM(I52:I54)</f>
        <v>85.699999999999989</v>
      </c>
      <c r="J55" s="2197"/>
      <c r="K55" s="746"/>
    </row>
    <row r="56" spans="1:17" ht="21.75" customHeight="1" x14ac:dyDescent="0.2">
      <c r="A56" s="1493"/>
      <c r="B56" s="1499"/>
      <c r="C56" s="1499"/>
      <c r="D56" s="1496"/>
      <c r="E56" s="1496"/>
      <c r="F56" s="2041"/>
      <c r="G56" s="2041"/>
      <c r="H56" s="1638"/>
      <c r="I56" s="2127"/>
      <c r="J56" s="2197"/>
      <c r="P56" s="1704"/>
      <c r="Q56" s="1704"/>
    </row>
    <row r="57" spans="1:17" ht="21.75" customHeight="1" x14ac:dyDescent="0.2">
      <c r="A57" s="1493"/>
      <c r="B57" s="1499">
        <v>45761</v>
      </c>
      <c r="C57" s="1499"/>
      <c r="D57" s="1496" t="s">
        <v>7538</v>
      </c>
      <c r="E57" s="1496" t="s">
        <v>7658</v>
      </c>
      <c r="F57" s="2041" t="s">
        <v>6186</v>
      </c>
      <c r="G57" s="2041">
        <v>1</v>
      </c>
      <c r="H57" s="1638">
        <v>300</v>
      </c>
      <c r="I57" s="2209">
        <f t="shared" ref="I57:I63" si="5">H57*G57</f>
        <v>300</v>
      </c>
      <c r="J57" s="2197"/>
      <c r="K57" s="746"/>
      <c r="M57" s="51"/>
    </row>
    <row r="58" spans="1:17" ht="21.75" customHeight="1" x14ac:dyDescent="0.2">
      <c r="A58" s="1493"/>
      <c r="B58" s="1499">
        <v>45761</v>
      </c>
      <c r="C58" s="1499"/>
      <c r="D58" s="1496" t="s">
        <v>7538</v>
      </c>
      <c r="E58" s="1496" t="s">
        <v>7659</v>
      </c>
      <c r="F58" s="2041" t="s">
        <v>6186</v>
      </c>
      <c r="G58" s="2041">
        <v>1</v>
      </c>
      <c r="H58" s="1638">
        <v>300</v>
      </c>
      <c r="I58" s="2209">
        <f t="shared" si="5"/>
        <v>300</v>
      </c>
      <c r="J58" s="2197"/>
      <c r="K58" s="746"/>
      <c r="M58" s="51"/>
    </row>
    <row r="59" spans="1:17" ht="21.75" customHeight="1" x14ac:dyDescent="0.2">
      <c r="A59" s="1493"/>
      <c r="B59" s="1499">
        <v>45761</v>
      </c>
      <c r="C59" s="1499"/>
      <c r="D59" s="1496" t="s">
        <v>7538</v>
      </c>
      <c r="E59" s="1496" t="s">
        <v>7711</v>
      </c>
      <c r="F59" s="2041" t="s">
        <v>6186</v>
      </c>
      <c r="G59" s="2041">
        <v>1</v>
      </c>
      <c r="H59" s="1638">
        <v>300</v>
      </c>
      <c r="I59" s="2209">
        <f t="shared" si="5"/>
        <v>300</v>
      </c>
      <c r="J59" s="2197"/>
      <c r="P59" s="1704"/>
      <c r="Q59" s="1704"/>
    </row>
    <row r="60" spans="1:17" ht="21.75" customHeight="1" x14ac:dyDescent="0.2">
      <c r="A60" s="1493"/>
      <c r="B60" s="1499">
        <v>45761</v>
      </c>
      <c r="C60" s="1499"/>
      <c r="D60" s="1496" t="s">
        <v>7538</v>
      </c>
      <c r="E60" s="1496" t="s">
        <v>7660</v>
      </c>
      <c r="F60" s="2041" t="s">
        <v>6186</v>
      </c>
      <c r="G60" s="2041">
        <v>1</v>
      </c>
      <c r="H60" s="1638">
        <v>250</v>
      </c>
      <c r="I60" s="2209">
        <f t="shared" si="5"/>
        <v>250</v>
      </c>
      <c r="J60" s="2197"/>
      <c r="K60" s="746"/>
    </row>
    <row r="61" spans="1:17" ht="21.75" customHeight="1" x14ac:dyDescent="0.2">
      <c r="A61" s="1493"/>
      <c r="B61" s="1499">
        <v>45761</v>
      </c>
      <c r="C61" s="1499"/>
      <c r="D61" s="1496" t="s">
        <v>7538</v>
      </c>
      <c r="E61" s="1496" t="s">
        <v>7661</v>
      </c>
      <c r="F61" s="2041" t="s">
        <v>6186</v>
      </c>
      <c r="G61" s="2041">
        <v>1</v>
      </c>
      <c r="H61" s="1638">
        <v>250</v>
      </c>
      <c r="I61" s="2209">
        <f t="shared" si="5"/>
        <v>250</v>
      </c>
      <c r="J61" s="2197"/>
      <c r="K61" s="746"/>
      <c r="M61" s="51"/>
    </row>
    <row r="62" spans="1:17" ht="21.75" customHeight="1" x14ac:dyDescent="0.2">
      <c r="A62" s="1493"/>
      <c r="B62" s="1499">
        <v>45761</v>
      </c>
      <c r="C62" s="1499"/>
      <c r="D62" s="1496" t="s">
        <v>7538</v>
      </c>
      <c r="E62" s="1496" t="s">
        <v>7662</v>
      </c>
      <c r="F62" s="2041" t="s">
        <v>6186</v>
      </c>
      <c r="G62" s="2041">
        <v>1</v>
      </c>
      <c r="H62" s="1638">
        <v>250</v>
      </c>
      <c r="I62" s="2209">
        <f t="shared" si="5"/>
        <v>250</v>
      </c>
      <c r="J62" s="2197"/>
      <c r="K62" s="746"/>
      <c r="M62" s="51"/>
    </row>
    <row r="63" spans="1:17" ht="21.75" customHeight="1" x14ac:dyDescent="0.2">
      <c r="A63" s="1493"/>
      <c r="B63" s="1499">
        <v>45761</v>
      </c>
      <c r="C63" s="1499"/>
      <c r="D63" s="1496" t="s">
        <v>7538</v>
      </c>
      <c r="E63" s="1496" t="s">
        <v>7663</v>
      </c>
      <c r="F63" s="2041" t="s">
        <v>6186</v>
      </c>
      <c r="G63" s="2041">
        <v>1</v>
      </c>
      <c r="H63" s="1638">
        <v>250</v>
      </c>
      <c r="I63" s="2209">
        <f t="shared" si="5"/>
        <v>250</v>
      </c>
      <c r="J63" s="2197"/>
      <c r="P63" s="1704"/>
      <c r="Q63" s="1704"/>
    </row>
    <row r="64" spans="1:17" ht="21.75" customHeight="1" x14ac:dyDescent="0.2">
      <c r="A64" s="1493" t="s">
        <v>6245</v>
      </c>
      <c r="B64" s="1499"/>
      <c r="C64" s="1499"/>
      <c r="D64" s="1496"/>
      <c r="E64" s="1496"/>
      <c r="F64" s="2041"/>
      <c r="G64" s="2041"/>
      <c r="H64" s="1219"/>
      <c r="I64" s="2209">
        <f>SUM(I57:I63)</f>
        <v>1900</v>
      </c>
      <c r="J64" s="2197"/>
      <c r="K64" s="746"/>
      <c r="M64" s="51"/>
      <c r="N64" s="51"/>
      <c r="O64" s="51"/>
    </row>
    <row r="65" spans="1:11" ht="21.75" customHeight="1" thickBot="1" x14ac:dyDescent="0.25">
      <c r="A65" s="1493"/>
      <c r="B65" s="1499"/>
      <c r="C65" s="1499"/>
      <c r="D65" s="1496"/>
      <c r="E65" s="1496"/>
      <c r="F65" s="2041"/>
      <c r="G65" s="2041"/>
      <c r="H65" s="1638"/>
      <c r="I65" s="2209"/>
      <c r="J65" s="2197"/>
      <c r="K65" s="746"/>
    </row>
    <row r="66" spans="1:11" ht="21.75" customHeight="1" thickBot="1" x14ac:dyDescent="0.25">
      <c r="A66" s="3510" t="s">
        <v>772</v>
      </c>
      <c r="B66" s="3511"/>
      <c r="C66" s="3511"/>
      <c r="D66" s="3511"/>
      <c r="E66" s="3511"/>
      <c r="F66" s="3511"/>
      <c r="G66" s="3511"/>
      <c r="H66" s="3512"/>
      <c r="I66" s="175">
        <f>SUMIF(A28:A65,"mo",I28:I65)+SUMIF(A28:A65,"mat",I28:I65)</f>
        <v>9141.99</v>
      </c>
      <c r="J66" s="2342"/>
      <c r="K66" s="746"/>
    </row>
    <row r="67" spans="1:11" ht="21.75" customHeight="1" x14ac:dyDescent="0.2">
      <c r="A67" s="51"/>
      <c r="B67" s="1543"/>
      <c r="C67" s="1543"/>
      <c r="D67" s="717"/>
      <c r="E67" s="717"/>
      <c r="F67" s="2277"/>
      <c r="G67" s="2277"/>
      <c r="H67" s="52"/>
      <c r="I67" s="52"/>
      <c r="J67" s="2205"/>
      <c r="K67" s="746"/>
    </row>
  </sheetData>
  <mergeCells count="6">
    <mergeCell ref="A66:H66"/>
    <mergeCell ref="A2:J2"/>
    <mergeCell ref="M5:P5"/>
    <mergeCell ref="M11:P11"/>
    <mergeCell ref="A23:H23"/>
    <mergeCell ref="A26:J26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9ACF-3432-43E6-BDA3-A340E9CFF971}">
  <dimension ref="A1:T102"/>
  <sheetViews>
    <sheetView topLeftCell="A82" zoomScaleNormal="100" workbookViewId="0">
      <selection activeCell="P99" sqref="J96:P99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30" customWidth="1"/>
    <col min="11" max="11" width="8.5703125" customWidth="1"/>
    <col min="12" max="12" width="18" style="24" customWidth="1"/>
    <col min="13" max="13" width="22.7109375" style="24" customWidth="1"/>
    <col min="14" max="14" width="16.42578125" style="24" customWidth="1"/>
    <col min="15" max="15" width="18.140625" customWidth="1"/>
    <col min="16" max="16" width="14.7109375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6.25" x14ac:dyDescent="0.4">
      <c r="A1" s="3104" t="s">
        <v>7612</v>
      </c>
      <c r="B1" s="3105"/>
      <c r="C1" s="3105"/>
      <c r="D1" s="3105"/>
      <c r="E1" s="3105"/>
      <c r="F1" s="3105"/>
      <c r="G1" s="3105"/>
      <c r="H1" s="3105"/>
      <c r="I1" s="3105"/>
      <c r="J1" s="3509"/>
      <c r="K1" s="2084"/>
    </row>
    <row r="2" spans="1:17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7" ht="21.75" customHeight="1" x14ac:dyDescent="0.2">
      <c r="A3" s="1493"/>
      <c r="B3" s="1499">
        <v>45720</v>
      </c>
      <c r="C3" s="1499" t="s">
        <v>6234</v>
      </c>
      <c r="D3" s="1496" t="s">
        <v>7360</v>
      </c>
      <c r="E3" s="1496" t="s">
        <v>6226</v>
      </c>
      <c r="F3" s="1604" t="s">
        <v>6186</v>
      </c>
      <c r="G3" s="2041">
        <v>5</v>
      </c>
      <c r="H3" s="1638">
        <v>34</v>
      </c>
      <c r="I3" s="2127">
        <f>H3*G3</f>
        <v>170</v>
      </c>
      <c r="J3" s="2197"/>
      <c r="K3" s="746"/>
    </row>
    <row r="4" spans="1:17" ht="21.75" customHeight="1" x14ac:dyDescent="0.2">
      <c r="A4" s="1493"/>
      <c r="B4" s="1499">
        <v>45720</v>
      </c>
      <c r="C4" s="1499" t="s">
        <v>6234</v>
      </c>
      <c r="D4" s="1496" t="s">
        <v>7360</v>
      </c>
      <c r="E4" s="1496" t="s">
        <v>7478</v>
      </c>
      <c r="F4" s="1604" t="s">
        <v>6225</v>
      </c>
      <c r="G4" s="2041">
        <v>40</v>
      </c>
      <c r="H4" s="1638">
        <v>5.85</v>
      </c>
      <c r="I4" s="2127">
        <f t="shared" ref="I4" si="0">H4*G4</f>
        <v>234</v>
      </c>
      <c r="J4" s="2197"/>
      <c r="L4" s="2139"/>
      <c r="M4" s="2139"/>
      <c r="N4" s="2139"/>
      <c r="O4" s="1704"/>
      <c r="P4" s="1704"/>
      <c r="Q4" s="1704"/>
    </row>
    <row r="5" spans="1:17" ht="21.75" customHeight="1" x14ac:dyDescent="0.2">
      <c r="A5" s="1493"/>
      <c r="B5" s="1499">
        <v>45720</v>
      </c>
      <c r="C5" s="1499" t="s">
        <v>6234</v>
      </c>
      <c r="D5" s="1496" t="s">
        <v>7360</v>
      </c>
      <c r="E5" s="1496" t="s">
        <v>7479</v>
      </c>
      <c r="F5" s="1604" t="s">
        <v>6225</v>
      </c>
      <c r="G5" s="2041">
        <v>10</v>
      </c>
      <c r="H5" s="1638">
        <v>1.8</v>
      </c>
      <c r="I5" s="2127">
        <f t="shared" ref="I5" si="1">H5*G5</f>
        <v>18</v>
      </c>
      <c r="J5" s="2197"/>
      <c r="L5" s="2139"/>
      <c r="M5" s="2139"/>
      <c r="N5" s="2139"/>
      <c r="O5" s="1704"/>
      <c r="P5" s="1704"/>
      <c r="Q5" s="1704"/>
    </row>
    <row r="6" spans="1:17" ht="21.75" customHeight="1" x14ac:dyDescent="0.2">
      <c r="A6" s="1493"/>
      <c r="B6" s="1499"/>
      <c r="C6" s="1499"/>
      <c r="D6" s="1496"/>
      <c r="E6" s="2190" t="s">
        <v>7290</v>
      </c>
      <c r="F6" s="2191"/>
      <c r="G6" s="2192"/>
      <c r="H6" s="2598"/>
      <c r="I6" s="2599">
        <v>14</v>
      </c>
      <c r="J6" s="2197"/>
      <c r="K6" s="717"/>
      <c r="L6" s="2138"/>
      <c r="M6" s="2138"/>
      <c r="N6" s="2138"/>
      <c r="O6" s="2117"/>
      <c r="P6" s="2117"/>
      <c r="Q6" s="2117"/>
    </row>
    <row r="7" spans="1:17" ht="21.75" customHeight="1" x14ac:dyDescent="0.2">
      <c r="A7" s="1493" t="s">
        <v>6244</v>
      </c>
      <c r="B7" s="1499"/>
      <c r="C7" s="1499"/>
      <c r="D7" s="1496"/>
      <c r="E7" s="1496"/>
      <c r="F7" s="1604"/>
      <c r="G7" s="2041"/>
      <c r="H7" s="1219"/>
      <c r="I7" s="2059">
        <f>SUM(I3:I5)-I6</f>
        <v>408</v>
      </c>
      <c r="J7" s="2197"/>
      <c r="K7" s="746"/>
    </row>
    <row r="8" spans="1:17" ht="21.75" customHeight="1" x14ac:dyDescent="0.2">
      <c r="A8" s="1493"/>
      <c r="B8" s="1499"/>
      <c r="C8" s="1499"/>
      <c r="D8" s="1496"/>
      <c r="E8" s="1496"/>
      <c r="F8" s="1604"/>
      <c r="G8" s="2041"/>
      <c r="H8" s="1219"/>
      <c r="I8" s="2097"/>
      <c r="J8" s="2197"/>
      <c r="K8" s="746"/>
    </row>
    <row r="9" spans="1:17" ht="21.75" customHeight="1" x14ac:dyDescent="0.2">
      <c r="A9" s="1493"/>
      <c r="B9" s="1499">
        <v>45722</v>
      </c>
      <c r="C9" s="1499" t="s">
        <v>6234</v>
      </c>
      <c r="D9" s="1496" t="s">
        <v>7360</v>
      </c>
      <c r="E9" s="1496" t="s">
        <v>6226</v>
      </c>
      <c r="F9" s="1604" t="s">
        <v>6186</v>
      </c>
      <c r="G9" s="2041">
        <v>3</v>
      </c>
      <c r="H9" s="1638">
        <v>34</v>
      </c>
      <c r="I9" s="2127">
        <f>H9*G9</f>
        <v>102</v>
      </c>
      <c r="J9" s="2197"/>
      <c r="K9" s="746"/>
    </row>
    <row r="10" spans="1:17" ht="21.75" customHeight="1" x14ac:dyDescent="0.2">
      <c r="A10" s="1493"/>
      <c r="B10" s="1499">
        <v>45722</v>
      </c>
      <c r="C10" s="1499" t="s">
        <v>6234</v>
      </c>
      <c r="D10" s="1496" t="s">
        <v>7360</v>
      </c>
      <c r="E10" s="1496" t="s">
        <v>5956</v>
      </c>
      <c r="F10" s="1604" t="s">
        <v>6225</v>
      </c>
      <c r="G10" s="2041">
        <v>1.4</v>
      </c>
      <c r="H10" s="1638">
        <v>35</v>
      </c>
      <c r="I10" s="2127">
        <f t="shared" ref="I10" si="2">H10*G10</f>
        <v>49</v>
      </c>
      <c r="J10" s="2197"/>
      <c r="L10" s="2139"/>
      <c r="M10" s="2139"/>
      <c r="N10" s="2139"/>
      <c r="O10" s="1704"/>
      <c r="P10" s="1704"/>
      <c r="Q10" s="1704"/>
    </row>
    <row r="11" spans="1:17" ht="21.75" customHeight="1" x14ac:dyDescent="0.2">
      <c r="A11" s="1493"/>
      <c r="B11" s="1499">
        <v>45722</v>
      </c>
      <c r="C11" s="1499" t="s">
        <v>6234</v>
      </c>
      <c r="D11" s="1496" t="s">
        <v>7360</v>
      </c>
      <c r="E11" s="1496" t="s">
        <v>7490</v>
      </c>
      <c r="F11" s="1604" t="s">
        <v>6225</v>
      </c>
      <c r="G11" s="2041">
        <v>30</v>
      </c>
      <c r="H11" s="1638">
        <v>1.2</v>
      </c>
      <c r="I11" s="2127">
        <f t="shared" ref="I11" si="3">H11*G11</f>
        <v>36</v>
      </c>
      <c r="J11" s="2197"/>
      <c r="L11" s="2139"/>
      <c r="M11" s="2139"/>
      <c r="N11" s="2139"/>
      <c r="O11" s="1704"/>
      <c r="P11" s="1704"/>
      <c r="Q11" s="1704"/>
    </row>
    <row r="12" spans="1:17" ht="21.75" customHeight="1" x14ac:dyDescent="0.2">
      <c r="A12" s="1493"/>
      <c r="B12" s="1499">
        <v>45722</v>
      </c>
      <c r="C12" s="1499" t="s">
        <v>6234</v>
      </c>
      <c r="D12" s="1496" t="s">
        <v>7360</v>
      </c>
      <c r="E12" s="1496" t="s">
        <v>7491</v>
      </c>
      <c r="F12" s="1604" t="s">
        <v>6225</v>
      </c>
      <c r="G12" s="2041">
        <v>1</v>
      </c>
      <c r="H12" s="1638">
        <v>19.5</v>
      </c>
      <c r="I12" s="2127">
        <f>H12*G12</f>
        <v>19.5</v>
      </c>
      <c r="J12" s="2197"/>
      <c r="L12" s="2139"/>
      <c r="M12" s="2139"/>
      <c r="N12" s="2139"/>
      <c r="O12" s="1704"/>
      <c r="P12" s="1704"/>
      <c r="Q12" s="1704"/>
    </row>
    <row r="13" spans="1:17" ht="21.75" customHeight="1" x14ac:dyDescent="0.2">
      <c r="A13" s="1493"/>
      <c r="B13" s="1499">
        <v>45722</v>
      </c>
      <c r="C13" s="1499" t="s">
        <v>6234</v>
      </c>
      <c r="D13" s="1496" t="s">
        <v>7360</v>
      </c>
      <c r="E13" s="1496" t="s">
        <v>7492</v>
      </c>
      <c r="F13" s="1604" t="s">
        <v>6225</v>
      </c>
      <c r="G13" s="2041">
        <v>1</v>
      </c>
      <c r="H13" s="1638">
        <v>45.9</v>
      </c>
      <c r="I13" s="2127">
        <f>H13*G13</f>
        <v>45.9</v>
      </c>
      <c r="J13" s="2197"/>
      <c r="P13" s="1704"/>
      <c r="Q13" s="1704"/>
    </row>
    <row r="14" spans="1:17" ht="21.75" customHeight="1" x14ac:dyDescent="0.2">
      <c r="A14" s="1493"/>
      <c r="B14" s="1499"/>
      <c r="C14" s="1499"/>
      <c r="D14" s="1496"/>
      <c r="E14" s="2190" t="s">
        <v>7290</v>
      </c>
      <c r="F14" s="2191"/>
      <c r="G14" s="2192"/>
      <c r="H14" s="2598"/>
      <c r="I14" s="2599">
        <v>2.4</v>
      </c>
      <c r="J14" s="2197"/>
      <c r="K14" s="717"/>
      <c r="P14" s="2117"/>
      <c r="Q14" s="2117"/>
    </row>
    <row r="15" spans="1:17" ht="21.75" customHeight="1" x14ac:dyDescent="0.2">
      <c r="A15" s="1493" t="s">
        <v>6244</v>
      </c>
      <c r="B15" s="1499"/>
      <c r="C15" s="1499"/>
      <c r="D15" s="1496"/>
      <c r="E15" s="1496"/>
      <c r="F15" s="1604"/>
      <c r="G15" s="2041"/>
      <c r="H15" s="1219"/>
      <c r="I15" s="2059">
        <f>SUM(I9:I13)-I14</f>
        <v>250</v>
      </c>
      <c r="J15" s="2197"/>
      <c r="K15" s="746"/>
    </row>
    <row r="16" spans="1:17" ht="21.75" customHeight="1" x14ac:dyDescent="0.2">
      <c r="A16" s="1493"/>
      <c r="B16" s="1499"/>
      <c r="C16" s="1499"/>
      <c r="D16" s="1496"/>
      <c r="E16" s="1496"/>
      <c r="F16" s="1604"/>
      <c r="G16" s="2041"/>
      <c r="H16" s="1219"/>
      <c r="I16" s="2097"/>
      <c r="J16" s="2197"/>
      <c r="K16" s="746"/>
    </row>
    <row r="17" spans="1:17" ht="21.75" customHeight="1" x14ac:dyDescent="0.2">
      <c r="A17" s="1493"/>
      <c r="B17" s="1499">
        <v>45723</v>
      </c>
      <c r="C17" s="1499" t="s">
        <v>6234</v>
      </c>
      <c r="D17" s="1496" t="s">
        <v>7360</v>
      </c>
      <c r="E17" s="1496" t="s">
        <v>6226</v>
      </c>
      <c r="F17" s="1604" t="s">
        <v>6186</v>
      </c>
      <c r="G17" s="2041">
        <v>5</v>
      </c>
      <c r="H17" s="1638">
        <v>34</v>
      </c>
      <c r="I17" s="2127">
        <f>H17*G17</f>
        <v>170</v>
      </c>
      <c r="J17" s="2197"/>
      <c r="K17" s="746"/>
    </row>
    <row r="18" spans="1:17" ht="21.75" customHeight="1" x14ac:dyDescent="0.2">
      <c r="A18" s="1493"/>
      <c r="B18" s="1499">
        <v>45723</v>
      </c>
      <c r="C18" s="1499" t="s">
        <v>6234</v>
      </c>
      <c r="D18" s="1496" t="s">
        <v>7360</v>
      </c>
      <c r="E18" s="1496" t="s">
        <v>7478</v>
      </c>
      <c r="F18" s="1604" t="s">
        <v>6225</v>
      </c>
      <c r="G18" s="2041">
        <v>20</v>
      </c>
      <c r="H18" s="1638">
        <v>5.85</v>
      </c>
      <c r="I18" s="2127">
        <f t="shared" ref="I18" si="4">H18*G18</f>
        <v>117</v>
      </c>
      <c r="J18" s="2197"/>
      <c r="P18" s="1704"/>
      <c r="Q18" s="1704"/>
    </row>
    <row r="19" spans="1:17" ht="21.75" customHeight="1" x14ac:dyDescent="0.2">
      <c r="A19" s="1493"/>
      <c r="B19" s="1499">
        <v>45723</v>
      </c>
      <c r="C19" s="1499" t="s">
        <v>6234</v>
      </c>
      <c r="D19" s="1496" t="s">
        <v>7360</v>
      </c>
      <c r="E19" s="1496" t="s">
        <v>7498</v>
      </c>
      <c r="F19" s="1604" t="s">
        <v>6225</v>
      </c>
      <c r="G19" s="2124">
        <v>1.5</v>
      </c>
      <c r="H19" s="1638">
        <v>245</v>
      </c>
      <c r="I19" s="2127">
        <f>H19*G19</f>
        <v>367.5</v>
      </c>
      <c r="J19" s="2197"/>
      <c r="P19" s="1704"/>
      <c r="Q19" s="1704"/>
    </row>
    <row r="20" spans="1:17" ht="21.75" customHeight="1" x14ac:dyDescent="0.2">
      <c r="A20" s="1493"/>
      <c r="B20" s="1499">
        <v>45723</v>
      </c>
      <c r="C20" s="1499" t="s">
        <v>6234</v>
      </c>
      <c r="D20" s="1496" t="s">
        <v>7360</v>
      </c>
      <c r="E20" s="1496" t="s">
        <v>6719</v>
      </c>
      <c r="F20" s="1604" t="s">
        <v>6225</v>
      </c>
      <c r="G20" s="2124">
        <v>10</v>
      </c>
      <c r="H20" s="1638">
        <v>1.8</v>
      </c>
      <c r="I20" s="2127">
        <f>H20*G20</f>
        <v>18</v>
      </c>
      <c r="J20" s="2197"/>
      <c r="P20" s="1704"/>
      <c r="Q20" s="1704"/>
    </row>
    <row r="21" spans="1:17" ht="21.75" customHeight="1" x14ac:dyDescent="0.2">
      <c r="A21" s="1493"/>
      <c r="B21" s="1499"/>
      <c r="C21" s="1499"/>
      <c r="D21" s="1496"/>
      <c r="E21" s="2190" t="s">
        <v>7290</v>
      </c>
      <c r="F21" s="2191"/>
      <c r="G21" s="2192"/>
      <c r="H21" s="2598"/>
      <c r="I21" s="2599">
        <v>5.5</v>
      </c>
      <c r="J21" s="2197"/>
      <c r="K21" s="717"/>
      <c r="P21" s="2117"/>
      <c r="Q21" s="2117"/>
    </row>
    <row r="22" spans="1:17" ht="21.75" customHeight="1" x14ac:dyDescent="0.2">
      <c r="A22" s="1493" t="s">
        <v>6244</v>
      </c>
      <c r="B22" s="1499"/>
      <c r="C22" s="1499"/>
      <c r="D22" s="1496"/>
      <c r="E22" s="1496"/>
      <c r="F22" s="1604"/>
      <c r="G22" s="2041"/>
      <c r="H22" s="1219"/>
      <c r="I22" s="2209">
        <f>SUM(I17:I20)-I21</f>
        <v>667</v>
      </c>
      <c r="J22" s="2197"/>
      <c r="K22" s="746"/>
    </row>
    <row r="23" spans="1:17" ht="21.75" customHeight="1" x14ac:dyDescent="0.2">
      <c r="A23" s="1493"/>
      <c r="B23" s="1499"/>
      <c r="C23" s="1499"/>
      <c r="D23" s="1496"/>
      <c r="E23" s="1496"/>
      <c r="F23" s="1604"/>
      <c r="G23" s="2041"/>
      <c r="H23" s="1219"/>
      <c r="I23" s="2097"/>
      <c r="J23" s="2197"/>
      <c r="K23" s="746"/>
    </row>
    <row r="24" spans="1:17" ht="21.75" customHeight="1" x14ac:dyDescent="0.2">
      <c r="A24" s="1493" t="s">
        <v>6244</v>
      </c>
      <c r="B24" s="1499">
        <v>45723</v>
      </c>
      <c r="C24" s="1499" t="s">
        <v>7493</v>
      </c>
      <c r="D24" s="1496" t="s">
        <v>7360</v>
      </c>
      <c r="E24" s="1496" t="s">
        <v>7510</v>
      </c>
      <c r="F24" s="1604" t="s">
        <v>6186</v>
      </c>
      <c r="G24" s="2124">
        <v>1</v>
      </c>
      <c r="H24" s="1638">
        <v>149.76</v>
      </c>
      <c r="I24" s="2209">
        <f>H24*G24</f>
        <v>149.76</v>
      </c>
      <c r="J24" s="2197"/>
      <c r="P24" s="1704"/>
      <c r="Q24" s="1704"/>
    </row>
    <row r="25" spans="1:17" ht="21.75" customHeight="1" x14ac:dyDescent="0.2">
      <c r="A25" s="1493"/>
      <c r="B25" s="1499"/>
      <c r="C25" s="1499"/>
      <c r="D25" s="1496"/>
      <c r="E25" s="2190"/>
      <c r="F25" s="2616"/>
      <c r="G25" s="2617"/>
      <c r="H25" s="2598"/>
      <c r="I25" s="2599"/>
      <c r="J25" s="2197"/>
      <c r="K25" s="717"/>
      <c r="P25" s="2117"/>
      <c r="Q25" s="2117"/>
    </row>
    <row r="26" spans="1:17" ht="21.75" customHeight="1" x14ac:dyDescent="0.2">
      <c r="A26" s="1493" t="s">
        <v>6245</v>
      </c>
      <c r="B26" s="1499">
        <v>45724</v>
      </c>
      <c r="C26" s="1499"/>
      <c r="D26" s="1496" t="s">
        <v>7360</v>
      </c>
      <c r="E26" s="1496" t="s">
        <v>7379</v>
      </c>
      <c r="F26" s="1604" t="s">
        <v>6186</v>
      </c>
      <c r="G26" s="2041">
        <v>1</v>
      </c>
      <c r="H26" s="1638">
        <v>40</v>
      </c>
      <c r="I26" s="2209">
        <f>H26*G26</f>
        <v>40</v>
      </c>
      <c r="J26" s="2197"/>
      <c r="K26" s="746"/>
    </row>
    <row r="27" spans="1:17" ht="21.75" customHeight="1" x14ac:dyDescent="0.2">
      <c r="A27" s="1493"/>
      <c r="B27" s="1499"/>
      <c r="C27" s="1499"/>
      <c r="D27" s="1496"/>
      <c r="E27" s="2190"/>
      <c r="F27" s="2616"/>
      <c r="G27" s="2617"/>
      <c r="H27" s="2598"/>
      <c r="I27" s="2599"/>
      <c r="J27" s="2197"/>
      <c r="K27" s="717"/>
      <c r="P27" s="2117"/>
      <c r="Q27" s="2117"/>
    </row>
    <row r="28" spans="1:17" ht="21.75" customHeight="1" x14ac:dyDescent="0.2">
      <c r="A28" s="1493" t="s">
        <v>6245</v>
      </c>
      <c r="B28" s="1499">
        <v>45726</v>
      </c>
      <c r="C28" s="1499"/>
      <c r="D28" s="1496" t="s">
        <v>7360</v>
      </c>
      <c r="E28" s="1496" t="s">
        <v>7610</v>
      </c>
      <c r="F28" s="1604" t="s">
        <v>6186</v>
      </c>
      <c r="G28" s="2041">
        <v>1</v>
      </c>
      <c r="H28" s="1638">
        <v>1000</v>
      </c>
      <c r="I28" s="2209">
        <f>H28*G28</f>
        <v>1000</v>
      </c>
      <c r="J28" s="2197"/>
      <c r="K28" s="746"/>
    </row>
    <row r="29" spans="1:17" ht="21.75" customHeight="1" x14ac:dyDescent="0.2">
      <c r="A29" s="1493"/>
      <c r="B29" s="1499"/>
      <c r="C29" s="1499"/>
      <c r="D29" s="1496"/>
      <c r="E29" s="1496"/>
      <c r="F29" s="2199"/>
      <c r="G29" s="2200"/>
      <c r="H29" s="1638"/>
      <c r="I29" s="2059"/>
      <c r="J29" s="2130"/>
      <c r="P29" s="717"/>
      <c r="Q29" s="717"/>
    </row>
    <row r="30" spans="1:17" ht="21.75" customHeight="1" x14ac:dyDescent="0.2">
      <c r="A30" s="1493"/>
      <c r="B30" s="1499">
        <v>45727</v>
      </c>
      <c r="C30" s="1499" t="s">
        <v>6234</v>
      </c>
      <c r="D30" s="1496" t="s">
        <v>7360</v>
      </c>
      <c r="E30" s="1496" t="s">
        <v>6226</v>
      </c>
      <c r="F30" s="1604" t="s">
        <v>6186</v>
      </c>
      <c r="G30" s="2041">
        <v>5</v>
      </c>
      <c r="H30" s="1638">
        <v>34</v>
      </c>
      <c r="I30" s="2127">
        <f>H30*G30</f>
        <v>170</v>
      </c>
      <c r="J30" s="2197"/>
      <c r="K30" s="746"/>
      <c r="L30" s="746"/>
      <c r="M30" s="746"/>
      <c r="N30" s="746"/>
      <c r="O30" s="746"/>
    </row>
    <row r="31" spans="1:17" ht="21.75" customHeight="1" x14ac:dyDescent="0.2">
      <c r="A31" s="1493"/>
      <c r="B31" s="1499">
        <v>45727</v>
      </c>
      <c r="C31" s="1499" t="s">
        <v>6234</v>
      </c>
      <c r="D31" s="1496" t="s">
        <v>7360</v>
      </c>
      <c r="E31" s="1496" t="s">
        <v>7498</v>
      </c>
      <c r="F31" s="1604" t="s">
        <v>6225</v>
      </c>
      <c r="G31" s="2124">
        <v>1</v>
      </c>
      <c r="H31" s="1638">
        <v>245</v>
      </c>
      <c r="I31" s="2127">
        <f>H31*G31</f>
        <v>245</v>
      </c>
      <c r="J31" s="2197"/>
      <c r="L31" s="2622"/>
      <c r="M31" s="2623"/>
      <c r="N31" s="2624"/>
      <c r="O31" s="2615"/>
      <c r="P31" s="1704"/>
      <c r="Q31" s="1704"/>
    </row>
    <row r="32" spans="1:17" ht="21.75" customHeight="1" x14ac:dyDescent="0.2">
      <c r="A32" s="1493" t="s">
        <v>6244</v>
      </c>
      <c r="B32" s="1499"/>
      <c r="C32" s="1499"/>
      <c r="D32" s="1496"/>
      <c r="E32" s="1496"/>
      <c r="F32" s="1604"/>
      <c r="G32" s="2041"/>
      <c r="H32" s="1219"/>
      <c r="I32" s="2209">
        <f>SUM(I30:I31)</f>
        <v>415</v>
      </c>
      <c r="J32" s="2197"/>
      <c r="K32" s="746"/>
      <c r="L32" s="746"/>
      <c r="M32" s="746"/>
      <c r="N32" s="746"/>
      <c r="O32" s="746"/>
    </row>
    <row r="33" spans="1:17" ht="21.75" customHeight="1" x14ac:dyDescent="0.2">
      <c r="A33" s="1493"/>
      <c r="B33" s="1499"/>
      <c r="C33" s="1499"/>
      <c r="D33" s="1496"/>
      <c r="E33" s="1496"/>
      <c r="F33" s="1604"/>
      <c r="G33" s="2041"/>
      <c r="H33" s="1219"/>
      <c r="I33" s="2097"/>
      <c r="J33" s="2197"/>
      <c r="K33" s="746"/>
    </row>
    <row r="34" spans="1:17" ht="21.75" customHeight="1" x14ac:dyDescent="0.2">
      <c r="A34" s="1493" t="s">
        <v>6245</v>
      </c>
      <c r="B34" s="1499">
        <v>45729</v>
      </c>
      <c r="C34" s="1499"/>
      <c r="D34" s="1496" t="s">
        <v>7360</v>
      </c>
      <c r="E34" s="1496" t="s">
        <v>7524</v>
      </c>
      <c r="F34" s="1604" t="s">
        <v>6186</v>
      </c>
      <c r="G34" s="2041">
        <v>1</v>
      </c>
      <c r="H34" s="1638">
        <v>100</v>
      </c>
      <c r="I34" s="2209">
        <f>H34*G34</f>
        <v>100</v>
      </c>
      <c r="J34" s="2197"/>
      <c r="K34" s="746"/>
    </row>
    <row r="35" spans="1:17" ht="21.75" customHeight="1" x14ac:dyDescent="0.2">
      <c r="A35" s="1493" t="s">
        <v>6244</v>
      </c>
      <c r="B35" s="1499">
        <v>45729</v>
      </c>
      <c r="C35" s="1499"/>
      <c r="D35" s="1496" t="s">
        <v>7360</v>
      </c>
      <c r="E35" s="1496" t="s">
        <v>7525</v>
      </c>
      <c r="F35" s="1604" t="s">
        <v>6225</v>
      </c>
      <c r="G35" s="2041">
        <v>1</v>
      </c>
      <c r="H35" s="1638">
        <v>100</v>
      </c>
      <c r="I35" s="2209">
        <f>H35*G35</f>
        <v>100</v>
      </c>
      <c r="J35" s="2197"/>
      <c r="P35" s="1704"/>
      <c r="Q35" s="1704"/>
    </row>
    <row r="36" spans="1:17" ht="21.75" customHeight="1" x14ac:dyDescent="0.2">
      <c r="B36" s="1499"/>
      <c r="C36" s="1499"/>
      <c r="D36" s="1496"/>
      <c r="E36" s="1496"/>
      <c r="F36" s="1604"/>
      <c r="G36" s="2041"/>
      <c r="H36" s="1219"/>
      <c r="I36" s="2209"/>
      <c r="J36" s="2197"/>
      <c r="K36" s="746"/>
    </row>
    <row r="37" spans="1:17" ht="21.75" customHeight="1" x14ac:dyDescent="0.2">
      <c r="A37" s="1493"/>
      <c r="B37" s="1499"/>
      <c r="C37" s="1499"/>
      <c r="D37" s="1496"/>
      <c r="E37" s="1496"/>
      <c r="F37" s="1604"/>
      <c r="G37" s="2041"/>
      <c r="H37" s="1219"/>
      <c r="I37" s="2097"/>
      <c r="J37" s="2197"/>
      <c r="K37" s="746"/>
    </row>
    <row r="38" spans="1:17" ht="21.75" customHeight="1" x14ac:dyDescent="0.2">
      <c r="A38" s="1493"/>
      <c r="B38" s="1499">
        <v>45730</v>
      </c>
      <c r="C38" s="1499" t="s">
        <v>6234</v>
      </c>
      <c r="D38" s="1496" t="s">
        <v>7360</v>
      </c>
      <c r="E38" s="1496" t="s">
        <v>6226</v>
      </c>
      <c r="F38" s="1604" t="s">
        <v>6186</v>
      </c>
      <c r="G38" s="2041">
        <v>5</v>
      </c>
      <c r="H38" s="1638">
        <v>34</v>
      </c>
      <c r="I38" s="2127">
        <f>H38*G38</f>
        <v>170</v>
      </c>
      <c r="J38" s="2197"/>
      <c r="K38" s="746"/>
    </row>
    <row r="39" spans="1:17" ht="21.75" customHeight="1" x14ac:dyDescent="0.2">
      <c r="A39" s="1493"/>
      <c r="B39" s="1499">
        <v>45730</v>
      </c>
      <c r="C39" s="1499" t="s">
        <v>6234</v>
      </c>
      <c r="D39" s="1496" t="s">
        <v>7360</v>
      </c>
      <c r="E39" s="1496" t="s">
        <v>7498</v>
      </c>
      <c r="F39" s="1604" t="s">
        <v>6225</v>
      </c>
      <c r="G39" s="2124">
        <v>1.5</v>
      </c>
      <c r="H39" s="1638">
        <v>245</v>
      </c>
      <c r="I39" s="2127">
        <f>H39*G39</f>
        <v>367.5</v>
      </c>
      <c r="J39" s="2197"/>
      <c r="P39" s="1704"/>
      <c r="Q39" s="1704"/>
    </row>
    <row r="40" spans="1:17" ht="21.75" customHeight="1" x14ac:dyDescent="0.2">
      <c r="A40" s="1493" t="s">
        <v>6244</v>
      </c>
      <c r="B40" s="1499"/>
      <c r="C40" s="1499"/>
      <c r="D40" s="1496"/>
      <c r="E40" s="1496"/>
      <c r="F40" s="1604"/>
      <c r="G40" s="2041"/>
      <c r="H40" s="1219"/>
      <c r="I40" s="2209">
        <f>SUM(I38:I39)</f>
        <v>537.5</v>
      </c>
      <c r="J40" s="2197"/>
      <c r="K40" s="746"/>
      <c r="L40" s="3567" t="s">
        <v>7508</v>
      </c>
      <c r="M40" s="3567"/>
      <c r="N40" s="3567"/>
      <c r="O40" s="3567"/>
    </row>
    <row r="41" spans="1:17" ht="21.75" customHeight="1" x14ac:dyDescent="0.2">
      <c r="A41" s="1493"/>
      <c r="B41" s="1499"/>
      <c r="C41" s="1499"/>
      <c r="D41" s="1496"/>
      <c r="E41" s="1496"/>
      <c r="F41" s="1604"/>
      <c r="G41" s="2041"/>
      <c r="H41" s="1219"/>
      <c r="I41" s="2097"/>
      <c r="J41" s="2197"/>
      <c r="K41" s="746"/>
      <c r="L41" s="24" t="s">
        <v>7507</v>
      </c>
      <c r="M41" s="24" t="s">
        <v>7506</v>
      </c>
      <c r="N41" s="51" t="s">
        <v>772</v>
      </c>
      <c r="O41" s="2117"/>
    </row>
    <row r="42" spans="1:17" ht="21.75" customHeight="1" x14ac:dyDescent="0.2">
      <c r="A42" s="1493" t="s">
        <v>6245</v>
      </c>
      <c r="B42" s="1499">
        <v>45733</v>
      </c>
      <c r="C42" s="1499"/>
      <c r="D42" s="1496" t="s">
        <v>7360</v>
      </c>
      <c r="E42" s="1496" t="s">
        <v>7609</v>
      </c>
      <c r="F42" s="1604" t="s">
        <v>6186</v>
      </c>
      <c r="G42" s="2041">
        <v>1</v>
      </c>
      <c r="H42" s="1638">
        <v>1000</v>
      </c>
      <c r="I42" s="2209">
        <f>H42*G42</f>
        <v>1000</v>
      </c>
      <c r="J42" s="2197"/>
      <c r="K42" s="746"/>
      <c r="L42" s="239">
        <v>35</v>
      </c>
      <c r="M42" s="2618">
        <v>112</v>
      </c>
      <c r="N42" s="2206">
        <f>M42*L42</f>
        <v>3920</v>
      </c>
      <c r="O42" s="2615"/>
    </row>
    <row r="43" spans="1:17" ht="22.5" customHeight="1" x14ac:dyDescent="0.2">
      <c r="A43" s="1493"/>
      <c r="B43" s="1499"/>
      <c r="C43" s="1499"/>
      <c r="D43" s="1496"/>
      <c r="E43" s="1496"/>
      <c r="F43" s="2199"/>
      <c r="G43" s="2200"/>
      <c r="H43" s="1638"/>
      <c r="I43" s="2059"/>
      <c r="J43" s="2130"/>
      <c r="P43" s="717"/>
      <c r="Q43" s="717"/>
    </row>
    <row r="44" spans="1:17" ht="21.75" customHeight="1" x14ac:dyDescent="0.2">
      <c r="A44" s="1493" t="s">
        <v>6245</v>
      </c>
      <c r="B44" s="1499">
        <v>45734</v>
      </c>
      <c r="C44" s="1499"/>
      <c r="D44" s="1496" t="s">
        <v>7360</v>
      </c>
      <c r="E44" s="1496" t="s">
        <v>7379</v>
      </c>
      <c r="F44" s="2199" t="s">
        <v>6186</v>
      </c>
      <c r="G44" s="2200">
        <v>1</v>
      </c>
      <c r="H44" s="1638">
        <v>50</v>
      </c>
      <c r="I44" s="2209">
        <f>H44*G44</f>
        <v>50</v>
      </c>
      <c r="J44" s="2197"/>
      <c r="K44" s="746"/>
      <c r="L44" s="51"/>
      <c r="M44" s="51"/>
      <c r="N44" s="51"/>
      <c r="O44" s="717"/>
    </row>
    <row r="45" spans="1:17" ht="21.75" customHeight="1" x14ac:dyDescent="0.2">
      <c r="A45" s="1493"/>
      <c r="B45" s="1499"/>
      <c r="C45" s="1499"/>
      <c r="D45" s="1496"/>
      <c r="E45" s="2190"/>
      <c r="F45" s="2616"/>
      <c r="G45" s="2617"/>
      <c r="H45" s="2598"/>
      <c r="I45" s="2599"/>
      <c r="J45" s="2197"/>
      <c r="K45" s="717"/>
      <c r="L45" s="3567" t="s">
        <v>7509</v>
      </c>
      <c r="M45" s="3567"/>
      <c r="N45" s="3567"/>
      <c r="O45" s="3567"/>
      <c r="P45" s="2117"/>
      <c r="Q45" s="2117"/>
    </row>
    <row r="46" spans="1:17" ht="21.75" customHeight="1" x14ac:dyDescent="0.2">
      <c r="A46" s="1493"/>
      <c r="B46" s="1499">
        <v>45736</v>
      </c>
      <c r="C46" s="1499" t="s">
        <v>7397</v>
      </c>
      <c r="D46" s="1496" t="s">
        <v>7360</v>
      </c>
      <c r="E46" s="1496" t="s">
        <v>6226</v>
      </c>
      <c r="F46" s="1604" t="s">
        <v>6186</v>
      </c>
      <c r="G46" s="2041">
        <v>5</v>
      </c>
      <c r="H46" s="1638">
        <v>38</v>
      </c>
      <c r="I46" s="2127">
        <f>H46*G46</f>
        <v>190</v>
      </c>
      <c r="J46" s="2197"/>
      <c r="K46" s="746"/>
      <c r="L46" s="24" t="s">
        <v>7507</v>
      </c>
      <c r="M46" s="24" t="s">
        <v>7506</v>
      </c>
      <c r="N46" s="31" t="s">
        <v>5963</v>
      </c>
    </row>
    <row r="47" spans="1:17" ht="21.75" customHeight="1" x14ac:dyDescent="0.2">
      <c r="A47" s="1493"/>
      <c r="B47" s="1499">
        <v>45736</v>
      </c>
      <c r="C47" s="1499" t="s">
        <v>7397</v>
      </c>
      <c r="D47" s="1496" t="s">
        <v>7360</v>
      </c>
      <c r="E47" s="1496" t="s">
        <v>7498</v>
      </c>
      <c r="F47" s="1604" t="s">
        <v>6225</v>
      </c>
      <c r="G47" s="2124">
        <v>1</v>
      </c>
      <c r="H47" s="1638">
        <v>249.9</v>
      </c>
      <c r="I47" s="2127">
        <f>H47*G47</f>
        <v>249.9</v>
      </c>
      <c r="J47" s="2197"/>
      <c r="L47" s="239">
        <v>35</v>
      </c>
      <c r="M47" s="2618">
        <v>177.15</v>
      </c>
      <c r="N47" s="2206">
        <f>M47*L47</f>
        <v>6200.25</v>
      </c>
      <c r="O47" s="2615"/>
      <c r="P47" s="1704"/>
      <c r="Q47" s="1704"/>
    </row>
    <row r="48" spans="1:17" ht="21.75" customHeight="1" x14ac:dyDescent="0.2">
      <c r="A48" s="1493"/>
      <c r="B48" s="1499"/>
      <c r="C48" s="1499"/>
      <c r="D48" s="1496"/>
      <c r="E48" s="2190" t="s">
        <v>7290</v>
      </c>
      <c r="F48" s="2191"/>
      <c r="G48" s="2192"/>
      <c r="H48" s="2598"/>
      <c r="I48" s="2599">
        <v>12.9</v>
      </c>
      <c r="J48" s="2197"/>
      <c r="K48" s="717"/>
      <c r="L48" s="51"/>
      <c r="M48" s="51"/>
      <c r="N48" s="51"/>
      <c r="O48" s="717"/>
      <c r="P48" s="2117"/>
      <c r="Q48" s="2117"/>
    </row>
    <row r="49" spans="1:20" ht="21.75" customHeight="1" x14ac:dyDescent="0.2">
      <c r="A49" s="1493" t="s">
        <v>6244</v>
      </c>
      <c r="B49" s="1499"/>
      <c r="C49" s="1499"/>
      <c r="D49" s="1496"/>
      <c r="E49" s="1496"/>
      <c r="F49" s="1604"/>
      <c r="G49" s="2041"/>
      <c r="H49" s="1219"/>
      <c r="I49" s="2209">
        <f>SUM(I46:I47)-I48</f>
        <v>427</v>
      </c>
      <c r="J49" s="2197"/>
      <c r="K49" s="746"/>
      <c r="L49" s="746"/>
      <c r="M49" s="746"/>
      <c r="N49" s="746"/>
      <c r="O49" s="746"/>
    </row>
    <row r="50" spans="1:20" ht="21.75" customHeight="1" x14ac:dyDescent="0.2">
      <c r="A50" s="1493"/>
      <c r="B50" s="1499"/>
      <c r="C50" s="1499"/>
      <c r="D50" s="1496"/>
      <c r="E50" s="1496"/>
      <c r="F50" s="1604"/>
      <c r="G50" s="2041"/>
      <c r="H50" s="1219"/>
      <c r="I50" s="2127"/>
      <c r="J50" s="2197"/>
      <c r="K50" s="746"/>
    </row>
    <row r="51" spans="1:20" ht="21.75" customHeight="1" x14ac:dyDescent="0.2">
      <c r="A51" s="1493" t="s">
        <v>6245</v>
      </c>
      <c r="B51" s="1499">
        <v>45740</v>
      </c>
      <c r="C51" s="1499"/>
      <c r="D51" s="1496" t="s">
        <v>7360</v>
      </c>
      <c r="E51" s="1496" t="s">
        <v>7608</v>
      </c>
      <c r="F51" s="1604" t="s">
        <v>6186</v>
      </c>
      <c r="G51" s="2041">
        <v>1</v>
      </c>
      <c r="H51" s="1638">
        <v>2000</v>
      </c>
      <c r="I51" s="2209">
        <f>H51*G51</f>
        <v>2000</v>
      </c>
      <c r="J51" s="2197"/>
      <c r="K51" s="746"/>
    </row>
    <row r="52" spans="1:20" ht="22.5" customHeight="1" x14ac:dyDescent="0.2">
      <c r="A52" s="1493"/>
      <c r="B52" s="1499"/>
      <c r="C52" s="1499"/>
      <c r="D52" s="1496"/>
      <c r="E52" s="1496"/>
      <c r="F52" s="2199"/>
      <c r="G52" s="2200"/>
      <c r="H52" s="1638"/>
      <c r="I52" s="2059"/>
      <c r="J52" s="2130"/>
      <c r="P52" s="717"/>
      <c r="Q52" s="717"/>
    </row>
    <row r="53" spans="1:20" ht="21.75" customHeight="1" x14ac:dyDescent="0.2">
      <c r="A53" s="1493" t="s">
        <v>6244</v>
      </c>
      <c r="B53" s="1499">
        <v>45741</v>
      </c>
      <c r="C53" s="1499" t="s">
        <v>7287</v>
      </c>
      <c r="D53" s="1496" t="s">
        <v>7360</v>
      </c>
      <c r="E53" s="1496" t="s">
        <v>7582</v>
      </c>
      <c r="F53" s="1604" t="s">
        <v>6186</v>
      </c>
      <c r="G53" s="2041">
        <v>1</v>
      </c>
      <c r="H53" s="1638">
        <v>28.9</v>
      </c>
      <c r="I53" s="2209">
        <f>H53*G53</f>
        <v>28.9</v>
      </c>
      <c r="J53" s="2197"/>
      <c r="K53" s="746"/>
    </row>
    <row r="54" spans="1:20" ht="21.75" customHeight="1" x14ac:dyDescent="0.2">
      <c r="A54" s="1493"/>
      <c r="B54" s="1499"/>
      <c r="C54" s="1499"/>
      <c r="D54" s="1496"/>
      <c r="E54" s="1496"/>
      <c r="F54" s="1604"/>
      <c r="G54" s="2041"/>
      <c r="H54" s="1638"/>
      <c r="I54" s="2127"/>
      <c r="J54" s="2197"/>
      <c r="P54" s="1704"/>
      <c r="Q54" s="1704"/>
    </row>
    <row r="55" spans="1:20" ht="21.75" customHeight="1" x14ac:dyDescent="0.2">
      <c r="A55" s="1493" t="s">
        <v>6245</v>
      </c>
      <c r="B55" s="1499">
        <v>45744</v>
      </c>
      <c r="C55" s="1499"/>
      <c r="D55" s="1496" t="s">
        <v>7360</v>
      </c>
      <c r="E55" s="1496" t="s">
        <v>7607</v>
      </c>
      <c r="F55" s="2199" t="s">
        <v>6186</v>
      </c>
      <c r="G55" s="2200">
        <v>1</v>
      </c>
      <c r="H55" s="1638">
        <v>1000</v>
      </c>
      <c r="I55" s="2209">
        <f>H55*G55</f>
        <v>1000</v>
      </c>
      <c r="J55" s="2197"/>
      <c r="K55" s="746"/>
    </row>
    <row r="56" spans="1:20" ht="21.75" customHeight="1" x14ac:dyDescent="0.2">
      <c r="A56" s="1493"/>
      <c r="B56" s="1499"/>
      <c r="C56" s="1499"/>
      <c r="D56" s="1496"/>
      <c r="E56" s="1496"/>
      <c r="F56" s="1604"/>
      <c r="G56" s="2041"/>
      <c r="H56" s="1638"/>
      <c r="I56" s="2127"/>
      <c r="J56" s="2197"/>
      <c r="P56" s="1704"/>
      <c r="Q56" s="1704"/>
    </row>
    <row r="57" spans="1:20" ht="21.75" customHeight="1" x14ac:dyDescent="0.2">
      <c r="A57" s="1493" t="s">
        <v>6245</v>
      </c>
      <c r="B57" s="1499">
        <v>45748</v>
      </c>
      <c r="C57" s="1499"/>
      <c r="D57" s="1496" t="s">
        <v>7360</v>
      </c>
      <c r="E57" s="1496" t="s">
        <v>7637</v>
      </c>
      <c r="F57" s="2199" t="s">
        <v>6186</v>
      </c>
      <c r="G57" s="2200">
        <v>1</v>
      </c>
      <c r="H57" s="1638">
        <v>2200</v>
      </c>
      <c r="I57" s="2209">
        <v>1200</v>
      </c>
      <c r="J57" s="2197"/>
      <c r="K57" s="746"/>
    </row>
    <row r="58" spans="1:20" ht="21.75" customHeight="1" thickBot="1" x14ac:dyDescent="0.25">
      <c r="A58" s="1493"/>
      <c r="B58" s="1499"/>
      <c r="C58" s="1499"/>
      <c r="D58" s="1496"/>
      <c r="E58" s="1496"/>
      <c r="F58" s="1604"/>
      <c r="G58" s="2041"/>
      <c r="H58" s="1638"/>
      <c r="I58" s="2209"/>
      <c r="J58" s="2197"/>
      <c r="K58" s="746"/>
    </row>
    <row r="59" spans="1:20" ht="21.75" customHeight="1" thickBot="1" x14ac:dyDescent="0.25">
      <c r="A59" s="3510" t="s">
        <v>772</v>
      </c>
      <c r="B59" s="3511"/>
      <c r="C59" s="3511"/>
      <c r="D59" s="3511"/>
      <c r="E59" s="3511"/>
      <c r="F59" s="3511"/>
      <c r="G59" s="3511"/>
      <c r="H59" s="3512"/>
      <c r="I59" s="175">
        <f>SUMIF(A3:A58,"mo",I3:I58)+SUMIF(A3:A58,"mat",I3:I58)</f>
        <v>9373.16</v>
      </c>
      <c r="J59" s="2342"/>
      <c r="K59" s="746"/>
    </row>
    <row r="60" spans="1:20" ht="21.75" customHeight="1" x14ac:dyDescent="0.2">
      <c r="A60" s="51"/>
      <c r="B60" s="1543"/>
      <c r="C60" s="1543"/>
      <c r="D60" s="717"/>
      <c r="E60" s="717"/>
      <c r="F60" s="2277"/>
      <c r="G60" s="2277"/>
      <c r="H60" s="52"/>
      <c r="I60" s="52"/>
      <c r="J60" s="2205"/>
      <c r="K60" s="746"/>
    </row>
    <row r="61" spans="1:20" ht="21.75" customHeight="1" x14ac:dyDescent="0.2">
      <c r="A61" s="51"/>
      <c r="B61" s="1543"/>
      <c r="C61" s="717"/>
      <c r="D61" s="239"/>
      <c r="F61" s="3109" t="s">
        <v>5893</v>
      </c>
      <c r="G61" s="3109"/>
      <c r="H61" s="3109"/>
      <c r="I61" s="401">
        <f>SUMIF($A$3:$A$58,"MO",$I$3:$I$58)</f>
        <v>6390</v>
      </c>
      <c r="J61" s="2216">
        <f>I61/I63</f>
        <v>0.68173380162079811</v>
      </c>
      <c r="L61" s="32"/>
      <c r="M61" s="32"/>
      <c r="N61" s="32"/>
      <c r="O61" s="32"/>
      <c r="P61" s="32"/>
      <c r="Q61" s="32"/>
      <c r="R61" s="32"/>
      <c r="S61" s="32"/>
      <c r="T61" s="32"/>
    </row>
    <row r="62" spans="1:20" ht="26.25" customHeight="1" x14ac:dyDescent="0.2">
      <c r="A62" s="24"/>
      <c r="B62" s="1543"/>
      <c r="C62" s="717"/>
      <c r="D62" s="239"/>
      <c r="E62" s="1505"/>
      <c r="F62" s="3102" t="s">
        <v>6250</v>
      </c>
      <c r="G62" s="3102"/>
      <c r="H62" s="3102"/>
      <c r="I62" s="401">
        <f>SUMIF($A$3:$A$63,"MAT",$I$3:$I$63)</f>
        <v>2983.1600000000003</v>
      </c>
      <c r="J62" s="2216">
        <f>I62/I63</f>
        <v>0.31826619837920195</v>
      </c>
      <c r="L62" s="31"/>
      <c r="M62" s="31"/>
      <c r="N62" s="31"/>
      <c r="O62" s="2107"/>
      <c r="P62" s="2107"/>
      <c r="Q62" s="2107"/>
    </row>
    <row r="63" spans="1:20" ht="21.75" customHeight="1" x14ac:dyDescent="0.2">
      <c r="A63" s="51"/>
      <c r="B63" s="1543"/>
      <c r="C63" s="32"/>
      <c r="D63" s="2206"/>
      <c r="E63" s="1505"/>
      <c r="F63" s="3513" t="s">
        <v>772</v>
      </c>
      <c r="G63" s="3513"/>
      <c r="H63" s="3513"/>
      <c r="I63" s="231">
        <f>SUM(I61:I62)</f>
        <v>9373.16</v>
      </c>
      <c r="J63" s="2217"/>
      <c r="L63" s="1543"/>
      <c r="M63" s="1559"/>
      <c r="N63" s="51"/>
      <c r="O63" s="1870"/>
      <c r="P63" s="1870"/>
      <c r="Q63" s="1870"/>
    </row>
    <row r="66" spans="1:17" ht="13.5" thickBot="1" x14ac:dyDescent="0.25"/>
    <row r="67" spans="1:17" ht="27" thickBot="1" x14ac:dyDescent="0.45">
      <c r="A67" s="3104" t="s">
        <v>7717</v>
      </c>
      <c r="B67" s="3105"/>
      <c r="C67" s="3105"/>
      <c r="D67" s="3105"/>
      <c r="E67" s="3105"/>
      <c r="F67" s="3105"/>
      <c r="G67" s="3105"/>
      <c r="H67" s="3105"/>
      <c r="I67" s="3105"/>
      <c r="J67" s="3509"/>
      <c r="K67" s="2084"/>
    </row>
    <row r="68" spans="1:17" ht="40.5" customHeight="1" thickBot="1" x14ac:dyDescent="0.25">
      <c r="A68" s="8" t="s">
        <v>5546</v>
      </c>
      <c r="B68" s="11" t="s">
        <v>721</v>
      </c>
      <c r="C68" s="11" t="s">
        <v>6233</v>
      </c>
      <c r="D68" s="75" t="s">
        <v>6183</v>
      </c>
      <c r="E68" s="75" t="s">
        <v>722</v>
      </c>
      <c r="F68" s="2040" t="s">
        <v>6186</v>
      </c>
      <c r="G68" s="11" t="s">
        <v>723</v>
      </c>
      <c r="H68" s="398" t="s">
        <v>724</v>
      </c>
      <c r="I68" s="2047" t="s">
        <v>725</v>
      </c>
      <c r="J68" s="75" t="s">
        <v>6227</v>
      </c>
      <c r="K68" s="32"/>
      <c r="M68" s="32"/>
      <c r="N68" s="31"/>
      <c r="O68" s="32"/>
    </row>
    <row r="69" spans="1:17" ht="21.75" customHeight="1" x14ac:dyDescent="0.2">
      <c r="A69" s="1493"/>
      <c r="B69" s="1499">
        <v>45755</v>
      </c>
      <c r="C69" s="1499" t="s">
        <v>7718</v>
      </c>
      <c r="D69" s="1496" t="s">
        <v>7519</v>
      </c>
      <c r="E69" s="1496" t="s">
        <v>7719</v>
      </c>
      <c r="F69" s="2348" t="s">
        <v>6186</v>
      </c>
      <c r="G69" s="2041">
        <v>1</v>
      </c>
      <c r="H69" s="1638">
        <v>138.19</v>
      </c>
      <c r="I69" s="2127">
        <f>H69*G69</f>
        <v>138.19</v>
      </c>
      <c r="J69" s="2197"/>
      <c r="K69" s="746"/>
      <c r="M69" s="1"/>
      <c r="N69" s="231"/>
    </row>
    <row r="70" spans="1:17" ht="21.75" customHeight="1" x14ac:dyDescent="0.2">
      <c r="A70" s="1493"/>
      <c r="B70" s="1499">
        <v>45755</v>
      </c>
      <c r="C70" s="1499" t="s">
        <v>7718</v>
      </c>
      <c r="D70" s="1496" t="s">
        <v>7519</v>
      </c>
      <c r="E70" s="1496" t="s">
        <v>7720</v>
      </c>
      <c r="F70" s="2041" t="s">
        <v>6186</v>
      </c>
      <c r="G70" s="2041">
        <v>1</v>
      </c>
      <c r="H70" s="1638">
        <v>138.19</v>
      </c>
      <c r="I70" s="2127">
        <f t="shared" ref="I70" si="5">H70*G70</f>
        <v>138.19</v>
      </c>
      <c r="J70" s="2197"/>
      <c r="L70" s="2139"/>
      <c r="M70" s="1"/>
      <c r="N70" s="231"/>
      <c r="O70" s="1704"/>
      <c r="P70" s="1704"/>
      <c r="Q70" s="1704"/>
    </row>
    <row r="71" spans="1:17" ht="21.75" customHeight="1" x14ac:dyDescent="0.2">
      <c r="A71" s="1493"/>
      <c r="B71" s="1499">
        <v>45755</v>
      </c>
      <c r="C71" s="1499" t="s">
        <v>7718</v>
      </c>
      <c r="D71" s="1496" t="s">
        <v>7519</v>
      </c>
      <c r="E71" s="1496" t="s">
        <v>7721</v>
      </c>
      <c r="F71" s="2041" t="s">
        <v>6186</v>
      </c>
      <c r="G71" s="2041">
        <v>1</v>
      </c>
      <c r="H71" s="1638">
        <v>9.4600000000000009</v>
      </c>
      <c r="I71" s="2127">
        <f t="shared" ref="I71" si="6">H71*G71</f>
        <v>9.4600000000000009</v>
      </c>
      <c r="J71" s="2197"/>
      <c r="L71" s="2139"/>
      <c r="M71" s="1"/>
      <c r="N71" s="231"/>
      <c r="O71" s="1704"/>
      <c r="P71" s="1704"/>
      <c r="Q71" s="1704"/>
    </row>
    <row r="72" spans="1:17" ht="21.75" customHeight="1" x14ac:dyDescent="0.2">
      <c r="B72" s="1499">
        <v>45755</v>
      </c>
      <c r="C72" s="1499" t="s">
        <v>7718</v>
      </c>
      <c r="D72" s="1496" t="s">
        <v>7519</v>
      </c>
      <c r="E72" s="1496" t="s">
        <v>7449</v>
      </c>
      <c r="F72" s="2041" t="s">
        <v>6186</v>
      </c>
      <c r="G72" s="2041">
        <v>1</v>
      </c>
      <c r="H72" s="1638">
        <v>19.899999999999999</v>
      </c>
      <c r="I72" s="2127">
        <f t="shared" ref="I72" si="7">H72*G72</f>
        <v>19.899999999999999</v>
      </c>
      <c r="J72" s="2197"/>
      <c r="K72" s="746"/>
      <c r="M72" s="1"/>
      <c r="N72" s="231"/>
    </row>
    <row r="73" spans="1:17" ht="21.75" customHeight="1" x14ac:dyDescent="0.2">
      <c r="A73" s="1493"/>
      <c r="B73" s="1499"/>
      <c r="C73" s="1499"/>
      <c r="D73" s="1496"/>
      <c r="E73" s="2190" t="s">
        <v>5572</v>
      </c>
      <c r="F73" s="2192"/>
      <c r="G73" s="2192"/>
      <c r="H73" s="2598"/>
      <c r="I73" s="2599">
        <v>14.29</v>
      </c>
      <c r="J73" s="2698"/>
      <c r="L73" s="2139"/>
      <c r="M73" s="1"/>
      <c r="N73" s="231"/>
      <c r="O73" s="1704"/>
      <c r="P73" s="1704"/>
      <c r="Q73" s="1704"/>
    </row>
    <row r="74" spans="1:17" ht="21.75" customHeight="1" x14ac:dyDescent="0.2">
      <c r="A74" s="1493" t="s">
        <v>6244</v>
      </c>
      <c r="B74" s="1499"/>
      <c r="C74" s="1499"/>
      <c r="D74" s="1496"/>
      <c r="E74" s="1496"/>
      <c r="F74" s="2041"/>
      <c r="G74" s="2041"/>
      <c r="H74" s="1638"/>
      <c r="I74" s="2209">
        <f>SUM(I69:I72)-I73</f>
        <v>291.44999999999993</v>
      </c>
      <c r="J74" s="2197" t="s">
        <v>6246</v>
      </c>
      <c r="L74" s="2139"/>
      <c r="M74" s="1"/>
      <c r="N74" s="231"/>
      <c r="O74" s="1704"/>
      <c r="P74" s="1704"/>
      <c r="Q74" s="1704"/>
    </row>
    <row r="75" spans="1:17" ht="21.75" customHeight="1" x14ac:dyDescent="0.2">
      <c r="A75" s="1493"/>
      <c r="B75" s="1499"/>
      <c r="C75" s="1499"/>
      <c r="D75" s="1496"/>
      <c r="E75" s="1496"/>
      <c r="F75" s="2041"/>
      <c r="G75" s="2041"/>
      <c r="H75" s="1638"/>
      <c r="I75" s="2127"/>
      <c r="J75" s="2197"/>
      <c r="K75" s="746"/>
      <c r="L75" s="2139"/>
      <c r="M75" s="1"/>
      <c r="N75" s="231"/>
      <c r="O75" s="1704"/>
      <c r="P75" s="1704"/>
      <c r="Q75" s="1704"/>
    </row>
    <row r="76" spans="1:17" ht="21.75" customHeight="1" x14ac:dyDescent="0.2">
      <c r="A76" s="1493"/>
      <c r="B76" s="1499">
        <v>45762</v>
      </c>
      <c r="C76" s="1499" t="s">
        <v>7493</v>
      </c>
      <c r="D76" s="1496" t="s">
        <v>7519</v>
      </c>
      <c r="E76" s="1496" t="s">
        <v>7741</v>
      </c>
      <c r="F76" s="2132" t="s">
        <v>6186</v>
      </c>
      <c r="G76" s="2041">
        <v>1</v>
      </c>
      <c r="H76" s="1638">
        <v>150</v>
      </c>
      <c r="I76" s="2127">
        <f>H76*G76</f>
        <v>150</v>
      </c>
      <c r="J76" s="2197"/>
      <c r="K76" s="717" t="s">
        <v>7778</v>
      </c>
      <c r="M76" s="1"/>
      <c r="N76" s="231"/>
    </row>
    <row r="77" spans="1:17" ht="21.75" customHeight="1" x14ac:dyDescent="0.2">
      <c r="A77" s="1493"/>
      <c r="B77" s="1499">
        <v>45762</v>
      </c>
      <c r="C77" s="1499" t="s">
        <v>7493</v>
      </c>
      <c r="D77" s="1496" t="s">
        <v>7519</v>
      </c>
      <c r="E77" s="1496" t="s">
        <v>7747</v>
      </c>
      <c r="F77" s="2041" t="s">
        <v>6186</v>
      </c>
      <c r="G77" s="2041">
        <v>2</v>
      </c>
      <c r="H77" s="1638">
        <v>24</v>
      </c>
      <c r="I77" s="2127">
        <f>H77*G77</f>
        <v>48</v>
      </c>
      <c r="J77" s="2197"/>
      <c r="K77" s="717" t="s">
        <v>7779</v>
      </c>
      <c r="M77" s="1"/>
      <c r="N77" s="231"/>
      <c r="O77" s="1704"/>
      <c r="P77" s="1704"/>
      <c r="Q77" s="1704"/>
    </row>
    <row r="78" spans="1:17" ht="21.75" customHeight="1" x14ac:dyDescent="0.2">
      <c r="A78" s="676"/>
      <c r="B78" s="2699">
        <v>45762</v>
      </c>
      <c r="C78" s="2699" t="s">
        <v>7493</v>
      </c>
      <c r="D78" s="2190" t="s">
        <v>7519</v>
      </c>
      <c r="E78" s="2190" t="s">
        <v>7742</v>
      </c>
      <c r="F78" s="2192" t="s">
        <v>6186</v>
      </c>
      <c r="G78" s="2192">
        <v>2</v>
      </c>
      <c r="H78" s="2598">
        <v>76.47</v>
      </c>
      <c r="I78" s="2599">
        <f t="shared" ref="I78" si="8">H78*G78</f>
        <v>152.94</v>
      </c>
      <c r="J78" s="2197"/>
      <c r="K78" s="717" t="s">
        <v>7790</v>
      </c>
      <c r="M78" s="1"/>
      <c r="N78" s="231"/>
      <c r="O78" s="1704"/>
      <c r="P78" s="1704"/>
      <c r="Q78" s="1704"/>
    </row>
    <row r="79" spans="1:17" ht="21.75" customHeight="1" x14ac:dyDescent="0.2">
      <c r="A79" s="676"/>
      <c r="B79" s="1499">
        <v>45762</v>
      </c>
      <c r="C79" s="1499" t="s">
        <v>7493</v>
      </c>
      <c r="D79" s="1496" t="s">
        <v>7519</v>
      </c>
      <c r="E79" s="1496" t="s">
        <v>7743</v>
      </c>
      <c r="F79" s="2041" t="s">
        <v>6186</v>
      </c>
      <c r="G79" s="2041">
        <v>1</v>
      </c>
      <c r="H79" s="1638">
        <v>126.12</v>
      </c>
      <c r="I79" s="2127">
        <f t="shared" ref="I79:I81" si="9">H79*G79</f>
        <v>126.12</v>
      </c>
      <c r="J79" s="2197"/>
      <c r="K79" s="717" t="s">
        <v>5863</v>
      </c>
      <c r="M79" s="1"/>
      <c r="N79" s="231"/>
      <c r="O79" s="1704"/>
      <c r="P79" s="1704"/>
      <c r="Q79" s="1704"/>
    </row>
    <row r="80" spans="1:17" ht="21.75" customHeight="1" x14ac:dyDescent="0.2">
      <c r="A80" s="1493"/>
      <c r="B80" s="1499">
        <v>45762</v>
      </c>
      <c r="C80" s="1499" t="s">
        <v>7493</v>
      </c>
      <c r="D80" s="1496" t="s">
        <v>7519</v>
      </c>
      <c r="E80" s="1496" t="s">
        <v>7744</v>
      </c>
      <c r="F80" s="2041" t="s">
        <v>6186</v>
      </c>
      <c r="G80" s="2041">
        <v>1</v>
      </c>
      <c r="H80" s="1638">
        <v>70</v>
      </c>
      <c r="I80" s="2127">
        <f t="shared" si="9"/>
        <v>70</v>
      </c>
      <c r="J80" s="2197"/>
      <c r="K80" s="717" t="s">
        <v>5862</v>
      </c>
      <c r="M80" s="1"/>
      <c r="N80" s="231"/>
    </row>
    <row r="81" spans="1:17" ht="21.75" customHeight="1" x14ac:dyDescent="0.2">
      <c r="A81" s="1493"/>
      <c r="B81" s="1499">
        <v>45762</v>
      </c>
      <c r="C81" s="1499" t="s">
        <v>7493</v>
      </c>
      <c r="D81" s="1496" t="s">
        <v>7519</v>
      </c>
      <c r="E81" s="1496" t="s">
        <v>7745</v>
      </c>
      <c r="F81" s="2041" t="s">
        <v>6186</v>
      </c>
      <c r="G81" s="2041">
        <v>6</v>
      </c>
      <c r="H81" s="1638">
        <v>39.619999999999997</v>
      </c>
      <c r="I81" s="2127">
        <f t="shared" si="9"/>
        <v>237.71999999999997</v>
      </c>
      <c r="J81" s="2197"/>
      <c r="K81" s="717" t="s">
        <v>7748</v>
      </c>
      <c r="M81" s="1"/>
      <c r="N81" s="231"/>
    </row>
    <row r="82" spans="1:17" ht="21.75" customHeight="1" x14ac:dyDescent="0.2">
      <c r="A82" s="676"/>
      <c r="B82" s="1499">
        <v>45762</v>
      </c>
      <c r="C82" s="1499" t="s">
        <v>7493</v>
      </c>
      <c r="D82" s="1496" t="s">
        <v>7519</v>
      </c>
      <c r="E82" s="1496" t="s">
        <v>7746</v>
      </c>
      <c r="F82" s="2041" t="s">
        <v>6186</v>
      </c>
      <c r="G82" s="2041">
        <v>5</v>
      </c>
      <c r="H82" s="1638">
        <v>3.99</v>
      </c>
      <c r="I82" s="2127">
        <f>H82*G82</f>
        <v>19.950000000000003</v>
      </c>
      <c r="J82" s="2197"/>
      <c r="K82" s="717"/>
      <c r="M82" s="1"/>
      <c r="N82" s="231"/>
    </row>
    <row r="83" spans="1:17" ht="21.75" customHeight="1" x14ac:dyDescent="0.2">
      <c r="A83" s="1493" t="s">
        <v>6244</v>
      </c>
      <c r="B83" s="1499"/>
      <c r="C83" s="1499"/>
      <c r="D83" s="1496"/>
      <c r="E83" s="1496"/>
      <c r="F83" s="2041"/>
      <c r="G83" s="2041"/>
      <c r="H83" s="1638"/>
      <c r="I83" s="2209">
        <f>SUM(I76:I82)</f>
        <v>804.73</v>
      </c>
      <c r="J83" s="2197" t="s">
        <v>6246</v>
      </c>
      <c r="K83" s="717"/>
      <c r="L83" s="2139"/>
      <c r="M83" s="1"/>
      <c r="N83" s="231"/>
      <c r="O83" s="1704"/>
      <c r="P83" s="1704"/>
      <c r="Q83" s="1704"/>
    </row>
    <row r="84" spans="1:17" ht="21.75" customHeight="1" x14ac:dyDescent="0.2">
      <c r="A84" s="1493"/>
      <c r="B84" s="1499"/>
      <c r="C84" s="1499"/>
      <c r="D84" s="1496"/>
      <c r="E84" s="1496"/>
      <c r="F84" s="2041"/>
      <c r="G84" s="2041"/>
      <c r="H84" s="1638"/>
      <c r="I84" s="2127"/>
      <c r="J84" s="2197"/>
      <c r="K84" s="746"/>
      <c r="L84" s="2139"/>
      <c r="M84" s="1"/>
      <c r="N84" s="231"/>
      <c r="O84" s="1704"/>
      <c r="P84" s="1704"/>
      <c r="Q84" s="1704"/>
    </row>
    <row r="85" spans="1:17" ht="21.75" customHeight="1" x14ac:dyDescent="0.2">
      <c r="A85" s="1493"/>
      <c r="B85" s="1499">
        <v>45763</v>
      </c>
      <c r="C85" s="1499" t="s">
        <v>7493</v>
      </c>
      <c r="D85" s="1496" t="s">
        <v>7519</v>
      </c>
      <c r="E85" s="1496" t="s">
        <v>7787</v>
      </c>
      <c r="F85" s="2200" t="s">
        <v>6186</v>
      </c>
      <c r="G85" s="2200">
        <v>20</v>
      </c>
      <c r="H85" s="1638">
        <v>4.8</v>
      </c>
      <c r="I85" s="2127">
        <f t="shared" ref="I85" si="10">H85*G85</f>
        <v>96</v>
      </c>
      <c r="J85" s="2197"/>
      <c r="K85" s="717" t="s">
        <v>7782</v>
      </c>
      <c r="M85" s="1"/>
      <c r="N85" s="231"/>
      <c r="O85" s="1704"/>
      <c r="P85" s="1704"/>
      <c r="Q85" s="1704"/>
    </row>
    <row r="86" spans="1:17" ht="21.75" customHeight="1" x14ac:dyDescent="0.2">
      <c r="A86" s="1493"/>
      <c r="B86" s="1499">
        <v>45763</v>
      </c>
      <c r="C86" s="1499" t="s">
        <v>7493</v>
      </c>
      <c r="D86" s="1496" t="s">
        <v>7519</v>
      </c>
      <c r="E86" s="1496" t="s">
        <v>7788</v>
      </c>
      <c r="F86" s="2200" t="s">
        <v>6186</v>
      </c>
      <c r="G86" s="2200">
        <v>10</v>
      </c>
      <c r="H86" s="1638">
        <v>4.8</v>
      </c>
      <c r="I86" s="2127">
        <f t="shared" ref="I86:I87" si="11">H86*G86</f>
        <v>48</v>
      </c>
      <c r="J86" s="2197"/>
      <c r="K86" s="717" t="s">
        <v>7781</v>
      </c>
      <c r="M86" s="1"/>
      <c r="N86" s="231"/>
      <c r="O86" s="1704"/>
      <c r="P86" s="1704"/>
      <c r="Q86" s="1704"/>
    </row>
    <row r="87" spans="1:17" ht="21.75" customHeight="1" x14ac:dyDescent="0.2">
      <c r="A87" s="1493"/>
      <c r="B87" s="1499">
        <v>45763</v>
      </c>
      <c r="C87" s="1499" t="s">
        <v>7493</v>
      </c>
      <c r="D87" s="1496" t="s">
        <v>7519</v>
      </c>
      <c r="E87" s="1496" t="s">
        <v>7789</v>
      </c>
      <c r="F87" s="2200" t="s">
        <v>6186</v>
      </c>
      <c r="G87" s="2200">
        <v>20</v>
      </c>
      <c r="H87" s="1638">
        <v>4.45</v>
      </c>
      <c r="I87" s="2127">
        <f t="shared" si="11"/>
        <v>89</v>
      </c>
      <c r="J87" s="2197"/>
      <c r="K87" s="717" t="s">
        <v>7780</v>
      </c>
      <c r="O87" s="1704"/>
      <c r="P87" s="1704"/>
      <c r="Q87" s="1704"/>
    </row>
    <row r="88" spans="1:17" ht="21.75" customHeight="1" x14ac:dyDescent="0.2">
      <c r="A88" s="1493"/>
      <c r="B88" s="1499"/>
      <c r="C88" s="1499"/>
      <c r="D88" s="1496"/>
      <c r="E88" s="2190" t="s">
        <v>5572</v>
      </c>
      <c r="F88" s="2192"/>
      <c r="G88" s="2192"/>
      <c r="H88" s="2598"/>
      <c r="I88" s="2599">
        <v>16.309999999999999</v>
      </c>
      <c r="J88" s="2698"/>
      <c r="O88" s="1704"/>
      <c r="P88" s="1704"/>
      <c r="Q88" s="1704"/>
    </row>
    <row r="89" spans="1:17" ht="21.75" customHeight="1" x14ac:dyDescent="0.2">
      <c r="A89" s="1493" t="s">
        <v>6244</v>
      </c>
      <c r="B89" s="1499"/>
      <c r="C89" s="1499"/>
      <c r="D89" s="1496"/>
      <c r="E89" s="1496"/>
      <c r="F89" s="2041"/>
      <c r="G89" s="2041"/>
      <c r="H89" s="1638"/>
      <c r="I89" s="2209">
        <f>SUM(I85:I87)-I88</f>
        <v>216.69</v>
      </c>
      <c r="J89" s="2197" t="s">
        <v>7606</v>
      </c>
      <c r="K89" s="717"/>
      <c r="L89" s="2139"/>
      <c r="M89" s="1"/>
      <c r="N89" s="231"/>
      <c r="O89" s="1704"/>
      <c r="P89" s="1704"/>
      <c r="Q89" s="1704"/>
    </row>
    <row r="90" spans="1:17" ht="21.75" customHeight="1" x14ac:dyDescent="0.2">
      <c r="A90" s="1493"/>
      <c r="B90" s="1499"/>
      <c r="C90" s="1499"/>
      <c r="D90" s="1496"/>
      <c r="E90" s="1496"/>
      <c r="F90" s="2041"/>
      <c r="G90" s="2041"/>
      <c r="H90" s="1638"/>
      <c r="I90" s="2127"/>
      <c r="J90" s="2197"/>
      <c r="O90" s="1704"/>
      <c r="P90" s="1704"/>
      <c r="Q90" s="1704"/>
    </row>
    <row r="91" spans="1:17" ht="21.75" customHeight="1" x14ac:dyDescent="0.2">
      <c r="A91" s="1493"/>
      <c r="B91" s="1499">
        <v>45762</v>
      </c>
      <c r="C91" s="1499" t="s">
        <v>7724</v>
      </c>
      <c r="D91" s="1496" t="s">
        <v>7519</v>
      </c>
      <c r="E91" s="1496" t="s">
        <v>7750</v>
      </c>
      <c r="F91" s="2132" t="s">
        <v>6186</v>
      </c>
      <c r="G91" s="2041">
        <v>1</v>
      </c>
      <c r="H91" s="1638">
        <v>5230</v>
      </c>
      <c r="I91" s="2127">
        <f>H91*G91</f>
        <v>5230</v>
      </c>
      <c r="J91" s="2197"/>
    </row>
    <row r="92" spans="1:17" ht="21.75" customHeight="1" x14ac:dyDescent="0.2">
      <c r="A92" s="1493"/>
      <c r="B92" s="1499">
        <v>45762</v>
      </c>
      <c r="C92" s="1499" t="s">
        <v>7724</v>
      </c>
      <c r="D92" s="1496" t="s">
        <v>7519</v>
      </c>
      <c r="E92" s="1496" t="s">
        <v>7751</v>
      </c>
      <c r="F92" s="2041" t="s">
        <v>6186</v>
      </c>
      <c r="G92" s="2041">
        <v>1</v>
      </c>
      <c r="H92" s="1638">
        <v>1560</v>
      </c>
      <c r="I92" s="2127">
        <f t="shared" ref="I92:I93" si="12">H92*G92</f>
        <v>1560</v>
      </c>
      <c r="J92" s="2197"/>
      <c r="O92" s="1704"/>
      <c r="P92" s="1704"/>
      <c r="Q92" s="1704"/>
    </row>
    <row r="93" spans="1:17" ht="21.75" customHeight="1" x14ac:dyDescent="0.2">
      <c r="A93" s="1493"/>
      <c r="B93" s="1499">
        <v>45762</v>
      </c>
      <c r="C93" s="1499" t="s">
        <v>7724</v>
      </c>
      <c r="D93" s="1496" t="s">
        <v>7519</v>
      </c>
      <c r="E93" s="1496" t="s">
        <v>7752</v>
      </c>
      <c r="F93" s="2041" t="s">
        <v>6186</v>
      </c>
      <c r="G93" s="2041">
        <v>1</v>
      </c>
      <c r="H93" s="1638">
        <v>750</v>
      </c>
      <c r="I93" s="2127">
        <f t="shared" si="12"/>
        <v>750</v>
      </c>
      <c r="J93" s="2197"/>
      <c r="O93" s="1704"/>
      <c r="P93" s="1704"/>
      <c r="Q93" s="1704"/>
    </row>
    <row r="94" spans="1:17" ht="21.75" customHeight="1" x14ac:dyDescent="0.2">
      <c r="A94" s="1493"/>
      <c r="B94" s="1499"/>
      <c r="C94" s="1499"/>
      <c r="D94" s="1496"/>
      <c r="E94" s="2190" t="s">
        <v>5572</v>
      </c>
      <c r="F94" s="2192"/>
      <c r="G94" s="2192"/>
      <c r="H94" s="2598"/>
      <c r="I94" s="2599">
        <v>70</v>
      </c>
      <c r="J94" s="2698"/>
      <c r="O94" s="1704"/>
      <c r="P94" s="1704"/>
      <c r="Q94" s="1704"/>
    </row>
    <row r="95" spans="1:17" ht="21.75" customHeight="1" x14ac:dyDescent="0.2">
      <c r="A95" s="1493" t="s">
        <v>6245</v>
      </c>
      <c r="B95" s="1499"/>
      <c r="C95" s="1499"/>
      <c r="D95" s="1496"/>
      <c r="E95" s="1496"/>
      <c r="F95" s="2041"/>
      <c r="G95" s="2041"/>
      <c r="H95" s="1638"/>
      <c r="I95" s="2209">
        <f>SUM(I91:I93)-I94</f>
        <v>7470</v>
      </c>
      <c r="J95" s="2197" t="s">
        <v>7796</v>
      </c>
      <c r="L95" s="2139"/>
      <c r="M95" s="1"/>
      <c r="N95" s="231"/>
      <c r="O95" s="1704"/>
      <c r="P95" s="1704"/>
      <c r="Q95" s="1704"/>
    </row>
    <row r="96" spans="1:17" ht="21.75" customHeight="1" x14ac:dyDescent="0.2">
      <c r="A96" s="1493"/>
      <c r="B96" s="1499"/>
      <c r="C96" s="1499"/>
      <c r="D96" s="1496"/>
      <c r="E96" s="1496"/>
      <c r="F96" s="2200"/>
      <c r="G96" s="2200"/>
      <c r="H96" s="1638"/>
      <c r="I96" s="2209"/>
      <c r="J96" s="2197"/>
      <c r="K96" s="746"/>
    </row>
    <row r="97" spans="1:17" ht="21.75" customHeight="1" x14ac:dyDescent="0.2">
      <c r="A97" s="1493" t="s">
        <v>6244</v>
      </c>
      <c r="B97" s="1499">
        <v>45769</v>
      </c>
      <c r="C97" s="1499"/>
      <c r="D97" s="1496" t="s">
        <v>7519</v>
      </c>
      <c r="E97" s="1496" t="s">
        <v>7810</v>
      </c>
      <c r="F97" s="2041" t="s">
        <v>6186</v>
      </c>
      <c r="G97" s="2041">
        <v>1</v>
      </c>
      <c r="H97" s="1638">
        <v>39.6</v>
      </c>
      <c r="I97" s="2127">
        <f t="shared" ref="I97" si="13">H97*G97</f>
        <v>39.6</v>
      </c>
      <c r="J97" s="2197" t="s">
        <v>6246</v>
      </c>
      <c r="L97" s="2139"/>
      <c r="M97" s="1"/>
      <c r="N97" s="231"/>
      <c r="O97" s="1704"/>
      <c r="P97" s="1704"/>
      <c r="Q97" s="1704"/>
    </row>
    <row r="98" spans="1:17" ht="21.75" customHeight="1" x14ac:dyDescent="0.2">
      <c r="A98" s="1493"/>
      <c r="B98" s="1499"/>
      <c r="C98" s="1499"/>
      <c r="D98" s="1496"/>
      <c r="E98" s="1496"/>
      <c r="F98" s="2041"/>
      <c r="G98" s="2041"/>
      <c r="H98" s="1638"/>
      <c r="I98" s="2209"/>
      <c r="J98" s="2197"/>
      <c r="L98" s="2139"/>
      <c r="M98" s="1"/>
      <c r="N98" s="231"/>
      <c r="O98" s="1704"/>
      <c r="P98" s="1704"/>
      <c r="Q98" s="1704"/>
    </row>
    <row r="99" spans="1:17" ht="21.75" customHeight="1" x14ac:dyDescent="0.2">
      <c r="A99" s="1493" t="s">
        <v>6245</v>
      </c>
      <c r="B99" s="1499">
        <v>45778</v>
      </c>
      <c r="C99" s="1499" t="s">
        <v>7724</v>
      </c>
      <c r="D99" s="1496" t="s">
        <v>7519</v>
      </c>
      <c r="E99" s="1496" t="s">
        <v>7824</v>
      </c>
      <c r="F99" s="2132" t="s">
        <v>6186</v>
      </c>
      <c r="G99" s="2041">
        <v>1</v>
      </c>
      <c r="H99" s="1638">
        <v>600</v>
      </c>
      <c r="I99" s="2127">
        <f>H99*G99</f>
        <v>600</v>
      </c>
      <c r="J99" s="2197" t="s">
        <v>6246</v>
      </c>
    </row>
    <row r="100" spans="1:17" ht="21.75" customHeight="1" thickBot="1" x14ac:dyDescent="0.25">
      <c r="A100" s="1493"/>
      <c r="B100" s="1499"/>
      <c r="C100" s="1499"/>
      <c r="D100" s="1496"/>
      <c r="E100" s="1496"/>
      <c r="F100" s="2041"/>
      <c r="G100" s="2041"/>
      <c r="H100" s="1638"/>
      <c r="I100" s="2209"/>
      <c r="J100" s="2197"/>
      <c r="K100" s="746"/>
    </row>
    <row r="101" spans="1:17" ht="21.75" customHeight="1" thickBot="1" x14ac:dyDescent="0.25">
      <c r="A101" s="3510" t="s">
        <v>772</v>
      </c>
      <c r="B101" s="3511"/>
      <c r="C101" s="3511"/>
      <c r="D101" s="3511"/>
      <c r="E101" s="3511"/>
      <c r="F101" s="3511"/>
      <c r="G101" s="3511"/>
      <c r="H101" s="3512"/>
      <c r="I101" s="175">
        <f>SUMIF(A69:A100,"mo",I69:I100)+SUMIF(A69:A100,"mat",I69:I100)</f>
        <v>9422.4699999999993</v>
      </c>
      <c r="J101" s="2342"/>
      <c r="K101" s="746"/>
    </row>
    <row r="102" spans="1:17" ht="21.75" customHeight="1" x14ac:dyDescent="0.2">
      <c r="A102" s="51"/>
      <c r="B102" s="1543"/>
      <c r="C102" s="1543"/>
      <c r="D102" s="717"/>
      <c r="E102" s="717"/>
      <c r="F102" s="2277"/>
      <c r="G102" s="2277"/>
      <c r="H102" s="52"/>
      <c r="I102" s="52"/>
      <c r="J102" s="2205"/>
      <c r="K102" s="746"/>
    </row>
  </sheetData>
  <autoFilter ref="A2:J59" xr:uid="{63699ACF-3432-43E6-BDA3-A340E9CFF971}"/>
  <mergeCells count="9">
    <mergeCell ref="A101:H101"/>
    <mergeCell ref="F62:H62"/>
    <mergeCell ref="F63:H63"/>
    <mergeCell ref="L40:O40"/>
    <mergeCell ref="A1:J1"/>
    <mergeCell ref="A59:H59"/>
    <mergeCell ref="F61:H61"/>
    <mergeCell ref="L45:O45"/>
    <mergeCell ref="A67:J67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FF1F8-B3DC-482C-BE1A-240C25C63380}">
  <sheetPr codeName="Planilha29"/>
  <dimension ref="A1:R62"/>
  <sheetViews>
    <sheetView zoomScaleNormal="100" workbookViewId="0">
      <selection activeCell="I27" sqref="E25:I27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7.42578125" customWidth="1"/>
    <col min="12" max="12" width="18" style="24" customWidth="1"/>
    <col min="13" max="13" width="11.5703125" style="24" bestFit="1" customWidth="1"/>
    <col min="14" max="14" width="16.42578125" style="24" customWidth="1"/>
    <col min="15" max="16" width="12" customWidth="1"/>
    <col min="17" max="17" width="13" customWidth="1"/>
  </cols>
  <sheetData>
    <row r="1" spans="1:18" ht="27" thickBot="1" x14ac:dyDescent="0.45">
      <c r="A1" s="3104" t="s">
        <v>6366</v>
      </c>
      <c r="B1" s="3105"/>
      <c r="C1" s="3105"/>
      <c r="D1" s="3105"/>
      <c r="E1" s="3105"/>
      <c r="F1" s="3105"/>
      <c r="G1" s="3105"/>
      <c r="H1" s="3105"/>
      <c r="I1" s="3105"/>
      <c r="J1" s="3509"/>
      <c r="K1" s="2084"/>
    </row>
    <row r="2" spans="1:18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8" ht="21.75" customHeight="1" x14ac:dyDescent="0.2">
      <c r="A3" s="1493" t="s">
        <v>6244</v>
      </c>
      <c r="B3" s="1499">
        <v>45405</v>
      </c>
      <c r="C3" s="1499" t="s">
        <v>6391</v>
      </c>
      <c r="D3" s="1496" t="s">
        <v>6367</v>
      </c>
      <c r="E3" s="1496" t="s">
        <v>6385</v>
      </c>
      <c r="F3" s="1604" t="s">
        <v>6186</v>
      </c>
      <c r="G3" s="2041">
        <v>4</v>
      </c>
      <c r="H3" s="1219">
        <v>39.5</v>
      </c>
      <c r="I3" s="2097">
        <f>H3*G3</f>
        <v>158</v>
      </c>
      <c r="J3" s="2197" t="s">
        <v>6399</v>
      </c>
      <c r="K3" s="746"/>
    </row>
    <row r="4" spans="1:18" ht="21.75" customHeight="1" x14ac:dyDescent="0.2">
      <c r="A4" s="1493" t="s">
        <v>6244</v>
      </c>
      <c r="B4" s="1499">
        <v>45405</v>
      </c>
      <c r="C4" s="1499" t="s">
        <v>6391</v>
      </c>
      <c r="D4" s="1496" t="s">
        <v>6367</v>
      </c>
      <c r="E4" s="1496" t="s">
        <v>6386</v>
      </c>
      <c r="F4" s="1604" t="s">
        <v>6186</v>
      </c>
      <c r="G4" s="2041">
        <v>3</v>
      </c>
      <c r="H4" s="1219">
        <v>22</v>
      </c>
      <c r="I4" s="2097">
        <f t="shared" ref="I4:I6" si="0">H4*G4</f>
        <v>66</v>
      </c>
      <c r="J4" s="2197" t="s">
        <v>6399</v>
      </c>
      <c r="K4" s="746"/>
    </row>
    <row r="5" spans="1:18" ht="21.75" customHeight="1" x14ac:dyDescent="0.2">
      <c r="A5" s="1493" t="s">
        <v>6244</v>
      </c>
      <c r="B5" s="1499">
        <v>45405</v>
      </c>
      <c r="C5" s="1499" t="s">
        <v>6391</v>
      </c>
      <c r="D5" s="1496" t="s">
        <v>6367</v>
      </c>
      <c r="E5" s="1496" t="s">
        <v>6387</v>
      </c>
      <c r="F5" s="1604" t="s">
        <v>6186</v>
      </c>
      <c r="G5" s="2041">
        <v>9</v>
      </c>
      <c r="H5" s="1219">
        <v>39.5</v>
      </c>
      <c r="I5" s="2097">
        <f t="shared" si="0"/>
        <v>355.5</v>
      </c>
      <c r="J5" s="2197" t="s">
        <v>6399</v>
      </c>
      <c r="K5" s="717" t="s">
        <v>280</v>
      </c>
      <c r="L5" s="2113"/>
      <c r="M5" s="2114"/>
      <c r="N5" s="512"/>
      <c r="O5" s="2115"/>
      <c r="P5" s="1870"/>
      <c r="Q5" s="1870"/>
    </row>
    <row r="6" spans="1:18" ht="21.75" customHeight="1" x14ac:dyDescent="0.2">
      <c r="A6" s="1493" t="s">
        <v>6244</v>
      </c>
      <c r="B6" s="1499">
        <v>45405</v>
      </c>
      <c r="C6" s="1499" t="s">
        <v>6391</v>
      </c>
      <c r="D6" s="1496" t="s">
        <v>6367</v>
      </c>
      <c r="E6" s="1496" t="s">
        <v>6388</v>
      </c>
      <c r="F6" s="1604" t="s">
        <v>6186</v>
      </c>
      <c r="G6" s="2041">
        <v>2</v>
      </c>
      <c r="H6" s="1219">
        <v>58</v>
      </c>
      <c r="I6" s="2097">
        <f t="shared" si="0"/>
        <v>116</v>
      </c>
      <c r="J6" s="2197" t="s">
        <v>6399</v>
      </c>
    </row>
    <row r="7" spans="1:18" ht="21.75" customHeight="1" x14ac:dyDescent="0.2">
      <c r="A7" s="1493"/>
      <c r="B7" s="1499"/>
      <c r="C7" s="1499"/>
      <c r="D7" s="2190"/>
      <c r="E7" s="2198" t="s">
        <v>6389</v>
      </c>
      <c r="F7" s="2191"/>
      <c r="G7" s="2192"/>
      <c r="H7" s="2193"/>
      <c r="I7" s="2194">
        <v>15.5</v>
      </c>
      <c r="J7" s="2197"/>
      <c r="K7" s="717" t="s">
        <v>280</v>
      </c>
      <c r="L7" s="2109"/>
      <c r="M7" s="2110"/>
      <c r="N7" s="1145"/>
      <c r="O7" s="2111"/>
      <c r="P7" s="1870"/>
      <c r="Q7" s="1870"/>
      <c r="R7" s="2118"/>
    </row>
    <row r="8" spans="1:18" ht="21.75" customHeight="1" x14ac:dyDescent="0.2">
      <c r="A8" s="1493"/>
      <c r="B8" s="1499"/>
      <c r="C8" s="1499"/>
      <c r="D8" s="1496"/>
      <c r="E8" s="2195" t="s">
        <v>772</v>
      </c>
      <c r="F8" s="1604"/>
      <c r="G8" s="2041"/>
      <c r="H8" s="1638"/>
      <c r="I8" s="2059">
        <f>SUM(I3:I6)-I7</f>
        <v>680</v>
      </c>
      <c r="J8" s="2197"/>
      <c r="L8" s="358"/>
      <c r="M8" s="240"/>
      <c r="N8" s="31"/>
      <c r="O8" s="2116"/>
      <c r="P8" s="2116"/>
      <c r="Q8" s="2116"/>
      <c r="R8" s="2118"/>
    </row>
    <row r="9" spans="1:18" ht="21.75" customHeight="1" x14ac:dyDescent="0.2">
      <c r="A9" s="1493"/>
      <c r="B9" s="1499"/>
      <c r="C9" s="1499"/>
      <c r="D9" s="1496"/>
      <c r="E9" s="2195"/>
      <c r="F9" s="1604"/>
      <c r="G9" s="2041"/>
      <c r="H9" s="1638"/>
      <c r="I9" s="2209"/>
      <c r="J9" s="2197"/>
      <c r="L9" s="358"/>
      <c r="M9" s="240"/>
      <c r="N9" s="31"/>
      <c r="O9" s="2116"/>
      <c r="P9" s="2116"/>
      <c r="Q9" s="2116"/>
      <c r="R9" s="2118"/>
    </row>
    <row r="10" spans="1:18" ht="21.75" customHeight="1" x14ac:dyDescent="0.2">
      <c r="A10" s="1493" t="s">
        <v>6244</v>
      </c>
      <c r="B10" s="1499">
        <v>45409</v>
      </c>
      <c r="C10" s="1499" t="s">
        <v>6401</v>
      </c>
      <c r="D10" s="1496" t="s">
        <v>6367</v>
      </c>
      <c r="E10" s="1496" t="s">
        <v>5956</v>
      </c>
      <c r="F10" s="1604" t="s">
        <v>6186</v>
      </c>
      <c r="G10" s="2041">
        <v>1000</v>
      </c>
      <c r="H10" s="1638">
        <v>1.1000000000000001</v>
      </c>
      <c r="I10" s="2127">
        <f>H10*G10</f>
        <v>1100</v>
      </c>
      <c r="J10" s="2197" t="s">
        <v>6400</v>
      </c>
      <c r="K10" s="717"/>
      <c r="L10" s="2138"/>
      <c r="M10" s="2138"/>
      <c r="N10" s="2138"/>
      <c r="O10" s="2117"/>
      <c r="P10" s="2117"/>
      <c r="Q10" s="2117"/>
    </row>
    <row r="11" spans="1:18" ht="21.75" customHeight="1" x14ac:dyDescent="0.2">
      <c r="A11" s="1493" t="s">
        <v>6244</v>
      </c>
      <c r="B11" s="1499">
        <v>45409</v>
      </c>
      <c r="C11" s="1499" t="s">
        <v>6401</v>
      </c>
      <c r="D11" s="1496" t="s">
        <v>6367</v>
      </c>
      <c r="E11" s="1496" t="s">
        <v>6224</v>
      </c>
      <c r="F11" s="1604" t="s">
        <v>6225</v>
      </c>
      <c r="G11" s="2124">
        <v>1.5</v>
      </c>
      <c r="H11" s="1638">
        <v>226.9</v>
      </c>
      <c r="I11" s="2127">
        <f t="shared" ref="I11:I12" si="1">H11*G11</f>
        <v>340.35</v>
      </c>
      <c r="J11" s="2197" t="s">
        <v>6400</v>
      </c>
      <c r="L11" s="2139"/>
      <c r="M11" s="2139"/>
      <c r="N11" s="2139"/>
      <c r="O11" s="1704"/>
      <c r="P11" s="1704"/>
      <c r="Q11" s="1704"/>
    </row>
    <row r="12" spans="1:18" ht="21.75" customHeight="1" x14ac:dyDescent="0.2">
      <c r="A12" s="1493" t="s">
        <v>6244</v>
      </c>
      <c r="B12" s="1499">
        <v>45409</v>
      </c>
      <c r="C12" s="1499" t="s">
        <v>6401</v>
      </c>
      <c r="D12" s="1496" t="s">
        <v>6367</v>
      </c>
      <c r="E12" s="1496" t="s">
        <v>5955</v>
      </c>
      <c r="F12" s="1604" t="s">
        <v>6225</v>
      </c>
      <c r="G12" s="2124">
        <v>0.5</v>
      </c>
      <c r="H12" s="1638">
        <v>186</v>
      </c>
      <c r="I12" s="2127">
        <f t="shared" si="1"/>
        <v>93</v>
      </c>
      <c r="J12" s="2197" t="s">
        <v>6400</v>
      </c>
    </row>
    <row r="13" spans="1:18" ht="21.75" customHeight="1" x14ac:dyDescent="0.2">
      <c r="A13" s="1493" t="s">
        <v>6244</v>
      </c>
      <c r="B13" s="1499">
        <v>45409</v>
      </c>
      <c r="C13" s="1499" t="s">
        <v>6401</v>
      </c>
      <c r="D13" s="1496" t="s">
        <v>6367</v>
      </c>
      <c r="E13" s="1496" t="s">
        <v>6226</v>
      </c>
      <c r="F13" s="1604" t="s">
        <v>6186</v>
      </c>
      <c r="G13" s="2041">
        <v>5</v>
      </c>
      <c r="H13" s="1638">
        <v>35</v>
      </c>
      <c r="I13" s="2127">
        <f>H13*G13</f>
        <v>175</v>
      </c>
      <c r="J13" s="2197" t="s">
        <v>6399</v>
      </c>
      <c r="K13" s="746"/>
    </row>
    <row r="14" spans="1:18" ht="21.75" customHeight="1" x14ac:dyDescent="0.2">
      <c r="A14" s="1493"/>
      <c r="B14" s="1499"/>
      <c r="C14" s="1499"/>
      <c r="D14" s="1496"/>
      <c r="E14" s="2195" t="s">
        <v>772</v>
      </c>
      <c r="F14" s="1604"/>
      <c r="G14" s="2041"/>
      <c r="H14" s="1638"/>
      <c r="I14" s="2209">
        <f>SUM(I10:I13)</f>
        <v>1708.35</v>
      </c>
      <c r="J14" s="2197"/>
      <c r="K14" s="746"/>
    </row>
    <row r="15" spans="1:18" ht="21.75" customHeight="1" x14ac:dyDescent="0.2">
      <c r="A15" s="1493"/>
      <c r="B15" s="1499"/>
      <c r="C15" s="1499"/>
      <c r="D15" s="1496"/>
      <c r="E15" s="1496"/>
      <c r="F15" s="1604"/>
      <c r="G15" s="2041"/>
      <c r="H15" s="1219"/>
      <c r="I15" s="2097"/>
      <c r="J15" s="2197"/>
      <c r="K15" s="746"/>
    </row>
    <row r="16" spans="1:18" ht="21.75" customHeight="1" x14ac:dyDescent="0.2">
      <c r="A16" s="1493" t="s">
        <v>6244</v>
      </c>
      <c r="B16" s="1499">
        <v>45411</v>
      </c>
      <c r="C16" s="1499" t="s">
        <v>6391</v>
      </c>
      <c r="D16" s="1496" t="s">
        <v>6367</v>
      </c>
      <c r="E16" s="1496" t="s">
        <v>6385</v>
      </c>
      <c r="F16" s="1604" t="s">
        <v>6186</v>
      </c>
      <c r="G16" s="2041">
        <v>4</v>
      </c>
      <c r="H16" s="1219">
        <v>39.5</v>
      </c>
      <c r="I16" s="2097">
        <f>H16*G16</f>
        <v>158</v>
      </c>
      <c r="J16" s="2197" t="s">
        <v>6399</v>
      </c>
      <c r="K16" s="746"/>
    </row>
    <row r="17" spans="1:17" ht="21.75" customHeight="1" x14ac:dyDescent="0.2">
      <c r="A17" s="1493"/>
      <c r="B17" s="1499"/>
      <c r="C17" s="1499"/>
      <c r="D17" s="1496"/>
      <c r="E17" s="1496"/>
      <c r="F17" s="1604"/>
      <c r="G17" s="2041"/>
      <c r="H17" s="1219"/>
      <c r="I17" s="2097"/>
      <c r="J17" s="2197"/>
      <c r="L17" s="746"/>
      <c r="M17" s="746"/>
      <c r="N17" s="746"/>
      <c r="O17" s="2117"/>
      <c r="P17" s="2117"/>
      <c r="Q17" s="2117"/>
    </row>
    <row r="18" spans="1:17" ht="21.75" customHeight="1" x14ac:dyDescent="0.2">
      <c r="A18" s="1493" t="s">
        <v>6244</v>
      </c>
      <c r="B18" s="1499">
        <v>45411</v>
      </c>
      <c r="C18" s="1499" t="s">
        <v>6409</v>
      </c>
      <c r="D18" s="1496" t="s">
        <v>6367</v>
      </c>
      <c r="E18" s="1496" t="s">
        <v>6407</v>
      </c>
      <c r="F18" s="2199" t="s">
        <v>6186</v>
      </c>
      <c r="G18" s="2200">
        <v>1</v>
      </c>
      <c r="H18" s="1638">
        <v>310</v>
      </c>
      <c r="I18" s="2127">
        <f>H18*G18</f>
        <v>310</v>
      </c>
      <c r="J18" s="2197" t="s">
        <v>6399</v>
      </c>
      <c r="K18" s="2205" t="s">
        <v>6406</v>
      </c>
      <c r="L18" s="51"/>
      <c r="M18" s="51"/>
      <c r="N18" s="51"/>
      <c r="O18" s="717"/>
      <c r="P18" s="717"/>
      <c r="Q18" s="717"/>
    </row>
    <row r="19" spans="1:17" ht="21.75" customHeight="1" x14ac:dyDescent="0.2">
      <c r="A19" s="1493"/>
      <c r="B19" s="1499"/>
      <c r="C19" s="1499"/>
      <c r="D19" s="1496"/>
      <c r="E19" s="1496"/>
      <c r="F19" s="2058"/>
      <c r="G19" s="2041"/>
      <c r="H19" s="1219"/>
      <c r="I19" s="2059"/>
      <c r="J19" s="2197"/>
      <c r="K19" s="717" t="s">
        <v>280</v>
      </c>
      <c r="L19" s="51"/>
      <c r="M19" s="51"/>
      <c r="N19" s="51"/>
      <c r="O19" s="717"/>
      <c r="P19" s="717"/>
      <c r="Q19" s="717"/>
    </row>
    <row r="20" spans="1:17" ht="21.75" customHeight="1" x14ac:dyDescent="0.2">
      <c r="A20" s="1493" t="s">
        <v>6244</v>
      </c>
      <c r="B20" s="1499">
        <v>45411</v>
      </c>
      <c r="C20" s="1499"/>
      <c r="D20" s="1496" t="s">
        <v>6367</v>
      </c>
      <c r="E20" s="1496" t="s">
        <v>6408</v>
      </c>
      <c r="F20" s="1604" t="s">
        <v>6186</v>
      </c>
      <c r="G20" s="2041">
        <v>1</v>
      </c>
      <c r="H20" s="1219">
        <v>35</v>
      </c>
      <c r="I20" s="2127">
        <f>H20*G20</f>
        <v>35</v>
      </c>
      <c r="J20" s="2197" t="s">
        <v>6399</v>
      </c>
      <c r="L20" s="51"/>
      <c r="M20" s="51"/>
      <c r="N20" s="51"/>
      <c r="O20" s="717"/>
      <c r="P20" s="717"/>
      <c r="Q20" s="717"/>
    </row>
    <row r="21" spans="1:17" ht="21.75" customHeight="1" x14ac:dyDescent="0.2">
      <c r="A21" s="1493"/>
      <c r="B21" s="1499"/>
      <c r="C21" s="1499"/>
      <c r="D21" s="1496"/>
      <c r="E21" s="1496"/>
      <c r="F21" s="2058"/>
      <c r="G21" s="2041"/>
      <c r="H21" s="1219"/>
      <c r="I21" s="2059"/>
      <c r="J21" s="2197"/>
      <c r="K21" s="717" t="s">
        <v>280</v>
      </c>
      <c r="L21" s="51"/>
      <c r="M21" s="51"/>
      <c r="N21" s="51"/>
      <c r="O21" s="717"/>
      <c r="P21" s="717"/>
      <c r="Q21" s="717"/>
    </row>
    <row r="22" spans="1:17" ht="21.75" customHeight="1" x14ac:dyDescent="0.2">
      <c r="A22" s="1493" t="s">
        <v>6245</v>
      </c>
      <c r="B22" s="1499">
        <v>45411</v>
      </c>
      <c r="C22" s="1499"/>
      <c r="D22" s="1496" t="s">
        <v>6367</v>
      </c>
      <c r="E22" s="1496" t="s">
        <v>6307</v>
      </c>
      <c r="F22" s="1604" t="s">
        <v>6186</v>
      </c>
      <c r="G22" s="2041">
        <v>1</v>
      </c>
      <c r="H22" s="1219">
        <v>1000</v>
      </c>
      <c r="I22" s="2097">
        <v>1000</v>
      </c>
      <c r="J22" s="2197" t="s">
        <v>6399</v>
      </c>
      <c r="K22" s="746"/>
    </row>
    <row r="23" spans="1:17" ht="21.75" customHeight="1" x14ac:dyDescent="0.2">
      <c r="A23" s="1493"/>
      <c r="B23" s="1499"/>
      <c r="C23" s="1499"/>
      <c r="D23" s="1496"/>
      <c r="E23" s="1496"/>
      <c r="F23" s="2058"/>
      <c r="G23" s="2041"/>
      <c r="H23" s="1219"/>
      <c r="I23" s="2059"/>
      <c r="J23" s="2197"/>
      <c r="K23" s="717" t="s">
        <v>280</v>
      </c>
      <c r="L23" s="511"/>
      <c r="M23" s="511"/>
      <c r="N23" s="511"/>
      <c r="O23" s="1704"/>
      <c r="P23" s="1704"/>
      <c r="Q23" s="1704"/>
    </row>
    <row r="24" spans="1:17" ht="21.75" customHeight="1" x14ac:dyDescent="0.2">
      <c r="A24" s="1493" t="s">
        <v>6244</v>
      </c>
      <c r="B24" s="1499">
        <v>45409</v>
      </c>
      <c r="C24" s="1499" t="s">
        <v>6234</v>
      </c>
      <c r="D24" s="1496" t="s">
        <v>6367</v>
      </c>
      <c r="E24" s="1496" t="s">
        <v>6226</v>
      </c>
      <c r="F24" s="2199" t="s">
        <v>6186</v>
      </c>
      <c r="G24" s="2200">
        <v>5</v>
      </c>
      <c r="H24" s="1638">
        <v>33.299999999999997</v>
      </c>
      <c r="I24" s="2127">
        <f>H24*G24</f>
        <v>166.5</v>
      </c>
      <c r="J24" s="2197" t="s">
        <v>6399</v>
      </c>
      <c r="K24" s="746"/>
    </row>
    <row r="25" spans="1:17" ht="21.75" customHeight="1" x14ac:dyDescent="0.2">
      <c r="A25" s="1493"/>
      <c r="B25" s="1499"/>
      <c r="C25" s="1499"/>
      <c r="D25" s="1496"/>
      <c r="E25" s="1496"/>
      <c r="F25" s="1604"/>
      <c r="G25" s="2041"/>
      <c r="H25" s="1219"/>
      <c r="I25" s="2097"/>
      <c r="J25" s="2130"/>
      <c r="L25" s="1505"/>
      <c r="M25" s="1505"/>
      <c r="N25" s="1505"/>
      <c r="O25" s="717"/>
      <c r="P25" s="717"/>
      <c r="Q25" s="717"/>
    </row>
    <row r="26" spans="1:17" ht="21.75" customHeight="1" x14ac:dyDescent="0.2">
      <c r="A26" s="1493" t="s">
        <v>6245</v>
      </c>
      <c r="B26" s="1499">
        <v>45415</v>
      </c>
      <c r="C26" s="1499"/>
      <c r="D26" s="1496" t="s">
        <v>6367</v>
      </c>
      <c r="E26" s="1496" t="s">
        <v>6308</v>
      </c>
      <c r="F26" s="2199" t="s">
        <v>6186</v>
      </c>
      <c r="G26" s="2200">
        <v>1</v>
      </c>
      <c r="H26" s="1638">
        <v>1000</v>
      </c>
      <c r="I26" s="2127">
        <v>1000</v>
      </c>
      <c r="J26" s="2197" t="s">
        <v>6399</v>
      </c>
      <c r="K26" s="746"/>
    </row>
    <row r="27" spans="1:17" ht="21.75" customHeight="1" x14ac:dyDescent="0.2">
      <c r="A27" s="1493"/>
      <c r="B27" s="1499"/>
      <c r="C27" s="1499"/>
      <c r="D27" s="1496"/>
      <c r="E27" s="1496"/>
      <c r="F27" s="2058"/>
      <c r="G27" s="2041"/>
      <c r="H27" s="1219"/>
      <c r="I27" s="2059"/>
      <c r="J27" s="2197"/>
      <c r="K27" s="717" t="s">
        <v>280</v>
      </c>
      <c r="L27" s="511"/>
      <c r="M27" s="511"/>
      <c r="N27" s="511"/>
      <c r="O27" s="1704"/>
      <c r="P27" s="1704"/>
      <c r="Q27" s="1704"/>
    </row>
    <row r="28" spans="1:17" ht="21.75" customHeight="1" x14ac:dyDescent="0.2">
      <c r="A28" s="1493" t="s">
        <v>6244</v>
      </c>
      <c r="B28" s="1499">
        <v>45419</v>
      </c>
      <c r="C28" s="1499" t="s">
        <v>6234</v>
      </c>
      <c r="D28" s="1496" t="s">
        <v>6367</v>
      </c>
      <c r="E28" s="1496" t="s">
        <v>6226</v>
      </c>
      <c r="F28" s="2199" t="s">
        <v>6186</v>
      </c>
      <c r="G28" s="2200">
        <v>4</v>
      </c>
      <c r="H28" s="1638">
        <v>33.299999999999997</v>
      </c>
      <c r="I28" s="2127">
        <f>H28*G28</f>
        <v>133.19999999999999</v>
      </c>
      <c r="J28" s="2197" t="s">
        <v>6399</v>
      </c>
      <c r="K28" s="746"/>
    </row>
    <row r="29" spans="1:17" ht="21.75" customHeight="1" x14ac:dyDescent="0.2">
      <c r="A29" s="1493"/>
      <c r="B29" s="1499"/>
      <c r="C29" s="1499"/>
      <c r="D29" s="1496"/>
      <c r="E29" s="1496"/>
      <c r="F29" s="2199"/>
      <c r="G29" s="2200"/>
      <c r="H29" s="1638"/>
      <c r="I29" s="2097"/>
      <c r="J29" s="2130"/>
      <c r="L29" s="51"/>
      <c r="M29" s="51"/>
      <c r="N29" s="51"/>
      <c r="O29" s="717"/>
      <c r="P29" s="717"/>
      <c r="Q29" s="717"/>
    </row>
    <row r="30" spans="1:17" ht="21.75" customHeight="1" x14ac:dyDescent="0.2">
      <c r="A30" s="1493" t="s">
        <v>6244</v>
      </c>
      <c r="B30" s="1499">
        <v>45420</v>
      </c>
      <c r="C30" s="1499" t="s">
        <v>6234</v>
      </c>
      <c r="D30" s="1496" t="s">
        <v>6367</v>
      </c>
      <c r="E30" s="1496" t="s">
        <v>6420</v>
      </c>
      <c r="F30" s="2199" t="s">
        <v>6225</v>
      </c>
      <c r="G30" s="2207">
        <v>0.5</v>
      </c>
      <c r="H30" s="1638">
        <v>271</v>
      </c>
      <c r="I30" s="2097">
        <f t="shared" ref="I30" si="2">H30*G30</f>
        <v>135.5</v>
      </c>
      <c r="J30" s="2197" t="s">
        <v>6399</v>
      </c>
      <c r="L30" s="2139"/>
      <c r="M30" s="2139"/>
      <c r="N30" s="2139"/>
      <c r="O30" s="1704"/>
      <c r="P30" s="1704"/>
      <c r="Q30" s="1704"/>
    </row>
    <row r="31" spans="1:17" ht="21.75" customHeight="1" x14ac:dyDescent="0.2">
      <c r="A31" s="1493"/>
      <c r="B31" s="1499"/>
      <c r="C31" s="1499"/>
      <c r="D31" s="1496"/>
      <c r="E31" s="1496"/>
      <c r="F31" s="2208"/>
      <c r="G31" s="2200"/>
      <c r="H31" s="1638"/>
      <c r="I31" s="2059"/>
      <c r="J31" s="2197"/>
      <c r="K31" s="717" t="s">
        <v>280</v>
      </c>
      <c r="L31" s="511"/>
      <c r="M31" s="511"/>
      <c r="N31" s="511"/>
      <c r="O31" s="1704"/>
      <c r="P31" s="1704"/>
      <c r="Q31" s="1704"/>
    </row>
    <row r="32" spans="1:17" ht="21.75" customHeight="1" x14ac:dyDescent="0.2">
      <c r="A32" s="1493" t="s">
        <v>6244</v>
      </c>
      <c r="B32" s="1499">
        <v>45421</v>
      </c>
      <c r="C32" s="1499" t="s">
        <v>6234</v>
      </c>
      <c r="D32" s="1496" t="s">
        <v>6367</v>
      </c>
      <c r="E32" s="1496" t="s">
        <v>6420</v>
      </c>
      <c r="F32" s="2199" t="s">
        <v>6225</v>
      </c>
      <c r="G32" s="2207">
        <v>0.5</v>
      </c>
      <c r="H32" s="1638">
        <v>271</v>
      </c>
      <c r="I32" s="2097">
        <f t="shared" ref="I32" si="3">H32*G32</f>
        <v>135.5</v>
      </c>
      <c r="J32" s="2197" t="s">
        <v>6399</v>
      </c>
      <c r="L32" s="2139"/>
      <c r="M32" s="2139"/>
      <c r="N32" s="2139"/>
      <c r="O32" s="1704"/>
      <c r="P32" s="1704"/>
      <c r="Q32" s="1704"/>
    </row>
    <row r="33" spans="1:17" ht="21.75" customHeight="1" x14ac:dyDescent="0.2">
      <c r="A33" s="1493" t="s">
        <v>6244</v>
      </c>
      <c r="B33" s="1499">
        <v>45421</v>
      </c>
      <c r="C33" s="1499" t="s">
        <v>6234</v>
      </c>
      <c r="D33" s="1496" t="s">
        <v>6367</v>
      </c>
      <c r="E33" s="1496" t="s">
        <v>6424</v>
      </c>
      <c r="F33" s="2199" t="s">
        <v>6225</v>
      </c>
      <c r="G33" s="2207">
        <v>200</v>
      </c>
      <c r="H33" s="1638">
        <f>I33/G33</f>
        <v>1.3</v>
      </c>
      <c r="I33" s="2097">
        <v>260</v>
      </c>
      <c r="J33" s="2197" t="s">
        <v>6399</v>
      </c>
      <c r="L33" s="2139"/>
      <c r="M33" s="2139"/>
      <c r="N33" s="2139"/>
      <c r="O33" s="1704"/>
      <c r="P33" s="1704"/>
      <c r="Q33" s="1704"/>
    </row>
    <row r="34" spans="1:17" ht="21.75" customHeight="1" x14ac:dyDescent="0.2">
      <c r="A34" s="1493"/>
      <c r="B34" s="1499"/>
      <c r="C34" s="1499"/>
      <c r="D34" s="1496"/>
      <c r="E34" s="1496"/>
      <c r="F34" s="1604"/>
      <c r="G34" s="2041"/>
      <c r="H34" s="1219"/>
      <c r="I34" s="2059">
        <f>SUM(I32:I33)</f>
        <v>395.5</v>
      </c>
      <c r="J34" s="2130"/>
      <c r="L34" s="51"/>
      <c r="M34" s="51"/>
      <c r="N34" s="51"/>
      <c r="O34" s="717"/>
      <c r="P34" s="717"/>
      <c r="Q34" s="717"/>
    </row>
    <row r="35" spans="1:17" ht="21.75" customHeight="1" x14ac:dyDescent="0.2">
      <c r="A35" s="1493"/>
      <c r="B35" s="1499"/>
      <c r="C35" s="1499"/>
      <c r="D35" s="1496"/>
      <c r="E35" s="1496"/>
      <c r="F35" s="2058"/>
      <c r="G35" s="2041"/>
      <c r="H35" s="1219"/>
      <c r="I35" s="2059"/>
      <c r="J35" s="2130"/>
      <c r="K35" s="717" t="s">
        <v>280</v>
      </c>
      <c r="L35" s="51"/>
      <c r="M35" s="51"/>
      <c r="N35" s="51"/>
      <c r="O35" s="717"/>
      <c r="P35" s="717"/>
      <c r="Q35" s="717"/>
    </row>
    <row r="36" spans="1:17" ht="21.75" customHeight="1" x14ac:dyDescent="0.2">
      <c r="A36" s="1493" t="s">
        <v>6245</v>
      </c>
      <c r="B36" s="1499">
        <v>45421</v>
      </c>
      <c r="C36" s="1499"/>
      <c r="D36" s="1496" t="s">
        <v>6367</v>
      </c>
      <c r="E36" s="1496" t="s">
        <v>6326</v>
      </c>
      <c r="F36" s="2199" t="s">
        <v>6186</v>
      </c>
      <c r="G36" s="2200">
        <v>1</v>
      </c>
      <c r="H36" s="1638">
        <v>1000</v>
      </c>
      <c r="I36" s="2127">
        <v>1000</v>
      </c>
      <c r="J36" s="2197" t="s">
        <v>6399</v>
      </c>
      <c r="K36" s="746"/>
    </row>
    <row r="37" spans="1:17" ht="21.75" customHeight="1" x14ac:dyDescent="0.2">
      <c r="A37" s="1493"/>
      <c r="B37" s="1499"/>
      <c r="C37" s="1499"/>
      <c r="D37" s="1496"/>
      <c r="E37" s="1496"/>
      <c r="F37" s="1604"/>
      <c r="G37" s="2041"/>
      <c r="H37" s="1219"/>
      <c r="I37" s="2097"/>
      <c r="J37" s="2130"/>
      <c r="L37" s="51"/>
      <c r="M37" s="51"/>
      <c r="N37" s="51"/>
      <c r="O37" s="717"/>
      <c r="P37" s="717"/>
      <c r="Q37" s="717"/>
    </row>
    <row r="38" spans="1:17" ht="21.75" customHeight="1" x14ac:dyDescent="0.2">
      <c r="A38" s="1493" t="s">
        <v>6244</v>
      </c>
      <c r="B38" s="1499">
        <v>45422</v>
      </c>
      <c r="C38" s="1499" t="s">
        <v>6234</v>
      </c>
      <c r="D38" s="1496" t="s">
        <v>6367</v>
      </c>
      <c r="E38" s="1496" t="s">
        <v>6226</v>
      </c>
      <c r="F38" s="2199" t="s">
        <v>6186</v>
      </c>
      <c r="G38" s="2200">
        <v>2</v>
      </c>
      <c r="H38" s="1638">
        <v>33.299999999999997</v>
      </c>
      <c r="I38" s="2127">
        <f>H38*G38</f>
        <v>66.599999999999994</v>
      </c>
      <c r="J38" s="2197" t="s">
        <v>6399</v>
      </c>
      <c r="K38" s="746"/>
    </row>
    <row r="39" spans="1:17" ht="21.75" customHeight="1" x14ac:dyDescent="0.2">
      <c r="A39" s="1493"/>
      <c r="B39" s="1499"/>
      <c r="C39" s="1499"/>
      <c r="D39" s="1496"/>
      <c r="E39" s="1496"/>
      <c r="F39" s="2199"/>
      <c r="G39" s="2200"/>
      <c r="H39" s="1638"/>
      <c r="I39" s="2097"/>
      <c r="J39" s="2130"/>
      <c r="L39" s="51"/>
      <c r="M39" s="51"/>
      <c r="N39" s="51"/>
      <c r="O39" s="717"/>
      <c r="P39" s="717"/>
      <c r="Q39" s="717"/>
    </row>
    <row r="40" spans="1:17" ht="21.75" customHeight="1" x14ac:dyDescent="0.2">
      <c r="A40" s="1493" t="s">
        <v>6244</v>
      </c>
      <c r="B40" s="1499">
        <v>45425</v>
      </c>
      <c r="C40" s="1499" t="s">
        <v>6234</v>
      </c>
      <c r="D40" s="1496" t="s">
        <v>6367</v>
      </c>
      <c r="E40" s="1496" t="s">
        <v>6447</v>
      </c>
      <c r="F40" s="2199" t="s">
        <v>6186</v>
      </c>
      <c r="G40" s="2200">
        <v>1</v>
      </c>
      <c r="H40" s="1638">
        <v>62</v>
      </c>
      <c r="I40" s="2127">
        <f>H40*G40</f>
        <v>62</v>
      </c>
      <c r="J40" s="2197" t="s">
        <v>6399</v>
      </c>
      <c r="K40" s="746"/>
    </row>
    <row r="41" spans="1:17" ht="21.75" customHeight="1" x14ac:dyDescent="0.2">
      <c r="A41" s="1493"/>
      <c r="B41" s="1499"/>
      <c r="C41" s="1499"/>
      <c r="D41" s="1496"/>
      <c r="E41" s="1496"/>
      <c r="F41" s="2058"/>
      <c r="G41" s="2041"/>
      <c r="H41" s="1219"/>
      <c r="I41" s="2059"/>
      <c r="J41" s="2130"/>
      <c r="K41" s="717" t="s">
        <v>280</v>
      </c>
      <c r="L41" s="51"/>
      <c r="M41" s="51"/>
      <c r="N41" s="51"/>
      <c r="O41" s="717"/>
      <c r="P41" s="717"/>
      <c r="Q41" s="717"/>
    </row>
    <row r="42" spans="1:17" ht="21.75" customHeight="1" x14ac:dyDescent="0.2">
      <c r="A42" s="1493" t="s">
        <v>6245</v>
      </c>
      <c r="B42" s="1499">
        <v>45421</v>
      </c>
      <c r="C42" s="1499"/>
      <c r="D42" s="1496" t="s">
        <v>6367</v>
      </c>
      <c r="E42" s="1496" t="s">
        <v>6410</v>
      </c>
      <c r="F42" s="2199" t="s">
        <v>6186</v>
      </c>
      <c r="G42" s="2200">
        <v>1</v>
      </c>
      <c r="H42" s="1638">
        <v>700</v>
      </c>
      <c r="I42" s="2127">
        <f>H42*G42</f>
        <v>700</v>
      </c>
      <c r="J42" s="2197" t="s">
        <v>6399</v>
      </c>
      <c r="K42" s="746"/>
    </row>
    <row r="43" spans="1:17" ht="21.75" customHeight="1" thickBot="1" x14ac:dyDescent="0.25">
      <c r="A43" s="17"/>
      <c r="B43" s="1500"/>
      <c r="C43" s="1500"/>
      <c r="D43" s="1501"/>
      <c r="E43" s="1501"/>
      <c r="F43" s="1605"/>
      <c r="G43" s="2042"/>
      <c r="H43" s="400"/>
      <c r="I43" s="2204"/>
      <c r="J43" s="2131"/>
    </row>
    <row r="44" spans="1:17" ht="21.75" customHeight="1" thickBot="1" x14ac:dyDescent="0.25">
      <c r="A44" s="3510" t="s">
        <v>772</v>
      </c>
      <c r="B44" s="3511"/>
      <c r="C44" s="3511"/>
      <c r="D44" s="3511"/>
      <c r="E44" s="3511"/>
      <c r="F44" s="3511"/>
      <c r="G44" s="3511"/>
      <c r="H44" s="3512"/>
      <c r="I44" s="175">
        <f>I8+I14+I1+I220+I16+I18+I20+I22+I24+I26+I28+I30+I34+I36+I38+I40+I42</f>
        <v>7550.6500000000005</v>
      </c>
    </row>
    <row r="45" spans="1:17" ht="21.75" customHeight="1" x14ac:dyDescent="0.2">
      <c r="A45" s="24"/>
      <c r="B45" s="717"/>
      <c r="C45" s="717"/>
      <c r="D45" s="717"/>
      <c r="E45" s="717"/>
      <c r="F45" s="1606"/>
      <c r="G45" s="1606"/>
      <c r="H45" s="1"/>
      <c r="I45" s="1"/>
    </row>
    <row r="46" spans="1:17" ht="21.75" customHeight="1" x14ac:dyDescent="0.2">
      <c r="A46" s="24"/>
      <c r="B46" s="24"/>
      <c r="C46" s="24"/>
      <c r="D46" s="24"/>
      <c r="E46" s="3109" t="s">
        <v>5893</v>
      </c>
      <c r="F46" s="3109"/>
      <c r="G46" s="3109"/>
      <c r="H46" s="3109"/>
      <c r="I46" s="401">
        <f>SUMIF($A$3:$A$43,"MO",$I$3:$I$43)</f>
        <v>3700</v>
      </c>
      <c r="J46" s="2216">
        <f>I46/I48</f>
        <v>0.49002403766563146</v>
      </c>
      <c r="K46" s="717" t="s">
        <v>6246</v>
      </c>
      <c r="L46" s="239">
        <f>SUMIF($J$3:$J$43,"A VISTA PIX",$I$3:$I$43)-15.5</f>
        <v>6017.3</v>
      </c>
    </row>
    <row r="47" spans="1:17" ht="21.75" customHeight="1" x14ac:dyDescent="0.2">
      <c r="A47" s="24"/>
      <c r="B47" s="717"/>
      <c r="C47" s="717"/>
      <c r="D47" s="717"/>
      <c r="E47" s="1505"/>
      <c r="F47" s="1505"/>
      <c r="G47" s="3102" t="s">
        <v>6250</v>
      </c>
      <c r="H47" s="3102"/>
      <c r="I47" s="401">
        <f>SUMIF($A$3:$A$43,"MAT",$I$3:$I$43)-I7</f>
        <v>3850.6499999999996</v>
      </c>
      <c r="J47" s="2216">
        <f>I47/I48</f>
        <v>0.50997596233436859</v>
      </c>
      <c r="K47" s="717" t="s">
        <v>6413</v>
      </c>
      <c r="L47" s="239">
        <f>SUMIF($J$3:$J$43,"CARTÃO NU ( 2 VEZES)",$I$3:$I$43)</f>
        <v>1533.35</v>
      </c>
    </row>
    <row r="48" spans="1:17" ht="21.75" customHeight="1" x14ac:dyDescent="0.2">
      <c r="A48" s="24"/>
      <c r="B48" s="717"/>
      <c r="C48" s="717"/>
      <c r="D48" s="717"/>
      <c r="E48" s="1505"/>
      <c r="F48" s="1505"/>
      <c r="G48" s="3513" t="s">
        <v>772</v>
      </c>
      <c r="H48" s="3513"/>
      <c r="I48" s="231">
        <f>SUM(I46:I47)</f>
        <v>7550.65</v>
      </c>
      <c r="J48" s="2217"/>
      <c r="K48" s="32"/>
      <c r="L48" s="2206">
        <f>SUM(L46:L47)</f>
        <v>7550.65</v>
      </c>
      <c r="M48" s="31"/>
      <c r="N48" s="31"/>
    </row>
    <row r="49" spans="1:14" ht="21.75" customHeight="1" x14ac:dyDescent="0.2">
      <c r="A49" s="24"/>
      <c r="B49" s="717"/>
      <c r="C49" s="717"/>
      <c r="D49" s="717"/>
      <c r="E49" s="3568"/>
      <c r="F49" s="3568"/>
      <c r="G49" s="3568"/>
      <c r="H49" s="3568"/>
      <c r="I49" s="617"/>
    </row>
    <row r="50" spans="1:14" s="32" customFormat="1" ht="21.75" customHeight="1" x14ac:dyDescent="0.2">
      <c r="A50" s="24"/>
      <c r="B50" s="717"/>
      <c r="C50" s="717"/>
      <c r="D50" s="717"/>
      <c r="J50"/>
      <c r="L50" s="31"/>
      <c r="M50" s="31"/>
      <c r="N50" s="31"/>
    </row>
    <row r="51" spans="1:14" ht="21.75" customHeight="1" x14ac:dyDescent="0.2"/>
    <row r="52" spans="1:14" ht="21.75" customHeight="1" x14ac:dyDescent="0.2"/>
    <row r="53" spans="1:14" ht="21.75" customHeight="1" x14ac:dyDescent="0.2"/>
    <row r="54" spans="1:14" ht="21.75" customHeight="1" x14ac:dyDescent="0.2"/>
    <row r="55" spans="1:14" ht="21.75" customHeight="1" x14ac:dyDescent="0.2"/>
    <row r="56" spans="1:14" ht="21.75" customHeight="1" x14ac:dyDescent="0.2"/>
    <row r="57" spans="1:14" ht="21.75" customHeight="1" x14ac:dyDescent="0.2"/>
    <row r="58" spans="1:14" ht="21.75" customHeight="1" x14ac:dyDescent="0.2"/>
    <row r="59" spans="1:14" ht="21.75" customHeight="1" x14ac:dyDescent="0.2"/>
    <row r="60" spans="1:14" ht="21.75" customHeight="1" x14ac:dyDescent="0.2"/>
    <row r="61" spans="1:14" ht="21.75" customHeight="1" x14ac:dyDescent="0.2"/>
    <row r="62" spans="1:14" ht="21.75" customHeight="1" x14ac:dyDescent="0.2"/>
  </sheetData>
  <autoFilter ref="A2:J8" xr:uid="{422FF1F8-B3DC-482C-BE1A-240C25C63380}"/>
  <mergeCells count="6">
    <mergeCell ref="E49:H49"/>
    <mergeCell ref="A1:J1"/>
    <mergeCell ref="A44:H44"/>
    <mergeCell ref="E46:H46"/>
    <mergeCell ref="G47:H47"/>
    <mergeCell ref="G48:H48"/>
  </mergeCells>
  <pageMargins left="1.45" right="0.15748031496062992" top="0.19685039370078741" bottom="0.51181102362204722" header="0.23622047244094491" footer="0.51181102362204722"/>
  <pageSetup paperSize="9" scale="70" orientation="portrait" r:id="rId1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36606-79B2-4A6B-9F4F-A020FAC98DF6}">
  <sheetPr codeName="Planilha27"/>
  <dimension ref="A1:T212"/>
  <sheetViews>
    <sheetView zoomScaleNormal="100" workbookViewId="0">
      <selection activeCell="G179" sqref="G179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8.5703125" customWidth="1"/>
    <col min="12" max="12" width="18" style="24" customWidth="1"/>
    <col min="13" max="13" width="41.140625" style="24" customWidth="1"/>
    <col min="14" max="14" width="16.42578125" style="24" customWidth="1"/>
    <col min="15" max="16" width="12" customWidth="1"/>
    <col min="17" max="17" width="13" customWidth="1"/>
    <col min="18" max="18" width="12.7109375" customWidth="1"/>
    <col min="19" max="19" width="13.140625" customWidth="1"/>
    <col min="20" max="20" width="11.5703125" customWidth="1"/>
  </cols>
  <sheetData>
    <row r="1" spans="1:17" ht="27" thickBot="1" x14ac:dyDescent="0.45">
      <c r="A1" s="3104" t="s">
        <v>7567</v>
      </c>
      <c r="B1" s="3105"/>
      <c r="C1" s="3105"/>
      <c r="D1" s="3105"/>
      <c r="E1" s="3105"/>
      <c r="F1" s="3105"/>
      <c r="G1" s="3105"/>
      <c r="H1" s="3105"/>
      <c r="I1" s="3105"/>
      <c r="J1" s="3509"/>
      <c r="K1" s="2084"/>
    </row>
    <row r="2" spans="1:17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7" ht="21.75" customHeight="1" x14ac:dyDescent="0.2">
      <c r="A3" s="1493"/>
      <c r="B3" s="1499">
        <v>45483</v>
      </c>
      <c r="C3" s="1499" t="s">
        <v>6645</v>
      </c>
      <c r="D3" s="1496" t="s">
        <v>6618</v>
      </c>
      <c r="E3" s="1496" t="s">
        <v>5956</v>
      </c>
      <c r="F3" s="1604" t="s">
        <v>6186</v>
      </c>
      <c r="G3" s="2041">
        <v>435</v>
      </c>
      <c r="H3" s="1638">
        <v>1</v>
      </c>
      <c r="I3" s="2127">
        <f>H3*G3</f>
        <v>435</v>
      </c>
      <c r="J3" s="2197"/>
      <c r="K3" s="717"/>
      <c r="L3" s="2138"/>
      <c r="M3" s="2138"/>
      <c r="N3" s="2138"/>
      <c r="O3" s="2117"/>
      <c r="P3" s="2117"/>
      <c r="Q3" s="2117"/>
    </row>
    <row r="4" spans="1:17" ht="21.75" customHeight="1" x14ac:dyDescent="0.2">
      <c r="A4" s="1493"/>
      <c r="B4" s="1499">
        <v>45483</v>
      </c>
      <c r="C4" s="1499" t="s">
        <v>6645</v>
      </c>
      <c r="D4" s="1496" t="s">
        <v>6618</v>
      </c>
      <c r="E4" s="1496" t="s">
        <v>6624</v>
      </c>
      <c r="F4" s="1604" t="s">
        <v>6225</v>
      </c>
      <c r="G4" s="2124">
        <v>1</v>
      </c>
      <c r="H4" s="1638">
        <v>220</v>
      </c>
      <c r="I4" s="2127">
        <f t="shared" ref="I4" si="0">H4*G4</f>
        <v>220</v>
      </c>
      <c r="J4" s="2197"/>
      <c r="L4" s="2139"/>
      <c r="M4" s="2139"/>
      <c r="N4" s="2139"/>
      <c r="O4" s="1704"/>
      <c r="P4" s="1704"/>
      <c r="Q4" s="1704"/>
    </row>
    <row r="5" spans="1:17" ht="21.75" customHeight="1" x14ac:dyDescent="0.2">
      <c r="A5" s="1493"/>
      <c r="B5" s="1499">
        <v>45483</v>
      </c>
      <c r="C5" s="1499" t="s">
        <v>6645</v>
      </c>
      <c r="D5" s="1496" t="s">
        <v>6618</v>
      </c>
      <c r="E5" s="1496" t="s">
        <v>6226</v>
      </c>
      <c r="F5" s="1604" t="s">
        <v>6186</v>
      </c>
      <c r="G5" s="2041">
        <v>3</v>
      </c>
      <c r="H5" s="1638">
        <v>34</v>
      </c>
      <c r="I5" s="2127">
        <f>H5*G5</f>
        <v>102</v>
      </c>
      <c r="J5" s="2197"/>
      <c r="K5" s="746"/>
    </row>
    <row r="6" spans="1:17" ht="21.75" customHeight="1" x14ac:dyDescent="0.2">
      <c r="A6" s="1493" t="s">
        <v>6244</v>
      </c>
      <c r="B6" s="1499"/>
      <c r="C6" s="1499"/>
      <c r="D6" s="1496"/>
      <c r="E6" s="2195" t="s">
        <v>772</v>
      </c>
      <c r="F6" s="1604"/>
      <c r="G6" s="2041"/>
      <c r="H6" s="1638"/>
      <c r="I6" s="2209">
        <f>SUM(I3:I5)</f>
        <v>757</v>
      </c>
      <c r="J6" s="2197" t="s">
        <v>6646</v>
      </c>
      <c r="K6" s="746" t="s">
        <v>6647</v>
      </c>
    </row>
    <row r="7" spans="1:17" ht="21.75" customHeight="1" x14ac:dyDescent="0.2">
      <c r="A7" s="1493"/>
      <c r="B7" s="1499"/>
      <c r="C7" s="1499"/>
      <c r="D7" s="1496"/>
      <c r="E7" s="1496"/>
      <c r="F7" s="1604"/>
      <c r="G7" s="2041"/>
      <c r="H7" s="1219"/>
      <c r="I7" s="2097"/>
      <c r="J7" s="2197"/>
      <c r="K7" s="746"/>
    </row>
    <row r="8" spans="1:17" ht="21.75" customHeight="1" x14ac:dyDescent="0.2">
      <c r="A8" s="1493" t="s">
        <v>6244</v>
      </c>
      <c r="B8" s="1499">
        <v>45477</v>
      </c>
      <c r="C8" s="1499" t="s">
        <v>6442</v>
      </c>
      <c r="D8" s="1496" t="s">
        <v>6618</v>
      </c>
      <c r="E8" s="1496" t="s">
        <v>6623</v>
      </c>
      <c r="F8" s="2199" t="s">
        <v>6186</v>
      </c>
      <c r="G8" s="2200">
        <v>54</v>
      </c>
      <c r="H8" s="1638">
        <v>23</v>
      </c>
      <c r="I8" s="2209">
        <f>H8*G8</f>
        <v>1242</v>
      </c>
      <c r="J8" s="2197" t="s">
        <v>6650</v>
      </c>
      <c r="K8" s="746"/>
    </row>
    <row r="9" spans="1:17" ht="21.75" customHeight="1" x14ac:dyDescent="0.2">
      <c r="A9" s="1493"/>
      <c r="B9" s="1499"/>
      <c r="C9" s="1499"/>
      <c r="D9" s="1496"/>
      <c r="E9" s="1496"/>
      <c r="F9" s="1604"/>
      <c r="G9" s="2041"/>
      <c r="H9" s="1219"/>
      <c r="I9" s="2097"/>
      <c r="J9" s="2197"/>
      <c r="K9" s="746"/>
    </row>
    <row r="10" spans="1:17" ht="21.75" customHeight="1" x14ac:dyDescent="0.2">
      <c r="A10" s="1493"/>
      <c r="B10" s="1499">
        <v>45484</v>
      </c>
      <c r="C10" s="1499" t="s">
        <v>6234</v>
      </c>
      <c r="D10" s="1496" t="s">
        <v>6618</v>
      </c>
      <c r="E10" s="1496" t="s">
        <v>6625</v>
      </c>
      <c r="F10" s="1604" t="s">
        <v>6225</v>
      </c>
      <c r="G10" s="2124">
        <v>1</v>
      </c>
      <c r="H10" s="1638">
        <v>224</v>
      </c>
      <c r="I10" s="2127">
        <f>H10*G10</f>
        <v>224</v>
      </c>
      <c r="J10" s="2197"/>
    </row>
    <row r="11" spans="1:17" ht="21.75" customHeight="1" x14ac:dyDescent="0.2">
      <c r="A11" s="1493"/>
      <c r="B11" s="1499">
        <v>45484</v>
      </c>
      <c r="C11" s="1499" t="s">
        <v>6234</v>
      </c>
      <c r="D11" s="1496" t="s">
        <v>6618</v>
      </c>
      <c r="E11" s="1496" t="s">
        <v>6626</v>
      </c>
      <c r="F11" s="1604" t="s">
        <v>6186</v>
      </c>
      <c r="G11" s="2041">
        <v>2</v>
      </c>
      <c r="H11" s="1638">
        <v>48</v>
      </c>
      <c r="I11" s="2127">
        <f>H11*G11</f>
        <v>96</v>
      </c>
      <c r="J11" s="2197"/>
      <c r="K11" s="746"/>
      <c r="L11" s="24" t="s">
        <v>6644</v>
      </c>
      <c r="M11" s="239">
        <v>4000</v>
      </c>
    </row>
    <row r="12" spans="1:17" ht="21.75" customHeight="1" x14ac:dyDescent="0.2">
      <c r="A12" s="1493"/>
      <c r="B12" s="1499">
        <v>45484</v>
      </c>
      <c r="C12" s="1499" t="s">
        <v>6234</v>
      </c>
      <c r="D12" s="1496" t="s">
        <v>6618</v>
      </c>
      <c r="E12" s="1496" t="s">
        <v>6226</v>
      </c>
      <c r="F12" s="1604" t="s">
        <v>6186</v>
      </c>
      <c r="G12" s="2041">
        <v>3</v>
      </c>
      <c r="H12" s="1638">
        <v>36.4</v>
      </c>
      <c r="I12" s="2127">
        <f>H12*G12</f>
        <v>109.19999999999999</v>
      </c>
      <c r="J12" s="2197"/>
      <c r="K12" s="746"/>
    </row>
    <row r="13" spans="1:17" ht="21.75" customHeight="1" x14ac:dyDescent="0.2">
      <c r="A13" s="1493"/>
      <c r="B13" s="1499">
        <v>45484</v>
      </c>
      <c r="C13" s="1499" t="s">
        <v>6234</v>
      </c>
      <c r="D13" s="1496" t="s">
        <v>6618</v>
      </c>
      <c r="E13" s="1496" t="s">
        <v>5956</v>
      </c>
      <c r="F13" s="1604" t="s">
        <v>6186</v>
      </c>
      <c r="G13" s="2041">
        <v>200</v>
      </c>
      <c r="H13" s="1638">
        <v>1.3</v>
      </c>
      <c r="I13" s="2127">
        <f>H13*G13</f>
        <v>260</v>
      </c>
      <c r="J13" s="2197"/>
      <c r="K13" s="717"/>
      <c r="L13" s="2138"/>
      <c r="M13" s="2138"/>
      <c r="N13" s="2138"/>
      <c r="O13" s="2117"/>
      <c r="P13" s="2117"/>
      <c r="Q13" s="2117"/>
    </row>
    <row r="14" spans="1:17" ht="21.75" customHeight="1" x14ac:dyDescent="0.2">
      <c r="A14" s="1493" t="s">
        <v>6244</v>
      </c>
      <c r="B14" s="1499"/>
      <c r="C14" s="1499"/>
      <c r="D14" s="1496"/>
      <c r="E14" s="1496"/>
      <c r="F14" s="1604"/>
      <c r="G14" s="2041"/>
      <c r="H14" s="1219"/>
      <c r="I14" s="2059">
        <f>SUM(I10:I13)</f>
        <v>689.2</v>
      </c>
      <c r="J14" s="2197" t="s">
        <v>6646</v>
      </c>
      <c r="K14" s="746" t="s">
        <v>6651</v>
      </c>
    </row>
    <row r="15" spans="1:17" ht="21.75" customHeight="1" x14ac:dyDescent="0.2">
      <c r="A15" s="1493"/>
      <c r="B15" s="1499"/>
      <c r="C15" s="1499"/>
      <c r="D15" s="1496"/>
      <c r="E15" s="1496"/>
      <c r="F15" s="1604"/>
      <c r="G15" s="2041"/>
      <c r="H15" s="1219"/>
      <c r="I15" s="2097"/>
      <c r="J15" s="2197"/>
      <c r="K15" s="746"/>
    </row>
    <row r="16" spans="1:17" ht="21.75" customHeight="1" x14ac:dyDescent="0.2">
      <c r="A16" s="1493" t="s">
        <v>6245</v>
      </c>
      <c r="B16" s="1499">
        <v>45486</v>
      </c>
      <c r="C16" s="1499"/>
      <c r="D16" s="1496" t="s">
        <v>6618</v>
      </c>
      <c r="E16" s="1496" t="s">
        <v>6703</v>
      </c>
      <c r="F16" s="1604" t="s">
        <v>6186</v>
      </c>
      <c r="G16" s="2041">
        <v>1</v>
      </c>
      <c r="H16" s="1638">
        <v>1000</v>
      </c>
      <c r="I16" s="2209">
        <f>H16*G16</f>
        <v>1000</v>
      </c>
      <c r="J16" s="2197" t="s">
        <v>6646</v>
      </c>
      <c r="K16" s="746" t="s">
        <v>6668</v>
      </c>
    </row>
    <row r="17" spans="1:17" ht="21.75" customHeight="1" x14ac:dyDescent="0.2">
      <c r="A17" s="1493"/>
      <c r="B17" s="1499"/>
      <c r="C17" s="1499"/>
      <c r="D17" s="1496"/>
      <c r="E17" s="1496"/>
      <c r="F17" s="2199"/>
      <c r="G17" s="2200"/>
      <c r="H17" s="1638"/>
      <c r="I17" s="2059"/>
      <c r="J17" s="2130"/>
      <c r="L17" s="51"/>
      <c r="M17" s="51"/>
      <c r="N17" s="51"/>
      <c r="O17" s="717"/>
      <c r="P17" s="717"/>
      <c r="Q17" s="717"/>
    </row>
    <row r="18" spans="1:17" ht="21.75" customHeight="1" x14ac:dyDescent="0.2">
      <c r="A18" s="1493"/>
      <c r="B18" s="1499">
        <v>45488</v>
      </c>
      <c r="C18" s="1499" t="s">
        <v>6234</v>
      </c>
      <c r="D18" s="1496" t="s">
        <v>6618</v>
      </c>
      <c r="E18" s="1496" t="s">
        <v>6670</v>
      </c>
      <c r="F18" s="1604" t="s">
        <v>6187</v>
      </c>
      <c r="G18" s="2041">
        <v>2</v>
      </c>
      <c r="H18" s="1638">
        <v>17.399999999999999</v>
      </c>
      <c r="I18" s="2127">
        <f t="shared" ref="I18:I27" si="1">H18*G18</f>
        <v>34.799999999999997</v>
      </c>
      <c r="J18" s="2197"/>
    </row>
    <row r="19" spans="1:17" ht="21.75" customHeight="1" x14ac:dyDescent="0.2">
      <c r="A19" s="1493"/>
      <c r="B19" s="1499">
        <v>45488</v>
      </c>
      <c r="C19" s="1499" t="s">
        <v>6234</v>
      </c>
      <c r="D19" s="1496" t="s">
        <v>6618</v>
      </c>
      <c r="E19" s="1496" t="s">
        <v>6671</v>
      </c>
      <c r="F19" s="1604" t="s">
        <v>6186</v>
      </c>
      <c r="G19" s="2041">
        <v>2</v>
      </c>
      <c r="H19" s="1638">
        <v>17.5</v>
      </c>
      <c r="I19" s="2127">
        <f t="shared" si="1"/>
        <v>35</v>
      </c>
      <c r="J19" s="2197"/>
      <c r="K19" s="746"/>
      <c r="M19" s="239"/>
    </row>
    <row r="20" spans="1:17" ht="21.75" customHeight="1" x14ac:dyDescent="0.2">
      <c r="A20" s="1493"/>
      <c r="B20" s="1499">
        <v>45488</v>
      </c>
      <c r="C20" s="1499" t="s">
        <v>6234</v>
      </c>
      <c r="D20" s="1496" t="s">
        <v>6618</v>
      </c>
      <c r="E20" s="1496" t="s">
        <v>6673</v>
      </c>
      <c r="F20" s="1604" t="s">
        <v>6186</v>
      </c>
      <c r="G20" s="2041">
        <v>2</v>
      </c>
      <c r="H20" s="1638">
        <v>69.5</v>
      </c>
      <c r="I20" s="2127">
        <f t="shared" si="1"/>
        <v>139</v>
      </c>
      <c r="J20" s="2197"/>
      <c r="K20" s="717"/>
      <c r="L20" s="2138"/>
      <c r="M20" s="2138"/>
      <c r="N20" s="2138"/>
      <c r="O20" s="2117"/>
      <c r="P20" s="2117"/>
      <c r="Q20" s="2117"/>
    </row>
    <row r="21" spans="1:17" ht="21.75" customHeight="1" x14ac:dyDescent="0.2">
      <c r="A21" s="1493"/>
      <c r="B21" s="1499">
        <v>45488</v>
      </c>
      <c r="C21" s="1499" t="s">
        <v>6234</v>
      </c>
      <c r="D21" s="1496" t="s">
        <v>6618</v>
      </c>
      <c r="E21" s="1496" t="s">
        <v>6672</v>
      </c>
      <c r="F21" s="1604" t="s">
        <v>6186</v>
      </c>
      <c r="G21" s="2041">
        <v>5</v>
      </c>
      <c r="H21" s="1638">
        <v>3</v>
      </c>
      <c r="I21" s="2127">
        <f t="shared" si="1"/>
        <v>15</v>
      </c>
      <c r="J21" s="2197"/>
      <c r="K21" s="746"/>
    </row>
    <row r="22" spans="1:17" ht="21.75" customHeight="1" x14ac:dyDescent="0.2">
      <c r="A22" s="1493"/>
      <c r="B22" s="1499">
        <v>45488</v>
      </c>
      <c r="C22" s="1499" t="s">
        <v>6234</v>
      </c>
      <c r="D22" s="1496" t="s">
        <v>6618</v>
      </c>
      <c r="E22" s="1496" t="s">
        <v>6674</v>
      </c>
      <c r="F22" s="1604" t="s">
        <v>6186</v>
      </c>
      <c r="G22" s="2041">
        <v>1</v>
      </c>
      <c r="H22" s="1638">
        <v>7</v>
      </c>
      <c r="I22" s="2127">
        <f t="shared" si="1"/>
        <v>7</v>
      </c>
      <c r="J22" s="2197"/>
      <c r="K22" s="717"/>
      <c r="L22" s="2138"/>
      <c r="M22" s="2138"/>
      <c r="N22" s="2138"/>
      <c r="O22" s="2117"/>
      <c r="P22" s="2117"/>
      <c r="Q22" s="2117"/>
    </row>
    <row r="23" spans="1:17" ht="21.75" customHeight="1" x14ac:dyDescent="0.2">
      <c r="A23" s="1493"/>
      <c r="B23" s="1499">
        <v>45488</v>
      </c>
      <c r="C23" s="1499" t="s">
        <v>6234</v>
      </c>
      <c r="D23" s="1496" t="s">
        <v>6618</v>
      </c>
      <c r="E23" s="1496" t="s">
        <v>6675</v>
      </c>
      <c r="F23" s="1604" t="s">
        <v>6186</v>
      </c>
      <c r="G23" s="2041">
        <v>1</v>
      </c>
      <c r="H23" s="1638">
        <v>4.5999999999999996</v>
      </c>
      <c r="I23" s="2127">
        <f t="shared" si="1"/>
        <v>4.5999999999999996</v>
      </c>
      <c r="J23" s="2197"/>
      <c r="K23" s="746"/>
    </row>
    <row r="24" spans="1:17" ht="21.75" customHeight="1" x14ac:dyDescent="0.2">
      <c r="A24" s="1493"/>
      <c r="B24" s="1499">
        <v>45488</v>
      </c>
      <c r="C24" s="1499" t="s">
        <v>6234</v>
      </c>
      <c r="D24" s="1496" t="s">
        <v>6618</v>
      </c>
      <c r="E24" s="1496" t="s">
        <v>6676</v>
      </c>
      <c r="F24" s="1604" t="s">
        <v>6186</v>
      </c>
      <c r="G24" s="2041">
        <v>1</v>
      </c>
      <c r="H24" s="1638">
        <v>6.5</v>
      </c>
      <c r="I24" s="2127">
        <f t="shared" si="1"/>
        <v>6.5</v>
      </c>
      <c r="J24" s="2197"/>
      <c r="K24" s="746"/>
    </row>
    <row r="25" spans="1:17" ht="21.75" customHeight="1" x14ac:dyDescent="0.2">
      <c r="A25" s="1493"/>
      <c r="B25" s="1499">
        <v>45488</v>
      </c>
      <c r="C25" s="1499" t="s">
        <v>6234</v>
      </c>
      <c r="D25" s="1496" t="s">
        <v>6618</v>
      </c>
      <c r="E25" s="1496" t="s">
        <v>6677</v>
      </c>
      <c r="F25" s="1604" t="s">
        <v>6186</v>
      </c>
      <c r="G25" s="2041">
        <v>10</v>
      </c>
      <c r="H25" s="1638">
        <v>2.5</v>
      </c>
      <c r="I25" s="2127">
        <f t="shared" si="1"/>
        <v>25</v>
      </c>
      <c r="J25" s="2197"/>
      <c r="K25" s="746"/>
    </row>
    <row r="26" spans="1:17" ht="21.75" customHeight="1" x14ac:dyDescent="0.2">
      <c r="A26" s="1493"/>
      <c r="B26" s="1499">
        <v>45488</v>
      </c>
      <c r="C26" s="1499" t="s">
        <v>6234</v>
      </c>
      <c r="D26" s="1496" t="s">
        <v>6618</v>
      </c>
      <c r="E26" s="1496" t="s">
        <v>6226</v>
      </c>
      <c r="F26" s="1604" t="s">
        <v>6186</v>
      </c>
      <c r="G26" s="2041">
        <v>3</v>
      </c>
      <c r="H26" s="1638">
        <v>37.9</v>
      </c>
      <c r="I26" s="2127">
        <f t="shared" si="1"/>
        <v>113.69999999999999</v>
      </c>
      <c r="J26" s="2197"/>
      <c r="K26" s="746"/>
    </row>
    <row r="27" spans="1:17" ht="21.75" customHeight="1" x14ac:dyDescent="0.2">
      <c r="A27" s="1493"/>
      <c r="B27" s="1499">
        <v>45488</v>
      </c>
      <c r="C27" s="1499" t="s">
        <v>6234</v>
      </c>
      <c r="D27" s="1496" t="s">
        <v>6618</v>
      </c>
      <c r="E27" s="1496" t="s">
        <v>5956</v>
      </c>
      <c r="F27" s="1604" t="s">
        <v>6186</v>
      </c>
      <c r="G27" s="2041">
        <v>100</v>
      </c>
      <c r="H27" s="1638">
        <v>1.3</v>
      </c>
      <c r="I27" s="2127">
        <f t="shared" si="1"/>
        <v>130</v>
      </c>
      <c r="J27" s="2197"/>
      <c r="K27" s="717"/>
      <c r="L27" s="2138"/>
      <c r="M27" s="2138"/>
      <c r="N27" s="2138"/>
      <c r="O27" s="2117"/>
      <c r="P27" s="2117"/>
      <c r="Q27" s="2117"/>
    </row>
    <row r="28" spans="1:17" ht="21.75" customHeight="1" x14ac:dyDescent="0.2">
      <c r="A28" s="1493" t="s">
        <v>6244</v>
      </c>
      <c r="B28" s="1499"/>
      <c r="C28" s="1499"/>
      <c r="D28" s="1496"/>
      <c r="E28" s="1496"/>
      <c r="F28" s="1604"/>
      <c r="G28" s="2041"/>
      <c r="H28" s="1219"/>
      <c r="I28" s="2059">
        <f>SUM(I18:I27)</f>
        <v>510.59999999999997</v>
      </c>
      <c r="J28" s="2197" t="s">
        <v>6646</v>
      </c>
      <c r="K28" s="746" t="s">
        <v>6683</v>
      </c>
    </row>
    <row r="29" spans="1:17" ht="21.75" customHeight="1" x14ac:dyDescent="0.2">
      <c r="A29" s="1493"/>
      <c r="B29" s="1499"/>
      <c r="C29" s="1499"/>
      <c r="D29" s="1496"/>
      <c r="E29" s="1496"/>
      <c r="F29" s="1604"/>
      <c r="G29" s="2041"/>
      <c r="H29" s="1219"/>
      <c r="I29" s="2097"/>
      <c r="J29" s="2197"/>
      <c r="K29" s="746"/>
    </row>
    <row r="30" spans="1:17" ht="21.75" customHeight="1" x14ac:dyDescent="0.2">
      <c r="A30" s="1493"/>
      <c r="B30" s="1499">
        <v>45489</v>
      </c>
      <c r="C30" s="1499" t="s">
        <v>6234</v>
      </c>
      <c r="D30" s="1496" t="s">
        <v>6618</v>
      </c>
      <c r="E30" s="1496" t="s">
        <v>6226</v>
      </c>
      <c r="F30" s="1604" t="s">
        <v>6186</v>
      </c>
      <c r="G30" s="2041">
        <v>4</v>
      </c>
      <c r="H30" s="1638">
        <v>35.700000000000003</v>
      </c>
      <c r="I30" s="2127">
        <f>H30*G30</f>
        <v>142.80000000000001</v>
      </c>
      <c r="J30" s="2197"/>
      <c r="K30" s="746"/>
    </row>
    <row r="31" spans="1:17" ht="21.75" customHeight="1" x14ac:dyDescent="0.2">
      <c r="A31" s="1493"/>
      <c r="B31" s="1499">
        <v>45489</v>
      </c>
      <c r="C31" s="1499" t="s">
        <v>6234</v>
      </c>
      <c r="D31" s="1496" t="s">
        <v>6618</v>
      </c>
      <c r="E31" s="1496" t="s">
        <v>6684</v>
      </c>
      <c r="F31" s="1604" t="s">
        <v>6186</v>
      </c>
      <c r="G31" s="2041">
        <v>20</v>
      </c>
      <c r="H31" s="1219">
        <v>16.8</v>
      </c>
      <c r="I31" s="2097">
        <f>H31*G31</f>
        <v>336</v>
      </c>
      <c r="J31" s="2130"/>
      <c r="K31" s="746"/>
      <c r="M31" s="165"/>
      <c r="O31" s="1">
        <f>SUM(O25:O29)</f>
        <v>0</v>
      </c>
    </row>
    <row r="32" spans="1:17" ht="21.75" customHeight="1" x14ac:dyDescent="0.2">
      <c r="A32" s="1493"/>
      <c r="B32" s="1499">
        <v>45489</v>
      </c>
      <c r="C32" s="1499" t="s">
        <v>6234</v>
      </c>
      <c r="D32" s="1496" t="s">
        <v>6618</v>
      </c>
      <c r="E32" s="1496" t="s">
        <v>6624</v>
      </c>
      <c r="F32" s="1604" t="s">
        <v>6225</v>
      </c>
      <c r="G32" s="2041">
        <v>1</v>
      </c>
      <c r="H32" s="1638">
        <v>246</v>
      </c>
      <c r="I32" s="2127">
        <f t="shared" ref="I32" si="2">H32*G32</f>
        <v>246</v>
      </c>
      <c r="J32" s="2197"/>
      <c r="L32" s="2139"/>
      <c r="M32" s="2139"/>
      <c r="N32" s="2139"/>
      <c r="O32" s="1704"/>
      <c r="P32" s="1704"/>
      <c r="Q32" s="1704"/>
    </row>
    <row r="33" spans="1:17" ht="21.75" customHeight="1" x14ac:dyDescent="0.2">
      <c r="A33" s="1493" t="s">
        <v>6244</v>
      </c>
      <c r="B33" s="1499"/>
      <c r="C33" s="1499"/>
      <c r="D33" s="1496"/>
      <c r="E33" s="1496"/>
      <c r="F33" s="1604"/>
      <c r="G33" s="2041"/>
      <c r="H33" s="1219"/>
      <c r="I33" s="2059">
        <f>SUM(I30:I32)</f>
        <v>724.8</v>
      </c>
      <c r="J33" s="2197" t="s">
        <v>6646</v>
      </c>
      <c r="K33" s="746" t="s">
        <v>6683</v>
      </c>
    </row>
    <row r="34" spans="1:17" ht="21.75" customHeight="1" x14ac:dyDescent="0.2">
      <c r="A34" s="1493"/>
      <c r="B34" s="1499"/>
      <c r="C34" s="1499"/>
      <c r="D34" s="1496"/>
      <c r="E34" s="1496"/>
      <c r="F34" s="1604"/>
      <c r="G34" s="2041"/>
      <c r="H34" s="1219"/>
      <c r="I34" s="2097"/>
      <c r="J34" s="2197"/>
      <c r="K34" s="746"/>
    </row>
    <row r="35" spans="1:17" ht="21.75" customHeight="1" x14ac:dyDescent="0.2">
      <c r="A35" s="1493" t="s">
        <v>6245</v>
      </c>
      <c r="B35" s="1499">
        <v>45494</v>
      </c>
      <c r="C35" s="1499"/>
      <c r="D35" s="1496" t="s">
        <v>6618</v>
      </c>
      <c r="E35" s="1496" t="s">
        <v>6704</v>
      </c>
      <c r="F35" s="1604" t="s">
        <v>6186</v>
      </c>
      <c r="G35" s="2041">
        <v>1</v>
      </c>
      <c r="H35" s="1638">
        <v>1000</v>
      </c>
      <c r="I35" s="2209">
        <f>H35*G35</f>
        <v>1000</v>
      </c>
      <c r="J35" s="2197" t="s">
        <v>6646</v>
      </c>
      <c r="K35" s="746" t="s">
        <v>6668</v>
      </c>
    </row>
    <row r="36" spans="1:17" ht="21.75" customHeight="1" x14ac:dyDescent="0.2">
      <c r="A36" s="1493"/>
      <c r="B36" s="1499"/>
      <c r="C36" s="1499"/>
      <c r="D36" s="1496"/>
      <c r="E36" s="1496"/>
      <c r="F36" s="2199"/>
      <c r="G36" s="2200"/>
      <c r="H36" s="1638"/>
      <c r="I36" s="2127"/>
      <c r="J36" s="2197"/>
      <c r="K36" s="746"/>
    </row>
    <row r="37" spans="1:17" ht="21.75" customHeight="1" x14ac:dyDescent="0.2">
      <c r="A37" s="1493" t="s">
        <v>6244</v>
      </c>
      <c r="B37" s="1499">
        <v>45495</v>
      </c>
      <c r="C37" s="1499" t="s">
        <v>6234</v>
      </c>
      <c r="D37" s="1496" t="s">
        <v>6618</v>
      </c>
      <c r="E37" s="1496" t="s">
        <v>5956</v>
      </c>
      <c r="F37" s="1604" t="s">
        <v>6186</v>
      </c>
      <c r="G37" s="2041">
        <v>300</v>
      </c>
      <c r="H37" s="1638">
        <v>1.2</v>
      </c>
      <c r="I37" s="2209">
        <f t="shared" ref="I37" si="3">H37*G37</f>
        <v>360</v>
      </c>
      <c r="J37" s="2197" t="s">
        <v>6646</v>
      </c>
      <c r="K37" s="746" t="s">
        <v>6707</v>
      </c>
      <c r="M37" s="2138"/>
      <c r="N37" s="2138"/>
      <c r="O37" s="2117"/>
      <c r="P37" s="2117"/>
      <c r="Q37" s="2117"/>
    </row>
    <row r="38" spans="1:17" ht="21.75" customHeight="1" x14ac:dyDescent="0.2">
      <c r="A38" s="1493"/>
      <c r="B38" s="1499"/>
      <c r="C38" s="1499"/>
      <c r="D38" s="1496"/>
      <c r="E38" s="1496"/>
      <c r="F38" s="1604"/>
      <c r="G38" s="2041"/>
      <c r="H38" s="1219"/>
      <c r="I38" s="2059"/>
      <c r="J38" s="2197"/>
      <c r="K38" s="746"/>
    </row>
    <row r="39" spans="1:17" ht="21.75" customHeight="1" x14ac:dyDescent="0.2">
      <c r="A39" s="1493"/>
      <c r="B39" s="1499">
        <v>45496</v>
      </c>
      <c r="C39" s="1499" t="s">
        <v>6234</v>
      </c>
      <c r="D39" s="1496" t="s">
        <v>6618</v>
      </c>
      <c r="E39" s="1496" t="s">
        <v>6226</v>
      </c>
      <c r="F39" s="1604" t="s">
        <v>6186</v>
      </c>
      <c r="G39" s="2041">
        <v>4</v>
      </c>
      <c r="H39" s="1638">
        <v>35.700000000000003</v>
      </c>
      <c r="I39" s="2127">
        <f>H39*G39</f>
        <v>142.80000000000001</v>
      </c>
      <c r="J39" s="2197"/>
      <c r="K39" s="746"/>
    </row>
    <row r="40" spans="1:17" ht="21.75" customHeight="1" x14ac:dyDescent="0.2">
      <c r="A40" s="1493"/>
      <c r="B40" s="1499">
        <v>45496</v>
      </c>
      <c r="C40" s="1499" t="s">
        <v>6234</v>
      </c>
      <c r="D40" s="1496" t="s">
        <v>6618</v>
      </c>
      <c r="E40" s="1496" t="s">
        <v>6624</v>
      </c>
      <c r="F40" s="1604" t="s">
        <v>6225</v>
      </c>
      <c r="G40" s="2041">
        <v>1</v>
      </c>
      <c r="H40" s="1638">
        <v>246</v>
      </c>
      <c r="I40" s="2127">
        <f t="shared" ref="I40" si="4">H40*G40</f>
        <v>246</v>
      </c>
      <c r="J40" s="2197"/>
      <c r="L40" s="2139"/>
      <c r="M40" s="2139"/>
      <c r="N40" s="2139"/>
      <c r="O40" s="1704"/>
      <c r="P40" s="1704"/>
      <c r="Q40" s="1704"/>
    </row>
    <row r="41" spans="1:17" ht="21.75" customHeight="1" x14ac:dyDescent="0.2">
      <c r="A41" s="1493" t="s">
        <v>6244</v>
      </c>
      <c r="B41" s="1499"/>
      <c r="C41" s="1499"/>
      <c r="D41" s="1496"/>
      <c r="E41" s="1496"/>
      <c r="F41" s="1604"/>
      <c r="G41" s="2041"/>
      <c r="H41" s="1219"/>
      <c r="I41" s="2059">
        <f>SUM(I39:I40)</f>
        <v>388.8</v>
      </c>
      <c r="J41" s="2197" t="s">
        <v>6646</v>
      </c>
      <c r="K41" s="746" t="s">
        <v>6683</v>
      </c>
    </row>
    <row r="42" spans="1:17" ht="21.75" customHeight="1" x14ac:dyDescent="0.2">
      <c r="A42" s="1493"/>
      <c r="B42" s="1499"/>
      <c r="C42" s="1499"/>
      <c r="D42" s="1496"/>
      <c r="E42" s="1496"/>
      <c r="F42" s="1604"/>
      <c r="G42" s="2041"/>
      <c r="H42" s="1219"/>
      <c r="I42" s="2097"/>
      <c r="J42" s="2197"/>
      <c r="K42" s="746"/>
    </row>
    <row r="43" spans="1:17" ht="21.75" customHeight="1" x14ac:dyDescent="0.2">
      <c r="A43" s="1493" t="s">
        <v>6245</v>
      </c>
      <c r="B43" s="1499">
        <v>45500</v>
      </c>
      <c r="C43" s="1499"/>
      <c r="D43" s="1496" t="s">
        <v>6618</v>
      </c>
      <c r="E43" s="1496" t="s">
        <v>6718</v>
      </c>
      <c r="F43" s="1604" t="s">
        <v>6186</v>
      </c>
      <c r="G43" s="2041">
        <v>1</v>
      </c>
      <c r="H43" s="1638">
        <v>1000</v>
      </c>
      <c r="I43" s="2209">
        <f>H43*G43</f>
        <v>1000</v>
      </c>
      <c r="J43" s="2197" t="s">
        <v>6646</v>
      </c>
      <c r="K43" s="746" t="s">
        <v>6668</v>
      </c>
    </row>
    <row r="44" spans="1:17" ht="21.75" customHeight="1" x14ac:dyDescent="0.2">
      <c r="A44" s="1493"/>
      <c r="B44" s="1499"/>
      <c r="C44" s="1499"/>
      <c r="D44" s="1496"/>
      <c r="E44" s="1496"/>
      <c r="F44" s="1604"/>
      <c r="G44" s="2041"/>
      <c r="H44" s="1219"/>
      <c r="I44" s="2097"/>
      <c r="J44" s="2197"/>
      <c r="K44" s="746"/>
    </row>
    <row r="45" spans="1:17" ht="21.75" customHeight="1" x14ac:dyDescent="0.2">
      <c r="A45" s="1493"/>
      <c r="B45" s="1499">
        <v>45502</v>
      </c>
      <c r="C45" s="1499" t="s">
        <v>6234</v>
      </c>
      <c r="D45" s="1496" t="s">
        <v>6618</v>
      </c>
      <c r="E45" s="1496" t="s">
        <v>6226</v>
      </c>
      <c r="F45" s="1604" t="s">
        <v>6186</v>
      </c>
      <c r="G45" s="2041">
        <v>4</v>
      </c>
      <c r="H45" s="1638">
        <v>33.9</v>
      </c>
      <c r="I45" s="2127">
        <f>H45*G45</f>
        <v>135.6</v>
      </c>
      <c r="J45" s="2197"/>
      <c r="K45" s="746"/>
    </row>
    <row r="46" spans="1:17" ht="21.75" customHeight="1" x14ac:dyDescent="0.2">
      <c r="A46" s="1493"/>
      <c r="B46" s="1499">
        <v>45502</v>
      </c>
      <c r="C46" s="1499" t="s">
        <v>6234</v>
      </c>
      <c r="D46" s="1496" t="s">
        <v>6618</v>
      </c>
      <c r="E46" s="1496" t="s">
        <v>6720</v>
      </c>
      <c r="F46" s="1604" t="s">
        <v>6187</v>
      </c>
      <c r="G46" s="2041">
        <v>2</v>
      </c>
      <c r="H46" s="1638">
        <v>17.399999999999999</v>
      </c>
      <c r="I46" s="2127">
        <f t="shared" ref="I46" si="5">H46*G46</f>
        <v>34.799999999999997</v>
      </c>
      <c r="J46" s="2197"/>
      <c r="L46" s="2139"/>
      <c r="M46" s="2139"/>
      <c r="N46" s="2139"/>
      <c r="O46" s="1704"/>
      <c r="P46" s="1704"/>
      <c r="Q46" s="1704"/>
    </row>
    <row r="47" spans="1:17" ht="21.75" customHeight="1" x14ac:dyDescent="0.2">
      <c r="A47" s="1493"/>
      <c r="B47" s="1499">
        <v>45502</v>
      </c>
      <c r="C47" s="1499" t="s">
        <v>6234</v>
      </c>
      <c r="D47" s="1496" t="s">
        <v>6618</v>
      </c>
      <c r="E47" s="1496" t="s">
        <v>6719</v>
      </c>
      <c r="F47" s="1604" t="s">
        <v>6187</v>
      </c>
      <c r="G47" s="2041">
        <v>10</v>
      </c>
      <c r="H47" s="1638">
        <v>1.8</v>
      </c>
      <c r="I47" s="2127">
        <f t="shared" ref="I47" si="6">H47*G47</f>
        <v>18</v>
      </c>
      <c r="J47" s="2197"/>
      <c r="L47" s="2139"/>
      <c r="M47" s="2139"/>
      <c r="N47" s="2139"/>
      <c r="O47" s="1704"/>
      <c r="P47" s="1704"/>
      <c r="Q47" s="1704"/>
    </row>
    <row r="48" spans="1:17" ht="21.75" customHeight="1" x14ac:dyDescent="0.2">
      <c r="A48" s="1493" t="s">
        <v>6244</v>
      </c>
      <c r="B48" s="1499"/>
      <c r="C48" s="1499"/>
      <c r="D48" s="1496"/>
      <c r="E48" s="1496"/>
      <c r="F48" s="1604"/>
      <c r="G48" s="2041"/>
      <c r="H48" s="1219"/>
      <c r="I48" s="2209">
        <f>SUM(I45:I47)</f>
        <v>188.39999999999998</v>
      </c>
      <c r="J48" s="2197" t="s">
        <v>6646</v>
      </c>
      <c r="K48" s="746" t="s">
        <v>6737</v>
      </c>
    </row>
    <row r="49" spans="1:20" ht="21.75" customHeight="1" x14ac:dyDescent="0.2">
      <c r="A49" s="1493"/>
      <c r="B49" s="1499"/>
      <c r="C49" s="1499"/>
      <c r="D49" s="1496"/>
      <c r="E49" s="1496"/>
      <c r="F49" s="1604"/>
      <c r="G49" s="2041"/>
      <c r="H49" s="1219"/>
      <c r="I49" s="2097"/>
      <c r="J49" s="2197"/>
      <c r="K49" s="746"/>
    </row>
    <row r="50" spans="1:20" ht="21.75" customHeight="1" x14ac:dyDescent="0.2">
      <c r="A50" s="1493" t="s">
        <v>6244</v>
      </c>
      <c r="B50" s="1499">
        <v>45505</v>
      </c>
      <c r="C50" s="1499" t="s">
        <v>6234</v>
      </c>
      <c r="D50" s="1496" t="s">
        <v>6618</v>
      </c>
      <c r="E50" s="1496" t="s">
        <v>6625</v>
      </c>
      <c r="F50" s="1604" t="s">
        <v>6225</v>
      </c>
      <c r="G50" s="2124">
        <v>0.5</v>
      </c>
      <c r="H50" s="1638">
        <v>265</v>
      </c>
      <c r="I50" s="2209">
        <f>H50*G50</f>
        <v>132.5</v>
      </c>
      <c r="J50" s="2197" t="s">
        <v>6646</v>
      </c>
      <c r="K50" s="746" t="s">
        <v>6737</v>
      </c>
    </row>
    <row r="51" spans="1:20" ht="21.75" customHeight="1" x14ac:dyDescent="0.2">
      <c r="A51" s="1493"/>
      <c r="B51" s="1499"/>
      <c r="C51" s="1499"/>
      <c r="D51" s="1496"/>
      <c r="E51" s="1496"/>
      <c r="F51" s="1604"/>
      <c r="G51" s="2041"/>
      <c r="H51" s="1219"/>
      <c r="I51" s="2097"/>
      <c r="J51" s="2197"/>
      <c r="K51" s="746"/>
    </row>
    <row r="52" spans="1:20" ht="21.75" customHeight="1" x14ac:dyDescent="0.2">
      <c r="A52" s="1493" t="s">
        <v>6245</v>
      </c>
      <c r="B52" s="1499">
        <v>45508</v>
      </c>
      <c r="C52" s="1499"/>
      <c r="D52" s="1496" t="s">
        <v>6618</v>
      </c>
      <c r="E52" s="1496" t="s">
        <v>6743</v>
      </c>
      <c r="F52" s="1604" t="s">
        <v>6186</v>
      </c>
      <c r="G52" s="2041">
        <v>1</v>
      </c>
      <c r="H52" s="1638">
        <v>1000</v>
      </c>
      <c r="I52" s="2209">
        <f>H52*G52</f>
        <v>1000</v>
      </c>
      <c r="J52" s="2197" t="s">
        <v>6646</v>
      </c>
      <c r="K52" s="746" t="s">
        <v>6668</v>
      </c>
    </row>
    <row r="53" spans="1:20" ht="21.75" customHeight="1" thickBot="1" x14ac:dyDescent="0.25">
      <c r="A53" s="1493"/>
      <c r="B53" s="1499"/>
      <c r="C53" s="1499"/>
      <c r="D53" s="1496"/>
      <c r="E53" s="1496"/>
      <c r="F53" s="1604"/>
      <c r="G53" s="2041"/>
      <c r="H53" s="1219"/>
      <c r="I53" s="2097"/>
      <c r="J53" s="2197"/>
      <c r="K53" s="746"/>
    </row>
    <row r="54" spans="1:20" ht="21.75" customHeight="1" thickBot="1" x14ac:dyDescent="0.25">
      <c r="A54" s="3510" t="s">
        <v>772</v>
      </c>
      <c r="B54" s="3511"/>
      <c r="C54" s="3511"/>
      <c r="D54" s="3511"/>
      <c r="E54" s="3511"/>
      <c r="F54" s="3511"/>
      <c r="G54" s="3511"/>
      <c r="H54" s="3512"/>
      <c r="I54" s="175">
        <f>I6+I8+I14+I16+I28+I33+I35+I37+I41+I43+I48+I50+I52</f>
        <v>8993.2999999999993</v>
      </c>
      <c r="J54" s="2342"/>
      <c r="K54" s="746"/>
    </row>
    <row r="55" spans="1:20" ht="21.75" customHeight="1" x14ac:dyDescent="0.2">
      <c r="A55" s="51"/>
      <c r="B55" s="1543"/>
      <c r="C55" s="1543"/>
      <c r="D55" s="717"/>
      <c r="E55" s="717"/>
      <c r="F55" s="2277"/>
      <c r="G55" s="2277"/>
      <c r="H55" s="52"/>
      <c r="I55" s="52"/>
      <c r="J55" s="2205"/>
      <c r="K55" s="746"/>
    </row>
    <row r="56" spans="1:20" ht="21.75" customHeight="1" x14ac:dyDescent="0.2">
      <c r="A56" s="51"/>
      <c r="B56" s="1543"/>
      <c r="C56" s="717" t="s">
        <v>6246</v>
      </c>
      <c r="D56" s="239">
        <f>SUMIF($J$3:$J$78,"A VISTA",$I$3:$I$78)</f>
        <v>10358.27</v>
      </c>
      <c r="F56" s="3109" t="s">
        <v>5893</v>
      </c>
      <c r="G56" s="3109"/>
      <c r="H56" s="3109"/>
      <c r="I56" s="401">
        <f>SUMIF($A$3:$A$53,"MO",$I$3:$I$53)</f>
        <v>4000</v>
      </c>
      <c r="J56" s="2216">
        <f>I56/I58</f>
        <v>0.44477555513548978</v>
      </c>
      <c r="L56" s="32"/>
      <c r="M56" s="32"/>
      <c r="N56" s="32"/>
      <c r="O56" s="32"/>
      <c r="P56" s="32"/>
      <c r="Q56" s="32"/>
      <c r="R56" s="32"/>
      <c r="S56" s="32"/>
      <c r="T56" s="32"/>
    </row>
    <row r="57" spans="1:20" ht="40.5" customHeight="1" x14ac:dyDescent="0.2">
      <c r="A57" s="24"/>
      <c r="B57" s="1543"/>
      <c r="C57" s="717" t="s">
        <v>6413</v>
      </c>
      <c r="D57" s="239">
        <f>SUMIF($J$3:$J$78,"CARTÃO EDUARDO 2X",$I$3:$I$78)</f>
        <v>1242</v>
      </c>
      <c r="E57" s="1505"/>
      <c r="F57" s="3102" t="s">
        <v>6250</v>
      </c>
      <c r="G57" s="3102"/>
      <c r="H57" s="3102"/>
      <c r="I57" s="401">
        <f>SUMIF($A$3:$A$52,"MAT",$I$3:$I$52)</f>
        <v>4993.2999999999993</v>
      </c>
      <c r="J57" s="2216">
        <f>I57/I58</f>
        <v>0.55522444486451017</v>
      </c>
      <c r="L57" s="31"/>
      <c r="M57" s="31"/>
      <c r="N57" s="31"/>
      <c r="O57" s="2107"/>
      <c r="P57" s="2107"/>
      <c r="Q57" s="2107"/>
    </row>
    <row r="58" spans="1:20" ht="21.75" customHeight="1" x14ac:dyDescent="0.2">
      <c r="A58" s="51"/>
      <c r="B58" s="1543"/>
      <c r="C58" s="32"/>
      <c r="D58" s="2206">
        <f>SUM(D56:D57)</f>
        <v>11600.27</v>
      </c>
      <c r="E58" s="1505"/>
      <c r="F58" s="3513" t="s">
        <v>772</v>
      </c>
      <c r="G58" s="3513"/>
      <c r="H58" s="3513"/>
      <c r="I58" s="231">
        <f>SUM(I56:I57)</f>
        <v>8993.2999999999993</v>
      </c>
      <c r="J58" s="2217"/>
      <c r="L58" s="1543"/>
      <c r="M58" s="1559"/>
      <c r="N58" s="51"/>
      <c r="O58" s="1870"/>
      <c r="P58" s="1870"/>
      <c r="Q58" s="1870"/>
    </row>
    <row r="59" spans="1:20" ht="21.75" customHeight="1" thickBot="1" x14ac:dyDescent="0.25">
      <c r="A59" s="24"/>
      <c r="B59" s="1543"/>
      <c r="C59" s="1543"/>
      <c r="D59" s="717"/>
      <c r="E59" s="717"/>
      <c r="F59" s="2277"/>
      <c r="G59" s="2277"/>
      <c r="H59" s="18"/>
      <c r="I59" s="18"/>
      <c r="J59" s="2263"/>
      <c r="L59" s="1543"/>
      <c r="M59" s="1559"/>
      <c r="N59" s="51"/>
      <c r="O59" s="1870"/>
      <c r="P59" s="1870"/>
      <c r="Q59" s="1870"/>
    </row>
    <row r="60" spans="1:20" ht="27" thickBot="1" x14ac:dyDescent="0.45">
      <c r="A60" s="3104" t="s">
        <v>6749</v>
      </c>
      <c r="B60" s="3105"/>
      <c r="C60" s="3105"/>
      <c r="D60" s="3105"/>
      <c r="E60" s="3105"/>
      <c r="F60" s="3105"/>
      <c r="G60" s="3105"/>
      <c r="H60" s="3105"/>
      <c r="I60" s="3105"/>
      <c r="J60" s="3509"/>
      <c r="K60" s="2084"/>
    </row>
    <row r="61" spans="1:20" ht="40.5" customHeight="1" thickBot="1" x14ac:dyDescent="0.25">
      <c r="A61" s="8" t="s">
        <v>5546</v>
      </c>
      <c r="B61" s="11" t="s">
        <v>721</v>
      </c>
      <c r="C61" s="11" t="s">
        <v>6233</v>
      </c>
      <c r="D61" s="75" t="s">
        <v>6183</v>
      </c>
      <c r="E61" s="75" t="s">
        <v>722</v>
      </c>
      <c r="F61" s="2040" t="s">
        <v>6186</v>
      </c>
      <c r="G61" s="11" t="s">
        <v>723</v>
      </c>
      <c r="H61" s="398" t="s">
        <v>724</v>
      </c>
      <c r="I61" s="2047" t="s">
        <v>725</v>
      </c>
      <c r="J61" s="75" t="s">
        <v>6227</v>
      </c>
      <c r="K61" s="32"/>
    </row>
    <row r="62" spans="1:20" ht="21.75" customHeight="1" x14ac:dyDescent="0.2">
      <c r="A62" s="2345"/>
      <c r="B62" s="2346">
        <v>45509</v>
      </c>
      <c r="C62" s="1499" t="s">
        <v>6234</v>
      </c>
      <c r="D62" s="1610" t="s">
        <v>6618</v>
      </c>
      <c r="E62" s="1610" t="s">
        <v>6750</v>
      </c>
      <c r="F62" s="2347" t="s">
        <v>6225</v>
      </c>
      <c r="G62" s="2348">
        <v>1</v>
      </c>
      <c r="H62" s="2349">
        <v>246</v>
      </c>
      <c r="I62" s="2350">
        <f>H62*G62</f>
        <v>246</v>
      </c>
      <c r="J62" s="2351"/>
      <c r="K62" s="717"/>
      <c r="L62" s="2138"/>
      <c r="M62" s="2138"/>
      <c r="N62" s="2138"/>
      <c r="O62" s="2117"/>
      <c r="P62" s="2117"/>
      <c r="Q62" s="2117"/>
    </row>
    <row r="63" spans="1:20" ht="21.75" customHeight="1" x14ac:dyDescent="0.2">
      <c r="A63" s="1493"/>
      <c r="B63" s="1499">
        <v>45509</v>
      </c>
      <c r="C63" s="1499" t="s">
        <v>6234</v>
      </c>
      <c r="D63" s="1496" t="s">
        <v>6618</v>
      </c>
      <c r="E63" s="1496" t="s">
        <v>6226</v>
      </c>
      <c r="F63" s="1604" t="s">
        <v>6186</v>
      </c>
      <c r="G63" s="2041">
        <v>4</v>
      </c>
      <c r="H63" s="1638">
        <v>37.9</v>
      </c>
      <c r="I63" s="2127">
        <f>H63*G63</f>
        <v>151.6</v>
      </c>
      <c r="J63" s="2197"/>
      <c r="K63" s="746"/>
    </row>
    <row r="64" spans="1:20" ht="21.75" customHeight="1" x14ac:dyDescent="0.2">
      <c r="A64" s="1493" t="s">
        <v>6244</v>
      </c>
      <c r="B64" s="1499"/>
      <c r="C64" s="1499"/>
      <c r="D64" s="1496"/>
      <c r="E64" s="2195" t="s">
        <v>772</v>
      </c>
      <c r="F64" s="1604"/>
      <c r="G64" s="2041"/>
      <c r="H64" s="1638"/>
      <c r="I64" s="2209">
        <f>SUM(I62:I63)</f>
        <v>397.6</v>
      </c>
      <c r="J64" s="2197" t="s">
        <v>6646</v>
      </c>
      <c r="K64" s="746" t="s">
        <v>6668</v>
      </c>
    </row>
    <row r="65" spans="1:17" ht="21.75" customHeight="1" x14ac:dyDescent="0.2">
      <c r="A65" s="2380"/>
      <c r="B65" s="2381"/>
      <c r="C65" s="2381"/>
      <c r="D65" s="2382"/>
      <c r="E65" s="2383"/>
      <c r="F65" s="2384"/>
      <c r="G65" s="2385"/>
      <c r="H65" s="2386"/>
      <c r="I65" s="2387"/>
      <c r="J65" s="2388"/>
      <c r="K65" s="746"/>
    </row>
    <row r="66" spans="1:17" ht="21.75" customHeight="1" x14ac:dyDescent="0.2">
      <c r="A66" s="1493"/>
      <c r="B66" s="1499">
        <v>45511</v>
      </c>
      <c r="C66" s="1499" t="s">
        <v>6234</v>
      </c>
      <c r="D66" s="1496" t="s">
        <v>6618</v>
      </c>
      <c r="E66" s="1496" t="s">
        <v>6226</v>
      </c>
      <c r="F66" s="1604" t="s">
        <v>6186</v>
      </c>
      <c r="G66" s="2041">
        <v>3</v>
      </c>
      <c r="H66" s="1638">
        <v>35.700000000000003</v>
      </c>
      <c r="I66" s="2127">
        <f>H66*G66</f>
        <v>107.10000000000001</v>
      </c>
      <c r="J66" s="2197"/>
      <c r="K66" s="717"/>
      <c r="L66" s="2138"/>
      <c r="M66" s="2138"/>
      <c r="N66" s="2138"/>
      <c r="O66" s="2117"/>
      <c r="P66" s="2117"/>
      <c r="Q66" s="2117"/>
    </row>
    <row r="67" spans="1:17" ht="21.75" customHeight="1" x14ac:dyDescent="0.2">
      <c r="A67" s="1493"/>
      <c r="B67" s="1499">
        <v>45511</v>
      </c>
      <c r="C67" s="1499" t="s">
        <v>6234</v>
      </c>
      <c r="D67" s="1496" t="s">
        <v>6618</v>
      </c>
      <c r="E67" s="1496" t="s">
        <v>6763</v>
      </c>
      <c r="F67" s="1604" t="s">
        <v>6186</v>
      </c>
      <c r="G67" s="2041">
        <v>3</v>
      </c>
      <c r="H67" s="1638">
        <v>7.4</v>
      </c>
      <c r="I67" s="2127">
        <f>H67*G67</f>
        <v>22.200000000000003</v>
      </c>
      <c r="J67" s="2197"/>
      <c r="K67" s="746"/>
    </row>
    <row r="68" spans="1:17" ht="21.75" customHeight="1" x14ac:dyDescent="0.2">
      <c r="A68" s="1494"/>
      <c r="B68" s="1499">
        <v>45511</v>
      </c>
      <c r="C68" s="1490" t="s">
        <v>6234</v>
      </c>
      <c r="D68" s="1491" t="s">
        <v>6618</v>
      </c>
      <c r="E68" s="1491" t="s">
        <v>6764</v>
      </c>
      <c r="F68" s="1604" t="s">
        <v>6186</v>
      </c>
      <c r="G68" s="2132">
        <v>3</v>
      </c>
      <c r="H68" s="1635">
        <v>21</v>
      </c>
      <c r="I68" s="2379">
        <f>H68*G68</f>
        <v>63</v>
      </c>
      <c r="J68" s="2378"/>
      <c r="K68" s="717"/>
      <c r="L68" s="2138"/>
      <c r="M68" s="2138"/>
      <c r="N68" s="2138"/>
      <c r="O68" s="2117"/>
      <c r="P68" s="2117"/>
      <c r="Q68" s="2117"/>
    </row>
    <row r="69" spans="1:17" ht="21.75" customHeight="1" x14ac:dyDescent="0.2">
      <c r="A69" s="1493"/>
      <c r="B69" s="1499">
        <v>45511</v>
      </c>
      <c r="C69" s="1499" t="s">
        <v>6234</v>
      </c>
      <c r="D69" s="1496" t="s">
        <v>6618</v>
      </c>
      <c r="E69" s="1496" t="s">
        <v>6765</v>
      </c>
      <c r="F69" s="1604" t="s">
        <v>6186</v>
      </c>
      <c r="G69" s="2041">
        <v>1</v>
      </c>
      <c r="H69" s="1638">
        <v>98.95</v>
      </c>
      <c r="I69" s="2127">
        <f>H69*G69</f>
        <v>98.95</v>
      </c>
      <c r="J69" s="2197"/>
      <c r="K69" s="746"/>
    </row>
    <row r="70" spans="1:17" ht="21.75" customHeight="1" x14ac:dyDescent="0.2">
      <c r="A70" s="1493"/>
      <c r="B70" s="1499">
        <v>45511</v>
      </c>
      <c r="C70" s="1499" t="s">
        <v>6234</v>
      </c>
      <c r="D70" s="1496" t="s">
        <v>6618</v>
      </c>
      <c r="E70" s="1496" t="s">
        <v>6766</v>
      </c>
      <c r="F70" s="1604" t="s">
        <v>6186</v>
      </c>
      <c r="G70" s="2041">
        <v>6</v>
      </c>
      <c r="H70" s="1638">
        <v>3.02</v>
      </c>
      <c r="I70" s="2127">
        <f>H70*G70</f>
        <v>18.12</v>
      </c>
      <c r="J70" s="2197"/>
      <c r="K70" s="746"/>
    </row>
    <row r="71" spans="1:17" ht="21.75" customHeight="1" x14ac:dyDescent="0.2">
      <c r="A71" s="1493" t="s">
        <v>6244</v>
      </c>
      <c r="B71" s="1499"/>
      <c r="C71" s="1499"/>
      <c r="D71" s="1496"/>
      <c r="E71" s="2195" t="s">
        <v>772</v>
      </c>
      <c r="F71" s="1604"/>
      <c r="G71" s="2041"/>
      <c r="H71" s="1638"/>
      <c r="I71" s="2209">
        <f>SUM(I66:I70)</f>
        <v>309.37</v>
      </c>
      <c r="J71" s="2197" t="s">
        <v>6646</v>
      </c>
      <c r="K71" s="746" t="s">
        <v>6651</v>
      </c>
    </row>
    <row r="72" spans="1:17" ht="21.75" customHeight="1" x14ac:dyDescent="0.2">
      <c r="A72" s="1493"/>
      <c r="B72" s="1499"/>
      <c r="C72" s="1499"/>
      <c r="D72" s="1496"/>
      <c r="E72" s="2195"/>
      <c r="F72" s="1604"/>
      <c r="G72" s="2041"/>
      <c r="H72" s="1638"/>
      <c r="I72" s="2209"/>
      <c r="J72" s="2197"/>
      <c r="K72" s="746"/>
    </row>
    <row r="73" spans="1:17" ht="21.75" customHeight="1" x14ac:dyDescent="0.2">
      <c r="A73" s="1493" t="s">
        <v>6245</v>
      </c>
      <c r="B73" s="1499">
        <v>45509</v>
      </c>
      <c r="C73" s="1499"/>
      <c r="D73" s="1496" t="s">
        <v>6618</v>
      </c>
      <c r="E73" s="1496" t="s">
        <v>6703</v>
      </c>
      <c r="F73" s="1604" t="s">
        <v>6186</v>
      </c>
      <c r="G73" s="2041">
        <v>1</v>
      </c>
      <c r="H73" s="1638">
        <v>1900</v>
      </c>
      <c r="I73" s="2209">
        <f>H73*G73</f>
        <v>1900</v>
      </c>
      <c r="J73" s="2197" t="s">
        <v>6646</v>
      </c>
      <c r="K73" s="746" t="s">
        <v>6668</v>
      </c>
    </row>
    <row r="74" spans="1:17" ht="21.75" customHeight="1" thickBot="1" x14ac:dyDescent="0.25">
      <c r="A74" s="1504"/>
      <c r="B74" s="1500"/>
      <c r="C74" s="1500"/>
      <c r="D74" s="1501"/>
      <c r="E74" s="1501"/>
      <c r="F74" s="1609"/>
      <c r="G74" s="2234"/>
      <c r="H74" s="2235"/>
      <c r="I74" s="2236"/>
      <c r="J74" s="2352"/>
      <c r="K74" s="746"/>
    </row>
    <row r="75" spans="1:17" ht="21.75" customHeight="1" thickBot="1" x14ac:dyDescent="0.25">
      <c r="A75" s="3510" t="s">
        <v>772</v>
      </c>
      <c r="B75" s="3511"/>
      <c r="C75" s="3511"/>
      <c r="D75" s="3511"/>
      <c r="E75" s="3511"/>
      <c r="F75" s="3511"/>
      <c r="G75" s="3511"/>
      <c r="H75" s="3512"/>
      <c r="I75" s="175">
        <f>I64+I71+I73</f>
        <v>2606.9700000000003</v>
      </c>
      <c r="J75" s="2342"/>
      <c r="K75" s="746"/>
    </row>
    <row r="76" spans="1:17" ht="21.75" customHeight="1" x14ac:dyDescent="0.2">
      <c r="A76" s="51"/>
      <c r="B76" s="1543"/>
      <c r="C76" s="1543"/>
      <c r="D76" s="717"/>
      <c r="E76" s="358"/>
      <c r="F76" s="2277"/>
      <c r="G76" s="2277"/>
      <c r="H76" s="1870"/>
      <c r="I76" s="2116"/>
      <c r="J76" s="2205"/>
      <c r="K76" s="746"/>
    </row>
    <row r="77" spans="1:17" ht="21.75" customHeight="1" x14ac:dyDescent="0.2">
      <c r="A77" s="51"/>
      <c r="B77" s="1543"/>
      <c r="C77" s="1543"/>
      <c r="D77" s="717"/>
      <c r="E77" s="717"/>
      <c r="F77" s="2277"/>
      <c r="G77" s="2277"/>
      <c r="H77" s="52"/>
      <c r="I77" s="52"/>
      <c r="J77" s="2205"/>
      <c r="K77" s="746"/>
    </row>
    <row r="78" spans="1:17" ht="21.75" customHeight="1" thickBot="1" x14ac:dyDescent="0.25">
      <c r="A78" s="24"/>
      <c r="B78" s="1543"/>
      <c r="C78" s="1543"/>
      <c r="D78" s="717"/>
      <c r="E78" s="717"/>
      <c r="F78" s="2279"/>
      <c r="G78" s="2279"/>
      <c r="H78" s="18"/>
      <c r="I78" s="18"/>
      <c r="J78" s="2263"/>
      <c r="L78" s="1543"/>
      <c r="M78" s="1559"/>
      <c r="N78" s="51"/>
      <c r="O78" s="1870"/>
      <c r="P78" s="1870"/>
      <c r="Q78" s="1870"/>
    </row>
    <row r="79" spans="1:17" ht="27" thickBot="1" x14ac:dyDescent="0.45">
      <c r="A79" s="3104" t="s">
        <v>6956</v>
      </c>
      <c r="B79" s="3105"/>
      <c r="C79" s="3105"/>
      <c r="D79" s="3105"/>
      <c r="E79" s="3105"/>
      <c r="F79" s="3105"/>
      <c r="G79" s="3105"/>
      <c r="H79" s="3105"/>
      <c r="I79" s="3105"/>
      <c r="J79" s="3509"/>
      <c r="K79" s="2084"/>
    </row>
    <row r="80" spans="1:17" ht="40.5" customHeight="1" thickBot="1" x14ac:dyDescent="0.25">
      <c r="A80" s="8" t="s">
        <v>5546</v>
      </c>
      <c r="B80" s="11" t="s">
        <v>721</v>
      </c>
      <c r="C80" s="11" t="s">
        <v>6233</v>
      </c>
      <c r="D80" s="75" t="s">
        <v>6183</v>
      </c>
      <c r="E80" s="75" t="s">
        <v>722</v>
      </c>
      <c r="F80" s="2040" t="s">
        <v>6186</v>
      </c>
      <c r="G80" s="11" t="s">
        <v>723</v>
      </c>
      <c r="H80" s="398" t="s">
        <v>724</v>
      </c>
      <c r="I80" s="2047" t="s">
        <v>725</v>
      </c>
      <c r="J80" s="75" t="s">
        <v>6227</v>
      </c>
      <c r="K80" s="32"/>
    </row>
    <row r="81" spans="1:17" ht="21.75" customHeight="1" x14ac:dyDescent="0.2">
      <c r="A81" s="1493"/>
      <c r="B81" s="1499">
        <v>45582</v>
      </c>
      <c r="C81" s="1499" t="s">
        <v>798</v>
      </c>
      <c r="D81" s="1496" t="s">
        <v>5944</v>
      </c>
      <c r="E81" s="1496" t="s">
        <v>6957</v>
      </c>
      <c r="F81" s="1604" t="s">
        <v>6186</v>
      </c>
      <c r="G81" s="2041">
        <v>35</v>
      </c>
      <c r="H81" s="1638">
        <v>48.42</v>
      </c>
      <c r="I81" s="2127">
        <f>H81*G81</f>
        <v>1694.7</v>
      </c>
      <c r="J81" s="2526" t="s">
        <v>6972</v>
      </c>
      <c r="K81" s="717"/>
      <c r="L81" s="618"/>
      <c r="M81" s="618"/>
      <c r="N81" s="2524"/>
      <c r="O81" s="2117"/>
      <c r="P81" s="2117"/>
      <c r="Q81" s="2117"/>
    </row>
    <row r="82" spans="1:17" ht="21.75" customHeight="1" x14ac:dyDescent="0.2">
      <c r="A82" s="1493"/>
      <c r="B82" s="1499" t="s">
        <v>280</v>
      </c>
      <c r="C82" s="1499" t="s">
        <v>798</v>
      </c>
      <c r="D82" s="1496" t="s">
        <v>5944</v>
      </c>
      <c r="E82" s="1496" t="s">
        <v>6970</v>
      </c>
      <c r="F82" s="1604" t="s">
        <v>6225</v>
      </c>
      <c r="G82" s="2124">
        <v>72</v>
      </c>
      <c r="H82" s="1638">
        <v>1.08</v>
      </c>
      <c r="I82" s="2127">
        <f t="shared" ref="I82" si="7">H82*G82</f>
        <v>77.760000000000005</v>
      </c>
      <c r="J82" s="2526" t="s">
        <v>6972</v>
      </c>
      <c r="L82" s="2525"/>
      <c r="M82" s="2525"/>
      <c r="N82" s="2139"/>
      <c r="O82" s="1704"/>
      <c r="P82" s="1704"/>
      <c r="Q82" s="1704"/>
    </row>
    <row r="83" spans="1:17" ht="21.75" customHeight="1" x14ac:dyDescent="0.2">
      <c r="A83" s="1493"/>
      <c r="B83" s="1499"/>
      <c r="C83" s="1499" t="s">
        <v>6234</v>
      </c>
      <c r="D83" s="1496" t="s">
        <v>5944</v>
      </c>
      <c r="E83" s="1496" t="s">
        <v>6971</v>
      </c>
      <c r="F83" s="1604" t="s">
        <v>6186</v>
      </c>
      <c r="G83" s="2041">
        <v>9</v>
      </c>
      <c r="H83" s="1638">
        <v>146.25</v>
      </c>
      <c r="I83" s="2127">
        <f>H83*G83</f>
        <v>1316.25</v>
      </c>
      <c r="J83" s="2526" t="s">
        <v>6906</v>
      </c>
      <c r="K83" s="746"/>
      <c r="L83" s="2344"/>
      <c r="M83" s="2344"/>
    </row>
    <row r="84" spans="1:17" ht="21.75" customHeight="1" x14ac:dyDescent="0.2">
      <c r="A84" s="1493" t="s">
        <v>6244</v>
      </c>
      <c r="B84" s="1499"/>
      <c r="C84" s="1499"/>
      <c r="D84" s="1496"/>
      <c r="E84" s="2195" t="s">
        <v>772</v>
      </c>
      <c r="F84" s="1604"/>
      <c r="G84" s="2041"/>
      <c r="H84" s="1638"/>
      <c r="I84" s="2209">
        <f>SUM(I81:I83)</f>
        <v>3088.71</v>
      </c>
      <c r="J84" s="2197"/>
      <c r="K84" s="746"/>
    </row>
    <row r="85" spans="1:17" ht="21.75" customHeight="1" x14ac:dyDescent="0.2">
      <c r="A85" s="1493"/>
      <c r="B85" s="1499"/>
      <c r="C85" s="1499"/>
      <c r="D85" s="1496"/>
      <c r="E85" s="1496"/>
      <c r="F85" s="1604"/>
      <c r="G85" s="2041"/>
      <c r="H85" s="1219"/>
      <c r="I85" s="2097"/>
      <c r="J85" s="2197"/>
      <c r="K85" s="746"/>
    </row>
    <row r="86" spans="1:17" ht="21.75" customHeight="1" x14ac:dyDescent="0.2">
      <c r="A86" s="1493" t="s">
        <v>6245</v>
      </c>
      <c r="B86" s="1499">
        <v>45496</v>
      </c>
      <c r="C86" s="1499"/>
      <c r="D86" s="1496" t="s">
        <v>6618</v>
      </c>
      <c r="E86" s="1496" t="s">
        <v>7009</v>
      </c>
      <c r="F86" s="1604" t="s">
        <v>6186</v>
      </c>
      <c r="G86" s="2041">
        <v>1</v>
      </c>
      <c r="H86" s="1638">
        <v>1250</v>
      </c>
      <c r="I86" s="2209">
        <f>H86*G86</f>
        <v>1250</v>
      </c>
      <c r="J86" s="2197" t="s">
        <v>6646</v>
      </c>
      <c r="K86" s="746"/>
    </row>
    <row r="87" spans="1:17" ht="21.75" customHeight="1" x14ac:dyDescent="0.2">
      <c r="A87" s="1493"/>
      <c r="B87" s="1499"/>
      <c r="C87" s="1499"/>
      <c r="D87" s="1496"/>
      <c r="E87" s="1496"/>
      <c r="F87" s="1604"/>
      <c r="G87" s="2041"/>
      <c r="H87" s="1219"/>
      <c r="I87" s="2209"/>
      <c r="J87" s="2197"/>
      <c r="K87" s="746"/>
    </row>
    <row r="88" spans="1:17" ht="21.75" customHeight="1" x14ac:dyDescent="0.2">
      <c r="A88" s="1493"/>
      <c r="B88" s="1499"/>
      <c r="C88" s="1499"/>
      <c r="D88" s="1496"/>
      <c r="E88" s="1496"/>
      <c r="F88" s="1604"/>
      <c r="G88" s="2041"/>
      <c r="H88" s="1219"/>
      <c r="I88" s="2097"/>
      <c r="J88" s="2197"/>
      <c r="K88" s="746"/>
    </row>
    <row r="89" spans="1:17" ht="21.75" customHeight="1" x14ac:dyDescent="0.2">
      <c r="A89" s="1493"/>
      <c r="B89" s="1499">
        <v>45603</v>
      </c>
      <c r="C89" s="1499" t="s">
        <v>798</v>
      </c>
      <c r="D89" s="1496" t="s">
        <v>5944</v>
      </c>
      <c r="E89" s="1496" t="s">
        <v>6957</v>
      </c>
      <c r="F89" s="1604" t="s">
        <v>6186</v>
      </c>
      <c r="G89" s="2041">
        <v>3</v>
      </c>
      <c r="H89" s="1638">
        <v>63</v>
      </c>
      <c r="I89" s="2127">
        <f>H89*G89</f>
        <v>189</v>
      </c>
      <c r="J89" s="2526" t="s">
        <v>6906</v>
      </c>
      <c r="K89" s="717"/>
      <c r="L89" s="618"/>
      <c r="M89" s="618"/>
      <c r="N89" s="2524"/>
      <c r="O89" s="2117"/>
      <c r="P89" s="2117"/>
      <c r="Q89" s="2117"/>
    </row>
    <row r="90" spans="1:17" ht="21.75" customHeight="1" x14ac:dyDescent="0.2">
      <c r="A90" s="1493"/>
      <c r="B90" s="1499"/>
      <c r="C90" s="1499" t="s">
        <v>6234</v>
      </c>
      <c r="D90" s="1496" t="s">
        <v>5944</v>
      </c>
      <c r="E90" s="1496" t="s">
        <v>6971</v>
      </c>
      <c r="F90" s="1604" t="s">
        <v>6186</v>
      </c>
      <c r="G90" s="2041">
        <v>1</v>
      </c>
      <c r="H90" s="1638">
        <v>146.25</v>
      </c>
      <c r="I90" s="2127">
        <f>H90*G90</f>
        <v>146.25</v>
      </c>
      <c r="J90" s="2526" t="s">
        <v>6906</v>
      </c>
      <c r="K90" s="746"/>
      <c r="L90" s="2344"/>
      <c r="M90" s="2344"/>
    </row>
    <row r="91" spans="1:17" ht="21.75" customHeight="1" x14ac:dyDescent="0.2">
      <c r="A91" s="1493" t="s">
        <v>6244</v>
      </c>
      <c r="B91" s="1499"/>
      <c r="C91" s="1499"/>
      <c r="D91" s="1496"/>
      <c r="E91" s="2195" t="s">
        <v>772</v>
      </c>
      <c r="F91" s="1604"/>
      <c r="G91" s="2041"/>
      <c r="H91" s="1638"/>
      <c r="I91" s="2209">
        <f>SUM(I89:I90)</f>
        <v>335.25</v>
      </c>
      <c r="J91" s="2197"/>
      <c r="K91" s="746"/>
    </row>
    <row r="92" spans="1:17" ht="21.75" customHeight="1" x14ac:dyDescent="0.2">
      <c r="A92" s="1493"/>
      <c r="B92" s="1499"/>
      <c r="C92" s="1499"/>
      <c r="D92" s="1496"/>
      <c r="E92" s="1496"/>
      <c r="F92" s="1604"/>
      <c r="G92" s="2041"/>
      <c r="H92" s="1219"/>
      <c r="I92" s="2097"/>
      <c r="J92" s="2197"/>
      <c r="K92" s="746"/>
    </row>
    <row r="93" spans="1:17" ht="21.75" customHeight="1" x14ac:dyDescent="0.25">
      <c r="A93" s="1493"/>
      <c r="B93" s="1499">
        <v>45601</v>
      </c>
      <c r="C93" s="1499"/>
      <c r="D93" s="1496" t="s">
        <v>5944</v>
      </c>
      <c r="E93" s="1496" t="s">
        <v>7087</v>
      </c>
      <c r="F93" s="1604" t="s">
        <v>6186</v>
      </c>
      <c r="G93" s="2041">
        <v>1</v>
      </c>
      <c r="H93" s="1638">
        <v>460</v>
      </c>
      <c r="I93" s="2127">
        <f>H93*G93</f>
        <v>460</v>
      </c>
      <c r="J93" s="2197" t="s">
        <v>6646</v>
      </c>
      <c r="K93" s="717"/>
      <c r="L93" s="618"/>
      <c r="M93" s="3569" t="s">
        <v>7078</v>
      </c>
      <c r="N93" s="3569"/>
      <c r="O93" s="2117"/>
      <c r="P93" s="2117"/>
      <c r="Q93" s="2117"/>
    </row>
    <row r="94" spans="1:17" ht="21.75" customHeight="1" x14ac:dyDescent="0.2">
      <c r="A94" s="1493"/>
      <c r="B94" s="1499">
        <v>45604</v>
      </c>
      <c r="C94" s="1499"/>
      <c r="D94" s="1496" t="s">
        <v>5944</v>
      </c>
      <c r="E94" s="1496" t="s">
        <v>7065</v>
      </c>
      <c r="F94" s="1604" t="s">
        <v>6186</v>
      </c>
      <c r="G94" s="2041">
        <v>1</v>
      </c>
      <c r="H94" s="1638">
        <v>50</v>
      </c>
      <c r="I94" s="2127">
        <f>H94*G94</f>
        <v>50</v>
      </c>
      <c r="J94" s="2197" t="s">
        <v>6646</v>
      </c>
      <c r="K94" s="717"/>
      <c r="L94" s="618"/>
      <c r="M94" s="2532" t="s">
        <v>7086</v>
      </c>
      <c r="N94" s="2533">
        <v>460</v>
      </c>
      <c r="O94" s="2117">
        <f>N94/2</f>
        <v>230</v>
      </c>
      <c r="P94" s="2117"/>
      <c r="Q94" s="2117"/>
    </row>
    <row r="95" spans="1:17" ht="21.75" customHeight="1" x14ac:dyDescent="0.2">
      <c r="A95" s="1493" t="s">
        <v>6244</v>
      </c>
      <c r="B95" s="1499"/>
      <c r="C95" s="1499"/>
      <c r="D95" s="1496"/>
      <c r="E95" s="2195" t="s">
        <v>772</v>
      </c>
      <c r="F95" s="1604"/>
      <c r="G95" s="2041"/>
      <c r="H95" s="1638"/>
      <c r="I95" s="2209">
        <f>SUM(I93:I94)</f>
        <v>510</v>
      </c>
      <c r="J95" s="2197"/>
      <c r="K95" s="746"/>
      <c r="M95" s="2534" t="s">
        <v>6404</v>
      </c>
      <c r="N95" s="1698">
        <v>406</v>
      </c>
      <c r="O95" s="2117">
        <f t="shared" ref="O95:O96" si="8">N95/2</f>
        <v>203</v>
      </c>
    </row>
    <row r="96" spans="1:17" ht="21.75" customHeight="1" x14ac:dyDescent="0.2">
      <c r="A96" s="1493"/>
      <c r="B96" s="1499"/>
      <c r="C96" s="1499"/>
      <c r="D96" s="1496"/>
      <c r="E96" s="1496"/>
      <c r="F96" s="1604"/>
      <c r="G96" s="2041"/>
      <c r="H96" s="1219"/>
      <c r="I96" s="2127"/>
      <c r="J96" s="2197"/>
      <c r="K96" s="746"/>
      <c r="M96" s="2534" t="s">
        <v>7080</v>
      </c>
      <c r="N96" s="1698">
        <v>1500</v>
      </c>
      <c r="O96" s="2117">
        <f t="shared" si="8"/>
        <v>750</v>
      </c>
    </row>
    <row r="97" spans="1:20" ht="21.75" customHeight="1" x14ac:dyDescent="0.2">
      <c r="A97" s="1493"/>
      <c r="B97" s="1499"/>
      <c r="C97" s="1499"/>
      <c r="D97" s="1496"/>
      <c r="E97" s="1496"/>
      <c r="F97" s="1604"/>
      <c r="G97" s="2124"/>
      <c r="H97" s="1638"/>
      <c r="I97" s="2209"/>
      <c r="J97" s="2197"/>
      <c r="K97" s="746"/>
      <c r="M97" s="2535" t="s">
        <v>361</v>
      </c>
      <c r="N97" s="2531">
        <f>SUM(N94:N96)</f>
        <v>2366</v>
      </c>
    </row>
    <row r="98" spans="1:20" ht="21.75" customHeight="1" x14ac:dyDescent="0.2">
      <c r="A98" s="1493" t="s">
        <v>6244</v>
      </c>
      <c r="B98" s="1499">
        <v>45603</v>
      </c>
      <c r="C98" s="1499"/>
      <c r="D98" s="1496" t="s">
        <v>5944</v>
      </c>
      <c r="E98" s="1496" t="s">
        <v>7074</v>
      </c>
      <c r="F98" s="1604" t="s">
        <v>6186</v>
      </c>
      <c r="G98" s="2041">
        <v>1</v>
      </c>
      <c r="H98" s="1638">
        <v>406</v>
      </c>
      <c r="I98" s="2209">
        <f>H98*G98</f>
        <v>406</v>
      </c>
      <c r="J98" s="2197" t="s">
        <v>6646</v>
      </c>
      <c r="K98" s="717"/>
      <c r="L98" s="618"/>
      <c r="M98" s="2536" t="s">
        <v>7081</v>
      </c>
      <c r="N98" s="2537">
        <f>N97/2</f>
        <v>1183</v>
      </c>
      <c r="O98" s="2117"/>
      <c r="P98" s="2117"/>
      <c r="Q98" s="2117"/>
    </row>
    <row r="99" spans="1:20" ht="21.75" customHeight="1" x14ac:dyDescent="0.2">
      <c r="A99" s="1493"/>
      <c r="B99" s="1499"/>
      <c r="C99" s="1499"/>
      <c r="D99" s="1496"/>
      <c r="E99" s="2195" t="s">
        <v>772</v>
      </c>
      <c r="F99" s="1604"/>
      <c r="G99" s="2041"/>
      <c r="H99" s="1638"/>
      <c r="I99" s="2209"/>
      <c r="J99" s="2197"/>
      <c r="K99" s="746"/>
    </row>
    <row r="100" spans="1:20" ht="21.75" customHeight="1" x14ac:dyDescent="0.25">
      <c r="A100" s="1493"/>
      <c r="B100" s="1499"/>
      <c r="C100" s="1499"/>
      <c r="D100" s="1496"/>
      <c r="E100" s="1496"/>
      <c r="F100" s="1604"/>
      <c r="G100" s="2041"/>
      <c r="H100" s="1219"/>
      <c r="I100" s="2127"/>
      <c r="J100" s="2197"/>
      <c r="K100" s="746"/>
      <c r="M100" s="3570" t="s">
        <v>7079</v>
      </c>
      <c r="N100" s="3570"/>
    </row>
    <row r="101" spans="1:20" ht="21.75" customHeight="1" x14ac:dyDescent="0.2">
      <c r="A101" s="1493" t="s">
        <v>6245</v>
      </c>
      <c r="B101" s="1499">
        <v>45608</v>
      </c>
      <c r="C101" s="1499"/>
      <c r="D101" s="1496" t="s">
        <v>6618</v>
      </c>
      <c r="E101" s="1496" t="s">
        <v>7066</v>
      </c>
      <c r="F101" s="1604" t="s">
        <v>6186</v>
      </c>
      <c r="G101" s="2041">
        <v>1</v>
      </c>
      <c r="H101" s="1638">
        <v>1250</v>
      </c>
      <c r="I101" s="2209">
        <f>H101*G101</f>
        <v>1250</v>
      </c>
      <c r="J101" s="2197" t="s">
        <v>6646</v>
      </c>
      <c r="K101" s="2530"/>
      <c r="M101" s="2539" t="s">
        <v>6911</v>
      </c>
      <c r="N101" s="2538">
        <v>958.33333333333337</v>
      </c>
    </row>
    <row r="102" spans="1:20" ht="21.75" customHeight="1" x14ac:dyDescent="0.2">
      <c r="A102" s="1493"/>
      <c r="B102" s="1499"/>
      <c r="C102" s="1499"/>
      <c r="D102" s="1496"/>
      <c r="E102" s="1496"/>
      <c r="F102" s="1604"/>
      <c r="G102" s="2041"/>
      <c r="H102" s="1219"/>
      <c r="I102" s="2127"/>
      <c r="J102" s="2197"/>
      <c r="K102" s="746"/>
      <c r="M102" s="2534" t="s">
        <v>7075</v>
      </c>
      <c r="N102" s="2538">
        <v>886.29499999999996</v>
      </c>
    </row>
    <row r="103" spans="1:20" ht="21.75" customHeight="1" x14ac:dyDescent="0.2">
      <c r="A103" s="1493" t="s">
        <v>6245</v>
      </c>
      <c r="B103" s="1499">
        <v>45608</v>
      </c>
      <c r="C103" s="1499"/>
      <c r="D103" s="1496" t="s">
        <v>6618</v>
      </c>
      <c r="E103" s="1496" t="s">
        <v>7068</v>
      </c>
      <c r="F103" s="1604" t="s">
        <v>6186</v>
      </c>
      <c r="G103" s="2041">
        <v>1</v>
      </c>
      <c r="H103" s="1638">
        <v>250</v>
      </c>
      <c r="I103" s="2209">
        <f>H103*G103</f>
        <v>250</v>
      </c>
      <c r="J103" s="2197" t="s">
        <v>6646</v>
      </c>
      <c r="K103" s="2530"/>
      <c r="M103" s="2534" t="s">
        <v>7076</v>
      </c>
      <c r="N103" s="2232">
        <v>1316.25</v>
      </c>
    </row>
    <row r="104" spans="1:20" ht="21.75" customHeight="1" thickBot="1" x14ac:dyDescent="0.25">
      <c r="A104" s="1493"/>
      <c r="B104" s="1499"/>
      <c r="C104" s="1499"/>
      <c r="D104" s="1496"/>
      <c r="E104" s="1496"/>
      <c r="F104" s="1604"/>
      <c r="G104" s="2041"/>
      <c r="H104" s="1638"/>
      <c r="I104" s="2209"/>
      <c r="J104" s="2197"/>
      <c r="K104" s="746"/>
      <c r="M104" s="2534" t="s">
        <v>7077</v>
      </c>
      <c r="N104" s="2232">
        <v>335.25</v>
      </c>
    </row>
    <row r="105" spans="1:20" ht="21.75" customHeight="1" thickBot="1" x14ac:dyDescent="0.25">
      <c r="A105" s="3510" t="s">
        <v>772</v>
      </c>
      <c r="B105" s="3511"/>
      <c r="C105" s="3511"/>
      <c r="D105" s="3511"/>
      <c r="E105" s="3511"/>
      <c r="F105" s="3511"/>
      <c r="G105" s="3511"/>
      <c r="H105" s="3512"/>
      <c r="I105" s="175">
        <f>I84+I86+I101+I91+I98+I95+I103</f>
        <v>7089.96</v>
      </c>
      <c r="J105" s="2342"/>
      <c r="K105" s="746"/>
      <c r="M105" s="2535" t="s">
        <v>361</v>
      </c>
      <c r="N105" s="1734">
        <f>SUM(N101:N104)</f>
        <v>3496.1283333333331</v>
      </c>
    </row>
    <row r="106" spans="1:20" ht="21.75" customHeight="1" x14ac:dyDescent="0.2">
      <c r="A106" s="51"/>
      <c r="B106" s="1543"/>
      <c r="C106" s="1543"/>
      <c r="D106" s="717"/>
      <c r="E106" s="717"/>
      <c r="F106" s="2277"/>
      <c r="G106" s="2277"/>
      <c r="H106" s="52"/>
      <c r="I106" s="52"/>
      <c r="J106" s="2205"/>
      <c r="K106" s="746"/>
      <c r="M106" s="2540" t="s">
        <v>7081</v>
      </c>
      <c r="N106" s="2541">
        <f>N105/2</f>
        <v>1748.0641666666666</v>
      </c>
    </row>
    <row r="107" spans="1:20" ht="22.5" customHeight="1" x14ac:dyDescent="0.2">
      <c r="A107" s="51"/>
      <c r="B107" s="1543"/>
      <c r="C107" s="717"/>
      <c r="D107" s="239"/>
      <c r="F107" s="3109" t="s">
        <v>5893</v>
      </c>
      <c r="G107" s="3109"/>
      <c r="H107" s="3109"/>
      <c r="I107" s="401">
        <f>SUMIF($A$81:$A$104,"MO",$I$81:$I$104)</f>
        <v>2750</v>
      </c>
      <c r="J107" s="2216">
        <f>I107/I109</f>
        <v>0.38787242805319072</v>
      </c>
      <c r="L107" s="32"/>
      <c r="O107" s="32"/>
      <c r="P107" s="32"/>
      <c r="Q107" s="32"/>
      <c r="R107" s="32"/>
      <c r="S107" s="32"/>
      <c r="T107" s="32"/>
    </row>
    <row r="108" spans="1:20" ht="22.5" customHeight="1" x14ac:dyDescent="0.2">
      <c r="A108" s="24"/>
      <c r="B108" s="1543"/>
      <c r="C108" s="717"/>
      <c r="D108" s="239"/>
      <c r="E108" s="1505"/>
      <c r="F108" s="3102" t="s">
        <v>6250</v>
      </c>
      <c r="G108" s="3102"/>
      <c r="H108" s="3102"/>
      <c r="I108" s="401">
        <f>SUMIF($A$81:$A$104,"MAT",$I$81:$I$104)</f>
        <v>4339.96</v>
      </c>
      <c r="J108" s="2216">
        <f>I108/I109</f>
        <v>0.61212757194680933</v>
      </c>
      <c r="L108" s="31"/>
      <c r="M108" s="2542" t="s">
        <v>7082</v>
      </c>
      <c r="N108" s="2543">
        <f>N106-N98</f>
        <v>565.06416666666655</v>
      </c>
      <c r="O108" s="2107"/>
      <c r="P108" s="2107"/>
      <c r="Q108" s="2107"/>
    </row>
    <row r="109" spans="1:20" ht="21.75" customHeight="1" x14ac:dyDescent="0.2">
      <c r="A109" s="51"/>
      <c r="B109" s="1543"/>
      <c r="C109" s="32"/>
      <c r="D109" s="2206"/>
      <c r="E109" s="1505"/>
      <c r="F109" s="3513" t="s">
        <v>772</v>
      </c>
      <c r="G109" s="3513"/>
      <c r="H109" s="3513"/>
      <c r="I109" s="231">
        <f>SUM(I107:I108)</f>
        <v>7089.96</v>
      </c>
      <c r="J109" s="2217"/>
      <c r="L109" s="1543"/>
      <c r="M109" s="1559"/>
      <c r="N109" s="51"/>
      <c r="O109" s="1870"/>
      <c r="P109" s="1870"/>
      <c r="Q109" s="1870"/>
    </row>
    <row r="110" spans="1:20" ht="21.75" customHeight="1" x14ac:dyDescent="0.2">
      <c r="L110" s="1543"/>
      <c r="M110" s="1559"/>
      <c r="N110" s="51"/>
      <c r="O110" s="2269"/>
      <c r="P110" s="2269"/>
      <c r="Q110" s="2269"/>
    </row>
    <row r="111" spans="1:20" ht="21.75" customHeight="1" thickBot="1" x14ac:dyDescent="0.25">
      <c r="A111" s="24"/>
      <c r="B111" s="717"/>
      <c r="C111" s="717"/>
      <c r="D111" s="717"/>
      <c r="E111" s="717"/>
      <c r="F111" s="1606"/>
      <c r="G111" s="1606"/>
      <c r="H111" s="1"/>
      <c r="I111" s="1"/>
      <c r="L111" s="2113"/>
      <c r="M111" s="2114"/>
      <c r="N111" s="512"/>
      <c r="O111" s="1140"/>
      <c r="P111" s="1140"/>
      <c r="Q111" s="1140"/>
    </row>
    <row r="112" spans="1:20" ht="27" thickBot="1" x14ac:dyDescent="0.45">
      <c r="A112" s="3104" t="s">
        <v>7146</v>
      </c>
      <c r="B112" s="3105"/>
      <c r="C112" s="3105"/>
      <c r="D112" s="3105"/>
      <c r="E112" s="3105"/>
      <c r="F112" s="3105"/>
      <c r="G112" s="3105"/>
      <c r="H112" s="3105"/>
      <c r="I112" s="3105"/>
      <c r="J112" s="3509"/>
      <c r="K112" s="2084"/>
    </row>
    <row r="113" spans="1:17" ht="40.5" customHeight="1" thickBot="1" x14ac:dyDescent="0.25">
      <c r="A113" s="8" t="s">
        <v>5546</v>
      </c>
      <c r="B113" s="11" t="s">
        <v>721</v>
      </c>
      <c r="C113" s="11" t="s">
        <v>6233</v>
      </c>
      <c r="D113" s="75" t="s">
        <v>6183</v>
      </c>
      <c r="E113" s="75" t="s">
        <v>722</v>
      </c>
      <c r="F113" s="2040" t="s">
        <v>6186</v>
      </c>
      <c r="G113" s="11" t="s">
        <v>723</v>
      </c>
      <c r="H113" s="398" t="s">
        <v>724</v>
      </c>
      <c r="I113" s="2047" t="s">
        <v>725</v>
      </c>
      <c r="J113" s="75" t="s">
        <v>6227</v>
      </c>
      <c r="K113" s="32"/>
    </row>
    <row r="114" spans="1:17" ht="21.75" customHeight="1" x14ac:dyDescent="0.2">
      <c r="A114" s="1493"/>
      <c r="B114" s="1499">
        <v>45631</v>
      </c>
      <c r="C114" s="1499" t="s">
        <v>7153</v>
      </c>
      <c r="D114" s="1496" t="s">
        <v>7145</v>
      </c>
      <c r="E114" s="1496" t="s">
        <v>7147</v>
      </c>
      <c r="F114" s="1604" t="s">
        <v>6186</v>
      </c>
      <c r="G114" s="2041">
        <v>12</v>
      </c>
      <c r="H114" s="1638">
        <v>24</v>
      </c>
      <c r="I114" s="2127">
        <f t="shared" ref="I114:I116" si="9">H114*G114</f>
        <v>288</v>
      </c>
      <c r="J114" s="2526"/>
      <c r="K114" s="717"/>
      <c r="L114" s="618"/>
      <c r="M114" s="618"/>
      <c r="N114" s="2524"/>
      <c r="O114" s="2117"/>
      <c r="P114" s="2117"/>
      <c r="Q114" s="2117"/>
    </row>
    <row r="115" spans="1:17" ht="21.75" customHeight="1" x14ac:dyDescent="0.2">
      <c r="A115" s="1493"/>
      <c r="B115" s="1499">
        <v>45631</v>
      </c>
      <c r="C115" s="1499" t="s">
        <v>7153</v>
      </c>
      <c r="D115" s="1496" t="s">
        <v>7145</v>
      </c>
      <c r="E115" s="1496" t="s">
        <v>7148</v>
      </c>
      <c r="F115" s="1604" t="s">
        <v>6225</v>
      </c>
      <c r="G115" s="2041">
        <v>3.6</v>
      </c>
      <c r="H115" s="1638">
        <v>24</v>
      </c>
      <c r="I115" s="2127">
        <f t="shared" si="9"/>
        <v>86.4</v>
      </c>
      <c r="J115" s="2526"/>
      <c r="L115" s="2525"/>
      <c r="M115" s="2525"/>
      <c r="N115" s="2139"/>
      <c r="O115" s="1704"/>
      <c r="P115" s="1704"/>
      <c r="Q115" s="1704"/>
    </row>
    <row r="116" spans="1:17" ht="21.75" customHeight="1" x14ac:dyDescent="0.2">
      <c r="A116" s="1493"/>
      <c r="B116" s="1499">
        <v>45631</v>
      </c>
      <c r="C116" s="1499" t="s">
        <v>7153</v>
      </c>
      <c r="D116" s="1496" t="s">
        <v>7145</v>
      </c>
      <c r="E116" s="1496" t="s">
        <v>7149</v>
      </c>
      <c r="F116" s="1604" t="s">
        <v>6186</v>
      </c>
      <c r="G116" s="2041">
        <v>4</v>
      </c>
      <c r="H116" s="1638">
        <v>24</v>
      </c>
      <c r="I116" s="2127">
        <f t="shared" si="9"/>
        <v>96</v>
      </c>
      <c r="J116" s="2526"/>
      <c r="K116" s="746"/>
      <c r="L116" s="2344"/>
      <c r="M116" s="2344"/>
    </row>
    <row r="117" spans="1:17" ht="21.75" customHeight="1" x14ac:dyDescent="0.2">
      <c r="A117" s="1493" t="s">
        <v>6244</v>
      </c>
      <c r="B117" s="1499"/>
      <c r="C117" s="1499"/>
      <c r="D117" s="1496"/>
      <c r="E117" s="2195" t="s">
        <v>772</v>
      </c>
      <c r="F117" s="1604"/>
      <c r="G117" s="2041"/>
      <c r="H117" s="1638"/>
      <c r="I117" s="2209">
        <f>SUM(I114:I116)</f>
        <v>470.4</v>
      </c>
      <c r="J117" s="2197"/>
      <c r="K117" s="746"/>
    </row>
    <row r="118" spans="1:17" ht="21.75" customHeight="1" x14ac:dyDescent="0.2">
      <c r="A118" s="1493"/>
      <c r="B118" s="1499"/>
      <c r="C118" s="1499"/>
      <c r="D118" s="1496"/>
      <c r="E118" s="1496"/>
      <c r="F118" s="1604"/>
      <c r="G118" s="2041"/>
      <c r="H118" s="1219"/>
      <c r="I118" s="2097"/>
      <c r="J118" s="2197"/>
      <c r="K118" s="746"/>
    </row>
    <row r="119" spans="1:17" ht="21.75" customHeight="1" x14ac:dyDescent="0.2">
      <c r="A119" s="1493"/>
      <c r="B119" s="1499">
        <v>45631</v>
      </c>
      <c r="C119" s="1499" t="s">
        <v>6234</v>
      </c>
      <c r="D119" s="1496" t="s">
        <v>7145</v>
      </c>
      <c r="E119" s="1496" t="s">
        <v>7154</v>
      </c>
      <c r="F119" s="1604" t="s">
        <v>6186</v>
      </c>
      <c r="G119" s="2041">
        <v>9</v>
      </c>
      <c r="H119" s="1638">
        <v>25.5</v>
      </c>
      <c r="I119" s="2127">
        <f t="shared" ref="I119:I122" si="10">H119*G119</f>
        <v>229.5</v>
      </c>
      <c r="J119" s="2526"/>
      <c r="K119" s="746"/>
      <c r="L119" s="2344"/>
      <c r="M119" s="2344"/>
    </row>
    <row r="120" spans="1:17" ht="21.75" customHeight="1" x14ac:dyDescent="0.2">
      <c r="A120" s="1493"/>
      <c r="B120" s="1499">
        <v>45631</v>
      </c>
      <c r="C120" s="1499" t="s">
        <v>6234</v>
      </c>
      <c r="D120" s="1496" t="s">
        <v>7145</v>
      </c>
      <c r="E120" s="1496" t="s">
        <v>7150</v>
      </c>
      <c r="F120" s="1604" t="s">
        <v>6186</v>
      </c>
      <c r="G120" s="2041">
        <v>2</v>
      </c>
      <c r="H120" s="1638">
        <v>19</v>
      </c>
      <c r="I120" s="2127">
        <f t="shared" si="10"/>
        <v>38</v>
      </c>
      <c r="J120" s="2526"/>
      <c r="K120" s="746"/>
      <c r="L120" s="2344"/>
      <c r="M120" s="2344"/>
    </row>
    <row r="121" spans="1:17" ht="21.75" customHeight="1" x14ac:dyDescent="0.2">
      <c r="A121" s="1493"/>
      <c r="B121" s="1499">
        <v>45631</v>
      </c>
      <c r="C121" s="1499" t="s">
        <v>6234</v>
      </c>
      <c r="D121" s="1496" t="s">
        <v>7145</v>
      </c>
      <c r="E121" s="1496" t="s">
        <v>7152</v>
      </c>
      <c r="F121" s="1604" t="s">
        <v>6186</v>
      </c>
      <c r="G121" s="2041">
        <v>1</v>
      </c>
      <c r="H121" s="1638">
        <v>18</v>
      </c>
      <c r="I121" s="2127">
        <f t="shared" ref="I121" si="11">H121*G121</f>
        <v>18</v>
      </c>
      <c r="J121" s="2526"/>
      <c r="K121" s="746"/>
      <c r="L121" s="2344"/>
      <c r="M121" s="2344"/>
    </row>
    <row r="122" spans="1:17" ht="21.75" customHeight="1" x14ac:dyDescent="0.2">
      <c r="A122" s="1493"/>
      <c r="B122" s="1499">
        <v>45631</v>
      </c>
      <c r="C122" s="1499" t="s">
        <v>6234</v>
      </c>
      <c r="D122" s="1496" t="s">
        <v>7145</v>
      </c>
      <c r="E122" s="1496" t="s">
        <v>6719</v>
      </c>
      <c r="F122" s="1604" t="s">
        <v>6186</v>
      </c>
      <c r="G122" s="2041">
        <v>20</v>
      </c>
      <c r="H122" s="1638">
        <v>1.8</v>
      </c>
      <c r="I122" s="2127">
        <f t="shared" si="10"/>
        <v>36</v>
      </c>
      <c r="J122" s="2526"/>
      <c r="K122" s="746"/>
      <c r="L122" s="2344"/>
      <c r="M122" s="2344"/>
    </row>
    <row r="123" spans="1:17" ht="21.75" customHeight="1" x14ac:dyDescent="0.2">
      <c r="A123" s="1493" t="s">
        <v>6244</v>
      </c>
      <c r="B123" s="1499"/>
      <c r="C123" s="1499"/>
      <c r="D123" s="1496"/>
      <c r="E123" s="2195" t="s">
        <v>772</v>
      </c>
      <c r="F123" s="1604"/>
      <c r="G123" s="2041"/>
      <c r="H123" s="1638"/>
      <c r="I123" s="2209">
        <f>SUM(I119:I122)</f>
        <v>321.5</v>
      </c>
      <c r="J123" s="2197"/>
      <c r="K123" s="746"/>
    </row>
    <row r="124" spans="1:17" ht="21.75" customHeight="1" x14ac:dyDescent="0.2">
      <c r="A124" s="1493"/>
      <c r="B124" s="1499"/>
      <c r="C124" s="1499"/>
      <c r="D124" s="1496"/>
      <c r="E124" s="1496"/>
      <c r="F124" s="1604"/>
      <c r="G124" s="2041"/>
      <c r="H124" s="1219"/>
      <c r="I124" s="2097"/>
      <c r="J124" s="2197"/>
      <c r="K124" s="746"/>
    </row>
    <row r="125" spans="1:17" ht="21.75" customHeight="1" x14ac:dyDescent="0.2">
      <c r="A125" s="1493"/>
      <c r="B125" s="1499">
        <v>45635</v>
      </c>
      <c r="C125" s="1499" t="s">
        <v>6234</v>
      </c>
      <c r="D125" s="1496" t="s">
        <v>7145</v>
      </c>
      <c r="E125" s="1496" t="s">
        <v>7168</v>
      </c>
      <c r="F125" s="1604" t="s">
        <v>6186</v>
      </c>
      <c r="G125" s="2041">
        <v>8</v>
      </c>
      <c r="H125" s="1638">
        <v>5.0999999999999996</v>
      </c>
      <c r="I125" s="2127">
        <f t="shared" ref="I125:I127" si="12">H125*G125</f>
        <v>40.799999999999997</v>
      </c>
      <c r="J125" s="2526"/>
      <c r="K125" s="746"/>
      <c r="L125" s="2344"/>
      <c r="M125" s="2344"/>
    </row>
    <row r="126" spans="1:17" ht="21.75" customHeight="1" x14ac:dyDescent="0.2">
      <c r="A126" s="1493"/>
      <c r="B126" s="1499">
        <v>45635</v>
      </c>
      <c r="C126" s="1499" t="s">
        <v>6234</v>
      </c>
      <c r="D126" s="1496" t="s">
        <v>7145</v>
      </c>
      <c r="E126" s="1496" t="s">
        <v>757</v>
      </c>
      <c r="F126" s="1604" t="s">
        <v>6186</v>
      </c>
      <c r="G126" s="2041">
        <v>1</v>
      </c>
      <c r="H126" s="1638">
        <v>32</v>
      </c>
      <c r="I126" s="2127">
        <f t="shared" si="12"/>
        <v>32</v>
      </c>
      <c r="J126" s="2526"/>
      <c r="K126" s="746"/>
      <c r="L126" s="2344"/>
      <c r="M126" s="2344"/>
    </row>
    <row r="127" spans="1:17" ht="21.75" customHeight="1" x14ac:dyDescent="0.2">
      <c r="A127" s="1493"/>
      <c r="B127" s="1499">
        <v>45635</v>
      </c>
      <c r="C127" s="1499" t="s">
        <v>6234</v>
      </c>
      <c r="D127" s="1496" t="s">
        <v>7145</v>
      </c>
      <c r="E127" s="1496" t="s">
        <v>6719</v>
      </c>
      <c r="F127" s="1604" t="s">
        <v>6186</v>
      </c>
      <c r="G127" s="2041">
        <v>10</v>
      </c>
      <c r="H127" s="1638">
        <v>1.8</v>
      </c>
      <c r="I127" s="2127">
        <f t="shared" si="12"/>
        <v>18</v>
      </c>
      <c r="J127" s="2526"/>
      <c r="K127" s="746"/>
      <c r="L127" s="2344"/>
      <c r="M127" s="2344"/>
    </row>
    <row r="128" spans="1:17" ht="21.75" customHeight="1" x14ac:dyDescent="0.2">
      <c r="A128" s="1493" t="s">
        <v>6244</v>
      </c>
      <c r="B128" s="1499"/>
      <c r="C128" s="1499"/>
      <c r="D128" s="1496"/>
      <c r="E128" s="2195" t="s">
        <v>772</v>
      </c>
      <c r="F128" s="1604"/>
      <c r="G128" s="2041"/>
      <c r="H128" s="1638"/>
      <c r="I128" s="2209">
        <f>SUM(I125:I127)</f>
        <v>90.8</v>
      </c>
      <c r="J128" s="2197"/>
      <c r="K128" s="746"/>
    </row>
    <row r="129" spans="1:14" ht="21.75" customHeight="1" x14ac:dyDescent="0.2">
      <c r="A129" s="1493"/>
      <c r="B129" s="1499"/>
      <c r="C129" s="1499"/>
      <c r="D129" s="1496"/>
      <c r="E129" s="1496"/>
      <c r="F129" s="1604"/>
      <c r="G129" s="2041"/>
      <c r="H129" s="1219"/>
      <c r="I129" s="2097"/>
      <c r="J129" s="2197"/>
      <c r="K129" s="746"/>
    </row>
    <row r="130" spans="1:14" ht="21.75" customHeight="1" x14ac:dyDescent="0.2">
      <c r="A130" s="1493" t="s">
        <v>6245</v>
      </c>
      <c r="B130" s="1499">
        <v>45636</v>
      </c>
      <c r="C130" s="1499"/>
      <c r="D130" s="1496" t="s">
        <v>7145</v>
      </c>
      <c r="E130" s="1496" t="s">
        <v>7151</v>
      </c>
      <c r="F130" s="1604" t="s">
        <v>6186</v>
      </c>
      <c r="G130" s="2041">
        <v>1</v>
      </c>
      <c r="H130" s="1638">
        <v>950</v>
      </c>
      <c r="I130" s="2209">
        <f>H130*G130</f>
        <v>950</v>
      </c>
      <c r="J130" s="2197" t="s">
        <v>6668</v>
      </c>
      <c r="K130" s="746"/>
    </row>
    <row r="131" spans="1:14" ht="21.75" customHeight="1" x14ac:dyDescent="0.2">
      <c r="A131" s="1493"/>
      <c r="B131" s="1499"/>
      <c r="C131" s="1499"/>
      <c r="D131" s="1496"/>
      <c r="E131" s="1496"/>
      <c r="F131" s="1604"/>
      <c r="G131" s="2041"/>
      <c r="H131" s="1219"/>
      <c r="I131" s="2209"/>
      <c r="J131" s="2197"/>
      <c r="K131" s="746"/>
    </row>
    <row r="132" spans="1:14" ht="21.75" customHeight="1" x14ac:dyDescent="0.2">
      <c r="A132" s="1493"/>
      <c r="B132" s="1499"/>
      <c r="C132" s="1499"/>
      <c r="D132" s="1496"/>
      <c r="E132" s="1496"/>
      <c r="F132" s="1604"/>
      <c r="G132" s="2041"/>
      <c r="H132" s="1219"/>
      <c r="I132" s="2097"/>
      <c r="J132" s="2197"/>
      <c r="K132" s="746"/>
    </row>
    <row r="133" spans="1:14" ht="21.75" customHeight="1" x14ac:dyDescent="0.2">
      <c r="A133" s="1493" t="s">
        <v>6244</v>
      </c>
      <c r="B133" s="1499">
        <v>45638</v>
      </c>
      <c r="C133" s="1499" t="s">
        <v>7176</v>
      </c>
      <c r="D133" s="1496" t="s">
        <v>7145</v>
      </c>
      <c r="E133" s="1496" t="s">
        <v>7177</v>
      </c>
      <c r="F133" s="1604" t="s">
        <v>6186</v>
      </c>
      <c r="G133" s="2041">
        <v>1</v>
      </c>
      <c r="H133" s="1638">
        <v>110</v>
      </c>
      <c r="I133" s="2209">
        <f t="shared" ref="I133" si="13">H133*G133</f>
        <v>110</v>
      </c>
      <c r="J133" s="2526"/>
      <c r="K133" s="746"/>
      <c r="L133" s="2344"/>
      <c r="M133" s="2344"/>
    </row>
    <row r="134" spans="1:14" ht="21.75" customHeight="1" x14ac:dyDescent="0.2">
      <c r="B134" s="1499"/>
      <c r="C134" s="1499"/>
      <c r="D134" s="1496"/>
      <c r="E134" s="2195"/>
      <c r="F134" s="1604"/>
      <c r="G134" s="2041"/>
      <c r="H134" s="1638"/>
      <c r="I134" s="2209"/>
      <c r="J134" s="2197"/>
      <c r="K134" s="746"/>
    </row>
    <row r="135" spans="1:14" ht="21.75" customHeight="1" x14ac:dyDescent="0.2">
      <c r="A135" s="1493"/>
      <c r="B135" s="1499"/>
      <c r="C135" s="1499"/>
      <c r="D135" s="1496"/>
      <c r="E135" s="1496"/>
      <c r="F135" s="1604"/>
      <c r="G135" s="2041"/>
      <c r="H135" s="1219"/>
      <c r="I135" s="2097"/>
      <c r="J135" s="2197"/>
      <c r="K135" s="746"/>
    </row>
    <row r="136" spans="1:14" ht="21.75" customHeight="1" x14ac:dyDescent="0.2">
      <c r="A136" s="1493"/>
      <c r="B136" s="1499">
        <v>45639</v>
      </c>
      <c r="C136" s="1499" t="s">
        <v>6234</v>
      </c>
      <c r="D136" s="1496" t="s">
        <v>7145</v>
      </c>
      <c r="E136" s="1496" t="s">
        <v>7174</v>
      </c>
      <c r="F136" s="1604" t="s">
        <v>6186</v>
      </c>
      <c r="G136" s="2041">
        <v>20</v>
      </c>
      <c r="H136" s="1638">
        <v>5.85</v>
      </c>
      <c r="I136" s="2127">
        <f t="shared" ref="I136:I140" si="14">H136*G136</f>
        <v>117</v>
      </c>
      <c r="J136" s="2526"/>
      <c r="K136" s="746"/>
      <c r="L136" s="2344"/>
      <c r="M136" s="2344"/>
    </row>
    <row r="137" spans="1:14" ht="21.75" customHeight="1" x14ac:dyDescent="0.2">
      <c r="A137" s="1493"/>
      <c r="B137" s="1499">
        <v>45639</v>
      </c>
      <c r="C137" s="1499" t="s">
        <v>6234</v>
      </c>
      <c r="D137" s="1496" t="s">
        <v>7145</v>
      </c>
      <c r="E137" s="1496" t="s">
        <v>7175</v>
      </c>
      <c r="F137" s="1604" t="s">
        <v>6186</v>
      </c>
      <c r="G137" s="2041">
        <v>20</v>
      </c>
      <c r="H137" s="1638">
        <v>5.85</v>
      </c>
      <c r="I137" s="2127">
        <f>H137*G137</f>
        <v>117</v>
      </c>
      <c r="J137" s="2526"/>
      <c r="K137" s="746"/>
      <c r="L137" s="2344"/>
      <c r="M137" s="2344"/>
    </row>
    <row r="138" spans="1:14" ht="21.75" customHeight="1" x14ac:dyDescent="0.2">
      <c r="A138" s="1493"/>
      <c r="B138" s="1499">
        <v>45639</v>
      </c>
      <c r="C138" s="1499" t="s">
        <v>6234</v>
      </c>
      <c r="D138" s="1496" t="s">
        <v>7145</v>
      </c>
      <c r="E138" s="1496" t="s">
        <v>757</v>
      </c>
      <c r="F138" s="1604" t="s">
        <v>6186</v>
      </c>
      <c r="G138" s="2041">
        <v>5</v>
      </c>
      <c r="H138" s="1638">
        <v>33.5</v>
      </c>
      <c r="I138" s="2127">
        <f t="shared" ref="I138:I139" si="15">H138*G138</f>
        <v>167.5</v>
      </c>
      <c r="J138" s="2526"/>
      <c r="K138" s="746"/>
      <c r="L138" s="2344"/>
      <c r="M138" s="2344"/>
    </row>
    <row r="139" spans="1:14" ht="21.75" customHeight="1" x14ac:dyDescent="0.2">
      <c r="A139" s="1493"/>
      <c r="B139" s="1499">
        <v>45639</v>
      </c>
      <c r="C139" s="1499" t="s">
        <v>6234</v>
      </c>
      <c r="D139" s="1496" t="s">
        <v>7145</v>
      </c>
      <c r="E139" s="1496" t="s">
        <v>7179</v>
      </c>
      <c r="F139" s="1604" t="s">
        <v>6186</v>
      </c>
      <c r="G139" s="2041">
        <v>1</v>
      </c>
      <c r="H139" s="1638">
        <v>19.5</v>
      </c>
      <c r="I139" s="2127">
        <f t="shared" si="15"/>
        <v>19.5</v>
      </c>
      <c r="J139" s="2526"/>
      <c r="K139" s="746"/>
      <c r="L139" s="2344"/>
      <c r="M139" s="2344"/>
    </row>
    <row r="140" spans="1:14" ht="21.75" customHeight="1" x14ac:dyDescent="0.2">
      <c r="A140" s="1493"/>
      <c r="B140" s="1499">
        <v>45639</v>
      </c>
      <c r="C140" s="1499" t="s">
        <v>6234</v>
      </c>
      <c r="D140" s="1496" t="s">
        <v>7145</v>
      </c>
      <c r="E140" s="1496" t="s">
        <v>845</v>
      </c>
      <c r="F140" s="1604" t="s">
        <v>6186</v>
      </c>
      <c r="G140" s="2041">
        <v>1</v>
      </c>
      <c r="H140" s="1638">
        <v>24.5</v>
      </c>
      <c r="I140" s="2127">
        <f t="shared" si="14"/>
        <v>24.5</v>
      </c>
      <c r="J140" s="2526"/>
      <c r="K140" s="746"/>
      <c r="L140" s="2344"/>
      <c r="M140" s="2344"/>
    </row>
    <row r="141" spans="1:14" ht="21.75" customHeight="1" x14ac:dyDescent="0.2">
      <c r="A141" s="1493" t="s">
        <v>6244</v>
      </c>
      <c r="B141" s="1499"/>
      <c r="C141" s="1499"/>
      <c r="D141" s="1496"/>
      <c r="E141" s="2195" t="s">
        <v>772</v>
      </c>
      <c r="F141" s="1604"/>
      <c r="G141" s="2041"/>
      <c r="H141" s="1638"/>
      <c r="I141" s="2209">
        <f>SUM(I136:I140)</f>
        <v>445.5</v>
      </c>
      <c r="J141" s="2197"/>
      <c r="K141" s="746"/>
    </row>
    <row r="142" spans="1:14" ht="21.75" customHeight="1" x14ac:dyDescent="0.2">
      <c r="A142" s="1493"/>
      <c r="B142" s="1499"/>
      <c r="C142" s="1499"/>
      <c r="D142" s="1496"/>
      <c r="E142" s="1496"/>
      <c r="F142" s="1604"/>
      <c r="G142" s="2124"/>
      <c r="H142" s="1638"/>
      <c r="I142" s="2209"/>
      <c r="J142" s="2197"/>
      <c r="K142" s="746"/>
      <c r="M142" s="2217"/>
      <c r="N142" s="2553"/>
    </row>
    <row r="143" spans="1:14" ht="21.75" customHeight="1" x14ac:dyDescent="0.2">
      <c r="A143" s="1493"/>
      <c r="B143" s="1499">
        <v>45643</v>
      </c>
      <c r="C143" s="1499" t="s">
        <v>6234</v>
      </c>
      <c r="D143" s="1496" t="s">
        <v>7145</v>
      </c>
      <c r="E143" s="1496" t="s">
        <v>7185</v>
      </c>
      <c r="F143" s="1604" t="s">
        <v>6186</v>
      </c>
      <c r="G143" s="2041">
        <v>6</v>
      </c>
      <c r="H143" s="1638">
        <v>5.85</v>
      </c>
      <c r="I143" s="2127">
        <f t="shared" ref="I143" si="16">H143*G143</f>
        <v>35.099999999999994</v>
      </c>
      <c r="J143" s="2526"/>
      <c r="K143" s="746"/>
      <c r="L143" s="2344"/>
      <c r="M143" s="2344"/>
    </row>
    <row r="144" spans="1:14" ht="21.75" customHeight="1" x14ac:dyDescent="0.2">
      <c r="A144" s="1493"/>
      <c r="B144" s="1499">
        <v>45643</v>
      </c>
      <c r="C144" s="1499" t="s">
        <v>6234</v>
      </c>
      <c r="D144" s="1496" t="s">
        <v>7145</v>
      </c>
      <c r="E144" s="1496" t="s">
        <v>7175</v>
      </c>
      <c r="F144" s="1604" t="s">
        <v>6186</v>
      </c>
      <c r="G144" s="2041">
        <v>20</v>
      </c>
      <c r="H144" s="1638">
        <v>5.85</v>
      </c>
      <c r="I144" s="2127">
        <f>H144*G144</f>
        <v>117</v>
      </c>
      <c r="J144" s="2526"/>
      <c r="K144" s="746"/>
      <c r="L144" s="2344"/>
      <c r="M144" s="2344"/>
    </row>
    <row r="145" spans="1:20" ht="21.75" customHeight="1" x14ac:dyDescent="0.2">
      <c r="A145" s="1493"/>
      <c r="B145" s="1499">
        <v>45643</v>
      </c>
      <c r="C145" s="1499" t="s">
        <v>6234</v>
      </c>
      <c r="D145" s="1496" t="s">
        <v>7145</v>
      </c>
      <c r="E145" s="1496" t="s">
        <v>757</v>
      </c>
      <c r="F145" s="1604" t="s">
        <v>6186</v>
      </c>
      <c r="G145" s="2041">
        <v>4</v>
      </c>
      <c r="H145" s="1638">
        <v>33</v>
      </c>
      <c r="I145" s="2127">
        <f t="shared" ref="I145:I147" si="17">H145*G145</f>
        <v>132</v>
      </c>
      <c r="J145" s="2526"/>
      <c r="K145" s="746"/>
      <c r="L145" s="2344"/>
      <c r="M145" s="2344"/>
    </row>
    <row r="146" spans="1:20" ht="21.75" customHeight="1" x14ac:dyDescent="0.2">
      <c r="A146" s="1493"/>
      <c r="B146" s="1499">
        <v>45643</v>
      </c>
      <c r="C146" s="1499" t="s">
        <v>6234</v>
      </c>
      <c r="D146" s="1496" t="s">
        <v>7145</v>
      </c>
      <c r="E146" s="1496" t="s">
        <v>7186</v>
      </c>
      <c r="F146" s="1604" t="s">
        <v>6186</v>
      </c>
      <c r="G146" s="2041">
        <v>8</v>
      </c>
      <c r="H146" s="1638">
        <v>16</v>
      </c>
      <c r="I146" s="2127">
        <f t="shared" si="17"/>
        <v>128</v>
      </c>
      <c r="J146" s="2526"/>
      <c r="K146" s="746"/>
      <c r="L146" s="2344"/>
      <c r="M146" s="2344"/>
    </row>
    <row r="147" spans="1:20" ht="21.75" customHeight="1" x14ac:dyDescent="0.2">
      <c r="A147" s="1493"/>
      <c r="B147" s="1499">
        <v>45643</v>
      </c>
      <c r="C147" s="1499" t="s">
        <v>6234</v>
      </c>
      <c r="D147" s="1496" t="s">
        <v>7145</v>
      </c>
      <c r="E147" s="1496" t="s">
        <v>7187</v>
      </c>
      <c r="F147" s="1604" t="s">
        <v>6186</v>
      </c>
      <c r="G147" s="2041">
        <v>1</v>
      </c>
      <c r="H147" s="1638">
        <v>3.95</v>
      </c>
      <c r="I147" s="2127">
        <f t="shared" si="17"/>
        <v>3.95</v>
      </c>
      <c r="J147" s="2526"/>
      <c r="K147" s="746"/>
      <c r="L147" s="2344"/>
      <c r="M147" s="2344"/>
    </row>
    <row r="148" spans="1:20" ht="21.75" customHeight="1" x14ac:dyDescent="0.2">
      <c r="A148" s="1493" t="s">
        <v>6244</v>
      </c>
      <c r="B148" s="1499"/>
      <c r="C148" s="1499"/>
      <c r="D148" s="1496"/>
      <c r="E148" s="2195" t="s">
        <v>772</v>
      </c>
      <c r="F148" s="1604"/>
      <c r="G148" s="2041"/>
      <c r="H148" s="1638"/>
      <c r="I148" s="2209">
        <f>SUM(I143:I147)</f>
        <v>416.05</v>
      </c>
      <c r="J148" s="2197"/>
      <c r="K148" s="746"/>
    </row>
    <row r="149" spans="1:20" ht="21.75" customHeight="1" x14ac:dyDescent="0.2">
      <c r="A149" s="2567"/>
      <c r="B149" s="1493"/>
      <c r="C149" s="1499"/>
      <c r="D149" s="1496"/>
      <c r="E149" s="1496"/>
      <c r="F149" s="1604"/>
      <c r="G149" s="2124"/>
      <c r="H149" s="1638"/>
      <c r="I149" s="2209"/>
      <c r="J149" s="2197"/>
      <c r="K149" s="746"/>
      <c r="M149" s="2217"/>
      <c r="N149" s="2553"/>
    </row>
    <row r="150" spans="1:20" ht="21.75" customHeight="1" x14ac:dyDescent="0.2">
      <c r="A150" s="2567" t="s">
        <v>6245</v>
      </c>
      <c r="B150" s="1499">
        <v>45646</v>
      </c>
      <c r="C150" s="1499"/>
      <c r="D150" s="1496" t="s">
        <v>7145</v>
      </c>
      <c r="E150" s="1496" t="s">
        <v>7170</v>
      </c>
      <c r="F150" s="1604" t="s">
        <v>6186</v>
      </c>
      <c r="G150" s="2041">
        <v>1</v>
      </c>
      <c r="H150" s="1638">
        <v>950</v>
      </c>
      <c r="I150" s="2209">
        <f>H150*G150</f>
        <v>950</v>
      </c>
      <c r="J150" s="2197" t="s">
        <v>6651</v>
      </c>
      <c r="K150" s="746"/>
    </row>
    <row r="151" spans="1:20" ht="21.75" customHeight="1" thickBot="1" x14ac:dyDescent="0.25">
      <c r="B151" s="1493"/>
      <c r="C151" s="1499"/>
      <c r="D151" s="1496"/>
      <c r="E151" s="1496"/>
      <c r="F151" s="1604"/>
      <c r="G151" s="2124"/>
      <c r="H151" s="1638"/>
      <c r="I151" s="2209"/>
      <c r="J151" s="2197"/>
      <c r="K151" s="746"/>
      <c r="M151" s="2217"/>
      <c r="N151" s="2553"/>
    </row>
    <row r="152" spans="1:20" ht="21.75" customHeight="1" thickBot="1" x14ac:dyDescent="0.25">
      <c r="A152" s="3510" t="s">
        <v>772</v>
      </c>
      <c r="B152" s="3511"/>
      <c r="C152" s="3511"/>
      <c r="D152" s="3511"/>
      <c r="E152" s="3511"/>
      <c r="F152" s="3511"/>
      <c r="G152" s="3511"/>
      <c r="H152" s="3512"/>
      <c r="I152" s="175">
        <f>I117+I123+I128+I130+I133+I141+I148+I150</f>
        <v>3754.25</v>
      </c>
      <c r="J152" s="2342"/>
      <c r="K152" s="746"/>
      <c r="M152" s="2217"/>
      <c r="N152" s="2554"/>
    </row>
    <row r="153" spans="1:20" ht="21.75" customHeight="1" x14ac:dyDescent="0.2">
      <c r="A153" s="51"/>
      <c r="B153" s="1543"/>
      <c r="C153" s="1543"/>
      <c r="D153" s="717"/>
      <c r="E153" s="717"/>
      <c r="F153" s="2277"/>
      <c r="G153" s="2277"/>
      <c r="H153" s="52"/>
      <c r="I153" s="52"/>
      <c r="J153" s="2205"/>
      <c r="K153" s="746"/>
      <c r="M153" s="2555"/>
      <c r="N153" s="1147"/>
    </row>
    <row r="154" spans="1:20" ht="22.5" customHeight="1" x14ac:dyDescent="0.2">
      <c r="A154" s="51"/>
      <c r="B154" s="1543"/>
      <c r="C154" s="717"/>
      <c r="D154" s="239"/>
      <c r="F154" s="3109" t="s">
        <v>5893</v>
      </c>
      <c r="G154" s="3109"/>
      <c r="H154" s="3109"/>
      <c r="I154" s="401">
        <f>SUMIF($A$114:$A$151,"MO",$I$114:$I$151)</f>
        <v>1900</v>
      </c>
      <c r="J154" s="2216">
        <f>I154/I156</f>
        <v>0.50609309449290807</v>
      </c>
      <c r="L154" s="32"/>
      <c r="O154" s="32"/>
      <c r="P154" s="32"/>
      <c r="Q154" s="32"/>
      <c r="R154" s="32"/>
      <c r="S154" s="32"/>
      <c r="T154" s="32"/>
    </row>
    <row r="155" spans="1:20" ht="22.5" customHeight="1" x14ac:dyDescent="0.2">
      <c r="A155" s="24"/>
      <c r="B155" s="1543"/>
      <c r="C155" s="717"/>
      <c r="D155" s="239"/>
      <c r="E155" s="1505"/>
      <c r="F155" s="3102" t="s">
        <v>6250</v>
      </c>
      <c r="G155" s="3102"/>
      <c r="H155" s="3102"/>
      <c r="I155" s="401">
        <f>SUMIF($A$114:$A$151,"MAT",$I$114:$I$151)</f>
        <v>1854.2499999999998</v>
      </c>
      <c r="J155" s="2216">
        <f>I155/I156</f>
        <v>0.49390690550709188</v>
      </c>
      <c r="L155" s="31"/>
      <c r="M155" s="1150"/>
      <c r="N155" s="1097"/>
      <c r="O155" s="2107"/>
      <c r="P155" s="2107"/>
      <c r="Q155" s="2107"/>
    </row>
    <row r="156" spans="1:20" ht="21.75" customHeight="1" x14ac:dyDescent="0.2">
      <c r="A156" s="51"/>
      <c r="B156" s="1543"/>
      <c r="C156" s="32"/>
      <c r="D156" s="2206"/>
      <c r="E156" s="1505"/>
      <c r="F156" s="3513" t="s">
        <v>772</v>
      </c>
      <c r="G156" s="3513"/>
      <c r="H156" s="3513"/>
      <c r="I156" s="231">
        <f>SUM(I154:I155)</f>
        <v>3754.25</v>
      </c>
      <c r="J156" s="2217"/>
      <c r="L156" s="1543"/>
      <c r="M156" s="1559"/>
      <c r="N156" s="51"/>
      <c r="O156" s="1870"/>
      <c r="P156" s="1870"/>
      <c r="Q156" s="1870"/>
    </row>
    <row r="157" spans="1:20" ht="21.75" customHeight="1" thickBot="1" x14ac:dyDescent="0.25">
      <c r="L157" s="1543"/>
      <c r="M157" s="1559"/>
      <c r="N157" s="51"/>
      <c r="O157" s="2269"/>
      <c r="P157" s="2269"/>
      <c r="Q157" s="2269"/>
    </row>
    <row r="158" spans="1:20" ht="27" thickBot="1" x14ac:dyDescent="0.45">
      <c r="A158" s="3104" t="s">
        <v>7357</v>
      </c>
      <c r="B158" s="3105"/>
      <c r="C158" s="3105"/>
      <c r="D158" s="3105"/>
      <c r="E158" s="3105"/>
      <c r="F158" s="3105"/>
      <c r="G158" s="3105"/>
      <c r="H158" s="3105"/>
      <c r="I158" s="3105"/>
      <c r="J158" s="3509"/>
      <c r="K158" s="2084"/>
    </row>
    <row r="159" spans="1:20" ht="40.5" customHeight="1" thickBot="1" x14ac:dyDescent="0.25">
      <c r="A159" s="8" t="s">
        <v>5546</v>
      </c>
      <c r="B159" s="11" t="s">
        <v>721</v>
      </c>
      <c r="C159" s="11" t="s">
        <v>6233</v>
      </c>
      <c r="D159" s="75" t="s">
        <v>6183</v>
      </c>
      <c r="E159" s="75" t="s">
        <v>722</v>
      </c>
      <c r="F159" s="2040" t="s">
        <v>6186</v>
      </c>
      <c r="G159" s="11" t="s">
        <v>723</v>
      </c>
      <c r="H159" s="398" t="s">
        <v>724</v>
      </c>
      <c r="I159" s="2047" t="s">
        <v>725</v>
      </c>
      <c r="J159" s="75" t="s">
        <v>6227</v>
      </c>
      <c r="K159" s="32"/>
    </row>
    <row r="160" spans="1:20" ht="21.75" customHeight="1" x14ac:dyDescent="0.2">
      <c r="A160" s="2345"/>
      <c r="B160" s="2346">
        <v>45663</v>
      </c>
      <c r="C160" s="1499" t="s">
        <v>6234</v>
      </c>
      <c r="D160" s="1610" t="s">
        <v>7238</v>
      </c>
      <c r="E160" s="1610" t="s">
        <v>7237</v>
      </c>
      <c r="F160" s="2347" t="s">
        <v>6225</v>
      </c>
      <c r="G160" s="2348">
        <v>20</v>
      </c>
      <c r="H160" s="2349">
        <v>5.85</v>
      </c>
      <c r="I160" s="2350">
        <f>H160*G160</f>
        <v>117</v>
      </c>
      <c r="J160" s="2351"/>
      <c r="K160" s="717"/>
      <c r="L160" s="2138"/>
      <c r="M160" s="2138"/>
      <c r="N160" s="2138"/>
      <c r="O160" s="2117"/>
      <c r="P160" s="2117"/>
      <c r="Q160" s="2117"/>
    </row>
    <row r="161" spans="1:17" ht="21.75" customHeight="1" x14ac:dyDescent="0.2">
      <c r="A161" s="1493"/>
      <c r="B161" s="1499">
        <v>45663</v>
      </c>
      <c r="C161" s="1499" t="s">
        <v>6234</v>
      </c>
      <c r="D161" s="1491" t="s">
        <v>7238</v>
      </c>
      <c r="E161" s="1496" t="s">
        <v>6226</v>
      </c>
      <c r="F161" s="1604" t="s">
        <v>6186</v>
      </c>
      <c r="G161" s="2041">
        <v>2</v>
      </c>
      <c r="H161" s="1638">
        <v>33</v>
      </c>
      <c r="I161" s="2127">
        <f>H161*G161</f>
        <v>66</v>
      </c>
      <c r="J161" s="2197"/>
      <c r="K161" s="746"/>
    </row>
    <row r="162" spans="1:17" ht="21.75" customHeight="1" x14ac:dyDescent="0.2">
      <c r="A162" s="1493" t="s">
        <v>6244</v>
      </c>
      <c r="B162" s="1499"/>
      <c r="C162" s="1499"/>
      <c r="D162" s="1496"/>
      <c r="E162" s="2195" t="s">
        <v>772</v>
      </c>
      <c r="F162" s="1604"/>
      <c r="G162" s="2041"/>
      <c r="H162" s="1638"/>
      <c r="I162" s="2209">
        <f>SUM(I160:I161)</f>
        <v>183</v>
      </c>
      <c r="J162" s="2197" t="s">
        <v>6646</v>
      </c>
      <c r="K162" s="746"/>
    </row>
    <row r="163" spans="1:17" ht="21.75" customHeight="1" x14ac:dyDescent="0.2">
      <c r="A163" s="1493"/>
      <c r="B163" s="1499"/>
      <c r="C163" s="1499"/>
      <c r="D163" s="1496"/>
      <c r="E163" s="2195"/>
      <c r="F163" s="1604"/>
      <c r="G163" s="2041"/>
      <c r="H163" s="1638"/>
      <c r="I163" s="2209"/>
      <c r="J163" s="2197"/>
      <c r="K163" s="746"/>
    </row>
    <row r="164" spans="1:17" ht="21.75" customHeight="1" x14ac:dyDescent="0.2">
      <c r="A164" s="1494"/>
      <c r="B164" s="1499">
        <v>45665</v>
      </c>
      <c r="C164" s="1490" t="s">
        <v>6234</v>
      </c>
      <c r="D164" s="1491" t="s">
        <v>7238</v>
      </c>
      <c r="E164" s="1491" t="s">
        <v>7237</v>
      </c>
      <c r="F164" s="2049" t="s">
        <v>6225</v>
      </c>
      <c r="G164" s="2132">
        <v>30</v>
      </c>
      <c r="H164" s="1635">
        <v>5.85</v>
      </c>
      <c r="I164" s="2379">
        <f>H164*G164</f>
        <v>175.5</v>
      </c>
      <c r="J164" s="2378"/>
      <c r="K164" s="717"/>
      <c r="L164" s="2138"/>
      <c r="M164" s="2138"/>
      <c r="N164" s="2138"/>
      <c r="O164" s="2117"/>
      <c r="P164" s="2117"/>
      <c r="Q164" s="2117"/>
    </row>
    <row r="165" spans="1:17" ht="21.75" customHeight="1" x14ac:dyDescent="0.2">
      <c r="A165" s="1493"/>
      <c r="B165" s="1490">
        <v>45665</v>
      </c>
      <c r="C165" s="1499" t="s">
        <v>6234</v>
      </c>
      <c r="D165" s="1491" t="s">
        <v>7238</v>
      </c>
      <c r="E165" s="1496" t="s">
        <v>6226</v>
      </c>
      <c r="F165" s="1604" t="s">
        <v>6186</v>
      </c>
      <c r="G165" s="2041">
        <v>2</v>
      </c>
      <c r="H165" s="1638">
        <v>35</v>
      </c>
      <c r="I165" s="2127">
        <f>H165*G165</f>
        <v>70</v>
      </c>
      <c r="J165" s="2197"/>
      <c r="K165" s="746"/>
    </row>
    <row r="166" spans="1:17" ht="21.75" customHeight="1" x14ac:dyDescent="0.2">
      <c r="A166" s="1493" t="s">
        <v>6244</v>
      </c>
      <c r="B166" s="1499"/>
      <c r="C166" s="1499"/>
      <c r="D166" s="1496"/>
      <c r="E166" s="2195" t="s">
        <v>772</v>
      </c>
      <c r="F166" s="1604"/>
      <c r="G166" s="2041"/>
      <c r="H166" s="1638"/>
      <c r="I166" s="2209">
        <f>SUM(I164:I165)</f>
        <v>245.5</v>
      </c>
      <c r="J166" s="2197" t="s">
        <v>6646</v>
      </c>
      <c r="K166" s="746"/>
    </row>
    <row r="167" spans="1:17" ht="21.75" customHeight="1" x14ac:dyDescent="0.2">
      <c r="A167" s="1493"/>
      <c r="B167" s="1499"/>
      <c r="C167" s="1499"/>
      <c r="D167" s="1496"/>
      <c r="E167" s="2195"/>
      <c r="F167" s="1604"/>
      <c r="G167" s="2041"/>
      <c r="H167" s="1638"/>
      <c r="I167" s="2209"/>
      <c r="J167" s="2197"/>
      <c r="K167" s="746"/>
    </row>
    <row r="168" spans="1:17" ht="21.75" customHeight="1" x14ac:dyDescent="0.2">
      <c r="A168" s="1494"/>
      <c r="B168" s="1490">
        <v>45667</v>
      </c>
      <c r="C168" s="1490" t="s">
        <v>6234</v>
      </c>
      <c r="D168" s="1491" t="s">
        <v>7238</v>
      </c>
      <c r="E168" s="1491" t="s">
        <v>7237</v>
      </c>
      <c r="F168" s="2049" t="s">
        <v>6225</v>
      </c>
      <c r="G168" s="2132">
        <v>10</v>
      </c>
      <c r="H168" s="1635">
        <v>5.85</v>
      </c>
      <c r="I168" s="2379">
        <f>H168*G168</f>
        <v>58.5</v>
      </c>
      <c r="J168" s="2378"/>
      <c r="K168" s="717"/>
      <c r="L168" s="2138"/>
      <c r="M168" s="2138"/>
      <c r="N168" s="2138"/>
      <c r="O168" s="2117"/>
      <c r="P168" s="2117"/>
      <c r="Q168" s="2117"/>
    </row>
    <row r="169" spans="1:17" ht="21.75" customHeight="1" x14ac:dyDescent="0.2">
      <c r="A169" s="1493"/>
      <c r="B169" s="1499">
        <v>45667</v>
      </c>
      <c r="C169" s="1499" t="s">
        <v>6234</v>
      </c>
      <c r="D169" s="1491" t="s">
        <v>7238</v>
      </c>
      <c r="E169" s="1496" t="s">
        <v>6226</v>
      </c>
      <c r="F169" s="1604" t="s">
        <v>6186</v>
      </c>
      <c r="G169" s="2041">
        <v>2</v>
      </c>
      <c r="H169" s="1638">
        <v>35</v>
      </c>
      <c r="I169" s="2127">
        <f>H169*G169</f>
        <v>70</v>
      </c>
      <c r="J169" s="2197"/>
      <c r="K169" s="746"/>
    </row>
    <row r="170" spans="1:17" ht="21.75" customHeight="1" x14ac:dyDescent="0.2">
      <c r="A170" s="1493" t="s">
        <v>6244</v>
      </c>
      <c r="B170" s="1499"/>
      <c r="C170" s="1499"/>
      <c r="D170" s="1496"/>
      <c r="E170" s="2195" t="s">
        <v>772</v>
      </c>
      <c r="F170" s="1604"/>
      <c r="G170" s="2041"/>
      <c r="H170" s="1638"/>
      <c r="I170" s="2209">
        <f>SUM(I168:I169)</f>
        <v>128.5</v>
      </c>
      <c r="J170" s="2197" t="s">
        <v>6646</v>
      </c>
      <c r="K170" s="746"/>
    </row>
    <row r="171" spans="1:17" ht="21.75" customHeight="1" x14ac:dyDescent="0.2">
      <c r="A171" s="2380"/>
      <c r="B171" s="2381"/>
      <c r="C171" s="2381"/>
      <c r="D171" s="1496"/>
      <c r="E171" s="2383"/>
      <c r="F171" s="2384"/>
      <c r="G171" s="2385"/>
      <c r="H171" s="2386"/>
      <c r="I171" s="2387"/>
      <c r="J171" s="2388"/>
      <c r="K171" s="746"/>
    </row>
    <row r="172" spans="1:17" ht="21.75" customHeight="1" x14ac:dyDescent="0.2">
      <c r="A172" s="1493" t="s">
        <v>6245</v>
      </c>
      <c r="B172" s="1499">
        <v>45668</v>
      </c>
      <c r="C172" s="1499"/>
      <c r="D172" s="1491" t="s">
        <v>7238</v>
      </c>
      <c r="E172" s="1496" t="s">
        <v>7239</v>
      </c>
      <c r="F172" s="1604" t="s">
        <v>6186</v>
      </c>
      <c r="G172" s="2041">
        <v>1</v>
      </c>
      <c r="H172" s="1638">
        <v>500</v>
      </c>
      <c r="I172" s="2209">
        <f>H172*G172</f>
        <v>500</v>
      </c>
      <c r="J172" s="2197" t="s">
        <v>6646</v>
      </c>
      <c r="K172" s="746"/>
    </row>
    <row r="173" spans="1:17" ht="21.75" customHeight="1" x14ac:dyDescent="0.2">
      <c r="A173" s="1493"/>
      <c r="B173" s="1499"/>
      <c r="C173" s="1499"/>
      <c r="D173" s="1496"/>
      <c r="E173" s="1496"/>
      <c r="F173" s="1604"/>
      <c r="G173" s="2041"/>
      <c r="H173" s="1638"/>
      <c r="I173" s="2127"/>
      <c r="J173" s="2197"/>
      <c r="K173" s="717"/>
      <c r="L173" s="2138"/>
      <c r="M173" s="2138"/>
      <c r="N173" s="2138"/>
      <c r="O173" s="2117"/>
      <c r="P173" s="2117"/>
      <c r="Q173" s="2117"/>
    </row>
    <row r="174" spans="1:17" ht="21.75" customHeight="1" thickBot="1" x14ac:dyDescent="0.25">
      <c r="A174" s="1504"/>
      <c r="B174" s="1500"/>
      <c r="C174" s="1500"/>
      <c r="D174" s="1501"/>
      <c r="E174" s="1501"/>
      <c r="F174" s="1609"/>
      <c r="G174" s="2234"/>
      <c r="H174" s="2235"/>
      <c r="I174" s="2236"/>
      <c r="J174" s="2352"/>
      <c r="K174" s="746"/>
    </row>
    <row r="175" spans="1:17" ht="21.75" customHeight="1" thickBot="1" x14ac:dyDescent="0.25">
      <c r="A175" s="3510" t="s">
        <v>772</v>
      </c>
      <c r="B175" s="3511"/>
      <c r="C175" s="3511"/>
      <c r="D175" s="3511"/>
      <c r="E175" s="3511"/>
      <c r="F175" s="3511"/>
      <c r="G175" s="3511"/>
      <c r="H175" s="3512"/>
      <c r="I175" s="175">
        <f>I162+I166+I172+I170</f>
        <v>1057</v>
      </c>
      <c r="J175" s="2342"/>
      <c r="K175" s="746"/>
    </row>
    <row r="176" spans="1:17" ht="21.75" customHeight="1" thickBot="1" x14ac:dyDescent="0.25">
      <c r="A176" s="51"/>
      <c r="B176" s="1543"/>
      <c r="C176" s="1543"/>
      <c r="D176" s="717"/>
      <c r="E176" s="358"/>
      <c r="F176" s="2277"/>
      <c r="G176" s="2277"/>
      <c r="H176" s="1870"/>
      <c r="I176" s="2116"/>
      <c r="J176" s="2205"/>
      <c r="K176" s="746"/>
    </row>
    <row r="177" spans="1:17" ht="27" thickBot="1" x14ac:dyDescent="0.45">
      <c r="A177" s="3506" t="s">
        <v>7358</v>
      </c>
      <c r="B177" s="3507"/>
      <c r="C177" s="3507"/>
      <c r="D177" s="3507"/>
      <c r="E177" s="3507"/>
      <c r="F177" s="3507"/>
      <c r="G177" s="3507"/>
      <c r="H177" s="3507"/>
      <c r="I177" s="3507"/>
      <c r="J177" s="3508"/>
      <c r="K177" s="2084"/>
    </row>
    <row r="178" spans="1:17" ht="40.5" customHeight="1" thickBot="1" x14ac:dyDescent="0.25">
      <c r="A178" s="8" t="s">
        <v>5546</v>
      </c>
      <c r="B178" s="11" t="s">
        <v>721</v>
      </c>
      <c r="C178" s="11" t="s">
        <v>6233</v>
      </c>
      <c r="D178" s="75" t="s">
        <v>6183</v>
      </c>
      <c r="E178" s="75" t="s">
        <v>722</v>
      </c>
      <c r="F178" s="2040" t="s">
        <v>6186</v>
      </c>
      <c r="G178" s="11" t="s">
        <v>723</v>
      </c>
      <c r="H178" s="398" t="s">
        <v>724</v>
      </c>
      <c r="I178" s="2047" t="s">
        <v>725</v>
      </c>
      <c r="J178" s="75" t="s">
        <v>6227</v>
      </c>
      <c r="K178" s="32"/>
    </row>
    <row r="179" spans="1:17" ht="21.75" customHeight="1" x14ac:dyDescent="0.2">
      <c r="A179" s="2345"/>
      <c r="B179" s="2346">
        <v>45689</v>
      </c>
      <c r="C179" s="1499" t="s">
        <v>7287</v>
      </c>
      <c r="D179" s="1610"/>
      <c r="E179" s="1610" t="s">
        <v>7377</v>
      </c>
      <c r="F179" s="2347" t="s">
        <v>6225</v>
      </c>
      <c r="G179" s="2348">
        <v>1</v>
      </c>
      <c r="H179" s="2349">
        <v>193</v>
      </c>
      <c r="I179" s="2350">
        <f>H179*G179</f>
        <v>193</v>
      </c>
      <c r="J179" s="2351"/>
      <c r="K179" s="717"/>
      <c r="L179" s="2138"/>
      <c r="M179" s="2138"/>
      <c r="N179" s="2138"/>
      <c r="O179" s="2117"/>
      <c r="P179" s="2117"/>
      <c r="Q179" s="2117"/>
    </row>
    <row r="180" spans="1:17" ht="21.75" customHeight="1" x14ac:dyDescent="0.2">
      <c r="A180" s="1493"/>
      <c r="B180" s="1499">
        <v>45689</v>
      </c>
      <c r="C180" s="1499" t="s">
        <v>6868</v>
      </c>
      <c r="D180" s="1491" t="s">
        <v>280</v>
      </c>
      <c r="E180" s="1496" t="s">
        <v>7378</v>
      </c>
      <c r="F180" s="1604" t="s">
        <v>6186</v>
      </c>
      <c r="G180" s="2041">
        <v>1</v>
      </c>
      <c r="H180" s="1638">
        <v>66</v>
      </c>
      <c r="I180" s="2127">
        <f>H180*G180</f>
        <v>66</v>
      </c>
      <c r="J180" s="2197"/>
      <c r="K180" s="746"/>
    </row>
    <row r="181" spans="1:17" ht="21.75" customHeight="1" x14ac:dyDescent="0.2">
      <c r="A181" s="1493"/>
      <c r="B181" s="1499">
        <v>45690</v>
      </c>
      <c r="C181" s="1499"/>
      <c r="D181" s="1491"/>
      <c r="E181" s="1496" t="s">
        <v>7379</v>
      </c>
      <c r="F181" s="1604" t="s">
        <v>6186</v>
      </c>
      <c r="G181" s="2041">
        <v>1</v>
      </c>
      <c r="H181" s="1638">
        <v>60</v>
      </c>
      <c r="I181" s="2127">
        <f>H181*G181</f>
        <v>60</v>
      </c>
      <c r="J181" s="2197"/>
      <c r="K181" s="746"/>
    </row>
    <row r="182" spans="1:17" ht="21.75" customHeight="1" x14ac:dyDescent="0.2">
      <c r="A182" s="1493" t="s">
        <v>6244</v>
      </c>
      <c r="B182" s="1499"/>
      <c r="C182" s="1499"/>
      <c r="D182" s="1496"/>
      <c r="E182" s="2195" t="s">
        <v>772</v>
      </c>
      <c r="F182" s="1604"/>
      <c r="G182" s="2041"/>
      <c r="H182" s="1638"/>
      <c r="I182" s="2209">
        <f>SUM(I179:I181)</f>
        <v>319</v>
      </c>
      <c r="J182" s="2197" t="s">
        <v>6646</v>
      </c>
      <c r="K182" s="746"/>
    </row>
    <row r="183" spans="1:17" ht="21.75" customHeight="1" x14ac:dyDescent="0.2">
      <c r="A183" s="1493"/>
      <c r="B183" s="1499"/>
      <c r="C183" s="1499"/>
      <c r="D183" s="1491"/>
      <c r="E183" s="2195"/>
      <c r="F183" s="1604"/>
      <c r="G183" s="2041"/>
      <c r="H183" s="1638"/>
      <c r="I183" s="2209"/>
      <c r="J183" s="2197"/>
      <c r="K183" s="746"/>
    </row>
    <row r="184" spans="1:17" ht="21.75" customHeight="1" x14ac:dyDescent="0.2">
      <c r="A184" s="1493" t="s">
        <v>6245</v>
      </c>
      <c r="B184" s="1499"/>
      <c r="C184" s="1499"/>
      <c r="D184" s="1491"/>
      <c r="E184" s="1496" t="s">
        <v>7359</v>
      </c>
      <c r="F184" s="1604" t="s">
        <v>6186</v>
      </c>
      <c r="G184" s="2041">
        <v>1</v>
      </c>
      <c r="H184" s="1638">
        <v>500</v>
      </c>
      <c r="I184" s="2209">
        <f>H184*G184</f>
        <v>500</v>
      </c>
      <c r="J184" s="2197" t="s">
        <v>6646</v>
      </c>
      <c r="K184" s="746"/>
    </row>
    <row r="185" spans="1:17" ht="21.75" customHeight="1" thickBot="1" x14ac:dyDescent="0.25">
      <c r="A185" s="1493"/>
      <c r="B185" s="1499"/>
      <c r="C185" s="1499"/>
      <c r="D185" s="1496"/>
      <c r="E185" s="1496"/>
      <c r="F185" s="1604"/>
      <c r="G185" s="2041"/>
      <c r="H185" s="1638"/>
      <c r="I185" s="2127"/>
      <c r="J185" s="2197"/>
      <c r="K185" s="717"/>
      <c r="L185" s="2138"/>
      <c r="M185" s="2138"/>
      <c r="N185" s="2138"/>
      <c r="O185" s="2117"/>
      <c r="P185" s="2117"/>
      <c r="Q185" s="2117"/>
    </row>
    <row r="186" spans="1:17" ht="21.75" customHeight="1" thickBot="1" x14ac:dyDescent="0.25">
      <c r="A186" s="3510" t="s">
        <v>772</v>
      </c>
      <c r="B186" s="3511"/>
      <c r="C186" s="3511"/>
      <c r="D186" s="3511"/>
      <c r="E186" s="3511"/>
      <c r="F186" s="3511"/>
      <c r="G186" s="3511"/>
      <c r="H186" s="3512"/>
      <c r="I186" s="175">
        <f>I182+I184</f>
        <v>819</v>
      </c>
      <c r="J186" s="2342"/>
      <c r="K186" s="746"/>
    </row>
    <row r="187" spans="1:17" ht="21.75" customHeight="1" x14ac:dyDescent="0.2">
      <c r="A187" s="24"/>
      <c r="B187" s="717"/>
      <c r="C187" s="717"/>
      <c r="D187" s="717"/>
      <c r="E187" s="717"/>
      <c r="F187" s="1606"/>
      <c r="G187" s="1606"/>
      <c r="H187" s="1"/>
      <c r="I187" s="1"/>
      <c r="L187" s="2113"/>
      <c r="M187" s="2114"/>
      <c r="N187" s="512"/>
      <c r="O187" s="1140"/>
      <c r="P187" s="1140"/>
      <c r="Q187" s="1140"/>
    </row>
    <row r="188" spans="1:17" ht="21.75" customHeight="1" x14ac:dyDescent="0.2">
      <c r="A188" s="24"/>
      <c r="L188" s="358"/>
      <c r="M188" s="240"/>
      <c r="N188" s="31"/>
      <c r="O188" s="2116"/>
      <c r="P188" s="2116"/>
      <c r="Q188" s="2116"/>
    </row>
    <row r="189" spans="1:17" ht="21.75" customHeight="1" x14ac:dyDescent="0.2">
      <c r="A189" s="24"/>
      <c r="L189" s="746"/>
      <c r="M189" s="746"/>
      <c r="N189" s="746"/>
      <c r="O189" s="2117"/>
      <c r="P189" s="2117"/>
      <c r="Q189" s="2117"/>
    </row>
    <row r="190" spans="1:17" ht="21.75" customHeight="1" x14ac:dyDescent="0.2">
      <c r="A190" s="24"/>
      <c r="L190" s="511"/>
      <c r="M190" s="511"/>
      <c r="N190" s="511"/>
      <c r="O190" s="1704"/>
      <c r="P190" s="1704"/>
      <c r="Q190" s="1704"/>
    </row>
    <row r="191" spans="1:17" ht="21.75" customHeight="1" x14ac:dyDescent="0.2">
      <c r="A191" s="24"/>
      <c r="B191" s="717"/>
      <c r="C191" s="717"/>
      <c r="D191" s="717"/>
      <c r="E191" s="2273"/>
      <c r="F191" s="2273"/>
      <c r="G191" s="2273"/>
      <c r="H191" s="2273"/>
      <c r="I191" s="617"/>
      <c r="L191" s="2138"/>
    </row>
    <row r="192" spans="1:17" s="32" customFormat="1" ht="21.75" customHeight="1" x14ac:dyDescent="0.2">
      <c r="A192" s="24"/>
      <c r="B192" s="717"/>
      <c r="C192" s="717"/>
      <c r="D192" s="717"/>
      <c r="J192"/>
    </row>
    <row r="193" spans="12:20" ht="21.75" customHeight="1" x14ac:dyDescent="0.2">
      <c r="L193" s="31"/>
      <c r="M193" s="2107"/>
      <c r="N193" s="31"/>
      <c r="O193" s="2107"/>
      <c r="P193" s="2107"/>
      <c r="Q193" s="2107"/>
      <c r="R193" s="2107"/>
      <c r="S193" s="2107"/>
      <c r="T193" s="2107"/>
    </row>
    <row r="194" spans="12:20" ht="21.75" customHeight="1" x14ac:dyDescent="0.2">
      <c r="L194" s="1543"/>
      <c r="M194" s="2322"/>
      <c r="N194" s="51"/>
      <c r="O194" s="1559"/>
      <c r="P194" s="1559"/>
      <c r="Q194" s="1870"/>
      <c r="R194" s="1870"/>
      <c r="S194" s="1870"/>
      <c r="T194" s="1870"/>
    </row>
    <row r="195" spans="12:20" ht="21.75" customHeight="1" x14ac:dyDescent="0.2">
      <c r="L195" s="1543"/>
      <c r="M195" s="2322"/>
      <c r="N195" s="51"/>
      <c r="O195" s="1559"/>
      <c r="P195" s="1559"/>
      <c r="Q195" s="1870"/>
      <c r="R195" s="1870"/>
      <c r="S195" s="1870"/>
      <c r="T195" s="1870"/>
    </row>
    <row r="196" spans="12:20" ht="21.75" customHeight="1" x14ac:dyDescent="0.2">
      <c r="L196" s="1543"/>
      <c r="M196" s="1559"/>
      <c r="N196" s="51"/>
      <c r="O196" s="1870"/>
      <c r="P196" s="1870"/>
      <c r="Q196" s="1870"/>
      <c r="R196" s="1870"/>
      <c r="S196" s="1870"/>
      <c r="T196" s="1870"/>
    </row>
    <row r="197" spans="12:20" ht="21.75" customHeight="1" x14ac:dyDescent="0.2">
      <c r="L197" s="358"/>
      <c r="M197" s="240"/>
      <c r="N197" s="358"/>
      <c r="O197" s="2116"/>
      <c r="P197" s="2269"/>
      <c r="Q197" s="2269"/>
      <c r="R197" s="2269"/>
      <c r="S197" s="2269"/>
      <c r="T197" s="2269"/>
    </row>
    <row r="198" spans="12:20" ht="21.75" customHeight="1" x14ac:dyDescent="0.2">
      <c r="L198" s="746"/>
      <c r="M198" s="746"/>
      <c r="N198" s="746"/>
      <c r="O198" s="2117"/>
      <c r="P198" s="1140"/>
      <c r="Q198" s="1140"/>
      <c r="R198" s="1140"/>
      <c r="S198" s="1140"/>
      <c r="T198" s="1140"/>
    </row>
    <row r="199" spans="12:20" ht="21.75" customHeight="1" x14ac:dyDescent="0.2">
      <c r="L199" s="511"/>
      <c r="M199" s="511"/>
      <c r="N199" s="511"/>
      <c r="O199" s="1704"/>
      <c r="P199" s="2116"/>
      <c r="Q199" s="2116"/>
      <c r="R199" s="2116"/>
      <c r="S199" s="2116"/>
      <c r="T199" s="2116"/>
    </row>
    <row r="200" spans="12:20" ht="21.75" customHeight="1" x14ac:dyDescent="0.2"/>
    <row r="201" spans="12:20" ht="21.75" customHeight="1" x14ac:dyDescent="0.2"/>
    <row r="202" spans="12:20" x14ac:dyDescent="0.2">
      <c r="L202" s="32"/>
      <c r="M202" s="32"/>
      <c r="N202" s="32"/>
      <c r="O202" s="32"/>
      <c r="P202" s="32"/>
      <c r="Q202" s="32"/>
      <c r="R202" s="32"/>
      <c r="S202" s="32"/>
      <c r="T202" s="32"/>
    </row>
    <row r="203" spans="12:20" x14ac:dyDescent="0.2">
      <c r="L203" s="31"/>
      <c r="M203" s="31"/>
      <c r="N203" s="31"/>
      <c r="O203" s="2107"/>
      <c r="P203" s="2107"/>
      <c r="Q203" s="2107"/>
      <c r="R203" s="2107"/>
      <c r="S203" s="2107"/>
      <c r="T203" s="2107"/>
    </row>
    <row r="204" spans="12:20" x14ac:dyDescent="0.2">
      <c r="L204" s="1543"/>
      <c r="M204" s="1559"/>
      <c r="N204" s="51"/>
      <c r="O204" s="1870"/>
      <c r="P204" s="1870"/>
      <c r="Q204" s="1870"/>
      <c r="R204" s="1870"/>
      <c r="S204" s="1870"/>
      <c r="T204" s="1870"/>
    </row>
    <row r="205" spans="12:20" x14ac:dyDescent="0.2">
      <c r="L205" s="1543"/>
      <c r="M205" s="1559"/>
      <c r="N205" s="51"/>
      <c r="O205" s="1870"/>
      <c r="P205" s="1870"/>
      <c r="Q205" s="1870"/>
      <c r="R205" s="1870"/>
      <c r="S205" s="1870"/>
      <c r="T205" s="1870"/>
    </row>
    <row r="206" spans="12:20" x14ac:dyDescent="0.2">
      <c r="L206" s="1543"/>
      <c r="M206" s="1559"/>
      <c r="N206" s="51"/>
      <c r="O206" s="1870"/>
      <c r="P206" s="1870"/>
      <c r="Q206" s="1870"/>
      <c r="R206" s="1870"/>
      <c r="S206" s="1870"/>
      <c r="T206" s="1870"/>
    </row>
    <row r="207" spans="12:20" x14ac:dyDescent="0.2">
      <c r="L207" s="1543"/>
      <c r="M207" s="1559"/>
      <c r="N207" s="51"/>
      <c r="O207" s="2269"/>
      <c r="P207" s="2269"/>
      <c r="Q207" s="2269"/>
      <c r="R207" s="2269"/>
      <c r="S207" s="2269"/>
      <c r="T207" s="2269"/>
    </row>
    <row r="208" spans="12:20" x14ac:dyDescent="0.2">
      <c r="L208" s="2113"/>
      <c r="M208" s="2114"/>
      <c r="N208" s="512"/>
      <c r="O208" s="1140"/>
      <c r="P208" s="1140"/>
      <c r="Q208" s="1140"/>
      <c r="R208" s="1140"/>
      <c r="S208" s="1140"/>
      <c r="T208" s="1140"/>
    </row>
    <row r="209" spans="12:20" x14ac:dyDescent="0.2">
      <c r="L209" s="358"/>
      <c r="M209" s="240"/>
      <c r="N209" s="31"/>
      <c r="O209" s="2116"/>
      <c r="P209" s="2116"/>
      <c r="Q209" s="2116"/>
      <c r="R209" s="2116"/>
      <c r="S209" s="2116"/>
      <c r="T209" s="2116"/>
    </row>
    <row r="210" spans="12:20" x14ac:dyDescent="0.2">
      <c r="L210" s="746"/>
      <c r="M210" s="746"/>
      <c r="N210" s="746"/>
      <c r="O210" s="2117"/>
      <c r="P210" s="2117"/>
      <c r="Q210" s="2117"/>
      <c r="R210" s="2117"/>
      <c r="S210" s="2117"/>
      <c r="T210" s="2117"/>
    </row>
    <row r="211" spans="12:20" x14ac:dyDescent="0.2">
      <c r="L211" s="511"/>
      <c r="M211" s="511"/>
      <c r="N211" s="511"/>
      <c r="O211" s="1704"/>
      <c r="P211" s="1704"/>
      <c r="Q211" s="1704"/>
      <c r="R211" s="1704"/>
      <c r="S211" s="1704"/>
      <c r="T211" s="1704"/>
    </row>
    <row r="212" spans="12:20" x14ac:dyDescent="0.2">
      <c r="L212" s="2138"/>
    </row>
  </sheetData>
  <autoFilter ref="A2:J2" xr:uid="{3EB36606-79B2-4A6B-9F4F-A020FAC98DF6}"/>
  <mergeCells count="23">
    <mergeCell ref="M93:N93"/>
    <mergeCell ref="M100:N100"/>
    <mergeCell ref="A105:H105"/>
    <mergeCell ref="F107:H107"/>
    <mergeCell ref="F108:H108"/>
    <mergeCell ref="F57:H57"/>
    <mergeCell ref="F58:H58"/>
    <mergeCell ref="A79:J79"/>
    <mergeCell ref="A1:J1"/>
    <mergeCell ref="A54:H54"/>
    <mergeCell ref="F56:H56"/>
    <mergeCell ref="A177:J177"/>
    <mergeCell ref="A186:H186"/>
    <mergeCell ref="A60:J60"/>
    <mergeCell ref="A75:H75"/>
    <mergeCell ref="F109:H109"/>
    <mergeCell ref="A158:J158"/>
    <mergeCell ref="A175:H175"/>
    <mergeCell ref="F155:H155"/>
    <mergeCell ref="F156:H156"/>
    <mergeCell ref="A112:J112"/>
    <mergeCell ref="A152:H152"/>
    <mergeCell ref="F154:H154"/>
  </mergeCells>
  <pageMargins left="1.3779527559055118" right="0.15748031496062992" top="1.5748031496062993" bottom="0.51181102362204722" header="0.23622047244094491" footer="0.51181102362204722"/>
  <pageSetup paperSize="9" scale="120" orientation="portrait" r:id="rId1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AC201-724C-4A6B-9E86-8C497248E36A}">
  <sheetPr codeName="Planilha30"/>
  <dimension ref="A1:R190"/>
  <sheetViews>
    <sheetView zoomScaleNormal="100" workbookViewId="0">
      <pane ySplit="2" topLeftCell="A117" activePane="bottomLeft" state="frozen"/>
      <selection pane="bottomLeft" activeCell="K75" sqref="K75"/>
    </sheetView>
  </sheetViews>
  <sheetFormatPr defaultRowHeight="12.75" x14ac:dyDescent="0.2"/>
  <cols>
    <col min="1" max="1" width="5.28515625" customWidth="1"/>
    <col min="2" max="3" width="10.140625" customWidth="1"/>
    <col min="4" max="4" width="17" customWidth="1"/>
    <col min="5" max="5" width="46.1406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9.42578125" customWidth="1"/>
    <col min="12" max="12" width="18" style="24" customWidth="1"/>
    <col min="13" max="13" width="11.5703125" style="24" bestFit="1" customWidth="1"/>
    <col min="14" max="14" width="16.42578125" style="24" customWidth="1"/>
    <col min="15" max="16" width="12" customWidth="1"/>
    <col min="17" max="17" width="13" customWidth="1"/>
  </cols>
  <sheetData>
    <row r="1" spans="1:18" ht="27" thickBot="1" x14ac:dyDescent="0.45">
      <c r="A1" s="3104" t="s">
        <v>6348</v>
      </c>
      <c r="B1" s="3105"/>
      <c r="C1" s="3105"/>
      <c r="D1" s="3105"/>
      <c r="E1" s="3105"/>
      <c r="F1" s="3105"/>
      <c r="G1" s="3105"/>
      <c r="H1" s="3105"/>
      <c r="I1" s="3105"/>
      <c r="J1" s="3509"/>
      <c r="K1" s="2084"/>
    </row>
    <row r="2" spans="1:18" ht="40.5" customHeight="1" thickBot="1" x14ac:dyDescent="0.25">
      <c r="A2" s="8" t="s">
        <v>5546</v>
      </c>
      <c r="B2" s="11" t="s">
        <v>721</v>
      </c>
      <c r="C2" s="11" t="s">
        <v>6233</v>
      </c>
      <c r="D2" s="75" t="s">
        <v>6183</v>
      </c>
      <c r="E2" s="75" t="s">
        <v>722</v>
      </c>
      <c r="F2" s="2040" t="s">
        <v>6186</v>
      </c>
      <c r="G2" s="11" t="s">
        <v>723</v>
      </c>
      <c r="H2" s="398" t="s">
        <v>724</v>
      </c>
      <c r="I2" s="2047" t="s">
        <v>725</v>
      </c>
      <c r="J2" s="75" t="s">
        <v>6227</v>
      </c>
      <c r="K2" s="32"/>
    </row>
    <row r="3" spans="1:18" ht="21.75" customHeight="1" x14ac:dyDescent="0.2">
      <c r="A3" s="1611" t="s">
        <v>6244</v>
      </c>
      <c r="B3" s="2048">
        <v>45356</v>
      </c>
      <c r="C3" s="2048" t="s">
        <v>6234</v>
      </c>
      <c r="D3" s="1491" t="s">
        <v>6184</v>
      </c>
      <c r="E3" s="1491" t="s">
        <v>6185</v>
      </c>
      <c r="F3" s="2049" t="s">
        <v>6187</v>
      </c>
      <c r="G3" s="2050">
        <v>1</v>
      </c>
      <c r="H3" s="2051">
        <v>16.95</v>
      </c>
      <c r="I3" s="2052">
        <f>H3*G3</f>
        <v>16.95</v>
      </c>
      <c r="J3" s="2129" t="s">
        <v>6228</v>
      </c>
    </row>
    <row r="4" spans="1:18" ht="21.75" customHeight="1" x14ac:dyDescent="0.2">
      <c r="A4" s="1613" t="s">
        <v>6244</v>
      </c>
      <c r="B4" s="1499">
        <v>45356</v>
      </c>
      <c r="C4" s="1499" t="s">
        <v>6234</v>
      </c>
      <c r="D4" s="1496" t="s">
        <v>6184</v>
      </c>
      <c r="E4" s="1496" t="s">
        <v>6188</v>
      </c>
      <c r="F4" s="1604" t="s">
        <v>6186</v>
      </c>
      <c r="G4" s="2041">
        <v>2</v>
      </c>
      <c r="H4" s="399">
        <v>31.4</v>
      </c>
      <c r="I4" s="570">
        <f>H4*G4</f>
        <v>62.8</v>
      </c>
      <c r="J4" s="2130" t="s">
        <v>6228</v>
      </c>
    </row>
    <row r="5" spans="1:18" ht="21.75" customHeight="1" x14ac:dyDescent="0.2">
      <c r="A5" s="1613" t="s">
        <v>6244</v>
      </c>
      <c r="B5" s="1499">
        <v>45356</v>
      </c>
      <c r="C5" s="1499" t="s">
        <v>6234</v>
      </c>
      <c r="D5" s="1496" t="s">
        <v>6184</v>
      </c>
      <c r="E5" s="1496" t="s">
        <v>6189</v>
      </c>
      <c r="F5" s="1604" t="s">
        <v>6186</v>
      </c>
      <c r="G5" s="2041">
        <v>90</v>
      </c>
      <c r="H5" s="1219">
        <v>1.35</v>
      </c>
      <c r="I5" s="570">
        <f>H5*G5</f>
        <v>121.50000000000001</v>
      </c>
      <c r="J5" s="2130" t="s">
        <v>6228</v>
      </c>
    </row>
    <row r="6" spans="1:18" ht="21.75" customHeight="1" x14ac:dyDescent="0.2">
      <c r="A6" s="1493" t="s">
        <v>6244</v>
      </c>
      <c r="B6" s="1499">
        <v>45356</v>
      </c>
      <c r="C6" s="1499" t="s">
        <v>6234</v>
      </c>
      <c r="D6" s="1496" t="s">
        <v>6184</v>
      </c>
      <c r="E6" s="1496" t="s">
        <v>6190</v>
      </c>
      <c r="F6" s="1604" t="s">
        <v>6186</v>
      </c>
      <c r="G6" s="2041">
        <v>10</v>
      </c>
      <c r="H6" s="1219">
        <v>16.2</v>
      </c>
      <c r="I6" s="2097">
        <f t="shared" ref="I6:I9" si="0">H6*G6</f>
        <v>162</v>
      </c>
      <c r="J6" s="2130" t="s">
        <v>6228</v>
      </c>
      <c r="L6" s="3575" t="s">
        <v>6279</v>
      </c>
      <c r="M6" s="3576"/>
      <c r="N6" s="3576"/>
      <c r="O6" s="3576"/>
      <c r="P6" s="3576"/>
      <c r="Q6" s="3577"/>
    </row>
    <row r="7" spans="1:18" ht="21.75" customHeight="1" x14ac:dyDescent="0.2">
      <c r="A7" s="1493" t="s">
        <v>6244</v>
      </c>
      <c r="B7" s="1499">
        <v>45356</v>
      </c>
      <c r="C7" s="1499" t="s">
        <v>6234</v>
      </c>
      <c r="D7" s="1496" t="s">
        <v>6184</v>
      </c>
      <c r="E7" s="1496" t="s">
        <v>6191</v>
      </c>
      <c r="F7" s="1604" t="s">
        <v>6186</v>
      </c>
      <c r="G7" s="2041">
        <v>4</v>
      </c>
      <c r="H7" s="1219">
        <v>20.85</v>
      </c>
      <c r="I7" s="2097">
        <f>H7*G7</f>
        <v>83.4</v>
      </c>
      <c r="J7" s="2130" t="s">
        <v>6228</v>
      </c>
      <c r="L7" s="911" t="s">
        <v>6252</v>
      </c>
      <c r="M7" s="2078" t="s">
        <v>382</v>
      </c>
      <c r="N7" s="911" t="s">
        <v>6278</v>
      </c>
      <c r="O7" s="2067" t="s">
        <v>6277</v>
      </c>
      <c r="P7" s="2072" t="s">
        <v>6255</v>
      </c>
      <c r="Q7" s="2075" t="s">
        <v>6256</v>
      </c>
      <c r="R7" s="3585" t="s">
        <v>5392</v>
      </c>
    </row>
    <row r="8" spans="1:18" ht="21.75" customHeight="1" x14ac:dyDescent="0.2">
      <c r="A8" s="1493" t="s">
        <v>6244</v>
      </c>
      <c r="B8" s="1499">
        <v>45356</v>
      </c>
      <c r="C8" s="1499" t="s">
        <v>6234</v>
      </c>
      <c r="D8" s="1496" t="s">
        <v>6184</v>
      </c>
      <c r="E8" s="1496" t="s">
        <v>6192</v>
      </c>
      <c r="F8" s="1604" t="s">
        <v>6187</v>
      </c>
      <c r="G8" s="2041">
        <v>1</v>
      </c>
      <c r="H8" s="1219">
        <v>17</v>
      </c>
      <c r="I8" s="2097">
        <f t="shared" si="0"/>
        <v>17</v>
      </c>
      <c r="J8" s="2130" t="s">
        <v>6228</v>
      </c>
      <c r="L8" s="913">
        <v>45356</v>
      </c>
      <c r="M8" s="2079">
        <f>I10</f>
        <v>728.25</v>
      </c>
      <c r="N8" s="1697" t="s">
        <v>9</v>
      </c>
      <c r="O8" s="2068">
        <v>0</v>
      </c>
      <c r="P8" s="2073">
        <f>M8</f>
        <v>728.25</v>
      </c>
      <c r="Q8" s="2076">
        <v>0</v>
      </c>
      <c r="R8" s="3585"/>
    </row>
    <row r="9" spans="1:18" ht="21.75" customHeight="1" x14ac:dyDescent="0.2">
      <c r="A9" s="1493" t="s">
        <v>6244</v>
      </c>
      <c r="B9" s="1499">
        <v>45356</v>
      </c>
      <c r="C9" s="1499" t="s">
        <v>6234</v>
      </c>
      <c r="D9" s="1496" t="s">
        <v>6184</v>
      </c>
      <c r="E9" s="1496" t="s">
        <v>6193</v>
      </c>
      <c r="F9" s="1604" t="s">
        <v>6186</v>
      </c>
      <c r="G9" s="2041">
        <v>18</v>
      </c>
      <c r="H9" s="1219">
        <v>14.7</v>
      </c>
      <c r="I9" s="2097">
        <f t="shared" si="0"/>
        <v>264.59999999999997</v>
      </c>
      <c r="J9" s="2130" t="s">
        <v>6228</v>
      </c>
      <c r="K9" s="717"/>
      <c r="L9" s="2060">
        <f>B12</f>
        <v>45356</v>
      </c>
      <c r="M9" s="2080">
        <f>I14</f>
        <v>386.09999999999997</v>
      </c>
      <c r="N9" s="1753" t="s">
        <v>6253</v>
      </c>
      <c r="O9" s="2069">
        <f>M9</f>
        <v>386.09999999999997</v>
      </c>
      <c r="P9" s="2073">
        <v>0</v>
      </c>
      <c r="Q9" s="2076">
        <v>0</v>
      </c>
      <c r="R9" s="3585"/>
    </row>
    <row r="10" spans="1:18" ht="21.75" customHeight="1" x14ac:dyDescent="0.2">
      <c r="A10" s="1493"/>
      <c r="B10" s="1499"/>
      <c r="C10" s="1499"/>
      <c r="D10" s="1496"/>
      <c r="E10" s="1496"/>
      <c r="F10" s="1604"/>
      <c r="G10" s="2041"/>
      <c r="H10" s="1219"/>
      <c r="I10" s="2059">
        <f>SUM(I3:I9)</f>
        <v>728.25</v>
      </c>
      <c r="J10" s="2130"/>
      <c r="L10" s="2060">
        <f>B17</f>
        <v>45360</v>
      </c>
      <c r="M10" s="2080">
        <f>I19</f>
        <v>525</v>
      </c>
      <c r="N10" s="1753" t="s">
        <v>6253</v>
      </c>
      <c r="O10" s="2069">
        <f>M10</f>
        <v>525</v>
      </c>
      <c r="P10" s="2073">
        <v>0</v>
      </c>
      <c r="Q10" s="2076">
        <v>0</v>
      </c>
      <c r="R10" s="3585"/>
    </row>
    <row r="11" spans="1:18" ht="21.75" customHeight="1" x14ac:dyDescent="0.2">
      <c r="A11" s="1493"/>
      <c r="B11" s="1499"/>
      <c r="C11" s="1499"/>
      <c r="D11" s="1496"/>
      <c r="E11" s="1496"/>
      <c r="F11" s="1604"/>
      <c r="G11" s="2041"/>
      <c r="H11" s="1219"/>
      <c r="I11" s="2059"/>
      <c r="J11" s="2130"/>
      <c r="L11" s="913">
        <f>B16</f>
        <v>45360</v>
      </c>
      <c r="M11" s="2079">
        <f>SUM(I16:I18)</f>
        <v>1609.8</v>
      </c>
      <c r="N11" s="1697" t="s">
        <v>6254</v>
      </c>
      <c r="O11" s="2068">
        <v>0</v>
      </c>
      <c r="P11" s="2073">
        <f>M11/2</f>
        <v>804.9</v>
      </c>
      <c r="Q11" s="2076">
        <f>M11-P11</f>
        <v>804.9</v>
      </c>
      <c r="R11" s="3585"/>
    </row>
    <row r="12" spans="1:18" ht="21.75" customHeight="1" x14ac:dyDescent="0.2">
      <c r="A12" s="1493" t="s">
        <v>6244</v>
      </c>
      <c r="B12" s="1499">
        <v>45356</v>
      </c>
      <c r="C12" s="1499" t="s">
        <v>6234</v>
      </c>
      <c r="D12" s="1496" t="s">
        <v>6184</v>
      </c>
      <c r="E12" s="1496" t="s">
        <v>6193</v>
      </c>
      <c r="F12" s="1604" t="s">
        <v>6186</v>
      </c>
      <c r="G12" s="2041">
        <v>18</v>
      </c>
      <c r="H12" s="1219">
        <v>14.7</v>
      </c>
      <c r="I12" s="2097">
        <f t="shared" ref="I12" si="1">H12*G12</f>
        <v>264.59999999999997</v>
      </c>
      <c r="J12" s="2130" t="s">
        <v>6229</v>
      </c>
      <c r="K12" s="746"/>
      <c r="L12" s="913">
        <f>B22</f>
        <v>45362</v>
      </c>
      <c r="M12" s="2079">
        <f>I25</f>
        <v>1258.0500000000002</v>
      </c>
      <c r="N12" s="1697" t="s">
        <v>6254</v>
      </c>
      <c r="O12" s="2068">
        <v>0</v>
      </c>
      <c r="P12" s="2073">
        <f>M12/2</f>
        <v>629.02500000000009</v>
      </c>
      <c r="Q12" s="2076">
        <f>M12-P12</f>
        <v>629.02500000000009</v>
      </c>
      <c r="R12" s="3585"/>
    </row>
    <row r="13" spans="1:18" ht="21.75" customHeight="1" x14ac:dyDescent="0.2">
      <c r="A13" s="1493" t="s">
        <v>6244</v>
      </c>
      <c r="B13" s="1499">
        <v>45356</v>
      </c>
      <c r="C13" s="1499" t="s">
        <v>6234</v>
      </c>
      <c r="D13" s="1496" t="s">
        <v>6184</v>
      </c>
      <c r="E13" s="1496" t="s">
        <v>6189</v>
      </c>
      <c r="F13" s="1604" t="s">
        <v>6186</v>
      </c>
      <c r="G13" s="2041">
        <v>90</v>
      </c>
      <c r="H13" s="1219">
        <v>1.35</v>
      </c>
      <c r="I13" s="2097">
        <f>H13*G13</f>
        <v>121.50000000000001</v>
      </c>
      <c r="J13" s="2130" t="s">
        <v>6229</v>
      </c>
      <c r="K13" s="746"/>
      <c r="L13" s="2060">
        <v>45366</v>
      </c>
      <c r="M13" s="2080">
        <f>I31</f>
        <v>96.22</v>
      </c>
      <c r="N13" s="1753" t="s">
        <v>6253</v>
      </c>
      <c r="O13" s="2069">
        <f>M13</f>
        <v>96.22</v>
      </c>
      <c r="P13" s="2073">
        <v>0</v>
      </c>
      <c r="Q13" s="2076">
        <v>0</v>
      </c>
      <c r="R13" s="3585"/>
    </row>
    <row r="14" spans="1:18" ht="21.75" customHeight="1" x14ac:dyDescent="0.2">
      <c r="A14" s="1493"/>
      <c r="B14" s="1499"/>
      <c r="C14" s="1499"/>
      <c r="D14" s="1496"/>
      <c r="E14" s="1496"/>
      <c r="F14" s="1604"/>
      <c r="G14" s="2041"/>
      <c r="H14" s="1219"/>
      <c r="I14" s="2059">
        <f>SUM(I12:I13)</f>
        <v>386.09999999999997</v>
      </c>
      <c r="J14" s="2130"/>
      <c r="L14" s="2065">
        <v>45369</v>
      </c>
      <c r="M14" s="2081">
        <f>I36</f>
        <v>672.5</v>
      </c>
      <c r="N14" s="1746" t="s">
        <v>6274</v>
      </c>
      <c r="O14" s="2070">
        <f>M14</f>
        <v>672.5</v>
      </c>
      <c r="P14" s="2073">
        <v>0</v>
      </c>
      <c r="Q14" s="2076">
        <v>0</v>
      </c>
      <c r="R14" s="3585"/>
    </row>
    <row r="15" spans="1:18" ht="21.75" customHeight="1" x14ac:dyDescent="0.2">
      <c r="A15" s="1493"/>
      <c r="B15" s="1499"/>
      <c r="C15" s="1499"/>
      <c r="D15" s="1496"/>
      <c r="E15" s="1496"/>
      <c r="F15" s="1604"/>
      <c r="G15" s="2041"/>
      <c r="H15" s="1219"/>
      <c r="I15" s="2097"/>
      <c r="J15" s="2130"/>
      <c r="L15" s="2083" t="s">
        <v>772</v>
      </c>
      <c r="M15" s="2082">
        <f>SUM(M8:M14)</f>
        <v>5275.92</v>
      </c>
      <c r="N15" s="911"/>
      <c r="O15" s="2071">
        <f>SUM(O8:O14)</f>
        <v>1679.82</v>
      </c>
      <c r="P15" s="2074">
        <f>SUM(P8:P14)</f>
        <v>2162.1750000000002</v>
      </c>
      <c r="Q15" s="2077">
        <f>SUM(Q8:Q14)</f>
        <v>1433.9250000000002</v>
      </c>
      <c r="R15" s="2123"/>
    </row>
    <row r="16" spans="1:18" ht="21.75" customHeight="1" x14ac:dyDescent="0.2">
      <c r="A16" s="1493" t="s">
        <v>6244</v>
      </c>
      <c r="B16" s="1499">
        <v>45360</v>
      </c>
      <c r="C16" s="1499" t="s">
        <v>6235</v>
      </c>
      <c r="D16" s="1496" t="s">
        <v>6222</v>
      </c>
      <c r="E16" s="1496" t="s">
        <v>6223</v>
      </c>
      <c r="F16" s="1604" t="s">
        <v>6186</v>
      </c>
      <c r="G16" s="2041">
        <v>200</v>
      </c>
      <c r="H16" s="1219">
        <v>4.93</v>
      </c>
      <c r="I16" s="2097">
        <f>H16*G16</f>
        <v>986</v>
      </c>
      <c r="J16" s="2130" t="s">
        <v>6230</v>
      </c>
      <c r="L16" s="2099" t="s">
        <v>3771</v>
      </c>
      <c r="M16" s="2100"/>
      <c r="N16" s="2101"/>
      <c r="O16" s="2066">
        <f>O9+O10+O13</f>
        <v>1007.3199999999999</v>
      </c>
      <c r="P16" s="2066">
        <f>P15/2-167.41</f>
        <v>913.67750000000012</v>
      </c>
      <c r="Q16" s="2066">
        <f>Q15/2</f>
        <v>716.96250000000009</v>
      </c>
    </row>
    <row r="17" spans="1:18" ht="21.75" customHeight="1" x14ac:dyDescent="0.2">
      <c r="A17" s="1493" t="s">
        <v>6244</v>
      </c>
      <c r="B17" s="1499">
        <v>45360</v>
      </c>
      <c r="C17" s="1499" t="s">
        <v>6235</v>
      </c>
      <c r="D17" s="1496" t="s">
        <v>6222</v>
      </c>
      <c r="E17" s="1496" t="s">
        <v>6224</v>
      </c>
      <c r="F17" s="1604" t="s">
        <v>6225</v>
      </c>
      <c r="G17" s="2041">
        <v>2</v>
      </c>
      <c r="H17" s="1219">
        <v>226.9</v>
      </c>
      <c r="I17" s="2097">
        <f t="shared" ref="I17:I18" si="2">H17*G17</f>
        <v>453.8</v>
      </c>
      <c r="J17" s="2130" t="s">
        <v>6230</v>
      </c>
      <c r="L17" s="2102" t="s">
        <v>3806</v>
      </c>
      <c r="M17" s="2103"/>
      <c r="N17" s="2104"/>
      <c r="O17" s="2061">
        <f>O14</f>
        <v>672.5</v>
      </c>
      <c r="P17" s="2061">
        <f>P15-P16</f>
        <v>1248.4974999999999</v>
      </c>
      <c r="Q17" s="2061">
        <f>Q15-Q16</f>
        <v>716.96250000000009</v>
      </c>
    </row>
    <row r="18" spans="1:18" ht="21.75" customHeight="1" x14ac:dyDescent="0.2">
      <c r="A18" s="1493" t="s">
        <v>6244</v>
      </c>
      <c r="B18" s="1499">
        <v>45360</v>
      </c>
      <c r="C18" s="1499" t="s">
        <v>6235</v>
      </c>
      <c r="D18" s="1496" t="s">
        <v>6222</v>
      </c>
      <c r="E18" s="1496" t="s">
        <v>5955</v>
      </c>
      <c r="F18" s="1604" t="s">
        <v>6225</v>
      </c>
      <c r="G18" s="2041">
        <v>1</v>
      </c>
      <c r="H18" s="1219">
        <v>170</v>
      </c>
      <c r="I18" s="2097">
        <f t="shared" si="2"/>
        <v>170</v>
      </c>
      <c r="J18" s="2130" t="s">
        <v>6230</v>
      </c>
    </row>
    <row r="19" spans="1:18" ht="21.75" customHeight="1" x14ac:dyDescent="0.2">
      <c r="A19" s="1493" t="s">
        <v>6244</v>
      </c>
      <c r="B19" s="1499">
        <v>45360</v>
      </c>
      <c r="C19" s="1499" t="s">
        <v>6235</v>
      </c>
      <c r="D19" s="1496" t="s">
        <v>6222</v>
      </c>
      <c r="E19" s="1496" t="s">
        <v>6226</v>
      </c>
      <c r="F19" s="1604" t="s">
        <v>6186</v>
      </c>
      <c r="G19" s="2041">
        <v>15</v>
      </c>
      <c r="H19" s="1219">
        <v>35</v>
      </c>
      <c r="I19" s="2097">
        <f>H19*G19</f>
        <v>525</v>
      </c>
      <c r="J19" s="2130" t="s">
        <v>6229</v>
      </c>
      <c r="K19" s="746"/>
    </row>
    <row r="20" spans="1:18" ht="21.75" customHeight="1" x14ac:dyDescent="0.2">
      <c r="A20" s="1493"/>
      <c r="B20" s="1499"/>
      <c r="C20" s="1499"/>
      <c r="D20" s="1496"/>
      <c r="E20" s="1496"/>
      <c r="F20" s="1604"/>
      <c r="G20" s="2041"/>
      <c r="H20" s="1219"/>
      <c r="I20" s="2059">
        <f>SUM(I16:I19)</f>
        <v>2134.8000000000002</v>
      </c>
      <c r="J20" s="2130"/>
    </row>
    <row r="21" spans="1:18" ht="21.75" customHeight="1" x14ac:dyDescent="0.2">
      <c r="A21" s="1493"/>
      <c r="B21" s="1499"/>
      <c r="C21" s="1499"/>
      <c r="D21" s="1496"/>
      <c r="E21" s="1496"/>
      <c r="F21" s="1604"/>
      <c r="G21" s="2041"/>
      <c r="H21" s="1219"/>
      <c r="I21" s="2097"/>
      <c r="J21" s="2130"/>
    </row>
    <row r="22" spans="1:18" ht="21.75" customHeight="1" x14ac:dyDescent="0.2">
      <c r="A22" s="1493" t="s">
        <v>6244</v>
      </c>
      <c r="B22" s="1499">
        <v>45362</v>
      </c>
      <c r="C22" s="1499" t="s">
        <v>6234</v>
      </c>
      <c r="D22" s="1496" t="s">
        <v>6236</v>
      </c>
      <c r="E22" s="1496" t="s">
        <v>6237</v>
      </c>
      <c r="F22" s="1604" t="s">
        <v>6225</v>
      </c>
      <c r="G22" s="2041">
        <v>15</v>
      </c>
      <c r="H22" s="1219">
        <v>41.4</v>
      </c>
      <c r="I22" s="2097">
        <f>H22*G22</f>
        <v>621</v>
      </c>
      <c r="J22" s="2130" t="s">
        <v>6230</v>
      </c>
    </row>
    <row r="23" spans="1:18" ht="21.75" customHeight="1" x14ac:dyDescent="0.2">
      <c r="A23" s="1493" t="s">
        <v>6244</v>
      </c>
      <c r="B23" s="1499">
        <v>45362</v>
      </c>
      <c r="C23" s="1499" t="s">
        <v>6234</v>
      </c>
      <c r="D23" s="1496" t="s">
        <v>6236</v>
      </c>
      <c r="E23" s="1496" t="s">
        <v>6238</v>
      </c>
      <c r="F23" s="1604" t="s">
        <v>6225</v>
      </c>
      <c r="G23" s="2041">
        <v>12</v>
      </c>
      <c r="H23" s="1219">
        <v>27.6</v>
      </c>
      <c r="I23" s="2097">
        <f t="shared" ref="I23:I33" si="3">H23*G23</f>
        <v>331.20000000000005</v>
      </c>
      <c r="J23" s="2130" t="s">
        <v>6230</v>
      </c>
      <c r="L23" s="32"/>
      <c r="M23" s="32"/>
      <c r="N23" s="32"/>
      <c r="O23" s="32"/>
      <c r="P23" s="32"/>
      <c r="Q23" s="32"/>
    </row>
    <row r="24" spans="1:18" ht="21.75" customHeight="1" x14ac:dyDescent="0.2">
      <c r="A24" s="1493" t="s">
        <v>6244</v>
      </c>
      <c r="B24" s="1499">
        <v>45362</v>
      </c>
      <c r="C24" s="1499" t="s">
        <v>6234</v>
      </c>
      <c r="D24" s="1496" t="s">
        <v>6236</v>
      </c>
      <c r="E24" s="1496" t="s">
        <v>6239</v>
      </c>
      <c r="F24" s="1604" t="s">
        <v>6186</v>
      </c>
      <c r="G24" s="2041">
        <v>3</v>
      </c>
      <c r="H24" s="1219">
        <v>101.95</v>
      </c>
      <c r="I24" s="2097">
        <f t="shared" si="3"/>
        <v>305.85000000000002</v>
      </c>
      <c r="J24" s="2130" t="s">
        <v>6230</v>
      </c>
      <c r="L24" s="31"/>
      <c r="M24" s="32"/>
      <c r="N24" s="32"/>
      <c r="O24" s="2106"/>
      <c r="P24" s="2107"/>
      <c r="Q24" s="2107"/>
      <c r="R24" s="2118"/>
    </row>
    <row r="25" spans="1:18" ht="21.75" customHeight="1" x14ac:dyDescent="0.2">
      <c r="A25" s="1493"/>
      <c r="B25" s="1499"/>
      <c r="C25" s="1499"/>
      <c r="D25" s="1496"/>
      <c r="E25" s="1496"/>
      <c r="F25" s="1604"/>
      <c r="G25" s="2041"/>
      <c r="H25" s="1219"/>
      <c r="I25" s="2059">
        <f>SUM(I22:I24)</f>
        <v>1258.0500000000002</v>
      </c>
      <c r="J25" s="2130"/>
      <c r="L25" s="165"/>
      <c r="M25" s="442"/>
      <c r="N25" s="717"/>
      <c r="O25" s="2108"/>
      <c r="P25" s="1140"/>
      <c r="Q25" s="1140"/>
      <c r="R25" s="2118"/>
    </row>
    <row r="26" spans="1:18" ht="21.75" customHeight="1" x14ac:dyDescent="0.2">
      <c r="A26" s="1493"/>
      <c r="B26" s="1499"/>
      <c r="C26" s="1499"/>
      <c r="D26" s="1496"/>
      <c r="E26" s="1496"/>
      <c r="F26" s="1604"/>
      <c r="G26" s="2041"/>
      <c r="H26" s="1219"/>
      <c r="I26" s="2097"/>
      <c r="J26" s="2130"/>
      <c r="L26" s="2109"/>
      <c r="M26" s="2110"/>
      <c r="N26" s="1145"/>
      <c r="O26" s="2111"/>
      <c r="P26" s="1140"/>
      <c r="Q26" s="1140"/>
      <c r="R26" s="2118"/>
    </row>
    <row r="27" spans="1:18" ht="21.75" customHeight="1" x14ac:dyDescent="0.2">
      <c r="A27" s="1493" t="s">
        <v>6245</v>
      </c>
      <c r="B27" s="1499">
        <v>45364</v>
      </c>
      <c r="C27" s="1499"/>
      <c r="D27" s="1496" t="s">
        <v>6236</v>
      </c>
      <c r="E27" s="1496" t="s">
        <v>6307</v>
      </c>
      <c r="F27" s="2058" t="s">
        <v>6186</v>
      </c>
      <c r="G27" s="2041">
        <v>1</v>
      </c>
      <c r="H27" s="1219">
        <v>3000</v>
      </c>
      <c r="I27" s="2059">
        <f t="shared" si="3"/>
        <v>3000</v>
      </c>
      <c r="J27" s="2130" t="s">
        <v>6246</v>
      </c>
      <c r="K27" s="717"/>
      <c r="L27" s="2109"/>
      <c r="M27" s="2110"/>
      <c r="N27" s="1145"/>
      <c r="O27" s="2111"/>
      <c r="P27" s="1140"/>
      <c r="Q27" s="1140"/>
      <c r="R27" s="2118"/>
    </row>
    <row r="28" spans="1:18" ht="21.75" customHeight="1" x14ac:dyDescent="0.2">
      <c r="A28" s="1493"/>
      <c r="B28" s="1499"/>
      <c r="C28" s="1499"/>
      <c r="D28" s="1496"/>
      <c r="E28" s="1496"/>
      <c r="F28" s="1604"/>
      <c r="G28" s="2041"/>
      <c r="H28" s="1219"/>
      <c r="I28" s="2097"/>
      <c r="J28" s="2130"/>
      <c r="L28" s="165"/>
      <c r="M28" s="2112"/>
      <c r="N28" s="51"/>
      <c r="O28" s="1140"/>
      <c r="P28" s="1140"/>
      <c r="Q28" s="1140"/>
      <c r="R28" s="2118"/>
    </row>
    <row r="29" spans="1:18" ht="21.75" customHeight="1" x14ac:dyDescent="0.2">
      <c r="A29" s="1493" t="s">
        <v>6244</v>
      </c>
      <c r="B29" s="1499">
        <v>45366</v>
      </c>
      <c r="C29" s="1499" t="s">
        <v>6234</v>
      </c>
      <c r="D29" s="1496" t="s">
        <v>6264</v>
      </c>
      <c r="E29" s="1496" t="s">
        <v>6265</v>
      </c>
      <c r="F29" s="2058" t="s">
        <v>6186</v>
      </c>
      <c r="G29" s="2041">
        <v>1</v>
      </c>
      <c r="H29" s="1219">
        <v>90.22</v>
      </c>
      <c r="I29" s="2097">
        <f t="shared" ref="I29:I30" si="4">H29*G29</f>
        <v>90.22</v>
      </c>
      <c r="J29" s="2130" t="s">
        <v>6229</v>
      </c>
      <c r="K29" s="746"/>
      <c r="L29" s="165"/>
      <c r="M29" s="2112"/>
      <c r="N29" s="51"/>
      <c r="O29" s="1140"/>
      <c r="P29" s="1140"/>
      <c r="Q29" s="1140"/>
      <c r="R29" s="2118"/>
    </row>
    <row r="30" spans="1:18" ht="21.75" customHeight="1" x14ac:dyDescent="0.2">
      <c r="A30" s="1493" t="s">
        <v>6244</v>
      </c>
      <c r="B30" s="1499">
        <v>45366</v>
      </c>
      <c r="C30" s="1499" t="s">
        <v>6234</v>
      </c>
      <c r="D30" s="1496" t="s">
        <v>6264</v>
      </c>
      <c r="E30" s="1496" t="s">
        <v>6266</v>
      </c>
      <c r="F30" s="2058" t="s">
        <v>6186</v>
      </c>
      <c r="G30" s="2041">
        <v>1</v>
      </c>
      <c r="H30" s="1219">
        <v>6</v>
      </c>
      <c r="I30" s="2097">
        <f t="shared" si="4"/>
        <v>6</v>
      </c>
      <c r="J30" s="2130" t="s">
        <v>6229</v>
      </c>
      <c r="K30" s="746"/>
      <c r="L30" s="2109"/>
      <c r="M30" s="2110"/>
      <c r="N30" s="1145"/>
      <c r="O30" s="2111"/>
      <c r="P30" s="1140"/>
      <c r="Q30" s="1140"/>
      <c r="R30" s="2118"/>
    </row>
    <row r="31" spans="1:18" ht="21.75" customHeight="1" x14ac:dyDescent="0.2">
      <c r="A31" s="1493"/>
      <c r="B31" s="1499"/>
      <c r="C31" s="1499"/>
      <c r="D31" s="1496"/>
      <c r="E31" s="1496"/>
      <c r="F31" s="1604"/>
      <c r="G31" s="2041"/>
      <c r="H31" s="1219"/>
      <c r="I31" s="2059">
        <f>SUM(I29:I30)</f>
        <v>96.22</v>
      </c>
      <c r="J31" s="2130"/>
      <c r="L31" s="2113"/>
      <c r="M31" s="2114"/>
      <c r="N31" s="512"/>
      <c r="O31" s="2115"/>
      <c r="P31" s="1140"/>
      <c r="Q31" s="1140"/>
      <c r="R31" s="2118"/>
    </row>
    <row r="32" spans="1:18" ht="21.75" customHeight="1" x14ac:dyDescent="0.2">
      <c r="A32" s="1493"/>
      <c r="B32" s="1499"/>
      <c r="C32" s="1490"/>
      <c r="D32" s="1496"/>
      <c r="E32" s="1496"/>
      <c r="F32" s="1604"/>
      <c r="G32" s="2041"/>
      <c r="H32" s="1219"/>
      <c r="I32" s="2059"/>
      <c r="J32" s="2130"/>
      <c r="L32" s="358"/>
      <c r="M32" s="240"/>
      <c r="N32" s="31"/>
      <c r="O32" s="2116"/>
      <c r="P32" s="2116"/>
      <c r="Q32" s="2116"/>
      <c r="R32" s="2118"/>
    </row>
    <row r="33" spans="1:18" ht="21.75" customHeight="1" x14ac:dyDescent="0.2">
      <c r="A33" s="1493" t="s">
        <v>6244</v>
      </c>
      <c r="B33" s="1499">
        <v>45369</v>
      </c>
      <c r="C33" s="1490" t="s">
        <v>6234</v>
      </c>
      <c r="D33" s="1496" t="s">
        <v>6222</v>
      </c>
      <c r="E33" s="1496" t="s">
        <v>6272</v>
      </c>
      <c r="F33" s="2058" t="s">
        <v>6186</v>
      </c>
      <c r="G33" s="2041">
        <v>16</v>
      </c>
      <c r="H33" s="1219">
        <v>38.85</v>
      </c>
      <c r="I33" s="2097">
        <f t="shared" si="3"/>
        <v>621.6</v>
      </c>
      <c r="J33" s="2130" t="s">
        <v>6273</v>
      </c>
      <c r="K33" s="511"/>
      <c r="L33" s="746"/>
      <c r="M33" s="746"/>
      <c r="N33" s="746"/>
      <c r="O33" s="2117"/>
      <c r="P33" s="2117"/>
      <c r="Q33" s="2117"/>
    </row>
    <row r="34" spans="1:18" ht="21.75" customHeight="1" x14ac:dyDescent="0.2">
      <c r="A34" s="1611" t="s">
        <v>6244</v>
      </c>
      <c r="B34" s="1499">
        <v>45369</v>
      </c>
      <c r="C34" s="1490" t="s">
        <v>6234</v>
      </c>
      <c r="D34" s="1496" t="s">
        <v>6222</v>
      </c>
      <c r="E34" s="1491" t="s">
        <v>6185</v>
      </c>
      <c r="F34" s="2049" t="s">
        <v>6187</v>
      </c>
      <c r="G34" s="2132">
        <v>2</v>
      </c>
      <c r="H34" s="1548">
        <v>16.95</v>
      </c>
      <c r="I34" s="2133">
        <f>H34*G34</f>
        <v>33.9</v>
      </c>
      <c r="J34" s="2130" t="s">
        <v>6273</v>
      </c>
      <c r="K34" s="511"/>
      <c r="L34" s="511"/>
      <c r="M34" s="511"/>
      <c r="N34" s="511"/>
      <c r="O34" s="1704"/>
      <c r="P34" s="1704"/>
      <c r="Q34" s="1704"/>
    </row>
    <row r="35" spans="1:18" ht="21.75" customHeight="1" x14ac:dyDescent="0.2">
      <c r="A35" s="1493" t="s">
        <v>6244</v>
      </c>
      <c r="B35" s="1499">
        <v>45369</v>
      </c>
      <c r="C35" s="1499" t="s">
        <v>6234</v>
      </c>
      <c r="D35" s="1496" t="s">
        <v>6222</v>
      </c>
      <c r="E35" s="1496" t="s">
        <v>6192</v>
      </c>
      <c r="F35" s="1604" t="s">
        <v>6187</v>
      </c>
      <c r="G35" s="2041">
        <v>1</v>
      </c>
      <c r="H35" s="1219">
        <v>17</v>
      </c>
      <c r="I35" s="2097">
        <f t="shared" ref="I35" si="5">H35*G35</f>
        <v>17</v>
      </c>
      <c r="J35" s="2130" t="s">
        <v>6273</v>
      </c>
      <c r="K35" s="511"/>
      <c r="M35" s="240"/>
      <c r="N35" s="31"/>
      <c r="O35" s="82"/>
      <c r="P35" s="82"/>
      <c r="Q35" s="82"/>
    </row>
    <row r="36" spans="1:18" ht="21.75" customHeight="1" x14ac:dyDescent="0.2">
      <c r="A36" s="1493"/>
      <c r="B36" s="1499"/>
      <c r="C36" s="1499"/>
      <c r="D36" s="1496"/>
      <c r="E36" s="1496"/>
      <c r="F36" s="1604"/>
      <c r="G36" s="2041"/>
      <c r="H36" s="1219"/>
      <c r="I36" s="2059">
        <f>SUM(I33:I35)</f>
        <v>672.5</v>
      </c>
      <c r="J36" s="2130"/>
    </row>
    <row r="37" spans="1:18" ht="21.75" customHeight="1" x14ac:dyDescent="0.2">
      <c r="A37" s="1493"/>
      <c r="B37" s="1499"/>
      <c r="C37" s="1499"/>
      <c r="D37" s="1496"/>
      <c r="E37" s="1496"/>
      <c r="F37" s="1604"/>
      <c r="G37" s="2041"/>
      <c r="H37" s="1219"/>
      <c r="I37" s="2097"/>
      <c r="J37" s="2130"/>
    </row>
    <row r="38" spans="1:18" ht="21.75" customHeight="1" x14ac:dyDescent="0.2">
      <c r="A38" s="1493" t="s">
        <v>6245</v>
      </c>
      <c r="B38" s="1499">
        <v>45373</v>
      </c>
      <c r="C38" s="1499"/>
      <c r="D38" s="1496" t="s">
        <v>6236</v>
      </c>
      <c r="E38" s="1496" t="s">
        <v>6308</v>
      </c>
      <c r="F38" s="2058" t="s">
        <v>6186</v>
      </c>
      <c r="G38" s="2041">
        <v>1</v>
      </c>
      <c r="H38" s="1219">
        <v>2000</v>
      </c>
      <c r="I38" s="2059">
        <f t="shared" ref="I38" si="6">H38*G38</f>
        <v>2000</v>
      </c>
      <c r="J38" s="2130" t="s">
        <v>6334</v>
      </c>
      <c r="K38" s="717" t="s">
        <v>280</v>
      </c>
    </row>
    <row r="39" spans="1:18" ht="21.75" customHeight="1" x14ac:dyDescent="0.2">
      <c r="A39" s="1493"/>
      <c r="B39" s="1499"/>
      <c r="C39" s="1499"/>
      <c r="D39" s="1496"/>
      <c r="E39" s="1496"/>
      <c r="F39" s="1604"/>
      <c r="G39" s="2041"/>
      <c r="H39" s="1219"/>
      <c r="I39" s="2097"/>
      <c r="J39" s="2130"/>
      <c r="R39" s="2118"/>
    </row>
    <row r="40" spans="1:18" ht="21.75" customHeight="1" x14ac:dyDescent="0.2">
      <c r="A40" s="1493" t="s">
        <v>6244</v>
      </c>
      <c r="B40" s="1499">
        <v>45374</v>
      </c>
      <c r="C40" s="1499" t="s">
        <v>6234</v>
      </c>
      <c r="D40" s="1496" t="s">
        <v>6222</v>
      </c>
      <c r="E40" s="2128" t="s">
        <v>6297</v>
      </c>
      <c r="F40" s="1604" t="s">
        <v>6225</v>
      </c>
      <c r="G40" s="2041">
        <v>18</v>
      </c>
      <c r="H40" s="1219">
        <v>47.25</v>
      </c>
      <c r="I40" s="2097">
        <f t="shared" ref="I40:I42" si="7">H40*G40</f>
        <v>850.5</v>
      </c>
      <c r="J40" s="2130" t="s">
        <v>6230</v>
      </c>
      <c r="R40" s="2118"/>
    </row>
    <row r="41" spans="1:18" ht="21.75" customHeight="1" x14ac:dyDescent="0.2">
      <c r="A41" s="1493" t="s">
        <v>6244</v>
      </c>
      <c r="B41" s="1499">
        <v>45374</v>
      </c>
      <c r="C41" s="1499" t="s">
        <v>6234</v>
      </c>
      <c r="D41" s="1496" t="s">
        <v>6222</v>
      </c>
      <c r="E41" s="2128" t="s">
        <v>6347</v>
      </c>
      <c r="F41" s="1604" t="s">
        <v>6225</v>
      </c>
      <c r="G41" s="2041">
        <v>10</v>
      </c>
      <c r="H41" s="1219">
        <v>47.25</v>
      </c>
      <c r="I41" s="2097">
        <f t="shared" si="7"/>
        <v>472.5</v>
      </c>
      <c r="J41" s="2130" t="s">
        <v>6230</v>
      </c>
      <c r="R41" s="2118"/>
    </row>
    <row r="42" spans="1:18" ht="21.75" customHeight="1" x14ac:dyDescent="0.2">
      <c r="A42" s="1493" t="s">
        <v>6244</v>
      </c>
      <c r="B42" s="1499">
        <v>45374</v>
      </c>
      <c r="C42" s="1499" t="s">
        <v>6234</v>
      </c>
      <c r="D42" s="1496" t="s">
        <v>6222</v>
      </c>
      <c r="E42" s="2128" t="s">
        <v>6296</v>
      </c>
      <c r="F42" s="1604" t="s">
        <v>6225</v>
      </c>
      <c r="G42" s="2041">
        <v>12</v>
      </c>
      <c r="H42" s="1219">
        <v>47.25</v>
      </c>
      <c r="I42" s="2097">
        <f t="shared" si="7"/>
        <v>567</v>
      </c>
      <c r="J42" s="2130" t="s">
        <v>6230</v>
      </c>
      <c r="R42" s="2118"/>
    </row>
    <row r="43" spans="1:18" ht="21.75" customHeight="1" x14ac:dyDescent="0.2">
      <c r="A43" s="1493"/>
      <c r="B43" s="1499"/>
      <c r="C43" s="1499"/>
      <c r="D43" s="1496"/>
      <c r="E43" s="1496"/>
      <c r="F43" s="1604"/>
      <c r="G43" s="2041"/>
      <c r="H43" s="1219"/>
      <c r="I43" s="2059">
        <f>SUM(I40:I42)</f>
        <v>1890</v>
      </c>
      <c r="J43" s="2130"/>
      <c r="R43" s="2118"/>
    </row>
    <row r="44" spans="1:18" ht="21.75" customHeight="1" x14ac:dyDescent="0.2">
      <c r="A44" s="1493"/>
      <c r="B44" s="1499"/>
      <c r="C44" s="1499"/>
      <c r="D44" s="1496"/>
      <c r="E44" s="1496"/>
      <c r="F44" s="1604"/>
      <c r="G44" s="2041"/>
      <c r="H44" s="1219"/>
      <c r="I44" s="2097"/>
      <c r="J44" s="2130"/>
      <c r="R44" s="2118"/>
    </row>
    <row r="45" spans="1:18" ht="21.75" customHeight="1" x14ac:dyDescent="0.2">
      <c r="A45" s="1493" t="s">
        <v>6244</v>
      </c>
      <c r="B45" s="1499">
        <v>45376</v>
      </c>
      <c r="C45" s="1499" t="s">
        <v>6235</v>
      </c>
      <c r="D45" s="1496" t="s">
        <v>6236</v>
      </c>
      <c r="E45" s="1496" t="s">
        <v>6317</v>
      </c>
      <c r="F45" s="1604" t="s">
        <v>6186</v>
      </c>
      <c r="G45" s="2041">
        <v>200</v>
      </c>
      <c r="H45" s="1638">
        <v>3.93</v>
      </c>
      <c r="I45" s="2097">
        <f>H45*G45</f>
        <v>786</v>
      </c>
      <c r="J45" s="2130" t="s">
        <v>6316</v>
      </c>
      <c r="K45" s="717" t="s">
        <v>280</v>
      </c>
      <c r="R45" s="2118"/>
    </row>
    <row r="46" spans="1:18" ht="21.75" customHeight="1" x14ac:dyDescent="0.2">
      <c r="A46" s="1493" t="s">
        <v>6244</v>
      </c>
      <c r="B46" s="1499">
        <v>45376</v>
      </c>
      <c r="C46" s="1499" t="s">
        <v>6235</v>
      </c>
      <c r="D46" s="1496" t="s">
        <v>6236</v>
      </c>
      <c r="E46" s="1496" t="s">
        <v>6224</v>
      </c>
      <c r="F46" s="1604" t="s">
        <v>6225</v>
      </c>
      <c r="G46" s="2041">
        <v>1</v>
      </c>
      <c r="H46" s="1638">
        <v>226.9</v>
      </c>
      <c r="I46" s="2097">
        <f t="shared" ref="I46:I47" si="8">H46*G46</f>
        <v>226.9</v>
      </c>
      <c r="J46" s="2130" t="s">
        <v>6316</v>
      </c>
      <c r="K46" s="717" t="s">
        <v>280</v>
      </c>
      <c r="R46" s="2118"/>
    </row>
    <row r="47" spans="1:18" ht="21.75" customHeight="1" x14ac:dyDescent="0.2">
      <c r="A47" s="1493" t="s">
        <v>6244</v>
      </c>
      <c r="B47" s="1499">
        <v>45376</v>
      </c>
      <c r="C47" s="1499" t="s">
        <v>6235</v>
      </c>
      <c r="D47" s="1496" t="s">
        <v>6236</v>
      </c>
      <c r="E47" s="1496" t="s">
        <v>5955</v>
      </c>
      <c r="F47" s="1604" t="s">
        <v>6225</v>
      </c>
      <c r="G47" s="2124">
        <v>0.5</v>
      </c>
      <c r="H47" s="1638">
        <v>186</v>
      </c>
      <c r="I47" s="2097">
        <f t="shared" si="8"/>
        <v>93</v>
      </c>
      <c r="J47" s="2130" t="s">
        <v>6316</v>
      </c>
      <c r="K47" s="717" t="s">
        <v>280</v>
      </c>
      <c r="R47" s="2118"/>
    </row>
    <row r="48" spans="1:18" ht="21.75" customHeight="1" x14ac:dyDescent="0.2">
      <c r="A48" s="1493" t="s">
        <v>6244</v>
      </c>
      <c r="B48" s="1499">
        <v>45376</v>
      </c>
      <c r="C48" s="1499" t="s">
        <v>6235</v>
      </c>
      <c r="D48" s="1496" t="s">
        <v>6236</v>
      </c>
      <c r="E48" s="1496" t="s">
        <v>6226</v>
      </c>
      <c r="F48" s="1604" t="s">
        <v>6186</v>
      </c>
      <c r="G48" s="2041">
        <v>5</v>
      </c>
      <c r="H48" s="1638">
        <v>33</v>
      </c>
      <c r="I48" s="2097">
        <f>H48*G48</f>
        <v>165</v>
      </c>
      <c r="J48" s="2130" t="s">
        <v>6316</v>
      </c>
      <c r="K48" s="717" t="s">
        <v>280</v>
      </c>
    </row>
    <row r="49" spans="1:18" ht="21.75" customHeight="1" x14ac:dyDescent="0.2">
      <c r="A49" s="1493"/>
      <c r="B49" s="1499"/>
      <c r="C49" s="1499"/>
      <c r="D49" s="1496"/>
      <c r="E49" s="1496"/>
      <c r="F49" s="1604"/>
      <c r="G49" s="2041"/>
      <c r="H49" s="1638"/>
      <c r="I49" s="2059">
        <f>SUM(I45:I48)</f>
        <v>1270.9000000000001</v>
      </c>
      <c r="J49" s="2130"/>
      <c r="R49" s="2118"/>
    </row>
    <row r="50" spans="1:18" ht="21.75" customHeight="1" x14ac:dyDescent="0.2">
      <c r="A50" s="1493"/>
      <c r="B50" s="1499"/>
      <c r="C50" s="1499"/>
      <c r="D50" s="1496"/>
      <c r="E50" s="1496"/>
      <c r="F50" s="1604"/>
      <c r="G50" s="2041"/>
      <c r="H50" s="1219"/>
      <c r="I50" s="2097"/>
      <c r="J50" s="2130"/>
      <c r="R50" s="2118"/>
    </row>
    <row r="51" spans="1:18" ht="21.75" customHeight="1" x14ac:dyDescent="0.2">
      <c r="A51" s="1493" t="s">
        <v>6244</v>
      </c>
      <c r="B51" s="1499">
        <v>45376</v>
      </c>
      <c r="C51" s="1499" t="s">
        <v>6235</v>
      </c>
      <c r="D51" s="1496" t="s">
        <v>6236</v>
      </c>
      <c r="E51" s="1496" t="s">
        <v>6224</v>
      </c>
      <c r="F51" s="1604" t="s">
        <v>6225</v>
      </c>
      <c r="G51" s="2041">
        <v>1</v>
      </c>
      <c r="H51" s="1638">
        <v>226.9</v>
      </c>
      <c r="I51" s="2097">
        <f t="shared" ref="I51:I52" si="9">H51*G51</f>
        <v>226.9</v>
      </c>
      <c r="J51" s="2130" t="s">
        <v>6316</v>
      </c>
      <c r="K51" s="717" t="s">
        <v>280</v>
      </c>
      <c r="R51" s="2118"/>
    </row>
    <row r="52" spans="1:18" ht="21.75" customHeight="1" x14ac:dyDescent="0.2">
      <c r="A52" s="1493" t="s">
        <v>6244</v>
      </c>
      <c r="B52" s="1499">
        <v>45376</v>
      </c>
      <c r="C52" s="1499" t="s">
        <v>6235</v>
      </c>
      <c r="D52" s="1496" t="s">
        <v>6236</v>
      </c>
      <c r="E52" s="1496" t="s">
        <v>5955</v>
      </c>
      <c r="F52" s="1604" t="s">
        <v>6225</v>
      </c>
      <c r="G52" s="2041">
        <v>1</v>
      </c>
      <c r="H52" s="1638">
        <v>170</v>
      </c>
      <c r="I52" s="2097">
        <f t="shared" si="9"/>
        <v>170</v>
      </c>
      <c r="J52" s="2130" t="s">
        <v>6316</v>
      </c>
      <c r="K52" s="717" t="s">
        <v>280</v>
      </c>
    </row>
    <row r="53" spans="1:18" ht="21.75" customHeight="1" x14ac:dyDescent="0.2">
      <c r="A53" s="1493" t="s">
        <v>6244</v>
      </c>
      <c r="B53" s="1499">
        <v>45376</v>
      </c>
      <c r="C53" s="1499" t="s">
        <v>6235</v>
      </c>
      <c r="D53" s="1496" t="s">
        <v>6236</v>
      </c>
      <c r="E53" s="1496" t="s">
        <v>6226</v>
      </c>
      <c r="F53" s="1604" t="s">
        <v>6186</v>
      </c>
      <c r="G53" s="2041">
        <v>5</v>
      </c>
      <c r="H53" s="1638">
        <v>33</v>
      </c>
      <c r="I53" s="2097">
        <f>H53*G53</f>
        <v>165</v>
      </c>
      <c r="J53" s="2130" t="s">
        <v>6316</v>
      </c>
      <c r="K53" s="717" t="s">
        <v>280</v>
      </c>
      <c r="R53" s="2118"/>
    </row>
    <row r="54" spans="1:18" ht="21.75" customHeight="1" x14ac:dyDescent="0.2">
      <c r="A54" s="1493"/>
      <c r="B54" s="1499"/>
      <c r="C54" s="1499"/>
      <c r="D54" s="1496"/>
      <c r="E54" s="1496"/>
      <c r="F54" s="1604"/>
      <c r="G54" s="2041"/>
      <c r="H54" s="1638"/>
      <c r="I54" s="2059">
        <f>SUM(I50:I53)</f>
        <v>561.9</v>
      </c>
      <c r="J54" s="2130"/>
      <c r="K54" s="717" t="s">
        <v>280</v>
      </c>
      <c r="R54" s="2118"/>
    </row>
    <row r="55" spans="1:18" ht="21.75" customHeight="1" x14ac:dyDescent="0.2">
      <c r="A55" s="1493"/>
      <c r="B55" s="1499"/>
      <c r="C55" s="1499"/>
      <c r="D55" s="1496"/>
      <c r="E55" s="1496"/>
      <c r="F55" s="1604"/>
      <c r="G55" s="2041"/>
      <c r="H55" s="1638"/>
      <c r="I55" s="2097"/>
      <c r="J55" s="2130"/>
      <c r="R55" s="2118"/>
    </row>
    <row r="56" spans="1:18" ht="21.75" customHeight="1" x14ac:dyDescent="0.2">
      <c r="A56" s="1493" t="s">
        <v>6245</v>
      </c>
      <c r="B56" s="1499">
        <v>45381</v>
      </c>
      <c r="C56" s="1499"/>
      <c r="D56" s="1496" t="s">
        <v>6236</v>
      </c>
      <c r="E56" s="1496" t="s">
        <v>6326</v>
      </c>
      <c r="F56" s="2058" t="s">
        <v>6186</v>
      </c>
      <c r="G56" s="2041">
        <v>1</v>
      </c>
      <c r="H56" s="1219">
        <v>3000</v>
      </c>
      <c r="I56" s="2059">
        <f t="shared" ref="I56" si="10">H56*G56</f>
        <v>3000</v>
      </c>
      <c r="J56" s="2130" t="s">
        <v>6334</v>
      </c>
      <c r="K56" t="s">
        <v>280</v>
      </c>
    </row>
    <row r="57" spans="1:18" ht="21.75" customHeight="1" x14ac:dyDescent="0.2">
      <c r="A57" s="1493"/>
      <c r="B57" s="1499"/>
      <c r="C57" s="1499"/>
      <c r="D57" s="1496"/>
      <c r="E57" s="1496"/>
      <c r="F57" s="1604"/>
      <c r="G57" s="2041"/>
      <c r="H57" s="1219"/>
      <c r="I57" s="2097"/>
      <c r="J57" s="2130"/>
    </row>
    <row r="58" spans="1:18" ht="21.75" customHeight="1" x14ac:dyDescent="0.2">
      <c r="A58" s="1493" t="s">
        <v>6244</v>
      </c>
      <c r="B58" s="1499">
        <v>45384</v>
      </c>
      <c r="C58" s="1499" t="s">
        <v>6234</v>
      </c>
      <c r="D58" s="1496" t="s">
        <v>6236</v>
      </c>
      <c r="E58" s="1496" t="s">
        <v>6226</v>
      </c>
      <c r="F58" s="1604" t="s">
        <v>6186</v>
      </c>
      <c r="G58" s="2041">
        <v>5</v>
      </c>
      <c r="H58" s="1638">
        <v>36.4</v>
      </c>
      <c r="I58" s="2097">
        <f>H58*G58</f>
        <v>182</v>
      </c>
      <c r="J58" s="2130" t="s">
        <v>6334</v>
      </c>
      <c r="K58" s="717" t="s">
        <v>280</v>
      </c>
      <c r="L58" s="3578" t="s">
        <v>6279</v>
      </c>
      <c r="M58" s="3578"/>
      <c r="N58" s="3578"/>
      <c r="O58" s="3578"/>
      <c r="P58" s="3578"/>
      <c r="Q58" s="3578"/>
    </row>
    <row r="59" spans="1:18" ht="21.75" customHeight="1" x14ac:dyDescent="0.2">
      <c r="A59" s="1493"/>
      <c r="B59" s="1499"/>
      <c r="C59" s="1499"/>
      <c r="D59" s="1496"/>
      <c r="E59" s="1496"/>
      <c r="F59" s="1604"/>
      <c r="G59" s="2041"/>
      <c r="H59" s="1219"/>
      <c r="I59" s="2097"/>
      <c r="J59" s="2130"/>
      <c r="L59" s="3573" t="s">
        <v>6252</v>
      </c>
      <c r="M59" s="3571" t="s">
        <v>382</v>
      </c>
      <c r="N59" s="3573" t="s">
        <v>6278</v>
      </c>
      <c r="O59" s="3583" t="s">
        <v>6277</v>
      </c>
      <c r="P59" s="3579" t="s">
        <v>6256</v>
      </c>
      <c r="Q59" s="3581" t="s">
        <v>6311</v>
      </c>
    </row>
    <row r="60" spans="1:18" ht="21.75" customHeight="1" x14ac:dyDescent="0.2">
      <c r="A60" s="1493" t="s">
        <v>6244</v>
      </c>
      <c r="B60" s="1499">
        <v>45385</v>
      </c>
      <c r="C60" s="1499" t="s">
        <v>6235</v>
      </c>
      <c r="D60" s="1496" t="s">
        <v>6222</v>
      </c>
      <c r="E60" s="1496" t="s">
        <v>6336</v>
      </c>
      <c r="F60" s="1604" t="s">
        <v>6225</v>
      </c>
      <c r="G60" s="2041">
        <v>2</v>
      </c>
      <c r="H60" s="1219">
        <v>48</v>
      </c>
      <c r="I60" s="2097">
        <f t="shared" ref="I60" si="11">H60*G60</f>
        <v>96</v>
      </c>
      <c r="J60" s="2130" t="s">
        <v>6334</v>
      </c>
      <c r="K60" t="s">
        <v>280</v>
      </c>
      <c r="L60" s="3574"/>
      <c r="M60" s="3572"/>
      <c r="N60" s="3574"/>
      <c r="O60" s="3584"/>
      <c r="P60" s="3580"/>
      <c r="Q60" s="3582"/>
    </row>
    <row r="61" spans="1:18" ht="21.75" customHeight="1" x14ac:dyDescent="0.2">
      <c r="A61" s="1493"/>
      <c r="B61" s="1499"/>
      <c r="C61" s="1499"/>
      <c r="D61" s="1496"/>
      <c r="E61" s="1496"/>
      <c r="F61" s="1604"/>
      <c r="G61" s="2041"/>
      <c r="H61" s="1219"/>
      <c r="I61" s="2097"/>
      <c r="J61" s="2130"/>
      <c r="L61" s="915">
        <v>45360</v>
      </c>
      <c r="M61" s="2119">
        <v>1609.8</v>
      </c>
      <c r="N61" s="1697" t="s">
        <v>6254</v>
      </c>
      <c r="O61" s="2120">
        <v>0</v>
      </c>
      <c r="P61" s="2121">
        <v>804.9</v>
      </c>
      <c r="Q61" s="2122"/>
    </row>
    <row r="62" spans="1:18" ht="21.75" customHeight="1" x14ac:dyDescent="0.2">
      <c r="A62" s="1493" t="s">
        <v>6244</v>
      </c>
      <c r="B62" s="1499">
        <v>45385</v>
      </c>
      <c r="C62" s="1499" t="s">
        <v>6234</v>
      </c>
      <c r="D62" s="1496" t="s">
        <v>6184</v>
      </c>
      <c r="E62" s="1496" t="s">
        <v>6339</v>
      </c>
      <c r="F62" s="1604" t="s">
        <v>6186</v>
      </c>
      <c r="G62" s="2041">
        <v>1</v>
      </c>
      <c r="H62" s="1219">
        <v>130</v>
      </c>
      <c r="I62" s="2097">
        <f t="shared" ref="I62:I69" si="12">H62*G62</f>
        <v>130</v>
      </c>
      <c r="J62" s="2130" t="s">
        <v>6334</v>
      </c>
      <c r="K62" t="s">
        <v>280</v>
      </c>
      <c r="L62" s="915">
        <v>45362</v>
      </c>
      <c r="M62" s="2119">
        <v>1258.0500000000002</v>
      </c>
      <c r="N62" s="1697" t="s">
        <v>6254</v>
      </c>
      <c r="O62" s="2120">
        <v>0</v>
      </c>
      <c r="P62" s="2121">
        <v>629.02500000000009</v>
      </c>
      <c r="Q62" s="2122"/>
    </row>
    <row r="63" spans="1:18" ht="21.75" customHeight="1" x14ac:dyDescent="0.2">
      <c r="A63" s="1493"/>
      <c r="B63" s="1499"/>
      <c r="C63" s="1499"/>
      <c r="D63" s="1496"/>
      <c r="E63" s="1496"/>
      <c r="F63" s="1604"/>
      <c r="G63" s="2041"/>
      <c r="H63" s="1219"/>
      <c r="I63" s="2097"/>
      <c r="J63" s="2130"/>
      <c r="L63" s="913">
        <v>45374</v>
      </c>
      <c r="M63" s="2079">
        <v>1890</v>
      </c>
      <c r="N63" s="1697" t="s">
        <v>6254</v>
      </c>
      <c r="O63" s="2068">
        <v>0</v>
      </c>
      <c r="P63" s="2073">
        <f>M63/2</f>
        <v>945</v>
      </c>
      <c r="Q63" s="2076">
        <f>M63/2</f>
        <v>945</v>
      </c>
    </row>
    <row r="64" spans="1:18" ht="21.75" customHeight="1" x14ac:dyDescent="0.2">
      <c r="A64" s="1493" t="s">
        <v>6244</v>
      </c>
      <c r="B64" s="1499">
        <v>45386</v>
      </c>
      <c r="C64" s="1499" t="s">
        <v>6235</v>
      </c>
      <c r="D64" s="1496" t="s">
        <v>6184</v>
      </c>
      <c r="E64" s="1496" t="s">
        <v>6224</v>
      </c>
      <c r="F64" s="1604" t="s">
        <v>6225</v>
      </c>
      <c r="G64" s="2041">
        <v>1</v>
      </c>
      <c r="H64" s="1638">
        <v>226.9</v>
      </c>
      <c r="I64" s="2127">
        <f t="shared" ref="I64:I65" si="13">H64*G64</f>
        <v>226.9</v>
      </c>
      <c r="J64" s="2130" t="s">
        <v>6316</v>
      </c>
      <c r="K64" s="717" t="s">
        <v>280</v>
      </c>
      <c r="L64" s="915" t="s">
        <v>6312</v>
      </c>
      <c r="M64" s="2079">
        <f>Q11+Q12</f>
        <v>1433.9250000000002</v>
      </c>
      <c r="N64" s="1697"/>
      <c r="O64" s="2068"/>
      <c r="P64" s="2073"/>
      <c r="Q64" s="2076"/>
      <c r="R64" s="2118"/>
    </row>
    <row r="65" spans="1:18" ht="21.75" customHeight="1" x14ac:dyDescent="0.2">
      <c r="A65" s="1493" t="s">
        <v>6244</v>
      </c>
      <c r="B65" s="1499">
        <v>45386</v>
      </c>
      <c r="C65" s="1499" t="s">
        <v>6235</v>
      </c>
      <c r="D65" s="1496" t="s">
        <v>6184</v>
      </c>
      <c r="E65" s="1496" t="s">
        <v>5955</v>
      </c>
      <c r="F65" s="1604" t="s">
        <v>6225</v>
      </c>
      <c r="G65" s="2124">
        <v>0.5</v>
      </c>
      <c r="H65" s="1638">
        <v>186</v>
      </c>
      <c r="I65" s="2127">
        <f t="shared" si="13"/>
        <v>93</v>
      </c>
      <c r="J65" s="2130" t="s">
        <v>6316</v>
      </c>
      <c r="K65" s="717" t="s">
        <v>280</v>
      </c>
      <c r="L65" s="2060"/>
      <c r="M65" s="2080"/>
      <c r="N65" s="1753"/>
      <c r="O65" s="2069"/>
      <c r="P65" s="2073"/>
      <c r="Q65" s="2076"/>
      <c r="R65" s="2118"/>
    </row>
    <row r="66" spans="1:18" ht="21.75" customHeight="1" x14ac:dyDescent="0.2">
      <c r="A66" s="1493" t="s">
        <v>6244</v>
      </c>
      <c r="B66" s="1499">
        <v>45386</v>
      </c>
      <c r="C66" s="1499" t="s">
        <v>6235</v>
      </c>
      <c r="D66" s="1496" t="s">
        <v>6184</v>
      </c>
      <c r="E66" s="1496" t="s">
        <v>6226</v>
      </c>
      <c r="F66" s="1604" t="s">
        <v>6186</v>
      </c>
      <c r="G66" s="2041">
        <v>5</v>
      </c>
      <c r="H66" s="1638">
        <v>33</v>
      </c>
      <c r="I66" s="2127">
        <f>H66*G66</f>
        <v>165</v>
      </c>
      <c r="J66" s="2130" t="s">
        <v>6316</v>
      </c>
      <c r="K66" s="717" t="s">
        <v>280</v>
      </c>
      <c r="L66" s="2065"/>
      <c r="M66" s="2081"/>
      <c r="N66" s="1746"/>
      <c r="O66" s="2070"/>
      <c r="P66" s="2073"/>
      <c r="Q66" s="2076"/>
    </row>
    <row r="67" spans="1:18" ht="21.75" customHeight="1" x14ac:dyDescent="0.2">
      <c r="A67" s="1493"/>
      <c r="B67" s="1499"/>
      <c r="C67" s="1499"/>
      <c r="D67" s="1496"/>
      <c r="E67" s="1496"/>
      <c r="F67" s="1604"/>
      <c r="G67" s="2041"/>
      <c r="H67" s="1638"/>
      <c r="I67" s="2059">
        <f>SUM(I64:I66)</f>
        <v>484.9</v>
      </c>
      <c r="J67" s="2130"/>
      <c r="L67" s="2083" t="s">
        <v>772</v>
      </c>
      <c r="M67" s="2082">
        <f>SUM(M60:M63)-M64</f>
        <v>3323.9250000000002</v>
      </c>
      <c r="N67" s="911"/>
      <c r="O67" s="2071">
        <f>SUM(O60:O66)</f>
        <v>0</v>
      </c>
      <c r="P67" s="2074">
        <f>SUM(P61:P66)</f>
        <v>2378.9250000000002</v>
      </c>
      <c r="Q67" s="2077">
        <f>SUM(Q60:Q66)</f>
        <v>945</v>
      </c>
      <c r="R67" s="2118"/>
    </row>
    <row r="68" spans="1:18" ht="21.75" customHeight="1" x14ac:dyDescent="0.2">
      <c r="A68" s="1493"/>
      <c r="B68" s="1499"/>
      <c r="C68" s="1499"/>
      <c r="D68" s="1496"/>
      <c r="E68" s="1496"/>
      <c r="F68" s="1604"/>
      <c r="G68" s="2041"/>
      <c r="H68" s="1219"/>
      <c r="I68" s="2097"/>
      <c r="J68" s="2130"/>
      <c r="L68" s="3589" t="s">
        <v>3771</v>
      </c>
      <c r="M68" s="3590"/>
      <c r="N68" s="3591"/>
      <c r="O68" s="2066">
        <f>O61+O62+O65</f>
        <v>0</v>
      </c>
      <c r="P68" s="2066">
        <f>P67/2</f>
        <v>1189.4625000000001</v>
      </c>
      <c r="Q68" s="2066">
        <f>Q67/2</f>
        <v>472.5</v>
      </c>
    </row>
    <row r="69" spans="1:18" ht="21.75" customHeight="1" x14ac:dyDescent="0.2">
      <c r="A69" s="1493" t="s">
        <v>6245</v>
      </c>
      <c r="B69" s="1499">
        <v>45387</v>
      </c>
      <c r="C69" s="1499"/>
      <c r="D69" s="1496" t="s">
        <v>6236</v>
      </c>
      <c r="E69" s="1496" t="s">
        <v>6326</v>
      </c>
      <c r="F69" s="2058" t="s">
        <v>6186</v>
      </c>
      <c r="G69" s="2041">
        <v>1</v>
      </c>
      <c r="H69" s="1219">
        <v>1500</v>
      </c>
      <c r="I69" s="2059">
        <f t="shared" si="12"/>
        <v>1500</v>
      </c>
      <c r="J69" s="2130" t="s">
        <v>6334</v>
      </c>
      <c r="K69" s="717" t="s">
        <v>280</v>
      </c>
      <c r="L69" s="3592" t="s">
        <v>3806</v>
      </c>
      <c r="M69" s="3593"/>
      <c r="N69" s="3594"/>
      <c r="O69" s="2061">
        <f>O66</f>
        <v>0</v>
      </c>
      <c r="P69" s="2061">
        <f>P67-P68</f>
        <v>1189.4625000000001</v>
      </c>
      <c r="Q69" s="2061">
        <f>Q67-Q68</f>
        <v>472.5</v>
      </c>
    </row>
    <row r="70" spans="1:18" ht="21.75" customHeight="1" x14ac:dyDescent="0.2">
      <c r="A70" s="1493"/>
      <c r="B70" s="1499"/>
      <c r="C70" s="1499"/>
      <c r="D70" s="1496"/>
      <c r="E70" s="1496"/>
      <c r="F70" s="1604"/>
      <c r="G70" s="2041"/>
      <c r="H70" s="1219"/>
      <c r="I70" s="2097"/>
      <c r="J70" s="2130"/>
      <c r="L70" s="2137"/>
      <c r="M70" s="2137"/>
      <c r="N70" s="2137"/>
    </row>
    <row r="71" spans="1:18" ht="21.75" customHeight="1" x14ac:dyDescent="0.2">
      <c r="A71" s="1493" t="s">
        <v>6245</v>
      </c>
      <c r="B71" s="1499">
        <v>45395</v>
      </c>
      <c r="C71" s="1499"/>
      <c r="D71" s="1496" t="s">
        <v>6236</v>
      </c>
      <c r="E71" s="1496" t="s">
        <v>6410</v>
      </c>
      <c r="F71" s="2058" t="s">
        <v>6186</v>
      </c>
      <c r="G71" s="2041">
        <v>1</v>
      </c>
      <c r="H71" s="1219">
        <v>1500</v>
      </c>
      <c r="I71" s="2059">
        <f t="shared" ref="I71" si="14">H71*G71</f>
        <v>1500</v>
      </c>
      <c r="J71" s="2130" t="s">
        <v>6334</v>
      </c>
      <c r="K71" s="717" t="s">
        <v>280</v>
      </c>
    </row>
    <row r="72" spans="1:18" ht="21.75" customHeight="1" thickBot="1" x14ac:dyDescent="0.25">
      <c r="A72" s="17"/>
      <c r="B72" s="1500"/>
      <c r="C72" s="1500"/>
      <c r="D72" s="1501"/>
      <c r="E72" s="1501"/>
      <c r="F72" s="1609"/>
      <c r="G72" s="2234"/>
      <c r="H72" s="400"/>
      <c r="I72" s="2204"/>
      <c r="J72" s="2131"/>
    </row>
    <row r="73" spans="1:18" ht="21.75" customHeight="1" thickBot="1" x14ac:dyDescent="0.25">
      <c r="A73" s="3586" t="s">
        <v>772</v>
      </c>
      <c r="B73" s="3587"/>
      <c r="C73" s="3587"/>
      <c r="D73" s="3587"/>
      <c r="E73" s="3587"/>
      <c r="F73" s="3587"/>
      <c r="G73" s="3587"/>
      <c r="H73" s="3588"/>
      <c r="I73" s="448">
        <f>I10+I14+I20+I25+I27+I31+I36+I38+I43+I49+I54+I56+I58+I60+I62+I67+I69+I71</f>
        <v>20891.620000000003</v>
      </c>
    </row>
    <row r="74" spans="1:18" ht="21.75" customHeight="1" x14ac:dyDescent="0.2">
      <c r="A74" s="24"/>
      <c r="B74" s="717"/>
      <c r="C74" s="717"/>
      <c r="D74" s="717"/>
      <c r="E74" s="717"/>
      <c r="F74" s="1606"/>
      <c r="G74" s="1606"/>
      <c r="H74" s="1"/>
      <c r="I74" s="1"/>
    </row>
    <row r="75" spans="1:18" ht="21.75" customHeight="1" x14ac:dyDescent="0.2">
      <c r="A75" s="24"/>
      <c r="B75" s="24"/>
      <c r="C75" s="24"/>
      <c r="D75" s="24"/>
      <c r="E75" s="3109" t="s">
        <v>5893</v>
      </c>
      <c r="F75" s="3109"/>
      <c r="G75" s="3109"/>
      <c r="H75" s="3109"/>
      <c r="I75" s="401">
        <f>SUMIF($A$3:$A$72,"MO",$I$3:$I$72)</f>
        <v>11000</v>
      </c>
      <c r="J75" s="2216">
        <f>I75/I77</f>
        <v>0.52652690408881653</v>
      </c>
    </row>
    <row r="76" spans="1:18" ht="21.75" customHeight="1" x14ac:dyDescent="0.2">
      <c r="A76" s="24"/>
      <c r="B76" s="717"/>
      <c r="C76" s="717"/>
      <c r="D76" s="717"/>
      <c r="E76" s="1505"/>
      <c r="F76" s="1505"/>
      <c r="G76" s="3102" t="s">
        <v>6250</v>
      </c>
      <c r="H76" s="3102"/>
      <c r="I76" s="401">
        <f>SUMIF($A$3:$A$72,"MAT",$I$3:$I$72)</f>
        <v>9891.619999999999</v>
      </c>
      <c r="J76" s="2216">
        <f>I76/I77</f>
        <v>0.47347309591118353</v>
      </c>
    </row>
    <row r="77" spans="1:18" ht="21.75" customHeight="1" x14ac:dyDescent="0.2">
      <c r="A77" s="24"/>
      <c r="B77" s="717"/>
      <c r="C77" s="717"/>
      <c r="D77" s="717"/>
      <c r="E77" s="1505"/>
      <c r="F77" s="1505"/>
      <c r="G77" s="3513" t="s">
        <v>772</v>
      </c>
      <c r="H77" s="3513"/>
      <c r="I77" s="231">
        <f>SUM(I75:I76)</f>
        <v>20891.62</v>
      </c>
    </row>
    <row r="78" spans="1:18" ht="21.75" customHeight="1" x14ac:dyDescent="0.2">
      <c r="A78" s="24"/>
      <c r="B78" s="717"/>
      <c r="C78" s="717"/>
      <c r="D78" s="717"/>
      <c r="E78" s="3568" t="s">
        <v>6276</v>
      </c>
      <c r="F78" s="3568"/>
      <c r="G78" s="3568"/>
      <c r="H78" s="3568"/>
      <c r="I78" s="617">
        <f>I77/2</f>
        <v>10445.81</v>
      </c>
    </row>
    <row r="79" spans="1:18" s="32" customFormat="1" ht="21.75" customHeight="1" x14ac:dyDescent="0.2">
      <c r="A79" s="24"/>
      <c r="B79" s="717"/>
      <c r="C79" s="717"/>
      <c r="D79" s="717"/>
      <c r="J79"/>
      <c r="L79" s="31"/>
      <c r="M79" s="31"/>
      <c r="N79" s="31"/>
    </row>
    <row r="80" spans="1:18" ht="21.75" customHeight="1" thickBot="1" x14ac:dyDescent="0.25"/>
    <row r="81" spans="1:16" ht="27" thickBot="1" x14ac:dyDescent="0.45">
      <c r="A81" s="3104" t="s">
        <v>7406</v>
      </c>
      <c r="B81" s="3105"/>
      <c r="C81" s="3105"/>
      <c r="D81" s="3105"/>
      <c r="E81" s="3105"/>
      <c r="F81" s="3105"/>
      <c r="G81" s="3105"/>
      <c r="H81" s="3105"/>
      <c r="I81" s="3105"/>
      <c r="J81" s="3509"/>
      <c r="K81" s="2084"/>
    </row>
    <row r="82" spans="1:16" ht="40.5" customHeight="1" thickBot="1" x14ac:dyDescent="0.25">
      <c r="A82" s="8" t="s">
        <v>5546</v>
      </c>
      <c r="B82" s="11" t="s">
        <v>721</v>
      </c>
      <c r="C82" s="11" t="s">
        <v>6233</v>
      </c>
      <c r="D82" s="75" t="s">
        <v>6183</v>
      </c>
      <c r="E82" s="75" t="s">
        <v>722</v>
      </c>
      <c r="F82" s="2040" t="s">
        <v>6186</v>
      </c>
      <c r="G82" s="11" t="s">
        <v>723</v>
      </c>
      <c r="H82" s="398" t="s">
        <v>724</v>
      </c>
      <c r="I82" s="2047" t="s">
        <v>725</v>
      </c>
      <c r="J82" s="75" t="s">
        <v>6227</v>
      </c>
      <c r="K82" s="32"/>
    </row>
    <row r="83" spans="1:16" ht="21.75" customHeight="1" x14ac:dyDescent="0.2">
      <c r="A83" s="1611"/>
      <c r="B83" s="2048">
        <v>45692</v>
      </c>
      <c r="C83" s="1490" t="s">
        <v>6234</v>
      </c>
      <c r="D83" s="1491" t="s">
        <v>7361</v>
      </c>
      <c r="E83" s="1491" t="s">
        <v>757</v>
      </c>
      <c r="F83" s="1604" t="s">
        <v>6186</v>
      </c>
      <c r="G83" s="2050">
        <v>5</v>
      </c>
      <c r="H83" s="2051">
        <v>35</v>
      </c>
      <c r="I83" s="2052">
        <f>H83*G83</f>
        <v>175</v>
      </c>
      <c r="J83" s="2593" t="s">
        <v>6228</v>
      </c>
    </row>
    <row r="84" spans="1:16" ht="21.75" customHeight="1" x14ac:dyDescent="0.2">
      <c r="A84" s="1613"/>
      <c r="B84" s="1499">
        <v>45692</v>
      </c>
      <c r="C84" s="1499" t="s">
        <v>6234</v>
      </c>
      <c r="D84" s="1491" t="s">
        <v>7361</v>
      </c>
      <c r="E84" s="1496" t="s">
        <v>7380</v>
      </c>
      <c r="F84" s="1604" t="s">
        <v>6186</v>
      </c>
      <c r="G84" s="2041">
        <v>30</v>
      </c>
      <c r="H84" s="399">
        <v>5.85</v>
      </c>
      <c r="I84" s="570">
        <f>H84*G84</f>
        <v>175.5</v>
      </c>
      <c r="J84" s="2594" t="s">
        <v>6228</v>
      </c>
    </row>
    <row r="85" spans="1:16" ht="21.75" customHeight="1" x14ac:dyDescent="0.2">
      <c r="A85" s="1493" t="s">
        <v>6244</v>
      </c>
      <c r="B85" s="1499"/>
      <c r="C85" s="1499"/>
      <c r="D85" s="1496"/>
      <c r="E85" s="1496"/>
      <c r="F85" s="2058"/>
      <c r="G85" s="2041"/>
      <c r="H85" s="1219"/>
      <c r="I85" s="2059">
        <f>SUM(I83:I84)</f>
        <v>350.5</v>
      </c>
      <c r="J85" s="2606" t="s">
        <v>6668</v>
      </c>
      <c r="K85" s="717"/>
    </row>
    <row r="86" spans="1:16" ht="21.75" customHeight="1" x14ac:dyDescent="0.2">
      <c r="A86" s="1493"/>
      <c r="B86" s="1499"/>
      <c r="C86" s="1499"/>
      <c r="D86" s="1496"/>
      <c r="E86" s="1496"/>
      <c r="F86" s="2058"/>
      <c r="G86" s="2041"/>
      <c r="H86" s="1219"/>
      <c r="I86" s="2059"/>
      <c r="J86" s="2130"/>
      <c r="K86" s="717"/>
    </row>
    <row r="87" spans="1:16" ht="21.75" customHeight="1" x14ac:dyDescent="0.2">
      <c r="B87" s="1499">
        <v>45694</v>
      </c>
      <c r="C87" s="1499" t="s">
        <v>6442</v>
      </c>
      <c r="D87" s="1491" t="s">
        <v>7361</v>
      </c>
      <c r="E87" s="1496" t="s">
        <v>7381</v>
      </c>
      <c r="F87" s="2199" t="s">
        <v>6186</v>
      </c>
      <c r="G87" s="2200">
        <v>30</v>
      </c>
      <c r="H87" s="1638">
        <v>23</v>
      </c>
      <c r="I87" s="2127">
        <f>H87*G87</f>
        <v>690</v>
      </c>
      <c r="J87" s="2130"/>
      <c r="K87" s="746"/>
      <c r="L87" s="717"/>
    </row>
    <row r="88" spans="1:16" ht="21.75" customHeight="1" x14ac:dyDescent="0.2">
      <c r="A88" s="1493"/>
      <c r="B88" s="1499">
        <v>45694</v>
      </c>
      <c r="C88" s="1499" t="s">
        <v>6442</v>
      </c>
      <c r="D88" s="1491" t="s">
        <v>7361</v>
      </c>
      <c r="E88" s="1496" t="s">
        <v>7396</v>
      </c>
      <c r="F88" s="2199" t="s">
        <v>6186</v>
      </c>
      <c r="G88" s="2200">
        <v>1</v>
      </c>
      <c r="H88" s="1638">
        <v>84</v>
      </c>
      <c r="I88" s="2127">
        <f>H88*G88</f>
        <v>84</v>
      </c>
      <c r="J88" s="2130"/>
      <c r="K88" s="717"/>
    </row>
    <row r="89" spans="1:16" ht="21.75" customHeight="1" x14ac:dyDescent="0.2">
      <c r="A89" s="1493" t="s">
        <v>6244</v>
      </c>
      <c r="B89" s="1499"/>
      <c r="C89" s="1499"/>
      <c r="D89" s="1496"/>
      <c r="E89" s="1496"/>
      <c r="F89" s="2058"/>
      <c r="G89" s="2041"/>
      <c r="H89" s="1219"/>
      <c r="I89" s="2209">
        <f>SUM(I87:I88)</f>
        <v>774</v>
      </c>
      <c r="J89" s="2606" t="s">
        <v>6668</v>
      </c>
      <c r="K89" s="717"/>
    </row>
    <row r="90" spans="1:16" ht="21.75" customHeight="1" x14ac:dyDescent="0.2">
      <c r="A90" s="1493"/>
      <c r="B90" s="1499"/>
      <c r="C90" s="1499"/>
      <c r="D90" s="1496"/>
      <c r="E90" s="1496"/>
      <c r="F90" s="1604"/>
      <c r="G90" s="2041"/>
      <c r="H90" s="1219"/>
      <c r="I90" s="2097"/>
      <c r="J90" s="2130"/>
      <c r="L90" s="981" t="s">
        <v>7398</v>
      </c>
      <c r="M90" s="2137"/>
      <c r="N90" s="2137"/>
    </row>
    <row r="91" spans="1:16" ht="21.75" customHeight="1" x14ac:dyDescent="0.2">
      <c r="A91" s="1611"/>
      <c r="B91" s="2048">
        <v>45694</v>
      </c>
      <c r="C91" s="1490" t="s">
        <v>6234</v>
      </c>
      <c r="D91" s="1491" t="s">
        <v>7361</v>
      </c>
      <c r="E91" s="1491" t="s">
        <v>5956</v>
      </c>
      <c r="F91" s="1604" t="s">
        <v>6186</v>
      </c>
      <c r="G91" s="2050">
        <v>170</v>
      </c>
      <c r="H91" s="2051">
        <v>1.4</v>
      </c>
      <c r="I91" s="2592">
        <f>H91*G91</f>
        <v>237.99999999999997</v>
      </c>
      <c r="J91" s="2588"/>
      <c r="K91" s="746"/>
      <c r="L91" s="51" t="s">
        <v>6317</v>
      </c>
      <c r="M91" s="239">
        <v>4</v>
      </c>
      <c r="N91" s="2591">
        <f>M91*G91</f>
        <v>680</v>
      </c>
      <c r="O91" s="1152">
        <f>I91-N91</f>
        <v>-442</v>
      </c>
      <c r="P91" s="717" t="s">
        <v>7399</v>
      </c>
    </row>
    <row r="92" spans="1:16" ht="21.75" customHeight="1" x14ac:dyDescent="0.2">
      <c r="A92" s="1613"/>
      <c r="B92" s="2048">
        <v>45694</v>
      </c>
      <c r="C92" s="1499" t="s">
        <v>6234</v>
      </c>
      <c r="D92" s="1491" t="s">
        <v>7361</v>
      </c>
      <c r="E92" s="1496" t="s">
        <v>7150</v>
      </c>
      <c r="F92" s="1604" t="s">
        <v>6186</v>
      </c>
      <c r="G92" s="2041">
        <v>2</v>
      </c>
      <c r="H92" s="399">
        <v>19</v>
      </c>
      <c r="I92" s="570">
        <f>H92*G92</f>
        <v>38</v>
      </c>
      <c r="J92" s="2589"/>
      <c r="K92" s="717"/>
    </row>
    <row r="93" spans="1:16" ht="21.75" customHeight="1" x14ac:dyDescent="0.2">
      <c r="A93" s="1613"/>
      <c r="B93" s="2048">
        <v>45694</v>
      </c>
      <c r="C93" s="1499" t="s">
        <v>6234</v>
      </c>
      <c r="D93" s="1491" t="s">
        <v>7361</v>
      </c>
      <c r="E93" s="1496" t="s">
        <v>7392</v>
      </c>
      <c r="F93" s="1604" t="s">
        <v>6186</v>
      </c>
      <c r="G93" s="2041">
        <v>1</v>
      </c>
      <c r="H93" s="399">
        <v>18</v>
      </c>
      <c r="I93" s="570">
        <f>H93*G93</f>
        <v>18</v>
      </c>
      <c r="J93" s="2589"/>
      <c r="K93" s="717"/>
    </row>
    <row r="94" spans="1:16" ht="21.75" customHeight="1" x14ac:dyDescent="0.2">
      <c r="A94" s="1613"/>
      <c r="B94" s="2048">
        <v>45694</v>
      </c>
      <c r="C94" s="1499" t="s">
        <v>6234</v>
      </c>
      <c r="D94" s="1491" t="s">
        <v>7361</v>
      </c>
      <c r="E94" s="1496" t="s">
        <v>7394</v>
      </c>
      <c r="F94" s="1604" t="s">
        <v>6186</v>
      </c>
      <c r="G94" s="2041">
        <v>30</v>
      </c>
      <c r="H94" s="399">
        <v>1.9</v>
      </c>
      <c r="I94" s="570">
        <f>H94*G94</f>
        <v>57</v>
      </c>
      <c r="J94" s="2589"/>
      <c r="K94" s="717"/>
    </row>
    <row r="95" spans="1:16" ht="21.75" customHeight="1" x14ac:dyDescent="0.2">
      <c r="A95" s="1613"/>
      <c r="B95" s="2048">
        <v>45694</v>
      </c>
      <c r="C95" s="1499" t="s">
        <v>6234</v>
      </c>
      <c r="D95" s="1491" t="s">
        <v>7361</v>
      </c>
      <c r="E95" s="1496" t="s">
        <v>7395</v>
      </c>
      <c r="F95" s="1604" t="s">
        <v>6186</v>
      </c>
      <c r="G95" s="2041">
        <v>1</v>
      </c>
      <c r="H95" s="399">
        <v>90</v>
      </c>
      <c r="I95" s="570">
        <f>H95*G95</f>
        <v>90</v>
      </c>
      <c r="J95" s="2589"/>
      <c r="K95" s="717"/>
    </row>
    <row r="96" spans="1:16" ht="21.75" customHeight="1" x14ac:dyDescent="0.2">
      <c r="A96" s="1493" t="s">
        <v>6244</v>
      </c>
      <c r="B96" s="1499"/>
      <c r="C96" s="1499"/>
      <c r="D96" s="1496"/>
      <c r="E96" s="1496"/>
      <c r="F96" s="2058"/>
      <c r="G96" s="2041"/>
      <c r="H96" s="1219"/>
      <c r="I96" s="2209">
        <f>SUM(I91:I95)</f>
        <v>441</v>
      </c>
      <c r="J96" s="2606" t="s">
        <v>6668</v>
      </c>
      <c r="K96" s="746"/>
    </row>
    <row r="97" spans="1:17" ht="21.75" customHeight="1" x14ac:dyDescent="0.2">
      <c r="A97" s="1611"/>
      <c r="B97" s="1490"/>
      <c r="C97" s="1490"/>
      <c r="D97" s="1491"/>
      <c r="E97" s="1491"/>
      <c r="F97" s="2058"/>
      <c r="G97" s="2132"/>
      <c r="H97" s="1548"/>
      <c r="I97" s="2590"/>
      <c r="J97" s="2129"/>
      <c r="K97" s="746"/>
    </row>
    <row r="98" spans="1:17" ht="21.75" customHeight="1" x14ac:dyDescent="0.2">
      <c r="A98" s="1493"/>
      <c r="B98" s="1499">
        <v>45695</v>
      </c>
      <c r="C98" s="1499" t="s">
        <v>6234</v>
      </c>
      <c r="D98" s="1496" t="s">
        <v>7145</v>
      </c>
      <c r="E98" s="1496" t="s">
        <v>7401</v>
      </c>
      <c r="F98" s="1604" t="s">
        <v>6186</v>
      </c>
      <c r="G98" s="2041">
        <v>30</v>
      </c>
      <c r="H98" s="1638">
        <v>5.85</v>
      </c>
      <c r="I98" s="2127">
        <f>H98*G98</f>
        <v>175.5</v>
      </c>
      <c r="J98" s="2526"/>
      <c r="K98" s="746"/>
      <c r="L98" s="2344"/>
      <c r="M98" s="2344"/>
    </row>
    <row r="99" spans="1:17" ht="21.75" customHeight="1" x14ac:dyDescent="0.2">
      <c r="B99" s="1499">
        <v>45695</v>
      </c>
      <c r="C99" s="1499" t="s">
        <v>6234</v>
      </c>
      <c r="D99" s="1491" t="s">
        <v>7361</v>
      </c>
      <c r="E99" s="1496" t="s">
        <v>7400</v>
      </c>
      <c r="F99" s="2199" t="s">
        <v>6186</v>
      </c>
      <c r="G99" s="2200">
        <v>6</v>
      </c>
      <c r="H99" s="1638">
        <v>27.95</v>
      </c>
      <c r="I99" s="2127">
        <f>H99*G99</f>
        <v>167.7</v>
      </c>
      <c r="J99" s="2130"/>
      <c r="K99" s="746"/>
      <c r="L99" s="717"/>
    </row>
    <row r="100" spans="1:17" ht="21.75" customHeight="1" x14ac:dyDescent="0.2">
      <c r="A100" s="1613"/>
      <c r="B100" s="2048">
        <v>45695</v>
      </c>
      <c r="C100" s="1490" t="s">
        <v>6234</v>
      </c>
      <c r="D100" s="1491" t="s">
        <v>7361</v>
      </c>
      <c r="E100" s="1491" t="s">
        <v>757</v>
      </c>
      <c r="F100" s="1604" t="s">
        <v>6186</v>
      </c>
      <c r="G100" s="2050">
        <v>3</v>
      </c>
      <c r="H100" s="2051">
        <v>33</v>
      </c>
      <c r="I100" s="2592">
        <f>H100*G100</f>
        <v>99</v>
      </c>
      <c r="J100" s="2589"/>
      <c r="K100" s="717"/>
    </row>
    <row r="101" spans="1:17" ht="21.75" customHeight="1" x14ac:dyDescent="0.2">
      <c r="A101" s="1493" t="s">
        <v>6244</v>
      </c>
      <c r="B101" s="1499"/>
      <c r="C101" s="1499"/>
      <c r="D101" s="1496"/>
      <c r="E101" s="1496"/>
      <c r="F101" s="2058"/>
      <c r="G101" s="2041"/>
      <c r="H101" s="1219"/>
      <c r="I101" s="2209">
        <f>SUM(I98:I100)</f>
        <v>442.2</v>
      </c>
      <c r="J101" s="2606" t="s">
        <v>6668</v>
      </c>
      <c r="K101" s="746"/>
    </row>
    <row r="102" spans="1:17" ht="21.75" customHeight="1" x14ac:dyDescent="0.2">
      <c r="A102" s="1493"/>
      <c r="B102" s="1499"/>
      <c r="C102" s="1499"/>
      <c r="D102" s="1496"/>
      <c r="E102" s="1496"/>
      <c r="F102" s="2058"/>
      <c r="G102" s="2041"/>
      <c r="H102" s="1219"/>
      <c r="I102" s="2209"/>
      <c r="J102" s="2130"/>
      <c r="K102" s="746"/>
    </row>
    <row r="103" spans="1:17" ht="21.75" customHeight="1" x14ac:dyDescent="0.2">
      <c r="A103" s="1493" t="s">
        <v>6244</v>
      </c>
      <c r="B103" s="2048">
        <v>45695</v>
      </c>
      <c r="C103" s="1490" t="s">
        <v>7397</v>
      </c>
      <c r="D103" s="1491" t="s">
        <v>7361</v>
      </c>
      <c r="E103" s="1491" t="s">
        <v>7393</v>
      </c>
      <c r="F103" s="1604" t="s">
        <v>6186</v>
      </c>
      <c r="G103" s="2050">
        <v>50</v>
      </c>
      <c r="H103" s="2051">
        <v>3.9</v>
      </c>
      <c r="I103" s="2590">
        <f>H103*G103</f>
        <v>195</v>
      </c>
      <c r="J103" s="2606" t="s">
        <v>6668</v>
      </c>
      <c r="K103" s="746"/>
    </row>
    <row r="104" spans="1:17" ht="21.75" customHeight="1" x14ac:dyDescent="0.2">
      <c r="A104" s="1493"/>
      <c r="B104" s="2048"/>
      <c r="C104" s="1490"/>
      <c r="D104" s="1491"/>
      <c r="E104" s="1491"/>
      <c r="F104" s="1604"/>
      <c r="G104" s="2050"/>
      <c r="H104" s="2051"/>
      <c r="I104" s="2590"/>
      <c r="J104" s="2588"/>
      <c r="K104" s="746"/>
    </row>
    <row r="105" spans="1:17" ht="21.75" customHeight="1" x14ac:dyDescent="0.2">
      <c r="A105" s="1493" t="s">
        <v>6245</v>
      </c>
      <c r="B105" s="1499">
        <v>45696</v>
      </c>
      <c r="C105" s="1499"/>
      <c r="D105" s="1491" t="s">
        <v>7361</v>
      </c>
      <c r="E105" s="1496" t="s">
        <v>7405</v>
      </c>
      <c r="F105" s="2058" t="s">
        <v>6186</v>
      </c>
      <c r="G105" s="2041">
        <v>1</v>
      </c>
      <c r="H105" s="1219">
        <v>1750</v>
      </c>
      <c r="I105" s="2209">
        <f>H105*G105</f>
        <v>1750</v>
      </c>
      <c r="J105" s="2606" t="s">
        <v>6668</v>
      </c>
      <c r="K105" s="717" t="s">
        <v>280</v>
      </c>
      <c r="L105" s="24">
        <v>3500</v>
      </c>
    </row>
    <row r="106" spans="1:17" ht="21.75" customHeight="1" x14ac:dyDescent="0.2">
      <c r="A106" s="1493"/>
      <c r="B106" s="1499"/>
      <c r="C106" s="1499"/>
      <c r="D106" s="1491"/>
      <c r="E106" s="1496"/>
      <c r="F106" s="2058"/>
      <c r="G106" s="2041"/>
      <c r="H106" s="1219"/>
      <c r="I106" s="2209"/>
      <c r="J106" s="2130"/>
      <c r="K106" s="717"/>
      <c r="L106" s="51" t="s">
        <v>280</v>
      </c>
    </row>
    <row r="107" spans="1:17" ht="21.75" customHeight="1" x14ac:dyDescent="0.2">
      <c r="A107" s="1493"/>
      <c r="B107" s="1499">
        <v>45698</v>
      </c>
      <c r="C107" s="1490" t="s">
        <v>7397</v>
      </c>
      <c r="D107" s="1491" t="s">
        <v>7361</v>
      </c>
      <c r="E107" s="1496" t="s">
        <v>6624</v>
      </c>
      <c r="F107" s="1604" t="s">
        <v>6225</v>
      </c>
      <c r="G107" s="2041">
        <v>1</v>
      </c>
      <c r="H107" s="1638">
        <v>248</v>
      </c>
      <c r="I107" s="2127">
        <f>H107*G107</f>
        <v>248</v>
      </c>
      <c r="J107" s="2197"/>
      <c r="L107" s="2139"/>
      <c r="M107" s="2139"/>
      <c r="N107" s="2139"/>
      <c r="O107" s="1704"/>
      <c r="P107" s="1704"/>
      <c r="Q107" s="1704"/>
    </row>
    <row r="108" spans="1:17" ht="21.75" customHeight="1" x14ac:dyDescent="0.2">
      <c r="A108" s="1493"/>
      <c r="B108" s="1499">
        <v>45698</v>
      </c>
      <c r="C108" s="1490" t="s">
        <v>7397</v>
      </c>
      <c r="D108" s="1491" t="s">
        <v>7361</v>
      </c>
      <c r="E108" s="1496" t="s">
        <v>7404</v>
      </c>
      <c r="F108" s="1604" t="s">
        <v>6186</v>
      </c>
      <c r="G108" s="2595">
        <v>0.5</v>
      </c>
      <c r="H108" s="1638">
        <v>264</v>
      </c>
      <c r="I108" s="2127">
        <f>H108*G108</f>
        <v>132</v>
      </c>
      <c r="J108" s="2526"/>
      <c r="K108" s="746"/>
      <c r="L108" s="2344"/>
      <c r="M108" s="2344"/>
    </row>
    <row r="109" spans="1:17" ht="21.75" customHeight="1" x14ac:dyDescent="0.2">
      <c r="A109" s="1493" t="s">
        <v>6244</v>
      </c>
      <c r="B109" s="2048"/>
      <c r="C109" s="1490"/>
      <c r="D109" s="1491"/>
      <c r="E109" s="1491"/>
      <c r="F109" s="1604"/>
      <c r="G109" s="2050"/>
      <c r="H109" s="2051"/>
      <c r="I109" s="2590">
        <f>SUM(I107:I108)</f>
        <v>380</v>
      </c>
      <c r="J109" s="2606" t="s">
        <v>6668</v>
      </c>
      <c r="K109" s="746"/>
    </row>
    <row r="110" spans="1:17" ht="21.75" customHeight="1" x14ac:dyDescent="0.2">
      <c r="A110" s="1493"/>
      <c r="B110" s="2048"/>
      <c r="C110" s="1490"/>
      <c r="D110" s="1491"/>
      <c r="E110" s="1491"/>
      <c r="F110" s="1604"/>
      <c r="G110" s="2050"/>
      <c r="H110" s="2051"/>
      <c r="I110" s="2590"/>
      <c r="J110" s="2588"/>
      <c r="K110" s="746"/>
    </row>
    <row r="111" spans="1:17" ht="21.75" customHeight="1" x14ac:dyDescent="0.2">
      <c r="A111" s="1613"/>
      <c r="B111" s="1499">
        <v>45700</v>
      </c>
      <c r="C111" s="1490" t="s">
        <v>7397</v>
      </c>
      <c r="D111" s="1491" t="s">
        <v>7361</v>
      </c>
      <c r="E111" s="1491" t="s">
        <v>757</v>
      </c>
      <c r="F111" s="1604" t="s">
        <v>6186</v>
      </c>
      <c r="G111" s="2050">
        <v>5</v>
      </c>
      <c r="H111" s="2051">
        <v>32</v>
      </c>
      <c r="I111" s="2592">
        <f>H111*G111</f>
        <v>160</v>
      </c>
      <c r="J111" s="2589"/>
      <c r="K111" s="717"/>
    </row>
    <row r="112" spans="1:17" ht="21.75" customHeight="1" x14ac:dyDescent="0.2">
      <c r="A112" s="1493"/>
      <c r="B112" s="1499">
        <v>45700</v>
      </c>
      <c r="C112" s="1490" t="s">
        <v>7397</v>
      </c>
      <c r="D112" s="1496" t="s">
        <v>7361</v>
      </c>
      <c r="E112" s="1496" t="s">
        <v>7408</v>
      </c>
      <c r="F112" s="1604" t="s">
        <v>6186</v>
      </c>
      <c r="G112" s="2041">
        <v>1</v>
      </c>
      <c r="H112" s="1638">
        <v>20</v>
      </c>
      <c r="I112" s="2127">
        <f>H112*G112</f>
        <v>20</v>
      </c>
      <c r="J112" s="2526"/>
      <c r="K112" s="746"/>
      <c r="L112" s="2344"/>
      <c r="M112" s="2344"/>
    </row>
    <row r="113" spans="1:17" ht="21.75" customHeight="1" x14ac:dyDescent="0.2">
      <c r="B113" s="1499">
        <v>45700</v>
      </c>
      <c r="C113" s="1490" t="s">
        <v>7397</v>
      </c>
      <c r="D113" s="1491" t="s">
        <v>7361</v>
      </c>
      <c r="E113" s="1496" t="s">
        <v>7392</v>
      </c>
      <c r="F113" s="2199" t="s">
        <v>6186</v>
      </c>
      <c r="G113" s="2200">
        <v>1</v>
      </c>
      <c r="H113" s="1638">
        <v>20</v>
      </c>
      <c r="I113" s="2127">
        <f>H113*G113</f>
        <v>20</v>
      </c>
      <c r="J113" s="2130"/>
      <c r="K113" s="746"/>
      <c r="L113" s="717"/>
    </row>
    <row r="114" spans="1:17" ht="21.75" customHeight="1" x14ac:dyDescent="0.2">
      <c r="A114" s="1493" t="s">
        <v>6244</v>
      </c>
      <c r="B114" s="1499"/>
      <c r="C114" s="1499"/>
      <c r="D114" s="1496"/>
      <c r="E114" s="1496"/>
      <c r="F114" s="2058"/>
      <c r="G114" s="2041"/>
      <c r="H114" s="1219"/>
      <c r="I114" s="2209">
        <f>SUM(I111:I113)</f>
        <v>200</v>
      </c>
      <c r="J114" s="2606" t="s">
        <v>6668</v>
      </c>
      <c r="K114" s="746"/>
    </row>
    <row r="115" spans="1:17" ht="21.75" customHeight="1" x14ac:dyDescent="0.2">
      <c r="A115" s="1493"/>
      <c r="B115" s="1499"/>
      <c r="C115" s="1499"/>
      <c r="D115" s="1496"/>
      <c r="E115" s="1496"/>
      <c r="F115" s="2058"/>
      <c r="G115" s="2041"/>
      <c r="H115" s="1219"/>
      <c r="I115" s="2209"/>
      <c r="J115" s="2130"/>
      <c r="K115" s="746"/>
    </row>
    <row r="116" spans="1:17" ht="21.75" customHeight="1" x14ac:dyDescent="0.2">
      <c r="A116" s="1613"/>
      <c r="B116" s="1499">
        <v>45705</v>
      </c>
      <c r="C116" s="1490" t="s">
        <v>7397</v>
      </c>
      <c r="D116" s="1491" t="s">
        <v>7361</v>
      </c>
      <c r="E116" s="1491" t="s">
        <v>757</v>
      </c>
      <c r="F116" s="1604" t="s">
        <v>6186</v>
      </c>
      <c r="G116" s="2050">
        <v>5</v>
      </c>
      <c r="H116" s="2051">
        <v>32</v>
      </c>
      <c r="I116" s="2592">
        <f>H116*G116</f>
        <v>160</v>
      </c>
      <c r="J116" s="2589"/>
      <c r="K116" s="717"/>
    </row>
    <row r="117" spans="1:17" ht="21.75" customHeight="1" x14ac:dyDescent="0.2">
      <c r="A117" s="1493"/>
      <c r="B117" s="1499">
        <v>45705</v>
      </c>
      <c r="C117" s="1490" t="s">
        <v>7397</v>
      </c>
      <c r="D117" s="1491" t="s">
        <v>7361</v>
      </c>
      <c r="E117" s="1496" t="s">
        <v>6624</v>
      </c>
      <c r="F117" s="1604" t="s">
        <v>6225</v>
      </c>
      <c r="G117" s="2041">
        <v>1</v>
      </c>
      <c r="H117" s="1638">
        <v>268</v>
      </c>
      <c r="I117" s="2127">
        <f>H117*G117</f>
        <v>268</v>
      </c>
      <c r="J117" s="2526"/>
      <c r="K117" s="746"/>
      <c r="L117" s="2344"/>
      <c r="M117" s="2344"/>
    </row>
    <row r="118" spans="1:17" ht="21.75" customHeight="1" x14ac:dyDescent="0.2">
      <c r="B118" s="1499">
        <v>45705</v>
      </c>
      <c r="C118" s="1490" t="s">
        <v>7397</v>
      </c>
      <c r="D118" s="1491" t="s">
        <v>7361</v>
      </c>
      <c r="E118" s="1491" t="s">
        <v>7393</v>
      </c>
      <c r="F118" s="1604" t="s">
        <v>6186</v>
      </c>
      <c r="G118" s="2050">
        <v>60</v>
      </c>
      <c r="H118" s="1638">
        <v>3.67</v>
      </c>
      <c r="I118" s="2127">
        <f>H118*G118</f>
        <v>220.2</v>
      </c>
      <c r="J118" s="2130"/>
      <c r="K118" s="746"/>
      <c r="L118" s="717"/>
    </row>
    <row r="119" spans="1:17" ht="21.75" customHeight="1" x14ac:dyDescent="0.2">
      <c r="A119" s="1493" t="s">
        <v>6244</v>
      </c>
      <c r="B119" s="1499"/>
      <c r="C119" s="1499"/>
      <c r="D119" s="1496"/>
      <c r="E119" s="1496"/>
      <c r="F119" s="2058"/>
      <c r="G119" s="2041"/>
      <c r="H119" s="1219"/>
      <c r="I119" s="2209">
        <f>SUM(I116:I118)</f>
        <v>648.20000000000005</v>
      </c>
      <c r="J119" s="2606" t="s">
        <v>6668</v>
      </c>
      <c r="K119" s="746"/>
    </row>
    <row r="120" spans="1:17" ht="21.75" customHeight="1" x14ac:dyDescent="0.2">
      <c r="A120" s="1493"/>
      <c r="B120" s="1499"/>
      <c r="C120" s="1499"/>
      <c r="D120" s="1496"/>
      <c r="E120" s="1496"/>
      <c r="F120" s="2058"/>
      <c r="G120" s="2041"/>
      <c r="H120" s="1219"/>
      <c r="I120" s="2209"/>
      <c r="J120" s="2130"/>
      <c r="K120" s="746"/>
    </row>
    <row r="121" spans="1:17" ht="21.75" customHeight="1" x14ac:dyDescent="0.2">
      <c r="A121" s="1493"/>
      <c r="B121" s="1499">
        <v>45707</v>
      </c>
      <c r="C121" s="1499" t="s">
        <v>6234</v>
      </c>
      <c r="D121" s="1496" t="s">
        <v>5944</v>
      </c>
      <c r="E121" s="1496" t="s">
        <v>7427</v>
      </c>
      <c r="F121" s="1604" t="s">
        <v>6186</v>
      </c>
      <c r="G121" s="2041">
        <v>2</v>
      </c>
      <c r="H121" s="1638">
        <v>199.58</v>
      </c>
      <c r="I121" s="2127">
        <f t="shared" ref="I121:I125" si="15">H121*G121</f>
        <v>399.16</v>
      </c>
      <c r="J121" s="2526"/>
      <c r="K121" s="746"/>
      <c r="L121" s="2344"/>
      <c r="M121" s="2344"/>
    </row>
    <row r="122" spans="1:17" ht="21.75" customHeight="1" x14ac:dyDescent="0.25">
      <c r="A122" s="1493"/>
      <c r="B122" s="1499">
        <v>45707</v>
      </c>
      <c r="C122" s="1499" t="s">
        <v>6234</v>
      </c>
      <c r="D122" s="1496" t="s">
        <v>5944</v>
      </c>
      <c r="E122" s="1496" t="s">
        <v>7432</v>
      </c>
      <c r="F122" s="1604" t="s">
        <v>6186</v>
      </c>
      <c r="G122" s="2041">
        <v>1</v>
      </c>
      <c r="H122" s="1638">
        <v>82</v>
      </c>
      <c r="I122" s="2127">
        <f t="shared" si="15"/>
        <v>82</v>
      </c>
      <c r="J122" s="2197"/>
      <c r="K122" s="717"/>
      <c r="L122" s="618"/>
      <c r="M122" s="3595"/>
      <c r="N122" s="3595"/>
      <c r="O122" s="2117"/>
      <c r="P122" s="2117"/>
      <c r="Q122" s="2117"/>
    </row>
    <row r="123" spans="1:17" ht="21.75" customHeight="1" x14ac:dyDescent="0.25">
      <c r="A123" s="1493"/>
      <c r="B123" s="1499">
        <v>45707</v>
      </c>
      <c r="C123" s="1490" t="s">
        <v>6234</v>
      </c>
      <c r="D123" s="1496" t="s">
        <v>5944</v>
      </c>
      <c r="E123" s="1496" t="s">
        <v>7431</v>
      </c>
      <c r="F123" s="1604" t="s">
        <v>6186</v>
      </c>
      <c r="G123" s="2041">
        <v>1</v>
      </c>
      <c r="H123" s="1638">
        <v>17.850000000000001</v>
      </c>
      <c r="I123" s="2127">
        <f t="shared" si="15"/>
        <v>17.850000000000001</v>
      </c>
      <c r="J123" s="2197"/>
      <c r="K123" s="717"/>
      <c r="L123" s="618"/>
      <c r="M123" s="3595"/>
      <c r="N123" s="3595"/>
      <c r="O123" s="2117"/>
      <c r="P123" s="2117"/>
      <c r="Q123" s="2117"/>
    </row>
    <row r="124" spans="1:17" ht="21.75" customHeight="1" x14ac:dyDescent="0.25">
      <c r="A124" s="1493"/>
      <c r="B124" s="1499">
        <v>45707</v>
      </c>
      <c r="C124" s="1499" t="s">
        <v>6234</v>
      </c>
      <c r="D124" s="1496" t="s">
        <v>5944</v>
      </c>
      <c r="E124" s="1496" t="s">
        <v>7433</v>
      </c>
      <c r="F124" s="1604" t="s">
        <v>6186</v>
      </c>
      <c r="G124" s="2041">
        <v>2</v>
      </c>
      <c r="H124" s="1638">
        <v>8</v>
      </c>
      <c r="I124" s="2127">
        <f t="shared" si="15"/>
        <v>16</v>
      </c>
      <c r="J124" s="2197"/>
      <c r="K124" s="717"/>
      <c r="L124" s="618"/>
      <c r="M124" s="3595"/>
      <c r="N124" s="3595"/>
      <c r="O124" s="2117"/>
      <c r="P124" s="2117"/>
      <c r="Q124" s="2117"/>
    </row>
    <row r="125" spans="1:17" ht="21.75" customHeight="1" x14ac:dyDescent="0.25">
      <c r="A125" s="1493"/>
      <c r="B125" s="1499">
        <v>45707</v>
      </c>
      <c r="C125" s="1499" t="s">
        <v>6234</v>
      </c>
      <c r="D125" s="1496" t="s">
        <v>5944</v>
      </c>
      <c r="E125" s="1496" t="s">
        <v>7430</v>
      </c>
      <c r="F125" s="1604" t="s">
        <v>6186</v>
      </c>
      <c r="G125" s="2041">
        <v>2</v>
      </c>
      <c r="H125" s="1638">
        <v>19.5</v>
      </c>
      <c r="I125" s="2127">
        <f t="shared" si="15"/>
        <v>39</v>
      </c>
      <c r="J125" s="2197"/>
      <c r="K125" s="717"/>
      <c r="L125" s="618"/>
      <c r="M125" s="3595"/>
      <c r="N125" s="3595"/>
      <c r="O125" s="2117"/>
      <c r="P125" s="2117"/>
      <c r="Q125" s="2117"/>
    </row>
    <row r="126" spans="1:17" ht="21.75" customHeight="1" x14ac:dyDescent="0.25">
      <c r="A126" s="1493"/>
      <c r="B126" s="1499">
        <v>45707</v>
      </c>
      <c r="C126" s="1490" t="s">
        <v>6234</v>
      </c>
      <c r="D126" s="1496" t="s">
        <v>5944</v>
      </c>
      <c r="E126" s="1496" t="s">
        <v>6719</v>
      </c>
      <c r="F126" s="1604" t="s">
        <v>6186</v>
      </c>
      <c r="G126" s="2041">
        <v>5</v>
      </c>
      <c r="H126" s="1638">
        <v>1.8</v>
      </c>
      <c r="I126" s="2127">
        <f t="shared" ref="I126" si="16">H126*G126</f>
        <v>9</v>
      </c>
      <c r="J126" s="2197"/>
      <c r="K126" s="717"/>
      <c r="L126" s="618"/>
      <c r="M126" s="3595"/>
      <c r="N126" s="3595"/>
      <c r="O126" s="2117"/>
      <c r="P126" s="2117"/>
      <c r="Q126" s="2117"/>
    </row>
    <row r="127" spans="1:17" ht="21.75" customHeight="1" x14ac:dyDescent="0.25">
      <c r="A127" s="1493"/>
      <c r="B127" s="1499"/>
      <c r="C127" s="1499"/>
      <c r="D127" s="1496"/>
      <c r="E127" s="2190" t="s">
        <v>7436</v>
      </c>
      <c r="F127" s="2191"/>
      <c r="G127" s="2192"/>
      <c r="H127" s="2598"/>
      <c r="I127" s="2599">
        <v>28</v>
      </c>
      <c r="J127" s="2197"/>
      <c r="K127" s="717"/>
      <c r="L127" s="618"/>
      <c r="M127" s="3595"/>
      <c r="N127" s="3595"/>
      <c r="O127" s="2117"/>
      <c r="P127" s="2117"/>
      <c r="Q127" s="2117"/>
    </row>
    <row r="128" spans="1:17" ht="21.75" customHeight="1" x14ac:dyDescent="0.2">
      <c r="A128" s="1493" t="s">
        <v>6244</v>
      </c>
      <c r="B128" s="1499"/>
      <c r="C128" s="1499"/>
      <c r="D128" s="1496"/>
      <c r="E128" s="1496"/>
      <c r="F128" s="2058"/>
      <c r="G128" s="2041"/>
      <c r="H128" s="1219"/>
      <c r="I128" s="2209">
        <f>SUM(I121:I126)-I127</f>
        <v>535.01</v>
      </c>
      <c r="J128" s="2606" t="s">
        <v>6668</v>
      </c>
      <c r="K128" s="746"/>
    </row>
    <row r="129" spans="1:17" ht="21.75" customHeight="1" x14ac:dyDescent="0.2">
      <c r="A129" s="1493"/>
      <c r="B129" s="1499"/>
      <c r="C129" s="1499"/>
      <c r="D129" s="1496"/>
      <c r="E129" s="1496"/>
      <c r="F129" s="2058"/>
      <c r="G129" s="2041"/>
      <c r="H129" s="1219"/>
      <c r="I129" s="2209"/>
      <c r="J129" s="2130"/>
      <c r="K129" s="746"/>
    </row>
    <row r="130" spans="1:17" ht="21.75" customHeight="1" x14ac:dyDescent="0.2">
      <c r="A130" s="1493"/>
      <c r="B130" s="1499">
        <v>45708</v>
      </c>
      <c r="C130" s="1499" t="s">
        <v>7448</v>
      </c>
      <c r="D130" s="1496" t="s">
        <v>5944</v>
      </c>
      <c r="E130" s="1496" t="s">
        <v>6957</v>
      </c>
      <c r="F130" s="1604" t="s">
        <v>6186</v>
      </c>
      <c r="G130" s="2041">
        <v>18</v>
      </c>
      <c r="H130" s="1638">
        <v>46.99</v>
      </c>
      <c r="I130" s="2127">
        <f>H130*G130</f>
        <v>845.82</v>
      </c>
      <c r="J130" s="2526"/>
      <c r="K130" s="717"/>
      <c r="L130" s="618"/>
      <c r="M130" s="618"/>
      <c r="N130" s="2524"/>
      <c r="O130" s="2117"/>
      <c r="P130" s="2117"/>
      <c r="Q130" s="2117"/>
    </row>
    <row r="131" spans="1:17" ht="21.75" customHeight="1" x14ac:dyDescent="0.2">
      <c r="A131" s="1493"/>
      <c r="B131" s="1499">
        <v>45708</v>
      </c>
      <c r="C131" s="1499" t="s">
        <v>7448</v>
      </c>
      <c r="D131" s="1496" t="s">
        <v>5944</v>
      </c>
      <c r="E131" s="1496" t="s">
        <v>6970</v>
      </c>
      <c r="F131" s="1604" t="s">
        <v>6225</v>
      </c>
      <c r="G131" s="2041">
        <v>48</v>
      </c>
      <c r="H131" s="1638">
        <v>1.08</v>
      </c>
      <c r="I131" s="2127">
        <f t="shared" ref="I131" si="17">H131*G131</f>
        <v>51.84</v>
      </c>
      <c r="J131" s="2526"/>
      <c r="L131" s="2525"/>
      <c r="M131" s="2525"/>
      <c r="N131" s="2139"/>
      <c r="O131" s="1704"/>
      <c r="P131" s="1704"/>
      <c r="Q131" s="1704"/>
    </row>
    <row r="132" spans="1:17" ht="21.75" customHeight="1" x14ac:dyDescent="0.2">
      <c r="A132" s="1493"/>
      <c r="B132" s="1499">
        <v>45708</v>
      </c>
      <c r="C132" s="1499" t="s">
        <v>7448</v>
      </c>
      <c r="D132" s="1496" t="s">
        <v>5944</v>
      </c>
      <c r="E132" s="1496" t="s">
        <v>7449</v>
      </c>
      <c r="F132" s="1604" t="s">
        <v>6225</v>
      </c>
      <c r="G132" s="2041">
        <v>1</v>
      </c>
      <c r="H132" s="1638">
        <v>50</v>
      </c>
      <c r="I132" s="2127">
        <f t="shared" ref="I132" si="18">H132*G132</f>
        <v>50</v>
      </c>
      <c r="J132" s="2526"/>
      <c r="L132" s="2525"/>
      <c r="M132" s="2525"/>
      <c r="N132" s="2139"/>
      <c r="O132" s="1704"/>
      <c r="P132" s="1704"/>
      <c r="Q132" s="1704"/>
    </row>
    <row r="133" spans="1:17" ht="21.75" customHeight="1" x14ac:dyDescent="0.25">
      <c r="A133" s="1493"/>
      <c r="B133" s="1499"/>
      <c r="C133" s="1499"/>
      <c r="D133" s="1496"/>
      <c r="E133" s="2190" t="s">
        <v>7450</v>
      </c>
      <c r="F133" s="2191"/>
      <c r="G133" s="2192"/>
      <c r="H133" s="2598"/>
      <c r="I133" s="2599">
        <v>44.77</v>
      </c>
      <c r="J133" s="2197"/>
      <c r="K133" s="717"/>
      <c r="L133" s="618"/>
      <c r="M133" s="3595"/>
      <c r="N133" s="3595"/>
      <c r="O133" s="2117"/>
      <c r="P133" s="2117"/>
      <c r="Q133" s="2117"/>
    </row>
    <row r="134" spans="1:17" ht="21.75" customHeight="1" x14ac:dyDescent="0.2">
      <c r="A134" s="1493" t="s">
        <v>6244</v>
      </c>
      <c r="B134" s="1499"/>
      <c r="C134" s="1499"/>
      <c r="D134" s="1496"/>
      <c r="E134" s="1496"/>
      <c r="F134" s="2058"/>
      <c r="G134" s="2041"/>
      <c r="H134" s="1219"/>
      <c r="I134" s="2209">
        <f>SUM(I130:I132)-I133</f>
        <v>902.8900000000001</v>
      </c>
      <c r="J134" s="2606" t="s">
        <v>6668</v>
      </c>
      <c r="K134" s="746"/>
    </row>
    <row r="135" spans="1:17" ht="21.75" customHeight="1" x14ac:dyDescent="0.2">
      <c r="A135" s="1493"/>
      <c r="B135" s="1499"/>
      <c r="C135" s="1499"/>
      <c r="D135" s="1496"/>
      <c r="E135" s="1496"/>
      <c r="F135" s="2058"/>
      <c r="G135" s="2041"/>
      <c r="H135" s="1219"/>
      <c r="I135" s="2209"/>
      <c r="J135" s="2130"/>
      <c r="K135" s="746"/>
    </row>
    <row r="136" spans="1:17" ht="21.75" customHeight="1" x14ac:dyDescent="0.25">
      <c r="A136" s="1493"/>
      <c r="B136" s="1499"/>
      <c r="C136" s="1499"/>
      <c r="D136" s="1496" t="s">
        <v>5944</v>
      </c>
      <c r="E136" s="1496" t="s">
        <v>7455</v>
      </c>
      <c r="F136" s="1604" t="s">
        <v>6186</v>
      </c>
      <c r="G136" s="2041">
        <v>1</v>
      </c>
      <c r="H136" s="1638">
        <v>460</v>
      </c>
      <c r="I136" s="2127">
        <v>500</v>
      </c>
      <c r="J136" s="2197"/>
      <c r="K136" s="717"/>
      <c r="L136" s="618"/>
      <c r="M136" s="2600"/>
      <c r="N136" s="2600"/>
      <c r="O136" s="2117"/>
      <c r="P136" s="2117"/>
      <c r="Q136" s="2117"/>
    </row>
    <row r="137" spans="1:17" ht="21.75" customHeight="1" x14ac:dyDescent="0.25">
      <c r="A137" s="1493"/>
      <c r="B137" s="1499"/>
      <c r="C137" s="1499"/>
      <c r="D137" s="1496" t="s">
        <v>5944</v>
      </c>
      <c r="E137" s="1496" t="s">
        <v>7428</v>
      </c>
      <c r="F137" s="1604" t="s">
        <v>6186</v>
      </c>
      <c r="G137" s="2041">
        <v>1</v>
      </c>
      <c r="H137" s="1638">
        <v>460</v>
      </c>
      <c r="I137" s="2127">
        <v>200</v>
      </c>
      <c r="J137" s="2197"/>
      <c r="K137" s="717"/>
      <c r="L137" s="618"/>
      <c r="M137" s="2600"/>
      <c r="N137" s="2600"/>
      <c r="O137" s="2117"/>
      <c r="P137" s="2117"/>
      <c r="Q137" s="2117"/>
    </row>
    <row r="138" spans="1:17" ht="21.75" customHeight="1" x14ac:dyDescent="0.25">
      <c r="A138" s="1493"/>
      <c r="B138" s="1499"/>
      <c r="C138" s="1499"/>
      <c r="D138" s="1496" t="s">
        <v>5944</v>
      </c>
      <c r="E138" s="1496" t="s">
        <v>7429</v>
      </c>
      <c r="F138" s="1604" t="s">
        <v>6186</v>
      </c>
      <c r="G138" s="2041">
        <v>1</v>
      </c>
      <c r="H138" s="1638">
        <v>460</v>
      </c>
      <c r="I138" s="2127">
        <v>170</v>
      </c>
      <c r="J138" s="2197"/>
      <c r="K138" s="717"/>
      <c r="L138" s="618"/>
      <c r="M138" s="2600"/>
      <c r="N138" s="2600"/>
      <c r="O138" s="2117"/>
      <c r="P138" s="2117"/>
      <c r="Q138" s="2117"/>
    </row>
    <row r="139" spans="1:17" ht="21.75" customHeight="1" x14ac:dyDescent="0.25">
      <c r="A139" s="1493"/>
      <c r="B139" s="1499"/>
      <c r="C139" s="1499"/>
      <c r="D139" s="1496"/>
      <c r="E139" s="2190" t="s">
        <v>7450</v>
      </c>
      <c r="F139" s="2191"/>
      <c r="G139" s="2192"/>
      <c r="H139" s="2598"/>
      <c r="I139" s="2599">
        <v>30</v>
      </c>
      <c r="J139" s="2197"/>
      <c r="K139" s="717"/>
      <c r="L139" s="618"/>
      <c r="M139" s="3595"/>
      <c r="N139" s="3595"/>
      <c r="O139" s="2117"/>
      <c r="P139" s="2117"/>
      <c r="Q139" s="2117"/>
    </row>
    <row r="140" spans="1:17" ht="21.75" customHeight="1" x14ac:dyDescent="0.2">
      <c r="A140" s="1493" t="s">
        <v>6244</v>
      </c>
      <c r="B140" s="1499"/>
      <c r="C140" s="1499"/>
      <c r="D140" s="1496"/>
      <c r="E140" s="1496"/>
      <c r="F140" s="2058"/>
      <c r="G140" s="2041"/>
      <c r="H140" s="1219"/>
      <c r="I140" s="2209">
        <f>SUM(I136:I138)-I139</f>
        <v>840</v>
      </c>
      <c r="J140" s="2607" t="s">
        <v>6651</v>
      </c>
      <c r="K140" s="746"/>
    </row>
    <row r="141" spans="1:17" ht="21.75" customHeight="1" x14ac:dyDescent="0.2">
      <c r="A141" s="1493"/>
      <c r="B141" s="1499"/>
      <c r="C141" s="1499"/>
      <c r="D141" s="1496"/>
      <c r="E141" s="1496"/>
      <c r="F141" s="2058"/>
      <c r="G141" s="2041"/>
      <c r="H141" s="1219"/>
      <c r="I141" s="2209"/>
      <c r="J141" s="2130"/>
      <c r="K141" s="746"/>
    </row>
    <row r="142" spans="1:17" ht="21.75" customHeight="1" x14ac:dyDescent="0.2">
      <c r="A142" s="1493" t="s">
        <v>6245</v>
      </c>
      <c r="B142" s="1499"/>
      <c r="C142" s="1499"/>
      <c r="D142" s="1491" t="s">
        <v>7361</v>
      </c>
      <c r="E142" s="1496" t="s">
        <v>7409</v>
      </c>
      <c r="F142" s="2058" t="s">
        <v>6186</v>
      </c>
      <c r="G142" s="2041">
        <v>1</v>
      </c>
      <c r="H142" s="1219">
        <v>1750</v>
      </c>
      <c r="I142" s="2209">
        <f>H142*G142</f>
        <v>1750</v>
      </c>
      <c r="J142" s="2606" t="s">
        <v>6668</v>
      </c>
      <c r="K142" s="717" t="s">
        <v>280</v>
      </c>
    </row>
    <row r="143" spans="1:17" ht="21.75" customHeight="1" thickBot="1" x14ac:dyDescent="0.25">
      <c r="A143" s="1493"/>
      <c r="B143" s="2048"/>
      <c r="C143" s="1490"/>
      <c r="D143" s="1491"/>
      <c r="E143" s="1491"/>
      <c r="F143" s="1604"/>
      <c r="G143" s="2050"/>
      <c r="H143" s="400"/>
      <c r="I143" s="2604"/>
      <c r="J143" s="2605"/>
      <c r="K143" s="746"/>
    </row>
    <row r="144" spans="1:17" ht="21.75" customHeight="1" thickBot="1" x14ac:dyDescent="0.25">
      <c r="A144" s="3510" t="s">
        <v>772</v>
      </c>
      <c r="B144" s="3511"/>
      <c r="C144" s="3511"/>
      <c r="D144" s="3511"/>
      <c r="E144" s="3511"/>
      <c r="F144" s="3511"/>
      <c r="G144" s="3511"/>
      <c r="H144" s="3588"/>
      <c r="I144" s="448">
        <f>SUMIF(A83:A143,"MAT",I83:I143)+I105+I142</f>
        <v>9208.7999999999993</v>
      </c>
    </row>
    <row r="145" spans="1:11" ht="21.75" customHeight="1" x14ac:dyDescent="0.2">
      <c r="A145" s="554"/>
      <c r="B145" s="554"/>
      <c r="C145" s="554"/>
      <c r="D145" s="554"/>
      <c r="E145" s="554"/>
      <c r="F145" s="554"/>
      <c r="G145" s="554"/>
      <c r="H145" s="554"/>
      <c r="I145" s="82"/>
    </row>
    <row r="146" spans="1:11" ht="21.75" customHeight="1" thickBot="1" x14ac:dyDescent="0.25">
      <c r="A146" s="554"/>
      <c r="B146" s="554"/>
      <c r="C146" s="554"/>
      <c r="D146" s="554"/>
      <c r="E146" s="554"/>
      <c r="F146" s="554"/>
      <c r="G146" s="554"/>
      <c r="H146" s="554"/>
      <c r="I146" s="82"/>
    </row>
    <row r="147" spans="1:11" ht="27" thickBot="1" x14ac:dyDescent="0.45">
      <c r="A147" s="3104" t="s">
        <v>7707</v>
      </c>
      <c r="B147" s="3105"/>
      <c r="C147" s="3105"/>
      <c r="D147" s="3105"/>
      <c r="E147" s="3105"/>
      <c r="F147" s="3105"/>
      <c r="G147" s="3105"/>
      <c r="H147" s="3105"/>
      <c r="I147" s="3105"/>
      <c r="J147" s="3509"/>
      <c r="K147" s="2084"/>
    </row>
    <row r="148" spans="1:11" ht="40.5" customHeight="1" thickBot="1" x14ac:dyDescent="0.25">
      <c r="A148" s="8" t="s">
        <v>5546</v>
      </c>
      <c r="B148" s="11" t="s">
        <v>721</v>
      </c>
      <c r="C148" s="11" t="s">
        <v>6233</v>
      </c>
      <c r="D148" s="75" t="s">
        <v>6183</v>
      </c>
      <c r="E148" s="75" t="s">
        <v>722</v>
      </c>
      <c r="F148" s="2040" t="s">
        <v>6186</v>
      </c>
      <c r="G148" s="11" t="s">
        <v>723</v>
      </c>
      <c r="H148" s="398" t="s">
        <v>724</v>
      </c>
      <c r="I148" s="2047" t="s">
        <v>725</v>
      </c>
      <c r="J148" s="75" t="s">
        <v>6227</v>
      </c>
      <c r="K148" s="32"/>
    </row>
    <row r="149" spans="1:11" ht="21.75" customHeight="1" x14ac:dyDescent="0.2">
      <c r="A149" s="1493" t="s">
        <v>6244</v>
      </c>
      <c r="B149" s="2048">
        <v>45719</v>
      </c>
      <c r="C149" s="1490" t="s">
        <v>7287</v>
      </c>
      <c r="D149" s="1491" t="s">
        <v>7361</v>
      </c>
      <c r="E149" s="1491" t="s">
        <v>7447</v>
      </c>
      <c r="F149" s="1604" t="s">
        <v>6186</v>
      </c>
      <c r="G149" s="2050">
        <v>1</v>
      </c>
      <c r="H149" s="2051">
        <v>370</v>
      </c>
      <c r="I149" s="2590">
        <f>H149*G149</f>
        <v>370</v>
      </c>
      <c r="J149" s="2607" t="s">
        <v>6651</v>
      </c>
    </row>
    <row r="150" spans="1:11" ht="21.75" customHeight="1" x14ac:dyDescent="0.2">
      <c r="A150" s="1613"/>
      <c r="B150" s="1499"/>
      <c r="C150" s="1499"/>
      <c r="D150" s="1491"/>
      <c r="E150" s="1496"/>
      <c r="F150" s="1604"/>
      <c r="G150" s="2041"/>
      <c r="H150" s="399"/>
      <c r="I150" s="570"/>
      <c r="J150" s="2614"/>
    </row>
    <row r="151" spans="1:11" ht="21.75" customHeight="1" x14ac:dyDescent="0.2">
      <c r="A151" s="1493"/>
      <c r="B151" s="1499">
        <v>45718</v>
      </c>
      <c r="C151" s="1499" t="s">
        <v>7493</v>
      </c>
      <c r="D151" s="1491" t="s">
        <v>7361</v>
      </c>
      <c r="E151" s="1496" t="s">
        <v>7542</v>
      </c>
      <c r="F151" s="2058" t="s">
        <v>6186</v>
      </c>
      <c r="G151" s="2041">
        <v>1</v>
      </c>
      <c r="H151" s="1219">
        <v>474.9</v>
      </c>
      <c r="I151" s="2379">
        <f t="shared" ref="I151:I154" si="19">H151*G151</f>
        <v>474.9</v>
      </c>
      <c r="J151" s="2607" t="s">
        <v>6651</v>
      </c>
      <c r="K151" s="717" t="s">
        <v>280</v>
      </c>
    </row>
    <row r="152" spans="1:11" ht="21.75" customHeight="1" x14ac:dyDescent="0.2">
      <c r="A152" s="435"/>
      <c r="B152" s="1499">
        <v>45718</v>
      </c>
      <c r="C152" s="1499" t="s">
        <v>7493</v>
      </c>
      <c r="D152" s="1491" t="s">
        <v>7361</v>
      </c>
      <c r="E152" s="1496" t="s">
        <v>7494</v>
      </c>
      <c r="F152" s="2058" t="s">
        <v>6186</v>
      </c>
      <c r="G152" s="2041">
        <v>1</v>
      </c>
      <c r="H152" s="399">
        <v>54.8</v>
      </c>
      <c r="I152" s="2379">
        <f t="shared" si="19"/>
        <v>54.8</v>
      </c>
      <c r="J152" s="2607" t="s">
        <v>6651</v>
      </c>
    </row>
    <row r="153" spans="1:11" ht="21.75" customHeight="1" x14ac:dyDescent="0.2">
      <c r="A153" s="1493"/>
      <c r="B153" s="1499">
        <v>45718</v>
      </c>
      <c r="C153" s="1499" t="s">
        <v>7493</v>
      </c>
      <c r="D153" s="1491" t="s">
        <v>7361</v>
      </c>
      <c r="E153" s="1496" t="s">
        <v>7496</v>
      </c>
      <c r="F153" s="2058" t="s">
        <v>6186</v>
      </c>
      <c r="G153" s="2041">
        <v>1</v>
      </c>
      <c r="H153" s="1219">
        <v>474.9</v>
      </c>
      <c r="I153" s="2379">
        <f t="shared" si="19"/>
        <v>474.9</v>
      </c>
      <c r="J153" s="2607" t="s">
        <v>6651</v>
      </c>
      <c r="K153" s="717" t="s">
        <v>280</v>
      </c>
    </row>
    <row r="154" spans="1:11" ht="21.75" customHeight="1" x14ac:dyDescent="0.2">
      <c r="A154" s="435"/>
      <c r="B154" s="1499">
        <v>45718</v>
      </c>
      <c r="C154" s="1499" t="s">
        <v>7493</v>
      </c>
      <c r="D154" s="1491" t="s">
        <v>7361</v>
      </c>
      <c r="E154" s="1496" t="s">
        <v>7495</v>
      </c>
      <c r="F154" s="2058" t="s">
        <v>6186</v>
      </c>
      <c r="G154" s="2041">
        <v>1</v>
      </c>
      <c r="H154" s="399">
        <v>54.8</v>
      </c>
      <c r="I154" s="2379">
        <f t="shared" si="19"/>
        <v>54.8</v>
      </c>
      <c r="J154" s="2607" t="s">
        <v>6651</v>
      </c>
    </row>
    <row r="155" spans="1:11" ht="21.75" customHeight="1" x14ac:dyDescent="0.2">
      <c r="A155" s="435" t="s">
        <v>6244</v>
      </c>
      <c r="B155" s="1499"/>
      <c r="C155" s="1499"/>
      <c r="D155" s="1496"/>
      <c r="E155" s="1496"/>
      <c r="F155" s="1620"/>
      <c r="G155" s="2602"/>
      <c r="H155" s="399"/>
      <c r="I155" s="2209">
        <f>SUM(I151:I154)</f>
        <v>1059.3999999999999</v>
      </c>
      <c r="J155" s="2614"/>
    </row>
    <row r="156" spans="1:11" ht="21.75" customHeight="1" x14ac:dyDescent="0.2">
      <c r="A156" s="435"/>
      <c r="B156" s="1499"/>
      <c r="C156" s="1499"/>
      <c r="D156" s="1496"/>
      <c r="E156" s="1496"/>
      <c r="F156" s="1620"/>
      <c r="G156" s="2602"/>
      <c r="H156" s="399"/>
      <c r="I156" s="570"/>
      <c r="J156" s="2614"/>
    </row>
    <row r="157" spans="1:11" ht="21.75" customHeight="1" x14ac:dyDescent="0.2">
      <c r="A157" s="435" t="s">
        <v>6244</v>
      </c>
      <c r="B157" s="1499">
        <v>45724</v>
      </c>
      <c r="C157" s="1499" t="s">
        <v>7493</v>
      </c>
      <c r="D157" s="1491" t="s">
        <v>7361</v>
      </c>
      <c r="E157" s="1496" t="s">
        <v>7673</v>
      </c>
      <c r="F157" s="2058" t="s">
        <v>6186</v>
      </c>
      <c r="G157" s="2041">
        <v>1</v>
      </c>
      <c r="H157" s="1219">
        <v>210</v>
      </c>
      <c r="I157" s="2590">
        <f t="shared" ref="I157" si="20">H157*G157</f>
        <v>210</v>
      </c>
      <c r="J157" s="2607" t="s">
        <v>6651</v>
      </c>
      <c r="K157" s="717" t="s">
        <v>280</v>
      </c>
    </row>
    <row r="158" spans="1:11" ht="21.75" customHeight="1" x14ac:dyDescent="0.2">
      <c r="A158" s="435"/>
      <c r="B158" s="1499"/>
      <c r="C158" s="1499"/>
      <c r="D158" s="1496"/>
      <c r="E158" s="1496"/>
      <c r="F158" s="1620"/>
      <c r="G158" s="2602"/>
      <c r="H158" s="399"/>
      <c r="I158" s="570"/>
      <c r="J158" s="2614"/>
    </row>
    <row r="159" spans="1:11" ht="21.75" customHeight="1" x14ac:dyDescent="0.2">
      <c r="A159" s="1493" t="s">
        <v>6245</v>
      </c>
      <c r="B159" s="1499"/>
      <c r="C159" s="1499"/>
      <c r="D159" s="1491" t="s">
        <v>7361</v>
      </c>
      <c r="E159" s="1496" t="s">
        <v>7359</v>
      </c>
      <c r="F159" s="2058" t="s">
        <v>6186</v>
      </c>
      <c r="G159" s="2041">
        <v>1</v>
      </c>
      <c r="H159" s="1219">
        <v>600</v>
      </c>
      <c r="I159" s="2209">
        <v>350</v>
      </c>
      <c r="J159" s="2607" t="s">
        <v>6651</v>
      </c>
      <c r="K159" s="717" t="s">
        <v>280</v>
      </c>
    </row>
    <row r="160" spans="1:11" ht="21.75" customHeight="1" thickBot="1" x14ac:dyDescent="0.25">
      <c r="A160" s="435"/>
      <c r="B160" s="1499"/>
      <c r="C160" s="1499"/>
      <c r="D160" s="1496"/>
      <c r="E160" s="1496"/>
      <c r="F160" s="1604"/>
      <c r="G160" s="2041"/>
      <c r="H160" s="399"/>
      <c r="I160" s="570"/>
      <c r="J160" s="571"/>
    </row>
    <row r="161" spans="1:14" ht="21.75" customHeight="1" thickBot="1" x14ac:dyDescent="0.25">
      <c r="A161" s="3510" t="s">
        <v>772</v>
      </c>
      <c r="B161" s="3511"/>
      <c r="C161" s="3511"/>
      <c r="D161" s="3511"/>
      <c r="E161" s="3511"/>
      <c r="F161" s="3511"/>
      <c r="G161" s="3511"/>
      <c r="H161" s="3512"/>
      <c r="I161" s="175">
        <f>+I149+I155+I157+I159</f>
        <v>1989.3999999999999</v>
      </c>
    </row>
    <row r="162" spans="1:14" ht="21.75" customHeight="1" x14ac:dyDescent="0.2">
      <c r="A162" s="24"/>
      <c r="B162" s="24"/>
      <c r="C162" s="24"/>
      <c r="D162" s="24"/>
      <c r="E162" s="717"/>
      <c r="F162" s="717"/>
      <c r="G162" s="717"/>
      <c r="H162" s="717"/>
      <c r="I162" s="401"/>
      <c r="J162" s="2216"/>
    </row>
    <row r="163" spans="1:14" ht="21.75" customHeight="1" x14ac:dyDescent="0.2">
      <c r="A163" s="24"/>
      <c r="B163" s="717"/>
      <c r="C163" s="717"/>
      <c r="D163" s="717"/>
      <c r="E163" s="1505"/>
      <c r="F163" s="1505"/>
      <c r="G163" s="2579"/>
      <c r="H163" s="2579"/>
      <c r="I163" s="401"/>
      <c r="J163" s="2216"/>
    </row>
    <row r="164" spans="1:14" ht="21.75" customHeight="1" x14ac:dyDescent="0.2">
      <c r="A164" s="24"/>
      <c r="B164" s="717"/>
      <c r="C164" s="717"/>
      <c r="D164" s="717"/>
      <c r="E164" s="2273"/>
      <c r="F164" s="2273"/>
      <c r="G164" s="2273"/>
      <c r="H164" s="3596" t="s">
        <v>6651</v>
      </c>
      <c r="I164" s="3596"/>
      <c r="J164" s="1">
        <f>SUMIF($J$149:$J$160,H164,$I$149:$I$160)+SUMIF($J$83:$J$143,H164,$I$83:$I$143)</f>
        <v>2829.3999999999996</v>
      </c>
      <c r="K164" s="2630">
        <f>J164/J166</f>
        <v>0.25266560697254914</v>
      </c>
    </row>
    <row r="165" spans="1:14" s="32" customFormat="1" ht="21.75" customHeight="1" x14ac:dyDescent="0.2">
      <c r="A165" s="24"/>
      <c r="B165" s="717"/>
      <c r="C165" s="717"/>
      <c r="D165" s="717"/>
      <c r="H165" s="3109" t="s">
        <v>6668</v>
      </c>
      <c r="I165" s="3109"/>
      <c r="J165" s="1">
        <f>SUMIF($J$149:$J$160,H165,$I$149:$I$160)+SUMIF($J$83:$J$143,H165,$I$83:$I$143)</f>
        <v>8368.7999999999993</v>
      </c>
      <c r="K165" s="2630">
        <f>J165/J166</f>
        <v>0.74733439302745086</v>
      </c>
      <c r="L165" s="31"/>
      <c r="M165" s="31"/>
      <c r="N165" s="31"/>
    </row>
    <row r="166" spans="1:14" ht="21.75" customHeight="1" x14ac:dyDescent="0.2">
      <c r="H166" s="3103" t="s">
        <v>772</v>
      </c>
      <c r="I166" s="3103"/>
      <c r="J166" s="607">
        <f>SUM(J164:J165)</f>
        <v>11198.199999999999</v>
      </c>
      <c r="K166" s="2631">
        <f>SUM(K164:K165)</f>
        <v>1</v>
      </c>
    </row>
    <row r="167" spans="1:14" ht="21.75" customHeight="1" x14ac:dyDescent="0.2"/>
    <row r="168" spans="1:14" ht="21.75" customHeight="1" x14ac:dyDescent="0.2"/>
    <row r="169" spans="1:14" ht="21.75" customHeight="1" x14ac:dyDescent="0.2"/>
    <row r="170" spans="1:14" ht="21.75" customHeight="1" x14ac:dyDescent="0.2"/>
    <row r="171" spans="1:14" ht="21.75" customHeight="1" x14ac:dyDescent="0.2"/>
    <row r="172" spans="1:14" ht="21.75" customHeight="1" x14ac:dyDescent="0.2"/>
    <row r="173" spans="1:14" ht="21.75" customHeight="1" x14ac:dyDescent="0.2"/>
    <row r="174" spans="1:14" ht="21.75" customHeight="1" x14ac:dyDescent="0.2"/>
    <row r="175" spans="1:14" ht="21.75" customHeight="1" x14ac:dyDescent="0.2"/>
    <row r="176" spans="1:14" ht="21.75" customHeight="1" x14ac:dyDescent="0.2"/>
    <row r="177" ht="21.75" customHeight="1" x14ac:dyDescent="0.2"/>
    <row r="178" ht="21.75" customHeight="1" x14ac:dyDescent="0.2"/>
    <row r="179" ht="21.75" customHeight="1" x14ac:dyDescent="0.2"/>
    <row r="180" ht="21.75" customHeight="1" x14ac:dyDescent="0.2"/>
    <row r="181" ht="21.75" customHeight="1" x14ac:dyDescent="0.2"/>
    <row r="182" ht="21.75" customHeight="1" x14ac:dyDescent="0.2"/>
    <row r="183" ht="21.75" customHeight="1" x14ac:dyDescent="0.2"/>
    <row r="184" ht="21.75" customHeight="1" x14ac:dyDescent="0.2"/>
    <row r="185" ht="21.75" customHeight="1" x14ac:dyDescent="0.2"/>
    <row r="186" ht="21.75" customHeight="1" x14ac:dyDescent="0.2"/>
    <row r="187" ht="21.75" customHeight="1" x14ac:dyDescent="0.2"/>
    <row r="188" ht="21.75" customHeight="1" x14ac:dyDescent="0.2"/>
    <row r="189" ht="21.75" customHeight="1" x14ac:dyDescent="0.2"/>
    <row r="190" ht="21.75" customHeight="1" x14ac:dyDescent="0.2"/>
  </sheetData>
  <autoFilter ref="A82:J144" xr:uid="{9FEAC201-724C-4A6B-9E86-8C497248E36A}"/>
  <mergeCells count="32">
    <mergeCell ref="H166:I166"/>
    <mergeCell ref="H164:I164"/>
    <mergeCell ref="H165:I165"/>
    <mergeCell ref="M133:N133"/>
    <mergeCell ref="M139:N139"/>
    <mergeCell ref="A161:H161"/>
    <mergeCell ref="A147:J147"/>
    <mergeCell ref="A144:H144"/>
    <mergeCell ref="R7:R14"/>
    <mergeCell ref="A73:H73"/>
    <mergeCell ref="L68:N68"/>
    <mergeCell ref="L69:N69"/>
    <mergeCell ref="M127:N127"/>
    <mergeCell ref="M122:N122"/>
    <mergeCell ref="M123:N123"/>
    <mergeCell ref="M126:N126"/>
    <mergeCell ref="M124:N124"/>
    <mergeCell ref="M125:N125"/>
    <mergeCell ref="A81:J81"/>
    <mergeCell ref="E78:H78"/>
    <mergeCell ref="G76:H76"/>
    <mergeCell ref="E75:H75"/>
    <mergeCell ref="G77:H77"/>
    <mergeCell ref="A1:J1"/>
    <mergeCell ref="M59:M60"/>
    <mergeCell ref="N59:N60"/>
    <mergeCell ref="L6:Q6"/>
    <mergeCell ref="L58:Q58"/>
    <mergeCell ref="P59:P60"/>
    <mergeCell ref="Q59:Q60"/>
    <mergeCell ref="L59:L60"/>
    <mergeCell ref="O59:O60"/>
  </mergeCells>
  <pageMargins left="1.45" right="0.15748031496062992" top="0.19685039370078741" bottom="0.51181102362204722" header="0.23622047244094491" footer="0.51181102362204722"/>
  <pageSetup paperSize="9" scale="70" orientation="portrait" r:id="rId1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2D978-CB09-48CB-9F33-E91E5DA05C32}">
  <sheetPr codeName="Planilha28"/>
  <dimension ref="A1:Y170"/>
  <sheetViews>
    <sheetView zoomScaleNormal="100" workbookViewId="0">
      <selection activeCell="Q18" sqref="E15:Q18"/>
    </sheetView>
  </sheetViews>
  <sheetFormatPr defaultRowHeight="12.75" x14ac:dyDescent="0.2"/>
  <cols>
    <col min="1" max="1" width="5.28515625" customWidth="1"/>
    <col min="2" max="3" width="10.140625" customWidth="1"/>
    <col min="4" max="4" width="18.5703125" customWidth="1"/>
    <col min="5" max="5" width="41.42578125" customWidth="1"/>
    <col min="6" max="6" width="5.28515625" customWidth="1"/>
    <col min="7" max="7" width="6" customWidth="1"/>
    <col min="8" max="8" width="12.140625" style="2" customWidth="1"/>
    <col min="9" max="9" width="14.28515625" bestFit="1" customWidth="1"/>
    <col min="10" max="10" width="19.85546875" customWidth="1"/>
    <col min="11" max="11" width="7.42578125" customWidth="1"/>
    <col min="12" max="13" width="13" style="24" customWidth="1"/>
    <col min="14" max="14" width="16.85546875" style="24" customWidth="1"/>
    <col min="15" max="15" width="13.140625" customWidth="1"/>
    <col min="16" max="19" width="13" customWidth="1"/>
    <col min="20" max="20" width="12.42578125" customWidth="1"/>
    <col min="21" max="21" width="7.5703125" customWidth="1"/>
    <col min="22" max="22" width="12.42578125" customWidth="1"/>
    <col min="23" max="23" width="5.7109375" customWidth="1"/>
    <col min="24" max="24" width="9.5703125" customWidth="1"/>
    <col min="30" max="30" width="16.85546875" customWidth="1"/>
  </cols>
  <sheetData>
    <row r="1" spans="1:20" ht="21.75" customHeight="1" thickBot="1" x14ac:dyDescent="0.25">
      <c r="A1" s="24"/>
      <c r="B1" s="717"/>
      <c r="C1" s="717"/>
      <c r="D1" s="717"/>
      <c r="E1" s="3568"/>
      <c r="F1" s="3568"/>
      <c r="G1" s="3568"/>
      <c r="H1" s="3568"/>
      <c r="I1" s="617"/>
    </row>
    <row r="2" spans="1:20" ht="40.5" customHeight="1" thickBot="1" x14ac:dyDescent="0.45">
      <c r="A2" s="3104" t="s">
        <v>6445</v>
      </c>
      <c r="B2" s="3105"/>
      <c r="C2" s="3105"/>
      <c r="D2" s="3105"/>
      <c r="E2" s="3105"/>
      <c r="F2" s="3105"/>
      <c r="G2" s="3105"/>
      <c r="H2" s="3105"/>
      <c r="I2" s="3105"/>
      <c r="J2" s="3509"/>
      <c r="K2" s="32"/>
    </row>
    <row r="3" spans="1:20" ht="21.75" customHeight="1" thickBot="1" x14ac:dyDescent="0.25">
      <c r="A3" s="8" t="s">
        <v>5546</v>
      </c>
      <c r="B3" s="11" t="s">
        <v>721</v>
      </c>
      <c r="C3" s="11" t="s">
        <v>6233</v>
      </c>
      <c r="D3" s="75" t="s">
        <v>6183</v>
      </c>
      <c r="E3" s="75" t="s">
        <v>722</v>
      </c>
      <c r="F3" s="2040" t="s">
        <v>6186</v>
      </c>
      <c r="G3" s="11" t="s">
        <v>723</v>
      </c>
      <c r="H3" s="398" t="s">
        <v>724</v>
      </c>
      <c r="I3" s="2047" t="s">
        <v>725</v>
      </c>
      <c r="J3" s="75" t="s">
        <v>6227</v>
      </c>
      <c r="K3" s="717"/>
      <c r="L3" s="2138"/>
      <c r="M3" s="2138"/>
      <c r="N3" s="2138"/>
      <c r="O3" s="2117"/>
      <c r="P3" s="2117"/>
      <c r="Q3" s="2117"/>
      <c r="R3" s="2117"/>
      <c r="S3" s="2117"/>
    </row>
    <row r="4" spans="1:20" ht="21.75" customHeight="1" x14ac:dyDescent="0.2">
      <c r="A4" s="1493"/>
      <c r="B4" s="1499">
        <v>45428</v>
      </c>
      <c r="C4" s="1499" t="s">
        <v>6442</v>
      </c>
      <c r="D4" s="1496" t="s">
        <v>6418</v>
      </c>
      <c r="E4" s="1496" t="s">
        <v>6443</v>
      </c>
      <c r="F4" s="1604" t="s">
        <v>6186</v>
      </c>
      <c r="G4" s="2041">
        <v>36</v>
      </c>
      <c r="H4" s="1219">
        <v>44.5</v>
      </c>
      <c r="I4" s="2097">
        <f>H4*G4</f>
        <v>1602</v>
      </c>
      <c r="J4" s="2130"/>
      <c r="M4" s="2230" t="s">
        <v>6522</v>
      </c>
      <c r="N4" s="2139"/>
      <c r="O4" s="1704"/>
      <c r="P4" s="1704"/>
      <c r="Q4" s="1704"/>
      <c r="R4" s="1704"/>
      <c r="S4" s="1704"/>
    </row>
    <row r="5" spans="1:20" ht="21.75" customHeight="1" x14ac:dyDescent="0.2">
      <c r="A5" s="1493"/>
      <c r="B5" s="1499">
        <v>45428</v>
      </c>
      <c r="C5" s="1499" t="s">
        <v>6442</v>
      </c>
      <c r="D5" s="1496" t="s">
        <v>6418</v>
      </c>
      <c r="E5" s="1496" t="s">
        <v>6444</v>
      </c>
      <c r="F5" s="1604" t="s">
        <v>6186</v>
      </c>
      <c r="G5" s="2041">
        <v>30</v>
      </c>
      <c r="H5" s="1219">
        <v>22</v>
      </c>
      <c r="I5" s="2097">
        <f>H5*G5</f>
        <v>660</v>
      </c>
      <c r="J5" s="2130"/>
      <c r="M5" s="31" t="s">
        <v>721</v>
      </c>
      <c r="N5" s="31" t="s">
        <v>6521</v>
      </c>
      <c r="O5" s="32" t="s">
        <v>5427</v>
      </c>
      <c r="P5" s="32" t="s">
        <v>6525</v>
      </c>
      <c r="Q5" s="32"/>
      <c r="R5" s="32"/>
      <c r="S5" s="32"/>
    </row>
    <row r="6" spans="1:20" ht="21.75" customHeight="1" x14ac:dyDescent="0.2">
      <c r="A6" s="1493"/>
      <c r="B6" s="1499">
        <v>45428</v>
      </c>
      <c r="C6" s="1499" t="s">
        <v>6442</v>
      </c>
      <c r="D6" s="1496" t="s">
        <v>6418</v>
      </c>
      <c r="E6" s="1496" t="s">
        <v>6448</v>
      </c>
      <c r="F6" s="1604" t="s">
        <v>6186</v>
      </c>
      <c r="G6" s="2041">
        <v>1</v>
      </c>
      <c r="H6" s="1219">
        <v>58</v>
      </c>
      <c r="I6" s="2097">
        <f>H6*G6</f>
        <v>58</v>
      </c>
      <c r="J6" s="2130"/>
      <c r="K6" s="746"/>
      <c r="M6" s="165">
        <v>45411</v>
      </c>
      <c r="N6" s="981" t="s">
        <v>6523</v>
      </c>
      <c r="O6" s="1">
        <v>310</v>
      </c>
      <c r="P6" s="2109" t="e">
        <f>M6+#REF!</f>
        <v>#REF!</v>
      </c>
      <c r="Q6" s="2109"/>
      <c r="R6" s="2109"/>
      <c r="S6" s="2109"/>
    </row>
    <row r="7" spans="1:20" ht="21.75" customHeight="1" x14ac:dyDescent="0.2">
      <c r="A7" s="1493" t="s">
        <v>6244</v>
      </c>
      <c r="B7" s="1499"/>
      <c r="C7" s="1499"/>
      <c r="D7" s="1496"/>
      <c r="E7" s="1496"/>
      <c r="F7" s="1604"/>
      <c r="G7" s="2041"/>
      <c r="H7" s="1219"/>
      <c r="I7" s="2059">
        <f>SUM(I4:I6)</f>
        <v>2320</v>
      </c>
      <c r="J7" s="2130" t="s">
        <v>6449</v>
      </c>
      <c r="K7" s="746"/>
      <c r="M7" s="165">
        <v>45433</v>
      </c>
      <c r="N7" s="51" t="s">
        <v>6524</v>
      </c>
      <c r="O7" s="1">
        <v>200</v>
      </c>
      <c r="P7" s="2109" t="e">
        <f>M7+#REF!</f>
        <v>#REF!</v>
      </c>
      <c r="Q7" s="2109"/>
      <c r="R7" s="2109"/>
      <c r="S7" s="2109"/>
    </row>
    <row r="8" spans="1:20" ht="21.75" customHeight="1" x14ac:dyDescent="0.2">
      <c r="A8" s="1493"/>
      <c r="B8" s="1499"/>
      <c r="C8" s="1499"/>
      <c r="D8" s="1496"/>
      <c r="E8" s="1496"/>
      <c r="F8" s="1604"/>
      <c r="G8" s="2041"/>
      <c r="H8" s="1219"/>
      <c r="I8" s="2097"/>
      <c r="J8" s="2130"/>
      <c r="K8" s="746"/>
      <c r="M8" s="1543">
        <v>45447</v>
      </c>
      <c r="N8" s="51" t="s">
        <v>6527</v>
      </c>
      <c r="O8" s="1">
        <v>100</v>
      </c>
      <c r="P8" s="2109" t="e">
        <f>M8+#REF!</f>
        <v>#REF!</v>
      </c>
      <c r="Q8" s="2109"/>
      <c r="R8" s="2109"/>
      <c r="S8" s="2109"/>
    </row>
    <row r="9" spans="1:20" ht="21.75" customHeight="1" x14ac:dyDescent="0.2">
      <c r="A9" s="1493" t="s">
        <v>6244</v>
      </c>
      <c r="B9" s="1499">
        <v>45433</v>
      </c>
      <c r="C9" s="1499" t="s">
        <v>6409</v>
      </c>
      <c r="D9" s="1496" t="s">
        <v>6465</v>
      </c>
      <c r="E9" s="1496" t="s">
        <v>6609</v>
      </c>
      <c r="F9" s="1604" t="s">
        <v>6186</v>
      </c>
      <c r="G9" s="2041">
        <v>8</v>
      </c>
      <c r="H9" s="1219">
        <f>200/G9</f>
        <v>25</v>
      </c>
      <c r="I9" s="2059">
        <f>H9*G9</f>
        <v>200</v>
      </c>
      <c r="J9" s="2130" t="s">
        <v>6399</v>
      </c>
      <c r="K9" s="746"/>
      <c r="M9" s="2109">
        <v>45449</v>
      </c>
      <c r="N9" s="981" t="s">
        <v>6523</v>
      </c>
      <c r="O9" s="1">
        <v>310</v>
      </c>
      <c r="P9" s="2109" t="e">
        <f>M9+#REF!</f>
        <v>#REF!</v>
      </c>
      <c r="Q9" s="2109"/>
      <c r="R9" s="2109"/>
      <c r="S9" s="2109"/>
      <c r="T9" s="717" t="s">
        <v>6526</v>
      </c>
    </row>
    <row r="10" spans="1:20" ht="21.75" customHeight="1" x14ac:dyDescent="0.2">
      <c r="A10" s="1493"/>
      <c r="B10" s="1499"/>
      <c r="C10" s="1499"/>
      <c r="D10" s="1496"/>
      <c r="E10" s="1496"/>
      <c r="F10" s="1604"/>
      <c r="G10" s="2041"/>
      <c r="H10" s="1219"/>
      <c r="I10" s="2097"/>
      <c r="J10" s="2130"/>
      <c r="K10" s="746"/>
      <c r="M10" s="165"/>
      <c r="O10" s="1"/>
    </row>
    <row r="11" spans="1:20" ht="21.75" customHeight="1" x14ac:dyDescent="0.2">
      <c r="A11" s="1493"/>
      <c r="B11" s="1499">
        <v>45433</v>
      </c>
      <c r="C11" s="1499" t="s">
        <v>6234</v>
      </c>
      <c r="D11" s="1496" t="s">
        <v>6466</v>
      </c>
      <c r="E11" s="1496" t="s">
        <v>6467</v>
      </c>
      <c r="F11" s="1604" t="s">
        <v>6186</v>
      </c>
      <c r="G11" s="2041">
        <v>14</v>
      </c>
      <c r="H11" s="1219">
        <v>16.2</v>
      </c>
      <c r="I11" s="2097">
        <f>H11*G11</f>
        <v>226.79999999999998</v>
      </c>
      <c r="J11" s="2130"/>
      <c r="K11" s="746"/>
      <c r="M11" s="165"/>
      <c r="O11" s="1">
        <f>SUM(O6:O10)</f>
        <v>920</v>
      </c>
    </row>
    <row r="12" spans="1:20" ht="21.75" customHeight="1" x14ac:dyDescent="0.2">
      <c r="A12" s="1493"/>
      <c r="B12" s="1499">
        <v>45433</v>
      </c>
      <c r="C12" s="1499" t="s">
        <v>6234</v>
      </c>
      <c r="D12" s="1496" t="s">
        <v>6466</v>
      </c>
      <c r="E12" s="1496" t="s">
        <v>6468</v>
      </c>
      <c r="F12" s="1604" t="s">
        <v>6186</v>
      </c>
      <c r="G12" s="2041">
        <v>25</v>
      </c>
      <c r="H12" s="1219">
        <v>38.85</v>
      </c>
      <c r="I12" s="2097">
        <f t="shared" ref="I12:I15" si="0">H12*G12</f>
        <v>971.25</v>
      </c>
      <c r="J12" s="2130"/>
      <c r="K12" s="746"/>
      <c r="M12" s="165"/>
    </row>
    <row r="13" spans="1:20" ht="21.75" customHeight="1" x14ac:dyDescent="0.2">
      <c r="A13" s="1493"/>
      <c r="B13" s="1499">
        <v>45433</v>
      </c>
      <c r="C13" s="1499" t="s">
        <v>6234</v>
      </c>
      <c r="D13" s="1496" t="s">
        <v>6466</v>
      </c>
      <c r="E13" s="1496" t="s">
        <v>6469</v>
      </c>
      <c r="F13" s="1604" t="s">
        <v>6186</v>
      </c>
      <c r="G13" s="2041">
        <v>15</v>
      </c>
      <c r="H13" s="1219">
        <v>14.4</v>
      </c>
      <c r="I13" s="2097">
        <f t="shared" si="0"/>
        <v>216</v>
      </c>
      <c r="J13" s="2130"/>
      <c r="K13" s="746"/>
    </row>
    <row r="14" spans="1:20" ht="21.75" customHeight="1" x14ac:dyDescent="0.2">
      <c r="A14" s="1493"/>
      <c r="B14" s="1499">
        <v>45433</v>
      </c>
      <c r="C14" s="1499" t="s">
        <v>6234</v>
      </c>
      <c r="D14" s="1496" t="s">
        <v>6466</v>
      </c>
      <c r="E14" s="1496" t="s">
        <v>6470</v>
      </c>
      <c r="F14" s="1604" t="s">
        <v>6186</v>
      </c>
      <c r="G14" s="2041">
        <v>3</v>
      </c>
      <c r="H14" s="1219">
        <v>17</v>
      </c>
      <c r="I14" s="2097">
        <f t="shared" si="0"/>
        <v>51</v>
      </c>
      <c r="J14" s="2130"/>
      <c r="K14" s="746"/>
    </row>
    <row r="15" spans="1:20" ht="21.75" customHeight="1" x14ac:dyDescent="0.2">
      <c r="A15" s="1493"/>
      <c r="B15" s="1499">
        <v>45433</v>
      </c>
      <c r="C15" s="1499" t="s">
        <v>6234</v>
      </c>
      <c r="D15" s="1496" t="s">
        <v>6466</v>
      </c>
      <c r="E15" s="1496" t="s">
        <v>6185</v>
      </c>
      <c r="F15" s="1604" t="s">
        <v>6186</v>
      </c>
      <c r="G15" s="2041">
        <v>2</v>
      </c>
      <c r="H15" s="1219">
        <v>16.95</v>
      </c>
      <c r="I15" s="2097">
        <f t="shared" si="0"/>
        <v>33.9</v>
      </c>
      <c r="J15" s="2130"/>
      <c r="K15" s="746"/>
    </row>
    <row r="16" spans="1:20" ht="21.75" customHeight="1" x14ac:dyDescent="0.2">
      <c r="A16" s="1493" t="s">
        <v>6244</v>
      </c>
      <c r="B16" s="1499"/>
      <c r="C16" s="1499"/>
      <c r="D16" s="1496"/>
      <c r="E16" s="1496"/>
      <c r="F16" s="1604"/>
      <c r="G16" s="2041"/>
      <c r="H16" s="1219"/>
      <c r="I16" s="2059">
        <f>SUM(I11:I15)</f>
        <v>1498.95</v>
      </c>
      <c r="J16" s="2130" t="s">
        <v>6449</v>
      </c>
      <c r="K16" s="746"/>
    </row>
    <row r="17" spans="1:19" ht="21.75" customHeight="1" x14ac:dyDescent="0.2">
      <c r="A17" s="1493"/>
      <c r="B17" s="1499"/>
      <c r="C17" s="1499"/>
      <c r="D17" s="1496"/>
      <c r="E17" s="1496"/>
      <c r="F17" s="1604"/>
      <c r="G17" s="2041"/>
      <c r="H17" s="1219"/>
      <c r="I17" s="2097"/>
      <c r="J17" s="2130"/>
      <c r="K17" s="717" t="s">
        <v>280</v>
      </c>
      <c r="L17" s="2113"/>
      <c r="M17" s="2114"/>
      <c r="N17" s="512"/>
      <c r="O17" s="2115"/>
      <c r="P17" s="1870"/>
      <c r="Q17" s="1870"/>
      <c r="R17" s="1870"/>
      <c r="S17" s="1870"/>
    </row>
    <row r="18" spans="1:19" ht="21.75" customHeight="1" x14ac:dyDescent="0.2">
      <c r="A18" s="1493" t="s">
        <v>6245</v>
      </c>
      <c r="B18" s="1499">
        <v>45435</v>
      </c>
      <c r="C18" s="1499"/>
      <c r="D18" s="1496"/>
      <c r="E18" s="1496" t="s">
        <v>6307</v>
      </c>
      <c r="F18" s="1604" t="s">
        <v>6186</v>
      </c>
      <c r="G18" s="2041">
        <v>1</v>
      </c>
      <c r="H18" s="1219">
        <v>2000</v>
      </c>
      <c r="I18" s="2059">
        <f>H18*G18</f>
        <v>2000</v>
      </c>
      <c r="J18" s="2130" t="s">
        <v>6399</v>
      </c>
      <c r="K18" s="746"/>
    </row>
    <row r="19" spans="1:19" ht="21.75" customHeight="1" x14ac:dyDescent="0.2">
      <c r="A19" s="1493" t="s">
        <v>6244</v>
      </c>
      <c r="B19" s="1499">
        <v>45435</v>
      </c>
      <c r="C19" s="1499"/>
      <c r="D19" s="1496"/>
      <c r="E19" s="1496" t="s">
        <v>6483</v>
      </c>
      <c r="F19" s="1604" t="s">
        <v>6186</v>
      </c>
      <c r="G19" s="2041">
        <v>1</v>
      </c>
      <c r="H19" s="1219">
        <v>90</v>
      </c>
      <c r="I19" s="2059">
        <f>H19*G19</f>
        <v>90</v>
      </c>
      <c r="J19" s="2130" t="s">
        <v>6399</v>
      </c>
      <c r="K19" s="746"/>
    </row>
    <row r="20" spans="1:19" ht="21.75" customHeight="1" x14ac:dyDescent="0.2">
      <c r="A20" s="1493"/>
      <c r="B20" s="1499"/>
      <c r="C20" s="1499"/>
      <c r="D20" s="1496"/>
      <c r="E20" s="1496"/>
      <c r="F20" s="1604"/>
      <c r="G20" s="2041"/>
      <c r="H20" s="1219"/>
      <c r="I20" s="2059"/>
      <c r="J20" s="2130"/>
      <c r="K20" s="746"/>
    </row>
    <row r="21" spans="1:19" ht="21.75" customHeight="1" x14ac:dyDescent="0.2">
      <c r="A21" s="1493" t="s">
        <v>6244</v>
      </c>
      <c r="B21" s="1499">
        <v>45435</v>
      </c>
      <c r="C21" s="1499" t="s">
        <v>6442</v>
      </c>
      <c r="D21" s="1496" t="s">
        <v>6418</v>
      </c>
      <c r="E21" s="1496" t="s">
        <v>6484</v>
      </c>
      <c r="F21" s="1604" t="s">
        <v>6186</v>
      </c>
      <c r="G21" s="2041">
        <v>1</v>
      </c>
      <c r="H21" s="1219">
        <v>69</v>
      </c>
      <c r="I21" s="2059">
        <f>H21*G21</f>
        <v>69</v>
      </c>
      <c r="J21" s="2130" t="s">
        <v>6399</v>
      </c>
      <c r="K21" s="746"/>
    </row>
    <row r="22" spans="1:19" ht="21.75" customHeight="1" x14ac:dyDescent="0.2">
      <c r="A22" s="1493"/>
      <c r="B22" s="1499"/>
      <c r="C22" s="1499"/>
      <c r="D22" s="1496"/>
      <c r="E22" s="1496"/>
      <c r="F22" s="1604"/>
      <c r="G22" s="2041"/>
      <c r="H22" s="1638"/>
      <c r="I22" s="2059"/>
      <c r="J22" s="2130"/>
      <c r="K22" s="746"/>
    </row>
    <row r="23" spans="1:19" ht="21.75" customHeight="1" x14ac:dyDescent="0.2">
      <c r="A23" s="1493" t="s">
        <v>6244</v>
      </c>
      <c r="B23" s="1499">
        <v>45435</v>
      </c>
      <c r="C23" s="1499" t="s">
        <v>6234</v>
      </c>
      <c r="D23" s="1496" t="s">
        <v>6466</v>
      </c>
      <c r="E23" s="1496" t="s">
        <v>6226</v>
      </c>
      <c r="F23" s="1604"/>
      <c r="G23" s="2041">
        <v>6</v>
      </c>
      <c r="H23" s="1638">
        <v>36.200000000000003</v>
      </c>
      <c r="I23" s="2215">
        <f>H23*G23</f>
        <v>217.20000000000002</v>
      </c>
      <c r="J23" s="2130" t="s">
        <v>6399</v>
      </c>
      <c r="K23" s="746"/>
    </row>
    <row r="24" spans="1:19" ht="21.75" customHeight="1" x14ac:dyDescent="0.2">
      <c r="A24" s="1493" t="s">
        <v>6244</v>
      </c>
      <c r="B24" s="1499">
        <v>45435</v>
      </c>
      <c r="C24" s="1499" t="s">
        <v>6234</v>
      </c>
      <c r="D24" s="1496" t="s">
        <v>6466</v>
      </c>
      <c r="E24" s="1496" t="s">
        <v>6486</v>
      </c>
      <c r="F24" s="1604"/>
      <c r="G24" s="2041">
        <v>1</v>
      </c>
      <c r="H24" s="1638">
        <v>246</v>
      </c>
      <c r="I24" s="1929">
        <f>H24*G24</f>
        <v>246</v>
      </c>
      <c r="J24" s="2130" t="s">
        <v>6399</v>
      </c>
      <c r="K24" s="746"/>
    </row>
    <row r="25" spans="1:19" ht="21.75" customHeight="1" x14ac:dyDescent="0.2">
      <c r="A25" s="1493" t="s">
        <v>6244</v>
      </c>
      <c r="B25" s="1499">
        <v>45435</v>
      </c>
      <c r="C25" s="1499" t="s">
        <v>6234</v>
      </c>
      <c r="D25" s="1496" t="s">
        <v>6466</v>
      </c>
      <c r="E25" s="1496" t="s">
        <v>6487</v>
      </c>
      <c r="F25" s="1604"/>
      <c r="G25" s="2124">
        <v>1</v>
      </c>
      <c r="H25" s="1638">
        <v>224</v>
      </c>
      <c r="I25" s="2097">
        <f>H25*G25</f>
        <v>224</v>
      </c>
      <c r="J25" s="2130" t="s">
        <v>6399</v>
      </c>
      <c r="K25" s="746"/>
    </row>
    <row r="26" spans="1:19" ht="21.75" customHeight="1" x14ac:dyDescent="0.2">
      <c r="A26" s="1493"/>
      <c r="B26" s="1499"/>
      <c r="C26" s="1499"/>
      <c r="D26" s="1496"/>
      <c r="E26" s="1496"/>
      <c r="F26" s="1604"/>
      <c r="G26" s="2041"/>
      <c r="H26" s="1638"/>
      <c r="I26" s="2059">
        <f>SUM(I23:I25)</f>
        <v>687.2</v>
      </c>
      <c r="J26" s="2130"/>
      <c r="K26" s="746"/>
    </row>
    <row r="27" spans="1:19" ht="21.75" customHeight="1" x14ac:dyDescent="0.2">
      <c r="A27" s="1493"/>
      <c r="B27" s="1499"/>
      <c r="C27" s="1499"/>
      <c r="D27" s="1496"/>
      <c r="E27" s="1496"/>
      <c r="F27" s="1604"/>
      <c r="G27" s="2041"/>
      <c r="H27" s="1638"/>
      <c r="I27" s="2097"/>
      <c r="J27" s="2130"/>
      <c r="K27" s="746"/>
    </row>
    <row r="28" spans="1:19" ht="21.75" customHeight="1" x14ac:dyDescent="0.2">
      <c r="A28" s="1493" t="s">
        <v>6245</v>
      </c>
      <c r="B28" s="1499">
        <v>45444</v>
      </c>
      <c r="C28" s="1499"/>
      <c r="D28" s="1496"/>
      <c r="E28" s="1496" t="s">
        <v>6308</v>
      </c>
      <c r="F28" s="1604" t="s">
        <v>6186</v>
      </c>
      <c r="G28" s="2041">
        <v>1</v>
      </c>
      <c r="H28" s="1219">
        <v>2000</v>
      </c>
      <c r="I28" s="2059">
        <f>H28*G28</f>
        <v>2000</v>
      </c>
      <c r="J28" s="2130" t="s">
        <v>6399</v>
      </c>
      <c r="K28" s="746"/>
    </row>
    <row r="29" spans="1:19" ht="21.75" customHeight="1" x14ac:dyDescent="0.2">
      <c r="A29" s="1493"/>
      <c r="B29" s="1499"/>
      <c r="C29" s="1499"/>
      <c r="D29" s="1496"/>
      <c r="E29" s="1496"/>
      <c r="F29" s="1604"/>
      <c r="G29" s="2041"/>
      <c r="H29" s="1219"/>
      <c r="I29" s="2097"/>
      <c r="J29" s="2130"/>
      <c r="K29" s="746"/>
    </row>
    <row r="30" spans="1:19" ht="21.75" customHeight="1" x14ac:dyDescent="0.2">
      <c r="A30" s="1493" t="s">
        <v>6244</v>
      </c>
      <c r="B30" s="1499">
        <v>45447</v>
      </c>
      <c r="C30" s="1499" t="s">
        <v>6409</v>
      </c>
      <c r="D30" s="1496" t="s">
        <v>6465</v>
      </c>
      <c r="E30" s="1496" t="s">
        <v>6610</v>
      </c>
      <c r="F30" s="1604" t="s">
        <v>6186</v>
      </c>
      <c r="G30" s="2041">
        <v>4</v>
      </c>
      <c r="H30" s="1219">
        <v>25</v>
      </c>
      <c r="I30" s="2059">
        <f>G30*H30</f>
        <v>100</v>
      </c>
      <c r="J30" s="2130" t="s">
        <v>6399</v>
      </c>
      <c r="K30" s="746"/>
    </row>
    <row r="31" spans="1:19" ht="21.75" customHeight="1" x14ac:dyDescent="0.2">
      <c r="A31" s="1493"/>
      <c r="B31" s="1499"/>
      <c r="C31" s="1499"/>
      <c r="D31" s="1496"/>
      <c r="E31" s="1496"/>
      <c r="F31" s="1604"/>
      <c r="G31" s="2041"/>
      <c r="H31" s="1219"/>
      <c r="I31" s="2097"/>
      <c r="J31" s="2130"/>
      <c r="K31" s="746"/>
    </row>
    <row r="32" spans="1:19" ht="21.75" customHeight="1" x14ac:dyDescent="0.2">
      <c r="A32" s="1493" t="s">
        <v>6244</v>
      </c>
      <c r="B32" s="1499">
        <v>45447</v>
      </c>
      <c r="C32" s="1499" t="s">
        <v>6234</v>
      </c>
      <c r="D32" s="1496" t="s">
        <v>6466</v>
      </c>
      <c r="E32" s="1496" t="s">
        <v>6502</v>
      </c>
      <c r="F32" s="1604" t="s">
        <v>6186</v>
      </c>
      <c r="G32" s="2041">
        <v>1</v>
      </c>
      <c r="H32" s="1219">
        <v>82</v>
      </c>
      <c r="I32" s="2059">
        <f t="shared" ref="I32" si="1">H32*G32</f>
        <v>82</v>
      </c>
      <c r="J32" s="2130" t="s">
        <v>6399</v>
      </c>
      <c r="K32" s="746"/>
    </row>
    <row r="33" spans="1:11" ht="21.75" customHeight="1" x14ac:dyDescent="0.2">
      <c r="A33" s="1493"/>
      <c r="B33" s="1499"/>
      <c r="C33" s="1499"/>
      <c r="D33" s="1496"/>
      <c r="E33" s="1496"/>
      <c r="F33" s="1604"/>
      <c r="G33" s="2041"/>
      <c r="H33" s="1638"/>
      <c r="I33" s="2059"/>
      <c r="J33" s="2130"/>
      <c r="K33" s="746"/>
    </row>
    <row r="34" spans="1:11" ht="21.75" customHeight="1" x14ac:dyDescent="0.2">
      <c r="A34" s="1493" t="s">
        <v>6244</v>
      </c>
      <c r="B34" s="1499">
        <v>45449</v>
      </c>
      <c r="C34" s="1499" t="s">
        <v>6234</v>
      </c>
      <c r="D34" s="1496" t="s">
        <v>6466</v>
      </c>
      <c r="E34" s="1496" t="s">
        <v>6226</v>
      </c>
      <c r="F34" s="1604"/>
      <c r="G34" s="2041">
        <v>4</v>
      </c>
      <c r="H34" s="1638">
        <v>36.200000000000003</v>
      </c>
      <c r="I34" s="2211">
        <f>H34*G34</f>
        <v>144.80000000000001</v>
      </c>
      <c r="J34" s="2130" t="s">
        <v>6399</v>
      </c>
      <c r="K34" s="746"/>
    </row>
    <row r="35" spans="1:11" ht="21.75" customHeight="1" x14ac:dyDescent="0.2">
      <c r="A35" s="1493"/>
      <c r="B35" s="1499"/>
      <c r="C35" s="1499"/>
      <c r="D35" s="1496"/>
      <c r="E35" s="1496"/>
      <c r="F35" s="1604"/>
      <c r="G35" s="2041"/>
      <c r="H35" s="1219"/>
      <c r="I35" s="2059"/>
      <c r="J35" s="2130"/>
      <c r="K35" s="746"/>
    </row>
    <row r="36" spans="1:11" ht="21.75" customHeight="1" x14ac:dyDescent="0.2">
      <c r="A36" s="1493" t="s">
        <v>6244</v>
      </c>
      <c r="B36" s="1499">
        <v>45449</v>
      </c>
      <c r="C36" s="1499" t="s">
        <v>6409</v>
      </c>
      <c r="D36" s="1496" t="s">
        <v>6367</v>
      </c>
      <c r="E36" s="1496" t="s">
        <v>6507</v>
      </c>
      <c r="F36" s="2199" t="s">
        <v>6186</v>
      </c>
      <c r="G36" s="2200">
        <v>1</v>
      </c>
      <c r="H36" s="1638">
        <v>310</v>
      </c>
      <c r="I36" s="2209">
        <f>H36*G36</f>
        <v>310</v>
      </c>
      <c r="J36" s="2197" t="s">
        <v>6399</v>
      </c>
      <c r="K36" s="2205"/>
    </row>
    <row r="37" spans="1:11" ht="21.75" customHeight="1" x14ac:dyDescent="0.2">
      <c r="A37" s="1493"/>
      <c r="B37" s="1499"/>
      <c r="C37" s="1499"/>
      <c r="D37" s="1496"/>
      <c r="E37" s="1496"/>
      <c r="F37" s="1604"/>
      <c r="G37" s="2041"/>
      <c r="H37" s="1219"/>
      <c r="I37" s="2097"/>
      <c r="J37" s="2130"/>
      <c r="K37" s="746"/>
    </row>
    <row r="38" spans="1:11" ht="21.75" customHeight="1" x14ac:dyDescent="0.2">
      <c r="A38" s="1493" t="s">
        <v>6245</v>
      </c>
      <c r="B38" s="1499">
        <v>45451</v>
      </c>
      <c r="C38" s="1499"/>
      <c r="D38" s="1496"/>
      <c r="E38" s="1496" t="s">
        <v>6326</v>
      </c>
      <c r="F38" s="1604" t="s">
        <v>6186</v>
      </c>
      <c r="G38" s="2041">
        <v>1</v>
      </c>
      <c r="H38" s="1219">
        <v>2000</v>
      </c>
      <c r="I38" s="2059">
        <f>H38*G38</f>
        <v>2000</v>
      </c>
      <c r="J38" s="2130" t="s">
        <v>6399</v>
      </c>
      <c r="K38" s="746"/>
    </row>
    <row r="39" spans="1:11" ht="21.75" customHeight="1" x14ac:dyDescent="0.2">
      <c r="A39" s="1493"/>
      <c r="B39" s="1499"/>
      <c r="C39" s="1499"/>
      <c r="D39" s="1496"/>
      <c r="E39" s="1496"/>
      <c r="F39" s="1604"/>
      <c r="G39" s="2041"/>
      <c r="H39" s="1219"/>
      <c r="I39" s="2097"/>
      <c r="J39" s="2130"/>
      <c r="K39" s="746"/>
    </row>
    <row r="40" spans="1:11" ht="21.75" customHeight="1" x14ac:dyDescent="0.2">
      <c r="A40" s="1493" t="s">
        <v>6244</v>
      </c>
      <c r="B40" s="1499">
        <v>45453</v>
      </c>
      <c r="C40" s="1499" t="s">
        <v>6234</v>
      </c>
      <c r="D40" s="1496" t="s">
        <v>6466</v>
      </c>
      <c r="E40" s="1496" t="s">
        <v>6226</v>
      </c>
      <c r="F40" s="1604"/>
      <c r="G40" s="2041">
        <v>2</v>
      </c>
      <c r="H40" s="1638">
        <v>32.5</v>
      </c>
      <c r="I40" s="2211">
        <f>H40*G40</f>
        <v>65</v>
      </c>
      <c r="J40" s="2130" t="s">
        <v>6399</v>
      </c>
      <c r="K40" s="746"/>
    </row>
    <row r="41" spans="1:11" ht="21.75" customHeight="1" x14ac:dyDescent="0.2">
      <c r="A41" s="1493"/>
      <c r="B41" s="1499"/>
      <c r="C41" s="1499"/>
      <c r="D41" s="1496"/>
      <c r="E41" s="1496"/>
      <c r="F41" s="1604"/>
      <c r="G41" s="2041"/>
      <c r="H41" s="1219"/>
      <c r="I41" s="663"/>
      <c r="J41" s="2130"/>
    </row>
    <row r="42" spans="1:11" ht="21.75" customHeight="1" x14ac:dyDescent="0.2">
      <c r="A42" s="1493" t="s">
        <v>6244</v>
      </c>
      <c r="B42" s="1499"/>
      <c r="C42" s="1499" t="s">
        <v>6234</v>
      </c>
      <c r="D42" s="1496" t="s">
        <v>6466</v>
      </c>
      <c r="E42" s="1496" t="s">
        <v>6226</v>
      </c>
      <c r="F42" s="2199"/>
      <c r="G42" s="2200">
        <v>2</v>
      </c>
      <c r="H42" s="1638">
        <v>32.5</v>
      </c>
      <c r="I42" s="2215">
        <f>H42*G42</f>
        <v>65</v>
      </c>
      <c r="J42" s="2130" t="s">
        <v>6399</v>
      </c>
      <c r="K42" s="746"/>
    </row>
    <row r="43" spans="1:11" ht="21.75" customHeight="1" x14ac:dyDescent="0.2">
      <c r="A43" s="1493" t="s">
        <v>6244</v>
      </c>
      <c r="B43" s="1499"/>
      <c r="C43" s="1499" t="s">
        <v>6234</v>
      </c>
      <c r="D43" s="1496" t="s">
        <v>6466</v>
      </c>
      <c r="E43" s="1496" t="s">
        <v>6544</v>
      </c>
      <c r="F43" s="2199"/>
      <c r="G43" s="2200">
        <v>1</v>
      </c>
      <c r="H43" s="1638">
        <v>75</v>
      </c>
      <c r="I43" s="2215">
        <f>H43*G43</f>
        <v>75</v>
      </c>
      <c r="J43" s="2130" t="s">
        <v>6399</v>
      </c>
      <c r="K43" s="746"/>
    </row>
    <row r="44" spans="1:11" ht="21.75" customHeight="1" x14ac:dyDescent="0.2">
      <c r="A44" s="1493"/>
      <c r="B44" s="1499"/>
      <c r="C44" s="1499"/>
      <c r="D44" s="1496"/>
      <c r="E44" s="1496"/>
      <c r="F44" s="2199"/>
      <c r="G44" s="2200"/>
      <c r="H44" s="1638"/>
      <c r="I44" s="2233">
        <f>SUM(I42:I43)</f>
        <v>140</v>
      </c>
      <c r="J44" s="2130"/>
      <c r="K44" s="746"/>
    </row>
    <row r="45" spans="1:11" ht="21.75" customHeight="1" x14ac:dyDescent="0.2">
      <c r="A45" s="1493"/>
      <c r="B45" s="1499"/>
      <c r="C45" s="1499"/>
      <c r="D45" s="1496"/>
      <c r="E45" s="1496"/>
      <c r="F45" s="1604"/>
      <c r="G45" s="2041"/>
      <c r="H45" s="1219"/>
      <c r="I45" s="663"/>
      <c r="J45" s="2130"/>
    </row>
    <row r="46" spans="1:11" ht="21.75" customHeight="1" x14ac:dyDescent="0.2">
      <c r="A46" s="1493" t="s">
        <v>6245</v>
      </c>
      <c r="B46" s="1499">
        <v>45458</v>
      </c>
      <c r="C46" s="1499"/>
      <c r="D46" s="1496"/>
      <c r="E46" s="1496" t="s">
        <v>6410</v>
      </c>
      <c r="F46" s="1604" t="s">
        <v>6186</v>
      </c>
      <c r="G46" s="2041">
        <v>1</v>
      </c>
      <c r="H46" s="1219">
        <v>1000</v>
      </c>
      <c r="I46" s="2059">
        <f>H46*G46</f>
        <v>1000</v>
      </c>
      <c r="J46" s="2130" t="s">
        <v>6399</v>
      </c>
    </row>
    <row r="47" spans="1:11" ht="21.75" customHeight="1" x14ac:dyDescent="0.2">
      <c r="A47" s="1493"/>
      <c r="B47" s="1499"/>
      <c r="C47" s="1499"/>
      <c r="D47" s="1496"/>
      <c r="E47" s="1496"/>
      <c r="F47" s="1604"/>
      <c r="G47" s="2041"/>
      <c r="H47" s="1219"/>
      <c r="I47" s="2051"/>
      <c r="J47" s="2130"/>
    </row>
    <row r="48" spans="1:11" ht="21.75" customHeight="1" x14ac:dyDescent="0.2">
      <c r="A48" s="1493"/>
      <c r="B48" s="1499">
        <v>45460</v>
      </c>
      <c r="C48" s="1499" t="s">
        <v>6234</v>
      </c>
      <c r="D48" s="1496" t="s">
        <v>6418</v>
      </c>
      <c r="E48" s="1496" t="s">
        <v>6545</v>
      </c>
      <c r="F48" s="1604" t="s">
        <v>6186</v>
      </c>
      <c r="G48" s="2124">
        <v>67.7</v>
      </c>
      <c r="H48" s="1219">
        <v>53.2</v>
      </c>
      <c r="I48" s="2097">
        <f>H48*G48</f>
        <v>3601.6400000000003</v>
      </c>
      <c r="J48" s="2130"/>
    </row>
    <row r="49" spans="1:13" ht="21.75" customHeight="1" x14ac:dyDescent="0.2">
      <c r="A49" s="1493"/>
      <c r="B49" s="1499">
        <v>45460</v>
      </c>
      <c r="C49" s="1499" t="s">
        <v>6234</v>
      </c>
      <c r="D49" s="1496" t="s">
        <v>6418</v>
      </c>
      <c r="E49" s="1496" t="s">
        <v>6546</v>
      </c>
      <c r="F49" s="1604" t="s">
        <v>6186</v>
      </c>
      <c r="G49" s="2041">
        <v>12</v>
      </c>
      <c r="H49" s="1219">
        <v>59.6</v>
      </c>
      <c r="I49" s="2097">
        <f t="shared" ref="I49:I51" si="2">H49*G49</f>
        <v>715.2</v>
      </c>
      <c r="J49" s="2130"/>
      <c r="K49" s="746"/>
    </row>
    <row r="50" spans="1:13" ht="21.75" customHeight="1" x14ac:dyDescent="0.2">
      <c r="A50" s="1493"/>
      <c r="B50" s="1499">
        <v>45460</v>
      </c>
      <c r="C50" s="1499" t="s">
        <v>6234</v>
      </c>
      <c r="D50" s="1496" t="s">
        <v>6418</v>
      </c>
      <c r="E50" s="1496" t="s">
        <v>6547</v>
      </c>
      <c r="F50" s="1604" t="s">
        <v>6186</v>
      </c>
      <c r="G50" s="2041">
        <v>12</v>
      </c>
      <c r="H50" s="1219">
        <v>151.19999999999999</v>
      </c>
      <c r="I50" s="2097">
        <f t="shared" si="2"/>
        <v>1814.3999999999999</v>
      </c>
      <c r="J50" s="2130"/>
    </row>
    <row r="51" spans="1:13" ht="21.75" customHeight="1" x14ac:dyDescent="0.2">
      <c r="A51" s="1493"/>
      <c r="B51" s="1499">
        <v>45460</v>
      </c>
      <c r="C51" s="1499" t="s">
        <v>6234</v>
      </c>
      <c r="D51" s="1496" t="s">
        <v>6418</v>
      </c>
      <c r="E51" s="1496" t="s">
        <v>6548</v>
      </c>
      <c r="F51" s="1604" t="s">
        <v>6186</v>
      </c>
      <c r="G51" s="2124">
        <v>4.5</v>
      </c>
      <c r="H51" s="1219">
        <v>14.7</v>
      </c>
      <c r="I51" s="2097">
        <f t="shared" si="2"/>
        <v>66.149999999999991</v>
      </c>
      <c r="J51" s="2130"/>
      <c r="K51" s="746"/>
    </row>
    <row r="52" spans="1:13" ht="21.75" customHeight="1" x14ac:dyDescent="0.2">
      <c r="A52" s="1493"/>
      <c r="B52" s="1499"/>
      <c r="C52" s="1499"/>
      <c r="D52" s="1496"/>
      <c r="E52" s="2190" t="s">
        <v>6549</v>
      </c>
      <c r="F52" s="2191"/>
      <c r="G52" s="2192"/>
      <c r="H52" s="2193"/>
      <c r="I52" s="2194">
        <v>1097.3900000000001</v>
      </c>
      <c r="J52" s="2130"/>
      <c r="K52" s="746"/>
    </row>
    <row r="53" spans="1:13" ht="21.75" customHeight="1" x14ac:dyDescent="0.2">
      <c r="A53" s="1493" t="s">
        <v>6244</v>
      </c>
      <c r="B53" s="1499"/>
      <c r="C53" s="1499"/>
      <c r="D53" s="1496"/>
      <c r="E53" s="1496"/>
      <c r="F53" s="1604"/>
      <c r="G53" s="2041"/>
      <c r="H53" s="1219"/>
      <c r="I53" s="2059">
        <f>SUM(I48:I51)-I52</f>
        <v>5099.9999999999991</v>
      </c>
      <c r="J53" s="2130" t="s">
        <v>6399</v>
      </c>
      <c r="K53" s="746" t="s">
        <v>6550</v>
      </c>
    </row>
    <row r="54" spans="1:13" ht="21.75" customHeight="1" x14ac:dyDescent="0.2">
      <c r="A54" s="1493"/>
      <c r="B54" s="1499"/>
      <c r="C54" s="1499"/>
      <c r="D54" s="1496"/>
      <c r="E54" s="1496"/>
      <c r="F54" s="1604"/>
      <c r="G54" s="2041"/>
      <c r="H54" s="1219"/>
      <c r="I54" s="2097"/>
      <c r="J54" s="2130"/>
      <c r="K54" s="746"/>
    </row>
    <row r="55" spans="1:13" ht="21.75" customHeight="1" x14ac:dyDescent="0.2">
      <c r="A55" s="1493"/>
      <c r="B55" s="1499">
        <v>45462</v>
      </c>
      <c r="C55" s="1499" t="s">
        <v>6409</v>
      </c>
      <c r="D55" s="1496" t="s">
        <v>6465</v>
      </c>
      <c r="E55" s="1496" t="s">
        <v>6611</v>
      </c>
      <c r="F55" s="2199" t="s">
        <v>6186</v>
      </c>
      <c r="G55" s="2200">
        <v>8</v>
      </c>
      <c r="H55" s="1638">
        <f>I55/G55</f>
        <v>25</v>
      </c>
      <c r="I55" s="2127">
        <v>200</v>
      </c>
      <c r="J55" s="2130"/>
    </row>
    <row r="56" spans="1:13" ht="21.75" customHeight="1" x14ac:dyDescent="0.2">
      <c r="A56" s="1493"/>
      <c r="B56" s="1499">
        <v>45462</v>
      </c>
      <c r="C56" s="1499" t="s">
        <v>6409</v>
      </c>
      <c r="D56" s="1496" t="s">
        <v>6465</v>
      </c>
      <c r="E56" s="1496" t="s">
        <v>6611</v>
      </c>
      <c r="F56" s="2199" t="s">
        <v>6186</v>
      </c>
      <c r="G56" s="2200">
        <v>28</v>
      </c>
      <c r="H56" s="1638">
        <v>21.428599999999999</v>
      </c>
      <c r="I56" s="2127">
        <f>H56*G56</f>
        <v>600.00080000000003</v>
      </c>
      <c r="J56" s="2130"/>
    </row>
    <row r="57" spans="1:13" ht="21.75" customHeight="1" x14ac:dyDescent="0.2">
      <c r="A57" s="1493"/>
      <c r="B57" s="1499">
        <v>45462</v>
      </c>
      <c r="C57" s="1499" t="s">
        <v>6409</v>
      </c>
      <c r="D57" s="1496" t="s">
        <v>6465</v>
      </c>
      <c r="E57" s="1496" t="s">
        <v>6551</v>
      </c>
      <c r="F57" s="2199" t="s">
        <v>6186</v>
      </c>
      <c r="G57" s="2200">
        <v>28</v>
      </c>
      <c r="H57" s="1638">
        <v>5.5358000000000001</v>
      </c>
      <c r="I57" s="2127">
        <f t="shared" ref="I57" si="3">H57*G57</f>
        <v>155.00239999999999</v>
      </c>
      <c r="J57" s="2130"/>
      <c r="K57" s="746"/>
    </row>
    <row r="58" spans="1:13" ht="21.75" customHeight="1" x14ac:dyDescent="0.2">
      <c r="A58" s="1493"/>
      <c r="B58" s="1499">
        <v>45462</v>
      </c>
      <c r="C58" s="1499" t="s">
        <v>6409</v>
      </c>
      <c r="D58" s="1496" t="s">
        <v>6465</v>
      </c>
      <c r="E58" s="1496" t="s">
        <v>6552</v>
      </c>
      <c r="F58" s="2199" t="s">
        <v>6186</v>
      </c>
      <c r="G58" s="2200">
        <v>8</v>
      </c>
      <c r="H58" s="1638">
        <v>13.12</v>
      </c>
      <c r="I58" s="2127">
        <v>105</v>
      </c>
      <c r="J58" s="2130"/>
      <c r="K58" s="746"/>
    </row>
    <row r="59" spans="1:13" ht="21.75" customHeight="1" x14ac:dyDescent="0.2">
      <c r="A59" s="1493"/>
      <c r="B59" s="1499">
        <v>45462</v>
      </c>
      <c r="C59" s="1499" t="s">
        <v>6409</v>
      </c>
      <c r="D59" s="1496" t="s">
        <v>6465</v>
      </c>
      <c r="E59" s="1496" t="s">
        <v>6552</v>
      </c>
      <c r="F59" s="2199" t="s">
        <v>6186</v>
      </c>
      <c r="G59" s="2200">
        <v>8</v>
      </c>
      <c r="H59" s="1638">
        <v>13.12</v>
      </c>
      <c r="I59" s="2127">
        <v>105</v>
      </c>
      <c r="J59" s="2130"/>
      <c r="K59" s="746"/>
    </row>
    <row r="60" spans="1:13" ht="21.75" customHeight="1" x14ac:dyDescent="0.2">
      <c r="A60" s="1493"/>
      <c r="B60" s="1499">
        <v>45462</v>
      </c>
      <c r="C60" s="1499" t="s">
        <v>6409</v>
      </c>
      <c r="D60" s="1496" t="s">
        <v>6465</v>
      </c>
      <c r="E60" s="1496" t="s">
        <v>6583</v>
      </c>
      <c r="F60" s="2199" t="s">
        <v>6186</v>
      </c>
      <c r="G60" s="2200">
        <v>8</v>
      </c>
      <c r="H60" s="1638">
        <f>I60/G60</f>
        <v>16</v>
      </c>
      <c r="I60" s="2127">
        <v>128</v>
      </c>
      <c r="J60" s="2130"/>
      <c r="K60" s="746"/>
    </row>
    <row r="61" spans="1:13" ht="21.75" customHeight="1" x14ac:dyDescent="0.2">
      <c r="A61" s="1493" t="s">
        <v>6244</v>
      </c>
      <c r="B61" s="1499"/>
      <c r="C61" s="1499"/>
      <c r="D61" s="1496"/>
      <c r="E61" s="1496"/>
      <c r="F61" s="2199"/>
      <c r="G61" s="2200"/>
      <c r="H61" s="1638"/>
      <c r="I61" s="2321">
        <f>SUM(I55:I60)</f>
        <v>1293.0032000000001</v>
      </c>
      <c r="J61" s="2130" t="s">
        <v>6399</v>
      </c>
      <c r="K61" s="717" t="s">
        <v>6553</v>
      </c>
    </row>
    <row r="62" spans="1:13" ht="21.75" customHeight="1" x14ac:dyDescent="0.2">
      <c r="A62" s="1493"/>
      <c r="B62" s="1499"/>
      <c r="C62" s="1499"/>
      <c r="D62" s="1496"/>
      <c r="E62" s="1496"/>
      <c r="F62" s="1604"/>
      <c r="G62" s="2041"/>
      <c r="H62" s="1219"/>
      <c r="I62" s="2097"/>
      <c r="J62" s="2130"/>
      <c r="K62" s="746"/>
    </row>
    <row r="63" spans="1:13" ht="21.75" customHeight="1" x14ac:dyDescent="0.2">
      <c r="A63" s="1493"/>
      <c r="B63" s="1499">
        <v>45461</v>
      </c>
      <c r="C63" s="1499" t="s">
        <v>6234</v>
      </c>
      <c r="D63" s="1496" t="s">
        <v>6418</v>
      </c>
      <c r="E63" s="1496" t="s">
        <v>6555</v>
      </c>
      <c r="F63" s="1604" t="s">
        <v>6186</v>
      </c>
      <c r="G63" s="2041">
        <v>2</v>
      </c>
      <c r="H63" s="1219">
        <v>76</v>
      </c>
      <c r="I63" s="2097">
        <f>H63*G63</f>
        <v>152</v>
      </c>
      <c r="J63" s="2130"/>
      <c r="K63" s="746"/>
    </row>
    <row r="64" spans="1:13" ht="21.75" customHeight="1" thickBot="1" x14ac:dyDescent="0.25">
      <c r="A64" s="1493"/>
      <c r="B64" s="1499">
        <v>45461</v>
      </c>
      <c r="C64" s="1499" t="s">
        <v>6234</v>
      </c>
      <c r="D64" s="1496" t="s">
        <v>6418</v>
      </c>
      <c r="E64" s="1496" t="s">
        <v>6556</v>
      </c>
      <c r="F64" s="1604" t="s">
        <v>6186</v>
      </c>
      <c r="G64" s="2041">
        <v>6</v>
      </c>
      <c r="H64" s="1219">
        <v>3.95</v>
      </c>
      <c r="I64" s="2097">
        <f t="shared" ref="I64:I65" si="4">H64*G64</f>
        <v>23.700000000000003</v>
      </c>
      <c r="J64" s="2130"/>
      <c r="M64" s="31" t="s">
        <v>6584</v>
      </c>
    </row>
    <row r="65" spans="1:21" ht="21.75" customHeight="1" thickBot="1" x14ac:dyDescent="0.25">
      <c r="A65" s="1493"/>
      <c r="B65" s="1499">
        <v>45461</v>
      </c>
      <c r="C65" s="1499" t="s">
        <v>6234</v>
      </c>
      <c r="D65" s="1496" t="s">
        <v>6418</v>
      </c>
      <c r="E65" s="1496" t="s">
        <v>6559</v>
      </c>
      <c r="F65" s="1604" t="s">
        <v>6186</v>
      </c>
      <c r="G65" s="2041">
        <v>5</v>
      </c>
      <c r="H65" s="1219">
        <v>2</v>
      </c>
      <c r="I65" s="2097">
        <f t="shared" si="4"/>
        <v>10</v>
      </c>
      <c r="J65" s="2130"/>
      <c r="K65" s="746"/>
      <c r="L65" s="2237" t="s">
        <v>6576</v>
      </c>
      <c r="M65" s="2238" t="s">
        <v>6573</v>
      </c>
      <c r="N65" s="2245">
        <v>67.5</v>
      </c>
      <c r="O65" s="382"/>
    </row>
    <row r="66" spans="1:21" ht="21.75" customHeight="1" x14ac:dyDescent="0.2">
      <c r="A66" s="1493" t="s">
        <v>6244</v>
      </c>
      <c r="B66" s="1499"/>
      <c r="C66" s="1499"/>
      <c r="D66" s="1496"/>
      <c r="E66" s="1496"/>
      <c r="F66" s="1604"/>
      <c r="G66" s="2041"/>
      <c r="H66" s="1219"/>
      <c r="I66" s="2059">
        <f>SUM(I63:I65)</f>
        <v>185.7</v>
      </c>
      <c r="J66" s="2130" t="s">
        <v>6399</v>
      </c>
      <c r="L66" s="2239" t="s">
        <v>6572</v>
      </c>
      <c r="M66" s="2240" t="s">
        <v>6577</v>
      </c>
      <c r="N66" s="2241">
        <v>24.75</v>
      </c>
      <c r="O66" s="3602">
        <f>N66+N67</f>
        <v>29.25</v>
      </c>
    </row>
    <row r="67" spans="1:21" ht="21.75" customHeight="1" thickBot="1" x14ac:dyDescent="0.25">
      <c r="A67" s="1493"/>
      <c r="B67" s="1499"/>
      <c r="C67" s="1499"/>
      <c r="D67" s="1496"/>
      <c r="E67" s="1496"/>
      <c r="F67" s="1604"/>
      <c r="G67" s="2041"/>
      <c r="H67" s="1219"/>
      <c r="I67" s="2097"/>
      <c r="J67" s="2130"/>
      <c r="K67" s="746"/>
      <c r="L67" s="2242" t="s">
        <v>6574</v>
      </c>
      <c r="M67" s="2243" t="s">
        <v>6575</v>
      </c>
      <c r="N67" s="2244">
        <v>4.5</v>
      </c>
      <c r="O67" s="3603"/>
    </row>
    <row r="68" spans="1:21" ht="21.75" customHeight="1" thickBot="1" x14ac:dyDescent="0.25">
      <c r="A68" s="1493" t="s">
        <v>6244</v>
      </c>
      <c r="B68" s="1499">
        <v>45465</v>
      </c>
      <c r="C68" s="1499" t="s">
        <v>6234</v>
      </c>
      <c r="D68" s="1496" t="s">
        <v>6418</v>
      </c>
      <c r="E68" s="1496" t="s">
        <v>6567</v>
      </c>
      <c r="F68" s="1604" t="s">
        <v>6186</v>
      </c>
      <c r="G68" s="2041">
        <v>1</v>
      </c>
      <c r="H68" s="1219">
        <v>85</v>
      </c>
      <c r="I68" s="2059">
        <f>H68*G68</f>
        <v>85</v>
      </c>
      <c r="J68" s="2130" t="s">
        <v>6399</v>
      </c>
      <c r="K68" s="746"/>
      <c r="N68" s="2246">
        <f ca="1">SUM(N65:N73)</f>
        <v>29325021.75</v>
      </c>
      <c r="O68" s="717" t="s">
        <v>6585</v>
      </c>
    </row>
    <row r="69" spans="1:21" ht="21.75" customHeight="1" x14ac:dyDescent="0.2">
      <c r="A69" s="1493"/>
      <c r="B69" s="1499"/>
      <c r="C69" s="1499"/>
      <c r="D69" s="1496"/>
      <c r="E69" s="1496"/>
      <c r="F69" s="1604"/>
      <c r="G69" s="2041"/>
      <c r="H69" s="1219"/>
      <c r="I69" s="2097"/>
      <c r="J69" s="2130"/>
      <c r="K69" s="746"/>
    </row>
    <row r="70" spans="1:21" ht="21.75" customHeight="1" x14ac:dyDescent="0.2">
      <c r="A70" s="1493" t="s">
        <v>6245</v>
      </c>
      <c r="B70" s="1499">
        <v>45465</v>
      </c>
      <c r="C70" s="1499"/>
      <c r="D70" s="1496"/>
      <c r="E70" s="1496" t="s">
        <v>6568</v>
      </c>
      <c r="F70" s="1604" t="s">
        <v>6186</v>
      </c>
      <c r="G70" s="2041">
        <v>1</v>
      </c>
      <c r="H70" s="1219">
        <v>1000</v>
      </c>
      <c r="I70" s="2059">
        <f>H70*G70</f>
        <v>1000</v>
      </c>
      <c r="J70" s="2130" t="s">
        <v>6399</v>
      </c>
    </row>
    <row r="71" spans="1:21" ht="21.75" customHeight="1" x14ac:dyDescent="0.2">
      <c r="A71" s="1493"/>
      <c r="B71" s="1499"/>
      <c r="C71" s="1499"/>
      <c r="D71" s="1496"/>
      <c r="E71" s="1496"/>
      <c r="F71" s="1604"/>
      <c r="G71" s="2041"/>
      <c r="H71" s="1219"/>
      <c r="I71" s="1"/>
      <c r="J71" s="2130"/>
    </row>
    <row r="72" spans="1:21" ht="21.75" customHeight="1" x14ac:dyDescent="0.2">
      <c r="A72" s="1493"/>
      <c r="B72" s="1499">
        <v>45467</v>
      </c>
      <c r="C72" s="1499" t="s">
        <v>6234</v>
      </c>
      <c r="D72" s="1496" t="s">
        <v>6418</v>
      </c>
      <c r="E72" s="1496" t="s">
        <v>6642</v>
      </c>
      <c r="F72" s="1604" t="s">
        <v>6186</v>
      </c>
      <c r="G72" s="2124">
        <v>30.52</v>
      </c>
      <c r="H72" s="1219">
        <v>53.2</v>
      </c>
      <c r="I72" s="2097">
        <f>H72*G72</f>
        <v>1623.664</v>
      </c>
      <c r="J72" s="2130"/>
      <c r="K72" s="746"/>
      <c r="M72" s="51"/>
    </row>
    <row r="73" spans="1:21" ht="21.75" customHeight="1" x14ac:dyDescent="0.2">
      <c r="A73" s="1493"/>
      <c r="B73" s="1499">
        <v>45467</v>
      </c>
      <c r="C73" s="1499" t="s">
        <v>6234</v>
      </c>
      <c r="D73" s="1496" t="s">
        <v>6418</v>
      </c>
      <c r="E73" s="1496" t="s">
        <v>6586</v>
      </c>
      <c r="F73" s="1604" t="s">
        <v>6186</v>
      </c>
      <c r="G73" s="2041">
        <v>1</v>
      </c>
      <c r="H73" s="1219">
        <v>136.19999999999999</v>
      </c>
      <c r="I73" s="2097">
        <f t="shared" ref="I73" si="5">H73*G73</f>
        <v>136.19999999999999</v>
      </c>
      <c r="J73" s="2130"/>
      <c r="M73" s="51"/>
    </row>
    <row r="74" spans="1:21" ht="21.75" customHeight="1" x14ac:dyDescent="0.2">
      <c r="A74" s="1493" t="s">
        <v>6244</v>
      </c>
      <c r="B74" s="1499"/>
      <c r="C74" s="1499"/>
      <c r="D74" s="1496"/>
      <c r="E74" s="1496"/>
      <c r="F74" s="1604"/>
      <c r="G74" s="2041"/>
      <c r="H74" s="1219"/>
      <c r="I74" s="2059">
        <f>SUM(I72:I73)</f>
        <v>1759.864</v>
      </c>
      <c r="J74" s="2130" t="s">
        <v>6587</v>
      </c>
      <c r="K74" s="746"/>
      <c r="N74" s="35"/>
    </row>
    <row r="75" spans="1:21" ht="21.75" customHeight="1" x14ac:dyDescent="0.2">
      <c r="A75" s="1493"/>
      <c r="B75" s="1499"/>
      <c r="C75" s="1499"/>
      <c r="D75" s="1496"/>
      <c r="E75" s="1496"/>
      <c r="F75" s="1604"/>
      <c r="G75" s="2041"/>
      <c r="H75" s="1219"/>
      <c r="I75" s="2097"/>
      <c r="J75" s="2130"/>
      <c r="K75" s="746"/>
      <c r="T75" s="1106"/>
      <c r="U75" s="1106"/>
    </row>
    <row r="76" spans="1:21" ht="21.75" customHeight="1" x14ac:dyDescent="0.2">
      <c r="A76" s="1493" t="s">
        <v>6244</v>
      </c>
      <c r="B76" s="1499">
        <v>45469</v>
      </c>
      <c r="C76" s="1499" t="s">
        <v>6234</v>
      </c>
      <c r="D76" s="1496" t="s">
        <v>6598</v>
      </c>
      <c r="E76" s="1496" t="s">
        <v>6226</v>
      </c>
      <c r="F76" s="1604" t="s">
        <v>6186</v>
      </c>
      <c r="G76" s="2200">
        <v>1</v>
      </c>
      <c r="H76" s="1638">
        <v>34.200000000000003</v>
      </c>
      <c r="I76" s="2215">
        <f>H76*G76</f>
        <v>34.200000000000003</v>
      </c>
      <c r="J76" s="2130" t="s">
        <v>6399</v>
      </c>
      <c r="K76" s="746"/>
    </row>
    <row r="77" spans="1:21" ht="21.75" customHeight="1" x14ac:dyDescent="0.2">
      <c r="A77" s="1493"/>
      <c r="B77" s="1499"/>
      <c r="C77" s="1499"/>
      <c r="D77" s="1496"/>
      <c r="E77" s="1496"/>
      <c r="F77" s="1604"/>
      <c r="G77" s="2041"/>
      <c r="H77" s="1219"/>
      <c r="I77" s="2097"/>
      <c r="J77" s="2130"/>
      <c r="T77" s="1106"/>
      <c r="U77" s="1106"/>
    </row>
    <row r="78" spans="1:21" ht="21.75" customHeight="1" x14ac:dyDescent="0.2">
      <c r="A78" s="1493"/>
      <c r="B78" s="1499">
        <v>45500</v>
      </c>
      <c r="C78" s="1499" t="s">
        <v>6588</v>
      </c>
      <c r="D78" s="1496" t="s">
        <v>6418</v>
      </c>
      <c r="E78" s="1496" t="s">
        <v>6590</v>
      </c>
      <c r="F78" s="1604" t="s">
        <v>6186</v>
      </c>
      <c r="G78" s="2200">
        <v>7</v>
      </c>
      <c r="H78" s="1219">
        <v>575</v>
      </c>
      <c r="I78" s="2097">
        <f>H78*G78</f>
        <v>4025</v>
      </c>
      <c r="J78" s="2130"/>
      <c r="K78" s="746"/>
    </row>
    <row r="79" spans="1:21" ht="21.75" customHeight="1" x14ac:dyDescent="0.2">
      <c r="A79" s="1493"/>
      <c r="B79" s="1499">
        <v>45500</v>
      </c>
      <c r="C79" s="1499" t="s">
        <v>6588</v>
      </c>
      <c r="D79" s="1496" t="s">
        <v>6418</v>
      </c>
      <c r="E79" s="1496" t="s">
        <v>6589</v>
      </c>
      <c r="F79" s="1604" t="s">
        <v>6186</v>
      </c>
      <c r="G79" s="2200">
        <v>3</v>
      </c>
      <c r="H79" s="1219">
        <v>575</v>
      </c>
      <c r="I79" s="2097">
        <f t="shared" ref="I79" si="6">H79*G79</f>
        <v>1725</v>
      </c>
      <c r="J79" s="2130"/>
      <c r="L79" s="24" t="s">
        <v>6679</v>
      </c>
    </row>
    <row r="80" spans="1:21" ht="21.75" customHeight="1" x14ac:dyDescent="0.2">
      <c r="A80" s="1493" t="s">
        <v>6244</v>
      </c>
      <c r="B80" s="1499"/>
      <c r="C80" s="1499"/>
      <c r="D80" s="1496"/>
      <c r="E80" s="1496"/>
      <c r="F80" s="1604"/>
      <c r="G80" s="2041"/>
      <c r="H80" s="1219"/>
      <c r="I80" s="2059">
        <f>SUM(I78:I79)</f>
        <v>5750</v>
      </c>
      <c r="J80" s="2130" t="s">
        <v>6591</v>
      </c>
      <c r="K80" s="746"/>
      <c r="O80" s="746"/>
    </row>
    <row r="81" spans="1:21" ht="21.75" customHeight="1" x14ac:dyDescent="0.2">
      <c r="A81" s="1493"/>
      <c r="B81" s="1499"/>
      <c r="C81" s="1499"/>
      <c r="D81" s="1496"/>
      <c r="E81" s="1496"/>
      <c r="F81" s="1604"/>
      <c r="G81" s="2041"/>
      <c r="H81" s="1219"/>
      <c r="I81" s="2247"/>
      <c r="J81" s="2130"/>
    </row>
    <row r="82" spans="1:21" ht="21.75" customHeight="1" x14ac:dyDescent="0.2">
      <c r="A82" s="1493" t="s">
        <v>6244</v>
      </c>
      <c r="B82" s="1499">
        <v>45470</v>
      </c>
      <c r="C82" s="1499" t="s">
        <v>6409</v>
      </c>
      <c r="D82" s="1496" t="s">
        <v>6465</v>
      </c>
      <c r="E82" s="1496" t="s">
        <v>6611</v>
      </c>
      <c r="F82" s="2199" t="s">
        <v>6186</v>
      </c>
      <c r="G82" s="2200">
        <v>6</v>
      </c>
      <c r="H82" s="1638">
        <f>I82/G82</f>
        <v>21.42</v>
      </c>
      <c r="I82" s="2209">
        <v>128.52000000000001</v>
      </c>
      <c r="J82" s="2130" t="s">
        <v>6399</v>
      </c>
      <c r="K82" s="717" t="s">
        <v>6553</v>
      </c>
    </row>
    <row r="83" spans="1:21" ht="21.75" customHeight="1" x14ac:dyDescent="0.2">
      <c r="A83" s="1493"/>
      <c r="B83" s="1499"/>
      <c r="C83" s="1499"/>
      <c r="D83" s="1496"/>
      <c r="E83" s="1491"/>
      <c r="F83" s="2318"/>
      <c r="G83" s="2319"/>
      <c r="H83" s="1635"/>
      <c r="I83" s="2320"/>
      <c r="J83" s="2129"/>
    </row>
    <row r="84" spans="1:21" ht="25.5" customHeight="1" x14ac:dyDescent="0.2">
      <c r="A84" s="1493" t="s">
        <v>6245</v>
      </c>
      <c r="B84" s="1499">
        <v>45472</v>
      </c>
      <c r="C84" s="1499"/>
      <c r="D84" s="1496"/>
      <c r="E84" s="1496" t="s">
        <v>6616</v>
      </c>
      <c r="F84" s="2199" t="s">
        <v>6186</v>
      </c>
      <c r="G84" s="2200">
        <v>1</v>
      </c>
      <c r="H84" s="1638">
        <v>1000</v>
      </c>
      <c r="I84" s="2059">
        <f>H84*G84</f>
        <v>1000</v>
      </c>
      <c r="J84" s="2130" t="s">
        <v>6399</v>
      </c>
      <c r="L84" s="911" t="s">
        <v>721</v>
      </c>
      <c r="M84" s="2272" t="s">
        <v>6653</v>
      </c>
      <c r="N84" s="3609" t="s">
        <v>6652</v>
      </c>
      <c r="O84" s="3609"/>
      <c r="P84" s="3607" t="s">
        <v>6533</v>
      </c>
      <c r="Q84" s="3607"/>
      <c r="R84" s="3607"/>
      <c r="S84" s="3607"/>
      <c r="T84" s="3607"/>
      <c r="U84" s="3607"/>
    </row>
    <row r="85" spans="1:21" ht="21.75" customHeight="1" x14ac:dyDescent="0.2">
      <c r="A85" s="1493"/>
      <c r="B85" s="1499"/>
      <c r="C85" s="1499"/>
      <c r="D85" s="1496"/>
      <c r="E85" s="1496"/>
      <c r="F85" s="2199"/>
      <c r="G85" s="2200"/>
      <c r="H85" s="1219"/>
      <c r="I85" s="2052"/>
      <c r="J85" s="2130"/>
      <c r="L85" s="2060">
        <v>45460</v>
      </c>
      <c r="M85" s="1754"/>
      <c r="N85" s="3610">
        <v>2550</v>
      </c>
      <c r="O85" s="3610"/>
      <c r="P85" s="3608" t="s">
        <v>6534</v>
      </c>
      <c r="Q85" s="3608"/>
      <c r="R85" s="3608"/>
      <c r="S85" s="3608"/>
      <c r="T85" s="3608"/>
      <c r="U85" s="3608"/>
    </row>
    <row r="86" spans="1:21" ht="21.75" customHeight="1" x14ac:dyDescent="0.2">
      <c r="A86" s="1493" t="s">
        <v>6245</v>
      </c>
      <c r="B86" s="1499">
        <v>45472</v>
      </c>
      <c r="C86" s="1499"/>
      <c r="D86" s="1496"/>
      <c r="E86" s="1496" t="s">
        <v>6608</v>
      </c>
      <c r="F86" s="2199" t="s">
        <v>6186</v>
      </c>
      <c r="G86" s="2200">
        <v>1</v>
      </c>
      <c r="H86" s="1638">
        <v>1000</v>
      </c>
      <c r="I86" s="2059">
        <f>H86*G86</f>
        <v>1000</v>
      </c>
      <c r="J86" s="2130" t="s">
        <v>6399</v>
      </c>
      <c r="L86" s="2065">
        <v>45460</v>
      </c>
      <c r="M86" s="1747">
        <v>550</v>
      </c>
      <c r="N86" s="3604">
        <f>N85-M86</f>
        <v>2000</v>
      </c>
      <c r="O86" s="3605"/>
      <c r="P86" s="3606" t="s">
        <v>6535</v>
      </c>
      <c r="Q86" s="3606"/>
      <c r="R86" s="3606"/>
      <c r="S86" s="3606"/>
      <c r="T86" s="3606"/>
      <c r="U86" s="3606"/>
    </row>
    <row r="87" spans="1:21" ht="21.75" customHeight="1" x14ac:dyDescent="0.2">
      <c r="A87" s="1493"/>
      <c r="B87" s="1499"/>
      <c r="C87" s="1499"/>
      <c r="D87" s="1496"/>
      <c r="E87" s="1496"/>
      <c r="F87" s="2199"/>
      <c r="G87" s="2200"/>
      <c r="H87" s="1219"/>
      <c r="I87" s="2052"/>
      <c r="J87" s="2130"/>
      <c r="L87" s="2065">
        <v>45465</v>
      </c>
      <c r="M87" s="1747">
        <v>500</v>
      </c>
      <c r="N87" s="3597">
        <f>N86-M87</f>
        <v>1500</v>
      </c>
      <c r="O87" s="3598"/>
      <c r="P87" s="3611" t="s">
        <v>6578</v>
      </c>
      <c r="Q87" s="3612"/>
      <c r="R87" s="3612"/>
      <c r="S87" s="3612"/>
      <c r="T87" s="3612"/>
      <c r="U87" s="3613"/>
    </row>
    <row r="88" spans="1:21" ht="21.75" customHeight="1" x14ac:dyDescent="0.2">
      <c r="A88" s="1493" t="s">
        <v>6245</v>
      </c>
      <c r="B88" s="1499">
        <v>45479</v>
      </c>
      <c r="C88" s="1499"/>
      <c r="D88" s="1496"/>
      <c r="E88" s="1496" t="s">
        <v>6639</v>
      </c>
      <c r="F88" s="2199" t="s">
        <v>6186</v>
      </c>
      <c r="G88" s="2200">
        <v>1</v>
      </c>
      <c r="H88" s="1638">
        <v>400</v>
      </c>
      <c r="I88" s="2059">
        <f>H88*G88</f>
        <v>400</v>
      </c>
      <c r="J88" s="2130" t="s">
        <v>6399</v>
      </c>
      <c r="K88" s="746"/>
      <c r="L88" s="2065">
        <v>45465</v>
      </c>
      <c r="M88" s="1747">
        <v>45</v>
      </c>
      <c r="N88" s="3597">
        <f>N87-M88</f>
        <v>1455</v>
      </c>
      <c r="O88" s="3598"/>
      <c r="P88" s="3611" t="s">
        <v>6579</v>
      </c>
      <c r="Q88" s="3612"/>
      <c r="R88" s="3612"/>
      <c r="S88" s="3612"/>
      <c r="T88" s="3612"/>
      <c r="U88" s="3613"/>
    </row>
    <row r="89" spans="1:21" ht="21.75" customHeight="1" x14ac:dyDescent="0.2">
      <c r="A89" s="1493"/>
      <c r="B89" s="1499"/>
      <c r="C89" s="1499"/>
      <c r="D89" s="1496"/>
      <c r="E89" s="1496"/>
      <c r="F89" s="1604"/>
      <c r="G89" s="2041"/>
      <c r="H89" s="1219"/>
      <c r="I89" s="399"/>
      <c r="J89" s="2130"/>
      <c r="L89" s="2065">
        <v>45478</v>
      </c>
      <c r="M89" s="1747">
        <v>340</v>
      </c>
      <c r="N89" s="3597">
        <f>N88-M89</f>
        <v>1115</v>
      </c>
      <c r="O89" s="3598"/>
      <c r="P89" s="3611" t="s">
        <v>6628</v>
      </c>
      <c r="Q89" s="3612"/>
      <c r="R89" s="3612"/>
      <c r="S89" s="3612"/>
      <c r="T89" s="3612"/>
      <c r="U89" s="3613"/>
    </row>
    <row r="90" spans="1:21" ht="21.75" customHeight="1" x14ac:dyDescent="0.2">
      <c r="A90" s="1493"/>
      <c r="B90" s="1499">
        <v>45492</v>
      </c>
      <c r="C90" s="1499" t="s">
        <v>6409</v>
      </c>
      <c r="D90" s="1496" t="s">
        <v>6465</v>
      </c>
      <c r="E90" s="1496" t="s">
        <v>6611</v>
      </c>
      <c r="F90" s="2199" t="s">
        <v>6186</v>
      </c>
      <c r="G90" s="2200">
        <v>8</v>
      </c>
      <c r="H90" s="1638">
        <f>I90/G90</f>
        <v>25</v>
      </c>
      <c r="I90" s="2127">
        <v>200</v>
      </c>
      <c r="J90" s="2130"/>
      <c r="L90" s="2060">
        <v>45484</v>
      </c>
      <c r="M90" s="1754">
        <v>621</v>
      </c>
      <c r="N90" s="3619">
        <f>N89+M90</f>
        <v>1736</v>
      </c>
      <c r="O90" s="3620"/>
      <c r="P90" s="3621" t="s">
        <v>6654</v>
      </c>
      <c r="Q90" s="3622"/>
      <c r="R90" s="3622"/>
      <c r="S90" s="3622"/>
      <c r="T90" s="3622"/>
      <c r="U90" s="3623"/>
    </row>
    <row r="91" spans="1:21" ht="21.75" customHeight="1" x14ac:dyDescent="0.2">
      <c r="A91" s="1493"/>
      <c r="B91" s="1499">
        <v>45492</v>
      </c>
      <c r="C91" s="1499" t="s">
        <v>6409</v>
      </c>
      <c r="D91" s="1496" t="s">
        <v>6465</v>
      </c>
      <c r="E91" s="1496" t="s">
        <v>6611</v>
      </c>
      <c r="F91" s="2199" t="s">
        <v>6186</v>
      </c>
      <c r="G91" s="2200">
        <v>28</v>
      </c>
      <c r="H91" s="1638">
        <v>21.428599999999999</v>
      </c>
      <c r="I91" s="2127">
        <f>H91*G91</f>
        <v>600.00080000000003</v>
      </c>
      <c r="J91" s="2130"/>
      <c r="L91" s="2065">
        <v>45489</v>
      </c>
      <c r="M91" s="1747">
        <v>362</v>
      </c>
      <c r="N91" s="3597">
        <f>N90-M91</f>
        <v>1374</v>
      </c>
      <c r="O91" s="3598"/>
      <c r="P91" s="3611" t="s">
        <v>6685</v>
      </c>
      <c r="Q91" s="3612"/>
      <c r="R91" s="3612"/>
      <c r="S91" s="3612"/>
      <c r="T91" s="3612"/>
      <c r="U91" s="3613"/>
    </row>
    <row r="92" spans="1:21" ht="21.75" customHeight="1" x14ac:dyDescent="0.2">
      <c r="A92" s="1493"/>
      <c r="B92" s="1499">
        <v>45492</v>
      </c>
      <c r="C92" s="1499" t="s">
        <v>6409</v>
      </c>
      <c r="D92" s="1496" t="s">
        <v>6465</v>
      </c>
      <c r="E92" s="1496" t="s">
        <v>6551</v>
      </c>
      <c r="F92" s="2199" t="s">
        <v>6186</v>
      </c>
      <c r="G92" s="2200">
        <v>28</v>
      </c>
      <c r="H92" s="1638">
        <v>5.5358000000000001</v>
      </c>
      <c r="I92" s="2127">
        <f t="shared" ref="I92" si="7">H92*G92</f>
        <v>155.00239999999999</v>
      </c>
      <c r="J92" s="2130"/>
      <c r="K92" s="746"/>
      <c r="L92" s="2060">
        <v>45494</v>
      </c>
      <c r="M92" s="1754">
        <v>500</v>
      </c>
      <c r="N92" s="3597">
        <f>N91+M92</f>
        <v>1874</v>
      </c>
      <c r="O92" s="3598"/>
      <c r="P92" s="3621" t="s">
        <v>6705</v>
      </c>
      <c r="Q92" s="3622"/>
      <c r="R92" s="3622"/>
      <c r="S92" s="3622"/>
      <c r="T92" s="3622"/>
      <c r="U92" s="3623"/>
    </row>
    <row r="93" spans="1:21" ht="21.75" customHeight="1" x14ac:dyDescent="0.2">
      <c r="A93" s="1493"/>
      <c r="B93" s="1499">
        <v>45492</v>
      </c>
      <c r="C93" s="1499" t="s">
        <v>6409</v>
      </c>
      <c r="D93" s="1496" t="s">
        <v>6465</v>
      </c>
      <c r="E93" s="1496" t="s">
        <v>6552</v>
      </c>
      <c r="F93" s="2199" t="s">
        <v>6186</v>
      </c>
      <c r="G93" s="2200">
        <v>8</v>
      </c>
      <c r="H93" s="1638">
        <v>13.12</v>
      </c>
      <c r="I93" s="2127">
        <v>105</v>
      </c>
      <c r="J93" s="2130"/>
      <c r="K93" s="746"/>
      <c r="L93" s="2065">
        <v>45495</v>
      </c>
      <c r="M93" s="1747">
        <v>180</v>
      </c>
      <c r="N93" s="3597">
        <f>N92-M93</f>
        <v>1694</v>
      </c>
      <c r="O93" s="3598"/>
      <c r="P93" s="3611" t="s">
        <v>6708</v>
      </c>
      <c r="Q93" s="3612"/>
      <c r="R93" s="3612"/>
      <c r="S93" s="3612"/>
      <c r="T93" s="3612"/>
      <c r="U93" s="3613"/>
    </row>
    <row r="94" spans="1:21" ht="21.75" customHeight="1" x14ac:dyDescent="0.2">
      <c r="A94" s="1493"/>
      <c r="B94" s="1499">
        <v>45492</v>
      </c>
      <c r="C94" s="1499" t="s">
        <v>6409</v>
      </c>
      <c r="D94" s="1496" t="s">
        <v>6465</v>
      </c>
      <c r="E94" s="1496" t="s">
        <v>6552</v>
      </c>
      <c r="F94" s="2199" t="s">
        <v>6186</v>
      </c>
      <c r="G94" s="2200">
        <v>8</v>
      </c>
      <c r="H94" s="1638">
        <v>13.12</v>
      </c>
      <c r="I94" s="2127">
        <v>105</v>
      </c>
      <c r="J94" s="2130"/>
      <c r="K94" s="746"/>
      <c r="L94" s="2065">
        <v>45496</v>
      </c>
      <c r="M94" s="1747">
        <v>194.4</v>
      </c>
      <c r="N94" s="3597">
        <f>N93-M94</f>
        <v>1499.6</v>
      </c>
      <c r="O94" s="3598"/>
      <c r="P94" s="3611" t="s">
        <v>6710</v>
      </c>
      <c r="Q94" s="3612"/>
      <c r="R94" s="3612"/>
      <c r="S94" s="3612"/>
      <c r="T94" s="3612"/>
      <c r="U94" s="3613"/>
    </row>
    <row r="95" spans="1:21" ht="21.75" customHeight="1" x14ac:dyDescent="0.2">
      <c r="A95" s="1493"/>
      <c r="B95" s="1499">
        <v>45492</v>
      </c>
      <c r="C95" s="1499" t="s">
        <v>6409</v>
      </c>
      <c r="D95" s="1496" t="s">
        <v>6465</v>
      </c>
      <c r="E95" s="1496" t="s">
        <v>6583</v>
      </c>
      <c r="F95" s="2199" t="s">
        <v>6186</v>
      </c>
      <c r="G95" s="2200">
        <v>8</v>
      </c>
      <c r="H95" s="1638">
        <f>I95/G95</f>
        <v>16</v>
      </c>
      <c r="I95" s="2127">
        <v>128</v>
      </c>
      <c r="J95" s="2130"/>
      <c r="K95" s="746"/>
      <c r="L95" s="2060">
        <v>45500</v>
      </c>
      <c r="M95" s="1754">
        <v>500</v>
      </c>
      <c r="N95" s="3597">
        <f>N94+M95</f>
        <v>1999.6</v>
      </c>
      <c r="O95" s="3598"/>
      <c r="P95" s="3621" t="s">
        <v>6705</v>
      </c>
      <c r="Q95" s="3622"/>
      <c r="R95" s="3622"/>
      <c r="S95" s="3622"/>
      <c r="T95" s="3622"/>
      <c r="U95" s="3623"/>
    </row>
    <row r="96" spans="1:21" ht="21.75" customHeight="1" x14ac:dyDescent="0.2">
      <c r="A96" s="1493"/>
      <c r="B96" s="1499">
        <v>45492</v>
      </c>
      <c r="C96" s="1499" t="s">
        <v>6409</v>
      </c>
      <c r="D96" s="1496" t="s">
        <v>6465</v>
      </c>
      <c r="E96" s="1496" t="s">
        <v>6611</v>
      </c>
      <c r="F96" s="2199" t="s">
        <v>6186</v>
      </c>
      <c r="G96" s="2200">
        <v>4</v>
      </c>
      <c r="H96" s="1638">
        <f>I96/G96</f>
        <v>25</v>
      </c>
      <c r="I96" s="2127">
        <v>100</v>
      </c>
      <c r="J96" s="2130"/>
      <c r="K96" s="717"/>
      <c r="L96" s="2065">
        <v>45502</v>
      </c>
      <c r="M96" s="1747">
        <v>94.2</v>
      </c>
      <c r="N96" s="3597">
        <f>N95-M96</f>
        <v>1905.3999999999999</v>
      </c>
      <c r="O96" s="3598"/>
      <c r="P96" s="3611" t="s">
        <v>6722</v>
      </c>
      <c r="Q96" s="3612"/>
      <c r="R96" s="3612"/>
      <c r="S96" s="3612"/>
      <c r="T96" s="3612"/>
      <c r="U96" s="3613"/>
    </row>
    <row r="97" spans="1:21" ht="21.75" customHeight="1" x14ac:dyDescent="0.2">
      <c r="A97" s="1493" t="s">
        <v>6244</v>
      </c>
      <c r="B97" s="1499"/>
      <c r="C97" s="1499"/>
      <c r="D97" s="1496"/>
      <c r="E97" s="1496"/>
      <c r="F97" s="2199"/>
      <c r="G97" s="2200"/>
      <c r="H97" s="1638"/>
      <c r="I97" s="2321">
        <f>SUM(I90:I96)</f>
        <v>1393.0032000000001</v>
      </c>
      <c r="J97" s="2130" t="s">
        <v>6399</v>
      </c>
      <c r="K97" s="717"/>
      <c r="L97" s="2065">
        <v>45505</v>
      </c>
      <c r="M97" s="1747">
        <v>66.25</v>
      </c>
      <c r="N97" s="3597">
        <f>N96-M97</f>
        <v>1839.1499999999999</v>
      </c>
      <c r="O97" s="3598"/>
      <c r="P97" s="3611" t="s">
        <v>6738</v>
      </c>
      <c r="Q97" s="3612"/>
      <c r="R97" s="3612"/>
      <c r="S97" s="3612"/>
      <c r="T97" s="3612"/>
      <c r="U97" s="3613"/>
    </row>
    <row r="98" spans="1:21" ht="21.75" customHeight="1" x14ac:dyDescent="0.2">
      <c r="A98" s="1493"/>
      <c r="B98" s="1499"/>
      <c r="C98" s="1499"/>
      <c r="D98" s="1496"/>
      <c r="E98" s="1496"/>
      <c r="F98" s="1604"/>
      <c r="G98" s="2041"/>
      <c r="H98" s="1219"/>
      <c r="I98" s="399"/>
      <c r="J98" s="2130"/>
      <c r="L98" s="2060">
        <v>45508</v>
      </c>
      <c r="M98" s="1754">
        <v>500</v>
      </c>
      <c r="N98" s="3597">
        <f>N97+M98</f>
        <v>2339.1499999999996</v>
      </c>
      <c r="O98" s="3598"/>
      <c r="P98" s="3621" t="s">
        <v>6705</v>
      </c>
      <c r="Q98" s="3622"/>
      <c r="R98" s="3622"/>
      <c r="S98" s="3622"/>
      <c r="T98" s="3622"/>
      <c r="U98" s="3623"/>
    </row>
    <row r="99" spans="1:21" ht="21.75" customHeight="1" x14ac:dyDescent="0.2">
      <c r="A99" s="1493" t="s">
        <v>6244</v>
      </c>
      <c r="B99" s="1499">
        <v>45516</v>
      </c>
      <c r="C99" s="1499"/>
      <c r="D99" s="1496"/>
      <c r="E99" s="1496" t="s">
        <v>6776</v>
      </c>
      <c r="F99" s="2199" t="s">
        <v>6186</v>
      </c>
      <c r="G99" s="2200">
        <v>1</v>
      </c>
      <c r="H99" s="1638">
        <v>36.9</v>
      </c>
      <c r="I99" s="2209">
        <f>H99*G99</f>
        <v>36.9</v>
      </c>
      <c r="J99" s="2130" t="s">
        <v>6399</v>
      </c>
      <c r="L99" s="2060">
        <v>45509</v>
      </c>
      <c r="M99" s="1754">
        <v>199</v>
      </c>
      <c r="N99" s="3597">
        <f>N98+M99</f>
        <v>2538.1499999999996</v>
      </c>
      <c r="O99" s="3598"/>
      <c r="P99" s="3621" t="s">
        <v>6756</v>
      </c>
      <c r="Q99" s="3622"/>
      <c r="R99" s="3622"/>
      <c r="S99" s="3622"/>
      <c r="T99" s="3622"/>
      <c r="U99" s="3623"/>
    </row>
    <row r="100" spans="1:21" ht="21.75" customHeight="1" x14ac:dyDescent="0.2">
      <c r="A100" s="1493"/>
      <c r="B100" s="1499"/>
      <c r="C100" s="1499"/>
      <c r="D100" s="1496"/>
      <c r="E100" s="1496"/>
      <c r="F100" s="1604"/>
      <c r="G100" s="2041"/>
      <c r="H100" s="1219"/>
      <c r="I100" s="399"/>
      <c r="J100" s="2130"/>
      <c r="L100" s="2065">
        <v>45511</v>
      </c>
      <c r="M100" s="1747">
        <v>150</v>
      </c>
      <c r="N100" s="3597">
        <f>N99-M100</f>
        <v>2388.1499999999996</v>
      </c>
      <c r="O100" s="3598"/>
      <c r="P100" s="3624" t="s">
        <v>6767</v>
      </c>
      <c r="Q100" s="3625"/>
      <c r="R100" s="3625"/>
      <c r="S100" s="3625"/>
      <c r="T100" s="3625"/>
      <c r="U100" s="3626"/>
    </row>
    <row r="101" spans="1:21" ht="21.75" customHeight="1" x14ac:dyDescent="0.2">
      <c r="A101" s="1493" t="s">
        <v>6245</v>
      </c>
      <c r="B101" s="1499">
        <v>45516</v>
      </c>
      <c r="C101" s="1499"/>
      <c r="D101" s="1496"/>
      <c r="E101" s="1496" t="s">
        <v>6744</v>
      </c>
      <c r="F101" s="2199" t="s">
        <v>6186</v>
      </c>
      <c r="G101" s="2200">
        <v>1</v>
      </c>
      <c r="H101" s="1638">
        <v>300</v>
      </c>
      <c r="I101" s="2209">
        <f>H101*G101</f>
        <v>300</v>
      </c>
      <c r="J101" s="2130" t="s">
        <v>6399</v>
      </c>
      <c r="L101" s="2060">
        <v>45516</v>
      </c>
      <c r="M101" s="1754">
        <v>1100</v>
      </c>
      <c r="N101" s="3597">
        <f>N100+M101</f>
        <v>3488.1499999999996</v>
      </c>
      <c r="O101" s="3598"/>
      <c r="P101" s="3621" t="s">
        <v>6774</v>
      </c>
      <c r="Q101" s="3622"/>
      <c r="R101" s="3622"/>
      <c r="S101" s="3622"/>
      <c r="T101" s="3622"/>
      <c r="U101" s="3623"/>
    </row>
    <row r="102" spans="1:21" ht="21.75" customHeight="1" thickBot="1" x14ac:dyDescent="0.25">
      <c r="A102" s="2380"/>
      <c r="B102" s="2381"/>
      <c r="C102" s="2381"/>
      <c r="D102" s="2382"/>
      <c r="E102" s="2382"/>
      <c r="F102" s="2384"/>
      <c r="G102" s="2385"/>
      <c r="H102" s="2390"/>
      <c r="I102" s="663"/>
      <c r="J102" s="2389"/>
      <c r="L102" s="2065">
        <v>45541</v>
      </c>
      <c r="M102" s="1747">
        <v>700</v>
      </c>
      <c r="N102" s="3597">
        <f>N101-M102</f>
        <v>2788.1499999999996</v>
      </c>
      <c r="O102" s="3598"/>
      <c r="P102" s="3611" t="s">
        <v>6858</v>
      </c>
      <c r="Q102" s="3612"/>
      <c r="R102" s="3612"/>
      <c r="S102" s="3612"/>
      <c r="T102" s="3612"/>
      <c r="U102" s="3613"/>
    </row>
    <row r="103" spans="1:21" ht="21.75" customHeight="1" thickBot="1" x14ac:dyDescent="0.25">
      <c r="A103" s="3510" t="s">
        <v>772</v>
      </c>
      <c r="B103" s="3511"/>
      <c r="C103" s="3511"/>
      <c r="D103" s="3511"/>
      <c r="E103" s="3511"/>
      <c r="F103" s="3511"/>
      <c r="G103" s="3511"/>
      <c r="H103" s="3512"/>
      <c r="I103" s="175">
        <f>I7+I9+I101+I16+I30+I32+I18+I19+I21+I26+I28+I34+I36+I38+I40+I44+I46+I53+I61+I66+I68+I70+I74+I80+I84+I76+I82+I86+I88+I97+I99</f>
        <v>32173.1404</v>
      </c>
      <c r="J103" s="2391"/>
      <c r="L103" s="2065">
        <v>45572</v>
      </c>
      <c r="M103" s="1747">
        <v>1000</v>
      </c>
      <c r="N103" s="3597">
        <f>N102-M103</f>
        <v>1788.1499999999996</v>
      </c>
      <c r="O103" s="3598"/>
      <c r="P103" s="3611" t="s">
        <v>6948</v>
      </c>
      <c r="Q103" s="3612"/>
      <c r="R103" s="3612"/>
      <c r="S103" s="3612"/>
      <c r="T103" s="3612"/>
      <c r="U103" s="3613"/>
    </row>
    <row r="104" spans="1:21" ht="21.75" customHeight="1" x14ac:dyDescent="0.2">
      <c r="A104" s="51"/>
      <c r="B104" s="1543"/>
      <c r="C104" s="1543"/>
      <c r="D104" s="717"/>
      <c r="E104" s="717"/>
      <c r="F104" s="2277"/>
      <c r="G104" s="2277"/>
      <c r="H104" s="52"/>
      <c r="I104" s="18"/>
      <c r="J104" s="2263"/>
      <c r="L104" s="915"/>
      <c r="M104" s="2232"/>
      <c r="N104" s="3597"/>
      <c r="O104" s="3598"/>
      <c r="P104" s="3599"/>
      <c r="Q104" s="3600"/>
      <c r="R104" s="3600"/>
      <c r="S104" s="3600"/>
      <c r="T104" s="3600"/>
      <c r="U104" s="3601"/>
    </row>
    <row r="105" spans="1:21" ht="21.75" customHeight="1" x14ac:dyDescent="0.2">
      <c r="A105" s="51"/>
      <c r="B105" s="1543"/>
      <c r="C105" s="717" t="s">
        <v>6246</v>
      </c>
      <c r="D105" s="239">
        <f>SUMIF($J$3:$J$104,"A VISTA PIX",$I$3:$I$104)</f>
        <v>20844.326400000002</v>
      </c>
      <c r="E105" s="3109" t="s">
        <v>5893</v>
      </c>
      <c r="F105" s="3109"/>
      <c r="G105" s="3109"/>
      <c r="H105" s="3109"/>
      <c r="I105" s="401">
        <f ca="1">SUMIF($A$4:$A$105,"MO",$I$4:$I$104)</f>
        <v>10700</v>
      </c>
      <c r="J105" s="2216">
        <f ca="1">I105/I107</f>
        <v>0.33257555423467461</v>
      </c>
      <c r="L105" s="915"/>
      <c r="M105" s="2232"/>
      <c r="N105" s="3597"/>
      <c r="O105" s="3598"/>
      <c r="P105" s="3599"/>
      <c r="Q105" s="3600"/>
      <c r="R105" s="3600"/>
      <c r="S105" s="3600"/>
      <c r="T105" s="3600"/>
      <c r="U105" s="3601"/>
    </row>
    <row r="106" spans="1:21" ht="21.75" customHeight="1" x14ac:dyDescent="0.2">
      <c r="C106" s="717" t="s">
        <v>6413</v>
      </c>
      <c r="D106" s="239">
        <f>SUMIF($J$3:$J$104,"2 X CARTÃO NUBANK",$I$3:$I$104)+I74+I80</f>
        <v>11328.814</v>
      </c>
      <c r="E106" s="3102" t="s">
        <v>6250</v>
      </c>
      <c r="F106" s="3102"/>
      <c r="G106" s="3102"/>
      <c r="H106" s="3102"/>
      <c r="I106" s="401">
        <f ca="1">SUMIF($A$4:$A$105,"MAT",$I$4:$I$104)</f>
        <v>21473.1404</v>
      </c>
      <c r="J106" s="2216">
        <f ca="1">I106/I107</f>
        <v>0.66742444576532545</v>
      </c>
      <c r="K106" s="746"/>
      <c r="L106" s="3614" t="s">
        <v>772</v>
      </c>
      <c r="M106" s="3615"/>
      <c r="N106" s="3617">
        <f>N103</f>
        <v>1788.1499999999996</v>
      </c>
      <c r="O106" s="3618"/>
      <c r="P106" s="3599"/>
      <c r="Q106" s="3600"/>
      <c r="R106" s="3600"/>
      <c r="S106" s="3600"/>
      <c r="T106" s="3600"/>
      <c r="U106" s="3601"/>
    </row>
    <row r="107" spans="1:21" ht="21.75" customHeight="1" x14ac:dyDescent="0.2">
      <c r="C107" s="32"/>
      <c r="D107" s="2206">
        <f>SUM(D105:D106)</f>
        <v>32173.140400000004</v>
      </c>
      <c r="E107" s="3513" t="s">
        <v>772</v>
      </c>
      <c r="F107" s="3513"/>
      <c r="G107" s="3513"/>
      <c r="H107" s="3513"/>
      <c r="I107" s="231">
        <f ca="1">SUM(I105:I106)</f>
        <v>32173.1404</v>
      </c>
      <c r="L107" s="32"/>
      <c r="M107" s="32"/>
      <c r="N107" s="32"/>
      <c r="O107" s="32"/>
      <c r="P107" s="32"/>
      <c r="Q107" s="32"/>
      <c r="R107" s="32"/>
      <c r="S107" s="32"/>
      <c r="T107" s="32"/>
    </row>
    <row r="108" spans="1:21" ht="33.75" customHeight="1" x14ac:dyDescent="0.2">
      <c r="A108" s="24"/>
      <c r="B108" s="717"/>
      <c r="C108" s="717"/>
      <c r="D108" s="717"/>
      <c r="E108" s="3616" t="s">
        <v>6485</v>
      </c>
      <c r="F108" s="3616"/>
      <c r="G108" s="3616"/>
      <c r="H108" s="3616"/>
      <c r="I108" s="1816">
        <f ca="1">I107/2</f>
        <v>16086.5702</v>
      </c>
      <c r="J108" s="717"/>
      <c r="L108" s="31"/>
      <c r="M108" s="31"/>
      <c r="N108" s="31"/>
      <c r="O108" s="2107"/>
      <c r="P108" s="2107"/>
      <c r="Q108" s="2107"/>
      <c r="R108" s="2107"/>
      <c r="S108" s="2107"/>
      <c r="T108" s="2107"/>
    </row>
    <row r="109" spans="1:21" ht="21.75" customHeight="1" x14ac:dyDescent="0.2">
      <c r="A109" s="24"/>
      <c r="B109" s="24"/>
      <c r="L109" s="3578" t="s">
        <v>6617</v>
      </c>
      <c r="M109" s="3578"/>
      <c r="N109" s="3578"/>
      <c r="O109" s="3578"/>
      <c r="P109" s="3578"/>
      <c r="Q109" s="3578"/>
      <c r="R109" s="32"/>
      <c r="S109" s="32"/>
      <c r="T109" s="32"/>
    </row>
    <row r="110" spans="1:21" ht="21.75" customHeight="1" x14ac:dyDescent="0.2">
      <c r="A110" s="24"/>
      <c r="B110" s="717"/>
      <c r="L110" s="2520" t="s">
        <v>6252</v>
      </c>
      <c r="M110" s="2519" t="s">
        <v>382</v>
      </c>
      <c r="N110" s="2520" t="s">
        <v>6278</v>
      </c>
      <c r="O110" s="2521" t="s">
        <v>6605</v>
      </c>
      <c r="P110" s="2522" t="s">
        <v>6613</v>
      </c>
      <c r="Q110" s="2523" t="s">
        <v>6614</v>
      </c>
    </row>
    <row r="111" spans="1:21" ht="21.75" customHeight="1" x14ac:dyDescent="0.2">
      <c r="A111" s="24"/>
      <c r="B111" s="717"/>
      <c r="L111" s="915">
        <v>45428</v>
      </c>
      <c r="M111" s="2119">
        <v>2320</v>
      </c>
      <c r="N111" s="1697" t="s">
        <v>6254</v>
      </c>
      <c r="O111" s="2121">
        <v>0</v>
      </c>
      <c r="P111" s="2122">
        <v>0</v>
      </c>
      <c r="Q111" s="2253">
        <v>0</v>
      </c>
    </row>
    <row r="112" spans="1:21" ht="21.75" customHeight="1" x14ac:dyDescent="0.2">
      <c r="A112" s="24"/>
      <c r="B112" s="717"/>
      <c r="L112" s="915">
        <v>45433</v>
      </c>
      <c r="M112" s="2119">
        <v>1498.95</v>
      </c>
      <c r="N112" s="1697" t="s">
        <v>6254</v>
      </c>
      <c r="O112" s="2121">
        <v>0</v>
      </c>
      <c r="P112" s="2122">
        <v>0</v>
      </c>
      <c r="Q112" s="2253">
        <v>0</v>
      </c>
    </row>
    <row r="113" spans="1:25" ht="21.75" customHeight="1" x14ac:dyDescent="0.2">
      <c r="A113" s="24"/>
      <c r="B113" s="717"/>
      <c r="C113" s="717"/>
      <c r="D113" s="717"/>
      <c r="E113" s="2214"/>
      <c r="F113" s="2214"/>
      <c r="G113" s="2214"/>
      <c r="H113" s="2214"/>
      <c r="I113" s="617"/>
      <c r="L113" s="915">
        <v>45467</v>
      </c>
      <c r="M113" s="2119">
        <v>1759.86</v>
      </c>
      <c r="N113" s="1697" t="s">
        <v>6601</v>
      </c>
      <c r="O113" s="2121">
        <v>0</v>
      </c>
      <c r="P113" s="2122">
        <v>0</v>
      </c>
      <c r="Q113" s="2253">
        <v>0</v>
      </c>
    </row>
    <row r="114" spans="1:25" s="32" customFormat="1" ht="21.75" customHeight="1" x14ac:dyDescent="0.2">
      <c r="A114" s="24"/>
      <c r="B114" s="717"/>
      <c r="C114" s="717"/>
      <c r="D114" s="717"/>
      <c r="J114"/>
      <c r="L114" s="915">
        <v>45470</v>
      </c>
      <c r="M114" s="2119">
        <v>5750</v>
      </c>
      <c r="N114" s="1697" t="s">
        <v>6603</v>
      </c>
      <c r="O114" s="2231">
        <f>M114/6</f>
        <v>958.33333333333337</v>
      </c>
      <c r="P114" s="2248">
        <f>M114/6</f>
        <v>958.33333333333337</v>
      </c>
      <c r="Q114" s="2254">
        <f>M114/6</f>
        <v>958.33333333333337</v>
      </c>
      <c r="R114"/>
      <c r="S114"/>
      <c r="T114"/>
    </row>
    <row r="115" spans="1:25" ht="30" customHeight="1" x14ac:dyDescent="0.4">
      <c r="A115" s="2275"/>
      <c r="B115" s="2275"/>
      <c r="C115" s="2275"/>
      <c r="D115" s="2275"/>
      <c r="E115" s="2275"/>
      <c r="F115" s="2275"/>
      <c r="G115" s="2275"/>
      <c r="H115" s="2275"/>
      <c r="I115" s="2275"/>
      <c r="J115" s="2275"/>
      <c r="K115" s="2084"/>
      <c r="L115" s="2065"/>
      <c r="M115" s="2081"/>
      <c r="N115" s="1746"/>
      <c r="O115" s="2073"/>
      <c r="P115" s="2076"/>
      <c r="Q115" s="2255"/>
    </row>
    <row r="116" spans="1:25" ht="27" customHeight="1" x14ac:dyDescent="0.2">
      <c r="A116" s="31"/>
      <c r="B116" s="31"/>
      <c r="C116" s="31"/>
      <c r="D116" s="32"/>
      <c r="E116" s="32"/>
      <c r="F116" s="1925"/>
      <c r="G116" s="31"/>
      <c r="H116" s="2276"/>
      <c r="I116" s="32"/>
      <c r="J116" s="32"/>
      <c r="K116" s="32"/>
      <c r="L116" s="2083" t="s">
        <v>772</v>
      </c>
      <c r="M116" s="2082">
        <f>SUM(M111:M115)</f>
        <v>11328.81</v>
      </c>
      <c r="N116" s="911"/>
      <c r="O116" s="2074">
        <f>SUM(O110:O115)</f>
        <v>958.33333333333337</v>
      </c>
      <c r="P116" s="2077">
        <f>SUM(P110:P115)</f>
        <v>958.33333333333337</v>
      </c>
      <c r="Q116" s="2256">
        <f>SUM(Q110:Q115)</f>
        <v>958.33333333333337</v>
      </c>
    </row>
    <row r="117" spans="1:25" ht="31.5" customHeight="1" x14ac:dyDescent="0.2">
      <c r="A117" s="51"/>
      <c r="B117" s="1543"/>
      <c r="C117" s="1543"/>
      <c r="D117" s="717"/>
      <c r="E117" s="717"/>
      <c r="F117" s="2277"/>
      <c r="G117" s="2277"/>
      <c r="H117" s="52"/>
      <c r="I117" s="52"/>
      <c r="J117" s="2263"/>
      <c r="K117" s="717"/>
      <c r="L117" s="3627" t="s">
        <v>3771</v>
      </c>
      <c r="M117" s="3627"/>
      <c r="N117" s="3627"/>
      <c r="O117" s="2261">
        <f>O116/2</f>
        <v>479.16666666666669</v>
      </c>
      <c r="P117" s="2259">
        <f>P116/2</f>
        <v>479.16666666666669</v>
      </c>
      <c r="Q117" s="2257">
        <f>Q116/2</f>
        <v>479.16666666666669</v>
      </c>
    </row>
    <row r="118" spans="1:25" ht="21.75" customHeight="1" x14ac:dyDescent="0.2">
      <c r="A118" s="51"/>
      <c r="B118" s="1543"/>
      <c r="C118" s="1543"/>
      <c r="D118" s="717"/>
      <c r="E118" s="717"/>
      <c r="F118" s="2277"/>
      <c r="G118" s="2277"/>
      <c r="H118" s="52"/>
      <c r="I118" s="52"/>
      <c r="J118" s="2263"/>
      <c r="L118" s="3628" t="s">
        <v>3806</v>
      </c>
      <c r="M118" s="3628"/>
      <c r="N118" s="3628"/>
      <c r="O118" s="2262">
        <f>O116-O117</f>
        <v>479.16666666666669</v>
      </c>
      <c r="P118" s="2260">
        <f>P116-P117</f>
        <v>479.16666666666669</v>
      </c>
      <c r="Q118" s="2258">
        <f>Q116-Q117</f>
        <v>479.16666666666669</v>
      </c>
      <c r="Y118" s="1704"/>
    </row>
    <row r="119" spans="1:25" ht="21.75" customHeight="1" x14ac:dyDescent="0.2">
      <c r="A119" s="51"/>
      <c r="B119" s="1543"/>
      <c r="C119" s="1543"/>
      <c r="D119" s="717"/>
      <c r="E119" s="717"/>
      <c r="F119" s="2277"/>
      <c r="G119" s="2277"/>
      <c r="H119" s="52"/>
      <c r="I119" s="52"/>
      <c r="J119" s="2263"/>
      <c r="L119" s="2138"/>
    </row>
    <row r="120" spans="1:25" ht="21.75" customHeight="1" x14ac:dyDescent="0.2">
      <c r="A120" s="51"/>
      <c r="B120" s="1543"/>
      <c r="C120" s="1543"/>
      <c r="D120" s="717"/>
      <c r="E120" s="717"/>
      <c r="F120" s="2277"/>
      <c r="G120" s="2277"/>
      <c r="H120" s="52"/>
      <c r="I120" s="82"/>
      <c r="J120" s="2263"/>
      <c r="K120" s="746"/>
      <c r="L120" s="3575" t="s">
        <v>6748</v>
      </c>
      <c r="M120" s="3576"/>
      <c r="N120" s="3576"/>
      <c r="O120" s="3577"/>
      <c r="P120" s="32"/>
      <c r="Q120" s="32"/>
      <c r="R120" s="32"/>
      <c r="S120" s="32"/>
      <c r="T120" s="32"/>
    </row>
    <row r="121" spans="1:25" ht="21.75" customHeight="1" x14ac:dyDescent="0.2">
      <c r="A121" s="51"/>
      <c r="B121" s="1543"/>
      <c r="C121" s="1543"/>
      <c r="D121" s="717"/>
      <c r="E121" s="717"/>
      <c r="F121" s="2277"/>
      <c r="G121" s="2277"/>
      <c r="H121" s="52"/>
      <c r="J121" s="2263"/>
      <c r="K121" s="746"/>
      <c r="L121" s="911" t="s">
        <v>6252</v>
      </c>
      <c r="M121" s="2270" t="s">
        <v>6620</v>
      </c>
      <c r="N121" s="911" t="s">
        <v>6278</v>
      </c>
      <c r="O121" s="2270" t="s">
        <v>5427</v>
      </c>
      <c r="P121" s="2107"/>
      <c r="Q121" s="2107"/>
      <c r="R121" s="2107"/>
      <c r="S121" s="2107"/>
      <c r="T121" s="2107"/>
    </row>
    <row r="122" spans="1:25" ht="21.75" customHeight="1" x14ac:dyDescent="0.2">
      <c r="A122" s="51"/>
      <c r="B122" s="1543"/>
      <c r="C122" s="1543"/>
      <c r="D122" s="717"/>
      <c r="E122" s="717"/>
      <c r="F122" s="2277"/>
      <c r="G122" s="2277"/>
      <c r="H122" s="52"/>
      <c r="I122" s="1099"/>
      <c r="J122" s="2263"/>
      <c r="K122" s="746"/>
      <c r="L122" s="915">
        <v>45462</v>
      </c>
      <c r="M122" s="2264">
        <v>45498</v>
      </c>
      <c r="N122" s="1697" t="s">
        <v>6619</v>
      </c>
      <c r="O122" s="2119">
        <v>1293</v>
      </c>
      <c r="P122" s="1559"/>
      <c r="Q122" s="1870"/>
      <c r="R122" s="1870"/>
      <c r="S122" s="1870"/>
      <c r="T122" s="1870"/>
    </row>
    <row r="123" spans="1:25" ht="21.75" customHeight="1" x14ac:dyDescent="0.2">
      <c r="A123" s="51"/>
      <c r="B123" s="1543"/>
      <c r="C123" s="1543"/>
      <c r="D123" s="717"/>
      <c r="E123" s="717"/>
      <c r="F123" s="2277"/>
      <c r="G123" s="2277"/>
      <c r="H123" s="52"/>
      <c r="I123" s="1099"/>
      <c r="J123" s="2263"/>
      <c r="K123" s="746"/>
      <c r="L123" s="915">
        <v>45470</v>
      </c>
      <c r="M123" s="2264">
        <v>45503</v>
      </c>
      <c r="N123" s="1697" t="s">
        <v>6619</v>
      </c>
      <c r="O123" s="2119">
        <v>128.52000000000001</v>
      </c>
      <c r="P123" s="1559"/>
      <c r="Q123" s="1870"/>
      <c r="R123" s="1870"/>
      <c r="S123" s="1870"/>
      <c r="T123" s="1870"/>
    </row>
    <row r="124" spans="1:25" ht="21.75" customHeight="1" x14ac:dyDescent="0.2">
      <c r="A124" s="51"/>
      <c r="B124" s="1543"/>
      <c r="C124" s="1543"/>
      <c r="D124" s="717"/>
      <c r="E124" s="717"/>
      <c r="F124" s="2277"/>
      <c r="G124" s="2278"/>
      <c r="H124" s="52"/>
      <c r="I124" s="82"/>
      <c r="J124" s="2263"/>
      <c r="K124" s="746"/>
      <c r="L124" s="915"/>
      <c r="M124" s="2119"/>
      <c r="N124" s="1697"/>
      <c r="O124" s="2265"/>
      <c r="P124" s="1870"/>
      <c r="Q124" s="1870"/>
      <c r="R124" s="1870"/>
      <c r="S124" s="1870"/>
      <c r="T124" s="1870"/>
    </row>
    <row r="125" spans="1:25" ht="21.75" customHeight="1" x14ac:dyDescent="0.2">
      <c r="A125" s="51"/>
      <c r="B125" s="1543"/>
      <c r="C125" s="1543"/>
      <c r="D125" s="717"/>
      <c r="E125" s="717"/>
      <c r="F125" s="2277"/>
      <c r="G125" s="2277"/>
      <c r="H125" s="52"/>
      <c r="I125" s="52"/>
      <c r="J125" s="2263"/>
      <c r="K125" s="746"/>
      <c r="L125" s="2083"/>
      <c r="M125" s="2082"/>
      <c r="N125" s="2083" t="s">
        <v>772</v>
      </c>
      <c r="O125" s="2266">
        <f>SUM(O121:O124)</f>
        <v>1421.52</v>
      </c>
      <c r="P125" s="2269"/>
      <c r="Q125" s="2269"/>
      <c r="R125" s="2269"/>
      <c r="S125" s="2269"/>
      <c r="T125" s="2269"/>
    </row>
    <row r="126" spans="1:25" ht="21.75" customHeight="1" x14ac:dyDescent="0.2">
      <c r="A126" s="51"/>
      <c r="B126" s="1543"/>
      <c r="C126" s="1543"/>
      <c r="D126" s="717"/>
      <c r="E126" s="717"/>
      <c r="F126" s="2277"/>
      <c r="G126" s="2277"/>
      <c r="H126" s="52"/>
      <c r="I126" s="82"/>
      <c r="J126" s="2263"/>
      <c r="K126" s="746"/>
      <c r="L126" s="3589" t="s">
        <v>3771</v>
      </c>
      <c r="M126" s="3590"/>
      <c r="N126" s="3591"/>
      <c r="O126" s="2267">
        <f t="shared" ref="O126" si="8">O125/2</f>
        <v>710.76</v>
      </c>
      <c r="P126" s="1140"/>
      <c r="Q126" s="1140"/>
      <c r="R126" s="1140"/>
      <c r="S126" s="1140"/>
      <c r="T126" s="1140"/>
    </row>
    <row r="127" spans="1:25" ht="21.75" customHeight="1" x14ac:dyDescent="0.2">
      <c r="A127" s="51"/>
      <c r="B127" s="1543"/>
      <c r="C127" s="1543"/>
      <c r="D127" s="717"/>
      <c r="E127" s="717"/>
      <c r="F127" s="2277"/>
      <c r="G127" s="2277"/>
      <c r="H127" s="52"/>
      <c r="I127" s="52"/>
      <c r="J127" s="2263"/>
      <c r="K127" s="746"/>
      <c r="L127" s="3592" t="s">
        <v>3806</v>
      </c>
      <c r="M127" s="3593"/>
      <c r="N127" s="3594"/>
      <c r="O127" s="2268">
        <f t="shared" ref="O127" si="9">O125-O126</f>
        <v>710.76</v>
      </c>
      <c r="P127" s="2116"/>
      <c r="Q127" s="2116"/>
      <c r="R127" s="2116"/>
      <c r="S127" s="2116"/>
      <c r="T127" s="2116"/>
    </row>
    <row r="128" spans="1:25" ht="21.75" customHeight="1" x14ac:dyDescent="0.2">
      <c r="A128" s="51"/>
      <c r="B128" s="1543"/>
      <c r="C128" s="1543"/>
      <c r="D128" s="717"/>
      <c r="E128" s="717"/>
      <c r="F128" s="2277"/>
      <c r="G128" s="2277"/>
      <c r="H128" s="52"/>
      <c r="I128" s="82"/>
      <c r="J128" s="2263"/>
      <c r="K128" s="746"/>
    </row>
    <row r="129" spans="1:20" ht="21.75" customHeight="1" x14ac:dyDescent="0.2">
      <c r="A129" s="51"/>
      <c r="B129" s="1543"/>
      <c r="C129" s="1543"/>
      <c r="D129" s="717"/>
      <c r="E129" s="717"/>
      <c r="F129" s="2277"/>
      <c r="G129" s="2277"/>
      <c r="H129" s="52"/>
      <c r="I129" s="82"/>
      <c r="J129" s="2263"/>
      <c r="K129" s="746"/>
    </row>
    <row r="130" spans="1:20" ht="21.75" customHeight="1" x14ac:dyDescent="0.2">
      <c r="A130" s="51"/>
      <c r="B130" s="1543"/>
      <c r="C130" s="1543"/>
      <c r="D130" s="717"/>
      <c r="E130" s="717"/>
      <c r="F130" s="2277"/>
      <c r="G130" s="2277"/>
      <c r="H130" s="52"/>
      <c r="I130" s="52"/>
      <c r="J130" s="2263"/>
      <c r="K130" s="746"/>
      <c r="L130" s="3578" t="s">
        <v>6617</v>
      </c>
      <c r="M130" s="3578"/>
      <c r="N130" s="3578"/>
      <c r="O130" s="3578"/>
      <c r="P130" s="3578"/>
      <c r="Q130" s="3578"/>
      <c r="R130" s="3578"/>
      <c r="S130" s="3578"/>
      <c r="T130" s="3578"/>
    </row>
    <row r="131" spans="1:20" ht="21.75" customHeight="1" x14ac:dyDescent="0.2">
      <c r="A131" s="51"/>
      <c r="B131" s="1543"/>
      <c r="C131" s="1543"/>
      <c r="D131" s="717"/>
      <c r="E131" s="717"/>
      <c r="F131" s="2277"/>
      <c r="G131" s="2277"/>
      <c r="H131" s="52"/>
      <c r="I131" s="82"/>
      <c r="J131" s="2263"/>
      <c r="K131" s="746"/>
      <c r="L131" s="911" t="s">
        <v>6252</v>
      </c>
      <c r="M131" s="2078" t="s">
        <v>382</v>
      </c>
      <c r="N131" s="911" t="s">
        <v>6278</v>
      </c>
      <c r="O131" s="2072" t="s">
        <v>6520</v>
      </c>
      <c r="P131" s="2072" t="s">
        <v>6602</v>
      </c>
      <c r="Q131" s="2075" t="s">
        <v>6604</v>
      </c>
      <c r="R131" s="2271" t="s">
        <v>6605</v>
      </c>
      <c r="S131" s="2272" t="s">
        <v>6613</v>
      </c>
      <c r="T131" s="2272" t="s">
        <v>6614</v>
      </c>
    </row>
    <row r="132" spans="1:20" ht="21.75" customHeight="1" x14ac:dyDescent="0.2">
      <c r="A132" s="51"/>
      <c r="B132" s="1543"/>
      <c r="C132" s="1543"/>
      <c r="D132" s="717"/>
      <c r="E132" s="717"/>
      <c r="F132" s="2277"/>
      <c r="G132" s="2277"/>
      <c r="H132" s="52"/>
      <c r="I132" s="82"/>
      <c r="J132" s="2263"/>
      <c r="K132" s="746"/>
      <c r="L132" s="915">
        <v>45428</v>
      </c>
      <c r="M132" s="2119">
        <v>2320</v>
      </c>
      <c r="N132" s="1697" t="s">
        <v>6254</v>
      </c>
      <c r="O132" s="2121">
        <f>M132/2</f>
        <v>1160</v>
      </c>
      <c r="P132" s="2121">
        <v>0</v>
      </c>
      <c r="Q132" s="2122">
        <v>0</v>
      </c>
      <c r="R132" s="2253">
        <v>0</v>
      </c>
      <c r="S132" s="2249">
        <v>0</v>
      </c>
      <c r="T132" s="2249">
        <v>0</v>
      </c>
    </row>
    <row r="133" spans="1:20" ht="21.75" customHeight="1" x14ac:dyDescent="0.2">
      <c r="A133" s="51"/>
      <c r="B133" s="1543"/>
      <c r="C133" s="1543"/>
      <c r="D133" s="717"/>
      <c r="E133" s="717"/>
      <c r="F133" s="2277"/>
      <c r="G133" s="2277"/>
      <c r="H133" s="52"/>
      <c r="I133" s="52"/>
      <c r="J133" s="2263"/>
      <c r="K133" s="746"/>
      <c r="L133" s="915">
        <v>45433</v>
      </c>
      <c r="M133" s="2119">
        <v>1498.95</v>
      </c>
      <c r="N133" s="1697" t="s">
        <v>6254</v>
      </c>
      <c r="O133" s="2121">
        <f>M133/2</f>
        <v>749.47500000000002</v>
      </c>
      <c r="P133" s="2121">
        <v>0</v>
      </c>
      <c r="Q133" s="2122">
        <v>0</v>
      </c>
      <c r="R133" s="2253">
        <v>0</v>
      </c>
      <c r="S133" s="2249">
        <v>0</v>
      </c>
      <c r="T133" s="2249">
        <v>0</v>
      </c>
    </row>
    <row r="134" spans="1:20" ht="21.75" customHeight="1" x14ac:dyDescent="0.2">
      <c r="A134" s="51"/>
      <c r="B134" s="1543"/>
      <c r="C134" s="1543"/>
      <c r="D134" s="717"/>
      <c r="E134" s="717"/>
      <c r="F134" s="2277"/>
      <c r="G134" s="2277"/>
      <c r="H134" s="52"/>
      <c r="I134" s="52"/>
      <c r="J134" s="2263"/>
      <c r="K134" s="746"/>
      <c r="L134" s="915">
        <v>45467</v>
      </c>
      <c r="M134" s="2119">
        <v>1759.86</v>
      </c>
      <c r="N134" s="1697" t="s">
        <v>6601</v>
      </c>
      <c r="O134" s="2121">
        <f>M134/3</f>
        <v>586.62</v>
      </c>
      <c r="P134" s="2121">
        <f>M134/3</f>
        <v>586.62</v>
      </c>
      <c r="Q134" s="2122">
        <f>M134/3</f>
        <v>586.62</v>
      </c>
      <c r="R134" s="2253">
        <f>M134/3</f>
        <v>586.62</v>
      </c>
      <c r="S134" s="2249">
        <v>0</v>
      </c>
      <c r="T134" s="2249">
        <v>0</v>
      </c>
    </row>
    <row r="135" spans="1:20" ht="21.75" customHeight="1" x14ac:dyDescent="0.2">
      <c r="A135" s="51"/>
      <c r="B135" s="1543"/>
      <c r="C135" s="1543"/>
      <c r="D135" s="717"/>
      <c r="E135" s="717"/>
      <c r="F135" s="2277"/>
      <c r="G135" s="2277"/>
      <c r="H135" s="52"/>
      <c r="I135" s="82"/>
      <c r="J135" s="2263"/>
      <c r="K135" s="717" t="s">
        <v>280</v>
      </c>
      <c r="L135" s="915">
        <v>45470</v>
      </c>
      <c r="M135" s="2119">
        <v>5750</v>
      </c>
      <c r="N135" s="1697" t="s">
        <v>6603</v>
      </c>
      <c r="O135" s="2231">
        <f>M135/6</f>
        <v>958.33333333333337</v>
      </c>
      <c r="P135" s="2231">
        <f>M135/6</f>
        <v>958.33333333333337</v>
      </c>
      <c r="Q135" s="2248">
        <f>M135/6</f>
        <v>958.33333333333337</v>
      </c>
      <c r="R135" s="2254">
        <f>M135/6</f>
        <v>958.33333333333337</v>
      </c>
      <c r="S135" s="2250">
        <f>M135/6</f>
        <v>958.33333333333337</v>
      </c>
      <c r="T135" s="2250">
        <f>M135/6</f>
        <v>958.33333333333337</v>
      </c>
    </row>
    <row r="136" spans="1:20" ht="21.75" customHeight="1" x14ac:dyDescent="0.2">
      <c r="A136" s="51"/>
      <c r="B136" s="1543"/>
      <c r="C136" s="1543"/>
      <c r="D136" s="717"/>
      <c r="E136" s="717"/>
      <c r="F136" s="2277"/>
      <c r="G136" s="2277"/>
      <c r="H136" s="52"/>
      <c r="I136" s="82"/>
      <c r="J136" s="2263"/>
      <c r="L136" s="2065"/>
      <c r="M136" s="2081"/>
      <c r="N136" s="1746"/>
      <c r="O136" s="2073"/>
      <c r="P136" s="2073"/>
      <c r="Q136" s="2076"/>
      <c r="R136" s="2255"/>
      <c r="S136" s="2251"/>
      <c r="T136" s="2251"/>
    </row>
    <row r="137" spans="1:20" ht="21.75" customHeight="1" x14ac:dyDescent="0.2">
      <c r="A137" s="51"/>
      <c r="B137" s="1543"/>
      <c r="C137" s="1543"/>
      <c r="D137" s="717"/>
      <c r="E137" s="717"/>
      <c r="F137" s="2277"/>
      <c r="G137" s="2278"/>
      <c r="H137" s="1870"/>
      <c r="J137" s="2263"/>
      <c r="K137" s="717" t="s">
        <v>280</v>
      </c>
      <c r="L137" s="2083" t="s">
        <v>772</v>
      </c>
      <c r="M137" s="2082">
        <f>SUM(M132:M136)</f>
        <v>11328.81</v>
      </c>
      <c r="N137" s="911"/>
      <c r="O137" s="2074">
        <f t="shared" ref="O137:T137" si="10">SUM(O131:O136)</f>
        <v>3454.4283333333333</v>
      </c>
      <c r="P137" s="2074">
        <f t="shared" si="10"/>
        <v>1544.9533333333334</v>
      </c>
      <c r="Q137" s="2077">
        <f t="shared" si="10"/>
        <v>1544.9533333333334</v>
      </c>
      <c r="R137" s="2256">
        <f t="shared" si="10"/>
        <v>1544.9533333333334</v>
      </c>
      <c r="S137" s="2252">
        <f t="shared" si="10"/>
        <v>958.33333333333337</v>
      </c>
      <c r="T137" s="2252">
        <f t="shared" si="10"/>
        <v>958.33333333333337</v>
      </c>
    </row>
    <row r="138" spans="1:20" ht="21.75" customHeight="1" x14ac:dyDescent="0.2">
      <c r="A138" s="24"/>
      <c r="B138" s="1543"/>
      <c r="C138" s="1543"/>
      <c r="D138" s="717"/>
      <c r="E138" s="717"/>
      <c r="F138" s="2279"/>
      <c r="G138" s="2279"/>
      <c r="H138" s="18"/>
      <c r="I138" s="18"/>
      <c r="J138" s="2263"/>
      <c r="L138" s="3627" t="s">
        <v>3771</v>
      </c>
      <c r="M138" s="3627"/>
      <c r="N138" s="3627"/>
      <c r="O138" s="2261">
        <f t="shared" ref="O138:T138" si="11">O137/2</f>
        <v>1727.2141666666666</v>
      </c>
      <c r="P138" s="2261">
        <f t="shared" si="11"/>
        <v>772.47666666666669</v>
      </c>
      <c r="Q138" s="2259">
        <f t="shared" si="11"/>
        <v>772.47666666666669</v>
      </c>
      <c r="R138" s="2257">
        <f t="shared" si="11"/>
        <v>772.47666666666669</v>
      </c>
      <c r="S138" s="2066">
        <f t="shared" si="11"/>
        <v>479.16666666666669</v>
      </c>
      <c r="T138" s="2066">
        <f t="shared" si="11"/>
        <v>479.16666666666669</v>
      </c>
    </row>
    <row r="139" spans="1:20" ht="21.75" customHeight="1" x14ac:dyDescent="0.2">
      <c r="A139" s="2280"/>
      <c r="B139" s="2280"/>
      <c r="C139" s="2280"/>
      <c r="D139" s="2280"/>
      <c r="E139" s="2280"/>
      <c r="F139" s="2280"/>
      <c r="G139" s="2280"/>
      <c r="H139" s="2280"/>
      <c r="I139" s="82"/>
      <c r="L139" s="3628" t="s">
        <v>3806</v>
      </c>
      <c r="M139" s="3628"/>
      <c r="N139" s="3628"/>
      <c r="O139" s="2262">
        <f t="shared" ref="O139:T139" si="12">O137-O138</f>
        <v>1727.2141666666666</v>
      </c>
      <c r="P139" s="2262">
        <f t="shared" si="12"/>
        <v>772.47666666666669</v>
      </c>
      <c r="Q139" s="2260">
        <f t="shared" si="12"/>
        <v>772.47666666666669</v>
      </c>
      <c r="R139" s="2258">
        <f t="shared" si="12"/>
        <v>772.47666666666669</v>
      </c>
      <c r="S139" s="2061">
        <f t="shared" si="12"/>
        <v>479.16666666666669</v>
      </c>
      <c r="T139" s="2061">
        <f t="shared" si="12"/>
        <v>479.16666666666669</v>
      </c>
    </row>
    <row r="140" spans="1:20" ht="21.75" customHeight="1" x14ac:dyDescent="0.2">
      <c r="A140" s="24"/>
      <c r="B140" s="717"/>
      <c r="C140" s="717"/>
      <c r="D140" s="717"/>
      <c r="E140" s="717"/>
      <c r="F140" s="2277"/>
      <c r="G140" s="2277"/>
      <c r="H140" s="18"/>
      <c r="I140" s="18"/>
    </row>
    <row r="141" spans="1:20" ht="21.75" customHeight="1" x14ac:dyDescent="0.2">
      <c r="A141" s="24"/>
      <c r="B141" s="24"/>
      <c r="C141" s="24"/>
      <c r="D141" s="24"/>
      <c r="E141" s="717"/>
      <c r="F141" s="717"/>
      <c r="G141" s="717"/>
      <c r="H141" s="717"/>
      <c r="I141" s="52"/>
    </row>
    <row r="142" spans="1:20" ht="21.75" customHeight="1" x14ac:dyDescent="0.2">
      <c r="A142" s="24"/>
      <c r="B142" s="717"/>
      <c r="C142" s="717"/>
      <c r="D142" s="717"/>
      <c r="E142" s="1505"/>
      <c r="F142" s="1505"/>
      <c r="G142" s="2281"/>
      <c r="H142" s="2281"/>
      <c r="I142" s="52"/>
    </row>
    <row r="143" spans="1:20" ht="21.75" customHeight="1" x14ac:dyDescent="0.2">
      <c r="A143" s="24"/>
      <c r="B143" s="717"/>
      <c r="C143" s="717"/>
      <c r="D143" s="717"/>
      <c r="E143" s="1505"/>
      <c r="F143" s="1505"/>
      <c r="G143" s="2280"/>
      <c r="H143" s="2280"/>
      <c r="I143" s="82"/>
    </row>
    <row r="144" spans="1:20" ht="21.75" customHeight="1" x14ac:dyDescent="0.2">
      <c r="A144" s="24"/>
      <c r="B144" s="717"/>
      <c r="C144" s="717"/>
      <c r="D144" s="717"/>
      <c r="E144" s="2282"/>
      <c r="F144" s="2282"/>
      <c r="G144" s="2282"/>
      <c r="H144" s="2282"/>
      <c r="I144" s="2283"/>
      <c r="J144" s="717"/>
    </row>
    <row r="145" ht="21.75" customHeight="1" x14ac:dyDescent="0.2"/>
    <row r="146" ht="21.75" customHeight="1" x14ac:dyDescent="0.2"/>
    <row r="147" ht="21.75" customHeight="1" x14ac:dyDescent="0.2"/>
    <row r="148" ht="21.75" customHeight="1" x14ac:dyDescent="0.2"/>
    <row r="149" ht="21.75" customHeight="1" x14ac:dyDescent="0.2"/>
    <row r="150" ht="21.75" customHeight="1" x14ac:dyDescent="0.2"/>
    <row r="151" ht="21.75" customHeight="1" x14ac:dyDescent="0.2"/>
    <row r="152" ht="21.75" customHeight="1" x14ac:dyDescent="0.2"/>
    <row r="153" ht="21.75" customHeight="1" x14ac:dyDescent="0.2"/>
    <row r="154" ht="21.75" customHeight="1" x14ac:dyDescent="0.2"/>
    <row r="155" ht="21.75" customHeight="1" x14ac:dyDescent="0.2"/>
    <row r="156" ht="21.75" customHeight="1" x14ac:dyDescent="0.2"/>
    <row r="157" ht="21.75" customHeight="1" x14ac:dyDescent="0.2"/>
    <row r="158" ht="21.75" customHeight="1" x14ac:dyDescent="0.2"/>
    <row r="159" ht="21.75" customHeight="1" x14ac:dyDescent="0.2"/>
    <row r="160" ht="21.75" customHeight="1" x14ac:dyDescent="0.2"/>
    <row r="161" ht="21.75" customHeight="1" x14ac:dyDescent="0.2"/>
    <row r="162" ht="21.75" customHeight="1" x14ac:dyDescent="0.2"/>
    <row r="163" ht="21.75" customHeight="1" x14ac:dyDescent="0.2"/>
    <row r="164" ht="21.75" customHeight="1" x14ac:dyDescent="0.2"/>
    <row r="165" ht="21.75" customHeight="1" x14ac:dyDescent="0.2"/>
    <row r="166" ht="21.75" customHeight="1" x14ac:dyDescent="0.2"/>
    <row r="167" ht="21.75" customHeight="1" x14ac:dyDescent="0.2"/>
    <row r="168" ht="21.75" customHeight="1" x14ac:dyDescent="0.2"/>
    <row r="169" ht="21.75" customHeight="1" x14ac:dyDescent="0.2"/>
    <row r="170" ht="21.75" customHeight="1" x14ac:dyDescent="0.2"/>
  </sheetData>
  <autoFilter ref="A3:J107" xr:uid="{3182D978-CB09-48CB-9F33-E91E5DA05C32}"/>
  <mergeCells count="64">
    <mergeCell ref="L127:N127"/>
    <mergeCell ref="L130:T130"/>
    <mergeCell ref="L138:N138"/>
    <mergeCell ref="L139:N139"/>
    <mergeCell ref="L109:Q109"/>
    <mergeCell ref="L117:N117"/>
    <mergeCell ref="L118:N118"/>
    <mergeCell ref="L120:O120"/>
    <mergeCell ref="L126:N126"/>
    <mergeCell ref="P101:U101"/>
    <mergeCell ref="N98:O98"/>
    <mergeCell ref="P98:U98"/>
    <mergeCell ref="N100:O100"/>
    <mergeCell ref="P100:U100"/>
    <mergeCell ref="N99:O99"/>
    <mergeCell ref="P99:U99"/>
    <mergeCell ref="P97:U97"/>
    <mergeCell ref="P90:U90"/>
    <mergeCell ref="P95:U95"/>
    <mergeCell ref="N93:O93"/>
    <mergeCell ref="P93:U93"/>
    <mergeCell ref="N91:O91"/>
    <mergeCell ref="P91:U91"/>
    <mergeCell ref="N92:O92"/>
    <mergeCell ref="P92:U92"/>
    <mergeCell ref="N96:O96"/>
    <mergeCell ref="N94:O94"/>
    <mergeCell ref="L106:M106"/>
    <mergeCell ref="P88:U88"/>
    <mergeCell ref="E108:H108"/>
    <mergeCell ref="E107:H107"/>
    <mergeCell ref="N89:O89"/>
    <mergeCell ref="P106:U106"/>
    <mergeCell ref="N106:O106"/>
    <mergeCell ref="P94:U94"/>
    <mergeCell ref="N90:O90"/>
    <mergeCell ref="N102:O102"/>
    <mergeCell ref="P102:U102"/>
    <mergeCell ref="N103:O103"/>
    <mergeCell ref="P103:U103"/>
    <mergeCell ref="N101:O101"/>
    <mergeCell ref="P89:U89"/>
    <mergeCell ref="N88:O88"/>
    <mergeCell ref="E1:H1"/>
    <mergeCell ref="A2:J2"/>
    <mergeCell ref="A103:H103"/>
    <mergeCell ref="E105:H105"/>
    <mergeCell ref="E106:H106"/>
    <mergeCell ref="N104:O104"/>
    <mergeCell ref="P104:U104"/>
    <mergeCell ref="N105:O105"/>
    <mergeCell ref="P105:U105"/>
    <mergeCell ref="O66:O67"/>
    <mergeCell ref="N86:O86"/>
    <mergeCell ref="P86:U86"/>
    <mergeCell ref="P84:U84"/>
    <mergeCell ref="P85:U85"/>
    <mergeCell ref="N84:O84"/>
    <mergeCell ref="N85:O85"/>
    <mergeCell ref="N95:O95"/>
    <mergeCell ref="P96:U96"/>
    <mergeCell ref="P87:U87"/>
    <mergeCell ref="N87:O87"/>
    <mergeCell ref="N97:O97"/>
  </mergeCells>
  <phoneticPr fontId="43" type="noConversion"/>
  <pageMargins left="0.23622047244094491" right="0.15748031496062992" top="0.19685039370078741" bottom="0.15748031496062992" header="0.23622047244094491" footer="0.15748031496062992"/>
  <pageSetup paperSize="9" scale="81" orientation="portrait" r:id="rId1"/>
  <headerFooter alignWithMargins="0"/>
  <colBreaks count="1" manualBreakCount="1">
    <brk id="10" max="1048575" man="1"/>
  </colBreaks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58A59-2838-4A8B-BED5-4C27A1C65A9B}">
  <sheetPr codeName="Planilha34"/>
  <dimension ref="A1:W91"/>
  <sheetViews>
    <sheetView topLeftCell="A19" zoomScale="85" zoomScaleNormal="85" workbookViewId="0">
      <selection activeCell="T35" sqref="H23:T35"/>
    </sheetView>
  </sheetViews>
  <sheetFormatPr defaultColWidth="9.140625" defaultRowHeight="15" x14ac:dyDescent="0.25"/>
  <cols>
    <col min="1" max="1" width="13" style="79" customWidth="1"/>
    <col min="2" max="2" width="15.28515625" style="85" bestFit="1" customWidth="1"/>
    <col min="3" max="3" width="16" style="79" customWidth="1"/>
    <col min="4" max="4" width="16.85546875" style="79" customWidth="1"/>
    <col min="5" max="5" width="15.85546875" style="79" customWidth="1"/>
    <col min="6" max="6" width="15.140625" style="79" customWidth="1"/>
    <col min="7" max="7" width="13.140625" style="79" customWidth="1"/>
    <col min="8" max="8" width="3.85546875" style="79" customWidth="1"/>
    <col min="9" max="9" width="13.5703125" style="79" customWidth="1"/>
    <col min="10" max="10" width="14.140625" style="79" customWidth="1"/>
    <col min="11" max="11" width="12.7109375" style="79" customWidth="1"/>
    <col min="12" max="12" width="16.7109375" style="79" customWidth="1"/>
    <col min="13" max="13" width="18.42578125" style="79" customWidth="1"/>
    <col min="14" max="14" width="16.140625" style="79" customWidth="1"/>
    <col min="15" max="15" width="14.7109375" style="79" customWidth="1"/>
    <col min="16" max="16" width="12" style="79" customWidth="1"/>
    <col min="17" max="17" width="12.42578125" style="79" customWidth="1"/>
    <col min="18" max="20" width="13.28515625" style="79" customWidth="1"/>
    <col min="21" max="21" width="12.7109375" style="79" customWidth="1"/>
    <col min="22" max="22" width="15" style="79" customWidth="1"/>
    <col min="23" max="23" width="13.42578125" style="79" customWidth="1"/>
    <col min="24" max="16384" width="9.140625" style="79"/>
  </cols>
  <sheetData>
    <row r="1" spans="1:23" ht="15.75" thickBot="1" x14ac:dyDescent="0.3">
      <c r="C1" s="80"/>
    </row>
    <row r="2" spans="1:23" ht="18.75" customHeight="1" thickBot="1" x14ac:dyDescent="0.35">
      <c r="A2" s="3230" t="s">
        <v>6151</v>
      </c>
      <c r="B2" s="3231"/>
      <c r="C2" s="3232"/>
      <c r="D2" s="79" t="s">
        <v>5353</v>
      </c>
      <c r="E2" s="838"/>
      <c r="J2" s="79" t="s">
        <v>6149</v>
      </c>
      <c r="M2" s="81" t="s">
        <v>5474</v>
      </c>
    </row>
    <row r="3" spans="1:23" ht="15.75" thickBot="1" x14ac:dyDescent="0.3">
      <c r="A3" s="181" t="s">
        <v>5295</v>
      </c>
      <c r="B3" s="2053" t="s">
        <v>5296</v>
      </c>
      <c r="C3" s="556" t="s">
        <v>5297</v>
      </c>
      <c r="D3" s="216">
        <v>5250</v>
      </c>
      <c r="E3" s="839"/>
      <c r="J3" s="81" t="s">
        <v>5463</v>
      </c>
      <c r="K3" s="985" t="s">
        <v>5353</v>
      </c>
      <c r="L3" s="970" t="s">
        <v>6146</v>
      </c>
      <c r="M3" s="985" t="s">
        <v>6661</v>
      </c>
      <c r="N3" s="81" t="s">
        <v>6147</v>
      </c>
      <c r="O3" s="81"/>
      <c r="P3" s="81" t="s">
        <v>6148</v>
      </c>
      <c r="Q3" s="81"/>
    </row>
    <row r="4" spans="1:23" x14ac:dyDescent="0.25">
      <c r="A4" s="596" t="s">
        <v>5300</v>
      </c>
      <c r="B4" s="2756">
        <f>'Programação Pagtos.'!B4</f>
        <v>6300</v>
      </c>
      <c r="C4" s="1880">
        <f>B4/30</f>
        <v>210</v>
      </c>
      <c r="E4" s="840"/>
      <c r="J4" s="216">
        <v>5591.25</v>
      </c>
      <c r="K4" s="484">
        <v>601.59</v>
      </c>
      <c r="L4" s="475">
        <v>379.18</v>
      </c>
      <c r="M4" s="484">
        <v>0</v>
      </c>
      <c r="N4" s="216">
        <f>J4-K4-L4</f>
        <v>4610.4799999999996</v>
      </c>
      <c r="O4" s="609">
        <f>N4*22.5%</f>
        <v>1037.3579999999999</v>
      </c>
      <c r="P4" s="609">
        <f>O4-662.77</f>
        <v>374.58799999999997</v>
      </c>
    </row>
    <row r="5" spans="1:23" x14ac:dyDescent="0.25">
      <c r="A5" s="1530" t="s">
        <v>2506</v>
      </c>
      <c r="B5" s="825">
        <f>'Programação Pagtos.'!B5</f>
        <v>200</v>
      </c>
      <c r="C5" s="1881">
        <f t="shared" ref="C5" si="0">B5/30</f>
        <v>6.666666666666667</v>
      </c>
      <c r="D5" s="216">
        <v>1412</v>
      </c>
      <c r="E5" s="216"/>
      <c r="F5" s="991">
        <v>7.4999999999999997E-2</v>
      </c>
      <c r="G5" s="609">
        <f>D5*F5</f>
        <v>105.89999999999999</v>
      </c>
      <c r="J5" s="216"/>
      <c r="K5" s="216"/>
      <c r="L5" s="216"/>
      <c r="M5" s="216"/>
    </row>
    <row r="6" spans="1:23" x14ac:dyDescent="0.25">
      <c r="A6" s="137" t="s">
        <v>5302</v>
      </c>
      <c r="B6" s="825">
        <f>'Programação Pagtos.'!B6</f>
        <v>683.5100000000001</v>
      </c>
      <c r="C6" s="1881">
        <f>B6/30</f>
        <v>22.783666666666669</v>
      </c>
      <c r="D6" s="216">
        <f>E6-D5</f>
        <v>1254.6799999999998</v>
      </c>
      <c r="E6" s="216">
        <v>2666.68</v>
      </c>
      <c r="F6" s="991">
        <v>0.09</v>
      </c>
      <c r="G6" s="609">
        <f>D6*F6</f>
        <v>112.92119999999998</v>
      </c>
      <c r="J6" s="79" t="s">
        <v>6662</v>
      </c>
      <c r="L6" s="459"/>
    </row>
    <row r="7" spans="1:23" x14ac:dyDescent="0.25">
      <c r="A7" s="137" t="s">
        <v>5303</v>
      </c>
      <c r="B7" s="825">
        <f>'Programação Pagtos.'!B7</f>
        <v>391.72800000000007</v>
      </c>
      <c r="C7" s="1881">
        <f>B7/30</f>
        <v>13.057600000000003</v>
      </c>
      <c r="D7" s="216">
        <f>E7-E6</f>
        <v>1333.3500000000004</v>
      </c>
      <c r="E7" s="216">
        <v>4000.03</v>
      </c>
      <c r="F7" s="991">
        <v>0.12</v>
      </c>
      <c r="G7" s="609">
        <f>D7*F7</f>
        <v>160.00200000000004</v>
      </c>
      <c r="J7" s="81" t="s">
        <v>5463</v>
      </c>
      <c r="K7" s="985" t="s">
        <v>5353</v>
      </c>
      <c r="L7" s="970" t="s">
        <v>6146</v>
      </c>
      <c r="M7" s="985" t="s">
        <v>6659</v>
      </c>
      <c r="N7" s="81" t="s">
        <v>6156</v>
      </c>
      <c r="O7" s="81"/>
      <c r="P7" s="81" t="s">
        <v>6153</v>
      </c>
    </row>
    <row r="8" spans="1:23" x14ac:dyDescent="0.25">
      <c r="A8" s="995" t="s">
        <v>5304</v>
      </c>
      <c r="B8" s="2755">
        <f>'Programação Pagtos.'!B8</f>
        <v>0</v>
      </c>
      <c r="C8" s="1881">
        <f>B8/30</f>
        <v>0</v>
      </c>
      <c r="D8" s="216">
        <f>E8-E7</f>
        <v>1249.9699999999998</v>
      </c>
      <c r="E8" s="216">
        <f>D3</f>
        <v>5250</v>
      </c>
      <c r="F8" s="991">
        <v>0.14000000000000001</v>
      </c>
      <c r="G8" s="609">
        <f>D8*F8</f>
        <v>174.9958</v>
      </c>
      <c r="J8" s="216">
        <v>5591.25</v>
      </c>
      <c r="K8" s="484">
        <v>601.59</v>
      </c>
      <c r="L8" s="475">
        <v>379.18</v>
      </c>
      <c r="M8" s="484">
        <f>SUM(J8-K8-Q8)*20%</f>
        <v>964.85113406088044</v>
      </c>
      <c r="N8" s="216">
        <f>J8-K8-L8-M8</f>
        <v>3645.6288659391194</v>
      </c>
      <c r="O8" s="609">
        <f>N8*15%</f>
        <v>546.84432989086793</v>
      </c>
      <c r="P8" s="609">
        <f>O8-381.44</f>
        <v>165.40432989086793</v>
      </c>
      <c r="Q8" s="2305">
        <v>165.40432969559794</v>
      </c>
    </row>
    <row r="9" spans="1:23" ht="15.75" thickBot="1" x14ac:dyDescent="0.3">
      <c r="A9" s="92"/>
      <c r="B9" s="2045"/>
      <c r="C9" s="636"/>
      <c r="D9" s="216"/>
      <c r="E9" s="216"/>
      <c r="F9" s="1715">
        <f>G9/D3</f>
        <v>0.10548933333333335</v>
      </c>
      <c r="G9" s="1539">
        <f>SUM(G5:G8)</f>
        <v>553.81900000000007</v>
      </c>
    </row>
    <row r="10" spans="1:23" ht="15.75" thickBot="1" x14ac:dyDescent="0.3">
      <c r="A10" s="139" t="s">
        <v>5305</v>
      </c>
      <c r="B10" s="2053">
        <f>B4-B6-B7</f>
        <v>5224.7619999999997</v>
      </c>
      <c r="C10" s="88"/>
      <c r="E10" s="216"/>
      <c r="J10" s="79" t="s">
        <v>6154</v>
      </c>
      <c r="L10" s="459"/>
    </row>
    <row r="11" spans="1:23" x14ac:dyDescent="0.25">
      <c r="F11" s="843"/>
      <c r="H11" s="821"/>
      <c r="J11" s="81" t="s">
        <v>5463</v>
      </c>
      <c r="K11" s="985" t="s">
        <v>5353</v>
      </c>
      <c r="L11" s="970" t="s">
        <v>6146</v>
      </c>
      <c r="M11" s="985" t="s">
        <v>6660</v>
      </c>
      <c r="N11" s="81" t="s">
        <v>6156</v>
      </c>
      <c r="O11" s="81"/>
      <c r="P11" s="81" t="s">
        <v>6153</v>
      </c>
    </row>
    <row r="12" spans="1:23" x14ac:dyDescent="0.25">
      <c r="J12" s="216">
        <v>5591.25</v>
      </c>
      <c r="K12" s="484">
        <v>601.59</v>
      </c>
      <c r="L12" s="475">
        <v>379.18</v>
      </c>
      <c r="M12" s="484">
        <f>SUM(J12-K12-Q12)*25%</f>
        <v>1215.4621166992797</v>
      </c>
      <c r="N12" s="216">
        <f>J12-K12-L12-M12</f>
        <v>3395.0178833007199</v>
      </c>
      <c r="O12" s="609">
        <f>N12*15%</f>
        <v>509.25268249510793</v>
      </c>
      <c r="P12" s="609">
        <f>O12-381.44</f>
        <v>127.81268249510794</v>
      </c>
      <c r="Q12" s="962">
        <v>127.81153320288099</v>
      </c>
    </row>
    <row r="13" spans="1:23" x14ac:dyDescent="0.25">
      <c r="J13" s="216"/>
      <c r="K13" s="484"/>
      <c r="L13" s="475"/>
      <c r="M13" s="484"/>
      <c r="N13" s="216"/>
      <c r="O13" s="609"/>
      <c r="P13" s="609"/>
    </row>
    <row r="14" spans="1:23" ht="18" customHeight="1" x14ac:dyDescent="0.25">
      <c r="A14" s="3197" t="s">
        <v>6658</v>
      </c>
      <c r="B14" s="3197"/>
      <c r="C14" s="3197"/>
      <c r="D14" s="3197"/>
      <c r="E14" s="3197"/>
      <c r="I14" s="3197" t="s">
        <v>6157</v>
      </c>
      <c r="J14" s="3197"/>
      <c r="K14" s="3197"/>
      <c r="L14" s="3197"/>
      <c r="M14" s="3197"/>
      <c r="N14" s="3197"/>
      <c r="O14" s="3197"/>
      <c r="P14" s="81"/>
      <c r="Q14" s="3197" t="s">
        <v>6155</v>
      </c>
      <c r="R14" s="3197"/>
      <c r="S14" s="3197"/>
      <c r="T14" s="3197"/>
      <c r="U14" s="3197"/>
      <c r="V14" s="3197"/>
      <c r="W14" s="3197"/>
    </row>
    <row r="15" spans="1:23" s="81" customFormat="1" x14ac:dyDescent="0.25">
      <c r="A15" s="193" t="s">
        <v>5580</v>
      </c>
      <c r="B15" s="193" t="s">
        <v>5300</v>
      </c>
      <c r="C15" s="970" t="s">
        <v>5353</v>
      </c>
      <c r="D15" s="970" t="s">
        <v>1479</v>
      </c>
      <c r="E15" s="2033" t="s">
        <v>5194</v>
      </c>
      <c r="F15" s="81" t="s">
        <v>6656</v>
      </c>
      <c r="G15" s="294" t="s">
        <v>6657</v>
      </c>
      <c r="I15" s="193" t="s">
        <v>5580</v>
      </c>
      <c r="J15" s="193" t="s">
        <v>5300</v>
      </c>
      <c r="K15" s="970" t="s">
        <v>5353</v>
      </c>
      <c r="L15" s="970" t="s">
        <v>1479</v>
      </c>
      <c r="M15" s="970" t="s">
        <v>6150</v>
      </c>
      <c r="N15" s="2033" t="s">
        <v>5194</v>
      </c>
      <c r="O15" s="294" t="s">
        <v>6657</v>
      </c>
      <c r="Q15" s="193" t="s">
        <v>5580</v>
      </c>
      <c r="R15" s="193" t="s">
        <v>5300</v>
      </c>
      <c r="S15" s="970" t="s">
        <v>5353</v>
      </c>
      <c r="T15" s="970" t="s">
        <v>1479</v>
      </c>
      <c r="U15" s="970" t="s">
        <v>6150</v>
      </c>
      <c r="V15" s="2033" t="s">
        <v>5194</v>
      </c>
      <c r="W15" s="81" t="s">
        <v>6657</v>
      </c>
    </row>
    <row r="16" spans="1:23" x14ac:dyDescent="0.25">
      <c r="A16" s="545">
        <v>45658</v>
      </c>
      <c r="B16" s="177">
        <f>$B$4</f>
        <v>6300</v>
      </c>
      <c r="C16" s="475">
        <f>$B$6</f>
        <v>683.5100000000001</v>
      </c>
      <c r="D16" s="484">
        <f>$B$7</f>
        <v>391.72800000000007</v>
      </c>
      <c r="E16" s="2035">
        <f>B16-C16-D16</f>
        <v>5224.7619999999997</v>
      </c>
      <c r="F16" s="216">
        <v>930</v>
      </c>
      <c r="G16" s="609">
        <f>E16-F16</f>
        <v>4294.7619999999997</v>
      </c>
      <c r="I16" s="545">
        <f>A16</f>
        <v>45658</v>
      </c>
      <c r="J16" s="216">
        <f>$B$4</f>
        <v>6300</v>
      </c>
      <c r="K16" s="475">
        <f>$B$6</f>
        <v>683.5100000000001</v>
      </c>
      <c r="L16" s="484">
        <v>217</v>
      </c>
      <c r="M16" s="2037">
        <f>SUM(J16-K16-L16)*20%</f>
        <v>1079.8979999999999</v>
      </c>
      <c r="N16" s="2035">
        <f>J16-K16-L16</f>
        <v>5399.49</v>
      </c>
      <c r="O16" s="609">
        <f>N16-M16</f>
        <v>4319.5919999999996</v>
      </c>
      <c r="Q16" s="545">
        <v>45292</v>
      </c>
      <c r="R16" s="216">
        <v>5591.5</v>
      </c>
      <c r="S16" s="475">
        <v>601.59</v>
      </c>
      <c r="T16" s="484">
        <v>127.81153320288099</v>
      </c>
      <c r="U16" s="2037">
        <f>$M$12</f>
        <v>1215.4621166992797</v>
      </c>
      <c r="V16" s="2035">
        <f>R16-S16-T16</f>
        <v>4862.0984667971188</v>
      </c>
      <c r="W16" s="609">
        <f>V16-U16</f>
        <v>3646.6363500978391</v>
      </c>
    </row>
    <row r="17" spans="1:23" x14ac:dyDescent="0.25">
      <c r="A17" s="545">
        <v>45689</v>
      </c>
      <c r="B17" s="177">
        <f t="shared" ref="B17:B29" si="1">$B$4</f>
        <v>6300</v>
      </c>
      <c r="C17" s="475">
        <f t="shared" ref="C17:C29" si="2">$B$6</f>
        <v>683.5100000000001</v>
      </c>
      <c r="D17" s="484">
        <f t="shared" ref="D17:D29" si="3">$B$7</f>
        <v>391.72800000000007</v>
      </c>
      <c r="E17" s="2035">
        <f t="shared" ref="E17:E29" si="4">B17-C17-D17</f>
        <v>5224.7619999999997</v>
      </c>
      <c r="F17" s="216">
        <v>930</v>
      </c>
      <c r="G17" s="609">
        <f t="shared" ref="G17:G29" si="5">E17-F17</f>
        <v>4294.7619999999997</v>
      </c>
      <c r="I17" s="545">
        <f t="shared" ref="I17:I27" si="6">A17</f>
        <v>45689</v>
      </c>
      <c r="J17" s="216">
        <f t="shared" ref="J17:J29" si="7">$B$4</f>
        <v>6300</v>
      </c>
      <c r="K17" s="475">
        <f t="shared" ref="K17:K29" si="8">$B$6</f>
        <v>683.5100000000001</v>
      </c>
      <c r="L17" s="484">
        <v>217</v>
      </c>
      <c r="M17" s="2037">
        <f t="shared" ref="M17:M29" si="9">SUM(J17-K17-L17)*20%</f>
        <v>1079.8979999999999</v>
      </c>
      <c r="N17" s="2035">
        <f t="shared" ref="N17:N26" si="10">J17-K17-L17</f>
        <v>5399.49</v>
      </c>
      <c r="O17" s="609">
        <f>N17-M17</f>
        <v>4319.5919999999996</v>
      </c>
      <c r="Q17" s="545">
        <v>45323</v>
      </c>
      <c r="R17" s="216">
        <v>5591.5</v>
      </c>
      <c r="S17" s="475">
        <v>601.59</v>
      </c>
      <c r="T17" s="484">
        <v>127.81153320288099</v>
      </c>
      <c r="U17" s="2037">
        <f t="shared" ref="U17:U29" si="11">$M$12</f>
        <v>1215.4621166992797</v>
      </c>
      <c r="V17" s="2035">
        <f t="shared" ref="V17:V29" si="12">R17-S17-T17</f>
        <v>4862.0984667971188</v>
      </c>
      <c r="W17" s="609">
        <f t="shared" ref="W17:W20" si="13">V17-U17</f>
        <v>3646.6363500978391</v>
      </c>
    </row>
    <row r="18" spans="1:23" x14ac:dyDescent="0.25">
      <c r="A18" s="545">
        <v>45717</v>
      </c>
      <c r="B18" s="177">
        <f t="shared" si="1"/>
        <v>6300</v>
      </c>
      <c r="C18" s="475">
        <f t="shared" si="2"/>
        <v>683.5100000000001</v>
      </c>
      <c r="D18" s="484">
        <f t="shared" si="3"/>
        <v>391.72800000000007</v>
      </c>
      <c r="E18" s="2035">
        <f t="shared" si="4"/>
        <v>5224.7619999999997</v>
      </c>
      <c r="F18" s="216">
        <v>930</v>
      </c>
      <c r="G18" s="609">
        <f t="shared" si="5"/>
        <v>4294.7619999999997</v>
      </c>
      <c r="I18" s="545">
        <f t="shared" si="6"/>
        <v>45717</v>
      </c>
      <c r="J18" s="216">
        <f>$B$4</f>
        <v>6300</v>
      </c>
      <c r="K18" s="475">
        <f t="shared" si="8"/>
        <v>683.5100000000001</v>
      </c>
      <c r="L18" s="484">
        <v>217</v>
      </c>
      <c r="M18" s="2037">
        <f t="shared" si="9"/>
        <v>1079.8979999999999</v>
      </c>
      <c r="N18" s="2035">
        <f t="shared" si="10"/>
        <v>5399.49</v>
      </c>
      <c r="O18" s="609">
        <f t="shared" ref="O18:O29" si="14">N18-M18</f>
        <v>4319.5919999999996</v>
      </c>
      <c r="Q18" s="545">
        <v>45352</v>
      </c>
      <c r="R18" s="216">
        <v>5591.5</v>
      </c>
      <c r="S18" s="475">
        <v>601.59</v>
      </c>
      <c r="T18" s="484">
        <v>127.81153320288099</v>
      </c>
      <c r="U18" s="2037">
        <f t="shared" si="11"/>
        <v>1215.4621166992797</v>
      </c>
      <c r="V18" s="2035">
        <f t="shared" si="12"/>
        <v>4862.0984667971188</v>
      </c>
      <c r="W18" s="609">
        <f t="shared" si="13"/>
        <v>3646.6363500978391</v>
      </c>
    </row>
    <row r="19" spans="1:23" x14ac:dyDescent="0.25">
      <c r="A19" s="545">
        <v>45748</v>
      </c>
      <c r="B19" s="177">
        <f t="shared" si="1"/>
        <v>6300</v>
      </c>
      <c r="C19" s="475">
        <f t="shared" si="2"/>
        <v>683.5100000000001</v>
      </c>
      <c r="D19" s="484">
        <f t="shared" si="3"/>
        <v>391.72800000000007</v>
      </c>
      <c r="E19" s="2035">
        <f t="shared" si="4"/>
        <v>5224.7619999999997</v>
      </c>
      <c r="F19" s="216">
        <v>930</v>
      </c>
      <c r="G19" s="609">
        <f t="shared" si="5"/>
        <v>4294.7619999999997</v>
      </c>
      <c r="I19" s="545">
        <f t="shared" si="6"/>
        <v>45748</v>
      </c>
      <c r="J19" s="216">
        <f t="shared" si="7"/>
        <v>6300</v>
      </c>
      <c r="K19" s="475">
        <f t="shared" si="8"/>
        <v>683.5100000000001</v>
      </c>
      <c r="L19" s="484">
        <v>217</v>
      </c>
      <c r="M19" s="2037">
        <f t="shared" si="9"/>
        <v>1079.8979999999999</v>
      </c>
      <c r="N19" s="2035">
        <f t="shared" si="10"/>
        <v>5399.49</v>
      </c>
      <c r="O19" s="609">
        <f t="shared" si="14"/>
        <v>4319.5919999999996</v>
      </c>
      <c r="Q19" s="545">
        <v>45383</v>
      </c>
      <c r="R19" s="216">
        <v>5591.5</v>
      </c>
      <c r="S19" s="475">
        <v>601.59</v>
      </c>
      <c r="T19" s="484">
        <v>127.81153320288099</v>
      </c>
      <c r="U19" s="2037">
        <f t="shared" si="11"/>
        <v>1215.4621166992797</v>
      </c>
      <c r="V19" s="2035">
        <f t="shared" si="12"/>
        <v>4862.0984667971188</v>
      </c>
      <c r="W19" s="609">
        <f t="shared" si="13"/>
        <v>3646.6363500978391</v>
      </c>
    </row>
    <row r="20" spans="1:23" x14ac:dyDescent="0.25">
      <c r="A20" s="545">
        <v>45778</v>
      </c>
      <c r="B20" s="177">
        <f t="shared" si="1"/>
        <v>6300</v>
      </c>
      <c r="C20" s="475">
        <f t="shared" si="2"/>
        <v>683.5100000000001</v>
      </c>
      <c r="D20" s="484">
        <f t="shared" si="3"/>
        <v>391.72800000000007</v>
      </c>
      <c r="E20" s="2035">
        <f t="shared" si="4"/>
        <v>5224.7619999999997</v>
      </c>
      <c r="F20" s="216">
        <v>930</v>
      </c>
      <c r="G20" s="609">
        <f t="shared" si="5"/>
        <v>4294.7619999999997</v>
      </c>
      <c r="I20" s="545">
        <f t="shared" si="6"/>
        <v>45778</v>
      </c>
      <c r="J20" s="216">
        <f t="shared" si="7"/>
        <v>6300</v>
      </c>
      <c r="K20" s="475">
        <f t="shared" si="8"/>
        <v>683.5100000000001</v>
      </c>
      <c r="L20" s="484">
        <v>217</v>
      </c>
      <c r="M20" s="2037">
        <f t="shared" si="9"/>
        <v>1079.8979999999999</v>
      </c>
      <c r="N20" s="2035">
        <f t="shared" si="10"/>
        <v>5399.49</v>
      </c>
      <c r="O20" s="609">
        <f t="shared" si="14"/>
        <v>4319.5919999999996</v>
      </c>
      <c r="Q20" s="545">
        <v>45413</v>
      </c>
      <c r="R20" s="216">
        <v>5591.5</v>
      </c>
      <c r="S20" s="475">
        <v>601.59</v>
      </c>
      <c r="T20" s="484">
        <v>127.81153320288099</v>
      </c>
      <c r="U20" s="2037">
        <f t="shared" si="11"/>
        <v>1215.4621166992797</v>
      </c>
      <c r="V20" s="2035">
        <f t="shared" si="12"/>
        <v>4862.0984667971188</v>
      </c>
      <c r="W20" s="609">
        <f t="shared" si="13"/>
        <v>3646.6363500978391</v>
      </c>
    </row>
    <row r="21" spans="1:23" x14ac:dyDescent="0.25">
      <c r="A21" s="545">
        <v>45809</v>
      </c>
      <c r="B21" s="177">
        <f t="shared" si="1"/>
        <v>6300</v>
      </c>
      <c r="C21" s="475">
        <f t="shared" si="2"/>
        <v>683.5100000000001</v>
      </c>
      <c r="D21" s="484">
        <f t="shared" si="3"/>
        <v>391.72800000000007</v>
      </c>
      <c r="E21" s="2035">
        <f t="shared" si="4"/>
        <v>5224.7619999999997</v>
      </c>
      <c r="F21" s="216">
        <v>930</v>
      </c>
      <c r="G21" s="609">
        <f t="shared" si="5"/>
        <v>4294.7619999999997</v>
      </c>
      <c r="I21" s="545">
        <f t="shared" si="6"/>
        <v>45809</v>
      </c>
      <c r="J21" s="216">
        <f t="shared" si="7"/>
        <v>6300</v>
      </c>
      <c r="K21" s="475">
        <f t="shared" si="8"/>
        <v>683.5100000000001</v>
      </c>
      <c r="L21" s="484">
        <v>217</v>
      </c>
      <c r="M21" s="2037">
        <f t="shared" si="9"/>
        <v>1079.8979999999999</v>
      </c>
      <c r="N21" s="2035">
        <f t="shared" si="10"/>
        <v>5399.49</v>
      </c>
      <c r="O21" s="609">
        <f t="shared" si="14"/>
        <v>4319.5919999999996</v>
      </c>
      <c r="Q21" s="545">
        <v>45444</v>
      </c>
      <c r="R21" s="216">
        <v>5591.5</v>
      </c>
      <c r="S21" s="475">
        <v>601.59</v>
      </c>
      <c r="T21" s="484">
        <v>127.81153320288099</v>
      </c>
      <c r="U21" s="2037">
        <f t="shared" si="11"/>
        <v>1215.4621166992797</v>
      </c>
      <c r="V21" s="2035">
        <f t="shared" si="12"/>
        <v>4862.0984667971188</v>
      </c>
      <c r="W21" s="609">
        <f t="shared" ref="W21:W29" si="15">V21-U21</f>
        <v>3646.6363500978391</v>
      </c>
    </row>
    <row r="22" spans="1:23" x14ac:dyDescent="0.25">
      <c r="A22" s="545">
        <v>45839</v>
      </c>
      <c r="B22" s="177">
        <f t="shared" si="1"/>
        <v>6300</v>
      </c>
      <c r="C22" s="475">
        <f t="shared" si="2"/>
        <v>683.5100000000001</v>
      </c>
      <c r="D22" s="484">
        <f t="shared" si="3"/>
        <v>391.72800000000007</v>
      </c>
      <c r="E22" s="2035">
        <f t="shared" si="4"/>
        <v>5224.7619999999997</v>
      </c>
      <c r="F22" s="216">
        <v>930</v>
      </c>
      <c r="G22" s="609">
        <f t="shared" si="5"/>
        <v>4294.7619999999997</v>
      </c>
      <c r="I22" s="545">
        <f t="shared" si="6"/>
        <v>45839</v>
      </c>
      <c r="J22" s="216">
        <f t="shared" si="7"/>
        <v>6300</v>
      </c>
      <c r="K22" s="475">
        <f t="shared" si="8"/>
        <v>683.5100000000001</v>
      </c>
      <c r="L22" s="484">
        <v>217</v>
      </c>
      <c r="M22" s="2037">
        <f t="shared" si="9"/>
        <v>1079.8979999999999</v>
      </c>
      <c r="N22" s="2035">
        <f t="shared" si="10"/>
        <v>5399.49</v>
      </c>
      <c r="O22" s="609">
        <f t="shared" si="14"/>
        <v>4319.5919999999996</v>
      </c>
      <c r="Q22" s="545">
        <v>45474</v>
      </c>
      <c r="R22" s="216">
        <v>5591.5</v>
      </c>
      <c r="S22" s="475">
        <v>601.59</v>
      </c>
      <c r="T22" s="484">
        <v>127.81153320288099</v>
      </c>
      <c r="U22" s="2037">
        <f t="shared" si="11"/>
        <v>1215.4621166992797</v>
      </c>
      <c r="V22" s="2035">
        <f t="shared" si="12"/>
        <v>4862.0984667971188</v>
      </c>
      <c r="W22" s="609">
        <f t="shared" si="15"/>
        <v>3646.6363500978391</v>
      </c>
    </row>
    <row r="23" spans="1:23" x14ac:dyDescent="0.25">
      <c r="A23" s="545">
        <v>45870</v>
      </c>
      <c r="B23" s="177">
        <f t="shared" si="1"/>
        <v>6300</v>
      </c>
      <c r="C23" s="475">
        <f t="shared" si="2"/>
        <v>683.5100000000001</v>
      </c>
      <c r="D23" s="484">
        <f t="shared" si="3"/>
        <v>391.72800000000007</v>
      </c>
      <c r="E23" s="2035">
        <f t="shared" si="4"/>
        <v>5224.7619999999997</v>
      </c>
      <c r="F23" s="216">
        <v>930</v>
      </c>
      <c r="G23" s="609">
        <f t="shared" si="5"/>
        <v>4294.7619999999997</v>
      </c>
      <c r="I23" s="545">
        <f t="shared" si="6"/>
        <v>45870</v>
      </c>
      <c r="J23" s="216">
        <f t="shared" si="7"/>
        <v>6300</v>
      </c>
      <c r="K23" s="475">
        <f t="shared" si="8"/>
        <v>683.5100000000001</v>
      </c>
      <c r="L23" s="484">
        <v>217</v>
      </c>
      <c r="M23" s="2037">
        <f t="shared" si="9"/>
        <v>1079.8979999999999</v>
      </c>
      <c r="N23" s="2035">
        <f t="shared" si="10"/>
        <v>5399.49</v>
      </c>
      <c r="O23" s="609">
        <f t="shared" si="14"/>
        <v>4319.5919999999996</v>
      </c>
      <c r="Q23" s="545">
        <v>45505</v>
      </c>
      <c r="R23" s="216">
        <v>5591.5</v>
      </c>
      <c r="S23" s="475">
        <v>601.59</v>
      </c>
      <c r="T23" s="484">
        <v>127.81153320288099</v>
      </c>
      <c r="U23" s="2037">
        <f t="shared" si="11"/>
        <v>1215.4621166992797</v>
      </c>
      <c r="V23" s="2035">
        <f t="shared" si="12"/>
        <v>4862.0984667971188</v>
      </c>
      <c r="W23" s="609">
        <f t="shared" si="15"/>
        <v>3646.6363500978391</v>
      </c>
    </row>
    <row r="24" spans="1:23" x14ac:dyDescent="0.25">
      <c r="A24" s="545">
        <v>45901</v>
      </c>
      <c r="B24" s="177">
        <f t="shared" si="1"/>
        <v>6300</v>
      </c>
      <c r="C24" s="475">
        <f t="shared" si="2"/>
        <v>683.5100000000001</v>
      </c>
      <c r="D24" s="484">
        <f t="shared" si="3"/>
        <v>391.72800000000007</v>
      </c>
      <c r="E24" s="2035">
        <f t="shared" si="4"/>
        <v>5224.7619999999997</v>
      </c>
      <c r="F24" s="216">
        <v>930</v>
      </c>
      <c r="G24" s="609">
        <f t="shared" si="5"/>
        <v>4294.7619999999997</v>
      </c>
      <c r="I24" s="545">
        <f t="shared" si="6"/>
        <v>45901</v>
      </c>
      <c r="J24" s="216">
        <f t="shared" si="7"/>
        <v>6300</v>
      </c>
      <c r="K24" s="475">
        <f t="shared" si="8"/>
        <v>683.5100000000001</v>
      </c>
      <c r="L24" s="484">
        <v>217</v>
      </c>
      <c r="M24" s="2037">
        <f t="shared" si="9"/>
        <v>1079.8979999999999</v>
      </c>
      <c r="N24" s="2035">
        <f t="shared" si="10"/>
        <v>5399.49</v>
      </c>
      <c r="O24" s="609">
        <f t="shared" si="14"/>
        <v>4319.5919999999996</v>
      </c>
      <c r="Q24" s="545">
        <v>45536</v>
      </c>
      <c r="R24" s="216">
        <v>5591.5</v>
      </c>
      <c r="S24" s="475">
        <v>601.59</v>
      </c>
      <c r="T24" s="484">
        <v>127.81153320288099</v>
      </c>
      <c r="U24" s="2037">
        <f t="shared" si="11"/>
        <v>1215.4621166992797</v>
      </c>
      <c r="V24" s="2035">
        <f t="shared" si="12"/>
        <v>4862.0984667971188</v>
      </c>
      <c r="W24" s="609">
        <f t="shared" si="15"/>
        <v>3646.6363500978391</v>
      </c>
    </row>
    <row r="25" spans="1:23" x14ac:dyDescent="0.25">
      <c r="A25" s="545">
        <v>45931</v>
      </c>
      <c r="B25" s="177">
        <f t="shared" si="1"/>
        <v>6300</v>
      </c>
      <c r="C25" s="475">
        <f t="shared" si="2"/>
        <v>683.5100000000001</v>
      </c>
      <c r="D25" s="484">
        <f t="shared" si="3"/>
        <v>391.72800000000007</v>
      </c>
      <c r="E25" s="2035">
        <f t="shared" si="4"/>
        <v>5224.7619999999997</v>
      </c>
      <c r="F25" s="216">
        <v>930</v>
      </c>
      <c r="G25" s="609">
        <f t="shared" si="5"/>
        <v>4294.7619999999997</v>
      </c>
      <c r="I25" s="545">
        <f t="shared" si="6"/>
        <v>45931</v>
      </c>
      <c r="J25" s="216">
        <f t="shared" si="7"/>
        <v>6300</v>
      </c>
      <c r="K25" s="475">
        <f t="shared" si="8"/>
        <v>683.5100000000001</v>
      </c>
      <c r="L25" s="484">
        <v>217</v>
      </c>
      <c r="M25" s="2037">
        <f t="shared" si="9"/>
        <v>1079.8979999999999</v>
      </c>
      <c r="N25" s="2035">
        <f t="shared" si="10"/>
        <v>5399.49</v>
      </c>
      <c r="O25" s="609">
        <f t="shared" si="14"/>
        <v>4319.5919999999996</v>
      </c>
      <c r="Q25" s="545">
        <v>45566</v>
      </c>
      <c r="R25" s="216">
        <v>5591.5</v>
      </c>
      <c r="S25" s="475">
        <v>601.59</v>
      </c>
      <c r="T25" s="484">
        <v>127.81153320288099</v>
      </c>
      <c r="U25" s="2037">
        <f t="shared" si="11"/>
        <v>1215.4621166992797</v>
      </c>
      <c r="V25" s="2035">
        <f t="shared" si="12"/>
        <v>4862.0984667971188</v>
      </c>
      <c r="W25" s="609">
        <f t="shared" si="15"/>
        <v>3646.6363500978391</v>
      </c>
    </row>
    <row r="26" spans="1:23" x14ac:dyDescent="0.25">
      <c r="A26" s="545">
        <v>45962</v>
      </c>
      <c r="B26" s="177">
        <f t="shared" si="1"/>
        <v>6300</v>
      </c>
      <c r="C26" s="475">
        <f t="shared" si="2"/>
        <v>683.5100000000001</v>
      </c>
      <c r="D26" s="484">
        <f t="shared" si="3"/>
        <v>391.72800000000007</v>
      </c>
      <c r="E26" s="2035">
        <f t="shared" si="4"/>
        <v>5224.7619999999997</v>
      </c>
      <c r="F26" s="216">
        <v>930</v>
      </c>
      <c r="G26" s="609">
        <f t="shared" si="5"/>
        <v>4294.7619999999997</v>
      </c>
      <c r="I26" s="545">
        <f t="shared" si="6"/>
        <v>45962</v>
      </c>
      <c r="J26" s="216">
        <f t="shared" si="7"/>
        <v>6300</v>
      </c>
      <c r="K26" s="475">
        <f t="shared" si="8"/>
        <v>683.5100000000001</v>
      </c>
      <c r="L26" s="484">
        <v>217</v>
      </c>
      <c r="M26" s="2037">
        <f t="shared" si="9"/>
        <v>1079.8979999999999</v>
      </c>
      <c r="N26" s="2035">
        <f t="shared" si="10"/>
        <v>5399.49</v>
      </c>
      <c r="O26" s="609">
        <f t="shared" si="14"/>
        <v>4319.5919999999996</v>
      </c>
      <c r="Q26" s="545">
        <v>45597</v>
      </c>
      <c r="R26" s="216">
        <v>5591.5</v>
      </c>
      <c r="S26" s="475">
        <v>601.59</v>
      </c>
      <c r="T26" s="484">
        <v>127.81153320288099</v>
      </c>
      <c r="U26" s="2037">
        <f t="shared" si="11"/>
        <v>1215.4621166992797</v>
      </c>
      <c r="V26" s="2035">
        <f t="shared" si="12"/>
        <v>4862.0984667971188</v>
      </c>
      <c r="W26" s="609">
        <f t="shared" si="15"/>
        <v>3646.6363500978391</v>
      </c>
    </row>
    <row r="27" spans="1:23" x14ac:dyDescent="0.25">
      <c r="A27" s="545">
        <v>45992</v>
      </c>
      <c r="B27" s="177">
        <f t="shared" si="1"/>
        <v>6300</v>
      </c>
      <c r="C27" s="475">
        <f t="shared" si="2"/>
        <v>683.5100000000001</v>
      </c>
      <c r="D27" s="484">
        <f t="shared" si="3"/>
        <v>391.72800000000007</v>
      </c>
      <c r="E27" s="2035">
        <f>B27-C27-D27</f>
        <v>5224.7619999999997</v>
      </c>
      <c r="F27" s="216">
        <v>930</v>
      </c>
      <c r="G27" s="609">
        <f t="shared" si="5"/>
        <v>4294.7619999999997</v>
      </c>
      <c r="I27" s="545">
        <f t="shared" si="6"/>
        <v>45992</v>
      </c>
      <c r="J27" s="216">
        <f t="shared" si="7"/>
        <v>6300</v>
      </c>
      <c r="K27" s="475">
        <f t="shared" si="8"/>
        <v>683.5100000000001</v>
      </c>
      <c r="L27" s="484">
        <v>217</v>
      </c>
      <c r="M27" s="2037">
        <f t="shared" si="9"/>
        <v>1079.8979999999999</v>
      </c>
      <c r="N27" s="2035">
        <f>J27-K27-L27</f>
        <v>5399.49</v>
      </c>
      <c r="O27" s="609">
        <f t="shared" si="14"/>
        <v>4319.5919999999996</v>
      </c>
      <c r="Q27" s="545">
        <v>45627</v>
      </c>
      <c r="R27" s="216">
        <v>5591.5</v>
      </c>
      <c r="S27" s="475">
        <v>601.59</v>
      </c>
      <c r="T27" s="854">
        <v>127.81153320288099</v>
      </c>
      <c r="U27" s="2037">
        <f t="shared" si="11"/>
        <v>1215.4621166992797</v>
      </c>
      <c r="V27" s="2035">
        <f t="shared" si="12"/>
        <v>4862.0984667971188</v>
      </c>
      <c r="W27" s="609">
        <f t="shared" si="15"/>
        <v>3646.6363500978391</v>
      </c>
    </row>
    <row r="28" spans="1:23" x14ac:dyDescent="0.25">
      <c r="A28" s="2032" t="s">
        <v>5480</v>
      </c>
      <c r="B28" s="177">
        <f>B27/3</f>
        <v>2100</v>
      </c>
      <c r="C28" s="475">
        <f>C27/3</f>
        <v>227.8366666666667</v>
      </c>
      <c r="D28" s="484">
        <f>D27/3</f>
        <v>130.57600000000002</v>
      </c>
      <c r="E28" s="2035">
        <f t="shared" si="4"/>
        <v>1741.5873333333334</v>
      </c>
      <c r="F28" s="216">
        <v>0</v>
      </c>
      <c r="G28" s="609">
        <f t="shared" si="5"/>
        <v>1741.5873333333334</v>
      </c>
      <c r="I28" s="2032" t="s">
        <v>5480</v>
      </c>
      <c r="J28" s="216">
        <f>J27/3</f>
        <v>2100</v>
      </c>
      <c r="K28" s="475">
        <f>K27/3</f>
        <v>227.8366666666667</v>
      </c>
      <c r="L28" s="484">
        <f>L27/3</f>
        <v>72.333333333333329</v>
      </c>
      <c r="M28" s="2037">
        <f>M27/3</f>
        <v>359.96599999999995</v>
      </c>
      <c r="N28" s="2035">
        <f>J28-K28-L28</f>
        <v>1799.8300000000002</v>
      </c>
      <c r="O28" s="609">
        <f t="shared" si="14"/>
        <v>1439.8640000000003</v>
      </c>
      <c r="Q28" s="2032" t="s">
        <v>5480</v>
      </c>
      <c r="R28" s="216">
        <f>R27/3</f>
        <v>1863.8333333333333</v>
      </c>
      <c r="S28" s="475">
        <v>200.53</v>
      </c>
      <c r="T28" s="854">
        <f>T27/3</f>
        <v>42.603844400960334</v>
      </c>
      <c r="U28" s="2037">
        <f>U27/3</f>
        <v>405.15403889975988</v>
      </c>
      <c r="V28" s="2035">
        <f t="shared" si="12"/>
        <v>1620.699488932373</v>
      </c>
      <c r="W28" s="609">
        <f>V28-U28</f>
        <v>1215.5454500326132</v>
      </c>
    </row>
    <row r="29" spans="1:23" x14ac:dyDescent="0.25">
      <c r="A29" s="2032" t="s">
        <v>6145</v>
      </c>
      <c r="B29" s="177">
        <f t="shared" si="1"/>
        <v>6300</v>
      </c>
      <c r="C29" s="475">
        <f t="shared" si="2"/>
        <v>683.5100000000001</v>
      </c>
      <c r="D29" s="484">
        <f t="shared" si="3"/>
        <v>391.72800000000007</v>
      </c>
      <c r="E29" s="2035">
        <f t="shared" si="4"/>
        <v>5224.7619999999997</v>
      </c>
      <c r="F29" s="216">
        <v>0</v>
      </c>
      <c r="G29" s="609">
        <f t="shared" si="5"/>
        <v>5224.7619999999997</v>
      </c>
      <c r="I29" s="2032" t="s">
        <v>6145</v>
      </c>
      <c r="J29" s="216">
        <f t="shared" si="7"/>
        <v>6300</v>
      </c>
      <c r="K29" s="475">
        <f t="shared" si="8"/>
        <v>683.5100000000001</v>
      </c>
      <c r="L29" s="484">
        <v>217</v>
      </c>
      <c r="M29" s="2037">
        <f t="shared" si="9"/>
        <v>1079.8979999999999</v>
      </c>
      <c r="N29" s="2035">
        <f>J29-K29-L29</f>
        <v>5399.49</v>
      </c>
      <c r="O29" s="609">
        <f t="shared" si="14"/>
        <v>4319.5919999999996</v>
      </c>
      <c r="Q29" s="2032" t="s">
        <v>6145</v>
      </c>
      <c r="R29" s="216">
        <v>5591.5</v>
      </c>
      <c r="S29" s="475">
        <v>601.59</v>
      </c>
      <c r="T29" s="484">
        <v>127.81153320288099</v>
      </c>
      <c r="U29" s="2037">
        <f t="shared" si="11"/>
        <v>1215.4621166992797</v>
      </c>
      <c r="V29" s="2035">
        <f t="shared" si="12"/>
        <v>4862.0984667971188</v>
      </c>
      <c r="W29" s="609">
        <f t="shared" si="15"/>
        <v>3646.6363500978391</v>
      </c>
    </row>
    <row r="30" spans="1:23" s="81" customFormat="1" x14ac:dyDescent="0.25">
      <c r="B30" s="591">
        <f>SUM(B16:B29)</f>
        <v>84000</v>
      </c>
      <c r="C30" s="1852">
        <f t="shared" ref="C30:G30" si="16">SUM(C16:C29)</f>
        <v>9113.4666666666672</v>
      </c>
      <c r="D30" s="1852">
        <f t="shared" si="16"/>
        <v>5223.0400000000009</v>
      </c>
      <c r="E30" s="2036">
        <f>SUM(E16:E29)</f>
        <v>69663.493333333347</v>
      </c>
      <c r="F30" s="632">
        <f t="shared" si="16"/>
        <v>11160</v>
      </c>
      <c r="G30" s="1014">
        <f t="shared" si="16"/>
        <v>58503.493333333347</v>
      </c>
      <c r="J30" s="632">
        <f t="shared" ref="J30:O30" si="17">SUM(J16:J29)</f>
        <v>84000</v>
      </c>
      <c r="K30" s="1852">
        <f t="shared" si="17"/>
        <v>9113.4666666666672</v>
      </c>
      <c r="L30" s="1852">
        <f t="shared" si="17"/>
        <v>2893.3333333333335</v>
      </c>
      <c r="M30" s="1852">
        <f t="shared" si="17"/>
        <v>14398.639999999996</v>
      </c>
      <c r="N30" s="2036">
        <f t="shared" si="17"/>
        <v>71993.199999999983</v>
      </c>
      <c r="O30" s="1014">
        <f t="shared" si="17"/>
        <v>57594.559999999983</v>
      </c>
      <c r="R30" s="632">
        <f t="shared" ref="R30:W30" si="18">SUM(R16:R29)</f>
        <v>74553.333333333328</v>
      </c>
      <c r="S30" s="1852">
        <f t="shared" si="18"/>
        <v>8021.2000000000007</v>
      </c>
      <c r="T30" s="1852">
        <f t="shared" si="18"/>
        <v>1704.1537760384135</v>
      </c>
      <c r="U30" s="1852">
        <f t="shared" si="18"/>
        <v>16206.1615559904</v>
      </c>
      <c r="V30" s="2036">
        <f t="shared" si="18"/>
        <v>64827.979557294937</v>
      </c>
      <c r="W30" s="1014">
        <f t="shared" si="18"/>
        <v>48621.818001304535</v>
      </c>
    </row>
    <row r="32" spans="1:23" ht="18" customHeight="1" x14ac:dyDescent="0.25"/>
    <row r="33" spans="1:8" s="81" customFormat="1" x14ac:dyDescent="0.25">
      <c r="B33" s="193"/>
    </row>
    <row r="34" spans="1:8" x14ac:dyDescent="0.25">
      <c r="A34" s="79" t="s">
        <v>6159</v>
      </c>
      <c r="F34" s="79" t="s">
        <v>6160</v>
      </c>
    </row>
    <row r="35" spans="1:8" x14ac:dyDescent="0.25">
      <c r="A35" s="81" t="s">
        <v>6158</v>
      </c>
      <c r="B35" s="193" t="s">
        <v>5246</v>
      </c>
      <c r="F35" s="81" t="s">
        <v>6158</v>
      </c>
      <c r="G35" s="81" t="s">
        <v>5246</v>
      </c>
    </row>
    <row r="36" spans="1:8" x14ac:dyDescent="0.25">
      <c r="A36" s="632">
        <v>5250</v>
      </c>
      <c r="B36" s="591">
        <v>4387.63</v>
      </c>
      <c r="F36" s="632">
        <v>5591.25</v>
      </c>
      <c r="G36" s="632">
        <f>B4+B6+B7</f>
        <v>7375.2380000000003</v>
      </c>
    </row>
    <row r="37" spans="1:8" x14ac:dyDescent="0.25">
      <c r="A37" s="232">
        <f>B36</f>
        <v>4387.63</v>
      </c>
      <c r="B37" s="1137">
        <f>600/A37</f>
        <v>0.13674808495702692</v>
      </c>
      <c r="C37" s="625" t="s">
        <v>6142</v>
      </c>
      <c r="F37" s="232">
        <f>G36</f>
        <v>7375.2380000000003</v>
      </c>
      <c r="G37" s="1137">
        <f>880/F37</f>
        <v>0.11931818335896414</v>
      </c>
      <c r="H37" s="625" t="s">
        <v>6152</v>
      </c>
    </row>
    <row r="38" spans="1:8" x14ac:dyDescent="0.25">
      <c r="A38" s="232">
        <f>B38*A37</f>
        <v>658.14449999999999</v>
      </c>
      <c r="B38" s="671">
        <v>0.15</v>
      </c>
      <c r="C38" s="79" t="s">
        <v>5341</v>
      </c>
      <c r="F38" s="232">
        <f>G38*F37</f>
        <v>1106.2856999999999</v>
      </c>
      <c r="G38" s="671">
        <v>0.15</v>
      </c>
      <c r="H38" s="79" t="s">
        <v>6664</v>
      </c>
    </row>
    <row r="39" spans="1:8" x14ac:dyDescent="0.25">
      <c r="A39" s="232">
        <f>A37*B39</f>
        <v>877.52600000000007</v>
      </c>
      <c r="B39" s="671">
        <v>0.2</v>
      </c>
      <c r="C39" s="79" t="s">
        <v>5342</v>
      </c>
      <c r="D39" s="917"/>
      <c r="F39" s="232">
        <f>F37*G39</f>
        <v>1475.0476000000001</v>
      </c>
      <c r="G39" s="671">
        <v>0.2</v>
      </c>
      <c r="H39" s="79" t="s">
        <v>6143</v>
      </c>
    </row>
    <row r="40" spans="1:8" x14ac:dyDescent="0.25">
      <c r="A40" s="232">
        <f>A37*B40</f>
        <v>1096.9075</v>
      </c>
      <c r="B40" s="671">
        <v>0.25</v>
      </c>
      <c r="C40" s="79" t="s">
        <v>5343</v>
      </c>
      <c r="F40" s="232">
        <f>F37*G40</f>
        <v>1843.8095000000001</v>
      </c>
      <c r="G40" s="671">
        <v>0.25</v>
      </c>
      <c r="H40" s="79" t="s">
        <v>6663</v>
      </c>
    </row>
    <row r="41" spans="1:8" x14ac:dyDescent="0.25">
      <c r="A41" s="232">
        <f>A37*B41</f>
        <v>1316.289</v>
      </c>
      <c r="B41" s="671">
        <v>0.3</v>
      </c>
      <c r="F41" s="232">
        <f>F37*G41</f>
        <v>2212.5713999999998</v>
      </c>
      <c r="G41" s="671">
        <v>0.3</v>
      </c>
    </row>
    <row r="47" spans="1:8" x14ac:dyDescent="0.25">
      <c r="B47" s="3629" t="s">
        <v>6242</v>
      </c>
      <c r="C47" s="3629"/>
    </row>
    <row r="48" spans="1:8" s="81" customFormat="1" x14ac:dyDescent="0.25">
      <c r="B48" s="826" t="s">
        <v>4206</v>
      </c>
      <c r="C48" s="826" t="s">
        <v>2378</v>
      </c>
    </row>
    <row r="49" spans="2:3" x14ac:dyDescent="0.25">
      <c r="B49" s="2054">
        <v>44933</v>
      </c>
      <c r="C49" s="825">
        <v>300</v>
      </c>
    </row>
    <row r="50" spans="2:3" ht="15.75" customHeight="1" x14ac:dyDescent="0.25">
      <c r="B50" s="2054">
        <v>44946</v>
      </c>
      <c r="C50" s="825">
        <v>300</v>
      </c>
    </row>
    <row r="51" spans="2:3" s="81" customFormat="1" x14ac:dyDescent="0.25">
      <c r="B51" s="2054">
        <v>44963</v>
      </c>
      <c r="C51" s="825">
        <v>150</v>
      </c>
    </row>
    <row r="52" spans="2:3" x14ac:dyDescent="0.25">
      <c r="B52" s="2054">
        <v>44974</v>
      </c>
      <c r="C52" s="825">
        <v>300</v>
      </c>
    </row>
    <row r="53" spans="2:3" x14ac:dyDescent="0.25">
      <c r="B53" s="2054">
        <v>44991</v>
      </c>
      <c r="C53" s="825">
        <v>300</v>
      </c>
    </row>
    <row r="54" spans="2:3" x14ac:dyDescent="0.25">
      <c r="B54" s="2054">
        <v>45005</v>
      </c>
      <c r="C54" s="825">
        <v>300</v>
      </c>
    </row>
    <row r="55" spans="2:3" x14ac:dyDescent="0.25">
      <c r="B55" s="2054">
        <v>45022</v>
      </c>
      <c r="C55" s="825">
        <v>300</v>
      </c>
    </row>
    <row r="56" spans="2:3" x14ac:dyDescent="0.25">
      <c r="B56" s="2054">
        <v>45036</v>
      </c>
      <c r="C56" s="825">
        <v>300</v>
      </c>
    </row>
    <row r="57" spans="2:3" x14ac:dyDescent="0.25">
      <c r="B57" s="2054">
        <v>45051</v>
      </c>
      <c r="C57" s="825">
        <v>300</v>
      </c>
    </row>
    <row r="58" spans="2:3" x14ac:dyDescent="0.25">
      <c r="B58" s="2054">
        <v>45065</v>
      </c>
      <c r="C58" s="825">
        <v>300</v>
      </c>
    </row>
    <row r="59" spans="2:3" x14ac:dyDescent="0.25">
      <c r="B59" s="2054">
        <v>45083</v>
      </c>
      <c r="C59" s="825">
        <v>300</v>
      </c>
    </row>
    <row r="60" spans="2:3" x14ac:dyDescent="0.25">
      <c r="B60" s="2054">
        <v>45097</v>
      </c>
      <c r="C60" s="2055">
        <v>430</v>
      </c>
    </row>
    <row r="61" spans="2:3" x14ac:dyDescent="0.25">
      <c r="B61" s="2054">
        <v>45113</v>
      </c>
      <c r="C61" s="2055">
        <v>400</v>
      </c>
    </row>
    <row r="62" spans="2:3" x14ac:dyDescent="0.25">
      <c r="B62" s="2054">
        <v>45127</v>
      </c>
      <c r="C62" s="2055">
        <v>300</v>
      </c>
    </row>
    <row r="63" spans="2:3" x14ac:dyDescent="0.25">
      <c r="B63" s="2054">
        <v>45142</v>
      </c>
      <c r="C63" s="2055">
        <v>300</v>
      </c>
    </row>
    <row r="64" spans="2:3" x14ac:dyDescent="0.25">
      <c r="B64" s="2054">
        <v>45156</v>
      </c>
      <c r="C64" s="2055">
        <v>350</v>
      </c>
    </row>
    <row r="65" spans="2:3" x14ac:dyDescent="0.25">
      <c r="B65" s="2054">
        <v>45175</v>
      </c>
      <c r="C65" s="2055">
        <v>370</v>
      </c>
    </row>
    <row r="66" spans="2:3" s="81" customFormat="1" x14ac:dyDescent="0.25">
      <c r="B66" s="2054">
        <v>45189</v>
      </c>
      <c r="C66" s="2055">
        <v>350</v>
      </c>
    </row>
    <row r="67" spans="2:3" x14ac:dyDescent="0.25">
      <c r="B67" s="2054">
        <v>45205</v>
      </c>
      <c r="C67" s="2055">
        <v>370</v>
      </c>
    </row>
    <row r="68" spans="2:3" x14ac:dyDescent="0.25">
      <c r="B68" s="2054">
        <v>45219</v>
      </c>
      <c r="C68" s="2055">
        <v>300</v>
      </c>
    </row>
    <row r="69" spans="2:3" x14ac:dyDescent="0.25">
      <c r="B69" s="2054">
        <v>45236</v>
      </c>
      <c r="C69" s="2055">
        <v>370</v>
      </c>
    </row>
    <row r="70" spans="2:3" x14ac:dyDescent="0.25">
      <c r="B70" s="2054">
        <v>45250</v>
      </c>
      <c r="C70" s="2055">
        <v>300</v>
      </c>
    </row>
    <row r="71" spans="2:3" x14ac:dyDescent="0.25">
      <c r="B71" s="2054">
        <v>45266</v>
      </c>
      <c r="C71" s="2055">
        <v>370</v>
      </c>
    </row>
    <row r="72" spans="2:3" x14ac:dyDescent="0.25">
      <c r="B72" s="2054">
        <v>45280</v>
      </c>
      <c r="C72" s="2055">
        <v>300</v>
      </c>
    </row>
    <row r="73" spans="2:3" x14ac:dyDescent="0.25">
      <c r="B73" s="2057" t="s">
        <v>772</v>
      </c>
      <c r="C73" s="2056">
        <f>SUM(C49:C72)</f>
        <v>7660</v>
      </c>
    </row>
    <row r="74" spans="2:3" x14ac:dyDescent="0.25">
      <c r="B74" s="1985"/>
    </row>
    <row r="75" spans="2:3" x14ac:dyDescent="0.25">
      <c r="B75" s="1985"/>
      <c r="C75" s="216"/>
    </row>
    <row r="76" spans="2:3" x14ac:dyDescent="0.25">
      <c r="B76" s="1985"/>
      <c r="C76" s="216"/>
    </row>
    <row r="77" spans="2:3" x14ac:dyDescent="0.25">
      <c r="B77" s="1985"/>
      <c r="C77" s="216"/>
    </row>
    <row r="78" spans="2:3" x14ac:dyDescent="0.25">
      <c r="B78" s="1985"/>
      <c r="C78" s="216"/>
    </row>
    <row r="79" spans="2:3" x14ac:dyDescent="0.25">
      <c r="B79" s="1985"/>
      <c r="C79" s="216"/>
    </row>
    <row r="80" spans="2:3" x14ac:dyDescent="0.25">
      <c r="B80" s="1985"/>
      <c r="C80" s="216"/>
    </row>
    <row r="81" spans="2:3" x14ac:dyDescent="0.25">
      <c r="B81" s="1985"/>
      <c r="C81" s="216"/>
    </row>
    <row r="82" spans="2:3" x14ac:dyDescent="0.25">
      <c r="C82" s="216"/>
    </row>
    <row r="83" spans="2:3" x14ac:dyDescent="0.25">
      <c r="C83" s="216"/>
    </row>
    <row r="84" spans="2:3" x14ac:dyDescent="0.25">
      <c r="C84" s="216"/>
    </row>
    <row r="85" spans="2:3" x14ac:dyDescent="0.25">
      <c r="C85" s="216"/>
    </row>
    <row r="86" spans="2:3" x14ac:dyDescent="0.25">
      <c r="C86" s="216"/>
    </row>
    <row r="87" spans="2:3" x14ac:dyDescent="0.25">
      <c r="C87" s="216"/>
    </row>
    <row r="88" spans="2:3" x14ac:dyDescent="0.25">
      <c r="C88" s="216"/>
    </row>
    <row r="89" spans="2:3" x14ac:dyDescent="0.25">
      <c r="C89" s="216"/>
    </row>
    <row r="90" spans="2:3" x14ac:dyDescent="0.25">
      <c r="C90" s="216"/>
    </row>
    <row r="91" spans="2:3" x14ac:dyDescent="0.25">
      <c r="C91" s="216"/>
    </row>
  </sheetData>
  <mergeCells count="5">
    <mergeCell ref="A14:E14"/>
    <mergeCell ref="A2:C2"/>
    <mergeCell ref="B47:C47"/>
    <mergeCell ref="I14:O14"/>
    <mergeCell ref="Q14:W14"/>
  </mergeCells>
  <pageMargins left="7.874015748031496E-2" right="0.47244094488188981" top="0.15748031496062992" bottom="0.15748031496062992" header="0.15748031496062992" footer="0.11811023622047245"/>
  <pageSetup paperSize="9" scale="115" orientation="portrait" r:id="rId1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Plan94"/>
  <dimension ref="A1:R217"/>
  <sheetViews>
    <sheetView topLeftCell="A122" zoomScaleNormal="100" workbookViewId="0">
      <selection activeCell="D92" sqref="D92"/>
    </sheetView>
  </sheetViews>
  <sheetFormatPr defaultRowHeight="12.75" x14ac:dyDescent="0.2"/>
  <cols>
    <col min="1" max="1" width="13.7109375" style="24" customWidth="1"/>
    <col min="2" max="2" width="13.140625" customWidth="1"/>
    <col min="3" max="3" width="15.85546875" customWidth="1"/>
    <col min="4" max="4" width="15.42578125" customWidth="1"/>
    <col min="5" max="5" width="17.28515625" customWidth="1"/>
    <col min="6" max="6" width="14" customWidth="1"/>
    <col min="7" max="7" width="15.5703125" customWidth="1"/>
    <col min="8" max="8" width="12.85546875" customWidth="1"/>
    <col min="9" max="9" width="11.140625" customWidth="1"/>
    <col min="10" max="10" width="15.28515625" bestFit="1" customWidth="1"/>
    <col min="11" max="11" width="10.5703125" customWidth="1"/>
    <col min="12" max="12" width="21.28515625" customWidth="1"/>
    <col min="13" max="13" width="15.28515625" customWidth="1"/>
    <col min="14" max="14" width="15.140625" bestFit="1" customWidth="1"/>
    <col min="15" max="15" width="15.5703125" customWidth="1"/>
    <col min="16" max="16" width="18.42578125" customWidth="1"/>
    <col min="17" max="17" width="15.5703125" customWidth="1"/>
    <col min="18" max="18" width="14" customWidth="1"/>
  </cols>
  <sheetData>
    <row r="1" spans="1:18" ht="13.5" thickBot="1" x14ac:dyDescent="0.25">
      <c r="A1" s="3501" t="s">
        <v>5181</v>
      </c>
      <c r="B1" s="3502"/>
      <c r="C1" s="3502"/>
      <c r="D1" s="3502"/>
      <c r="E1" s="3502"/>
      <c r="F1" s="3502"/>
      <c r="G1" s="3502"/>
      <c r="H1" s="3502"/>
      <c r="I1" s="3502"/>
      <c r="J1" s="3502"/>
      <c r="K1" s="3502"/>
      <c r="L1" s="3502"/>
      <c r="M1" s="3502"/>
      <c r="N1" s="3502"/>
      <c r="O1" s="3503"/>
    </row>
    <row r="2" spans="1:18" ht="15.75" thickBot="1" x14ac:dyDescent="0.3">
      <c r="A2" s="4" t="s">
        <v>5182</v>
      </c>
      <c r="B2" s="5" t="s">
        <v>5183</v>
      </c>
      <c r="C2" s="787" t="s">
        <v>5184</v>
      </c>
      <c r="D2" s="5" t="s">
        <v>5185</v>
      </c>
      <c r="E2" s="5" t="s">
        <v>5186</v>
      </c>
      <c r="F2" s="5" t="s">
        <v>5187</v>
      </c>
      <c r="G2" s="5" t="s">
        <v>5188</v>
      </c>
      <c r="H2" s="5" t="s">
        <v>5189</v>
      </c>
      <c r="I2" s="806" t="s">
        <v>5190</v>
      </c>
      <c r="J2" s="806" t="s">
        <v>5191</v>
      </c>
      <c r="K2" s="806" t="s">
        <v>5192</v>
      </c>
      <c r="L2" s="5" t="s">
        <v>5193</v>
      </c>
      <c r="M2" s="808" t="s">
        <v>5194</v>
      </c>
      <c r="N2" s="817" t="s">
        <v>5195</v>
      </c>
      <c r="O2" s="817" t="s">
        <v>5196</v>
      </c>
    </row>
    <row r="3" spans="1:18" x14ac:dyDescent="0.2">
      <c r="A3" s="1705">
        <v>44201</v>
      </c>
      <c r="B3" s="1134">
        <v>0.41</v>
      </c>
      <c r="C3" s="1135">
        <v>10669.09</v>
      </c>
      <c r="D3" s="1135">
        <v>962.91</v>
      </c>
      <c r="E3" s="791" t="s">
        <v>5197</v>
      </c>
      <c r="F3" s="1039">
        <v>0.27889999999999998</v>
      </c>
      <c r="G3" s="788">
        <f ca="1">$Q$3-A3</f>
        <v>1849</v>
      </c>
      <c r="H3" s="792">
        <v>0.15</v>
      </c>
      <c r="I3" s="793">
        <f>SUM(L3-D3)*H3</f>
        <v>40.283339849999983</v>
      </c>
      <c r="J3" s="794">
        <v>0</v>
      </c>
      <c r="K3" s="794">
        <v>0.11</v>
      </c>
      <c r="L3" s="210">
        <f t="shared" ref="L3:L7" si="0">D3*F3+D3</f>
        <v>1231.4655989999999</v>
      </c>
      <c r="M3" s="809">
        <f>L3-I3-J3-K3</f>
        <v>1191.07225915</v>
      </c>
      <c r="N3" s="818">
        <f t="shared" ref="N3:N5" si="1">L3-D3</f>
        <v>268.55559899999992</v>
      </c>
      <c r="O3" s="818">
        <f t="shared" ref="O3" si="2">M3-D3</f>
        <v>228.16225915000007</v>
      </c>
      <c r="P3" s="1100" t="s">
        <v>5198</v>
      </c>
      <c r="Q3" s="1206">
        <f ca="1">TODAY()</f>
        <v>46050</v>
      </c>
    </row>
    <row r="4" spans="1:18" x14ac:dyDescent="0.2">
      <c r="A4" s="990">
        <v>44216</v>
      </c>
      <c r="B4" s="790">
        <v>0.1</v>
      </c>
      <c r="C4" s="3">
        <v>10711.98</v>
      </c>
      <c r="D4" s="3">
        <v>1071.19</v>
      </c>
      <c r="E4" s="791" t="s">
        <v>5199</v>
      </c>
      <c r="F4" s="1039">
        <v>0.27729999999999999</v>
      </c>
      <c r="G4" s="788">
        <f ca="1">$Q$3-A4</f>
        <v>1834</v>
      </c>
      <c r="H4" s="792">
        <v>0.15</v>
      </c>
      <c r="I4" s="793">
        <f>SUM(L4-D4)*H4</f>
        <v>44.556148050000012</v>
      </c>
      <c r="J4" s="794">
        <v>0</v>
      </c>
      <c r="K4" s="794">
        <v>0</v>
      </c>
      <c r="L4" s="210">
        <f>D4*F4+D4</f>
        <v>1368.2309870000001</v>
      </c>
      <c r="M4" s="809">
        <f>L4-I4-J4-K4</f>
        <v>1323.6748389500001</v>
      </c>
      <c r="N4" s="818">
        <f>L4-D4</f>
        <v>297.04098700000009</v>
      </c>
      <c r="O4" s="818">
        <f>M4-D4</f>
        <v>252.48483895000004</v>
      </c>
      <c r="P4" s="1100" t="s">
        <v>5200</v>
      </c>
      <c r="Q4" s="1101">
        <v>44851</v>
      </c>
    </row>
    <row r="5" spans="1:18" x14ac:dyDescent="0.2">
      <c r="A5" s="1705">
        <v>44630</v>
      </c>
      <c r="B5" s="1134">
        <v>0.18</v>
      </c>
      <c r="C5" s="1135">
        <v>11418.89</v>
      </c>
      <c r="D5" s="1135">
        <v>2055.4</v>
      </c>
      <c r="E5" s="791" t="s">
        <v>5201</v>
      </c>
      <c r="F5" s="1176">
        <v>0.19819999999999999</v>
      </c>
      <c r="G5" s="788">
        <f ca="1">$Q$3-A5</f>
        <v>1420</v>
      </c>
      <c r="H5" s="792">
        <v>0.17499999999999999</v>
      </c>
      <c r="I5" s="793">
        <f t="shared" ref="I5" si="3">SUM(L5-D5)*H5</f>
        <v>71.291548999999975</v>
      </c>
      <c r="J5" s="794">
        <v>0</v>
      </c>
      <c r="K5" s="794">
        <v>0</v>
      </c>
      <c r="L5" s="210">
        <f t="shared" si="0"/>
        <v>2462.7802799999999</v>
      </c>
      <c r="M5" s="809">
        <f>L5-I5-J5-K5</f>
        <v>2391.4887309999999</v>
      </c>
      <c r="N5" s="818">
        <f t="shared" si="1"/>
        <v>407.38027999999986</v>
      </c>
      <c r="O5" s="818">
        <f>M5-D5</f>
        <v>336.08873099999983</v>
      </c>
      <c r="P5" s="717"/>
    </row>
    <row r="6" spans="1:18" x14ac:dyDescent="0.2">
      <c r="A6" s="1706">
        <v>44844</v>
      </c>
      <c r="B6" s="810">
        <v>0.1</v>
      </c>
      <c r="C6" s="59">
        <v>12260.26</v>
      </c>
      <c r="D6" s="59">
        <v>1226.03</v>
      </c>
      <c r="E6" s="791" t="s">
        <v>5202</v>
      </c>
      <c r="F6" s="1240">
        <v>0.11600000000000001</v>
      </c>
      <c r="G6" s="811">
        <f ca="1">$Q$3-A6</f>
        <v>1206</v>
      </c>
      <c r="H6" s="1242">
        <v>0.2</v>
      </c>
      <c r="I6" s="793">
        <f>SUM(L6-D6)*H6</f>
        <v>28.443895999999995</v>
      </c>
      <c r="J6" s="794">
        <v>0</v>
      </c>
      <c r="K6" s="794">
        <v>0</v>
      </c>
      <c r="L6" s="59">
        <f t="shared" ref="L6" si="4">D6*F6+D6</f>
        <v>1368.2494799999999</v>
      </c>
      <c r="M6" s="1241">
        <f>L6-I6-J6-K6</f>
        <v>1339.805584</v>
      </c>
      <c r="N6" s="818">
        <f>L6-D6</f>
        <v>142.21947999999998</v>
      </c>
      <c r="O6" s="818">
        <f>M6-D6</f>
        <v>113.77558399999998</v>
      </c>
      <c r="P6" s="717" t="s">
        <v>5203</v>
      </c>
      <c r="Q6" s="1213">
        <v>0.13750000000000001</v>
      </c>
      <c r="R6" s="1212">
        <f>Q6/12</f>
        <v>1.1458333333333334E-2</v>
      </c>
    </row>
    <row r="7" spans="1:18" ht="13.5" thickBot="1" x14ac:dyDescent="0.25">
      <c r="A7" s="1706">
        <v>45064</v>
      </c>
      <c r="B7" s="810">
        <v>0.08</v>
      </c>
      <c r="C7" s="59">
        <v>13213.71</v>
      </c>
      <c r="D7" s="59">
        <v>1057.5899999999999</v>
      </c>
      <c r="E7" s="791" t="s">
        <v>5204</v>
      </c>
      <c r="F7" s="1240">
        <v>3.4099999999999998E-2</v>
      </c>
      <c r="G7" s="811">
        <f ca="1">$Q$3-A7</f>
        <v>986</v>
      </c>
      <c r="H7" s="1242">
        <v>0.22500000000000001</v>
      </c>
      <c r="I7" s="793">
        <f>SUM(L7-D7)*H7</f>
        <v>8.1143592749999929</v>
      </c>
      <c r="J7" s="794">
        <v>0</v>
      </c>
      <c r="K7" s="794">
        <v>0</v>
      </c>
      <c r="L7" s="59">
        <f t="shared" si="0"/>
        <v>1093.6538189999999</v>
      </c>
      <c r="M7" s="1241">
        <f>L7-I7-J7-K7</f>
        <v>1085.5394597249999</v>
      </c>
      <c r="N7" s="818">
        <f>L7-D7</f>
        <v>36.063818999999967</v>
      </c>
      <c r="O7" s="818">
        <f>M7-D7</f>
        <v>27.949459724999997</v>
      </c>
      <c r="P7" s="717" t="s">
        <v>5203</v>
      </c>
      <c r="Q7" s="1213">
        <v>0.13750000000000001</v>
      </c>
      <c r="R7" s="1212">
        <f>Q7/12</f>
        <v>1.1458333333333334E-2</v>
      </c>
    </row>
    <row r="8" spans="1:18" ht="16.5" thickBot="1" x14ac:dyDescent="0.3">
      <c r="A8" s="1707" t="s">
        <v>772</v>
      </c>
      <c r="B8" s="845">
        <f>SUM(B3:B7)</f>
        <v>0.86999999999999988</v>
      </c>
      <c r="C8" s="837"/>
      <c r="D8" s="813">
        <f>SUM(D3:D7)</f>
        <v>6373.12</v>
      </c>
      <c r="E8" s="787"/>
      <c r="F8" s="787"/>
      <c r="G8" s="787"/>
      <c r="H8" s="787"/>
      <c r="I8" s="814">
        <f t="shared" ref="I8:O8" si="5">SUM(I3:I7)</f>
        <v>192.68929217499996</v>
      </c>
      <c r="J8" s="815">
        <f t="shared" si="5"/>
        <v>0</v>
      </c>
      <c r="K8" s="815">
        <f t="shared" si="5"/>
        <v>0.11</v>
      </c>
      <c r="L8" s="813">
        <f t="shared" si="5"/>
        <v>7524.3801649999996</v>
      </c>
      <c r="M8" s="816">
        <f t="shared" si="5"/>
        <v>7331.5808728249995</v>
      </c>
      <c r="N8" s="820">
        <f t="shared" si="5"/>
        <v>1151.2601649999997</v>
      </c>
      <c r="O8" s="820">
        <f t="shared" si="5"/>
        <v>958.46087282499991</v>
      </c>
      <c r="Q8" s="51" t="s">
        <v>5205</v>
      </c>
      <c r="R8" s="51" t="s">
        <v>5206</v>
      </c>
    </row>
    <row r="9" spans="1:18" ht="15.75" x14ac:dyDescent="0.25">
      <c r="A9" s="241"/>
      <c r="B9" s="1096"/>
      <c r="C9" s="230"/>
      <c r="D9" s="1218"/>
      <c r="E9" s="32"/>
      <c r="F9" s="32"/>
      <c r="G9" s="32"/>
      <c r="H9" s="32"/>
      <c r="I9" s="619"/>
      <c r="J9" s="1097"/>
      <c r="K9" s="1097"/>
      <c r="L9" s="607"/>
      <c r="M9" s="1099"/>
      <c r="N9" s="1098"/>
      <c r="O9" s="1098"/>
    </row>
    <row r="10" spans="1:18" x14ac:dyDescent="0.2">
      <c r="D10" s="51"/>
      <c r="E10" s="1559"/>
      <c r="K10" s="231"/>
      <c r="M10" s="779"/>
      <c r="O10" s="31"/>
    </row>
    <row r="11" spans="1:18" x14ac:dyDescent="0.2">
      <c r="A11" s="3630" t="s">
        <v>5207</v>
      </c>
      <c r="B11" s="3630"/>
      <c r="D11" s="51"/>
      <c r="E11" s="1559"/>
      <c r="K11" s="32"/>
      <c r="O11" s="31"/>
    </row>
    <row r="12" spans="1:18" ht="15.75" x14ac:dyDescent="0.25">
      <c r="A12" s="915"/>
      <c r="B12" s="782"/>
      <c r="C12" s="782"/>
      <c r="D12" s="1698"/>
      <c r="E12" s="1698"/>
      <c r="F12" s="912"/>
      <c r="G12" s="912"/>
      <c r="H12" s="912"/>
      <c r="I12" s="1691"/>
      <c r="J12" s="1692"/>
      <c r="K12" s="1692"/>
      <c r="L12" s="228"/>
      <c r="M12" s="1693"/>
      <c r="N12" s="1694"/>
      <c r="O12" s="1694"/>
      <c r="P12" s="31" t="s">
        <v>5208</v>
      </c>
      <c r="Q12" s="32" t="s">
        <v>5209</v>
      </c>
      <c r="R12" s="32" t="s">
        <v>5210</v>
      </c>
    </row>
    <row r="13" spans="1:18" ht="15" customHeight="1" x14ac:dyDescent="0.25">
      <c r="A13" s="1798" t="s">
        <v>5211</v>
      </c>
      <c r="B13" s="782"/>
      <c r="C13" s="782"/>
      <c r="D13" s="1696"/>
      <c r="E13" s="911" t="s">
        <v>5212</v>
      </c>
      <c r="F13" s="228"/>
      <c r="G13" s="1696"/>
      <c r="H13" s="912"/>
      <c r="I13" s="1691"/>
      <c r="J13" s="1692"/>
      <c r="K13" s="1692"/>
      <c r="L13" s="228"/>
      <c r="M13" s="1693"/>
      <c r="N13" s="1694"/>
      <c r="O13" s="1694"/>
      <c r="P13" s="799">
        <v>1.15E-2</v>
      </c>
      <c r="Q13" s="1">
        <v>7180</v>
      </c>
      <c r="R13" s="670">
        <f>Q13*$P$13</f>
        <v>82.57</v>
      </c>
    </row>
    <row r="14" spans="1:18" ht="15.75" x14ac:dyDescent="0.25">
      <c r="A14" s="1798" t="s">
        <v>5213</v>
      </c>
      <c r="B14" s="782" t="s">
        <v>2009</v>
      </c>
      <c r="C14" s="911"/>
      <c r="D14" s="1698" t="s">
        <v>5214</v>
      </c>
      <c r="E14" s="1734">
        <v>5000</v>
      </c>
      <c r="F14" s="228"/>
      <c r="G14" s="1698"/>
      <c r="H14" s="1734"/>
      <c r="I14" s="1691"/>
      <c r="J14" s="1692"/>
      <c r="K14" s="1692"/>
      <c r="L14" s="228"/>
      <c r="M14" s="1693"/>
      <c r="N14" s="1694"/>
      <c r="O14" s="1694"/>
      <c r="P14" s="943">
        <v>44986</v>
      </c>
      <c r="Q14" s="1">
        <f>Q13+R13</f>
        <v>7262.57</v>
      </c>
      <c r="R14" s="670">
        <f>Q14*$P$13</f>
        <v>83.519554999999997</v>
      </c>
    </row>
    <row r="15" spans="1:18" ht="15.75" x14ac:dyDescent="0.25">
      <c r="A15" s="1798" t="s">
        <v>5215</v>
      </c>
      <c r="B15" s="782"/>
      <c r="C15" s="782"/>
      <c r="D15" s="1696" t="s">
        <v>5216</v>
      </c>
      <c r="E15" s="1735">
        <f>R7</f>
        <v>1.1458333333333334E-2</v>
      </c>
      <c r="F15" s="782" t="s">
        <v>5217</v>
      </c>
      <c r="G15" s="1696"/>
      <c r="H15" s="1735"/>
      <c r="I15" s="1691"/>
      <c r="J15" s="1692"/>
      <c r="K15" s="1692"/>
      <c r="L15" s="228"/>
      <c r="M15" s="1693"/>
      <c r="N15" s="1694"/>
      <c r="O15" s="1694"/>
      <c r="P15" s="943">
        <v>45017</v>
      </c>
      <c r="Q15" s="1">
        <f t="shared" ref="Q15:Q22" si="6">Q14+R14</f>
        <v>7346.0895549999996</v>
      </c>
      <c r="R15" s="670">
        <f>Q15*$P$13</f>
        <v>84.480029882499991</v>
      </c>
    </row>
    <row r="16" spans="1:18" ht="15.75" x14ac:dyDescent="0.25">
      <c r="A16" s="1798" t="s">
        <v>5218</v>
      </c>
      <c r="B16" s="782"/>
      <c r="C16" s="782"/>
      <c r="D16" s="1698" t="s">
        <v>5219</v>
      </c>
      <c r="E16" s="911">
        <v>3</v>
      </c>
      <c r="F16" s="228"/>
      <c r="G16" s="1698"/>
      <c r="I16" s="1691"/>
      <c r="J16" s="1692"/>
      <c r="K16" s="1692"/>
      <c r="L16" s="228"/>
      <c r="M16" s="1693"/>
      <c r="N16" s="1694"/>
      <c r="O16" s="1694"/>
      <c r="P16" s="943">
        <v>45047</v>
      </c>
      <c r="Q16" s="1">
        <f t="shared" si="6"/>
        <v>7430.5695848824998</v>
      </c>
      <c r="R16" s="670">
        <f t="shared" ref="R16:R22" si="7">Q16*$P$13</f>
        <v>85.45155022614874</v>
      </c>
    </row>
    <row r="17" spans="1:18" ht="15.75" x14ac:dyDescent="0.25">
      <c r="A17" s="1798" t="s">
        <v>5220</v>
      </c>
      <c r="B17" s="782"/>
      <c r="C17" s="782"/>
      <c r="D17" s="1696" t="s">
        <v>5221</v>
      </c>
      <c r="E17" s="1734">
        <f>E14*(1+E15)^E16</f>
        <v>5173.8519230595339</v>
      </c>
      <c r="F17" s="228"/>
      <c r="G17" s="1696"/>
      <c r="H17" s="1734"/>
      <c r="I17" s="1691"/>
      <c r="J17" s="1692"/>
      <c r="K17" s="1692"/>
      <c r="L17" s="228"/>
      <c r="M17" s="1693"/>
      <c r="N17" s="1694"/>
      <c r="O17" s="1694"/>
      <c r="P17" s="943">
        <v>45078</v>
      </c>
      <c r="Q17" s="1">
        <f t="shared" si="6"/>
        <v>7516.0211351086482</v>
      </c>
      <c r="R17" s="670">
        <f t="shared" si="7"/>
        <v>86.434243053749455</v>
      </c>
    </row>
    <row r="18" spans="1:18" ht="15.75" x14ac:dyDescent="0.25">
      <c r="A18" s="1798" t="s">
        <v>5222</v>
      </c>
      <c r="B18" s="782"/>
      <c r="C18" s="782"/>
      <c r="D18" s="1698"/>
      <c r="E18" s="1698"/>
      <c r="F18" s="912"/>
      <c r="G18" s="912"/>
      <c r="H18" s="912"/>
      <c r="I18" s="1691"/>
      <c r="J18" s="1692"/>
      <c r="K18" s="1692"/>
      <c r="L18" s="228"/>
      <c r="M18" s="1693"/>
      <c r="N18" s="1694"/>
      <c r="O18" s="1694"/>
      <c r="P18" s="943">
        <v>45108</v>
      </c>
      <c r="Q18" s="1">
        <f t="shared" si="6"/>
        <v>7602.4553781623972</v>
      </c>
      <c r="R18" s="670">
        <f t="shared" si="7"/>
        <v>87.42823684886757</v>
      </c>
    </row>
    <row r="19" spans="1:18" ht="15.75" x14ac:dyDescent="0.25">
      <c r="A19" s="1798"/>
      <c r="B19" s="782"/>
      <c r="C19" s="782"/>
      <c r="D19" s="1695"/>
      <c r="E19" s="1696"/>
      <c r="F19" s="912"/>
      <c r="G19" s="912"/>
      <c r="H19" s="912"/>
      <c r="I19" s="1691"/>
      <c r="J19" s="1692"/>
      <c r="K19" s="1692"/>
      <c r="L19" s="228"/>
      <c r="M19" s="1693"/>
      <c r="N19" s="1694"/>
      <c r="O19" s="1694"/>
      <c r="P19" s="943">
        <v>45139</v>
      </c>
      <c r="Q19" s="1">
        <f t="shared" si="6"/>
        <v>7689.8836150112647</v>
      </c>
      <c r="R19" s="670">
        <f t="shared" si="7"/>
        <v>88.433661572629546</v>
      </c>
    </row>
    <row r="20" spans="1:18" ht="15.75" x14ac:dyDescent="0.25">
      <c r="A20" s="915"/>
      <c r="B20" s="782"/>
      <c r="C20" s="782"/>
      <c r="D20" s="1698"/>
      <c r="E20" s="1698"/>
      <c r="F20" s="912"/>
      <c r="G20" s="912"/>
      <c r="H20" s="912"/>
      <c r="I20" s="1691"/>
      <c r="J20" s="1692"/>
      <c r="K20" s="1692"/>
      <c r="L20" s="228"/>
      <c r="M20" s="1693"/>
      <c r="N20" s="1694"/>
      <c r="O20" s="1694"/>
      <c r="P20" s="943">
        <v>45170</v>
      </c>
      <c r="Q20" s="1">
        <f t="shared" si="6"/>
        <v>7778.3172765838945</v>
      </c>
      <c r="R20" s="670">
        <f t="shared" si="7"/>
        <v>89.450648680714778</v>
      </c>
    </row>
    <row r="21" spans="1:18" ht="15.75" x14ac:dyDescent="0.25">
      <c r="A21" s="915"/>
      <c r="B21" s="782"/>
      <c r="C21" s="782"/>
      <c r="D21" s="1695"/>
      <c r="E21" s="1696"/>
      <c r="F21" s="912"/>
      <c r="G21" s="912"/>
      <c r="H21" s="912"/>
      <c r="I21" s="1691"/>
      <c r="J21" s="1692"/>
      <c r="K21" s="1692"/>
      <c r="L21" s="228"/>
      <c r="M21" s="1693"/>
      <c r="N21" s="1694"/>
      <c r="O21" s="1694"/>
      <c r="P21" s="943">
        <v>45200</v>
      </c>
      <c r="Q21" s="1">
        <f t="shared" si="6"/>
        <v>7867.7679252646094</v>
      </c>
      <c r="R21" s="670">
        <f t="shared" si="7"/>
        <v>90.47933114054301</v>
      </c>
    </row>
    <row r="22" spans="1:18" x14ac:dyDescent="0.2">
      <c r="D22" s="51"/>
      <c r="E22" s="1559"/>
      <c r="K22" s="32"/>
      <c r="O22" s="31"/>
      <c r="P22" s="943">
        <v>45231</v>
      </c>
      <c r="Q22" s="1">
        <f t="shared" si="6"/>
        <v>7958.2472564051523</v>
      </c>
      <c r="R22" s="670">
        <f t="shared" si="7"/>
        <v>91.519843448659245</v>
      </c>
    </row>
    <row r="23" spans="1:18" x14ac:dyDescent="0.2">
      <c r="K23" s="717"/>
      <c r="L23" s="943"/>
      <c r="M23" s="401"/>
      <c r="O23" s="51"/>
    </row>
    <row r="24" spans="1:18" x14ac:dyDescent="0.2">
      <c r="K24" s="717"/>
      <c r="L24" s="943"/>
      <c r="M24" s="401"/>
      <c r="O24" s="24"/>
    </row>
    <row r="25" spans="1:18" x14ac:dyDescent="0.2">
      <c r="A25"/>
      <c r="O25" s="24"/>
    </row>
    <row r="26" spans="1:18" x14ac:dyDescent="0.2">
      <c r="A26"/>
      <c r="B26" s="717" t="s">
        <v>5223</v>
      </c>
      <c r="E26" t="s">
        <v>5224</v>
      </c>
      <c r="F26" s="393" t="s">
        <v>5225</v>
      </c>
      <c r="O26" s="24"/>
    </row>
    <row r="27" spans="1:18" x14ac:dyDescent="0.2">
      <c r="A27"/>
      <c r="E27" s="717" t="s">
        <v>5226</v>
      </c>
      <c r="F27" s="1200" t="s">
        <v>5227</v>
      </c>
      <c r="G27" s="717"/>
      <c r="K27" s="717"/>
      <c r="L27" s="943"/>
      <c r="M27" s="1"/>
      <c r="O27" s="24"/>
    </row>
    <row r="28" spans="1:18" x14ac:dyDescent="0.2">
      <c r="A28"/>
      <c r="B28" s="717" t="s">
        <v>5228</v>
      </c>
      <c r="E28" s="717" t="s">
        <v>4718</v>
      </c>
      <c r="F28" s="981" t="s">
        <v>5229</v>
      </c>
      <c r="K28" s="717"/>
      <c r="L28" s="943"/>
      <c r="M28" s="1"/>
      <c r="N28" s="981"/>
      <c r="O28" s="24"/>
    </row>
    <row r="29" spans="1:18" x14ac:dyDescent="0.2">
      <c r="A29"/>
      <c r="B29" s="717" t="s">
        <v>5230</v>
      </c>
      <c r="D29" t="s">
        <v>5231</v>
      </c>
      <c r="E29" s="717" t="s">
        <v>5232</v>
      </c>
      <c r="F29" s="202"/>
      <c r="K29" s="717"/>
      <c r="L29" s="943"/>
      <c r="M29" s="1"/>
      <c r="N29" s="717"/>
      <c r="O29" s="24"/>
    </row>
    <row r="30" spans="1:18" x14ac:dyDescent="0.2">
      <c r="A30"/>
      <c r="B30" s="717" t="s">
        <v>5233</v>
      </c>
      <c r="D30" s="717" t="s">
        <v>5234</v>
      </c>
      <c r="E30" s="981">
        <v>562284</v>
      </c>
      <c r="F30" s="202"/>
      <c r="J30" s="393" t="s">
        <v>5235</v>
      </c>
    </row>
    <row r="31" spans="1:18" x14ac:dyDescent="0.2">
      <c r="A31"/>
      <c r="B31" s="717" t="s">
        <v>5236</v>
      </c>
      <c r="E31" s="717" t="s">
        <v>5237</v>
      </c>
      <c r="F31" s="981" t="s">
        <v>5238</v>
      </c>
    </row>
    <row r="32" spans="1:18" x14ac:dyDescent="0.2">
      <c r="A32"/>
      <c r="B32" s="717" t="s">
        <v>5239</v>
      </c>
      <c r="E32" s="717" t="s">
        <v>5240</v>
      </c>
      <c r="F32" s="1200" t="s">
        <v>5241</v>
      </c>
      <c r="G32" s="393" t="s">
        <v>5242</v>
      </c>
    </row>
    <row r="33" spans="1:11" x14ac:dyDescent="0.2">
      <c r="A33"/>
      <c r="E33" s="717" t="s">
        <v>5243</v>
      </c>
      <c r="F33" s="202">
        <v>55097800</v>
      </c>
      <c r="K33" s="32"/>
    </row>
    <row r="34" spans="1:11" x14ac:dyDescent="0.2">
      <c r="A34"/>
      <c r="E34" s="717"/>
      <c r="K34" s="32"/>
    </row>
    <row r="35" spans="1:11" x14ac:dyDescent="0.2">
      <c r="A35"/>
      <c r="E35" s="717"/>
      <c r="K35" s="32"/>
    </row>
    <row r="36" spans="1:11" x14ac:dyDescent="0.2">
      <c r="A36"/>
      <c r="E36" s="717"/>
      <c r="K36" s="32"/>
    </row>
    <row r="37" spans="1:11" x14ac:dyDescent="0.2">
      <c r="A37"/>
      <c r="E37" s="717"/>
      <c r="K37" s="32"/>
    </row>
    <row r="38" spans="1:11" x14ac:dyDescent="0.2">
      <c r="A38"/>
      <c r="E38" s="717"/>
      <c r="K38" s="32"/>
    </row>
    <row r="39" spans="1:11" x14ac:dyDescent="0.2">
      <c r="A39"/>
      <c r="E39" s="717"/>
      <c r="K39" s="32"/>
    </row>
    <row r="40" spans="1:11" x14ac:dyDescent="0.2">
      <c r="A40"/>
      <c r="E40" s="717"/>
      <c r="K40" s="32"/>
    </row>
    <row r="41" spans="1:11" x14ac:dyDescent="0.2">
      <c r="A41"/>
      <c r="E41" s="717"/>
      <c r="K41" s="32"/>
    </row>
    <row r="42" spans="1:11" x14ac:dyDescent="0.2">
      <c r="A42"/>
      <c r="E42" s="717"/>
      <c r="K42" s="32"/>
    </row>
    <row r="43" spans="1:11" x14ac:dyDescent="0.2">
      <c r="A43"/>
      <c r="E43" s="717"/>
      <c r="K43" s="32"/>
    </row>
    <row r="44" spans="1:11" x14ac:dyDescent="0.2">
      <c r="A44"/>
      <c r="E44" s="717"/>
      <c r="K44" s="32"/>
    </row>
    <row r="45" spans="1:11" x14ac:dyDescent="0.2">
      <c r="A45"/>
      <c r="E45" s="717"/>
      <c r="K45" s="32"/>
    </row>
    <row r="46" spans="1:11" x14ac:dyDescent="0.2">
      <c r="A46"/>
      <c r="E46" s="717"/>
      <c r="K46" s="32"/>
    </row>
    <row r="47" spans="1:11" x14ac:dyDescent="0.2">
      <c r="A47"/>
      <c r="E47" s="717"/>
      <c r="K47" s="32"/>
    </row>
    <row r="48" spans="1:11" x14ac:dyDescent="0.2">
      <c r="A48"/>
      <c r="E48" s="717"/>
      <c r="K48" s="32"/>
    </row>
    <row r="49" spans="1:11" x14ac:dyDescent="0.2">
      <c r="A49"/>
      <c r="E49" s="717"/>
      <c r="K49" s="32"/>
    </row>
    <row r="50" spans="1:11" x14ac:dyDescent="0.2">
      <c r="A50"/>
      <c r="E50" s="717"/>
      <c r="K50" s="32"/>
    </row>
    <row r="51" spans="1:11" x14ac:dyDescent="0.2">
      <c r="A51"/>
      <c r="E51" s="717"/>
      <c r="K51" s="32"/>
    </row>
    <row r="52" spans="1:11" x14ac:dyDescent="0.2">
      <c r="A52"/>
      <c r="E52" s="717"/>
      <c r="K52" s="32"/>
    </row>
    <row r="53" spans="1:11" x14ac:dyDescent="0.2">
      <c r="A53"/>
      <c r="E53" s="717"/>
      <c r="K53" s="32"/>
    </row>
    <row r="54" spans="1:11" x14ac:dyDescent="0.2">
      <c r="A54"/>
      <c r="E54" s="717"/>
      <c r="K54" s="32"/>
    </row>
    <row r="55" spans="1:11" x14ac:dyDescent="0.2">
      <c r="A55"/>
      <c r="E55" s="717"/>
      <c r="K55" s="32"/>
    </row>
    <row r="56" spans="1:11" x14ac:dyDescent="0.2">
      <c r="A56"/>
      <c r="E56" s="717"/>
      <c r="K56" s="32"/>
    </row>
    <row r="57" spans="1:11" x14ac:dyDescent="0.2">
      <c r="A57"/>
      <c r="E57" s="717"/>
      <c r="K57" s="32"/>
    </row>
    <row r="58" spans="1:11" x14ac:dyDescent="0.2">
      <c r="A58"/>
      <c r="E58" s="717"/>
      <c r="K58" s="32"/>
    </row>
    <row r="59" spans="1:11" x14ac:dyDescent="0.2">
      <c r="A59"/>
      <c r="E59" s="717"/>
      <c r="K59" s="32"/>
    </row>
    <row r="60" spans="1:11" x14ac:dyDescent="0.2">
      <c r="A60"/>
      <c r="E60" s="717"/>
      <c r="K60" s="32"/>
    </row>
    <row r="61" spans="1:11" x14ac:dyDescent="0.2">
      <c r="A61"/>
      <c r="E61" s="717"/>
      <c r="K61" s="32"/>
    </row>
    <row r="62" spans="1:11" x14ac:dyDescent="0.2">
      <c r="A62"/>
      <c r="E62" s="717"/>
      <c r="K62" s="32"/>
    </row>
    <row r="63" spans="1:11" x14ac:dyDescent="0.2">
      <c r="A63"/>
      <c r="E63" s="717"/>
      <c r="K63" s="32"/>
    </row>
    <row r="64" spans="1:11" x14ac:dyDescent="0.2">
      <c r="A64"/>
      <c r="E64" s="717"/>
      <c r="K64" s="32"/>
    </row>
    <row r="65" spans="1:13" x14ac:dyDescent="0.2">
      <c r="A65"/>
      <c r="E65" s="717"/>
      <c r="K65" s="32"/>
    </row>
    <row r="66" spans="1:13" x14ac:dyDescent="0.2">
      <c r="A66"/>
      <c r="E66" s="717"/>
      <c r="K66" s="32"/>
    </row>
    <row r="67" spans="1:13" x14ac:dyDescent="0.2">
      <c r="A67"/>
      <c r="E67" s="717"/>
      <c r="K67" s="32"/>
    </row>
    <row r="68" spans="1:13" x14ac:dyDescent="0.2">
      <c r="A68"/>
      <c r="E68" s="717"/>
      <c r="K68" s="32"/>
    </row>
    <row r="69" spans="1:13" x14ac:dyDescent="0.2">
      <c r="A69"/>
      <c r="E69" s="717"/>
      <c r="K69" s="32"/>
    </row>
    <row r="70" spans="1:13" x14ac:dyDescent="0.2">
      <c r="A70"/>
      <c r="E70" s="717"/>
      <c r="K70" s="32"/>
    </row>
    <row r="71" spans="1:13" x14ac:dyDescent="0.2">
      <c r="A71"/>
      <c r="E71" s="717"/>
      <c r="K71" s="32"/>
    </row>
    <row r="72" spans="1:13" x14ac:dyDescent="0.2">
      <c r="A72"/>
      <c r="E72" s="717"/>
      <c r="K72" s="32"/>
    </row>
    <row r="73" spans="1:13" x14ac:dyDescent="0.2">
      <c r="A73"/>
      <c r="E73" s="717"/>
      <c r="K73" s="32"/>
    </row>
    <row r="74" spans="1:13" x14ac:dyDescent="0.2">
      <c r="A74"/>
      <c r="E74" s="717"/>
      <c r="K74" s="32"/>
    </row>
    <row r="75" spans="1:13" x14ac:dyDescent="0.2">
      <c r="A75"/>
      <c r="E75" s="717"/>
      <c r="K75" s="32"/>
    </row>
    <row r="76" spans="1:13" x14ac:dyDescent="0.2">
      <c r="A76"/>
      <c r="E76" s="717"/>
      <c r="K76" s="32"/>
    </row>
    <row r="77" spans="1:13" x14ac:dyDescent="0.2">
      <c r="E77" s="717"/>
      <c r="K77" s="32"/>
    </row>
    <row r="78" spans="1:13" x14ac:dyDescent="0.2">
      <c r="K78" s="717"/>
      <c r="L78" s="1106"/>
      <c r="M78" s="1"/>
    </row>
    <row r="79" spans="1:13" x14ac:dyDescent="0.2">
      <c r="K79" s="717"/>
      <c r="L79" s="1106"/>
      <c r="M79" s="1"/>
    </row>
    <row r="80" spans="1:13" x14ac:dyDescent="0.2">
      <c r="K80" s="717"/>
      <c r="L80" s="1106"/>
      <c r="M80" s="1"/>
    </row>
    <row r="81" spans="1:16" ht="13.5" thickBot="1" x14ac:dyDescent="0.25">
      <c r="D81" s="32" t="s">
        <v>5244</v>
      </c>
    </row>
    <row r="82" spans="1:16" ht="15.75" thickBot="1" x14ac:dyDescent="0.3">
      <c r="A82" s="4" t="s">
        <v>5182</v>
      </c>
      <c r="B82" s="5" t="s">
        <v>5183</v>
      </c>
      <c r="C82" s="787" t="s">
        <v>5184</v>
      </c>
      <c r="D82" s="5" t="s">
        <v>5185</v>
      </c>
      <c r="E82" s="5" t="s">
        <v>5186</v>
      </c>
      <c r="F82" s="5" t="s">
        <v>5187</v>
      </c>
      <c r="G82" s="5" t="s">
        <v>5188</v>
      </c>
      <c r="H82" s="5" t="s">
        <v>5189</v>
      </c>
      <c r="I82" s="806" t="s">
        <v>5190</v>
      </c>
      <c r="J82" s="806" t="s">
        <v>5191</v>
      </c>
      <c r="K82" s="5" t="s">
        <v>5245</v>
      </c>
      <c r="L82" s="5" t="s">
        <v>5193</v>
      </c>
      <c r="M82" s="901" t="s">
        <v>5246</v>
      </c>
      <c r="N82" s="817" t="s">
        <v>5195</v>
      </c>
      <c r="O82" s="817" t="s">
        <v>5196</v>
      </c>
    </row>
    <row r="83" spans="1:16" x14ac:dyDescent="0.2">
      <c r="A83" s="1708">
        <v>42941</v>
      </c>
      <c r="B83" s="789">
        <v>0.05</v>
      </c>
      <c r="C83" s="210">
        <v>8977.39</v>
      </c>
      <c r="D83" s="210">
        <v>448.86</v>
      </c>
      <c r="E83" s="791" t="s">
        <v>5247</v>
      </c>
      <c r="F83" s="792">
        <v>0.1076</v>
      </c>
      <c r="G83" s="788">
        <f>B94-A83</f>
        <v>-42941</v>
      </c>
      <c r="H83" s="792">
        <v>0.17499999999999999</v>
      </c>
      <c r="I83" s="793">
        <f>SUM(L83-D83)*H83</f>
        <v>8.4520337999999953</v>
      </c>
      <c r="J83" s="794">
        <v>0</v>
      </c>
      <c r="K83" s="794">
        <v>0.15</v>
      </c>
      <c r="L83" s="210">
        <f t="shared" ref="L83:L90" si="8">D83*F83+D83</f>
        <v>497.15733599999999</v>
      </c>
      <c r="M83" s="902">
        <f t="shared" ref="M83:M89" si="9">L83-I83-J83-K83</f>
        <v>488.55530220000003</v>
      </c>
      <c r="N83" s="818">
        <f>L83-D83</f>
        <v>48.297335999999973</v>
      </c>
      <c r="O83" s="818">
        <f t="shared" ref="O83:O86" si="10">M83-D83</f>
        <v>39.695302200000015</v>
      </c>
      <c r="P83" s="717"/>
    </row>
    <row r="84" spans="1:16" x14ac:dyDescent="0.2">
      <c r="A84" s="990">
        <v>42951</v>
      </c>
      <c r="B84" s="790">
        <v>0.06</v>
      </c>
      <c r="C84" s="3">
        <v>9002.73</v>
      </c>
      <c r="D84" s="3">
        <v>540.16</v>
      </c>
      <c r="E84" s="782" t="s">
        <v>5247</v>
      </c>
      <c r="F84" s="781">
        <v>0.1045</v>
      </c>
      <c r="G84" s="788">
        <f>B94-A84</f>
        <v>-42951</v>
      </c>
      <c r="H84" s="792">
        <v>0.17499999999999999</v>
      </c>
      <c r="I84" s="793">
        <f t="shared" ref="I84:I90" si="11">SUM(L84-D84)*H84</f>
        <v>9.8781760000000034</v>
      </c>
      <c r="J84" s="794">
        <v>0</v>
      </c>
      <c r="K84" s="794">
        <v>0.18</v>
      </c>
      <c r="L84" s="210">
        <f t="shared" si="8"/>
        <v>596.60672</v>
      </c>
      <c r="M84" s="902">
        <f t="shared" si="9"/>
        <v>586.54854399999999</v>
      </c>
      <c r="N84" s="818">
        <f t="shared" ref="N84:N90" si="12">L84-D84</f>
        <v>56.446720000000028</v>
      </c>
      <c r="O84" s="818">
        <f t="shared" si="10"/>
        <v>46.388544000000024</v>
      </c>
      <c r="P84" s="717"/>
    </row>
    <row r="85" spans="1:16" x14ac:dyDescent="0.2">
      <c r="A85" s="990">
        <v>42965</v>
      </c>
      <c r="B85" s="790">
        <v>0.1</v>
      </c>
      <c r="C85" s="3">
        <v>9034.1</v>
      </c>
      <c r="D85" s="3">
        <v>903.41</v>
      </c>
      <c r="E85" s="782" t="s">
        <v>5247</v>
      </c>
      <c r="F85" s="781">
        <v>0.1007</v>
      </c>
      <c r="G85" s="788">
        <f>B94-A85</f>
        <v>-42965</v>
      </c>
      <c r="H85" s="792">
        <v>0.17499999999999999</v>
      </c>
      <c r="I85" s="793">
        <f t="shared" si="11"/>
        <v>15.920342724999999</v>
      </c>
      <c r="J85" s="794">
        <v>0</v>
      </c>
      <c r="K85" s="794">
        <v>0.31</v>
      </c>
      <c r="L85" s="210">
        <f t="shared" si="8"/>
        <v>994.38338699999997</v>
      </c>
      <c r="M85" s="902">
        <f t="shared" si="9"/>
        <v>978.15304427500007</v>
      </c>
      <c r="N85" s="818">
        <f t="shared" si="12"/>
        <v>90.973387000000002</v>
      </c>
      <c r="O85" s="818">
        <f t="shared" si="10"/>
        <v>74.743044275000102</v>
      </c>
      <c r="P85" s="717"/>
    </row>
    <row r="86" spans="1:16" x14ac:dyDescent="0.2">
      <c r="A86" s="990">
        <v>42982</v>
      </c>
      <c r="B86" s="790">
        <v>0.12</v>
      </c>
      <c r="C86" s="3">
        <v>9068.73</v>
      </c>
      <c r="D86" s="3">
        <v>1088.24</v>
      </c>
      <c r="E86" s="782" t="s">
        <v>5247</v>
      </c>
      <c r="F86" s="781">
        <v>9.6500000000000002E-2</v>
      </c>
      <c r="G86" s="788">
        <f>B94-A86</f>
        <v>-42982</v>
      </c>
      <c r="H86" s="792">
        <v>0.17499999999999999</v>
      </c>
      <c r="I86" s="793">
        <f t="shared" si="11"/>
        <v>18.377652999999984</v>
      </c>
      <c r="J86" s="794">
        <v>0</v>
      </c>
      <c r="K86" s="794">
        <v>0.37</v>
      </c>
      <c r="L86" s="210">
        <f t="shared" si="8"/>
        <v>1193.2551599999999</v>
      </c>
      <c r="M86" s="902">
        <f t="shared" si="9"/>
        <v>1174.507507</v>
      </c>
      <c r="N86" s="818">
        <f t="shared" si="12"/>
        <v>105.01515999999992</v>
      </c>
      <c r="O86" s="818">
        <f t="shared" si="10"/>
        <v>86.267507000000023</v>
      </c>
      <c r="P86" s="717"/>
    </row>
    <row r="87" spans="1:16" x14ac:dyDescent="0.2">
      <c r="A87" s="990">
        <v>42999</v>
      </c>
      <c r="B87" s="790">
        <v>0.06</v>
      </c>
      <c r="C87" s="3">
        <v>9103.34</v>
      </c>
      <c r="D87" s="3">
        <v>546.20000000000005</v>
      </c>
      <c r="E87" s="782" t="s">
        <v>5247</v>
      </c>
      <c r="F87" s="805">
        <v>9.2299999999999993E-2</v>
      </c>
      <c r="G87" s="788">
        <f>B94-A87</f>
        <v>-42999</v>
      </c>
      <c r="H87" s="792">
        <v>0.17499999999999999</v>
      </c>
      <c r="I87" s="793">
        <f t="shared" si="11"/>
        <v>8.8224955000000023</v>
      </c>
      <c r="J87" s="794">
        <v>0</v>
      </c>
      <c r="K87" s="794">
        <v>0.18</v>
      </c>
      <c r="L87" s="210">
        <f t="shared" si="8"/>
        <v>596.61426000000006</v>
      </c>
      <c r="M87" s="902">
        <f t="shared" si="9"/>
        <v>587.61176450000005</v>
      </c>
      <c r="N87" s="818">
        <f t="shared" si="12"/>
        <v>50.414260000000013</v>
      </c>
      <c r="O87" s="818">
        <f>M87-D87</f>
        <v>41.411764500000004</v>
      </c>
      <c r="P87" s="717"/>
    </row>
    <row r="88" spans="1:16" x14ac:dyDescent="0.2">
      <c r="A88" s="990">
        <v>43028</v>
      </c>
      <c r="B88" s="790">
        <v>0.05</v>
      </c>
      <c r="C88" s="3">
        <v>9165.08</v>
      </c>
      <c r="D88" s="3">
        <v>458.25</v>
      </c>
      <c r="E88" s="782" t="s">
        <v>5248</v>
      </c>
      <c r="F88" s="781">
        <v>8.4900000000000003E-2</v>
      </c>
      <c r="G88" s="788">
        <f>B94-A88</f>
        <v>-43028</v>
      </c>
      <c r="H88" s="792">
        <v>0.17499999999999999</v>
      </c>
      <c r="I88" s="793">
        <f t="shared" si="11"/>
        <v>6.8084493749999959</v>
      </c>
      <c r="J88" s="794">
        <v>0</v>
      </c>
      <c r="K88" s="794">
        <v>0.15</v>
      </c>
      <c r="L88" s="210">
        <f t="shared" si="8"/>
        <v>497.15542499999998</v>
      </c>
      <c r="M88" s="902">
        <f t="shared" si="9"/>
        <v>490.19697562499999</v>
      </c>
      <c r="N88" s="818">
        <f t="shared" si="12"/>
        <v>38.90542499999998</v>
      </c>
      <c r="O88" s="818">
        <f t="shared" ref="O88:O89" si="13">M88-D88</f>
        <v>31.946975624999993</v>
      </c>
      <c r="P88" s="717"/>
    </row>
    <row r="89" spans="1:16" x14ac:dyDescent="0.2">
      <c r="A89" s="990">
        <v>43070</v>
      </c>
      <c r="B89" s="790">
        <v>0.15</v>
      </c>
      <c r="C89" s="3">
        <v>9238.7999999999993</v>
      </c>
      <c r="D89" s="3">
        <v>1385.82</v>
      </c>
      <c r="E89" s="782" t="s">
        <v>5248</v>
      </c>
      <c r="F89" s="781">
        <v>7.6300000000000007E-2</v>
      </c>
      <c r="G89" s="788">
        <f>B94-A89</f>
        <v>-43070</v>
      </c>
      <c r="H89" s="792">
        <v>0.17499999999999999</v>
      </c>
      <c r="I89" s="793">
        <f t="shared" si="11"/>
        <v>18.50416155000002</v>
      </c>
      <c r="J89" s="794">
        <v>0</v>
      </c>
      <c r="K89" s="794">
        <v>0.46</v>
      </c>
      <c r="L89" s="210">
        <f t="shared" si="8"/>
        <v>1491.5580660000001</v>
      </c>
      <c r="M89" s="902">
        <f t="shared" si="9"/>
        <v>1472.5939044500001</v>
      </c>
      <c r="N89" s="818">
        <f t="shared" si="12"/>
        <v>105.73806600000012</v>
      </c>
      <c r="O89" s="818">
        <f t="shared" si="13"/>
        <v>86.773904450000146</v>
      </c>
      <c r="P89" s="717"/>
    </row>
    <row r="90" spans="1:16" x14ac:dyDescent="0.2">
      <c r="A90" s="990">
        <v>43096</v>
      </c>
      <c r="B90" s="790">
        <v>0.32</v>
      </c>
      <c r="C90" s="3">
        <v>9281.0300000000007</v>
      </c>
      <c r="D90" s="3">
        <v>2877.11</v>
      </c>
      <c r="E90" s="782" t="s">
        <v>5248</v>
      </c>
      <c r="F90" s="781">
        <v>7.1400000000000005E-2</v>
      </c>
      <c r="G90" s="788">
        <f>B94-A90</f>
        <v>-43096</v>
      </c>
      <c r="H90" s="792">
        <v>0.17499999999999999</v>
      </c>
      <c r="I90" s="793">
        <f t="shared" si="11"/>
        <v>35.949489450000016</v>
      </c>
      <c r="J90" s="794">
        <v>0</v>
      </c>
      <c r="K90" s="794">
        <v>0.99</v>
      </c>
      <c r="L90" s="210">
        <f t="shared" si="8"/>
        <v>3082.5356540000002</v>
      </c>
      <c r="M90" s="902">
        <f>L90-I90-J90-K90</f>
        <v>3045.5961645500006</v>
      </c>
      <c r="N90" s="818">
        <f t="shared" si="12"/>
        <v>205.42565400000012</v>
      </c>
      <c r="O90" s="818">
        <f>M90-D90</f>
        <v>168.48616455000047</v>
      </c>
      <c r="P90" s="717"/>
    </row>
    <row r="91" spans="1:16" ht="13.5" thickBot="1" x14ac:dyDescent="0.25">
      <c r="A91" s="1706"/>
      <c r="B91" s="810"/>
      <c r="C91" s="59"/>
      <c r="D91" s="229"/>
      <c r="E91" s="229"/>
      <c r="F91" s="229"/>
      <c r="G91" s="811"/>
      <c r="H91" s="229"/>
      <c r="I91" s="812"/>
      <c r="J91" s="812"/>
      <c r="K91" s="812"/>
      <c r="L91" s="229"/>
      <c r="M91" s="903"/>
      <c r="N91" s="819"/>
      <c r="O91" s="819"/>
    </row>
    <row r="92" spans="1:16" ht="16.5" thickBot="1" x14ac:dyDescent="0.3">
      <c r="A92" s="1707" t="s">
        <v>772</v>
      </c>
      <c r="B92" s="845">
        <f>SUM(B83:B91)</f>
        <v>0.90999999999999992</v>
      </c>
      <c r="C92" s="837"/>
      <c r="D92" s="813">
        <f>SUM(D83:D91)</f>
        <v>8248.0499999999993</v>
      </c>
      <c r="E92" s="787"/>
      <c r="F92" s="787"/>
      <c r="G92" s="787"/>
      <c r="H92" s="787"/>
      <c r="I92" s="814">
        <f t="shared" ref="I92:O92" si="14">SUM(I83:I91)</f>
        <v>122.71280140000002</v>
      </c>
      <c r="J92" s="815">
        <f t="shared" si="14"/>
        <v>0</v>
      </c>
      <c r="K92" s="815">
        <f t="shared" si="14"/>
        <v>2.7899999999999996</v>
      </c>
      <c r="L92" s="813">
        <f t="shared" si="14"/>
        <v>8949.2660079999987</v>
      </c>
      <c r="M92" s="904">
        <f>SUM(M83:M91)</f>
        <v>8823.7632066000006</v>
      </c>
      <c r="N92" s="820">
        <f t="shared" si="14"/>
        <v>701.2160080000001</v>
      </c>
      <c r="O92" s="820">
        <f t="shared" si="14"/>
        <v>575.71320660000083</v>
      </c>
    </row>
    <row r="93" spans="1:16" x14ac:dyDescent="0.2">
      <c r="M93" s="905" t="s">
        <v>5249</v>
      </c>
      <c r="N93" s="905"/>
      <c r="O93" s="905"/>
      <c r="P93" s="905"/>
    </row>
    <row r="94" spans="1:16" x14ac:dyDescent="0.2">
      <c r="B94" s="786"/>
    </row>
    <row r="96" spans="1:16" ht="13.5" thickBot="1" x14ac:dyDescent="0.25"/>
    <row r="97" spans="1:16" ht="15.75" thickBot="1" x14ac:dyDescent="0.3">
      <c r="A97" s="4" t="s">
        <v>5182</v>
      </c>
      <c r="B97" s="5" t="s">
        <v>5183</v>
      </c>
      <c r="C97" s="787" t="s">
        <v>5184</v>
      </c>
      <c r="D97" s="5" t="s">
        <v>5185</v>
      </c>
      <c r="E97" s="5" t="s">
        <v>5186</v>
      </c>
      <c r="F97" s="5" t="s">
        <v>5187</v>
      </c>
      <c r="G97" s="5" t="s">
        <v>5188</v>
      </c>
      <c r="H97" s="5" t="s">
        <v>5189</v>
      </c>
      <c r="I97" s="806" t="s">
        <v>5190</v>
      </c>
      <c r="J97" s="806" t="s">
        <v>5191</v>
      </c>
      <c r="K97" s="806" t="s">
        <v>5245</v>
      </c>
      <c r="L97" s="5" t="s">
        <v>5193</v>
      </c>
      <c r="M97" s="901" t="s">
        <v>5246</v>
      </c>
      <c r="N97" s="817" t="s">
        <v>5195</v>
      </c>
      <c r="O97" s="817" t="s">
        <v>5196</v>
      </c>
    </row>
    <row r="98" spans="1:16" x14ac:dyDescent="0.2">
      <c r="A98" s="1705">
        <v>44201</v>
      </c>
      <c r="B98" s="1134">
        <v>0.41</v>
      </c>
      <c r="C98" s="1135">
        <v>10669.09</v>
      </c>
      <c r="D98" s="1135">
        <v>1137</v>
      </c>
      <c r="E98" s="791" t="s">
        <v>5197</v>
      </c>
      <c r="F98" s="781">
        <v>6.3600000000000004E-2</v>
      </c>
      <c r="G98" s="788">
        <f ca="1">$Q$3-A98</f>
        <v>1849</v>
      </c>
      <c r="H98" s="792">
        <v>0.17499999999999999</v>
      </c>
      <c r="I98" s="793">
        <f>SUM(L98-D98)*H98</f>
        <v>0</v>
      </c>
      <c r="J98" s="794">
        <v>0</v>
      </c>
      <c r="K98" s="794">
        <v>0.39</v>
      </c>
      <c r="L98" s="1136">
        <f>D98</f>
        <v>1137</v>
      </c>
      <c r="M98" s="902">
        <f t="shared" ref="M98" si="15">L98-I98-J98-K98</f>
        <v>1136.6099999999999</v>
      </c>
      <c r="N98" s="818">
        <f t="shared" ref="N98" si="16">L98-D98</f>
        <v>0</v>
      </c>
      <c r="O98" s="818">
        <f t="shared" ref="O98" si="17">M98-D98</f>
        <v>-0.39000000000010004</v>
      </c>
      <c r="P98" s="717"/>
    </row>
    <row r="99" spans="1:16" x14ac:dyDescent="0.2">
      <c r="A99" s="1708">
        <v>43840</v>
      </c>
      <c r="B99" s="789">
        <v>0.4</v>
      </c>
      <c r="C99" s="210">
        <v>10473.719999999999</v>
      </c>
      <c r="D99" s="210">
        <v>4189.4799999999996</v>
      </c>
      <c r="E99" s="791" t="s">
        <v>5250</v>
      </c>
      <c r="F99" s="792">
        <v>8.6499999999999994E-2</v>
      </c>
      <c r="G99" s="788">
        <f ca="1">$Q$3-A99</f>
        <v>2210</v>
      </c>
      <c r="H99" s="792">
        <v>0.15</v>
      </c>
      <c r="I99" s="793">
        <f>SUM(L99-D99)*H99</f>
        <v>54.35850299999997</v>
      </c>
      <c r="J99" s="794">
        <v>0</v>
      </c>
      <c r="K99" s="794">
        <v>7.24</v>
      </c>
      <c r="L99" s="1136">
        <f>D99*F99+D99</f>
        <v>4551.8700199999994</v>
      </c>
      <c r="M99" s="902">
        <f>L99-I99-J99-K99</f>
        <v>4490.2715169999992</v>
      </c>
      <c r="N99" s="818">
        <f>L99-D99</f>
        <v>362.39001999999982</v>
      </c>
      <c r="O99" s="818">
        <f>M99-D99</f>
        <v>300.79151699999966</v>
      </c>
      <c r="P99" s="717"/>
    </row>
    <row r="100" spans="1:16" x14ac:dyDescent="0.2">
      <c r="A100" s="990">
        <v>44092</v>
      </c>
      <c r="B100" s="790">
        <v>0.13</v>
      </c>
      <c r="C100" s="3">
        <v>10664.63</v>
      </c>
      <c r="D100" s="3">
        <v>1386.4</v>
      </c>
      <c r="E100" s="791" t="s">
        <v>5251</v>
      </c>
      <c r="F100" s="781">
        <v>6.7000000000000004E-2</v>
      </c>
      <c r="G100" s="788">
        <f ca="1">$Q$3-A100</f>
        <v>1958</v>
      </c>
      <c r="H100" s="792">
        <v>0.17499999999999999</v>
      </c>
      <c r="I100" s="793">
        <f>SUM(L100-D100)*H100</f>
        <v>16.255539999999989</v>
      </c>
      <c r="J100" s="794">
        <v>0</v>
      </c>
      <c r="K100" s="794">
        <v>0.35</v>
      </c>
      <c r="L100" s="1136">
        <f>D100*F100+D100</f>
        <v>1479.2888</v>
      </c>
      <c r="M100" s="902">
        <f>L100-I100-J100-K100</f>
        <v>1462.6832600000002</v>
      </c>
      <c r="N100" s="818">
        <f>L100-D100</f>
        <v>92.888799999999947</v>
      </c>
      <c r="O100" s="818">
        <f>M100-D100</f>
        <v>76.283260000000155</v>
      </c>
      <c r="P100" s="717"/>
    </row>
    <row r="101" spans="1:16" x14ac:dyDescent="0.2">
      <c r="A101" s="990">
        <v>44482</v>
      </c>
      <c r="B101" s="790">
        <v>0.1</v>
      </c>
      <c r="C101" s="3">
        <v>11012.43</v>
      </c>
      <c r="D101" s="3">
        <v>1101.24</v>
      </c>
      <c r="E101" s="791" t="s">
        <v>5199</v>
      </c>
      <c r="F101" s="781">
        <v>3.4200000000000001E-2</v>
      </c>
      <c r="G101" s="788">
        <f ca="1">$Q$3-A101</f>
        <v>1568</v>
      </c>
      <c r="H101" s="792">
        <v>0.22500000000000001</v>
      </c>
      <c r="I101" s="793">
        <f>SUM(L101-D101)*H101</f>
        <v>8.4740417999999806</v>
      </c>
      <c r="J101" s="794">
        <v>0</v>
      </c>
      <c r="K101" s="794">
        <v>0</v>
      </c>
      <c r="L101" s="1136">
        <f>D101*F101+D101</f>
        <v>1138.9024079999999</v>
      </c>
      <c r="M101" s="902">
        <f>L101-I101-J101-K101</f>
        <v>1130.4283662</v>
      </c>
      <c r="N101" s="818">
        <f>L101-D101</f>
        <v>37.662407999999914</v>
      </c>
      <c r="O101" s="818">
        <f t="shared" ref="O101" si="18">M101-D101</f>
        <v>29.188366200000019</v>
      </c>
      <c r="P101" s="717"/>
    </row>
    <row r="102" spans="1:16" x14ac:dyDescent="0.2">
      <c r="A102" s="990">
        <v>44572</v>
      </c>
      <c r="B102" s="790">
        <v>0.37</v>
      </c>
      <c r="C102" s="3">
        <v>11233.16</v>
      </c>
      <c r="D102" s="3">
        <v>4156.26</v>
      </c>
      <c r="E102" s="782" t="s">
        <v>5252</v>
      </c>
      <c r="F102" s="781">
        <v>1.3899999999999999E-2</v>
      </c>
      <c r="G102" s="788">
        <f ca="1">$Q$3-A102</f>
        <v>1478</v>
      </c>
      <c r="H102" s="792">
        <v>0.22500000000000001</v>
      </c>
      <c r="I102" s="793">
        <v>12.99</v>
      </c>
      <c r="J102" s="794">
        <v>0</v>
      </c>
      <c r="K102" s="794">
        <v>0</v>
      </c>
      <c r="L102" s="1136">
        <f>D102*F102+D102</f>
        <v>4214.0320140000003</v>
      </c>
      <c r="M102" s="902">
        <f t="shared" ref="M102" si="19">L102-I102-J102-K102</f>
        <v>4201.0420140000006</v>
      </c>
      <c r="N102" s="818">
        <f t="shared" ref="N102" si="20">L102-D102</f>
        <v>57.772014000000127</v>
      </c>
      <c r="O102" s="818">
        <f t="shared" ref="O102" si="21">M102-D102</f>
        <v>44.782014000000345</v>
      </c>
      <c r="P102" s="717"/>
    </row>
    <row r="103" spans="1:16" x14ac:dyDescent="0.2">
      <c r="M103" s="1133">
        <f>SUM(M98:M102)</f>
        <v>12421.0351572</v>
      </c>
    </row>
    <row r="104" spans="1:16" x14ac:dyDescent="0.2">
      <c r="M104" s="905" t="s">
        <v>5253</v>
      </c>
      <c r="N104" s="998"/>
      <c r="O104" s="998"/>
      <c r="P104" s="998"/>
    </row>
    <row r="106" spans="1:16" x14ac:dyDescent="0.2">
      <c r="A106" s="1189"/>
      <c r="B106" s="779"/>
    </row>
    <row r="107" spans="1:16" x14ac:dyDescent="0.2">
      <c r="K107" s="717"/>
      <c r="L107" s="1106"/>
      <c r="M107" s="1"/>
    </row>
    <row r="108" spans="1:16" x14ac:dyDescent="0.2">
      <c r="M108" s="1"/>
    </row>
    <row r="109" spans="1:16" ht="13.5" thickBot="1" x14ac:dyDescent="0.25">
      <c r="A109" s="51" t="s">
        <v>5254</v>
      </c>
      <c r="G109" s="717"/>
      <c r="H109" s="981"/>
    </row>
    <row r="110" spans="1:16" ht="15.75" thickBot="1" x14ac:dyDescent="0.3">
      <c r="A110" s="4" t="s">
        <v>2380</v>
      </c>
      <c r="B110" s="5" t="s">
        <v>4206</v>
      </c>
      <c r="C110" s="5" t="s">
        <v>5255</v>
      </c>
      <c r="D110" s="787" t="s">
        <v>5256</v>
      </c>
      <c r="E110" s="5" t="s">
        <v>5257</v>
      </c>
      <c r="F110" s="5" t="s">
        <v>5187</v>
      </c>
      <c r="G110" s="5" t="s">
        <v>5188</v>
      </c>
      <c r="H110" s="5" t="s">
        <v>5189</v>
      </c>
      <c r="I110" s="806" t="s">
        <v>5190</v>
      </c>
      <c r="J110" s="806" t="s">
        <v>5191</v>
      </c>
      <c r="K110" s="5" t="s">
        <v>5245</v>
      </c>
      <c r="L110" s="5" t="s">
        <v>5193</v>
      </c>
      <c r="M110" s="808" t="s">
        <v>5246</v>
      </c>
      <c r="N110" s="817" t="s">
        <v>5195</v>
      </c>
      <c r="O110" s="817" t="s">
        <v>5196</v>
      </c>
    </row>
    <row r="111" spans="1:16" x14ac:dyDescent="0.2">
      <c r="A111" s="990" t="s">
        <v>5258</v>
      </c>
      <c r="B111" s="913">
        <v>43763</v>
      </c>
      <c r="C111" s="790">
        <v>24</v>
      </c>
      <c r="D111" s="3">
        <v>16.62</v>
      </c>
      <c r="E111" s="3">
        <f>D111*C111</f>
        <v>398.88</v>
      </c>
      <c r="F111" s="781"/>
      <c r="G111" s="1214" t="e">
        <f>#REF!-B111</f>
        <v>#REF!</v>
      </c>
      <c r="H111" s="792">
        <v>0.17499999999999999</v>
      </c>
      <c r="I111" s="793">
        <f>SUM(L111-E111)*H111</f>
        <v>0</v>
      </c>
      <c r="J111" s="794">
        <v>0</v>
      </c>
      <c r="K111" s="794">
        <v>0</v>
      </c>
      <c r="L111" s="210">
        <f>E111*F111+E111</f>
        <v>398.88</v>
      </c>
      <c r="M111" s="809">
        <f>L111-I111-J111-K111</f>
        <v>398.88</v>
      </c>
      <c r="N111" s="818">
        <f>L111-E111</f>
        <v>0</v>
      </c>
      <c r="O111" s="818">
        <f>M111-E111</f>
        <v>0</v>
      </c>
    </row>
    <row r="112" spans="1:16" x14ac:dyDescent="0.2">
      <c r="A112" s="990"/>
      <c r="B112" s="913"/>
      <c r="C112" s="790"/>
      <c r="D112" s="3"/>
      <c r="E112" s="3"/>
      <c r="F112" s="781"/>
      <c r="G112" s="788"/>
      <c r="H112" s="792"/>
      <c r="I112" s="793"/>
      <c r="J112" s="794"/>
      <c r="K112" s="794"/>
      <c r="L112" s="210"/>
      <c r="M112" s="809"/>
      <c r="N112" s="818"/>
      <c r="O112" s="818"/>
    </row>
    <row r="113" spans="1:16" ht="13.5" thickBot="1" x14ac:dyDescent="0.25">
      <c r="A113" s="990"/>
      <c r="B113" s="913"/>
      <c r="C113" s="790"/>
      <c r="D113" s="3"/>
      <c r="E113" s="3"/>
      <c r="F113" s="781"/>
      <c r="G113" s="788"/>
      <c r="H113" s="792"/>
      <c r="I113" s="793"/>
      <c r="J113" s="794"/>
      <c r="K113" s="794"/>
      <c r="L113" s="210"/>
      <c r="M113" s="809"/>
      <c r="N113" s="818"/>
      <c r="O113" s="818"/>
    </row>
    <row r="114" spans="1:16" ht="16.5" thickBot="1" x14ac:dyDescent="0.3">
      <c r="A114" s="1707" t="s">
        <v>772</v>
      </c>
      <c r="B114" s="845">
        <f>SUM(B111:B113)</f>
        <v>43763</v>
      </c>
      <c r="C114" s="845">
        <f>SUM(C111:C113)</f>
        <v>24</v>
      </c>
      <c r="D114" s="837"/>
      <c r="E114" s="813">
        <f>SUM(E111:E113)</f>
        <v>398.88</v>
      </c>
      <c r="F114" s="787"/>
      <c r="G114" s="787"/>
      <c r="H114" s="787"/>
      <c r="I114" s="814">
        <f t="shared" ref="I114:O114" si="22">SUM(I111:I113)</f>
        <v>0</v>
      </c>
      <c r="J114" s="815">
        <f t="shared" si="22"/>
        <v>0</v>
      </c>
      <c r="K114" s="815">
        <f t="shared" si="22"/>
        <v>0</v>
      </c>
      <c r="L114" s="813">
        <f t="shared" si="22"/>
        <v>398.88</v>
      </c>
      <c r="M114" s="816">
        <f t="shared" si="22"/>
        <v>398.88</v>
      </c>
      <c r="N114" s="820">
        <f t="shared" si="22"/>
        <v>0</v>
      </c>
      <c r="O114" s="820">
        <f t="shared" si="22"/>
        <v>0</v>
      </c>
    </row>
    <row r="115" spans="1:16" ht="13.5" thickBot="1" x14ac:dyDescent="0.25">
      <c r="F115" s="717"/>
    </row>
    <row r="116" spans="1:16" ht="13.5" thickBot="1" x14ac:dyDescent="0.25">
      <c r="A116" s="4" t="s">
        <v>5182</v>
      </c>
      <c r="B116" s="5" t="s">
        <v>5259</v>
      </c>
      <c r="C116" s="5" t="s">
        <v>5260</v>
      </c>
      <c r="D116" s="5" t="s">
        <v>5261</v>
      </c>
      <c r="E116" s="5" t="s">
        <v>5262</v>
      </c>
      <c r="F116" s="5" t="s">
        <v>5263</v>
      </c>
      <c r="G116" s="5"/>
      <c r="H116" s="5"/>
      <c r="I116" s="806"/>
      <c r="J116" s="806" t="s">
        <v>2581</v>
      </c>
      <c r="K116" s="806"/>
      <c r="L116" s="5" t="s">
        <v>5264</v>
      </c>
      <c r="M116" s="5" t="s">
        <v>5265</v>
      </c>
      <c r="N116" s="5" t="s">
        <v>5266</v>
      </c>
      <c r="O116" s="58" t="s">
        <v>5267</v>
      </c>
      <c r="P116" s="1803"/>
    </row>
    <row r="117" spans="1:16" x14ac:dyDescent="0.2">
      <c r="A117" s="1776">
        <v>44964</v>
      </c>
      <c r="B117" s="1762" t="s">
        <v>5268</v>
      </c>
      <c r="C117" s="1746">
        <v>16</v>
      </c>
      <c r="D117" s="1747">
        <v>39.89</v>
      </c>
      <c r="E117" s="1763">
        <f>D117*C117</f>
        <v>638.24</v>
      </c>
      <c r="F117" s="1748">
        <v>39.799999999999997</v>
      </c>
      <c r="G117" s="1749">
        <f>F117-D117</f>
        <v>-9.0000000000003411E-2</v>
      </c>
      <c r="H117" s="1750">
        <f>G117*C117</f>
        <v>-1.4400000000000546</v>
      </c>
      <c r="I117" s="1758">
        <f>F117/D117-1</f>
        <v>-2.2562045625470484E-3</v>
      </c>
      <c r="J117" s="1770">
        <f ca="1">$K$138-A117</f>
        <v>1086</v>
      </c>
      <c r="K117" s="1770"/>
      <c r="L117" s="1774">
        <v>4.0454572000000001E-2</v>
      </c>
      <c r="M117" s="1771">
        <f>L117*C117</f>
        <v>0.64727315200000002</v>
      </c>
      <c r="N117" s="1775">
        <f>L117/F117</f>
        <v>1.0164465326633167E-3</v>
      </c>
      <c r="O117" s="1778">
        <v>44981</v>
      </c>
    </row>
    <row r="118" spans="1:16" x14ac:dyDescent="0.2">
      <c r="C118" s="1145">
        <v>16</v>
      </c>
      <c r="D118" s="617">
        <v>39.700000000000003</v>
      </c>
      <c r="E118" s="617">
        <f>D118*C118</f>
        <v>635.20000000000005</v>
      </c>
      <c r="F118" s="3635" t="s">
        <v>5269</v>
      </c>
      <c r="G118" s="3635"/>
      <c r="H118" s="746"/>
      <c r="I118" s="746"/>
      <c r="J118" s="746"/>
      <c r="K118" s="746"/>
      <c r="L118" s="746"/>
      <c r="M118" s="746"/>
      <c r="N118" s="746"/>
      <c r="O118" s="746"/>
    </row>
    <row r="119" spans="1:16" x14ac:dyDescent="0.2">
      <c r="D119" s="1"/>
      <c r="E119" s="1816">
        <f>E117-E118</f>
        <v>3.0399999999999636</v>
      </c>
      <c r="F119" s="1816" t="s">
        <v>5270</v>
      </c>
    </row>
    <row r="120" spans="1:16" ht="13.5" thickBot="1" x14ac:dyDescent="0.25">
      <c r="D120" s="1"/>
      <c r="E120" s="1816"/>
      <c r="F120" s="1816"/>
    </row>
    <row r="121" spans="1:16" ht="13.5" thickBot="1" x14ac:dyDescent="0.25">
      <c r="A121" s="4" t="s">
        <v>5182</v>
      </c>
      <c r="B121" s="5" t="s">
        <v>5259</v>
      </c>
      <c r="C121" s="5" t="s">
        <v>5260</v>
      </c>
      <c r="D121" s="5" t="s">
        <v>5261</v>
      </c>
      <c r="E121" s="5" t="s">
        <v>5262</v>
      </c>
      <c r="F121" s="5" t="s">
        <v>5263</v>
      </c>
      <c r="G121" s="5"/>
      <c r="H121" s="5"/>
      <c r="I121" s="806"/>
      <c r="J121" s="806" t="s">
        <v>2581</v>
      </c>
      <c r="K121" s="806"/>
      <c r="L121" s="5" t="s">
        <v>5264</v>
      </c>
      <c r="M121" s="5" t="s">
        <v>5265</v>
      </c>
      <c r="N121" s="5" t="s">
        <v>5266</v>
      </c>
      <c r="O121" s="58" t="s">
        <v>5267</v>
      </c>
      <c r="P121" s="1803"/>
    </row>
    <row r="122" spans="1:16" x14ac:dyDescent="0.2">
      <c r="A122" s="1776">
        <v>44973</v>
      </c>
      <c r="B122" s="1858" t="s">
        <v>5271</v>
      </c>
      <c r="C122" s="1746">
        <v>10</v>
      </c>
      <c r="D122" s="1747">
        <v>35.880000000000003</v>
      </c>
      <c r="E122" s="1747">
        <f>D122*C122</f>
        <v>358.8</v>
      </c>
      <c r="F122" s="1771">
        <v>36.130000000000003</v>
      </c>
      <c r="G122" s="1749">
        <f>F122-D122</f>
        <v>0.25</v>
      </c>
      <c r="H122" s="1750">
        <f>G122*C122</f>
        <v>2.5</v>
      </c>
      <c r="I122" s="1758">
        <f>F122/D122-1</f>
        <v>6.9676700111482859E-3</v>
      </c>
      <c r="J122" s="1770">
        <f ca="1">$K$138-A122</f>
        <v>1077</v>
      </c>
      <c r="K122" s="1769"/>
      <c r="L122" s="1698">
        <v>0</v>
      </c>
      <c r="M122" s="1771">
        <f>L122*C122</f>
        <v>0</v>
      </c>
      <c r="N122" s="1775"/>
      <c r="O122" s="1778"/>
      <c r="P122" s="1190"/>
    </row>
    <row r="123" spans="1:16" x14ac:dyDescent="0.2">
      <c r="C123" s="512">
        <v>10</v>
      </c>
      <c r="D123" s="1860">
        <v>36.049999999999997</v>
      </c>
      <c r="E123" s="1860">
        <f>D123*C123</f>
        <v>360.5</v>
      </c>
      <c r="F123" s="3634" t="s">
        <v>5272</v>
      </c>
      <c r="G123" s="3634"/>
    </row>
    <row r="124" spans="1:16" x14ac:dyDescent="0.2">
      <c r="C124" s="511"/>
      <c r="D124" s="1860"/>
      <c r="E124" s="1859">
        <f>E123-E122</f>
        <v>1.6999999999999886</v>
      </c>
      <c r="F124" s="1859" t="s">
        <v>5273</v>
      </c>
      <c r="G124" s="511"/>
    </row>
    <row r="125" spans="1:16" ht="13.5" thickBot="1" x14ac:dyDescent="0.25">
      <c r="C125" s="511"/>
      <c r="D125" s="1860"/>
      <c r="E125" s="1859"/>
      <c r="F125" s="1859"/>
      <c r="G125" s="511"/>
    </row>
    <row r="126" spans="1:16" ht="13.5" thickBot="1" x14ac:dyDescent="0.25">
      <c r="A126" s="4" t="s">
        <v>5182</v>
      </c>
      <c r="B126" s="5" t="s">
        <v>5259</v>
      </c>
      <c r="C126" s="5" t="s">
        <v>5260</v>
      </c>
      <c r="D126" s="5" t="s">
        <v>5261</v>
      </c>
      <c r="E126" s="5" t="s">
        <v>5262</v>
      </c>
      <c r="F126" s="5" t="s">
        <v>5263</v>
      </c>
      <c r="G126" s="5"/>
      <c r="H126" s="5"/>
      <c r="I126" s="806"/>
      <c r="J126" s="806" t="s">
        <v>2581</v>
      </c>
      <c r="K126" s="806"/>
      <c r="L126" s="5" t="s">
        <v>5264</v>
      </c>
      <c r="M126" s="5" t="s">
        <v>5265</v>
      </c>
      <c r="N126" s="5" t="s">
        <v>5266</v>
      </c>
      <c r="O126" s="58" t="s">
        <v>5267</v>
      </c>
      <c r="P126" s="1803"/>
    </row>
    <row r="127" spans="1:16" x14ac:dyDescent="0.2">
      <c r="A127" s="1776">
        <v>45028</v>
      </c>
      <c r="B127" s="1858" t="s">
        <v>5274</v>
      </c>
      <c r="C127" s="1746">
        <v>5</v>
      </c>
      <c r="D127" s="1747">
        <v>8.51</v>
      </c>
      <c r="E127" s="1747">
        <f>D127*C127</f>
        <v>42.55</v>
      </c>
      <c r="F127" s="1771">
        <v>10.18</v>
      </c>
      <c r="G127" s="1749">
        <f>F127-D127</f>
        <v>1.67</v>
      </c>
      <c r="H127" s="1750">
        <f>G127*C127</f>
        <v>8.35</v>
      </c>
      <c r="I127" s="1758">
        <f>F127/D127-1</f>
        <v>0.19623971797884843</v>
      </c>
      <c r="J127" s="1770">
        <f ca="1">$K$138-A127</f>
        <v>1022</v>
      </c>
      <c r="K127" s="1769"/>
      <c r="L127" s="1698">
        <v>0</v>
      </c>
      <c r="M127" s="1772"/>
      <c r="N127" s="1775"/>
      <c r="O127" s="1778"/>
      <c r="P127" s="717" t="s">
        <v>5275</v>
      </c>
    </row>
    <row r="128" spans="1:16" x14ac:dyDescent="0.2">
      <c r="C128" s="512">
        <v>5</v>
      </c>
      <c r="D128" s="1860">
        <v>10</v>
      </c>
      <c r="E128" s="1860">
        <f>D128*C128</f>
        <v>50</v>
      </c>
      <c r="F128" s="3634" t="s">
        <v>5272</v>
      </c>
      <c r="G128" s="3634"/>
    </row>
    <row r="129" spans="1:16" x14ac:dyDescent="0.2">
      <c r="C129" s="511"/>
      <c r="D129" s="1860"/>
      <c r="E129" s="1859">
        <f>E128-E127</f>
        <v>7.4500000000000028</v>
      </c>
      <c r="F129" s="1859" t="s">
        <v>5273</v>
      </c>
      <c r="G129" s="511"/>
    </row>
    <row r="130" spans="1:16" ht="13.5" thickBot="1" x14ac:dyDescent="0.25">
      <c r="F130" s="717"/>
    </row>
    <row r="131" spans="1:16" ht="13.5" thickBot="1" x14ac:dyDescent="0.25">
      <c r="A131" s="3631" t="s">
        <v>5276</v>
      </c>
      <c r="B131" s="3632"/>
      <c r="C131" s="3632"/>
      <c r="D131" s="3632"/>
      <c r="E131" s="3632"/>
      <c r="F131" s="3632"/>
      <c r="G131" s="3632"/>
      <c r="H131" s="3632"/>
      <c r="I131" s="3632"/>
      <c r="J131" s="3632"/>
      <c r="K131" s="3632"/>
      <c r="L131" s="3632"/>
      <c r="M131" s="3632"/>
      <c r="N131" s="3632"/>
      <c r="O131" s="3633"/>
    </row>
    <row r="132" spans="1:16" ht="13.5" thickBot="1" x14ac:dyDescent="0.25">
      <c r="A132" s="4" t="s">
        <v>5182</v>
      </c>
      <c r="B132" s="5" t="s">
        <v>5259</v>
      </c>
      <c r="C132" s="5" t="s">
        <v>5260</v>
      </c>
      <c r="D132" s="5" t="s">
        <v>5261</v>
      </c>
      <c r="E132" s="5" t="s">
        <v>5262</v>
      </c>
      <c r="F132" s="5" t="s">
        <v>5277</v>
      </c>
      <c r="G132" s="5"/>
      <c r="H132" s="5"/>
      <c r="I132" s="806"/>
      <c r="J132" s="806" t="s">
        <v>2581</v>
      </c>
      <c r="K132" s="806"/>
      <c r="L132" s="5" t="s">
        <v>5264</v>
      </c>
      <c r="M132" s="5" t="s">
        <v>5265</v>
      </c>
      <c r="N132" s="5" t="s">
        <v>5266</v>
      </c>
      <c r="O132" s="58" t="s">
        <v>5267</v>
      </c>
      <c r="P132" s="1803"/>
    </row>
    <row r="133" spans="1:16" x14ac:dyDescent="0.2">
      <c r="A133" s="1884">
        <v>44726</v>
      </c>
      <c r="B133" s="1885" t="s">
        <v>5278</v>
      </c>
      <c r="C133" s="1886">
        <v>238</v>
      </c>
      <c r="D133" s="1887">
        <v>42.094000000000001</v>
      </c>
      <c r="E133" s="1887">
        <f t="shared" ref="E133" si="23">D133*C133</f>
        <v>10018.371999999999</v>
      </c>
      <c r="F133" s="1888">
        <v>39.1</v>
      </c>
      <c r="G133" s="1889">
        <f t="shared" ref="G133" si="24">F133-D133</f>
        <v>-2.9939999999999998</v>
      </c>
      <c r="H133" s="1890">
        <f>G133*C133</f>
        <v>-712.57199999999989</v>
      </c>
      <c r="I133" s="1891">
        <f t="shared" ref="I133" si="25">F133/D133-1</f>
        <v>-7.1126526345797525E-2</v>
      </c>
      <c r="J133" s="1892">
        <f ca="1">$K$138-A133</f>
        <v>1324</v>
      </c>
      <c r="K133" s="1892"/>
      <c r="L133" s="1887">
        <v>0</v>
      </c>
      <c r="M133" s="1893"/>
      <c r="N133" s="1894"/>
      <c r="O133" s="1895"/>
      <c r="P133" s="1190"/>
    </row>
    <row r="134" spans="1:16" x14ac:dyDescent="0.2">
      <c r="A134" s="1777"/>
      <c r="B134" s="1752" t="s">
        <v>5279</v>
      </c>
      <c r="C134" s="1753" t="s">
        <v>280</v>
      </c>
      <c r="D134" s="1754"/>
      <c r="E134" s="1755"/>
      <c r="F134" s="1773"/>
      <c r="G134" s="1733"/>
      <c r="H134" s="1692"/>
      <c r="I134" s="1751"/>
      <c r="J134" s="1769"/>
      <c r="K134" s="1769"/>
      <c r="L134" s="1882"/>
      <c r="M134" s="1773"/>
      <c r="N134" s="1775"/>
      <c r="O134" s="1778"/>
      <c r="P134" s="717"/>
    </row>
    <row r="135" spans="1:16" ht="16.5" thickBot="1" x14ac:dyDescent="0.3">
      <c r="A135" s="1780"/>
      <c r="B135" s="1781"/>
      <c r="C135" s="1782"/>
      <c r="D135" s="1783"/>
      <c r="E135" s="1883"/>
      <c r="F135" s="1896"/>
      <c r="G135" s="1784"/>
      <c r="H135" s="1784"/>
      <c r="I135" s="1785"/>
      <c r="J135" s="1786"/>
      <c r="K135" s="1786"/>
      <c r="L135" s="1787"/>
      <c r="M135" s="1788"/>
      <c r="N135" s="1789"/>
      <c r="O135" s="1790"/>
    </row>
    <row r="136" spans="1:16" s="541" customFormat="1" ht="17.25" customHeight="1" x14ac:dyDescent="0.2">
      <c r="A136" s="1228"/>
      <c r="D136" s="1791" t="s">
        <v>5280</v>
      </c>
      <c r="E136" s="1791">
        <f>SUM(E133:E134)</f>
        <v>10018.371999999999</v>
      </c>
      <c r="F136" s="619">
        <f>F133*C133</f>
        <v>9305.8000000000011</v>
      </c>
      <c r="G136" s="619" t="s">
        <v>5281</v>
      </c>
      <c r="H136" s="1146">
        <f>SUM(H133:H135)</f>
        <v>-712.57199999999989</v>
      </c>
      <c r="I136" s="1792">
        <f>H136/E136</f>
        <v>-7.1126526345797497E-2</v>
      </c>
      <c r="J136" s="1097" t="s">
        <v>5270</v>
      </c>
      <c r="M136" s="1084">
        <f>SUM(M133:M135)</f>
        <v>0</v>
      </c>
      <c r="O136" s="1228"/>
    </row>
    <row r="137" spans="1:16" x14ac:dyDescent="0.2">
      <c r="F137" s="717"/>
    </row>
    <row r="138" spans="1:16" ht="16.5" thickBot="1" x14ac:dyDescent="0.3">
      <c r="A138" s="241"/>
      <c r="B138" s="1096"/>
      <c r="C138" s="230"/>
      <c r="D138" s="607"/>
      <c r="E138" s="32"/>
      <c r="F138" s="32"/>
      <c r="G138" s="32"/>
      <c r="H138" s="32"/>
      <c r="I138" s="619"/>
      <c r="J138" s="1097"/>
      <c r="K138" s="1768">
        <f ca="1">TODAY()</f>
        <v>46050</v>
      </c>
      <c r="L138" s="607"/>
      <c r="M138" s="1099"/>
      <c r="N138" s="1098"/>
      <c r="O138" s="1098"/>
    </row>
    <row r="139" spans="1:16" ht="13.5" thickBot="1" x14ac:dyDescent="0.25">
      <c r="A139" s="3501" t="s">
        <v>5282</v>
      </c>
      <c r="B139" s="3502"/>
      <c r="C139" s="3502"/>
      <c r="D139" s="3502"/>
      <c r="E139" s="3502"/>
      <c r="F139" s="3502"/>
      <c r="G139" s="3502"/>
      <c r="H139" s="3502"/>
      <c r="I139" s="3502"/>
      <c r="J139" s="3502"/>
      <c r="K139" s="3502"/>
      <c r="L139" s="3502"/>
      <c r="M139" s="3502"/>
      <c r="N139" s="3502"/>
      <c r="O139" s="3503"/>
    </row>
    <row r="140" spans="1:16" ht="13.5" thickBot="1" x14ac:dyDescent="0.25">
      <c r="A140" s="4" t="s">
        <v>5182</v>
      </c>
      <c r="B140" s="5" t="s">
        <v>5259</v>
      </c>
      <c r="C140" s="5" t="s">
        <v>5260</v>
      </c>
      <c r="D140" s="5" t="s">
        <v>5261</v>
      </c>
      <c r="E140" s="5" t="s">
        <v>5262</v>
      </c>
      <c r="F140" s="5" t="s">
        <v>5263</v>
      </c>
      <c r="G140" s="5"/>
      <c r="H140" s="5"/>
      <c r="I140" s="806"/>
      <c r="J140" s="806" t="s">
        <v>2581</v>
      </c>
      <c r="K140" s="806"/>
      <c r="L140" s="5" t="s">
        <v>5264</v>
      </c>
      <c r="M140" s="5" t="s">
        <v>5265</v>
      </c>
      <c r="N140" s="5" t="s">
        <v>5266</v>
      </c>
      <c r="O140" s="58" t="s">
        <v>5267</v>
      </c>
      <c r="P140" s="1803"/>
    </row>
    <row r="141" spans="1:16" x14ac:dyDescent="0.2">
      <c r="A141" s="1776">
        <v>44974</v>
      </c>
      <c r="B141" s="1812" t="s">
        <v>3647</v>
      </c>
      <c r="C141" s="1746">
        <v>6</v>
      </c>
      <c r="D141" s="1747">
        <v>39.659999999999997</v>
      </c>
      <c r="E141" s="1747">
        <f t="shared" ref="E141:E144" si="26">D141*C141</f>
        <v>237.95999999999998</v>
      </c>
      <c r="F141" s="1748">
        <v>41.9</v>
      </c>
      <c r="G141" s="1749">
        <f t="shared" ref="G141:G144" si="27">F141-D141</f>
        <v>2.240000000000002</v>
      </c>
      <c r="H141" s="1750">
        <f t="shared" ref="H141:H144" si="28">G141*C141</f>
        <v>13.440000000000012</v>
      </c>
      <c r="I141" s="1758">
        <f t="shared" ref="I141:I144" si="29">F141/D141-1</f>
        <v>5.6480080685829659E-2</v>
      </c>
      <c r="J141" s="1770">
        <f ca="1">$K$138-A141</f>
        <v>1076</v>
      </c>
      <c r="K141" s="1769"/>
      <c r="L141" s="1698">
        <v>0</v>
      </c>
      <c r="M141" s="1771"/>
      <c r="N141" s="1775"/>
      <c r="O141" s="1778"/>
      <c r="P141" s="1190"/>
    </row>
    <row r="142" spans="1:16" x14ac:dyDescent="0.2">
      <c r="A142" s="1777">
        <v>44964</v>
      </c>
      <c r="B142" s="1752" t="s">
        <v>3634</v>
      </c>
      <c r="C142" s="1753">
        <v>46</v>
      </c>
      <c r="D142" s="1754">
        <f>E147/C142</f>
        <v>11.260000000000002</v>
      </c>
      <c r="E142" s="1755">
        <f t="shared" si="26"/>
        <v>517.96</v>
      </c>
      <c r="F142" s="1745">
        <v>10</v>
      </c>
      <c r="G142" s="1733">
        <f t="shared" si="27"/>
        <v>-1.2600000000000016</v>
      </c>
      <c r="H142" s="1692">
        <f t="shared" si="28"/>
        <v>-57.960000000000072</v>
      </c>
      <c r="I142" s="1751">
        <f t="shared" si="29"/>
        <v>-0.11190053285968038</v>
      </c>
      <c r="J142" s="1769">
        <f ca="1">$K$138-A142</f>
        <v>1086</v>
      </c>
      <c r="K142" s="1769"/>
      <c r="L142" s="1774">
        <v>0.86970000000000003</v>
      </c>
      <c r="M142" s="1771">
        <f>L142*23</f>
        <v>20.0031</v>
      </c>
      <c r="N142" s="1775">
        <f>L142/17.96</f>
        <v>4.8424276169265035E-2</v>
      </c>
      <c r="O142" s="1778">
        <v>45021</v>
      </c>
      <c r="P142" s="717" t="s">
        <v>5283</v>
      </c>
    </row>
    <row r="143" spans="1:16" x14ac:dyDescent="0.2">
      <c r="A143" s="1776">
        <v>44966</v>
      </c>
      <c r="B143" s="1812" t="s">
        <v>3637</v>
      </c>
      <c r="C143" s="1746">
        <v>20</v>
      </c>
      <c r="D143" s="1747">
        <v>26.11</v>
      </c>
      <c r="E143" s="1763">
        <f t="shared" si="26"/>
        <v>522.20000000000005</v>
      </c>
      <c r="F143" s="1748">
        <v>30.65</v>
      </c>
      <c r="G143" s="1749">
        <f t="shared" si="27"/>
        <v>4.5399999999999991</v>
      </c>
      <c r="H143" s="1750">
        <f t="shared" si="28"/>
        <v>90.799999999999983</v>
      </c>
      <c r="I143" s="1758">
        <f t="shared" si="29"/>
        <v>0.17387973956338554</v>
      </c>
      <c r="J143" s="1770">
        <f ca="1">$K$138-A143</f>
        <v>1084</v>
      </c>
      <c r="K143" s="1770"/>
      <c r="L143" s="1866">
        <v>2.3355000000000001</v>
      </c>
      <c r="M143" s="1771">
        <f>L143*C143</f>
        <v>46.71</v>
      </c>
      <c r="N143" s="1775">
        <f>L143/F143</f>
        <v>7.6199021207177822E-2</v>
      </c>
      <c r="O143" s="1778" t="s">
        <v>5284</v>
      </c>
      <c r="P143" s="1868" t="s">
        <v>5285</v>
      </c>
    </row>
    <row r="144" spans="1:16" x14ac:dyDescent="0.2">
      <c r="A144" s="1777">
        <v>44964</v>
      </c>
      <c r="B144" s="1756" t="s">
        <v>3635</v>
      </c>
      <c r="C144" s="1757">
        <v>11</v>
      </c>
      <c r="D144" s="1754">
        <v>88.47</v>
      </c>
      <c r="E144" s="1755">
        <f t="shared" si="26"/>
        <v>973.17</v>
      </c>
      <c r="F144" s="1745">
        <v>66.28</v>
      </c>
      <c r="G144" s="1733">
        <f t="shared" si="27"/>
        <v>-22.189999999999998</v>
      </c>
      <c r="H144" s="1692">
        <f t="shared" si="28"/>
        <v>-244.08999999999997</v>
      </c>
      <c r="I144" s="1751">
        <f t="shared" si="29"/>
        <v>-0.2508194868316943</v>
      </c>
      <c r="J144" s="1769">
        <f ca="1">$K$138-A144</f>
        <v>1086</v>
      </c>
      <c r="K144" s="1769"/>
      <c r="L144" s="1774">
        <v>1.8275999999999999</v>
      </c>
      <c r="M144" s="1771">
        <f>L144*C144</f>
        <v>20.1036</v>
      </c>
      <c r="N144" s="1775">
        <f>L144/F144</f>
        <v>2.7573928786964391E-2</v>
      </c>
      <c r="O144" s="1778">
        <v>45007</v>
      </c>
      <c r="P144" s="1804"/>
    </row>
    <row r="145" spans="1:17" s="1867" customFormat="1" x14ac:dyDescent="0.2">
      <c r="A145" s="1776">
        <v>45065</v>
      </c>
      <c r="B145" s="1812" t="s">
        <v>5286</v>
      </c>
      <c r="C145" s="1746">
        <v>5</v>
      </c>
      <c r="D145" s="1747">
        <v>25.98</v>
      </c>
      <c r="E145" s="1763">
        <f t="shared" ref="E145" si="30">D145*C145</f>
        <v>129.9</v>
      </c>
      <c r="F145" s="1748">
        <f>F143</f>
        <v>30.65</v>
      </c>
      <c r="G145" s="1749">
        <f t="shared" ref="G145" si="31">F145-D145</f>
        <v>4.6699999999999982</v>
      </c>
      <c r="H145" s="1750">
        <f t="shared" ref="H145" si="32">G145*C145</f>
        <v>23.349999999999991</v>
      </c>
      <c r="I145" s="1758">
        <f t="shared" ref="I145" si="33">F145/D145-1</f>
        <v>0.17975365665896836</v>
      </c>
      <c r="J145" s="1770">
        <f ca="1">$K$138-A145</f>
        <v>985</v>
      </c>
      <c r="K145" s="1770"/>
      <c r="L145" s="1866"/>
      <c r="M145" s="1771"/>
      <c r="N145" s="1775"/>
      <c r="O145" s="1778"/>
      <c r="P145" s="1800"/>
    </row>
    <row r="146" spans="1:17" ht="15.75" x14ac:dyDescent="0.25">
      <c r="A146" s="1705"/>
      <c r="B146" s="1699"/>
      <c r="C146" s="1697"/>
      <c r="D146" s="1698"/>
      <c r="E146" s="1698"/>
      <c r="F146" s="1793"/>
      <c r="G146" s="912"/>
      <c r="H146" s="912"/>
      <c r="I146" s="1691"/>
      <c r="J146" s="1770"/>
      <c r="K146" s="1692"/>
      <c r="L146" s="228"/>
      <c r="M146" s="1693"/>
      <c r="N146" s="1694"/>
      <c r="O146" s="1779"/>
    </row>
    <row r="147" spans="1:17" x14ac:dyDescent="0.2">
      <c r="A147" s="1777">
        <v>44964</v>
      </c>
      <c r="B147" s="1752" t="s">
        <v>3634</v>
      </c>
      <c r="C147" s="1753">
        <v>23</v>
      </c>
      <c r="D147" s="1754">
        <v>22.52</v>
      </c>
      <c r="E147" s="1755">
        <f t="shared" ref="E147" si="34">D147*C147</f>
        <v>517.96</v>
      </c>
      <c r="F147" s="1773" t="s">
        <v>5287</v>
      </c>
      <c r="G147" s="1733" t="s">
        <v>280</v>
      </c>
      <c r="H147" s="1692"/>
      <c r="I147" s="1751"/>
      <c r="J147" s="1769"/>
      <c r="K147" s="1769"/>
      <c r="L147" s="1747"/>
      <c r="M147" s="1771"/>
      <c r="N147" s="1775"/>
      <c r="O147" s="1778"/>
      <c r="P147" s="1190"/>
      <c r="Q147" s="717"/>
    </row>
    <row r="148" spans="1:17" ht="15.75" x14ac:dyDescent="0.25">
      <c r="A148" s="1705"/>
      <c r="B148" s="1699"/>
      <c r="C148" s="1697"/>
      <c r="D148" s="1698"/>
      <c r="E148" s="1698"/>
      <c r="F148" s="1793"/>
      <c r="G148" s="912"/>
      <c r="H148" s="912"/>
      <c r="I148" s="1691"/>
      <c r="J148" s="1770"/>
      <c r="K148" s="1692"/>
      <c r="L148" s="228"/>
      <c r="M148" s="1693"/>
      <c r="N148" s="1694"/>
      <c r="O148" s="1779"/>
    </row>
    <row r="149" spans="1:17" ht="16.5" thickBot="1" x14ac:dyDescent="0.3">
      <c r="A149" s="1780"/>
      <c r="B149" s="1781"/>
      <c r="C149" s="1782"/>
      <c r="D149" s="1783"/>
      <c r="E149" s="1783"/>
      <c r="F149" s="1794"/>
      <c r="G149" s="1784"/>
      <c r="H149" s="1784"/>
      <c r="I149" s="1785"/>
      <c r="J149" s="1786"/>
      <c r="K149" s="1786"/>
      <c r="L149" s="1787"/>
      <c r="M149" s="1788"/>
      <c r="N149" s="1789"/>
      <c r="O149" s="1790"/>
    </row>
    <row r="150" spans="1:17" s="541" customFormat="1" ht="17.25" customHeight="1" x14ac:dyDescent="0.2">
      <c r="A150" s="1228"/>
      <c r="D150" s="1791"/>
      <c r="E150" s="1791">
        <f>SUM(E141:E145)</f>
        <v>2381.19</v>
      </c>
      <c r="F150" s="1816">
        <v>2226.91</v>
      </c>
      <c r="G150" s="619" t="s">
        <v>5288</v>
      </c>
      <c r="H150" s="1146">
        <f>E150-F150</f>
        <v>154.2800000000002</v>
      </c>
      <c r="I150" s="1792">
        <f>H150/E150</f>
        <v>6.4791133844842363E-2</v>
      </c>
      <c r="J150" s="1097" t="s">
        <v>5270</v>
      </c>
      <c r="K150" s="541" t="s">
        <v>5289</v>
      </c>
      <c r="M150" s="1084">
        <f>SUM(M141:M149)</f>
        <v>86.816699999999997</v>
      </c>
      <c r="O150" s="1228"/>
    </row>
    <row r="151" spans="1:17" x14ac:dyDescent="0.2">
      <c r="D151" s="51"/>
      <c r="E151" s="1559"/>
      <c r="K151" s="32"/>
      <c r="M151" s="779">
        <f>M150/E150</f>
        <v>3.6459375354339636E-2</v>
      </c>
      <c r="O151" s="31"/>
    </row>
    <row r="152" spans="1:17" x14ac:dyDescent="0.2">
      <c r="F152" s="717"/>
    </row>
    <row r="153" spans="1:17" x14ac:dyDescent="0.2">
      <c r="A153"/>
      <c r="F153" s="717"/>
    </row>
    <row r="154" spans="1:17" x14ac:dyDescent="0.2">
      <c r="A154"/>
      <c r="F154" s="717"/>
    </row>
    <row r="155" spans="1:17" x14ac:dyDescent="0.2">
      <c r="A155"/>
      <c r="F155" s="717"/>
    </row>
    <row r="156" spans="1:17" x14ac:dyDescent="0.2">
      <c r="A156"/>
      <c r="F156" s="717"/>
    </row>
    <row r="157" spans="1:17" x14ac:dyDescent="0.2">
      <c r="A157"/>
      <c r="F157" s="717"/>
    </row>
    <row r="158" spans="1:17" x14ac:dyDescent="0.2">
      <c r="A158"/>
      <c r="F158" s="717"/>
    </row>
    <row r="159" spans="1:17" x14ac:dyDescent="0.2">
      <c r="A159"/>
      <c r="F159" s="717"/>
    </row>
    <row r="160" spans="1:17" x14ac:dyDescent="0.2">
      <c r="A160"/>
      <c r="F160" s="717"/>
    </row>
    <row r="161" spans="1:6" x14ac:dyDescent="0.2">
      <c r="A161"/>
      <c r="F161" s="717"/>
    </row>
    <row r="162" spans="1:6" x14ac:dyDescent="0.2">
      <c r="A162"/>
      <c r="F162" s="717"/>
    </row>
    <row r="163" spans="1:6" x14ac:dyDescent="0.2">
      <c r="A163"/>
      <c r="F163" s="717"/>
    </row>
    <row r="164" spans="1:6" x14ac:dyDescent="0.2">
      <c r="A164"/>
      <c r="F164" s="717"/>
    </row>
    <row r="165" spans="1:6" x14ac:dyDescent="0.2">
      <c r="A165"/>
      <c r="F165" s="717"/>
    </row>
    <row r="166" spans="1:6" x14ac:dyDescent="0.2">
      <c r="A166"/>
      <c r="F166" s="717"/>
    </row>
    <row r="167" spans="1:6" x14ac:dyDescent="0.2">
      <c r="A167"/>
      <c r="F167" s="717"/>
    </row>
    <row r="168" spans="1:6" x14ac:dyDescent="0.2">
      <c r="A168"/>
      <c r="F168" s="717"/>
    </row>
    <row r="169" spans="1:6" x14ac:dyDescent="0.2">
      <c r="A169"/>
      <c r="F169" s="717"/>
    </row>
    <row r="208" ht="13.5" thickBot="1" x14ac:dyDescent="0.25"/>
    <row r="209" spans="1:16" ht="15.75" thickBot="1" x14ac:dyDescent="0.3">
      <c r="A209" s="4" t="s">
        <v>5182</v>
      </c>
      <c r="B209" s="5" t="s">
        <v>5183</v>
      </c>
      <c r="C209" s="787" t="s">
        <v>5184</v>
      </c>
      <c r="D209" s="5" t="s">
        <v>5185</v>
      </c>
      <c r="E209" s="5" t="s">
        <v>5186</v>
      </c>
      <c r="F209" s="5" t="s">
        <v>5187</v>
      </c>
      <c r="G209" s="5" t="s">
        <v>5188</v>
      </c>
      <c r="H209" s="5" t="s">
        <v>5189</v>
      </c>
      <c r="I209" s="806" t="s">
        <v>5190</v>
      </c>
      <c r="J209" s="806" t="s">
        <v>5191</v>
      </c>
      <c r="K209" s="806" t="s">
        <v>5245</v>
      </c>
      <c r="L209" s="5" t="s">
        <v>5193</v>
      </c>
      <c r="M209" s="808" t="s">
        <v>5246</v>
      </c>
      <c r="N209" s="817" t="s">
        <v>5195</v>
      </c>
      <c r="O209" s="817" t="s">
        <v>5196</v>
      </c>
    </row>
    <row r="210" spans="1:16" x14ac:dyDescent="0.2">
      <c r="A210" s="990">
        <v>43096</v>
      </c>
      <c r="B210" s="790">
        <v>0.32</v>
      </c>
      <c r="C210" s="3">
        <v>9281.0300000000007</v>
      </c>
      <c r="D210" s="3">
        <v>92.81</v>
      </c>
      <c r="E210" s="782" t="s">
        <v>5248</v>
      </c>
      <c r="F210" s="781">
        <v>0.151</v>
      </c>
      <c r="G210" s="788">
        <f>G208-A210</f>
        <v>-43096</v>
      </c>
      <c r="H210" s="792">
        <v>0.15</v>
      </c>
      <c r="I210" s="793">
        <f>SUM(L210-D210)*H210</f>
        <v>2.102146499999999</v>
      </c>
      <c r="J210" s="794">
        <v>0</v>
      </c>
      <c r="K210" s="794">
        <v>0.04</v>
      </c>
      <c r="L210" s="210">
        <f>D210*F210+D210</f>
        <v>106.82431</v>
      </c>
      <c r="M210" s="809">
        <f>L210-I210-J210-K210</f>
        <v>104.68216349999999</v>
      </c>
      <c r="N210" s="818">
        <f>L210-D210</f>
        <v>14.014309999999995</v>
      </c>
      <c r="O210" s="818">
        <f>M210-D210</f>
        <v>11.872163499999985</v>
      </c>
    </row>
    <row r="211" spans="1:16" x14ac:dyDescent="0.2">
      <c r="M211" s="905" t="s">
        <v>5290</v>
      </c>
      <c r="N211" s="905"/>
      <c r="O211" s="905"/>
      <c r="P211" s="905"/>
    </row>
    <row r="213" spans="1:16" ht="13.5" thickBot="1" x14ac:dyDescent="0.25"/>
    <row r="214" spans="1:16" ht="15.75" thickBot="1" x14ac:dyDescent="0.3">
      <c r="A214" s="4" t="s">
        <v>5182</v>
      </c>
      <c r="B214" s="4" t="s">
        <v>5291</v>
      </c>
      <c r="C214" s="5" t="s">
        <v>5183</v>
      </c>
      <c r="D214" s="787" t="s">
        <v>5184</v>
      </c>
      <c r="E214" s="5" t="s">
        <v>5185</v>
      </c>
      <c r="F214" s="5" t="s">
        <v>5186</v>
      </c>
      <c r="G214" s="5" t="s">
        <v>5187</v>
      </c>
      <c r="H214" s="5" t="s">
        <v>5188</v>
      </c>
      <c r="I214" s="5" t="s">
        <v>5189</v>
      </c>
      <c r="J214" s="806" t="s">
        <v>5190</v>
      </c>
      <c r="K214" s="806" t="s">
        <v>5191</v>
      </c>
      <c r="L214" s="806" t="s">
        <v>5245</v>
      </c>
      <c r="M214" s="5" t="s">
        <v>5193</v>
      </c>
      <c r="N214" s="901" t="s">
        <v>5246</v>
      </c>
      <c r="O214" s="817" t="s">
        <v>5195</v>
      </c>
      <c r="P214" s="817"/>
    </row>
    <row r="215" spans="1:16" x14ac:dyDescent="0.2">
      <c r="A215" s="990">
        <v>43276</v>
      </c>
      <c r="B215" s="990">
        <v>44986</v>
      </c>
      <c r="C215" s="790">
        <v>0.1</v>
      </c>
      <c r="D215" s="3">
        <v>9562.7199999999993</v>
      </c>
      <c r="E215" s="3">
        <v>956.27</v>
      </c>
      <c r="F215" s="782" t="s">
        <v>5292</v>
      </c>
      <c r="G215" s="1039">
        <v>0.12509999999999999</v>
      </c>
      <c r="H215" s="788" t="e">
        <f>#REF!-A215</f>
        <v>#REF!</v>
      </c>
      <c r="I215" s="792">
        <v>0.15</v>
      </c>
      <c r="J215" s="793">
        <f t="shared" ref="J215" si="35">SUM(M215-E215)*I215</f>
        <v>17.944406549999997</v>
      </c>
      <c r="K215" s="794">
        <v>0</v>
      </c>
      <c r="L215" s="794">
        <v>1.76</v>
      </c>
      <c r="M215" s="210">
        <f t="shared" ref="M215" si="36">E215*G215+E215</f>
        <v>1075.899377</v>
      </c>
      <c r="N215" s="902">
        <f>M215-J215-K215-L215</f>
        <v>1056.19497045</v>
      </c>
      <c r="O215" s="818">
        <f t="shared" ref="O215" si="37">M215-E215</f>
        <v>119.62937699999998</v>
      </c>
      <c r="P215" s="818"/>
    </row>
    <row r="216" spans="1:16" x14ac:dyDescent="0.2">
      <c r="A216" s="990">
        <v>43480</v>
      </c>
      <c r="B216" s="990">
        <v>44986</v>
      </c>
      <c r="C216" s="790">
        <v>0.55000000000000004</v>
      </c>
      <c r="D216" s="3">
        <v>9903.19</v>
      </c>
      <c r="E216" s="3">
        <f>C216*D216</f>
        <v>5446.7545000000009</v>
      </c>
      <c r="F216" s="782" t="s">
        <v>5247</v>
      </c>
      <c r="G216" s="1039">
        <v>8.6400000000000005E-2</v>
      </c>
      <c r="H216" s="788" t="e">
        <f>#REF!-A216</f>
        <v>#REF!</v>
      </c>
      <c r="I216" s="792">
        <v>0.15</v>
      </c>
      <c r="J216" s="793">
        <f>SUM(M216-E216)*I216</f>
        <v>70.589938319999959</v>
      </c>
      <c r="K216" s="794">
        <v>0</v>
      </c>
      <c r="L216" s="794">
        <v>4.46</v>
      </c>
      <c r="M216" s="210">
        <f>E216*G216+E216</f>
        <v>5917.3540888000007</v>
      </c>
      <c r="N216" s="902">
        <f>M216-J216-K216-L216</f>
        <v>5842.3041504800003</v>
      </c>
      <c r="O216" s="818">
        <f t="shared" ref="O216" si="38">M216-E216</f>
        <v>470.59958879999976</v>
      </c>
      <c r="P216" s="818"/>
    </row>
    <row r="217" spans="1:16" x14ac:dyDescent="0.2">
      <c r="A217"/>
      <c r="M217" s="905" t="s">
        <v>5293</v>
      </c>
      <c r="N217" s="905"/>
      <c r="O217" s="905"/>
      <c r="P217" s="905"/>
    </row>
  </sheetData>
  <autoFilter ref="A140:P144" xr:uid="{00000000-0009-0000-0000-00008F000000}">
    <sortState xmlns:xlrd2="http://schemas.microsoft.com/office/spreadsheetml/2017/richdata2" ref="A193:P198">
      <sortCondition ref="B12:B17"/>
    </sortState>
  </autoFilter>
  <sortState xmlns:xlrd2="http://schemas.microsoft.com/office/spreadsheetml/2017/richdata2" ref="A193:E198">
    <sortCondition ref="B12:B17"/>
  </sortState>
  <mergeCells count="7">
    <mergeCell ref="A1:O1"/>
    <mergeCell ref="A139:O139"/>
    <mergeCell ref="A11:B11"/>
    <mergeCell ref="A131:O131"/>
    <mergeCell ref="F123:G123"/>
    <mergeCell ref="F128:G128"/>
    <mergeCell ref="F118:G118"/>
  </mergeCells>
  <hyperlinks>
    <hyperlink ref="F27" r:id="rId1" xr:uid="{00000000-0004-0000-8F00-000000000000}"/>
    <hyperlink ref="G32" r:id="rId2" xr:uid="{00000000-0004-0000-8F00-000001000000}"/>
    <hyperlink ref="F32" r:id="rId3" xr:uid="{00000000-0004-0000-8F00-000002000000}"/>
    <hyperlink ref="F26" r:id="rId4" xr:uid="{00000000-0004-0000-8F00-000003000000}"/>
    <hyperlink ref="J30" r:id="rId5" xr:uid="{C0463B3A-F0BC-4578-B35E-A5BD8A744807}"/>
  </hyperlinks>
  <pageMargins left="0.511811024" right="0.511811024" top="0.78740157499999996" bottom="0.78740157499999996" header="0.31496062000000002" footer="0.31496062000000002"/>
  <pageSetup paperSize="9" orientation="portrait" r:id="rId6"/>
  <drawing r:id="rId7"/>
  <legacyDrawing r:id="rId8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Plan140"/>
  <dimension ref="A1:T243"/>
  <sheetViews>
    <sheetView zoomScale="90" zoomScaleNormal="90" workbookViewId="0">
      <selection activeCell="F12" sqref="F12:M15"/>
    </sheetView>
  </sheetViews>
  <sheetFormatPr defaultRowHeight="12.75" x14ac:dyDescent="0.2"/>
  <cols>
    <col min="1" max="1" width="41.28515625" customWidth="1"/>
    <col min="2" max="2" width="38.42578125" customWidth="1"/>
    <col min="3" max="3" width="11.85546875" customWidth="1"/>
    <col min="4" max="4" width="11.28515625" customWidth="1"/>
    <col min="5" max="5" width="7.28515625" bestFit="1" customWidth="1"/>
    <col min="6" max="6" width="13.42578125" style="24" customWidth="1"/>
    <col min="7" max="7" width="15.85546875" customWidth="1"/>
    <col min="8" max="8" width="13.140625" style="24" customWidth="1"/>
    <col min="9" max="9" width="14.42578125" style="24" customWidth="1"/>
    <col min="10" max="10" width="14" customWidth="1"/>
    <col min="11" max="11" width="5.42578125" customWidth="1"/>
    <col min="12" max="12" width="11.140625" bestFit="1" customWidth="1"/>
    <col min="13" max="13" width="14.42578125" bestFit="1" customWidth="1"/>
    <col min="14" max="14" width="12.5703125" style="24" customWidth="1"/>
    <col min="15" max="15" width="8.28515625" customWidth="1"/>
    <col min="16" max="16" width="8.5703125" customWidth="1"/>
    <col min="18" max="18" width="9.85546875" customWidth="1"/>
    <col min="19" max="19" width="10.140625" customWidth="1"/>
    <col min="20" max="20" width="11.85546875" customWidth="1"/>
  </cols>
  <sheetData>
    <row r="1" spans="1:20" ht="15.75" customHeight="1" x14ac:dyDescent="0.2">
      <c r="A1" s="32"/>
      <c r="B1" s="32"/>
      <c r="C1" s="31" t="s">
        <v>5484</v>
      </c>
      <c r="D1" s="31" t="s">
        <v>5485</v>
      </c>
      <c r="E1" s="31"/>
      <c r="F1" s="32" t="s">
        <v>5486</v>
      </c>
      <c r="G1" s="1925" t="s">
        <v>5487</v>
      </c>
      <c r="H1" s="1554"/>
    </row>
    <row r="2" spans="1:20" ht="15" customHeight="1" x14ac:dyDescent="0.25">
      <c r="A2" s="3636" t="s">
        <v>5488</v>
      </c>
      <c r="B2" s="3636"/>
      <c r="C2" s="24">
        <v>996849459</v>
      </c>
      <c r="D2" s="51" t="s">
        <v>5489</v>
      </c>
      <c r="E2" s="51"/>
      <c r="F2" s="31"/>
      <c r="G2" s="31" t="s">
        <v>5490</v>
      </c>
      <c r="H2" s="1186" t="s">
        <v>5491</v>
      </c>
      <c r="I2" s="1144" t="s">
        <v>5492</v>
      </c>
      <c r="J2" s="1144" t="s">
        <v>8497</v>
      </c>
      <c r="L2" s="1764" t="s">
        <v>4206</v>
      </c>
      <c r="M2" s="1764" t="s">
        <v>5493</v>
      </c>
      <c r="N2" s="31" t="s">
        <v>5494</v>
      </c>
      <c r="O2" s="31" t="s">
        <v>5495</v>
      </c>
      <c r="P2" s="31" t="s">
        <v>5496</v>
      </c>
      <c r="Q2" s="31" t="s">
        <v>5497</v>
      </c>
      <c r="R2" s="31" t="s">
        <v>5498</v>
      </c>
      <c r="S2" s="31" t="s">
        <v>5499</v>
      </c>
      <c r="T2" s="31" t="s">
        <v>5500</v>
      </c>
    </row>
    <row r="3" spans="1:20" s="7" customFormat="1" ht="13.5" customHeight="1" x14ac:dyDescent="0.25">
      <c r="A3" s="1157">
        <v>14000</v>
      </c>
      <c r="B3" s="1158" t="s">
        <v>5501</v>
      </c>
      <c r="D3" s="51" t="s">
        <v>5502</v>
      </c>
      <c r="E3" s="31"/>
      <c r="F3" s="1171">
        <v>44621</v>
      </c>
      <c r="G3" s="1">
        <v>48053</v>
      </c>
      <c r="H3" s="1187"/>
      <c r="I3" s="1234">
        <f>G3/$G$3-1</f>
        <v>0</v>
      </c>
      <c r="J3" s="1243">
        <f t="shared" ref="J3:J9" si="0">G3*4%</f>
        <v>1922.1200000000001</v>
      </c>
      <c r="L3" s="230">
        <v>44625</v>
      </c>
      <c r="M3" s="32" t="s">
        <v>5503</v>
      </c>
      <c r="N3" s="1926">
        <v>68800</v>
      </c>
      <c r="O3" s="2"/>
      <c r="P3" s="2"/>
      <c r="Q3" s="2"/>
      <c r="R3" s="2"/>
      <c r="S3" s="2"/>
      <c r="T3" s="2"/>
    </row>
    <row r="4" spans="1:20" ht="15" x14ac:dyDescent="0.25">
      <c r="A4" s="1157">
        <v>30000</v>
      </c>
      <c r="B4" s="1158" t="s">
        <v>5504</v>
      </c>
      <c r="D4" s="294"/>
      <c r="E4" s="294"/>
      <c r="F4" s="1171">
        <v>44652</v>
      </c>
      <c r="G4" s="1">
        <v>48917</v>
      </c>
      <c r="H4" s="1188">
        <f t="shared" ref="H4:H10" si="1">G4/G3-1</f>
        <v>1.7980146921108053E-2</v>
      </c>
      <c r="I4" s="1234"/>
      <c r="J4" s="1243">
        <f t="shared" si="0"/>
        <v>1956.68</v>
      </c>
      <c r="L4" s="230">
        <v>44990</v>
      </c>
      <c r="M4" s="32" t="s">
        <v>3871</v>
      </c>
      <c r="N4" s="1926">
        <v>80000</v>
      </c>
      <c r="O4" s="1927">
        <f>N4-N3</f>
        <v>11200</v>
      </c>
      <c r="P4" s="1927">
        <f>O4/12</f>
        <v>933.33333333333337</v>
      </c>
      <c r="Q4" s="1928">
        <v>5</v>
      </c>
      <c r="R4" s="1926">
        <v>10</v>
      </c>
      <c r="S4" s="1603">
        <f>P4/R4</f>
        <v>93.333333333333343</v>
      </c>
      <c r="T4" s="1929">
        <f>S4*Q4</f>
        <v>466.66666666666674</v>
      </c>
    </row>
    <row r="5" spans="1:20" ht="15" x14ac:dyDescent="0.25">
      <c r="A5" s="1159">
        <f>SUM(A3:A4)</f>
        <v>44000</v>
      </c>
      <c r="B5" s="1160" t="s">
        <v>5505</v>
      </c>
      <c r="D5" s="294"/>
      <c r="E5" s="1220"/>
      <c r="F5" s="1171">
        <v>44713</v>
      </c>
      <c r="G5" s="401">
        <v>46691</v>
      </c>
      <c r="I5" s="1234">
        <f>G5/$G$3-1</f>
        <v>-2.8343703827024336E-2</v>
      </c>
      <c r="J5" s="1243">
        <f t="shared" si="0"/>
        <v>1867.64</v>
      </c>
      <c r="L5" s="230">
        <v>45148</v>
      </c>
      <c r="N5" s="1931">
        <v>84000</v>
      </c>
      <c r="O5" s="1927">
        <f>N5-N4</f>
        <v>4000</v>
      </c>
      <c r="P5" s="1927"/>
    </row>
    <row r="6" spans="1:20" ht="14.25" customHeight="1" x14ac:dyDescent="0.25">
      <c r="A6" s="1157"/>
      <c r="B6" s="1158"/>
      <c r="D6" s="294"/>
      <c r="E6" s="1220"/>
      <c r="F6" s="1171">
        <v>44835</v>
      </c>
      <c r="G6" s="401">
        <v>47190</v>
      </c>
      <c r="I6" s="1234">
        <f t="shared" ref="I6:I16" si="2">G6/$G$3-1</f>
        <v>-1.7959336565875228E-2</v>
      </c>
      <c r="J6" s="1243">
        <f t="shared" si="0"/>
        <v>1887.6000000000001</v>
      </c>
      <c r="L6" s="230">
        <v>45266</v>
      </c>
      <c r="N6" s="1931">
        <v>87000</v>
      </c>
      <c r="O6" s="1927"/>
    </row>
    <row r="7" spans="1:20" ht="15" x14ac:dyDescent="0.25">
      <c r="A7" s="1173">
        <v>70</v>
      </c>
      <c r="B7" s="1158" t="s">
        <v>5506</v>
      </c>
      <c r="D7" s="294"/>
      <c r="E7" s="294"/>
      <c r="F7" s="1171">
        <v>44927</v>
      </c>
      <c r="G7" s="401">
        <v>46918</v>
      </c>
      <c r="I7" s="1234">
        <f>G7/$G$3-1</f>
        <v>-2.3619753189186965E-2</v>
      </c>
      <c r="J7" s="1243">
        <f t="shared" si="0"/>
        <v>1876.72</v>
      </c>
      <c r="L7" s="230">
        <v>45322</v>
      </c>
      <c r="N7" s="1931">
        <v>89000</v>
      </c>
    </row>
    <row r="8" spans="1:20" s="48" customFormat="1" ht="15" x14ac:dyDescent="0.25">
      <c r="A8" s="1173">
        <v>27</v>
      </c>
      <c r="B8" s="1158" t="s">
        <v>5507</v>
      </c>
      <c r="D8" s="1099"/>
      <c r="E8" s="1099"/>
      <c r="F8" s="1171">
        <v>44958</v>
      </c>
      <c r="G8" s="401">
        <v>46880</v>
      </c>
      <c r="I8" s="1234">
        <f t="shared" si="2"/>
        <v>-2.4410546688031998E-2</v>
      </c>
      <c r="J8" s="1243">
        <f t="shared" si="0"/>
        <v>1875.2</v>
      </c>
      <c r="N8" s="47"/>
    </row>
    <row r="9" spans="1:20" ht="15" x14ac:dyDescent="0.25">
      <c r="A9" s="1175">
        <v>246.17</v>
      </c>
      <c r="B9" s="1158" t="s">
        <v>5508</v>
      </c>
      <c r="D9" s="1156"/>
      <c r="E9" s="1156"/>
      <c r="F9" s="1171">
        <v>45017</v>
      </c>
      <c r="G9" s="401">
        <v>45901</v>
      </c>
      <c r="I9" s="1234">
        <f>G9/$G$3-1</f>
        <v>-4.4783884460907752E-2</v>
      </c>
      <c r="J9" s="1243">
        <f t="shared" si="0"/>
        <v>1836.04</v>
      </c>
    </row>
    <row r="10" spans="1:20" ht="15" x14ac:dyDescent="0.25">
      <c r="A10" s="1172">
        <v>110</v>
      </c>
      <c r="B10" s="1158" t="s">
        <v>5509</v>
      </c>
      <c r="D10" s="1156"/>
      <c r="E10" s="1156"/>
      <c r="F10" s="1171">
        <v>45139</v>
      </c>
      <c r="G10" s="401">
        <v>46860</v>
      </c>
      <c r="H10" s="1188">
        <f t="shared" si="1"/>
        <v>2.0892791006731803E-2</v>
      </c>
      <c r="I10" s="1234"/>
      <c r="J10" s="1243">
        <f>G10*4%</f>
        <v>1874.4</v>
      </c>
      <c r="N10" s="1931">
        <f>N7-N3</f>
        <v>20200</v>
      </c>
    </row>
    <row r="11" spans="1:20" ht="15" x14ac:dyDescent="0.25">
      <c r="A11" s="1191">
        <v>150</v>
      </c>
      <c r="B11" s="1166" t="s">
        <v>5510</v>
      </c>
      <c r="D11" s="1156"/>
      <c r="E11" s="1156"/>
      <c r="F11" s="1171">
        <v>45200</v>
      </c>
      <c r="G11" s="401">
        <v>45606</v>
      </c>
      <c r="I11" s="1234">
        <f>G11/$G$3-1</f>
        <v>-5.092293925457303E-2</v>
      </c>
      <c r="J11" s="1243">
        <f>G11*4%</f>
        <v>1824.24</v>
      </c>
    </row>
    <row r="12" spans="1:20" ht="15" x14ac:dyDescent="0.25">
      <c r="A12" s="1159">
        <f>SUM(A7:A11)</f>
        <v>603.16999999999996</v>
      </c>
      <c r="B12" s="1160" t="s">
        <v>5511</v>
      </c>
      <c r="F12" s="682">
        <v>45292</v>
      </c>
      <c r="G12" s="401">
        <v>45652</v>
      </c>
      <c r="I12" s="1234">
        <f t="shared" si="2"/>
        <v>-4.9965662913865949E-2</v>
      </c>
      <c r="J12" s="1243">
        <f t="shared" ref="J12" si="3">G12*4%</f>
        <v>1826.08</v>
      </c>
      <c r="L12" s="746"/>
    </row>
    <row r="13" spans="1:20" x14ac:dyDescent="0.2">
      <c r="F13" s="682">
        <v>45444</v>
      </c>
      <c r="G13" s="401">
        <v>44213</v>
      </c>
      <c r="I13" s="1234">
        <f t="shared" si="2"/>
        <v>-7.9911764093813065E-2</v>
      </c>
      <c r="J13" s="1243">
        <f t="shared" ref="J13:J19" si="4">G13*4%</f>
        <v>1768.52</v>
      </c>
    </row>
    <row r="14" spans="1:20" ht="15" x14ac:dyDescent="0.25">
      <c r="A14" s="1161"/>
      <c r="B14" s="1163"/>
      <c r="F14" s="682">
        <v>45536</v>
      </c>
      <c r="G14" s="401">
        <v>43116</v>
      </c>
      <c r="I14" s="1234">
        <f t="shared" si="2"/>
        <v>-0.102740723784155</v>
      </c>
      <c r="J14" s="1243">
        <f t="shared" si="4"/>
        <v>1724.64</v>
      </c>
    </row>
    <row r="15" spans="1:20" ht="15" x14ac:dyDescent="0.25">
      <c r="A15" s="1174">
        <v>1203.6199999999999</v>
      </c>
      <c r="B15" s="1164" t="s">
        <v>5513</v>
      </c>
      <c r="F15" s="1171">
        <v>45627</v>
      </c>
      <c r="G15" s="1">
        <v>44492</v>
      </c>
      <c r="I15" s="1234">
        <f t="shared" si="2"/>
        <v>-7.4105674983871994E-2</v>
      </c>
      <c r="J15" s="1243">
        <f t="shared" si="4"/>
        <v>1779.68</v>
      </c>
    </row>
    <row r="16" spans="1:20" ht="15" x14ac:dyDescent="0.25">
      <c r="A16" s="1174">
        <v>144.86000000000001</v>
      </c>
      <c r="B16" s="1164" t="s">
        <v>5514</v>
      </c>
      <c r="F16" s="682">
        <v>45658</v>
      </c>
      <c r="G16" s="1">
        <v>46049</v>
      </c>
      <c r="I16" s="1234">
        <f t="shared" si="2"/>
        <v>-4.1703951886458701E-2</v>
      </c>
      <c r="J16" s="1243">
        <f t="shared" si="4"/>
        <v>1841.96</v>
      </c>
    </row>
    <row r="17" spans="1:15" ht="15" x14ac:dyDescent="0.25">
      <c r="A17" s="1162">
        <f>SUM(A15:A16)</f>
        <v>1348.48</v>
      </c>
      <c r="B17" s="1165" t="s">
        <v>5515</v>
      </c>
      <c r="F17" s="682">
        <v>45901</v>
      </c>
      <c r="G17" s="1">
        <v>49553</v>
      </c>
      <c r="H17" s="1188">
        <f>G17/$G$3-1</f>
        <v>3.1215532849145688E-2</v>
      </c>
      <c r="J17" s="1243">
        <f t="shared" si="4"/>
        <v>1982.1200000000001</v>
      </c>
    </row>
    <row r="18" spans="1:15" ht="15" x14ac:dyDescent="0.25">
      <c r="A18" s="1161"/>
      <c r="B18" s="1163"/>
      <c r="F18" s="682">
        <v>45962</v>
      </c>
      <c r="G18" s="1">
        <v>50239</v>
      </c>
      <c r="H18" s="1188">
        <f>G18/$G$3-1</f>
        <v>4.5491436538821706E-2</v>
      </c>
      <c r="J18" s="1243">
        <f t="shared" si="4"/>
        <v>2009.56</v>
      </c>
    </row>
    <row r="19" spans="1:15" ht="18.75" x14ac:dyDescent="0.3">
      <c r="A19" s="1167">
        <f>A5+A12+A17</f>
        <v>45951.65</v>
      </c>
      <c r="B19" s="838" t="s">
        <v>5516</v>
      </c>
      <c r="C19" s="393"/>
      <c r="F19" s="682">
        <v>46023</v>
      </c>
      <c r="G19" s="1">
        <v>49356</v>
      </c>
      <c r="I19" s="1234">
        <f>G19/$G$3-1</f>
        <v>2.7115892868291303E-2</v>
      </c>
      <c r="J19" s="1243">
        <f t="shared" si="4"/>
        <v>1974.24</v>
      </c>
    </row>
    <row r="20" spans="1:15" ht="15" x14ac:dyDescent="0.25">
      <c r="A20" s="1161"/>
      <c r="B20" s="1161"/>
    </row>
    <row r="21" spans="1:15" x14ac:dyDescent="0.2">
      <c r="A21" s="1555"/>
      <c r="B21" s="1556"/>
      <c r="C21" s="1168"/>
      <c r="F21" s="746" t="s">
        <v>5512</v>
      </c>
      <c r="I21" s="1097">
        <f>G16-G3</f>
        <v>-2004</v>
      </c>
      <c r="J21" s="1840">
        <f>I21/G3</f>
        <v>-4.1703951886458701E-2</v>
      </c>
    </row>
    <row r="22" spans="1:15" x14ac:dyDescent="0.2">
      <c r="A22" s="899"/>
      <c r="B22" s="900"/>
      <c r="C22" s="52"/>
    </row>
    <row r="23" spans="1:15" x14ac:dyDescent="0.2">
      <c r="A23" s="1169"/>
      <c r="B23" s="1170"/>
      <c r="C23" s="18"/>
      <c r="H23" s="3110" t="s">
        <v>6111</v>
      </c>
      <c r="I23" s="3110"/>
      <c r="J23" s="3110"/>
    </row>
    <row r="24" spans="1:15" ht="15" x14ac:dyDescent="0.25">
      <c r="A24" s="18"/>
      <c r="B24" s="18"/>
      <c r="C24" s="36"/>
      <c r="F24" s="1163"/>
      <c r="G24" s="1764" t="s">
        <v>6112</v>
      </c>
      <c r="H24" s="2024" t="s">
        <v>1331</v>
      </c>
      <c r="I24" s="1764" t="s">
        <v>6106</v>
      </c>
      <c r="J24" s="1764" t="s">
        <v>6107</v>
      </c>
      <c r="K24" s="1764"/>
      <c r="L24" s="1764" t="s">
        <v>6108</v>
      </c>
      <c r="M24" s="1764" t="s">
        <v>6109</v>
      </c>
      <c r="N24" s="2025" t="s">
        <v>6113</v>
      </c>
      <c r="O24" s="2025"/>
    </row>
    <row r="25" spans="1:15" ht="15" x14ac:dyDescent="0.25">
      <c r="C25" s="24"/>
      <c r="F25" s="1764" t="s">
        <v>6118</v>
      </c>
      <c r="G25" s="2020">
        <v>45313</v>
      </c>
      <c r="H25" s="2021">
        <v>50</v>
      </c>
      <c r="I25" s="2021">
        <v>3</v>
      </c>
      <c r="J25" s="2022">
        <f>H25/I25</f>
        <v>16.666666666666668</v>
      </c>
      <c r="K25" s="1161"/>
      <c r="L25" s="1163">
        <v>158</v>
      </c>
      <c r="M25" s="2022">
        <f>L25/J25</f>
        <v>9.4799999999999986</v>
      </c>
      <c r="N25" s="2020">
        <v>45320</v>
      </c>
      <c r="O25" s="1161"/>
    </row>
    <row r="26" spans="1:15" ht="23.25" x14ac:dyDescent="0.35">
      <c r="A26" s="1139"/>
      <c r="B26" s="1139"/>
      <c r="C26" s="24"/>
      <c r="F26" s="1764" t="s">
        <v>6119</v>
      </c>
      <c r="G26" s="2020">
        <v>45320</v>
      </c>
      <c r="H26" s="2021">
        <v>50</v>
      </c>
      <c r="I26" s="2021">
        <v>3</v>
      </c>
      <c r="J26" s="2022">
        <f>H26/I26</f>
        <v>16.666666666666668</v>
      </c>
      <c r="K26" s="1161"/>
      <c r="L26" s="1163">
        <v>92</v>
      </c>
      <c r="M26" s="2022">
        <f>L26/J26</f>
        <v>5.52</v>
      </c>
      <c r="N26" s="2020">
        <v>45324</v>
      </c>
      <c r="O26" s="1161"/>
    </row>
    <row r="27" spans="1:15" ht="15" x14ac:dyDescent="0.25">
      <c r="A27" s="32" t="s">
        <v>5517</v>
      </c>
      <c r="B27" s="82" t="s">
        <v>2378</v>
      </c>
      <c r="C27" s="241" t="s">
        <v>5518</v>
      </c>
      <c r="D27" s="7"/>
      <c r="E27" s="7"/>
      <c r="F27" s="1764" t="s">
        <v>6123</v>
      </c>
      <c r="G27" s="2020">
        <v>45324</v>
      </c>
      <c r="H27" s="2021">
        <v>50</v>
      </c>
      <c r="I27" s="2029">
        <v>3.27</v>
      </c>
      <c r="J27" s="2022">
        <f>H27/I27</f>
        <v>15.290519877675841</v>
      </c>
      <c r="K27" s="1161"/>
      <c r="L27" s="1163">
        <v>106</v>
      </c>
      <c r="M27" s="2022">
        <f>L27/J27</f>
        <v>6.9324000000000003</v>
      </c>
      <c r="N27" s="2020">
        <v>45328</v>
      </c>
      <c r="O27" s="1161"/>
    </row>
    <row r="28" spans="1:15" ht="15" x14ac:dyDescent="0.25">
      <c r="A28" s="1871" t="s">
        <v>3274</v>
      </c>
      <c r="B28" s="52">
        <v>20</v>
      </c>
      <c r="C28" s="1543">
        <v>44655</v>
      </c>
      <c r="D28" s="48"/>
      <c r="E28" s="48"/>
      <c r="F28" s="1764" t="s">
        <v>6126</v>
      </c>
      <c r="G28" s="2020">
        <v>45328</v>
      </c>
      <c r="H28" s="2021">
        <v>50</v>
      </c>
      <c r="I28" s="2021">
        <v>3.27</v>
      </c>
      <c r="J28" s="2022">
        <f>H28/I28</f>
        <v>15.290519877675841</v>
      </c>
      <c r="K28" s="1161"/>
      <c r="L28" s="1163">
        <v>108</v>
      </c>
      <c r="M28" s="2022">
        <f>L28/J28</f>
        <v>7.0632000000000001</v>
      </c>
      <c r="N28" s="2020">
        <v>45332</v>
      </c>
    </row>
    <row r="29" spans="1:15" ht="15" x14ac:dyDescent="0.25">
      <c r="A29" s="717" t="s">
        <v>3320</v>
      </c>
      <c r="B29" s="52">
        <v>30</v>
      </c>
      <c r="C29" s="1766">
        <v>44690</v>
      </c>
      <c r="D29" s="32"/>
      <c r="E29" s="32"/>
      <c r="F29" s="1163"/>
      <c r="G29" s="1161"/>
      <c r="H29" s="2023"/>
      <c r="I29" s="1163"/>
      <c r="J29" s="1161"/>
      <c r="K29" s="1161"/>
      <c r="L29" s="1161"/>
      <c r="M29" s="2030">
        <f>SUM(M25:M28)/4</f>
        <v>7.248899999999999</v>
      </c>
      <c r="N29" s="1165" t="s">
        <v>6124</v>
      </c>
      <c r="O29" s="1165"/>
    </row>
    <row r="30" spans="1:15" x14ac:dyDescent="0.2">
      <c r="A30" s="717" t="s">
        <v>5519</v>
      </c>
      <c r="B30" s="52">
        <v>50</v>
      </c>
      <c r="C30" s="1766">
        <v>44741</v>
      </c>
      <c r="F30" s="7"/>
      <c r="G30" s="326"/>
      <c r="H30" s="1185"/>
    </row>
    <row r="31" spans="1:15" x14ac:dyDescent="0.2">
      <c r="A31" s="717" t="s">
        <v>4158</v>
      </c>
      <c r="B31" s="52">
        <v>149.82</v>
      </c>
      <c r="C31" s="1766">
        <v>44754</v>
      </c>
    </row>
    <row r="32" spans="1:15" x14ac:dyDescent="0.2">
      <c r="A32" s="717" t="s">
        <v>5520</v>
      </c>
      <c r="B32" s="52">
        <v>270</v>
      </c>
      <c r="C32" s="1766">
        <v>44755</v>
      </c>
    </row>
    <row r="33" spans="1:9" x14ac:dyDescent="0.2">
      <c r="A33" s="717" t="s">
        <v>3441</v>
      </c>
      <c r="B33" s="1870">
        <v>40</v>
      </c>
      <c r="C33" s="1766">
        <v>44805</v>
      </c>
    </row>
    <row r="34" spans="1:9" x14ac:dyDescent="0.2">
      <c r="A34" s="717" t="s">
        <v>5521</v>
      </c>
      <c r="B34" s="52">
        <v>270</v>
      </c>
      <c r="C34" s="1766">
        <v>44888</v>
      </c>
      <c r="F34" s="1171"/>
      <c r="G34" s="798"/>
      <c r="H34" s="1189"/>
      <c r="I34" s="1189"/>
    </row>
    <row r="35" spans="1:9" x14ac:dyDescent="0.2">
      <c r="A35" s="717" t="s">
        <v>5522</v>
      </c>
      <c r="B35" s="1870">
        <v>180</v>
      </c>
      <c r="C35" s="1766">
        <v>44888</v>
      </c>
    </row>
    <row r="36" spans="1:9" x14ac:dyDescent="0.2">
      <c r="A36" s="717" t="s">
        <v>4224</v>
      </c>
      <c r="B36" s="52">
        <v>884.11</v>
      </c>
      <c r="C36" s="1766">
        <v>44907</v>
      </c>
      <c r="F36" s="1171"/>
      <c r="G36" s="798"/>
      <c r="H36" s="1189"/>
      <c r="I36" s="1189"/>
    </row>
    <row r="37" spans="1:9" x14ac:dyDescent="0.2">
      <c r="A37" s="717" t="s">
        <v>3565</v>
      </c>
      <c r="B37" s="52">
        <v>60</v>
      </c>
      <c r="C37" s="1766">
        <v>44910</v>
      </c>
      <c r="F37" s="1171"/>
      <c r="G37" s="798"/>
      <c r="H37" s="1189"/>
      <c r="I37" s="1189"/>
    </row>
    <row r="38" spans="1:9" x14ac:dyDescent="0.2">
      <c r="A38" s="717" t="s">
        <v>3566</v>
      </c>
      <c r="B38" s="401">
        <v>60</v>
      </c>
      <c r="C38" s="1766">
        <v>44910</v>
      </c>
      <c r="F38" s="1171"/>
      <c r="G38" s="798"/>
      <c r="H38" s="1189"/>
      <c r="I38" s="1189"/>
    </row>
    <row r="39" spans="1:9" x14ac:dyDescent="0.2">
      <c r="A39" s="717" t="s">
        <v>3567</v>
      </c>
      <c r="B39" s="52">
        <v>60</v>
      </c>
      <c r="C39" s="1766">
        <v>44910</v>
      </c>
      <c r="F39" s="1171"/>
      <c r="G39" s="798"/>
      <c r="H39" s="1189"/>
      <c r="I39" s="1189"/>
    </row>
    <row r="40" spans="1:9" x14ac:dyDescent="0.2">
      <c r="A40" s="717" t="s">
        <v>5523</v>
      </c>
      <c r="B40" s="52">
        <v>140</v>
      </c>
      <c r="C40" s="1766">
        <v>44919</v>
      </c>
      <c r="F40" s="1171"/>
      <c r="G40" s="798"/>
      <c r="H40" s="1189"/>
      <c r="I40" s="1189"/>
    </row>
    <row r="41" spans="1:9" x14ac:dyDescent="0.2">
      <c r="A41" s="717" t="s">
        <v>3577</v>
      </c>
      <c r="B41" s="1870">
        <v>50</v>
      </c>
      <c r="C41" s="1766">
        <v>44919</v>
      </c>
      <c r="F41" s="1171"/>
      <c r="G41" s="798"/>
      <c r="H41" s="1189"/>
      <c r="I41" s="1189"/>
    </row>
    <row r="42" spans="1:9" x14ac:dyDescent="0.2">
      <c r="A42" s="717" t="s">
        <v>5524</v>
      </c>
      <c r="B42" s="52">
        <v>500</v>
      </c>
      <c r="C42" s="1766">
        <v>44929</v>
      </c>
      <c r="F42" s="1171"/>
      <c r="G42" s="798"/>
      <c r="H42" s="1189"/>
      <c r="I42" s="1189"/>
    </row>
    <row r="43" spans="1:9" x14ac:dyDescent="0.2">
      <c r="A43" s="717" t="s">
        <v>3603</v>
      </c>
      <c r="B43" s="52">
        <v>80</v>
      </c>
      <c r="C43" s="1766">
        <v>44939</v>
      </c>
      <c r="F43" s="1171"/>
      <c r="G43" s="798"/>
      <c r="H43" s="1189"/>
      <c r="I43" s="1189"/>
    </row>
    <row r="44" spans="1:9" x14ac:dyDescent="0.2">
      <c r="A44" s="717" t="s">
        <v>3604</v>
      </c>
      <c r="B44" s="52">
        <v>239</v>
      </c>
      <c r="C44" s="1766">
        <v>44940</v>
      </c>
      <c r="F44" s="1171"/>
      <c r="G44" s="798"/>
      <c r="H44" s="1189"/>
      <c r="I44" s="1189"/>
    </row>
    <row r="45" spans="1:9" x14ac:dyDescent="0.2">
      <c r="A45" s="717" t="s">
        <v>5525</v>
      </c>
      <c r="B45" s="52">
        <v>95</v>
      </c>
      <c r="C45" s="1766">
        <v>44951</v>
      </c>
      <c r="F45" s="1171"/>
      <c r="G45" s="798"/>
      <c r="H45" s="1189"/>
      <c r="I45" s="1189"/>
    </row>
    <row r="46" spans="1:9" x14ac:dyDescent="0.2">
      <c r="A46" s="717" t="s">
        <v>5526</v>
      </c>
      <c r="B46" s="52">
        <v>33</v>
      </c>
      <c r="C46" s="1766">
        <v>45041</v>
      </c>
      <c r="D46" s="24"/>
      <c r="F46" s="1171"/>
      <c r="G46" s="798"/>
      <c r="H46" s="1189"/>
      <c r="I46" s="1189"/>
    </row>
    <row r="47" spans="1:9" x14ac:dyDescent="0.2">
      <c r="A47" s="717" t="s">
        <v>5527</v>
      </c>
      <c r="B47" s="52">
        <v>120</v>
      </c>
      <c r="C47" s="1766">
        <v>45033</v>
      </c>
      <c r="F47" s="1171"/>
      <c r="G47" s="798"/>
      <c r="H47" s="1189"/>
      <c r="I47" s="1189"/>
    </row>
    <row r="48" spans="1:9" x14ac:dyDescent="0.2">
      <c r="A48" s="717" t="s">
        <v>5528</v>
      </c>
      <c r="B48" s="1870">
        <v>149</v>
      </c>
      <c r="C48" s="1766">
        <v>45033</v>
      </c>
      <c r="D48" s="24"/>
      <c r="F48" s="1171"/>
      <c r="G48" s="798"/>
      <c r="H48" s="1189"/>
      <c r="I48" s="1189"/>
    </row>
    <row r="49" spans="1:9" x14ac:dyDescent="0.2">
      <c r="A49" s="717" t="s">
        <v>5529</v>
      </c>
      <c r="B49" s="52">
        <v>298.33</v>
      </c>
      <c r="C49" s="1766">
        <v>45033</v>
      </c>
      <c r="D49" s="24"/>
      <c r="F49" s="1171"/>
      <c r="G49" s="798"/>
      <c r="H49" s="1189"/>
      <c r="I49" s="1189"/>
    </row>
    <row r="50" spans="1:9" x14ac:dyDescent="0.2">
      <c r="A50" s="717" t="s">
        <v>5530</v>
      </c>
      <c r="B50" s="52">
        <v>390</v>
      </c>
      <c r="C50" s="1766">
        <v>45069</v>
      </c>
      <c r="F50" s="1171"/>
      <c r="G50" s="798"/>
      <c r="H50" s="1189"/>
      <c r="I50" s="1189"/>
    </row>
    <row r="51" spans="1:9" x14ac:dyDescent="0.2">
      <c r="A51" s="717" t="s">
        <v>5531</v>
      </c>
      <c r="B51" s="1">
        <v>370</v>
      </c>
      <c r="C51" s="1766">
        <v>45178</v>
      </c>
      <c r="H51" s="1189"/>
      <c r="I51" s="1189"/>
    </row>
    <row r="52" spans="1:9" x14ac:dyDescent="0.2">
      <c r="A52" s="717"/>
      <c r="B52" s="52"/>
      <c r="C52" s="1766"/>
      <c r="F52" s="1171"/>
      <c r="G52" s="798"/>
      <c r="H52" s="1189"/>
      <c r="I52" s="1189"/>
    </row>
    <row r="53" spans="1:9" x14ac:dyDescent="0.2">
      <c r="A53" s="717" t="s">
        <v>3870</v>
      </c>
      <c r="B53" s="401">
        <v>624</v>
      </c>
      <c r="C53" s="1766">
        <v>45135</v>
      </c>
      <c r="F53" s="1171"/>
      <c r="G53" s="798"/>
      <c r="H53" s="1189"/>
      <c r="I53" s="1189"/>
    </row>
    <row r="54" spans="1:9" x14ac:dyDescent="0.2">
      <c r="A54" s="717" t="s">
        <v>3872</v>
      </c>
      <c r="B54" s="52">
        <v>1358</v>
      </c>
      <c r="C54" s="1766">
        <v>45135</v>
      </c>
      <c r="F54" s="1171"/>
      <c r="G54" s="798"/>
      <c r="H54" s="1189"/>
      <c r="I54" s="1189"/>
    </row>
    <row r="55" spans="1:9" x14ac:dyDescent="0.2">
      <c r="A55" t="s">
        <v>3873</v>
      </c>
      <c r="B55" s="1">
        <v>193.6</v>
      </c>
      <c r="C55" s="1766">
        <v>45135</v>
      </c>
      <c r="H55" s="1189"/>
      <c r="I55" s="1189"/>
    </row>
    <row r="56" spans="1:9" x14ac:dyDescent="0.2">
      <c r="A56" t="s">
        <v>3874</v>
      </c>
      <c r="B56" s="1">
        <v>1420</v>
      </c>
      <c r="C56" s="1766">
        <v>45135</v>
      </c>
      <c r="H56" s="1189"/>
      <c r="I56" s="1189"/>
    </row>
    <row r="57" spans="1:9" x14ac:dyDescent="0.2">
      <c r="A57" t="s">
        <v>3875</v>
      </c>
      <c r="B57" s="1">
        <v>693</v>
      </c>
      <c r="C57" s="1766">
        <v>45135</v>
      </c>
      <c r="H57" s="1189"/>
      <c r="I57" s="1189"/>
    </row>
    <row r="58" spans="1:9" x14ac:dyDescent="0.2">
      <c r="A58" t="s">
        <v>3876</v>
      </c>
      <c r="B58" s="1">
        <v>1180</v>
      </c>
      <c r="C58" s="1766">
        <v>45135</v>
      </c>
      <c r="H58" s="1189"/>
      <c r="I58" s="1189"/>
    </row>
    <row r="59" spans="1:9" x14ac:dyDescent="0.2">
      <c r="A59" s="717" t="s">
        <v>5533</v>
      </c>
      <c r="B59" s="1">
        <v>2400</v>
      </c>
      <c r="C59" s="1766">
        <v>45135</v>
      </c>
      <c r="H59" s="1189"/>
      <c r="I59" s="1189"/>
    </row>
    <row r="60" spans="1:9" x14ac:dyDescent="0.2">
      <c r="A60" t="s">
        <v>3881</v>
      </c>
      <c r="B60" s="1">
        <v>4000</v>
      </c>
      <c r="C60" s="1766">
        <v>45188</v>
      </c>
      <c r="H60" s="1189"/>
      <c r="I60" s="1189"/>
    </row>
    <row r="61" spans="1:9" x14ac:dyDescent="0.2">
      <c r="A61" t="s">
        <v>5532</v>
      </c>
      <c r="B61" s="1">
        <v>300</v>
      </c>
      <c r="C61" s="1766">
        <v>45188</v>
      </c>
      <c r="H61" s="1189"/>
      <c r="I61" s="1189"/>
    </row>
    <row r="62" spans="1:9" x14ac:dyDescent="0.2">
      <c r="H62" s="1189"/>
      <c r="I62" s="1189"/>
    </row>
    <row r="63" spans="1:9" x14ac:dyDescent="0.2">
      <c r="A63" t="s">
        <v>5534</v>
      </c>
      <c r="B63" s="1">
        <v>27</v>
      </c>
      <c r="C63" s="1766">
        <v>45288</v>
      </c>
      <c r="H63" s="1189"/>
      <c r="I63" s="1189"/>
    </row>
    <row r="64" spans="1:9" x14ac:dyDescent="0.2">
      <c r="A64" s="717" t="s">
        <v>6136</v>
      </c>
      <c r="B64" s="52">
        <v>67</v>
      </c>
      <c r="C64" s="1766">
        <v>45287</v>
      </c>
      <c r="F64" s="1171"/>
      <c r="G64" s="798"/>
      <c r="H64" s="1189"/>
      <c r="I64" s="1189"/>
    </row>
    <row r="65" spans="1:9" x14ac:dyDescent="0.2">
      <c r="H65" s="1189"/>
      <c r="I65" s="1189"/>
    </row>
    <row r="66" spans="1:9" x14ac:dyDescent="0.2">
      <c r="A66" s="717" t="s">
        <v>6300</v>
      </c>
      <c r="B66" s="1870">
        <v>420</v>
      </c>
      <c r="C66" s="1766">
        <v>45362</v>
      </c>
      <c r="H66" s="1189"/>
      <c r="I66" s="1189"/>
    </row>
    <row r="67" spans="1:9" x14ac:dyDescent="0.2">
      <c r="B67" s="1"/>
      <c r="D67" s="717" t="s">
        <v>6357</v>
      </c>
      <c r="F67" s="51" t="s">
        <v>6358</v>
      </c>
      <c r="H67" s="1189"/>
      <c r="I67" s="1189"/>
    </row>
    <row r="68" spans="1:9" x14ac:dyDescent="0.2">
      <c r="A68" t="s">
        <v>6271</v>
      </c>
      <c r="B68" s="1">
        <v>139.31</v>
      </c>
      <c r="C68" s="1766">
        <v>45372</v>
      </c>
      <c r="D68" s="1931">
        <v>90500</v>
      </c>
      <c r="F68" s="1931">
        <v>100500</v>
      </c>
      <c r="H68" s="1189"/>
      <c r="I68" s="1189"/>
    </row>
    <row r="69" spans="1:9" x14ac:dyDescent="0.2">
      <c r="A69" t="s">
        <v>6270</v>
      </c>
      <c r="B69" s="1">
        <v>143</v>
      </c>
      <c r="C69" s="1766">
        <v>45372</v>
      </c>
      <c r="H69" s="1189"/>
      <c r="I69" s="1189"/>
    </row>
    <row r="70" spans="1:9" x14ac:dyDescent="0.2">
      <c r="A70" s="717" t="s">
        <v>3664</v>
      </c>
      <c r="B70" s="1">
        <v>160</v>
      </c>
      <c r="C70" s="1766">
        <v>45372</v>
      </c>
      <c r="H70" s="1189"/>
      <c r="I70" s="1189"/>
    </row>
    <row r="71" spans="1:9" x14ac:dyDescent="0.2">
      <c r="B71" s="1"/>
      <c r="H71" s="1189"/>
      <c r="I71" s="1189"/>
    </row>
    <row r="72" spans="1:9" x14ac:dyDescent="0.2">
      <c r="A72" t="s">
        <v>6593</v>
      </c>
      <c r="B72" s="1">
        <v>89.9</v>
      </c>
      <c r="C72" s="1766">
        <v>45468</v>
      </c>
      <c r="D72" s="1931"/>
      <c r="F72" s="1931"/>
      <c r="H72" s="1189"/>
      <c r="I72" s="1189"/>
    </row>
    <row r="73" spans="1:9" x14ac:dyDescent="0.2">
      <c r="A73" t="s">
        <v>6594</v>
      </c>
      <c r="B73" s="1">
        <v>75</v>
      </c>
      <c r="C73" s="1766">
        <v>45468</v>
      </c>
      <c r="H73" s="1189"/>
      <c r="I73" s="1189"/>
    </row>
    <row r="74" spans="1:9" x14ac:dyDescent="0.2">
      <c r="A74" s="717" t="s">
        <v>6595</v>
      </c>
      <c r="B74" s="1">
        <v>120</v>
      </c>
      <c r="C74" s="1766">
        <v>45468</v>
      </c>
      <c r="H74" s="1189"/>
      <c r="I74" s="1189"/>
    </row>
    <row r="75" spans="1:9" x14ac:dyDescent="0.2">
      <c r="A75" s="717"/>
      <c r="B75" s="1"/>
      <c r="C75" s="1766"/>
      <c r="H75" s="1189"/>
      <c r="I75" s="1189"/>
    </row>
    <row r="76" spans="1:9" x14ac:dyDescent="0.2">
      <c r="A76" s="717" t="s">
        <v>7875</v>
      </c>
      <c r="B76" s="1">
        <v>171</v>
      </c>
      <c r="C76" s="1766">
        <v>45790</v>
      </c>
      <c r="H76" s="1189"/>
      <c r="I76" s="1189"/>
    </row>
    <row r="77" spans="1:9" x14ac:dyDescent="0.2">
      <c r="A77" s="717" t="s">
        <v>7908</v>
      </c>
      <c r="B77" s="1">
        <v>800</v>
      </c>
      <c r="C77" s="1766">
        <v>45796</v>
      </c>
      <c r="H77" s="1189"/>
      <c r="I77" s="1189"/>
    </row>
    <row r="78" spans="1:9" x14ac:dyDescent="0.2">
      <c r="A78" s="717"/>
      <c r="B78" s="1"/>
      <c r="C78" s="1766"/>
      <c r="H78" s="1189"/>
      <c r="I78" s="1189"/>
    </row>
    <row r="79" spans="1:9" x14ac:dyDescent="0.2">
      <c r="A79" t="s">
        <v>8274</v>
      </c>
      <c r="B79" s="1">
        <v>667</v>
      </c>
      <c r="C79" s="1766">
        <v>45796</v>
      </c>
      <c r="H79" s="1189"/>
      <c r="I79" s="1189"/>
    </row>
    <row r="80" spans="1:9" x14ac:dyDescent="0.2">
      <c r="B80" s="1"/>
      <c r="C80" s="1766"/>
      <c r="H80" s="1189"/>
      <c r="I80" s="1189"/>
    </row>
    <row r="81" spans="1:10" x14ac:dyDescent="0.2">
      <c r="B81" s="1"/>
      <c r="C81" s="1766"/>
      <c r="H81" s="1189"/>
      <c r="I81" s="1189"/>
    </row>
    <row r="82" spans="1:10" x14ac:dyDescent="0.2">
      <c r="H82" s="1189"/>
      <c r="I82" s="1189"/>
    </row>
    <row r="83" spans="1:10" x14ac:dyDescent="0.2">
      <c r="H83" s="1189"/>
      <c r="I83" s="1189"/>
    </row>
    <row r="84" spans="1:10" ht="15.75" x14ac:dyDescent="0.25">
      <c r="A84" s="717"/>
      <c r="B84" s="1676">
        <f>SUM(B28:B83)</f>
        <v>19586.070000000003</v>
      </c>
      <c r="C84" s="1766" t="s">
        <v>5535</v>
      </c>
      <c r="D84" s="670">
        <f>B84/H84</f>
        <v>466.33500000000009</v>
      </c>
      <c r="E84" s="943">
        <v>44621</v>
      </c>
      <c r="F84" s="1171" t="s">
        <v>5536</v>
      </c>
      <c r="G84" s="943">
        <v>45901</v>
      </c>
      <c r="H84" s="1960">
        <f>DATEDIF(E84,G84,"m")</f>
        <v>42</v>
      </c>
    </row>
    <row r="85" spans="1:10" x14ac:dyDescent="0.2">
      <c r="C85" s="1675"/>
      <c r="F85" s="1171"/>
      <c r="G85" s="798"/>
      <c r="H85" s="1189"/>
      <c r="I85" s="1189"/>
    </row>
    <row r="86" spans="1:10" x14ac:dyDescent="0.2">
      <c r="C86" s="1675"/>
      <c r="F86" s="1171"/>
      <c r="G86" s="798"/>
      <c r="H86" s="1189"/>
      <c r="I86" s="1189"/>
    </row>
    <row r="87" spans="1:10" x14ac:dyDescent="0.2">
      <c r="C87" s="1675"/>
      <c r="F87" s="1171"/>
      <c r="G87" s="798"/>
      <c r="H87" s="1189"/>
      <c r="I87" s="1189"/>
    </row>
    <row r="88" spans="1:10" x14ac:dyDescent="0.2">
      <c r="A88" s="32" t="s">
        <v>5537</v>
      </c>
      <c r="B88" s="82" t="s">
        <v>2378</v>
      </c>
      <c r="C88" s="230" t="s">
        <v>5518</v>
      </c>
      <c r="F88" s="1171"/>
      <c r="G88" s="798"/>
      <c r="H88" s="1189"/>
      <c r="I88" s="1189"/>
    </row>
    <row r="89" spans="1:10" x14ac:dyDescent="0.2">
      <c r="A89" s="717" t="s">
        <v>3261</v>
      </c>
      <c r="B89" s="18">
        <v>3.9</v>
      </c>
      <c r="C89" s="1977">
        <v>44635</v>
      </c>
      <c r="F89" s="1171"/>
      <c r="G89" s="798"/>
      <c r="H89" s="1189"/>
      <c r="I89" s="1189"/>
    </row>
    <row r="90" spans="1:10" x14ac:dyDescent="0.2">
      <c r="A90" t="s">
        <v>5538</v>
      </c>
      <c r="B90" s="1">
        <v>780</v>
      </c>
      <c r="C90" s="786">
        <v>44651</v>
      </c>
      <c r="F90" s="1171"/>
      <c r="G90" s="798"/>
      <c r="H90" s="1189"/>
      <c r="I90" s="1190"/>
    </row>
    <row r="91" spans="1:10" x14ac:dyDescent="0.2">
      <c r="A91" s="717" t="s">
        <v>5539</v>
      </c>
      <c r="B91" s="18">
        <v>157.19999999999999</v>
      </c>
      <c r="C91" s="1977">
        <v>44671</v>
      </c>
      <c r="F91" s="1171"/>
      <c r="G91" s="798"/>
      <c r="H91" s="1189"/>
      <c r="I91" s="1190"/>
    </row>
    <row r="92" spans="1:10" x14ac:dyDescent="0.2">
      <c r="A92" s="717" t="s">
        <v>4258</v>
      </c>
      <c r="B92" s="52">
        <v>29.9</v>
      </c>
      <c r="C92" s="1978">
        <v>44824</v>
      </c>
      <c r="F92" s="1171"/>
      <c r="G92" s="798"/>
      <c r="H92" s="1189"/>
      <c r="I92" s="1190"/>
      <c r="J92" s="799"/>
    </row>
    <row r="93" spans="1:10" x14ac:dyDescent="0.2">
      <c r="A93" s="717" t="s">
        <v>6596</v>
      </c>
      <c r="B93" s="18">
        <v>170</v>
      </c>
      <c r="C93" s="1977">
        <v>45446</v>
      </c>
      <c r="F93" s="1171"/>
      <c r="G93" s="798"/>
      <c r="H93" s="1189"/>
      <c r="I93" s="1190"/>
      <c r="J93" s="799"/>
    </row>
    <row r="94" spans="1:10" x14ac:dyDescent="0.2">
      <c r="A94" s="717"/>
      <c r="B94" s="18"/>
      <c r="C94" s="1675"/>
      <c r="F94" s="1171"/>
      <c r="G94" s="798"/>
      <c r="H94" s="1189"/>
      <c r="I94" s="1190"/>
      <c r="J94" s="799"/>
    </row>
    <row r="95" spans="1:10" ht="15.75" x14ac:dyDescent="0.25">
      <c r="A95" s="717"/>
      <c r="B95" s="1676">
        <f>SUM(B89:B94)</f>
        <v>1141</v>
      </c>
      <c r="C95" s="1674"/>
      <c r="F95" s="1171"/>
      <c r="G95" s="798"/>
      <c r="H95" s="1189"/>
      <c r="I95" s="1190"/>
      <c r="J95" s="799"/>
    </row>
    <row r="96" spans="1:10" x14ac:dyDescent="0.2">
      <c r="A96" s="717"/>
      <c r="B96" s="18"/>
      <c r="C96" s="1674"/>
      <c r="F96" s="1171"/>
      <c r="G96" s="798"/>
      <c r="H96" s="1189"/>
      <c r="I96" s="1190"/>
      <c r="J96" s="799"/>
    </row>
    <row r="97" spans="1:10" x14ac:dyDescent="0.2">
      <c r="A97" s="717"/>
      <c r="C97" s="18"/>
      <c r="F97" s="1171"/>
      <c r="G97" s="798"/>
      <c r="H97" s="1189"/>
      <c r="I97" s="1189"/>
    </row>
    <row r="98" spans="1:10" x14ac:dyDescent="0.2">
      <c r="A98" s="717"/>
      <c r="B98" s="18"/>
      <c r="C98" s="18"/>
      <c r="F98" s="1171"/>
      <c r="G98" s="798"/>
      <c r="H98" s="1189"/>
      <c r="I98" s="1189"/>
    </row>
    <row r="99" spans="1:10" x14ac:dyDescent="0.2">
      <c r="A99" s="32" t="s">
        <v>5540</v>
      </c>
      <c r="B99" s="18"/>
      <c r="C99" s="18"/>
      <c r="F99" s="1171"/>
      <c r="G99" s="798"/>
      <c r="H99" s="1189"/>
      <c r="I99" s="1189"/>
    </row>
    <row r="100" spans="1:10" x14ac:dyDescent="0.2">
      <c r="A100" s="717"/>
      <c r="B100" s="18"/>
      <c r="F100" s="682"/>
      <c r="G100" s="798"/>
      <c r="H100" s="1189"/>
      <c r="I100" s="1190"/>
    </row>
    <row r="101" spans="1:10" ht="15" x14ac:dyDescent="0.25">
      <c r="A101" s="717" t="s">
        <v>5517</v>
      </c>
      <c r="B101" s="18">
        <f>D84</f>
        <v>466.33500000000009</v>
      </c>
      <c r="C101" s="52"/>
      <c r="D101" s="714"/>
      <c r="E101" s="714"/>
      <c r="F101" s="682"/>
      <c r="G101" s="798"/>
      <c r="H101" s="1189"/>
      <c r="I101" s="1190"/>
    </row>
    <row r="102" spans="1:10" x14ac:dyDescent="0.2">
      <c r="A102" s="717" t="s">
        <v>5541</v>
      </c>
      <c r="B102" s="18">
        <v>270</v>
      </c>
      <c r="C102" s="1557"/>
      <c r="F102" s="682"/>
      <c r="G102" s="798"/>
      <c r="H102" s="1189"/>
      <c r="I102" s="1190"/>
      <c r="J102" s="799"/>
    </row>
    <row r="103" spans="1:10" x14ac:dyDescent="0.2">
      <c r="A103" s="717" t="s">
        <v>7285</v>
      </c>
      <c r="B103" s="18">
        <f>1620/12</f>
        <v>135</v>
      </c>
      <c r="C103" s="52"/>
      <c r="F103" s="682"/>
      <c r="G103" s="798"/>
      <c r="H103" s="1189"/>
      <c r="I103" s="1190"/>
      <c r="J103" s="799"/>
    </row>
    <row r="104" spans="1:10" x14ac:dyDescent="0.2">
      <c r="A104" s="981" t="s">
        <v>5542</v>
      </c>
      <c r="B104" s="1558">
        <v>0</v>
      </c>
      <c r="C104" s="52"/>
      <c r="F104" s="682"/>
      <c r="G104" s="798"/>
      <c r="H104" s="1189"/>
      <c r="I104" s="1190"/>
      <c r="J104" s="799"/>
    </row>
    <row r="105" spans="1:10" x14ac:dyDescent="0.2">
      <c r="A105" s="358"/>
      <c r="B105" s="1140"/>
      <c r="F105" s="682"/>
      <c r="G105" s="798"/>
      <c r="H105" s="1189"/>
      <c r="I105" s="1190"/>
      <c r="J105" s="799"/>
    </row>
    <row r="106" spans="1:10" ht="15.75" x14ac:dyDescent="0.25">
      <c r="A106" s="718"/>
      <c r="B106" s="719"/>
      <c r="F106" s="682"/>
      <c r="G106" s="798"/>
      <c r="H106" s="1189"/>
      <c r="I106" s="1190"/>
      <c r="J106" s="799"/>
    </row>
    <row r="107" spans="1:10" x14ac:dyDescent="0.2">
      <c r="A107" s="717"/>
      <c r="C107" s="18"/>
      <c r="F107" s="1171"/>
      <c r="G107" s="798"/>
      <c r="H107" s="1189"/>
      <c r="I107" s="1189"/>
    </row>
    <row r="108" spans="1:10" ht="15.75" x14ac:dyDescent="0.25">
      <c r="A108" s="1872"/>
      <c r="B108" s="1676">
        <f>SUM(B101:B107)</f>
        <v>871.33500000000004</v>
      </c>
      <c r="C108" s="18"/>
      <c r="F108" s="1171"/>
      <c r="G108" s="798"/>
      <c r="H108" s="1189"/>
      <c r="I108" s="1189"/>
    </row>
    <row r="109" spans="1:10" x14ac:dyDescent="0.2">
      <c r="A109" s="717"/>
      <c r="B109" s="18"/>
      <c r="C109" s="18"/>
      <c r="F109" s="1171"/>
      <c r="G109" s="798"/>
      <c r="H109" s="1189"/>
      <c r="I109" s="1189"/>
    </row>
    <row r="110" spans="1:10" x14ac:dyDescent="0.2">
      <c r="A110" s="717"/>
      <c r="B110" s="18"/>
      <c r="F110" s="682"/>
      <c r="G110" s="798"/>
      <c r="H110" s="1189"/>
      <c r="I110" s="1190"/>
    </row>
    <row r="111" spans="1:10" ht="15" x14ac:dyDescent="0.25">
      <c r="A111" s="717"/>
      <c r="B111" s="18"/>
      <c r="C111" s="52"/>
      <c r="D111" s="714"/>
      <c r="E111" s="714"/>
      <c r="F111" s="682"/>
      <c r="G111" s="798"/>
      <c r="H111" s="1189"/>
      <c r="I111" s="1190"/>
    </row>
    <row r="112" spans="1:10" x14ac:dyDescent="0.2">
      <c r="A112" s="717"/>
      <c r="B112" s="18"/>
      <c r="C112" s="1557"/>
      <c r="F112" s="682"/>
      <c r="G112" s="798"/>
      <c r="H112" s="1189"/>
      <c r="I112" s="1190"/>
      <c r="J112" s="799"/>
    </row>
    <row r="113" spans="1:10" x14ac:dyDescent="0.2">
      <c r="A113" s="746"/>
      <c r="B113" s="18"/>
      <c r="C113" s="52"/>
      <c r="F113" s="682"/>
      <c r="G113" s="798"/>
      <c r="H113" s="1189"/>
      <c r="I113" s="1190"/>
      <c r="J113" s="799"/>
    </row>
    <row r="114" spans="1:10" x14ac:dyDescent="0.2">
      <c r="A114" s="358"/>
      <c r="B114" s="1558"/>
      <c r="C114" s="52"/>
      <c r="F114" s="682"/>
      <c r="G114" s="798"/>
      <c r="H114" s="1189"/>
      <c r="I114" s="1190"/>
      <c r="J114" s="799"/>
    </row>
    <row r="115" spans="1:10" x14ac:dyDescent="0.2">
      <c r="A115" s="358"/>
      <c r="B115" s="1140"/>
      <c r="F115" s="682"/>
      <c r="G115" s="798"/>
      <c r="H115" s="1189"/>
      <c r="I115" s="1190"/>
      <c r="J115" s="799"/>
    </row>
    <row r="116" spans="1:10" ht="15.75" x14ac:dyDescent="0.25">
      <c r="A116" s="718"/>
      <c r="B116" s="719"/>
      <c r="F116" s="682"/>
      <c r="G116" s="798"/>
      <c r="H116" s="1189"/>
      <c r="I116" s="1190"/>
      <c r="J116" s="799"/>
    </row>
    <row r="117" spans="1:10" x14ac:dyDescent="0.2">
      <c r="A117" s="717"/>
      <c r="C117" s="18"/>
      <c r="F117" s="1171"/>
      <c r="G117" s="798"/>
      <c r="H117" s="1189"/>
      <c r="I117" s="1189"/>
    </row>
    <row r="118" spans="1:10" x14ac:dyDescent="0.2">
      <c r="A118" s="717"/>
      <c r="B118" s="18"/>
      <c r="C118" s="18"/>
      <c r="F118" s="1171"/>
      <c r="G118" s="798"/>
      <c r="H118" s="1189"/>
      <c r="I118" s="1189"/>
    </row>
    <row r="119" spans="1:10" x14ac:dyDescent="0.2">
      <c r="A119" s="717"/>
      <c r="B119" s="18"/>
      <c r="C119" s="18"/>
      <c r="F119" s="1171"/>
      <c r="G119" s="798"/>
      <c r="H119" s="1189"/>
      <c r="I119" s="1189"/>
    </row>
    <row r="120" spans="1:10" x14ac:dyDescent="0.2">
      <c r="A120" s="717"/>
      <c r="B120" s="18"/>
      <c r="F120" s="682"/>
      <c r="G120" s="798"/>
      <c r="H120" s="1189"/>
      <c r="I120" s="1190"/>
    </row>
    <row r="121" spans="1:10" ht="15" x14ac:dyDescent="0.25">
      <c r="A121" s="717"/>
      <c r="B121" s="18"/>
      <c r="C121" s="52"/>
      <c r="D121" s="714"/>
      <c r="E121" s="714"/>
      <c r="F121" s="682"/>
      <c r="G121" s="798"/>
      <c r="H121" s="1189"/>
      <c r="I121" s="1190"/>
    </row>
    <row r="122" spans="1:10" x14ac:dyDescent="0.2">
      <c r="A122" s="717"/>
      <c r="B122" s="18"/>
      <c r="C122" s="1557"/>
      <c r="F122" s="682"/>
      <c r="G122" s="798"/>
      <c r="H122" s="1189"/>
      <c r="I122" s="1190"/>
      <c r="J122" s="799"/>
    </row>
    <row r="123" spans="1:10" x14ac:dyDescent="0.2">
      <c r="A123" s="746"/>
      <c r="B123" s="18"/>
      <c r="C123" s="52"/>
      <c r="F123" s="682"/>
      <c r="G123" s="798"/>
      <c r="H123" s="1189"/>
      <c r="I123" s="1190"/>
      <c r="J123" s="799"/>
    </row>
    <row r="124" spans="1:10" x14ac:dyDescent="0.2">
      <c r="A124" s="358"/>
      <c r="B124" s="1558"/>
      <c r="C124" s="52"/>
      <c r="F124" s="682"/>
      <c r="G124" s="798"/>
      <c r="H124" s="1189"/>
      <c r="I124" s="1190"/>
      <c r="J124" s="799"/>
    </row>
    <row r="125" spans="1:10" x14ac:dyDescent="0.2">
      <c r="A125" s="358"/>
      <c r="B125" s="1140"/>
      <c r="F125" s="682"/>
      <c r="G125" s="798"/>
      <c r="H125" s="1189"/>
      <c r="I125" s="1190"/>
      <c r="J125" s="799"/>
    </row>
    <row r="126" spans="1:10" ht="15.75" x14ac:dyDescent="0.25">
      <c r="A126" s="718"/>
      <c r="B126" s="719"/>
      <c r="F126" s="682"/>
      <c r="G126" s="798"/>
      <c r="H126" s="1189"/>
      <c r="I126" s="1190"/>
      <c r="J126" s="799"/>
    </row>
    <row r="127" spans="1:10" x14ac:dyDescent="0.2">
      <c r="F127" s="682"/>
      <c r="G127" s="798"/>
      <c r="H127" s="1189"/>
      <c r="I127" s="1190"/>
      <c r="J127" s="799"/>
    </row>
    <row r="128" spans="1:10" ht="51.75" customHeight="1" x14ac:dyDescent="0.35">
      <c r="A128" s="1139"/>
      <c r="B128" s="1139"/>
      <c r="F128" s="682"/>
      <c r="G128" s="798"/>
      <c r="H128" s="1189"/>
      <c r="I128" s="1190"/>
      <c r="J128" s="799"/>
    </row>
    <row r="129" spans="1:10" x14ac:dyDescent="0.2">
      <c r="A129" s="717"/>
      <c r="B129" s="18"/>
      <c r="F129" s="682"/>
      <c r="G129" s="798"/>
      <c r="H129" s="1189"/>
      <c r="I129" s="1190"/>
      <c r="J129" s="799"/>
    </row>
    <row r="130" spans="1:10" x14ac:dyDescent="0.2">
      <c r="A130" s="717"/>
      <c r="B130" s="18"/>
      <c r="F130" s="682"/>
      <c r="G130" s="798"/>
      <c r="H130" s="1189"/>
      <c r="I130" s="1190"/>
      <c r="J130" s="799"/>
    </row>
    <row r="131" spans="1:10" x14ac:dyDescent="0.2">
      <c r="A131" s="358"/>
      <c r="B131" s="1558"/>
      <c r="F131" s="682"/>
      <c r="G131" s="798"/>
      <c r="H131" s="1189"/>
      <c r="I131" s="1190"/>
      <c r="J131" s="799"/>
    </row>
    <row r="132" spans="1:10" x14ac:dyDescent="0.2">
      <c r="A132" s="358"/>
      <c r="B132" s="1140"/>
      <c r="F132" s="682"/>
      <c r="G132" s="798"/>
      <c r="H132" s="1189"/>
      <c r="I132" s="1190"/>
      <c r="J132" s="799"/>
    </row>
    <row r="133" spans="1:10" ht="15.75" x14ac:dyDescent="0.25">
      <c r="A133" s="718"/>
      <c r="B133" s="719"/>
      <c r="F133" s="682"/>
      <c r="G133" s="798"/>
      <c r="H133" s="1189"/>
      <c r="I133" s="1190"/>
      <c r="J133" s="799"/>
    </row>
    <row r="134" spans="1:10" x14ac:dyDescent="0.2">
      <c r="F134" s="682"/>
      <c r="G134" s="798"/>
      <c r="H134" s="1189"/>
      <c r="I134" s="1190"/>
      <c r="J134" s="799"/>
    </row>
    <row r="135" spans="1:10" ht="51.75" customHeight="1" x14ac:dyDescent="0.35">
      <c r="A135" s="1139"/>
      <c r="B135" s="1139"/>
      <c r="F135" s="682"/>
      <c r="G135" s="798"/>
      <c r="H135" s="1189"/>
      <c r="I135" s="1189"/>
      <c r="J135" s="799"/>
    </row>
    <row r="136" spans="1:10" x14ac:dyDescent="0.2">
      <c r="A136" s="717"/>
      <c r="B136" s="18"/>
      <c r="F136" s="682"/>
      <c r="G136" s="798"/>
      <c r="H136" s="1189"/>
      <c r="I136" s="1189"/>
      <c r="J136" s="799"/>
    </row>
    <row r="137" spans="1:10" x14ac:dyDescent="0.2">
      <c r="A137" s="717"/>
      <c r="B137" s="18"/>
      <c r="F137" s="682"/>
      <c r="G137" s="798"/>
      <c r="H137" s="1189"/>
      <c r="I137" s="1189"/>
    </row>
    <row r="138" spans="1:10" x14ac:dyDescent="0.2">
      <c r="A138" s="358"/>
      <c r="B138" s="1558"/>
      <c r="F138" s="682"/>
      <c r="G138" s="798"/>
      <c r="H138" s="1189"/>
      <c r="I138" s="1190"/>
    </row>
    <row r="139" spans="1:10" x14ac:dyDescent="0.2">
      <c r="A139" s="358"/>
      <c r="B139" s="1140"/>
      <c r="F139" s="682"/>
      <c r="G139" s="798"/>
      <c r="H139" s="1189"/>
      <c r="I139" s="1189"/>
    </row>
    <row r="140" spans="1:10" ht="15.75" x14ac:dyDescent="0.25">
      <c r="A140" s="718"/>
      <c r="B140" s="719"/>
      <c r="F140" s="682"/>
      <c r="G140" s="798"/>
      <c r="H140" s="1189"/>
      <c r="I140" s="1189"/>
    </row>
    <row r="141" spans="1:10" x14ac:dyDescent="0.2">
      <c r="F141" s="682"/>
      <c r="G141" s="798"/>
      <c r="H141" s="1189"/>
      <c r="I141" s="1189"/>
    </row>
    <row r="142" spans="1:10" ht="70.5" customHeight="1" x14ac:dyDescent="0.35">
      <c r="A142" s="1139"/>
      <c r="B142" s="1139"/>
      <c r="F142" s="682"/>
      <c r="G142" s="798"/>
      <c r="H142" s="1189"/>
      <c r="I142" s="1189"/>
    </row>
    <row r="143" spans="1:10" x14ac:dyDescent="0.2">
      <c r="A143" s="717"/>
      <c r="B143" s="18"/>
      <c r="F143" s="682"/>
      <c r="G143" s="798"/>
      <c r="H143" s="1189"/>
      <c r="I143" s="1189"/>
    </row>
    <row r="144" spans="1:10" x14ac:dyDescent="0.2">
      <c r="A144" s="717"/>
      <c r="B144" s="18"/>
      <c r="F144" s="682"/>
      <c r="G144" s="798"/>
    </row>
    <row r="145" spans="1:7" x14ac:dyDescent="0.2">
      <c r="A145" s="717"/>
      <c r="B145" s="18"/>
      <c r="F145" s="165"/>
      <c r="G145" s="798"/>
    </row>
    <row r="146" spans="1:7" x14ac:dyDescent="0.2">
      <c r="A146" s="358"/>
      <c r="B146" s="1558"/>
      <c r="F146" s="165"/>
      <c r="G146" s="798"/>
    </row>
    <row r="147" spans="1:7" x14ac:dyDescent="0.2">
      <c r="A147" s="358"/>
      <c r="B147" s="1140"/>
      <c r="F147" s="165"/>
      <c r="G147" s="798"/>
    </row>
    <row r="148" spans="1:7" ht="15.75" x14ac:dyDescent="0.25">
      <c r="A148" s="718"/>
      <c r="B148" s="719"/>
      <c r="F148" s="165"/>
      <c r="G148" s="798"/>
    </row>
    <row r="149" spans="1:7" x14ac:dyDescent="0.2">
      <c r="F149" s="165"/>
      <c r="G149" s="798"/>
    </row>
    <row r="150" spans="1:7" ht="45" customHeight="1" x14ac:dyDescent="0.35">
      <c r="A150" s="1139"/>
      <c r="B150" s="1139"/>
      <c r="F150" s="165"/>
      <c r="G150" s="798"/>
    </row>
    <row r="151" spans="1:7" x14ac:dyDescent="0.2">
      <c r="A151" s="717"/>
      <c r="B151" s="18"/>
      <c r="F151" s="165"/>
      <c r="G151" s="798"/>
    </row>
    <row r="152" spans="1:7" x14ac:dyDescent="0.2">
      <c r="A152" s="717"/>
      <c r="B152" s="18"/>
      <c r="F152" s="165"/>
      <c r="G152" s="798"/>
    </row>
    <row r="153" spans="1:7" x14ac:dyDescent="0.2">
      <c r="A153" s="717"/>
      <c r="B153" s="18"/>
      <c r="F153" s="165"/>
      <c r="G153" s="1"/>
    </row>
    <row r="154" spans="1:7" x14ac:dyDescent="0.2">
      <c r="A154" s="717"/>
      <c r="B154" s="18"/>
      <c r="F154" s="165"/>
      <c r="G154" s="798"/>
    </row>
    <row r="155" spans="1:7" x14ac:dyDescent="0.2">
      <c r="A155" s="717"/>
      <c r="B155" s="18"/>
      <c r="F155" s="165"/>
      <c r="G155" s="798"/>
    </row>
    <row r="156" spans="1:7" x14ac:dyDescent="0.2">
      <c r="A156" s="358"/>
      <c r="B156" s="1558"/>
      <c r="F156" s="165"/>
      <c r="G156" s="798"/>
    </row>
    <row r="157" spans="1:7" x14ac:dyDescent="0.2">
      <c r="A157" s="358"/>
      <c r="B157" s="1140"/>
      <c r="F157" s="165"/>
      <c r="G157" s="798"/>
    </row>
    <row r="158" spans="1:7" ht="15.75" x14ac:dyDescent="0.25">
      <c r="A158" s="718"/>
      <c r="B158" s="719"/>
    </row>
    <row r="161" spans="1:8" ht="23.25" x14ac:dyDescent="0.35">
      <c r="A161" s="1139"/>
      <c r="B161" s="1139"/>
    </row>
    <row r="162" spans="1:8" x14ac:dyDescent="0.2">
      <c r="A162" s="717"/>
      <c r="B162" s="18"/>
      <c r="G162" s="31"/>
      <c r="H162" s="31"/>
    </row>
    <row r="163" spans="1:8" x14ac:dyDescent="0.2">
      <c r="A163" s="717"/>
      <c r="B163" s="18"/>
      <c r="G163" s="717"/>
      <c r="H163" s="239"/>
    </row>
    <row r="164" spans="1:8" x14ac:dyDescent="0.2">
      <c r="A164" s="717"/>
      <c r="B164" s="18"/>
      <c r="G164" s="717"/>
      <c r="H164" s="239"/>
    </row>
    <row r="165" spans="1:8" x14ac:dyDescent="0.2">
      <c r="A165" s="358"/>
      <c r="B165" s="1558"/>
      <c r="G165" s="717"/>
      <c r="H165" s="239"/>
    </row>
    <row r="166" spans="1:8" x14ac:dyDescent="0.2">
      <c r="A166" s="358"/>
      <c r="B166" s="1140"/>
      <c r="G166" s="717"/>
      <c r="H166" s="239"/>
    </row>
    <row r="167" spans="1:8" ht="15.75" x14ac:dyDescent="0.25">
      <c r="A167" s="718"/>
      <c r="B167" s="719"/>
      <c r="H167" s="239"/>
    </row>
    <row r="168" spans="1:8" ht="15.75" x14ac:dyDescent="0.25">
      <c r="A168" s="718"/>
      <c r="B168" s="719"/>
      <c r="H168" s="239"/>
    </row>
    <row r="169" spans="1:8" ht="18.75" customHeight="1" x14ac:dyDescent="0.35">
      <c r="A169" s="1139"/>
      <c r="B169" s="1139"/>
    </row>
    <row r="170" spans="1:8" x14ac:dyDescent="0.2">
      <c r="A170" s="1141"/>
      <c r="B170" s="18"/>
    </row>
    <row r="171" spans="1:8" x14ac:dyDescent="0.2">
      <c r="A171" s="717"/>
      <c r="B171" s="18"/>
    </row>
    <row r="172" spans="1:8" x14ac:dyDescent="0.2">
      <c r="A172" s="717"/>
      <c r="B172" s="18"/>
    </row>
    <row r="173" spans="1:8" x14ac:dyDescent="0.2">
      <c r="A173" s="717"/>
      <c r="B173" s="18"/>
    </row>
    <row r="174" spans="1:8" x14ac:dyDescent="0.2">
      <c r="A174" s="717"/>
      <c r="B174" s="18"/>
    </row>
    <row r="175" spans="1:8" x14ac:dyDescent="0.2">
      <c r="A175" s="717"/>
      <c r="B175" s="18"/>
    </row>
    <row r="176" spans="1:8" x14ac:dyDescent="0.2">
      <c r="A176" s="717"/>
      <c r="B176" s="18"/>
    </row>
    <row r="177" spans="1:10" x14ac:dyDescent="0.2">
      <c r="A177" s="717"/>
      <c r="B177" s="18"/>
    </row>
    <row r="178" spans="1:10" x14ac:dyDescent="0.2">
      <c r="A178" s="717"/>
      <c r="B178" s="18"/>
    </row>
    <row r="179" spans="1:10" x14ac:dyDescent="0.2">
      <c r="A179" s="717"/>
      <c r="B179" s="18"/>
    </row>
    <row r="180" spans="1:10" x14ac:dyDescent="0.2">
      <c r="A180" s="717"/>
      <c r="B180" s="18"/>
    </row>
    <row r="181" spans="1:10" x14ac:dyDescent="0.2">
      <c r="A181" s="358"/>
      <c r="B181" s="1558"/>
    </row>
    <row r="182" spans="1:10" x14ac:dyDescent="0.2">
      <c r="A182" s="358"/>
      <c r="B182" s="1140"/>
    </row>
    <row r="183" spans="1:10" ht="15.75" x14ac:dyDescent="0.25">
      <c r="A183" s="718"/>
      <c r="B183" s="719"/>
    </row>
    <row r="184" spans="1:10" ht="15.75" x14ac:dyDescent="0.25">
      <c r="A184" s="718"/>
      <c r="B184" s="719"/>
    </row>
    <row r="185" spans="1:10" ht="51.75" customHeight="1" x14ac:dyDescent="0.35">
      <c r="A185" s="1139"/>
      <c r="B185" s="1139"/>
      <c r="F185" s="682"/>
      <c r="G185" s="798"/>
      <c r="H185" s="1189"/>
      <c r="I185" s="1190"/>
      <c r="J185" s="799"/>
    </row>
    <row r="186" spans="1:10" x14ac:dyDescent="0.2">
      <c r="A186" s="717"/>
      <c r="B186" s="18"/>
      <c r="F186" s="682"/>
      <c r="G186" s="798"/>
      <c r="H186" s="1189"/>
      <c r="I186" s="1190"/>
      <c r="J186" s="799"/>
    </row>
    <row r="187" spans="1:10" x14ac:dyDescent="0.2">
      <c r="A187" s="717"/>
      <c r="B187" s="18"/>
      <c r="F187" s="682"/>
      <c r="G187" s="798"/>
      <c r="H187" s="1189"/>
      <c r="I187" s="1190"/>
      <c r="J187" s="799"/>
    </row>
    <row r="188" spans="1:10" x14ac:dyDescent="0.2">
      <c r="A188" s="717"/>
      <c r="B188" s="18"/>
      <c r="F188" s="682"/>
      <c r="G188" s="798"/>
      <c r="H188" s="1189"/>
      <c r="I188" s="1190"/>
      <c r="J188" s="799"/>
    </row>
    <row r="189" spans="1:10" x14ac:dyDescent="0.2">
      <c r="A189" s="717"/>
      <c r="B189" s="18"/>
      <c r="F189" s="682"/>
      <c r="G189" s="798"/>
      <c r="H189" s="1189"/>
      <c r="I189" s="1190"/>
      <c r="J189" s="799"/>
    </row>
    <row r="190" spans="1:10" x14ac:dyDescent="0.2">
      <c r="A190" s="358"/>
      <c r="B190" s="1558"/>
      <c r="F190" s="682"/>
      <c r="G190" s="798"/>
      <c r="H190" s="1189"/>
      <c r="I190" s="1190"/>
      <c r="J190" s="799"/>
    </row>
    <row r="191" spans="1:10" x14ac:dyDescent="0.2">
      <c r="A191" s="358"/>
      <c r="B191" s="1140"/>
      <c r="F191" s="682"/>
      <c r="G191" s="798"/>
      <c r="H191" s="1189"/>
      <c r="I191" s="1190"/>
      <c r="J191" s="799"/>
    </row>
    <row r="192" spans="1:10" ht="15.75" x14ac:dyDescent="0.25">
      <c r="A192" s="718"/>
      <c r="B192" s="719"/>
      <c r="F192" s="682"/>
      <c r="G192" s="798"/>
      <c r="H192" s="1189"/>
      <c r="I192" s="1190"/>
      <c r="J192" s="799"/>
    </row>
    <row r="193" spans="1:10" x14ac:dyDescent="0.2">
      <c r="F193" s="682"/>
      <c r="G193" s="798"/>
      <c r="H193" s="1189"/>
      <c r="I193" s="1190"/>
      <c r="J193" s="799"/>
    </row>
    <row r="194" spans="1:10" ht="51.75" customHeight="1" x14ac:dyDescent="0.35">
      <c r="A194" s="1139"/>
      <c r="B194" s="1139"/>
      <c r="F194" s="682"/>
      <c r="G194" s="798"/>
      <c r="H194" s="1189"/>
      <c r="I194" s="1190"/>
      <c r="J194" s="799"/>
    </row>
    <row r="195" spans="1:10" x14ac:dyDescent="0.2">
      <c r="A195" s="717"/>
      <c r="B195" s="18"/>
      <c r="F195" s="682"/>
      <c r="G195" s="798"/>
      <c r="H195" s="1189"/>
      <c r="I195" s="1190"/>
      <c r="J195" s="799"/>
    </row>
    <row r="196" spans="1:10" x14ac:dyDescent="0.2">
      <c r="A196" s="717"/>
      <c r="B196" s="18"/>
      <c r="F196" s="682"/>
      <c r="G196" s="798"/>
      <c r="H196" s="1189"/>
      <c r="I196" s="1190"/>
      <c r="J196" s="799"/>
    </row>
    <row r="197" spans="1:10" x14ac:dyDescent="0.2">
      <c r="A197" s="717"/>
      <c r="B197" s="18"/>
      <c r="F197" s="682"/>
      <c r="G197" s="798"/>
      <c r="H197" s="1189"/>
      <c r="I197" s="1190"/>
      <c r="J197" s="799"/>
    </row>
    <row r="198" spans="1:10" x14ac:dyDescent="0.2">
      <c r="A198" s="358"/>
      <c r="B198" s="1559"/>
      <c r="F198" s="682"/>
      <c r="G198" s="798"/>
      <c r="H198" s="1189"/>
      <c r="I198" s="1190"/>
      <c r="J198" s="799"/>
    </row>
    <row r="199" spans="1:10" x14ac:dyDescent="0.2">
      <c r="A199" s="358"/>
      <c r="B199" s="1142"/>
      <c r="F199" s="682"/>
      <c r="G199" s="798"/>
      <c r="H199" s="1189"/>
      <c r="I199" s="1190"/>
      <c r="J199" s="799"/>
    </row>
    <row r="200" spans="1:10" ht="15.75" x14ac:dyDescent="0.25">
      <c r="A200" s="718"/>
      <c r="B200" s="1143"/>
      <c r="F200" s="682"/>
      <c r="G200" s="798"/>
      <c r="H200" s="1189"/>
      <c r="I200" s="1190"/>
      <c r="J200" s="799"/>
    </row>
    <row r="201" spans="1:10" x14ac:dyDescent="0.2">
      <c r="F201" s="682"/>
      <c r="G201" s="798"/>
      <c r="H201" s="1189"/>
      <c r="I201" s="1190"/>
      <c r="J201" s="799"/>
    </row>
    <row r="202" spans="1:10" ht="16.5" customHeight="1" x14ac:dyDescent="0.35">
      <c r="A202" s="1139"/>
      <c r="B202" s="1139"/>
      <c r="F202" s="682"/>
      <c r="G202" s="798"/>
      <c r="H202" s="1189"/>
      <c r="I202" s="1190"/>
      <c r="J202" s="799"/>
    </row>
    <row r="203" spans="1:10" x14ac:dyDescent="0.2">
      <c r="A203" s="717"/>
      <c r="B203" s="18"/>
      <c r="F203" s="682"/>
      <c r="G203" s="798"/>
      <c r="H203" s="1189"/>
      <c r="I203" s="1190"/>
      <c r="J203" s="799"/>
    </row>
    <row r="204" spans="1:10" x14ac:dyDescent="0.2">
      <c r="A204" s="717"/>
      <c r="B204" s="18"/>
      <c r="F204" s="682"/>
      <c r="G204" s="798"/>
      <c r="H204" s="1189"/>
      <c r="I204" s="1190"/>
      <c r="J204" s="799"/>
    </row>
    <row r="205" spans="1:10" x14ac:dyDescent="0.2">
      <c r="A205" s="358"/>
      <c r="B205" s="1558"/>
      <c r="F205" s="682"/>
      <c r="G205" s="798"/>
      <c r="H205" s="1189"/>
      <c r="I205" s="1190"/>
      <c r="J205" s="799"/>
    </row>
    <row r="206" spans="1:10" x14ac:dyDescent="0.2">
      <c r="A206" s="358"/>
      <c r="B206" s="1140"/>
      <c r="F206" s="682"/>
      <c r="G206" s="798"/>
      <c r="H206" s="1189"/>
      <c r="I206" s="1190"/>
      <c r="J206" s="799"/>
    </row>
    <row r="207" spans="1:10" ht="15.75" x14ac:dyDescent="0.25">
      <c r="A207" s="718"/>
      <c r="B207" s="719"/>
      <c r="F207" s="682"/>
      <c r="G207" s="798"/>
      <c r="H207" s="1189"/>
      <c r="I207" s="1190"/>
      <c r="J207" s="799"/>
    </row>
    <row r="208" spans="1:10" x14ac:dyDescent="0.2">
      <c r="F208" s="682"/>
      <c r="G208" s="798"/>
      <c r="H208" s="1189"/>
      <c r="I208" s="1190"/>
      <c r="J208" s="799"/>
    </row>
    <row r="211" spans="1:2" x14ac:dyDescent="0.2">
      <c r="A211" s="717"/>
      <c r="B211" s="670"/>
    </row>
    <row r="230" spans="1:6" x14ac:dyDescent="0.2">
      <c r="A230" s="717"/>
      <c r="B230" s="717"/>
      <c r="C230" s="717"/>
      <c r="D230" s="717"/>
      <c r="E230" s="717"/>
      <c r="F230" s="717"/>
    </row>
    <row r="231" spans="1:6" x14ac:dyDescent="0.2">
      <c r="A231" s="31"/>
      <c r="B231" s="31"/>
      <c r="C231" s="1144"/>
      <c r="D231" s="1144"/>
      <c r="E231" s="1144"/>
      <c r="F231" s="31"/>
    </row>
    <row r="232" spans="1:6" x14ac:dyDescent="0.2">
      <c r="A232" s="48"/>
      <c r="B232" s="70"/>
      <c r="C232" s="1145"/>
      <c r="D232" s="1146"/>
      <c r="E232" s="1146"/>
      <c r="F232" s="1147"/>
    </row>
    <row r="233" spans="1:6" x14ac:dyDescent="0.2">
      <c r="A233" s="48"/>
      <c r="B233" s="70"/>
      <c r="C233" s="1148"/>
      <c r="D233" s="1146"/>
      <c r="E233" s="1146"/>
      <c r="F233" s="1147"/>
    </row>
    <row r="234" spans="1:6" x14ac:dyDescent="0.2">
      <c r="A234" s="48"/>
      <c r="B234" s="1147"/>
      <c r="C234" s="1149"/>
      <c r="D234" s="1146"/>
      <c r="E234" s="1146"/>
      <c r="F234" s="1147"/>
    </row>
    <row r="235" spans="1:6" x14ac:dyDescent="0.2">
      <c r="A235" s="48"/>
      <c r="B235" s="1147"/>
      <c r="C235" s="1148"/>
      <c r="D235" s="1146"/>
      <c r="E235" s="1146"/>
      <c r="F235" s="1147"/>
    </row>
    <row r="236" spans="1:6" x14ac:dyDescent="0.2">
      <c r="A236" s="1150"/>
      <c r="B236" s="1151"/>
      <c r="C236" s="1152"/>
      <c r="D236" s="1146"/>
      <c r="E236" s="1146"/>
      <c r="F236" s="1146"/>
    </row>
    <row r="237" spans="1:6" x14ac:dyDescent="0.2">
      <c r="A237" s="48"/>
      <c r="B237" s="70"/>
      <c r="C237" s="1145"/>
      <c r="D237" s="1147"/>
      <c r="E237" s="1147"/>
      <c r="F237" s="1147"/>
    </row>
    <row r="238" spans="1:6" x14ac:dyDescent="0.2">
      <c r="A238" s="48"/>
      <c r="B238" s="70"/>
      <c r="C238" s="1145"/>
      <c r="D238" s="1147"/>
      <c r="E238" s="1147"/>
      <c r="F238" s="1147"/>
    </row>
    <row r="239" spans="1:6" x14ac:dyDescent="0.2">
      <c r="A239" s="48"/>
      <c r="B239" s="70"/>
      <c r="C239" s="1145"/>
      <c r="D239" s="1147"/>
      <c r="E239" s="1147"/>
      <c r="F239" s="1147"/>
    </row>
    <row r="240" spans="1:6" x14ac:dyDescent="0.2">
      <c r="A240" s="48"/>
      <c r="B240" s="1153"/>
      <c r="C240" s="1145"/>
      <c r="D240" s="1147"/>
      <c r="E240" s="1147"/>
      <c r="F240" s="1147"/>
    </row>
    <row r="241" spans="1:6" x14ac:dyDescent="0.2">
      <c r="C241" s="1145"/>
      <c r="D241" s="1147"/>
      <c r="E241" s="1147"/>
      <c r="F241" s="1147"/>
    </row>
    <row r="242" spans="1:6" x14ac:dyDescent="0.2">
      <c r="A242" s="7"/>
      <c r="B242" s="232"/>
      <c r="C242" s="1145"/>
      <c r="D242" s="1147"/>
      <c r="E242" s="1147"/>
      <c r="F242" s="1147"/>
    </row>
    <row r="243" spans="1:6" x14ac:dyDescent="0.2">
      <c r="A243" s="7"/>
      <c r="B243" s="1154"/>
      <c r="C243" s="32"/>
      <c r="D243" s="1097"/>
      <c r="E243" s="1097"/>
      <c r="F243" s="1155"/>
    </row>
  </sheetData>
  <sheetProtection selectLockedCells="1" selectUnlockedCells="1"/>
  <autoFilter ref="A27:C51" xr:uid="{00000000-0001-0000-9A00-000000000000}"/>
  <mergeCells count="2">
    <mergeCell ref="A2:B2"/>
    <mergeCell ref="H23:J23"/>
  </mergeCells>
  <phoneticPr fontId="117" type="noConversion"/>
  <pageMargins left="0.13" right="0.14000000000000001" top="0.44" bottom="0.984251969" header="0.49212598499999999" footer="0.49212598499999999"/>
  <pageSetup paperSize="9" scale="83" orientation="landscape" horizontalDpi="300" verticalDpi="300" r:id="rId1"/>
  <headerFooter alignWithMargins="0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Plan70"/>
  <dimension ref="A1:J176"/>
  <sheetViews>
    <sheetView zoomScale="90" zoomScaleNormal="90" workbookViewId="0">
      <selection activeCell="G9" sqref="G9"/>
    </sheetView>
  </sheetViews>
  <sheetFormatPr defaultRowHeight="12.75" x14ac:dyDescent="0.2"/>
  <cols>
    <col min="1" max="1" width="39.42578125" customWidth="1"/>
    <col min="2" max="2" width="15.5703125" customWidth="1"/>
    <col min="3" max="3" width="21.5703125" customWidth="1"/>
    <col min="4" max="4" width="18" customWidth="1"/>
    <col min="5" max="5" width="26.28515625" style="24" customWidth="1"/>
    <col min="6" max="6" width="20.7109375" customWidth="1"/>
    <col min="7" max="7" width="21" bestFit="1" customWidth="1"/>
    <col min="8" max="8" width="17.42578125" customWidth="1"/>
  </cols>
  <sheetData>
    <row r="1" spans="1:9" ht="15.75" customHeight="1" thickBot="1" x14ac:dyDescent="0.25">
      <c r="A1" s="3501" t="s">
        <v>5543</v>
      </c>
      <c r="B1" s="3502"/>
      <c r="C1" s="3502"/>
      <c r="D1" s="3502"/>
      <c r="E1" s="3503"/>
    </row>
    <row r="2" spans="1:9" ht="15" customHeight="1" thickBot="1" x14ac:dyDescent="0.3">
      <c r="A2" s="3637" t="s">
        <v>5544</v>
      </c>
      <c r="B2" s="3638"/>
      <c r="C2" s="3638"/>
      <c r="D2" s="3638"/>
      <c r="E2" s="3639"/>
      <c r="F2" s="216">
        <v>4000</v>
      </c>
      <c r="G2" s="79" t="s">
        <v>5545</v>
      </c>
    </row>
    <row r="3" spans="1:9" s="7" customFormat="1" ht="13.5" customHeight="1" thickBot="1" x14ac:dyDescent="0.3">
      <c r="A3" s="8" t="s">
        <v>5546</v>
      </c>
      <c r="B3" s="11" t="s">
        <v>5427</v>
      </c>
      <c r="C3" s="674" t="s">
        <v>5547</v>
      </c>
      <c r="D3" s="760" t="s">
        <v>5548</v>
      </c>
      <c r="E3" s="164" t="s">
        <v>772</v>
      </c>
      <c r="F3" s="216">
        <v>4000</v>
      </c>
      <c r="G3" s="79" t="s">
        <v>5549</v>
      </c>
    </row>
    <row r="4" spans="1:9" ht="15" x14ac:dyDescent="0.25">
      <c r="A4" s="186" t="s">
        <v>5550</v>
      </c>
      <c r="B4" s="191">
        <v>700</v>
      </c>
      <c r="C4" s="971"/>
      <c r="D4" s="972"/>
      <c r="E4" s="678">
        <f>B4-C4-D4</f>
        <v>700</v>
      </c>
      <c r="F4" s="216">
        <v>8000</v>
      </c>
      <c r="G4" s="79" t="s">
        <v>5551</v>
      </c>
    </row>
    <row r="5" spans="1:9" ht="15" x14ac:dyDescent="0.25">
      <c r="A5" s="186" t="s">
        <v>2105</v>
      </c>
      <c r="B5" s="747"/>
      <c r="C5" s="973"/>
      <c r="D5" s="974"/>
      <c r="E5" s="679">
        <v>16.21</v>
      </c>
      <c r="F5" s="216">
        <v>3780</v>
      </c>
      <c r="G5" s="79" t="s">
        <v>5552</v>
      </c>
    </row>
    <row r="6" spans="1:9" ht="15" x14ac:dyDescent="0.25">
      <c r="A6" s="186" t="s">
        <v>5553</v>
      </c>
      <c r="B6" s="747"/>
      <c r="C6" s="973"/>
      <c r="D6" s="974"/>
      <c r="E6" s="679">
        <v>101.2</v>
      </c>
      <c r="F6" s="631">
        <f>SUM(F2:F5)</f>
        <v>19780</v>
      </c>
      <c r="G6" s="81" t="s">
        <v>361</v>
      </c>
      <c r="I6" s="393"/>
    </row>
    <row r="7" spans="1:9" ht="15" x14ac:dyDescent="0.25">
      <c r="A7" s="186"/>
      <c r="B7" s="747"/>
      <c r="C7" s="973"/>
      <c r="D7" s="974"/>
      <c r="E7" s="679">
        <v>0</v>
      </c>
      <c r="F7" s="484">
        <v>127</v>
      </c>
      <c r="G7" s="518" t="s">
        <v>5554</v>
      </c>
    </row>
    <row r="8" spans="1:9" s="48" customFormat="1" ht="15" x14ac:dyDescent="0.25">
      <c r="A8" s="723"/>
      <c r="B8" s="472"/>
      <c r="C8" s="973"/>
      <c r="D8" s="974"/>
      <c r="E8" s="679">
        <f t="shared" ref="E8:E11" si="0">B8-C8-D8</f>
        <v>0</v>
      </c>
      <c r="F8" s="609"/>
      <c r="G8" s="79"/>
    </row>
    <row r="9" spans="1:9" ht="15" x14ac:dyDescent="0.25">
      <c r="A9" s="185"/>
      <c r="B9" s="190"/>
      <c r="C9" s="973"/>
      <c r="D9" s="975"/>
      <c r="E9" s="679">
        <f t="shared" si="0"/>
        <v>0</v>
      </c>
      <c r="F9" s="632">
        <f>F5-F7</f>
        <v>3653</v>
      </c>
      <c r="G9" s="81" t="s">
        <v>5555</v>
      </c>
    </row>
    <row r="10" spans="1:9" x14ac:dyDescent="0.2">
      <c r="A10" s="183"/>
      <c r="B10" s="10"/>
      <c r="C10" s="973"/>
      <c r="D10" s="975"/>
      <c r="E10" s="679">
        <f t="shared" si="0"/>
        <v>0</v>
      </c>
      <c r="F10" s="30" t="s">
        <v>5556</v>
      </c>
      <c r="G10" s="607">
        <f>B17+B18+B22</f>
        <v>22013.54</v>
      </c>
    </row>
    <row r="11" spans="1:9" ht="13.5" thickBot="1" x14ac:dyDescent="0.25">
      <c r="A11" s="187"/>
      <c r="B11" s="192"/>
      <c r="C11" s="976"/>
      <c r="D11" s="975"/>
      <c r="E11" s="679">
        <f t="shared" si="0"/>
        <v>0</v>
      </c>
      <c r="F11" s="24"/>
    </row>
    <row r="12" spans="1:9" ht="13.5" thickBot="1" x14ac:dyDescent="0.25">
      <c r="A12" s="384" t="s">
        <v>5557</v>
      </c>
      <c r="B12" s="908">
        <f>SUM(B4:B11)</f>
        <v>700</v>
      </c>
      <c r="C12" s="909"/>
      <c r="D12" s="763">
        <f>D4+D5+D6+D7</f>
        <v>0</v>
      </c>
      <c r="E12" s="763">
        <f>SUM(E4:E11)</f>
        <v>817.41000000000008</v>
      </c>
      <c r="G12" s="24"/>
    </row>
    <row r="13" spans="1:9" ht="13.5" thickBot="1" x14ac:dyDescent="0.25">
      <c r="G13" s="24"/>
    </row>
    <row r="14" spans="1:9" ht="13.5" thickBot="1" x14ac:dyDescent="0.25">
      <c r="A14" s="3501" t="s">
        <v>5558</v>
      </c>
      <c r="B14" s="3502"/>
      <c r="C14" s="3503"/>
      <c r="G14" s="24"/>
    </row>
    <row r="15" spans="1:9" x14ac:dyDescent="0.2">
      <c r="A15" s="272"/>
      <c r="B15" s="22"/>
      <c r="C15" s="273"/>
      <c r="G15" s="24"/>
    </row>
    <row r="16" spans="1:9" x14ac:dyDescent="0.2">
      <c r="A16" s="21" t="s">
        <v>5559</v>
      </c>
      <c r="B16" s="23">
        <v>19780</v>
      </c>
      <c r="C16" s="12"/>
      <c r="G16" s="24"/>
    </row>
    <row r="17" spans="1:8" x14ac:dyDescent="0.2">
      <c r="A17" s="1581" t="s">
        <v>5560</v>
      </c>
      <c r="B17" s="1582">
        <v>7780</v>
      </c>
      <c r="C17" s="12"/>
      <c r="G17" s="24"/>
    </row>
    <row r="18" spans="1:8" x14ac:dyDescent="0.2">
      <c r="A18" s="1581" t="s">
        <v>5561</v>
      </c>
      <c r="B18" s="1582">
        <v>4000</v>
      </c>
      <c r="C18" s="432" t="s">
        <v>5562</v>
      </c>
      <c r="G18" s="24"/>
    </row>
    <row r="19" spans="1:8" x14ac:dyDescent="0.2">
      <c r="A19" s="1581" t="s">
        <v>5563</v>
      </c>
      <c r="B19" s="1582">
        <v>8000</v>
      </c>
      <c r="C19" s="12"/>
      <c r="F19" s="1"/>
    </row>
    <row r="20" spans="1:8" x14ac:dyDescent="0.2">
      <c r="A20" s="1581" t="s">
        <v>5564</v>
      </c>
      <c r="B20" s="1583">
        <v>2.3599999999999999E-2</v>
      </c>
      <c r="C20" s="236"/>
    </row>
    <row r="21" spans="1:8" x14ac:dyDescent="0.2">
      <c r="A21" s="1581" t="s">
        <v>5565</v>
      </c>
      <c r="B21" s="1584">
        <v>18</v>
      </c>
      <c r="C21" s="237"/>
    </row>
    <row r="22" spans="1:8" x14ac:dyDescent="0.2">
      <c r="A22" s="21" t="s">
        <v>5566</v>
      </c>
      <c r="B22" s="23">
        <v>10233.540000000001</v>
      </c>
      <c r="C22" s="432" t="s">
        <v>5567</v>
      </c>
    </row>
    <row r="23" spans="1:8" ht="13.5" thickBot="1" x14ac:dyDescent="0.25">
      <c r="A23" s="274" t="s">
        <v>5568</v>
      </c>
      <c r="B23" s="275">
        <f>B22/B21</f>
        <v>568.53000000000009</v>
      </c>
      <c r="C23" s="13"/>
    </row>
    <row r="24" spans="1:8" ht="13.5" thickBot="1" x14ac:dyDescent="0.25">
      <c r="A24" s="18"/>
      <c r="B24" s="18"/>
      <c r="C24" s="18"/>
    </row>
    <row r="25" spans="1:8" ht="13.5" customHeight="1" thickBot="1" x14ac:dyDescent="0.25">
      <c r="A25" s="8" t="s">
        <v>5569</v>
      </c>
      <c r="B25" s="11" t="s">
        <v>5426</v>
      </c>
      <c r="C25" s="11" t="s">
        <v>5427</v>
      </c>
      <c r="D25" s="276" t="s">
        <v>5570</v>
      </c>
      <c r="E25" s="25" t="s">
        <v>5571</v>
      </c>
      <c r="F25" s="25" t="s">
        <v>5427</v>
      </c>
      <c r="G25" s="26" t="s">
        <v>5572</v>
      </c>
    </row>
    <row r="26" spans="1:8" ht="13.5" thickBot="1" x14ac:dyDescent="0.25">
      <c r="A26" s="3641" t="s">
        <v>5573</v>
      </c>
      <c r="B26" s="3642"/>
      <c r="C26" s="3643"/>
      <c r="D26" s="174">
        <f>B22</f>
        <v>10233.540000000001</v>
      </c>
      <c r="E26" s="3644"/>
      <c r="F26" s="3645"/>
      <c r="G26" s="3646"/>
    </row>
    <row r="27" spans="1:8" x14ac:dyDescent="0.2">
      <c r="A27" s="634">
        <v>42389</v>
      </c>
      <c r="B27" s="443">
        <v>1</v>
      </c>
      <c r="C27" s="638">
        <v>568.53</v>
      </c>
      <c r="D27" s="441">
        <f t="shared" ref="D27:D44" si="1">D26-C27</f>
        <v>9665.01</v>
      </c>
      <c r="E27" s="1585"/>
      <c r="F27" s="1586"/>
      <c r="G27" s="1561"/>
    </row>
    <row r="28" spans="1:8" x14ac:dyDescent="0.2">
      <c r="A28" s="662">
        <v>42420</v>
      </c>
      <c r="B28" s="445">
        <f t="shared" ref="B28:B44" si="2">B27+1</f>
        <v>2</v>
      </c>
      <c r="C28" s="463">
        <v>568.53</v>
      </c>
      <c r="D28" s="464">
        <f t="shared" si="1"/>
        <v>9096.48</v>
      </c>
      <c r="E28" s="1562"/>
      <c r="F28" s="1587"/>
      <c r="G28" s="1588"/>
    </row>
    <row r="29" spans="1:8" x14ac:dyDescent="0.2">
      <c r="A29" s="662">
        <v>42449</v>
      </c>
      <c r="B29" s="445">
        <f t="shared" si="2"/>
        <v>3</v>
      </c>
      <c r="C29" s="463">
        <v>568.53</v>
      </c>
      <c r="D29" s="464">
        <f t="shared" si="1"/>
        <v>8527.9499999999989</v>
      </c>
      <c r="E29" s="1562"/>
      <c r="F29" s="1587"/>
      <c r="G29" s="1588"/>
    </row>
    <row r="30" spans="1:8" x14ac:dyDescent="0.2">
      <c r="A30" s="662">
        <v>42480</v>
      </c>
      <c r="B30" s="445">
        <f t="shared" si="2"/>
        <v>4</v>
      </c>
      <c r="C30" s="463">
        <v>568.53</v>
      </c>
      <c r="D30" s="464">
        <f t="shared" si="1"/>
        <v>7959.4199999999992</v>
      </c>
      <c r="E30" s="1562"/>
      <c r="F30" s="1587"/>
      <c r="G30" s="1588"/>
    </row>
    <row r="31" spans="1:8" ht="12.75" customHeight="1" x14ac:dyDescent="0.2">
      <c r="A31" s="662">
        <v>42510</v>
      </c>
      <c r="B31" s="445">
        <f t="shared" si="2"/>
        <v>5</v>
      </c>
      <c r="C31" s="463">
        <v>568.53</v>
      </c>
      <c r="D31" s="464">
        <f t="shared" si="1"/>
        <v>7390.8899999999994</v>
      </c>
      <c r="E31" s="1562"/>
      <c r="F31" s="1587"/>
      <c r="G31" s="1588"/>
    </row>
    <row r="32" spans="1:8" ht="12.75" customHeight="1" x14ac:dyDescent="0.2">
      <c r="A32" s="662">
        <v>42541</v>
      </c>
      <c r="B32" s="445">
        <f t="shared" si="2"/>
        <v>6</v>
      </c>
      <c r="C32" s="463">
        <v>568.53</v>
      </c>
      <c r="D32" s="464">
        <f t="shared" si="1"/>
        <v>6822.36</v>
      </c>
      <c r="E32" s="1564"/>
      <c r="F32" s="1589"/>
      <c r="G32" s="1590"/>
      <c r="H32" s="750"/>
    </row>
    <row r="33" spans="1:10" x14ac:dyDescent="0.2">
      <c r="A33" s="662">
        <v>42571</v>
      </c>
      <c r="B33" s="445">
        <f t="shared" si="2"/>
        <v>7</v>
      </c>
      <c r="C33" s="463">
        <v>568.53</v>
      </c>
      <c r="D33" s="464">
        <f t="shared" si="1"/>
        <v>6253.83</v>
      </c>
      <c r="E33" s="1564"/>
      <c r="F33" s="1589"/>
      <c r="G33" s="1590"/>
    </row>
    <row r="34" spans="1:10" x14ac:dyDescent="0.2">
      <c r="A34" s="662">
        <v>42602</v>
      </c>
      <c r="B34" s="445">
        <f t="shared" si="2"/>
        <v>8</v>
      </c>
      <c r="C34" s="463">
        <v>568.53</v>
      </c>
      <c r="D34" s="464">
        <f t="shared" si="1"/>
        <v>5685.3</v>
      </c>
      <c r="E34" s="1564"/>
      <c r="F34" s="1589"/>
      <c r="G34" s="1590"/>
    </row>
    <row r="35" spans="1:10" x14ac:dyDescent="0.2">
      <c r="A35" s="662">
        <v>42633</v>
      </c>
      <c r="B35" s="445">
        <f t="shared" si="2"/>
        <v>9</v>
      </c>
      <c r="C35" s="463">
        <v>568.53</v>
      </c>
      <c r="D35" s="464">
        <f t="shared" si="1"/>
        <v>5116.7700000000004</v>
      </c>
      <c r="E35" s="1564"/>
      <c r="F35" s="1589"/>
      <c r="G35" s="1590"/>
    </row>
    <row r="36" spans="1:10" x14ac:dyDescent="0.2">
      <c r="A36" s="662">
        <v>42663</v>
      </c>
      <c r="B36" s="445">
        <f>B35+1</f>
        <v>10</v>
      </c>
      <c r="C36" s="463">
        <v>568.53</v>
      </c>
      <c r="D36" s="464">
        <f t="shared" si="1"/>
        <v>4548.2400000000007</v>
      </c>
      <c r="E36" s="1564"/>
      <c r="F36" s="1589"/>
      <c r="G36" s="1590"/>
    </row>
    <row r="37" spans="1:10" x14ac:dyDescent="0.2">
      <c r="A37" s="662">
        <v>42694</v>
      </c>
      <c r="B37" s="445">
        <v>11</v>
      </c>
      <c r="C37" s="463">
        <v>568.53</v>
      </c>
      <c r="D37" s="464">
        <f t="shared" si="1"/>
        <v>3979.7100000000009</v>
      </c>
      <c r="E37" s="1564"/>
      <c r="F37" s="1589"/>
      <c r="G37" s="1590"/>
      <c r="H37" s="3640"/>
      <c r="I37" s="3640"/>
      <c r="J37" s="721"/>
    </row>
    <row r="38" spans="1:10" ht="12.75" customHeight="1" x14ac:dyDescent="0.2">
      <c r="A38" s="662">
        <v>42724</v>
      </c>
      <c r="B38" s="445">
        <f t="shared" si="2"/>
        <v>12</v>
      </c>
      <c r="C38" s="463">
        <v>568.53</v>
      </c>
      <c r="D38" s="464">
        <f t="shared" si="1"/>
        <v>3411.1800000000012</v>
      </c>
      <c r="E38" s="1564"/>
      <c r="F38" s="1589"/>
      <c r="G38" s="1590"/>
    </row>
    <row r="39" spans="1:10" ht="12.75" customHeight="1" x14ac:dyDescent="0.2">
      <c r="A39" s="662">
        <v>42755</v>
      </c>
      <c r="B39" s="445">
        <f t="shared" si="2"/>
        <v>13</v>
      </c>
      <c r="C39" s="463">
        <v>568.53</v>
      </c>
      <c r="D39" s="464">
        <f t="shared" si="1"/>
        <v>2842.6500000000015</v>
      </c>
      <c r="E39" s="1564"/>
      <c r="F39" s="1589"/>
      <c r="G39" s="1590"/>
      <c r="H39" s="726"/>
    </row>
    <row r="40" spans="1:10" ht="12.75" customHeight="1" x14ac:dyDescent="0.2">
      <c r="A40" s="662">
        <v>42786</v>
      </c>
      <c r="B40" s="445">
        <f t="shared" si="2"/>
        <v>14</v>
      </c>
      <c r="C40" s="463">
        <v>568.53</v>
      </c>
      <c r="D40" s="464">
        <f t="shared" si="1"/>
        <v>2274.1200000000017</v>
      </c>
      <c r="E40" s="1564"/>
      <c r="F40" s="1589"/>
      <c r="G40" s="375"/>
    </row>
    <row r="41" spans="1:10" x14ac:dyDescent="0.2">
      <c r="A41" s="662">
        <v>42814</v>
      </c>
      <c r="B41" s="445">
        <f t="shared" si="2"/>
        <v>15</v>
      </c>
      <c r="C41" s="463">
        <v>568.53</v>
      </c>
      <c r="D41" s="464">
        <f t="shared" si="1"/>
        <v>1705.5900000000017</v>
      </c>
      <c r="E41" s="1564"/>
      <c r="F41" s="29"/>
      <c r="G41" s="752"/>
    </row>
    <row r="42" spans="1:10" x14ac:dyDescent="0.2">
      <c r="A42" s="662">
        <v>42845</v>
      </c>
      <c r="B42" s="445">
        <f t="shared" si="2"/>
        <v>16</v>
      </c>
      <c r="C42" s="463">
        <v>568.53</v>
      </c>
      <c r="D42" s="464">
        <f t="shared" si="1"/>
        <v>1137.0600000000018</v>
      </c>
      <c r="E42" s="1564">
        <v>42815</v>
      </c>
      <c r="F42" s="1589">
        <v>1627.73</v>
      </c>
      <c r="G42" s="375">
        <f>D41-F42</f>
        <v>77.860000000001719</v>
      </c>
      <c r="H42" s="746" t="s">
        <v>5574</v>
      </c>
    </row>
    <row r="43" spans="1:10" x14ac:dyDescent="0.2">
      <c r="A43" s="662">
        <v>42875</v>
      </c>
      <c r="B43" s="445">
        <f t="shared" si="2"/>
        <v>17</v>
      </c>
      <c r="C43" s="463">
        <v>568.53</v>
      </c>
      <c r="D43" s="464">
        <f t="shared" si="1"/>
        <v>568.53000000000179</v>
      </c>
      <c r="E43" s="1564">
        <v>42815</v>
      </c>
      <c r="F43" s="1589"/>
      <c r="G43" s="375"/>
    </row>
    <row r="44" spans="1:10" ht="13.5" thickBot="1" x14ac:dyDescent="0.25">
      <c r="A44" s="748">
        <v>42906</v>
      </c>
      <c r="B44" s="466">
        <f t="shared" si="2"/>
        <v>18</v>
      </c>
      <c r="C44" s="467">
        <v>568.53</v>
      </c>
      <c r="D44" s="749">
        <f t="shared" si="1"/>
        <v>1.8189894035458565E-12</v>
      </c>
      <c r="E44" s="1591">
        <v>42815</v>
      </c>
      <c r="F44" s="1592"/>
      <c r="G44" s="1593"/>
    </row>
    <row r="45" spans="1:10" ht="13.5" thickBot="1" x14ac:dyDescent="0.25">
      <c r="E45" s="8" t="s">
        <v>772</v>
      </c>
      <c r="F45" s="751"/>
      <c r="G45" s="27">
        <f>SUM(G27:G44)</f>
        <v>77.860000000001719</v>
      </c>
    </row>
    <row r="47" spans="1:10" ht="13.5" thickBot="1" x14ac:dyDescent="0.25">
      <c r="E47" s="393"/>
      <c r="F47" s="393"/>
    </row>
    <row r="48" spans="1:10" ht="45.75" customHeight="1" thickBot="1" x14ac:dyDescent="0.4">
      <c r="A48" s="3647" t="s">
        <v>5575</v>
      </c>
      <c r="B48" s="3648"/>
      <c r="G48" s="268"/>
    </row>
    <row r="49" spans="1:9" x14ac:dyDescent="0.2">
      <c r="A49" s="715" t="s">
        <v>5576</v>
      </c>
      <c r="B49" s="22">
        <v>39.5</v>
      </c>
      <c r="D49" s="7"/>
      <c r="E49" s="7"/>
      <c r="F49" s="326"/>
      <c r="G49" s="327"/>
    </row>
    <row r="50" spans="1:9" x14ac:dyDescent="0.2">
      <c r="A50" s="716" t="s">
        <v>5577</v>
      </c>
      <c r="B50" s="399">
        <v>16</v>
      </c>
      <c r="D50" s="48"/>
      <c r="E50" s="717" t="s">
        <v>5578</v>
      </c>
      <c r="G50" s="1567"/>
    </row>
    <row r="51" spans="1:9" x14ac:dyDescent="0.2">
      <c r="A51" s="716" t="s">
        <v>5579</v>
      </c>
      <c r="B51" s="399">
        <v>10.5</v>
      </c>
      <c r="C51" s="1"/>
      <c r="D51" s="32"/>
      <c r="E51" s="31" t="s">
        <v>5580</v>
      </c>
      <c r="F51" s="31" t="s">
        <v>5490</v>
      </c>
      <c r="G51" s="324" t="s">
        <v>5492</v>
      </c>
    </row>
    <row r="52" spans="1:9" x14ac:dyDescent="0.2">
      <c r="A52" s="716" t="s">
        <v>5581</v>
      </c>
      <c r="B52" s="399">
        <v>10</v>
      </c>
      <c r="C52" s="1"/>
      <c r="E52" s="51" t="s">
        <v>5582</v>
      </c>
      <c r="F52" s="798">
        <v>19947</v>
      </c>
      <c r="G52" s="783">
        <v>-2.2100000000000002E-2</v>
      </c>
      <c r="H52" s="783">
        <v>-9.4299999999999995E-2</v>
      </c>
    </row>
    <row r="53" spans="1:9" x14ac:dyDescent="0.2">
      <c r="A53" s="716" t="s">
        <v>5583</v>
      </c>
      <c r="B53" s="399">
        <v>49.25</v>
      </c>
      <c r="E53" s="682">
        <v>42370</v>
      </c>
      <c r="F53" s="798">
        <v>19498</v>
      </c>
      <c r="G53" s="783">
        <v>-2.2499999999999999E-2</v>
      </c>
      <c r="H53" s="799">
        <v>-0.1147</v>
      </c>
    </row>
    <row r="54" spans="1:9" ht="15" x14ac:dyDescent="0.25">
      <c r="A54" s="716" t="s">
        <v>5584</v>
      </c>
      <c r="B54" s="399">
        <v>95</v>
      </c>
      <c r="C54" s="401"/>
      <c r="D54" s="714"/>
      <c r="E54" s="682">
        <v>42401</v>
      </c>
      <c r="F54" s="798">
        <v>19235</v>
      </c>
      <c r="G54" s="783">
        <v>-1.35E-2</v>
      </c>
      <c r="H54" s="799">
        <v>-0.12670000000000001</v>
      </c>
    </row>
    <row r="55" spans="1:9" x14ac:dyDescent="0.2">
      <c r="A55" s="716" t="s">
        <v>5585</v>
      </c>
      <c r="B55" s="399">
        <v>72.5</v>
      </c>
      <c r="C55" s="1568"/>
      <c r="E55" s="682">
        <v>42430</v>
      </c>
      <c r="F55" s="798">
        <v>19218</v>
      </c>
      <c r="G55" s="783">
        <v>-8.9999999999999998E-4</v>
      </c>
      <c r="H55" s="799">
        <v>-0.12740000000000001</v>
      </c>
      <c r="I55" s="799"/>
    </row>
    <row r="56" spans="1:9" ht="13.5" thickBot="1" x14ac:dyDescent="0.25">
      <c r="A56" s="669" t="s">
        <v>5586</v>
      </c>
      <c r="B56" s="663">
        <v>63</v>
      </c>
      <c r="C56" s="401"/>
      <c r="E56" s="682">
        <v>42461</v>
      </c>
      <c r="F56" s="798">
        <v>19678</v>
      </c>
      <c r="G56" s="783">
        <v>2.3900000000000001E-2</v>
      </c>
      <c r="H56" s="799">
        <v>-0.1066</v>
      </c>
      <c r="I56" s="799"/>
    </row>
    <row r="57" spans="1:9" ht="13.5" thickBot="1" x14ac:dyDescent="0.25">
      <c r="A57" s="664" t="s">
        <v>5587</v>
      </c>
      <c r="B57" s="1594">
        <f>SUM(B49:B56)</f>
        <v>355.75</v>
      </c>
      <c r="C57" s="401"/>
      <c r="E57" s="682">
        <v>42491</v>
      </c>
      <c r="F57" s="798">
        <v>19559</v>
      </c>
      <c r="G57" s="783">
        <v>-6.0000000000000001E-3</v>
      </c>
      <c r="H57" s="799">
        <v>-0.112</v>
      </c>
      <c r="I57" s="799"/>
    </row>
    <row r="58" spans="1:9" ht="13.5" thickBot="1" x14ac:dyDescent="0.25">
      <c r="A58" s="666" t="s">
        <v>5588</v>
      </c>
      <c r="B58" s="665">
        <v>130</v>
      </c>
      <c r="E58" s="682">
        <v>42522</v>
      </c>
      <c r="F58" s="798">
        <v>19113</v>
      </c>
      <c r="G58" s="783">
        <v>-2.2800000000000001E-2</v>
      </c>
      <c r="H58" s="799">
        <v>-0.13220000000000001</v>
      </c>
      <c r="I58" s="799"/>
    </row>
    <row r="59" spans="1:9" ht="16.5" thickBot="1" x14ac:dyDescent="0.3">
      <c r="A59" s="667" t="s">
        <v>772</v>
      </c>
      <c r="B59" s="668">
        <f>SUM(B57:B58)</f>
        <v>485.75</v>
      </c>
      <c r="E59" s="682">
        <v>42552</v>
      </c>
      <c r="F59" s="798">
        <v>19038</v>
      </c>
      <c r="G59" s="783">
        <v>-3.8999999999999998E-3</v>
      </c>
      <c r="H59" s="799">
        <v>-0.1356</v>
      </c>
      <c r="I59" s="799"/>
    </row>
    <row r="60" spans="1:9" ht="13.5" thickBot="1" x14ac:dyDescent="0.25">
      <c r="E60" s="682">
        <v>42583</v>
      </c>
      <c r="F60" s="798">
        <v>18951</v>
      </c>
      <c r="G60" s="783">
        <v>-4.5999999999999999E-3</v>
      </c>
      <c r="H60" s="799">
        <v>-0.1396</v>
      </c>
      <c r="I60" s="799"/>
    </row>
    <row r="61" spans="1:9" ht="51.75" customHeight="1" thickBot="1" x14ac:dyDescent="0.4">
      <c r="A61" s="3647" t="s">
        <v>5589</v>
      </c>
      <c r="B61" s="3648"/>
      <c r="E61" s="682">
        <v>42614</v>
      </c>
      <c r="F61" s="798">
        <v>18714</v>
      </c>
      <c r="G61" s="783">
        <v>-1.2500000000000001E-2</v>
      </c>
      <c r="H61" s="799">
        <v>-0.15029999999999999</v>
      </c>
      <c r="I61" s="799"/>
    </row>
    <row r="62" spans="1:9" x14ac:dyDescent="0.2">
      <c r="A62" s="715" t="s">
        <v>5590</v>
      </c>
      <c r="B62" s="22">
        <v>250</v>
      </c>
      <c r="E62" s="682">
        <v>42644</v>
      </c>
      <c r="F62" s="798">
        <v>18682</v>
      </c>
      <c r="G62" s="783">
        <v>-1.6999999999999999E-3</v>
      </c>
      <c r="H62" s="799">
        <v>-0.15179999999999999</v>
      </c>
      <c r="I62" s="799"/>
    </row>
    <row r="63" spans="1:9" ht="13.5" thickBot="1" x14ac:dyDescent="0.25">
      <c r="A63" s="716"/>
      <c r="B63" s="399"/>
      <c r="E63" s="682">
        <v>42675</v>
      </c>
      <c r="F63" s="798">
        <v>18637</v>
      </c>
      <c r="G63" s="783">
        <v>-2.3999999999999998E-3</v>
      </c>
      <c r="H63" s="799">
        <v>-0.15379999999999999</v>
      </c>
      <c r="I63" s="799"/>
    </row>
    <row r="64" spans="1:9" ht="13.5" thickBot="1" x14ac:dyDescent="0.25">
      <c r="A64" s="664" t="s">
        <v>5587</v>
      </c>
      <c r="B64" s="1594">
        <f>SUM(B62:B63)</f>
        <v>250</v>
      </c>
      <c r="E64" s="682">
        <v>42705</v>
      </c>
      <c r="F64" s="798">
        <v>18596</v>
      </c>
      <c r="G64" s="783">
        <v>-2.2000000000000001E-3</v>
      </c>
      <c r="H64" s="799">
        <v>-0.15570000000000001</v>
      </c>
      <c r="I64" s="799"/>
    </row>
    <row r="65" spans="1:9" ht="13.5" thickBot="1" x14ac:dyDescent="0.25">
      <c r="A65" s="666" t="s">
        <v>5588</v>
      </c>
      <c r="B65" s="665">
        <v>0</v>
      </c>
      <c r="E65" s="682">
        <v>42736</v>
      </c>
      <c r="F65" s="798">
        <v>18743</v>
      </c>
      <c r="G65" s="783">
        <v>7.9000000000000008E-3</v>
      </c>
      <c r="H65" s="799">
        <v>-0.14899999999999999</v>
      </c>
      <c r="I65" s="799"/>
    </row>
    <row r="66" spans="1:9" ht="16.5" thickBot="1" x14ac:dyDescent="0.3">
      <c r="A66" s="667" t="s">
        <v>772</v>
      </c>
      <c r="B66" s="668">
        <f>SUM(B64:B65)</f>
        <v>250</v>
      </c>
      <c r="E66" s="682">
        <v>42767</v>
      </c>
      <c r="F66" s="798">
        <v>18955</v>
      </c>
      <c r="G66" s="783">
        <v>1.1299999999999999E-2</v>
      </c>
      <c r="H66" s="799">
        <v>-0.1394</v>
      </c>
      <c r="I66" s="799"/>
    </row>
    <row r="67" spans="1:9" ht="13.5" thickBot="1" x14ac:dyDescent="0.25">
      <c r="E67" s="682">
        <v>42795</v>
      </c>
      <c r="F67" s="798">
        <v>18997</v>
      </c>
      <c r="G67" s="783">
        <v>2.2000000000000001E-3</v>
      </c>
      <c r="H67" s="799">
        <v>-0.13750000000000001</v>
      </c>
      <c r="I67" s="799"/>
    </row>
    <row r="68" spans="1:9" ht="51.75" customHeight="1" thickBot="1" x14ac:dyDescent="0.4">
      <c r="A68" s="3647" t="s">
        <v>5591</v>
      </c>
      <c r="B68" s="3648"/>
      <c r="E68" s="682">
        <v>42826</v>
      </c>
      <c r="F68" s="798">
        <v>19028</v>
      </c>
      <c r="G68" s="783">
        <v>1.6000000000000001E-3</v>
      </c>
      <c r="H68" s="783">
        <v>-0.1361</v>
      </c>
      <c r="I68" s="799"/>
    </row>
    <row r="69" spans="1:9" x14ac:dyDescent="0.2">
      <c r="A69" s="715" t="s">
        <v>5592</v>
      </c>
      <c r="B69" s="22">
        <v>120</v>
      </c>
      <c r="E69" s="682">
        <v>42856</v>
      </c>
      <c r="F69" s="798">
        <v>19059</v>
      </c>
      <c r="G69" s="783">
        <v>1.6000000000000001E-3</v>
      </c>
      <c r="H69" s="783">
        <v>-0.13469999999999999</v>
      </c>
      <c r="I69" s="799"/>
    </row>
    <row r="70" spans="1:9" ht="13.5" thickBot="1" x14ac:dyDescent="0.25">
      <c r="A70" s="716"/>
      <c r="B70" s="399"/>
      <c r="E70" s="682">
        <v>42887</v>
      </c>
      <c r="F70" s="798">
        <v>18514</v>
      </c>
      <c r="G70" s="783">
        <v>-2.86E-2</v>
      </c>
      <c r="H70" s="783">
        <v>-0.15939999999999999</v>
      </c>
    </row>
    <row r="71" spans="1:9" ht="13.5" thickBot="1" x14ac:dyDescent="0.25">
      <c r="A71" s="664" t="s">
        <v>5587</v>
      </c>
      <c r="B71" s="1594">
        <f>SUM(B69:B70)</f>
        <v>120</v>
      </c>
      <c r="E71" s="682">
        <v>42917</v>
      </c>
      <c r="F71" s="798">
        <v>18453</v>
      </c>
      <c r="G71" s="783">
        <v>-3.3E-3</v>
      </c>
      <c r="H71" s="799">
        <v>-0.16220000000000001</v>
      </c>
    </row>
    <row r="72" spans="1:9" ht="13.5" thickBot="1" x14ac:dyDescent="0.25">
      <c r="A72" s="666" t="s">
        <v>5588</v>
      </c>
      <c r="B72" s="665">
        <v>150</v>
      </c>
      <c r="E72" s="682">
        <v>42948</v>
      </c>
      <c r="F72" s="798">
        <v>17926</v>
      </c>
      <c r="G72" s="783">
        <v>-2.86E-2</v>
      </c>
      <c r="H72" s="783">
        <v>-0.18609999999999999</v>
      </c>
    </row>
    <row r="73" spans="1:9" ht="16.5" thickBot="1" x14ac:dyDescent="0.3">
      <c r="A73" s="667" t="s">
        <v>772</v>
      </c>
      <c r="B73" s="668">
        <f>SUM(B71:B72)</f>
        <v>270</v>
      </c>
      <c r="E73" s="682">
        <v>42979</v>
      </c>
      <c r="F73" s="798">
        <v>18174</v>
      </c>
      <c r="G73" s="783">
        <v>1.38E-2</v>
      </c>
      <c r="H73" s="783">
        <v>-0.17480000000000001</v>
      </c>
    </row>
    <row r="74" spans="1:9" ht="13.5" thickBot="1" x14ac:dyDescent="0.25">
      <c r="E74" s="682">
        <v>43009</v>
      </c>
      <c r="F74" s="798">
        <v>18414</v>
      </c>
      <c r="G74" s="783">
        <v>1.32E-2</v>
      </c>
      <c r="H74" s="783">
        <v>-0.16400000000000001</v>
      </c>
    </row>
    <row r="75" spans="1:9" ht="70.5" customHeight="1" thickBot="1" x14ac:dyDescent="0.4">
      <c r="A75" s="3647" t="s">
        <v>5593</v>
      </c>
      <c r="B75" s="3648"/>
      <c r="E75" s="682">
        <v>43101</v>
      </c>
      <c r="F75" s="798">
        <v>18699</v>
      </c>
      <c r="G75" s="783"/>
      <c r="H75" s="783"/>
    </row>
    <row r="76" spans="1:9" x14ac:dyDescent="0.2">
      <c r="A76" s="715" t="s">
        <v>5594</v>
      </c>
      <c r="B76" s="22">
        <v>510</v>
      </c>
      <c r="E76" s="682">
        <v>43160</v>
      </c>
      <c r="F76" s="798">
        <v>19059</v>
      </c>
      <c r="G76" s="783"/>
      <c r="H76" s="783"/>
    </row>
    <row r="77" spans="1:9" x14ac:dyDescent="0.2">
      <c r="A77" s="716" t="s">
        <v>5595</v>
      </c>
      <c r="B77" s="399">
        <v>31</v>
      </c>
      <c r="E77" s="682">
        <v>43221</v>
      </c>
      <c r="F77" s="798">
        <v>19250</v>
      </c>
    </row>
    <row r="78" spans="1:9" ht="13.5" thickBot="1" x14ac:dyDescent="0.25">
      <c r="A78" s="716"/>
      <c r="B78" s="399"/>
      <c r="E78" s="165">
        <v>43332</v>
      </c>
      <c r="F78" s="798">
        <v>18797</v>
      </c>
    </row>
    <row r="79" spans="1:9" ht="13.5" thickBot="1" x14ac:dyDescent="0.25">
      <c r="A79" s="664" t="s">
        <v>5587</v>
      </c>
      <c r="B79" s="1594">
        <f>SUM(B76:B78)</f>
        <v>541</v>
      </c>
      <c r="E79" s="165">
        <v>43395</v>
      </c>
      <c r="F79" s="798">
        <v>18218</v>
      </c>
    </row>
    <row r="80" spans="1:9" ht="13.5" thickBot="1" x14ac:dyDescent="0.25">
      <c r="A80" s="666" t="s">
        <v>5588</v>
      </c>
      <c r="B80" s="665">
        <v>150</v>
      </c>
      <c r="E80" s="165">
        <v>43508</v>
      </c>
      <c r="F80" s="798">
        <v>18024</v>
      </c>
    </row>
    <row r="81" spans="1:7" ht="16.5" thickBot="1" x14ac:dyDescent="0.3">
      <c r="A81" s="667" t="s">
        <v>772</v>
      </c>
      <c r="B81" s="668">
        <f>SUM(B79:B80)</f>
        <v>691</v>
      </c>
      <c r="E81" s="165">
        <v>43592</v>
      </c>
      <c r="F81" s="798">
        <v>17910</v>
      </c>
    </row>
    <row r="82" spans="1:7" ht="13.5" thickBot="1" x14ac:dyDescent="0.25">
      <c r="E82" s="165">
        <v>43658</v>
      </c>
      <c r="F82" s="798">
        <v>17708</v>
      </c>
    </row>
    <row r="83" spans="1:7" ht="45" customHeight="1" thickBot="1" x14ac:dyDescent="0.4">
      <c r="A83" s="3647" t="s">
        <v>5596</v>
      </c>
      <c r="B83" s="3648"/>
      <c r="E83" s="165">
        <v>43719</v>
      </c>
      <c r="F83" s="798">
        <v>17561</v>
      </c>
    </row>
    <row r="84" spans="1:7" x14ac:dyDescent="0.2">
      <c r="A84" s="715" t="s">
        <v>5597</v>
      </c>
      <c r="B84" s="22">
        <v>60</v>
      </c>
      <c r="E84" s="165">
        <v>43780</v>
      </c>
      <c r="F84" s="798">
        <v>17351</v>
      </c>
    </row>
    <row r="85" spans="1:7" x14ac:dyDescent="0.2">
      <c r="A85" s="716" t="s">
        <v>5598</v>
      </c>
      <c r="B85" s="399">
        <v>28</v>
      </c>
      <c r="E85" s="165">
        <v>44172</v>
      </c>
      <c r="F85" s="798">
        <v>17260</v>
      </c>
    </row>
    <row r="86" spans="1:7" x14ac:dyDescent="0.2">
      <c r="A86" s="716" t="s">
        <v>5599</v>
      </c>
      <c r="B86" s="399">
        <v>28</v>
      </c>
      <c r="E86" s="165">
        <v>44333</v>
      </c>
      <c r="F86" s="1">
        <v>18898</v>
      </c>
    </row>
    <row r="87" spans="1:7" x14ac:dyDescent="0.2">
      <c r="A87" s="716" t="s">
        <v>5600</v>
      </c>
      <c r="B87" s="399">
        <v>26</v>
      </c>
      <c r="E87" s="165">
        <v>44456</v>
      </c>
      <c r="F87" s="798">
        <v>20215</v>
      </c>
    </row>
    <row r="88" spans="1:7" ht="13.5" thickBot="1" x14ac:dyDescent="0.25">
      <c r="A88" s="716" t="s">
        <v>5601</v>
      </c>
      <c r="B88" s="399">
        <v>75</v>
      </c>
      <c r="E88" s="165">
        <v>44517</v>
      </c>
      <c r="F88" s="798">
        <v>20625</v>
      </c>
    </row>
    <row r="89" spans="1:7" ht="13.5" thickBot="1" x14ac:dyDescent="0.25">
      <c r="A89" s="664" t="s">
        <v>5587</v>
      </c>
      <c r="B89" s="1594">
        <f>SUM(B84:B88)</f>
        <v>217</v>
      </c>
      <c r="E89" s="165">
        <v>44571</v>
      </c>
      <c r="F89" s="798">
        <v>21471</v>
      </c>
    </row>
    <row r="90" spans="1:7" ht="13.5" thickBot="1" x14ac:dyDescent="0.25">
      <c r="A90" s="666" t="s">
        <v>5588</v>
      </c>
      <c r="B90" s="665">
        <v>160</v>
      </c>
      <c r="E90" s="165">
        <v>44600</v>
      </c>
      <c r="F90" s="798">
        <v>22137</v>
      </c>
    </row>
    <row r="91" spans="1:7" ht="16.5" thickBot="1" x14ac:dyDescent="0.3">
      <c r="A91" s="667" t="s">
        <v>772</v>
      </c>
      <c r="B91" s="668">
        <f>SUM(B89:B90)</f>
        <v>377</v>
      </c>
    </row>
    <row r="93" spans="1:7" ht="13.5" thickBot="1" x14ac:dyDescent="0.25"/>
    <row r="94" spans="1:7" ht="70.5" customHeight="1" thickBot="1" x14ac:dyDescent="0.4">
      <c r="A94" s="3647" t="s">
        <v>5602</v>
      </c>
      <c r="B94" s="3648"/>
    </row>
    <row r="95" spans="1:7" x14ac:dyDescent="0.2">
      <c r="A95" s="715" t="s">
        <v>5603</v>
      </c>
      <c r="B95" s="22">
        <v>170</v>
      </c>
      <c r="F95" s="31" t="s">
        <v>5604</v>
      </c>
      <c r="G95" s="31" t="s">
        <v>5427</v>
      </c>
    </row>
    <row r="96" spans="1:7" x14ac:dyDescent="0.2">
      <c r="A96" s="716" t="s">
        <v>5605</v>
      </c>
      <c r="B96" s="399">
        <v>30</v>
      </c>
      <c r="F96" s="717" t="s">
        <v>5606</v>
      </c>
      <c r="G96" s="1">
        <v>1500</v>
      </c>
    </row>
    <row r="97" spans="1:7" ht="13.5" thickBot="1" x14ac:dyDescent="0.25">
      <c r="A97" s="716"/>
      <c r="B97" s="399"/>
      <c r="F97" s="717" t="s">
        <v>5607</v>
      </c>
      <c r="G97" s="1">
        <v>1300</v>
      </c>
    </row>
    <row r="98" spans="1:7" ht="13.5" thickBot="1" x14ac:dyDescent="0.25">
      <c r="A98" s="664" t="s">
        <v>5587</v>
      </c>
      <c r="B98" s="1594">
        <f>SUM(B95:B97)</f>
        <v>200</v>
      </c>
      <c r="F98" s="717" t="s">
        <v>5608</v>
      </c>
      <c r="G98" s="1">
        <v>1000</v>
      </c>
    </row>
    <row r="99" spans="1:7" ht="13.5" thickBot="1" x14ac:dyDescent="0.25">
      <c r="A99" s="666" t="s">
        <v>5588</v>
      </c>
      <c r="B99" s="665">
        <v>80</v>
      </c>
      <c r="F99" s="717" t="s">
        <v>5609</v>
      </c>
      <c r="G99" s="1">
        <v>250</v>
      </c>
    </row>
    <row r="100" spans="1:7" ht="16.5" thickBot="1" x14ac:dyDescent="0.3">
      <c r="A100" s="667" t="s">
        <v>772</v>
      </c>
      <c r="B100" s="668">
        <f>SUM(B98:B99)</f>
        <v>280</v>
      </c>
      <c r="G100" s="1"/>
    </row>
    <row r="101" spans="1:7" ht="16.5" thickBot="1" x14ac:dyDescent="0.3">
      <c r="A101" s="718"/>
      <c r="B101" s="719"/>
      <c r="G101" s="1">
        <f>SUM(G96:G100)</f>
        <v>4050</v>
      </c>
    </row>
    <row r="102" spans="1:7" ht="70.5" customHeight="1" thickBot="1" x14ac:dyDescent="0.4">
      <c r="A102" s="3647" t="s">
        <v>5610</v>
      </c>
      <c r="B102" s="3648"/>
    </row>
    <row r="103" spans="1:7" x14ac:dyDescent="0.2">
      <c r="A103" s="720" t="s">
        <v>5611</v>
      </c>
      <c r="B103" s="663">
        <v>13.5</v>
      </c>
    </row>
    <row r="104" spans="1:7" x14ac:dyDescent="0.2">
      <c r="A104" s="716" t="s">
        <v>5612</v>
      </c>
      <c r="B104" s="399">
        <v>38.25</v>
      </c>
    </row>
    <row r="105" spans="1:7" x14ac:dyDescent="0.2">
      <c r="A105" s="716" t="s">
        <v>5613</v>
      </c>
      <c r="B105" s="399">
        <v>15</v>
      </c>
    </row>
    <row r="106" spans="1:7" x14ac:dyDescent="0.2">
      <c r="A106" s="716" t="s">
        <v>5614</v>
      </c>
      <c r="B106" s="399">
        <v>67</v>
      </c>
    </row>
    <row r="107" spans="1:7" x14ac:dyDescent="0.2">
      <c r="A107" s="716" t="s">
        <v>5615</v>
      </c>
      <c r="B107" s="399">
        <v>34.75</v>
      </c>
    </row>
    <row r="108" spans="1:7" x14ac:dyDescent="0.2">
      <c r="A108" s="716" t="s">
        <v>5616</v>
      </c>
      <c r="B108" s="399">
        <v>75</v>
      </c>
    </row>
    <row r="109" spans="1:7" x14ac:dyDescent="0.2">
      <c r="A109" s="716" t="s">
        <v>5579</v>
      </c>
      <c r="B109" s="399">
        <v>10</v>
      </c>
    </row>
    <row r="110" spans="1:7" x14ac:dyDescent="0.2">
      <c r="A110" s="716" t="s">
        <v>5617</v>
      </c>
      <c r="B110" s="399">
        <v>35.75</v>
      </c>
    </row>
    <row r="111" spans="1:7" x14ac:dyDescent="0.2">
      <c r="A111" s="716" t="s">
        <v>5618</v>
      </c>
      <c r="B111" s="399">
        <v>40.5</v>
      </c>
    </row>
    <row r="112" spans="1:7" x14ac:dyDescent="0.2">
      <c r="A112" s="716" t="s">
        <v>5619</v>
      </c>
      <c r="B112" s="399">
        <v>30</v>
      </c>
    </row>
    <row r="113" spans="1:9" ht="13.5" thickBot="1" x14ac:dyDescent="0.25">
      <c r="A113" s="716"/>
      <c r="B113" s="399"/>
    </row>
    <row r="114" spans="1:9" ht="13.5" thickBot="1" x14ac:dyDescent="0.25">
      <c r="A114" s="664" t="s">
        <v>5587</v>
      </c>
      <c r="B114" s="1594">
        <f>SUM(B103:B113)</f>
        <v>359.75</v>
      </c>
    </row>
    <row r="115" spans="1:9" ht="13.5" thickBot="1" x14ac:dyDescent="0.25">
      <c r="A115" s="666" t="s">
        <v>5588</v>
      </c>
      <c r="B115" s="665">
        <v>550</v>
      </c>
    </row>
    <row r="116" spans="1:9" ht="16.5" thickBot="1" x14ac:dyDescent="0.3">
      <c r="A116" s="667" t="s">
        <v>772</v>
      </c>
      <c r="B116" s="668">
        <f>SUM(B114:B115)</f>
        <v>909.75</v>
      </c>
    </row>
    <row r="117" spans="1:9" ht="16.5" thickBot="1" x14ac:dyDescent="0.3">
      <c r="A117" s="718"/>
      <c r="B117" s="719"/>
    </row>
    <row r="118" spans="1:9" ht="51.75" customHeight="1" thickBot="1" x14ac:dyDescent="0.4">
      <c r="A118" s="3649" t="s">
        <v>5620</v>
      </c>
      <c r="B118" s="3650"/>
      <c r="E118" s="682"/>
      <c r="F118" s="798"/>
      <c r="G118" s="783"/>
      <c r="H118" s="799"/>
      <c r="I118" s="799"/>
    </row>
    <row r="119" spans="1:9" x14ac:dyDescent="0.2">
      <c r="A119" s="857" t="s">
        <v>5577</v>
      </c>
      <c r="B119" s="62">
        <v>29.76</v>
      </c>
      <c r="E119" s="682"/>
      <c r="F119" s="798"/>
      <c r="G119" s="783"/>
      <c r="H119" s="799"/>
      <c r="I119" s="799"/>
    </row>
    <row r="120" spans="1:9" x14ac:dyDescent="0.2">
      <c r="A120" s="858" t="s">
        <v>5621</v>
      </c>
      <c r="B120" s="64">
        <v>62</v>
      </c>
      <c r="E120" s="682"/>
      <c r="F120" s="798"/>
      <c r="G120" s="783"/>
      <c r="H120" s="799"/>
      <c r="I120" s="799"/>
    </row>
    <row r="121" spans="1:9" x14ac:dyDescent="0.2">
      <c r="A121" s="858" t="s">
        <v>5622</v>
      </c>
      <c r="B121" s="64">
        <v>82.66</v>
      </c>
      <c r="E121" s="682"/>
      <c r="F121" s="798"/>
      <c r="G121" s="783"/>
      <c r="H121" s="799"/>
      <c r="I121" s="799"/>
    </row>
    <row r="122" spans="1:9" ht="13.5" thickBot="1" x14ac:dyDescent="0.25">
      <c r="A122" s="1595"/>
      <c r="B122" s="856"/>
      <c r="E122" s="682"/>
      <c r="F122" s="798"/>
      <c r="G122" s="783"/>
      <c r="H122" s="799"/>
      <c r="I122" s="799"/>
    </row>
    <row r="123" spans="1:9" ht="13.5" thickBot="1" x14ac:dyDescent="0.25">
      <c r="A123" s="855" t="s">
        <v>5587</v>
      </c>
      <c r="B123" s="1596">
        <f>SUM(B119:B122)</f>
        <v>174.42000000000002</v>
      </c>
      <c r="E123" s="682"/>
      <c r="F123" s="798"/>
      <c r="G123" s="783"/>
      <c r="H123" s="799"/>
      <c r="I123" s="799"/>
    </row>
    <row r="124" spans="1:9" ht="13.5" thickBot="1" x14ac:dyDescent="0.25">
      <c r="A124" s="666" t="s">
        <v>5588</v>
      </c>
      <c r="B124" s="665">
        <v>60</v>
      </c>
      <c r="E124" s="682"/>
      <c r="F124" s="798"/>
      <c r="G124" s="783"/>
      <c r="H124" s="799"/>
      <c r="I124" s="799"/>
    </row>
    <row r="125" spans="1:9" ht="16.5" thickBot="1" x14ac:dyDescent="0.3">
      <c r="A125" s="667" t="s">
        <v>772</v>
      </c>
      <c r="B125" s="668">
        <f>SUM(B123:B124)</f>
        <v>234.42000000000002</v>
      </c>
      <c r="E125" s="682"/>
      <c r="F125" s="798"/>
      <c r="G125" s="783"/>
      <c r="H125" s="799"/>
      <c r="I125" s="799"/>
    </row>
    <row r="126" spans="1:9" ht="13.5" thickBot="1" x14ac:dyDescent="0.25">
      <c r="E126" s="682"/>
      <c r="F126" s="798"/>
      <c r="G126" s="783"/>
      <c r="H126" s="799"/>
      <c r="I126" s="799"/>
    </row>
    <row r="127" spans="1:9" ht="51.75" customHeight="1" thickBot="1" x14ac:dyDescent="0.4">
      <c r="A127" s="3649" t="s">
        <v>5623</v>
      </c>
      <c r="B127" s="3650"/>
      <c r="E127" s="682"/>
      <c r="F127" s="798"/>
      <c r="G127" s="783"/>
      <c r="H127" s="799"/>
      <c r="I127" s="799"/>
    </row>
    <row r="128" spans="1:9" x14ac:dyDescent="0.2">
      <c r="A128" s="857" t="s">
        <v>5624</v>
      </c>
      <c r="B128" s="62">
        <v>350</v>
      </c>
      <c r="E128" s="682"/>
      <c r="F128" s="798"/>
      <c r="G128" s="783"/>
      <c r="H128" s="799"/>
      <c r="I128" s="799"/>
    </row>
    <row r="129" spans="1:9" x14ac:dyDescent="0.2">
      <c r="A129" s="858"/>
      <c r="B129" s="64"/>
      <c r="E129" s="682"/>
      <c r="F129" s="798"/>
      <c r="G129" s="783"/>
      <c r="H129" s="799"/>
      <c r="I129" s="799"/>
    </row>
    <row r="130" spans="1:9" ht="13.5" thickBot="1" x14ac:dyDescent="0.25">
      <c r="A130" s="1595"/>
      <c r="B130" s="856"/>
      <c r="E130" s="682"/>
      <c r="F130" s="798"/>
      <c r="G130" s="783"/>
      <c r="H130" s="799"/>
      <c r="I130" s="799"/>
    </row>
    <row r="131" spans="1:9" ht="13.5" thickBot="1" x14ac:dyDescent="0.25">
      <c r="A131" s="855" t="s">
        <v>5587</v>
      </c>
      <c r="B131" s="1597">
        <f>SUM(B128:B130)</f>
        <v>350</v>
      </c>
      <c r="E131" s="682"/>
      <c r="F131" s="798"/>
      <c r="G131" s="783"/>
      <c r="H131" s="799"/>
      <c r="I131" s="799"/>
    </row>
    <row r="132" spans="1:9" ht="13.5" thickBot="1" x14ac:dyDescent="0.25">
      <c r="A132" s="666" t="s">
        <v>5588</v>
      </c>
      <c r="B132" s="859" t="s">
        <v>5625</v>
      </c>
      <c r="E132" s="682"/>
      <c r="F132" s="798"/>
      <c r="G132" s="783"/>
      <c r="H132" s="799"/>
      <c r="I132" s="799"/>
    </row>
    <row r="133" spans="1:9" ht="16.5" thickBot="1" x14ac:dyDescent="0.3">
      <c r="A133" s="667" t="s">
        <v>772</v>
      </c>
      <c r="B133" s="860">
        <f>SUM(B131:B132)</f>
        <v>350</v>
      </c>
      <c r="E133" s="682"/>
      <c r="F133" s="798"/>
      <c r="G133" s="783"/>
      <c r="H133" s="799"/>
      <c r="I133" s="799"/>
    </row>
    <row r="134" spans="1:9" ht="13.5" thickBot="1" x14ac:dyDescent="0.25">
      <c r="E134" s="682"/>
      <c r="F134" s="798"/>
      <c r="G134" s="783"/>
      <c r="H134" s="799"/>
      <c r="I134" s="799"/>
    </row>
    <row r="135" spans="1:9" ht="51.75" customHeight="1" thickBot="1" x14ac:dyDescent="0.4">
      <c r="A135" s="3647" t="s">
        <v>5626</v>
      </c>
      <c r="B135" s="3648"/>
      <c r="E135" s="682"/>
      <c r="F135" s="798"/>
      <c r="G135" s="783"/>
      <c r="H135" s="799"/>
      <c r="I135" s="799"/>
    </row>
    <row r="136" spans="1:9" x14ac:dyDescent="0.2">
      <c r="A136" s="715" t="s">
        <v>5590</v>
      </c>
      <c r="B136" s="22">
        <v>240</v>
      </c>
      <c r="E136" s="682"/>
      <c r="F136" s="798"/>
      <c r="G136" s="783"/>
      <c r="H136" s="799"/>
      <c r="I136" s="799"/>
    </row>
    <row r="137" spans="1:9" ht="13.5" thickBot="1" x14ac:dyDescent="0.25">
      <c r="A137" s="716"/>
      <c r="B137" s="399"/>
      <c r="E137" s="682"/>
      <c r="F137" s="798"/>
      <c r="G137" s="783"/>
      <c r="H137" s="799"/>
      <c r="I137" s="799"/>
    </row>
    <row r="138" spans="1:9" ht="13.5" thickBot="1" x14ac:dyDescent="0.25">
      <c r="A138" s="664" t="s">
        <v>5587</v>
      </c>
      <c r="B138" s="1594">
        <f>SUM(B136:B137)</f>
        <v>240</v>
      </c>
      <c r="E138" s="682"/>
      <c r="F138" s="798"/>
      <c r="G138" s="783"/>
      <c r="H138" s="799"/>
      <c r="I138" s="799"/>
    </row>
    <row r="139" spans="1:9" ht="13.5" thickBot="1" x14ac:dyDescent="0.25">
      <c r="A139" s="666" t="s">
        <v>5588</v>
      </c>
      <c r="B139" s="665">
        <v>0</v>
      </c>
      <c r="E139" s="682"/>
      <c r="F139" s="798"/>
      <c r="G139" s="783"/>
      <c r="H139" s="799"/>
      <c r="I139" s="799"/>
    </row>
    <row r="140" spans="1:9" ht="16.5" thickBot="1" x14ac:dyDescent="0.3">
      <c r="A140" s="667" t="s">
        <v>772</v>
      </c>
      <c r="B140" s="668">
        <f>SUM(B138:B139)</f>
        <v>240</v>
      </c>
      <c r="E140" s="682"/>
      <c r="F140" s="798"/>
      <c r="G140" s="783"/>
      <c r="H140" s="799"/>
      <c r="I140" s="799"/>
    </row>
    <row r="141" spans="1:9" x14ac:dyDescent="0.2">
      <c r="E141" s="682"/>
      <c r="F141" s="798"/>
      <c r="G141" s="783"/>
      <c r="H141" s="799"/>
      <c r="I141" s="799"/>
    </row>
    <row r="144" spans="1:9" x14ac:dyDescent="0.2">
      <c r="A144" s="717" t="s">
        <v>5627</v>
      </c>
      <c r="B144" s="670">
        <f>B59+B66+B73+B81+B91+B100+B116+B140+B125+B133</f>
        <v>4087.92</v>
      </c>
    </row>
    <row r="162" spans="1:5" ht="13.5" thickBot="1" x14ac:dyDescent="0.25"/>
    <row r="163" spans="1:5" ht="13.5" thickBot="1" x14ac:dyDescent="0.25">
      <c r="A163" s="3637" t="s">
        <v>5628</v>
      </c>
      <c r="B163" s="3638"/>
      <c r="C163" s="3638"/>
      <c r="D163" s="3638"/>
      <c r="E163" s="3639"/>
    </row>
    <row r="164" spans="1:5" ht="13.5" thickBot="1" x14ac:dyDescent="0.25">
      <c r="A164" s="8" t="s">
        <v>5546</v>
      </c>
      <c r="B164" s="11" t="s">
        <v>5427</v>
      </c>
      <c r="C164" s="674" t="s">
        <v>5547</v>
      </c>
      <c r="D164" s="760" t="s">
        <v>5548</v>
      </c>
      <c r="E164" s="164" t="s">
        <v>772</v>
      </c>
    </row>
    <row r="165" spans="1:5" x14ac:dyDescent="0.2">
      <c r="A165" s="186" t="s">
        <v>5629</v>
      </c>
      <c r="B165" s="191">
        <v>826.92</v>
      </c>
      <c r="C165" s="675"/>
      <c r="D165" s="761"/>
      <c r="E165" s="678">
        <f>B165+C165</f>
        <v>826.92</v>
      </c>
    </row>
    <row r="166" spans="1:5" x14ac:dyDescent="0.2">
      <c r="A166" s="186" t="s">
        <v>5630</v>
      </c>
      <c r="B166" s="191">
        <v>826.92</v>
      </c>
      <c r="C166" s="759">
        <v>0.75</v>
      </c>
      <c r="D166" s="724">
        <f>B166*C166</f>
        <v>620.18999999999994</v>
      </c>
      <c r="E166" s="679">
        <f>B166-D166</f>
        <v>206.73000000000002</v>
      </c>
    </row>
    <row r="167" spans="1:5" x14ac:dyDescent="0.2">
      <c r="A167" s="186" t="s">
        <v>5631</v>
      </c>
      <c r="B167" s="747">
        <v>159.43</v>
      </c>
      <c r="C167" s="762">
        <v>0.6</v>
      </c>
      <c r="D167" s="724">
        <f>B167*C167</f>
        <v>95.658000000000001</v>
      </c>
      <c r="E167" s="679">
        <f t="shared" ref="E167:E168" si="3">B167-D167</f>
        <v>63.772000000000006</v>
      </c>
    </row>
    <row r="168" spans="1:5" x14ac:dyDescent="0.2">
      <c r="A168" s="186" t="s">
        <v>5632</v>
      </c>
      <c r="B168" s="747">
        <v>159.43</v>
      </c>
      <c r="C168" s="759">
        <v>0.6</v>
      </c>
      <c r="D168" s="724">
        <f>B168*C168</f>
        <v>95.658000000000001</v>
      </c>
      <c r="E168" s="679">
        <f t="shared" si="3"/>
        <v>63.772000000000006</v>
      </c>
    </row>
    <row r="169" spans="1:5" x14ac:dyDescent="0.2">
      <c r="A169" s="723" t="s">
        <v>5633</v>
      </c>
      <c r="B169" s="472">
        <v>757.6</v>
      </c>
      <c r="C169" s="722"/>
      <c r="D169" s="724">
        <v>22.73</v>
      </c>
      <c r="E169" s="724">
        <f>B169-D169</f>
        <v>734.87</v>
      </c>
    </row>
    <row r="170" spans="1:5" x14ac:dyDescent="0.2">
      <c r="A170" s="185"/>
      <c r="B170" s="190"/>
      <c r="C170" s="676"/>
      <c r="D170" s="679"/>
      <c r="E170" s="679">
        <f t="shared" ref="E170:E175" si="4">C170+B170</f>
        <v>0</v>
      </c>
    </row>
    <row r="171" spans="1:5" x14ac:dyDescent="0.2">
      <c r="A171" s="185"/>
      <c r="B171" s="190"/>
      <c r="C171" s="676"/>
      <c r="D171" s="679"/>
      <c r="E171" s="679">
        <f t="shared" si="4"/>
        <v>0</v>
      </c>
    </row>
    <row r="172" spans="1:5" x14ac:dyDescent="0.2">
      <c r="A172" s="186"/>
      <c r="B172" s="191"/>
      <c r="C172" s="676"/>
      <c r="D172" s="679"/>
      <c r="E172" s="679">
        <f t="shared" si="4"/>
        <v>0</v>
      </c>
    </row>
    <row r="173" spans="1:5" x14ac:dyDescent="0.2">
      <c r="A173" s="185"/>
      <c r="B173" s="383"/>
      <c r="C173" s="676"/>
      <c r="D173" s="679"/>
      <c r="E173" s="679">
        <f t="shared" si="4"/>
        <v>0</v>
      </c>
    </row>
    <row r="174" spans="1:5" x14ac:dyDescent="0.2">
      <c r="A174" s="183"/>
      <c r="B174" s="10"/>
      <c r="C174" s="676"/>
      <c r="D174" s="679"/>
      <c r="E174" s="679">
        <f t="shared" si="4"/>
        <v>0</v>
      </c>
    </row>
    <row r="175" spans="1:5" ht="13.5" thickBot="1" x14ac:dyDescent="0.25">
      <c r="A175" s="187"/>
      <c r="B175" s="192"/>
      <c r="C175" s="677"/>
      <c r="D175" s="679"/>
      <c r="E175" s="679">
        <f t="shared" si="4"/>
        <v>0</v>
      </c>
    </row>
    <row r="176" spans="1:5" ht="13.5" thickBot="1" x14ac:dyDescent="0.25">
      <c r="A176" s="384" t="s">
        <v>5557</v>
      </c>
      <c r="B176" s="385">
        <f>SUM(B165:B175)</f>
        <v>2730.3</v>
      </c>
      <c r="C176" s="680"/>
      <c r="D176" s="763">
        <f>D165+D166+D167+D168</f>
        <v>811.50599999999997</v>
      </c>
      <c r="E176" s="681">
        <f>E165+E166+E167+E168</f>
        <v>1161.194</v>
      </c>
    </row>
  </sheetData>
  <sheetProtection selectLockedCells="1" selectUnlockedCells="1"/>
  <sortState xmlns:xlrd2="http://schemas.microsoft.com/office/spreadsheetml/2017/richdata2" ref="E54:H77">
    <sortCondition ref="E56:E79"/>
  </sortState>
  <mergeCells count="17">
    <mergeCell ref="A1:E1"/>
    <mergeCell ref="A2:E2"/>
    <mergeCell ref="A102:B102"/>
    <mergeCell ref="A48:B48"/>
    <mergeCell ref="A94:B94"/>
    <mergeCell ref="A83:B83"/>
    <mergeCell ref="A68:B68"/>
    <mergeCell ref="A75:B75"/>
    <mergeCell ref="A61:B61"/>
    <mergeCell ref="A163:E163"/>
    <mergeCell ref="H37:I37"/>
    <mergeCell ref="A26:C26"/>
    <mergeCell ref="E26:G26"/>
    <mergeCell ref="A14:C14"/>
    <mergeCell ref="A135:B135"/>
    <mergeCell ref="A127:B127"/>
    <mergeCell ref="A118:B118"/>
  </mergeCells>
  <pageMargins left="0.13" right="0.14000000000000001" top="0.44" bottom="0.984251969" header="0.49212598499999999" footer="0.49212598499999999"/>
  <pageSetup paperSize="9" scale="83" orientation="landscape" horizontalDpi="300" verticalDpi="300" r:id="rId1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Plan43"/>
  <dimension ref="A1:H278"/>
  <sheetViews>
    <sheetView topLeftCell="A147" zoomScale="90" zoomScaleNormal="90" workbookViewId="0">
      <selection activeCell="A200" sqref="A200"/>
    </sheetView>
  </sheetViews>
  <sheetFormatPr defaultRowHeight="12.75" x14ac:dyDescent="0.2"/>
  <cols>
    <col min="1" max="1" width="39.42578125" customWidth="1"/>
    <col min="2" max="2" width="15.5703125" customWidth="1"/>
    <col min="3" max="3" width="21.5703125" customWidth="1"/>
    <col min="4" max="4" width="18" customWidth="1"/>
    <col min="5" max="5" width="26.28515625" style="24" customWidth="1"/>
    <col min="6" max="6" width="15.42578125" customWidth="1"/>
    <col min="7" max="7" width="15" customWidth="1"/>
    <col min="8" max="8" width="23" customWidth="1"/>
  </cols>
  <sheetData>
    <row r="1" spans="1:8" ht="15.75" customHeight="1" thickBot="1" x14ac:dyDescent="0.25">
      <c r="A1" s="3653" t="s">
        <v>5634</v>
      </c>
      <c r="B1" s="3654"/>
      <c r="C1" s="3655"/>
    </row>
    <row r="2" spans="1:8" ht="15" customHeight="1" thickBot="1" x14ac:dyDescent="0.3">
      <c r="A2" s="3637" t="s">
        <v>5635</v>
      </c>
      <c r="B2" s="3656"/>
      <c r="C2" s="3657"/>
      <c r="D2" s="1"/>
      <c r="E2" s="234"/>
      <c r="F2" s="166"/>
      <c r="G2" s="166"/>
      <c r="H2" s="166"/>
    </row>
    <row r="3" spans="1:8" s="7" customFormat="1" ht="13.5" customHeight="1" thickBot="1" x14ac:dyDescent="0.3">
      <c r="A3" s="8" t="s">
        <v>5546</v>
      </c>
      <c r="B3" s="11" t="s">
        <v>5427</v>
      </c>
      <c r="C3" s="11" t="s">
        <v>5636</v>
      </c>
      <c r="E3" s="4" t="s">
        <v>5637</v>
      </c>
      <c r="F3" s="150">
        <v>41540</v>
      </c>
      <c r="G3" s="167"/>
      <c r="H3" s="166"/>
    </row>
    <row r="4" spans="1:8" ht="13.5" thickBot="1" x14ac:dyDescent="0.25">
      <c r="A4" s="386" t="s">
        <v>5638</v>
      </c>
      <c r="B4" s="265">
        <v>486.81</v>
      </c>
      <c r="C4" s="264" t="s">
        <v>5639</v>
      </c>
      <c r="E4" s="3659">
        <f>B31+'Programação Pagtos.'!D330+'Programação Pagtos.'!D338</f>
        <v>0</v>
      </c>
      <c r="F4" s="3660"/>
      <c r="G4" t="s">
        <v>5640</v>
      </c>
      <c r="H4" s="167"/>
    </row>
    <row r="5" spans="1:8" x14ac:dyDescent="0.2">
      <c r="A5" s="186" t="s">
        <v>5641</v>
      </c>
      <c r="B5" s="191">
        <v>85.12</v>
      </c>
      <c r="C5" s="208" t="s">
        <v>5642</v>
      </c>
      <c r="E5" s="235"/>
      <c r="F5" s="165"/>
      <c r="H5" s="167"/>
    </row>
    <row r="6" spans="1:8" x14ac:dyDescent="0.2">
      <c r="A6" s="186" t="s">
        <v>5643</v>
      </c>
      <c r="B6" s="191">
        <v>191.53</v>
      </c>
      <c r="C6" s="286" t="s">
        <v>5644</v>
      </c>
      <c r="H6" s="167"/>
    </row>
    <row r="7" spans="1:8" x14ac:dyDescent="0.2">
      <c r="A7" s="186" t="s">
        <v>5645</v>
      </c>
      <c r="B7" s="191">
        <v>85.12</v>
      </c>
      <c r="C7" s="286" t="s">
        <v>5644</v>
      </c>
      <c r="E7" s="235"/>
      <c r="F7" s="165"/>
      <c r="H7" s="167"/>
    </row>
    <row r="8" spans="1:8" s="48" customFormat="1" x14ac:dyDescent="0.2">
      <c r="A8" s="186" t="s">
        <v>5646</v>
      </c>
      <c r="B8" s="191">
        <v>85.12</v>
      </c>
      <c r="C8" s="286" t="s">
        <v>5644</v>
      </c>
      <c r="E8" s="47"/>
      <c r="H8" s="287"/>
    </row>
    <row r="9" spans="1:8" x14ac:dyDescent="0.2">
      <c r="A9" s="185" t="s">
        <v>5647</v>
      </c>
      <c r="B9" s="190">
        <v>528.62</v>
      </c>
      <c r="C9" s="208" t="s">
        <v>5648</v>
      </c>
      <c r="H9" s="167"/>
    </row>
    <row r="10" spans="1:8" x14ac:dyDescent="0.2">
      <c r="A10" s="185" t="s">
        <v>5649</v>
      </c>
      <c r="B10" s="190">
        <v>376.63</v>
      </c>
      <c r="C10" s="208" t="s">
        <v>5648</v>
      </c>
      <c r="D10" s="201" t="s">
        <v>5650</v>
      </c>
      <c r="H10" s="167"/>
    </row>
    <row r="11" spans="1:8" x14ac:dyDescent="0.2">
      <c r="A11" s="186" t="s">
        <v>5651</v>
      </c>
      <c r="B11" s="191">
        <v>91.58</v>
      </c>
      <c r="C11" s="286" t="s">
        <v>5652</v>
      </c>
      <c r="D11" s="201" t="s">
        <v>5653</v>
      </c>
      <c r="H11" s="167"/>
    </row>
    <row r="12" spans="1:8" x14ac:dyDescent="0.2">
      <c r="A12" s="185" t="s">
        <v>5654</v>
      </c>
      <c r="B12" s="383">
        <v>125</v>
      </c>
      <c r="C12" s="387" t="s">
        <v>5655</v>
      </c>
      <c r="D12" s="717" t="s">
        <v>5656</v>
      </c>
      <c r="H12" s="167"/>
    </row>
    <row r="13" spans="1:8" x14ac:dyDescent="0.2">
      <c r="A13" s="186" t="s">
        <v>5657</v>
      </c>
      <c r="B13" s="191">
        <v>101.16</v>
      </c>
      <c r="C13" s="387" t="s">
        <v>5655</v>
      </c>
      <c r="D13" s="24"/>
      <c r="F13" s="24"/>
      <c r="H13" s="167"/>
    </row>
    <row r="14" spans="1:8" x14ac:dyDescent="0.2">
      <c r="A14" s="46" t="s">
        <v>5658</v>
      </c>
      <c r="B14" s="190">
        <v>101.16</v>
      </c>
      <c r="C14" s="387" t="s">
        <v>5655</v>
      </c>
      <c r="D14" t="s">
        <v>5659</v>
      </c>
      <c r="H14" s="167"/>
    </row>
    <row r="15" spans="1:8" x14ac:dyDescent="0.2">
      <c r="A15" s="186" t="s">
        <v>5660</v>
      </c>
      <c r="B15" s="191">
        <v>62.7</v>
      </c>
      <c r="C15" s="387" t="s">
        <v>5655</v>
      </c>
      <c r="D15" t="s">
        <v>5661</v>
      </c>
      <c r="F15" s="202"/>
      <c r="G15" s="202"/>
      <c r="H15" s="167"/>
    </row>
    <row r="16" spans="1:8" x14ac:dyDescent="0.2">
      <c r="A16" s="186" t="s">
        <v>5662</v>
      </c>
      <c r="B16" s="191">
        <v>142</v>
      </c>
      <c r="C16" s="387" t="s">
        <v>5655</v>
      </c>
      <c r="D16" s="717" t="s">
        <v>5663</v>
      </c>
      <c r="H16" s="167"/>
    </row>
    <row r="17" spans="1:8" x14ac:dyDescent="0.2">
      <c r="A17" s="186" t="s">
        <v>5664</v>
      </c>
      <c r="B17" s="191">
        <v>71</v>
      </c>
      <c r="C17" s="387" t="s">
        <v>5655</v>
      </c>
      <c r="D17" t="s">
        <v>5665</v>
      </c>
      <c r="F17" s="202"/>
      <c r="G17" s="202"/>
      <c r="H17" s="167"/>
    </row>
    <row r="18" spans="1:8" s="511" customFormat="1" x14ac:dyDescent="0.2">
      <c r="A18" s="510" t="s">
        <v>221</v>
      </c>
      <c r="B18" s="463">
        <v>289.38</v>
      </c>
      <c r="C18" s="208" t="s">
        <v>5666</v>
      </c>
      <c r="D18" t="s">
        <v>5667</v>
      </c>
      <c r="E18" s="512"/>
      <c r="H18" s="513"/>
    </row>
    <row r="19" spans="1:8" s="511" customFormat="1" ht="12" customHeight="1" x14ac:dyDescent="0.2">
      <c r="A19" s="510" t="s">
        <v>229</v>
      </c>
      <c r="B19" s="463">
        <v>105.65</v>
      </c>
      <c r="C19" s="208" t="s">
        <v>5668</v>
      </c>
      <c r="D19" t="s">
        <v>5669</v>
      </c>
      <c r="E19"/>
      <c r="H19" s="513"/>
    </row>
    <row r="20" spans="1:8" x14ac:dyDescent="0.2">
      <c r="A20" s="510" t="s">
        <v>5670</v>
      </c>
      <c r="B20" s="463">
        <v>65.86</v>
      </c>
      <c r="C20" s="208" t="s">
        <v>5668</v>
      </c>
      <c r="H20" s="167"/>
    </row>
    <row r="21" spans="1:8" s="541" customFormat="1" ht="12" customHeight="1" x14ac:dyDescent="0.2">
      <c r="A21" s="510" t="s">
        <v>5671</v>
      </c>
      <c r="B21" s="463" t="s">
        <v>5672</v>
      </c>
      <c r="C21" s="540" t="s">
        <v>5673</v>
      </c>
      <c r="H21" s="542"/>
    </row>
    <row r="22" spans="1:8" x14ac:dyDescent="0.2">
      <c r="A22" s="183"/>
      <c r="B22" s="10"/>
      <c r="C22" s="204"/>
      <c r="F22" s="24"/>
      <c r="H22" s="167"/>
    </row>
    <row r="23" spans="1:8" x14ac:dyDescent="0.2">
      <c r="A23" s="183"/>
      <c r="B23" s="10"/>
      <c r="C23" s="204"/>
      <c r="F23" s="165"/>
    </row>
    <row r="24" spans="1:8" x14ac:dyDescent="0.2">
      <c r="A24" s="182"/>
      <c r="B24" s="188"/>
      <c r="C24" s="204"/>
      <c r="H24" s="167"/>
    </row>
    <row r="25" spans="1:8" x14ac:dyDescent="0.2">
      <c r="A25" s="182" t="s">
        <v>5674</v>
      </c>
      <c r="B25" s="189">
        <f>SUM(B4:B24)</f>
        <v>2994.44</v>
      </c>
      <c r="C25" s="204"/>
      <c r="H25" s="167"/>
    </row>
    <row r="26" spans="1:8" x14ac:dyDescent="0.2">
      <c r="A26" s="183"/>
      <c r="B26" s="10"/>
      <c r="C26" s="204"/>
      <c r="H26" s="167"/>
    </row>
    <row r="27" spans="1:8" x14ac:dyDescent="0.2">
      <c r="A27" s="186" t="s">
        <v>5675</v>
      </c>
      <c r="B27" s="209">
        <v>2994.44</v>
      </c>
      <c r="C27" s="204"/>
      <c r="H27" s="167"/>
    </row>
    <row r="28" spans="1:8" x14ac:dyDescent="0.2">
      <c r="A28" s="183"/>
      <c r="B28" s="10"/>
      <c r="C28" s="204"/>
      <c r="H28" s="167"/>
    </row>
    <row r="29" spans="1:8" x14ac:dyDescent="0.2">
      <c r="A29" s="183"/>
      <c r="B29" s="10"/>
      <c r="C29" s="204"/>
      <c r="H29" s="167"/>
    </row>
    <row r="30" spans="1:8" ht="13.5" thickBot="1" x14ac:dyDescent="0.25">
      <c r="A30" s="187"/>
      <c r="B30" s="192"/>
      <c r="C30" s="205"/>
      <c r="G30" s="24"/>
    </row>
    <row r="31" spans="1:8" ht="13.5" thickBot="1" x14ac:dyDescent="0.25">
      <c r="A31" s="384" t="s">
        <v>5676</v>
      </c>
      <c r="B31" s="385">
        <f>B25-B27</f>
        <v>0</v>
      </c>
      <c r="C31" s="382"/>
      <c r="G31" s="24"/>
    </row>
    <row r="32" spans="1:8" x14ac:dyDescent="0.2">
      <c r="G32" s="24"/>
    </row>
    <row r="33" spans="1:7" ht="13.5" thickBot="1" x14ac:dyDescent="0.25">
      <c r="G33" s="24"/>
    </row>
    <row r="34" spans="1:7" ht="13.5" thickBot="1" x14ac:dyDescent="0.25">
      <c r="A34" s="3501" t="s">
        <v>5677</v>
      </c>
      <c r="B34" s="3502"/>
      <c r="C34" s="3503"/>
      <c r="G34" s="24"/>
    </row>
    <row r="35" spans="1:7" x14ac:dyDescent="0.2">
      <c r="A35" s="272"/>
      <c r="B35" s="22"/>
      <c r="C35" s="273"/>
      <c r="G35" s="24"/>
    </row>
    <row r="36" spans="1:7" x14ac:dyDescent="0.2">
      <c r="A36" s="21" t="s">
        <v>5559</v>
      </c>
      <c r="B36" s="23">
        <v>10000</v>
      </c>
      <c r="C36" s="12"/>
      <c r="G36" s="24"/>
    </row>
    <row r="37" spans="1:7" x14ac:dyDescent="0.2">
      <c r="A37" s="20" t="s">
        <v>5560</v>
      </c>
      <c r="B37" s="77">
        <v>500</v>
      </c>
      <c r="C37" s="12"/>
      <c r="G37" s="24"/>
    </row>
    <row r="38" spans="1:7" x14ac:dyDescent="0.2">
      <c r="A38" s="21" t="s">
        <v>5678</v>
      </c>
      <c r="B38" s="23">
        <v>9500</v>
      </c>
      <c r="C38" s="12"/>
    </row>
    <row r="39" spans="1:7" x14ac:dyDescent="0.2">
      <c r="A39" s="19" t="s">
        <v>5564</v>
      </c>
      <c r="B39" s="78">
        <v>2.8490000000000001E-2</v>
      </c>
      <c r="C39" s="236"/>
    </row>
    <row r="40" spans="1:7" x14ac:dyDescent="0.2">
      <c r="A40" s="19" t="s">
        <v>5565</v>
      </c>
      <c r="B40" s="84">
        <v>48</v>
      </c>
      <c r="C40" s="237"/>
    </row>
    <row r="41" spans="1:7" x14ac:dyDescent="0.2">
      <c r="A41" s="21" t="s">
        <v>5566</v>
      </c>
      <c r="B41" s="23">
        <f>B38*1.7694%*B40+B38</f>
        <v>17568.464</v>
      </c>
      <c r="C41" s="432" t="s">
        <v>5679</v>
      </c>
    </row>
    <row r="42" spans="1:7" ht="13.5" thickBot="1" x14ac:dyDescent="0.25">
      <c r="A42" s="274" t="s">
        <v>5568</v>
      </c>
      <c r="B42" s="275">
        <f>B41/B40</f>
        <v>366.00966666666665</v>
      </c>
      <c r="C42" s="13"/>
    </row>
    <row r="43" spans="1:7" ht="13.5" thickBot="1" x14ac:dyDescent="0.25">
      <c r="A43" s="18"/>
      <c r="B43" s="18"/>
      <c r="C43" s="18"/>
    </row>
    <row r="44" spans="1:7" ht="13.5" customHeight="1" thickBot="1" x14ac:dyDescent="0.25">
      <c r="A44" s="8" t="s">
        <v>5569</v>
      </c>
      <c r="B44" s="11" t="s">
        <v>5426</v>
      </c>
      <c r="C44" s="11" t="s">
        <v>5680</v>
      </c>
      <c r="D44" s="276" t="s">
        <v>5570</v>
      </c>
      <c r="E44" s="25" t="s">
        <v>5571</v>
      </c>
      <c r="F44" s="25" t="s">
        <v>5427</v>
      </c>
      <c r="G44" s="26" t="s">
        <v>5681</v>
      </c>
    </row>
    <row r="45" spans="1:7" x14ac:dyDescent="0.2">
      <c r="A45" s="151">
        <v>39961</v>
      </c>
      <c r="B45" s="152">
        <v>1</v>
      </c>
      <c r="C45" s="153">
        <v>366.46</v>
      </c>
      <c r="D45" s="154">
        <f>B41-C45</f>
        <v>17202.004000000001</v>
      </c>
      <c r="E45" s="1560">
        <v>39962</v>
      </c>
      <c r="F45" s="1561">
        <v>375.25</v>
      </c>
      <c r="G45" s="1561">
        <f>B42-F45</f>
        <v>-9.2403333333333535</v>
      </c>
    </row>
    <row r="46" spans="1:7" x14ac:dyDescent="0.2">
      <c r="A46" s="155">
        <v>39992</v>
      </c>
      <c r="B46" s="156">
        <f t="shared" ref="B46:B92" si="0">B45+1</f>
        <v>2</v>
      </c>
      <c r="C46" s="157">
        <v>366</v>
      </c>
      <c r="D46" s="158">
        <f t="shared" ref="D46:D92" si="1">D45-C46</f>
        <v>16836.004000000001</v>
      </c>
      <c r="E46" s="1562">
        <v>39988</v>
      </c>
      <c r="F46" s="379">
        <v>365.07</v>
      </c>
      <c r="G46" s="1563">
        <f>B42-F46</f>
        <v>0.93966666666665333</v>
      </c>
    </row>
    <row r="47" spans="1:7" x14ac:dyDescent="0.2">
      <c r="A47" s="155">
        <v>40022</v>
      </c>
      <c r="B47" s="156">
        <f t="shared" si="0"/>
        <v>3</v>
      </c>
      <c r="C47" s="157">
        <v>366</v>
      </c>
      <c r="D47" s="158">
        <f t="shared" si="1"/>
        <v>16470.004000000001</v>
      </c>
      <c r="E47" s="1562">
        <v>40021</v>
      </c>
      <c r="F47" s="379">
        <v>365.77</v>
      </c>
      <c r="G47" s="1563">
        <f>B42-F47</f>
        <v>0.2396666666666647</v>
      </c>
    </row>
    <row r="48" spans="1:7" x14ac:dyDescent="0.2">
      <c r="A48" s="155">
        <v>40053</v>
      </c>
      <c r="B48" s="156">
        <f t="shared" si="0"/>
        <v>4</v>
      </c>
      <c r="C48" s="157">
        <v>366</v>
      </c>
      <c r="D48" s="158">
        <f t="shared" si="1"/>
        <v>16104.004000000001</v>
      </c>
      <c r="E48" s="1562">
        <v>40052</v>
      </c>
      <c r="F48" s="379">
        <v>365.77</v>
      </c>
      <c r="G48" s="1563">
        <f>B42-F48</f>
        <v>0.2396666666666647</v>
      </c>
    </row>
    <row r="49" spans="1:7" x14ac:dyDescent="0.2">
      <c r="A49" s="155">
        <v>40084</v>
      </c>
      <c r="B49" s="156">
        <f t="shared" si="0"/>
        <v>5</v>
      </c>
      <c r="C49" s="157">
        <v>366</v>
      </c>
      <c r="D49" s="158">
        <f t="shared" si="1"/>
        <v>15738.004000000001</v>
      </c>
      <c r="E49" s="1562">
        <v>40084</v>
      </c>
      <c r="F49" s="379">
        <v>366</v>
      </c>
      <c r="G49" s="1563">
        <v>0</v>
      </c>
    </row>
    <row r="50" spans="1:7" x14ac:dyDescent="0.2">
      <c r="A50" s="155">
        <v>40114</v>
      </c>
      <c r="B50" s="156">
        <f t="shared" si="0"/>
        <v>6</v>
      </c>
      <c r="C50" s="157">
        <v>366</v>
      </c>
      <c r="D50" s="158">
        <f t="shared" si="1"/>
        <v>15372.004000000001</v>
      </c>
      <c r="E50" s="1564">
        <v>40123</v>
      </c>
      <c r="F50" s="375">
        <v>390.97</v>
      </c>
      <c r="G50" s="1565">
        <f t="shared" ref="G50:G92" si="2">C50-F50</f>
        <v>-24.970000000000027</v>
      </c>
    </row>
    <row r="51" spans="1:7" x14ac:dyDescent="0.2">
      <c r="A51" s="155">
        <v>40145</v>
      </c>
      <c r="B51" s="156">
        <f t="shared" si="0"/>
        <v>7</v>
      </c>
      <c r="C51" s="277">
        <v>366</v>
      </c>
      <c r="D51" s="158">
        <f t="shared" si="1"/>
        <v>15006.004000000001</v>
      </c>
      <c r="E51" s="1564">
        <v>40151</v>
      </c>
      <c r="F51" s="375">
        <v>384.99</v>
      </c>
      <c r="G51" s="1565">
        <f t="shared" si="2"/>
        <v>-18.990000000000009</v>
      </c>
    </row>
    <row r="52" spans="1:7" x14ac:dyDescent="0.2">
      <c r="A52" s="155">
        <v>40175</v>
      </c>
      <c r="B52" s="156">
        <f t="shared" si="0"/>
        <v>8</v>
      </c>
      <c r="C52" s="277">
        <v>366</v>
      </c>
      <c r="D52" s="158">
        <f t="shared" si="1"/>
        <v>14640.004000000001</v>
      </c>
      <c r="E52" s="1564">
        <v>40185</v>
      </c>
      <c r="F52" s="375">
        <v>392.98</v>
      </c>
      <c r="G52" s="1565">
        <f t="shared" si="2"/>
        <v>-26.980000000000018</v>
      </c>
    </row>
    <row r="53" spans="1:7" x14ac:dyDescent="0.2">
      <c r="A53" s="155">
        <v>40206</v>
      </c>
      <c r="B53" s="156">
        <f t="shared" si="0"/>
        <v>9</v>
      </c>
      <c r="C53" s="277">
        <v>366</v>
      </c>
      <c r="D53" s="158">
        <f t="shared" si="1"/>
        <v>14274.004000000001</v>
      </c>
      <c r="E53" s="1564">
        <v>40214</v>
      </c>
      <c r="F53" s="375">
        <v>388.96</v>
      </c>
      <c r="G53" s="1565">
        <f t="shared" si="2"/>
        <v>-22.95999999999998</v>
      </c>
    </row>
    <row r="54" spans="1:7" x14ac:dyDescent="0.2">
      <c r="A54" s="155">
        <v>40237</v>
      </c>
      <c r="B54" s="156">
        <f t="shared" si="0"/>
        <v>10</v>
      </c>
      <c r="C54" s="277">
        <v>366</v>
      </c>
      <c r="D54" s="158">
        <f t="shared" si="1"/>
        <v>13908.004000000001</v>
      </c>
      <c r="E54" s="1564">
        <v>40241</v>
      </c>
      <c r="F54" s="375">
        <v>381.07</v>
      </c>
      <c r="G54" s="1565">
        <f t="shared" si="2"/>
        <v>-15.069999999999993</v>
      </c>
    </row>
    <row r="55" spans="1:7" x14ac:dyDescent="0.2">
      <c r="A55" s="155">
        <v>40265</v>
      </c>
      <c r="B55" s="156">
        <f t="shared" si="0"/>
        <v>11</v>
      </c>
      <c r="C55" s="277">
        <v>366</v>
      </c>
      <c r="D55" s="158">
        <f t="shared" si="1"/>
        <v>13542.004000000001</v>
      </c>
      <c r="E55" s="1564">
        <v>40274</v>
      </c>
      <c r="F55" s="375">
        <v>390.98</v>
      </c>
      <c r="G55" s="1565">
        <f t="shared" si="2"/>
        <v>-24.980000000000018</v>
      </c>
    </row>
    <row r="56" spans="1:7" x14ac:dyDescent="0.2">
      <c r="A56" s="155">
        <v>40296</v>
      </c>
      <c r="B56" s="156">
        <f t="shared" si="0"/>
        <v>12</v>
      </c>
      <c r="C56" s="277">
        <v>366</v>
      </c>
      <c r="D56" s="158">
        <f t="shared" si="1"/>
        <v>13176.004000000001</v>
      </c>
      <c r="E56" s="1564">
        <v>40304</v>
      </c>
      <c r="F56" s="375">
        <v>388.91</v>
      </c>
      <c r="G56" s="1565">
        <f t="shared" si="2"/>
        <v>-22.910000000000025</v>
      </c>
    </row>
    <row r="57" spans="1:7" x14ac:dyDescent="0.2">
      <c r="A57" s="155">
        <v>40326</v>
      </c>
      <c r="B57" s="156">
        <f t="shared" si="0"/>
        <v>13</v>
      </c>
      <c r="C57" s="277">
        <v>366</v>
      </c>
      <c r="D57" s="158">
        <f t="shared" si="1"/>
        <v>12810.004000000001</v>
      </c>
      <c r="E57" s="1564">
        <v>40336</v>
      </c>
      <c r="F57" s="375">
        <v>392.91</v>
      </c>
      <c r="G57" s="1565">
        <f t="shared" si="2"/>
        <v>-26.910000000000025</v>
      </c>
    </row>
    <row r="58" spans="1:7" x14ac:dyDescent="0.2">
      <c r="A58" s="155">
        <v>40357</v>
      </c>
      <c r="B58" s="156">
        <f t="shared" si="0"/>
        <v>14</v>
      </c>
      <c r="C58" s="277">
        <v>366</v>
      </c>
      <c r="D58" s="158">
        <f t="shared" si="1"/>
        <v>12444.004000000001</v>
      </c>
      <c r="E58" s="1564">
        <v>40365</v>
      </c>
      <c r="F58" s="375">
        <v>388.91</v>
      </c>
      <c r="G58" s="1566">
        <f t="shared" si="2"/>
        <v>-22.910000000000025</v>
      </c>
    </row>
    <row r="59" spans="1:7" x14ac:dyDescent="0.2">
      <c r="A59" s="155">
        <v>40387</v>
      </c>
      <c r="B59" s="156">
        <f t="shared" si="0"/>
        <v>15</v>
      </c>
      <c r="C59" s="277">
        <v>366</v>
      </c>
      <c r="D59" s="158">
        <f t="shared" si="1"/>
        <v>12078.004000000001</v>
      </c>
      <c r="E59" s="1564">
        <v>40396</v>
      </c>
      <c r="F59" s="375">
        <v>390.91</v>
      </c>
      <c r="G59" s="1566">
        <f t="shared" si="2"/>
        <v>-24.910000000000025</v>
      </c>
    </row>
    <row r="60" spans="1:7" x14ac:dyDescent="0.2">
      <c r="A60" s="155">
        <v>40418</v>
      </c>
      <c r="B60" s="156">
        <f t="shared" si="0"/>
        <v>16</v>
      </c>
      <c r="C60" s="277">
        <v>366</v>
      </c>
      <c r="D60" s="158">
        <f t="shared" si="1"/>
        <v>11712.004000000001</v>
      </c>
      <c r="E60" s="1564">
        <v>40427</v>
      </c>
      <c r="F60" s="375">
        <v>390.91</v>
      </c>
      <c r="G60" s="1566">
        <f t="shared" si="2"/>
        <v>-24.910000000000025</v>
      </c>
    </row>
    <row r="61" spans="1:7" x14ac:dyDescent="0.2">
      <c r="A61" s="155">
        <v>40449</v>
      </c>
      <c r="B61" s="156">
        <f t="shared" si="0"/>
        <v>17</v>
      </c>
      <c r="C61" s="277">
        <v>366</v>
      </c>
      <c r="D61" s="158">
        <f t="shared" si="1"/>
        <v>11346.004000000001</v>
      </c>
      <c r="E61" s="1564">
        <v>40451</v>
      </c>
      <c r="F61" s="375">
        <v>377.16</v>
      </c>
      <c r="G61" s="1566">
        <f t="shared" si="2"/>
        <v>-11.160000000000025</v>
      </c>
    </row>
    <row r="62" spans="1:7" x14ac:dyDescent="0.2">
      <c r="A62" s="155">
        <v>40479</v>
      </c>
      <c r="B62" s="156">
        <f t="shared" si="0"/>
        <v>18</v>
      </c>
      <c r="C62" s="277">
        <v>366</v>
      </c>
      <c r="D62" s="158">
        <f t="shared" si="1"/>
        <v>10980.004000000001</v>
      </c>
      <c r="E62" s="1562">
        <v>40479</v>
      </c>
      <c r="F62" s="379">
        <v>366</v>
      </c>
      <c r="G62" s="380">
        <f t="shared" si="2"/>
        <v>0</v>
      </c>
    </row>
    <row r="63" spans="1:7" x14ac:dyDescent="0.2">
      <c r="A63" s="155">
        <v>40510</v>
      </c>
      <c r="B63" s="156">
        <f t="shared" si="0"/>
        <v>19</v>
      </c>
      <c r="C63" s="277">
        <v>366</v>
      </c>
      <c r="D63" s="158">
        <f t="shared" si="1"/>
        <v>10614.004000000001</v>
      </c>
      <c r="E63" s="1562">
        <v>40511</v>
      </c>
      <c r="F63" s="379">
        <v>366</v>
      </c>
      <c r="G63" s="380">
        <f t="shared" si="2"/>
        <v>0</v>
      </c>
    </row>
    <row r="64" spans="1:7" x14ac:dyDescent="0.2">
      <c r="A64" s="155">
        <v>40540</v>
      </c>
      <c r="B64" s="156">
        <f t="shared" si="0"/>
        <v>20</v>
      </c>
      <c r="C64" s="277">
        <v>366</v>
      </c>
      <c r="D64" s="158">
        <f t="shared" si="1"/>
        <v>10248.004000000001</v>
      </c>
      <c r="E64" s="1564">
        <v>40550</v>
      </c>
      <c r="F64" s="375">
        <v>392.91</v>
      </c>
      <c r="G64" s="1566">
        <f t="shared" si="2"/>
        <v>-26.910000000000025</v>
      </c>
    </row>
    <row r="65" spans="1:7" x14ac:dyDescent="0.2">
      <c r="A65" s="155">
        <v>40571</v>
      </c>
      <c r="B65" s="156">
        <f t="shared" si="0"/>
        <v>21</v>
      </c>
      <c r="C65" s="277">
        <v>366</v>
      </c>
      <c r="D65" s="158">
        <f t="shared" si="1"/>
        <v>9882.0040000000008</v>
      </c>
      <c r="E65" s="1564">
        <v>40578</v>
      </c>
      <c r="F65" s="375">
        <v>386.93</v>
      </c>
      <c r="G65" s="1566">
        <f t="shared" si="2"/>
        <v>-20.930000000000007</v>
      </c>
    </row>
    <row r="66" spans="1:7" x14ac:dyDescent="0.2">
      <c r="A66" s="155">
        <v>40602</v>
      </c>
      <c r="B66" s="156">
        <f t="shared" si="0"/>
        <v>22</v>
      </c>
      <c r="C66" s="277">
        <v>366</v>
      </c>
      <c r="D66" s="158">
        <f t="shared" si="1"/>
        <v>9516.0040000000008</v>
      </c>
      <c r="E66" s="1564">
        <v>40606</v>
      </c>
      <c r="F66" s="375">
        <v>381.04</v>
      </c>
      <c r="G66" s="1566">
        <f t="shared" si="2"/>
        <v>-15.04000000000002</v>
      </c>
    </row>
    <row r="67" spans="1:7" x14ac:dyDescent="0.2">
      <c r="A67" s="155">
        <v>40630</v>
      </c>
      <c r="B67" s="156">
        <f t="shared" si="0"/>
        <v>23</v>
      </c>
      <c r="C67" s="277">
        <v>366</v>
      </c>
      <c r="D67" s="158">
        <f t="shared" si="1"/>
        <v>9150.0040000000008</v>
      </c>
      <c r="E67" s="1564">
        <v>40639</v>
      </c>
      <c r="F67" s="375">
        <v>390.91</v>
      </c>
      <c r="G67" s="1566">
        <f t="shared" si="2"/>
        <v>-24.910000000000025</v>
      </c>
    </row>
    <row r="68" spans="1:7" x14ac:dyDescent="0.2">
      <c r="A68" s="155">
        <v>40661</v>
      </c>
      <c r="B68" s="156">
        <f t="shared" si="0"/>
        <v>24</v>
      </c>
      <c r="C68" s="277">
        <v>366</v>
      </c>
      <c r="D68" s="158">
        <f t="shared" si="1"/>
        <v>8784.0040000000008</v>
      </c>
      <c r="E68" s="1564">
        <v>40669</v>
      </c>
      <c r="F68" s="375">
        <v>388.91</v>
      </c>
      <c r="G68" s="1566">
        <f t="shared" si="2"/>
        <v>-22.910000000000025</v>
      </c>
    </row>
    <row r="69" spans="1:7" x14ac:dyDescent="0.2">
      <c r="A69" s="155">
        <v>40691</v>
      </c>
      <c r="B69" s="156">
        <f t="shared" si="0"/>
        <v>25</v>
      </c>
      <c r="C69" s="277">
        <v>366</v>
      </c>
      <c r="D69" s="158">
        <f t="shared" si="1"/>
        <v>8418.0040000000008</v>
      </c>
      <c r="E69" s="1564">
        <v>40700</v>
      </c>
      <c r="F69" s="375">
        <v>390.91</v>
      </c>
      <c r="G69" s="1566">
        <f t="shared" si="2"/>
        <v>-24.910000000000025</v>
      </c>
    </row>
    <row r="70" spans="1:7" x14ac:dyDescent="0.2">
      <c r="A70" s="155">
        <v>40722</v>
      </c>
      <c r="B70" s="156">
        <f t="shared" si="0"/>
        <v>26</v>
      </c>
      <c r="C70" s="277">
        <v>366</v>
      </c>
      <c r="D70" s="158">
        <f t="shared" si="1"/>
        <v>8052.0040000000008</v>
      </c>
      <c r="E70" s="1564">
        <v>40730</v>
      </c>
      <c r="F70" s="375">
        <v>388.91</v>
      </c>
      <c r="G70" s="1566">
        <f t="shared" si="2"/>
        <v>-22.910000000000025</v>
      </c>
    </row>
    <row r="71" spans="1:7" x14ac:dyDescent="0.2">
      <c r="A71" s="155">
        <v>40752</v>
      </c>
      <c r="B71" s="156">
        <f t="shared" si="0"/>
        <v>27</v>
      </c>
      <c r="C71" s="277">
        <v>366</v>
      </c>
      <c r="D71" s="158">
        <f t="shared" si="1"/>
        <v>7686.0040000000008</v>
      </c>
      <c r="E71" s="1564">
        <v>40760</v>
      </c>
      <c r="F71" s="375">
        <v>388.91</v>
      </c>
      <c r="G71" s="1566">
        <f t="shared" si="2"/>
        <v>-22.910000000000025</v>
      </c>
    </row>
    <row r="72" spans="1:7" x14ac:dyDescent="0.2">
      <c r="A72" s="155">
        <v>40783</v>
      </c>
      <c r="B72" s="156">
        <f t="shared" si="0"/>
        <v>28</v>
      </c>
      <c r="C72" s="277">
        <v>366</v>
      </c>
      <c r="D72" s="158">
        <f t="shared" si="1"/>
        <v>7320.0040000000008</v>
      </c>
      <c r="E72" s="1564">
        <v>40792</v>
      </c>
      <c r="F72" s="375">
        <v>390.91</v>
      </c>
      <c r="G72" s="1566">
        <f t="shared" si="2"/>
        <v>-24.910000000000025</v>
      </c>
    </row>
    <row r="73" spans="1:7" x14ac:dyDescent="0.2">
      <c r="A73" s="155">
        <v>40814</v>
      </c>
      <c r="B73" s="156">
        <f t="shared" si="0"/>
        <v>29</v>
      </c>
      <c r="C73" s="277">
        <v>366</v>
      </c>
      <c r="D73" s="158">
        <f t="shared" si="1"/>
        <v>6954.0040000000008</v>
      </c>
      <c r="E73" s="1564">
        <v>40822</v>
      </c>
      <c r="F73" s="375">
        <v>388.91</v>
      </c>
      <c r="G73" s="1566">
        <f t="shared" si="2"/>
        <v>-22.910000000000025</v>
      </c>
    </row>
    <row r="74" spans="1:7" x14ac:dyDescent="0.2">
      <c r="A74" s="155">
        <v>40844</v>
      </c>
      <c r="B74" s="156">
        <f t="shared" si="0"/>
        <v>30</v>
      </c>
      <c r="C74" s="277">
        <v>366</v>
      </c>
      <c r="D74" s="158">
        <f t="shared" si="1"/>
        <v>6588.0040000000008</v>
      </c>
      <c r="E74" s="1564">
        <v>40823</v>
      </c>
      <c r="F74" s="375">
        <v>392.91</v>
      </c>
      <c r="G74" s="1566">
        <f t="shared" si="2"/>
        <v>-26.910000000000025</v>
      </c>
    </row>
    <row r="75" spans="1:7" x14ac:dyDescent="0.2">
      <c r="A75" s="155">
        <v>40875</v>
      </c>
      <c r="B75" s="156">
        <f t="shared" si="0"/>
        <v>31</v>
      </c>
      <c r="C75" s="277">
        <v>366</v>
      </c>
      <c r="D75" s="158">
        <f t="shared" si="1"/>
        <v>6222.0040000000008</v>
      </c>
      <c r="E75" s="1564">
        <v>40877</v>
      </c>
      <c r="F75" s="375">
        <v>377.16</v>
      </c>
      <c r="G75" s="1566">
        <f t="shared" si="2"/>
        <v>-11.160000000000025</v>
      </c>
    </row>
    <row r="76" spans="1:7" x14ac:dyDescent="0.2">
      <c r="A76" s="155">
        <v>40905</v>
      </c>
      <c r="B76" s="156">
        <f t="shared" si="0"/>
        <v>32</v>
      </c>
      <c r="C76" s="277">
        <v>366</v>
      </c>
      <c r="D76" s="158">
        <f t="shared" si="1"/>
        <v>5856.0040000000008</v>
      </c>
      <c r="E76" s="1562">
        <v>40904</v>
      </c>
      <c r="F76" s="379">
        <v>365.75</v>
      </c>
      <c r="G76" s="380">
        <f t="shared" si="2"/>
        <v>0.25</v>
      </c>
    </row>
    <row r="77" spans="1:7" x14ac:dyDescent="0.2">
      <c r="A77" s="155">
        <v>40936</v>
      </c>
      <c r="B77" s="156">
        <f t="shared" si="0"/>
        <v>33</v>
      </c>
      <c r="C77" s="277">
        <v>366</v>
      </c>
      <c r="D77" s="158">
        <f t="shared" si="1"/>
        <v>5490.0040000000008</v>
      </c>
      <c r="E77" s="1564">
        <v>40945</v>
      </c>
      <c r="F77" s="375">
        <v>390.91</v>
      </c>
      <c r="G77" s="1566">
        <f t="shared" si="2"/>
        <v>-24.910000000000025</v>
      </c>
    </row>
    <row r="78" spans="1:7" x14ac:dyDescent="0.2">
      <c r="A78" s="155">
        <v>40967</v>
      </c>
      <c r="B78" s="156">
        <f t="shared" si="0"/>
        <v>34</v>
      </c>
      <c r="C78" s="277">
        <v>366</v>
      </c>
      <c r="D78" s="158">
        <f t="shared" si="1"/>
        <v>5124.0040000000008</v>
      </c>
      <c r="E78" s="1564">
        <v>40974</v>
      </c>
      <c r="F78" s="375">
        <v>386.93</v>
      </c>
      <c r="G78" s="1566">
        <f t="shared" si="2"/>
        <v>-20.930000000000007</v>
      </c>
    </row>
    <row r="79" spans="1:7" x14ac:dyDescent="0.2">
      <c r="A79" s="155">
        <v>40996</v>
      </c>
      <c r="B79" s="156">
        <f t="shared" si="0"/>
        <v>35</v>
      </c>
      <c r="C79" s="277">
        <v>366</v>
      </c>
      <c r="D79" s="158">
        <f t="shared" si="1"/>
        <v>4758.0040000000008</v>
      </c>
      <c r="E79" s="1564">
        <v>41004</v>
      </c>
      <c r="F79" s="375">
        <v>388.91</v>
      </c>
      <c r="G79" s="1566">
        <f t="shared" si="2"/>
        <v>-22.910000000000025</v>
      </c>
    </row>
    <row r="80" spans="1:7" x14ac:dyDescent="0.2">
      <c r="A80" s="155">
        <v>41027</v>
      </c>
      <c r="B80" s="156">
        <f t="shared" si="0"/>
        <v>36</v>
      </c>
      <c r="C80" s="277">
        <v>366</v>
      </c>
      <c r="D80" s="158">
        <f t="shared" si="1"/>
        <v>4392.0040000000008</v>
      </c>
      <c r="E80" s="1564">
        <v>41006</v>
      </c>
      <c r="F80" s="375">
        <v>390.91</v>
      </c>
      <c r="G80" s="1566">
        <f t="shared" si="2"/>
        <v>-24.910000000000025</v>
      </c>
    </row>
    <row r="81" spans="1:7" x14ac:dyDescent="0.2">
      <c r="A81" s="155">
        <v>41057</v>
      </c>
      <c r="B81" s="156">
        <f t="shared" si="0"/>
        <v>37</v>
      </c>
      <c r="C81" s="277">
        <v>366</v>
      </c>
      <c r="D81" s="158">
        <f t="shared" si="1"/>
        <v>4026.0040000000008</v>
      </c>
      <c r="E81" s="1562">
        <v>41051</v>
      </c>
      <c r="F81" s="379">
        <v>364.51</v>
      </c>
      <c r="G81" s="380">
        <f t="shared" si="2"/>
        <v>1.4900000000000091</v>
      </c>
    </row>
    <row r="82" spans="1:7" x14ac:dyDescent="0.2">
      <c r="A82" s="155">
        <v>41088</v>
      </c>
      <c r="B82" s="156">
        <f t="shared" si="0"/>
        <v>38</v>
      </c>
      <c r="C82" s="277">
        <v>366</v>
      </c>
      <c r="D82" s="158">
        <f t="shared" si="1"/>
        <v>3660.0040000000008</v>
      </c>
      <c r="E82" s="1562">
        <v>41080</v>
      </c>
      <c r="F82" s="379">
        <v>364.02</v>
      </c>
      <c r="G82" s="380">
        <f t="shared" si="2"/>
        <v>1.9800000000000182</v>
      </c>
    </row>
    <row r="83" spans="1:7" x14ac:dyDescent="0.2">
      <c r="A83" s="155">
        <v>41118</v>
      </c>
      <c r="B83" s="156">
        <f t="shared" si="0"/>
        <v>39</v>
      </c>
      <c r="C83" s="277">
        <v>366</v>
      </c>
      <c r="D83" s="158">
        <f t="shared" si="1"/>
        <v>3294.0040000000008</v>
      </c>
      <c r="E83" s="1562">
        <v>41110</v>
      </c>
      <c r="F83" s="379">
        <v>364.02</v>
      </c>
      <c r="G83" s="380">
        <f t="shared" si="2"/>
        <v>1.9800000000000182</v>
      </c>
    </row>
    <row r="84" spans="1:7" x14ac:dyDescent="0.2">
      <c r="A84" s="155">
        <v>41149</v>
      </c>
      <c r="B84" s="156">
        <f t="shared" si="0"/>
        <v>40</v>
      </c>
      <c r="C84" s="277">
        <v>366</v>
      </c>
      <c r="D84" s="158">
        <f t="shared" si="1"/>
        <v>2928.0040000000008</v>
      </c>
      <c r="E84" s="1562">
        <v>41141</v>
      </c>
      <c r="F84" s="379">
        <v>364.02</v>
      </c>
      <c r="G84" s="380">
        <f t="shared" si="2"/>
        <v>1.9800000000000182</v>
      </c>
    </row>
    <row r="85" spans="1:7" x14ac:dyDescent="0.2">
      <c r="A85" s="155">
        <v>41180</v>
      </c>
      <c r="B85" s="156">
        <f t="shared" si="0"/>
        <v>41</v>
      </c>
      <c r="C85" s="277">
        <v>366</v>
      </c>
      <c r="D85" s="158">
        <f t="shared" si="1"/>
        <v>2562.0040000000008</v>
      </c>
      <c r="E85" s="1562">
        <v>41158</v>
      </c>
      <c r="F85" s="379">
        <v>360.57</v>
      </c>
      <c r="G85" s="380">
        <f t="shared" si="2"/>
        <v>5.4300000000000068</v>
      </c>
    </row>
    <row r="86" spans="1:7" x14ac:dyDescent="0.2">
      <c r="A86" s="155">
        <v>41210</v>
      </c>
      <c r="B86" s="156">
        <f t="shared" si="0"/>
        <v>42</v>
      </c>
      <c r="C86" s="157">
        <v>366</v>
      </c>
      <c r="D86" s="365">
        <f>D85-C86</f>
        <v>2196.0040000000008</v>
      </c>
      <c r="E86" s="1562">
        <v>41191</v>
      </c>
      <c r="F86" s="379">
        <v>361.3</v>
      </c>
      <c r="G86" s="380">
        <f t="shared" si="2"/>
        <v>4.6999999999999886</v>
      </c>
    </row>
    <row r="87" spans="1:7" x14ac:dyDescent="0.2">
      <c r="A87" s="155">
        <v>41241</v>
      </c>
      <c r="B87" s="156">
        <f t="shared" si="0"/>
        <v>43</v>
      </c>
      <c r="C87" s="157">
        <v>366</v>
      </c>
      <c r="D87" s="158">
        <f t="shared" si="1"/>
        <v>1830.0040000000008</v>
      </c>
      <c r="E87" s="1562">
        <v>41206</v>
      </c>
      <c r="F87" s="379">
        <v>357.4</v>
      </c>
      <c r="G87" s="380">
        <f t="shared" si="2"/>
        <v>8.6000000000000227</v>
      </c>
    </row>
    <row r="88" spans="1:7" x14ac:dyDescent="0.2">
      <c r="A88" s="155">
        <v>41271</v>
      </c>
      <c r="B88" s="156">
        <f t="shared" si="0"/>
        <v>44</v>
      </c>
      <c r="C88" s="157">
        <v>366</v>
      </c>
      <c r="D88" s="158">
        <f t="shared" si="1"/>
        <v>1464.0040000000008</v>
      </c>
      <c r="E88" s="1562">
        <v>41254</v>
      </c>
      <c r="F88" s="379">
        <v>361.8</v>
      </c>
      <c r="G88" s="380">
        <f t="shared" si="2"/>
        <v>4.1999999999999886</v>
      </c>
    </row>
    <row r="89" spans="1:7" x14ac:dyDescent="0.2">
      <c r="A89" s="155">
        <v>41302</v>
      </c>
      <c r="B89" s="156">
        <f t="shared" si="0"/>
        <v>45</v>
      </c>
      <c r="C89" s="157">
        <v>366</v>
      </c>
      <c r="D89" s="158">
        <f t="shared" si="1"/>
        <v>1098.0040000000008</v>
      </c>
      <c r="E89" s="1562">
        <v>41302</v>
      </c>
      <c r="F89" s="379">
        <v>366</v>
      </c>
      <c r="G89" s="380">
        <f t="shared" si="2"/>
        <v>0</v>
      </c>
    </row>
    <row r="90" spans="1:7" x14ac:dyDescent="0.2">
      <c r="A90" s="155">
        <v>41333</v>
      </c>
      <c r="B90" s="156">
        <f t="shared" si="0"/>
        <v>46</v>
      </c>
      <c r="C90" s="157">
        <v>366</v>
      </c>
      <c r="D90" s="158">
        <f t="shared" si="1"/>
        <v>732.00400000000081</v>
      </c>
      <c r="E90" s="1562">
        <v>41325</v>
      </c>
      <c r="F90" s="379">
        <v>364.02</v>
      </c>
      <c r="G90" s="380">
        <f t="shared" si="2"/>
        <v>1.9800000000000182</v>
      </c>
    </row>
    <row r="91" spans="1:7" x14ac:dyDescent="0.2">
      <c r="A91" s="462">
        <v>41361</v>
      </c>
      <c r="B91" s="445">
        <f t="shared" si="0"/>
        <v>47</v>
      </c>
      <c r="C91" s="463">
        <v>366</v>
      </c>
      <c r="D91" s="464">
        <f t="shared" si="1"/>
        <v>366.00400000000081</v>
      </c>
      <c r="E91" s="1562">
        <v>41353</v>
      </c>
      <c r="F91" s="379">
        <v>364.02</v>
      </c>
      <c r="G91" s="380">
        <f t="shared" si="2"/>
        <v>1.9800000000000182</v>
      </c>
    </row>
    <row r="92" spans="1:7" ht="13.5" thickBot="1" x14ac:dyDescent="0.25">
      <c r="A92" s="465">
        <v>41392</v>
      </c>
      <c r="B92" s="466">
        <f t="shared" si="0"/>
        <v>48</v>
      </c>
      <c r="C92" s="467">
        <v>366</v>
      </c>
      <c r="D92" s="468">
        <f t="shared" si="1"/>
        <v>4.0000000008149073E-3</v>
      </c>
      <c r="E92" s="469">
        <v>41401</v>
      </c>
      <c r="F92" s="460">
        <v>376.69</v>
      </c>
      <c r="G92" s="461">
        <f t="shared" si="2"/>
        <v>-10.689999999999998</v>
      </c>
    </row>
    <row r="93" spans="1:7" ht="13.5" thickBot="1" x14ac:dyDescent="0.25">
      <c r="E93" s="8" t="s">
        <v>772</v>
      </c>
      <c r="F93" s="27">
        <f>SUM(F45:F92)</f>
        <v>18180.62</v>
      </c>
      <c r="G93" s="28">
        <f>SUM(G45:G92)</f>
        <v>-612.58133333333399</v>
      </c>
    </row>
    <row r="95" spans="1:7" ht="13.5" thickBot="1" x14ac:dyDescent="0.25">
      <c r="E95" s="393"/>
      <c r="F95" s="393"/>
    </row>
    <row r="96" spans="1:7" ht="24" thickBot="1" x14ac:dyDescent="0.4">
      <c r="A96" s="3564" t="s">
        <v>5682</v>
      </c>
      <c r="B96" s="3566"/>
      <c r="G96" s="268"/>
    </row>
    <row r="97" spans="1:7" x14ac:dyDescent="0.2">
      <c r="A97" s="161"/>
      <c r="B97" s="62"/>
      <c r="D97" s="3651" t="s">
        <v>5683</v>
      </c>
      <c r="E97" s="3651"/>
      <c r="F97" s="326">
        <v>41401</v>
      </c>
      <c r="G97" s="327">
        <f>D92</f>
        <v>4.0000000008149073E-3</v>
      </c>
    </row>
    <row r="98" spans="1:7" ht="18" x14ac:dyDescent="0.25">
      <c r="A98" s="344" t="s">
        <v>5684</v>
      </c>
      <c r="B98" s="160"/>
      <c r="D98" s="3658" t="s">
        <v>5685</v>
      </c>
      <c r="E98" s="3658"/>
      <c r="F98" s="325">
        <v>41373</v>
      </c>
      <c r="G98" s="1567"/>
    </row>
    <row r="99" spans="1:7" x14ac:dyDescent="0.2">
      <c r="A99" s="9" t="s">
        <v>5686</v>
      </c>
      <c r="B99" s="64">
        <v>80</v>
      </c>
      <c r="C99" s="1"/>
      <c r="D99" s="3103" t="s">
        <v>5687</v>
      </c>
      <c r="E99" s="3103"/>
      <c r="F99" s="230">
        <v>41373</v>
      </c>
      <c r="G99" s="324">
        <f>G97-G98</f>
        <v>4.0000000008149073E-3</v>
      </c>
    </row>
    <row r="100" spans="1:7" x14ac:dyDescent="0.2">
      <c r="A100" s="9" t="s">
        <v>5688</v>
      </c>
      <c r="B100" s="64">
        <v>0</v>
      </c>
      <c r="C100" s="1"/>
    </row>
    <row r="101" spans="1:7" x14ac:dyDescent="0.2">
      <c r="A101" s="9" t="s">
        <v>5689</v>
      </c>
      <c r="B101" s="64">
        <v>40</v>
      </c>
    </row>
    <row r="102" spans="1:7" ht="15" x14ac:dyDescent="0.25">
      <c r="A102" s="9" t="s">
        <v>5690</v>
      </c>
      <c r="B102" s="64">
        <v>16</v>
      </c>
      <c r="C102" s="401"/>
      <c r="D102" s="3652" t="s">
        <v>5691</v>
      </c>
      <c r="E102" s="3652"/>
      <c r="F102" s="3652"/>
      <c r="G102" s="231">
        <f>B41+B37-G93</f>
        <v>18681.045333333335</v>
      </c>
    </row>
    <row r="103" spans="1:7" x14ac:dyDescent="0.2">
      <c r="A103" s="9" t="s">
        <v>5692</v>
      </c>
      <c r="B103" s="64">
        <v>400</v>
      </c>
      <c r="C103" s="1568" t="s">
        <v>5693</v>
      </c>
    </row>
    <row r="104" spans="1:7" x14ac:dyDescent="0.2">
      <c r="A104" s="9" t="s">
        <v>5694</v>
      </c>
      <c r="B104" s="64">
        <v>11</v>
      </c>
      <c r="C104" s="401"/>
    </row>
    <row r="105" spans="1:7" x14ac:dyDescent="0.2">
      <c r="A105" s="9" t="s">
        <v>5695</v>
      </c>
      <c r="B105" s="64">
        <v>5</v>
      </c>
      <c r="C105" s="401"/>
    </row>
    <row r="106" spans="1:7" x14ac:dyDescent="0.2">
      <c r="A106" s="9" t="s">
        <v>5696</v>
      </c>
      <c r="B106" s="64">
        <v>13</v>
      </c>
      <c r="C106" s="401"/>
    </row>
    <row r="107" spans="1:7" x14ac:dyDescent="0.2">
      <c r="A107" s="9" t="s">
        <v>5697</v>
      </c>
      <c r="B107" s="64"/>
      <c r="C107" s="717" t="s">
        <v>5698</v>
      </c>
      <c r="D107" s="1"/>
    </row>
    <row r="108" spans="1:7" x14ac:dyDescent="0.2">
      <c r="A108" s="9" t="s">
        <v>5699</v>
      </c>
      <c r="B108" s="64">
        <v>50</v>
      </c>
      <c r="C108" s="717"/>
      <c r="D108" s="1"/>
    </row>
    <row r="109" spans="1:7" x14ac:dyDescent="0.2">
      <c r="A109" s="9" t="s">
        <v>5700</v>
      </c>
      <c r="B109" s="64">
        <v>80</v>
      </c>
      <c r="C109" s="717"/>
      <c r="D109" s="1"/>
    </row>
    <row r="110" spans="1:7" x14ac:dyDescent="0.2">
      <c r="A110" s="213" t="s">
        <v>5701</v>
      </c>
      <c r="B110" s="238">
        <f>SUM(B99:B109)</f>
        <v>695</v>
      </c>
      <c r="C110" s="401"/>
    </row>
    <row r="111" spans="1:7" ht="13.5" thickBot="1" x14ac:dyDescent="0.25">
      <c r="A111" s="9"/>
      <c r="B111" s="6"/>
      <c r="C111" s="401"/>
    </row>
    <row r="112" spans="1:7" ht="18.75" thickBot="1" x14ac:dyDescent="0.3">
      <c r="A112" s="344" t="s">
        <v>5702</v>
      </c>
      <c r="B112" s="64"/>
      <c r="C112" s="401"/>
      <c r="D112" s="1"/>
      <c r="E112" s="3506" t="s">
        <v>5703</v>
      </c>
      <c r="F112" s="3507"/>
      <c r="G112" s="3508"/>
    </row>
    <row r="113" spans="1:7" ht="16.5" thickBot="1" x14ac:dyDescent="0.3">
      <c r="A113" s="9" t="s">
        <v>5704</v>
      </c>
      <c r="B113" s="1569">
        <v>9</v>
      </c>
      <c r="C113" s="401"/>
      <c r="D113" s="1"/>
      <c r="E113" s="328" t="s">
        <v>5517</v>
      </c>
      <c r="F113" s="341" t="s">
        <v>5705</v>
      </c>
      <c r="G113" s="342" t="s">
        <v>5706</v>
      </c>
    </row>
    <row r="114" spans="1:7" x14ac:dyDescent="0.2">
      <c r="A114" s="9" t="s">
        <v>5707</v>
      </c>
      <c r="B114" s="1569">
        <v>8</v>
      </c>
      <c r="C114" s="401"/>
      <c r="D114" s="1"/>
      <c r="E114" s="371" t="s">
        <v>5708</v>
      </c>
      <c r="F114" s="1570"/>
      <c r="G114" s="1571">
        <v>130</v>
      </c>
    </row>
    <row r="115" spans="1:7" x14ac:dyDescent="0.2">
      <c r="A115" s="9" t="s">
        <v>5709</v>
      </c>
      <c r="B115" s="1569">
        <v>4.5</v>
      </c>
      <c r="C115" s="401"/>
      <c r="E115" s="372" t="s">
        <v>5710</v>
      </c>
      <c r="F115" s="376"/>
      <c r="G115" s="380">
        <v>70</v>
      </c>
    </row>
    <row r="116" spans="1:7" x14ac:dyDescent="0.2">
      <c r="A116" s="9" t="s">
        <v>5711</v>
      </c>
      <c r="B116" s="1569">
        <v>14</v>
      </c>
      <c r="C116" s="401"/>
      <c r="D116" s="1"/>
      <c r="E116" s="394" t="s">
        <v>5708</v>
      </c>
      <c r="F116" s="1572"/>
      <c r="G116" s="1563">
        <v>130</v>
      </c>
    </row>
    <row r="117" spans="1:7" x14ac:dyDescent="0.2">
      <c r="A117" s="213" t="s">
        <v>5701</v>
      </c>
      <c r="B117" s="238">
        <f>SUM(B113:B116)</f>
        <v>35.5</v>
      </c>
      <c r="C117" s="1573"/>
      <c r="E117" s="378" t="s">
        <v>5712</v>
      </c>
      <c r="F117" s="379"/>
      <c r="G117" s="380">
        <v>40</v>
      </c>
    </row>
    <row r="118" spans="1:7" x14ac:dyDescent="0.2">
      <c r="A118" s="9"/>
      <c r="B118" s="6"/>
      <c r="C118" s="717"/>
      <c r="E118" s="372" t="s">
        <v>5713</v>
      </c>
      <c r="F118" s="381"/>
      <c r="G118" s="380">
        <v>270</v>
      </c>
    </row>
    <row r="119" spans="1:7" ht="18" x14ac:dyDescent="0.25">
      <c r="A119" s="344" t="s">
        <v>5714</v>
      </c>
      <c r="B119" s="64"/>
      <c r="C119" s="717"/>
      <c r="E119" s="372" t="s">
        <v>5715</v>
      </c>
      <c r="F119" s="381"/>
      <c r="G119" s="380">
        <v>540</v>
      </c>
    </row>
    <row r="120" spans="1:7" x14ac:dyDescent="0.2">
      <c r="A120" s="9" t="s">
        <v>5716</v>
      </c>
      <c r="B120" s="64">
        <v>40</v>
      </c>
      <c r="C120" s="717"/>
      <c r="E120" s="372" t="s">
        <v>5717</v>
      </c>
      <c r="F120" s="381"/>
      <c r="G120" s="380">
        <v>80</v>
      </c>
    </row>
    <row r="121" spans="1:7" x14ac:dyDescent="0.2">
      <c r="A121" s="9" t="s">
        <v>5718</v>
      </c>
      <c r="B121" s="64">
        <v>80</v>
      </c>
      <c r="C121" s="717"/>
      <c r="E121" s="183" t="s">
        <v>5719</v>
      </c>
      <c r="F121" s="376" t="s">
        <v>5720</v>
      </c>
      <c r="G121" s="380"/>
    </row>
    <row r="122" spans="1:7" x14ac:dyDescent="0.2">
      <c r="A122" s="9" t="s">
        <v>5721</v>
      </c>
      <c r="B122" s="64">
        <v>40</v>
      </c>
      <c r="C122" s="717"/>
      <c r="E122" s="183" t="s">
        <v>5722</v>
      </c>
      <c r="F122" s="376" t="s">
        <v>5720</v>
      </c>
      <c r="G122" s="380"/>
    </row>
    <row r="123" spans="1:7" x14ac:dyDescent="0.2">
      <c r="A123" s="9" t="s">
        <v>5723</v>
      </c>
      <c r="B123" s="162">
        <v>15</v>
      </c>
      <c r="C123" s="717"/>
      <c r="E123" s="373" t="s">
        <v>3566</v>
      </c>
      <c r="F123" s="375">
        <v>60</v>
      </c>
      <c r="G123" s="380"/>
    </row>
    <row r="124" spans="1:7" x14ac:dyDescent="0.2">
      <c r="A124" s="9" t="s">
        <v>5724</v>
      </c>
      <c r="B124" s="162">
        <v>120</v>
      </c>
      <c r="C124" s="717"/>
      <c r="D124" s="1"/>
      <c r="E124" s="373" t="s">
        <v>5725</v>
      </c>
      <c r="F124" s="375">
        <v>160</v>
      </c>
      <c r="G124" s="380"/>
    </row>
    <row r="125" spans="1:7" x14ac:dyDescent="0.2">
      <c r="A125" s="9" t="s">
        <v>5726</v>
      </c>
      <c r="B125" s="64">
        <v>250</v>
      </c>
      <c r="C125" s="717"/>
      <c r="D125" s="1"/>
      <c r="E125" s="183"/>
      <c r="F125" s="376"/>
      <c r="G125" s="380"/>
    </row>
    <row r="126" spans="1:7" x14ac:dyDescent="0.2">
      <c r="A126" s="9" t="s">
        <v>5727</v>
      </c>
      <c r="B126" s="64">
        <v>60</v>
      </c>
      <c r="C126" s="717"/>
      <c r="D126" s="1"/>
      <c r="E126" s="183"/>
      <c r="F126" s="376"/>
      <c r="G126" s="380"/>
    </row>
    <row r="127" spans="1:7" ht="15.75" x14ac:dyDescent="0.25">
      <c r="A127" s="9" t="s">
        <v>5728</v>
      </c>
      <c r="B127" s="64">
        <v>5</v>
      </c>
      <c r="C127" s="717"/>
      <c r="D127" s="1"/>
      <c r="E127" s="374" t="s">
        <v>5684</v>
      </c>
      <c r="F127" s="1574"/>
      <c r="G127" s="380"/>
    </row>
    <row r="128" spans="1:7" x14ac:dyDescent="0.2">
      <c r="A128" s="9" t="s">
        <v>5729</v>
      </c>
      <c r="B128" s="64"/>
      <c r="C128" s="717" t="s">
        <v>5730</v>
      </c>
      <c r="D128" s="1"/>
      <c r="E128" s="183" t="s">
        <v>5731</v>
      </c>
      <c r="F128" s="376" t="s">
        <v>5720</v>
      </c>
      <c r="G128" s="380"/>
    </row>
    <row r="129" spans="1:7" x14ac:dyDescent="0.2">
      <c r="A129" s="9" t="s">
        <v>5732</v>
      </c>
      <c r="B129" s="64">
        <v>20</v>
      </c>
      <c r="C129" s="717"/>
      <c r="D129" s="1"/>
      <c r="E129" s="183" t="s">
        <v>5733</v>
      </c>
      <c r="F129" s="376" t="s">
        <v>5720</v>
      </c>
      <c r="G129" s="380"/>
    </row>
    <row r="130" spans="1:7" x14ac:dyDescent="0.2">
      <c r="A130" s="9" t="s">
        <v>5734</v>
      </c>
      <c r="B130" s="64">
        <v>279</v>
      </c>
      <c r="D130" s="1"/>
      <c r="E130" s="183" t="s">
        <v>5735</v>
      </c>
      <c r="F130" s="376" t="s">
        <v>5720</v>
      </c>
      <c r="G130" s="380"/>
    </row>
    <row r="131" spans="1:7" x14ac:dyDescent="0.2">
      <c r="A131" s="9" t="s">
        <v>5736</v>
      </c>
      <c r="B131" s="64">
        <v>25</v>
      </c>
      <c r="D131" s="1"/>
      <c r="E131" s="183" t="s">
        <v>5737</v>
      </c>
      <c r="F131" s="376" t="s">
        <v>5720</v>
      </c>
      <c r="G131" s="380"/>
    </row>
    <row r="132" spans="1:7" x14ac:dyDescent="0.2">
      <c r="A132" s="9"/>
      <c r="B132" s="64"/>
      <c r="E132" s="183" t="s">
        <v>5738</v>
      </c>
      <c r="F132" s="376" t="s">
        <v>5720</v>
      </c>
      <c r="G132" s="380"/>
    </row>
    <row r="133" spans="1:7" x14ac:dyDescent="0.2">
      <c r="A133" s="858" t="s">
        <v>5739</v>
      </c>
      <c r="B133" s="64">
        <v>20</v>
      </c>
      <c r="E133" s="183"/>
      <c r="F133" s="376"/>
      <c r="G133" s="380"/>
    </row>
    <row r="134" spans="1:7" x14ac:dyDescent="0.2">
      <c r="A134" s="858" t="s">
        <v>5740</v>
      </c>
      <c r="B134" s="64">
        <v>150</v>
      </c>
      <c r="E134" s="183"/>
      <c r="F134" s="376"/>
      <c r="G134" s="380"/>
    </row>
    <row r="135" spans="1:7" ht="15.75" x14ac:dyDescent="0.25">
      <c r="A135" s="858" t="s">
        <v>5741</v>
      </c>
      <c r="B135" s="64">
        <v>15</v>
      </c>
      <c r="E135" s="374" t="s">
        <v>5742</v>
      </c>
      <c r="F135" s="376">
        <f>B31</f>
        <v>0</v>
      </c>
      <c r="G135" s="380"/>
    </row>
    <row r="136" spans="1:7" ht="13.5" thickBot="1" x14ac:dyDescent="0.25">
      <c r="A136" s="858" t="s">
        <v>5743</v>
      </c>
      <c r="B136" s="64">
        <v>100</v>
      </c>
      <c r="E136" s="363"/>
      <c r="F136" s="1575"/>
      <c r="G136" s="1576"/>
    </row>
    <row r="137" spans="1:7" ht="16.5" thickBot="1" x14ac:dyDescent="0.3">
      <c r="A137" s="213" t="s">
        <v>5701</v>
      </c>
      <c r="B137" s="214">
        <f>SUM(B120:B136)</f>
        <v>1219</v>
      </c>
      <c r="E137" s="315" t="s">
        <v>361</v>
      </c>
      <c r="F137" s="339">
        <f>SUM(F114:F136)</f>
        <v>220</v>
      </c>
      <c r="G137" s="340">
        <f>SUM(G114:G136)</f>
        <v>1260</v>
      </c>
    </row>
    <row r="138" spans="1:7" x14ac:dyDescent="0.2">
      <c r="A138" s="9"/>
      <c r="B138" s="64"/>
    </row>
    <row r="139" spans="1:7" ht="18" x14ac:dyDescent="0.25">
      <c r="A139" s="345" t="s">
        <v>5517</v>
      </c>
      <c r="B139" s="64"/>
    </row>
    <row r="140" spans="1:7" x14ac:dyDescent="0.2">
      <c r="A140" s="159" t="s">
        <v>5744</v>
      </c>
      <c r="B140" s="1569"/>
    </row>
    <row r="141" spans="1:7" x14ac:dyDescent="0.2">
      <c r="A141" s="858" t="s">
        <v>5745</v>
      </c>
      <c r="B141" s="1569">
        <v>26</v>
      </c>
    </row>
    <row r="142" spans="1:7" x14ac:dyDescent="0.2">
      <c r="A142" s="858" t="s">
        <v>5746</v>
      </c>
      <c r="B142" s="1569">
        <v>30</v>
      </c>
    </row>
    <row r="143" spans="1:7" x14ac:dyDescent="0.2">
      <c r="A143" s="858" t="s">
        <v>5747</v>
      </c>
      <c r="B143" s="1569">
        <v>16</v>
      </c>
    </row>
    <row r="144" spans="1:7" x14ac:dyDescent="0.2">
      <c r="A144" s="858" t="s">
        <v>5748</v>
      </c>
      <c r="B144" s="1569">
        <v>52</v>
      </c>
    </row>
    <row r="145" spans="1:5" x14ac:dyDescent="0.2">
      <c r="A145" s="858" t="s">
        <v>5749</v>
      </c>
      <c r="B145" s="1569">
        <v>12</v>
      </c>
    </row>
    <row r="146" spans="1:5" x14ac:dyDescent="0.2">
      <c r="A146" s="858" t="s">
        <v>5750</v>
      </c>
      <c r="B146" s="1569">
        <v>18</v>
      </c>
    </row>
    <row r="147" spans="1:5" x14ac:dyDescent="0.2">
      <c r="A147" s="858" t="s">
        <v>5751</v>
      </c>
      <c r="B147" s="1569">
        <v>15</v>
      </c>
    </row>
    <row r="148" spans="1:5" x14ac:dyDescent="0.2">
      <c r="A148" s="858" t="s">
        <v>5752</v>
      </c>
      <c r="B148" s="1569">
        <v>40</v>
      </c>
    </row>
    <row r="149" spans="1:5" x14ac:dyDescent="0.2">
      <c r="A149" s="858" t="s">
        <v>5753</v>
      </c>
      <c r="B149" s="1569">
        <v>90</v>
      </c>
    </row>
    <row r="150" spans="1:5" x14ac:dyDescent="0.2">
      <c r="A150" s="858" t="s">
        <v>5754</v>
      </c>
      <c r="B150" s="1569">
        <v>118</v>
      </c>
    </row>
    <row r="151" spans="1:5" x14ac:dyDescent="0.2">
      <c r="A151" s="858" t="s">
        <v>5755</v>
      </c>
      <c r="B151" s="1569">
        <v>14</v>
      </c>
    </row>
    <row r="152" spans="1:5" ht="13.5" customHeight="1" x14ac:dyDescent="0.2">
      <c r="A152" s="858" t="s">
        <v>5756</v>
      </c>
      <c r="B152" s="1569">
        <v>19</v>
      </c>
    </row>
    <row r="153" spans="1:5" ht="13.5" customHeight="1" x14ac:dyDescent="0.2">
      <c r="A153" s="858" t="s">
        <v>5757</v>
      </c>
      <c r="B153" s="1569">
        <v>10</v>
      </c>
    </row>
    <row r="154" spans="1:5" ht="13.5" customHeight="1" x14ac:dyDescent="0.2">
      <c r="A154" s="858" t="s">
        <v>5758</v>
      </c>
      <c r="B154" s="1569">
        <v>10</v>
      </c>
    </row>
    <row r="155" spans="1:5" ht="13.5" customHeight="1" x14ac:dyDescent="0.25">
      <c r="A155" s="858" t="s">
        <v>5759</v>
      </c>
      <c r="B155" s="1569">
        <v>24</v>
      </c>
      <c r="D155" s="166"/>
      <c r="E155" s="241"/>
    </row>
    <row r="156" spans="1:5" ht="13.5" customHeight="1" x14ac:dyDescent="0.2">
      <c r="A156" s="159" t="s">
        <v>5760</v>
      </c>
      <c r="B156" s="160">
        <f>SUM(B141:B155)</f>
        <v>494</v>
      </c>
    </row>
    <row r="157" spans="1:5" ht="13.5" customHeight="1" x14ac:dyDescent="0.25">
      <c r="A157" s="159" t="s">
        <v>5761</v>
      </c>
      <c r="B157" s="160">
        <v>300</v>
      </c>
      <c r="D157" s="166"/>
      <c r="E157" s="241"/>
    </row>
    <row r="158" spans="1:5" ht="13.5" customHeight="1" x14ac:dyDescent="0.25">
      <c r="A158" s="212" t="s">
        <v>5762</v>
      </c>
      <c r="B158" s="173">
        <v>54</v>
      </c>
      <c r="D158" s="166"/>
      <c r="E158" s="241"/>
    </row>
    <row r="159" spans="1:5" ht="13.5" customHeight="1" x14ac:dyDescent="0.25">
      <c r="A159" s="213" t="s">
        <v>5763</v>
      </c>
      <c r="B159" s="214">
        <f>B157+B156-B158</f>
        <v>740</v>
      </c>
      <c r="D159" s="166"/>
      <c r="E159" s="241"/>
    </row>
    <row r="160" spans="1:5" x14ac:dyDescent="0.2">
      <c r="A160" s="858"/>
      <c r="B160" s="1569"/>
      <c r="E160" s="239"/>
    </row>
    <row r="161" spans="1:5" x14ac:dyDescent="0.2">
      <c r="A161" s="213" t="s">
        <v>5764</v>
      </c>
      <c r="B161" s="214">
        <v>46</v>
      </c>
      <c r="D161" s="32"/>
    </row>
    <row r="162" spans="1:5" x14ac:dyDescent="0.2">
      <c r="A162" s="213" t="s">
        <v>5765</v>
      </c>
      <c r="B162" s="214">
        <v>38</v>
      </c>
      <c r="E162" s="239"/>
    </row>
    <row r="163" spans="1:5" x14ac:dyDescent="0.2">
      <c r="A163" s="213" t="s">
        <v>5766</v>
      </c>
      <c r="B163" s="214">
        <v>39</v>
      </c>
      <c r="E163" s="239"/>
    </row>
    <row r="164" spans="1:5" x14ac:dyDescent="0.2">
      <c r="A164" s="213" t="s">
        <v>5767</v>
      </c>
      <c r="B164" s="214">
        <v>12</v>
      </c>
      <c r="E164" s="239"/>
    </row>
    <row r="165" spans="1:5" x14ac:dyDescent="0.2">
      <c r="A165" s="213" t="s">
        <v>5768</v>
      </c>
      <c r="B165" s="214">
        <v>33</v>
      </c>
      <c r="E165" s="239"/>
    </row>
    <row r="166" spans="1:5" x14ac:dyDescent="0.2">
      <c r="A166" s="213" t="s">
        <v>5769</v>
      </c>
      <c r="B166" s="214">
        <v>56</v>
      </c>
      <c r="E166" s="239"/>
    </row>
    <row r="167" spans="1:5" x14ac:dyDescent="0.2">
      <c r="A167" s="213"/>
      <c r="B167" s="214"/>
      <c r="D167" s="32"/>
      <c r="E167" s="240"/>
    </row>
    <row r="168" spans="1:5" x14ac:dyDescent="0.2">
      <c r="A168" s="186" t="s">
        <v>5770</v>
      </c>
      <c r="B168" s="214">
        <v>140</v>
      </c>
    </row>
    <row r="169" spans="1:5" x14ac:dyDescent="0.2">
      <c r="A169" s="213" t="s">
        <v>5771</v>
      </c>
      <c r="B169" s="214">
        <v>40</v>
      </c>
      <c r="D169" s="32"/>
    </row>
    <row r="170" spans="1:5" x14ac:dyDescent="0.2">
      <c r="A170" s="186" t="s">
        <v>5772</v>
      </c>
      <c r="B170" s="214">
        <v>130</v>
      </c>
      <c r="E170" s="239"/>
    </row>
    <row r="171" spans="1:5" x14ac:dyDescent="0.2">
      <c r="A171" s="186" t="s">
        <v>5770</v>
      </c>
      <c r="B171" s="214">
        <v>135</v>
      </c>
      <c r="E171" s="239"/>
    </row>
    <row r="172" spans="1:5" x14ac:dyDescent="0.2">
      <c r="A172" s="858"/>
      <c r="B172" s="1569"/>
      <c r="E172" s="239"/>
    </row>
    <row r="173" spans="1:5" x14ac:dyDescent="0.2">
      <c r="A173" s="159" t="s">
        <v>5773</v>
      </c>
      <c r="B173" s="160"/>
      <c r="E173" s="239"/>
    </row>
    <row r="174" spans="1:5" x14ac:dyDescent="0.2">
      <c r="A174" s="858" t="s">
        <v>5774</v>
      </c>
      <c r="B174" s="1569">
        <v>26</v>
      </c>
      <c r="E174" s="239"/>
    </row>
    <row r="175" spans="1:5" x14ac:dyDescent="0.2">
      <c r="A175" s="858" t="s">
        <v>5775</v>
      </c>
      <c r="B175" s="1569">
        <v>40</v>
      </c>
      <c r="E175" s="239"/>
    </row>
    <row r="176" spans="1:5" x14ac:dyDescent="0.2">
      <c r="A176" s="858" t="s">
        <v>5776</v>
      </c>
      <c r="B176" s="1569">
        <v>6</v>
      </c>
      <c r="E176" s="239"/>
    </row>
    <row r="177" spans="1:7" x14ac:dyDescent="0.2">
      <c r="A177" s="159" t="s">
        <v>5760</v>
      </c>
      <c r="B177" s="160">
        <f>SUM(B174:B176)</f>
        <v>72</v>
      </c>
      <c r="E177" s="239"/>
    </row>
    <row r="178" spans="1:7" x14ac:dyDescent="0.2">
      <c r="A178" s="159" t="s">
        <v>5761</v>
      </c>
      <c r="B178" s="160">
        <v>80</v>
      </c>
      <c r="E178" s="239"/>
    </row>
    <row r="179" spans="1:7" x14ac:dyDescent="0.2">
      <c r="A179" s="213" t="s">
        <v>5763</v>
      </c>
      <c r="B179" s="214">
        <f>SUM(B177:B178)</f>
        <v>152</v>
      </c>
      <c r="E179" s="239"/>
    </row>
    <row r="180" spans="1:7" x14ac:dyDescent="0.2">
      <c r="A180" s="213"/>
      <c r="B180" s="214"/>
      <c r="E180"/>
      <c r="F180" s="1577"/>
      <c r="G180" s="44"/>
    </row>
    <row r="181" spans="1:7" ht="13.5" customHeight="1" x14ac:dyDescent="0.2">
      <c r="A181" s="159" t="s">
        <v>5777</v>
      </c>
      <c r="B181" s="160"/>
      <c r="E181"/>
      <c r="F181" s="1577"/>
      <c r="G181" s="44"/>
    </row>
    <row r="182" spans="1:7" ht="13.5" customHeight="1" x14ac:dyDescent="0.2">
      <c r="A182" s="858" t="s">
        <v>5778</v>
      </c>
      <c r="B182" s="1569">
        <v>325</v>
      </c>
      <c r="E182"/>
      <c r="F182" s="1577"/>
      <c r="G182" s="44"/>
    </row>
    <row r="183" spans="1:7" ht="13.5" customHeight="1" x14ac:dyDescent="0.2">
      <c r="A183" s="858" t="s">
        <v>5779</v>
      </c>
      <c r="B183" s="1569">
        <v>63</v>
      </c>
      <c r="E183"/>
      <c r="F183" s="1577"/>
      <c r="G183" s="44"/>
    </row>
    <row r="184" spans="1:7" ht="13.5" customHeight="1" x14ac:dyDescent="0.25">
      <c r="A184" s="159" t="s">
        <v>5760</v>
      </c>
      <c r="B184" s="160">
        <f>SUM(B182:B183)</f>
        <v>388</v>
      </c>
      <c r="E184" s="166"/>
      <c r="F184" s="1577"/>
      <c r="G184" s="44"/>
    </row>
    <row r="185" spans="1:7" ht="13.5" customHeight="1" x14ac:dyDescent="0.2">
      <c r="A185" s="159" t="s">
        <v>5761</v>
      </c>
      <c r="B185" s="160">
        <v>100</v>
      </c>
      <c r="E185"/>
      <c r="F185" s="1578"/>
      <c r="G185" s="44"/>
    </row>
    <row r="186" spans="1:7" ht="13.5" customHeight="1" x14ac:dyDescent="0.25">
      <c r="A186" s="213" t="s">
        <v>5763</v>
      </c>
      <c r="B186" s="214">
        <f>SUM(B184:B185)</f>
        <v>488</v>
      </c>
      <c r="E186" s="166"/>
      <c r="F186" s="346"/>
      <c r="G186" s="347"/>
    </row>
    <row r="187" spans="1:7" ht="13.5" customHeight="1" x14ac:dyDescent="0.2">
      <c r="A187" s="213"/>
      <c r="B187" s="214"/>
    </row>
    <row r="188" spans="1:7" ht="13.5" customHeight="1" x14ac:dyDescent="0.2">
      <c r="A188" s="159" t="s">
        <v>5780</v>
      </c>
      <c r="B188" s="1569"/>
    </row>
    <row r="189" spans="1:7" ht="13.5" customHeight="1" x14ac:dyDescent="0.2">
      <c r="A189" s="858" t="s">
        <v>5781</v>
      </c>
      <c r="B189" s="1569">
        <v>60</v>
      </c>
    </row>
    <row r="190" spans="1:7" ht="13.5" customHeight="1" x14ac:dyDescent="0.2">
      <c r="A190" s="858" t="s">
        <v>5782</v>
      </c>
      <c r="B190" s="1569">
        <v>22</v>
      </c>
    </row>
    <row r="191" spans="1:7" ht="13.5" customHeight="1" x14ac:dyDescent="0.2">
      <c r="A191" s="858" t="s">
        <v>5783</v>
      </c>
      <c r="B191" s="1569">
        <v>40</v>
      </c>
    </row>
    <row r="192" spans="1:7" ht="13.5" customHeight="1" x14ac:dyDescent="0.2">
      <c r="A192" s="858" t="s">
        <v>5784</v>
      </c>
      <c r="B192" s="1569">
        <v>60</v>
      </c>
    </row>
    <row r="193" spans="1:7" ht="13.5" customHeight="1" x14ac:dyDescent="0.2">
      <c r="A193" s="858" t="s">
        <v>5785</v>
      </c>
      <c r="B193" s="1569">
        <v>110</v>
      </c>
    </row>
    <row r="194" spans="1:7" ht="13.5" customHeight="1" x14ac:dyDescent="0.2">
      <c r="A194" s="858" t="s">
        <v>5786</v>
      </c>
      <c r="B194" s="1569">
        <v>55</v>
      </c>
    </row>
    <row r="195" spans="1:7" x14ac:dyDescent="0.2">
      <c r="A195" s="858" t="s">
        <v>5749</v>
      </c>
      <c r="B195" s="1569">
        <v>14</v>
      </c>
    </row>
    <row r="196" spans="1:7" x14ac:dyDescent="0.2">
      <c r="A196" s="858" t="s">
        <v>5787</v>
      </c>
      <c r="B196" s="1569">
        <v>11</v>
      </c>
      <c r="E196" s="239"/>
    </row>
    <row r="197" spans="1:7" x14ac:dyDescent="0.2">
      <c r="A197" s="858" t="s">
        <v>5788</v>
      </c>
      <c r="B197" s="1569">
        <v>80</v>
      </c>
      <c r="D197" s="32"/>
      <c r="E197" s="240"/>
    </row>
    <row r="198" spans="1:7" x14ac:dyDescent="0.2">
      <c r="A198" s="858" t="s">
        <v>5789</v>
      </c>
      <c r="B198" s="1569">
        <v>37</v>
      </c>
    </row>
    <row r="199" spans="1:7" x14ac:dyDescent="0.2">
      <c r="A199" s="858" t="s">
        <v>5759</v>
      </c>
      <c r="B199" s="1569">
        <v>34</v>
      </c>
      <c r="D199" s="32"/>
      <c r="E199" s="240"/>
    </row>
    <row r="200" spans="1:7" x14ac:dyDescent="0.2">
      <c r="A200" s="858" t="s">
        <v>5790</v>
      </c>
      <c r="B200" s="1569">
        <v>21</v>
      </c>
    </row>
    <row r="201" spans="1:7" x14ac:dyDescent="0.2">
      <c r="A201" s="159" t="s">
        <v>5760</v>
      </c>
      <c r="B201" s="160">
        <f>SUM(B189:B200)</f>
        <v>544</v>
      </c>
      <c r="D201" s="32"/>
      <c r="E201" s="240"/>
    </row>
    <row r="202" spans="1:7" x14ac:dyDescent="0.2">
      <c r="A202" s="159" t="s">
        <v>5761</v>
      </c>
      <c r="B202" s="160">
        <v>200</v>
      </c>
    </row>
    <row r="203" spans="1:7" x14ac:dyDescent="0.2">
      <c r="A203" s="213" t="s">
        <v>5763</v>
      </c>
      <c r="B203" s="214">
        <f>SUM(B201:B202)</f>
        <v>744</v>
      </c>
      <c r="D203" s="32"/>
      <c r="E203" s="240"/>
    </row>
    <row r="204" spans="1:7" x14ac:dyDescent="0.2">
      <c r="A204" s="213"/>
      <c r="B204" s="214"/>
    </row>
    <row r="205" spans="1:7" x14ac:dyDescent="0.2">
      <c r="A205" s="213" t="s">
        <v>5791</v>
      </c>
      <c r="B205" s="214">
        <v>30</v>
      </c>
    </row>
    <row r="206" spans="1:7" x14ac:dyDescent="0.2">
      <c r="A206" s="9"/>
      <c r="B206" s="6"/>
    </row>
    <row r="207" spans="1:7" x14ac:dyDescent="0.2">
      <c r="A207" s="213" t="s">
        <v>5792</v>
      </c>
      <c r="B207" s="214">
        <v>10</v>
      </c>
      <c r="E207"/>
      <c r="F207" s="1577"/>
      <c r="G207" s="44"/>
    </row>
    <row r="208" spans="1:7" x14ac:dyDescent="0.2">
      <c r="A208" s="9"/>
      <c r="B208" s="6"/>
      <c r="E208"/>
      <c r="F208" s="1577"/>
      <c r="G208" s="44"/>
    </row>
    <row r="209" spans="1:7" x14ac:dyDescent="0.2">
      <c r="A209" s="213" t="s">
        <v>5793</v>
      </c>
      <c r="B209" s="214">
        <v>5</v>
      </c>
      <c r="E209"/>
      <c r="F209" s="1577"/>
      <c r="G209" s="44"/>
    </row>
    <row r="210" spans="1:7" x14ac:dyDescent="0.2">
      <c r="A210" s="9"/>
      <c r="B210" s="6"/>
    </row>
    <row r="211" spans="1:7" x14ac:dyDescent="0.2">
      <c r="A211" s="213" t="s">
        <v>5794</v>
      </c>
      <c r="B211" s="214">
        <v>70</v>
      </c>
    </row>
    <row r="212" spans="1:7" x14ac:dyDescent="0.2">
      <c r="A212" s="9"/>
      <c r="B212" s="6"/>
    </row>
    <row r="213" spans="1:7" x14ac:dyDescent="0.2">
      <c r="A213" s="213" t="s">
        <v>5795</v>
      </c>
      <c r="B213" s="214">
        <v>300</v>
      </c>
    </row>
    <row r="214" spans="1:7" x14ac:dyDescent="0.2">
      <c r="A214" s="9"/>
      <c r="B214" s="64"/>
      <c r="E214"/>
      <c r="F214" s="1577"/>
      <c r="G214" s="44"/>
    </row>
    <row r="215" spans="1:7" x14ac:dyDescent="0.2">
      <c r="A215" s="159" t="s">
        <v>5796</v>
      </c>
      <c r="B215" s="1569"/>
      <c r="E215"/>
      <c r="F215" s="1577"/>
      <c r="G215" s="44"/>
    </row>
    <row r="216" spans="1:7" x14ac:dyDescent="0.2">
      <c r="A216" s="858" t="s">
        <v>5797</v>
      </c>
      <c r="B216" s="1569">
        <v>530</v>
      </c>
      <c r="E216"/>
      <c r="F216" s="1577"/>
      <c r="G216" s="44"/>
    </row>
    <row r="217" spans="1:7" x14ac:dyDescent="0.2">
      <c r="A217" s="858" t="s">
        <v>5798</v>
      </c>
      <c r="B217" s="1569">
        <v>40</v>
      </c>
      <c r="E217"/>
      <c r="F217" s="1577"/>
      <c r="G217" s="44"/>
    </row>
    <row r="218" spans="1:7" x14ac:dyDescent="0.2">
      <c r="A218" s="159" t="s">
        <v>5760</v>
      </c>
      <c r="B218" s="160">
        <f>SUM(B216:B217)</f>
        <v>570</v>
      </c>
      <c r="E218"/>
      <c r="F218" s="1577"/>
      <c r="G218" s="44"/>
    </row>
    <row r="219" spans="1:7" x14ac:dyDescent="0.2">
      <c r="A219" s="159" t="s">
        <v>5761</v>
      </c>
      <c r="B219" s="160">
        <v>40</v>
      </c>
      <c r="E219" s="1579"/>
    </row>
    <row r="220" spans="1:7" x14ac:dyDescent="0.2">
      <c r="A220" s="213" t="s">
        <v>5763</v>
      </c>
      <c r="B220" s="214">
        <f>SUM(B218:B219)</f>
        <v>610</v>
      </c>
      <c r="E220" s="1579"/>
    </row>
    <row r="221" spans="1:7" x14ac:dyDescent="0.2">
      <c r="A221" s="9"/>
      <c r="B221" s="64"/>
      <c r="E221" s="1579"/>
    </row>
    <row r="222" spans="1:7" x14ac:dyDescent="0.2">
      <c r="A222" s="213" t="s">
        <v>5799</v>
      </c>
      <c r="B222" s="214">
        <v>270</v>
      </c>
      <c r="E222" s="1579"/>
    </row>
    <row r="223" spans="1:7" x14ac:dyDescent="0.2">
      <c r="A223" s="213" t="s">
        <v>5800</v>
      </c>
      <c r="B223" s="214">
        <v>15</v>
      </c>
      <c r="E223" s="1579"/>
    </row>
    <row r="224" spans="1:7" x14ac:dyDescent="0.2">
      <c r="A224" s="213"/>
      <c r="B224" s="214"/>
      <c r="E224" s="1579"/>
    </row>
    <row r="225" spans="1:7" x14ac:dyDescent="0.2">
      <c r="A225" s="213" t="s">
        <v>265</v>
      </c>
      <c r="B225" s="214">
        <v>62</v>
      </c>
      <c r="E225" s="1579"/>
    </row>
    <row r="226" spans="1:7" x14ac:dyDescent="0.2">
      <c r="A226" s="213" t="s">
        <v>5801</v>
      </c>
      <c r="B226" s="214">
        <v>16</v>
      </c>
      <c r="E226" s="1579"/>
    </row>
    <row r="227" spans="1:7" x14ac:dyDescent="0.2">
      <c r="A227" s="213"/>
      <c r="B227" s="214"/>
      <c r="E227" s="1579"/>
    </row>
    <row r="228" spans="1:7" x14ac:dyDescent="0.2">
      <c r="A228" s="213" t="s">
        <v>5802</v>
      </c>
      <c r="B228" s="214">
        <v>227</v>
      </c>
      <c r="E228" s="1579"/>
    </row>
    <row r="229" spans="1:7" x14ac:dyDescent="0.2">
      <c r="A229" s="213"/>
      <c r="B229" s="531"/>
      <c r="E229" s="1579"/>
    </row>
    <row r="230" spans="1:7" x14ac:dyDescent="0.2">
      <c r="A230" s="159" t="s">
        <v>5803</v>
      </c>
      <c r="B230" s="532"/>
      <c r="E230" s="1579"/>
    </row>
    <row r="231" spans="1:7" x14ac:dyDescent="0.2">
      <c r="A231" s="858" t="s">
        <v>5804</v>
      </c>
      <c r="B231" s="1580">
        <v>20</v>
      </c>
      <c r="E231" s="1579"/>
    </row>
    <row r="232" spans="1:7" x14ac:dyDescent="0.2">
      <c r="A232" s="858" t="s">
        <v>5805</v>
      </c>
      <c r="B232" s="1580">
        <v>50</v>
      </c>
      <c r="E232" s="1579"/>
    </row>
    <row r="233" spans="1:7" x14ac:dyDescent="0.2">
      <c r="A233" s="858" t="s">
        <v>5806</v>
      </c>
      <c r="B233" s="1580">
        <v>30</v>
      </c>
      <c r="E233" s="1579"/>
    </row>
    <row r="234" spans="1:7" x14ac:dyDescent="0.2">
      <c r="A234" s="858" t="s">
        <v>5807</v>
      </c>
      <c r="B234" s="1580">
        <v>100</v>
      </c>
      <c r="E234" s="1579"/>
    </row>
    <row r="235" spans="1:7" x14ac:dyDescent="0.2">
      <c r="A235" s="858" t="s">
        <v>5808</v>
      </c>
      <c r="B235" s="1580">
        <v>140</v>
      </c>
      <c r="E235" s="1579"/>
    </row>
    <row r="236" spans="1:7" x14ac:dyDescent="0.2">
      <c r="A236" s="858" t="s">
        <v>5809</v>
      </c>
      <c r="B236" s="1580">
        <v>75</v>
      </c>
      <c r="E236"/>
      <c r="F236" s="1577"/>
      <c r="G236" s="44"/>
    </row>
    <row r="237" spans="1:7" x14ac:dyDescent="0.2">
      <c r="A237" s="858" t="s">
        <v>5810</v>
      </c>
      <c r="B237" s="1580">
        <v>75</v>
      </c>
    </row>
    <row r="238" spans="1:7" x14ac:dyDescent="0.2">
      <c r="A238" s="858" t="s">
        <v>5811</v>
      </c>
      <c r="B238" s="1580">
        <v>100</v>
      </c>
    </row>
    <row r="239" spans="1:7" x14ac:dyDescent="0.2">
      <c r="A239" s="858" t="s">
        <v>5812</v>
      </c>
      <c r="B239" s="1580">
        <v>30</v>
      </c>
    </row>
    <row r="240" spans="1:7" x14ac:dyDescent="0.2">
      <c r="A240" s="858" t="s">
        <v>5813</v>
      </c>
      <c r="B240" s="1580">
        <v>40</v>
      </c>
    </row>
    <row r="241" spans="1:7" x14ac:dyDescent="0.2">
      <c r="A241" s="858" t="s">
        <v>5814</v>
      </c>
      <c r="B241" s="1580">
        <v>5</v>
      </c>
    </row>
    <row r="242" spans="1:7" x14ac:dyDescent="0.2">
      <c r="A242" s="858" t="s">
        <v>5815</v>
      </c>
      <c r="B242" s="1580">
        <v>50</v>
      </c>
    </row>
    <row r="243" spans="1:7" x14ac:dyDescent="0.2">
      <c r="A243" s="213" t="s">
        <v>5763</v>
      </c>
      <c r="B243" s="531">
        <f>SUM(B231:B242)</f>
        <v>715</v>
      </c>
    </row>
    <row r="244" spans="1:7" x14ac:dyDescent="0.2">
      <c r="A244" s="9"/>
      <c r="B244" s="64"/>
      <c r="E244"/>
      <c r="F244" s="1577"/>
      <c r="G244" s="44"/>
    </row>
    <row r="245" spans="1:7" x14ac:dyDescent="0.2">
      <c r="A245" s="159" t="s">
        <v>5816</v>
      </c>
      <c r="B245" s="1569"/>
      <c r="E245"/>
      <c r="F245" s="1577"/>
      <c r="G245" s="44"/>
    </row>
    <row r="246" spans="1:7" x14ac:dyDescent="0.2">
      <c r="A246" s="858" t="s">
        <v>5817</v>
      </c>
      <c r="B246" s="1569">
        <v>130</v>
      </c>
      <c r="E246"/>
      <c r="F246" s="1577"/>
      <c r="G246" s="44"/>
    </row>
    <row r="247" spans="1:7" x14ac:dyDescent="0.2">
      <c r="A247" s="858" t="s">
        <v>5818</v>
      </c>
      <c r="B247" s="1569">
        <v>150</v>
      </c>
      <c r="E247"/>
      <c r="F247" s="1577"/>
      <c r="G247" s="44"/>
    </row>
    <row r="248" spans="1:7" x14ac:dyDescent="0.2">
      <c r="A248" s="858" t="s">
        <v>5819</v>
      </c>
      <c r="B248" s="1569">
        <v>40</v>
      </c>
      <c r="E248"/>
      <c r="F248" s="1577"/>
      <c r="G248" s="44"/>
    </row>
    <row r="249" spans="1:7" x14ac:dyDescent="0.2">
      <c r="A249" s="213" t="s">
        <v>5763</v>
      </c>
      <c r="B249" s="214">
        <f>SUM(B246:B248)</f>
        <v>320</v>
      </c>
      <c r="E249" s="1579"/>
    </row>
    <row r="250" spans="1:7" x14ac:dyDescent="0.2">
      <c r="A250" s="9"/>
      <c r="B250" s="64"/>
      <c r="E250" s="1579"/>
    </row>
    <row r="251" spans="1:7" ht="13.5" thickBot="1" x14ac:dyDescent="0.25">
      <c r="A251" s="858"/>
      <c r="B251" s="1569"/>
    </row>
    <row r="252" spans="1:7" ht="13.5" thickBot="1" x14ac:dyDescent="0.25">
      <c r="A252" s="149" t="s">
        <v>361</v>
      </c>
      <c r="B252" s="377">
        <f>B110+B117+B137+B159+B161+B162+B163+B164+B165+B166+B168+B169+B170+B171+B179+B186+B203+B205+B207+B209+B211+B213+B220+B222+B223+B225+B226+B228+B243+B249</f>
        <v>7392.5</v>
      </c>
    </row>
    <row r="277" spans="4:4" x14ac:dyDescent="0.2">
      <c r="D277" s="1"/>
    </row>
    <row r="278" spans="4:4" x14ac:dyDescent="0.2">
      <c r="D278" s="1"/>
    </row>
  </sheetData>
  <sheetProtection selectLockedCells="1" selectUnlockedCells="1"/>
  <mergeCells count="10">
    <mergeCell ref="D99:E99"/>
    <mergeCell ref="D97:E97"/>
    <mergeCell ref="D102:F102"/>
    <mergeCell ref="E112:G112"/>
    <mergeCell ref="A1:C1"/>
    <mergeCell ref="A2:C2"/>
    <mergeCell ref="D98:E98"/>
    <mergeCell ref="A34:C34"/>
    <mergeCell ref="E4:F4"/>
    <mergeCell ref="A96:B96"/>
  </mergeCells>
  <phoneticPr fontId="0" type="noConversion"/>
  <pageMargins left="0.13" right="0.14000000000000001" top="0.44" bottom="0.984251969" header="0.49212598499999999" footer="0.49212598499999999"/>
  <pageSetup paperSize="9" scale="83" orientation="landscape" horizontalDpi="300" verticalDpi="300" r:id="rId1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Plan135"/>
  <dimension ref="A1:Q304"/>
  <sheetViews>
    <sheetView zoomScaleNormal="100" workbookViewId="0">
      <selection activeCell="F16" sqref="C16:F25"/>
    </sheetView>
  </sheetViews>
  <sheetFormatPr defaultRowHeight="12.75" x14ac:dyDescent="0.2"/>
  <cols>
    <col min="1" max="1" width="39.42578125" customWidth="1"/>
    <col min="2" max="2" width="15.5703125" customWidth="1"/>
    <col min="3" max="3" width="21.5703125" customWidth="1"/>
    <col min="4" max="4" width="18" customWidth="1"/>
    <col min="5" max="5" width="26.28515625" style="24" customWidth="1"/>
    <col min="6" max="6" width="20.7109375" customWidth="1"/>
    <col min="7" max="7" width="35.7109375" bestFit="1" customWidth="1"/>
    <col min="8" max="8" width="17.42578125" customWidth="1"/>
  </cols>
  <sheetData>
    <row r="1" spans="1:12" ht="15.75" customHeight="1" thickBot="1" x14ac:dyDescent="0.25">
      <c r="A1" s="3501" t="s">
        <v>5820</v>
      </c>
      <c r="B1" s="3502"/>
      <c r="C1" s="3502"/>
      <c r="D1" s="3502"/>
      <c r="E1" s="3503"/>
      <c r="G1" s="32" t="s">
        <v>5821</v>
      </c>
      <c r="H1" s="241">
        <v>44265</v>
      </c>
      <c r="I1" s="916" t="s">
        <v>5822</v>
      </c>
    </row>
    <row r="2" spans="1:12" ht="15" customHeight="1" thickBot="1" x14ac:dyDescent="0.3">
      <c r="A2" s="3637" t="s">
        <v>5823</v>
      </c>
      <c r="B2" s="3638"/>
      <c r="C2" s="3638"/>
      <c r="D2" s="3638"/>
      <c r="E2" s="3639"/>
      <c r="F2" s="216"/>
      <c r="G2" s="717" t="s">
        <v>5824</v>
      </c>
      <c r="H2" s="1">
        <v>18900</v>
      </c>
    </row>
    <row r="3" spans="1:12" s="7" customFormat="1" ht="13.5" customHeight="1" thickBot="1" x14ac:dyDescent="0.3">
      <c r="A3" s="8" t="s">
        <v>5546</v>
      </c>
      <c r="B3" s="11" t="s">
        <v>5427</v>
      </c>
      <c r="C3" s="674" t="s">
        <v>5547</v>
      </c>
      <c r="D3" s="760" t="s">
        <v>5548</v>
      </c>
      <c r="E3" s="164" t="s">
        <v>772</v>
      </c>
      <c r="F3" s="216"/>
      <c r="G3" s="717" t="s">
        <v>5825</v>
      </c>
      <c r="H3" s="401">
        <v>90.2</v>
      </c>
      <c r="K3"/>
      <c r="L3"/>
    </row>
    <row r="4" spans="1:12" ht="14.25" customHeight="1" x14ac:dyDescent="0.25">
      <c r="A4" s="186"/>
      <c r="B4" s="191"/>
      <c r="C4" s="971"/>
      <c r="D4" s="972"/>
      <c r="E4" s="678"/>
      <c r="F4" s="216"/>
      <c r="G4" s="32" t="s">
        <v>5826</v>
      </c>
      <c r="H4" s="607">
        <f>SUM(H2:H3)</f>
        <v>18990.2</v>
      </c>
      <c r="K4" s="717"/>
    </row>
    <row r="5" spans="1:12" ht="15" x14ac:dyDescent="0.25">
      <c r="A5" s="186"/>
      <c r="B5" s="191"/>
      <c r="C5" s="973"/>
      <c r="D5" s="974"/>
      <c r="E5" s="679"/>
      <c r="F5" s="216"/>
      <c r="G5" s="717"/>
      <c r="H5" s="401"/>
    </row>
    <row r="6" spans="1:12" ht="15" x14ac:dyDescent="0.25">
      <c r="A6" s="186"/>
      <c r="B6" s="747"/>
      <c r="C6" s="973"/>
      <c r="D6" s="974"/>
      <c r="E6" s="679"/>
      <c r="F6" s="631"/>
      <c r="G6" s="31" t="s">
        <v>5827</v>
      </c>
      <c r="H6" s="31"/>
      <c r="I6" s="393"/>
    </row>
    <row r="7" spans="1:12" ht="15" x14ac:dyDescent="0.25">
      <c r="A7" s="186"/>
      <c r="B7" s="747"/>
      <c r="C7" s="973"/>
      <c r="D7" s="974"/>
      <c r="E7" s="679"/>
      <c r="F7" s="484"/>
      <c r="G7" s="717" t="s">
        <v>5828</v>
      </c>
      <c r="H7" s="910"/>
    </row>
    <row r="8" spans="1:12" s="48" customFormat="1" ht="14.25" customHeight="1" x14ac:dyDescent="0.25">
      <c r="A8" s="723"/>
      <c r="B8" s="472"/>
      <c r="C8" s="973"/>
      <c r="D8" s="974"/>
      <c r="E8" s="679"/>
      <c r="F8" s="609"/>
      <c r="G8" s="717" t="s">
        <v>5825</v>
      </c>
      <c r="H8" s="401"/>
      <c r="L8"/>
    </row>
    <row r="9" spans="1:12" ht="15" x14ac:dyDescent="0.25">
      <c r="A9" s="185"/>
      <c r="B9" s="190"/>
      <c r="C9" s="973"/>
      <c r="D9" s="975"/>
      <c r="E9" s="679"/>
      <c r="F9" s="632"/>
      <c r="G9" s="717" t="s">
        <v>5829</v>
      </c>
      <c r="H9" s="910">
        <v>99</v>
      </c>
      <c r="J9" s="48"/>
    </row>
    <row r="10" spans="1:12" x14ac:dyDescent="0.2">
      <c r="A10" s="183"/>
      <c r="B10" s="10"/>
      <c r="C10" s="676"/>
      <c r="D10" s="679"/>
      <c r="E10" s="679"/>
      <c r="F10" s="30"/>
      <c r="G10" s="717" t="s">
        <v>5830</v>
      </c>
      <c r="H10" s="910"/>
    </row>
    <row r="11" spans="1:12" ht="13.5" thickBot="1" x14ac:dyDescent="0.25">
      <c r="A11" s="187"/>
      <c r="B11" s="192"/>
      <c r="C11" s="677"/>
      <c r="D11" s="679"/>
      <c r="E11" s="679"/>
      <c r="F11" s="24"/>
      <c r="G11" s="32" t="s">
        <v>5831</v>
      </c>
      <c r="H11" s="607">
        <f>SUM(H7:H10)</f>
        <v>99</v>
      </c>
    </row>
    <row r="12" spans="1:12" ht="16.5" customHeight="1" thickBot="1" x14ac:dyDescent="0.25">
      <c r="A12" s="907" t="s">
        <v>5557</v>
      </c>
      <c r="B12" s="908">
        <f>SUM(B4:B11)</f>
        <v>0</v>
      </c>
      <c r="C12" s="909"/>
      <c r="D12" s="763">
        <f>D4+D5+D6+D7</f>
        <v>0</v>
      </c>
      <c r="E12" s="763">
        <f>E4+E5+E6+E7</f>
        <v>0</v>
      </c>
      <c r="F12" s="746"/>
      <c r="G12" s="607"/>
      <c r="K12" s="1"/>
    </row>
    <row r="13" spans="1:12" x14ac:dyDescent="0.2">
      <c r="G13" s="32" t="s">
        <v>5832</v>
      </c>
      <c r="H13" s="231">
        <f>H4+H11</f>
        <v>19089.2</v>
      </c>
      <c r="K13" s="1"/>
    </row>
    <row r="14" spans="1:12" x14ac:dyDescent="0.2">
      <c r="A14" s="32"/>
      <c r="B14" s="32"/>
      <c r="C14" s="32"/>
    </row>
    <row r="15" spans="1:12" x14ac:dyDescent="0.2">
      <c r="B15" s="18"/>
      <c r="C15" s="18"/>
    </row>
    <row r="16" spans="1:12" x14ac:dyDescent="0.2">
      <c r="A16" s="899"/>
      <c r="B16" s="900"/>
      <c r="C16" s="18"/>
    </row>
    <row r="17" spans="1:17" x14ac:dyDescent="0.2">
      <c r="A17" s="1555"/>
      <c r="B17" s="918"/>
      <c r="C17" s="18"/>
    </row>
    <row r="18" spans="1:17" x14ac:dyDescent="0.2">
      <c r="C18" s="52"/>
      <c r="E18" s="918" t="s">
        <v>5833</v>
      </c>
      <c r="F18" s="918" t="s">
        <v>5834</v>
      </c>
    </row>
    <row r="19" spans="1:17" x14ac:dyDescent="0.2">
      <c r="A19" s="1555"/>
      <c r="B19" s="918"/>
      <c r="C19" s="18"/>
      <c r="F19" s="1"/>
      <c r="H19" s="32"/>
    </row>
    <row r="20" spans="1:17" x14ac:dyDescent="0.2">
      <c r="A20" s="1555"/>
      <c r="B20" s="1598"/>
      <c r="C20" s="36"/>
      <c r="E20" s="24" t="s">
        <v>5835</v>
      </c>
      <c r="F20" s="1">
        <v>18451</v>
      </c>
    </row>
    <row r="21" spans="1:17" x14ac:dyDescent="0.2">
      <c r="E21" s="165">
        <v>44333</v>
      </c>
      <c r="F21" s="1">
        <v>18844</v>
      </c>
    </row>
    <row r="22" spans="1:17" x14ac:dyDescent="0.2">
      <c r="E22" s="165">
        <v>44456</v>
      </c>
      <c r="F22" s="1">
        <v>21248</v>
      </c>
    </row>
    <row r="23" spans="1:17" x14ac:dyDescent="0.2">
      <c r="E23" s="165">
        <v>44517</v>
      </c>
      <c r="F23" s="1">
        <v>21690</v>
      </c>
      <c r="G23" s="670"/>
    </row>
    <row r="24" spans="1:17" x14ac:dyDescent="0.2">
      <c r="E24" s="165">
        <v>44571</v>
      </c>
      <c r="F24" s="1">
        <v>22348</v>
      </c>
    </row>
    <row r="25" spans="1:17" x14ac:dyDescent="0.2">
      <c r="E25" s="165">
        <v>44600</v>
      </c>
      <c r="F25" s="1">
        <v>22571</v>
      </c>
    </row>
    <row r="26" spans="1:17" x14ac:dyDescent="0.2">
      <c r="E26" s="165"/>
      <c r="F26" s="1"/>
    </row>
    <row r="27" spans="1:17" x14ac:dyDescent="0.2">
      <c r="F27" s="1"/>
    </row>
    <row r="28" spans="1:17" ht="13.5" thickBot="1" x14ac:dyDescent="0.25">
      <c r="A28" s="1192"/>
      <c r="B28" s="1192"/>
      <c r="C28" s="1192"/>
      <c r="D28" s="1192"/>
      <c r="E28" s="1193"/>
      <c r="F28" s="582"/>
      <c r="G28" s="1192"/>
      <c r="H28" s="1192"/>
      <c r="I28" s="1192"/>
      <c r="J28" s="1192"/>
      <c r="K28" s="1192"/>
      <c r="L28" s="1192"/>
      <c r="M28" s="1192"/>
      <c r="N28" s="1192"/>
      <c r="O28" s="1192"/>
      <c r="P28" s="1192"/>
      <c r="Q28" s="1192"/>
    </row>
    <row r="29" spans="1:17" x14ac:dyDescent="0.2">
      <c r="F29" s="1"/>
    </row>
    <row r="31" spans="1:17" ht="13.5" thickBot="1" x14ac:dyDescent="0.25"/>
    <row r="32" spans="1:17" ht="15.75" customHeight="1" thickBot="1" x14ac:dyDescent="0.25">
      <c r="A32" s="3501" t="s">
        <v>5836</v>
      </c>
      <c r="B32" s="3502"/>
      <c r="C32" s="3502"/>
      <c r="D32" s="3502"/>
      <c r="E32" s="3503"/>
      <c r="G32" s="32" t="s">
        <v>5821</v>
      </c>
      <c r="H32" s="241">
        <v>43516</v>
      </c>
      <c r="I32" s="916" t="s">
        <v>5837</v>
      </c>
      <c r="K32" s="24"/>
    </row>
    <row r="33" spans="1:17" ht="15" customHeight="1" thickBot="1" x14ac:dyDescent="0.3">
      <c r="A33" s="3637" t="s">
        <v>5838</v>
      </c>
      <c r="B33" s="3638"/>
      <c r="C33" s="3638"/>
      <c r="D33" s="3638"/>
      <c r="E33" s="3639"/>
      <c r="F33" s="216"/>
      <c r="G33" s="717" t="s">
        <v>5824</v>
      </c>
      <c r="H33" s="1">
        <v>9800</v>
      </c>
      <c r="K33" s="24"/>
      <c r="M33" s="717"/>
    </row>
    <row r="34" spans="1:17" s="7" customFormat="1" ht="13.5" customHeight="1" thickBot="1" x14ac:dyDescent="0.3">
      <c r="A34" s="8" t="s">
        <v>5546</v>
      </c>
      <c r="B34" s="11" t="s">
        <v>5427</v>
      </c>
      <c r="C34" s="674" t="s">
        <v>5547</v>
      </c>
      <c r="D34" s="760" t="s">
        <v>5548</v>
      </c>
      <c r="E34" s="164" t="s">
        <v>772</v>
      </c>
      <c r="F34" s="216"/>
      <c r="G34" s="717" t="s">
        <v>5839</v>
      </c>
      <c r="H34" s="1">
        <v>248.01</v>
      </c>
      <c r="J34"/>
      <c r="K34" s="911" t="s">
        <v>5840</v>
      </c>
      <c r="L34" s="912" t="s">
        <v>5841</v>
      </c>
      <c r="M34" s="912" t="s">
        <v>5842</v>
      </c>
      <c r="P34"/>
      <c r="Q34"/>
    </row>
    <row r="35" spans="1:17" ht="14.25" customHeight="1" x14ac:dyDescent="0.25">
      <c r="A35" s="186" t="s">
        <v>5550</v>
      </c>
      <c r="B35" s="191">
        <v>248</v>
      </c>
      <c r="C35" s="971"/>
      <c r="D35" s="972"/>
      <c r="E35" s="678">
        <f>B35-C35-D35</f>
        <v>248</v>
      </c>
      <c r="F35" s="216"/>
      <c r="G35" s="717" t="s">
        <v>2135</v>
      </c>
      <c r="H35" s="401">
        <v>84.58</v>
      </c>
      <c r="K35" s="913">
        <v>43498</v>
      </c>
      <c r="L35" s="782" t="s">
        <v>5843</v>
      </c>
      <c r="M35" s="914">
        <v>0</v>
      </c>
      <c r="P35" s="717"/>
    </row>
    <row r="36" spans="1:17" ht="15" x14ac:dyDescent="0.25">
      <c r="A36" s="186" t="s">
        <v>5844</v>
      </c>
      <c r="B36" s="191">
        <v>84.58</v>
      </c>
      <c r="C36" s="973"/>
      <c r="D36" s="974"/>
      <c r="E36" s="679">
        <f>B36-C36-D36</f>
        <v>84.58</v>
      </c>
      <c r="F36" s="216"/>
      <c r="G36" s="717" t="s">
        <v>5845</v>
      </c>
      <c r="H36" s="401">
        <v>110.09</v>
      </c>
      <c r="K36" s="913">
        <v>43505</v>
      </c>
      <c r="L36" s="782" t="s">
        <v>5846</v>
      </c>
      <c r="M36" s="914">
        <v>100</v>
      </c>
    </row>
    <row r="37" spans="1:17" ht="15" x14ac:dyDescent="0.25">
      <c r="A37" s="186" t="s">
        <v>5847</v>
      </c>
      <c r="B37" s="747"/>
      <c r="C37" s="973"/>
      <c r="D37" s="974"/>
      <c r="E37" s="679">
        <f t="shared" ref="E37:E42" si="0">B37-C37-D37</f>
        <v>0</v>
      </c>
      <c r="F37" s="631"/>
      <c r="G37" s="717" t="s">
        <v>5848</v>
      </c>
      <c r="H37" s="401">
        <v>90.2</v>
      </c>
      <c r="I37" s="393"/>
      <c r="K37" s="913">
        <v>43512</v>
      </c>
      <c r="L37" s="782" t="s">
        <v>5849</v>
      </c>
      <c r="M37" s="914">
        <v>100</v>
      </c>
    </row>
    <row r="38" spans="1:17" ht="15" x14ac:dyDescent="0.25">
      <c r="A38" s="186"/>
      <c r="B38" s="747"/>
      <c r="C38" s="973"/>
      <c r="D38" s="974"/>
      <c r="E38" s="679">
        <f t="shared" si="0"/>
        <v>0</v>
      </c>
      <c r="F38" s="484"/>
      <c r="G38" s="32" t="s">
        <v>5826</v>
      </c>
      <c r="H38" s="607">
        <f>SUM(H33:H37)</f>
        <v>10332.880000000001</v>
      </c>
      <c r="K38" s="913">
        <v>43519</v>
      </c>
      <c r="L38" s="782" t="s">
        <v>5850</v>
      </c>
      <c r="M38" s="914">
        <v>100</v>
      </c>
    </row>
    <row r="39" spans="1:17" s="48" customFormat="1" ht="14.25" customHeight="1" x14ac:dyDescent="0.25">
      <c r="A39" s="723"/>
      <c r="B39" s="472"/>
      <c r="C39" s="973"/>
      <c r="D39" s="974"/>
      <c r="E39" s="679">
        <f t="shared" si="0"/>
        <v>0</v>
      </c>
      <c r="F39" s="609"/>
      <c r="K39" s="915">
        <v>43526</v>
      </c>
      <c r="L39" s="782" t="s">
        <v>5851</v>
      </c>
      <c r="M39" s="914">
        <v>0</v>
      </c>
      <c r="Q39"/>
    </row>
    <row r="40" spans="1:17" ht="15" x14ac:dyDescent="0.25">
      <c r="A40" s="185"/>
      <c r="B40" s="190"/>
      <c r="C40" s="973"/>
      <c r="D40" s="975"/>
      <c r="E40" s="679">
        <f t="shared" si="0"/>
        <v>0</v>
      </c>
      <c r="F40" s="632"/>
      <c r="G40" s="3110" t="s">
        <v>5827</v>
      </c>
      <c r="H40" s="3110"/>
      <c r="K40" s="913">
        <v>43533</v>
      </c>
      <c r="L40" s="782" t="s">
        <v>5852</v>
      </c>
      <c r="M40" s="914">
        <v>100</v>
      </c>
      <c r="N40" s="48"/>
      <c r="O40" s="48"/>
    </row>
    <row r="41" spans="1:17" x14ac:dyDescent="0.2">
      <c r="A41" s="183"/>
      <c r="B41" s="10"/>
      <c r="C41" s="676"/>
      <c r="D41" s="679"/>
      <c r="E41" s="679">
        <f t="shared" si="0"/>
        <v>0</v>
      </c>
      <c r="F41" s="30"/>
      <c r="G41" s="717" t="s">
        <v>5828</v>
      </c>
      <c r="H41" s="910">
        <v>204.28</v>
      </c>
      <c r="K41" s="915">
        <v>43540</v>
      </c>
      <c r="L41" s="782" t="s">
        <v>5853</v>
      </c>
      <c r="M41" s="914">
        <v>0</v>
      </c>
    </row>
    <row r="42" spans="1:17" ht="13.5" thickBot="1" x14ac:dyDescent="0.25">
      <c r="A42" s="187"/>
      <c r="B42" s="192"/>
      <c r="C42" s="677"/>
      <c r="D42" s="679"/>
      <c r="E42" s="679">
        <f t="shared" si="0"/>
        <v>0</v>
      </c>
      <c r="F42" s="24"/>
      <c r="G42" s="717" t="s">
        <v>5829</v>
      </c>
      <c r="H42" s="910">
        <v>100</v>
      </c>
      <c r="K42" s="913">
        <v>43547</v>
      </c>
      <c r="L42" s="782" t="s">
        <v>5852</v>
      </c>
      <c r="M42" s="914">
        <v>100</v>
      </c>
    </row>
    <row r="43" spans="1:17" ht="16.5" customHeight="1" thickBot="1" x14ac:dyDescent="0.25">
      <c r="A43" s="907" t="s">
        <v>5557</v>
      </c>
      <c r="B43" s="908">
        <f>SUM(B35:B42)</f>
        <v>332.58</v>
      </c>
      <c r="C43" s="909"/>
      <c r="D43" s="763">
        <f>D35+D36+D37+D38</f>
        <v>0</v>
      </c>
      <c r="E43" s="763">
        <f>E35+E36+E37+E38</f>
        <v>332.58</v>
      </c>
      <c r="F43" s="746"/>
      <c r="G43" s="717" t="s">
        <v>5830</v>
      </c>
      <c r="H43" s="910">
        <v>81.23</v>
      </c>
      <c r="K43" s="913">
        <v>43563</v>
      </c>
      <c r="L43" s="782" t="s">
        <v>5854</v>
      </c>
      <c r="M43" s="914">
        <v>150</v>
      </c>
      <c r="N43" s="717" t="s">
        <v>5855</v>
      </c>
      <c r="P43" s="1"/>
    </row>
    <row r="44" spans="1:17" x14ac:dyDescent="0.2">
      <c r="G44" s="32" t="s">
        <v>5831</v>
      </c>
      <c r="H44" s="607">
        <f>SUM(H41:H43)</f>
        <v>385.51</v>
      </c>
      <c r="K44" s="914"/>
      <c r="L44" s="228"/>
      <c r="M44" s="914"/>
      <c r="P44" s="1"/>
    </row>
    <row r="45" spans="1:17" x14ac:dyDescent="0.2">
      <c r="A45" s="32"/>
      <c r="B45" s="32"/>
      <c r="C45" s="32"/>
      <c r="G45" s="607"/>
      <c r="K45" s="24"/>
      <c r="M45" s="914">
        <f>SUM(M35:M44)</f>
        <v>650</v>
      </c>
    </row>
    <row r="46" spans="1:17" x14ac:dyDescent="0.2">
      <c r="B46" s="18"/>
      <c r="C46" s="18"/>
      <c r="G46" s="32" t="s">
        <v>5832</v>
      </c>
      <c r="H46" s="231">
        <f>H38+H44</f>
        <v>10718.390000000001</v>
      </c>
      <c r="K46" s="24"/>
    </row>
    <row r="47" spans="1:17" x14ac:dyDescent="0.2">
      <c r="A47" s="899"/>
      <c r="B47" s="900"/>
      <c r="C47" s="18"/>
      <c r="G47" s="32"/>
      <c r="K47" s="24"/>
    </row>
    <row r="48" spans="1:17" x14ac:dyDescent="0.2">
      <c r="A48" s="1555"/>
      <c r="B48" s="918"/>
      <c r="C48" s="18"/>
      <c r="K48" s="24"/>
    </row>
    <row r="49" spans="1:11" x14ac:dyDescent="0.2">
      <c r="C49" s="52"/>
      <c r="E49" s="918" t="s">
        <v>5833</v>
      </c>
      <c r="F49" s="918" t="s">
        <v>5856</v>
      </c>
      <c r="K49" s="24"/>
    </row>
    <row r="50" spans="1:11" x14ac:dyDescent="0.2">
      <c r="A50" s="1555"/>
      <c r="B50" s="918"/>
      <c r="C50" s="18"/>
      <c r="F50" s="1"/>
      <c r="H50" s="32"/>
      <c r="K50" s="24"/>
    </row>
    <row r="51" spans="1:11" x14ac:dyDescent="0.2">
      <c r="A51" s="1555"/>
      <c r="B51" s="1598"/>
      <c r="C51" s="36"/>
      <c r="E51" s="24" t="s">
        <v>5857</v>
      </c>
      <c r="F51" s="1">
        <v>12137</v>
      </c>
      <c r="K51" s="24"/>
    </row>
    <row r="52" spans="1:11" x14ac:dyDescent="0.2">
      <c r="E52" s="165">
        <v>43592</v>
      </c>
      <c r="F52" s="1">
        <v>12056</v>
      </c>
      <c r="K52" s="24"/>
    </row>
    <row r="53" spans="1:11" x14ac:dyDescent="0.2">
      <c r="E53" s="165">
        <v>43658</v>
      </c>
      <c r="F53" s="1">
        <v>12094</v>
      </c>
      <c r="K53" s="24"/>
    </row>
    <row r="54" spans="1:11" x14ac:dyDescent="0.2">
      <c r="E54" s="165">
        <v>43719</v>
      </c>
      <c r="F54" s="1">
        <v>12162</v>
      </c>
      <c r="K54" s="24"/>
    </row>
    <row r="55" spans="1:11" x14ac:dyDescent="0.2">
      <c r="E55" s="165">
        <v>43780</v>
      </c>
      <c r="F55" s="1">
        <v>12026</v>
      </c>
      <c r="K55" s="24"/>
    </row>
    <row r="56" spans="1:11" x14ac:dyDescent="0.2">
      <c r="E56" s="165">
        <v>43999</v>
      </c>
      <c r="F56" s="1">
        <v>11918</v>
      </c>
      <c r="K56" s="24"/>
    </row>
    <row r="57" spans="1:11" x14ac:dyDescent="0.2">
      <c r="E57" s="165">
        <v>44172</v>
      </c>
      <c r="F57" s="1">
        <v>12063</v>
      </c>
      <c r="K57" s="24"/>
    </row>
    <row r="58" spans="1:11" x14ac:dyDescent="0.2">
      <c r="E58" s="165">
        <v>44456</v>
      </c>
      <c r="F58" s="1">
        <v>14277</v>
      </c>
      <c r="K58" s="24"/>
    </row>
    <row r="59" spans="1:11" x14ac:dyDescent="0.2">
      <c r="F59" s="1"/>
      <c r="K59" s="24"/>
    </row>
    <row r="60" spans="1:11" x14ac:dyDescent="0.2">
      <c r="F60" s="1"/>
      <c r="K60" s="24"/>
    </row>
    <row r="61" spans="1:11" x14ac:dyDescent="0.2">
      <c r="K61" s="24"/>
    </row>
    <row r="62" spans="1:11" x14ac:dyDescent="0.2">
      <c r="K62" s="24"/>
    </row>
    <row r="63" spans="1:11" x14ac:dyDescent="0.2">
      <c r="K63" s="24"/>
    </row>
    <row r="64" spans="1:11" x14ac:dyDescent="0.2">
      <c r="K64" s="24"/>
    </row>
    <row r="65" spans="11:11" x14ac:dyDescent="0.2">
      <c r="K65" s="24"/>
    </row>
    <row r="66" spans="11:11" x14ac:dyDescent="0.2">
      <c r="K66" s="24"/>
    </row>
    <row r="67" spans="11:11" x14ac:dyDescent="0.2">
      <c r="K67" s="24"/>
    </row>
    <row r="68" spans="11:11" x14ac:dyDescent="0.2">
      <c r="K68" s="24"/>
    </row>
    <row r="69" spans="11:11" x14ac:dyDescent="0.2">
      <c r="K69" s="24"/>
    </row>
    <row r="70" spans="11:11" x14ac:dyDescent="0.2">
      <c r="K70" s="24"/>
    </row>
    <row r="71" spans="11:11" x14ac:dyDescent="0.2">
      <c r="K71" s="24"/>
    </row>
    <row r="72" spans="11:11" x14ac:dyDescent="0.2">
      <c r="K72" s="24"/>
    </row>
    <row r="73" spans="11:11" x14ac:dyDescent="0.2">
      <c r="K73" s="24"/>
    </row>
    <row r="74" spans="11:11" x14ac:dyDescent="0.2">
      <c r="K74" s="24"/>
    </row>
    <row r="75" spans="11:11" x14ac:dyDescent="0.2">
      <c r="K75" s="24"/>
    </row>
    <row r="76" spans="11:11" x14ac:dyDescent="0.2">
      <c r="K76" s="24"/>
    </row>
    <row r="77" spans="11:11" x14ac:dyDescent="0.2">
      <c r="K77" s="24"/>
    </row>
    <row r="78" spans="11:11" x14ac:dyDescent="0.2">
      <c r="K78" s="24"/>
    </row>
    <row r="79" spans="11:11" x14ac:dyDescent="0.2">
      <c r="K79" s="24"/>
    </row>
    <row r="80" spans="11:11" x14ac:dyDescent="0.2">
      <c r="K80" s="24"/>
    </row>
    <row r="81" spans="11:11" x14ac:dyDescent="0.2">
      <c r="K81" s="24"/>
    </row>
    <row r="82" spans="11:11" x14ac:dyDescent="0.2">
      <c r="K82" s="24"/>
    </row>
    <row r="83" spans="11:11" x14ac:dyDescent="0.2">
      <c r="K83" s="24"/>
    </row>
    <row r="84" spans="11:11" x14ac:dyDescent="0.2">
      <c r="K84" s="24"/>
    </row>
    <row r="85" spans="11:11" x14ac:dyDescent="0.2">
      <c r="K85" s="24"/>
    </row>
    <row r="86" spans="11:11" x14ac:dyDescent="0.2">
      <c r="K86" s="24"/>
    </row>
    <row r="87" spans="11:11" x14ac:dyDescent="0.2">
      <c r="K87" s="24"/>
    </row>
    <row r="88" spans="11:11" x14ac:dyDescent="0.2">
      <c r="K88" s="24"/>
    </row>
    <row r="89" spans="11:11" x14ac:dyDescent="0.2">
      <c r="K89" s="24"/>
    </row>
    <row r="90" spans="11:11" x14ac:dyDescent="0.2">
      <c r="K90" s="24"/>
    </row>
    <row r="91" spans="11:11" x14ac:dyDescent="0.2">
      <c r="K91" s="24"/>
    </row>
    <row r="92" spans="11:11" x14ac:dyDescent="0.2">
      <c r="K92" s="24"/>
    </row>
    <row r="93" spans="11:11" x14ac:dyDescent="0.2">
      <c r="K93" s="24"/>
    </row>
    <row r="94" spans="11:11" x14ac:dyDescent="0.2">
      <c r="K94" s="24"/>
    </row>
    <row r="95" spans="11:11" x14ac:dyDescent="0.2">
      <c r="K95" s="24"/>
    </row>
    <row r="96" spans="11:11" x14ac:dyDescent="0.2">
      <c r="K96" s="24"/>
    </row>
    <row r="97" spans="11:11" x14ac:dyDescent="0.2">
      <c r="K97" s="24"/>
    </row>
    <row r="98" spans="11:11" x14ac:dyDescent="0.2">
      <c r="K98" s="24"/>
    </row>
    <row r="99" spans="11:11" x14ac:dyDescent="0.2">
      <c r="K99" s="24"/>
    </row>
    <row r="100" spans="11:11" x14ac:dyDescent="0.2">
      <c r="K100" s="24"/>
    </row>
    <row r="101" spans="11:11" x14ac:dyDescent="0.2">
      <c r="K101" s="24"/>
    </row>
    <row r="102" spans="11:11" x14ac:dyDescent="0.2">
      <c r="K102" s="24"/>
    </row>
    <row r="103" spans="11:11" x14ac:dyDescent="0.2">
      <c r="K103" s="24"/>
    </row>
    <row r="104" spans="11:11" x14ac:dyDescent="0.2">
      <c r="K104" s="24"/>
    </row>
    <row r="105" spans="11:11" x14ac:dyDescent="0.2">
      <c r="K105" s="24"/>
    </row>
    <row r="106" spans="11:11" x14ac:dyDescent="0.2">
      <c r="K106" s="24"/>
    </row>
    <row r="107" spans="11:11" x14ac:dyDescent="0.2">
      <c r="K107" s="24"/>
    </row>
    <row r="108" spans="11:11" x14ac:dyDescent="0.2">
      <c r="K108" s="24"/>
    </row>
    <row r="109" spans="11:11" x14ac:dyDescent="0.2">
      <c r="K109" s="24"/>
    </row>
    <row r="110" spans="11:11" x14ac:dyDescent="0.2">
      <c r="K110" s="24"/>
    </row>
    <row r="111" spans="11:11" x14ac:dyDescent="0.2">
      <c r="K111" s="24"/>
    </row>
    <row r="112" spans="11:11" x14ac:dyDescent="0.2">
      <c r="K112" s="24"/>
    </row>
    <row r="113" spans="11:11" x14ac:dyDescent="0.2">
      <c r="K113" s="24"/>
    </row>
    <row r="114" spans="11:11" x14ac:dyDescent="0.2">
      <c r="K114" s="24"/>
    </row>
    <row r="115" spans="11:11" x14ac:dyDescent="0.2">
      <c r="K115" s="24"/>
    </row>
    <row r="116" spans="11:11" x14ac:dyDescent="0.2">
      <c r="K116" s="24"/>
    </row>
    <row r="117" spans="11:11" x14ac:dyDescent="0.2">
      <c r="K117" s="24"/>
    </row>
    <row r="118" spans="11:11" x14ac:dyDescent="0.2">
      <c r="K118" s="24"/>
    </row>
    <row r="119" spans="11:11" x14ac:dyDescent="0.2">
      <c r="K119" s="24"/>
    </row>
    <row r="120" spans="11:11" x14ac:dyDescent="0.2">
      <c r="K120" s="24"/>
    </row>
    <row r="121" spans="11:11" x14ac:dyDescent="0.2">
      <c r="K121" s="24"/>
    </row>
    <row r="122" spans="11:11" x14ac:dyDescent="0.2">
      <c r="K122" s="24"/>
    </row>
    <row r="123" spans="11:11" x14ac:dyDescent="0.2">
      <c r="K123" s="24"/>
    </row>
    <row r="124" spans="11:11" x14ac:dyDescent="0.2">
      <c r="K124" s="24"/>
    </row>
    <row r="125" spans="11:11" x14ac:dyDescent="0.2">
      <c r="K125" s="24"/>
    </row>
    <row r="126" spans="11:11" x14ac:dyDescent="0.2">
      <c r="K126" s="24"/>
    </row>
    <row r="127" spans="11:11" x14ac:dyDescent="0.2">
      <c r="K127" s="24"/>
    </row>
    <row r="128" spans="11:11" x14ac:dyDescent="0.2">
      <c r="K128" s="24"/>
    </row>
    <row r="129" spans="11:11" x14ac:dyDescent="0.2">
      <c r="K129" s="24"/>
    </row>
    <row r="130" spans="11:11" x14ac:dyDescent="0.2">
      <c r="K130" s="24"/>
    </row>
    <row r="131" spans="11:11" x14ac:dyDescent="0.2">
      <c r="K131" s="24"/>
    </row>
    <row r="132" spans="11:11" x14ac:dyDescent="0.2">
      <c r="K132" s="24"/>
    </row>
    <row r="133" spans="11:11" x14ac:dyDescent="0.2">
      <c r="K133" s="24"/>
    </row>
    <row r="134" spans="11:11" x14ac:dyDescent="0.2">
      <c r="K134" s="24"/>
    </row>
    <row r="135" spans="11:11" x14ac:dyDescent="0.2">
      <c r="K135" s="24"/>
    </row>
    <row r="136" spans="11:11" x14ac:dyDescent="0.2">
      <c r="K136" s="24"/>
    </row>
    <row r="137" spans="11:11" x14ac:dyDescent="0.2">
      <c r="K137" s="24"/>
    </row>
    <row r="138" spans="11:11" x14ac:dyDescent="0.2">
      <c r="K138" s="24"/>
    </row>
    <row r="139" spans="11:11" x14ac:dyDescent="0.2">
      <c r="K139" s="24"/>
    </row>
    <row r="140" spans="11:11" x14ac:dyDescent="0.2">
      <c r="K140" s="24"/>
    </row>
    <row r="141" spans="11:11" x14ac:dyDescent="0.2">
      <c r="K141" s="24"/>
    </row>
    <row r="142" spans="11:11" x14ac:dyDescent="0.2">
      <c r="K142" s="24"/>
    </row>
    <row r="143" spans="11:11" x14ac:dyDescent="0.2">
      <c r="K143" s="24"/>
    </row>
    <row r="144" spans="11:11" x14ac:dyDescent="0.2">
      <c r="K144" s="24"/>
    </row>
    <row r="145" spans="11:11" x14ac:dyDescent="0.2">
      <c r="K145" s="24"/>
    </row>
    <row r="146" spans="11:11" x14ac:dyDescent="0.2">
      <c r="K146" s="24"/>
    </row>
    <row r="147" spans="11:11" x14ac:dyDescent="0.2">
      <c r="K147" s="24"/>
    </row>
    <row r="148" spans="11:11" x14ac:dyDescent="0.2">
      <c r="K148" s="24"/>
    </row>
    <row r="149" spans="11:11" x14ac:dyDescent="0.2">
      <c r="K149" s="24"/>
    </row>
    <row r="150" spans="11:11" x14ac:dyDescent="0.2">
      <c r="K150" s="24"/>
    </row>
    <row r="151" spans="11:11" x14ac:dyDescent="0.2">
      <c r="K151" s="24"/>
    </row>
    <row r="152" spans="11:11" x14ac:dyDescent="0.2">
      <c r="K152" s="24"/>
    </row>
    <row r="153" spans="11:11" x14ac:dyDescent="0.2">
      <c r="K153" s="24"/>
    </row>
    <row r="154" spans="11:11" x14ac:dyDescent="0.2">
      <c r="K154" s="24"/>
    </row>
    <row r="155" spans="11:11" x14ac:dyDescent="0.2">
      <c r="K155" s="24"/>
    </row>
    <row r="156" spans="11:11" x14ac:dyDescent="0.2">
      <c r="K156" s="24"/>
    </row>
    <row r="157" spans="11:11" x14ac:dyDescent="0.2">
      <c r="K157" s="24"/>
    </row>
    <row r="158" spans="11:11" x14ac:dyDescent="0.2">
      <c r="K158" s="24"/>
    </row>
    <row r="159" spans="11:11" x14ac:dyDescent="0.2">
      <c r="K159" s="24"/>
    </row>
    <row r="160" spans="11:11" x14ac:dyDescent="0.2">
      <c r="K160" s="24"/>
    </row>
    <row r="161" spans="11:11" x14ac:dyDescent="0.2">
      <c r="K161" s="24"/>
    </row>
    <row r="162" spans="11:11" x14ac:dyDescent="0.2">
      <c r="K162" s="24"/>
    </row>
    <row r="163" spans="11:11" x14ac:dyDescent="0.2">
      <c r="K163" s="24"/>
    </row>
    <row r="164" spans="11:11" x14ac:dyDescent="0.2">
      <c r="K164" s="24"/>
    </row>
    <row r="165" spans="11:11" x14ac:dyDescent="0.2">
      <c r="K165" s="24"/>
    </row>
    <row r="166" spans="11:11" x14ac:dyDescent="0.2">
      <c r="K166" s="24"/>
    </row>
    <row r="167" spans="11:11" x14ac:dyDescent="0.2">
      <c r="K167" s="24"/>
    </row>
    <row r="168" spans="11:11" x14ac:dyDescent="0.2">
      <c r="K168" s="24"/>
    </row>
    <row r="169" spans="11:11" x14ac:dyDescent="0.2">
      <c r="K169" s="24"/>
    </row>
    <row r="170" spans="11:11" x14ac:dyDescent="0.2">
      <c r="K170" s="24"/>
    </row>
    <row r="171" spans="11:11" x14ac:dyDescent="0.2">
      <c r="K171" s="24"/>
    </row>
    <row r="172" spans="11:11" x14ac:dyDescent="0.2">
      <c r="K172" s="24"/>
    </row>
    <row r="173" spans="11:11" x14ac:dyDescent="0.2">
      <c r="K173" s="24"/>
    </row>
    <row r="174" spans="11:11" x14ac:dyDescent="0.2">
      <c r="K174" s="24"/>
    </row>
    <row r="175" spans="11:11" x14ac:dyDescent="0.2">
      <c r="K175" s="24"/>
    </row>
    <row r="176" spans="11:11" x14ac:dyDescent="0.2">
      <c r="K176" s="24"/>
    </row>
    <row r="177" spans="11:11" x14ac:dyDescent="0.2">
      <c r="K177" s="24"/>
    </row>
    <row r="178" spans="11:11" x14ac:dyDescent="0.2">
      <c r="K178" s="24"/>
    </row>
    <row r="179" spans="11:11" x14ac:dyDescent="0.2">
      <c r="K179" s="24"/>
    </row>
    <row r="180" spans="11:11" x14ac:dyDescent="0.2">
      <c r="K180" s="24"/>
    </row>
    <row r="181" spans="11:11" x14ac:dyDescent="0.2">
      <c r="K181" s="24"/>
    </row>
    <row r="182" spans="11:11" x14ac:dyDescent="0.2">
      <c r="K182" s="24"/>
    </row>
    <row r="183" spans="11:11" x14ac:dyDescent="0.2">
      <c r="K183" s="24"/>
    </row>
    <row r="184" spans="11:11" x14ac:dyDescent="0.2">
      <c r="K184" s="24"/>
    </row>
    <row r="185" spans="11:11" x14ac:dyDescent="0.2">
      <c r="K185" s="24"/>
    </row>
    <row r="186" spans="11:11" x14ac:dyDescent="0.2">
      <c r="K186" s="24"/>
    </row>
    <row r="187" spans="11:11" x14ac:dyDescent="0.2">
      <c r="K187" s="24"/>
    </row>
    <row r="188" spans="11:11" x14ac:dyDescent="0.2">
      <c r="K188" s="24"/>
    </row>
    <row r="189" spans="11:11" x14ac:dyDescent="0.2">
      <c r="K189" s="24"/>
    </row>
    <row r="190" spans="11:11" x14ac:dyDescent="0.2">
      <c r="K190" s="24"/>
    </row>
    <row r="191" spans="11:11" x14ac:dyDescent="0.2">
      <c r="K191" s="24"/>
    </row>
    <row r="192" spans="11:11" x14ac:dyDescent="0.2">
      <c r="K192" s="24"/>
    </row>
    <row r="193" spans="11:11" x14ac:dyDescent="0.2">
      <c r="K193" s="24"/>
    </row>
    <row r="194" spans="11:11" x14ac:dyDescent="0.2">
      <c r="K194" s="24"/>
    </row>
    <row r="195" spans="11:11" x14ac:dyDescent="0.2">
      <c r="K195" s="24"/>
    </row>
    <row r="196" spans="11:11" x14ac:dyDescent="0.2">
      <c r="K196" s="24"/>
    </row>
    <row r="197" spans="11:11" x14ac:dyDescent="0.2">
      <c r="K197" s="24"/>
    </row>
    <row r="198" spans="11:11" x14ac:dyDescent="0.2">
      <c r="K198" s="24"/>
    </row>
    <row r="199" spans="11:11" x14ac:dyDescent="0.2">
      <c r="K199" s="24"/>
    </row>
    <row r="200" spans="11:11" x14ac:dyDescent="0.2">
      <c r="K200" s="24"/>
    </row>
    <row r="201" spans="11:11" x14ac:dyDescent="0.2">
      <c r="K201" s="24"/>
    </row>
    <row r="202" spans="11:11" x14ac:dyDescent="0.2">
      <c r="K202" s="24"/>
    </row>
    <row r="203" spans="11:11" x14ac:dyDescent="0.2">
      <c r="K203" s="24"/>
    </row>
    <row r="204" spans="11:11" x14ac:dyDescent="0.2">
      <c r="K204" s="24"/>
    </row>
    <row r="205" spans="11:11" x14ac:dyDescent="0.2">
      <c r="K205" s="24"/>
    </row>
    <row r="206" spans="11:11" x14ac:dyDescent="0.2">
      <c r="K206" s="24"/>
    </row>
    <row r="207" spans="11:11" x14ac:dyDescent="0.2">
      <c r="K207" s="24"/>
    </row>
    <row r="208" spans="11:11" x14ac:dyDescent="0.2">
      <c r="K208" s="24"/>
    </row>
    <row r="209" spans="11:11" x14ac:dyDescent="0.2">
      <c r="K209" s="24"/>
    </row>
    <row r="210" spans="11:11" x14ac:dyDescent="0.2">
      <c r="K210" s="24"/>
    </row>
    <row r="211" spans="11:11" x14ac:dyDescent="0.2">
      <c r="K211" s="24"/>
    </row>
    <row r="212" spans="11:11" x14ac:dyDescent="0.2">
      <c r="K212" s="24"/>
    </row>
    <row r="213" spans="11:11" x14ac:dyDescent="0.2">
      <c r="K213" s="24"/>
    </row>
    <row r="214" spans="11:11" x14ac:dyDescent="0.2">
      <c r="K214" s="24"/>
    </row>
    <row r="215" spans="11:11" x14ac:dyDescent="0.2">
      <c r="K215" s="24"/>
    </row>
    <row r="216" spans="11:11" x14ac:dyDescent="0.2">
      <c r="K216" s="24"/>
    </row>
    <row r="217" spans="11:11" x14ac:dyDescent="0.2">
      <c r="K217" s="24"/>
    </row>
    <row r="218" spans="11:11" x14ac:dyDescent="0.2">
      <c r="K218" s="24"/>
    </row>
    <row r="219" spans="11:11" x14ac:dyDescent="0.2">
      <c r="K219" s="24"/>
    </row>
    <row r="220" spans="11:11" x14ac:dyDescent="0.2">
      <c r="K220" s="24"/>
    </row>
    <row r="221" spans="11:11" x14ac:dyDescent="0.2">
      <c r="K221" s="24"/>
    </row>
    <row r="222" spans="11:11" x14ac:dyDescent="0.2">
      <c r="K222" s="24"/>
    </row>
    <row r="223" spans="11:11" x14ac:dyDescent="0.2">
      <c r="K223" s="24"/>
    </row>
    <row r="224" spans="11:11" x14ac:dyDescent="0.2">
      <c r="K224" s="24"/>
    </row>
    <row r="225" spans="11:11" x14ac:dyDescent="0.2">
      <c r="K225" s="24"/>
    </row>
    <row r="226" spans="11:11" x14ac:dyDescent="0.2">
      <c r="K226" s="24"/>
    </row>
    <row r="227" spans="11:11" x14ac:dyDescent="0.2">
      <c r="K227" s="24"/>
    </row>
    <row r="228" spans="11:11" x14ac:dyDescent="0.2">
      <c r="K228" s="24"/>
    </row>
    <row r="229" spans="11:11" x14ac:dyDescent="0.2">
      <c r="K229" s="24"/>
    </row>
    <row r="230" spans="11:11" x14ac:dyDescent="0.2">
      <c r="K230" s="24"/>
    </row>
    <row r="231" spans="11:11" x14ac:dyDescent="0.2">
      <c r="K231" s="24"/>
    </row>
    <row r="232" spans="11:11" x14ac:dyDescent="0.2">
      <c r="K232" s="24"/>
    </row>
    <row r="233" spans="11:11" x14ac:dyDescent="0.2">
      <c r="K233" s="24"/>
    </row>
    <row r="234" spans="11:11" x14ac:dyDescent="0.2">
      <c r="K234" s="24"/>
    </row>
    <row r="235" spans="11:11" x14ac:dyDescent="0.2">
      <c r="K235" s="24"/>
    </row>
    <row r="236" spans="11:11" x14ac:dyDescent="0.2">
      <c r="K236" s="24"/>
    </row>
    <row r="237" spans="11:11" x14ac:dyDescent="0.2">
      <c r="K237" s="24"/>
    </row>
    <row r="238" spans="11:11" x14ac:dyDescent="0.2">
      <c r="K238" s="24"/>
    </row>
    <row r="239" spans="11:11" x14ac:dyDescent="0.2">
      <c r="K239" s="24"/>
    </row>
    <row r="240" spans="11:11" x14ac:dyDescent="0.2">
      <c r="K240" s="24"/>
    </row>
    <row r="241" spans="11:11" x14ac:dyDescent="0.2">
      <c r="K241" s="24"/>
    </row>
    <row r="242" spans="11:11" x14ac:dyDescent="0.2">
      <c r="K242" s="24"/>
    </row>
    <row r="243" spans="11:11" x14ac:dyDescent="0.2">
      <c r="K243" s="24"/>
    </row>
    <row r="244" spans="11:11" x14ac:dyDescent="0.2">
      <c r="K244" s="24"/>
    </row>
    <row r="245" spans="11:11" x14ac:dyDescent="0.2">
      <c r="K245" s="24"/>
    </row>
    <row r="246" spans="11:11" x14ac:dyDescent="0.2">
      <c r="K246" s="24"/>
    </row>
    <row r="247" spans="11:11" x14ac:dyDescent="0.2">
      <c r="K247" s="24"/>
    </row>
    <row r="248" spans="11:11" x14ac:dyDescent="0.2">
      <c r="K248" s="24"/>
    </row>
    <row r="249" spans="11:11" x14ac:dyDescent="0.2">
      <c r="K249" s="24"/>
    </row>
    <row r="250" spans="11:11" x14ac:dyDescent="0.2">
      <c r="K250" s="24"/>
    </row>
    <row r="251" spans="11:11" x14ac:dyDescent="0.2">
      <c r="K251" s="24"/>
    </row>
    <row r="252" spans="11:11" x14ac:dyDescent="0.2">
      <c r="K252" s="24"/>
    </row>
    <row r="253" spans="11:11" x14ac:dyDescent="0.2">
      <c r="K253" s="24"/>
    </row>
    <row r="254" spans="11:11" x14ac:dyDescent="0.2">
      <c r="K254" s="24"/>
    </row>
    <row r="255" spans="11:11" x14ac:dyDescent="0.2">
      <c r="K255" s="24"/>
    </row>
    <row r="256" spans="11:11" x14ac:dyDescent="0.2">
      <c r="K256" s="24"/>
    </row>
    <row r="257" spans="11:11" x14ac:dyDescent="0.2">
      <c r="K257" s="24"/>
    </row>
    <row r="258" spans="11:11" x14ac:dyDescent="0.2">
      <c r="K258" s="24"/>
    </row>
    <row r="259" spans="11:11" x14ac:dyDescent="0.2">
      <c r="K259" s="24"/>
    </row>
    <row r="260" spans="11:11" x14ac:dyDescent="0.2">
      <c r="K260" s="24"/>
    </row>
    <row r="261" spans="11:11" x14ac:dyDescent="0.2">
      <c r="K261" s="24"/>
    </row>
    <row r="262" spans="11:11" x14ac:dyDescent="0.2">
      <c r="K262" s="24"/>
    </row>
    <row r="263" spans="11:11" x14ac:dyDescent="0.2">
      <c r="K263" s="24"/>
    </row>
    <row r="264" spans="11:11" x14ac:dyDescent="0.2">
      <c r="K264" s="24"/>
    </row>
    <row r="265" spans="11:11" x14ac:dyDescent="0.2">
      <c r="K265" s="24"/>
    </row>
    <row r="266" spans="11:11" x14ac:dyDescent="0.2">
      <c r="K266" s="24"/>
    </row>
    <row r="267" spans="11:11" x14ac:dyDescent="0.2">
      <c r="K267" s="24"/>
    </row>
    <row r="268" spans="11:11" x14ac:dyDescent="0.2">
      <c r="K268" s="24"/>
    </row>
    <row r="269" spans="11:11" x14ac:dyDescent="0.2">
      <c r="K269" s="24"/>
    </row>
    <row r="270" spans="11:11" x14ac:dyDescent="0.2">
      <c r="K270" s="24"/>
    </row>
    <row r="271" spans="11:11" x14ac:dyDescent="0.2">
      <c r="K271" s="24"/>
    </row>
    <row r="272" spans="11:11" x14ac:dyDescent="0.2">
      <c r="K272" s="24"/>
    </row>
    <row r="273" spans="11:11" x14ac:dyDescent="0.2">
      <c r="K273" s="24"/>
    </row>
    <row r="274" spans="11:11" x14ac:dyDescent="0.2">
      <c r="K274" s="24"/>
    </row>
    <row r="275" spans="11:11" x14ac:dyDescent="0.2">
      <c r="K275" s="24"/>
    </row>
    <row r="276" spans="11:11" x14ac:dyDescent="0.2">
      <c r="K276" s="24"/>
    </row>
    <row r="277" spans="11:11" x14ac:dyDescent="0.2">
      <c r="K277" s="24"/>
    </row>
    <row r="278" spans="11:11" x14ac:dyDescent="0.2">
      <c r="K278" s="24"/>
    </row>
    <row r="279" spans="11:11" x14ac:dyDescent="0.2">
      <c r="K279" s="24"/>
    </row>
    <row r="280" spans="11:11" x14ac:dyDescent="0.2">
      <c r="K280" s="24"/>
    </row>
    <row r="281" spans="11:11" x14ac:dyDescent="0.2">
      <c r="K281" s="24"/>
    </row>
    <row r="282" spans="11:11" x14ac:dyDescent="0.2">
      <c r="K282" s="24"/>
    </row>
    <row r="283" spans="11:11" x14ac:dyDescent="0.2">
      <c r="K283" s="24"/>
    </row>
    <row r="284" spans="11:11" x14ac:dyDescent="0.2">
      <c r="K284" s="24"/>
    </row>
    <row r="285" spans="11:11" x14ac:dyDescent="0.2">
      <c r="K285" s="24"/>
    </row>
    <row r="286" spans="11:11" x14ac:dyDescent="0.2">
      <c r="K286" s="24"/>
    </row>
    <row r="287" spans="11:11" x14ac:dyDescent="0.2">
      <c r="K287" s="24"/>
    </row>
    <row r="288" spans="11:11" x14ac:dyDescent="0.2">
      <c r="K288" s="24"/>
    </row>
    <row r="289" spans="11:11" x14ac:dyDescent="0.2">
      <c r="K289" s="24"/>
    </row>
    <row r="290" spans="11:11" x14ac:dyDescent="0.2">
      <c r="K290" s="24"/>
    </row>
    <row r="291" spans="11:11" x14ac:dyDescent="0.2">
      <c r="K291" s="24"/>
    </row>
    <row r="292" spans="11:11" x14ac:dyDescent="0.2">
      <c r="K292" s="24"/>
    </row>
    <row r="293" spans="11:11" x14ac:dyDescent="0.2">
      <c r="K293" s="24"/>
    </row>
    <row r="294" spans="11:11" x14ac:dyDescent="0.2">
      <c r="K294" s="24"/>
    </row>
    <row r="295" spans="11:11" x14ac:dyDescent="0.2">
      <c r="K295" s="24"/>
    </row>
    <row r="296" spans="11:11" x14ac:dyDescent="0.2">
      <c r="K296" s="24"/>
    </row>
    <row r="297" spans="11:11" x14ac:dyDescent="0.2">
      <c r="K297" s="24"/>
    </row>
    <row r="298" spans="11:11" x14ac:dyDescent="0.2">
      <c r="K298" s="24"/>
    </row>
    <row r="299" spans="11:11" x14ac:dyDescent="0.2">
      <c r="K299" s="24"/>
    </row>
    <row r="300" spans="11:11" x14ac:dyDescent="0.2">
      <c r="K300" s="24"/>
    </row>
    <row r="301" spans="11:11" x14ac:dyDescent="0.2">
      <c r="K301" s="24"/>
    </row>
    <row r="302" spans="11:11" x14ac:dyDescent="0.2">
      <c r="K302" s="24"/>
    </row>
    <row r="303" spans="11:11" x14ac:dyDescent="0.2">
      <c r="K303" s="24"/>
    </row>
    <row r="304" spans="11:11" x14ac:dyDescent="0.2">
      <c r="K304" s="24"/>
    </row>
  </sheetData>
  <sheetProtection selectLockedCells="1" selectUnlockedCells="1"/>
  <mergeCells count="5">
    <mergeCell ref="A1:E1"/>
    <mergeCell ref="A2:E2"/>
    <mergeCell ref="A32:E32"/>
    <mergeCell ref="A33:E33"/>
    <mergeCell ref="G40:H40"/>
  </mergeCells>
  <pageMargins left="0.13" right="0.14000000000000001" top="0.44" bottom="0.984251969" header="0.49212598499999999" footer="0.49212598499999999"/>
  <pageSetup paperSize="9" scale="83" orientation="landscape" horizontalDpi="300" verticalDpi="300" r:id="rId1"/>
  <headerFooter alignWithMargins="0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Plan1"/>
  <dimension ref="A1:H338"/>
  <sheetViews>
    <sheetView zoomScaleNormal="100" workbookViewId="0">
      <selection activeCell="E258" sqref="E258"/>
    </sheetView>
  </sheetViews>
  <sheetFormatPr defaultRowHeight="12.75" x14ac:dyDescent="0.2"/>
  <cols>
    <col min="1" max="1" width="16.85546875" customWidth="1"/>
    <col min="2" max="2" width="14.7109375" customWidth="1"/>
    <col min="3" max="3" width="12.85546875" customWidth="1"/>
    <col min="4" max="4" width="16" style="2" customWidth="1"/>
    <col min="5" max="5" width="14.28515625" bestFit="1" customWidth="1"/>
    <col min="6" max="6" width="13.5703125" customWidth="1"/>
    <col min="7" max="7" width="10.5703125" bestFit="1" customWidth="1"/>
    <col min="8" max="8" width="18" customWidth="1"/>
    <col min="9" max="9" width="12" customWidth="1"/>
  </cols>
  <sheetData>
    <row r="1" spans="1:8" ht="21" customHeight="1" thickBot="1" x14ac:dyDescent="0.25">
      <c r="A1" s="3695" t="s">
        <v>5858</v>
      </c>
      <c r="B1" s="3696"/>
      <c r="C1" s="3696"/>
      <c r="D1" s="3697"/>
    </row>
    <row r="2" spans="1:8" x14ac:dyDescent="0.2">
      <c r="A2" s="30" t="s">
        <v>5859</v>
      </c>
      <c r="B2" s="31" t="s">
        <v>5860</v>
      </c>
      <c r="C2" s="32" t="s">
        <v>5861</v>
      </c>
      <c r="D2" s="33"/>
    </row>
    <row r="3" spans="1:8" x14ac:dyDescent="0.2">
      <c r="A3" s="29"/>
      <c r="D3" s="34"/>
    </row>
    <row r="4" spans="1:8" ht="13.5" thickBot="1" x14ac:dyDescent="0.25">
      <c r="A4" s="29" t="s">
        <v>5862</v>
      </c>
      <c r="B4" s="35">
        <v>13.3</v>
      </c>
      <c r="C4" s="24"/>
      <c r="D4" s="34"/>
    </row>
    <row r="5" spans="1:8" ht="13.5" thickBot="1" x14ac:dyDescent="0.25">
      <c r="A5" s="29" t="s">
        <v>5863</v>
      </c>
      <c r="B5" s="35">
        <v>2.8</v>
      </c>
      <c r="C5" s="24"/>
      <c r="D5" s="34"/>
      <c r="F5" s="3501" t="s">
        <v>5864</v>
      </c>
      <c r="G5" s="3502"/>
      <c r="H5" s="3503"/>
    </row>
    <row r="6" spans="1:8" ht="13.5" thickBot="1" x14ac:dyDescent="0.25">
      <c r="A6" s="42" t="s">
        <v>5865</v>
      </c>
      <c r="B6" s="71">
        <v>16.5</v>
      </c>
      <c r="C6" s="72">
        <v>20.8</v>
      </c>
      <c r="D6" s="45">
        <f>C6*B6</f>
        <v>343.2</v>
      </c>
      <c r="F6" s="4" t="s">
        <v>2378</v>
      </c>
      <c r="G6" s="5" t="s">
        <v>5866</v>
      </c>
      <c r="H6" s="58" t="s">
        <v>5867</v>
      </c>
    </row>
    <row r="7" spans="1:8" x14ac:dyDescent="0.2">
      <c r="A7" s="42"/>
      <c r="B7" s="71"/>
      <c r="C7" s="72"/>
      <c r="D7" s="45"/>
      <c r="F7" s="60">
        <v>190.85</v>
      </c>
      <c r="G7" s="61">
        <f>F7/3</f>
        <v>63.616666666666667</v>
      </c>
      <c r="H7" s="62">
        <f>F7*8.49%</f>
        <v>16.203164999999998</v>
      </c>
    </row>
    <row r="8" spans="1:8" x14ac:dyDescent="0.2">
      <c r="A8" s="42"/>
      <c r="B8" s="43"/>
      <c r="C8" s="48" t="s">
        <v>772</v>
      </c>
      <c r="D8" s="56">
        <f>D6</f>
        <v>343.2</v>
      </c>
      <c r="F8" s="63">
        <f>F7-G7</f>
        <v>127.23333333333332</v>
      </c>
      <c r="G8" s="3"/>
      <c r="H8" s="64">
        <f>F8*8.49%</f>
        <v>10.802109999999999</v>
      </c>
    </row>
    <row r="9" spans="1:8" ht="13.5" thickBot="1" x14ac:dyDescent="0.25">
      <c r="A9" s="29"/>
      <c r="B9" s="24"/>
      <c r="D9" s="34"/>
      <c r="F9" s="65">
        <f>F8-G7</f>
        <v>63.616666666666653</v>
      </c>
      <c r="G9" s="59"/>
      <c r="H9" s="66">
        <f>F9*8.49%</f>
        <v>5.4010549999999986</v>
      </c>
    </row>
    <row r="10" spans="1:8" ht="13.5" thickBot="1" x14ac:dyDescent="0.25">
      <c r="A10" s="46" t="s">
        <v>5868</v>
      </c>
      <c r="B10" s="47" t="s">
        <v>5860</v>
      </c>
      <c r="C10" s="48" t="s">
        <v>5861</v>
      </c>
      <c r="D10" s="1599"/>
      <c r="F10" s="3709" t="s">
        <v>5869</v>
      </c>
      <c r="G10" s="3710"/>
      <c r="H10" s="67">
        <f>SUM(H7:H9)</f>
        <v>32.406329999999997</v>
      </c>
    </row>
    <row r="11" spans="1:8" ht="13.5" thickBot="1" x14ac:dyDescent="0.25">
      <c r="A11" s="42"/>
      <c r="B11" s="43"/>
      <c r="C11" s="1573"/>
      <c r="D11" s="1599"/>
      <c r="F11" s="3705" t="s">
        <v>5870</v>
      </c>
      <c r="G11" s="3706"/>
      <c r="H11" s="68">
        <f>F7+H10</f>
        <v>223.25632999999999</v>
      </c>
    </row>
    <row r="12" spans="1:8" ht="13.5" thickBot="1" x14ac:dyDescent="0.25">
      <c r="A12" s="42" t="s">
        <v>5871</v>
      </c>
      <c r="B12" s="71">
        <v>6</v>
      </c>
      <c r="C12" s="72">
        <v>13.95</v>
      </c>
      <c r="D12" s="45">
        <f>C12*B12</f>
        <v>83.699999999999989</v>
      </c>
      <c r="F12" s="3707" t="s">
        <v>5872</v>
      </c>
      <c r="G12" s="3708"/>
      <c r="H12" s="67">
        <f>H11/3</f>
        <v>74.418776666666659</v>
      </c>
    </row>
    <row r="13" spans="1:8" x14ac:dyDescent="0.2">
      <c r="A13" s="42" t="s">
        <v>5871</v>
      </c>
      <c r="B13" s="71">
        <v>4</v>
      </c>
      <c r="C13" s="72">
        <v>13.95</v>
      </c>
      <c r="D13" s="45">
        <f>C13*B13</f>
        <v>55.8</v>
      </c>
    </row>
    <row r="14" spans="1:8" ht="13.5" thickBot="1" x14ac:dyDescent="0.25">
      <c r="A14" s="42" t="s">
        <v>5871</v>
      </c>
      <c r="B14" s="71">
        <v>4</v>
      </c>
      <c r="C14" s="72">
        <v>13.95</v>
      </c>
      <c r="D14" s="45">
        <f>C14*B14</f>
        <v>55.8</v>
      </c>
    </row>
    <row r="15" spans="1:8" ht="13.5" thickBot="1" x14ac:dyDescent="0.25">
      <c r="A15" s="42" t="s">
        <v>5871</v>
      </c>
      <c r="B15" s="71">
        <v>3</v>
      </c>
      <c r="C15" s="72">
        <v>13.95</v>
      </c>
      <c r="D15" s="45">
        <f>C15*B15</f>
        <v>41.849999999999994</v>
      </c>
      <c r="F15" s="3711" t="s">
        <v>5873</v>
      </c>
      <c r="G15" s="3712"/>
      <c r="H15" s="3713"/>
    </row>
    <row r="16" spans="1:8" ht="13.5" thickBot="1" x14ac:dyDescent="0.25">
      <c r="A16" s="42" t="s">
        <v>5871</v>
      </c>
      <c r="B16" s="71">
        <v>1.5</v>
      </c>
      <c r="C16" s="72">
        <v>13.95</v>
      </c>
      <c r="D16" s="45">
        <f>C16*B16</f>
        <v>20.924999999999997</v>
      </c>
      <c r="F16" s="4" t="s">
        <v>2378</v>
      </c>
      <c r="G16" s="5" t="s">
        <v>5874</v>
      </c>
      <c r="H16" s="58" t="s">
        <v>5867</v>
      </c>
    </row>
    <row r="17" spans="1:8" x14ac:dyDescent="0.2">
      <c r="A17" s="42"/>
      <c r="B17" s="71"/>
      <c r="C17" s="1573"/>
      <c r="D17" s="45"/>
      <c r="F17" s="60">
        <v>530.6</v>
      </c>
      <c r="G17" s="61">
        <f>F17/6</f>
        <v>88.433333333333337</v>
      </c>
      <c r="H17" s="62">
        <f t="shared" ref="H17:H22" si="0">F17*8.49%</f>
        <v>45.047940000000004</v>
      </c>
    </row>
    <row r="18" spans="1:8" x14ac:dyDescent="0.2">
      <c r="A18" s="42"/>
      <c r="B18" s="72"/>
      <c r="C18" s="48" t="s">
        <v>772</v>
      </c>
      <c r="D18" s="49">
        <f>SUM(D12:D17)</f>
        <v>258.07499999999999</v>
      </c>
      <c r="F18" s="63">
        <f>F17-G17</f>
        <v>442.16666666666669</v>
      </c>
      <c r="G18" s="3"/>
      <c r="H18" s="64">
        <f t="shared" si="0"/>
        <v>37.539950000000005</v>
      </c>
    </row>
    <row r="19" spans="1:8" x14ac:dyDescent="0.2">
      <c r="A19" s="29"/>
      <c r="B19" s="35"/>
      <c r="D19" s="33"/>
      <c r="F19" s="65">
        <f>F18-G17</f>
        <v>353.73333333333335</v>
      </c>
      <c r="G19" s="59"/>
      <c r="H19" s="66">
        <f t="shared" si="0"/>
        <v>30.031960000000002</v>
      </c>
    </row>
    <row r="20" spans="1:8" x14ac:dyDescent="0.2">
      <c r="A20" s="46" t="s">
        <v>5875</v>
      </c>
      <c r="B20" s="55" t="s">
        <v>5860</v>
      </c>
      <c r="C20" s="48" t="s">
        <v>5876</v>
      </c>
      <c r="D20" s="1599"/>
      <c r="F20" s="65">
        <f>F19-G17</f>
        <v>265.3</v>
      </c>
      <c r="G20" s="3"/>
      <c r="H20" s="66">
        <f t="shared" si="0"/>
        <v>22.523970000000002</v>
      </c>
    </row>
    <row r="21" spans="1:8" x14ac:dyDescent="0.2">
      <c r="A21" s="42"/>
      <c r="B21" s="43"/>
      <c r="C21" s="1573"/>
      <c r="D21" s="1599"/>
      <c r="F21" s="65">
        <f>F20-G17</f>
        <v>176.86666666666667</v>
      </c>
      <c r="G21" s="3"/>
      <c r="H21" s="66">
        <f t="shared" si="0"/>
        <v>15.015980000000001</v>
      </c>
    </row>
    <row r="22" spans="1:8" ht="13.5" thickBot="1" x14ac:dyDescent="0.25">
      <c r="A22" s="42" t="s">
        <v>5877</v>
      </c>
      <c r="B22" s="71">
        <v>1.5</v>
      </c>
      <c r="C22" s="44">
        <v>87</v>
      </c>
      <c r="D22" s="45">
        <f>C22*B22</f>
        <v>130.5</v>
      </c>
      <c r="F22" s="65">
        <f>F21-G17</f>
        <v>88.433333333333337</v>
      </c>
      <c r="G22" s="59"/>
      <c r="H22" s="66">
        <f t="shared" si="0"/>
        <v>7.5079900000000004</v>
      </c>
    </row>
    <row r="23" spans="1:8" ht="13.5" thickBot="1" x14ac:dyDescent="0.25">
      <c r="A23" s="42" t="s">
        <v>5878</v>
      </c>
      <c r="B23" s="71">
        <v>1.5</v>
      </c>
      <c r="C23" s="44">
        <v>83</v>
      </c>
      <c r="D23" s="45">
        <f>C23*B23</f>
        <v>124.5</v>
      </c>
      <c r="F23" s="3709" t="s">
        <v>5869</v>
      </c>
      <c r="G23" s="3714"/>
      <c r="H23" s="67">
        <v>168.34</v>
      </c>
    </row>
    <row r="24" spans="1:8" ht="13.5" thickBot="1" x14ac:dyDescent="0.25">
      <c r="A24" s="42" t="s">
        <v>5879</v>
      </c>
      <c r="B24" s="43">
        <v>10</v>
      </c>
      <c r="C24" s="44">
        <v>19.899999999999999</v>
      </c>
      <c r="D24" s="45">
        <f>C24*B24</f>
        <v>199</v>
      </c>
      <c r="F24" s="3705" t="s">
        <v>5870</v>
      </c>
      <c r="G24" s="3706"/>
      <c r="H24" s="68">
        <f>F17+H23</f>
        <v>698.94</v>
      </c>
    </row>
    <row r="25" spans="1:8" ht="13.5" thickBot="1" x14ac:dyDescent="0.25">
      <c r="A25" s="42"/>
      <c r="B25" s="1573"/>
      <c r="C25" s="1573"/>
      <c r="D25" s="45"/>
      <c r="F25" s="3707" t="s">
        <v>5880</v>
      </c>
      <c r="G25" s="3708"/>
      <c r="H25" s="67">
        <f>H24/6</f>
        <v>116.49000000000001</v>
      </c>
    </row>
    <row r="26" spans="1:8" x14ac:dyDescent="0.2">
      <c r="A26" s="42"/>
      <c r="B26" s="1573"/>
      <c r="C26" s="48" t="s">
        <v>772</v>
      </c>
      <c r="D26" s="56">
        <f>SUM(D22:D25)</f>
        <v>454</v>
      </c>
    </row>
    <row r="27" spans="1:8" x14ac:dyDescent="0.2">
      <c r="A27" s="29"/>
      <c r="D27" s="33"/>
      <c r="F27" t="s">
        <v>5881</v>
      </c>
    </row>
    <row r="28" spans="1:8" x14ac:dyDescent="0.2">
      <c r="A28" s="46" t="s">
        <v>5882</v>
      </c>
      <c r="B28" s="47" t="s">
        <v>5860</v>
      </c>
      <c r="C28" s="48" t="s">
        <v>5876</v>
      </c>
      <c r="D28" s="33"/>
    </row>
    <row r="29" spans="1:8" x14ac:dyDescent="0.2">
      <c r="A29" s="29"/>
      <c r="D29" s="33"/>
    </row>
    <row r="30" spans="1:8" x14ac:dyDescent="0.2">
      <c r="A30" s="42" t="s">
        <v>5883</v>
      </c>
      <c r="B30" s="43">
        <v>11</v>
      </c>
      <c r="C30" s="44">
        <v>14.85</v>
      </c>
      <c r="D30" s="45">
        <f>C30*B30</f>
        <v>163.35</v>
      </c>
    </row>
    <row r="31" spans="1:8" x14ac:dyDescent="0.2">
      <c r="A31" s="42" t="s">
        <v>5884</v>
      </c>
      <c r="B31" s="43">
        <v>12</v>
      </c>
      <c r="C31" s="44">
        <v>7.5</v>
      </c>
      <c r="D31" s="45">
        <f>C31*B31</f>
        <v>90</v>
      </c>
    </row>
    <row r="32" spans="1:8" x14ac:dyDescent="0.2">
      <c r="A32" s="29"/>
      <c r="D32" s="34"/>
    </row>
    <row r="33" spans="1:4" x14ac:dyDescent="0.2">
      <c r="A33" s="29"/>
      <c r="C33" s="48" t="s">
        <v>772</v>
      </c>
      <c r="D33" s="56">
        <f>SUM(D30:D32)</f>
        <v>253.35</v>
      </c>
    </row>
    <row r="34" spans="1:4" x14ac:dyDescent="0.2">
      <c r="A34" s="29"/>
      <c r="C34" s="1573"/>
      <c r="D34" s="1599"/>
    </row>
    <row r="35" spans="1:4" x14ac:dyDescent="0.2">
      <c r="A35" s="46" t="s">
        <v>5885</v>
      </c>
      <c r="B35" s="47" t="s">
        <v>5860</v>
      </c>
      <c r="C35" s="48" t="s">
        <v>5886</v>
      </c>
      <c r="D35" s="1599"/>
    </row>
    <row r="36" spans="1:4" x14ac:dyDescent="0.2">
      <c r="A36" s="29"/>
      <c r="C36" s="1573"/>
      <c r="D36" s="1599"/>
    </row>
    <row r="37" spans="1:4" x14ac:dyDescent="0.2">
      <c r="A37" s="42" t="s">
        <v>5887</v>
      </c>
      <c r="B37" s="43">
        <v>1</v>
      </c>
      <c r="C37" s="44">
        <v>7</v>
      </c>
      <c r="D37" s="45">
        <f>C37*B37</f>
        <v>7</v>
      </c>
    </row>
    <row r="38" spans="1:4" x14ac:dyDescent="0.2">
      <c r="A38" s="42" t="s">
        <v>5888</v>
      </c>
      <c r="B38" s="43">
        <v>2</v>
      </c>
      <c r="C38" s="44">
        <v>7.15</v>
      </c>
      <c r="D38" s="45">
        <f>C38*B38</f>
        <v>14.3</v>
      </c>
    </row>
    <row r="39" spans="1:4" x14ac:dyDescent="0.2">
      <c r="A39" s="42" t="s">
        <v>5889</v>
      </c>
      <c r="B39" s="43">
        <v>3</v>
      </c>
      <c r="C39" s="44">
        <v>26.21</v>
      </c>
      <c r="D39" s="45">
        <f>C39*B39</f>
        <v>78.63</v>
      </c>
    </row>
    <row r="40" spans="1:4" x14ac:dyDescent="0.2">
      <c r="A40" s="29"/>
      <c r="B40" s="24"/>
      <c r="C40" s="1573"/>
      <c r="D40" s="45"/>
    </row>
    <row r="41" spans="1:4" x14ac:dyDescent="0.2">
      <c r="A41" s="29"/>
      <c r="C41" s="48" t="s">
        <v>772</v>
      </c>
      <c r="D41" s="56">
        <f>SUM(D37:D40)</f>
        <v>99.929999999999993</v>
      </c>
    </row>
    <row r="42" spans="1:4" x14ac:dyDescent="0.2">
      <c r="A42" s="29"/>
      <c r="D42" s="33"/>
    </row>
    <row r="43" spans="1:4" x14ac:dyDescent="0.2">
      <c r="A43" s="46" t="s">
        <v>5890</v>
      </c>
      <c r="B43" s="47" t="s">
        <v>5860</v>
      </c>
      <c r="C43" s="48"/>
      <c r="D43" s="1599"/>
    </row>
    <row r="44" spans="1:4" x14ac:dyDescent="0.2">
      <c r="A44" s="46"/>
      <c r="B44" s="43">
        <v>50</v>
      </c>
      <c r="C44" s="70"/>
      <c r="D44" s="56">
        <v>15.55</v>
      </c>
    </row>
    <row r="45" spans="1:4" x14ac:dyDescent="0.2">
      <c r="A45" s="46"/>
      <c r="B45" s="47"/>
      <c r="C45" s="70"/>
      <c r="D45" s="45"/>
    </row>
    <row r="46" spans="1:4" x14ac:dyDescent="0.2">
      <c r="A46" s="46" t="s">
        <v>5891</v>
      </c>
      <c r="B46" s="47" t="s">
        <v>723</v>
      </c>
      <c r="C46" s="70"/>
      <c r="D46" s="45"/>
    </row>
    <row r="47" spans="1:4" x14ac:dyDescent="0.2">
      <c r="A47" s="29"/>
      <c r="B47" s="43">
        <v>2</v>
      </c>
      <c r="C47" s="44">
        <v>1.62</v>
      </c>
      <c r="D47" s="45">
        <f>C47*B47</f>
        <v>3.24</v>
      </c>
    </row>
    <row r="48" spans="1:4" x14ac:dyDescent="0.2">
      <c r="A48" s="29"/>
      <c r="B48" s="43"/>
      <c r="C48" s="44"/>
      <c r="D48" s="45"/>
    </row>
    <row r="49" spans="1:8" x14ac:dyDescent="0.2">
      <c r="A49" s="29"/>
      <c r="B49" s="43"/>
      <c r="C49" s="70" t="s">
        <v>772</v>
      </c>
      <c r="D49" s="56">
        <f>D47</f>
        <v>3.24</v>
      </c>
    </row>
    <row r="50" spans="1:8" x14ac:dyDescent="0.2">
      <c r="A50" s="29"/>
      <c r="C50" s="48"/>
      <c r="D50" s="33"/>
    </row>
    <row r="51" spans="1:8" ht="18.75" customHeight="1" x14ac:dyDescent="0.25">
      <c r="A51" s="29"/>
      <c r="B51" s="3698" t="s">
        <v>5892</v>
      </c>
      <c r="C51" s="3698"/>
      <c r="D51" s="74">
        <f>D8+D18+D26+D33+D41+D44+D49</f>
        <v>1427.345</v>
      </c>
      <c r="F51" s="18"/>
      <c r="G51" s="18"/>
      <c r="H51" s="18"/>
    </row>
    <row r="52" spans="1:8" ht="16.5" thickBot="1" x14ac:dyDescent="0.3">
      <c r="A52" s="29"/>
      <c r="B52" s="3698" t="s">
        <v>5893</v>
      </c>
      <c r="C52" s="3698"/>
      <c r="D52" s="74">
        <v>400</v>
      </c>
      <c r="F52" s="18"/>
      <c r="G52" s="18"/>
      <c r="H52" s="18"/>
    </row>
    <row r="53" spans="1:8" ht="16.5" thickBot="1" x14ac:dyDescent="0.3">
      <c r="A53" s="170"/>
      <c r="B53" s="3699" t="s">
        <v>5894</v>
      </c>
      <c r="C53" s="3699"/>
      <c r="D53" s="171">
        <f>D51+D52</f>
        <v>1827.345</v>
      </c>
      <c r="F53" s="18"/>
      <c r="G53" s="18"/>
      <c r="H53" s="18"/>
    </row>
    <row r="54" spans="1:8" ht="16.5" thickBot="1" x14ac:dyDescent="0.3">
      <c r="B54" s="69"/>
      <c r="C54" s="69"/>
      <c r="D54" s="73"/>
      <c r="F54" s="18"/>
      <c r="G54" s="18"/>
      <c r="H54" s="18"/>
    </row>
    <row r="55" spans="1:8" ht="15.75" customHeight="1" thickBot="1" x14ac:dyDescent="0.25">
      <c r="A55" s="3700" t="s">
        <v>5895</v>
      </c>
      <c r="B55" s="3701"/>
      <c r="C55" s="3701"/>
      <c r="D55" s="3702"/>
      <c r="F55" s="18"/>
      <c r="G55" s="18"/>
      <c r="H55" s="18"/>
    </row>
    <row r="56" spans="1:8" ht="12.75" customHeight="1" x14ac:dyDescent="0.25">
      <c r="A56" s="29"/>
      <c r="B56" s="69"/>
      <c r="C56" s="69"/>
      <c r="D56" s="39"/>
      <c r="F56" s="18"/>
      <c r="G56" s="18"/>
      <c r="H56" s="18"/>
    </row>
    <row r="57" spans="1:8" ht="12.75" customHeight="1" x14ac:dyDescent="0.2">
      <c r="A57" s="46" t="s">
        <v>5875</v>
      </c>
      <c r="B57" s="55" t="s">
        <v>5860</v>
      </c>
      <c r="C57" s="48" t="s">
        <v>5876</v>
      </c>
      <c r="D57" s="1599"/>
      <c r="F57" s="18"/>
      <c r="G57" s="18"/>
      <c r="H57" s="18"/>
    </row>
    <row r="58" spans="1:8" ht="12.75" customHeight="1" x14ac:dyDescent="0.2">
      <c r="A58" s="42"/>
      <c r="B58" s="43"/>
      <c r="C58" s="1573"/>
      <c r="D58" s="1599"/>
      <c r="F58" s="18"/>
      <c r="G58" s="18"/>
      <c r="H58" s="18"/>
    </row>
    <row r="59" spans="1:8" ht="12.75" customHeight="1" x14ac:dyDescent="0.2">
      <c r="A59" s="42" t="s">
        <v>5877</v>
      </c>
      <c r="B59" s="71">
        <v>0.5</v>
      </c>
      <c r="C59" s="44">
        <v>94</v>
      </c>
      <c r="D59" s="45">
        <f>C59*B59</f>
        <v>47</v>
      </c>
      <c r="F59" s="18"/>
      <c r="G59" s="18"/>
      <c r="H59" s="18"/>
    </row>
    <row r="60" spans="1:8" ht="12.75" customHeight="1" x14ac:dyDescent="0.2">
      <c r="A60" s="42" t="s">
        <v>5878</v>
      </c>
      <c r="B60" s="71">
        <v>0.5</v>
      </c>
      <c r="C60" s="44">
        <v>91</v>
      </c>
      <c r="D60" s="45">
        <f>C60*B60</f>
        <v>45.5</v>
      </c>
      <c r="F60" s="18"/>
      <c r="G60" s="18"/>
      <c r="H60" s="18"/>
    </row>
    <row r="61" spans="1:8" x14ac:dyDescent="0.2">
      <c r="A61" s="42" t="s">
        <v>5879</v>
      </c>
      <c r="B61" s="43">
        <v>2</v>
      </c>
      <c r="C61" s="44">
        <v>19.899999999999999</v>
      </c>
      <c r="D61" s="45">
        <f>C61*B61</f>
        <v>39.799999999999997</v>
      </c>
      <c r="F61" s="18"/>
      <c r="G61" s="18"/>
      <c r="H61" s="18"/>
    </row>
    <row r="62" spans="1:8" x14ac:dyDescent="0.2">
      <c r="A62" s="42"/>
      <c r="B62" s="43"/>
      <c r="C62" s="44"/>
      <c r="D62" s="45"/>
      <c r="F62" s="18"/>
      <c r="G62" s="18"/>
      <c r="H62" s="18"/>
    </row>
    <row r="63" spans="1:8" x14ac:dyDescent="0.2">
      <c r="A63" s="46" t="s">
        <v>5893</v>
      </c>
      <c r="B63" s="43"/>
      <c r="C63" s="44"/>
      <c r="D63" s="45">
        <v>130</v>
      </c>
      <c r="F63" s="18"/>
      <c r="G63" s="18"/>
      <c r="H63" s="18"/>
    </row>
    <row r="64" spans="1:8" x14ac:dyDescent="0.2">
      <c r="A64" s="46"/>
      <c r="B64" s="43"/>
      <c r="C64" s="44"/>
      <c r="D64" s="45"/>
      <c r="F64" s="18"/>
      <c r="G64" s="18"/>
      <c r="H64" s="18"/>
    </row>
    <row r="65" spans="1:8" x14ac:dyDescent="0.2">
      <c r="A65" s="46" t="s">
        <v>5896</v>
      </c>
      <c r="B65" s="43"/>
      <c r="C65" s="44"/>
      <c r="D65" s="45">
        <v>100</v>
      </c>
      <c r="F65" s="18"/>
      <c r="G65" s="18"/>
      <c r="H65" s="18"/>
    </row>
    <row r="66" spans="1:8" x14ac:dyDescent="0.2">
      <c r="A66" s="42"/>
      <c r="B66" s="43"/>
      <c r="C66" s="44"/>
      <c r="D66" s="45"/>
      <c r="F66" s="18"/>
      <c r="G66" s="18"/>
      <c r="H66" s="18"/>
    </row>
    <row r="67" spans="1:8" ht="13.5" thickBot="1" x14ac:dyDescent="0.25">
      <c r="A67" s="42"/>
      <c r="B67" s="1573"/>
      <c r="C67" s="1573"/>
      <c r="D67" s="45"/>
      <c r="F67" s="18"/>
      <c r="G67" s="18"/>
      <c r="H67" s="18"/>
    </row>
    <row r="68" spans="1:8" ht="13.5" thickBot="1" x14ac:dyDescent="0.25">
      <c r="A68" s="1600"/>
      <c r="B68" s="1601"/>
      <c r="C68" s="168" t="s">
        <v>772</v>
      </c>
      <c r="D68" s="169">
        <f>SUM(D59:D67)</f>
        <v>362.3</v>
      </c>
      <c r="F68" s="18"/>
      <c r="G68" s="18"/>
      <c r="H68" s="18"/>
    </row>
    <row r="69" spans="1:8" x14ac:dyDescent="0.2">
      <c r="A69" t="s">
        <v>5897</v>
      </c>
      <c r="F69" s="18"/>
      <c r="G69" s="18"/>
      <c r="H69" s="18"/>
    </row>
    <row r="70" spans="1:8" ht="13.5" thickBot="1" x14ac:dyDescent="0.25">
      <c r="F70" s="18"/>
      <c r="G70" s="18"/>
      <c r="H70" s="18"/>
    </row>
    <row r="71" spans="1:8" ht="16.5" thickBot="1" x14ac:dyDescent="0.3">
      <c r="B71" s="3703" t="s">
        <v>5898</v>
      </c>
      <c r="C71" s="3704"/>
      <c r="D71" s="76">
        <f>D53+D68</f>
        <v>2189.645</v>
      </c>
      <c r="F71" s="18"/>
      <c r="G71" s="18"/>
      <c r="H71" s="18"/>
    </row>
    <row r="72" spans="1:8" x14ac:dyDescent="0.2">
      <c r="F72" s="18"/>
      <c r="G72" s="18"/>
      <c r="H72" s="18"/>
    </row>
    <row r="73" spans="1:8" x14ac:dyDescent="0.2">
      <c r="F73" s="18"/>
      <c r="G73" s="18"/>
      <c r="H73" s="18"/>
    </row>
    <row r="74" spans="1:8" x14ac:dyDescent="0.2">
      <c r="F74" s="18"/>
      <c r="G74" s="18"/>
      <c r="H74" s="18"/>
    </row>
    <row r="75" spans="1:8" x14ac:dyDescent="0.2">
      <c r="F75" s="18"/>
      <c r="G75" s="18"/>
      <c r="H75" s="18"/>
    </row>
    <row r="76" spans="1:8" ht="13.5" thickBot="1" x14ac:dyDescent="0.25">
      <c r="C76" s="53"/>
    </row>
    <row r="77" spans="1:8" ht="16.5" thickBot="1" x14ac:dyDescent="0.25">
      <c r="A77" s="3695" t="s">
        <v>5899</v>
      </c>
      <c r="B77" s="3696"/>
      <c r="C77" s="3696"/>
      <c r="D77" s="3697"/>
    </row>
    <row r="78" spans="1:8" x14ac:dyDescent="0.2">
      <c r="A78" s="30" t="s">
        <v>5859</v>
      </c>
      <c r="B78" s="31" t="s">
        <v>5860</v>
      </c>
      <c r="C78" s="32" t="s">
        <v>5861</v>
      </c>
      <c r="D78" s="33"/>
    </row>
    <row r="79" spans="1:8" x14ac:dyDescent="0.2">
      <c r="A79" s="29"/>
      <c r="D79" s="34"/>
    </row>
    <row r="80" spans="1:8" x14ac:dyDescent="0.2">
      <c r="A80" s="29" t="s">
        <v>5862</v>
      </c>
      <c r="B80" s="35">
        <v>13.3</v>
      </c>
      <c r="C80" s="24"/>
      <c r="D80" s="34"/>
    </row>
    <row r="81" spans="1:4" x14ac:dyDescent="0.2">
      <c r="A81" s="29" t="s">
        <v>5863</v>
      </c>
      <c r="B81" s="35">
        <v>2.8</v>
      </c>
      <c r="C81" s="24"/>
      <c r="D81" s="34"/>
    </row>
    <row r="82" spans="1:4" x14ac:dyDescent="0.2">
      <c r="A82" s="29" t="s">
        <v>5865</v>
      </c>
      <c r="B82" s="35">
        <v>16.2</v>
      </c>
      <c r="C82" s="36">
        <v>24.5</v>
      </c>
      <c r="D82" s="34">
        <f>C82*B82</f>
        <v>396.9</v>
      </c>
    </row>
    <row r="83" spans="1:4" x14ac:dyDescent="0.2">
      <c r="A83" s="29"/>
      <c r="B83" s="35"/>
      <c r="C83" s="36"/>
      <c r="D83" s="34"/>
    </row>
    <row r="84" spans="1:4" x14ac:dyDescent="0.2">
      <c r="A84" s="29"/>
      <c r="B84" s="24"/>
      <c r="C84" s="7" t="s">
        <v>772</v>
      </c>
      <c r="D84" s="37">
        <f>D82</f>
        <v>396.9</v>
      </c>
    </row>
    <row r="85" spans="1:4" ht="17.25" customHeight="1" x14ac:dyDescent="0.2">
      <c r="A85" s="29"/>
      <c r="B85" s="24"/>
      <c r="D85" s="34"/>
    </row>
    <row r="86" spans="1:4" x14ac:dyDescent="0.2">
      <c r="A86" s="30" t="s">
        <v>5868</v>
      </c>
      <c r="B86" s="31" t="s">
        <v>5860</v>
      </c>
      <c r="C86" s="32" t="s">
        <v>5861</v>
      </c>
      <c r="D86" s="1602"/>
    </row>
    <row r="87" spans="1:4" x14ac:dyDescent="0.2">
      <c r="A87" s="50"/>
      <c r="B87" s="51"/>
      <c r="C87" s="717"/>
      <c r="D87" s="33"/>
    </row>
    <row r="88" spans="1:4" x14ac:dyDescent="0.2">
      <c r="A88" s="50" t="s">
        <v>5871</v>
      </c>
      <c r="B88" s="1603">
        <v>6</v>
      </c>
      <c r="C88" s="1220">
        <v>17.100000000000001</v>
      </c>
      <c r="D88" s="34">
        <f>C88*B88</f>
        <v>102.60000000000001</v>
      </c>
    </row>
    <row r="89" spans="1:4" x14ac:dyDescent="0.2">
      <c r="A89" s="50" t="s">
        <v>5871</v>
      </c>
      <c r="B89" s="1603">
        <v>4</v>
      </c>
      <c r="C89" s="1220">
        <v>17.100000000000001</v>
      </c>
      <c r="D89" s="34">
        <f>C89*B89</f>
        <v>68.400000000000006</v>
      </c>
    </row>
    <row r="90" spans="1:4" x14ac:dyDescent="0.2">
      <c r="A90" s="50" t="s">
        <v>5871</v>
      </c>
      <c r="B90" s="1603">
        <v>4</v>
      </c>
      <c r="C90" s="1220">
        <v>17.100000000000001</v>
      </c>
      <c r="D90" s="34">
        <f>C90*B90</f>
        <v>68.400000000000006</v>
      </c>
    </row>
    <row r="91" spans="1:4" x14ac:dyDescent="0.2">
      <c r="A91" s="50" t="s">
        <v>5871</v>
      </c>
      <c r="B91" s="1603">
        <v>3</v>
      </c>
      <c r="C91" s="1220">
        <v>17.100000000000001</v>
      </c>
      <c r="D91" s="34">
        <f>C91*B91</f>
        <v>51.300000000000004</v>
      </c>
    </row>
    <row r="92" spans="1:4" x14ac:dyDescent="0.2">
      <c r="A92" s="50" t="s">
        <v>5871</v>
      </c>
      <c r="B92" s="1603">
        <v>1.5</v>
      </c>
      <c r="C92" s="1220">
        <v>17.100000000000001</v>
      </c>
      <c r="D92" s="34">
        <f>C92*B92</f>
        <v>25.650000000000002</v>
      </c>
    </row>
    <row r="93" spans="1:4" x14ac:dyDescent="0.2">
      <c r="A93" s="50"/>
      <c r="B93" s="1603"/>
      <c r="C93" s="717"/>
      <c r="D93" s="34"/>
    </row>
    <row r="94" spans="1:4" x14ac:dyDescent="0.2">
      <c r="A94" s="50"/>
      <c r="B94" s="1220"/>
      <c r="C94" s="7" t="s">
        <v>772</v>
      </c>
      <c r="D94" s="57">
        <f>SUM(D88:D93)</f>
        <v>316.34999999999997</v>
      </c>
    </row>
    <row r="95" spans="1:4" x14ac:dyDescent="0.2">
      <c r="A95" s="29"/>
      <c r="B95" s="35"/>
      <c r="D95" s="33"/>
    </row>
    <row r="96" spans="1:4" x14ac:dyDescent="0.2">
      <c r="A96" s="30" t="s">
        <v>5875</v>
      </c>
      <c r="B96" s="38" t="s">
        <v>5860</v>
      </c>
      <c r="C96" s="32" t="s">
        <v>5876</v>
      </c>
      <c r="D96" s="33"/>
    </row>
    <row r="97" spans="1:4" x14ac:dyDescent="0.2">
      <c r="A97" s="29"/>
      <c r="B97" s="24"/>
      <c r="D97" s="33"/>
    </row>
    <row r="98" spans="1:4" x14ac:dyDescent="0.2">
      <c r="A98" s="29" t="s">
        <v>5877</v>
      </c>
      <c r="B98" s="35">
        <v>1.5</v>
      </c>
      <c r="C98" s="18">
        <v>86</v>
      </c>
      <c r="D98" s="34">
        <f>C98*B98</f>
        <v>129</v>
      </c>
    </row>
    <row r="99" spans="1:4" x14ac:dyDescent="0.2">
      <c r="A99" s="29" t="s">
        <v>5878</v>
      </c>
      <c r="B99" s="35">
        <v>1.5</v>
      </c>
      <c r="C99" s="18">
        <v>76.900000000000006</v>
      </c>
      <c r="D99" s="34">
        <f>C99*B99</f>
        <v>115.35000000000001</v>
      </c>
    </row>
    <row r="100" spans="1:4" x14ac:dyDescent="0.2">
      <c r="A100" s="29" t="s">
        <v>5879</v>
      </c>
      <c r="B100" s="24">
        <v>8</v>
      </c>
      <c r="C100" s="18">
        <v>21</v>
      </c>
      <c r="D100" s="34">
        <f>C100*B100</f>
        <v>168</v>
      </c>
    </row>
    <row r="101" spans="1:4" x14ac:dyDescent="0.2">
      <c r="A101" s="29"/>
      <c r="D101" s="34"/>
    </row>
    <row r="102" spans="1:4" x14ac:dyDescent="0.2">
      <c r="A102" s="29"/>
      <c r="C102" s="7" t="s">
        <v>772</v>
      </c>
      <c r="D102" s="37">
        <f>SUM(D98:D101)</f>
        <v>412.35</v>
      </c>
    </row>
    <row r="103" spans="1:4" x14ac:dyDescent="0.2">
      <c r="A103" s="29"/>
      <c r="D103" s="33"/>
    </row>
    <row r="104" spans="1:4" x14ac:dyDescent="0.2">
      <c r="A104" s="30" t="s">
        <v>5882</v>
      </c>
      <c r="B104" s="31" t="s">
        <v>5860</v>
      </c>
      <c r="C104" s="32" t="s">
        <v>5876</v>
      </c>
      <c r="D104" s="33"/>
    </row>
    <row r="105" spans="1:4" x14ac:dyDescent="0.2">
      <c r="A105" s="29"/>
      <c r="D105" s="33"/>
    </row>
    <row r="106" spans="1:4" x14ac:dyDescent="0.2">
      <c r="A106" s="50" t="s">
        <v>5883</v>
      </c>
      <c r="B106" s="51">
        <v>10</v>
      </c>
      <c r="C106" s="52">
        <v>4.8</v>
      </c>
      <c r="D106" s="34">
        <v>144</v>
      </c>
    </row>
    <row r="107" spans="1:4" x14ac:dyDescent="0.2">
      <c r="A107" s="50" t="s">
        <v>5884</v>
      </c>
      <c r="B107" s="51">
        <v>12</v>
      </c>
      <c r="C107" s="52">
        <v>2.4</v>
      </c>
      <c r="D107" s="34">
        <v>86.4</v>
      </c>
    </row>
    <row r="108" spans="1:4" x14ac:dyDescent="0.2">
      <c r="A108" s="29"/>
      <c r="D108" s="34"/>
    </row>
    <row r="109" spans="1:4" x14ac:dyDescent="0.2">
      <c r="A109" s="29"/>
      <c r="C109" s="7" t="s">
        <v>772</v>
      </c>
      <c r="D109" s="37">
        <f>SUM(D106:D108)</f>
        <v>230.4</v>
      </c>
    </row>
    <row r="110" spans="1:4" x14ac:dyDescent="0.2">
      <c r="A110" s="29"/>
      <c r="D110" s="33"/>
    </row>
    <row r="111" spans="1:4" x14ac:dyDescent="0.2">
      <c r="A111" s="30" t="s">
        <v>5885</v>
      </c>
      <c r="B111" s="31" t="s">
        <v>5860</v>
      </c>
      <c r="C111" s="32" t="s">
        <v>5886</v>
      </c>
      <c r="D111" s="33"/>
    </row>
    <row r="112" spans="1:4" x14ac:dyDescent="0.2">
      <c r="A112" s="29"/>
      <c r="D112" s="33"/>
    </row>
    <row r="113" spans="1:4" x14ac:dyDescent="0.2">
      <c r="A113" s="50" t="s">
        <v>5887</v>
      </c>
      <c r="B113" s="51">
        <v>1</v>
      </c>
      <c r="C113" s="52">
        <v>6.2</v>
      </c>
      <c r="D113" s="34">
        <f>C113*B113</f>
        <v>6.2</v>
      </c>
    </row>
    <row r="114" spans="1:4" x14ac:dyDescent="0.2">
      <c r="A114" s="50" t="s">
        <v>5888</v>
      </c>
      <c r="B114" s="51">
        <v>2</v>
      </c>
      <c r="C114" s="52">
        <v>6.3</v>
      </c>
      <c r="D114" s="34">
        <f>C114*B114</f>
        <v>12.6</v>
      </c>
    </row>
    <row r="115" spans="1:4" x14ac:dyDescent="0.2">
      <c r="A115" s="29" t="s">
        <v>5889</v>
      </c>
      <c r="B115" s="24">
        <v>3</v>
      </c>
      <c r="C115" s="18">
        <v>40.9</v>
      </c>
      <c r="D115" s="34">
        <f>C115*B115</f>
        <v>122.69999999999999</v>
      </c>
    </row>
    <row r="116" spans="1:4" x14ac:dyDescent="0.2">
      <c r="A116" s="29"/>
      <c r="B116" s="24"/>
      <c r="D116" s="34"/>
    </row>
    <row r="117" spans="1:4" x14ac:dyDescent="0.2">
      <c r="A117" s="29"/>
      <c r="C117" s="7" t="s">
        <v>772</v>
      </c>
      <c r="D117" s="37">
        <f>SUM(D113:D116)</f>
        <v>141.5</v>
      </c>
    </row>
    <row r="118" spans="1:4" x14ac:dyDescent="0.2">
      <c r="A118" s="29"/>
      <c r="D118" s="33"/>
    </row>
    <row r="119" spans="1:4" x14ac:dyDescent="0.2">
      <c r="A119" s="29"/>
      <c r="D119" s="33"/>
    </row>
    <row r="120" spans="1:4" x14ac:dyDescent="0.2">
      <c r="A120" s="29"/>
      <c r="D120" s="33"/>
    </row>
    <row r="121" spans="1:4" x14ac:dyDescent="0.2">
      <c r="A121" s="29"/>
      <c r="D121" s="33"/>
    </row>
    <row r="122" spans="1:4" x14ac:dyDescent="0.2">
      <c r="A122" s="29"/>
      <c r="D122" s="33"/>
    </row>
    <row r="123" spans="1:4" ht="15.75" x14ac:dyDescent="0.25">
      <c r="A123" s="29"/>
      <c r="B123" s="3698" t="s">
        <v>5892</v>
      </c>
      <c r="C123" s="3698"/>
      <c r="D123" s="39">
        <f>D84+D94+D102+D109+D117</f>
        <v>1497.5</v>
      </c>
    </row>
    <row r="124" spans="1:4" ht="15.75" x14ac:dyDescent="0.25">
      <c r="A124" s="29"/>
      <c r="B124" s="3698" t="s">
        <v>5893</v>
      </c>
      <c r="C124" s="3698"/>
      <c r="D124" s="39">
        <v>400</v>
      </c>
    </row>
    <row r="125" spans="1:4" ht="16.5" thickBot="1" x14ac:dyDescent="0.3">
      <c r="A125" s="40"/>
      <c r="B125" s="3694" t="s">
        <v>5894</v>
      </c>
      <c r="C125" s="3694"/>
      <c r="D125" s="41">
        <f>D123+D124</f>
        <v>1897.5</v>
      </c>
    </row>
    <row r="126" spans="1:4" x14ac:dyDescent="0.2">
      <c r="D126"/>
    </row>
    <row r="127" spans="1:4" x14ac:dyDescent="0.2">
      <c r="A127" t="s">
        <v>5900</v>
      </c>
      <c r="D127"/>
    </row>
    <row r="128" spans="1:4" x14ac:dyDescent="0.2">
      <c r="D128"/>
    </row>
    <row r="129" spans="1:5" x14ac:dyDescent="0.2">
      <c r="D129"/>
    </row>
    <row r="130" spans="1:5" x14ac:dyDescent="0.2">
      <c r="A130" t="s">
        <v>5901</v>
      </c>
      <c r="C130" s="53">
        <f>D84+D107+D115</f>
        <v>606</v>
      </c>
      <c r="D130" s="53"/>
    </row>
    <row r="140" spans="1:5" ht="26.25" x14ac:dyDescent="0.4">
      <c r="A140" s="3661" t="s">
        <v>5902</v>
      </c>
      <c r="B140" s="3661"/>
      <c r="C140" s="3661"/>
      <c r="D140" s="3661"/>
      <c r="E140" s="3661"/>
    </row>
    <row r="142" spans="1:5" ht="13.5" thickBot="1" x14ac:dyDescent="0.25">
      <c r="A142" s="24"/>
      <c r="D142"/>
    </row>
    <row r="143" spans="1:5" ht="21.75" customHeight="1" thickBot="1" x14ac:dyDescent="0.3">
      <c r="A143" s="3689" t="s">
        <v>5903</v>
      </c>
      <c r="B143" s="3690"/>
      <c r="C143" s="3690"/>
      <c r="D143" s="3690"/>
      <c r="E143" s="3691"/>
    </row>
    <row r="144" spans="1:5" ht="20.25" customHeight="1" thickBot="1" x14ac:dyDescent="0.25">
      <c r="A144" s="8" t="s">
        <v>5904</v>
      </c>
      <c r="B144" s="75" t="s">
        <v>722</v>
      </c>
      <c r="C144" s="727" t="s">
        <v>723</v>
      </c>
      <c r="D144" s="398" t="s">
        <v>724</v>
      </c>
      <c r="E144" s="397" t="s">
        <v>725</v>
      </c>
    </row>
    <row r="145" spans="1:5" ht="21.75" customHeight="1" x14ac:dyDescent="0.2">
      <c r="A145" s="395">
        <v>1</v>
      </c>
      <c r="B145" s="10" t="s">
        <v>5905</v>
      </c>
      <c r="C145" s="396">
        <v>36</v>
      </c>
      <c r="D145" s="399">
        <v>9.99</v>
      </c>
      <c r="E145" s="12">
        <f>D145*C145</f>
        <v>359.64</v>
      </c>
    </row>
    <row r="146" spans="1:5" ht="21.75" customHeight="1" x14ac:dyDescent="0.2">
      <c r="A146" s="395">
        <v>2</v>
      </c>
      <c r="B146" s="1496" t="s">
        <v>5906</v>
      </c>
      <c r="C146" s="1604">
        <v>2</v>
      </c>
      <c r="D146" s="399">
        <v>77.75</v>
      </c>
      <c r="E146" s="12">
        <f>D146*C146</f>
        <v>155.5</v>
      </c>
    </row>
    <row r="147" spans="1:5" ht="21.75" customHeight="1" x14ac:dyDescent="0.2">
      <c r="A147" s="395">
        <v>3</v>
      </c>
      <c r="B147" s="1496" t="s">
        <v>5907</v>
      </c>
      <c r="C147" s="1604">
        <v>5</v>
      </c>
      <c r="D147" s="1219">
        <v>56.65</v>
      </c>
      <c r="E147" s="12">
        <f>D147*C147</f>
        <v>283.25</v>
      </c>
    </row>
    <row r="148" spans="1:5" ht="21.75" customHeight="1" x14ac:dyDescent="0.2">
      <c r="A148" s="435">
        <v>4</v>
      </c>
      <c r="B148" s="1496" t="s">
        <v>5908</v>
      </c>
      <c r="C148" s="1604">
        <v>5</v>
      </c>
      <c r="D148" s="399">
        <v>57.85</v>
      </c>
      <c r="E148" s="12">
        <f t="shared" ref="E148:E161" si="1">D148*C148</f>
        <v>289.25</v>
      </c>
    </row>
    <row r="149" spans="1:5" ht="21.75" customHeight="1" x14ac:dyDescent="0.2">
      <c r="A149" s="435">
        <v>5</v>
      </c>
      <c r="B149" s="1496" t="s">
        <v>5909</v>
      </c>
      <c r="C149" s="1604">
        <v>4</v>
      </c>
      <c r="D149" s="399">
        <v>15.35</v>
      </c>
      <c r="E149" s="12">
        <f>D149*C149</f>
        <v>61.4</v>
      </c>
    </row>
    <row r="150" spans="1:5" ht="21.75" customHeight="1" x14ac:dyDescent="0.2">
      <c r="A150" s="435">
        <v>6</v>
      </c>
      <c r="B150" s="1496" t="s">
        <v>5910</v>
      </c>
      <c r="C150" s="1604">
        <v>1</v>
      </c>
      <c r="D150" s="399">
        <v>26.65</v>
      </c>
      <c r="E150" s="12">
        <f t="shared" si="1"/>
        <v>26.65</v>
      </c>
    </row>
    <row r="151" spans="1:5" ht="21.75" customHeight="1" x14ac:dyDescent="0.2">
      <c r="A151" s="435">
        <v>7</v>
      </c>
      <c r="B151" s="1496" t="s">
        <v>5911</v>
      </c>
      <c r="C151" s="1604">
        <v>1</v>
      </c>
      <c r="D151" s="399">
        <v>6.75</v>
      </c>
      <c r="E151" s="12">
        <f t="shared" si="1"/>
        <v>6.75</v>
      </c>
    </row>
    <row r="152" spans="1:5" ht="21.75" customHeight="1" x14ac:dyDescent="0.2">
      <c r="A152" s="435">
        <v>8</v>
      </c>
      <c r="B152" s="1496" t="s">
        <v>5912</v>
      </c>
      <c r="C152" s="1604">
        <v>1</v>
      </c>
      <c r="D152" s="399">
        <v>6.75</v>
      </c>
      <c r="E152" s="12">
        <f t="shared" si="1"/>
        <v>6.75</v>
      </c>
    </row>
    <row r="153" spans="1:5" ht="21.75" customHeight="1" x14ac:dyDescent="0.2">
      <c r="A153" s="435">
        <v>9</v>
      </c>
      <c r="B153" s="1496" t="s">
        <v>5913</v>
      </c>
      <c r="C153" s="1604">
        <v>15</v>
      </c>
      <c r="D153" s="399">
        <v>4.7</v>
      </c>
      <c r="E153" s="12">
        <f t="shared" si="1"/>
        <v>70.5</v>
      </c>
    </row>
    <row r="154" spans="1:5" ht="21.75" customHeight="1" x14ac:dyDescent="0.2">
      <c r="A154" s="435">
        <v>10</v>
      </c>
      <c r="B154" s="1496" t="s">
        <v>5914</v>
      </c>
      <c r="C154" s="1604">
        <v>12</v>
      </c>
      <c r="D154" s="399">
        <v>0.8</v>
      </c>
      <c r="E154" s="12">
        <f t="shared" si="1"/>
        <v>9.6000000000000014</v>
      </c>
    </row>
    <row r="155" spans="1:5" ht="21.75" customHeight="1" x14ac:dyDescent="0.2">
      <c r="A155" s="435">
        <v>11</v>
      </c>
      <c r="B155" s="1496" t="s">
        <v>5915</v>
      </c>
      <c r="C155" s="1604">
        <v>1</v>
      </c>
      <c r="D155" s="399">
        <v>5</v>
      </c>
      <c r="E155" s="12">
        <f t="shared" si="1"/>
        <v>5</v>
      </c>
    </row>
    <row r="156" spans="1:5" ht="21.75" customHeight="1" x14ac:dyDescent="0.2">
      <c r="A156" s="435">
        <v>12</v>
      </c>
      <c r="B156" s="1496" t="s">
        <v>5916</v>
      </c>
      <c r="C156" s="1604">
        <v>1</v>
      </c>
      <c r="D156" s="399">
        <v>32.200000000000003</v>
      </c>
      <c r="E156" s="12">
        <f t="shared" si="1"/>
        <v>32.200000000000003</v>
      </c>
    </row>
    <row r="157" spans="1:5" ht="21.75" customHeight="1" x14ac:dyDescent="0.2">
      <c r="A157" s="435">
        <v>13</v>
      </c>
      <c r="B157" s="1496" t="s">
        <v>5917</v>
      </c>
      <c r="C157" s="1604">
        <v>3</v>
      </c>
      <c r="D157" s="399">
        <v>45.6</v>
      </c>
      <c r="E157" s="12">
        <f t="shared" si="1"/>
        <v>136.80000000000001</v>
      </c>
    </row>
    <row r="158" spans="1:5" ht="21.75" customHeight="1" x14ac:dyDescent="0.2">
      <c r="A158" s="435">
        <v>14</v>
      </c>
      <c r="B158" s="1496" t="s">
        <v>5918</v>
      </c>
      <c r="C158" s="1604">
        <v>2</v>
      </c>
      <c r="D158" s="399">
        <v>10</v>
      </c>
      <c r="E158" s="12">
        <f t="shared" si="1"/>
        <v>20</v>
      </c>
    </row>
    <row r="159" spans="1:5" ht="21.75" customHeight="1" x14ac:dyDescent="0.2">
      <c r="A159" s="435">
        <v>15</v>
      </c>
      <c r="B159" s="1496" t="s">
        <v>5919</v>
      </c>
      <c r="C159" s="1604">
        <v>1</v>
      </c>
      <c r="D159" s="399">
        <v>7.15</v>
      </c>
      <c r="E159" s="12">
        <f t="shared" si="1"/>
        <v>7.15</v>
      </c>
    </row>
    <row r="160" spans="1:5" ht="21.75" customHeight="1" x14ac:dyDescent="0.2">
      <c r="A160" s="435">
        <v>16</v>
      </c>
      <c r="B160" s="1496" t="s">
        <v>5920</v>
      </c>
      <c r="C160" s="1604">
        <v>1</v>
      </c>
      <c r="D160" s="399">
        <v>7</v>
      </c>
      <c r="E160" s="12">
        <f t="shared" si="1"/>
        <v>7</v>
      </c>
    </row>
    <row r="161" spans="1:5" ht="21.75" customHeight="1" x14ac:dyDescent="0.2">
      <c r="A161" s="435">
        <v>17</v>
      </c>
      <c r="B161" s="1496" t="s">
        <v>5921</v>
      </c>
      <c r="C161" s="1604">
        <v>2</v>
      </c>
      <c r="D161" s="399">
        <v>22.9</v>
      </c>
      <c r="E161" s="12">
        <f t="shared" si="1"/>
        <v>45.8</v>
      </c>
    </row>
    <row r="162" spans="1:5" ht="21.75" customHeight="1" thickBot="1" x14ac:dyDescent="0.25">
      <c r="A162" s="17">
        <v>18</v>
      </c>
      <c r="B162" s="1501" t="s">
        <v>5922</v>
      </c>
      <c r="C162" s="1605" t="s">
        <v>5923</v>
      </c>
      <c r="D162" s="400">
        <v>104.5</v>
      </c>
      <c r="E162" s="400">
        <f>D162/2</f>
        <v>52.25</v>
      </c>
    </row>
    <row r="163" spans="1:5" ht="18.75" customHeight="1" thickBot="1" x14ac:dyDescent="0.25">
      <c r="A163" s="24"/>
      <c r="B163" s="717"/>
      <c r="C163" s="3692" t="s">
        <v>772</v>
      </c>
      <c r="D163" s="3693"/>
      <c r="E163" s="175">
        <f>SUM(E145:E162)</f>
        <v>1575.49</v>
      </c>
    </row>
    <row r="164" spans="1:5" x14ac:dyDescent="0.2">
      <c r="A164" s="24"/>
      <c r="B164" s="717"/>
      <c r="C164" s="1606"/>
      <c r="D164" s="1"/>
      <c r="E164" s="1"/>
    </row>
    <row r="165" spans="1:5" x14ac:dyDescent="0.2">
      <c r="A165" s="24"/>
      <c r="B165" s="717"/>
      <c r="C165" s="1606"/>
      <c r="D165" s="1"/>
      <c r="E165" s="1"/>
    </row>
    <row r="166" spans="1:5" x14ac:dyDescent="0.2">
      <c r="A166" s="24"/>
      <c r="B166" s="3109" t="s">
        <v>5924</v>
      </c>
      <c r="C166" s="3109"/>
      <c r="D166" s="3109"/>
      <c r="E166" s="231">
        <v>800</v>
      </c>
    </row>
    <row r="167" spans="1:5" x14ac:dyDescent="0.2">
      <c r="A167" s="24"/>
      <c r="B167" s="717"/>
      <c r="C167" s="3685" t="s">
        <v>774</v>
      </c>
      <c r="D167" s="3685"/>
      <c r="E167" s="231">
        <v>129.51</v>
      </c>
    </row>
    <row r="168" spans="1:5" x14ac:dyDescent="0.2">
      <c r="A168" s="24"/>
      <c r="B168" s="717"/>
      <c r="C168" s="3685" t="s">
        <v>772</v>
      </c>
      <c r="D168" s="3685"/>
      <c r="E168" s="231">
        <f>E163+E166+E167</f>
        <v>2505</v>
      </c>
    </row>
    <row r="169" spans="1:5" x14ac:dyDescent="0.2">
      <c r="A169" s="24"/>
      <c r="B169" s="717"/>
      <c r="C169" s="3686" t="s">
        <v>5925</v>
      </c>
      <c r="D169" s="3686"/>
      <c r="E169" s="231">
        <f>E168/4</f>
        <v>626.25</v>
      </c>
    </row>
    <row r="170" spans="1:5" x14ac:dyDescent="0.2">
      <c r="A170" s="24"/>
      <c r="B170" s="717"/>
      <c r="C170" s="1607"/>
      <c r="D170" s="1"/>
      <c r="E170" s="1"/>
    </row>
    <row r="171" spans="1:5" x14ac:dyDescent="0.2">
      <c r="A171" s="32" t="s">
        <v>5926</v>
      </c>
      <c r="C171" s="1607"/>
      <c r="D171" s="1"/>
      <c r="E171" s="1"/>
    </row>
    <row r="172" spans="1:5" x14ac:dyDescent="0.2">
      <c r="A172" s="717"/>
      <c r="C172" s="401"/>
      <c r="D172" s="1"/>
      <c r="E172" s="1"/>
    </row>
    <row r="173" spans="1:5" x14ac:dyDescent="0.2">
      <c r="A173" s="32" t="s">
        <v>5927</v>
      </c>
      <c r="C173" s="401"/>
      <c r="D173" s="1"/>
      <c r="E173" s="1"/>
    </row>
    <row r="174" spans="1:5" x14ac:dyDescent="0.2">
      <c r="A174" s="32"/>
      <c r="C174" s="401"/>
      <c r="D174" s="1"/>
      <c r="E174" s="1"/>
    </row>
    <row r="175" spans="1:5" x14ac:dyDescent="0.2">
      <c r="A175" s="24"/>
      <c r="B175" s="717"/>
      <c r="C175" s="401"/>
      <c r="D175" s="1"/>
      <c r="E175" s="239" t="s">
        <v>5928</v>
      </c>
    </row>
    <row r="176" spans="1:5" x14ac:dyDescent="0.2">
      <c r="A176" s="717" t="s">
        <v>5929</v>
      </c>
      <c r="C176" s="401">
        <v>435</v>
      </c>
      <c r="D176" s="1" t="s">
        <v>5930</v>
      </c>
      <c r="E176" s="1">
        <f>C176/4</f>
        <v>108.75</v>
      </c>
    </row>
    <row r="177" spans="1:5" x14ac:dyDescent="0.2">
      <c r="A177" s="717" t="s">
        <v>5931</v>
      </c>
      <c r="C177" s="401">
        <v>435</v>
      </c>
      <c r="D177" s="1" t="s">
        <v>5930</v>
      </c>
      <c r="E177" s="1">
        <f>C177/4</f>
        <v>108.75</v>
      </c>
    </row>
    <row r="178" spans="1:5" x14ac:dyDescent="0.2">
      <c r="A178" s="717" t="s">
        <v>5932</v>
      </c>
      <c r="C178" s="401">
        <v>435</v>
      </c>
      <c r="D178" s="1" t="s">
        <v>5930</v>
      </c>
      <c r="E178" s="1">
        <f>C178/4</f>
        <v>108.75</v>
      </c>
    </row>
    <row r="179" spans="1:5" x14ac:dyDescent="0.2">
      <c r="A179" s="24"/>
      <c r="B179" s="717"/>
      <c r="C179" s="401"/>
      <c r="D179"/>
    </row>
    <row r="180" spans="1:5" x14ac:dyDescent="0.2">
      <c r="A180" s="24"/>
      <c r="B180" s="717"/>
      <c r="C180" s="401"/>
      <c r="D180"/>
    </row>
    <row r="181" spans="1:5" x14ac:dyDescent="0.2">
      <c r="A181" s="32" t="s">
        <v>5933</v>
      </c>
      <c r="C181" s="401"/>
      <c r="D181" s="1"/>
      <c r="E181" s="1"/>
    </row>
    <row r="182" spans="1:5" x14ac:dyDescent="0.2">
      <c r="A182" s="717" t="s">
        <v>5934</v>
      </c>
      <c r="C182" s="401">
        <v>400</v>
      </c>
      <c r="D182" s="1" t="s">
        <v>5930</v>
      </c>
      <c r="E182" s="1">
        <v>100</v>
      </c>
    </row>
    <row r="183" spans="1:5" x14ac:dyDescent="0.2">
      <c r="A183" s="717" t="s">
        <v>5935</v>
      </c>
      <c r="C183" s="401">
        <v>400</v>
      </c>
      <c r="D183" s="1" t="s">
        <v>5930</v>
      </c>
      <c r="E183" s="1">
        <v>100</v>
      </c>
    </row>
    <row r="184" spans="1:5" x14ac:dyDescent="0.2">
      <c r="A184" s="24"/>
      <c r="B184" s="717"/>
      <c r="C184" s="1608"/>
      <c r="D184"/>
    </row>
    <row r="185" spans="1:5" x14ac:dyDescent="0.2">
      <c r="A185" s="24"/>
      <c r="B185" s="717"/>
      <c r="C185" s="1608"/>
      <c r="D185"/>
    </row>
    <row r="186" spans="1:5" x14ac:dyDescent="0.2">
      <c r="A186" s="24"/>
      <c r="B186" s="3687" t="s">
        <v>5936</v>
      </c>
      <c r="C186" s="3687"/>
      <c r="D186" s="3687"/>
      <c r="E186" s="442">
        <f>SUM(E176:E185)</f>
        <v>526.25</v>
      </c>
    </row>
    <row r="187" spans="1:5" x14ac:dyDescent="0.2">
      <c r="A187" s="24"/>
      <c r="B187" s="717"/>
      <c r="C187" s="3687" t="s">
        <v>5937</v>
      </c>
      <c r="D187" s="3687"/>
      <c r="E187" s="1">
        <v>100</v>
      </c>
    </row>
    <row r="188" spans="1:5" x14ac:dyDescent="0.2">
      <c r="A188" s="24"/>
      <c r="B188" s="717"/>
      <c r="C188" s="3688" t="s">
        <v>5938</v>
      </c>
      <c r="D188" s="3688"/>
      <c r="E188" s="327">
        <f>SUM(E186:E187)</f>
        <v>626.25</v>
      </c>
    </row>
    <row r="189" spans="1:5" x14ac:dyDescent="0.2">
      <c r="A189" s="24"/>
      <c r="B189" s="717"/>
      <c r="C189" s="717"/>
      <c r="D189"/>
    </row>
    <row r="190" spans="1:5" x14ac:dyDescent="0.2">
      <c r="A190" s="24"/>
      <c r="B190" s="717"/>
      <c r="C190" s="717"/>
      <c r="D190"/>
    </row>
    <row r="191" spans="1:5" ht="13.5" thickBot="1" x14ac:dyDescent="0.25">
      <c r="A191" s="24"/>
      <c r="B191" s="717"/>
      <c r="C191" s="717"/>
      <c r="D191"/>
    </row>
    <row r="192" spans="1:5" ht="21.75" customHeight="1" thickBot="1" x14ac:dyDescent="0.3">
      <c r="A192" s="3689" t="s">
        <v>5939</v>
      </c>
      <c r="B192" s="3690"/>
      <c r="C192" s="3690"/>
      <c r="D192" s="3690"/>
      <c r="E192" s="3691"/>
    </row>
    <row r="193" spans="1:5" ht="20.25" customHeight="1" thickBot="1" x14ac:dyDescent="0.25">
      <c r="A193" s="8" t="s">
        <v>5904</v>
      </c>
      <c r="B193" s="75" t="s">
        <v>722</v>
      </c>
      <c r="C193" s="727" t="s">
        <v>723</v>
      </c>
      <c r="D193" s="398" t="s">
        <v>724</v>
      </c>
      <c r="E193" s="397" t="s">
        <v>725</v>
      </c>
    </row>
    <row r="194" spans="1:5" ht="21.75" customHeight="1" x14ac:dyDescent="0.2">
      <c r="A194" s="449">
        <v>1</v>
      </c>
      <c r="B194" s="450" t="s">
        <v>5905</v>
      </c>
      <c r="C194" s="451">
        <v>27</v>
      </c>
      <c r="D194" s="22">
        <v>9.99</v>
      </c>
      <c r="E194" s="273">
        <f>D194*C194</f>
        <v>269.73</v>
      </c>
    </row>
    <row r="195" spans="1:5" ht="21.75" customHeight="1" x14ac:dyDescent="0.2">
      <c r="A195" s="435">
        <v>2</v>
      </c>
      <c r="B195" s="1496" t="s">
        <v>5940</v>
      </c>
      <c r="C195" s="1604">
        <v>3</v>
      </c>
      <c r="D195" s="399">
        <v>9.5</v>
      </c>
      <c r="E195" s="12">
        <f>D195*C195</f>
        <v>28.5</v>
      </c>
    </row>
    <row r="196" spans="1:5" ht="21.75" customHeight="1" thickBot="1" x14ac:dyDescent="0.25">
      <c r="A196" s="17">
        <v>3</v>
      </c>
      <c r="B196" s="1501" t="s">
        <v>5941</v>
      </c>
      <c r="C196" s="1609">
        <v>3</v>
      </c>
      <c r="D196" s="400">
        <v>5</v>
      </c>
      <c r="E196" s="13">
        <f>D196*C196</f>
        <v>15</v>
      </c>
    </row>
    <row r="197" spans="1:5" ht="18.75" customHeight="1" thickBot="1" x14ac:dyDescent="0.25">
      <c r="A197" s="24"/>
      <c r="B197" s="717"/>
      <c r="C197" s="3680" t="s">
        <v>772</v>
      </c>
      <c r="D197" s="3681"/>
      <c r="E197" s="448">
        <f>SUM(E194:E196)</f>
        <v>313.23</v>
      </c>
    </row>
    <row r="198" spans="1:5" x14ac:dyDescent="0.2">
      <c r="A198" s="24"/>
      <c r="B198" s="717"/>
      <c r="C198" s="1606"/>
      <c r="D198" s="1"/>
      <c r="E198" s="1"/>
    </row>
    <row r="199" spans="1:5" x14ac:dyDescent="0.2">
      <c r="A199" s="24"/>
      <c r="B199" s="717"/>
      <c r="C199" s="1606"/>
      <c r="D199" s="1"/>
      <c r="E199" s="1"/>
    </row>
    <row r="200" spans="1:5" x14ac:dyDescent="0.2">
      <c r="A200" s="24"/>
      <c r="B200" s="717"/>
      <c r="C200" s="3685" t="s">
        <v>774</v>
      </c>
      <c r="D200" s="3685"/>
      <c r="E200" s="231">
        <v>14.77</v>
      </c>
    </row>
    <row r="201" spans="1:5" x14ac:dyDescent="0.2">
      <c r="A201" s="24"/>
      <c r="B201" s="717"/>
      <c r="C201" s="3685" t="s">
        <v>772</v>
      </c>
      <c r="D201" s="3685"/>
      <c r="E201" s="231">
        <f>E197+E200</f>
        <v>328</v>
      </c>
    </row>
    <row r="202" spans="1:5" x14ac:dyDescent="0.2">
      <c r="A202" s="24"/>
      <c r="B202" s="717"/>
      <c r="C202" s="3686" t="s">
        <v>5925</v>
      </c>
      <c r="D202" s="3686"/>
      <c r="E202" s="231">
        <f>E201/4</f>
        <v>82</v>
      </c>
    </row>
    <row r="203" spans="1:5" x14ac:dyDescent="0.2">
      <c r="A203" s="24"/>
      <c r="B203" s="717"/>
      <c r="C203" s="1607"/>
      <c r="D203" s="1"/>
      <c r="E203" s="1"/>
    </row>
    <row r="204" spans="1:5" x14ac:dyDescent="0.2">
      <c r="A204" s="32" t="s">
        <v>5942</v>
      </c>
      <c r="C204" s="1607"/>
      <c r="D204" s="1"/>
      <c r="E204" s="1"/>
    </row>
    <row r="205" spans="1:5" x14ac:dyDescent="0.2">
      <c r="A205" s="717"/>
      <c r="C205" s="401"/>
      <c r="D205" s="1"/>
      <c r="E205" s="1"/>
    </row>
    <row r="206" spans="1:5" x14ac:dyDescent="0.2">
      <c r="A206" s="24"/>
      <c r="B206" s="717"/>
      <c r="C206" s="401"/>
      <c r="D206" s="1"/>
      <c r="E206" s="239" t="s">
        <v>5928</v>
      </c>
    </row>
    <row r="207" spans="1:5" x14ac:dyDescent="0.2">
      <c r="A207" s="717" t="s">
        <v>5943</v>
      </c>
      <c r="C207" s="401">
        <v>328</v>
      </c>
      <c r="D207" s="1" t="s">
        <v>5930</v>
      </c>
      <c r="E207" s="1">
        <f>C207/4</f>
        <v>82</v>
      </c>
    </row>
    <row r="208" spans="1:5" x14ac:dyDescent="0.2">
      <c r="A208" s="717"/>
      <c r="C208" s="401"/>
      <c r="D208" s="1"/>
      <c r="E208" s="1"/>
    </row>
    <row r="209" spans="1:5" x14ac:dyDescent="0.2">
      <c r="A209" s="24"/>
      <c r="D209"/>
    </row>
    <row r="210" spans="1:5" x14ac:dyDescent="0.2">
      <c r="A210" s="24"/>
      <c r="D210"/>
    </row>
    <row r="211" spans="1:5" x14ac:dyDescent="0.2">
      <c r="A211" s="24"/>
      <c r="D211"/>
    </row>
    <row r="212" spans="1:5" x14ac:dyDescent="0.2">
      <c r="A212" s="24"/>
      <c r="D212"/>
    </row>
    <row r="213" spans="1:5" x14ac:dyDescent="0.2">
      <c r="A213" s="24"/>
      <c r="D213"/>
    </row>
    <row r="214" spans="1:5" x14ac:dyDescent="0.2">
      <c r="A214" s="24"/>
      <c r="D214"/>
    </row>
    <row r="215" spans="1:5" x14ac:dyDescent="0.2">
      <c r="A215" s="24"/>
      <c r="D215"/>
    </row>
    <row r="216" spans="1:5" ht="23.25" x14ac:dyDescent="0.35">
      <c r="A216" s="3662" t="s">
        <v>5944</v>
      </c>
      <c r="B216" s="3662"/>
      <c r="C216" s="3662"/>
      <c r="D216" s="3662"/>
      <c r="E216" s="3662"/>
    </row>
    <row r="217" spans="1:5" x14ac:dyDescent="0.2">
      <c r="A217" s="24"/>
      <c r="D217"/>
    </row>
    <row r="218" spans="1:5" ht="13.5" thickBot="1" x14ac:dyDescent="0.25">
      <c r="A218" s="24"/>
      <c r="D218"/>
    </row>
    <row r="219" spans="1:5" ht="28.5" customHeight="1" thickBot="1" x14ac:dyDescent="0.35">
      <c r="A219" s="3682" t="s">
        <v>5945</v>
      </c>
      <c r="B219" s="3683"/>
      <c r="C219" s="3683"/>
      <c r="D219" s="3683"/>
      <c r="E219" s="3684"/>
    </row>
    <row r="220" spans="1:5" ht="13.5" thickBot="1" x14ac:dyDescent="0.25">
      <c r="A220" s="24"/>
      <c r="D220"/>
    </row>
    <row r="221" spans="1:5" ht="21.75" customHeight="1" thickBot="1" x14ac:dyDescent="0.3">
      <c r="A221" s="3663" t="s">
        <v>5946</v>
      </c>
      <c r="B221" s="3664"/>
      <c r="C221" s="3664"/>
      <c r="D221" s="3664"/>
      <c r="E221" s="3665"/>
    </row>
    <row r="222" spans="1:5" ht="20.25" customHeight="1" thickBot="1" x14ac:dyDescent="0.25">
      <c r="A222" s="597" t="s">
        <v>5904</v>
      </c>
      <c r="B222" s="598" t="s">
        <v>722</v>
      </c>
      <c r="C222" s="599" t="s">
        <v>723</v>
      </c>
      <c r="D222" s="600" t="s">
        <v>724</v>
      </c>
      <c r="E222" s="560" t="s">
        <v>725</v>
      </c>
    </row>
    <row r="223" spans="1:5" ht="21.75" customHeight="1" x14ac:dyDescent="0.2">
      <c r="A223" s="449">
        <v>1</v>
      </c>
      <c r="B223" s="1610" t="s">
        <v>5947</v>
      </c>
      <c r="C223" s="451">
        <v>15</v>
      </c>
      <c r="D223" s="22">
        <v>35.5</v>
      </c>
      <c r="E223" s="273">
        <f>D223*C223</f>
        <v>532.5</v>
      </c>
    </row>
    <row r="224" spans="1:5" ht="21.75" customHeight="1" x14ac:dyDescent="0.2">
      <c r="A224" s="1611">
        <v>2</v>
      </c>
      <c r="B224" s="1491" t="s">
        <v>5948</v>
      </c>
      <c r="C224" s="1612">
        <v>0.8</v>
      </c>
      <c r="D224" s="563">
        <v>20</v>
      </c>
      <c r="E224" s="564">
        <f>D224*C224</f>
        <v>16</v>
      </c>
    </row>
    <row r="225" spans="1:5" ht="21.75" customHeight="1" x14ac:dyDescent="0.2">
      <c r="A225" s="1611">
        <v>3</v>
      </c>
      <c r="B225" s="1491" t="s">
        <v>5949</v>
      </c>
      <c r="C225" s="1604">
        <v>2</v>
      </c>
      <c r="D225" s="399">
        <v>98.2</v>
      </c>
      <c r="E225" s="12">
        <f>D225*C225</f>
        <v>196.4</v>
      </c>
    </row>
    <row r="226" spans="1:5" ht="21.75" customHeight="1" x14ac:dyDescent="0.2">
      <c r="A226" s="1613">
        <v>4</v>
      </c>
      <c r="B226" s="1496" t="s">
        <v>5950</v>
      </c>
      <c r="C226" s="1604">
        <v>2</v>
      </c>
      <c r="D226" s="399">
        <v>36.75</v>
      </c>
      <c r="E226" s="12">
        <f t="shared" ref="E226:E233" si="2">D226*C226</f>
        <v>73.5</v>
      </c>
    </row>
    <row r="227" spans="1:5" ht="21.75" customHeight="1" x14ac:dyDescent="0.2">
      <c r="A227" s="1614">
        <v>5</v>
      </c>
      <c r="B227" s="1615" t="s">
        <v>5951</v>
      </c>
      <c r="C227" s="1616">
        <v>6</v>
      </c>
      <c r="D227" s="1617">
        <v>14.95</v>
      </c>
      <c r="E227" s="1618">
        <f t="shared" si="2"/>
        <v>89.699999999999989</v>
      </c>
    </row>
    <row r="228" spans="1:5" ht="21.75" customHeight="1" x14ac:dyDescent="0.2">
      <c r="A228" s="1614">
        <v>6</v>
      </c>
      <c r="B228" s="1615" t="s">
        <v>5952</v>
      </c>
      <c r="C228" s="1616">
        <v>7.5</v>
      </c>
      <c r="D228" s="1617">
        <v>14.95</v>
      </c>
      <c r="E228" s="1618">
        <f t="shared" si="2"/>
        <v>112.125</v>
      </c>
    </row>
    <row r="229" spans="1:5" ht="21.75" customHeight="1" x14ac:dyDescent="0.2">
      <c r="A229" s="1614">
        <v>7</v>
      </c>
      <c r="B229" s="1615" t="s">
        <v>5953</v>
      </c>
      <c r="C229" s="1619" t="s">
        <v>728</v>
      </c>
      <c r="D229" s="1617">
        <v>121</v>
      </c>
      <c r="E229" s="1618">
        <f>D229*C229</f>
        <v>121</v>
      </c>
    </row>
    <row r="230" spans="1:5" ht="21.75" customHeight="1" x14ac:dyDescent="0.2">
      <c r="A230" s="1614">
        <v>8</v>
      </c>
      <c r="B230" s="1615" t="s">
        <v>5954</v>
      </c>
      <c r="C230" s="1619" t="s">
        <v>728</v>
      </c>
      <c r="D230" s="1617">
        <v>7.45</v>
      </c>
      <c r="E230" s="1618">
        <f>D230*C230</f>
        <v>7.45</v>
      </c>
    </row>
    <row r="231" spans="1:5" ht="21.75" customHeight="1" x14ac:dyDescent="0.2">
      <c r="A231" s="1613">
        <v>9</v>
      </c>
      <c r="B231" s="1496" t="s">
        <v>5955</v>
      </c>
      <c r="C231" s="1620" t="s">
        <v>5923</v>
      </c>
      <c r="D231" s="399">
        <v>108</v>
      </c>
      <c r="E231" s="12">
        <f>D231/2</f>
        <v>54</v>
      </c>
    </row>
    <row r="232" spans="1:5" ht="21.75" customHeight="1" x14ac:dyDescent="0.2">
      <c r="A232" s="1614">
        <v>10</v>
      </c>
      <c r="B232" s="1615" t="s">
        <v>757</v>
      </c>
      <c r="C232" s="1621">
        <v>7</v>
      </c>
      <c r="D232" s="1617">
        <v>26.5</v>
      </c>
      <c r="E232" s="1618">
        <f t="shared" si="2"/>
        <v>185.5</v>
      </c>
    </row>
    <row r="233" spans="1:5" ht="21.75" customHeight="1" thickBot="1" x14ac:dyDescent="0.25">
      <c r="A233" s="1622">
        <v>11</v>
      </c>
      <c r="B233" s="1623" t="s">
        <v>5956</v>
      </c>
      <c r="C233" s="1624">
        <v>520</v>
      </c>
      <c r="D233" s="1625">
        <v>0.53</v>
      </c>
      <c r="E233" s="1626">
        <f t="shared" si="2"/>
        <v>275.60000000000002</v>
      </c>
    </row>
    <row r="234" spans="1:5" ht="18.75" customHeight="1" thickBot="1" x14ac:dyDescent="0.25">
      <c r="A234" s="24"/>
      <c r="B234" s="717"/>
      <c r="C234" s="3680" t="s">
        <v>772</v>
      </c>
      <c r="D234" s="3681"/>
      <c r="E234" s="448">
        <f>SUM(E223:E233)</f>
        <v>1663.7750000000001</v>
      </c>
    </row>
    <row r="235" spans="1:5" x14ac:dyDescent="0.2">
      <c r="A235" s="24"/>
      <c r="B235" s="717"/>
      <c r="C235" s="1606"/>
      <c r="D235" s="1"/>
      <c r="E235" s="1"/>
    </row>
    <row r="236" spans="1:5" x14ac:dyDescent="0.2">
      <c r="A236" s="24"/>
      <c r="B236" s="717"/>
      <c r="C236" s="1606"/>
      <c r="D236" s="1"/>
      <c r="E236" s="1"/>
    </row>
    <row r="237" spans="1:5" x14ac:dyDescent="0.2">
      <c r="A237" s="24"/>
      <c r="B237" s="3109" t="s">
        <v>773</v>
      </c>
      <c r="C237" s="3109"/>
      <c r="D237" s="3109"/>
      <c r="E237" s="550">
        <v>400</v>
      </c>
    </row>
    <row r="238" spans="1:5" x14ac:dyDescent="0.2">
      <c r="A238" s="24"/>
      <c r="B238" s="1505"/>
      <c r="C238" s="3102" t="s">
        <v>774</v>
      </c>
      <c r="D238" s="3102"/>
      <c r="E238" s="550"/>
    </row>
    <row r="239" spans="1:5" x14ac:dyDescent="0.2">
      <c r="A239" s="24"/>
      <c r="B239" s="1505"/>
      <c r="C239" s="3102" t="s">
        <v>772</v>
      </c>
      <c r="D239" s="3102"/>
      <c r="E239" s="550">
        <f>E234+E237</f>
        <v>2063.7750000000001</v>
      </c>
    </row>
    <row r="240" spans="1:5" x14ac:dyDescent="0.2">
      <c r="A240" s="24"/>
      <c r="D240"/>
    </row>
    <row r="241" spans="1:5" ht="13.5" thickBot="1" x14ac:dyDescent="0.25">
      <c r="A241" s="24"/>
      <c r="D241"/>
    </row>
    <row r="242" spans="1:5" ht="21.75" customHeight="1" thickBot="1" x14ac:dyDescent="0.3">
      <c r="A242" s="3669" t="s">
        <v>5957</v>
      </c>
      <c r="B242" s="3670"/>
      <c r="C242" s="3670"/>
      <c r="D242" s="3670"/>
      <c r="E242" s="3671"/>
    </row>
    <row r="243" spans="1:5" ht="20.25" customHeight="1" thickBot="1" x14ac:dyDescent="0.25">
      <c r="A243" s="1120" t="s">
        <v>5904</v>
      </c>
      <c r="B243" s="557" t="s">
        <v>722</v>
      </c>
      <c r="C243" s="1121" t="s">
        <v>723</v>
      </c>
      <c r="D243" s="558" t="s">
        <v>724</v>
      </c>
      <c r="E243" s="559" t="s">
        <v>725</v>
      </c>
    </row>
    <row r="244" spans="1:5" ht="21.75" customHeight="1" x14ac:dyDescent="0.2">
      <c r="A244" s="562">
        <v>1</v>
      </c>
      <c r="B244" s="1627" t="s">
        <v>5958</v>
      </c>
      <c r="C244" s="1628">
        <v>15</v>
      </c>
      <c r="D244" s="1629">
        <v>32</v>
      </c>
      <c r="E244" s="1630">
        <f t="shared" ref="E244:E251" si="3">D244*C244</f>
        <v>480</v>
      </c>
    </row>
    <row r="245" spans="1:5" ht="21.75" customHeight="1" x14ac:dyDescent="0.2">
      <c r="A245" s="1631">
        <v>2</v>
      </c>
      <c r="B245" s="1632" t="s">
        <v>5948</v>
      </c>
      <c r="C245" s="1633">
        <v>0.8</v>
      </c>
      <c r="D245" s="1617">
        <v>20</v>
      </c>
      <c r="E245" s="1618">
        <f t="shared" si="3"/>
        <v>16</v>
      </c>
    </row>
    <row r="246" spans="1:5" ht="21.75" customHeight="1" x14ac:dyDescent="0.2">
      <c r="A246" s="1631">
        <v>3</v>
      </c>
      <c r="B246" s="1632" t="s">
        <v>5959</v>
      </c>
      <c r="C246" s="1621">
        <v>2</v>
      </c>
      <c r="D246" s="1617">
        <v>74.989999999999995</v>
      </c>
      <c r="E246" s="1618">
        <f t="shared" si="3"/>
        <v>149.97999999999999</v>
      </c>
    </row>
    <row r="247" spans="1:5" ht="21.75" customHeight="1" x14ac:dyDescent="0.2">
      <c r="A247" s="1614">
        <v>4</v>
      </c>
      <c r="B247" s="1615" t="s">
        <v>5960</v>
      </c>
      <c r="C247" s="1621">
        <v>2</v>
      </c>
      <c r="D247" s="1617">
        <v>35</v>
      </c>
      <c r="E247" s="1618">
        <f t="shared" si="3"/>
        <v>70</v>
      </c>
    </row>
    <row r="248" spans="1:5" ht="21.75" customHeight="1" x14ac:dyDescent="0.2">
      <c r="A248" s="1611">
        <v>5</v>
      </c>
      <c r="B248" s="1491" t="s">
        <v>5951</v>
      </c>
      <c r="C248" s="1634">
        <v>2</v>
      </c>
      <c r="D248" s="1635">
        <v>42</v>
      </c>
      <c r="E248" s="1636">
        <f t="shared" si="3"/>
        <v>84</v>
      </c>
    </row>
    <row r="249" spans="1:5" ht="21.75" customHeight="1" x14ac:dyDescent="0.2">
      <c r="A249" s="1613">
        <v>6</v>
      </c>
      <c r="B249" s="1496" t="s">
        <v>5952</v>
      </c>
      <c r="C249" s="1637">
        <v>3</v>
      </c>
      <c r="D249" s="1638">
        <v>37</v>
      </c>
      <c r="E249" s="1639">
        <f t="shared" si="3"/>
        <v>111</v>
      </c>
    </row>
    <row r="250" spans="1:5" ht="21.75" customHeight="1" x14ac:dyDescent="0.2">
      <c r="A250" s="1614">
        <v>7</v>
      </c>
      <c r="B250" s="1615" t="s">
        <v>5953</v>
      </c>
      <c r="C250" s="1619" t="s">
        <v>728</v>
      </c>
      <c r="D250" s="1617">
        <v>140</v>
      </c>
      <c r="E250" s="1618">
        <f t="shared" si="3"/>
        <v>140</v>
      </c>
    </row>
    <row r="251" spans="1:5" ht="21.75" customHeight="1" x14ac:dyDescent="0.2">
      <c r="A251" s="1614">
        <v>8</v>
      </c>
      <c r="B251" s="1615" t="s">
        <v>5954</v>
      </c>
      <c r="C251" s="1619" t="s">
        <v>728</v>
      </c>
      <c r="D251" s="1617">
        <v>7.45</v>
      </c>
      <c r="E251" s="1618">
        <f t="shared" si="3"/>
        <v>7.45</v>
      </c>
    </row>
    <row r="252" spans="1:5" ht="21.75" customHeight="1" x14ac:dyDescent="0.2">
      <c r="A252" s="1614">
        <v>9</v>
      </c>
      <c r="B252" s="1615" t="s">
        <v>5955</v>
      </c>
      <c r="C252" s="1619" t="s">
        <v>5923</v>
      </c>
      <c r="D252" s="1617">
        <v>100</v>
      </c>
      <c r="E252" s="1618">
        <f>D252/2</f>
        <v>50</v>
      </c>
    </row>
    <row r="253" spans="1:5" ht="21.75" customHeight="1" x14ac:dyDescent="0.2">
      <c r="A253" s="1614">
        <v>10</v>
      </c>
      <c r="B253" s="1615" t="s">
        <v>757</v>
      </c>
      <c r="C253" s="1621">
        <v>7</v>
      </c>
      <c r="D253" s="1617">
        <v>25</v>
      </c>
      <c r="E253" s="1618">
        <f>D253*C253</f>
        <v>175</v>
      </c>
    </row>
    <row r="254" spans="1:5" ht="21.75" customHeight="1" thickBot="1" x14ac:dyDescent="0.25">
      <c r="A254" s="1622">
        <v>11</v>
      </c>
      <c r="B254" s="1623" t="s">
        <v>5956</v>
      </c>
      <c r="C254" s="1624">
        <v>520</v>
      </c>
      <c r="D254" s="1625">
        <v>0.59</v>
      </c>
      <c r="E254" s="1626">
        <f>D254*C254</f>
        <v>306.8</v>
      </c>
    </row>
    <row r="255" spans="1:5" ht="18.75" customHeight="1" thickBot="1" x14ac:dyDescent="0.25">
      <c r="A255" s="24"/>
      <c r="B255" s="717"/>
      <c r="C255" s="3680" t="s">
        <v>772</v>
      </c>
      <c r="D255" s="3681"/>
      <c r="E255" s="448">
        <f>SUM(E244:E254)</f>
        <v>1590.23</v>
      </c>
    </row>
    <row r="256" spans="1:5" x14ac:dyDescent="0.2">
      <c r="A256" s="24"/>
      <c r="B256" s="717"/>
      <c r="C256" s="1606"/>
      <c r="D256" s="1"/>
      <c r="E256" s="1"/>
    </row>
    <row r="257" spans="1:5" x14ac:dyDescent="0.2">
      <c r="A257" s="24"/>
      <c r="B257" s="717"/>
      <c r="C257" s="1606"/>
      <c r="D257" s="1"/>
      <c r="E257" s="1"/>
    </row>
    <row r="258" spans="1:5" ht="13.5" customHeight="1" x14ac:dyDescent="0.2">
      <c r="A258" s="24"/>
      <c r="B258" s="3109" t="s">
        <v>773</v>
      </c>
      <c r="C258" s="3109"/>
      <c r="D258" s="3109"/>
      <c r="E258" s="550">
        <v>400</v>
      </c>
    </row>
    <row r="259" spans="1:5" x14ac:dyDescent="0.2">
      <c r="A259" s="24"/>
      <c r="B259" s="1505"/>
      <c r="C259" s="3102" t="s">
        <v>774</v>
      </c>
      <c r="D259" s="3102"/>
      <c r="E259" s="550"/>
    </row>
    <row r="260" spans="1:5" x14ac:dyDescent="0.2">
      <c r="A260" s="24"/>
      <c r="B260" s="1505"/>
      <c r="C260" s="3102" t="s">
        <v>772</v>
      </c>
      <c r="D260" s="3102"/>
      <c r="E260" s="550">
        <f>E255+E258</f>
        <v>1990.23</v>
      </c>
    </row>
    <row r="261" spans="1:5" x14ac:dyDescent="0.2">
      <c r="A261" s="24"/>
      <c r="B261" s="1505"/>
      <c r="C261" s="1506"/>
      <c r="D261" s="1506"/>
      <c r="E261" s="550"/>
    </row>
    <row r="262" spans="1:5" x14ac:dyDescent="0.2">
      <c r="A262" s="24"/>
      <c r="B262" s="1505"/>
      <c r="C262" s="1506"/>
      <c r="D262" s="1506"/>
      <c r="E262" s="550"/>
    </row>
    <row r="263" spans="1:5" ht="13.5" thickBot="1" x14ac:dyDescent="0.25">
      <c r="A263" s="24"/>
      <c r="B263" s="1505"/>
      <c r="C263" s="1506"/>
      <c r="D263" s="1506"/>
      <c r="E263" s="550"/>
    </row>
    <row r="264" spans="1:5" ht="28.5" customHeight="1" thickBot="1" x14ac:dyDescent="0.45">
      <c r="A264" s="3104" t="s">
        <v>5961</v>
      </c>
      <c r="B264" s="3105"/>
      <c r="C264" s="3105"/>
      <c r="D264" s="3105"/>
      <c r="E264" s="3509"/>
    </row>
    <row r="265" spans="1:5" ht="18.75" customHeight="1" thickBot="1" x14ac:dyDescent="0.25">
      <c r="A265" s="24"/>
      <c r="C265" s="554"/>
      <c r="D265" s="554"/>
      <c r="E265" s="82"/>
    </row>
    <row r="266" spans="1:5" ht="21.75" customHeight="1" thickBot="1" x14ac:dyDescent="0.3">
      <c r="A266" s="3663" t="s">
        <v>5962</v>
      </c>
      <c r="B266" s="3664"/>
      <c r="C266" s="3664"/>
      <c r="D266" s="3664"/>
      <c r="E266" s="3665"/>
    </row>
    <row r="267" spans="1:5" ht="20.25" customHeight="1" thickBot="1" x14ac:dyDescent="0.25">
      <c r="A267" s="597" t="s">
        <v>5904</v>
      </c>
      <c r="B267" s="598" t="s">
        <v>722</v>
      </c>
      <c r="C267" s="599" t="s">
        <v>723</v>
      </c>
      <c r="D267" s="600" t="s">
        <v>724</v>
      </c>
      <c r="E267" s="560" t="s">
        <v>725</v>
      </c>
    </row>
    <row r="268" spans="1:5" ht="21.75" customHeight="1" x14ac:dyDescent="0.2">
      <c r="A268" s="1640">
        <v>7</v>
      </c>
      <c r="B268" s="1627" t="s">
        <v>5954</v>
      </c>
      <c r="C268" s="1641" t="s">
        <v>728</v>
      </c>
      <c r="D268" s="1629">
        <v>7.45</v>
      </c>
      <c r="E268" s="1630">
        <f>D268*C268</f>
        <v>7.45</v>
      </c>
    </row>
    <row r="269" spans="1:5" ht="21.75" customHeight="1" x14ac:dyDescent="0.2">
      <c r="A269" s="1631">
        <v>6</v>
      </c>
      <c r="B269" s="1632" t="s">
        <v>5953</v>
      </c>
      <c r="C269" s="1642" t="s">
        <v>5923</v>
      </c>
      <c r="D269" s="1643">
        <v>121</v>
      </c>
      <c r="E269" s="1644">
        <f>D269/2</f>
        <v>60.5</v>
      </c>
    </row>
    <row r="270" spans="1:5" ht="21.75" customHeight="1" x14ac:dyDescent="0.2">
      <c r="A270" s="1614">
        <v>4</v>
      </c>
      <c r="B270" s="1615" t="s">
        <v>5951</v>
      </c>
      <c r="C270" s="1616">
        <v>6</v>
      </c>
      <c r="D270" s="1617">
        <v>14.95</v>
      </c>
      <c r="E270" s="1618">
        <f>D270*C270</f>
        <v>89.699999999999989</v>
      </c>
    </row>
    <row r="271" spans="1:5" ht="21.75" customHeight="1" x14ac:dyDescent="0.2">
      <c r="A271" s="1614">
        <v>5</v>
      </c>
      <c r="B271" s="1615" t="s">
        <v>5952</v>
      </c>
      <c r="C271" s="1616">
        <v>7.5</v>
      </c>
      <c r="D271" s="1617">
        <v>14.95</v>
      </c>
      <c r="E271" s="1618">
        <f>D271*C271</f>
        <v>112.125</v>
      </c>
    </row>
    <row r="272" spans="1:5" ht="21.75" customHeight="1" x14ac:dyDescent="0.2">
      <c r="A272" s="1631">
        <v>8</v>
      </c>
      <c r="B272" s="1632" t="s">
        <v>757</v>
      </c>
      <c r="C272" s="1645">
        <v>1</v>
      </c>
      <c r="D272" s="1643">
        <v>26.5</v>
      </c>
      <c r="E272" s="1644">
        <f>D272*C272</f>
        <v>26.5</v>
      </c>
    </row>
    <row r="273" spans="1:5" ht="21.75" customHeight="1" thickBot="1" x14ac:dyDescent="0.25">
      <c r="A273" s="1646">
        <v>9</v>
      </c>
      <c r="B273" s="1623" t="s">
        <v>5956</v>
      </c>
      <c r="C273" s="1624">
        <v>100</v>
      </c>
      <c r="D273" s="1625">
        <v>0.53</v>
      </c>
      <c r="E273" s="1626">
        <f>D273*C273</f>
        <v>53</v>
      </c>
    </row>
    <row r="274" spans="1:5" ht="18.75" customHeight="1" thickBot="1" x14ac:dyDescent="0.25">
      <c r="A274" s="24"/>
      <c r="C274" s="3510" t="s">
        <v>772</v>
      </c>
      <c r="D274" s="3512"/>
      <c r="E274" s="175">
        <f>SUM(E268:E273)</f>
        <v>349.27499999999998</v>
      </c>
    </row>
    <row r="275" spans="1:5" ht="18" customHeight="1" thickBot="1" x14ac:dyDescent="0.25">
      <c r="A275" s="24"/>
      <c r="C275" s="3510" t="s">
        <v>5572</v>
      </c>
      <c r="D275" s="3512"/>
      <c r="E275" s="175">
        <v>0</v>
      </c>
    </row>
    <row r="276" spans="1:5" ht="18.75" customHeight="1" thickBot="1" x14ac:dyDescent="0.25">
      <c r="A276" s="24"/>
      <c r="C276" s="3586" t="s">
        <v>5963</v>
      </c>
      <c r="D276" s="3588"/>
      <c r="E276" s="448">
        <f>E274-E275</f>
        <v>349.27499999999998</v>
      </c>
    </row>
    <row r="277" spans="1:5" ht="20.25" customHeight="1" thickBot="1" x14ac:dyDescent="0.25">
      <c r="A277" s="24"/>
      <c r="D277"/>
    </row>
    <row r="278" spans="1:5" ht="21.75" customHeight="1" thickBot="1" x14ac:dyDescent="0.3">
      <c r="A278" s="3669" t="s">
        <v>5964</v>
      </c>
      <c r="B278" s="3670"/>
      <c r="C278" s="3670"/>
      <c r="D278" s="3670"/>
      <c r="E278" s="3671"/>
    </row>
    <row r="279" spans="1:5" ht="20.25" customHeight="1" thickBot="1" x14ac:dyDescent="0.25">
      <c r="A279" s="1120" t="s">
        <v>5904</v>
      </c>
      <c r="B279" s="557" t="s">
        <v>722</v>
      </c>
      <c r="C279" s="1121" t="s">
        <v>723</v>
      </c>
      <c r="D279" s="558" t="s">
        <v>724</v>
      </c>
      <c r="E279" s="559" t="s">
        <v>725</v>
      </c>
    </row>
    <row r="280" spans="1:5" ht="18" customHeight="1" thickBot="1" x14ac:dyDescent="0.25">
      <c r="A280" s="3677" t="s">
        <v>5965</v>
      </c>
      <c r="B280" s="3678"/>
      <c r="C280" s="3678"/>
      <c r="D280" s="3678"/>
      <c r="E280" s="3679"/>
    </row>
    <row r="281" spans="1:5" ht="21.75" customHeight="1" x14ac:dyDescent="0.2">
      <c r="A281" s="1631">
        <v>6</v>
      </c>
      <c r="B281" s="1632" t="s">
        <v>5953</v>
      </c>
      <c r="C281" s="1642" t="s">
        <v>5923</v>
      </c>
      <c r="D281" s="1643">
        <v>140</v>
      </c>
      <c r="E281" s="1644">
        <f>D281/2</f>
        <v>70</v>
      </c>
    </row>
    <row r="282" spans="1:5" ht="21.75" customHeight="1" x14ac:dyDescent="0.2">
      <c r="A282" s="1614">
        <v>7</v>
      </c>
      <c r="B282" s="1615" t="s">
        <v>5955</v>
      </c>
      <c r="C282" s="1619" t="s">
        <v>5923</v>
      </c>
      <c r="D282" s="1617">
        <v>100</v>
      </c>
      <c r="E282" s="1618">
        <f>D282/2</f>
        <v>50</v>
      </c>
    </row>
    <row r="283" spans="1:5" ht="21.75" customHeight="1" x14ac:dyDescent="0.2">
      <c r="A283" s="1614">
        <v>8</v>
      </c>
      <c r="B283" s="1615" t="s">
        <v>757</v>
      </c>
      <c r="C283" s="1621">
        <v>5</v>
      </c>
      <c r="D283" s="1617">
        <v>25</v>
      </c>
      <c r="E283" s="1618">
        <f>D283*C283</f>
        <v>125</v>
      </c>
    </row>
    <row r="284" spans="1:5" ht="21.75" customHeight="1" thickBot="1" x14ac:dyDescent="0.25">
      <c r="A284" s="1646">
        <v>9</v>
      </c>
      <c r="B284" s="1623" t="s">
        <v>5956</v>
      </c>
      <c r="C284" s="1624">
        <v>400</v>
      </c>
      <c r="D284" s="1625">
        <v>0.59</v>
      </c>
      <c r="E284" s="1626">
        <f>D284*C284</f>
        <v>236</v>
      </c>
    </row>
    <row r="285" spans="1:5" ht="18.75" customHeight="1" thickBot="1" x14ac:dyDescent="0.25">
      <c r="A285" s="24"/>
      <c r="C285" s="3675" t="s">
        <v>772</v>
      </c>
      <c r="D285" s="3676"/>
      <c r="E285" s="553">
        <f>SUM(E281:E284)</f>
        <v>481</v>
      </c>
    </row>
    <row r="286" spans="1:5" ht="19.5" customHeight="1" thickBot="1" x14ac:dyDescent="0.25">
      <c r="A286" s="24"/>
      <c r="C286" s="3510" t="s">
        <v>5966</v>
      </c>
      <c r="D286" s="3512"/>
      <c r="E286" s="175">
        <f>E285*7%</f>
        <v>33.67</v>
      </c>
    </row>
    <row r="287" spans="1:5" ht="18.75" customHeight="1" thickBot="1" x14ac:dyDescent="0.25">
      <c r="A287" s="24"/>
      <c r="C287" s="3586" t="s">
        <v>5963</v>
      </c>
      <c r="D287" s="3588"/>
      <c r="E287" s="448">
        <f>E285-E286</f>
        <v>447.33</v>
      </c>
    </row>
    <row r="288" spans="1:5" ht="18.75" customHeight="1" thickBot="1" x14ac:dyDescent="0.25">
      <c r="A288" s="24"/>
      <c r="C288" s="554"/>
      <c r="D288" s="554"/>
      <c r="E288" s="82"/>
    </row>
    <row r="289" spans="1:5" ht="21.75" customHeight="1" thickBot="1" x14ac:dyDescent="0.3">
      <c r="A289" s="3669" t="s">
        <v>5964</v>
      </c>
      <c r="B289" s="3670"/>
      <c r="C289" s="3670"/>
      <c r="D289" s="3670"/>
      <c r="E289" s="3671"/>
    </row>
    <row r="290" spans="1:5" ht="20.25" customHeight="1" thickBot="1" x14ac:dyDescent="0.25">
      <c r="A290" s="1120" t="s">
        <v>5904</v>
      </c>
      <c r="B290" s="557" t="s">
        <v>722</v>
      </c>
      <c r="C290" s="1121" t="s">
        <v>723</v>
      </c>
      <c r="D290" s="558" t="s">
        <v>724</v>
      </c>
      <c r="E290" s="559" t="s">
        <v>725</v>
      </c>
    </row>
    <row r="291" spans="1:5" ht="18" customHeight="1" thickBot="1" x14ac:dyDescent="0.3">
      <c r="A291" s="3672" t="s">
        <v>5967</v>
      </c>
      <c r="B291" s="3673"/>
      <c r="C291" s="3673"/>
      <c r="D291" s="3673"/>
      <c r="E291" s="3674"/>
    </row>
    <row r="292" spans="1:5" ht="21.75" customHeight="1" x14ac:dyDescent="0.2">
      <c r="A292" s="562">
        <v>1</v>
      </c>
      <c r="B292" s="1627" t="s">
        <v>5958</v>
      </c>
      <c r="C292" s="1628">
        <v>10</v>
      </c>
      <c r="D292" s="1629">
        <v>32</v>
      </c>
      <c r="E292" s="1630">
        <f>D292*C292</f>
        <v>320</v>
      </c>
    </row>
    <row r="293" spans="1:5" ht="21.75" customHeight="1" x14ac:dyDescent="0.2">
      <c r="A293" s="1631">
        <v>2</v>
      </c>
      <c r="B293" s="1632" t="s">
        <v>5948</v>
      </c>
      <c r="C293" s="1633">
        <v>0.8</v>
      </c>
      <c r="D293" s="1617">
        <v>20</v>
      </c>
      <c r="E293" s="1618">
        <f>D293*C293</f>
        <v>16</v>
      </c>
    </row>
    <row r="294" spans="1:5" ht="21.75" customHeight="1" x14ac:dyDescent="0.2">
      <c r="A294" s="1631">
        <v>3</v>
      </c>
      <c r="B294" s="1632" t="s">
        <v>5959</v>
      </c>
      <c r="C294" s="1621">
        <v>2</v>
      </c>
      <c r="D294" s="1617">
        <v>74.989999999999995</v>
      </c>
      <c r="E294" s="1618">
        <f>D294*C294</f>
        <v>149.97999999999999</v>
      </c>
    </row>
    <row r="295" spans="1:5" ht="21.75" customHeight="1" thickBot="1" x14ac:dyDescent="0.25">
      <c r="A295" s="1646">
        <v>4</v>
      </c>
      <c r="B295" s="1623" t="s">
        <v>5960</v>
      </c>
      <c r="C295" s="1624">
        <v>2</v>
      </c>
      <c r="D295" s="1625">
        <v>35</v>
      </c>
      <c r="E295" s="1626">
        <f>D295*C295</f>
        <v>70</v>
      </c>
    </row>
    <row r="296" spans="1:5" ht="18.75" customHeight="1" thickBot="1" x14ac:dyDescent="0.25">
      <c r="A296" s="24"/>
      <c r="C296" s="3675" t="s">
        <v>772</v>
      </c>
      <c r="D296" s="3676"/>
      <c r="E296" s="553">
        <f>SUM(E292:E295)</f>
        <v>555.98</v>
      </c>
    </row>
    <row r="297" spans="1:5" ht="19.5" customHeight="1" thickBot="1" x14ac:dyDescent="0.25">
      <c r="A297" s="24"/>
      <c r="C297" s="3510" t="s">
        <v>5572</v>
      </c>
      <c r="D297" s="3512"/>
      <c r="E297" s="175"/>
    </row>
    <row r="298" spans="1:5" ht="18.75" customHeight="1" thickBot="1" x14ac:dyDescent="0.25">
      <c r="A298" s="24"/>
      <c r="C298" s="3586" t="s">
        <v>5963</v>
      </c>
      <c r="D298" s="3588"/>
      <c r="E298" s="448">
        <f>E296-E297</f>
        <v>555.98</v>
      </c>
    </row>
    <row r="299" spans="1:5" ht="18.75" customHeight="1" x14ac:dyDescent="0.2">
      <c r="A299" s="24"/>
      <c r="C299" s="554"/>
      <c r="D299" s="554"/>
      <c r="E299" s="82"/>
    </row>
    <row r="300" spans="1:5" ht="18.75" customHeight="1" thickBot="1" x14ac:dyDescent="0.25">
      <c r="A300" s="24"/>
      <c r="C300" s="554"/>
      <c r="D300" s="554"/>
      <c r="E300" s="82"/>
    </row>
    <row r="301" spans="1:5" ht="21.75" customHeight="1" thickBot="1" x14ac:dyDescent="0.3">
      <c r="A301" s="3669" t="s">
        <v>5964</v>
      </c>
      <c r="B301" s="3670"/>
      <c r="C301" s="3670"/>
      <c r="D301" s="3670"/>
      <c r="E301" s="3671"/>
    </row>
    <row r="302" spans="1:5" ht="20.25" customHeight="1" thickBot="1" x14ac:dyDescent="0.25">
      <c r="A302" s="1120" t="s">
        <v>5904</v>
      </c>
      <c r="B302" s="557" t="s">
        <v>722</v>
      </c>
      <c r="C302" s="1121" t="s">
        <v>723</v>
      </c>
      <c r="D302" s="558" t="s">
        <v>724</v>
      </c>
      <c r="E302" s="559" t="s">
        <v>725</v>
      </c>
    </row>
    <row r="303" spans="1:5" ht="18" customHeight="1" thickBot="1" x14ac:dyDescent="0.3">
      <c r="A303" s="3672" t="s">
        <v>5968</v>
      </c>
      <c r="B303" s="3673"/>
      <c r="C303" s="3673"/>
      <c r="D303" s="3673"/>
      <c r="E303" s="3674"/>
    </row>
    <row r="304" spans="1:5" ht="21.75" customHeight="1" x14ac:dyDescent="0.2">
      <c r="A304" s="562">
        <v>1</v>
      </c>
      <c r="B304" s="1627" t="s">
        <v>5958</v>
      </c>
      <c r="C304" s="1628">
        <v>5</v>
      </c>
      <c r="D304" s="1629">
        <v>32</v>
      </c>
      <c r="E304" s="1630">
        <f>D304*C304</f>
        <v>160</v>
      </c>
    </row>
    <row r="305" spans="1:5" ht="21.75" customHeight="1" x14ac:dyDescent="0.2">
      <c r="A305" s="1631">
        <v>2</v>
      </c>
      <c r="B305" s="1632" t="s">
        <v>5948</v>
      </c>
      <c r="C305" s="1633">
        <v>10</v>
      </c>
      <c r="D305" s="1617">
        <v>0.8</v>
      </c>
      <c r="E305" s="1618">
        <f>D305*C305</f>
        <v>8</v>
      </c>
    </row>
    <row r="306" spans="1:5" ht="21.75" customHeight="1" thickBot="1" x14ac:dyDescent="0.25">
      <c r="A306" s="1647">
        <v>3</v>
      </c>
      <c r="B306" s="1648" t="s">
        <v>757</v>
      </c>
      <c r="C306" s="1649">
        <v>1</v>
      </c>
      <c r="D306" s="1650">
        <v>25</v>
      </c>
      <c r="E306" s="1651">
        <f>D306*C306</f>
        <v>25</v>
      </c>
    </row>
    <row r="307" spans="1:5" ht="18.75" customHeight="1" thickBot="1" x14ac:dyDescent="0.25">
      <c r="A307" s="24"/>
      <c r="C307" s="3675" t="s">
        <v>772</v>
      </c>
      <c r="D307" s="3676"/>
      <c r="E307" s="553">
        <f>SUM(E304:E306)</f>
        <v>193</v>
      </c>
    </row>
    <row r="308" spans="1:5" ht="19.5" customHeight="1" thickBot="1" x14ac:dyDescent="0.25">
      <c r="A308" s="24"/>
      <c r="C308" s="3510" t="s">
        <v>5572</v>
      </c>
      <c r="D308" s="3512"/>
      <c r="E308" s="175"/>
    </row>
    <row r="309" spans="1:5" ht="18.75" customHeight="1" thickBot="1" x14ac:dyDescent="0.25">
      <c r="A309" s="24"/>
      <c r="C309" s="3586" t="s">
        <v>5963</v>
      </c>
      <c r="D309" s="3588"/>
      <c r="E309" s="448">
        <f>E307-E308</f>
        <v>193</v>
      </c>
    </row>
    <row r="310" spans="1:5" ht="18.75" customHeight="1" thickBot="1" x14ac:dyDescent="0.25">
      <c r="A310" s="24"/>
      <c r="C310" s="554"/>
      <c r="D310" s="554"/>
      <c r="E310" s="82"/>
    </row>
    <row r="311" spans="1:5" ht="21.75" customHeight="1" thickBot="1" x14ac:dyDescent="0.3">
      <c r="A311" s="3663" t="s">
        <v>5962</v>
      </c>
      <c r="B311" s="3664"/>
      <c r="C311" s="3664"/>
      <c r="D311" s="3664"/>
      <c r="E311" s="3665"/>
    </row>
    <row r="312" spans="1:5" ht="20.25" customHeight="1" thickBot="1" x14ac:dyDescent="0.25">
      <c r="A312" s="597" t="s">
        <v>5904</v>
      </c>
      <c r="B312" s="598" t="s">
        <v>722</v>
      </c>
      <c r="C312" s="599" t="s">
        <v>723</v>
      </c>
      <c r="D312" s="600" t="s">
        <v>724</v>
      </c>
      <c r="E312" s="560" t="s">
        <v>725</v>
      </c>
    </row>
    <row r="313" spans="1:5" ht="18" customHeight="1" thickBot="1" x14ac:dyDescent="0.3">
      <c r="A313" s="3666" t="s">
        <v>5969</v>
      </c>
      <c r="B313" s="3667"/>
      <c r="C313" s="3667"/>
      <c r="D313" s="3667"/>
      <c r="E313" s="3668"/>
    </row>
    <row r="314" spans="1:5" ht="21.75" customHeight="1" x14ac:dyDescent="0.2">
      <c r="A314" s="1631">
        <v>8</v>
      </c>
      <c r="B314" s="1632" t="s">
        <v>757</v>
      </c>
      <c r="C314" s="1645">
        <v>1</v>
      </c>
      <c r="D314" s="1643">
        <v>26.5</v>
      </c>
      <c r="E314" s="1644">
        <f>D314*C314</f>
        <v>26.5</v>
      </c>
    </row>
    <row r="315" spans="1:5" ht="21.75" customHeight="1" thickBot="1" x14ac:dyDescent="0.25">
      <c r="A315" s="1646">
        <v>9</v>
      </c>
      <c r="B315" s="1623" t="s">
        <v>5956</v>
      </c>
      <c r="C315" s="1624">
        <v>20</v>
      </c>
      <c r="D315" s="1625">
        <v>0.53</v>
      </c>
      <c r="E315" s="1626">
        <f>D315*C315</f>
        <v>10.600000000000001</v>
      </c>
    </row>
    <row r="316" spans="1:5" ht="18.75" customHeight="1" thickBot="1" x14ac:dyDescent="0.25">
      <c r="A316" s="24"/>
      <c r="C316" s="3510" t="s">
        <v>772</v>
      </c>
      <c r="D316" s="3512"/>
      <c r="E316" s="175">
        <f>SUM(E314:E315)</f>
        <v>37.1</v>
      </c>
    </row>
    <row r="317" spans="1:5" ht="18" customHeight="1" thickBot="1" x14ac:dyDescent="0.25">
      <c r="A317" s="24"/>
      <c r="C317" s="3510" t="s">
        <v>5572</v>
      </c>
      <c r="D317" s="3512"/>
      <c r="E317" s="175">
        <v>0</v>
      </c>
    </row>
    <row r="318" spans="1:5" ht="18.75" customHeight="1" thickBot="1" x14ac:dyDescent="0.25">
      <c r="A318" s="24"/>
      <c r="C318" s="3586" t="s">
        <v>5963</v>
      </c>
      <c r="D318" s="3588"/>
      <c r="E318" s="448">
        <f>E316-E317</f>
        <v>37.1</v>
      </c>
    </row>
    <row r="319" spans="1:5" x14ac:dyDescent="0.2">
      <c r="A319" s="24"/>
      <c r="D319"/>
    </row>
    <row r="320" spans="1:5" x14ac:dyDescent="0.2">
      <c r="A320" s="24"/>
      <c r="D320"/>
    </row>
    <row r="321" spans="1:5" x14ac:dyDescent="0.2">
      <c r="A321" s="24"/>
      <c r="D321" s="717" t="s">
        <v>5970</v>
      </c>
      <c r="E321" s="1">
        <f>E276+E287+E298+E309+E318</f>
        <v>1582.6849999999999</v>
      </c>
    </row>
    <row r="322" spans="1:5" x14ac:dyDescent="0.2">
      <c r="A322" s="24"/>
      <c r="D322" s="717" t="s">
        <v>3664</v>
      </c>
      <c r="E322" s="1">
        <v>400</v>
      </c>
    </row>
    <row r="323" spans="1:5" x14ac:dyDescent="0.2">
      <c r="A323" s="24"/>
      <c r="D323" s="32" t="s">
        <v>5971</v>
      </c>
      <c r="E323" s="231">
        <f>SUM(E321:E322)</f>
        <v>1982.6849999999999</v>
      </c>
    </row>
    <row r="324" spans="1:5" x14ac:dyDescent="0.2">
      <c r="A324" s="24"/>
      <c r="D324"/>
    </row>
    <row r="325" spans="1:5" x14ac:dyDescent="0.2">
      <c r="A325" s="24"/>
      <c r="D325"/>
    </row>
    <row r="326" spans="1:5" x14ac:dyDescent="0.2">
      <c r="A326" s="24"/>
      <c r="D326"/>
    </row>
    <row r="327" spans="1:5" x14ac:dyDescent="0.2">
      <c r="A327" s="24"/>
      <c r="D327"/>
    </row>
    <row r="328" spans="1:5" x14ac:dyDescent="0.2">
      <c r="A328" s="24"/>
      <c r="D328"/>
    </row>
    <row r="329" spans="1:5" x14ac:dyDescent="0.2">
      <c r="A329" s="24"/>
      <c r="D329"/>
    </row>
    <row r="330" spans="1:5" x14ac:dyDescent="0.2">
      <c r="A330" s="24"/>
      <c r="D330"/>
    </row>
    <row r="331" spans="1:5" x14ac:dyDescent="0.2">
      <c r="A331" s="24"/>
      <c r="D331"/>
    </row>
    <row r="332" spans="1:5" x14ac:dyDescent="0.2">
      <c r="A332" s="24"/>
      <c r="D332"/>
    </row>
    <row r="333" spans="1:5" x14ac:dyDescent="0.2">
      <c r="A333" s="24"/>
      <c r="D333"/>
    </row>
    <row r="334" spans="1:5" x14ac:dyDescent="0.2">
      <c r="A334" s="24"/>
      <c r="D334"/>
    </row>
    <row r="335" spans="1:5" x14ac:dyDescent="0.2">
      <c r="A335" s="24"/>
      <c r="D335"/>
    </row>
    <row r="336" spans="1:5" x14ac:dyDescent="0.2">
      <c r="A336" s="24"/>
      <c r="D336"/>
    </row>
    <row r="337" spans="1:4" x14ac:dyDescent="0.2">
      <c r="A337" s="24"/>
      <c r="D337"/>
    </row>
    <row r="338" spans="1:4" x14ac:dyDescent="0.2">
      <c r="A338" s="24"/>
      <c r="D338"/>
    </row>
  </sheetData>
  <mergeCells count="70">
    <mergeCell ref="F24:G24"/>
    <mergeCell ref="F25:G25"/>
    <mergeCell ref="F10:G10"/>
    <mergeCell ref="F5:H5"/>
    <mergeCell ref="F11:G11"/>
    <mergeCell ref="F12:G12"/>
    <mergeCell ref="F15:H15"/>
    <mergeCell ref="F23:G23"/>
    <mergeCell ref="B125:C125"/>
    <mergeCell ref="A1:D1"/>
    <mergeCell ref="B51:C51"/>
    <mergeCell ref="B52:C52"/>
    <mergeCell ref="B53:C53"/>
    <mergeCell ref="A55:D55"/>
    <mergeCell ref="B123:C123"/>
    <mergeCell ref="B124:C124"/>
    <mergeCell ref="B71:C71"/>
    <mergeCell ref="A77:D77"/>
    <mergeCell ref="A143:E143"/>
    <mergeCell ref="C163:D163"/>
    <mergeCell ref="B166:D166"/>
    <mergeCell ref="C167:D167"/>
    <mergeCell ref="C168:D168"/>
    <mergeCell ref="C197:D197"/>
    <mergeCell ref="C200:D200"/>
    <mergeCell ref="C201:D201"/>
    <mergeCell ref="C202:D202"/>
    <mergeCell ref="C169:D169"/>
    <mergeCell ref="B186:D186"/>
    <mergeCell ref="C187:D187"/>
    <mergeCell ref="C188:D188"/>
    <mergeCell ref="A192:E192"/>
    <mergeCell ref="A219:E219"/>
    <mergeCell ref="A221:E221"/>
    <mergeCell ref="C234:D234"/>
    <mergeCell ref="B237:D237"/>
    <mergeCell ref="C238:D238"/>
    <mergeCell ref="C239:D239"/>
    <mergeCell ref="A242:E242"/>
    <mergeCell ref="C255:D255"/>
    <mergeCell ref="B258:D258"/>
    <mergeCell ref="C259:D259"/>
    <mergeCell ref="C260:D260"/>
    <mergeCell ref="A264:E264"/>
    <mergeCell ref="A266:E266"/>
    <mergeCell ref="C274:D274"/>
    <mergeCell ref="C275:D275"/>
    <mergeCell ref="C296:D296"/>
    <mergeCell ref="C297:D297"/>
    <mergeCell ref="C276:D276"/>
    <mergeCell ref="A278:E278"/>
    <mergeCell ref="A280:E280"/>
    <mergeCell ref="C285:D285"/>
    <mergeCell ref="C286:D286"/>
    <mergeCell ref="C318:D318"/>
    <mergeCell ref="A140:E140"/>
    <mergeCell ref="A216:E216"/>
    <mergeCell ref="C309:D309"/>
    <mergeCell ref="A311:E311"/>
    <mergeCell ref="A313:E313"/>
    <mergeCell ref="C316:D316"/>
    <mergeCell ref="C317:D317"/>
    <mergeCell ref="C298:D298"/>
    <mergeCell ref="A301:E301"/>
    <mergeCell ref="A303:E303"/>
    <mergeCell ref="C307:D307"/>
    <mergeCell ref="C308:D308"/>
    <mergeCell ref="C287:D287"/>
    <mergeCell ref="A289:E289"/>
    <mergeCell ref="A291:E291"/>
  </mergeCells>
  <phoneticPr fontId="0" type="noConversion"/>
  <pageMargins left="0.35" right="0.14000000000000001" top="0.2" bottom="0.5" header="0.22" footer="0.49212598499999999"/>
  <pageSetup paperSize="9" scale="85" orientation="portrait" horizontalDpi="300" verticalDpi="300" r:id="rId1"/>
  <headerFooter alignWithMargins="0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Plan46"/>
  <dimension ref="A1:H15"/>
  <sheetViews>
    <sheetView zoomScale="90" zoomScaleNormal="90" workbookViewId="0">
      <pane ySplit="2" topLeftCell="A3" activePane="bottomLeft" state="frozen"/>
      <selection activeCell="C44" sqref="C44"/>
      <selection pane="bottomLeft" activeCell="G151" sqref="G151"/>
    </sheetView>
  </sheetViews>
  <sheetFormatPr defaultColWidth="9.140625" defaultRowHeight="15" x14ac:dyDescent="0.25"/>
  <cols>
    <col min="1" max="1" width="12" style="79" bestFit="1" customWidth="1"/>
    <col min="2" max="2" width="40" style="79" customWidth="1"/>
    <col min="3" max="3" width="15.5703125" style="85" customWidth="1"/>
    <col min="4" max="4" width="16.140625" style="89" bestFit="1" customWidth="1"/>
    <col min="5" max="5" width="19.85546875" style="79" customWidth="1"/>
    <col min="6" max="6" width="14.7109375" style="79" customWidth="1"/>
    <col min="7" max="7" width="21.5703125" style="79" customWidth="1"/>
    <col min="8" max="8" width="13.7109375" style="79" customWidth="1"/>
    <col min="9" max="9" width="10.28515625" style="79" customWidth="1"/>
    <col min="10" max="10" width="10" style="79" customWidth="1"/>
    <col min="11" max="11" width="9.28515625" style="79" bestFit="1" customWidth="1"/>
    <col min="12" max="12" width="11.5703125" style="79" bestFit="1" customWidth="1"/>
    <col min="13" max="16384" width="9.140625" style="79"/>
  </cols>
  <sheetData>
    <row r="1" spans="1:8" ht="27" customHeight="1" thickBot="1" x14ac:dyDescent="0.3">
      <c r="A1" s="3718" t="s">
        <v>5972</v>
      </c>
      <c r="B1" s="3719"/>
      <c r="C1" s="3719"/>
      <c r="D1" s="3719"/>
      <c r="E1" s="3719"/>
      <c r="F1" s="3719"/>
      <c r="G1" s="3719"/>
      <c r="H1" s="3720"/>
    </row>
    <row r="2" spans="1:8" ht="31.5" customHeight="1" thickBot="1" x14ac:dyDescent="0.3">
      <c r="A2" s="492" t="s">
        <v>2</v>
      </c>
      <c r="B2" s="493" t="s">
        <v>3</v>
      </c>
      <c r="C2" s="494" t="s">
        <v>5973</v>
      </c>
      <c r="D2" s="495" t="s">
        <v>5974</v>
      </c>
      <c r="E2" s="496" t="s">
        <v>5975</v>
      </c>
      <c r="F2" s="498" t="s">
        <v>5976</v>
      </c>
      <c r="G2" s="498" t="s">
        <v>5977</v>
      </c>
      <c r="H2" s="497" t="s">
        <v>5978</v>
      </c>
    </row>
    <row r="3" spans="1:8" x14ac:dyDescent="0.25">
      <c r="A3" s="487">
        <v>41461</v>
      </c>
      <c r="B3" s="489" t="s">
        <v>5979</v>
      </c>
      <c r="C3" s="488" t="s">
        <v>5980</v>
      </c>
      <c r="D3" s="1652">
        <v>100</v>
      </c>
      <c r="E3" s="490">
        <v>39</v>
      </c>
      <c r="F3" s="486">
        <v>0</v>
      </c>
      <c r="G3" s="490">
        <v>13</v>
      </c>
      <c r="H3" s="499">
        <f t="shared" ref="H3:H8" si="0">D3-E3-F3-G3</f>
        <v>48</v>
      </c>
    </row>
    <row r="4" spans="1:8" s="316" customFormat="1" x14ac:dyDescent="0.25">
      <c r="A4" s="1653">
        <v>41468</v>
      </c>
      <c r="B4" s="1177" t="s">
        <v>5981</v>
      </c>
      <c r="C4" s="871" t="s">
        <v>2210</v>
      </c>
      <c r="D4" s="1481">
        <v>100</v>
      </c>
      <c r="E4" s="491">
        <v>0</v>
      </c>
      <c r="F4" s="458">
        <v>0</v>
      </c>
      <c r="G4" s="491">
        <v>5</v>
      </c>
      <c r="H4" s="500">
        <f t="shared" si="0"/>
        <v>95</v>
      </c>
    </row>
    <row r="5" spans="1:8" s="224" customFormat="1" x14ac:dyDescent="0.25">
      <c r="A5" s="356">
        <v>41482</v>
      </c>
      <c r="B5" s="1654" t="s">
        <v>5982</v>
      </c>
      <c r="C5" s="871" t="s">
        <v>5983</v>
      </c>
      <c r="D5" s="1481">
        <v>100</v>
      </c>
      <c r="E5" s="491">
        <v>0</v>
      </c>
      <c r="F5" s="475">
        <v>10</v>
      </c>
      <c r="G5" s="509">
        <v>5</v>
      </c>
      <c r="H5" s="500">
        <f t="shared" si="0"/>
        <v>85</v>
      </c>
    </row>
    <row r="6" spans="1:8" s="224" customFormat="1" x14ac:dyDescent="0.25">
      <c r="A6" s="507">
        <v>41496</v>
      </c>
      <c r="B6" s="508" t="s">
        <v>5984</v>
      </c>
      <c r="C6" s="871" t="s">
        <v>5983</v>
      </c>
      <c r="D6" s="1481">
        <v>100</v>
      </c>
      <c r="E6" s="491">
        <v>0</v>
      </c>
      <c r="F6" s="458">
        <v>0</v>
      </c>
      <c r="G6" s="491">
        <v>11.6</v>
      </c>
      <c r="H6" s="500">
        <f t="shared" si="0"/>
        <v>88.4</v>
      </c>
    </row>
    <row r="7" spans="1:8" s="224" customFormat="1" x14ac:dyDescent="0.25">
      <c r="A7" s="507">
        <v>41510</v>
      </c>
      <c r="B7" s="508" t="s">
        <v>5985</v>
      </c>
      <c r="C7" s="1510" t="s">
        <v>5983</v>
      </c>
      <c r="D7" s="1481">
        <v>100</v>
      </c>
      <c r="E7" s="491">
        <v>0</v>
      </c>
      <c r="F7" s="458">
        <v>0</v>
      </c>
      <c r="G7" s="491">
        <v>5</v>
      </c>
      <c r="H7" s="500">
        <f t="shared" si="0"/>
        <v>95</v>
      </c>
    </row>
    <row r="8" spans="1:8" s="224" customFormat="1" x14ac:dyDescent="0.25">
      <c r="A8" s="507">
        <v>41517</v>
      </c>
      <c r="B8" s="508" t="s">
        <v>5986</v>
      </c>
      <c r="C8" s="1510" t="s">
        <v>5983</v>
      </c>
      <c r="D8" s="1481">
        <v>100</v>
      </c>
      <c r="E8" s="491">
        <v>0</v>
      </c>
      <c r="F8" s="458">
        <v>0</v>
      </c>
      <c r="G8" s="491">
        <v>5</v>
      </c>
      <c r="H8" s="500">
        <f t="shared" si="0"/>
        <v>95</v>
      </c>
    </row>
    <row r="9" spans="1:8" s="224" customFormat="1" x14ac:dyDescent="0.25">
      <c r="A9" s="356">
        <v>41524</v>
      </c>
      <c r="B9" s="1654" t="s">
        <v>5987</v>
      </c>
      <c r="C9" s="871" t="s">
        <v>5983</v>
      </c>
      <c r="D9" s="1481">
        <v>100</v>
      </c>
      <c r="E9" s="491">
        <v>0</v>
      </c>
      <c r="F9" s="475">
        <v>3</v>
      </c>
      <c r="G9" s="509">
        <v>5</v>
      </c>
      <c r="H9" s="500">
        <f>D9-E9-F9-G9</f>
        <v>92</v>
      </c>
    </row>
    <row r="10" spans="1:8" s="224" customFormat="1" x14ac:dyDescent="0.25">
      <c r="A10" s="356">
        <v>41531</v>
      </c>
      <c r="B10" s="1654" t="s">
        <v>5988</v>
      </c>
      <c r="C10" s="871" t="s">
        <v>5983</v>
      </c>
      <c r="D10" s="1481">
        <v>100</v>
      </c>
      <c r="E10" s="491">
        <v>0</v>
      </c>
      <c r="F10" s="491">
        <v>0</v>
      </c>
      <c r="G10" s="491">
        <v>7</v>
      </c>
      <c r="H10" s="500">
        <f>D10-E10-F10-G10</f>
        <v>93</v>
      </c>
    </row>
    <row r="11" spans="1:8" s="224" customFormat="1" x14ac:dyDescent="0.25">
      <c r="A11" s="356">
        <v>41538</v>
      </c>
      <c r="B11" s="1654" t="s">
        <v>5989</v>
      </c>
      <c r="C11" s="871" t="s">
        <v>5983</v>
      </c>
      <c r="D11" s="1481">
        <v>100</v>
      </c>
      <c r="E11" s="491">
        <v>0</v>
      </c>
      <c r="F11" s="491">
        <v>3</v>
      </c>
      <c r="G11" s="491">
        <v>3.5</v>
      </c>
      <c r="H11" s="500">
        <f>D11-F11-G11</f>
        <v>93.5</v>
      </c>
    </row>
    <row r="12" spans="1:8" s="224" customFormat="1" x14ac:dyDescent="0.25">
      <c r="A12" s="356">
        <v>41559</v>
      </c>
      <c r="B12" s="1654" t="s">
        <v>5990</v>
      </c>
      <c r="C12" s="871" t="s">
        <v>5983</v>
      </c>
      <c r="D12" s="1481">
        <v>100</v>
      </c>
      <c r="E12" s="491">
        <v>0</v>
      </c>
      <c r="F12" s="491">
        <v>3</v>
      </c>
      <c r="G12" s="491">
        <v>5</v>
      </c>
      <c r="H12" s="500">
        <f>D12-F12-G12</f>
        <v>92</v>
      </c>
    </row>
    <row r="13" spans="1:8" s="224" customFormat="1" x14ac:dyDescent="0.25">
      <c r="A13" s="507">
        <v>41566</v>
      </c>
      <c r="B13" s="508" t="s">
        <v>5991</v>
      </c>
      <c r="C13" s="871" t="s">
        <v>5983</v>
      </c>
      <c r="D13" s="1481">
        <v>100</v>
      </c>
      <c r="E13" s="491">
        <v>0</v>
      </c>
      <c r="F13" s="458">
        <v>3</v>
      </c>
      <c r="G13" s="491">
        <v>10</v>
      </c>
      <c r="H13" s="500">
        <f>D13-E13-F13-G13</f>
        <v>87</v>
      </c>
    </row>
    <row r="14" spans="1:8" s="224" customFormat="1" ht="15.75" thickBot="1" x14ac:dyDescent="0.3">
      <c r="A14" s="507"/>
      <c r="B14" s="1655"/>
      <c r="C14" s="1510"/>
      <c r="D14" s="1481"/>
      <c r="E14" s="491"/>
      <c r="F14" s="522"/>
      <c r="G14" s="505"/>
      <c r="H14" s="506"/>
    </row>
    <row r="15" spans="1:8" ht="25.5" customHeight="1" thickBot="1" x14ac:dyDescent="0.35">
      <c r="A15" s="3715" t="s">
        <v>388</v>
      </c>
      <c r="B15" s="3716"/>
      <c r="C15" s="3717"/>
      <c r="D15" s="501">
        <f>SUM(D3:D14)</f>
        <v>1100</v>
      </c>
      <c r="E15" s="502">
        <f>SUM(E3:E14)</f>
        <v>39</v>
      </c>
      <c r="F15" s="503">
        <f>SUM(F3:F14)</f>
        <v>22</v>
      </c>
      <c r="G15" s="502">
        <f>SUM(G3:G14)</f>
        <v>75.099999999999994</v>
      </c>
      <c r="H15" s="504">
        <f>SUM(H3:H14)</f>
        <v>963.9</v>
      </c>
    </row>
  </sheetData>
  <autoFilter ref="A2:H15" xr:uid="{00000000-0009-0000-0000-00009F000000}"/>
  <mergeCells count="2">
    <mergeCell ref="A15:C15"/>
    <mergeCell ref="A1:H1"/>
  </mergeCells>
  <pageMargins left="0.19685039370078741" right="0.47244094488188981" top="0.15748031496062992" bottom="0.15748031496062992" header="0.15748031496062992" footer="0.11811023622047245"/>
  <pageSetup paperSize="9" scale="85" orientation="portrait" r:id="rId1"/>
  <headerFooter alignWithMargins="0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Plan145"/>
  <dimension ref="A2:O59"/>
  <sheetViews>
    <sheetView workbookViewId="0">
      <selection activeCell="G22" sqref="G22"/>
    </sheetView>
  </sheetViews>
  <sheetFormatPr defaultRowHeight="15" x14ac:dyDescent="0.25"/>
  <cols>
    <col min="1" max="1" width="5.85546875" style="1231" customWidth="1"/>
    <col min="2" max="2" width="21.7109375" style="1230" customWidth="1"/>
    <col min="3" max="3" width="12.140625" style="1230" customWidth="1"/>
    <col min="4" max="4" width="10" style="1230" customWidth="1"/>
    <col min="5" max="5" width="18.28515625" style="1230" bestFit="1" customWidth="1"/>
    <col min="6" max="6" width="11.5703125" style="1230" customWidth="1"/>
    <col min="7" max="7" width="31.7109375" style="1230" bestFit="1" customWidth="1"/>
    <col min="8" max="8" width="14.140625" style="1230" customWidth="1"/>
    <col min="9" max="9" width="16.85546875" style="1230" customWidth="1"/>
    <col min="10" max="10" width="14.85546875" style="1230" customWidth="1"/>
    <col min="11" max="11" width="22.140625" style="1230" bestFit="1" customWidth="1"/>
    <col min="12" max="12" width="11.140625" style="1230" bestFit="1" customWidth="1"/>
    <col min="13" max="13" width="10.7109375" style="1230" bestFit="1" customWidth="1"/>
    <col min="14" max="14" width="18.28515625" style="1230" bestFit="1" customWidth="1"/>
    <col min="15" max="255" width="9.140625" style="1230"/>
    <col min="256" max="256" width="21.7109375" style="1230" customWidth="1"/>
    <col min="257" max="257" width="12.140625" style="1230" customWidth="1"/>
    <col min="258" max="258" width="10" style="1230" customWidth="1"/>
    <col min="259" max="259" width="18.28515625" style="1230" bestFit="1" customWidth="1"/>
    <col min="260" max="261" width="9.140625" style="1230"/>
    <col min="262" max="262" width="31.140625" style="1230" bestFit="1" customWidth="1"/>
    <col min="263" max="263" width="11.28515625" style="1230" customWidth="1"/>
    <col min="264" max="511" width="9.140625" style="1230"/>
    <col min="512" max="512" width="21.7109375" style="1230" customWidth="1"/>
    <col min="513" max="513" width="12.140625" style="1230" customWidth="1"/>
    <col min="514" max="514" width="10" style="1230" customWidth="1"/>
    <col min="515" max="515" width="18.28515625" style="1230" bestFit="1" customWidth="1"/>
    <col min="516" max="517" width="9.140625" style="1230"/>
    <col min="518" max="518" width="31.140625" style="1230" bestFit="1" customWidth="1"/>
    <col min="519" max="519" width="11.28515625" style="1230" customWidth="1"/>
    <col min="520" max="767" width="9.140625" style="1230"/>
    <col min="768" max="768" width="21.7109375" style="1230" customWidth="1"/>
    <col min="769" max="769" width="12.140625" style="1230" customWidth="1"/>
    <col min="770" max="770" width="10" style="1230" customWidth="1"/>
    <col min="771" max="771" width="18.28515625" style="1230" bestFit="1" customWidth="1"/>
    <col min="772" max="773" width="9.140625" style="1230"/>
    <col min="774" max="774" width="31.140625" style="1230" bestFit="1" customWidth="1"/>
    <col min="775" max="775" width="11.28515625" style="1230" customWidth="1"/>
    <col min="776" max="1023" width="9.140625" style="1230"/>
    <col min="1024" max="1024" width="21.7109375" style="1230" customWidth="1"/>
    <col min="1025" max="1025" width="12.140625" style="1230" customWidth="1"/>
    <col min="1026" max="1026" width="10" style="1230" customWidth="1"/>
    <col min="1027" max="1027" width="18.28515625" style="1230" bestFit="1" customWidth="1"/>
    <col min="1028" max="1029" width="9.140625" style="1230"/>
    <col min="1030" max="1030" width="31.140625" style="1230" bestFit="1" customWidth="1"/>
    <col min="1031" max="1031" width="11.28515625" style="1230" customWidth="1"/>
    <col min="1032" max="1279" width="9.140625" style="1230"/>
    <col min="1280" max="1280" width="21.7109375" style="1230" customWidth="1"/>
    <col min="1281" max="1281" width="12.140625" style="1230" customWidth="1"/>
    <col min="1282" max="1282" width="10" style="1230" customWidth="1"/>
    <col min="1283" max="1283" width="18.28515625" style="1230" bestFit="1" customWidth="1"/>
    <col min="1284" max="1285" width="9.140625" style="1230"/>
    <col min="1286" max="1286" width="31.140625" style="1230" bestFit="1" customWidth="1"/>
    <col min="1287" max="1287" width="11.28515625" style="1230" customWidth="1"/>
    <col min="1288" max="1535" width="9.140625" style="1230"/>
    <col min="1536" max="1536" width="21.7109375" style="1230" customWidth="1"/>
    <col min="1537" max="1537" width="12.140625" style="1230" customWidth="1"/>
    <col min="1538" max="1538" width="10" style="1230" customWidth="1"/>
    <col min="1539" max="1539" width="18.28515625" style="1230" bestFit="1" customWidth="1"/>
    <col min="1540" max="1541" width="9.140625" style="1230"/>
    <col min="1542" max="1542" width="31.140625" style="1230" bestFit="1" customWidth="1"/>
    <col min="1543" max="1543" width="11.28515625" style="1230" customWidth="1"/>
    <col min="1544" max="1791" width="9.140625" style="1230"/>
    <col min="1792" max="1792" width="21.7109375" style="1230" customWidth="1"/>
    <col min="1793" max="1793" width="12.140625" style="1230" customWidth="1"/>
    <col min="1794" max="1794" width="10" style="1230" customWidth="1"/>
    <col min="1795" max="1795" width="18.28515625" style="1230" bestFit="1" customWidth="1"/>
    <col min="1796" max="1797" width="9.140625" style="1230"/>
    <col min="1798" max="1798" width="31.140625" style="1230" bestFit="1" customWidth="1"/>
    <col min="1799" max="1799" width="11.28515625" style="1230" customWidth="1"/>
    <col min="1800" max="2047" width="9.140625" style="1230"/>
    <col min="2048" max="2048" width="21.7109375" style="1230" customWidth="1"/>
    <col min="2049" max="2049" width="12.140625" style="1230" customWidth="1"/>
    <col min="2050" max="2050" width="10" style="1230" customWidth="1"/>
    <col min="2051" max="2051" width="18.28515625" style="1230" bestFit="1" customWidth="1"/>
    <col min="2052" max="2053" width="9.140625" style="1230"/>
    <col min="2054" max="2054" width="31.140625" style="1230" bestFit="1" customWidth="1"/>
    <col min="2055" max="2055" width="11.28515625" style="1230" customWidth="1"/>
    <col min="2056" max="2303" width="9.140625" style="1230"/>
    <col min="2304" max="2304" width="21.7109375" style="1230" customWidth="1"/>
    <col min="2305" max="2305" width="12.140625" style="1230" customWidth="1"/>
    <col min="2306" max="2306" width="10" style="1230" customWidth="1"/>
    <col min="2307" max="2307" width="18.28515625" style="1230" bestFit="1" customWidth="1"/>
    <col min="2308" max="2309" width="9.140625" style="1230"/>
    <col min="2310" max="2310" width="31.140625" style="1230" bestFit="1" customWidth="1"/>
    <col min="2311" max="2311" width="11.28515625" style="1230" customWidth="1"/>
    <col min="2312" max="2559" width="9.140625" style="1230"/>
    <col min="2560" max="2560" width="21.7109375" style="1230" customWidth="1"/>
    <col min="2561" max="2561" width="12.140625" style="1230" customWidth="1"/>
    <col min="2562" max="2562" width="10" style="1230" customWidth="1"/>
    <col min="2563" max="2563" width="18.28515625" style="1230" bestFit="1" customWidth="1"/>
    <col min="2564" max="2565" width="9.140625" style="1230"/>
    <col min="2566" max="2566" width="31.140625" style="1230" bestFit="1" customWidth="1"/>
    <col min="2567" max="2567" width="11.28515625" style="1230" customWidth="1"/>
    <col min="2568" max="2815" width="9.140625" style="1230"/>
    <col min="2816" max="2816" width="21.7109375" style="1230" customWidth="1"/>
    <col min="2817" max="2817" width="12.140625" style="1230" customWidth="1"/>
    <col min="2818" max="2818" width="10" style="1230" customWidth="1"/>
    <col min="2819" max="2819" width="18.28515625" style="1230" bestFit="1" customWidth="1"/>
    <col min="2820" max="2821" width="9.140625" style="1230"/>
    <col min="2822" max="2822" width="31.140625" style="1230" bestFit="1" customWidth="1"/>
    <col min="2823" max="2823" width="11.28515625" style="1230" customWidth="1"/>
    <col min="2824" max="3071" width="9.140625" style="1230"/>
    <col min="3072" max="3072" width="21.7109375" style="1230" customWidth="1"/>
    <col min="3073" max="3073" width="12.140625" style="1230" customWidth="1"/>
    <col min="3074" max="3074" width="10" style="1230" customWidth="1"/>
    <col min="3075" max="3075" width="18.28515625" style="1230" bestFit="1" customWidth="1"/>
    <col min="3076" max="3077" width="9.140625" style="1230"/>
    <col min="3078" max="3078" width="31.140625" style="1230" bestFit="1" customWidth="1"/>
    <col min="3079" max="3079" width="11.28515625" style="1230" customWidth="1"/>
    <col min="3080" max="3327" width="9.140625" style="1230"/>
    <col min="3328" max="3328" width="21.7109375" style="1230" customWidth="1"/>
    <col min="3329" max="3329" width="12.140625" style="1230" customWidth="1"/>
    <col min="3330" max="3330" width="10" style="1230" customWidth="1"/>
    <col min="3331" max="3331" width="18.28515625" style="1230" bestFit="1" customWidth="1"/>
    <col min="3332" max="3333" width="9.140625" style="1230"/>
    <col min="3334" max="3334" width="31.140625" style="1230" bestFit="1" customWidth="1"/>
    <col min="3335" max="3335" width="11.28515625" style="1230" customWidth="1"/>
    <col min="3336" max="3583" width="9.140625" style="1230"/>
    <col min="3584" max="3584" width="21.7109375" style="1230" customWidth="1"/>
    <col min="3585" max="3585" width="12.140625" style="1230" customWidth="1"/>
    <col min="3586" max="3586" width="10" style="1230" customWidth="1"/>
    <col min="3587" max="3587" width="18.28515625" style="1230" bestFit="1" customWidth="1"/>
    <col min="3588" max="3589" width="9.140625" style="1230"/>
    <col min="3590" max="3590" width="31.140625" style="1230" bestFit="1" customWidth="1"/>
    <col min="3591" max="3591" width="11.28515625" style="1230" customWidth="1"/>
    <col min="3592" max="3839" width="9.140625" style="1230"/>
    <col min="3840" max="3840" width="21.7109375" style="1230" customWidth="1"/>
    <col min="3841" max="3841" width="12.140625" style="1230" customWidth="1"/>
    <col min="3842" max="3842" width="10" style="1230" customWidth="1"/>
    <col min="3843" max="3843" width="18.28515625" style="1230" bestFit="1" customWidth="1"/>
    <col min="3844" max="3845" width="9.140625" style="1230"/>
    <col min="3846" max="3846" width="31.140625" style="1230" bestFit="1" customWidth="1"/>
    <col min="3847" max="3847" width="11.28515625" style="1230" customWidth="1"/>
    <col min="3848" max="4095" width="9.140625" style="1230"/>
    <col min="4096" max="4096" width="21.7109375" style="1230" customWidth="1"/>
    <col min="4097" max="4097" width="12.140625" style="1230" customWidth="1"/>
    <col min="4098" max="4098" width="10" style="1230" customWidth="1"/>
    <col min="4099" max="4099" width="18.28515625" style="1230" bestFit="1" customWidth="1"/>
    <col min="4100" max="4101" width="9.140625" style="1230"/>
    <col min="4102" max="4102" width="31.140625" style="1230" bestFit="1" customWidth="1"/>
    <col min="4103" max="4103" width="11.28515625" style="1230" customWidth="1"/>
    <col min="4104" max="4351" width="9.140625" style="1230"/>
    <col min="4352" max="4352" width="21.7109375" style="1230" customWidth="1"/>
    <col min="4353" max="4353" width="12.140625" style="1230" customWidth="1"/>
    <col min="4354" max="4354" width="10" style="1230" customWidth="1"/>
    <col min="4355" max="4355" width="18.28515625" style="1230" bestFit="1" customWidth="1"/>
    <col min="4356" max="4357" width="9.140625" style="1230"/>
    <col min="4358" max="4358" width="31.140625" style="1230" bestFit="1" customWidth="1"/>
    <col min="4359" max="4359" width="11.28515625" style="1230" customWidth="1"/>
    <col min="4360" max="4607" width="9.140625" style="1230"/>
    <col min="4608" max="4608" width="21.7109375" style="1230" customWidth="1"/>
    <col min="4609" max="4609" width="12.140625" style="1230" customWidth="1"/>
    <col min="4610" max="4610" width="10" style="1230" customWidth="1"/>
    <col min="4611" max="4611" width="18.28515625" style="1230" bestFit="1" customWidth="1"/>
    <col min="4612" max="4613" width="9.140625" style="1230"/>
    <col min="4614" max="4614" width="31.140625" style="1230" bestFit="1" customWidth="1"/>
    <col min="4615" max="4615" width="11.28515625" style="1230" customWidth="1"/>
    <col min="4616" max="4863" width="9.140625" style="1230"/>
    <col min="4864" max="4864" width="21.7109375" style="1230" customWidth="1"/>
    <col min="4865" max="4865" width="12.140625" style="1230" customWidth="1"/>
    <col min="4866" max="4866" width="10" style="1230" customWidth="1"/>
    <col min="4867" max="4867" width="18.28515625" style="1230" bestFit="1" customWidth="1"/>
    <col min="4868" max="4869" width="9.140625" style="1230"/>
    <col min="4870" max="4870" width="31.140625" style="1230" bestFit="1" customWidth="1"/>
    <col min="4871" max="4871" width="11.28515625" style="1230" customWidth="1"/>
    <col min="4872" max="5119" width="9.140625" style="1230"/>
    <col min="5120" max="5120" width="21.7109375" style="1230" customWidth="1"/>
    <col min="5121" max="5121" width="12.140625" style="1230" customWidth="1"/>
    <col min="5122" max="5122" width="10" style="1230" customWidth="1"/>
    <col min="5123" max="5123" width="18.28515625" style="1230" bestFit="1" customWidth="1"/>
    <col min="5124" max="5125" width="9.140625" style="1230"/>
    <col min="5126" max="5126" width="31.140625" style="1230" bestFit="1" customWidth="1"/>
    <col min="5127" max="5127" width="11.28515625" style="1230" customWidth="1"/>
    <col min="5128" max="5375" width="9.140625" style="1230"/>
    <col min="5376" max="5376" width="21.7109375" style="1230" customWidth="1"/>
    <col min="5377" max="5377" width="12.140625" style="1230" customWidth="1"/>
    <col min="5378" max="5378" width="10" style="1230" customWidth="1"/>
    <col min="5379" max="5379" width="18.28515625" style="1230" bestFit="1" customWidth="1"/>
    <col min="5380" max="5381" width="9.140625" style="1230"/>
    <col min="5382" max="5382" width="31.140625" style="1230" bestFit="1" customWidth="1"/>
    <col min="5383" max="5383" width="11.28515625" style="1230" customWidth="1"/>
    <col min="5384" max="5631" width="9.140625" style="1230"/>
    <col min="5632" max="5632" width="21.7109375" style="1230" customWidth="1"/>
    <col min="5633" max="5633" width="12.140625" style="1230" customWidth="1"/>
    <col min="5634" max="5634" width="10" style="1230" customWidth="1"/>
    <col min="5635" max="5635" width="18.28515625" style="1230" bestFit="1" customWidth="1"/>
    <col min="5636" max="5637" width="9.140625" style="1230"/>
    <col min="5638" max="5638" width="31.140625" style="1230" bestFit="1" customWidth="1"/>
    <col min="5639" max="5639" width="11.28515625" style="1230" customWidth="1"/>
    <col min="5640" max="5887" width="9.140625" style="1230"/>
    <col min="5888" max="5888" width="21.7109375" style="1230" customWidth="1"/>
    <col min="5889" max="5889" width="12.140625" style="1230" customWidth="1"/>
    <col min="5890" max="5890" width="10" style="1230" customWidth="1"/>
    <col min="5891" max="5891" width="18.28515625" style="1230" bestFit="1" customWidth="1"/>
    <col min="5892" max="5893" width="9.140625" style="1230"/>
    <col min="5894" max="5894" width="31.140625" style="1230" bestFit="1" customWidth="1"/>
    <col min="5895" max="5895" width="11.28515625" style="1230" customWidth="1"/>
    <col min="5896" max="6143" width="9.140625" style="1230"/>
    <col min="6144" max="6144" width="21.7109375" style="1230" customWidth="1"/>
    <col min="6145" max="6145" width="12.140625" style="1230" customWidth="1"/>
    <col min="6146" max="6146" width="10" style="1230" customWidth="1"/>
    <col min="6147" max="6147" width="18.28515625" style="1230" bestFit="1" customWidth="1"/>
    <col min="6148" max="6149" width="9.140625" style="1230"/>
    <col min="6150" max="6150" width="31.140625" style="1230" bestFit="1" customWidth="1"/>
    <col min="6151" max="6151" width="11.28515625" style="1230" customWidth="1"/>
    <col min="6152" max="6399" width="9.140625" style="1230"/>
    <col min="6400" max="6400" width="21.7109375" style="1230" customWidth="1"/>
    <col min="6401" max="6401" width="12.140625" style="1230" customWidth="1"/>
    <col min="6402" max="6402" width="10" style="1230" customWidth="1"/>
    <col min="6403" max="6403" width="18.28515625" style="1230" bestFit="1" customWidth="1"/>
    <col min="6404" max="6405" width="9.140625" style="1230"/>
    <col min="6406" max="6406" width="31.140625" style="1230" bestFit="1" customWidth="1"/>
    <col min="6407" max="6407" width="11.28515625" style="1230" customWidth="1"/>
    <col min="6408" max="6655" width="9.140625" style="1230"/>
    <col min="6656" max="6656" width="21.7109375" style="1230" customWidth="1"/>
    <col min="6657" max="6657" width="12.140625" style="1230" customWidth="1"/>
    <col min="6658" max="6658" width="10" style="1230" customWidth="1"/>
    <col min="6659" max="6659" width="18.28515625" style="1230" bestFit="1" customWidth="1"/>
    <col min="6660" max="6661" width="9.140625" style="1230"/>
    <col min="6662" max="6662" width="31.140625" style="1230" bestFit="1" customWidth="1"/>
    <col min="6663" max="6663" width="11.28515625" style="1230" customWidth="1"/>
    <col min="6664" max="6911" width="9.140625" style="1230"/>
    <col min="6912" max="6912" width="21.7109375" style="1230" customWidth="1"/>
    <col min="6913" max="6913" width="12.140625" style="1230" customWidth="1"/>
    <col min="6914" max="6914" width="10" style="1230" customWidth="1"/>
    <col min="6915" max="6915" width="18.28515625" style="1230" bestFit="1" customWidth="1"/>
    <col min="6916" max="6917" width="9.140625" style="1230"/>
    <col min="6918" max="6918" width="31.140625" style="1230" bestFit="1" customWidth="1"/>
    <col min="6919" max="6919" width="11.28515625" style="1230" customWidth="1"/>
    <col min="6920" max="7167" width="9.140625" style="1230"/>
    <col min="7168" max="7168" width="21.7109375" style="1230" customWidth="1"/>
    <col min="7169" max="7169" width="12.140625" style="1230" customWidth="1"/>
    <col min="7170" max="7170" width="10" style="1230" customWidth="1"/>
    <col min="7171" max="7171" width="18.28515625" style="1230" bestFit="1" customWidth="1"/>
    <col min="7172" max="7173" width="9.140625" style="1230"/>
    <col min="7174" max="7174" width="31.140625" style="1230" bestFit="1" customWidth="1"/>
    <col min="7175" max="7175" width="11.28515625" style="1230" customWidth="1"/>
    <col min="7176" max="7423" width="9.140625" style="1230"/>
    <col min="7424" max="7424" width="21.7109375" style="1230" customWidth="1"/>
    <col min="7425" max="7425" width="12.140625" style="1230" customWidth="1"/>
    <col min="7426" max="7426" width="10" style="1230" customWidth="1"/>
    <col min="7427" max="7427" width="18.28515625" style="1230" bestFit="1" customWidth="1"/>
    <col min="7428" max="7429" width="9.140625" style="1230"/>
    <col min="7430" max="7430" width="31.140625" style="1230" bestFit="1" customWidth="1"/>
    <col min="7431" max="7431" width="11.28515625" style="1230" customWidth="1"/>
    <col min="7432" max="7679" width="9.140625" style="1230"/>
    <col min="7680" max="7680" width="21.7109375" style="1230" customWidth="1"/>
    <col min="7681" max="7681" width="12.140625" style="1230" customWidth="1"/>
    <col min="7682" max="7682" width="10" style="1230" customWidth="1"/>
    <col min="7683" max="7683" width="18.28515625" style="1230" bestFit="1" customWidth="1"/>
    <col min="7684" max="7685" width="9.140625" style="1230"/>
    <col min="7686" max="7686" width="31.140625" style="1230" bestFit="1" customWidth="1"/>
    <col min="7687" max="7687" width="11.28515625" style="1230" customWidth="1"/>
    <col min="7688" max="7935" width="9.140625" style="1230"/>
    <col min="7936" max="7936" width="21.7109375" style="1230" customWidth="1"/>
    <col min="7937" max="7937" width="12.140625" style="1230" customWidth="1"/>
    <col min="7938" max="7938" width="10" style="1230" customWidth="1"/>
    <col min="7939" max="7939" width="18.28515625" style="1230" bestFit="1" customWidth="1"/>
    <col min="7940" max="7941" width="9.140625" style="1230"/>
    <col min="7942" max="7942" width="31.140625" style="1230" bestFit="1" customWidth="1"/>
    <col min="7943" max="7943" width="11.28515625" style="1230" customWidth="1"/>
    <col min="7944" max="8191" width="9.140625" style="1230"/>
    <col min="8192" max="8192" width="21.7109375" style="1230" customWidth="1"/>
    <col min="8193" max="8193" width="12.140625" style="1230" customWidth="1"/>
    <col min="8194" max="8194" width="10" style="1230" customWidth="1"/>
    <col min="8195" max="8195" width="18.28515625" style="1230" bestFit="1" customWidth="1"/>
    <col min="8196" max="8197" width="9.140625" style="1230"/>
    <col min="8198" max="8198" width="31.140625" style="1230" bestFit="1" customWidth="1"/>
    <col min="8199" max="8199" width="11.28515625" style="1230" customWidth="1"/>
    <col min="8200" max="8447" width="9.140625" style="1230"/>
    <col min="8448" max="8448" width="21.7109375" style="1230" customWidth="1"/>
    <col min="8449" max="8449" width="12.140625" style="1230" customWidth="1"/>
    <col min="8450" max="8450" width="10" style="1230" customWidth="1"/>
    <col min="8451" max="8451" width="18.28515625" style="1230" bestFit="1" customWidth="1"/>
    <col min="8452" max="8453" width="9.140625" style="1230"/>
    <col min="8454" max="8454" width="31.140625" style="1230" bestFit="1" customWidth="1"/>
    <col min="8455" max="8455" width="11.28515625" style="1230" customWidth="1"/>
    <col min="8456" max="8703" width="9.140625" style="1230"/>
    <col min="8704" max="8704" width="21.7109375" style="1230" customWidth="1"/>
    <col min="8705" max="8705" width="12.140625" style="1230" customWidth="1"/>
    <col min="8706" max="8706" width="10" style="1230" customWidth="1"/>
    <col min="8707" max="8707" width="18.28515625" style="1230" bestFit="1" customWidth="1"/>
    <col min="8708" max="8709" width="9.140625" style="1230"/>
    <col min="8710" max="8710" width="31.140625" style="1230" bestFit="1" customWidth="1"/>
    <col min="8711" max="8711" width="11.28515625" style="1230" customWidth="1"/>
    <col min="8712" max="8959" width="9.140625" style="1230"/>
    <col min="8960" max="8960" width="21.7109375" style="1230" customWidth="1"/>
    <col min="8961" max="8961" width="12.140625" style="1230" customWidth="1"/>
    <col min="8962" max="8962" width="10" style="1230" customWidth="1"/>
    <col min="8963" max="8963" width="18.28515625" style="1230" bestFit="1" customWidth="1"/>
    <col min="8964" max="8965" width="9.140625" style="1230"/>
    <col min="8966" max="8966" width="31.140625" style="1230" bestFit="1" customWidth="1"/>
    <col min="8967" max="8967" width="11.28515625" style="1230" customWidth="1"/>
    <col min="8968" max="9215" width="9.140625" style="1230"/>
    <col min="9216" max="9216" width="21.7109375" style="1230" customWidth="1"/>
    <col min="9217" max="9217" width="12.140625" style="1230" customWidth="1"/>
    <col min="9218" max="9218" width="10" style="1230" customWidth="1"/>
    <col min="9219" max="9219" width="18.28515625" style="1230" bestFit="1" customWidth="1"/>
    <col min="9220" max="9221" width="9.140625" style="1230"/>
    <col min="9222" max="9222" width="31.140625" style="1230" bestFit="1" customWidth="1"/>
    <col min="9223" max="9223" width="11.28515625" style="1230" customWidth="1"/>
    <col min="9224" max="9471" width="9.140625" style="1230"/>
    <col min="9472" max="9472" width="21.7109375" style="1230" customWidth="1"/>
    <col min="9473" max="9473" width="12.140625" style="1230" customWidth="1"/>
    <col min="9474" max="9474" width="10" style="1230" customWidth="1"/>
    <col min="9475" max="9475" width="18.28515625" style="1230" bestFit="1" customWidth="1"/>
    <col min="9476" max="9477" width="9.140625" style="1230"/>
    <col min="9478" max="9478" width="31.140625" style="1230" bestFit="1" customWidth="1"/>
    <col min="9479" max="9479" width="11.28515625" style="1230" customWidth="1"/>
    <col min="9480" max="9727" width="9.140625" style="1230"/>
    <col min="9728" max="9728" width="21.7109375" style="1230" customWidth="1"/>
    <col min="9729" max="9729" width="12.140625" style="1230" customWidth="1"/>
    <col min="9730" max="9730" width="10" style="1230" customWidth="1"/>
    <col min="9731" max="9731" width="18.28515625" style="1230" bestFit="1" customWidth="1"/>
    <col min="9732" max="9733" width="9.140625" style="1230"/>
    <col min="9734" max="9734" width="31.140625" style="1230" bestFit="1" customWidth="1"/>
    <col min="9735" max="9735" width="11.28515625" style="1230" customWidth="1"/>
    <col min="9736" max="9983" width="9.140625" style="1230"/>
    <col min="9984" max="9984" width="21.7109375" style="1230" customWidth="1"/>
    <col min="9985" max="9985" width="12.140625" style="1230" customWidth="1"/>
    <col min="9986" max="9986" width="10" style="1230" customWidth="1"/>
    <col min="9987" max="9987" width="18.28515625" style="1230" bestFit="1" customWidth="1"/>
    <col min="9988" max="9989" width="9.140625" style="1230"/>
    <col min="9990" max="9990" width="31.140625" style="1230" bestFit="1" customWidth="1"/>
    <col min="9991" max="9991" width="11.28515625" style="1230" customWidth="1"/>
    <col min="9992" max="10239" width="9.140625" style="1230"/>
    <col min="10240" max="10240" width="21.7109375" style="1230" customWidth="1"/>
    <col min="10241" max="10241" width="12.140625" style="1230" customWidth="1"/>
    <col min="10242" max="10242" width="10" style="1230" customWidth="1"/>
    <col min="10243" max="10243" width="18.28515625" style="1230" bestFit="1" customWidth="1"/>
    <col min="10244" max="10245" width="9.140625" style="1230"/>
    <col min="10246" max="10246" width="31.140625" style="1230" bestFit="1" customWidth="1"/>
    <col min="10247" max="10247" width="11.28515625" style="1230" customWidth="1"/>
    <col min="10248" max="10495" width="9.140625" style="1230"/>
    <col min="10496" max="10496" width="21.7109375" style="1230" customWidth="1"/>
    <col min="10497" max="10497" width="12.140625" style="1230" customWidth="1"/>
    <col min="10498" max="10498" width="10" style="1230" customWidth="1"/>
    <col min="10499" max="10499" width="18.28515625" style="1230" bestFit="1" customWidth="1"/>
    <col min="10500" max="10501" width="9.140625" style="1230"/>
    <col min="10502" max="10502" width="31.140625" style="1230" bestFit="1" customWidth="1"/>
    <col min="10503" max="10503" width="11.28515625" style="1230" customWidth="1"/>
    <col min="10504" max="10751" width="9.140625" style="1230"/>
    <col min="10752" max="10752" width="21.7109375" style="1230" customWidth="1"/>
    <col min="10753" max="10753" width="12.140625" style="1230" customWidth="1"/>
    <col min="10754" max="10754" width="10" style="1230" customWidth="1"/>
    <col min="10755" max="10755" width="18.28515625" style="1230" bestFit="1" customWidth="1"/>
    <col min="10756" max="10757" width="9.140625" style="1230"/>
    <col min="10758" max="10758" width="31.140625" style="1230" bestFit="1" customWidth="1"/>
    <col min="10759" max="10759" width="11.28515625" style="1230" customWidth="1"/>
    <col min="10760" max="11007" width="9.140625" style="1230"/>
    <col min="11008" max="11008" width="21.7109375" style="1230" customWidth="1"/>
    <col min="11009" max="11009" width="12.140625" style="1230" customWidth="1"/>
    <col min="11010" max="11010" width="10" style="1230" customWidth="1"/>
    <col min="11011" max="11011" width="18.28515625" style="1230" bestFit="1" customWidth="1"/>
    <col min="11012" max="11013" width="9.140625" style="1230"/>
    <col min="11014" max="11014" width="31.140625" style="1230" bestFit="1" customWidth="1"/>
    <col min="11015" max="11015" width="11.28515625" style="1230" customWidth="1"/>
    <col min="11016" max="11263" width="9.140625" style="1230"/>
    <col min="11264" max="11264" width="21.7109375" style="1230" customWidth="1"/>
    <col min="11265" max="11265" width="12.140625" style="1230" customWidth="1"/>
    <col min="11266" max="11266" width="10" style="1230" customWidth="1"/>
    <col min="11267" max="11267" width="18.28515625" style="1230" bestFit="1" customWidth="1"/>
    <col min="11268" max="11269" width="9.140625" style="1230"/>
    <col min="11270" max="11270" width="31.140625" style="1230" bestFit="1" customWidth="1"/>
    <col min="11271" max="11271" width="11.28515625" style="1230" customWidth="1"/>
    <col min="11272" max="11519" width="9.140625" style="1230"/>
    <col min="11520" max="11520" width="21.7109375" style="1230" customWidth="1"/>
    <col min="11521" max="11521" width="12.140625" style="1230" customWidth="1"/>
    <col min="11522" max="11522" width="10" style="1230" customWidth="1"/>
    <col min="11523" max="11523" width="18.28515625" style="1230" bestFit="1" customWidth="1"/>
    <col min="11524" max="11525" width="9.140625" style="1230"/>
    <col min="11526" max="11526" width="31.140625" style="1230" bestFit="1" customWidth="1"/>
    <col min="11527" max="11527" width="11.28515625" style="1230" customWidth="1"/>
    <col min="11528" max="11775" width="9.140625" style="1230"/>
    <col min="11776" max="11776" width="21.7109375" style="1230" customWidth="1"/>
    <col min="11777" max="11777" width="12.140625" style="1230" customWidth="1"/>
    <col min="11778" max="11778" width="10" style="1230" customWidth="1"/>
    <col min="11779" max="11779" width="18.28515625" style="1230" bestFit="1" customWidth="1"/>
    <col min="11780" max="11781" width="9.140625" style="1230"/>
    <col min="11782" max="11782" width="31.140625" style="1230" bestFit="1" customWidth="1"/>
    <col min="11783" max="11783" width="11.28515625" style="1230" customWidth="1"/>
    <col min="11784" max="12031" width="9.140625" style="1230"/>
    <col min="12032" max="12032" width="21.7109375" style="1230" customWidth="1"/>
    <col min="12033" max="12033" width="12.140625" style="1230" customWidth="1"/>
    <col min="12034" max="12034" width="10" style="1230" customWidth="1"/>
    <col min="12035" max="12035" width="18.28515625" style="1230" bestFit="1" customWidth="1"/>
    <col min="12036" max="12037" width="9.140625" style="1230"/>
    <col min="12038" max="12038" width="31.140625" style="1230" bestFit="1" customWidth="1"/>
    <col min="12039" max="12039" width="11.28515625" style="1230" customWidth="1"/>
    <col min="12040" max="12287" width="9.140625" style="1230"/>
    <col min="12288" max="12288" width="21.7109375" style="1230" customWidth="1"/>
    <col min="12289" max="12289" width="12.140625" style="1230" customWidth="1"/>
    <col min="12290" max="12290" width="10" style="1230" customWidth="1"/>
    <col min="12291" max="12291" width="18.28515625" style="1230" bestFit="1" customWidth="1"/>
    <col min="12292" max="12293" width="9.140625" style="1230"/>
    <col min="12294" max="12294" width="31.140625" style="1230" bestFit="1" customWidth="1"/>
    <col min="12295" max="12295" width="11.28515625" style="1230" customWidth="1"/>
    <col min="12296" max="12543" width="9.140625" style="1230"/>
    <col min="12544" max="12544" width="21.7109375" style="1230" customWidth="1"/>
    <col min="12545" max="12545" width="12.140625" style="1230" customWidth="1"/>
    <col min="12546" max="12546" width="10" style="1230" customWidth="1"/>
    <col min="12547" max="12547" width="18.28515625" style="1230" bestFit="1" customWidth="1"/>
    <col min="12548" max="12549" width="9.140625" style="1230"/>
    <col min="12550" max="12550" width="31.140625" style="1230" bestFit="1" customWidth="1"/>
    <col min="12551" max="12551" width="11.28515625" style="1230" customWidth="1"/>
    <col min="12552" max="12799" width="9.140625" style="1230"/>
    <col min="12800" max="12800" width="21.7109375" style="1230" customWidth="1"/>
    <col min="12801" max="12801" width="12.140625" style="1230" customWidth="1"/>
    <col min="12802" max="12802" width="10" style="1230" customWidth="1"/>
    <col min="12803" max="12803" width="18.28515625" style="1230" bestFit="1" customWidth="1"/>
    <col min="12804" max="12805" width="9.140625" style="1230"/>
    <col min="12806" max="12806" width="31.140625" style="1230" bestFit="1" customWidth="1"/>
    <col min="12807" max="12807" width="11.28515625" style="1230" customWidth="1"/>
    <col min="12808" max="13055" width="9.140625" style="1230"/>
    <col min="13056" max="13056" width="21.7109375" style="1230" customWidth="1"/>
    <col min="13057" max="13057" width="12.140625" style="1230" customWidth="1"/>
    <col min="13058" max="13058" width="10" style="1230" customWidth="1"/>
    <col min="13059" max="13059" width="18.28515625" style="1230" bestFit="1" customWidth="1"/>
    <col min="13060" max="13061" width="9.140625" style="1230"/>
    <col min="13062" max="13062" width="31.140625" style="1230" bestFit="1" customWidth="1"/>
    <col min="13063" max="13063" width="11.28515625" style="1230" customWidth="1"/>
    <col min="13064" max="13311" width="9.140625" style="1230"/>
    <col min="13312" max="13312" width="21.7109375" style="1230" customWidth="1"/>
    <col min="13313" max="13313" width="12.140625" style="1230" customWidth="1"/>
    <col min="13314" max="13314" width="10" style="1230" customWidth="1"/>
    <col min="13315" max="13315" width="18.28515625" style="1230" bestFit="1" customWidth="1"/>
    <col min="13316" max="13317" width="9.140625" style="1230"/>
    <col min="13318" max="13318" width="31.140625" style="1230" bestFit="1" customWidth="1"/>
    <col min="13319" max="13319" width="11.28515625" style="1230" customWidth="1"/>
    <col min="13320" max="13567" width="9.140625" style="1230"/>
    <col min="13568" max="13568" width="21.7109375" style="1230" customWidth="1"/>
    <col min="13569" max="13569" width="12.140625" style="1230" customWidth="1"/>
    <col min="13570" max="13570" width="10" style="1230" customWidth="1"/>
    <col min="13571" max="13571" width="18.28515625" style="1230" bestFit="1" customWidth="1"/>
    <col min="13572" max="13573" width="9.140625" style="1230"/>
    <col min="13574" max="13574" width="31.140625" style="1230" bestFit="1" customWidth="1"/>
    <col min="13575" max="13575" width="11.28515625" style="1230" customWidth="1"/>
    <col min="13576" max="13823" width="9.140625" style="1230"/>
    <col min="13824" max="13824" width="21.7109375" style="1230" customWidth="1"/>
    <col min="13825" max="13825" width="12.140625" style="1230" customWidth="1"/>
    <col min="13826" max="13826" width="10" style="1230" customWidth="1"/>
    <col min="13827" max="13827" width="18.28515625" style="1230" bestFit="1" customWidth="1"/>
    <col min="13828" max="13829" width="9.140625" style="1230"/>
    <col min="13830" max="13830" width="31.140625" style="1230" bestFit="1" customWidth="1"/>
    <col min="13831" max="13831" width="11.28515625" style="1230" customWidth="1"/>
    <col min="13832" max="14079" width="9.140625" style="1230"/>
    <col min="14080" max="14080" width="21.7109375" style="1230" customWidth="1"/>
    <col min="14081" max="14081" width="12.140625" style="1230" customWidth="1"/>
    <col min="14082" max="14082" width="10" style="1230" customWidth="1"/>
    <col min="14083" max="14083" width="18.28515625" style="1230" bestFit="1" customWidth="1"/>
    <col min="14084" max="14085" width="9.140625" style="1230"/>
    <col min="14086" max="14086" width="31.140625" style="1230" bestFit="1" customWidth="1"/>
    <col min="14087" max="14087" width="11.28515625" style="1230" customWidth="1"/>
    <col min="14088" max="14335" width="9.140625" style="1230"/>
    <col min="14336" max="14336" width="21.7109375" style="1230" customWidth="1"/>
    <col min="14337" max="14337" width="12.140625" style="1230" customWidth="1"/>
    <col min="14338" max="14338" width="10" style="1230" customWidth="1"/>
    <col min="14339" max="14339" width="18.28515625" style="1230" bestFit="1" customWidth="1"/>
    <col min="14340" max="14341" width="9.140625" style="1230"/>
    <col min="14342" max="14342" width="31.140625" style="1230" bestFit="1" customWidth="1"/>
    <col min="14343" max="14343" width="11.28515625" style="1230" customWidth="1"/>
    <col min="14344" max="14591" width="9.140625" style="1230"/>
    <col min="14592" max="14592" width="21.7109375" style="1230" customWidth="1"/>
    <col min="14593" max="14593" width="12.140625" style="1230" customWidth="1"/>
    <col min="14594" max="14594" width="10" style="1230" customWidth="1"/>
    <col min="14595" max="14595" width="18.28515625" style="1230" bestFit="1" customWidth="1"/>
    <col min="14596" max="14597" width="9.140625" style="1230"/>
    <col min="14598" max="14598" width="31.140625" style="1230" bestFit="1" customWidth="1"/>
    <col min="14599" max="14599" width="11.28515625" style="1230" customWidth="1"/>
    <col min="14600" max="14847" width="9.140625" style="1230"/>
    <col min="14848" max="14848" width="21.7109375" style="1230" customWidth="1"/>
    <col min="14849" max="14849" width="12.140625" style="1230" customWidth="1"/>
    <col min="14850" max="14850" width="10" style="1230" customWidth="1"/>
    <col min="14851" max="14851" width="18.28515625" style="1230" bestFit="1" customWidth="1"/>
    <col min="14852" max="14853" width="9.140625" style="1230"/>
    <col min="14854" max="14854" width="31.140625" style="1230" bestFit="1" customWidth="1"/>
    <col min="14855" max="14855" width="11.28515625" style="1230" customWidth="1"/>
    <col min="14856" max="15103" width="9.140625" style="1230"/>
    <col min="15104" max="15104" width="21.7109375" style="1230" customWidth="1"/>
    <col min="15105" max="15105" width="12.140625" style="1230" customWidth="1"/>
    <col min="15106" max="15106" width="10" style="1230" customWidth="1"/>
    <col min="15107" max="15107" width="18.28515625" style="1230" bestFit="1" customWidth="1"/>
    <col min="15108" max="15109" width="9.140625" style="1230"/>
    <col min="15110" max="15110" width="31.140625" style="1230" bestFit="1" customWidth="1"/>
    <col min="15111" max="15111" width="11.28515625" style="1230" customWidth="1"/>
    <col min="15112" max="15359" width="9.140625" style="1230"/>
    <col min="15360" max="15360" width="21.7109375" style="1230" customWidth="1"/>
    <col min="15361" max="15361" width="12.140625" style="1230" customWidth="1"/>
    <col min="15362" max="15362" width="10" style="1230" customWidth="1"/>
    <col min="15363" max="15363" width="18.28515625" style="1230" bestFit="1" customWidth="1"/>
    <col min="15364" max="15365" width="9.140625" style="1230"/>
    <col min="15366" max="15366" width="31.140625" style="1230" bestFit="1" customWidth="1"/>
    <col min="15367" max="15367" width="11.28515625" style="1230" customWidth="1"/>
    <col min="15368" max="15615" width="9.140625" style="1230"/>
    <col min="15616" max="15616" width="21.7109375" style="1230" customWidth="1"/>
    <col min="15617" max="15617" width="12.140625" style="1230" customWidth="1"/>
    <col min="15618" max="15618" width="10" style="1230" customWidth="1"/>
    <col min="15619" max="15619" width="18.28515625" style="1230" bestFit="1" customWidth="1"/>
    <col min="15620" max="15621" width="9.140625" style="1230"/>
    <col min="15622" max="15622" width="31.140625" style="1230" bestFit="1" customWidth="1"/>
    <col min="15623" max="15623" width="11.28515625" style="1230" customWidth="1"/>
    <col min="15624" max="15871" width="9.140625" style="1230"/>
    <col min="15872" max="15872" width="21.7109375" style="1230" customWidth="1"/>
    <col min="15873" max="15873" width="12.140625" style="1230" customWidth="1"/>
    <col min="15874" max="15874" width="10" style="1230" customWidth="1"/>
    <col min="15875" max="15875" width="18.28515625" style="1230" bestFit="1" customWidth="1"/>
    <col min="15876" max="15877" width="9.140625" style="1230"/>
    <col min="15878" max="15878" width="31.140625" style="1230" bestFit="1" customWidth="1"/>
    <col min="15879" max="15879" width="11.28515625" style="1230" customWidth="1"/>
    <col min="15880" max="16127" width="9.140625" style="1230"/>
    <col min="16128" max="16128" width="21.7109375" style="1230" customWidth="1"/>
    <col min="16129" max="16129" width="12.140625" style="1230" customWidth="1"/>
    <col min="16130" max="16130" width="10" style="1230" customWidth="1"/>
    <col min="16131" max="16131" width="18.28515625" style="1230" bestFit="1" customWidth="1"/>
    <col min="16132" max="16133" width="9.140625" style="1230"/>
    <col min="16134" max="16134" width="31.140625" style="1230" bestFit="1" customWidth="1"/>
    <col min="16135" max="16135" width="11.28515625" style="1230" customWidth="1"/>
    <col min="16136" max="16384" width="9.140625" style="1230"/>
  </cols>
  <sheetData>
    <row r="2" spans="2:15" x14ac:dyDescent="0.25">
      <c r="C2" s="1231">
        <v>2022</v>
      </c>
      <c r="L2" s="1230">
        <v>2021</v>
      </c>
    </row>
    <row r="3" spans="2:15" ht="15.75" x14ac:dyDescent="0.25">
      <c r="B3" s="1229"/>
      <c r="C3" s="1229" t="s">
        <v>5992</v>
      </c>
      <c r="D3" s="1229" t="s">
        <v>5993</v>
      </c>
      <c r="E3" s="1229" t="s">
        <v>5994</v>
      </c>
      <c r="F3" s="1229"/>
      <c r="G3" s="1229" t="s">
        <v>5995</v>
      </c>
      <c r="H3" s="1229"/>
      <c r="K3" s="1088"/>
      <c r="L3" s="1088" t="s">
        <v>5992</v>
      </c>
      <c r="M3" s="1088" t="s">
        <v>5993</v>
      </c>
      <c r="N3" s="1089" t="s">
        <v>5994</v>
      </c>
      <c r="O3" s="1089"/>
    </row>
    <row r="4" spans="2:15" x14ac:dyDescent="0.25">
      <c r="B4" s="1230" t="s">
        <v>5996</v>
      </c>
      <c r="C4" s="2002">
        <v>220</v>
      </c>
      <c r="D4" s="2002"/>
      <c r="E4" s="1230" t="s">
        <v>705</v>
      </c>
      <c r="G4" s="1230" t="s">
        <v>5997</v>
      </c>
      <c r="H4" s="2002">
        <v>50</v>
      </c>
      <c r="K4" s="459" t="s">
        <v>527</v>
      </c>
      <c r="L4" s="178">
        <v>150</v>
      </c>
      <c r="M4" s="475">
        <v>145</v>
      </c>
      <c r="N4" s="79" t="s">
        <v>5998</v>
      </c>
      <c r="O4" s="79"/>
    </row>
    <row r="5" spans="2:15" x14ac:dyDescent="0.25">
      <c r="B5" s="1230" t="s">
        <v>5999</v>
      </c>
      <c r="C5" s="2002">
        <v>24.43</v>
      </c>
      <c r="D5" s="2002"/>
      <c r="E5" s="1230" t="s">
        <v>6000</v>
      </c>
      <c r="G5" s="1230" t="s">
        <v>6001</v>
      </c>
      <c r="H5" s="2002">
        <v>15</v>
      </c>
      <c r="K5" s="459" t="s">
        <v>5999</v>
      </c>
      <c r="L5" s="484">
        <v>8</v>
      </c>
      <c r="M5" s="484">
        <v>8</v>
      </c>
      <c r="N5" s="79" t="s">
        <v>6002</v>
      </c>
      <c r="O5" s="79"/>
    </row>
    <row r="6" spans="2:15" x14ac:dyDescent="0.25">
      <c r="B6" s="1230" t="s">
        <v>6003</v>
      </c>
      <c r="C6" s="2002">
        <v>18.5</v>
      </c>
      <c r="D6" s="2002"/>
      <c r="E6" s="1230" t="s">
        <v>6000</v>
      </c>
      <c r="G6" s="1230" t="s">
        <v>6004</v>
      </c>
      <c r="H6" s="2002">
        <v>60</v>
      </c>
      <c r="K6" s="459" t="s">
        <v>6005</v>
      </c>
      <c r="L6" s="475">
        <v>20</v>
      </c>
      <c r="M6" s="475">
        <v>15</v>
      </c>
      <c r="N6" s="79" t="s">
        <v>6000</v>
      </c>
      <c r="O6" s="79" t="s">
        <v>6006</v>
      </c>
    </row>
    <row r="7" spans="2:15" x14ac:dyDescent="0.25">
      <c r="B7" s="1230" t="s">
        <v>5995</v>
      </c>
      <c r="C7" s="2002">
        <f>SUM(H6:H21)</f>
        <v>312.03999999999996</v>
      </c>
      <c r="D7" s="2002"/>
      <c r="E7" s="1230" t="s">
        <v>6000</v>
      </c>
      <c r="G7" s="1230" t="s">
        <v>6007</v>
      </c>
      <c r="H7" s="2002">
        <v>42</v>
      </c>
      <c r="K7" s="459" t="s">
        <v>6008</v>
      </c>
      <c r="L7" s="484">
        <v>20</v>
      </c>
      <c r="M7" s="484">
        <v>15</v>
      </c>
      <c r="N7" s="79" t="s">
        <v>6000</v>
      </c>
      <c r="O7" s="79" t="s">
        <v>6006</v>
      </c>
    </row>
    <row r="8" spans="2:15" x14ac:dyDescent="0.25">
      <c r="B8" s="2003" t="s">
        <v>6009</v>
      </c>
      <c r="C8" s="2004">
        <v>65</v>
      </c>
      <c r="G8" s="1230" t="s">
        <v>6010</v>
      </c>
      <c r="H8" s="2002">
        <v>27.54</v>
      </c>
      <c r="K8" s="459" t="s">
        <v>6003</v>
      </c>
      <c r="L8" s="475">
        <v>20</v>
      </c>
      <c r="M8" s="484">
        <v>15</v>
      </c>
      <c r="N8" s="79" t="s">
        <v>6000</v>
      </c>
      <c r="O8" s="79" t="s">
        <v>6006</v>
      </c>
    </row>
    <row r="9" spans="2:15" x14ac:dyDescent="0.25">
      <c r="B9" s="2003" t="s">
        <v>6011</v>
      </c>
      <c r="C9" s="2002">
        <v>62.97</v>
      </c>
      <c r="D9" s="2002"/>
      <c r="G9" s="1230" t="s">
        <v>6012</v>
      </c>
      <c r="H9" s="2002">
        <v>6</v>
      </c>
      <c r="K9" s="224" t="s">
        <v>5995</v>
      </c>
      <c r="L9" s="475">
        <v>100</v>
      </c>
      <c r="M9" s="484">
        <v>130</v>
      </c>
      <c r="N9" s="79" t="s">
        <v>6013</v>
      </c>
      <c r="O9" s="79"/>
    </row>
    <row r="10" spans="2:15" x14ac:dyDescent="0.25">
      <c r="B10" s="1230" t="s">
        <v>6014</v>
      </c>
      <c r="C10" s="2005">
        <v>183</v>
      </c>
      <c r="D10" s="2002"/>
      <c r="G10" s="1230" t="s">
        <v>6015</v>
      </c>
      <c r="H10" s="2002">
        <v>7.5</v>
      </c>
      <c r="K10" s="459" t="s">
        <v>6016</v>
      </c>
      <c r="L10" s="475">
        <v>7</v>
      </c>
      <c r="M10" s="475">
        <v>7</v>
      </c>
      <c r="N10" s="79" t="s">
        <v>6000</v>
      </c>
      <c r="O10" s="85"/>
    </row>
    <row r="11" spans="2:15" x14ac:dyDescent="0.25">
      <c r="B11" s="1230" t="s">
        <v>6017</v>
      </c>
      <c r="C11" s="2005">
        <v>0</v>
      </c>
      <c r="D11" s="2003" t="s">
        <v>6018</v>
      </c>
      <c r="G11" s="1230" t="s">
        <v>6019</v>
      </c>
      <c r="H11" s="2002">
        <v>14</v>
      </c>
      <c r="K11" s="224" t="s">
        <v>2360</v>
      </c>
      <c r="L11" s="475">
        <v>30</v>
      </c>
      <c r="M11" s="484">
        <v>25</v>
      </c>
      <c r="N11" s="79" t="s">
        <v>6000</v>
      </c>
      <c r="O11" s="85"/>
    </row>
    <row r="12" spans="2:15" x14ac:dyDescent="0.25">
      <c r="B12" s="1230" t="s">
        <v>6020</v>
      </c>
      <c r="C12" s="2002">
        <v>49.6</v>
      </c>
      <c r="G12" s="2003" t="s">
        <v>6021</v>
      </c>
      <c r="H12" s="2002">
        <v>7</v>
      </c>
      <c r="K12" s="459" t="s">
        <v>6022</v>
      </c>
      <c r="L12" s="475"/>
      <c r="M12" s="484"/>
      <c r="N12" s="79" t="s">
        <v>6013</v>
      </c>
      <c r="O12" s="85"/>
    </row>
    <row r="13" spans="2:15" x14ac:dyDescent="0.25">
      <c r="B13" s="1230" t="s">
        <v>6023</v>
      </c>
      <c r="C13" s="2002">
        <v>0</v>
      </c>
      <c r="D13" s="2003" t="s">
        <v>6018</v>
      </c>
      <c r="G13" s="1230" t="s">
        <v>6024</v>
      </c>
      <c r="H13" s="2002">
        <v>8</v>
      </c>
      <c r="K13" s="224" t="s">
        <v>6025</v>
      </c>
      <c r="L13" s="475">
        <v>120</v>
      </c>
      <c r="M13" s="484">
        <v>100</v>
      </c>
      <c r="N13" s="877" t="s">
        <v>6026</v>
      </c>
      <c r="O13" s="85"/>
    </row>
    <row r="14" spans="2:15" x14ac:dyDescent="0.25">
      <c r="B14" s="2003" t="s">
        <v>6027</v>
      </c>
      <c r="C14" s="2002">
        <v>30.9</v>
      </c>
      <c r="D14" s="2002"/>
      <c r="G14" s="1230" t="s">
        <v>6028</v>
      </c>
      <c r="H14" s="2002">
        <v>26</v>
      </c>
      <c r="K14" s="224" t="s">
        <v>6017</v>
      </c>
      <c r="L14" s="475">
        <v>30</v>
      </c>
      <c r="M14" s="484">
        <v>31.8</v>
      </c>
      <c r="N14" s="877" t="s">
        <v>6026</v>
      </c>
      <c r="O14" s="85"/>
    </row>
    <row r="15" spans="2:15" x14ac:dyDescent="0.25">
      <c r="B15" s="2003" t="s">
        <v>6029</v>
      </c>
      <c r="C15" s="2005">
        <v>26</v>
      </c>
      <c r="D15" s="2002"/>
      <c r="G15" s="1230" t="s">
        <v>6030</v>
      </c>
      <c r="H15" s="2002">
        <v>24</v>
      </c>
      <c r="K15" s="224" t="s">
        <v>6020</v>
      </c>
      <c r="L15" s="475">
        <v>30</v>
      </c>
      <c r="M15" s="475">
        <v>35.159999999999997</v>
      </c>
      <c r="N15" s="877" t="s">
        <v>6026</v>
      </c>
      <c r="O15" s="85"/>
    </row>
    <row r="16" spans="2:15" x14ac:dyDescent="0.25">
      <c r="B16" s="1230" t="s">
        <v>6031</v>
      </c>
      <c r="C16" s="2005">
        <v>30.71</v>
      </c>
      <c r="D16" s="2002"/>
      <c r="G16" s="1230" t="s">
        <v>6032</v>
      </c>
      <c r="H16" s="2002">
        <v>8</v>
      </c>
      <c r="K16" s="224" t="s">
        <v>6023</v>
      </c>
      <c r="L16" s="475">
        <v>30</v>
      </c>
      <c r="M16" s="475">
        <v>34.32</v>
      </c>
      <c r="N16" s="877" t="s">
        <v>6026</v>
      </c>
      <c r="O16" s="85"/>
    </row>
    <row r="17" spans="1:15" x14ac:dyDescent="0.25">
      <c r="B17" s="2003" t="s">
        <v>6033</v>
      </c>
      <c r="C17" s="2002">
        <v>57.36</v>
      </c>
      <c r="D17" s="2002"/>
      <c r="G17" s="1230" t="s">
        <v>6034</v>
      </c>
      <c r="H17" s="2002">
        <v>8</v>
      </c>
      <c r="K17" s="224" t="s">
        <v>6035</v>
      </c>
      <c r="L17" s="475">
        <v>20</v>
      </c>
      <c r="M17" s="475">
        <v>21.58</v>
      </c>
      <c r="N17" s="877" t="s">
        <v>6026</v>
      </c>
      <c r="O17" s="85"/>
    </row>
    <row r="18" spans="1:15" x14ac:dyDescent="0.25">
      <c r="B18" s="2003" t="s">
        <v>6036</v>
      </c>
      <c r="C18" s="2004">
        <v>18.899999999999999</v>
      </c>
      <c r="D18" s="2002"/>
      <c r="G18" s="1230" t="s">
        <v>6037</v>
      </c>
      <c r="H18" s="2002">
        <v>29</v>
      </c>
      <c r="K18" s="224" t="s">
        <v>6038</v>
      </c>
      <c r="L18" s="475">
        <v>10</v>
      </c>
      <c r="M18" s="475">
        <v>15</v>
      </c>
      <c r="N18" s="877" t="s">
        <v>6026</v>
      </c>
      <c r="O18" s="85"/>
    </row>
    <row r="19" spans="1:15" x14ac:dyDescent="0.25">
      <c r="B19" s="1230" t="s">
        <v>118</v>
      </c>
      <c r="C19" s="2002">
        <v>24</v>
      </c>
      <c r="D19" s="2002"/>
      <c r="G19" s="1230" t="s">
        <v>3457</v>
      </c>
      <c r="H19" s="2004">
        <v>25</v>
      </c>
      <c r="K19" s="224" t="s">
        <v>6031</v>
      </c>
      <c r="L19" s="475">
        <v>30</v>
      </c>
      <c r="M19" s="475">
        <v>18.79</v>
      </c>
      <c r="N19" s="877" t="s">
        <v>6026</v>
      </c>
      <c r="O19" s="79"/>
    </row>
    <row r="20" spans="1:15" x14ac:dyDescent="0.25">
      <c r="B20" s="2003" t="s">
        <v>6039</v>
      </c>
      <c r="C20" s="2006">
        <v>40</v>
      </c>
      <c r="D20" s="2002"/>
      <c r="G20" s="1230" t="s">
        <v>3458</v>
      </c>
      <c r="H20" s="2004">
        <v>14</v>
      </c>
      <c r="K20" s="224" t="s">
        <v>6033</v>
      </c>
      <c r="L20" s="475">
        <v>60</v>
      </c>
      <c r="M20" s="475">
        <v>78.08</v>
      </c>
      <c r="N20" s="877" t="s">
        <v>6026</v>
      </c>
      <c r="O20" s="79"/>
    </row>
    <row r="21" spans="1:15" x14ac:dyDescent="0.25">
      <c r="B21" s="2003" t="s">
        <v>4053</v>
      </c>
      <c r="C21" s="2004">
        <v>0</v>
      </c>
      <c r="D21" s="2002"/>
      <c r="G21" s="1230" t="s">
        <v>3459</v>
      </c>
      <c r="H21" s="2004">
        <v>6</v>
      </c>
      <c r="K21" s="224" t="s">
        <v>118</v>
      </c>
      <c r="L21" s="475">
        <v>20</v>
      </c>
      <c r="M21" s="475">
        <v>12</v>
      </c>
      <c r="N21" s="877" t="s">
        <v>6026</v>
      </c>
      <c r="O21" s="79"/>
    </row>
    <row r="22" spans="1:15" x14ac:dyDescent="0.25">
      <c r="B22" s="1229" t="s">
        <v>772</v>
      </c>
      <c r="C22" s="1232">
        <f>SUM(C4:C21)</f>
        <v>1163.4100000000001</v>
      </c>
      <c r="D22" s="2002"/>
      <c r="H22" s="1232">
        <f>SUM(H4:H21)</f>
        <v>377.03999999999996</v>
      </c>
      <c r="K22" s="221" t="s">
        <v>772</v>
      </c>
      <c r="L22" s="1090">
        <f>SUM(L4:L21)</f>
        <v>705</v>
      </c>
      <c r="M22" s="1090">
        <f>SUM(M4:M21)</f>
        <v>706.73000000000013</v>
      </c>
      <c r="N22" s="79"/>
      <c r="O22" s="79"/>
    </row>
    <row r="23" spans="1:15" x14ac:dyDescent="0.25">
      <c r="D23" s="2002"/>
      <c r="F23" s="1229"/>
      <c r="G23" s="1229"/>
      <c r="H23" s="1229"/>
      <c r="N23" s="79"/>
      <c r="O23" s="79"/>
    </row>
    <row r="24" spans="1:15" x14ac:dyDescent="0.25">
      <c r="D24" s="2002"/>
    </row>
    <row r="25" spans="1:15" x14ac:dyDescent="0.25">
      <c r="D25" s="1232"/>
      <c r="E25" s="1229"/>
    </row>
    <row r="27" spans="1:15" x14ac:dyDescent="0.25">
      <c r="A27" s="1231">
        <v>1</v>
      </c>
      <c r="B27" s="1230" t="s">
        <v>3806</v>
      </c>
      <c r="C27" s="1230" t="s">
        <v>3803</v>
      </c>
      <c r="E27" s="1231"/>
      <c r="F27" s="1231">
        <v>1</v>
      </c>
      <c r="G27" s="1230" t="s">
        <v>3806</v>
      </c>
      <c r="I27" s="2004"/>
      <c r="J27" s="2004" t="s">
        <v>5992</v>
      </c>
    </row>
    <row r="28" spans="1:15" x14ac:dyDescent="0.25">
      <c r="A28" s="1231">
        <v>1</v>
      </c>
      <c r="B28" s="1230" t="s">
        <v>3062</v>
      </c>
      <c r="C28" s="1230" t="s">
        <v>3803</v>
      </c>
      <c r="E28" s="1231"/>
      <c r="F28" s="1231">
        <v>1</v>
      </c>
      <c r="G28" s="1230" t="s">
        <v>3062</v>
      </c>
      <c r="I28" s="2004" t="s">
        <v>5996</v>
      </c>
      <c r="J28" s="2004">
        <v>0</v>
      </c>
    </row>
    <row r="29" spans="1:15" x14ac:dyDescent="0.25">
      <c r="A29" s="1231">
        <v>1</v>
      </c>
      <c r="B29" s="1230" t="s">
        <v>717</v>
      </c>
      <c r="C29" s="1230" t="s">
        <v>3803</v>
      </c>
      <c r="E29" s="1231"/>
      <c r="F29" s="1231">
        <v>1</v>
      </c>
      <c r="G29" s="1230" t="s">
        <v>717</v>
      </c>
      <c r="I29" s="2004" t="s">
        <v>5999</v>
      </c>
      <c r="J29" s="2004">
        <v>0</v>
      </c>
    </row>
    <row r="30" spans="1:15" x14ac:dyDescent="0.25">
      <c r="A30" s="1231">
        <v>1</v>
      </c>
      <c r="B30" s="1230" t="s">
        <v>3771</v>
      </c>
      <c r="C30" s="1230" t="s">
        <v>3803</v>
      </c>
      <c r="E30" s="1231"/>
      <c r="F30" s="1231">
        <v>1</v>
      </c>
      <c r="G30" s="1230" t="s">
        <v>3771</v>
      </c>
      <c r="I30" s="2004" t="s">
        <v>6003</v>
      </c>
      <c r="J30" s="2004">
        <v>0</v>
      </c>
    </row>
    <row r="31" spans="1:15" x14ac:dyDescent="0.25">
      <c r="A31" s="1231">
        <v>1</v>
      </c>
      <c r="B31" s="1230" t="s">
        <v>1297</v>
      </c>
      <c r="C31" s="1230" t="s">
        <v>3803</v>
      </c>
      <c r="E31" s="1231"/>
      <c r="F31" s="1231">
        <v>1</v>
      </c>
      <c r="G31" s="2003" t="s">
        <v>6040</v>
      </c>
      <c r="I31" s="2004" t="s">
        <v>5995</v>
      </c>
      <c r="J31" s="2004">
        <v>0</v>
      </c>
    </row>
    <row r="32" spans="1:15" x14ac:dyDescent="0.25">
      <c r="A32" s="1231">
        <v>1</v>
      </c>
      <c r="B32" s="1230" t="s">
        <v>6041</v>
      </c>
      <c r="C32" s="1230" t="s">
        <v>3803</v>
      </c>
      <c r="E32" s="1231"/>
      <c r="F32" s="1231">
        <v>1</v>
      </c>
      <c r="G32" s="2003" t="s">
        <v>6042</v>
      </c>
      <c r="I32" s="2004" t="s">
        <v>6009</v>
      </c>
      <c r="J32" s="2004">
        <v>0</v>
      </c>
    </row>
    <row r="33" spans="1:10" x14ac:dyDescent="0.25">
      <c r="A33" s="1231">
        <v>1</v>
      </c>
      <c r="B33" s="1230" t="s">
        <v>6043</v>
      </c>
      <c r="C33" s="1230" t="s">
        <v>3803</v>
      </c>
      <c r="E33" s="1231"/>
      <c r="F33" s="1231">
        <v>1</v>
      </c>
      <c r="G33" s="2003" t="s">
        <v>6044</v>
      </c>
      <c r="I33" s="2004" t="s">
        <v>6011</v>
      </c>
      <c r="J33" s="2004">
        <v>0</v>
      </c>
    </row>
    <row r="34" spans="1:10" x14ac:dyDescent="0.25">
      <c r="A34" s="1231">
        <v>1</v>
      </c>
      <c r="B34" s="1230" t="s">
        <v>6045</v>
      </c>
      <c r="C34" s="1230" t="s">
        <v>3803</v>
      </c>
      <c r="E34" s="1231"/>
      <c r="F34" s="1231">
        <v>1</v>
      </c>
      <c r="G34" s="2003" t="s">
        <v>6046</v>
      </c>
      <c r="I34" s="2004" t="s">
        <v>6047</v>
      </c>
      <c r="J34" s="2004">
        <v>0</v>
      </c>
    </row>
    <row r="35" spans="1:10" x14ac:dyDescent="0.25">
      <c r="A35" s="1231">
        <v>1</v>
      </c>
      <c r="B35" s="2003" t="s">
        <v>6048</v>
      </c>
      <c r="C35" s="1230" t="s">
        <v>3803</v>
      </c>
      <c r="E35" s="1231"/>
      <c r="F35" s="1231">
        <v>1</v>
      </c>
      <c r="G35" s="2003" t="s">
        <v>6049</v>
      </c>
      <c r="I35" s="2004" t="s">
        <v>6050</v>
      </c>
      <c r="J35" s="2004">
        <v>40</v>
      </c>
    </row>
    <row r="36" spans="1:10" x14ac:dyDescent="0.25">
      <c r="A36" s="1231">
        <v>1</v>
      </c>
      <c r="B36" s="2003" t="s">
        <v>6051</v>
      </c>
      <c r="C36" s="2003" t="s">
        <v>3803</v>
      </c>
      <c r="E36" s="1231"/>
      <c r="F36" s="1231">
        <v>1</v>
      </c>
      <c r="G36" s="1230" t="s">
        <v>6052</v>
      </c>
      <c r="I36" s="2004" t="s">
        <v>6053</v>
      </c>
      <c r="J36" s="2004">
        <v>75</v>
      </c>
    </row>
    <row r="37" spans="1:10" x14ac:dyDescent="0.25">
      <c r="A37" s="1231">
        <v>1</v>
      </c>
      <c r="B37" s="1230" t="s">
        <v>6052</v>
      </c>
      <c r="C37" s="1230" t="s">
        <v>3803</v>
      </c>
      <c r="E37" s="1231"/>
      <c r="F37" s="1231">
        <v>1</v>
      </c>
      <c r="G37" s="1230" t="s">
        <v>6054</v>
      </c>
      <c r="I37" s="2004" t="s">
        <v>6023</v>
      </c>
      <c r="J37" s="2004">
        <v>50</v>
      </c>
    </row>
    <row r="38" spans="1:10" x14ac:dyDescent="0.25">
      <c r="A38" s="1231">
        <v>1</v>
      </c>
      <c r="B38" s="1230" t="s">
        <v>6054</v>
      </c>
      <c r="C38" s="1230" t="s">
        <v>3803</v>
      </c>
      <c r="E38" s="1231"/>
      <c r="F38" s="1231">
        <v>1</v>
      </c>
      <c r="G38" s="1230" t="s">
        <v>6055</v>
      </c>
      <c r="I38" s="2004" t="s">
        <v>6027</v>
      </c>
      <c r="J38" s="2004">
        <v>30.9</v>
      </c>
    </row>
    <row r="39" spans="1:10" x14ac:dyDescent="0.25">
      <c r="A39" s="1231">
        <v>1</v>
      </c>
      <c r="B39" s="1230" t="s">
        <v>6055</v>
      </c>
      <c r="C39" s="1230" t="s">
        <v>3803</v>
      </c>
      <c r="E39" s="1231"/>
      <c r="F39" s="1231">
        <v>1</v>
      </c>
      <c r="G39" s="2003" t="s">
        <v>6056</v>
      </c>
      <c r="I39" s="2004" t="s">
        <v>6029</v>
      </c>
      <c r="J39" s="2004">
        <v>0</v>
      </c>
    </row>
    <row r="40" spans="1:10" x14ac:dyDescent="0.25">
      <c r="A40" s="1231">
        <v>1</v>
      </c>
      <c r="B40" s="2003" t="s">
        <v>6056</v>
      </c>
      <c r="C40" s="1230" t="s">
        <v>3803</v>
      </c>
      <c r="E40" s="1231"/>
      <c r="F40" s="1231">
        <v>1</v>
      </c>
      <c r="G40" s="1230" t="s">
        <v>6057</v>
      </c>
      <c r="I40" s="2004" t="s">
        <v>6031</v>
      </c>
      <c r="J40" s="2004">
        <v>0</v>
      </c>
    </row>
    <row r="41" spans="1:10" x14ac:dyDescent="0.25">
      <c r="A41" s="1231">
        <v>1</v>
      </c>
      <c r="B41" s="1230" t="s">
        <v>6057</v>
      </c>
      <c r="C41" s="1230" t="s">
        <v>3803</v>
      </c>
      <c r="E41" s="1231"/>
      <c r="F41" s="1231">
        <v>1</v>
      </c>
      <c r="G41" s="1230" t="s">
        <v>6058</v>
      </c>
      <c r="I41" s="2004" t="s">
        <v>6033</v>
      </c>
      <c r="J41" s="2004">
        <v>0</v>
      </c>
    </row>
    <row r="42" spans="1:10" x14ac:dyDescent="0.25">
      <c r="A42" s="1231">
        <v>1</v>
      </c>
      <c r="B42" s="1230" t="s">
        <v>6058</v>
      </c>
      <c r="C42" s="1230" t="s">
        <v>3803</v>
      </c>
      <c r="E42" s="1231"/>
      <c r="F42" s="1231">
        <v>1</v>
      </c>
      <c r="G42" s="1230" t="s">
        <v>6059</v>
      </c>
      <c r="I42" s="2004" t="s">
        <v>6036</v>
      </c>
      <c r="J42" s="2004">
        <v>0</v>
      </c>
    </row>
    <row r="43" spans="1:10" x14ac:dyDescent="0.25">
      <c r="A43" s="1231">
        <v>1</v>
      </c>
      <c r="B43" s="1230" t="s">
        <v>6059</v>
      </c>
      <c r="C43" s="1230" t="s">
        <v>3803</v>
      </c>
      <c r="E43" s="1231"/>
      <c r="F43" s="1231">
        <v>1</v>
      </c>
      <c r="G43" s="2003" t="s">
        <v>6060</v>
      </c>
      <c r="I43" s="2004" t="s">
        <v>118</v>
      </c>
      <c r="J43" s="2004">
        <v>0</v>
      </c>
    </row>
    <row r="44" spans="1:10" x14ac:dyDescent="0.25">
      <c r="A44" s="1231">
        <v>1</v>
      </c>
      <c r="B44" s="1230" t="s">
        <v>6061</v>
      </c>
      <c r="C44" s="1230" t="s">
        <v>3803</v>
      </c>
      <c r="E44" s="1231"/>
      <c r="F44" s="1231">
        <v>1</v>
      </c>
      <c r="G44" s="1230" t="s">
        <v>6061</v>
      </c>
      <c r="I44" s="2004" t="s">
        <v>6039</v>
      </c>
      <c r="J44" s="2004">
        <v>0</v>
      </c>
    </row>
    <row r="45" spans="1:10" x14ac:dyDescent="0.25">
      <c r="A45" s="1231">
        <v>1</v>
      </c>
      <c r="B45" s="1230" t="s">
        <v>6062</v>
      </c>
      <c r="C45" s="1230" t="s">
        <v>3803</v>
      </c>
      <c r="E45" s="1231"/>
      <c r="F45" s="1231">
        <v>1</v>
      </c>
      <c r="G45" s="1230" t="s">
        <v>6062</v>
      </c>
      <c r="I45" s="2004" t="s">
        <v>4053</v>
      </c>
      <c r="J45" s="2004">
        <v>0</v>
      </c>
    </row>
    <row r="46" spans="1:10" x14ac:dyDescent="0.25">
      <c r="A46" s="1231">
        <v>1</v>
      </c>
      <c r="B46" s="1230" t="s">
        <v>6063</v>
      </c>
      <c r="C46" s="1230" t="s">
        <v>3803</v>
      </c>
      <c r="E46" s="1231"/>
      <c r="F46" s="1231">
        <v>1</v>
      </c>
      <c r="G46" s="1230" t="s">
        <v>6063</v>
      </c>
      <c r="I46" s="2003" t="s">
        <v>6064</v>
      </c>
      <c r="J46" s="2004">
        <v>50</v>
      </c>
    </row>
    <row r="47" spans="1:10" x14ac:dyDescent="0.25">
      <c r="A47" s="1231">
        <v>1</v>
      </c>
      <c r="B47" s="1230" t="s">
        <v>6065</v>
      </c>
      <c r="C47" s="1230" t="s">
        <v>3803</v>
      </c>
      <c r="F47" s="1231">
        <v>1</v>
      </c>
      <c r="G47" s="1230" t="s">
        <v>6066</v>
      </c>
      <c r="I47" s="1236" t="s">
        <v>772</v>
      </c>
      <c r="J47" s="1236">
        <f>SUM(J28:J46)</f>
        <v>245.9</v>
      </c>
    </row>
    <row r="48" spans="1:10" x14ac:dyDescent="0.25">
      <c r="A48" s="1231">
        <v>1</v>
      </c>
      <c r="B48" s="1230" t="s">
        <v>6067</v>
      </c>
      <c r="C48" s="1230" t="s">
        <v>3803</v>
      </c>
      <c r="E48" s="1233"/>
      <c r="F48" s="1231">
        <v>1</v>
      </c>
      <c r="G48" s="2003" t="s">
        <v>6068</v>
      </c>
    </row>
    <row r="49" spans="1:7" x14ac:dyDescent="0.25">
      <c r="A49" s="1231">
        <v>1</v>
      </c>
      <c r="B49" s="1230" t="s">
        <v>6066</v>
      </c>
      <c r="C49" s="1230" t="s">
        <v>3803</v>
      </c>
      <c r="F49" s="1231">
        <v>1</v>
      </c>
      <c r="G49" s="2003" t="s">
        <v>6069</v>
      </c>
    </row>
    <row r="50" spans="1:7" x14ac:dyDescent="0.25">
      <c r="A50" s="1230"/>
      <c r="E50" s="1233"/>
    </row>
    <row r="51" spans="1:7" x14ac:dyDescent="0.25">
      <c r="A51" s="1233">
        <f>SUM(A27:A49)</f>
        <v>23</v>
      </c>
      <c r="F51" s="1233">
        <f>SUM(F27:F50)</f>
        <v>23</v>
      </c>
    </row>
    <row r="54" spans="1:7" x14ac:dyDescent="0.25">
      <c r="A54" s="1231">
        <v>1</v>
      </c>
      <c r="B54" s="1230" t="s">
        <v>6070</v>
      </c>
      <c r="C54" s="1230" t="s">
        <v>3803</v>
      </c>
    </row>
    <row r="55" spans="1:7" x14ac:dyDescent="0.25">
      <c r="A55" s="1231">
        <v>1</v>
      </c>
      <c r="B55" s="1230" t="s">
        <v>3774</v>
      </c>
      <c r="C55" s="1230" t="s">
        <v>3803</v>
      </c>
    </row>
    <row r="56" spans="1:7" x14ac:dyDescent="0.25">
      <c r="A56" s="1231">
        <v>1</v>
      </c>
      <c r="B56" s="1230" t="s">
        <v>6071</v>
      </c>
      <c r="C56" s="1230" t="s">
        <v>3803</v>
      </c>
    </row>
    <row r="57" spans="1:7" x14ac:dyDescent="0.25">
      <c r="A57" s="1231">
        <v>1</v>
      </c>
      <c r="B57" s="1230" t="s">
        <v>6072</v>
      </c>
      <c r="C57" s="1230" t="s">
        <v>3803</v>
      </c>
    </row>
    <row r="58" spans="1:7" x14ac:dyDescent="0.25">
      <c r="A58" s="1231">
        <v>1</v>
      </c>
      <c r="B58" s="1230" t="s">
        <v>3775</v>
      </c>
      <c r="C58" s="1230" t="s">
        <v>3803</v>
      </c>
    </row>
    <row r="59" spans="1:7" x14ac:dyDescent="0.25">
      <c r="A59" s="1233">
        <f>SUM(A54:A58)</f>
        <v>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40BE3-CF19-4D62-A8E7-6CE3F87ABE3F}">
  <sheetPr codeName="Planilha36"/>
  <dimension ref="A1:K21"/>
  <sheetViews>
    <sheetView workbookViewId="0">
      <selection activeCell="O26" sqref="O26"/>
    </sheetView>
  </sheetViews>
  <sheetFormatPr defaultRowHeight="12.75" x14ac:dyDescent="0.2"/>
  <cols>
    <col min="1" max="1" width="26" customWidth="1"/>
    <col min="2" max="2" width="21.85546875" style="1" customWidth="1"/>
    <col min="3" max="3" width="14.7109375" style="1" customWidth="1"/>
    <col min="4" max="4" width="16.28515625" style="1" customWidth="1"/>
    <col min="5" max="5" width="16.85546875" style="24" customWidth="1"/>
    <col min="7" max="7" width="26" customWidth="1"/>
    <col min="8" max="8" width="21.85546875" style="1" customWidth="1"/>
    <col min="9" max="9" width="14.7109375" style="1" customWidth="1"/>
    <col min="10" max="10" width="16.28515625" style="1" customWidth="1"/>
    <col min="11" max="11" width="16.85546875" style="24" customWidth="1"/>
  </cols>
  <sheetData>
    <row r="1" spans="1:11" ht="19.5" customHeight="1" thickBot="1" x14ac:dyDescent="0.3">
      <c r="A1" s="3099" t="s">
        <v>6513</v>
      </c>
      <c r="B1" s="3100"/>
      <c r="C1" s="3100"/>
      <c r="D1" s="3100"/>
      <c r="E1" s="3101"/>
      <c r="G1" s="3099" t="s">
        <v>6514</v>
      </c>
      <c r="H1" s="3100"/>
      <c r="I1" s="3100"/>
      <c r="J1" s="3100"/>
      <c r="K1" s="3101"/>
    </row>
    <row r="2" spans="1:11" s="166" customFormat="1" ht="21" customHeight="1" thickBot="1" x14ac:dyDescent="0.3">
      <c r="A2" s="315" t="s">
        <v>696</v>
      </c>
      <c r="B2" s="568" t="s">
        <v>697</v>
      </c>
      <c r="C2" s="580" t="s">
        <v>698</v>
      </c>
      <c r="D2" s="580" t="s">
        <v>699</v>
      </c>
      <c r="E2" s="566" t="s">
        <v>700</v>
      </c>
      <c r="G2" s="315" t="s">
        <v>696</v>
      </c>
      <c r="H2" s="568" t="s">
        <v>697</v>
      </c>
      <c r="I2" s="580" t="s">
        <v>698</v>
      </c>
      <c r="J2" s="580" t="s">
        <v>699</v>
      </c>
      <c r="K2" s="566" t="s">
        <v>700</v>
      </c>
    </row>
    <row r="3" spans="1:11" ht="18.75" customHeight="1" x14ac:dyDescent="0.2">
      <c r="A3" s="573" t="s">
        <v>701</v>
      </c>
      <c r="B3" s="574">
        <v>299</v>
      </c>
      <c r="C3" s="583"/>
      <c r="D3" s="574">
        <v>299</v>
      </c>
      <c r="E3" s="575"/>
      <c r="G3" s="573" t="s">
        <v>701</v>
      </c>
      <c r="H3" s="574">
        <v>400</v>
      </c>
      <c r="I3" s="583">
        <v>400</v>
      </c>
      <c r="J3" s="574"/>
      <c r="K3" s="575" t="s">
        <v>6055</v>
      </c>
    </row>
    <row r="4" spans="1:11" ht="18.75" customHeight="1" x14ac:dyDescent="0.2">
      <c r="A4" s="576" t="s">
        <v>702</v>
      </c>
      <c r="B4" s="577">
        <v>100</v>
      </c>
      <c r="C4" s="584">
        <v>100</v>
      </c>
      <c r="D4" s="577"/>
      <c r="E4" s="578" t="s">
        <v>703</v>
      </c>
      <c r="G4" s="576" t="s">
        <v>702</v>
      </c>
      <c r="H4" s="577">
        <v>100</v>
      </c>
      <c r="I4" s="584">
        <v>100</v>
      </c>
      <c r="J4" s="577"/>
      <c r="K4" s="578" t="s">
        <v>6055</v>
      </c>
    </row>
    <row r="5" spans="1:11" ht="18.75" customHeight="1" x14ac:dyDescent="0.2">
      <c r="A5" s="576" t="s">
        <v>704</v>
      </c>
      <c r="B5" s="577">
        <v>200</v>
      </c>
      <c r="C5" s="584">
        <v>200</v>
      </c>
      <c r="D5" s="577"/>
      <c r="E5" s="578" t="s">
        <v>705</v>
      </c>
      <c r="G5" s="576" t="s">
        <v>704</v>
      </c>
      <c r="H5" s="577">
        <v>300</v>
      </c>
      <c r="I5" s="584"/>
      <c r="J5" s="577"/>
      <c r="K5" s="578" t="s">
        <v>6052</v>
      </c>
    </row>
    <row r="6" spans="1:11" ht="18.75" customHeight="1" x14ac:dyDescent="0.2">
      <c r="A6" s="576" t="s">
        <v>706</v>
      </c>
      <c r="B6" s="577">
        <v>15</v>
      </c>
      <c r="C6" s="584"/>
      <c r="D6" s="577">
        <v>15</v>
      </c>
      <c r="E6" s="578"/>
      <c r="G6" s="576" t="s">
        <v>706</v>
      </c>
      <c r="H6" s="577"/>
      <c r="I6" s="584"/>
      <c r="J6" s="577"/>
      <c r="K6" s="578"/>
    </row>
    <row r="7" spans="1:11" ht="18.75" customHeight="1" x14ac:dyDescent="0.2">
      <c r="A7" s="576" t="s">
        <v>707</v>
      </c>
      <c r="B7" s="577">
        <v>100</v>
      </c>
      <c r="C7" s="584"/>
      <c r="D7" s="577">
        <v>100</v>
      </c>
      <c r="E7" s="578"/>
      <c r="G7" s="576" t="s">
        <v>707</v>
      </c>
      <c r="H7" s="577">
        <v>200</v>
      </c>
      <c r="I7" s="584"/>
      <c r="J7" s="577">
        <v>200</v>
      </c>
      <c r="K7" s="578" t="s">
        <v>3062</v>
      </c>
    </row>
    <row r="8" spans="1:11" ht="18.75" customHeight="1" x14ac:dyDescent="0.2">
      <c r="A8" s="576" t="s">
        <v>708</v>
      </c>
      <c r="B8" s="577">
        <v>10</v>
      </c>
      <c r="C8" s="584">
        <v>10</v>
      </c>
      <c r="D8" s="577"/>
      <c r="E8" s="578" t="s">
        <v>703</v>
      </c>
      <c r="G8" s="576" t="s">
        <v>708</v>
      </c>
      <c r="H8" s="577"/>
      <c r="I8" s="584"/>
      <c r="J8" s="577"/>
      <c r="K8" s="578"/>
    </row>
    <row r="9" spans="1:11" ht="18.75" customHeight="1" x14ac:dyDescent="0.2">
      <c r="A9" s="576" t="s">
        <v>709</v>
      </c>
      <c r="B9" s="577">
        <v>30</v>
      </c>
      <c r="C9" s="584">
        <v>30</v>
      </c>
      <c r="D9" s="577"/>
      <c r="E9" s="578" t="s">
        <v>710</v>
      </c>
      <c r="G9" s="576" t="s">
        <v>709</v>
      </c>
      <c r="H9" s="577"/>
      <c r="I9" s="584"/>
      <c r="J9" s="577"/>
      <c r="K9" s="578"/>
    </row>
    <row r="10" spans="1:11" ht="18.75" customHeight="1" x14ac:dyDescent="0.2">
      <c r="A10" s="576" t="s">
        <v>711</v>
      </c>
      <c r="B10" s="577">
        <v>20</v>
      </c>
      <c r="C10" s="584"/>
      <c r="D10" s="577">
        <v>20</v>
      </c>
      <c r="E10" s="578"/>
      <c r="G10" s="576" t="s">
        <v>711</v>
      </c>
      <c r="H10" s="577"/>
      <c r="I10" s="584"/>
      <c r="J10" s="577"/>
      <c r="K10" s="578"/>
    </row>
    <row r="11" spans="1:11" ht="18.75" customHeight="1" x14ac:dyDescent="0.2">
      <c r="A11" s="576" t="s">
        <v>712</v>
      </c>
      <c r="B11" s="577">
        <v>424</v>
      </c>
      <c r="C11" s="584">
        <v>250</v>
      </c>
      <c r="D11" s="577">
        <v>174</v>
      </c>
      <c r="E11" s="578" t="s">
        <v>713</v>
      </c>
      <c r="G11" s="576" t="s">
        <v>712</v>
      </c>
      <c r="H11" s="577"/>
      <c r="I11" s="584"/>
      <c r="J11" s="577"/>
      <c r="K11" s="578"/>
    </row>
    <row r="12" spans="1:11" ht="18.75" customHeight="1" x14ac:dyDescent="0.2">
      <c r="A12" s="576" t="s">
        <v>714</v>
      </c>
      <c r="B12" s="577">
        <v>200</v>
      </c>
      <c r="C12" s="584">
        <v>200</v>
      </c>
      <c r="D12" s="577"/>
      <c r="E12" s="578" t="s">
        <v>715</v>
      </c>
      <c r="G12" s="576" t="s">
        <v>714</v>
      </c>
      <c r="H12" s="577"/>
      <c r="I12" s="584"/>
      <c r="J12" s="577"/>
      <c r="K12" s="578"/>
    </row>
    <row r="13" spans="1:11" ht="18.75" customHeight="1" x14ac:dyDescent="0.2">
      <c r="A13" s="576" t="s">
        <v>716</v>
      </c>
      <c r="B13" s="577">
        <v>30</v>
      </c>
      <c r="C13" s="584">
        <v>30</v>
      </c>
      <c r="D13" s="577"/>
      <c r="E13" s="578" t="s">
        <v>717</v>
      </c>
      <c r="G13" s="576" t="s">
        <v>716</v>
      </c>
      <c r="H13" s="577">
        <v>80</v>
      </c>
      <c r="I13" s="584"/>
      <c r="J13" s="577">
        <v>80</v>
      </c>
      <c r="K13" s="578" t="s">
        <v>3062</v>
      </c>
    </row>
    <row r="14" spans="1:11" ht="18.75" customHeight="1" x14ac:dyDescent="0.2">
      <c r="A14" s="576" t="s">
        <v>718</v>
      </c>
      <c r="B14" s="577">
        <v>30</v>
      </c>
      <c r="C14" s="584">
        <v>30</v>
      </c>
      <c r="D14" s="577"/>
      <c r="E14" s="578" t="s">
        <v>717</v>
      </c>
      <c r="G14" s="576" t="s">
        <v>718</v>
      </c>
      <c r="H14" s="577"/>
      <c r="I14" s="584"/>
      <c r="J14" s="577"/>
      <c r="K14" s="578"/>
    </row>
    <row r="15" spans="1:11" ht="18.75" customHeight="1" x14ac:dyDescent="0.2">
      <c r="A15" s="576" t="s">
        <v>719</v>
      </c>
      <c r="B15" s="577">
        <v>50</v>
      </c>
      <c r="C15" s="584"/>
      <c r="D15" s="577">
        <v>50</v>
      </c>
      <c r="E15" s="578"/>
      <c r="G15" s="576" t="s">
        <v>719</v>
      </c>
      <c r="H15" s="577">
        <v>100</v>
      </c>
      <c r="I15" s="584">
        <v>100</v>
      </c>
      <c r="J15" s="577"/>
      <c r="K15" s="578" t="s">
        <v>6052</v>
      </c>
    </row>
    <row r="16" spans="1:11" ht="18.75" customHeight="1" x14ac:dyDescent="0.2">
      <c r="A16" s="10"/>
      <c r="B16" s="570"/>
      <c r="C16" s="399"/>
      <c r="D16" s="570"/>
      <c r="E16" s="435"/>
      <c r="G16" s="10"/>
      <c r="H16" s="570"/>
      <c r="I16" s="399"/>
      <c r="J16" s="570"/>
      <c r="K16" s="435"/>
    </row>
    <row r="17" spans="1:11" ht="18.75" customHeight="1" x14ac:dyDescent="0.2">
      <c r="A17" s="10"/>
      <c r="B17" s="570"/>
      <c r="C17" s="399"/>
      <c r="D17" s="570"/>
      <c r="E17" s="435"/>
      <c r="G17" s="10"/>
      <c r="H17" s="570"/>
      <c r="I17" s="399"/>
      <c r="J17" s="570"/>
      <c r="K17" s="435"/>
    </row>
    <row r="18" spans="1:11" ht="18.75" customHeight="1" x14ac:dyDescent="0.2">
      <c r="A18" s="10"/>
      <c r="B18" s="570"/>
      <c r="C18" s="399"/>
      <c r="D18" s="570"/>
      <c r="E18" s="435"/>
      <c r="G18" s="10"/>
      <c r="H18" s="570"/>
      <c r="I18" s="399"/>
      <c r="J18" s="570"/>
      <c r="K18" s="435"/>
    </row>
    <row r="19" spans="1:11" ht="18.75" customHeight="1" x14ac:dyDescent="0.2">
      <c r="A19" s="10"/>
      <c r="B19" s="581"/>
      <c r="C19" s="399"/>
      <c r="D19" s="12"/>
      <c r="E19" s="435"/>
      <c r="G19" s="10"/>
      <c r="H19" s="581"/>
      <c r="I19" s="399"/>
      <c r="J19" s="12"/>
      <c r="K19" s="435"/>
    </row>
    <row r="20" spans="1:11" ht="18.75" customHeight="1" thickBot="1" x14ac:dyDescent="0.25">
      <c r="A20" s="571"/>
      <c r="B20" s="572"/>
      <c r="C20" s="585"/>
      <c r="D20" s="582"/>
      <c r="E20" s="17"/>
      <c r="G20" s="571"/>
      <c r="H20" s="572"/>
      <c r="I20" s="585"/>
      <c r="J20" s="582"/>
      <c r="K20" s="17"/>
    </row>
    <row r="21" spans="1:11" ht="16.5" thickBot="1" x14ac:dyDescent="0.3">
      <c r="A21" s="579" t="s">
        <v>361</v>
      </c>
      <c r="B21" s="569">
        <f>SUM(B3:B20)</f>
        <v>1508</v>
      </c>
      <c r="C21" s="569">
        <f>SUM(C3:C20)</f>
        <v>850</v>
      </c>
      <c r="D21" s="569">
        <f>SUM(D3:D20)</f>
        <v>658</v>
      </c>
      <c r="E21" s="567"/>
      <c r="G21" s="579" t="s">
        <v>361</v>
      </c>
      <c r="H21" s="569">
        <f>SUM(H3:H20)</f>
        <v>1180</v>
      </c>
      <c r="I21" s="569">
        <f>SUM(I3:I20)</f>
        <v>600</v>
      </c>
      <c r="J21" s="569">
        <f>SUM(J3:J20)</f>
        <v>280</v>
      </c>
      <c r="K21" s="567"/>
    </row>
  </sheetData>
  <mergeCells count="2">
    <mergeCell ref="A1:E1"/>
    <mergeCell ref="G1:K1"/>
  </mergeCells>
  <pageMargins left="0.25" right="0.25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BE00BE7E-5299-4BEA-A4E2-7814335927BE}">
  <ds:schemaRefs>
    <ds:schemaRef ds:uri="http://gemini/pivotcustomization/RelationshipAutoDetectionEnabled"/>
  </ds:schemaRefs>
</ds:datastoreItem>
</file>

<file path=customXml/itemProps2.xml><?xml version="1.0" encoding="utf-8"?>
<ds:datastoreItem xmlns:ds="http://schemas.openxmlformats.org/officeDocument/2006/customXml" ds:itemID="{AB473778-1596-4ECF-AD1A-CB871962DA44}">
  <ds:schemaRefs>
    <ds:schemaRef ds:uri="http://gemini/pivotcustomization/ErrorCache"/>
  </ds:schemaRefs>
</ds:datastoreItem>
</file>

<file path=customXml/itemProps3.xml><?xml version="1.0" encoding="utf-8"?>
<ds:datastoreItem xmlns:ds="http://schemas.openxmlformats.org/officeDocument/2006/customXml" ds:itemID="{8608F27D-0FFC-4A61-A4EC-D2781F7BF5E6}">
  <ds:schemaRefs>
    <ds:schemaRef ds:uri="http://gemini/pivotcustomization/IsSandboxEmbedded"/>
  </ds:schemaRefs>
</ds:datastoreItem>
</file>

<file path=customXml/itemProps4.xml><?xml version="1.0" encoding="utf-8"?>
<ds:datastoreItem xmlns:ds="http://schemas.openxmlformats.org/officeDocument/2006/customXml" ds:itemID="{B425A9D3-03B5-4ABD-AC20-BB70B971DE35}">
  <ds:schemaRefs>
    <ds:schemaRef ds:uri="http://gemini/pivotcustomization/SandboxNonEmpty"/>
  </ds:schemaRefs>
</ds:datastoreItem>
</file>

<file path=customXml/itemProps5.xml><?xml version="1.0" encoding="utf-8"?>
<ds:datastoreItem xmlns:ds="http://schemas.openxmlformats.org/officeDocument/2006/customXml" ds:itemID="{5BA9DD41-EFC0-49B0-905C-32AF0813A10A}">
  <ds:schemaRefs>
    <ds:schemaRef ds:uri="http://gemini/pivotcustomization/PowerPivotVersion"/>
  </ds:schemaRefs>
</ds:datastoreItem>
</file>

<file path=customXml/itemProps6.xml><?xml version="1.0" encoding="utf-8"?>
<ds:datastoreItem xmlns:ds="http://schemas.openxmlformats.org/officeDocument/2006/customXml" ds:itemID="{652A42AB-9151-4200-9ACA-0717A14C8B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200</vt:i4>
      </vt:variant>
      <vt:variant>
        <vt:lpstr>Intervalos Nomeados</vt:lpstr>
      </vt:variant>
      <vt:variant>
        <vt:i4>13</vt:i4>
      </vt:variant>
    </vt:vector>
  </HeadingPairs>
  <TitlesOfParts>
    <vt:vector size="213" baseType="lpstr">
      <vt:lpstr>Janeiro 13</vt:lpstr>
      <vt:lpstr>Fevereiro 13</vt:lpstr>
      <vt:lpstr>Março 13</vt:lpstr>
      <vt:lpstr>Abril 13</vt:lpstr>
      <vt:lpstr>Maio 13</vt:lpstr>
      <vt:lpstr>Junho 13</vt:lpstr>
      <vt:lpstr>Julho 13</vt:lpstr>
      <vt:lpstr>Agosto 13</vt:lpstr>
      <vt:lpstr>Setembro 13</vt:lpstr>
      <vt:lpstr>Outubro-13</vt:lpstr>
      <vt:lpstr>Novembro-13</vt:lpstr>
      <vt:lpstr>Dezembro-13</vt:lpstr>
      <vt:lpstr>Acumulado 2013</vt:lpstr>
      <vt:lpstr>Janeiro-14</vt:lpstr>
      <vt:lpstr>Fevereiro-14</vt:lpstr>
      <vt:lpstr>Março-14</vt:lpstr>
      <vt:lpstr>Abril-14</vt:lpstr>
      <vt:lpstr>Maio-14</vt:lpstr>
      <vt:lpstr>Junho-2014</vt:lpstr>
      <vt:lpstr>Julho-14</vt:lpstr>
      <vt:lpstr>Agosto-14</vt:lpstr>
      <vt:lpstr>Setembro-14</vt:lpstr>
      <vt:lpstr>Outubro-14</vt:lpstr>
      <vt:lpstr>Novembro-14</vt:lpstr>
      <vt:lpstr>Dezembro-14</vt:lpstr>
      <vt:lpstr>Acumulado 2014</vt:lpstr>
      <vt:lpstr>Bella</vt:lpstr>
      <vt:lpstr>Quarto</vt:lpstr>
      <vt:lpstr>Janeiro-15</vt:lpstr>
      <vt:lpstr>Fevereiro-15</vt:lpstr>
      <vt:lpstr>Março-15</vt:lpstr>
      <vt:lpstr>Abril-15</vt:lpstr>
      <vt:lpstr>Maio-15</vt:lpstr>
      <vt:lpstr>Junho-15</vt:lpstr>
      <vt:lpstr>Julho-15</vt:lpstr>
      <vt:lpstr>Agosto-15</vt:lpstr>
      <vt:lpstr>Setembro-15</vt:lpstr>
      <vt:lpstr>Outubro-15</vt:lpstr>
      <vt:lpstr>Novembro-15</vt:lpstr>
      <vt:lpstr>Junho-14</vt:lpstr>
      <vt:lpstr>Dezembro-15</vt:lpstr>
      <vt:lpstr>Acumulado 2015</vt:lpstr>
      <vt:lpstr>Janeiro-16</vt:lpstr>
      <vt:lpstr>Fevereiro-16</vt:lpstr>
      <vt:lpstr>Março-16</vt:lpstr>
      <vt:lpstr>Abril-16</vt:lpstr>
      <vt:lpstr>Maio-16</vt:lpstr>
      <vt:lpstr>Junho-16</vt:lpstr>
      <vt:lpstr>Julho-16</vt:lpstr>
      <vt:lpstr>Agosto-16</vt:lpstr>
      <vt:lpstr>Setembro-16</vt:lpstr>
      <vt:lpstr>Outubro-16</vt:lpstr>
      <vt:lpstr>Novembro-16</vt:lpstr>
      <vt:lpstr>Dezembro-16</vt:lpstr>
      <vt:lpstr>Acumulado 2016</vt:lpstr>
      <vt:lpstr>Janeiro-17</vt:lpstr>
      <vt:lpstr>Fevereiro-17</vt:lpstr>
      <vt:lpstr>Março-17</vt:lpstr>
      <vt:lpstr>Abril-17</vt:lpstr>
      <vt:lpstr>Maio-17</vt:lpstr>
      <vt:lpstr>Junho-17</vt:lpstr>
      <vt:lpstr>Julho-17</vt:lpstr>
      <vt:lpstr>Agosto-17</vt:lpstr>
      <vt:lpstr>Setembro-17</vt:lpstr>
      <vt:lpstr>Outubro-17</vt:lpstr>
      <vt:lpstr>Novembro-17</vt:lpstr>
      <vt:lpstr>Dezembro-17</vt:lpstr>
      <vt:lpstr>Acumulado 2017</vt:lpstr>
      <vt:lpstr>Janeiro-2018</vt:lpstr>
      <vt:lpstr>Fevereiro-18</vt:lpstr>
      <vt:lpstr>Março-18</vt:lpstr>
      <vt:lpstr>Abril-18</vt:lpstr>
      <vt:lpstr>Maio-18</vt:lpstr>
      <vt:lpstr>Junho-18</vt:lpstr>
      <vt:lpstr>Julho-18</vt:lpstr>
      <vt:lpstr>Agosto-18</vt:lpstr>
      <vt:lpstr>Setembro-18</vt:lpstr>
      <vt:lpstr>Outubro-18</vt:lpstr>
      <vt:lpstr>Novembro-18</vt:lpstr>
      <vt:lpstr>Dezembro-18</vt:lpstr>
      <vt:lpstr>Acumulado 2018</vt:lpstr>
      <vt:lpstr>Janeiro-19</vt:lpstr>
      <vt:lpstr>Fevereiro-19</vt:lpstr>
      <vt:lpstr>Março-19</vt:lpstr>
      <vt:lpstr>Abril-19</vt:lpstr>
      <vt:lpstr>Maio-19</vt:lpstr>
      <vt:lpstr>Junho-19</vt:lpstr>
      <vt:lpstr>Julho-19</vt:lpstr>
      <vt:lpstr>Agosto-19</vt:lpstr>
      <vt:lpstr>Setembro-19</vt:lpstr>
      <vt:lpstr>Outubro-19</vt:lpstr>
      <vt:lpstr>Novembro-19</vt:lpstr>
      <vt:lpstr>Dezembro-19</vt:lpstr>
      <vt:lpstr>Acumulado 2019</vt:lpstr>
      <vt:lpstr>Janeiro-20</vt:lpstr>
      <vt:lpstr>Fevereiro-20</vt:lpstr>
      <vt:lpstr>Março-20</vt:lpstr>
      <vt:lpstr>Abril-20</vt:lpstr>
      <vt:lpstr>Maio-20</vt:lpstr>
      <vt:lpstr>Junho-20</vt:lpstr>
      <vt:lpstr>Julho-20</vt:lpstr>
      <vt:lpstr>Agosto-20</vt:lpstr>
      <vt:lpstr>Setembro-20</vt:lpstr>
      <vt:lpstr>Outubro-20</vt:lpstr>
      <vt:lpstr>Novembro-20</vt:lpstr>
      <vt:lpstr>Dezembro-20</vt:lpstr>
      <vt:lpstr>Acumulado 2020</vt:lpstr>
      <vt:lpstr>Janeiro-21</vt:lpstr>
      <vt:lpstr>Fevereiro-21</vt:lpstr>
      <vt:lpstr>Março-21</vt:lpstr>
      <vt:lpstr>Abril-21</vt:lpstr>
      <vt:lpstr>Maio-21</vt:lpstr>
      <vt:lpstr>Junho-21</vt:lpstr>
      <vt:lpstr>Julho-21</vt:lpstr>
      <vt:lpstr>Agosto-21</vt:lpstr>
      <vt:lpstr>Setembro-21</vt:lpstr>
      <vt:lpstr>Outubro-21</vt:lpstr>
      <vt:lpstr>Novembro-21</vt:lpstr>
      <vt:lpstr>Dezembro-21</vt:lpstr>
      <vt:lpstr>Acumulado 2021</vt:lpstr>
      <vt:lpstr>Janeiro-22</vt:lpstr>
      <vt:lpstr>Fevereiro-22</vt:lpstr>
      <vt:lpstr>Março-22</vt:lpstr>
      <vt:lpstr>Abril-22</vt:lpstr>
      <vt:lpstr>Maio-22</vt:lpstr>
      <vt:lpstr>Junho-22</vt:lpstr>
      <vt:lpstr>Julho-22</vt:lpstr>
      <vt:lpstr>Agosto-22</vt:lpstr>
      <vt:lpstr>Setembro-22</vt:lpstr>
      <vt:lpstr>Outubro-22</vt:lpstr>
      <vt:lpstr>Novembro-22</vt:lpstr>
      <vt:lpstr>Dezembro-22</vt:lpstr>
      <vt:lpstr>Acumulado 2022</vt:lpstr>
      <vt:lpstr>Janeiro-23</vt:lpstr>
      <vt:lpstr>Fevereiro-23</vt:lpstr>
      <vt:lpstr>Março-23</vt:lpstr>
      <vt:lpstr>Abril-23</vt:lpstr>
      <vt:lpstr>Maio-23</vt:lpstr>
      <vt:lpstr>Junho-23</vt:lpstr>
      <vt:lpstr>Julho-23</vt:lpstr>
      <vt:lpstr>Agosto-23</vt:lpstr>
      <vt:lpstr>Setembro-23</vt:lpstr>
      <vt:lpstr>Outubro-23</vt:lpstr>
      <vt:lpstr>Novembro-23</vt:lpstr>
      <vt:lpstr>Dezembro-23</vt:lpstr>
      <vt:lpstr>Acumulado 2023</vt:lpstr>
      <vt:lpstr>Janeiro-24</vt:lpstr>
      <vt:lpstr>Fevereiro-24</vt:lpstr>
      <vt:lpstr>Março-24</vt:lpstr>
      <vt:lpstr>Abril-24</vt:lpstr>
      <vt:lpstr>Maio-24</vt:lpstr>
      <vt:lpstr>Junho-24</vt:lpstr>
      <vt:lpstr>Julho-24</vt:lpstr>
      <vt:lpstr>Agosto-24</vt:lpstr>
      <vt:lpstr>Setembro-24</vt:lpstr>
      <vt:lpstr>Outubro-24</vt:lpstr>
      <vt:lpstr>Novembro-24</vt:lpstr>
      <vt:lpstr>Dezembro-24</vt:lpstr>
      <vt:lpstr>Janeiro-25</vt:lpstr>
      <vt:lpstr>Fevereiro-25</vt:lpstr>
      <vt:lpstr>Março-25</vt:lpstr>
      <vt:lpstr>Abril-25</vt:lpstr>
      <vt:lpstr>Maio-25</vt:lpstr>
      <vt:lpstr>Junho-25</vt:lpstr>
      <vt:lpstr>Julho-25</vt:lpstr>
      <vt:lpstr>Agosto-25</vt:lpstr>
      <vt:lpstr>Setembro-25</vt:lpstr>
      <vt:lpstr>Outubro-25</vt:lpstr>
      <vt:lpstr>Novembro-25</vt:lpstr>
      <vt:lpstr>Dezembro-25</vt:lpstr>
      <vt:lpstr>Janeiro-26</vt:lpstr>
      <vt:lpstr>Fevereiro-26</vt:lpstr>
      <vt:lpstr>Programação Pagtos.</vt:lpstr>
      <vt:lpstr>Fatura Cartão</vt:lpstr>
      <vt:lpstr>Fundo construção</vt:lpstr>
      <vt:lpstr>Pintura</vt:lpstr>
      <vt:lpstr>Elétrica-Hidraulica</vt:lpstr>
      <vt:lpstr>Móveis+Acessórios</vt:lpstr>
      <vt:lpstr>Acumulado 2026</vt:lpstr>
      <vt:lpstr>Acumulado 2025</vt:lpstr>
      <vt:lpstr>Acumulado 2024</vt:lpstr>
      <vt:lpstr>Acumulado por ano</vt:lpstr>
      <vt:lpstr>PJ</vt:lpstr>
      <vt:lpstr>Revestimento</vt:lpstr>
      <vt:lpstr>Janelas Portas+Contra piso</vt:lpstr>
      <vt:lpstr>Reboco+Forro</vt:lpstr>
      <vt:lpstr>Paredes casa</vt:lpstr>
      <vt:lpstr>Paredes + telhamento garagem</vt:lpstr>
      <vt:lpstr>Porão+Escada+lavanderia</vt:lpstr>
      <vt:lpstr>Lajes</vt:lpstr>
      <vt:lpstr>Pensão</vt:lpstr>
      <vt:lpstr>Investimentos</vt:lpstr>
      <vt:lpstr>Onix 2014</vt:lpstr>
      <vt:lpstr>Astra 05</vt:lpstr>
      <vt:lpstr>Corsa 97</vt:lpstr>
      <vt:lpstr>Motos</vt:lpstr>
      <vt:lpstr>Laje 2010 + Telhamento</vt:lpstr>
      <vt:lpstr>Eventos</vt:lpstr>
      <vt:lpstr>Plan1</vt:lpstr>
      <vt:lpstr>Filhas</vt:lpstr>
      <vt:lpstr>Almoço</vt:lpstr>
      <vt:lpstr>C_</vt:lpstr>
      <vt:lpstr>Café</vt:lpstr>
      <vt:lpstr>débito</vt:lpstr>
      <vt:lpstr>Detergente</vt:lpstr>
      <vt:lpstr>Esfihas</vt:lpstr>
      <vt:lpstr>Estopa</vt:lpstr>
      <vt:lpstr>não</vt:lpstr>
      <vt:lpstr>Pizza</vt:lpstr>
      <vt:lpstr>Rifa_ovo_páscoa_Zeza</vt:lpstr>
      <vt:lpstr>Shampoo</vt:lpstr>
      <vt:lpstr>'Fundo construção'!Titulos_de_impressao</vt:lpstr>
      <vt:lpstr>'Porão+Escada+lavanderia'!Titulos_de_impressao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</dc:creator>
  <cp:keywords/>
  <dc:description/>
  <cp:lastModifiedBy>Alexandre</cp:lastModifiedBy>
  <cp:revision/>
  <cp:lastPrinted>2026-01-27T20:22:25Z</cp:lastPrinted>
  <dcterms:created xsi:type="dcterms:W3CDTF">1997-01-10T22:22:50Z</dcterms:created>
  <dcterms:modified xsi:type="dcterms:W3CDTF">2026-01-28T13:57:48Z</dcterms:modified>
  <cp:category/>
  <cp:contentStatus/>
</cp:coreProperties>
</file>